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https://itsacid-my.sharepoint.com/personal/faris_19071_mhs_its_ac_id/Documents/Akademik Lab Bawah/SP PKM Project/"/>
    </mc:Choice>
  </mc:AlternateContent>
  <xr:revisionPtr revIDLastSave="4" documentId="11_E78009C4933B788FF93476D8BD9DB7D7F732E3A4" xr6:coauthVersionLast="47" xr6:coauthVersionMax="47" xr10:uidLastSave="{BD8B03D5-5EED-42DF-909E-6451C18CBCB8}"/>
  <bookViews>
    <workbookView xWindow="-108" yWindow="-108" windowWidth="23256" windowHeight="12576" activeTab="7" xr2:uid="{00000000-000D-0000-FFFF-FFFF00000000}"/>
  </bookViews>
  <sheets>
    <sheet name="Rekap" sheetId="1" r:id="rId1"/>
    <sheet name="Dosen Penalaran" sheetId="2" r:id="rId2"/>
    <sheet name="TIM BELUM UPLOAD" sheetId="3" r:id="rId3"/>
    <sheet name="PKM-VGK" sheetId="4" r:id="rId4"/>
    <sheet name="PKM-AI" sheetId="5" r:id="rId5"/>
    <sheet name="PKM-K" sheetId="6" r:id="rId6"/>
    <sheet name="PKM-GFT" sheetId="7" r:id="rId7"/>
    <sheet name="PKM-KI" sheetId="8" r:id="rId8"/>
    <sheet name="PKM-PM" sheetId="9" r:id="rId9"/>
    <sheet name="PKM-RE" sheetId="10" r:id="rId10"/>
    <sheet name="PKM-RSH" sheetId="11" r:id="rId11"/>
    <sheet name="PKM-PI" sheetId="12" r:id="rId12"/>
    <sheet name="PKM-KC" sheetId="13" r:id="rId13"/>
    <sheet name="Sheet21" sheetId="14"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3" i="8" l="1"/>
  <c r="P3" i="8"/>
  <c r="C859" i="14"/>
  <c r="C858" i="14"/>
  <c r="C857" i="14"/>
  <c r="C856" i="14"/>
  <c r="C855" i="14"/>
  <c r="C854" i="14"/>
  <c r="C853" i="14"/>
  <c r="C852" i="14"/>
  <c r="C851" i="14"/>
  <c r="C850" i="14"/>
  <c r="C849" i="14"/>
  <c r="C848" i="14"/>
  <c r="C847" i="14"/>
  <c r="C846" i="14"/>
  <c r="C845" i="14"/>
  <c r="C844" i="14"/>
  <c r="C843" i="14"/>
  <c r="C842" i="14"/>
  <c r="C841" i="14"/>
  <c r="C840" i="14"/>
  <c r="C839" i="14"/>
  <c r="C838" i="14"/>
  <c r="C837" i="14"/>
  <c r="C836" i="14"/>
  <c r="C835" i="14"/>
  <c r="C834" i="14"/>
  <c r="C833" i="14"/>
  <c r="C832" i="14"/>
  <c r="C831" i="14"/>
  <c r="C830" i="14"/>
  <c r="C829" i="14"/>
  <c r="C828" i="14"/>
  <c r="C827" i="14"/>
  <c r="C826" i="14"/>
  <c r="C825" i="14"/>
  <c r="C824" i="14"/>
  <c r="C823" i="14"/>
  <c r="C822" i="14"/>
  <c r="C821" i="14"/>
  <c r="C820" i="14"/>
  <c r="C819" i="14"/>
  <c r="C818" i="14"/>
  <c r="C817" i="14"/>
  <c r="C816" i="14"/>
  <c r="C815" i="14"/>
  <c r="C814" i="14"/>
  <c r="C813" i="14"/>
  <c r="C812" i="14"/>
  <c r="C811" i="14"/>
  <c r="C810" i="14"/>
  <c r="C809" i="14"/>
  <c r="C808" i="14"/>
  <c r="C807" i="14"/>
  <c r="C806" i="14"/>
  <c r="C805" i="14"/>
  <c r="C804" i="14"/>
  <c r="C803" i="14"/>
  <c r="C802" i="14"/>
  <c r="C801" i="14"/>
  <c r="C800" i="14"/>
  <c r="C799" i="14"/>
  <c r="C798" i="14"/>
  <c r="C797" i="14"/>
  <c r="C796" i="14"/>
  <c r="C795" i="14"/>
  <c r="C794" i="14"/>
  <c r="C793" i="14"/>
  <c r="C792" i="14"/>
  <c r="C791" i="14"/>
  <c r="C790" i="14"/>
  <c r="C789" i="14"/>
  <c r="C788" i="14"/>
  <c r="C787" i="14"/>
  <c r="C786" i="14"/>
  <c r="C785" i="14"/>
  <c r="C784" i="14"/>
  <c r="C783" i="14"/>
  <c r="C782" i="14"/>
  <c r="C781" i="14"/>
  <c r="C780" i="14"/>
  <c r="C779" i="14"/>
  <c r="C778" i="14"/>
  <c r="C777" i="14"/>
  <c r="C776" i="14"/>
  <c r="C775" i="14"/>
  <c r="C774" i="14"/>
  <c r="C773" i="14"/>
  <c r="C772" i="14"/>
  <c r="C771" i="14"/>
  <c r="C770" i="14"/>
  <c r="C769" i="14"/>
  <c r="C768" i="14"/>
  <c r="C767" i="14"/>
  <c r="C766" i="14"/>
  <c r="C765" i="14"/>
  <c r="C764" i="14"/>
  <c r="C763" i="14"/>
  <c r="C762" i="14"/>
  <c r="C761" i="14"/>
  <c r="C760" i="14"/>
  <c r="C759" i="14"/>
  <c r="C758" i="14"/>
  <c r="C757" i="14"/>
  <c r="C756" i="14"/>
  <c r="C755" i="14"/>
  <c r="C754" i="14"/>
  <c r="C753" i="14"/>
  <c r="C752" i="14"/>
  <c r="C751" i="14"/>
  <c r="C750" i="14"/>
  <c r="E749" i="14"/>
  <c r="D749" i="14"/>
  <c r="C749" i="14"/>
  <c r="B749" i="14"/>
  <c r="A749" i="14"/>
  <c r="E748" i="14"/>
  <c r="D748" i="14"/>
  <c r="C748" i="14"/>
  <c r="B748" i="14"/>
  <c r="A748" i="14"/>
  <c r="E747" i="14"/>
  <c r="D747" i="14"/>
  <c r="C747" i="14"/>
  <c r="B747" i="14"/>
  <c r="A747" i="14"/>
  <c r="D746" i="14"/>
  <c r="C746" i="14"/>
  <c r="B746" i="14"/>
  <c r="A746" i="14"/>
  <c r="E745" i="14"/>
  <c r="D745" i="14"/>
  <c r="C745" i="14"/>
  <c r="B745" i="14"/>
  <c r="A745" i="14"/>
  <c r="D744" i="14"/>
  <c r="C744" i="14"/>
  <c r="B744" i="14"/>
  <c r="A744" i="14"/>
  <c r="E743" i="14"/>
  <c r="D743" i="14"/>
  <c r="C743" i="14"/>
  <c r="B743" i="14"/>
  <c r="A743" i="14"/>
  <c r="E742" i="14"/>
  <c r="D742" i="14"/>
  <c r="C742" i="14"/>
  <c r="B742" i="14"/>
  <c r="A742" i="14"/>
  <c r="E741" i="14"/>
  <c r="D741" i="14"/>
  <c r="C741" i="14"/>
  <c r="B741" i="14"/>
  <c r="A741" i="14"/>
  <c r="E740" i="14"/>
  <c r="D740" i="14"/>
  <c r="C740" i="14"/>
  <c r="B740" i="14"/>
  <c r="A740" i="14"/>
  <c r="D739" i="14"/>
  <c r="C739" i="14"/>
  <c r="B739" i="14"/>
  <c r="A739" i="14"/>
  <c r="E738" i="14"/>
  <c r="D738" i="14"/>
  <c r="C738" i="14"/>
  <c r="B738" i="14"/>
  <c r="A738" i="14"/>
  <c r="E737" i="14"/>
  <c r="D737" i="14"/>
  <c r="C737" i="14"/>
  <c r="B737" i="14"/>
  <c r="A737" i="14"/>
  <c r="E736" i="14"/>
  <c r="D736" i="14"/>
  <c r="C736" i="14"/>
  <c r="B736" i="14"/>
  <c r="A736" i="14"/>
  <c r="E735" i="14"/>
  <c r="D735" i="14"/>
  <c r="C735" i="14"/>
  <c r="B735" i="14"/>
  <c r="A735" i="14"/>
  <c r="E734" i="14"/>
  <c r="D734" i="14"/>
  <c r="C734" i="14"/>
  <c r="B734" i="14"/>
  <c r="A734" i="14"/>
  <c r="E733" i="14"/>
  <c r="D733" i="14"/>
  <c r="C733" i="14"/>
  <c r="B733" i="14"/>
  <c r="A733" i="14"/>
  <c r="E732" i="14"/>
  <c r="D732" i="14"/>
  <c r="C732" i="14"/>
  <c r="B732" i="14"/>
  <c r="A732" i="14"/>
  <c r="E731" i="14"/>
  <c r="D731" i="14"/>
  <c r="C731" i="14"/>
  <c r="B731" i="14"/>
  <c r="A731" i="14"/>
  <c r="E730" i="14"/>
  <c r="D730" i="14"/>
  <c r="C730" i="14"/>
  <c r="B730" i="14"/>
  <c r="A730" i="14"/>
  <c r="E729" i="14"/>
  <c r="D729" i="14"/>
  <c r="C729" i="14"/>
  <c r="B729" i="14"/>
  <c r="A729" i="14"/>
  <c r="E728" i="14"/>
  <c r="D728" i="14"/>
  <c r="C728" i="14"/>
  <c r="B728" i="14"/>
  <c r="A728" i="14"/>
  <c r="E727" i="14"/>
  <c r="D727" i="14"/>
  <c r="C727" i="14"/>
  <c r="B727" i="14"/>
  <c r="A727" i="14"/>
  <c r="E726" i="14"/>
  <c r="D726" i="14"/>
  <c r="C726" i="14"/>
  <c r="B726" i="14"/>
  <c r="A726" i="14"/>
  <c r="E725" i="14"/>
  <c r="D725" i="14"/>
  <c r="C725" i="14"/>
  <c r="B725" i="14"/>
  <c r="A725" i="14"/>
  <c r="E724" i="14"/>
  <c r="D724" i="14"/>
  <c r="C724" i="14"/>
  <c r="B724" i="14"/>
  <c r="A724" i="14"/>
  <c r="E723" i="14"/>
  <c r="D723" i="14"/>
  <c r="C723" i="14"/>
  <c r="B723" i="14"/>
  <c r="A723" i="14"/>
  <c r="E722" i="14"/>
  <c r="D722" i="14"/>
  <c r="C722" i="14"/>
  <c r="B722" i="14"/>
  <c r="A722" i="14"/>
  <c r="D721" i="14"/>
  <c r="C721" i="14"/>
  <c r="B721" i="14"/>
  <c r="A721" i="14"/>
  <c r="E720" i="14"/>
  <c r="D720" i="14"/>
  <c r="C720" i="14"/>
  <c r="B720" i="14"/>
  <c r="A720" i="14"/>
  <c r="E719" i="14"/>
  <c r="D719" i="14"/>
  <c r="C719" i="14"/>
  <c r="B719" i="14"/>
  <c r="A719" i="14"/>
  <c r="C718" i="14"/>
  <c r="C717" i="14"/>
  <c r="C716" i="14"/>
  <c r="C715" i="14"/>
  <c r="C714" i="14"/>
  <c r="C713" i="14"/>
  <c r="C712" i="14"/>
  <c r="C711" i="14"/>
  <c r="C710" i="14"/>
  <c r="C709" i="14"/>
  <c r="C708" i="14"/>
  <c r="C707" i="14"/>
  <c r="C706" i="14"/>
  <c r="C705" i="14"/>
  <c r="C704" i="14"/>
  <c r="C703" i="14"/>
  <c r="C702" i="14"/>
  <c r="C701" i="14"/>
  <c r="C700" i="14"/>
  <c r="C699" i="14"/>
  <c r="C698" i="14"/>
  <c r="C697" i="14"/>
  <c r="C696" i="14"/>
  <c r="C695" i="14"/>
  <c r="C694" i="14"/>
  <c r="C693" i="14"/>
  <c r="C692" i="14"/>
  <c r="C691" i="14"/>
  <c r="C690" i="14"/>
  <c r="C689" i="14"/>
  <c r="C688" i="14"/>
  <c r="C687" i="14"/>
  <c r="C686" i="14"/>
  <c r="C685" i="14"/>
  <c r="C684" i="14"/>
  <c r="C683" i="14"/>
  <c r="C682" i="14"/>
  <c r="C681" i="14"/>
  <c r="C680" i="14"/>
  <c r="C679" i="14"/>
  <c r="C678" i="14"/>
  <c r="C677" i="14"/>
  <c r="C676" i="14"/>
  <c r="C675" i="14"/>
  <c r="C674" i="14"/>
  <c r="C673" i="14"/>
  <c r="C672" i="14"/>
  <c r="C671" i="14"/>
  <c r="C670" i="14"/>
  <c r="C669" i="14"/>
  <c r="C668" i="14"/>
  <c r="C667" i="14"/>
  <c r="C666" i="14"/>
  <c r="C665" i="14"/>
  <c r="C664" i="14"/>
  <c r="C663" i="14"/>
  <c r="C662" i="14"/>
  <c r="C661" i="14"/>
  <c r="C660" i="14"/>
  <c r="C659" i="14"/>
  <c r="C658" i="14"/>
  <c r="C657" i="14"/>
  <c r="C656" i="14"/>
  <c r="C655" i="14"/>
  <c r="C654" i="14"/>
  <c r="C653" i="14"/>
  <c r="C652" i="14"/>
  <c r="C651" i="14"/>
  <c r="C650" i="14"/>
  <c r="C649" i="14"/>
  <c r="C648" i="14"/>
  <c r="C647" i="14"/>
  <c r="C646" i="14"/>
  <c r="C645" i="14"/>
  <c r="C644" i="14"/>
  <c r="C643" i="14"/>
  <c r="C642" i="14"/>
  <c r="C641" i="14"/>
  <c r="C640" i="14"/>
  <c r="C639" i="14"/>
  <c r="C638" i="14"/>
  <c r="C637" i="14"/>
  <c r="C636" i="14"/>
  <c r="C635" i="14"/>
  <c r="C634" i="14"/>
  <c r="C633" i="14"/>
  <c r="C632" i="14"/>
  <c r="C631" i="14"/>
  <c r="C630" i="14"/>
  <c r="C629" i="14"/>
  <c r="C628" i="14"/>
  <c r="C627" i="14"/>
  <c r="C626" i="14"/>
  <c r="C625" i="14"/>
  <c r="C624" i="14"/>
  <c r="C623" i="14"/>
  <c r="C622" i="14"/>
  <c r="C621" i="14"/>
  <c r="C620" i="14"/>
  <c r="C619" i="14"/>
  <c r="C618" i="14"/>
  <c r="C617" i="14"/>
  <c r="E616" i="14"/>
  <c r="D616" i="14"/>
  <c r="C616" i="14"/>
  <c r="B616" i="14"/>
  <c r="A616" i="14"/>
  <c r="E615" i="14"/>
  <c r="D615" i="14"/>
  <c r="C615" i="14"/>
  <c r="B615" i="14"/>
  <c r="A615" i="14"/>
  <c r="D614" i="14"/>
  <c r="C614" i="14"/>
  <c r="B614" i="14"/>
  <c r="A614" i="14"/>
  <c r="E613" i="14"/>
  <c r="D613" i="14"/>
  <c r="C613" i="14"/>
  <c r="B613" i="14"/>
  <c r="A613" i="14"/>
  <c r="E612" i="14"/>
  <c r="D612" i="14"/>
  <c r="C612" i="14"/>
  <c r="B612" i="14"/>
  <c r="A612" i="14"/>
  <c r="D611" i="14"/>
  <c r="C611" i="14"/>
  <c r="B611" i="14"/>
  <c r="A611" i="14"/>
  <c r="E610" i="14"/>
  <c r="D610" i="14"/>
  <c r="C610" i="14"/>
  <c r="B610" i="14"/>
  <c r="A610" i="14"/>
  <c r="E609" i="14"/>
  <c r="D609" i="14"/>
  <c r="C609" i="14"/>
  <c r="B609" i="14"/>
  <c r="A609" i="14"/>
  <c r="E608" i="14"/>
  <c r="D608" i="14"/>
  <c r="C608" i="14"/>
  <c r="B608" i="14"/>
  <c r="A608" i="14"/>
  <c r="E607" i="14"/>
  <c r="D607" i="14"/>
  <c r="C607" i="14"/>
  <c r="B607" i="14"/>
  <c r="A607" i="14"/>
  <c r="E606" i="14"/>
  <c r="D606" i="14"/>
  <c r="C606" i="14"/>
  <c r="B606" i="14"/>
  <c r="A606" i="14"/>
  <c r="E605" i="14"/>
  <c r="D605" i="14"/>
  <c r="C605" i="14"/>
  <c r="B605" i="14"/>
  <c r="A605" i="14"/>
  <c r="E604" i="14"/>
  <c r="D604" i="14"/>
  <c r="C604" i="14"/>
  <c r="B604" i="14"/>
  <c r="A604" i="14"/>
  <c r="D603" i="14"/>
  <c r="C603" i="14"/>
  <c r="B603" i="14"/>
  <c r="A603" i="14"/>
  <c r="E602" i="14"/>
  <c r="D602" i="14"/>
  <c r="C602" i="14"/>
  <c r="B602" i="14"/>
  <c r="A602" i="14"/>
  <c r="E601" i="14"/>
  <c r="D601" i="14"/>
  <c r="C601" i="14"/>
  <c r="B601" i="14"/>
  <c r="A601" i="14"/>
  <c r="E600" i="14"/>
  <c r="D600" i="14"/>
  <c r="C600" i="14"/>
  <c r="B600" i="14"/>
  <c r="A600" i="14"/>
  <c r="E599" i="14"/>
  <c r="D599" i="14"/>
  <c r="C599" i="14"/>
  <c r="B599" i="14"/>
  <c r="A599" i="14"/>
  <c r="D598" i="14"/>
  <c r="C598" i="14"/>
  <c r="B598" i="14"/>
  <c r="A598" i="14"/>
  <c r="E597" i="14"/>
  <c r="D597" i="14"/>
  <c r="C597" i="14"/>
  <c r="B597" i="14"/>
  <c r="A597" i="14"/>
  <c r="E596" i="14"/>
  <c r="D596" i="14"/>
  <c r="C596" i="14"/>
  <c r="F596" i="14" s="1"/>
  <c r="B596" i="14"/>
  <c r="A596" i="14"/>
  <c r="E595" i="14"/>
  <c r="D595" i="14"/>
  <c r="C595" i="14"/>
  <c r="F595" i="14" s="1"/>
  <c r="B595" i="14"/>
  <c r="A595" i="14"/>
  <c r="F594" i="14"/>
  <c r="E594" i="14"/>
  <c r="D594" i="14"/>
  <c r="C594" i="14"/>
  <c r="B594" i="14"/>
  <c r="A594" i="14"/>
  <c r="D593" i="14"/>
  <c r="C593" i="14"/>
  <c r="F593" i="14" s="1"/>
  <c r="B593" i="14"/>
  <c r="A593" i="14"/>
  <c r="E592" i="14"/>
  <c r="D592" i="14"/>
  <c r="C592" i="14"/>
  <c r="F592" i="14" s="1"/>
  <c r="B592" i="14"/>
  <c r="A592" i="14"/>
  <c r="D591" i="14"/>
  <c r="C591" i="14"/>
  <c r="F591" i="14" s="1"/>
  <c r="B591" i="14"/>
  <c r="A591" i="14"/>
  <c r="E590" i="14"/>
  <c r="D590" i="14"/>
  <c r="C590" i="14"/>
  <c r="F590" i="14" s="1"/>
  <c r="B590" i="14"/>
  <c r="A590" i="14"/>
  <c r="F589" i="14"/>
  <c r="E589" i="14"/>
  <c r="D589" i="14"/>
  <c r="C589" i="14"/>
  <c r="B589" i="14"/>
  <c r="A589" i="14"/>
  <c r="D588" i="14"/>
  <c r="C588" i="14"/>
  <c r="F588" i="14" s="1"/>
  <c r="B588" i="14"/>
  <c r="A588" i="14"/>
  <c r="E587" i="14"/>
  <c r="D587" i="14"/>
  <c r="C587" i="14"/>
  <c r="F587" i="14" s="1"/>
  <c r="B587" i="14"/>
  <c r="A587" i="14"/>
  <c r="E586" i="14"/>
  <c r="D586" i="14"/>
  <c r="C586" i="14"/>
  <c r="F586" i="14" s="1"/>
  <c r="B586" i="14"/>
  <c r="A586" i="14"/>
  <c r="D585" i="14"/>
  <c r="C585" i="14"/>
  <c r="F585" i="14" s="1"/>
  <c r="B585" i="14"/>
  <c r="A585" i="14"/>
  <c r="E584" i="14"/>
  <c r="D584" i="14"/>
  <c r="C584" i="14"/>
  <c r="F584" i="14" s="1"/>
  <c r="B584" i="14"/>
  <c r="A584" i="14"/>
  <c r="E583" i="14"/>
  <c r="D583" i="14"/>
  <c r="C583" i="14"/>
  <c r="F583" i="14" s="1"/>
  <c r="B583" i="14"/>
  <c r="A583" i="14"/>
  <c r="E582" i="14"/>
  <c r="D582" i="14"/>
  <c r="C582" i="14"/>
  <c r="F582" i="14" s="1"/>
  <c r="B582" i="14"/>
  <c r="A582" i="14"/>
  <c r="E581" i="14"/>
  <c r="D581" i="14"/>
  <c r="C581" i="14"/>
  <c r="F581" i="14" s="1"/>
  <c r="B581" i="14"/>
  <c r="A581" i="14"/>
  <c r="E580" i="14"/>
  <c r="D580" i="14"/>
  <c r="C580" i="14"/>
  <c r="F580" i="14" s="1"/>
  <c r="B580" i="14"/>
  <c r="A580" i="14"/>
  <c r="E579" i="14"/>
  <c r="D579" i="14"/>
  <c r="C579" i="14"/>
  <c r="F579" i="14" s="1"/>
  <c r="B579" i="14"/>
  <c r="A579" i="14"/>
  <c r="E578" i="14"/>
  <c r="D578" i="14"/>
  <c r="C578" i="14"/>
  <c r="F578" i="14" s="1"/>
  <c r="B578" i="14"/>
  <c r="A578" i="14"/>
  <c r="C577" i="14"/>
  <c r="F577" i="14" s="1"/>
  <c r="C576" i="14"/>
  <c r="F576" i="14" s="1"/>
  <c r="C575" i="14"/>
  <c r="F575" i="14" s="1"/>
  <c r="C574" i="14"/>
  <c r="F574" i="14" s="1"/>
  <c r="C573" i="14"/>
  <c r="F573" i="14" s="1"/>
  <c r="C572" i="14"/>
  <c r="F572" i="14" s="1"/>
  <c r="C571" i="14"/>
  <c r="F571" i="14" s="1"/>
  <c r="C570" i="14"/>
  <c r="F570" i="14" s="1"/>
  <c r="C569" i="14"/>
  <c r="F569" i="14" s="1"/>
  <c r="C568" i="14"/>
  <c r="F568" i="14" s="1"/>
  <c r="C567" i="14"/>
  <c r="F567" i="14" s="1"/>
  <c r="C566" i="14"/>
  <c r="F566" i="14" s="1"/>
  <c r="C565" i="14"/>
  <c r="F565" i="14" s="1"/>
  <c r="C564" i="14"/>
  <c r="F564" i="14" s="1"/>
  <c r="F563" i="14"/>
  <c r="C563" i="14"/>
  <c r="C562" i="14"/>
  <c r="F562" i="14" s="1"/>
  <c r="C561" i="14"/>
  <c r="F561" i="14" s="1"/>
  <c r="C560" i="14"/>
  <c r="F560" i="14" s="1"/>
  <c r="C559" i="14"/>
  <c r="F559" i="14" s="1"/>
  <c r="C558" i="14"/>
  <c r="F558" i="14" s="1"/>
  <c r="C557" i="14"/>
  <c r="F557" i="14" s="1"/>
  <c r="C556" i="14"/>
  <c r="F556" i="14" s="1"/>
  <c r="C555" i="14"/>
  <c r="F555" i="14" s="1"/>
  <c r="C554" i="14"/>
  <c r="F554" i="14" s="1"/>
  <c r="C553" i="14"/>
  <c r="F553" i="14" s="1"/>
  <c r="E552" i="14"/>
  <c r="D552" i="14"/>
  <c r="C552" i="14"/>
  <c r="F552" i="14" s="1"/>
  <c r="B552" i="14"/>
  <c r="A552" i="14"/>
  <c r="E551" i="14"/>
  <c r="D551" i="14"/>
  <c r="C551" i="14"/>
  <c r="F551" i="14" s="1"/>
  <c r="B551" i="14"/>
  <c r="A551" i="14"/>
  <c r="E550" i="14"/>
  <c r="D550" i="14"/>
  <c r="C550" i="14"/>
  <c r="F550" i="14" s="1"/>
  <c r="B550" i="14"/>
  <c r="A550" i="14"/>
  <c r="E549" i="14"/>
  <c r="D549" i="14"/>
  <c r="C549" i="14"/>
  <c r="F549" i="14" s="1"/>
  <c r="B549" i="14"/>
  <c r="A549" i="14"/>
  <c r="E548" i="14"/>
  <c r="D548" i="14"/>
  <c r="C548" i="14"/>
  <c r="F548" i="14" s="1"/>
  <c r="B548" i="14"/>
  <c r="A548" i="14"/>
  <c r="E547" i="14"/>
  <c r="D547" i="14"/>
  <c r="C547" i="14"/>
  <c r="F547" i="14" s="1"/>
  <c r="B547" i="14"/>
  <c r="A547" i="14"/>
  <c r="E546" i="14"/>
  <c r="D546" i="14"/>
  <c r="C546" i="14"/>
  <c r="F546" i="14" s="1"/>
  <c r="B546" i="14"/>
  <c r="A546" i="14"/>
  <c r="E545" i="14"/>
  <c r="D545" i="14"/>
  <c r="C545" i="14"/>
  <c r="F545" i="14" s="1"/>
  <c r="B545" i="14"/>
  <c r="A545" i="14"/>
  <c r="E544" i="14"/>
  <c r="D544" i="14"/>
  <c r="C544" i="14"/>
  <c r="F544" i="14" s="1"/>
  <c r="B544" i="14"/>
  <c r="A544" i="14"/>
  <c r="E543" i="14"/>
  <c r="D543" i="14"/>
  <c r="C543" i="14"/>
  <c r="F543" i="14" s="1"/>
  <c r="B543" i="14"/>
  <c r="A543" i="14"/>
  <c r="E542" i="14"/>
  <c r="D542" i="14"/>
  <c r="C542" i="14"/>
  <c r="F542" i="14" s="1"/>
  <c r="B542" i="14"/>
  <c r="A542" i="14"/>
  <c r="E541" i="14"/>
  <c r="D541" i="14"/>
  <c r="C541" i="14"/>
  <c r="F541" i="14" s="1"/>
  <c r="B541" i="14"/>
  <c r="A541" i="14"/>
  <c r="E540" i="14"/>
  <c r="D540" i="14"/>
  <c r="C540" i="14"/>
  <c r="F540" i="14" s="1"/>
  <c r="B540" i="14"/>
  <c r="A540" i="14"/>
  <c r="E539" i="14"/>
  <c r="D539" i="14"/>
  <c r="C539" i="14"/>
  <c r="F539" i="14" s="1"/>
  <c r="B539" i="14"/>
  <c r="A539" i="14"/>
  <c r="E538" i="14"/>
  <c r="D538" i="14"/>
  <c r="C538" i="14"/>
  <c r="F538" i="14" s="1"/>
  <c r="B538" i="14"/>
  <c r="A538" i="14"/>
  <c r="E537" i="14"/>
  <c r="D537" i="14"/>
  <c r="C537" i="14"/>
  <c r="F537" i="14" s="1"/>
  <c r="B537" i="14"/>
  <c r="A537" i="14"/>
  <c r="E536" i="14"/>
  <c r="D536" i="14"/>
  <c r="C536" i="14"/>
  <c r="F536" i="14" s="1"/>
  <c r="B536" i="14"/>
  <c r="A536" i="14"/>
  <c r="E535" i="14"/>
  <c r="D535" i="14"/>
  <c r="C535" i="14"/>
  <c r="F535" i="14" s="1"/>
  <c r="B535" i="14"/>
  <c r="A535" i="14"/>
  <c r="E534" i="14"/>
  <c r="D534" i="14"/>
  <c r="C534" i="14"/>
  <c r="F534" i="14" s="1"/>
  <c r="B534" i="14"/>
  <c r="A534" i="14"/>
  <c r="E533" i="14"/>
  <c r="D533" i="14"/>
  <c r="C533" i="14"/>
  <c r="F533" i="14" s="1"/>
  <c r="B533" i="14"/>
  <c r="A533" i="14"/>
  <c r="E532" i="14"/>
  <c r="D532" i="14"/>
  <c r="C532" i="14"/>
  <c r="F532" i="14" s="1"/>
  <c r="B532" i="14"/>
  <c r="A532" i="14"/>
  <c r="E531" i="14"/>
  <c r="D531" i="14"/>
  <c r="C531" i="14"/>
  <c r="F531" i="14" s="1"/>
  <c r="B531" i="14"/>
  <c r="A531" i="14"/>
  <c r="E530" i="14"/>
  <c r="D530" i="14"/>
  <c r="C530" i="14"/>
  <c r="F530" i="14" s="1"/>
  <c r="B530" i="14"/>
  <c r="A530" i="14"/>
  <c r="E529" i="14"/>
  <c r="D529" i="14"/>
  <c r="C529" i="14"/>
  <c r="F529" i="14" s="1"/>
  <c r="B529" i="14"/>
  <c r="A529" i="14"/>
  <c r="E528" i="14"/>
  <c r="D528" i="14"/>
  <c r="C528" i="14"/>
  <c r="F528" i="14" s="1"/>
  <c r="B528" i="14"/>
  <c r="A528" i="14"/>
  <c r="E527" i="14"/>
  <c r="D527" i="14"/>
  <c r="C527" i="14"/>
  <c r="F527" i="14" s="1"/>
  <c r="B527" i="14"/>
  <c r="A527" i="14"/>
  <c r="E526" i="14"/>
  <c r="D526" i="14"/>
  <c r="C526" i="14"/>
  <c r="F526" i="14" s="1"/>
  <c r="B526" i="14"/>
  <c r="A526" i="14"/>
  <c r="E525" i="14"/>
  <c r="D525" i="14"/>
  <c r="C525" i="14"/>
  <c r="F525" i="14" s="1"/>
  <c r="B525" i="14"/>
  <c r="A525" i="14"/>
  <c r="E524" i="14"/>
  <c r="D524" i="14"/>
  <c r="C524" i="14"/>
  <c r="F524" i="14" s="1"/>
  <c r="B524" i="14"/>
  <c r="A524" i="14"/>
  <c r="E523" i="14"/>
  <c r="D523" i="14"/>
  <c r="C523" i="14"/>
  <c r="F523" i="14" s="1"/>
  <c r="B523" i="14"/>
  <c r="A523" i="14"/>
  <c r="E522" i="14"/>
  <c r="D522" i="14"/>
  <c r="C522" i="14"/>
  <c r="F522" i="14" s="1"/>
  <c r="B522" i="14"/>
  <c r="A522" i="14"/>
  <c r="E521" i="14"/>
  <c r="D521" i="14"/>
  <c r="C521" i="14"/>
  <c r="F521" i="14" s="1"/>
  <c r="B521" i="14"/>
  <c r="A521" i="14"/>
  <c r="E520" i="14"/>
  <c r="D520" i="14"/>
  <c r="C520" i="14"/>
  <c r="F520" i="14" s="1"/>
  <c r="B520" i="14"/>
  <c r="A520" i="14"/>
  <c r="E519" i="14"/>
  <c r="D519" i="14"/>
  <c r="C519" i="14"/>
  <c r="F519" i="14" s="1"/>
  <c r="B519" i="14"/>
  <c r="A519" i="14"/>
  <c r="E518" i="14"/>
  <c r="D518" i="14"/>
  <c r="C518" i="14"/>
  <c r="F518" i="14" s="1"/>
  <c r="B518" i="14"/>
  <c r="A518" i="14"/>
  <c r="E517" i="14"/>
  <c r="D517" i="14"/>
  <c r="C517" i="14"/>
  <c r="F517" i="14" s="1"/>
  <c r="B517" i="14"/>
  <c r="A517" i="14"/>
  <c r="E516" i="14"/>
  <c r="D516" i="14"/>
  <c r="C516" i="14"/>
  <c r="F516" i="14" s="1"/>
  <c r="B516" i="14"/>
  <c r="A516" i="14"/>
  <c r="E515" i="14"/>
  <c r="D515" i="14"/>
  <c r="C515" i="14"/>
  <c r="F515" i="14" s="1"/>
  <c r="B515" i="14"/>
  <c r="A515" i="14"/>
  <c r="E514" i="14"/>
  <c r="D514" i="14"/>
  <c r="C514" i="14"/>
  <c r="F514" i="14" s="1"/>
  <c r="B514" i="14"/>
  <c r="A514" i="14"/>
  <c r="E513" i="14"/>
  <c r="D513" i="14"/>
  <c r="C513" i="14"/>
  <c r="F513" i="14" s="1"/>
  <c r="B513" i="14"/>
  <c r="A513" i="14"/>
  <c r="E512" i="14"/>
  <c r="D512" i="14"/>
  <c r="C512" i="14"/>
  <c r="F512" i="14" s="1"/>
  <c r="B512" i="14"/>
  <c r="A512" i="14"/>
  <c r="E511" i="14"/>
  <c r="D511" i="14"/>
  <c r="C511" i="14"/>
  <c r="F511" i="14" s="1"/>
  <c r="B511" i="14"/>
  <c r="A511" i="14"/>
  <c r="E510" i="14"/>
  <c r="D510" i="14"/>
  <c r="C510" i="14"/>
  <c r="F510" i="14" s="1"/>
  <c r="B510" i="14"/>
  <c r="A510" i="14"/>
  <c r="E509" i="14"/>
  <c r="D509" i="14"/>
  <c r="C509" i="14"/>
  <c r="F509" i="14" s="1"/>
  <c r="B509" i="14"/>
  <c r="A509" i="14"/>
  <c r="E508" i="14"/>
  <c r="D508" i="14"/>
  <c r="C508" i="14"/>
  <c r="F508" i="14" s="1"/>
  <c r="B508" i="14"/>
  <c r="A508" i="14"/>
  <c r="E507" i="14"/>
  <c r="D507" i="14"/>
  <c r="C507" i="14"/>
  <c r="F507" i="14" s="1"/>
  <c r="B507" i="14"/>
  <c r="A507" i="14"/>
  <c r="E506" i="14"/>
  <c r="D506" i="14"/>
  <c r="C506" i="14"/>
  <c r="F506" i="14" s="1"/>
  <c r="B506" i="14"/>
  <c r="A506" i="14"/>
  <c r="E505" i="14"/>
  <c r="D505" i="14"/>
  <c r="C505" i="14"/>
  <c r="F505" i="14" s="1"/>
  <c r="B505" i="14"/>
  <c r="A505" i="14"/>
  <c r="E504" i="14"/>
  <c r="D504" i="14"/>
  <c r="C504" i="14"/>
  <c r="F504" i="14" s="1"/>
  <c r="B504" i="14"/>
  <c r="A504" i="14"/>
  <c r="E503" i="14"/>
  <c r="D503" i="14"/>
  <c r="C503" i="14"/>
  <c r="F503" i="14" s="1"/>
  <c r="B503" i="14"/>
  <c r="A503" i="14"/>
  <c r="E502" i="14"/>
  <c r="D502" i="14"/>
  <c r="C502" i="14"/>
  <c r="F502" i="14" s="1"/>
  <c r="B502" i="14"/>
  <c r="A502" i="14"/>
  <c r="E501" i="14"/>
  <c r="D501" i="14"/>
  <c r="C501" i="14"/>
  <c r="F501" i="14" s="1"/>
  <c r="B501" i="14"/>
  <c r="A501" i="14"/>
  <c r="E500" i="14"/>
  <c r="D500" i="14"/>
  <c r="C500" i="14"/>
  <c r="F500" i="14" s="1"/>
  <c r="B500" i="14"/>
  <c r="A500" i="14"/>
  <c r="E499" i="14"/>
  <c r="D499" i="14"/>
  <c r="C499" i="14"/>
  <c r="F499" i="14" s="1"/>
  <c r="B499" i="14"/>
  <c r="A499" i="14"/>
  <c r="E498" i="14"/>
  <c r="D498" i="14"/>
  <c r="C498" i="14"/>
  <c r="F498" i="14" s="1"/>
  <c r="B498" i="14"/>
  <c r="A498" i="14"/>
  <c r="E497" i="14"/>
  <c r="D497" i="14"/>
  <c r="C497" i="14"/>
  <c r="F497" i="14" s="1"/>
  <c r="B497" i="14"/>
  <c r="A497" i="14"/>
  <c r="E496" i="14"/>
  <c r="D496" i="14"/>
  <c r="C496" i="14"/>
  <c r="F496" i="14" s="1"/>
  <c r="B496" i="14"/>
  <c r="A496" i="14"/>
  <c r="E495" i="14"/>
  <c r="D495" i="14"/>
  <c r="C495" i="14"/>
  <c r="F495" i="14" s="1"/>
  <c r="B495" i="14"/>
  <c r="A495" i="14"/>
  <c r="E494" i="14"/>
  <c r="D494" i="14"/>
  <c r="C494" i="14"/>
  <c r="F494" i="14" s="1"/>
  <c r="B494" i="14"/>
  <c r="A494" i="14"/>
  <c r="E493" i="14"/>
  <c r="D493" i="14"/>
  <c r="C493" i="14"/>
  <c r="F493" i="14" s="1"/>
  <c r="B493" i="14"/>
  <c r="A493" i="14"/>
  <c r="E492" i="14"/>
  <c r="D492" i="14"/>
  <c r="C492" i="14"/>
  <c r="F492" i="14" s="1"/>
  <c r="B492" i="14"/>
  <c r="A492" i="14"/>
  <c r="E491" i="14"/>
  <c r="D491" i="14"/>
  <c r="C491" i="14"/>
  <c r="F491" i="14" s="1"/>
  <c r="B491" i="14"/>
  <c r="A491" i="14"/>
  <c r="E490" i="14"/>
  <c r="D490" i="14"/>
  <c r="C490" i="14"/>
  <c r="F490" i="14" s="1"/>
  <c r="B490" i="14"/>
  <c r="A490" i="14"/>
  <c r="E489" i="14"/>
  <c r="D489" i="14"/>
  <c r="C489" i="14"/>
  <c r="F489" i="14" s="1"/>
  <c r="B489" i="14"/>
  <c r="A489" i="14"/>
  <c r="E488" i="14"/>
  <c r="D488" i="14"/>
  <c r="C488" i="14"/>
  <c r="F488" i="14" s="1"/>
  <c r="B488" i="14"/>
  <c r="A488" i="14"/>
  <c r="E487" i="14"/>
  <c r="D487" i="14"/>
  <c r="C487" i="14"/>
  <c r="F487" i="14" s="1"/>
  <c r="B487" i="14"/>
  <c r="A487" i="14"/>
  <c r="E486" i="14"/>
  <c r="D486" i="14"/>
  <c r="C486" i="14"/>
  <c r="F486" i="14" s="1"/>
  <c r="B486" i="14"/>
  <c r="A486" i="14"/>
  <c r="E485" i="14"/>
  <c r="D485" i="14"/>
  <c r="C485" i="14"/>
  <c r="F485" i="14" s="1"/>
  <c r="B485" i="14"/>
  <c r="A485" i="14"/>
  <c r="E484" i="14"/>
  <c r="D484" i="14"/>
  <c r="C484" i="14"/>
  <c r="F484" i="14" s="1"/>
  <c r="B484" i="14"/>
  <c r="A484" i="14"/>
  <c r="E483" i="14"/>
  <c r="D483" i="14"/>
  <c r="C483" i="14"/>
  <c r="F483" i="14" s="1"/>
  <c r="B483" i="14"/>
  <c r="A483" i="14"/>
  <c r="E482" i="14"/>
  <c r="D482" i="14"/>
  <c r="C482" i="14"/>
  <c r="F482" i="14" s="1"/>
  <c r="B482" i="14"/>
  <c r="A482" i="14"/>
  <c r="E481" i="14"/>
  <c r="D481" i="14"/>
  <c r="C481" i="14"/>
  <c r="F481" i="14" s="1"/>
  <c r="B481" i="14"/>
  <c r="A481" i="14"/>
  <c r="E480" i="14"/>
  <c r="D480" i="14"/>
  <c r="C480" i="14"/>
  <c r="F480" i="14" s="1"/>
  <c r="B480" i="14"/>
  <c r="A480" i="14"/>
  <c r="E479" i="14"/>
  <c r="D479" i="14"/>
  <c r="C479" i="14"/>
  <c r="F479" i="14" s="1"/>
  <c r="B479" i="14"/>
  <c r="A479" i="14"/>
  <c r="E478" i="14"/>
  <c r="D478" i="14"/>
  <c r="C478" i="14"/>
  <c r="F478" i="14" s="1"/>
  <c r="B478" i="14"/>
  <c r="A478" i="14"/>
  <c r="E477" i="14"/>
  <c r="D477" i="14"/>
  <c r="C477" i="14"/>
  <c r="F477" i="14" s="1"/>
  <c r="B477" i="14"/>
  <c r="A477" i="14"/>
  <c r="E476" i="14"/>
  <c r="D476" i="14"/>
  <c r="C476" i="14"/>
  <c r="F476" i="14" s="1"/>
  <c r="B476" i="14"/>
  <c r="A476" i="14"/>
  <c r="E475" i="14"/>
  <c r="D475" i="14"/>
  <c r="C475" i="14"/>
  <c r="F475" i="14" s="1"/>
  <c r="B475" i="14"/>
  <c r="A475" i="14"/>
  <c r="E474" i="14"/>
  <c r="D474" i="14"/>
  <c r="C474" i="14"/>
  <c r="F474" i="14" s="1"/>
  <c r="B474" i="14"/>
  <c r="A474" i="14"/>
  <c r="E473" i="14"/>
  <c r="D473" i="14"/>
  <c r="C473" i="14"/>
  <c r="F473" i="14" s="1"/>
  <c r="B473" i="14"/>
  <c r="A473" i="14"/>
  <c r="E472" i="14"/>
  <c r="D472" i="14"/>
  <c r="C472" i="14"/>
  <c r="F472" i="14" s="1"/>
  <c r="B472" i="14"/>
  <c r="A472" i="14"/>
  <c r="E471" i="14"/>
  <c r="D471" i="14"/>
  <c r="C471" i="14"/>
  <c r="F471" i="14" s="1"/>
  <c r="B471" i="14"/>
  <c r="A471" i="14"/>
  <c r="E470" i="14"/>
  <c r="D470" i="14"/>
  <c r="C470" i="14"/>
  <c r="F470" i="14" s="1"/>
  <c r="B470" i="14"/>
  <c r="A470" i="14"/>
  <c r="E469" i="14"/>
  <c r="D469" i="14"/>
  <c r="C469" i="14"/>
  <c r="F469" i="14" s="1"/>
  <c r="B469" i="14"/>
  <c r="A469" i="14"/>
  <c r="E468" i="14"/>
  <c r="D468" i="14"/>
  <c r="C468" i="14"/>
  <c r="F468" i="14" s="1"/>
  <c r="B468" i="14"/>
  <c r="A468" i="14"/>
  <c r="E467" i="14"/>
  <c r="D467" i="14"/>
  <c r="C467" i="14"/>
  <c r="F467" i="14" s="1"/>
  <c r="B467" i="14"/>
  <c r="A467" i="14"/>
  <c r="E466" i="14"/>
  <c r="D466" i="14"/>
  <c r="C466" i="14"/>
  <c r="F466" i="14" s="1"/>
  <c r="B466" i="14"/>
  <c r="A466" i="14"/>
  <c r="E465" i="14"/>
  <c r="D465" i="14"/>
  <c r="C465" i="14"/>
  <c r="F465" i="14" s="1"/>
  <c r="B465" i="14"/>
  <c r="A465" i="14"/>
  <c r="E464" i="14"/>
  <c r="D464" i="14"/>
  <c r="C464" i="14"/>
  <c r="F464" i="14" s="1"/>
  <c r="B464" i="14"/>
  <c r="A464" i="14"/>
  <c r="E463" i="14"/>
  <c r="D463" i="14"/>
  <c r="C463" i="14"/>
  <c r="F463" i="14" s="1"/>
  <c r="B463" i="14"/>
  <c r="A463" i="14"/>
  <c r="E462" i="14"/>
  <c r="D462" i="14"/>
  <c r="C462" i="14"/>
  <c r="F462" i="14" s="1"/>
  <c r="B462" i="14"/>
  <c r="A462" i="14"/>
  <c r="E461" i="14"/>
  <c r="D461" i="14"/>
  <c r="C461" i="14"/>
  <c r="F461" i="14" s="1"/>
  <c r="B461" i="14"/>
  <c r="A461" i="14"/>
  <c r="E460" i="14"/>
  <c r="D460" i="14"/>
  <c r="C460" i="14"/>
  <c r="F460" i="14" s="1"/>
  <c r="B460" i="14"/>
  <c r="A460" i="14"/>
  <c r="E459" i="14"/>
  <c r="D459" i="14"/>
  <c r="C459" i="14"/>
  <c r="F459" i="14" s="1"/>
  <c r="B459" i="14"/>
  <c r="A459" i="14"/>
  <c r="E458" i="14"/>
  <c r="D458" i="14"/>
  <c r="C458" i="14"/>
  <c r="F458" i="14" s="1"/>
  <c r="B458" i="14"/>
  <c r="A458" i="14"/>
  <c r="E457" i="14"/>
  <c r="D457" i="14"/>
  <c r="C457" i="14"/>
  <c r="F457" i="14" s="1"/>
  <c r="B457" i="14"/>
  <c r="A457" i="14"/>
  <c r="E456" i="14"/>
  <c r="D456" i="14"/>
  <c r="C456" i="14"/>
  <c r="F456" i="14" s="1"/>
  <c r="B456" i="14"/>
  <c r="A456" i="14"/>
  <c r="E455" i="14"/>
  <c r="D455" i="14"/>
  <c r="C455" i="14"/>
  <c r="F455" i="14" s="1"/>
  <c r="B455" i="14"/>
  <c r="A455" i="14"/>
  <c r="E454" i="14"/>
  <c r="D454" i="14"/>
  <c r="C454" i="14"/>
  <c r="F454" i="14" s="1"/>
  <c r="B454" i="14"/>
  <c r="A454" i="14"/>
  <c r="E453" i="14"/>
  <c r="D453" i="14"/>
  <c r="C453" i="14"/>
  <c r="F453" i="14" s="1"/>
  <c r="B453" i="14"/>
  <c r="A453" i="14"/>
  <c r="E452" i="14"/>
  <c r="D452" i="14"/>
  <c r="C452" i="14"/>
  <c r="F452" i="14" s="1"/>
  <c r="B452" i="14"/>
  <c r="A452" i="14"/>
  <c r="E451" i="14"/>
  <c r="D451" i="14"/>
  <c r="C451" i="14"/>
  <c r="F451" i="14" s="1"/>
  <c r="B451" i="14"/>
  <c r="A451" i="14"/>
  <c r="C450" i="14"/>
  <c r="F450" i="14" s="1"/>
  <c r="C449" i="14"/>
  <c r="F449" i="14" s="1"/>
  <c r="C448" i="14"/>
  <c r="F448" i="14" s="1"/>
  <c r="C447" i="14"/>
  <c r="F447" i="14" s="1"/>
  <c r="C446" i="14"/>
  <c r="F446" i="14" s="1"/>
  <c r="C445" i="14"/>
  <c r="F445" i="14" s="1"/>
  <c r="C444" i="14"/>
  <c r="F444" i="14" s="1"/>
  <c r="C443" i="14"/>
  <c r="F443" i="14" s="1"/>
  <c r="C442" i="14"/>
  <c r="F442" i="14" s="1"/>
  <c r="C441" i="14"/>
  <c r="F441" i="14" s="1"/>
  <c r="C440" i="14"/>
  <c r="F440" i="14" s="1"/>
  <c r="C439" i="14"/>
  <c r="F439" i="14" s="1"/>
  <c r="C438" i="14"/>
  <c r="F438" i="14" s="1"/>
  <c r="C437" i="14"/>
  <c r="F437" i="14" s="1"/>
  <c r="C436" i="14"/>
  <c r="F436" i="14" s="1"/>
  <c r="C435" i="14"/>
  <c r="F435" i="14" s="1"/>
  <c r="C434" i="14"/>
  <c r="F434" i="14" s="1"/>
  <c r="C433" i="14"/>
  <c r="F433" i="14" s="1"/>
  <c r="C432" i="14"/>
  <c r="F432" i="14" s="1"/>
  <c r="C431" i="14"/>
  <c r="F431" i="14" s="1"/>
  <c r="C430" i="14"/>
  <c r="F430" i="14" s="1"/>
  <c r="C429" i="14"/>
  <c r="F429" i="14" s="1"/>
  <c r="C428" i="14"/>
  <c r="F428" i="14" s="1"/>
  <c r="C427" i="14"/>
  <c r="F427" i="14" s="1"/>
  <c r="C426" i="14"/>
  <c r="F426" i="14" s="1"/>
  <c r="C425" i="14"/>
  <c r="F425" i="14" s="1"/>
  <c r="C424" i="14"/>
  <c r="F424" i="14" s="1"/>
  <c r="C423" i="14"/>
  <c r="F423" i="14" s="1"/>
  <c r="F422" i="14"/>
  <c r="C422" i="14"/>
  <c r="C421" i="14"/>
  <c r="F421" i="14" s="1"/>
  <c r="C420" i="14"/>
  <c r="F420" i="14" s="1"/>
  <c r="C419" i="14"/>
  <c r="F419" i="14" s="1"/>
  <c r="C418" i="14"/>
  <c r="F418" i="14" s="1"/>
  <c r="C417" i="14"/>
  <c r="F417" i="14" s="1"/>
  <c r="C416" i="14"/>
  <c r="F416" i="14" s="1"/>
  <c r="C415" i="14"/>
  <c r="F415" i="14" s="1"/>
  <c r="C414" i="14"/>
  <c r="F414" i="14" s="1"/>
  <c r="C413" i="14"/>
  <c r="F413" i="14" s="1"/>
  <c r="C412" i="14"/>
  <c r="F412" i="14" s="1"/>
  <c r="E411" i="14"/>
  <c r="C411" i="14"/>
  <c r="F411" i="14" s="1"/>
  <c r="B411" i="14"/>
  <c r="A411" i="14"/>
  <c r="D410" i="14"/>
  <c r="C410" i="14"/>
  <c r="F410" i="14" s="1"/>
  <c r="B410" i="14"/>
  <c r="A410" i="14"/>
  <c r="E409" i="14"/>
  <c r="C409" i="14"/>
  <c r="F409" i="14" s="1"/>
  <c r="B409" i="14"/>
  <c r="A409" i="14"/>
  <c r="E408" i="14"/>
  <c r="C408" i="14"/>
  <c r="F408" i="14" s="1"/>
  <c r="B408" i="14"/>
  <c r="A408" i="14"/>
  <c r="E407" i="14"/>
  <c r="C407" i="14"/>
  <c r="F407" i="14" s="1"/>
  <c r="B407" i="14"/>
  <c r="A407" i="14"/>
  <c r="E406" i="14"/>
  <c r="D406" i="14"/>
  <c r="C406" i="14"/>
  <c r="F406" i="14" s="1"/>
  <c r="B406" i="14"/>
  <c r="A406" i="14"/>
  <c r="E405" i="14"/>
  <c r="D405" i="14"/>
  <c r="C405" i="14"/>
  <c r="F405" i="14" s="1"/>
  <c r="B405" i="14"/>
  <c r="A405" i="14"/>
  <c r="E404" i="14"/>
  <c r="D404" i="14"/>
  <c r="C404" i="14"/>
  <c r="F404" i="14" s="1"/>
  <c r="B404" i="14"/>
  <c r="A404" i="14"/>
  <c r="E403" i="14"/>
  <c r="D403" i="14"/>
  <c r="C403" i="14"/>
  <c r="F403" i="14" s="1"/>
  <c r="B403" i="14"/>
  <c r="A403" i="14"/>
  <c r="E402" i="14"/>
  <c r="D402" i="14"/>
  <c r="C402" i="14"/>
  <c r="F402" i="14" s="1"/>
  <c r="B402" i="14"/>
  <c r="A402" i="14"/>
  <c r="E401" i="14"/>
  <c r="D401" i="14"/>
  <c r="C401" i="14"/>
  <c r="F401" i="14" s="1"/>
  <c r="B401" i="14"/>
  <c r="A401" i="14"/>
  <c r="E400" i="14"/>
  <c r="D400" i="14"/>
  <c r="C400" i="14"/>
  <c r="F400" i="14" s="1"/>
  <c r="B400" i="14"/>
  <c r="A400" i="14"/>
  <c r="E399" i="14"/>
  <c r="D399" i="14"/>
  <c r="C399" i="14"/>
  <c r="F399" i="14" s="1"/>
  <c r="B399" i="14"/>
  <c r="A399" i="14"/>
  <c r="D398" i="14"/>
  <c r="C398" i="14"/>
  <c r="F398" i="14" s="1"/>
  <c r="B398" i="14"/>
  <c r="A398" i="14"/>
  <c r="E397" i="14"/>
  <c r="D397" i="14"/>
  <c r="C397" i="14"/>
  <c r="F397" i="14" s="1"/>
  <c r="B397" i="14"/>
  <c r="A397" i="14"/>
  <c r="D396" i="14"/>
  <c r="C396" i="14"/>
  <c r="F396" i="14" s="1"/>
  <c r="B396" i="14"/>
  <c r="A396" i="14"/>
  <c r="E395" i="14"/>
  <c r="D395" i="14"/>
  <c r="C395" i="14"/>
  <c r="F395" i="14" s="1"/>
  <c r="B395" i="14"/>
  <c r="A395" i="14"/>
  <c r="E394" i="14"/>
  <c r="D394" i="14"/>
  <c r="C394" i="14"/>
  <c r="F394" i="14" s="1"/>
  <c r="B394" i="14"/>
  <c r="A394" i="14"/>
  <c r="E393" i="14"/>
  <c r="D393" i="14"/>
  <c r="C393" i="14"/>
  <c r="F393" i="14" s="1"/>
  <c r="B393" i="14"/>
  <c r="A393" i="14"/>
  <c r="E392" i="14"/>
  <c r="D392" i="14"/>
  <c r="C392" i="14"/>
  <c r="F392" i="14" s="1"/>
  <c r="B392" i="14"/>
  <c r="A392" i="14"/>
  <c r="D391" i="14"/>
  <c r="C391" i="14"/>
  <c r="F391" i="14" s="1"/>
  <c r="B391" i="14"/>
  <c r="A391" i="14"/>
  <c r="E390" i="14"/>
  <c r="D390" i="14"/>
  <c r="C390" i="14"/>
  <c r="F390" i="14" s="1"/>
  <c r="B390" i="14"/>
  <c r="A390" i="14"/>
  <c r="D389" i="14"/>
  <c r="C389" i="14"/>
  <c r="F389" i="14" s="1"/>
  <c r="B389" i="14"/>
  <c r="A389" i="14"/>
  <c r="E388" i="14"/>
  <c r="D388" i="14"/>
  <c r="C388" i="14"/>
  <c r="F388" i="14" s="1"/>
  <c r="B388" i="14"/>
  <c r="A388" i="14"/>
  <c r="D387" i="14"/>
  <c r="C387" i="14"/>
  <c r="F387" i="14" s="1"/>
  <c r="B387" i="14"/>
  <c r="A387" i="14"/>
  <c r="E386" i="14"/>
  <c r="D386" i="14"/>
  <c r="C386" i="14"/>
  <c r="F386" i="14" s="1"/>
  <c r="B386" i="14"/>
  <c r="A386" i="14"/>
  <c r="E385" i="14"/>
  <c r="D385" i="14"/>
  <c r="C385" i="14"/>
  <c r="F385" i="14" s="1"/>
  <c r="B385" i="14"/>
  <c r="A385" i="14"/>
  <c r="D384" i="14"/>
  <c r="C384" i="14"/>
  <c r="F384" i="14" s="1"/>
  <c r="B384" i="14"/>
  <c r="A384" i="14"/>
  <c r="D383" i="14"/>
  <c r="C383" i="14"/>
  <c r="F383" i="14" s="1"/>
  <c r="B383" i="14"/>
  <c r="A383" i="14"/>
  <c r="E382" i="14"/>
  <c r="D382" i="14"/>
  <c r="C382" i="14"/>
  <c r="F382" i="14" s="1"/>
  <c r="B382" i="14"/>
  <c r="A382" i="14"/>
  <c r="F381" i="14"/>
  <c r="E381" i="14"/>
  <c r="C381" i="14"/>
  <c r="B381" i="14"/>
  <c r="A381" i="14"/>
  <c r="E380" i="14"/>
  <c r="D380" i="14"/>
  <c r="C380" i="14"/>
  <c r="F380" i="14" s="1"/>
  <c r="B380" i="14"/>
  <c r="A380" i="14"/>
  <c r="D379" i="14"/>
  <c r="C379" i="14"/>
  <c r="F379" i="14" s="1"/>
  <c r="B379" i="14"/>
  <c r="A379" i="14"/>
  <c r="D378" i="14"/>
  <c r="C378" i="14"/>
  <c r="F378" i="14" s="1"/>
  <c r="B378" i="14"/>
  <c r="A378" i="14"/>
  <c r="D377" i="14"/>
  <c r="C377" i="14"/>
  <c r="F377" i="14" s="1"/>
  <c r="B377" i="14"/>
  <c r="A377" i="14"/>
  <c r="E376" i="14"/>
  <c r="D376" i="14"/>
  <c r="C376" i="14"/>
  <c r="F376" i="14" s="1"/>
  <c r="B376" i="14"/>
  <c r="A376" i="14"/>
  <c r="E375" i="14"/>
  <c r="D375" i="14"/>
  <c r="C375" i="14"/>
  <c r="F375" i="14" s="1"/>
  <c r="B375" i="14"/>
  <c r="A375" i="14"/>
  <c r="D374" i="14"/>
  <c r="C374" i="14"/>
  <c r="F374" i="14" s="1"/>
  <c r="B374" i="14"/>
  <c r="A374" i="14"/>
  <c r="E373" i="14"/>
  <c r="D373" i="14"/>
  <c r="C373" i="14"/>
  <c r="F373" i="14" s="1"/>
  <c r="B373" i="14"/>
  <c r="A373" i="14"/>
  <c r="E372" i="14"/>
  <c r="D372" i="14"/>
  <c r="C372" i="14"/>
  <c r="F372" i="14" s="1"/>
  <c r="B372" i="14"/>
  <c r="A372" i="14"/>
  <c r="D371" i="14"/>
  <c r="C371" i="14"/>
  <c r="F371" i="14" s="1"/>
  <c r="B371" i="14"/>
  <c r="A371" i="14"/>
  <c r="E370" i="14"/>
  <c r="D370" i="14"/>
  <c r="C370" i="14"/>
  <c r="F370" i="14" s="1"/>
  <c r="B370" i="14"/>
  <c r="A370" i="14"/>
  <c r="D369" i="14"/>
  <c r="C369" i="14"/>
  <c r="F369" i="14" s="1"/>
  <c r="B369" i="14"/>
  <c r="A369" i="14"/>
  <c r="E368" i="14"/>
  <c r="D368" i="14"/>
  <c r="C368" i="14"/>
  <c r="F368" i="14" s="1"/>
  <c r="B368" i="14"/>
  <c r="A368" i="14"/>
  <c r="E367" i="14"/>
  <c r="D367" i="14"/>
  <c r="C367" i="14"/>
  <c r="F367" i="14" s="1"/>
  <c r="B367" i="14"/>
  <c r="A367" i="14"/>
  <c r="E366" i="14"/>
  <c r="D366" i="14"/>
  <c r="C366" i="14"/>
  <c r="F366" i="14" s="1"/>
  <c r="B366" i="14"/>
  <c r="A366" i="14"/>
  <c r="E365" i="14"/>
  <c r="C365" i="14"/>
  <c r="F365" i="14" s="1"/>
  <c r="B365" i="14"/>
  <c r="A365" i="14"/>
  <c r="E364" i="14"/>
  <c r="C364" i="14"/>
  <c r="F364" i="14" s="1"/>
  <c r="B364" i="14"/>
  <c r="A364" i="14"/>
  <c r="E363" i="14"/>
  <c r="C363" i="14"/>
  <c r="F363" i="14" s="1"/>
  <c r="B363" i="14"/>
  <c r="A363" i="14"/>
  <c r="E362" i="14"/>
  <c r="C362" i="14"/>
  <c r="F362" i="14" s="1"/>
  <c r="B362" i="14"/>
  <c r="A362" i="14"/>
  <c r="E361" i="14"/>
  <c r="C361" i="14"/>
  <c r="F361" i="14" s="1"/>
  <c r="B361" i="14"/>
  <c r="A361" i="14"/>
  <c r="E360" i="14"/>
  <c r="C360" i="14"/>
  <c r="F360" i="14" s="1"/>
  <c r="B360" i="14"/>
  <c r="A360" i="14"/>
  <c r="E359" i="14"/>
  <c r="C359" i="14"/>
  <c r="F359" i="14" s="1"/>
  <c r="B359" i="14"/>
  <c r="A359" i="14"/>
  <c r="E358" i="14"/>
  <c r="C358" i="14"/>
  <c r="F358" i="14" s="1"/>
  <c r="B358" i="14"/>
  <c r="A358" i="14"/>
  <c r="E357" i="14"/>
  <c r="C357" i="14"/>
  <c r="F357" i="14" s="1"/>
  <c r="B357" i="14"/>
  <c r="A357" i="14"/>
  <c r="E356" i="14"/>
  <c r="C356" i="14"/>
  <c r="F356" i="14" s="1"/>
  <c r="B356" i="14"/>
  <c r="A356" i="14"/>
  <c r="E355" i="14"/>
  <c r="C355" i="14"/>
  <c r="F355" i="14" s="1"/>
  <c r="B355" i="14"/>
  <c r="A355" i="14"/>
  <c r="E354" i="14"/>
  <c r="C354" i="14"/>
  <c r="F354" i="14" s="1"/>
  <c r="B354" i="14"/>
  <c r="A354" i="14"/>
  <c r="D353" i="14"/>
  <c r="C353" i="14"/>
  <c r="F353" i="14" s="1"/>
  <c r="B353" i="14"/>
  <c r="A353" i="14"/>
  <c r="E352" i="14"/>
  <c r="C352" i="14"/>
  <c r="F352" i="14" s="1"/>
  <c r="B352" i="14"/>
  <c r="A352" i="14"/>
  <c r="E351" i="14"/>
  <c r="C351" i="14"/>
  <c r="F351" i="14" s="1"/>
  <c r="B351" i="14"/>
  <c r="A351" i="14"/>
  <c r="E350" i="14"/>
  <c r="C350" i="14"/>
  <c r="F350" i="14" s="1"/>
  <c r="B350" i="14"/>
  <c r="A350" i="14"/>
  <c r="E349" i="14"/>
  <c r="D349" i="14"/>
  <c r="C349" i="14"/>
  <c r="F349" i="14" s="1"/>
  <c r="B349" i="14"/>
  <c r="A349" i="14"/>
  <c r="E348" i="14"/>
  <c r="D348" i="14"/>
  <c r="C348" i="14"/>
  <c r="F348" i="14" s="1"/>
  <c r="B348" i="14"/>
  <c r="A348" i="14"/>
  <c r="E347" i="14"/>
  <c r="D347" i="14"/>
  <c r="C347" i="14"/>
  <c r="F347" i="14" s="1"/>
  <c r="B347" i="14"/>
  <c r="A347" i="14"/>
  <c r="E346" i="14"/>
  <c r="D346" i="14"/>
  <c r="C346" i="14"/>
  <c r="F346" i="14" s="1"/>
  <c r="B346" i="14"/>
  <c r="A346" i="14"/>
  <c r="D345" i="14"/>
  <c r="C345" i="14"/>
  <c r="F345" i="14" s="1"/>
  <c r="B345" i="14"/>
  <c r="A345" i="14"/>
  <c r="E344" i="14"/>
  <c r="D344" i="14"/>
  <c r="C344" i="14"/>
  <c r="F344" i="14" s="1"/>
  <c r="B344" i="14"/>
  <c r="A344" i="14"/>
  <c r="E343" i="14"/>
  <c r="D343" i="14"/>
  <c r="C343" i="14"/>
  <c r="F343" i="14" s="1"/>
  <c r="B343" i="14"/>
  <c r="A343" i="14"/>
  <c r="E342" i="14"/>
  <c r="D342" i="14"/>
  <c r="C342" i="14"/>
  <c r="F342" i="14" s="1"/>
  <c r="B342" i="14"/>
  <c r="A342" i="14"/>
  <c r="E341" i="14"/>
  <c r="D341" i="14"/>
  <c r="C341" i="14"/>
  <c r="F341" i="14" s="1"/>
  <c r="B341" i="14"/>
  <c r="A341" i="14"/>
  <c r="E340" i="14"/>
  <c r="D340" i="14"/>
  <c r="C340" i="14"/>
  <c r="F340" i="14" s="1"/>
  <c r="B340" i="14"/>
  <c r="A340" i="14"/>
  <c r="E339" i="14"/>
  <c r="D339" i="14"/>
  <c r="C339" i="14"/>
  <c r="F339" i="14" s="1"/>
  <c r="B339" i="14"/>
  <c r="A339" i="14"/>
  <c r="E338" i="14"/>
  <c r="D338" i="14"/>
  <c r="C338" i="14"/>
  <c r="F338" i="14" s="1"/>
  <c r="B338" i="14"/>
  <c r="A338" i="14"/>
  <c r="E337" i="14"/>
  <c r="D337" i="14"/>
  <c r="C337" i="14"/>
  <c r="F337" i="14" s="1"/>
  <c r="B337" i="14"/>
  <c r="A337" i="14"/>
  <c r="E336" i="14"/>
  <c r="D336" i="14"/>
  <c r="C336" i="14"/>
  <c r="F336" i="14" s="1"/>
  <c r="B336" i="14"/>
  <c r="A336" i="14"/>
  <c r="E335" i="14"/>
  <c r="D335" i="14"/>
  <c r="C335" i="14"/>
  <c r="F335" i="14" s="1"/>
  <c r="B335" i="14"/>
  <c r="A335" i="14"/>
  <c r="E334" i="14"/>
  <c r="D334" i="14"/>
  <c r="C334" i="14"/>
  <c r="F334" i="14" s="1"/>
  <c r="B334" i="14"/>
  <c r="A334" i="14"/>
  <c r="E333" i="14"/>
  <c r="D333" i="14"/>
  <c r="C333" i="14"/>
  <c r="F333" i="14" s="1"/>
  <c r="B333" i="14"/>
  <c r="A333" i="14"/>
  <c r="D332" i="14"/>
  <c r="C332" i="14"/>
  <c r="F332" i="14" s="1"/>
  <c r="B332" i="14"/>
  <c r="A332" i="14"/>
  <c r="E331" i="14"/>
  <c r="D331" i="14"/>
  <c r="C331" i="14"/>
  <c r="F331" i="14" s="1"/>
  <c r="B331" i="14"/>
  <c r="A331" i="14"/>
  <c r="D330" i="14"/>
  <c r="C330" i="14"/>
  <c r="F330" i="14" s="1"/>
  <c r="B330" i="14"/>
  <c r="A330" i="14"/>
  <c r="E329" i="14"/>
  <c r="D329" i="14"/>
  <c r="C329" i="14"/>
  <c r="F329" i="14" s="1"/>
  <c r="B329" i="14"/>
  <c r="A329" i="14"/>
  <c r="E328" i="14"/>
  <c r="D328" i="14"/>
  <c r="C328" i="14"/>
  <c r="F328" i="14" s="1"/>
  <c r="B328" i="14"/>
  <c r="A328" i="14"/>
  <c r="E327" i="14"/>
  <c r="D327" i="14"/>
  <c r="C327" i="14"/>
  <c r="F327" i="14" s="1"/>
  <c r="B327" i="14"/>
  <c r="A327" i="14"/>
  <c r="E326" i="14"/>
  <c r="D326" i="14"/>
  <c r="C326" i="14"/>
  <c r="F326" i="14" s="1"/>
  <c r="B326" i="14"/>
  <c r="A326" i="14"/>
  <c r="E325" i="14"/>
  <c r="D325" i="14"/>
  <c r="C325" i="14"/>
  <c r="F325" i="14" s="1"/>
  <c r="B325" i="14"/>
  <c r="A325" i="14"/>
  <c r="E324" i="14"/>
  <c r="D324" i="14"/>
  <c r="C324" i="14"/>
  <c r="F324" i="14" s="1"/>
  <c r="B324" i="14"/>
  <c r="A324" i="14"/>
  <c r="E323" i="14"/>
  <c r="D323" i="14"/>
  <c r="C323" i="14"/>
  <c r="F323" i="14" s="1"/>
  <c r="B323" i="14"/>
  <c r="A323" i="14"/>
  <c r="E322" i="14"/>
  <c r="C322" i="14"/>
  <c r="F322" i="14" s="1"/>
  <c r="B322" i="14"/>
  <c r="A322" i="14"/>
  <c r="E321" i="14"/>
  <c r="C321" i="14"/>
  <c r="F321" i="14" s="1"/>
  <c r="B321" i="14"/>
  <c r="A321" i="14"/>
  <c r="E320" i="14"/>
  <c r="C320" i="14"/>
  <c r="F320" i="14" s="1"/>
  <c r="B320" i="14"/>
  <c r="A320" i="14"/>
  <c r="E319" i="14"/>
  <c r="C319" i="14"/>
  <c r="F319" i="14" s="1"/>
  <c r="B319" i="14"/>
  <c r="A319" i="14"/>
  <c r="E318" i="14"/>
  <c r="C318" i="14"/>
  <c r="F318" i="14" s="1"/>
  <c r="B318" i="14"/>
  <c r="A318" i="14"/>
  <c r="C317" i="14"/>
  <c r="F317" i="14" s="1"/>
  <c r="B317" i="14"/>
  <c r="A317" i="14"/>
  <c r="E316" i="14"/>
  <c r="C316" i="14"/>
  <c r="F316" i="14" s="1"/>
  <c r="B316" i="14"/>
  <c r="A316" i="14"/>
  <c r="E315" i="14"/>
  <c r="C315" i="14"/>
  <c r="F315" i="14" s="1"/>
  <c r="B315" i="14"/>
  <c r="A315" i="14"/>
  <c r="E314" i="14"/>
  <c r="C314" i="14"/>
  <c r="F314" i="14" s="1"/>
  <c r="B314" i="14"/>
  <c r="A314" i="14"/>
  <c r="E313" i="14"/>
  <c r="C313" i="14"/>
  <c r="F313" i="14" s="1"/>
  <c r="B313" i="14"/>
  <c r="A313" i="14"/>
  <c r="E312" i="14"/>
  <c r="C312" i="14"/>
  <c r="F312" i="14" s="1"/>
  <c r="B312" i="14"/>
  <c r="A312" i="14"/>
  <c r="E311" i="14"/>
  <c r="C311" i="14"/>
  <c r="F311" i="14" s="1"/>
  <c r="B311" i="14"/>
  <c r="A311" i="14"/>
  <c r="E310" i="14"/>
  <c r="C310" i="14"/>
  <c r="F310" i="14" s="1"/>
  <c r="B310" i="14"/>
  <c r="A310" i="14"/>
  <c r="C309" i="14"/>
  <c r="F309" i="14" s="1"/>
  <c r="C308" i="14"/>
  <c r="F308" i="14" s="1"/>
  <c r="C307" i="14"/>
  <c r="F307" i="14" s="1"/>
  <c r="C306" i="14"/>
  <c r="F306" i="14" s="1"/>
  <c r="C305" i="14"/>
  <c r="F305" i="14" s="1"/>
  <c r="C304" i="14"/>
  <c r="F304" i="14" s="1"/>
  <c r="C303" i="14"/>
  <c r="F303" i="14" s="1"/>
  <c r="C302" i="14"/>
  <c r="F302" i="14" s="1"/>
  <c r="C301" i="14"/>
  <c r="F301" i="14" s="1"/>
  <c r="C300" i="14"/>
  <c r="F300" i="14" s="1"/>
  <c r="C299" i="14"/>
  <c r="F299" i="14" s="1"/>
  <c r="C298" i="14"/>
  <c r="F298" i="14" s="1"/>
  <c r="C297" i="14"/>
  <c r="F297" i="14" s="1"/>
  <c r="C296" i="14"/>
  <c r="F296" i="14" s="1"/>
  <c r="C295" i="14"/>
  <c r="F295" i="14" s="1"/>
  <c r="C294" i="14"/>
  <c r="F294" i="14" s="1"/>
  <c r="C293" i="14"/>
  <c r="F293" i="14" s="1"/>
  <c r="C292" i="14"/>
  <c r="F292" i="14" s="1"/>
  <c r="C291" i="14"/>
  <c r="F291" i="14" s="1"/>
  <c r="C290" i="14"/>
  <c r="F290" i="14" s="1"/>
  <c r="C289" i="14"/>
  <c r="F289" i="14" s="1"/>
  <c r="C288" i="14"/>
  <c r="F288" i="14" s="1"/>
  <c r="C287" i="14"/>
  <c r="F287" i="14" s="1"/>
  <c r="D286" i="14"/>
  <c r="C286" i="14"/>
  <c r="F286" i="14" s="1"/>
  <c r="B286" i="14"/>
  <c r="A286" i="14"/>
  <c r="D285" i="14"/>
  <c r="C285" i="14"/>
  <c r="F285" i="14" s="1"/>
  <c r="B285" i="14"/>
  <c r="A285" i="14"/>
  <c r="E284" i="14"/>
  <c r="D284" i="14"/>
  <c r="C284" i="14"/>
  <c r="F284" i="14" s="1"/>
  <c r="B284" i="14"/>
  <c r="A284" i="14"/>
  <c r="E283" i="14"/>
  <c r="D283" i="14"/>
  <c r="C283" i="14"/>
  <c r="F283" i="14" s="1"/>
  <c r="B283" i="14"/>
  <c r="A283" i="14"/>
  <c r="E282" i="14"/>
  <c r="D282" i="14"/>
  <c r="C282" i="14"/>
  <c r="F282" i="14" s="1"/>
  <c r="B282" i="14"/>
  <c r="A282" i="14"/>
  <c r="E281" i="14"/>
  <c r="D281" i="14"/>
  <c r="C281" i="14"/>
  <c r="F281" i="14" s="1"/>
  <c r="B281" i="14"/>
  <c r="A281" i="14"/>
  <c r="D280" i="14"/>
  <c r="C280" i="14"/>
  <c r="F280" i="14" s="1"/>
  <c r="B280" i="14"/>
  <c r="A280" i="14"/>
  <c r="E279" i="14"/>
  <c r="D279" i="14"/>
  <c r="C279" i="14"/>
  <c r="F279" i="14" s="1"/>
  <c r="B279" i="14"/>
  <c r="A279" i="14"/>
  <c r="E278" i="14"/>
  <c r="D278" i="14"/>
  <c r="C278" i="14"/>
  <c r="F278" i="14" s="1"/>
  <c r="B278" i="14"/>
  <c r="A278" i="14"/>
  <c r="E277" i="14"/>
  <c r="D277" i="14"/>
  <c r="C277" i="14"/>
  <c r="F277" i="14" s="1"/>
  <c r="B277" i="14"/>
  <c r="A277" i="14"/>
  <c r="E276" i="14"/>
  <c r="D276" i="14"/>
  <c r="C276" i="14"/>
  <c r="F276" i="14" s="1"/>
  <c r="B276" i="14"/>
  <c r="A276" i="14"/>
  <c r="E275" i="14"/>
  <c r="D275" i="14"/>
  <c r="C275" i="14"/>
  <c r="F275" i="14" s="1"/>
  <c r="B275" i="14"/>
  <c r="A275" i="14"/>
  <c r="E274" i="14"/>
  <c r="D274" i="14"/>
  <c r="C274" i="14"/>
  <c r="F274" i="14" s="1"/>
  <c r="B274" i="14"/>
  <c r="A274" i="14"/>
  <c r="D273" i="14"/>
  <c r="C273" i="14"/>
  <c r="F273" i="14" s="1"/>
  <c r="B273" i="14"/>
  <c r="A273" i="14"/>
  <c r="E272" i="14"/>
  <c r="D272" i="14"/>
  <c r="C272" i="14"/>
  <c r="F272" i="14" s="1"/>
  <c r="B272" i="14"/>
  <c r="A272" i="14"/>
  <c r="E271" i="14"/>
  <c r="D271" i="14"/>
  <c r="C271" i="14"/>
  <c r="F271" i="14" s="1"/>
  <c r="B271" i="14"/>
  <c r="A271" i="14"/>
  <c r="E270" i="14"/>
  <c r="D270" i="14"/>
  <c r="C270" i="14"/>
  <c r="F270" i="14" s="1"/>
  <c r="B270" i="14"/>
  <c r="A270" i="14"/>
  <c r="E269" i="14"/>
  <c r="D269" i="14"/>
  <c r="C269" i="14"/>
  <c r="F269" i="14" s="1"/>
  <c r="B269" i="14"/>
  <c r="A269" i="14"/>
  <c r="E268" i="14"/>
  <c r="D268" i="14"/>
  <c r="C268" i="14"/>
  <c r="F268" i="14" s="1"/>
  <c r="B268" i="14"/>
  <c r="A268" i="14"/>
  <c r="E267" i="14"/>
  <c r="D267" i="14"/>
  <c r="C267" i="14"/>
  <c r="F267" i="14" s="1"/>
  <c r="B267" i="14"/>
  <c r="A267" i="14"/>
  <c r="E266" i="14"/>
  <c r="D266" i="14"/>
  <c r="C266" i="14"/>
  <c r="F266" i="14" s="1"/>
  <c r="B266" i="14"/>
  <c r="A266" i="14"/>
  <c r="E265" i="14"/>
  <c r="D265" i="14"/>
  <c r="C265" i="14"/>
  <c r="F265" i="14" s="1"/>
  <c r="B265" i="14"/>
  <c r="A265" i="14"/>
  <c r="E264" i="14"/>
  <c r="D264" i="14"/>
  <c r="C264" i="14"/>
  <c r="F264" i="14" s="1"/>
  <c r="B264" i="14"/>
  <c r="A264" i="14"/>
  <c r="E263" i="14"/>
  <c r="D263" i="14"/>
  <c r="C263" i="14"/>
  <c r="F263" i="14" s="1"/>
  <c r="B263" i="14"/>
  <c r="A263" i="14"/>
  <c r="D262" i="14"/>
  <c r="C262" i="14"/>
  <c r="F262" i="14" s="1"/>
  <c r="B262" i="14"/>
  <c r="A262" i="14"/>
  <c r="D261" i="14"/>
  <c r="C261" i="14"/>
  <c r="F261" i="14" s="1"/>
  <c r="B261" i="14"/>
  <c r="A261" i="14"/>
  <c r="E260" i="14"/>
  <c r="D260" i="14"/>
  <c r="C260" i="14"/>
  <c r="F260" i="14" s="1"/>
  <c r="B260" i="14"/>
  <c r="A260" i="14"/>
  <c r="E259" i="14"/>
  <c r="D259" i="14"/>
  <c r="C259" i="14"/>
  <c r="F259" i="14" s="1"/>
  <c r="B259" i="14"/>
  <c r="A259" i="14"/>
  <c r="E258" i="14"/>
  <c r="D258" i="14"/>
  <c r="C258" i="14"/>
  <c r="F258" i="14" s="1"/>
  <c r="B258" i="14"/>
  <c r="A258" i="14"/>
  <c r="E257" i="14"/>
  <c r="D257" i="14"/>
  <c r="C257" i="14"/>
  <c r="F257" i="14" s="1"/>
  <c r="B257" i="14"/>
  <c r="A257" i="14"/>
  <c r="E256" i="14"/>
  <c r="D256" i="14"/>
  <c r="C256" i="14"/>
  <c r="F256" i="14" s="1"/>
  <c r="B256" i="14"/>
  <c r="A256" i="14"/>
  <c r="E255" i="14"/>
  <c r="D255" i="14"/>
  <c r="C255" i="14"/>
  <c r="F255" i="14" s="1"/>
  <c r="B255" i="14"/>
  <c r="A255" i="14"/>
  <c r="E254" i="14"/>
  <c r="D254" i="14"/>
  <c r="C254" i="14"/>
  <c r="F254" i="14" s="1"/>
  <c r="B254" i="14"/>
  <c r="A254" i="14"/>
  <c r="E253" i="14"/>
  <c r="D253" i="14"/>
  <c r="C253" i="14"/>
  <c r="F253" i="14" s="1"/>
  <c r="B253" i="14"/>
  <c r="A253" i="14"/>
  <c r="E252" i="14"/>
  <c r="D252" i="14"/>
  <c r="C252" i="14"/>
  <c r="F252" i="14" s="1"/>
  <c r="B252" i="14"/>
  <c r="A252" i="14"/>
  <c r="E251" i="14"/>
  <c r="D251" i="14"/>
  <c r="C251" i="14"/>
  <c r="F251" i="14" s="1"/>
  <c r="B251" i="14"/>
  <c r="A251" i="14"/>
  <c r="E250" i="14"/>
  <c r="D250" i="14"/>
  <c r="C250" i="14"/>
  <c r="F250" i="14" s="1"/>
  <c r="B250" i="14"/>
  <c r="A250" i="14"/>
  <c r="C249" i="14"/>
  <c r="F249" i="14" s="1"/>
  <c r="C248" i="14"/>
  <c r="F248" i="14" s="1"/>
  <c r="C247" i="14"/>
  <c r="F247" i="14" s="1"/>
  <c r="C246" i="14"/>
  <c r="F246" i="14" s="1"/>
  <c r="E245" i="14"/>
  <c r="D245" i="14"/>
  <c r="C245" i="14"/>
  <c r="F245" i="14" s="1"/>
  <c r="B245" i="14"/>
  <c r="A245" i="14"/>
  <c r="E244" i="14"/>
  <c r="D244" i="14"/>
  <c r="C244" i="14"/>
  <c r="F244" i="14" s="1"/>
  <c r="B244" i="14"/>
  <c r="A244" i="14"/>
  <c r="E243" i="14"/>
  <c r="D243" i="14"/>
  <c r="C243" i="14"/>
  <c r="F243" i="14" s="1"/>
  <c r="B243" i="14"/>
  <c r="A243" i="14"/>
  <c r="D242" i="14"/>
  <c r="C242" i="14"/>
  <c r="F242" i="14" s="1"/>
  <c r="B242" i="14"/>
  <c r="A242" i="14"/>
  <c r="E241" i="14"/>
  <c r="D241" i="14"/>
  <c r="C241" i="14"/>
  <c r="F241" i="14" s="1"/>
  <c r="B241" i="14"/>
  <c r="A241" i="14"/>
  <c r="E240" i="14"/>
  <c r="D240" i="14"/>
  <c r="C240" i="14"/>
  <c r="F240" i="14" s="1"/>
  <c r="B240" i="14"/>
  <c r="A240" i="14"/>
  <c r="D239" i="14"/>
  <c r="C239" i="14"/>
  <c r="F239" i="14" s="1"/>
  <c r="B239" i="14"/>
  <c r="A239" i="14"/>
  <c r="E238" i="14"/>
  <c r="D238" i="14"/>
  <c r="C238" i="14"/>
  <c r="F238" i="14" s="1"/>
  <c r="B238" i="14"/>
  <c r="A238" i="14"/>
  <c r="E237" i="14"/>
  <c r="D237" i="14"/>
  <c r="C237" i="14"/>
  <c r="F237" i="14" s="1"/>
  <c r="B237" i="14"/>
  <c r="A237" i="14"/>
  <c r="E236" i="14"/>
  <c r="D236" i="14"/>
  <c r="C236" i="14"/>
  <c r="F236" i="14" s="1"/>
  <c r="B236" i="14"/>
  <c r="A236" i="14"/>
  <c r="D235" i="14"/>
  <c r="C235" i="14"/>
  <c r="F235" i="14" s="1"/>
  <c r="B235" i="14"/>
  <c r="A235" i="14"/>
  <c r="F234" i="14"/>
  <c r="E234" i="14"/>
  <c r="D234" i="14"/>
  <c r="C234" i="14"/>
  <c r="B234" i="14"/>
  <c r="A234" i="14"/>
  <c r="E233" i="14"/>
  <c r="D233" i="14"/>
  <c r="C233" i="14"/>
  <c r="F233" i="14" s="1"/>
  <c r="B233" i="14"/>
  <c r="A233" i="14"/>
  <c r="E232" i="14"/>
  <c r="D232" i="14"/>
  <c r="C232" i="14"/>
  <c r="F232" i="14" s="1"/>
  <c r="B232" i="14"/>
  <c r="A232" i="14"/>
  <c r="E231" i="14"/>
  <c r="D231" i="14"/>
  <c r="C231" i="14"/>
  <c r="F231" i="14" s="1"/>
  <c r="B231" i="14"/>
  <c r="A231" i="14"/>
  <c r="D230" i="14"/>
  <c r="C230" i="14"/>
  <c r="F230" i="14" s="1"/>
  <c r="B230" i="14"/>
  <c r="A230" i="14"/>
  <c r="E229" i="14"/>
  <c r="D229" i="14"/>
  <c r="C229" i="14"/>
  <c r="F229" i="14" s="1"/>
  <c r="B229" i="14"/>
  <c r="A229" i="14"/>
  <c r="E228" i="14"/>
  <c r="D228" i="14"/>
  <c r="C228" i="14"/>
  <c r="F228" i="14" s="1"/>
  <c r="B228" i="14"/>
  <c r="A228" i="14"/>
  <c r="E227" i="14"/>
  <c r="D227" i="14"/>
  <c r="C227" i="14"/>
  <c r="F227" i="14" s="1"/>
  <c r="B227" i="14"/>
  <c r="A227" i="14"/>
  <c r="F226" i="14"/>
  <c r="D226" i="14"/>
  <c r="C226" i="14"/>
  <c r="B226" i="14"/>
  <c r="A226" i="14"/>
  <c r="D225" i="14"/>
  <c r="C225" i="14"/>
  <c r="F225" i="14" s="1"/>
  <c r="B225" i="14"/>
  <c r="A225" i="14"/>
  <c r="E224" i="14"/>
  <c r="D224" i="14"/>
  <c r="C224" i="14"/>
  <c r="F224" i="14" s="1"/>
  <c r="B224" i="14"/>
  <c r="A224" i="14"/>
  <c r="D223" i="14"/>
  <c r="C223" i="14"/>
  <c r="F223" i="14" s="1"/>
  <c r="B223" i="14"/>
  <c r="A223" i="14"/>
  <c r="E222" i="14"/>
  <c r="D222" i="14"/>
  <c r="C222" i="14"/>
  <c r="F222" i="14" s="1"/>
  <c r="B222" i="14"/>
  <c r="A222" i="14"/>
  <c r="F221" i="14"/>
  <c r="D221" i="14"/>
  <c r="C221" i="14"/>
  <c r="B221" i="14"/>
  <c r="A221" i="14"/>
  <c r="E220" i="14"/>
  <c r="D220" i="14"/>
  <c r="C220" i="14"/>
  <c r="F220" i="14" s="1"/>
  <c r="B220" i="14"/>
  <c r="A220" i="14"/>
  <c r="D219" i="14"/>
  <c r="C219" i="14"/>
  <c r="F219" i="14" s="1"/>
  <c r="B219" i="14"/>
  <c r="A219" i="14"/>
  <c r="E218" i="14"/>
  <c r="D218" i="14"/>
  <c r="C218" i="14"/>
  <c r="F218" i="14" s="1"/>
  <c r="B218" i="14"/>
  <c r="A218" i="14"/>
  <c r="E217" i="14"/>
  <c r="D217" i="14"/>
  <c r="C217" i="14"/>
  <c r="F217" i="14" s="1"/>
  <c r="B217" i="14"/>
  <c r="A217" i="14"/>
  <c r="F216" i="14"/>
  <c r="E216" i="14"/>
  <c r="D216" i="14"/>
  <c r="C216" i="14"/>
  <c r="B216" i="14"/>
  <c r="A216" i="14"/>
  <c r="E215" i="14"/>
  <c r="D215" i="14"/>
  <c r="C215" i="14"/>
  <c r="F215" i="14" s="1"/>
  <c r="B215" i="14"/>
  <c r="A215" i="14"/>
  <c r="E214" i="14"/>
  <c r="D214" i="14"/>
  <c r="C214" i="14"/>
  <c r="F214" i="14" s="1"/>
  <c r="B214" i="14"/>
  <c r="A214" i="14"/>
  <c r="E213" i="14"/>
  <c r="D213" i="14"/>
  <c r="C213" i="14"/>
  <c r="F213" i="14" s="1"/>
  <c r="B213" i="14"/>
  <c r="A213" i="14"/>
  <c r="E212" i="14"/>
  <c r="D212" i="14"/>
  <c r="C212" i="14"/>
  <c r="F212" i="14" s="1"/>
  <c r="B212" i="14"/>
  <c r="A212" i="14"/>
  <c r="D211" i="14"/>
  <c r="C211" i="14"/>
  <c r="F211" i="14" s="1"/>
  <c r="B211" i="14"/>
  <c r="A211" i="14"/>
  <c r="E210" i="14"/>
  <c r="D210" i="14"/>
  <c r="C210" i="14"/>
  <c r="F210" i="14" s="1"/>
  <c r="B210" i="14"/>
  <c r="A210" i="14"/>
  <c r="E209" i="14"/>
  <c r="D209" i="14"/>
  <c r="C209" i="14"/>
  <c r="F209" i="14" s="1"/>
  <c r="B209" i="14"/>
  <c r="A209" i="14"/>
  <c r="E208" i="14"/>
  <c r="D208" i="14"/>
  <c r="C208" i="14"/>
  <c r="F208" i="14" s="1"/>
  <c r="B208" i="14"/>
  <c r="A208" i="14"/>
  <c r="E207" i="14"/>
  <c r="D207" i="14"/>
  <c r="C207" i="14"/>
  <c r="F207" i="14" s="1"/>
  <c r="B207" i="14"/>
  <c r="A207" i="14"/>
  <c r="E206" i="14"/>
  <c r="D206" i="14"/>
  <c r="C206" i="14"/>
  <c r="F206" i="14" s="1"/>
  <c r="B206" i="14"/>
  <c r="A206" i="14"/>
  <c r="E205" i="14"/>
  <c r="D205" i="14"/>
  <c r="C205" i="14"/>
  <c r="F205" i="14" s="1"/>
  <c r="B205" i="14"/>
  <c r="A205" i="14"/>
  <c r="E204" i="14"/>
  <c r="D204" i="14"/>
  <c r="C204" i="14"/>
  <c r="F204" i="14" s="1"/>
  <c r="B204" i="14"/>
  <c r="A204" i="14"/>
  <c r="E203" i="14"/>
  <c r="D203" i="14"/>
  <c r="C203" i="14"/>
  <c r="F203" i="14" s="1"/>
  <c r="B203" i="14"/>
  <c r="A203" i="14"/>
  <c r="E202" i="14"/>
  <c r="D202" i="14"/>
  <c r="C202" i="14"/>
  <c r="F202" i="14" s="1"/>
  <c r="B202" i="14"/>
  <c r="A202" i="14"/>
  <c r="D201" i="14"/>
  <c r="C201" i="14"/>
  <c r="F201" i="14" s="1"/>
  <c r="B201" i="14"/>
  <c r="A201" i="14"/>
  <c r="E200" i="14"/>
  <c r="D200" i="14"/>
  <c r="C200" i="14"/>
  <c r="F200" i="14" s="1"/>
  <c r="B200" i="14"/>
  <c r="A200" i="14"/>
  <c r="D199" i="14"/>
  <c r="C199" i="14"/>
  <c r="F199" i="14" s="1"/>
  <c r="B199" i="14"/>
  <c r="A199" i="14"/>
  <c r="D198" i="14"/>
  <c r="C198" i="14"/>
  <c r="F198" i="14" s="1"/>
  <c r="B198" i="14"/>
  <c r="A198" i="14"/>
  <c r="E197" i="14"/>
  <c r="D197" i="14"/>
  <c r="C197" i="14"/>
  <c r="F197" i="14" s="1"/>
  <c r="B197" i="14"/>
  <c r="A197" i="14"/>
  <c r="E196" i="14"/>
  <c r="D196" i="14"/>
  <c r="C196" i="14"/>
  <c r="F196" i="14" s="1"/>
  <c r="B196" i="14"/>
  <c r="A196" i="14"/>
  <c r="E195" i="14"/>
  <c r="D195" i="14"/>
  <c r="C195" i="14"/>
  <c r="F195" i="14" s="1"/>
  <c r="B195" i="14"/>
  <c r="A195" i="14"/>
  <c r="E194" i="14"/>
  <c r="D194" i="14"/>
  <c r="C194" i="14"/>
  <c r="F194" i="14" s="1"/>
  <c r="B194" i="14"/>
  <c r="A194" i="14"/>
  <c r="E193" i="14"/>
  <c r="D193" i="14"/>
  <c r="C193" i="14"/>
  <c r="F193" i="14" s="1"/>
  <c r="B193" i="14"/>
  <c r="A193" i="14"/>
  <c r="E192" i="14"/>
  <c r="D192" i="14"/>
  <c r="C192" i="14"/>
  <c r="F192" i="14" s="1"/>
  <c r="B192" i="14"/>
  <c r="A192" i="14"/>
  <c r="D191" i="14"/>
  <c r="C191" i="14"/>
  <c r="F191" i="14" s="1"/>
  <c r="B191" i="14"/>
  <c r="A191" i="14"/>
  <c r="E190" i="14"/>
  <c r="D190" i="14"/>
  <c r="C190" i="14"/>
  <c r="F190" i="14" s="1"/>
  <c r="B190" i="14"/>
  <c r="A190" i="14"/>
  <c r="E189" i="14"/>
  <c r="D189" i="14"/>
  <c r="C189" i="14"/>
  <c r="F189" i="14" s="1"/>
  <c r="B189" i="14"/>
  <c r="A189" i="14"/>
  <c r="E188" i="14"/>
  <c r="D188" i="14"/>
  <c r="C188" i="14"/>
  <c r="F188" i="14" s="1"/>
  <c r="B188" i="14"/>
  <c r="A188" i="14"/>
  <c r="E187" i="14"/>
  <c r="D187" i="14"/>
  <c r="C187" i="14"/>
  <c r="F187" i="14" s="1"/>
  <c r="B187" i="14"/>
  <c r="A187" i="14"/>
  <c r="E186" i="14"/>
  <c r="D186" i="14"/>
  <c r="C186" i="14"/>
  <c r="F186" i="14" s="1"/>
  <c r="B186" i="14"/>
  <c r="A186" i="14"/>
  <c r="E185" i="14"/>
  <c r="D185" i="14"/>
  <c r="C185" i="14"/>
  <c r="F185" i="14" s="1"/>
  <c r="B185" i="14"/>
  <c r="A185" i="14"/>
  <c r="E184" i="14"/>
  <c r="D184" i="14"/>
  <c r="C184" i="14"/>
  <c r="F184" i="14" s="1"/>
  <c r="B184" i="14"/>
  <c r="A184" i="14"/>
  <c r="E183" i="14"/>
  <c r="D183" i="14"/>
  <c r="C183" i="14"/>
  <c r="F183" i="14" s="1"/>
  <c r="B183" i="14"/>
  <c r="A183" i="14"/>
  <c r="D182" i="14"/>
  <c r="C182" i="14"/>
  <c r="F182" i="14" s="1"/>
  <c r="B182" i="14"/>
  <c r="A182" i="14"/>
  <c r="E181" i="14"/>
  <c r="D181" i="14"/>
  <c r="C181" i="14"/>
  <c r="F181" i="14" s="1"/>
  <c r="B181" i="14"/>
  <c r="A181" i="14"/>
  <c r="E180" i="14"/>
  <c r="D180" i="14"/>
  <c r="C180" i="14"/>
  <c r="F180" i="14" s="1"/>
  <c r="B180" i="14"/>
  <c r="A180" i="14"/>
  <c r="F179" i="14"/>
  <c r="D179" i="14"/>
  <c r="C179" i="14"/>
  <c r="B179" i="14"/>
  <c r="A179" i="14"/>
  <c r="D178" i="14"/>
  <c r="C178" i="14"/>
  <c r="F178" i="14" s="1"/>
  <c r="B178" i="14"/>
  <c r="A178" i="14"/>
  <c r="E177" i="14"/>
  <c r="D177" i="14"/>
  <c r="C177" i="14"/>
  <c r="F177" i="14" s="1"/>
  <c r="B177" i="14"/>
  <c r="A177" i="14"/>
  <c r="D176" i="14"/>
  <c r="C176" i="14"/>
  <c r="F176" i="14" s="1"/>
  <c r="B176" i="14"/>
  <c r="D175" i="14"/>
  <c r="C175" i="14"/>
  <c r="F175" i="14" s="1"/>
  <c r="B175" i="14"/>
  <c r="D174" i="14"/>
  <c r="C174" i="14"/>
  <c r="F174" i="14" s="1"/>
  <c r="B174" i="14"/>
  <c r="D173" i="14"/>
  <c r="C173" i="14"/>
  <c r="F173" i="14" s="1"/>
  <c r="B173" i="14"/>
  <c r="D172" i="14"/>
  <c r="C172" i="14"/>
  <c r="F172" i="14" s="1"/>
  <c r="B172" i="14"/>
  <c r="D171" i="14"/>
  <c r="C171" i="14"/>
  <c r="F171" i="14" s="1"/>
  <c r="B171" i="14"/>
  <c r="D170" i="14"/>
  <c r="C170" i="14"/>
  <c r="F170" i="14" s="1"/>
  <c r="B170" i="14"/>
  <c r="D169" i="14"/>
  <c r="C169" i="14"/>
  <c r="F169" i="14" s="1"/>
  <c r="B169" i="14"/>
  <c r="D168" i="14"/>
  <c r="C168" i="14"/>
  <c r="F168" i="14" s="1"/>
  <c r="B168" i="14"/>
  <c r="D167" i="14"/>
  <c r="C167" i="14"/>
  <c r="F167" i="14" s="1"/>
  <c r="B167" i="14"/>
  <c r="D166" i="14"/>
  <c r="C166" i="14"/>
  <c r="F166" i="14" s="1"/>
  <c r="B166" i="14"/>
  <c r="D165" i="14"/>
  <c r="C165" i="14"/>
  <c r="F165" i="14" s="1"/>
  <c r="B165" i="14"/>
  <c r="D164" i="14"/>
  <c r="C164" i="14"/>
  <c r="F164" i="14" s="1"/>
  <c r="B164" i="14"/>
  <c r="D163" i="14"/>
  <c r="C163" i="14"/>
  <c r="F163" i="14" s="1"/>
  <c r="B163" i="14"/>
  <c r="D162" i="14"/>
  <c r="C162" i="14"/>
  <c r="F162" i="14" s="1"/>
  <c r="B162" i="14"/>
  <c r="E161" i="14"/>
  <c r="D161" i="14"/>
  <c r="C161" i="14"/>
  <c r="F161" i="14" s="1"/>
  <c r="B161" i="14"/>
  <c r="A161" i="14"/>
  <c r="E160" i="14"/>
  <c r="D160" i="14"/>
  <c r="C160" i="14"/>
  <c r="F160" i="14" s="1"/>
  <c r="B160" i="14"/>
  <c r="A160" i="14"/>
  <c r="F159" i="14"/>
  <c r="D159" i="14"/>
  <c r="C159" i="14"/>
  <c r="B159" i="14"/>
  <c r="A159" i="14"/>
  <c r="D158" i="14"/>
  <c r="C158" i="14"/>
  <c r="F158" i="14" s="1"/>
  <c r="B158" i="14"/>
  <c r="A158" i="14"/>
  <c r="D157" i="14"/>
  <c r="C157" i="14"/>
  <c r="F157" i="14" s="1"/>
  <c r="B157" i="14"/>
  <c r="A157" i="14"/>
  <c r="E156" i="14"/>
  <c r="C156" i="14"/>
  <c r="F156" i="14" s="1"/>
  <c r="B156" i="14"/>
  <c r="A156" i="14"/>
  <c r="E155" i="14"/>
  <c r="D155" i="14"/>
  <c r="C155" i="14"/>
  <c r="F155" i="14" s="1"/>
  <c r="B155" i="14"/>
  <c r="A155" i="14"/>
  <c r="E154" i="14"/>
  <c r="D154" i="14"/>
  <c r="C154" i="14"/>
  <c r="F154" i="14" s="1"/>
  <c r="B154" i="14"/>
  <c r="A154" i="14"/>
  <c r="E153" i="14"/>
  <c r="D153" i="14"/>
  <c r="C153" i="14"/>
  <c r="F153" i="14" s="1"/>
  <c r="B153" i="14"/>
  <c r="A153" i="14"/>
  <c r="D152" i="14"/>
  <c r="C152" i="14"/>
  <c r="F152" i="14" s="1"/>
  <c r="B152" i="14"/>
  <c r="A152" i="14"/>
  <c r="E151" i="14"/>
  <c r="D151" i="14"/>
  <c r="C151" i="14"/>
  <c r="F151" i="14" s="1"/>
  <c r="B151" i="14"/>
  <c r="A151" i="14"/>
  <c r="E150" i="14"/>
  <c r="D150" i="14"/>
  <c r="C150" i="14"/>
  <c r="F150" i="14" s="1"/>
  <c r="B150" i="14"/>
  <c r="A150" i="14"/>
  <c r="E149" i="14"/>
  <c r="D149" i="14"/>
  <c r="C149" i="14"/>
  <c r="F149" i="14" s="1"/>
  <c r="B149" i="14"/>
  <c r="A149" i="14"/>
  <c r="D148" i="14"/>
  <c r="C148" i="14"/>
  <c r="F148" i="14" s="1"/>
  <c r="B148" i="14"/>
  <c r="A148" i="14"/>
  <c r="E147" i="14"/>
  <c r="D147" i="14"/>
  <c r="C147" i="14"/>
  <c r="F147" i="14" s="1"/>
  <c r="B147" i="14"/>
  <c r="A147" i="14"/>
  <c r="E146" i="14"/>
  <c r="D146" i="14"/>
  <c r="C146" i="14"/>
  <c r="F146" i="14" s="1"/>
  <c r="B146" i="14"/>
  <c r="A146" i="14"/>
  <c r="E145" i="14"/>
  <c r="D145" i="14"/>
  <c r="C145" i="14"/>
  <c r="F145" i="14" s="1"/>
  <c r="B145" i="14"/>
  <c r="A145" i="14"/>
  <c r="E144" i="14"/>
  <c r="D144" i="14"/>
  <c r="C144" i="14"/>
  <c r="F144" i="14" s="1"/>
  <c r="B144" i="14"/>
  <c r="A144" i="14"/>
  <c r="E143" i="14"/>
  <c r="D143" i="14"/>
  <c r="C143" i="14"/>
  <c r="F143" i="14" s="1"/>
  <c r="B143" i="14"/>
  <c r="A143" i="14"/>
  <c r="E142" i="14"/>
  <c r="D142" i="14"/>
  <c r="C142" i="14"/>
  <c r="F142" i="14" s="1"/>
  <c r="B142" i="14"/>
  <c r="A142" i="14"/>
  <c r="D141" i="14"/>
  <c r="C141" i="14"/>
  <c r="F141" i="14" s="1"/>
  <c r="B141" i="14"/>
  <c r="A141" i="14"/>
  <c r="E140" i="14"/>
  <c r="D140" i="14"/>
  <c r="C140" i="14"/>
  <c r="F140" i="14" s="1"/>
  <c r="B140" i="14"/>
  <c r="A140" i="14"/>
  <c r="E139" i="14"/>
  <c r="D139" i="14"/>
  <c r="C139" i="14"/>
  <c r="F139" i="14" s="1"/>
  <c r="B139" i="14"/>
  <c r="A139" i="14"/>
  <c r="E138" i="14"/>
  <c r="C138" i="14"/>
  <c r="F138" i="14" s="1"/>
  <c r="B138" i="14"/>
  <c r="A138" i="14"/>
  <c r="E137" i="14"/>
  <c r="C137" i="14"/>
  <c r="F137" i="14" s="1"/>
  <c r="B137" i="14"/>
  <c r="A137" i="14"/>
  <c r="D136" i="14"/>
  <c r="C136" i="14"/>
  <c r="F136" i="14" s="1"/>
  <c r="B136" i="14"/>
  <c r="A136" i="14"/>
  <c r="E135" i="14"/>
  <c r="D135" i="14"/>
  <c r="C135" i="14"/>
  <c r="F135" i="14" s="1"/>
  <c r="B135" i="14"/>
  <c r="A135" i="14"/>
  <c r="E134" i="14"/>
  <c r="D134" i="14"/>
  <c r="C134" i="14"/>
  <c r="F134" i="14" s="1"/>
  <c r="B134" i="14"/>
  <c r="A134" i="14"/>
  <c r="D133" i="14"/>
  <c r="C133" i="14"/>
  <c r="F133" i="14" s="1"/>
  <c r="B133" i="14"/>
  <c r="A133" i="14"/>
  <c r="E132" i="14"/>
  <c r="D132" i="14"/>
  <c r="C132" i="14"/>
  <c r="F132" i="14" s="1"/>
  <c r="B132" i="14"/>
  <c r="A132" i="14"/>
  <c r="E131" i="14"/>
  <c r="D131" i="14"/>
  <c r="C131" i="14"/>
  <c r="F131" i="14" s="1"/>
  <c r="B131" i="14"/>
  <c r="A131" i="14"/>
  <c r="E130" i="14"/>
  <c r="D130" i="14"/>
  <c r="C130" i="14"/>
  <c r="F130" i="14" s="1"/>
  <c r="B130" i="14"/>
  <c r="A130" i="14"/>
  <c r="E129" i="14"/>
  <c r="D129" i="14"/>
  <c r="C129" i="14"/>
  <c r="F129" i="14" s="1"/>
  <c r="B129" i="14"/>
  <c r="A129" i="14"/>
  <c r="D128" i="14"/>
  <c r="C128" i="14"/>
  <c r="F128" i="14" s="1"/>
  <c r="B128" i="14"/>
  <c r="A128" i="14"/>
  <c r="E127" i="14"/>
  <c r="D127" i="14"/>
  <c r="C127" i="14"/>
  <c r="F127" i="14" s="1"/>
  <c r="B127" i="14"/>
  <c r="A127" i="14"/>
  <c r="E126" i="14"/>
  <c r="D126" i="14"/>
  <c r="C126" i="14"/>
  <c r="F126" i="14" s="1"/>
  <c r="B126" i="14"/>
  <c r="A126" i="14"/>
  <c r="E125" i="14"/>
  <c r="D125" i="14"/>
  <c r="C125" i="14"/>
  <c r="F125" i="14" s="1"/>
  <c r="B125" i="14"/>
  <c r="A125" i="14"/>
  <c r="E124" i="14"/>
  <c r="D124" i="14"/>
  <c r="C124" i="14"/>
  <c r="F124" i="14" s="1"/>
  <c r="B124" i="14"/>
  <c r="A124" i="14"/>
  <c r="E123" i="14"/>
  <c r="D123" i="14"/>
  <c r="C123" i="14"/>
  <c r="F123" i="14" s="1"/>
  <c r="B123" i="14"/>
  <c r="A123" i="14"/>
  <c r="E122" i="14"/>
  <c r="D122" i="14"/>
  <c r="C122" i="14"/>
  <c r="F122" i="14" s="1"/>
  <c r="B122" i="14"/>
  <c r="A122" i="14"/>
  <c r="E121" i="14"/>
  <c r="D121" i="14"/>
  <c r="C121" i="14"/>
  <c r="F121" i="14" s="1"/>
  <c r="B121" i="14"/>
  <c r="A121" i="14"/>
  <c r="E120" i="14"/>
  <c r="D120" i="14"/>
  <c r="C120" i="14"/>
  <c r="F120" i="14" s="1"/>
  <c r="B120" i="14"/>
  <c r="A120" i="14"/>
  <c r="E119" i="14"/>
  <c r="D119" i="14"/>
  <c r="C119" i="14"/>
  <c r="F119" i="14" s="1"/>
  <c r="B119" i="14"/>
  <c r="A119" i="14"/>
  <c r="E118" i="14"/>
  <c r="D118" i="14"/>
  <c r="C118" i="14"/>
  <c r="F118" i="14" s="1"/>
  <c r="B118" i="14"/>
  <c r="A118" i="14"/>
  <c r="E117" i="14"/>
  <c r="D117" i="14"/>
  <c r="C117" i="14"/>
  <c r="F117" i="14" s="1"/>
  <c r="B117" i="14"/>
  <c r="A117" i="14"/>
  <c r="D116" i="14"/>
  <c r="C116" i="14"/>
  <c r="F116" i="14" s="1"/>
  <c r="B116" i="14"/>
  <c r="A116" i="14"/>
  <c r="E115" i="14"/>
  <c r="D115" i="14"/>
  <c r="C115" i="14"/>
  <c r="F115" i="14" s="1"/>
  <c r="B115" i="14"/>
  <c r="A115" i="14"/>
  <c r="E114" i="14"/>
  <c r="D114" i="14"/>
  <c r="C114" i="14"/>
  <c r="F114" i="14" s="1"/>
  <c r="B114" i="14"/>
  <c r="A114" i="14"/>
  <c r="E113" i="14"/>
  <c r="D113" i="14"/>
  <c r="C113" i="14"/>
  <c r="F113" i="14" s="1"/>
  <c r="B113" i="14"/>
  <c r="A113" i="14"/>
  <c r="E112" i="14"/>
  <c r="D112" i="14"/>
  <c r="C112" i="14"/>
  <c r="F112" i="14" s="1"/>
  <c r="B112" i="14"/>
  <c r="A112" i="14"/>
  <c r="E111" i="14"/>
  <c r="D111" i="14"/>
  <c r="C111" i="14"/>
  <c r="F111" i="14" s="1"/>
  <c r="B111" i="14"/>
  <c r="A111" i="14"/>
  <c r="E110" i="14"/>
  <c r="D110" i="14"/>
  <c r="C110" i="14"/>
  <c r="F110" i="14" s="1"/>
  <c r="B110" i="14"/>
  <c r="A110" i="14"/>
  <c r="E109" i="14"/>
  <c r="D109" i="14"/>
  <c r="C109" i="14"/>
  <c r="F109" i="14" s="1"/>
  <c r="B109" i="14"/>
  <c r="A109" i="14"/>
  <c r="E108" i="14"/>
  <c r="D108" i="14"/>
  <c r="C108" i="14"/>
  <c r="F108" i="14" s="1"/>
  <c r="B108" i="14"/>
  <c r="A108" i="14"/>
  <c r="E107" i="14"/>
  <c r="D107" i="14"/>
  <c r="C107" i="14"/>
  <c r="F107" i="14" s="1"/>
  <c r="B107" i="14"/>
  <c r="A107" i="14"/>
  <c r="E106" i="14"/>
  <c r="D106" i="14"/>
  <c r="C106" i="14"/>
  <c r="F106" i="14" s="1"/>
  <c r="B106" i="14"/>
  <c r="A106" i="14"/>
  <c r="E105" i="14"/>
  <c r="D105" i="14"/>
  <c r="C105" i="14"/>
  <c r="F105" i="14" s="1"/>
  <c r="B105" i="14"/>
  <c r="A105" i="14"/>
  <c r="E104" i="14"/>
  <c r="D104" i="14"/>
  <c r="C104" i="14"/>
  <c r="B104" i="14"/>
  <c r="A104" i="14"/>
  <c r="E103" i="14"/>
  <c r="D103" i="14"/>
  <c r="C103" i="14"/>
  <c r="F103" i="14" s="1"/>
  <c r="B103" i="14"/>
  <c r="A103" i="14"/>
  <c r="E102" i="14"/>
  <c r="D102" i="14"/>
  <c r="C102" i="14"/>
  <c r="F102" i="14" s="1"/>
  <c r="B102" i="14"/>
  <c r="A102" i="14"/>
  <c r="E101" i="14"/>
  <c r="D101" i="14"/>
  <c r="C101" i="14"/>
  <c r="F101" i="14" s="1"/>
  <c r="B101" i="14"/>
  <c r="A101" i="14"/>
  <c r="E100" i="14"/>
  <c r="D100" i="14"/>
  <c r="C100" i="14"/>
  <c r="B100" i="14"/>
  <c r="A100" i="14"/>
  <c r="E99" i="14"/>
  <c r="D99" i="14"/>
  <c r="C99" i="14"/>
  <c r="F99" i="14" s="1"/>
  <c r="B99" i="14"/>
  <c r="A99" i="14"/>
  <c r="E98" i="14"/>
  <c r="D98" i="14"/>
  <c r="C98" i="14"/>
  <c r="F98" i="14" s="1"/>
  <c r="B98" i="14"/>
  <c r="A98" i="14"/>
  <c r="E97" i="14"/>
  <c r="D97" i="14"/>
  <c r="C97" i="14"/>
  <c r="F97" i="14" s="1"/>
  <c r="B97" i="14"/>
  <c r="A97" i="14"/>
  <c r="E96" i="14"/>
  <c r="D96" i="14"/>
  <c r="C96" i="14"/>
  <c r="F96" i="14" s="1"/>
  <c r="B96" i="14"/>
  <c r="A96" i="14"/>
  <c r="E95" i="14"/>
  <c r="D95" i="14"/>
  <c r="C95" i="14"/>
  <c r="F95" i="14" s="1"/>
  <c r="B95" i="14"/>
  <c r="A95" i="14"/>
  <c r="D94" i="14"/>
  <c r="C94" i="14"/>
  <c r="F94" i="14" s="1"/>
  <c r="B94" i="14"/>
  <c r="A94" i="14"/>
  <c r="E93" i="14"/>
  <c r="D93" i="14"/>
  <c r="C93" i="14"/>
  <c r="F93" i="14" s="1"/>
  <c r="B93" i="14"/>
  <c r="A93" i="14"/>
  <c r="E92" i="14"/>
  <c r="D92" i="14"/>
  <c r="C92" i="14"/>
  <c r="F92" i="14" s="1"/>
  <c r="B92" i="14"/>
  <c r="A92" i="14"/>
  <c r="E91" i="14"/>
  <c r="D91" i="14"/>
  <c r="C91" i="14"/>
  <c r="F91" i="14" s="1"/>
  <c r="B91" i="14"/>
  <c r="A91" i="14"/>
  <c r="E90" i="14"/>
  <c r="D90" i="14"/>
  <c r="C90" i="14"/>
  <c r="F90" i="14" s="1"/>
  <c r="B90" i="14"/>
  <c r="A90" i="14"/>
  <c r="E89" i="14"/>
  <c r="D89" i="14"/>
  <c r="C89" i="14"/>
  <c r="F89" i="14" s="1"/>
  <c r="B89" i="14"/>
  <c r="A89" i="14"/>
  <c r="E88" i="14"/>
  <c r="D88" i="14"/>
  <c r="C88" i="14"/>
  <c r="F88" i="14" s="1"/>
  <c r="B88" i="14"/>
  <c r="A88" i="14"/>
  <c r="D87" i="14"/>
  <c r="C87" i="14"/>
  <c r="F87" i="14" s="1"/>
  <c r="B87" i="14"/>
  <c r="A87" i="14"/>
  <c r="E86" i="14"/>
  <c r="D86" i="14"/>
  <c r="C86" i="14"/>
  <c r="F86" i="14" s="1"/>
  <c r="B86" i="14"/>
  <c r="A86" i="14"/>
  <c r="E85" i="14"/>
  <c r="D85" i="14"/>
  <c r="C85" i="14"/>
  <c r="F85" i="14" s="1"/>
  <c r="B85" i="14"/>
  <c r="A85" i="14"/>
  <c r="D84" i="14"/>
  <c r="C84" i="14"/>
  <c r="F84" i="14" s="1"/>
  <c r="B84" i="14"/>
  <c r="A84" i="14"/>
  <c r="E83" i="14"/>
  <c r="D83" i="14"/>
  <c r="C83" i="14"/>
  <c r="F83" i="14" s="1"/>
  <c r="B83" i="14"/>
  <c r="A83" i="14"/>
  <c r="E82" i="14"/>
  <c r="D82" i="14"/>
  <c r="C82" i="14"/>
  <c r="F82" i="14" s="1"/>
  <c r="B82" i="14"/>
  <c r="A82" i="14"/>
  <c r="D81" i="14"/>
  <c r="C81" i="14"/>
  <c r="F81" i="14" s="1"/>
  <c r="B81" i="14"/>
  <c r="A81" i="14"/>
  <c r="E80" i="14"/>
  <c r="D80" i="14"/>
  <c r="C80" i="14"/>
  <c r="F80" i="14" s="1"/>
  <c r="B80" i="14"/>
  <c r="A80" i="14"/>
  <c r="E79" i="14"/>
  <c r="D79" i="14"/>
  <c r="C79" i="14"/>
  <c r="F79" i="14" s="1"/>
  <c r="B79" i="14"/>
  <c r="A79" i="14"/>
  <c r="D78" i="14"/>
  <c r="C78" i="14"/>
  <c r="F78" i="14" s="1"/>
  <c r="B78" i="14"/>
  <c r="A78" i="14"/>
  <c r="E77" i="14"/>
  <c r="D77" i="14"/>
  <c r="C77" i="14"/>
  <c r="F77" i="14" s="1"/>
  <c r="B77" i="14"/>
  <c r="A77" i="14"/>
  <c r="E76" i="14"/>
  <c r="D76" i="14"/>
  <c r="C76" i="14"/>
  <c r="F76" i="14" s="1"/>
  <c r="B76" i="14"/>
  <c r="A76" i="14"/>
  <c r="E75" i="14"/>
  <c r="D75" i="14"/>
  <c r="C75" i="14"/>
  <c r="F75" i="14" s="1"/>
  <c r="B75" i="14"/>
  <c r="A75" i="14"/>
  <c r="E74" i="14"/>
  <c r="D74" i="14"/>
  <c r="C74" i="14"/>
  <c r="F74" i="14" s="1"/>
  <c r="B74" i="14"/>
  <c r="A74" i="14"/>
  <c r="E73" i="14"/>
  <c r="D73" i="14"/>
  <c r="C73" i="14"/>
  <c r="F73" i="14" s="1"/>
  <c r="B73" i="14"/>
  <c r="A73" i="14"/>
  <c r="E72" i="14"/>
  <c r="D72" i="14"/>
  <c r="C72" i="14"/>
  <c r="F72" i="14" s="1"/>
  <c r="B72" i="14"/>
  <c r="A72" i="14"/>
  <c r="E71" i="14"/>
  <c r="D71" i="14"/>
  <c r="C71" i="14"/>
  <c r="F71" i="14" s="1"/>
  <c r="B71" i="14"/>
  <c r="A71" i="14"/>
  <c r="E70" i="14"/>
  <c r="D70" i="14"/>
  <c r="C70" i="14"/>
  <c r="F70" i="14" s="1"/>
  <c r="B70" i="14"/>
  <c r="A70" i="14"/>
  <c r="E69" i="14"/>
  <c r="D69" i="14"/>
  <c r="C69" i="14"/>
  <c r="F69" i="14" s="1"/>
  <c r="B69" i="14"/>
  <c r="A69" i="14"/>
  <c r="E68" i="14"/>
  <c r="D68" i="14"/>
  <c r="C68" i="14"/>
  <c r="F68" i="14" s="1"/>
  <c r="B68" i="14"/>
  <c r="A68" i="14"/>
  <c r="E67" i="14"/>
  <c r="D67" i="14"/>
  <c r="C67" i="14"/>
  <c r="F67" i="14" s="1"/>
  <c r="B67" i="14"/>
  <c r="A67" i="14"/>
  <c r="E66" i="14"/>
  <c r="D66" i="14"/>
  <c r="C66" i="14"/>
  <c r="F66" i="14" s="1"/>
  <c r="B66" i="14"/>
  <c r="A66" i="14"/>
  <c r="E65" i="14"/>
  <c r="D65" i="14"/>
  <c r="C65" i="14"/>
  <c r="F65" i="14" s="1"/>
  <c r="B65" i="14"/>
  <c r="A65" i="14"/>
  <c r="E64" i="14"/>
  <c r="D64" i="14"/>
  <c r="C64" i="14"/>
  <c r="F64" i="14" s="1"/>
  <c r="B64" i="14"/>
  <c r="A64" i="14"/>
  <c r="E63" i="14"/>
  <c r="D63" i="14"/>
  <c r="C63" i="14"/>
  <c r="F63" i="14" s="1"/>
  <c r="B63" i="14"/>
  <c r="A63" i="14"/>
  <c r="E62" i="14"/>
  <c r="D62" i="14"/>
  <c r="C62" i="14"/>
  <c r="F62" i="14" s="1"/>
  <c r="B62" i="14"/>
  <c r="A62" i="14"/>
  <c r="E61" i="14"/>
  <c r="D61" i="14"/>
  <c r="C61" i="14"/>
  <c r="F61" i="14" s="1"/>
  <c r="B61" i="14"/>
  <c r="A61" i="14"/>
  <c r="E60" i="14"/>
  <c r="D60" i="14"/>
  <c r="C60" i="14"/>
  <c r="F60" i="14" s="1"/>
  <c r="B60" i="14"/>
  <c r="A60" i="14"/>
  <c r="E59" i="14"/>
  <c r="D59" i="14"/>
  <c r="C59" i="14"/>
  <c r="F59" i="14" s="1"/>
  <c r="B59" i="14"/>
  <c r="A59" i="14"/>
  <c r="E58" i="14"/>
  <c r="D58" i="14"/>
  <c r="C58" i="14"/>
  <c r="B58" i="14"/>
  <c r="A58" i="14"/>
  <c r="E57" i="14"/>
  <c r="D57" i="14"/>
  <c r="C57" i="14"/>
  <c r="B57" i="14"/>
  <c r="A57" i="14"/>
  <c r="D56" i="14"/>
  <c r="C56" i="14"/>
  <c r="F56" i="14" s="1"/>
  <c r="B56" i="14"/>
  <c r="A56" i="14"/>
  <c r="E55" i="14"/>
  <c r="D55" i="14"/>
  <c r="C55" i="14"/>
  <c r="F55" i="14" s="1"/>
  <c r="B55" i="14"/>
  <c r="A55" i="14"/>
  <c r="E54" i="14"/>
  <c r="D54" i="14"/>
  <c r="C54" i="14"/>
  <c r="F54" i="14" s="1"/>
  <c r="B54" i="14"/>
  <c r="A54" i="14"/>
  <c r="E53" i="14"/>
  <c r="D53" i="14"/>
  <c r="C53" i="14"/>
  <c r="F53" i="14" s="1"/>
  <c r="B53" i="14"/>
  <c r="A53" i="14"/>
  <c r="E52" i="14"/>
  <c r="D52" i="14"/>
  <c r="C52" i="14"/>
  <c r="F52" i="14" s="1"/>
  <c r="B52" i="14"/>
  <c r="A52" i="14"/>
  <c r="E51" i="14"/>
  <c r="D51" i="14"/>
  <c r="C51" i="14"/>
  <c r="F51" i="14" s="1"/>
  <c r="B51" i="14"/>
  <c r="A51" i="14"/>
  <c r="E50" i="14"/>
  <c r="D50" i="14"/>
  <c r="C50" i="14"/>
  <c r="B50" i="14"/>
  <c r="A50" i="14"/>
  <c r="E49" i="14"/>
  <c r="D49" i="14"/>
  <c r="C49" i="14"/>
  <c r="B49" i="14"/>
  <c r="A49" i="14"/>
  <c r="E48" i="14"/>
  <c r="D48" i="14"/>
  <c r="C48" i="14"/>
  <c r="F48" i="14" s="1"/>
  <c r="B48" i="14"/>
  <c r="A48" i="14"/>
  <c r="E47" i="14"/>
  <c r="D47" i="14"/>
  <c r="C47" i="14"/>
  <c r="F47" i="14" s="1"/>
  <c r="B47" i="14"/>
  <c r="A47" i="14"/>
  <c r="E46" i="14"/>
  <c r="D46" i="14"/>
  <c r="C46" i="14"/>
  <c r="B46" i="14"/>
  <c r="A46" i="14"/>
  <c r="E45" i="14"/>
  <c r="D45" i="14"/>
  <c r="C45" i="14"/>
  <c r="F45" i="14" s="1"/>
  <c r="B45" i="14"/>
  <c r="A45" i="14"/>
  <c r="E44" i="14"/>
  <c r="D44" i="14"/>
  <c r="C44" i="14"/>
  <c r="F44" i="14" s="1"/>
  <c r="B44" i="14"/>
  <c r="A44" i="14"/>
  <c r="E43" i="14"/>
  <c r="D43" i="14"/>
  <c r="C43" i="14"/>
  <c r="F43" i="14" s="1"/>
  <c r="B43" i="14"/>
  <c r="A43" i="14"/>
  <c r="D42" i="14"/>
  <c r="C42" i="14"/>
  <c r="F42" i="14" s="1"/>
  <c r="B42" i="14"/>
  <c r="A42" i="14"/>
  <c r="E41" i="14"/>
  <c r="D41" i="14"/>
  <c r="C41" i="14"/>
  <c r="F41" i="14" s="1"/>
  <c r="B41" i="14"/>
  <c r="A41" i="14"/>
  <c r="E40" i="14"/>
  <c r="D40" i="14"/>
  <c r="C40" i="14"/>
  <c r="F40" i="14" s="1"/>
  <c r="B40" i="14"/>
  <c r="A40" i="14"/>
  <c r="E39" i="14"/>
  <c r="D39" i="14"/>
  <c r="C39" i="14"/>
  <c r="F39" i="14" s="1"/>
  <c r="B39" i="14"/>
  <c r="A39" i="14"/>
  <c r="E38" i="14"/>
  <c r="D38" i="14"/>
  <c r="C38" i="14"/>
  <c r="F38" i="14" s="1"/>
  <c r="B38" i="14"/>
  <c r="A38" i="14"/>
  <c r="E37" i="14"/>
  <c r="D37" i="14"/>
  <c r="C37" i="14"/>
  <c r="F37" i="14" s="1"/>
  <c r="B37" i="14"/>
  <c r="A37" i="14"/>
  <c r="E36" i="14"/>
  <c r="D36" i="14"/>
  <c r="C36" i="14"/>
  <c r="F36" i="14" s="1"/>
  <c r="B36" i="14"/>
  <c r="A36" i="14"/>
  <c r="E35" i="14"/>
  <c r="D35" i="14"/>
  <c r="C35" i="14"/>
  <c r="F35" i="14" s="1"/>
  <c r="B35" i="14"/>
  <c r="A35" i="14"/>
  <c r="E34" i="14"/>
  <c r="D34" i="14"/>
  <c r="C34" i="14"/>
  <c r="F34" i="14" s="1"/>
  <c r="B34" i="14"/>
  <c r="A34" i="14"/>
  <c r="E33" i="14"/>
  <c r="D33" i="14"/>
  <c r="C33" i="14"/>
  <c r="F33" i="14" s="1"/>
  <c r="B33" i="14"/>
  <c r="A33" i="14"/>
  <c r="E32" i="14"/>
  <c r="D32" i="14"/>
  <c r="C32" i="14"/>
  <c r="F32" i="14" s="1"/>
  <c r="B32" i="14"/>
  <c r="A32" i="14"/>
  <c r="D31" i="14"/>
  <c r="C31" i="14"/>
  <c r="F31" i="14" s="1"/>
  <c r="B31" i="14"/>
  <c r="A31" i="14"/>
  <c r="E30" i="14"/>
  <c r="D30" i="14"/>
  <c r="C30" i="14"/>
  <c r="F30" i="14" s="1"/>
  <c r="B30" i="14"/>
  <c r="A30" i="14"/>
  <c r="D29" i="14"/>
  <c r="C29" i="14"/>
  <c r="F29" i="14" s="1"/>
  <c r="B29" i="14"/>
  <c r="A29" i="14"/>
  <c r="E28" i="14"/>
  <c r="D28" i="14"/>
  <c r="C28" i="14"/>
  <c r="F28" i="14" s="1"/>
  <c r="B28" i="14"/>
  <c r="A28" i="14"/>
  <c r="D27" i="14"/>
  <c r="C27" i="14"/>
  <c r="F27" i="14" s="1"/>
  <c r="B27" i="14"/>
  <c r="A27" i="14"/>
  <c r="E26" i="14"/>
  <c r="D26" i="14"/>
  <c r="C26" i="14"/>
  <c r="F26" i="14" s="1"/>
  <c r="B26" i="14"/>
  <c r="A26" i="14"/>
  <c r="E25" i="14"/>
  <c r="D25" i="14"/>
  <c r="C25" i="14"/>
  <c r="F25" i="14" s="1"/>
  <c r="B25" i="14"/>
  <c r="A25" i="14"/>
  <c r="E24" i="14"/>
  <c r="D24" i="14"/>
  <c r="C24" i="14"/>
  <c r="F24" i="14" s="1"/>
  <c r="B24" i="14"/>
  <c r="A24" i="14"/>
  <c r="E23" i="14"/>
  <c r="D23" i="14"/>
  <c r="C23" i="14"/>
  <c r="F23" i="14" s="1"/>
  <c r="B23" i="14"/>
  <c r="A23" i="14"/>
  <c r="D22" i="14"/>
  <c r="C22" i="14"/>
  <c r="F22" i="14" s="1"/>
  <c r="B22" i="14"/>
  <c r="A22" i="14"/>
  <c r="E21" i="14"/>
  <c r="D21" i="14"/>
  <c r="C21" i="14"/>
  <c r="F21" i="14" s="1"/>
  <c r="B21" i="14"/>
  <c r="A21" i="14"/>
  <c r="E20" i="14"/>
  <c r="D20" i="14"/>
  <c r="C20" i="14"/>
  <c r="F20" i="14" s="1"/>
  <c r="B20" i="14"/>
  <c r="A20" i="14"/>
  <c r="E19" i="14"/>
  <c r="D19" i="14"/>
  <c r="C19" i="14"/>
  <c r="F19" i="14" s="1"/>
  <c r="B19" i="14"/>
  <c r="A19" i="14"/>
  <c r="E18" i="14"/>
  <c r="D18" i="14"/>
  <c r="C18" i="14"/>
  <c r="F18" i="14" s="1"/>
  <c r="B18" i="14"/>
  <c r="A18" i="14"/>
  <c r="E17" i="14"/>
  <c r="D17" i="14"/>
  <c r="C17" i="14"/>
  <c r="F17" i="14" s="1"/>
  <c r="B17" i="14"/>
  <c r="A17" i="14"/>
  <c r="E16" i="14"/>
  <c r="D16" i="14"/>
  <c r="C16" i="14"/>
  <c r="F16" i="14" s="1"/>
  <c r="B16" i="14"/>
  <c r="A16" i="14"/>
  <c r="E15" i="14"/>
  <c r="D15" i="14"/>
  <c r="C15" i="14"/>
  <c r="F15" i="14" s="1"/>
  <c r="B15" i="14"/>
  <c r="A15" i="14"/>
  <c r="E14" i="14"/>
  <c r="D14" i="14"/>
  <c r="C14" i="14"/>
  <c r="F14" i="14" s="1"/>
  <c r="B14" i="14"/>
  <c r="A14" i="14"/>
  <c r="E13" i="14"/>
  <c r="D13" i="14"/>
  <c r="C13" i="14"/>
  <c r="F13" i="14" s="1"/>
  <c r="B13" i="14"/>
  <c r="A13" i="14"/>
  <c r="E12" i="14"/>
  <c r="D12" i="14"/>
  <c r="C12" i="14"/>
  <c r="F12" i="14" s="1"/>
  <c r="B12" i="14"/>
  <c r="A12" i="14"/>
  <c r="E11" i="14"/>
  <c r="D11" i="14"/>
  <c r="C11" i="14"/>
  <c r="F11" i="14" s="1"/>
  <c r="B11" i="14"/>
  <c r="A11" i="14"/>
  <c r="E10" i="14"/>
  <c r="D10" i="14"/>
  <c r="C10" i="14"/>
  <c r="F10" i="14" s="1"/>
  <c r="B10" i="14"/>
  <c r="A10" i="14"/>
  <c r="E9" i="14"/>
  <c r="D9" i="14"/>
  <c r="C9" i="14"/>
  <c r="F9" i="14" s="1"/>
  <c r="B9" i="14"/>
  <c r="A9" i="14"/>
  <c r="E8" i="14"/>
  <c r="D8" i="14"/>
  <c r="C8" i="14"/>
  <c r="F8" i="14" s="1"/>
  <c r="B8" i="14"/>
  <c r="A8" i="14"/>
  <c r="E7" i="14"/>
  <c r="D7" i="14"/>
  <c r="C7" i="14"/>
  <c r="F7" i="14" s="1"/>
  <c r="B7" i="14"/>
  <c r="A7" i="14"/>
  <c r="E6" i="14"/>
  <c r="D6" i="14"/>
  <c r="C6" i="14"/>
  <c r="F6" i="14" s="1"/>
  <c r="B6" i="14"/>
  <c r="A6" i="14"/>
  <c r="E5" i="14"/>
  <c r="D5" i="14"/>
  <c r="C5" i="14"/>
  <c r="F5" i="14" s="1"/>
  <c r="B5" i="14"/>
  <c r="A5" i="14"/>
  <c r="E4" i="14"/>
  <c r="D4" i="14"/>
  <c r="C4" i="14"/>
  <c r="B4" i="14"/>
  <c r="A4" i="14"/>
  <c r="E3" i="14"/>
  <c r="D3" i="14"/>
  <c r="C3" i="14"/>
  <c r="F3" i="14" s="1"/>
  <c r="B3" i="14"/>
  <c r="A3" i="14"/>
  <c r="E2" i="14"/>
  <c r="D2" i="14"/>
  <c r="C2" i="14"/>
  <c r="B2" i="14"/>
  <c r="A2" i="14"/>
  <c r="S143" i="13"/>
  <c r="S142" i="13"/>
  <c r="S141" i="13"/>
  <c r="S140" i="13"/>
  <c r="S139" i="13"/>
  <c r="S138" i="13"/>
  <c r="S137" i="13"/>
  <c r="S136" i="13"/>
  <c r="S135" i="13"/>
  <c r="S134" i="13"/>
  <c r="S133" i="13"/>
  <c r="S132" i="13"/>
  <c r="S131" i="13"/>
  <c r="S130" i="13"/>
  <c r="S129" i="13"/>
  <c r="S128" i="13"/>
  <c r="S127" i="13"/>
  <c r="S126" i="13"/>
  <c r="S125" i="13"/>
  <c r="S124" i="13"/>
  <c r="S123" i="13"/>
  <c r="S122" i="13"/>
  <c r="S121" i="13"/>
  <c r="S120" i="13"/>
  <c r="S119" i="13"/>
  <c r="S118" i="13"/>
  <c r="S117" i="13"/>
  <c r="S116" i="13"/>
  <c r="S115" i="13"/>
  <c r="S114" i="13"/>
  <c r="S113" i="13"/>
  <c r="S112" i="13"/>
  <c r="S111" i="13"/>
  <c r="S110" i="13"/>
  <c r="S109" i="13"/>
  <c r="S108" i="13"/>
  <c r="S107" i="13"/>
  <c r="S106" i="13"/>
  <c r="S105" i="13"/>
  <c r="T104" i="13"/>
  <c r="S104" i="13"/>
  <c r="Q104" i="13"/>
  <c r="P104" i="13"/>
  <c r="I104" i="13"/>
  <c r="H104" i="13"/>
  <c r="G104" i="13"/>
  <c r="F104" i="13"/>
  <c r="E104" i="13"/>
  <c r="D104" i="13"/>
  <c r="C104" i="13"/>
  <c r="B104" i="13"/>
  <c r="T103" i="13"/>
  <c r="S103" i="13"/>
  <c r="Q103" i="13"/>
  <c r="P103" i="13"/>
  <c r="I103" i="13"/>
  <c r="H103" i="13"/>
  <c r="G103" i="13"/>
  <c r="F103" i="13"/>
  <c r="E103" i="13"/>
  <c r="D103" i="13"/>
  <c r="C103" i="13"/>
  <c r="B103" i="13"/>
  <c r="T102" i="13"/>
  <c r="S102" i="13"/>
  <c r="Q102" i="13"/>
  <c r="P102" i="13"/>
  <c r="I102" i="13"/>
  <c r="H102" i="13"/>
  <c r="F102" i="13"/>
  <c r="E102" i="13"/>
  <c r="D102" i="13"/>
  <c r="C102" i="13"/>
  <c r="B102" i="13"/>
  <c r="T101" i="13"/>
  <c r="S101" i="13"/>
  <c r="Q101" i="13"/>
  <c r="P101" i="13"/>
  <c r="I101" i="13"/>
  <c r="H101" i="13"/>
  <c r="G101" i="13"/>
  <c r="F101" i="13"/>
  <c r="E101" i="13"/>
  <c r="D101" i="13"/>
  <c r="C101" i="13"/>
  <c r="B101" i="13"/>
  <c r="T100" i="13"/>
  <c r="S100" i="13"/>
  <c r="Q100" i="13"/>
  <c r="P100" i="13"/>
  <c r="I100" i="13"/>
  <c r="H100" i="13"/>
  <c r="G100" i="13"/>
  <c r="F100" i="13"/>
  <c r="E100" i="13"/>
  <c r="D100" i="13"/>
  <c r="C100" i="13"/>
  <c r="B100" i="13"/>
  <c r="T99" i="13"/>
  <c r="S99" i="13"/>
  <c r="Q99" i="13"/>
  <c r="P99" i="13"/>
  <c r="I99" i="13"/>
  <c r="H99" i="13"/>
  <c r="G99" i="13"/>
  <c r="F99" i="13"/>
  <c r="E99" i="13"/>
  <c r="D99" i="13"/>
  <c r="C99" i="13"/>
  <c r="B99" i="13"/>
  <c r="T98" i="13"/>
  <c r="S98" i="13"/>
  <c r="Q98" i="13"/>
  <c r="P98" i="13"/>
  <c r="I98" i="13"/>
  <c r="H98" i="13"/>
  <c r="G98" i="13"/>
  <c r="F98" i="13"/>
  <c r="E98" i="13"/>
  <c r="D98" i="13"/>
  <c r="C98" i="13"/>
  <c r="B98" i="13"/>
  <c r="T97" i="13"/>
  <c r="S97" i="13"/>
  <c r="Q97" i="13"/>
  <c r="P97" i="13"/>
  <c r="I97" i="13"/>
  <c r="H97" i="13"/>
  <c r="G97" i="13"/>
  <c r="F97" i="13"/>
  <c r="E97" i="13"/>
  <c r="D97" i="13"/>
  <c r="C97" i="13"/>
  <c r="B97" i="13"/>
  <c r="T96" i="13"/>
  <c r="S96" i="13"/>
  <c r="Q96" i="13"/>
  <c r="P96" i="13"/>
  <c r="I96" i="13"/>
  <c r="H96" i="13"/>
  <c r="G96" i="13"/>
  <c r="F96" i="13"/>
  <c r="E96" i="13"/>
  <c r="D96" i="13"/>
  <c r="C96" i="13"/>
  <c r="B96" i="13"/>
  <c r="T95" i="13"/>
  <c r="S95" i="13"/>
  <c r="Q95" i="13"/>
  <c r="P95" i="13"/>
  <c r="I95" i="13"/>
  <c r="H95" i="13"/>
  <c r="G95" i="13"/>
  <c r="F95" i="13"/>
  <c r="E95" i="13"/>
  <c r="D95" i="13"/>
  <c r="C95" i="13"/>
  <c r="B95" i="13"/>
  <c r="T94" i="13"/>
  <c r="S94" i="13"/>
  <c r="Q94" i="13"/>
  <c r="P94" i="13"/>
  <c r="I94" i="13"/>
  <c r="H94" i="13"/>
  <c r="G94" i="13"/>
  <c r="F94" i="13"/>
  <c r="E94" i="13"/>
  <c r="D94" i="13"/>
  <c r="C94" i="13"/>
  <c r="B94" i="13"/>
  <c r="T93" i="13"/>
  <c r="S93" i="13"/>
  <c r="Q93" i="13"/>
  <c r="P93" i="13"/>
  <c r="I93" i="13"/>
  <c r="H93" i="13"/>
  <c r="G93" i="13"/>
  <c r="F93" i="13"/>
  <c r="E93" i="13"/>
  <c r="D93" i="13"/>
  <c r="C93" i="13"/>
  <c r="B93" i="13"/>
  <c r="T92" i="13"/>
  <c r="S92" i="13"/>
  <c r="Q92" i="13"/>
  <c r="P92" i="13"/>
  <c r="I92" i="13"/>
  <c r="H92" i="13"/>
  <c r="G92" i="13"/>
  <c r="F92" i="13"/>
  <c r="E92" i="13"/>
  <c r="D92" i="13"/>
  <c r="C92" i="13"/>
  <c r="B92" i="13"/>
  <c r="T91" i="13"/>
  <c r="S91" i="13"/>
  <c r="Q91" i="13"/>
  <c r="P91" i="13"/>
  <c r="I91" i="13"/>
  <c r="H91" i="13"/>
  <c r="G91" i="13"/>
  <c r="F91" i="13"/>
  <c r="E91" i="13"/>
  <c r="D91" i="13"/>
  <c r="C91" i="13"/>
  <c r="B91" i="13"/>
  <c r="T90" i="13"/>
  <c r="S90" i="13"/>
  <c r="Q90" i="13"/>
  <c r="P90" i="13"/>
  <c r="I90" i="13"/>
  <c r="H90" i="13"/>
  <c r="G90" i="13"/>
  <c r="F90" i="13"/>
  <c r="E90" i="13"/>
  <c r="D90" i="13"/>
  <c r="C90" i="13"/>
  <c r="B90" i="13"/>
  <c r="T89" i="13"/>
  <c r="S89" i="13"/>
  <c r="Q89" i="13"/>
  <c r="P89" i="13"/>
  <c r="I89" i="13"/>
  <c r="H89" i="13"/>
  <c r="F89" i="13"/>
  <c r="E89" i="13"/>
  <c r="D89" i="13"/>
  <c r="C89" i="13"/>
  <c r="B89" i="13"/>
  <c r="T88" i="13"/>
  <c r="S88" i="13"/>
  <c r="Q88" i="13"/>
  <c r="P88" i="13"/>
  <c r="I88" i="13"/>
  <c r="H88" i="13"/>
  <c r="G88" i="13"/>
  <c r="F88" i="13"/>
  <c r="E88" i="13"/>
  <c r="D88" i="13"/>
  <c r="C88" i="13"/>
  <c r="B88" i="13"/>
  <c r="T87" i="13"/>
  <c r="S87" i="13"/>
  <c r="Q87" i="13"/>
  <c r="P87" i="13"/>
  <c r="I87" i="13"/>
  <c r="H87" i="13"/>
  <c r="G87" i="13"/>
  <c r="F87" i="13"/>
  <c r="E87" i="13"/>
  <c r="D87" i="13"/>
  <c r="C87" i="13"/>
  <c r="B87" i="13"/>
  <c r="T86" i="13"/>
  <c r="S86" i="13"/>
  <c r="Q86" i="13"/>
  <c r="P86" i="13"/>
  <c r="I86" i="13"/>
  <c r="H86" i="13"/>
  <c r="G86" i="13"/>
  <c r="F86" i="13"/>
  <c r="E86" i="13"/>
  <c r="D86" i="13"/>
  <c r="C86" i="13"/>
  <c r="B86" i="13"/>
  <c r="T85" i="13"/>
  <c r="S85" i="13"/>
  <c r="Q85" i="13"/>
  <c r="P85" i="13"/>
  <c r="I85" i="13"/>
  <c r="H85" i="13"/>
  <c r="G85" i="13"/>
  <c r="F85" i="13"/>
  <c r="E85" i="13"/>
  <c r="D85" i="13"/>
  <c r="C85" i="13"/>
  <c r="B85" i="13"/>
  <c r="T84" i="13"/>
  <c r="S84" i="13"/>
  <c r="Q84" i="13"/>
  <c r="P84" i="13"/>
  <c r="I84" i="13"/>
  <c r="H84" i="13"/>
  <c r="G84" i="13"/>
  <c r="F84" i="13"/>
  <c r="E84" i="13"/>
  <c r="D84" i="13"/>
  <c r="C84" i="13"/>
  <c r="B84" i="13"/>
  <c r="T83" i="13"/>
  <c r="S83" i="13"/>
  <c r="Q83" i="13"/>
  <c r="P83" i="13"/>
  <c r="I83" i="13"/>
  <c r="H83" i="13"/>
  <c r="G83" i="13"/>
  <c r="F83" i="13"/>
  <c r="E83" i="13"/>
  <c r="D83" i="13"/>
  <c r="C83" i="13"/>
  <c r="B83" i="13"/>
  <c r="T82" i="13"/>
  <c r="S82" i="13"/>
  <c r="Q82" i="13"/>
  <c r="P82" i="13"/>
  <c r="I82" i="13"/>
  <c r="H82" i="13"/>
  <c r="G82" i="13"/>
  <c r="F82" i="13"/>
  <c r="E82" i="13"/>
  <c r="D82" i="13"/>
  <c r="C82" i="13"/>
  <c r="B82" i="13"/>
  <c r="T81" i="13"/>
  <c r="S81" i="13"/>
  <c r="Q81" i="13"/>
  <c r="P81" i="13"/>
  <c r="I81" i="13"/>
  <c r="H81" i="13"/>
  <c r="G81" i="13"/>
  <c r="F81" i="13"/>
  <c r="E81" i="13"/>
  <c r="D81" i="13"/>
  <c r="C81" i="13"/>
  <c r="B81" i="13"/>
  <c r="T80" i="13"/>
  <c r="S80" i="13"/>
  <c r="Q80" i="13"/>
  <c r="P80" i="13"/>
  <c r="I80" i="13"/>
  <c r="H80" i="13"/>
  <c r="G80" i="13"/>
  <c r="F80" i="13"/>
  <c r="E80" i="13"/>
  <c r="D80" i="13"/>
  <c r="C80" i="13"/>
  <c r="B80" i="13"/>
  <c r="T79" i="13"/>
  <c r="S79" i="13"/>
  <c r="Q79" i="13"/>
  <c r="P79" i="13"/>
  <c r="I79" i="13"/>
  <c r="H79" i="13"/>
  <c r="G79" i="13"/>
  <c r="F79" i="13"/>
  <c r="E79" i="13"/>
  <c r="D79" i="13"/>
  <c r="C79" i="13"/>
  <c r="B79" i="13"/>
  <c r="T78" i="13"/>
  <c r="S78" i="13"/>
  <c r="Q78" i="13"/>
  <c r="P78" i="13"/>
  <c r="I78" i="13"/>
  <c r="H78" i="13"/>
  <c r="G78" i="13"/>
  <c r="F78" i="13"/>
  <c r="E78" i="13"/>
  <c r="D78" i="13"/>
  <c r="C78" i="13"/>
  <c r="B78" i="13"/>
  <c r="T77" i="13"/>
  <c r="S77" i="13"/>
  <c r="Q77" i="13"/>
  <c r="P77" i="13"/>
  <c r="I77" i="13"/>
  <c r="H77" i="13"/>
  <c r="G77" i="13"/>
  <c r="F77" i="13"/>
  <c r="E77" i="13"/>
  <c r="D77" i="13"/>
  <c r="C77" i="13"/>
  <c r="B77" i="13"/>
  <c r="T76" i="13"/>
  <c r="S76" i="13"/>
  <c r="Q76" i="13"/>
  <c r="P76" i="13"/>
  <c r="I76" i="13"/>
  <c r="H76" i="13"/>
  <c r="G76" i="13"/>
  <c r="F76" i="13"/>
  <c r="E76" i="13"/>
  <c r="D76" i="13"/>
  <c r="C76" i="13"/>
  <c r="B76" i="13"/>
  <c r="T75" i="13"/>
  <c r="S75" i="13"/>
  <c r="Q75" i="13"/>
  <c r="P75" i="13"/>
  <c r="I75" i="13"/>
  <c r="H75" i="13"/>
  <c r="G75" i="13"/>
  <c r="F75" i="13"/>
  <c r="E75" i="13"/>
  <c r="D75" i="13"/>
  <c r="C75" i="13"/>
  <c r="B75" i="13"/>
  <c r="T74" i="13"/>
  <c r="S74" i="13"/>
  <c r="Q74" i="13"/>
  <c r="P74" i="13"/>
  <c r="I74" i="13"/>
  <c r="H74" i="13"/>
  <c r="G74" i="13"/>
  <c r="F74" i="13"/>
  <c r="E74" i="13"/>
  <c r="D74" i="13"/>
  <c r="C74" i="13"/>
  <c r="B74" i="13"/>
  <c r="T73" i="13"/>
  <c r="S73" i="13"/>
  <c r="Q73" i="13"/>
  <c r="P73" i="13"/>
  <c r="I73" i="13"/>
  <c r="H73" i="13"/>
  <c r="G73" i="13"/>
  <c r="F73" i="13"/>
  <c r="E73" i="13"/>
  <c r="D73" i="13"/>
  <c r="C73" i="13"/>
  <c r="B73" i="13"/>
  <c r="T72" i="13"/>
  <c r="S72" i="13"/>
  <c r="Q72" i="13"/>
  <c r="P72" i="13"/>
  <c r="I72" i="13"/>
  <c r="H72" i="13"/>
  <c r="G72" i="13"/>
  <c r="F72" i="13"/>
  <c r="E72" i="13"/>
  <c r="D72" i="13"/>
  <c r="C72" i="13"/>
  <c r="B72" i="13"/>
  <c r="T71" i="13"/>
  <c r="S71" i="13"/>
  <c r="Q71" i="13"/>
  <c r="P71" i="13"/>
  <c r="I71" i="13"/>
  <c r="H71" i="13"/>
  <c r="G71" i="13"/>
  <c r="F71" i="13"/>
  <c r="E71" i="13"/>
  <c r="D71" i="13"/>
  <c r="C71" i="13"/>
  <c r="B71" i="13"/>
  <c r="T70" i="13"/>
  <c r="S70" i="13"/>
  <c r="Q70" i="13"/>
  <c r="P70" i="13"/>
  <c r="I70" i="13"/>
  <c r="H70" i="13"/>
  <c r="G70" i="13"/>
  <c r="F70" i="13"/>
  <c r="E70" i="13"/>
  <c r="D70" i="13"/>
  <c r="C70" i="13"/>
  <c r="B70" i="13"/>
  <c r="T69" i="13"/>
  <c r="S69" i="13"/>
  <c r="Q69" i="13"/>
  <c r="P69" i="13"/>
  <c r="I69" i="13"/>
  <c r="H69" i="13"/>
  <c r="G69" i="13"/>
  <c r="F69" i="13"/>
  <c r="E69" i="13"/>
  <c r="D69" i="13"/>
  <c r="C69" i="13"/>
  <c r="B69" i="13"/>
  <c r="T68" i="13"/>
  <c r="S68" i="13"/>
  <c r="Q68" i="13"/>
  <c r="P68" i="13"/>
  <c r="I68" i="13"/>
  <c r="H68" i="13"/>
  <c r="G68" i="13"/>
  <c r="F68" i="13"/>
  <c r="E68" i="13"/>
  <c r="D68" i="13"/>
  <c r="C68" i="13"/>
  <c r="B68" i="13"/>
  <c r="T67" i="13"/>
  <c r="S67" i="13"/>
  <c r="Q67" i="13"/>
  <c r="P67" i="13"/>
  <c r="I67" i="13"/>
  <c r="H67" i="13"/>
  <c r="G67" i="13"/>
  <c r="F67" i="13"/>
  <c r="E67" i="13"/>
  <c r="D67" i="13"/>
  <c r="C67" i="13"/>
  <c r="B67" i="13"/>
  <c r="T66" i="13"/>
  <c r="S66" i="13"/>
  <c r="Q66" i="13"/>
  <c r="P66" i="13"/>
  <c r="I66" i="13"/>
  <c r="H66" i="13"/>
  <c r="G66" i="13"/>
  <c r="F66" i="13"/>
  <c r="E66" i="13"/>
  <c r="D66" i="13"/>
  <c r="C66" i="13"/>
  <c r="B66" i="13"/>
  <c r="T65" i="13"/>
  <c r="S65" i="13"/>
  <c r="Q65" i="13"/>
  <c r="P65" i="13"/>
  <c r="I65" i="13"/>
  <c r="H65" i="13"/>
  <c r="G65" i="13"/>
  <c r="F65" i="13"/>
  <c r="E65" i="13"/>
  <c r="D65" i="13"/>
  <c r="C65" i="13"/>
  <c r="B65" i="13"/>
  <c r="T64" i="13"/>
  <c r="S64" i="13"/>
  <c r="Q64" i="13"/>
  <c r="P64" i="13"/>
  <c r="I64" i="13"/>
  <c r="H64" i="13"/>
  <c r="F64" i="13"/>
  <c r="E64" i="13"/>
  <c r="D64" i="13"/>
  <c r="C64" i="13"/>
  <c r="B64" i="13"/>
  <c r="T63" i="13"/>
  <c r="S63" i="13"/>
  <c r="Q63" i="13"/>
  <c r="P63" i="13"/>
  <c r="I63" i="13"/>
  <c r="H63" i="13"/>
  <c r="G63" i="13"/>
  <c r="F63" i="13"/>
  <c r="E63" i="13"/>
  <c r="D63" i="13"/>
  <c r="C63" i="13"/>
  <c r="B63" i="13"/>
  <c r="T62" i="13"/>
  <c r="S62" i="13"/>
  <c r="Q62" i="13"/>
  <c r="P62" i="13"/>
  <c r="I62" i="13"/>
  <c r="H62" i="13"/>
  <c r="G62" i="13"/>
  <c r="F62" i="13"/>
  <c r="E62" i="13"/>
  <c r="D62" i="13"/>
  <c r="C62" i="13"/>
  <c r="B62" i="13"/>
  <c r="T61" i="13"/>
  <c r="S61" i="13"/>
  <c r="Q61" i="13"/>
  <c r="P61" i="13"/>
  <c r="I61" i="13"/>
  <c r="H61" i="13"/>
  <c r="G61" i="13"/>
  <c r="F61" i="13"/>
  <c r="E61" i="13"/>
  <c r="D61" i="13"/>
  <c r="C61" i="13"/>
  <c r="B61" i="13"/>
  <c r="T60" i="13"/>
  <c r="S60" i="13"/>
  <c r="Q60" i="13"/>
  <c r="P60" i="13"/>
  <c r="I60" i="13"/>
  <c r="H60" i="13"/>
  <c r="G60" i="13"/>
  <c r="F60" i="13"/>
  <c r="E60" i="13"/>
  <c r="D60" i="13"/>
  <c r="C60" i="13"/>
  <c r="B60" i="13"/>
  <c r="T59" i="13"/>
  <c r="S59" i="13"/>
  <c r="Q59" i="13"/>
  <c r="P59" i="13"/>
  <c r="I59" i="13"/>
  <c r="H59" i="13"/>
  <c r="G59" i="13"/>
  <c r="F59" i="13"/>
  <c r="E59" i="13"/>
  <c r="D59" i="13"/>
  <c r="C59" i="13"/>
  <c r="B59" i="13"/>
  <c r="T58" i="13"/>
  <c r="S58" i="13"/>
  <c r="Q58" i="13"/>
  <c r="P58" i="13"/>
  <c r="I58" i="13"/>
  <c r="H58" i="13"/>
  <c r="G58" i="13"/>
  <c r="F58" i="13"/>
  <c r="E58" i="13"/>
  <c r="D58" i="13"/>
  <c r="C58" i="13"/>
  <c r="B58" i="13"/>
  <c r="T57" i="13"/>
  <c r="S57" i="13"/>
  <c r="Q57" i="13"/>
  <c r="P57" i="13"/>
  <c r="I57" i="13"/>
  <c r="H57" i="13"/>
  <c r="G57" i="13"/>
  <c r="F57" i="13"/>
  <c r="E57" i="13"/>
  <c r="D57" i="13"/>
  <c r="C57" i="13"/>
  <c r="B57" i="13"/>
  <c r="T56" i="13"/>
  <c r="S56" i="13"/>
  <c r="Q56" i="13"/>
  <c r="P56" i="13"/>
  <c r="I56" i="13"/>
  <c r="H56" i="13"/>
  <c r="G56" i="13"/>
  <c r="F56" i="13"/>
  <c r="E56" i="13"/>
  <c r="D56" i="13"/>
  <c r="C56" i="13"/>
  <c r="B56" i="13"/>
  <c r="T55" i="13"/>
  <c r="S55" i="13"/>
  <c r="Q55" i="13"/>
  <c r="P55" i="13"/>
  <c r="I55" i="13"/>
  <c r="H55" i="13"/>
  <c r="G55" i="13"/>
  <c r="F55" i="13"/>
  <c r="E55" i="13"/>
  <c r="D55" i="13"/>
  <c r="C55" i="13"/>
  <c r="B55" i="13"/>
  <c r="T54" i="13"/>
  <c r="S54" i="13"/>
  <c r="Q54" i="13"/>
  <c r="P54" i="13"/>
  <c r="I54" i="13"/>
  <c r="H54" i="13"/>
  <c r="G54" i="13"/>
  <c r="F54" i="13"/>
  <c r="E54" i="13"/>
  <c r="D54" i="13"/>
  <c r="C54" i="13"/>
  <c r="B54" i="13"/>
  <c r="T53" i="13"/>
  <c r="S53" i="13"/>
  <c r="Q53" i="13"/>
  <c r="P53" i="13"/>
  <c r="I53" i="13"/>
  <c r="H53" i="13"/>
  <c r="G53" i="13"/>
  <c r="F53" i="13"/>
  <c r="E53" i="13"/>
  <c r="D53" i="13"/>
  <c r="C53" i="13"/>
  <c r="B53" i="13"/>
  <c r="T52" i="13"/>
  <c r="S52" i="13"/>
  <c r="Q52" i="13"/>
  <c r="P52" i="13"/>
  <c r="I52" i="13"/>
  <c r="H52" i="13"/>
  <c r="G52" i="13"/>
  <c r="F52" i="13"/>
  <c r="E52" i="13"/>
  <c r="D52" i="13"/>
  <c r="C52" i="13"/>
  <c r="B52" i="13"/>
  <c r="T51" i="13"/>
  <c r="S51" i="13"/>
  <c r="Q51" i="13"/>
  <c r="P51" i="13"/>
  <c r="I51" i="13"/>
  <c r="H51" i="13"/>
  <c r="G51" i="13"/>
  <c r="F51" i="13"/>
  <c r="E51" i="13"/>
  <c r="D51" i="13"/>
  <c r="C51" i="13"/>
  <c r="B51" i="13"/>
  <c r="T50" i="13"/>
  <c r="S50" i="13"/>
  <c r="Q50" i="13"/>
  <c r="P50" i="13"/>
  <c r="I50" i="13"/>
  <c r="H50" i="13"/>
  <c r="G50" i="13"/>
  <c r="F50" i="13"/>
  <c r="E50" i="13"/>
  <c r="D50" i="13"/>
  <c r="C50" i="13"/>
  <c r="B50" i="13"/>
  <c r="T49" i="13"/>
  <c r="S49" i="13"/>
  <c r="Q49" i="13"/>
  <c r="P49" i="13"/>
  <c r="I49" i="13"/>
  <c r="H49" i="13"/>
  <c r="G49" i="13"/>
  <c r="F49" i="13"/>
  <c r="E49" i="13"/>
  <c r="D49" i="13"/>
  <c r="C49" i="13"/>
  <c r="B49" i="13"/>
  <c r="T48" i="13"/>
  <c r="S48" i="13"/>
  <c r="Q48" i="13"/>
  <c r="P48" i="13"/>
  <c r="I48" i="13"/>
  <c r="H48" i="13"/>
  <c r="G48" i="13"/>
  <c r="F48" i="13"/>
  <c r="E48" i="13"/>
  <c r="D48" i="13"/>
  <c r="C48" i="13"/>
  <c r="B48" i="13"/>
  <c r="T47" i="13"/>
  <c r="S47" i="13"/>
  <c r="Q47" i="13"/>
  <c r="P47" i="13"/>
  <c r="I47" i="13"/>
  <c r="H47" i="13"/>
  <c r="G47" i="13"/>
  <c r="F47" i="13"/>
  <c r="E47" i="13"/>
  <c r="D47" i="13"/>
  <c r="C47" i="13"/>
  <c r="B47" i="13"/>
  <c r="T46" i="13"/>
  <c r="S46" i="13"/>
  <c r="Q46" i="13"/>
  <c r="P46" i="13"/>
  <c r="I46" i="13"/>
  <c r="H46" i="13"/>
  <c r="G46" i="13"/>
  <c r="F46" i="13"/>
  <c r="E46" i="13"/>
  <c r="D46" i="13"/>
  <c r="C46" i="13"/>
  <c r="B46" i="13"/>
  <c r="T45" i="13"/>
  <c r="S45" i="13"/>
  <c r="Q45" i="13"/>
  <c r="P45" i="13"/>
  <c r="I45" i="13"/>
  <c r="H45" i="13"/>
  <c r="G45" i="13"/>
  <c r="F45" i="13"/>
  <c r="E45" i="13"/>
  <c r="D45" i="13"/>
  <c r="C45" i="13"/>
  <c r="B45" i="13"/>
  <c r="T44" i="13"/>
  <c r="S44" i="13"/>
  <c r="Q44" i="13"/>
  <c r="P44" i="13"/>
  <c r="I44" i="13"/>
  <c r="H44" i="13"/>
  <c r="G44" i="13"/>
  <c r="F44" i="13"/>
  <c r="E44" i="13"/>
  <c r="D44" i="13"/>
  <c r="C44" i="13"/>
  <c r="B44" i="13"/>
  <c r="T43" i="13"/>
  <c r="S43" i="13"/>
  <c r="Q43" i="13"/>
  <c r="P43" i="13"/>
  <c r="I43" i="13"/>
  <c r="H43" i="13"/>
  <c r="G43" i="13"/>
  <c r="F43" i="13"/>
  <c r="E43" i="13"/>
  <c r="D43" i="13"/>
  <c r="C43" i="13"/>
  <c r="B43" i="13"/>
  <c r="T42" i="13"/>
  <c r="S42" i="13"/>
  <c r="Q42" i="13"/>
  <c r="P42" i="13"/>
  <c r="I42" i="13"/>
  <c r="H42" i="13"/>
  <c r="G42" i="13"/>
  <c r="F42" i="13"/>
  <c r="E42" i="13"/>
  <c r="D42" i="13"/>
  <c r="C42" i="13"/>
  <c r="B42" i="13"/>
  <c r="T41" i="13"/>
  <c r="S41" i="13"/>
  <c r="Q41" i="13"/>
  <c r="P41" i="13"/>
  <c r="I41" i="13"/>
  <c r="H41" i="13"/>
  <c r="G41" i="13"/>
  <c r="F41" i="13"/>
  <c r="E41" i="13"/>
  <c r="D41" i="13"/>
  <c r="C41" i="13"/>
  <c r="B41" i="13"/>
  <c r="T40" i="13"/>
  <c r="S40" i="13"/>
  <c r="Q40" i="13"/>
  <c r="P40" i="13"/>
  <c r="I40" i="13"/>
  <c r="H40" i="13"/>
  <c r="G40" i="13"/>
  <c r="F40" i="13"/>
  <c r="E40" i="13"/>
  <c r="D40" i="13"/>
  <c r="C40" i="13"/>
  <c r="B40" i="13"/>
  <c r="T39" i="13"/>
  <c r="S39" i="13"/>
  <c r="Q39" i="13"/>
  <c r="P39" i="13"/>
  <c r="I39" i="13"/>
  <c r="H39" i="13"/>
  <c r="G39" i="13"/>
  <c r="F39" i="13"/>
  <c r="E39" i="13"/>
  <c r="D39" i="13"/>
  <c r="C39" i="13"/>
  <c r="B39" i="13"/>
  <c r="T38" i="13"/>
  <c r="S38" i="13"/>
  <c r="Q38" i="13"/>
  <c r="P38" i="13"/>
  <c r="I38" i="13"/>
  <c r="H38" i="13"/>
  <c r="G38" i="13"/>
  <c r="F38" i="13"/>
  <c r="E38" i="13"/>
  <c r="D38" i="13"/>
  <c r="C38" i="13"/>
  <c r="B38" i="13"/>
  <c r="T37" i="13"/>
  <c r="S37" i="13"/>
  <c r="Q37" i="13"/>
  <c r="P37" i="13"/>
  <c r="I37" i="13"/>
  <c r="H37" i="13"/>
  <c r="G37" i="13"/>
  <c r="F37" i="13"/>
  <c r="E37" i="13"/>
  <c r="D37" i="13"/>
  <c r="C37" i="13"/>
  <c r="B37" i="13"/>
  <c r="T36" i="13"/>
  <c r="S36" i="13"/>
  <c r="Q36" i="13"/>
  <c r="P36" i="13"/>
  <c r="I36" i="13"/>
  <c r="H36" i="13"/>
  <c r="G36" i="13"/>
  <c r="F36" i="13"/>
  <c r="E36" i="13"/>
  <c r="D36" i="13"/>
  <c r="C36" i="13"/>
  <c r="B36" i="13"/>
  <c r="T35" i="13"/>
  <c r="S35" i="13"/>
  <c r="Q35" i="13"/>
  <c r="P35" i="13"/>
  <c r="I35" i="13"/>
  <c r="H35" i="13"/>
  <c r="G35" i="13"/>
  <c r="F35" i="13"/>
  <c r="E35" i="13"/>
  <c r="D35" i="13"/>
  <c r="C35" i="13"/>
  <c r="B35" i="13"/>
  <c r="T34" i="13"/>
  <c r="S34" i="13"/>
  <c r="Q34" i="13"/>
  <c r="P34" i="13"/>
  <c r="I34" i="13"/>
  <c r="H34" i="13"/>
  <c r="G34" i="13"/>
  <c r="F34" i="13"/>
  <c r="E34" i="13"/>
  <c r="D34" i="13"/>
  <c r="C34" i="13"/>
  <c r="B34" i="13"/>
  <c r="T33" i="13"/>
  <c r="S33" i="13"/>
  <c r="Q33" i="13"/>
  <c r="P33" i="13"/>
  <c r="I33" i="13"/>
  <c r="H33" i="13"/>
  <c r="G33" i="13"/>
  <c r="F33" i="13"/>
  <c r="E33" i="13"/>
  <c r="D33" i="13"/>
  <c r="C33" i="13"/>
  <c r="B33" i="13"/>
  <c r="T32" i="13"/>
  <c r="S32" i="13"/>
  <c r="Q32" i="13"/>
  <c r="P32" i="13"/>
  <c r="I32" i="13"/>
  <c r="H32" i="13"/>
  <c r="G32" i="13"/>
  <c r="F32" i="13"/>
  <c r="E32" i="13"/>
  <c r="D32" i="13"/>
  <c r="C32" i="13"/>
  <c r="B32" i="13"/>
  <c r="T31" i="13"/>
  <c r="S31" i="13"/>
  <c r="Q31" i="13"/>
  <c r="P31" i="13"/>
  <c r="I31" i="13"/>
  <c r="H31" i="13"/>
  <c r="G31" i="13"/>
  <c r="F31" i="13"/>
  <c r="E31" i="13"/>
  <c r="D31" i="13"/>
  <c r="C31" i="13"/>
  <c r="B31" i="13"/>
  <c r="T30" i="13"/>
  <c r="S30" i="13"/>
  <c r="Q30" i="13"/>
  <c r="P30" i="13"/>
  <c r="I30" i="13"/>
  <c r="H30" i="13"/>
  <c r="G30" i="13"/>
  <c r="F30" i="13"/>
  <c r="E30" i="13"/>
  <c r="D30" i="13"/>
  <c r="C30" i="13"/>
  <c r="B30" i="13"/>
  <c r="T29" i="13"/>
  <c r="S29" i="13"/>
  <c r="Q29" i="13"/>
  <c r="P29" i="13"/>
  <c r="I29" i="13"/>
  <c r="H29" i="13"/>
  <c r="G29" i="13"/>
  <c r="F29" i="13"/>
  <c r="E29" i="13"/>
  <c r="D29" i="13"/>
  <c r="C29" i="13"/>
  <c r="B29" i="13"/>
  <c r="T28" i="13"/>
  <c r="S28" i="13"/>
  <c r="Q28" i="13"/>
  <c r="P28" i="13"/>
  <c r="I28" i="13"/>
  <c r="H28" i="13"/>
  <c r="G28" i="13"/>
  <c r="F28" i="13"/>
  <c r="E28" i="13"/>
  <c r="D28" i="13"/>
  <c r="C28" i="13"/>
  <c r="B28" i="13"/>
  <c r="T27" i="13"/>
  <c r="S27" i="13"/>
  <c r="Q27" i="13"/>
  <c r="P27" i="13"/>
  <c r="I27" i="13"/>
  <c r="H27" i="13"/>
  <c r="G27" i="13"/>
  <c r="F27" i="13"/>
  <c r="E27" i="13"/>
  <c r="D27" i="13"/>
  <c r="C27" i="13"/>
  <c r="B27" i="13"/>
  <c r="T26" i="13"/>
  <c r="S26" i="13"/>
  <c r="Q26" i="13"/>
  <c r="P26" i="13"/>
  <c r="I26" i="13"/>
  <c r="H26" i="13"/>
  <c r="G26" i="13"/>
  <c r="F26" i="13"/>
  <c r="E26" i="13"/>
  <c r="D26" i="13"/>
  <c r="C26" i="13"/>
  <c r="B26" i="13"/>
  <c r="T25" i="13"/>
  <c r="S25" i="13"/>
  <c r="Q25" i="13"/>
  <c r="P25" i="13"/>
  <c r="I25" i="13"/>
  <c r="H25" i="13"/>
  <c r="G25" i="13"/>
  <c r="F25" i="13"/>
  <c r="E25" i="13"/>
  <c r="D25" i="13"/>
  <c r="C25" i="13"/>
  <c r="B25" i="13"/>
  <c r="T24" i="13"/>
  <c r="S24" i="13"/>
  <c r="Q24" i="13"/>
  <c r="P24" i="13"/>
  <c r="I24" i="13"/>
  <c r="H24" i="13"/>
  <c r="G24" i="13"/>
  <c r="F24" i="13"/>
  <c r="E24" i="13"/>
  <c r="D24" i="13"/>
  <c r="C24" i="13"/>
  <c r="B24" i="13"/>
  <c r="T23" i="13"/>
  <c r="S23" i="13"/>
  <c r="Q23" i="13"/>
  <c r="P23" i="13"/>
  <c r="I23" i="13"/>
  <c r="H23" i="13"/>
  <c r="G23" i="13"/>
  <c r="F23" i="13"/>
  <c r="E23" i="13"/>
  <c r="D23" i="13"/>
  <c r="C23" i="13"/>
  <c r="B23" i="13"/>
  <c r="T22" i="13"/>
  <c r="S22" i="13"/>
  <c r="Q22" i="13"/>
  <c r="P22" i="13"/>
  <c r="I22" i="13"/>
  <c r="H22" i="13"/>
  <c r="G22" i="13"/>
  <c r="F22" i="13"/>
  <c r="E22" i="13"/>
  <c r="D22" i="13"/>
  <c r="C22" i="13"/>
  <c r="B22" i="13"/>
  <c r="T21" i="13"/>
  <c r="S21" i="13"/>
  <c r="Q21" i="13"/>
  <c r="P21" i="13"/>
  <c r="I21" i="13"/>
  <c r="H21" i="13"/>
  <c r="G21" i="13"/>
  <c r="F21" i="13"/>
  <c r="E21" i="13"/>
  <c r="D21" i="13"/>
  <c r="C21" i="13"/>
  <c r="B21" i="13"/>
  <c r="T20" i="13"/>
  <c r="S20" i="13"/>
  <c r="Q20" i="13"/>
  <c r="P20" i="13"/>
  <c r="I20" i="13"/>
  <c r="H20" i="13"/>
  <c r="G20" i="13"/>
  <c r="F20" i="13"/>
  <c r="E20" i="13"/>
  <c r="D20" i="13"/>
  <c r="C20" i="13"/>
  <c r="B20" i="13"/>
  <c r="T19" i="13"/>
  <c r="S19" i="13"/>
  <c r="Q19" i="13"/>
  <c r="P19" i="13"/>
  <c r="I19" i="13"/>
  <c r="H19" i="13"/>
  <c r="G19" i="13"/>
  <c r="F19" i="13"/>
  <c r="E19" i="13"/>
  <c r="D19" i="13"/>
  <c r="C19" i="13"/>
  <c r="B19" i="13"/>
  <c r="T18" i="13"/>
  <c r="S18" i="13"/>
  <c r="Q18" i="13"/>
  <c r="P18" i="13"/>
  <c r="I18" i="13"/>
  <c r="H18" i="13"/>
  <c r="G18" i="13"/>
  <c r="F18" i="13"/>
  <c r="E18" i="13"/>
  <c r="D18" i="13"/>
  <c r="C18" i="13"/>
  <c r="B18" i="13"/>
  <c r="T17" i="13"/>
  <c r="S17" i="13"/>
  <c r="Q17" i="13"/>
  <c r="P17" i="13"/>
  <c r="I17" i="13"/>
  <c r="H17" i="13"/>
  <c r="G17" i="13"/>
  <c r="F17" i="13"/>
  <c r="E17" i="13"/>
  <c r="D17" i="13"/>
  <c r="C17" i="13"/>
  <c r="B17" i="13"/>
  <c r="T16" i="13"/>
  <c r="S16" i="13"/>
  <c r="Q16" i="13"/>
  <c r="P16" i="13"/>
  <c r="I16" i="13"/>
  <c r="H16" i="13"/>
  <c r="G16" i="13"/>
  <c r="F16" i="13"/>
  <c r="E16" i="13"/>
  <c r="D16" i="13"/>
  <c r="C16" i="13"/>
  <c r="B16" i="13"/>
  <c r="T15" i="13"/>
  <c r="S15" i="13"/>
  <c r="Q15" i="13"/>
  <c r="P15" i="13"/>
  <c r="I15" i="13"/>
  <c r="H15" i="13"/>
  <c r="G15" i="13"/>
  <c r="F15" i="13"/>
  <c r="E15" i="13"/>
  <c r="D15" i="13"/>
  <c r="C15" i="13"/>
  <c r="B15" i="13"/>
  <c r="T14" i="13"/>
  <c r="S14" i="13"/>
  <c r="Q14" i="13"/>
  <c r="P14" i="13"/>
  <c r="I14" i="13"/>
  <c r="H14" i="13"/>
  <c r="G14" i="13"/>
  <c r="F14" i="13"/>
  <c r="E14" i="13"/>
  <c r="D14" i="13"/>
  <c r="C14" i="13"/>
  <c r="B14" i="13"/>
  <c r="T13" i="13"/>
  <c r="S13" i="13"/>
  <c r="Q13" i="13"/>
  <c r="P13" i="13"/>
  <c r="I13" i="13"/>
  <c r="H13" i="13"/>
  <c r="G13" i="13"/>
  <c r="F13" i="13"/>
  <c r="E13" i="13"/>
  <c r="D13" i="13"/>
  <c r="C13" i="13"/>
  <c r="B13" i="13"/>
  <c r="T12" i="13"/>
  <c r="S12" i="13"/>
  <c r="Q12" i="13"/>
  <c r="P12" i="13"/>
  <c r="I12" i="13"/>
  <c r="H12" i="13"/>
  <c r="G12" i="13"/>
  <c r="F12" i="13"/>
  <c r="E12" i="13"/>
  <c r="D12" i="13"/>
  <c r="C12" i="13"/>
  <c r="B12" i="13"/>
  <c r="T11" i="13"/>
  <c r="S11" i="13"/>
  <c r="Q11" i="13"/>
  <c r="P11" i="13"/>
  <c r="I11" i="13"/>
  <c r="H11" i="13"/>
  <c r="G11" i="13"/>
  <c r="F11" i="13"/>
  <c r="E11" i="13"/>
  <c r="D11" i="13"/>
  <c r="C11" i="13"/>
  <c r="B11" i="13"/>
  <c r="T10" i="13"/>
  <c r="S10" i="13"/>
  <c r="Q10" i="13"/>
  <c r="P10" i="13"/>
  <c r="I10" i="13"/>
  <c r="H10" i="13"/>
  <c r="G10" i="13"/>
  <c r="F10" i="13"/>
  <c r="E10" i="13"/>
  <c r="D10" i="13"/>
  <c r="C10" i="13"/>
  <c r="B10" i="13"/>
  <c r="T9" i="13"/>
  <c r="S9" i="13"/>
  <c r="Q9" i="13"/>
  <c r="P9" i="13"/>
  <c r="I9" i="13"/>
  <c r="H9" i="13"/>
  <c r="G9" i="13"/>
  <c r="F9" i="13"/>
  <c r="E9" i="13"/>
  <c r="D9" i="13"/>
  <c r="C9" i="13"/>
  <c r="B9" i="13"/>
  <c r="T8" i="13"/>
  <c r="S8" i="13"/>
  <c r="Q8" i="13"/>
  <c r="P8" i="13"/>
  <c r="I8" i="13"/>
  <c r="H8" i="13"/>
  <c r="G8" i="13"/>
  <c r="F8" i="13"/>
  <c r="E8" i="13"/>
  <c r="D8" i="13"/>
  <c r="C8" i="13"/>
  <c r="B8" i="13"/>
  <c r="T7" i="13"/>
  <c r="S7" i="13"/>
  <c r="Q7" i="13"/>
  <c r="P7" i="13"/>
  <c r="I7" i="13"/>
  <c r="H7" i="13"/>
  <c r="G7" i="13"/>
  <c r="F7" i="13"/>
  <c r="E7" i="13"/>
  <c r="D7" i="13"/>
  <c r="C7" i="13"/>
  <c r="B7" i="13"/>
  <c r="T6" i="13"/>
  <c r="S6" i="13"/>
  <c r="Q6" i="13"/>
  <c r="P6" i="13"/>
  <c r="I6" i="13"/>
  <c r="H6" i="13"/>
  <c r="G6" i="13"/>
  <c r="F6" i="13"/>
  <c r="E6" i="13"/>
  <c r="D6" i="13"/>
  <c r="C6" i="13"/>
  <c r="B6" i="13"/>
  <c r="T5" i="13"/>
  <c r="S5" i="13"/>
  <c r="Q5" i="13"/>
  <c r="P5" i="13"/>
  <c r="I5" i="13"/>
  <c r="H5" i="13"/>
  <c r="G5" i="13"/>
  <c r="F5" i="13"/>
  <c r="E5" i="13"/>
  <c r="D5" i="13"/>
  <c r="C5" i="13"/>
  <c r="B5" i="13"/>
  <c r="T4" i="13"/>
  <c r="S4" i="13"/>
  <c r="Q4" i="13"/>
  <c r="P4" i="13"/>
  <c r="I4" i="13"/>
  <c r="H4" i="13"/>
  <c r="G4" i="13"/>
  <c r="F4" i="13"/>
  <c r="E4" i="13"/>
  <c r="D4" i="13"/>
  <c r="C4" i="13"/>
  <c r="B4" i="13"/>
  <c r="T3" i="13"/>
  <c r="S3" i="13"/>
  <c r="Q3" i="13"/>
  <c r="P3" i="13"/>
  <c r="I3" i="13"/>
  <c r="H3" i="13"/>
  <c r="G3" i="13"/>
  <c r="F3" i="13"/>
  <c r="E3" i="13"/>
  <c r="D3" i="13"/>
  <c r="C3" i="13"/>
  <c r="B3" i="13"/>
  <c r="S143" i="12"/>
  <c r="S142" i="12"/>
  <c r="S141" i="12"/>
  <c r="S140" i="12"/>
  <c r="S139" i="12"/>
  <c r="S138" i="12"/>
  <c r="S137" i="12"/>
  <c r="S136" i="12"/>
  <c r="S135" i="12"/>
  <c r="S134" i="12"/>
  <c r="S133" i="12"/>
  <c r="S132" i="12"/>
  <c r="S131" i="12"/>
  <c r="S130" i="12"/>
  <c r="S129" i="12"/>
  <c r="S128" i="12"/>
  <c r="S127" i="12"/>
  <c r="S126" i="12"/>
  <c r="S125" i="12"/>
  <c r="S124" i="12"/>
  <c r="S123" i="12"/>
  <c r="S122" i="12"/>
  <c r="S121" i="12"/>
  <c r="S120" i="12"/>
  <c r="S119" i="12"/>
  <c r="S118" i="12"/>
  <c r="S117" i="12"/>
  <c r="S116" i="12"/>
  <c r="S115" i="12"/>
  <c r="S114" i="12"/>
  <c r="S113" i="12"/>
  <c r="S112" i="12"/>
  <c r="S111" i="12"/>
  <c r="S110" i="12"/>
  <c r="S109" i="12"/>
  <c r="S108" i="12"/>
  <c r="S107" i="12"/>
  <c r="S106" i="12"/>
  <c r="S105" i="12"/>
  <c r="S104" i="12"/>
  <c r="S103" i="12"/>
  <c r="S102" i="12"/>
  <c r="S101" i="12"/>
  <c r="S100" i="12"/>
  <c r="S99" i="12"/>
  <c r="S98" i="12"/>
  <c r="S97" i="12"/>
  <c r="S96" i="12"/>
  <c r="S95" i="12"/>
  <c r="S94" i="12"/>
  <c r="S93" i="12"/>
  <c r="S92" i="12"/>
  <c r="S91" i="12"/>
  <c r="S90" i="12"/>
  <c r="S89" i="12"/>
  <c r="S88" i="12"/>
  <c r="S87" i="12"/>
  <c r="S86" i="12"/>
  <c r="S85" i="12"/>
  <c r="S84" i="12"/>
  <c r="S83" i="12"/>
  <c r="S82" i="12"/>
  <c r="S81" i="12"/>
  <c r="S80" i="12"/>
  <c r="S79" i="12"/>
  <c r="S78" i="12"/>
  <c r="S77" i="12"/>
  <c r="S76" i="12"/>
  <c r="S75" i="12"/>
  <c r="S74" i="12"/>
  <c r="S73" i="12"/>
  <c r="S72" i="12"/>
  <c r="S71" i="12"/>
  <c r="S70" i="12"/>
  <c r="S69" i="12"/>
  <c r="S68" i="12"/>
  <c r="S67" i="12"/>
  <c r="S66" i="12"/>
  <c r="S65" i="12"/>
  <c r="S64" i="12"/>
  <c r="S63" i="12"/>
  <c r="S62" i="12"/>
  <c r="S61" i="12"/>
  <c r="S60" i="12"/>
  <c r="S59" i="12"/>
  <c r="S58" i="12"/>
  <c r="S57" i="12"/>
  <c r="S56" i="12"/>
  <c r="S55" i="12"/>
  <c r="S54" i="12"/>
  <c r="S53" i="12"/>
  <c r="S52" i="12"/>
  <c r="S51" i="12"/>
  <c r="S50" i="12"/>
  <c r="S49" i="12"/>
  <c r="S48" i="12"/>
  <c r="S47" i="12"/>
  <c r="S46" i="12"/>
  <c r="S45" i="12"/>
  <c r="S44" i="12"/>
  <c r="S43" i="12"/>
  <c r="S42" i="12"/>
  <c r="S41" i="12"/>
  <c r="S40" i="12"/>
  <c r="S39" i="12"/>
  <c r="S38" i="12"/>
  <c r="S37" i="12"/>
  <c r="S36" i="12"/>
  <c r="S35" i="12"/>
  <c r="S34" i="12"/>
  <c r="V33" i="12"/>
  <c r="T33" i="12"/>
  <c r="S33" i="12"/>
  <c r="Q33" i="12"/>
  <c r="P33" i="12"/>
  <c r="I33" i="12"/>
  <c r="H33" i="12"/>
  <c r="G33" i="12"/>
  <c r="F33" i="12"/>
  <c r="E33" i="12"/>
  <c r="D33" i="12"/>
  <c r="C33" i="12"/>
  <c r="B33" i="12"/>
  <c r="V32" i="12"/>
  <c r="T32" i="12"/>
  <c r="S32" i="12"/>
  <c r="Q32" i="12"/>
  <c r="P32" i="12"/>
  <c r="I32" i="12"/>
  <c r="H32" i="12"/>
  <c r="G32" i="12"/>
  <c r="F32" i="12"/>
  <c r="E32" i="12"/>
  <c r="D32" i="12"/>
  <c r="C32" i="12"/>
  <c r="B32" i="12"/>
  <c r="V31" i="12"/>
  <c r="T31" i="12"/>
  <c r="S31" i="12"/>
  <c r="Q31" i="12"/>
  <c r="P31" i="12"/>
  <c r="I31" i="12"/>
  <c r="H31" i="12"/>
  <c r="G31" i="12"/>
  <c r="F31" i="12"/>
  <c r="E31" i="12"/>
  <c r="D31" i="12"/>
  <c r="C31" i="12"/>
  <c r="B31" i="12"/>
  <c r="V30" i="12"/>
  <c r="T30" i="12"/>
  <c r="S30" i="12"/>
  <c r="Q30" i="12"/>
  <c r="P30" i="12"/>
  <c r="I30" i="12"/>
  <c r="H30" i="12"/>
  <c r="G30" i="12"/>
  <c r="F30" i="12"/>
  <c r="E30" i="12"/>
  <c r="D30" i="12"/>
  <c r="C30" i="12"/>
  <c r="B30" i="12"/>
  <c r="V29" i="12"/>
  <c r="T29" i="12"/>
  <c r="S29" i="12"/>
  <c r="Q29" i="12"/>
  <c r="P29" i="12"/>
  <c r="I29" i="12"/>
  <c r="H29" i="12"/>
  <c r="G29" i="12"/>
  <c r="F29" i="12"/>
  <c r="E29" i="12"/>
  <c r="D29" i="12"/>
  <c r="C29" i="12"/>
  <c r="B29" i="12"/>
  <c r="V28" i="12"/>
  <c r="T28" i="12"/>
  <c r="S28" i="12"/>
  <c r="Q28" i="12"/>
  <c r="P28" i="12"/>
  <c r="I28" i="12"/>
  <c r="H28" i="12"/>
  <c r="G28" i="12"/>
  <c r="F28" i="12"/>
  <c r="E28" i="12"/>
  <c r="D28" i="12"/>
  <c r="C28" i="12"/>
  <c r="B28" i="12"/>
  <c r="V27" i="12"/>
  <c r="T27" i="12"/>
  <c r="S27" i="12"/>
  <c r="Q27" i="12"/>
  <c r="P27" i="12"/>
  <c r="I27" i="12"/>
  <c r="H27" i="12"/>
  <c r="G27" i="12"/>
  <c r="F27" i="12"/>
  <c r="E27" i="12"/>
  <c r="D27" i="12"/>
  <c r="C27" i="12"/>
  <c r="B27" i="12"/>
  <c r="V26" i="12"/>
  <c r="T26" i="12"/>
  <c r="S26" i="12"/>
  <c r="Q26" i="12"/>
  <c r="P26" i="12"/>
  <c r="I26" i="12"/>
  <c r="H26" i="12"/>
  <c r="G26" i="12"/>
  <c r="F26" i="12"/>
  <c r="E26" i="12"/>
  <c r="D26" i="12"/>
  <c r="C26" i="12"/>
  <c r="B26" i="12"/>
  <c r="V25" i="12"/>
  <c r="T25" i="12"/>
  <c r="S25" i="12"/>
  <c r="Q25" i="12"/>
  <c r="P25" i="12"/>
  <c r="I25" i="12"/>
  <c r="H25" i="12"/>
  <c r="G25" i="12"/>
  <c r="F25" i="12"/>
  <c r="E25" i="12"/>
  <c r="D25" i="12"/>
  <c r="C25" i="12"/>
  <c r="B25" i="12"/>
  <c r="V24" i="12"/>
  <c r="T24" i="12"/>
  <c r="S24" i="12"/>
  <c r="Q24" i="12"/>
  <c r="P24" i="12"/>
  <c r="I24" i="12"/>
  <c r="H24" i="12"/>
  <c r="G24" i="12"/>
  <c r="F24" i="12"/>
  <c r="E24" i="12"/>
  <c r="D24" i="12"/>
  <c r="C24" i="12"/>
  <c r="B24" i="12"/>
  <c r="V23" i="12"/>
  <c r="T23" i="12"/>
  <c r="S23" i="12"/>
  <c r="Q23" i="12"/>
  <c r="P23" i="12"/>
  <c r="I23" i="12"/>
  <c r="H23" i="12"/>
  <c r="G23" i="12"/>
  <c r="F23" i="12"/>
  <c r="E23" i="12"/>
  <c r="D23" i="12"/>
  <c r="C23" i="12"/>
  <c r="B23" i="12"/>
  <c r="V22" i="12"/>
  <c r="T22" i="12"/>
  <c r="S22" i="12"/>
  <c r="Q22" i="12"/>
  <c r="P22" i="12"/>
  <c r="I22" i="12"/>
  <c r="H22" i="12"/>
  <c r="G22" i="12"/>
  <c r="F22" i="12"/>
  <c r="E22" i="12"/>
  <c r="D22" i="12"/>
  <c r="C22" i="12"/>
  <c r="B22" i="12"/>
  <c r="V21" i="12"/>
  <c r="T21" i="12"/>
  <c r="S21" i="12"/>
  <c r="Q21" i="12"/>
  <c r="P21" i="12"/>
  <c r="I21" i="12"/>
  <c r="H21" i="12"/>
  <c r="G21" i="12"/>
  <c r="F21" i="12"/>
  <c r="E21" i="12"/>
  <c r="D21" i="12"/>
  <c r="C21" i="12"/>
  <c r="B21" i="12"/>
  <c r="V20" i="12"/>
  <c r="T20" i="12"/>
  <c r="S20" i="12"/>
  <c r="Q20" i="12"/>
  <c r="P20" i="12"/>
  <c r="I20" i="12"/>
  <c r="H20" i="12"/>
  <c r="G20" i="12"/>
  <c r="F20" i="12"/>
  <c r="E20" i="12"/>
  <c r="D20" i="12"/>
  <c r="C20" i="12"/>
  <c r="B20" i="12"/>
  <c r="V19" i="12"/>
  <c r="T19" i="12"/>
  <c r="S19" i="12"/>
  <c r="Q19" i="12"/>
  <c r="P19" i="12"/>
  <c r="I19" i="12"/>
  <c r="H19" i="12"/>
  <c r="G19" i="12"/>
  <c r="F19" i="12"/>
  <c r="E19" i="12"/>
  <c r="D19" i="12"/>
  <c r="C19" i="12"/>
  <c r="B19" i="12"/>
  <c r="V18" i="12"/>
  <c r="T18" i="12"/>
  <c r="S18" i="12"/>
  <c r="Q18" i="12"/>
  <c r="P18" i="12"/>
  <c r="I18" i="12"/>
  <c r="H18" i="12"/>
  <c r="G18" i="12"/>
  <c r="F18" i="12"/>
  <c r="E18" i="12"/>
  <c r="D18" i="12"/>
  <c r="C18" i="12"/>
  <c r="B18" i="12"/>
  <c r="V17" i="12"/>
  <c r="T17" i="12"/>
  <c r="S17" i="12"/>
  <c r="Q17" i="12"/>
  <c r="P17" i="12"/>
  <c r="I17" i="12"/>
  <c r="H17" i="12"/>
  <c r="G17" i="12"/>
  <c r="F17" i="12"/>
  <c r="E17" i="12"/>
  <c r="D17" i="12"/>
  <c r="C17" i="12"/>
  <c r="B17" i="12"/>
  <c r="V16" i="12"/>
  <c r="T16" i="12"/>
  <c r="S16" i="12"/>
  <c r="Q16" i="12"/>
  <c r="P16" i="12"/>
  <c r="I16" i="12"/>
  <c r="H16" i="12"/>
  <c r="G16" i="12"/>
  <c r="F16" i="12"/>
  <c r="E16" i="12"/>
  <c r="D16" i="12"/>
  <c r="C16" i="12"/>
  <c r="B16" i="12"/>
  <c r="V15" i="12"/>
  <c r="T15" i="12"/>
  <c r="S15" i="12"/>
  <c r="Q15" i="12"/>
  <c r="P15" i="12"/>
  <c r="I15" i="12"/>
  <c r="H15" i="12"/>
  <c r="G15" i="12"/>
  <c r="F15" i="12"/>
  <c r="E15" i="12"/>
  <c r="D15" i="12"/>
  <c r="C15" i="12"/>
  <c r="B15" i="12"/>
  <c r="V14" i="12"/>
  <c r="T14" i="12"/>
  <c r="S14" i="12"/>
  <c r="Q14" i="12"/>
  <c r="P14" i="12"/>
  <c r="I14" i="12"/>
  <c r="H14" i="12"/>
  <c r="G14" i="12"/>
  <c r="F14" i="12"/>
  <c r="E14" i="12"/>
  <c r="D14" i="12"/>
  <c r="C14" i="12"/>
  <c r="B14" i="12"/>
  <c r="V13" i="12"/>
  <c r="T13" i="12"/>
  <c r="S13" i="12"/>
  <c r="Q13" i="12"/>
  <c r="P13" i="12"/>
  <c r="I13" i="12"/>
  <c r="H13" i="12"/>
  <c r="G13" i="12"/>
  <c r="F13" i="12"/>
  <c r="E13" i="12"/>
  <c r="D13" i="12"/>
  <c r="C13" i="12"/>
  <c r="B13" i="12"/>
  <c r="V12" i="12"/>
  <c r="T12" i="12"/>
  <c r="S12" i="12"/>
  <c r="Q12" i="12"/>
  <c r="P12" i="12"/>
  <c r="I12" i="12"/>
  <c r="H12" i="12"/>
  <c r="G12" i="12"/>
  <c r="F12" i="12"/>
  <c r="E12" i="12"/>
  <c r="D12" i="12"/>
  <c r="C12" i="12"/>
  <c r="B12" i="12"/>
  <c r="V11" i="12"/>
  <c r="T11" i="12"/>
  <c r="S11" i="12"/>
  <c r="Q11" i="12"/>
  <c r="P11" i="12"/>
  <c r="I11" i="12"/>
  <c r="H11" i="12"/>
  <c r="G11" i="12"/>
  <c r="F11" i="12"/>
  <c r="E11" i="12"/>
  <c r="D11" i="12"/>
  <c r="C11" i="12"/>
  <c r="B11" i="12"/>
  <c r="V10" i="12"/>
  <c r="T10" i="12"/>
  <c r="S10" i="12"/>
  <c r="Q10" i="12"/>
  <c r="P10" i="12"/>
  <c r="I10" i="12"/>
  <c r="H10" i="12"/>
  <c r="G10" i="12"/>
  <c r="F10" i="12"/>
  <c r="E10" i="12"/>
  <c r="D10" i="12"/>
  <c r="C10" i="12"/>
  <c r="B10" i="12"/>
  <c r="V9" i="12"/>
  <c r="T9" i="12"/>
  <c r="S9" i="12"/>
  <c r="Q9" i="12"/>
  <c r="P9" i="12"/>
  <c r="I9" i="12"/>
  <c r="H9" i="12"/>
  <c r="G9" i="12"/>
  <c r="F9" i="12"/>
  <c r="E9" i="12"/>
  <c r="D9" i="12"/>
  <c r="C9" i="12"/>
  <c r="B9" i="12"/>
  <c r="V8" i="12"/>
  <c r="T8" i="12"/>
  <c r="S8" i="12"/>
  <c r="Q8" i="12"/>
  <c r="P8" i="12"/>
  <c r="I8" i="12"/>
  <c r="H8" i="12"/>
  <c r="G8" i="12"/>
  <c r="F8" i="12"/>
  <c r="E8" i="12"/>
  <c r="D8" i="12"/>
  <c r="C8" i="12"/>
  <c r="B8" i="12"/>
  <c r="V7" i="12"/>
  <c r="T7" i="12"/>
  <c r="S7" i="12"/>
  <c r="Q7" i="12"/>
  <c r="P7" i="12"/>
  <c r="I7" i="12"/>
  <c r="H7" i="12"/>
  <c r="G7" i="12"/>
  <c r="F7" i="12"/>
  <c r="E7" i="12"/>
  <c r="D7" i="12"/>
  <c r="C7" i="12"/>
  <c r="B7" i="12"/>
  <c r="V6" i="12"/>
  <c r="T6" i="12"/>
  <c r="S6" i="12"/>
  <c r="Q6" i="12"/>
  <c r="P6" i="12"/>
  <c r="I6" i="12"/>
  <c r="H6" i="12"/>
  <c r="G6" i="12"/>
  <c r="F6" i="12"/>
  <c r="E6" i="12"/>
  <c r="D6" i="12"/>
  <c r="C6" i="12"/>
  <c r="B6" i="12"/>
  <c r="V5" i="12"/>
  <c r="T5" i="12"/>
  <c r="S5" i="12"/>
  <c r="Q5" i="12"/>
  <c r="P5" i="12"/>
  <c r="I5" i="12"/>
  <c r="H5" i="12"/>
  <c r="G5" i="12"/>
  <c r="F5" i="12"/>
  <c r="E5" i="12"/>
  <c r="D5" i="12"/>
  <c r="C5" i="12"/>
  <c r="B5" i="12"/>
  <c r="V4" i="12"/>
  <c r="T4" i="12"/>
  <c r="S4" i="12"/>
  <c r="Q4" i="12"/>
  <c r="P4" i="12"/>
  <c r="I4" i="12"/>
  <c r="H4" i="12"/>
  <c r="G4" i="12"/>
  <c r="F4" i="12"/>
  <c r="E4" i="12"/>
  <c r="D4" i="12"/>
  <c r="C4" i="12"/>
  <c r="B4" i="12"/>
  <c r="V3" i="12"/>
  <c r="T3" i="12"/>
  <c r="S3" i="12"/>
  <c r="Q3" i="12"/>
  <c r="P3" i="12"/>
  <c r="I3" i="12"/>
  <c r="H3" i="12"/>
  <c r="G3" i="12"/>
  <c r="F3" i="12"/>
  <c r="E3" i="12"/>
  <c r="D3" i="12"/>
  <c r="C3" i="12"/>
  <c r="B3" i="12"/>
  <c r="S143" i="11"/>
  <c r="S142" i="11"/>
  <c r="S141" i="11"/>
  <c r="S140" i="11"/>
  <c r="S139" i="11"/>
  <c r="S138" i="11"/>
  <c r="S137" i="11"/>
  <c r="S136" i="11"/>
  <c r="S135" i="11"/>
  <c r="S134" i="11"/>
  <c r="S133" i="11"/>
  <c r="S132" i="11"/>
  <c r="S131" i="11"/>
  <c r="S130" i="11"/>
  <c r="S129" i="11"/>
  <c r="S128" i="11"/>
  <c r="S127" i="11"/>
  <c r="S126" i="11"/>
  <c r="S125" i="11"/>
  <c r="S124" i="11"/>
  <c r="S123" i="11"/>
  <c r="S122" i="11"/>
  <c r="S121" i="11"/>
  <c r="S120" i="11"/>
  <c r="S119" i="11"/>
  <c r="S118" i="11"/>
  <c r="S117" i="11"/>
  <c r="S116" i="11"/>
  <c r="S115" i="11"/>
  <c r="S114" i="11"/>
  <c r="S113" i="11"/>
  <c r="S112" i="11"/>
  <c r="S111" i="11"/>
  <c r="S110" i="11"/>
  <c r="S109" i="11"/>
  <c r="S108" i="11"/>
  <c r="S107" i="11"/>
  <c r="S106" i="11"/>
  <c r="S105" i="11"/>
  <c r="S104" i="11"/>
  <c r="S103" i="11"/>
  <c r="S102" i="11"/>
  <c r="S101" i="11"/>
  <c r="S100" i="11"/>
  <c r="S99" i="11"/>
  <c r="S98" i="11"/>
  <c r="S97" i="11"/>
  <c r="S96" i="11"/>
  <c r="S95" i="11"/>
  <c r="S94" i="11"/>
  <c r="S93" i="11"/>
  <c r="S92" i="11"/>
  <c r="S91" i="11"/>
  <c r="S90" i="11"/>
  <c r="S89" i="11"/>
  <c r="S88" i="11"/>
  <c r="S87" i="11"/>
  <c r="S86" i="11"/>
  <c r="S85" i="11"/>
  <c r="S84" i="11"/>
  <c r="S83" i="11"/>
  <c r="S82" i="11"/>
  <c r="S81" i="11"/>
  <c r="S80" i="11"/>
  <c r="S79" i="11"/>
  <c r="S78" i="11"/>
  <c r="S77" i="11"/>
  <c r="S76" i="11"/>
  <c r="S75" i="11"/>
  <c r="S74" i="11"/>
  <c r="S73" i="11"/>
  <c r="S72" i="11"/>
  <c r="S71" i="11"/>
  <c r="S70" i="11"/>
  <c r="S69" i="11"/>
  <c r="S68" i="11"/>
  <c r="S67" i="11"/>
  <c r="S66" i="11"/>
  <c r="S65" i="11"/>
  <c r="S64" i="11"/>
  <c r="S63" i="11"/>
  <c r="S62" i="11"/>
  <c r="S61" i="11"/>
  <c r="S60" i="11"/>
  <c r="S59" i="11"/>
  <c r="S58" i="11"/>
  <c r="S57" i="11"/>
  <c r="S56" i="11"/>
  <c r="S55" i="11"/>
  <c r="S54" i="11"/>
  <c r="S53" i="11"/>
  <c r="S52" i="11"/>
  <c r="S51" i="11"/>
  <c r="S50" i="11"/>
  <c r="S49" i="11"/>
  <c r="S48" i="11"/>
  <c r="S47" i="11"/>
  <c r="S46" i="11"/>
  <c r="S45" i="11"/>
  <c r="S44" i="11"/>
  <c r="S43" i="11"/>
  <c r="S42" i="11"/>
  <c r="T41" i="11"/>
  <c r="S41" i="11"/>
  <c r="Q41" i="11"/>
  <c r="P41" i="11"/>
  <c r="I41" i="11"/>
  <c r="H41" i="11"/>
  <c r="G41" i="11"/>
  <c r="F41" i="11"/>
  <c r="E41" i="11"/>
  <c r="D41" i="11"/>
  <c r="C41" i="11"/>
  <c r="B41" i="11"/>
  <c r="T40" i="11"/>
  <c r="S40" i="11"/>
  <c r="Q40" i="11"/>
  <c r="P40" i="11"/>
  <c r="I40" i="11"/>
  <c r="H40" i="11"/>
  <c r="G40" i="11"/>
  <c r="F40" i="11"/>
  <c r="E40" i="11"/>
  <c r="D40" i="11"/>
  <c r="C40" i="11"/>
  <c r="B40" i="11"/>
  <c r="T39" i="11"/>
  <c r="S39" i="11"/>
  <c r="Q39" i="11"/>
  <c r="P39" i="11"/>
  <c r="I39" i="11"/>
  <c r="H39" i="11"/>
  <c r="G39" i="11"/>
  <c r="F39" i="11"/>
  <c r="E39" i="11"/>
  <c r="D39" i="11"/>
  <c r="C39" i="11"/>
  <c r="B39" i="11"/>
  <c r="T38" i="11"/>
  <c r="S38" i="11"/>
  <c r="Q38" i="11"/>
  <c r="P38" i="11"/>
  <c r="I38" i="11"/>
  <c r="H38" i="11"/>
  <c r="G38" i="11"/>
  <c r="F38" i="11"/>
  <c r="E38" i="11"/>
  <c r="D38" i="11"/>
  <c r="C38" i="11"/>
  <c r="B38" i="11"/>
  <c r="T37" i="11"/>
  <c r="S37" i="11"/>
  <c r="Q37" i="11"/>
  <c r="P37" i="11"/>
  <c r="I37" i="11"/>
  <c r="H37" i="11"/>
  <c r="G37" i="11"/>
  <c r="F37" i="11"/>
  <c r="E37" i="11"/>
  <c r="D37" i="11"/>
  <c r="C37" i="11"/>
  <c r="B37" i="11"/>
  <c r="T36" i="11"/>
  <c r="S36" i="11"/>
  <c r="Q36" i="11"/>
  <c r="P36" i="11"/>
  <c r="I36" i="11"/>
  <c r="H36" i="11"/>
  <c r="G36" i="11"/>
  <c r="F36" i="11"/>
  <c r="E36" i="11"/>
  <c r="D36" i="11"/>
  <c r="C36" i="11"/>
  <c r="B36" i="11"/>
  <c r="T35" i="11"/>
  <c r="S35" i="11"/>
  <c r="Q35" i="11"/>
  <c r="P35" i="11"/>
  <c r="I35" i="11"/>
  <c r="H35" i="11"/>
  <c r="G35" i="11"/>
  <c r="F35" i="11"/>
  <c r="E35" i="11"/>
  <c r="D35" i="11"/>
  <c r="C35" i="11"/>
  <c r="B35" i="11"/>
  <c r="T34" i="11"/>
  <c r="S34" i="11"/>
  <c r="Q34" i="11"/>
  <c r="P34" i="11"/>
  <c r="I34" i="11"/>
  <c r="H34" i="11"/>
  <c r="G34" i="11"/>
  <c r="F34" i="11"/>
  <c r="E34" i="11"/>
  <c r="D34" i="11"/>
  <c r="C34" i="11"/>
  <c r="B34" i="11"/>
  <c r="T33" i="11"/>
  <c r="S33" i="11"/>
  <c r="Q33" i="11"/>
  <c r="P33" i="11"/>
  <c r="I33" i="11"/>
  <c r="H33" i="11"/>
  <c r="F33" i="11"/>
  <c r="E33" i="11"/>
  <c r="D33" i="11"/>
  <c r="C33" i="11"/>
  <c r="B33" i="11"/>
  <c r="T32" i="11"/>
  <c r="S32" i="11"/>
  <c r="Q32" i="11"/>
  <c r="P32" i="11"/>
  <c r="I32" i="11"/>
  <c r="H32" i="11"/>
  <c r="G32" i="11"/>
  <c r="F32" i="11"/>
  <c r="E32" i="11"/>
  <c r="D32" i="11"/>
  <c r="C32" i="11"/>
  <c r="B32" i="11"/>
  <c r="T31" i="11"/>
  <c r="S31" i="11"/>
  <c r="Q31" i="11"/>
  <c r="P31" i="11"/>
  <c r="I31" i="11"/>
  <c r="H31" i="11"/>
  <c r="G31" i="11"/>
  <c r="F31" i="11"/>
  <c r="E31" i="11"/>
  <c r="D31" i="11"/>
  <c r="C31" i="11"/>
  <c r="B31" i="11"/>
  <c r="T30" i="11"/>
  <c r="S30" i="11"/>
  <c r="Q30" i="11"/>
  <c r="P30" i="11"/>
  <c r="I30" i="11"/>
  <c r="H30" i="11"/>
  <c r="G30" i="11"/>
  <c r="F30" i="11"/>
  <c r="E30" i="11"/>
  <c r="D30" i="11"/>
  <c r="C30" i="11"/>
  <c r="B30" i="11"/>
  <c r="T29" i="11"/>
  <c r="S29" i="11"/>
  <c r="Q29" i="11"/>
  <c r="P29" i="11"/>
  <c r="I29" i="11"/>
  <c r="H29" i="11"/>
  <c r="G29" i="11"/>
  <c r="F29" i="11"/>
  <c r="E29" i="11"/>
  <c r="D29" i="11"/>
  <c r="C29" i="11"/>
  <c r="B29" i="11"/>
  <c r="T28" i="11"/>
  <c r="S28" i="11"/>
  <c r="Q28" i="11"/>
  <c r="P28" i="11"/>
  <c r="I28" i="11"/>
  <c r="H28" i="11"/>
  <c r="G28" i="11"/>
  <c r="F28" i="11"/>
  <c r="E28" i="11"/>
  <c r="D28" i="11"/>
  <c r="C28" i="11"/>
  <c r="B28" i="11"/>
  <c r="T27" i="11"/>
  <c r="S27" i="11"/>
  <c r="Q27" i="11"/>
  <c r="P27" i="11"/>
  <c r="I27" i="11"/>
  <c r="H27" i="11"/>
  <c r="G27" i="11"/>
  <c r="F27" i="11"/>
  <c r="E27" i="11"/>
  <c r="D27" i="11"/>
  <c r="C27" i="11"/>
  <c r="B27" i="11"/>
  <c r="T26" i="11"/>
  <c r="S26" i="11"/>
  <c r="Q26" i="11"/>
  <c r="P26" i="11"/>
  <c r="J26" i="11"/>
  <c r="I26" i="11"/>
  <c r="H26" i="11"/>
  <c r="G26" i="11"/>
  <c r="F26" i="11"/>
  <c r="E26" i="11"/>
  <c r="D26" i="11"/>
  <c r="C26" i="11"/>
  <c r="B26" i="11"/>
  <c r="T25" i="11"/>
  <c r="S25" i="11"/>
  <c r="Q25" i="11"/>
  <c r="P25" i="11"/>
  <c r="I25" i="11"/>
  <c r="H25" i="11"/>
  <c r="G25" i="11"/>
  <c r="F25" i="11"/>
  <c r="E25" i="11"/>
  <c r="D25" i="11"/>
  <c r="C25" i="11"/>
  <c r="B25" i="11"/>
  <c r="T24" i="11"/>
  <c r="S24" i="11"/>
  <c r="Q24" i="11"/>
  <c r="P24" i="11"/>
  <c r="I24" i="11"/>
  <c r="H24" i="11"/>
  <c r="G24" i="11"/>
  <c r="F24" i="11"/>
  <c r="E24" i="11"/>
  <c r="D24" i="11"/>
  <c r="C24" i="11"/>
  <c r="B24" i="11"/>
  <c r="T23" i="11"/>
  <c r="S23" i="11"/>
  <c r="Q23" i="11"/>
  <c r="P23" i="11"/>
  <c r="I23" i="11"/>
  <c r="H23" i="11"/>
  <c r="G23" i="11"/>
  <c r="F23" i="11"/>
  <c r="E23" i="11"/>
  <c r="D23" i="11"/>
  <c r="C23" i="11"/>
  <c r="B23" i="11"/>
  <c r="T22" i="11"/>
  <c r="S22" i="11"/>
  <c r="Q22" i="11"/>
  <c r="P22" i="11"/>
  <c r="I22" i="11"/>
  <c r="H22" i="11"/>
  <c r="G22" i="11"/>
  <c r="F22" i="11"/>
  <c r="E22" i="11"/>
  <c r="D22" i="11"/>
  <c r="C22" i="11"/>
  <c r="B22" i="11"/>
  <c r="T21" i="11"/>
  <c r="S21" i="11"/>
  <c r="Q21" i="11"/>
  <c r="P21" i="11"/>
  <c r="J21" i="11"/>
  <c r="I21" i="11"/>
  <c r="H21" i="11"/>
  <c r="G21" i="11"/>
  <c r="F21" i="11"/>
  <c r="E21" i="11"/>
  <c r="D21" i="11"/>
  <c r="C21" i="11"/>
  <c r="B21" i="11"/>
  <c r="T20" i="11"/>
  <c r="S20" i="11"/>
  <c r="Q20" i="11"/>
  <c r="P20" i="11"/>
  <c r="I20" i="11"/>
  <c r="H20" i="11"/>
  <c r="G20" i="11"/>
  <c r="F20" i="11"/>
  <c r="E20" i="11"/>
  <c r="D20" i="11"/>
  <c r="C20" i="11"/>
  <c r="B20" i="11"/>
  <c r="T19" i="11"/>
  <c r="S19" i="11"/>
  <c r="Q19" i="11"/>
  <c r="P19" i="11"/>
  <c r="J19" i="11"/>
  <c r="I19" i="11"/>
  <c r="H19" i="11"/>
  <c r="G19" i="11"/>
  <c r="F19" i="11"/>
  <c r="E19" i="11"/>
  <c r="D19" i="11"/>
  <c r="C19" i="11"/>
  <c r="B19" i="11"/>
  <c r="T18" i="11"/>
  <c r="S18" i="11"/>
  <c r="Q18" i="11"/>
  <c r="P18" i="11"/>
  <c r="I18" i="11"/>
  <c r="H18" i="11"/>
  <c r="G18" i="11"/>
  <c r="F18" i="11"/>
  <c r="E18" i="11"/>
  <c r="D18" i="11"/>
  <c r="C18" i="11"/>
  <c r="B18" i="11"/>
  <c r="T17" i="11"/>
  <c r="S17" i="11"/>
  <c r="Q17" i="11"/>
  <c r="P17" i="11"/>
  <c r="I17" i="11"/>
  <c r="H17" i="11"/>
  <c r="G17" i="11"/>
  <c r="F17" i="11"/>
  <c r="E17" i="11"/>
  <c r="D17" i="11"/>
  <c r="C17" i="11"/>
  <c r="B17" i="11"/>
  <c r="T16" i="11"/>
  <c r="S16" i="11"/>
  <c r="Q16" i="11"/>
  <c r="P16" i="11"/>
  <c r="I16" i="11"/>
  <c r="H16" i="11"/>
  <c r="G16" i="11"/>
  <c r="F16" i="11"/>
  <c r="E16" i="11"/>
  <c r="D16" i="11"/>
  <c r="C16" i="11"/>
  <c r="B16" i="11"/>
  <c r="T15" i="11"/>
  <c r="S15" i="11"/>
  <c r="Q15" i="11"/>
  <c r="P15" i="11"/>
  <c r="I15" i="11"/>
  <c r="H15" i="11"/>
  <c r="G15" i="11"/>
  <c r="F15" i="11"/>
  <c r="E15" i="11"/>
  <c r="D15" i="11"/>
  <c r="C15" i="11"/>
  <c r="B15" i="11"/>
  <c r="T14" i="11"/>
  <c r="S14" i="11"/>
  <c r="Q14" i="11"/>
  <c r="P14" i="11"/>
  <c r="J14" i="11"/>
  <c r="I14" i="11"/>
  <c r="H14" i="11"/>
  <c r="G14" i="11"/>
  <c r="F14" i="11"/>
  <c r="E14" i="11"/>
  <c r="D14" i="11"/>
  <c r="C14" i="11"/>
  <c r="B14" i="11"/>
  <c r="T13" i="11"/>
  <c r="S13" i="11"/>
  <c r="Q13" i="11"/>
  <c r="P13" i="11"/>
  <c r="J13" i="11"/>
  <c r="I13" i="11"/>
  <c r="H13" i="11"/>
  <c r="G13" i="11"/>
  <c r="F13" i="11"/>
  <c r="E13" i="11"/>
  <c r="D13" i="11"/>
  <c r="C13" i="11"/>
  <c r="B13" i="11"/>
  <c r="T12" i="11"/>
  <c r="S12" i="11"/>
  <c r="Q12" i="11"/>
  <c r="P12" i="11"/>
  <c r="I12" i="11"/>
  <c r="H12" i="11"/>
  <c r="G12" i="11"/>
  <c r="F12" i="11"/>
  <c r="E12" i="11"/>
  <c r="D12" i="11"/>
  <c r="C12" i="11"/>
  <c r="B12" i="11"/>
  <c r="T11" i="11"/>
  <c r="S11" i="11"/>
  <c r="Q11" i="11"/>
  <c r="P11" i="11"/>
  <c r="I11" i="11"/>
  <c r="H11" i="11"/>
  <c r="G11" i="11"/>
  <c r="F11" i="11"/>
  <c r="E11" i="11"/>
  <c r="D11" i="11"/>
  <c r="C11" i="11"/>
  <c r="B11" i="11"/>
  <c r="T10" i="11"/>
  <c r="S10" i="11"/>
  <c r="Q10" i="11"/>
  <c r="P10" i="11"/>
  <c r="J10" i="11"/>
  <c r="I10" i="11"/>
  <c r="H10" i="11"/>
  <c r="G10" i="11"/>
  <c r="F10" i="11"/>
  <c r="E10" i="11"/>
  <c r="D10" i="11"/>
  <c r="C10" i="11"/>
  <c r="B10" i="11"/>
  <c r="T9" i="11"/>
  <c r="S9" i="11"/>
  <c r="Q9" i="11"/>
  <c r="P9" i="11"/>
  <c r="I9" i="11"/>
  <c r="H9" i="11"/>
  <c r="G9" i="11"/>
  <c r="F9" i="11"/>
  <c r="E9" i="11"/>
  <c r="D9" i="11"/>
  <c r="C9" i="11"/>
  <c r="B9" i="11"/>
  <c r="T8" i="11"/>
  <c r="S8" i="11"/>
  <c r="Q8" i="11"/>
  <c r="P8" i="11"/>
  <c r="I8" i="11"/>
  <c r="H8" i="11"/>
  <c r="G8" i="11"/>
  <c r="F8" i="11"/>
  <c r="E8" i="11"/>
  <c r="D8" i="11"/>
  <c r="C8" i="11"/>
  <c r="B8" i="11"/>
  <c r="T7" i="11"/>
  <c r="S7" i="11"/>
  <c r="Q7" i="11"/>
  <c r="P7" i="11"/>
  <c r="I7" i="11"/>
  <c r="H7" i="11"/>
  <c r="G7" i="11"/>
  <c r="F7" i="11"/>
  <c r="E7" i="11"/>
  <c r="D7" i="11"/>
  <c r="C7" i="11"/>
  <c r="B7" i="11"/>
  <c r="T6" i="11"/>
  <c r="S6" i="11"/>
  <c r="Q6" i="11"/>
  <c r="P6" i="11"/>
  <c r="J6" i="11"/>
  <c r="I6" i="11"/>
  <c r="H6" i="11"/>
  <c r="G6" i="11"/>
  <c r="F6" i="11"/>
  <c r="E6" i="11"/>
  <c r="D6" i="11"/>
  <c r="C6" i="11"/>
  <c r="B6" i="11"/>
  <c r="T5" i="11"/>
  <c r="S5" i="11"/>
  <c r="Q5" i="11"/>
  <c r="P5" i="11"/>
  <c r="J5" i="11"/>
  <c r="I5" i="11"/>
  <c r="H5" i="11"/>
  <c r="G5" i="11"/>
  <c r="F5" i="11"/>
  <c r="E5" i="11"/>
  <c r="D5" i="11"/>
  <c r="C5" i="11"/>
  <c r="B5" i="11"/>
  <c r="T4" i="11"/>
  <c r="S4" i="11"/>
  <c r="Q4" i="11"/>
  <c r="P4" i="11"/>
  <c r="I4" i="11"/>
  <c r="H4" i="11"/>
  <c r="G4" i="11"/>
  <c r="F4" i="11"/>
  <c r="E4" i="11"/>
  <c r="D4" i="11"/>
  <c r="C4" i="11"/>
  <c r="B4" i="11"/>
  <c r="T3" i="11"/>
  <c r="S3" i="11"/>
  <c r="Q3" i="11"/>
  <c r="P3" i="11"/>
  <c r="I3" i="11"/>
  <c r="H3" i="11"/>
  <c r="G3" i="11"/>
  <c r="F3" i="11"/>
  <c r="E3" i="11"/>
  <c r="D3" i="11"/>
  <c r="C3" i="11"/>
  <c r="B3" i="11"/>
  <c r="S143" i="10"/>
  <c r="S142" i="10"/>
  <c r="S141" i="10"/>
  <c r="S140" i="10"/>
  <c r="S139" i="10"/>
  <c r="S138" i="10"/>
  <c r="S137" i="10"/>
  <c r="S136" i="10"/>
  <c r="S135" i="10"/>
  <c r="S134" i="10"/>
  <c r="S133" i="10"/>
  <c r="S132" i="10"/>
  <c r="S131" i="10"/>
  <c r="S130" i="10"/>
  <c r="S129" i="10"/>
  <c r="S128" i="10"/>
  <c r="S127" i="10"/>
  <c r="S126" i="10"/>
  <c r="S125" i="10"/>
  <c r="S124" i="10"/>
  <c r="S123" i="10"/>
  <c r="S122" i="10"/>
  <c r="S121" i="10"/>
  <c r="S120" i="10"/>
  <c r="S119" i="10"/>
  <c r="T118" i="10"/>
  <c r="S118" i="10"/>
  <c r="Q118" i="10"/>
  <c r="P118" i="10"/>
  <c r="I118" i="10"/>
  <c r="H118" i="10"/>
  <c r="G118" i="10"/>
  <c r="F118" i="10"/>
  <c r="E118" i="10"/>
  <c r="D118" i="10"/>
  <c r="C118" i="10"/>
  <c r="B118" i="10"/>
  <c r="T117" i="10"/>
  <c r="S117" i="10"/>
  <c r="Q117" i="10"/>
  <c r="P117" i="10"/>
  <c r="I117" i="10"/>
  <c r="H117" i="10"/>
  <c r="G117" i="10"/>
  <c r="F117" i="10"/>
  <c r="E117" i="10"/>
  <c r="D117" i="10"/>
  <c r="C117" i="10"/>
  <c r="B117" i="10"/>
  <c r="T116" i="10"/>
  <c r="S116" i="10"/>
  <c r="Q116" i="10"/>
  <c r="P116" i="10"/>
  <c r="I116" i="10"/>
  <c r="H116" i="10"/>
  <c r="G116" i="10"/>
  <c r="F116" i="10"/>
  <c r="E116" i="10"/>
  <c r="D116" i="10"/>
  <c r="C116" i="10"/>
  <c r="B116" i="10"/>
  <c r="T115" i="10"/>
  <c r="S115" i="10"/>
  <c r="Q115" i="10"/>
  <c r="P115" i="10"/>
  <c r="I115" i="10"/>
  <c r="H115" i="10"/>
  <c r="G115" i="10"/>
  <c r="F115" i="10"/>
  <c r="E115" i="10"/>
  <c r="D115" i="10"/>
  <c r="C115" i="10"/>
  <c r="B115" i="10"/>
  <c r="T114" i="10"/>
  <c r="S114" i="10"/>
  <c r="Q114" i="10"/>
  <c r="P114" i="10"/>
  <c r="I114" i="10"/>
  <c r="H114" i="10"/>
  <c r="G114" i="10"/>
  <c r="F114" i="10"/>
  <c r="E114" i="10"/>
  <c r="D114" i="10"/>
  <c r="C114" i="10"/>
  <c r="B114" i="10"/>
  <c r="T113" i="10"/>
  <c r="S113" i="10"/>
  <c r="Q113" i="10"/>
  <c r="P113" i="10"/>
  <c r="I113" i="10"/>
  <c r="H113" i="10"/>
  <c r="G113" i="10"/>
  <c r="F113" i="10"/>
  <c r="E113" i="10"/>
  <c r="D113" i="10"/>
  <c r="C113" i="10"/>
  <c r="B113" i="10"/>
  <c r="T112" i="10"/>
  <c r="S112" i="10"/>
  <c r="Q112" i="10"/>
  <c r="P112" i="10"/>
  <c r="I112" i="10"/>
  <c r="H112" i="10"/>
  <c r="G112" i="10"/>
  <c r="F112" i="10"/>
  <c r="E112" i="10"/>
  <c r="D112" i="10"/>
  <c r="C112" i="10"/>
  <c r="B112" i="10"/>
  <c r="T111" i="10"/>
  <c r="S111" i="10"/>
  <c r="Q111" i="10"/>
  <c r="P111" i="10"/>
  <c r="I111" i="10"/>
  <c r="H111" i="10"/>
  <c r="G111" i="10"/>
  <c r="F111" i="10"/>
  <c r="E111" i="10"/>
  <c r="D111" i="10"/>
  <c r="C111" i="10"/>
  <c r="B111" i="10"/>
  <c r="T110" i="10"/>
  <c r="S110" i="10"/>
  <c r="Q110" i="10"/>
  <c r="P110" i="10"/>
  <c r="I110" i="10"/>
  <c r="H110" i="10"/>
  <c r="G110" i="10"/>
  <c r="F110" i="10"/>
  <c r="E110" i="10"/>
  <c r="D110" i="10"/>
  <c r="C110" i="10"/>
  <c r="B110" i="10"/>
  <c r="T109" i="10"/>
  <c r="S109" i="10"/>
  <c r="Q109" i="10"/>
  <c r="P109" i="10"/>
  <c r="I109" i="10"/>
  <c r="H109" i="10"/>
  <c r="G109" i="10"/>
  <c r="F109" i="10"/>
  <c r="E109" i="10"/>
  <c r="D109" i="10"/>
  <c r="C109" i="10"/>
  <c r="B109" i="10"/>
  <c r="T108" i="10"/>
  <c r="S108" i="10"/>
  <c r="Q108" i="10"/>
  <c r="P108" i="10"/>
  <c r="I108" i="10"/>
  <c r="H108" i="10"/>
  <c r="G108" i="10"/>
  <c r="F108" i="10"/>
  <c r="E108" i="10"/>
  <c r="D108" i="10"/>
  <c r="C108" i="10"/>
  <c r="B108" i="10"/>
  <c r="T107" i="10"/>
  <c r="S107" i="10"/>
  <c r="Q107" i="10"/>
  <c r="P107" i="10"/>
  <c r="I107" i="10"/>
  <c r="H107" i="10"/>
  <c r="G107" i="10"/>
  <c r="F107" i="10"/>
  <c r="E107" i="10"/>
  <c r="D107" i="10"/>
  <c r="C107" i="10"/>
  <c r="B107" i="10"/>
  <c r="T106" i="10"/>
  <c r="S106" i="10"/>
  <c r="Q106" i="10"/>
  <c r="P106" i="10"/>
  <c r="I106" i="10"/>
  <c r="H106" i="10"/>
  <c r="G106" i="10"/>
  <c r="F106" i="10"/>
  <c r="E106" i="10"/>
  <c r="D106" i="10"/>
  <c r="C106" i="10"/>
  <c r="B106" i="10"/>
  <c r="T105" i="10"/>
  <c r="S105" i="10"/>
  <c r="Q105" i="10"/>
  <c r="P105" i="10"/>
  <c r="I105" i="10"/>
  <c r="H105" i="10"/>
  <c r="G105" i="10"/>
  <c r="F105" i="10"/>
  <c r="E105" i="10"/>
  <c r="D105" i="10"/>
  <c r="C105" i="10"/>
  <c r="B105" i="10"/>
  <c r="T104" i="10"/>
  <c r="S104" i="10"/>
  <c r="Q104" i="10"/>
  <c r="P104" i="10"/>
  <c r="I104" i="10"/>
  <c r="H104" i="10"/>
  <c r="G104" i="10"/>
  <c r="F104" i="10"/>
  <c r="E104" i="10"/>
  <c r="D104" i="10"/>
  <c r="C104" i="10"/>
  <c r="B104" i="10"/>
  <c r="T103" i="10"/>
  <c r="S103" i="10"/>
  <c r="Q103" i="10"/>
  <c r="P103" i="10"/>
  <c r="I103" i="10"/>
  <c r="H103" i="10"/>
  <c r="G103" i="10"/>
  <c r="F103" i="10"/>
  <c r="E103" i="10"/>
  <c r="D103" i="10"/>
  <c r="C103" i="10"/>
  <c r="B103" i="10"/>
  <c r="T102" i="10"/>
  <c r="S102" i="10"/>
  <c r="Q102" i="10"/>
  <c r="P102" i="10"/>
  <c r="I102" i="10"/>
  <c r="H102" i="10"/>
  <c r="G102" i="10"/>
  <c r="F102" i="10"/>
  <c r="E102" i="10"/>
  <c r="D102" i="10"/>
  <c r="C102" i="10"/>
  <c r="B102" i="10"/>
  <c r="T101" i="10"/>
  <c r="S101" i="10"/>
  <c r="Q101" i="10"/>
  <c r="P101" i="10"/>
  <c r="I101" i="10"/>
  <c r="H101" i="10"/>
  <c r="G101" i="10"/>
  <c r="F101" i="10"/>
  <c r="E101" i="10"/>
  <c r="D101" i="10"/>
  <c r="C101" i="10"/>
  <c r="B101" i="10"/>
  <c r="T100" i="10"/>
  <c r="S100" i="10"/>
  <c r="Q100" i="10"/>
  <c r="P100" i="10"/>
  <c r="I100" i="10"/>
  <c r="H100" i="10"/>
  <c r="G100" i="10"/>
  <c r="F100" i="10"/>
  <c r="E100" i="10"/>
  <c r="D100" i="10"/>
  <c r="C100" i="10"/>
  <c r="B100" i="10"/>
  <c r="T99" i="10"/>
  <c r="S99" i="10"/>
  <c r="Q99" i="10"/>
  <c r="P99" i="10"/>
  <c r="I99" i="10"/>
  <c r="H99" i="10"/>
  <c r="G99" i="10"/>
  <c r="F99" i="10"/>
  <c r="E99" i="10"/>
  <c r="D99" i="10"/>
  <c r="C99" i="10"/>
  <c r="B99" i="10"/>
  <c r="T98" i="10"/>
  <c r="S98" i="10"/>
  <c r="Q98" i="10"/>
  <c r="P98" i="10"/>
  <c r="I98" i="10"/>
  <c r="H98" i="10"/>
  <c r="G98" i="10"/>
  <c r="F98" i="10"/>
  <c r="E98" i="10"/>
  <c r="D98" i="10"/>
  <c r="C98" i="10"/>
  <c r="B98" i="10"/>
  <c r="T97" i="10"/>
  <c r="S97" i="10"/>
  <c r="Q97" i="10"/>
  <c r="P97" i="10"/>
  <c r="I97" i="10"/>
  <c r="H97" i="10"/>
  <c r="G97" i="10"/>
  <c r="F97" i="10"/>
  <c r="E97" i="10"/>
  <c r="D97" i="10"/>
  <c r="C97" i="10"/>
  <c r="B97" i="10"/>
  <c r="T96" i="10"/>
  <c r="S96" i="10"/>
  <c r="Q96" i="10"/>
  <c r="P96" i="10"/>
  <c r="I96" i="10"/>
  <c r="H96" i="10"/>
  <c r="G96" i="10"/>
  <c r="F96" i="10"/>
  <c r="E96" i="10"/>
  <c r="D96" i="10"/>
  <c r="C96" i="10"/>
  <c r="B96" i="10"/>
  <c r="T95" i="10"/>
  <c r="S95" i="10"/>
  <c r="Q95" i="10"/>
  <c r="P95" i="10"/>
  <c r="I95" i="10"/>
  <c r="H95" i="10"/>
  <c r="G95" i="10"/>
  <c r="F95" i="10"/>
  <c r="E95" i="10"/>
  <c r="D95" i="10"/>
  <c r="C95" i="10"/>
  <c r="B95" i="10"/>
  <c r="T94" i="10"/>
  <c r="S94" i="10"/>
  <c r="Q94" i="10"/>
  <c r="P94" i="10"/>
  <c r="I94" i="10"/>
  <c r="H94" i="10"/>
  <c r="G94" i="10"/>
  <c r="F94" i="10"/>
  <c r="E94" i="10"/>
  <c r="D94" i="10"/>
  <c r="C94" i="10"/>
  <c r="B94" i="10"/>
  <c r="T93" i="10"/>
  <c r="S93" i="10"/>
  <c r="Q93" i="10"/>
  <c r="P93" i="10"/>
  <c r="I93" i="10"/>
  <c r="H93" i="10"/>
  <c r="G93" i="10"/>
  <c r="F93" i="10"/>
  <c r="E93" i="10"/>
  <c r="D93" i="10"/>
  <c r="C93" i="10"/>
  <c r="B93" i="10"/>
  <c r="T92" i="10"/>
  <c r="S92" i="10"/>
  <c r="Q92" i="10"/>
  <c r="P92" i="10"/>
  <c r="I92" i="10"/>
  <c r="H92" i="10"/>
  <c r="G92" i="10"/>
  <c r="F92" i="10"/>
  <c r="E92" i="10"/>
  <c r="D92" i="10"/>
  <c r="C92" i="10"/>
  <c r="B92" i="10"/>
  <c r="T91" i="10"/>
  <c r="S91" i="10"/>
  <c r="Q91" i="10"/>
  <c r="P91" i="10"/>
  <c r="I91" i="10"/>
  <c r="H91" i="10"/>
  <c r="G91" i="10"/>
  <c r="F91" i="10"/>
  <c r="E91" i="10"/>
  <c r="D91" i="10"/>
  <c r="C91" i="10"/>
  <c r="B91" i="10"/>
  <c r="T90" i="10"/>
  <c r="S90" i="10"/>
  <c r="Q90" i="10"/>
  <c r="P90" i="10"/>
  <c r="I90" i="10"/>
  <c r="H90" i="10"/>
  <c r="G90" i="10"/>
  <c r="F90" i="10"/>
  <c r="E90" i="10"/>
  <c r="D90" i="10"/>
  <c r="C90" i="10"/>
  <c r="B90" i="10"/>
  <c r="T89" i="10"/>
  <c r="S89" i="10"/>
  <c r="Q89" i="10"/>
  <c r="P89" i="10"/>
  <c r="I89" i="10"/>
  <c r="H89" i="10"/>
  <c r="G89" i="10"/>
  <c r="F89" i="10"/>
  <c r="E89" i="10"/>
  <c r="D89" i="10"/>
  <c r="C89" i="10"/>
  <c r="B89" i="10"/>
  <c r="T88" i="10"/>
  <c r="S88" i="10"/>
  <c r="Q88" i="10"/>
  <c r="P88" i="10"/>
  <c r="I88" i="10"/>
  <c r="H88" i="10"/>
  <c r="G88" i="10"/>
  <c r="F88" i="10"/>
  <c r="E88" i="10"/>
  <c r="D88" i="10"/>
  <c r="C88" i="10"/>
  <c r="B88" i="10"/>
  <c r="T87" i="10"/>
  <c r="S87" i="10"/>
  <c r="Q87" i="10"/>
  <c r="P87" i="10"/>
  <c r="I87" i="10"/>
  <c r="H87" i="10"/>
  <c r="G87" i="10"/>
  <c r="F87" i="10"/>
  <c r="E87" i="10"/>
  <c r="D87" i="10"/>
  <c r="C87" i="10"/>
  <c r="B87" i="10"/>
  <c r="T86" i="10"/>
  <c r="S86" i="10"/>
  <c r="Q86" i="10"/>
  <c r="P86" i="10"/>
  <c r="I86" i="10"/>
  <c r="H86" i="10"/>
  <c r="G86" i="10"/>
  <c r="F86" i="10"/>
  <c r="E86" i="10"/>
  <c r="D86" i="10"/>
  <c r="C86" i="10"/>
  <c r="B86" i="10"/>
  <c r="T85" i="10"/>
  <c r="S85" i="10"/>
  <c r="Q85" i="10"/>
  <c r="P85" i="10"/>
  <c r="I85" i="10"/>
  <c r="H85" i="10"/>
  <c r="G85" i="10"/>
  <c r="F85" i="10"/>
  <c r="E85" i="10"/>
  <c r="D85" i="10"/>
  <c r="C85" i="10"/>
  <c r="B85" i="10"/>
  <c r="T84" i="10"/>
  <c r="S84" i="10"/>
  <c r="Q84" i="10"/>
  <c r="P84" i="10"/>
  <c r="I84" i="10"/>
  <c r="H84" i="10"/>
  <c r="G84" i="10"/>
  <c r="F84" i="10"/>
  <c r="E84" i="10"/>
  <c r="D84" i="10"/>
  <c r="C84" i="10"/>
  <c r="B84" i="10"/>
  <c r="T83" i="10"/>
  <c r="S83" i="10"/>
  <c r="Q83" i="10"/>
  <c r="P83" i="10"/>
  <c r="I83" i="10"/>
  <c r="H83" i="10"/>
  <c r="G83" i="10"/>
  <c r="F83" i="10"/>
  <c r="E83" i="10"/>
  <c r="D83" i="10"/>
  <c r="C83" i="10"/>
  <c r="B83" i="10"/>
  <c r="T82" i="10"/>
  <c r="S82" i="10"/>
  <c r="Q82" i="10"/>
  <c r="P82" i="10"/>
  <c r="I82" i="10"/>
  <c r="H82" i="10"/>
  <c r="G82" i="10"/>
  <c r="F82" i="10"/>
  <c r="E82" i="10"/>
  <c r="D82" i="10"/>
  <c r="C82" i="10"/>
  <c r="B82" i="10"/>
  <c r="T81" i="10"/>
  <c r="S81" i="10"/>
  <c r="Q81" i="10"/>
  <c r="P81" i="10"/>
  <c r="I81" i="10"/>
  <c r="H81" i="10"/>
  <c r="G81" i="10"/>
  <c r="F81" i="10"/>
  <c r="E81" i="10"/>
  <c r="D81" i="10"/>
  <c r="C81" i="10"/>
  <c r="B81" i="10"/>
  <c r="T80" i="10"/>
  <c r="S80" i="10"/>
  <c r="Q80" i="10"/>
  <c r="P80" i="10"/>
  <c r="I80" i="10"/>
  <c r="H80" i="10"/>
  <c r="G80" i="10"/>
  <c r="F80" i="10"/>
  <c r="E80" i="10"/>
  <c r="D80" i="10"/>
  <c r="C80" i="10"/>
  <c r="B80" i="10"/>
  <c r="T79" i="10"/>
  <c r="S79" i="10"/>
  <c r="Q79" i="10"/>
  <c r="P79" i="10"/>
  <c r="I79" i="10"/>
  <c r="H79" i="10"/>
  <c r="G79" i="10"/>
  <c r="F79" i="10"/>
  <c r="E79" i="10"/>
  <c r="D79" i="10"/>
  <c r="C79" i="10"/>
  <c r="B79" i="10"/>
  <c r="T78" i="10"/>
  <c r="S78" i="10"/>
  <c r="Q78" i="10"/>
  <c r="P78" i="10"/>
  <c r="I78" i="10"/>
  <c r="H78" i="10"/>
  <c r="G78" i="10"/>
  <c r="F78" i="10"/>
  <c r="E78" i="10"/>
  <c r="D78" i="10"/>
  <c r="C78" i="10"/>
  <c r="B78" i="10"/>
  <c r="T77" i="10"/>
  <c r="S77" i="10"/>
  <c r="Q77" i="10"/>
  <c r="P77" i="10"/>
  <c r="I77" i="10"/>
  <c r="H77" i="10"/>
  <c r="G77" i="10"/>
  <c r="F77" i="10"/>
  <c r="E77" i="10"/>
  <c r="D77" i="10"/>
  <c r="C77" i="10"/>
  <c r="B77" i="10"/>
  <c r="T76" i="10"/>
  <c r="S76" i="10"/>
  <c r="Q76" i="10"/>
  <c r="P76" i="10"/>
  <c r="I76" i="10"/>
  <c r="H76" i="10"/>
  <c r="G76" i="10"/>
  <c r="F76" i="10"/>
  <c r="E76" i="10"/>
  <c r="D76" i="10"/>
  <c r="C76" i="10"/>
  <c r="B76" i="10"/>
  <c r="T75" i="10"/>
  <c r="S75" i="10"/>
  <c r="Q75" i="10"/>
  <c r="P75" i="10"/>
  <c r="I75" i="10"/>
  <c r="H75" i="10"/>
  <c r="G75" i="10"/>
  <c r="F75" i="10"/>
  <c r="E75" i="10"/>
  <c r="D75" i="10"/>
  <c r="C75" i="10"/>
  <c r="B75" i="10"/>
  <c r="T74" i="10"/>
  <c r="S74" i="10"/>
  <c r="Q74" i="10"/>
  <c r="P74" i="10"/>
  <c r="I74" i="10"/>
  <c r="H74" i="10"/>
  <c r="G74" i="10"/>
  <c r="F74" i="10"/>
  <c r="E74" i="10"/>
  <c r="D74" i="10"/>
  <c r="C74" i="10"/>
  <c r="B74" i="10"/>
  <c r="T73" i="10"/>
  <c r="S73" i="10"/>
  <c r="Q73" i="10"/>
  <c r="P73" i="10"/>
  <c r="I73" i="10"/>
  <c r="H73" i="10"/>
  <c r="G73" i="10"/>
  <c r="F73" i="10"/>
  <c r="E73" i="10"/>
  <c r="D73" i="10"/>
  <c r="C73" i="10"/>
  <c r="B73" i="10"/>
  <c r="T72" i="10"/>
  <c r="S72" i="10"/>
  <c r="Q72" i="10"/>
  <c r="P72" i="10"/>
  <c r="I72" i="10"/>
  <c r="H72" i="10"/>
  <c r="G72" i="10"/>
  <c r="F72" i="10"/>
  <c r="E72" i="10"/>
  <c r="D72" i="10"/>
  <c r="C72" i="10"/>
  <c r="B72" i="10"/>
  <c r="T71" i="10"/>
  <c r="S71" i="10"/>
  <c r="Q71" i="10"/>
  <c r="P71" i="10"/>
  <c r="I71" i="10"/>
  <c r="H71" i="10"/>
  <c r="G71" i="10"/>
  <c r="F71" i="10"/>
  <c r="E71" i="10"/>
  <c r="D71" i="10"/>
  <c r="C71" i="10"/>
  <c r="B71" i="10"/>
  <c r="T70" i="10"/>
  <c r="S70" i="10"/>
  <c r="Q70" i="10"/>
  <c r="P70" i="10"/>
  <c r="I70" i="10"/>
  <c r="H70" i="10"/>
  <c r="G70" i="10"/>
  <c r="F70" i="10"/>
  <c r="E70" i="10"/>
  <c r="D70" i="10"/>
  <c r="C70" i="10"/>
  <c r="B70" i="10"/>
  <c r="T69" i="10"/>
  <c r="S69" i="10"/>
  <c r="Q69" i="10"/>
  <c r="P69" i="10"/>
  <c r="I69" i="10"/>
  <c r="H69" i="10"/>
  <c r="G69" i="10"/>
  <c r="F69" i="10"/>
  <c r="E69" i="10"/>
  <c r="D69" i="10"/>
  <c r="C69" i="10"/>
  <c r="B69" i="10"/>
  <c r="T68" i="10"/>
  <c r="S68" i="10"/>
  <c r="Q68" i="10"/>
  <c r="P68" i="10"/>
  <c r="I68" i="10"/>
  <c r="H68" i="10"/>
  <c r="G68" i="10"/>
  <c r="F68" i="10"/>
  <c r="E68" i="10"/>
  <c r="D68" i="10"/>
  <c r="C68" i="10"/>
  <c r="B68" i="10"/>
  <c r="T67" i="10"/>
  <c r="S67" i="10"/>
  <c r="Q67" i="10"/>
  <c r="P67" i="10"/>
  <c r="I67" i="10"/>
  <c r="H67" i="10"/>
  <c r="G67" i="10"/>
  <c r="F67" i="10"/>
  <c r="E67" i="10"/>
  <c r="D67" i="10"/>
  <c r="C67" i="10"/>
  <c r="B67" i="10"/>
  <c r="T66" i="10"/>
  <c r="S66" i="10"/>
  <c r="Q66" i="10"/>
  <c r="P66" i="10"/>
  <c r="I66" i="10"/>
  <c r="H66" i="10"/>
  <c r="G66" i="10"/>
  <c r="F66" i="10"/>
  <c r="E66" i="10"/>
  <c r="D66" i="10"/>
  <c r="C66" i="10"/>
  <c r="B66" i="10"/>
  <c r="T65" i="10"/>
  <c r="S65" i="10"/>
  <c r="Q65" i="10"/>
  <c r="P65" i="10"/>
  <c r="I65" i="10"/>
  <c r="H65" i="10"/>
  <c r="G65" i="10"/>
  <c r="F65" i="10"/>
  <c r="E65" i="10"/>
  <c r="D65" i="10"/>
  <c r="C65" i="10"/>
  <c r="B65" i="10"/>
  <c r="T64" i="10"/>
  <c r="S64" i="10"/>
  <c r="Q64" i="10"/>
  <c r="P64" i="10"/>
  <c r="I64" i="10"/>
  <c r="H64" i="10"/>
  <c r="G64" i="10"/>
  <c r="F64" i="10"/>
  <c r="E64" i="10"/>
  <c r="D64" i="10"/>
  <c r="C64" i="10"/>
  <c r="B64" i="10"/>
  <c r="T63" i="10"/>
  <c r="S63" i="10"/>
  <c r="Q63" i="10"/>
  <c r="P63" i="10"/>
  <c r="I63" i="10"/>
  <c r="H63" i="10"/>
  <c r="G63" i="10"/>
  <c r="F63" i="10"/>
  <c r="E63" i="10"/>
  <c r="D63" i="10"/>
  <c r="C63" i="10"/>
  <c r="B63" i="10"/>
  <c r="T62" i="10"/>
  <c r="S62" i="10"/>
  <c r="Q62" i="10"/>
  <c r="P62" i="10"/>
  <c r="I62" i="10"/>
  <c r="H62" i="10"/>
  <c r="G62" i="10"/>
  <c r="F62" i="10"/>
  <c r="E62" i="10"/>
  <c r="D62" i="10"/>
  <c r="C62" i="10"/>
  <c r="B62" i="10"/>
  <c r="T61" i="10"/>
  <c r="S61" i="10"/>
  <c r="Q61" i="10"/>
  <c r="P61" i="10"/>
  <c r="I61" i="10"/>
  <c r="H61" i="10"/>
  <c r="G61" i="10"/>
  <c r="F61" i="10"/>
  <c r="E61" i="10"/>
  <c r="D61" i="10"/>
  <c r="C61" i="10"/>
  <c r="B61" i="10"/>
  <c r="T60" i="10"/>
  <c r="S60" i="10"/>
  <c r="Q60" i="10"/>
  <c r="P60" i="10"/>
  <c r="I60" i="10"/>
  <c r="H60" i="10"/>
  <c r="G60" i="10"/>
  <c r="F60" i="10"/>
  <c r="E60" i="10"/>
  <c r="D60" i="10"/>
  <c r="C60" i="10"/>
  <c r="B60" i="10"/>
  <c r="T59" i="10"/>
  <c r="S59" i="10"/>
  <c r="Q59" i="10"/>
  <c r="P59" i="10"/>
  <c r="I59" i="10"/>
  <c r="H59" i="10"/>
  <c r="G59" i="10"/>
  <c r="F59" i="10"/>
  <c r="E59" i="10"/>
  <c r="D59" i="10"/>
  <c r="C59" i="10"/>
  <c r="B59" i="10"/>
  <c r="T58" i="10"/>
  <c r="S58" i="10"/>
  <c r="Q58" i="10"/>
  <c r="P58" i="10"/>
  <c r="I58" i="10"/>
  <c r="H58" i="10"/>
  <c r="G58" i="10"/>
  <c r="F58" i="10"/>
  <c r="E58" i="10"/>
  <c r="D58" i="10"/>
  <c r="C58" i="10"/>
  <c r="B58" i="10"/>
  <c r="T57" i="10"/>
  <c r="S57" i="10"/>
  <c r="Q57" i="10"/>
  <c r="P57" i="10"/>
  <c r="I57" i="10"/>
  <c r="H57" i="10"/>
  <c r="G57" i="10"/>
  <c r="F57" i="10"/>
  <c r="E57" i="10"/>
  <c r="D57" i="10"/>
  <c r="C57" i="10"/>
  <c r="B57" i="10"/>
  <c r="T56" i="10"/>
  <c r="S56" i="10"/>
  <c r="Q56" i="10"/>
  <c r="P56" i="10"/>
  <c r="I56" i="10"/>
  <c r="H56" i="10"/>
  <c r="G56" i="10"/>
  <c r="F56" i="10"/>
  <c r="E56" i="10"/>
  <c r="D56" i="10"/>
  <c r="C56" i="10"/>
  <c r="B56" i="10"/>
  <c r="T55" i="10"/>
  <c r="S55" i="10"/>
  <c r="Q55" i="10"/>
  <c r="P55" i="10"/>
  <c r="I55" i="10"/>
  <c r="H55" i="10"/>
  <c r="G55" i="10"/>
  <c r="F55" i="10"/>
  <c r="E55" i="10"/>
  <c r="D55" i="10"/>
  <c r="C55" i="10"/>
  <c r="B55" i="10"/>
  <c r="T54" i="10"/>
  <c r="S54" i="10"/>
  <c r="Q54" i="10"/>
  <c r="P54" i="10"/>
  <c r="I54" i="10"/>
  <c r="H54" i="10"/>
  <c r="G54" i="10"/>
  <c r="F54" i="10"/>
  <c r="E54" i="10"/>
  <c r="D54" i="10"/>
  <c r="C54" i="10"/>
  <c r="B54" i="10"/>
  <c r="T53" i="10"/>
  <c r="S53" i="10"/>
  <c r="Q53" i="10"/>
  <c r="P53" i="10"/>
  <c r="I53" i="10"/>
  <c r="H53" i="10"/>
  <c r="G53" i="10"/>
  <c r="F53" i="10"/>
  <c r="E53" i="10"/>
  <c r="D53" i="10"/>
  <c r="C53" i="10"/>
  <c r="B53" i="10"/>
  <c r="T52" i="10"/>
  <c r="S52" i="10"/>
  <c r="Q52" i="10"/>
  <c r="P52" i="10"/>
  <c r="I52" i="10"/>
  <c r="H52" i="10"/>
  <c r="G52" i="10"/>
  <c r="F52" i="10"/>
  <c r="E52" i="10"/>
  <c r="D52" i="10"/>
  <c r="C52" i="10"/>
  <c r="B52" i="10"/>
  <c r="T51" i="10"/>
  <c r="S51" i="10"/>
  <c r="Q51" i="10"/>
  <c r="P51" i="10"/>
  <c r="I51" i="10"/>
  <c r="H51" i="10"/>
  <c r="G51" i="10"/>
  <c r="F51" i="10"/>
  <c r="E51" i="10"/>
  <c r="D51" i="10"/>
  <c r="C51" i="10"/>
  <c r="B51" i="10"/>
  <c r="T50" i="10"/>
  <c r="S50" i="10"/>
  <c r="Q50" i="10"/>
  <c r="P50" i="10"/>
  <c r="I50" i="10"/>
  <c r="H50" i="10"/>
  <c r="G50" i="10"/>
  <c r="F50" i="10"/>
  <c r="E50" i="10"/>
  <c r="D50" i="10"/>
  <c r="C50" i="10"/>
  <c r="B50" i="10"/>
  <c r="T49" i="10"/>
  <c r="S49" i="10"/>
  <c r="Q49" i="10"/>
  <c r="P49" i="10"/>
  <c r="I49" i="10"/>
  <c r="H49" i="10"/>
  <c r="G49" i="10"/>
  <c r="F49" i="10"/>
  <c r="E49" i="10"/>
  <c r="D49" i="10"/>
  <c r="C49" i="10"/>
  <c r="B49" i="10"/>
  <c r="T48" i="10"/>
  <c r="S48" i="10"/>
  <c r="Q48" i="10"/>
  <c r="P48" i="10"/>
  <c r="I48" i="10"/>
  <c r="H48" i="10"/>
  <c r="G48" i="10"/>
  <c r="F48" i="10"/>
  <c r="E48" i="10"/>
  <c r="D48" i="10"/>
  <c r="C48" i="10"/>
  <c r="B48" i="10"/>
  <c r="T47" i="10"/>
  <c r="S47" i="10"/>
  <c r="Q47" i="10"/>
  <c r="P47" i="10"/>
  <c r="I47" i="10"/>
  <c r="H47" i="10"/>
  <c r="G47" i="10"/>
  <c r="F47" i="10"/>
  <c r="E47" i="10"/>
  <c r="D47" i="10"/>
  <c r="C47" i="10"/>
  <c r="B47" i="10"/>
  <c r="T46" i="10"/>
  <c r="S46" i="10"/>
  <c r="Q46" i="10"/>
  <c r="P46" i="10"/>
  <c r="I46" i="10"/>
  <c r="H46" i="10"/>
  <c r="G46" i="10"/>
  <c r="F46" i="10"/>
  <c r="E46" i="10"/>
  <c r="D46" i="10"/>
  <c r="C46" i="10"/>
  <c r="B46" i="10"/>
  <c r="T45" i="10"/>
  <c r="S45" i="10"/>
  <c r="Q45" i="10"/>
  <c r="P45" i="10"/>
  <c r="I45" i="10"/>
  <c r="H45" i="10"/>
  <c r="G45" i="10"/>
  <c r="F45" i="10"/>
  <c r="E45" i="10"/>
  <c r="D45" i="10"/>
  <c r="C45" i="10"/>
  <c r="B45" i="10"/>
  <c r="T44" i="10"/>
  <c r="S44" i="10"/>
  <c r="Q44" i="10"/>
  <c r="P44" i="10"/>
  <c r="I44" i="10"/>
  <c r="H44" i="10"/>
  <c r="G44" i="10"/>
  <c r="F44" i="10"/>
  <c r="E44" i="10"/>
  <c r="D44" i="10"/>
  <c r="C44" i="10"/>
  <c r="B44" i="10"/>
  <c r="T43" i="10"/>
  <c r="S43" i="10"/>
  <c r="Q43" i="10"/>
  <c r="P43" i="10"/>
  <c r="I43" i="10"/>
  <c r="H43" i="10"/>
  <c r="G43" i="10"/>
  <c r="F43" i="10"/>
  <c r="E43" i="10"/>
  <c r="D43" i="10"/>
  <c r="C43" i="10"/>
  <c r="B43" i="10"/>
  <c r="T42" i="10"/>
  <c r="S42" i="10"/>
  <c r="Q42" i="10"/>
  <c r="P42" i="10"/>
  <c r="I42" i="10"/>
  <c r="H42" i="10"/>
  <c r="G42" i="10"/>
  <c r="F42" i="10"/>
  <c r="E42" i="10"/>
  <c r="D42" i="10"/>
  <c r="C42" i="10"/>
  <c r="B42" i="10"/>
  <c r="T41" i="10"/>
  <c r="S41" i="10"/>
  <c r="Q41" i="10"/>
  <c r="P41" i="10"/>
  <c r="I41" i="10"/>
  <c r="H41" i="10"/>
  <c r="G41" i="10"/>
  <c r="F41" i="10"/>
  <c r="E41" i="10"/>
  <c r="D41" i="10"/>
  <c r="C41" i="10"/>
  <c r="B41" i="10"/>
  <c r="T40" i="10"/>
  <c r="S40" i="10"/>
  <c r="Q40" i="10"/>
  <c r="P40" i="10"/>
  <c r="I40" i="10"/>
  <c r="H40" i="10"/>
  <c r="G40" i="10"/>
  <c r="F40" i="10"/>
  <c r="E40" i="10"/>
  <c r="D40" i="10"/>
  <c r="C40" i="10"/>
  <c r="B40" i="10"/>
  <c r="T39" i="10"/>
  <c r="S39" i="10"/>
  <c r="Q39" i="10"/>
  <c r="P39" i="10"/>
  <c r="I39" i="10"/>
  <c r="H39" i="10"/>
  <c r="G39" i="10"/>
  <c r="F39" i="10"/>
  <c r="E39" i="10"/>
  <c r="D39" i="10"/>
  <c r="C39" i="10"/>
  <c r="B39" i="10"/>
  <c r="T38" i="10"/>
  <c r="S38" i="10"/>
  <c r="Q38" i="10"/>
  <c r="P38" i="10"/>
  <c r="I38" i="10"/>
  <c r="H38" i="10"/>
  <c r="G38" i="10"/>
  <c r="F38" i="10"/>
  <c r="E38" i="10"/>
  <c r="D38" i="10"/>
  <c r="C38" i="10"/>
  <c r="B38" i="10"/>
  <c r="T37" i="10"/>
  <c r="S37" i="10"/>
  <c r="Q37" i="10"/>
  <c r="P37" i="10"/>
  <c r="I37" i="10"/>
  <c r="H37" i="10"/>
  <c r="G37" i="10"/>
  <c r="F37" i="10"/>
  <c r="E37" i="10"/>
  <c r="D37" i="10"/>
  <c r="C37" i="10"/>
  <c r="B37" i="10"/>
  <c r="T36" i="10"/>
  <c r="S36" i="10"/>
  <c r="Q36" i="10"/>
  <c r="P36" i="10"/>
  <c r="I36" i="10"/>
  <c r="H36" i="10"/>
  <c r="G36" i="10"/>
  <c r="F36" i="10"/>
  <c r="E36" i="10"/>
  <c r="D36" i="10"/>
  <c r="C36" i="10"/>
  <c r="B36" i="10"/>
  <c r="T35" i="10"/>
  <c r="S35" i="10"/>
  <c r="Q35" i="10"/>
  <c r="P35" i="10"/>
  <c r="I35" i="10"/>
  <c r="H35" i="10"/>
  <c r="G35" i="10"/>
  <c r="F35" i="10"/>
  <c r="E35" i="10"/>
  <c r="D35" i="10"/>
  <c r="C35" i="10"/>
  <c r="B35" i="10"/>
  <c r="T34" i="10"/>
  <c r="S34" i="10"/>
  <c r="Q34" i="10"/>
  <c r="P34" i="10"/>
  <c r="I34" i="10"/>
  <c r="H34" i="10"/>
  <c r="G34" i="10"/>
  <c r="F34" i="10"/>
  <c r="E34" i="10"/>
  <c r="D34" i="10"/>
  <c r="C34" i="10"/>
  <c r="B34" i="10"/>
  <c r="T33" i="10"/>
  <c r="S33" i="10"/>
  <c r="Q33" i="10"/>
  <c r="P33" i="10"/>
  <c r="I33" i="10"/>
  <c r="H33" i="10"/>
  <c r="G33" i="10"/>
  <c r="F33" i="10"/>
  <c r="E33" i="10"/>
  <c r="D33" i="10"/>
  <c r="C33" i="10"/>
  <c r="B33" i="10"/>
  <c r="T32" i="10"/>
  <c r="S32" i="10"/>
  <c r="Q32" i="10"/>
  <c r="P32" i="10"/>
  <c r="I32" i="10"/>
  <c r="H32" i="10"/>
  <c r="G32" i="10"/>
  <c r="F32" i="10"/>
  <c r="E32" i="10"/>
  <c r="D32" i="10"/>
  <c r="C32" i="10"/>
  <c r="B32" i="10"/>
  <c r="T31" i="10"/>
  <c r="S31" i="10"/>
  <c r="Q31" i="10"/>
  <c r="P31" i="10"/>
  <c r="I31" i="10"/>
  <c r="H31" i="10"/>
  <c r="G31" i="10"/>
  <c r="F31" i="10"/>
  <c r="E31" i="10"/>
  <c r="D31" i="10"/>
  <c r="C31" i="10"/>
  <c r="B31" i="10"/>
  <c r="T30" i="10"/>
  <c r="S30" i="10"/>
  <c r="Q30" i="10"/>
  <c r="P30" i="10"/>
  <c r="I30" i="10"/>
  <c r="H30" i="10"/>
  <c r="G30" i="10"/>
  <c r="F30" i="10"/>
  <c r="E30" i="10"/>
  <c r="D30" i="10"/>
  <c r="C30" i="10"/>
  <c r="B30" i="10"/>
  <c r="T29" i="10"/>
  <c r="S29" i="10"/>
  <c r="Q29" i="10"/>
  <c r="P29" i="10"/>
  <c r="I29" i="10"/>
  <c r="H29" i="10"/>
  <c r="G29" i="10"/>
  <c r="F29" i="10"/>
  <c r="E29" i="10"/>
  <c r="D29" i="10"/>
  <c r="C29" i="10"/>
  <c r="B29" i="10"/>
  <c r="T28" i="10"/>
  <c r="S28" i="10"/>
  <c r="Q28" i="10"/>
  <c r="P28" i="10"/>
  <c r="I28" i="10"/>
  <c r="H28" i="10"/>
  <c r="G28" i="10"/>
  <c r="F28" i="10"/>
  <c r="E28" i="10"/>
  <c r="D28" i="10"/>
  <c r="C28" i="10"/>
  <c r="B28" i="10"/>
  <c r="T27" i="10"/>
  <c r="S27" i="10"/>
  <c r="Q27" i="10"/>
  <c r="P27" i="10"/>
  <c r="I27" i="10"/>
  <c r="H27" i="10"/>
  <c r="G27" i="10"/>
  <c r="F27" i="10"/>
  <c r="E27" i="10"/>
  <c r="D27" i="10"/>
  <c r="C27" i="10"/>
  <c r="B27" i="10"/>
  <c r="T26" i="10"/>
  <c r="S26" i="10"/>
  <c r="Q26" i="10"/>
  <c r="P26" i="10"/>
  <c r="I26" i="10"/>
  <c r="H26" i="10"/>
  <c r="G26" i="10"/>
  <c r="F26" i="10"/>
  <c r="E26" i="10"/>
  <c r="D26" i="10"/>
  <c r="C26" i="10"/>
  <c r="B26" i="10"/>
  <c r="T25" i="10"/>
  <c r="S25" i="10"/>
  <c r="Q25" i="10"/>
  <c r="P25" i="10"/>
  <c r="I25" i="10"/>
  <c r="H25" i="10"/>
  <c r="G25" i="10"/>
  <c r="F25" i="10"/>
  <c r="E25" i="10"/>
  <c r="D25" i="10"/>
  <c r="C25" i="10"/>
  <c r="B25" i="10"/>
  <c r="T24" i="10"/>
  <c r="S24" i="10"/>
  <c r="Q24" i="10"/>
  <c r="P24" i="10"/>
  <c r="I24" i="10"/>
  <c r="H24" i="10"/>
  <c r="G24" i="10"/>
  <c r="F24" i="10"/>
  <c r="E24" i="10"/>
  <c r="D24" i="10"/>
  <c r="C24" i="10"/>
  <c r="B24" i="10"/>
  <c r="T23" i="10"/>
  <c r="S23" i="10"/>
  <c r="Q23" i="10"/>
  <c r="P23" i="10"/>
  <c r="I23" i="10"/>
  <c r="H23" i="10"/>
  <c r="G23" i="10"/>
  <c r="F23" i="10"/>
  <c r="E23" i="10"/>
  <c r="D23" i="10"/>
  <c r="C23" i="10"/>
  <c r="B23" i="10"/>
  <c r="T22" i="10"/>
  <c r="S22" i="10"/>
  <c r="Q22" i="10"/>
  <c r="P22" i="10"/>
  <c r="I22" i="10"/>
  <c r="H22" i="10"/>
  <c r="G22" i="10"/>
  <c r="F22" i="10"/>
  <c r="E22" i="10"/>
  <c r="D22" i="10"/>
  <c r="C22" i="10"/>
  <c r="B22" i="10"/>
  <c r="T21" i="10"/>
  <c r="S21" i="10"/>
  <c r="Q21" i="10"/>
  <c r="P21" i="10"/>
  <c r="I21" i="10"/>
  <c r="H21" i="10"/>
  <c r="G21" i="10"/>
  <c r="F21" i="10"/>
  <c r="E21" i="10"/>
  <c r="D21" i="10"/>
  <c r="C21" i="10"/>
  <c r="B21" i="10"/>
  <c r="T20" i="10"/>
  <c r="S20" i="10"/>
  <c r="Q20" i="10"/>
  <c r="P20" i="10"/>
  <c r="I20" i="10"/>
  <c r="H20" i="10"/>
  <c r="G20" i="10"/>
  <c r="F20" i="10"/>
  <c r="E20" i="10"/>
  <c r="D20" i="10"/>
  <c r="C20" i="10"/>
  <c r="B20" i="10"/>
  <c r="T19" i="10"/>
  <c r="S19" i="10"/>
  <c r="Q19" i="10"/>
  <c r="P19" i="10"/>
  <c r="I19" i="10"/>
  <c r="H19" i="10"/>
  <c r="G19" i="10"/>
  <c r="F19" i="10"/>
  <c r="E19" i="10"/>
  <c r="D19" i="10"/>
  <c r="C19" i="10"/>
  <c r="B19" i="10"/>
  <c r="T18" i="10"/>
  <c r="S18" i="10"/>
  <c r="Q18" i="10"/>
  <c r="P18" i="10"/>
  <c r="I18" i="10"/>
  <c r="H18" i="10"/>
  <c r="G18" i="10"/>
  <c r="F18" i="10"/>
  <c r="E18" i="10"/>
  <c r="D18" i="10"/>
  <c r="C18" i="10"/>
  <c r="B18" i="10"/>
  <c r="T17" i="10"/>
  <c r="S17" i="10"/>
  <c r="Q17" i="10"/>
  <c r="P17" i="10"/>
  <c r="I17" i="10"/>
  <c r="H17" i="10"/>
  <c r="G17" i="10"/>
  <c r="F17" i="10"/>
  <c r="E17" i="10"/>
  <c r="D17" i="10"/>
  <c r="C17" i="10"/>
  <c r="B17" i="10"/>
  <c r="T16" i="10"/>
  <c r="S16" i="10"/>
  <c r="Q16" i="10"/>
  <c r="P16" i="10"/>
  <c r="I16" i="10"/>
  <c r="H16" i="10"/>
  <c r="G16" i="10"/>
  <c r="F16" i="10"/>
  <c r="E16" i="10"/>
  <c r="D16" i="10"/>
  <c r="C16" i="10"/>
  <c r="B16" i="10"/>
  <c r="T15" i="10"/>
  <c r="S15" i="10"/>
  <c r="Q15" i="10"/>
  <c r="P15" i="10"/>
  <c r="I15" i="10"/>
  <c r="H15" i="10"/>
  <c r="G15" i="10"/>
  <c r="F15" i="10"/>
  <c r="E15" i="10"/>
  <c r="D15" i="10"/>
  <c r="C15" i="10"/>
  <c r="B15" i="10"/>
  <c r="T14" i="10"/>
  <c r="S14" i="10"/>
  <c r="Q14" i="10"/>
  <c r="P14" i="10"/>
  <c r="I14" i="10"/>
  <c r="H14" i="10"/>
  <c r="G14" i="10"/>
  <c r="F14" i="10"/>
  <c r="E14" i="10"/>
  <c r="D14" i="10"/>
  <c r="C14" i="10"/>
  <c r="B14" i="10"/>
  <c r="T13" i="10"/>
  <c r="S13" i="10"/>
  <c r="Q13" i="10"/>
  <c r="P13" i="10"/>
  <c r="I13" i="10"/>
  <c r="H13" i="10"/>
  <c r="G13" i="10"/>
  <c r="F13" i="10"/>
  <c r="E13" i="10"/>
  <c r="D13" i="10"/>
  <c r="C13" i="10"/>
  <c r="B13" i="10"/>
  <c r="T12" i="10"/>
  <c r="S12" i="10"/>
  <c r="Q12" i="10"/>
  <c r="P12" i="10"/>
  <c r="I12" i="10"/>
  <c r="H12" i="10"/>
  <c r="G12" i="10"/>
  <c r="F12" i="10"/>
  <c r="E12" i="10"/>
  <c r="D12" i="10"/>
  <c r="C12" i="10"/>
  <c r="B12" i="10"/>
  <c r="T11" i="10"/>
  <c r="S11" i="10"/>
  <c r="Q11" i="10"/>
  <c r="P11" i="10"/>
  <c r="I11" i="10"/>
  <c r="H11" i="10"/>
  <c r="G11" i="10"/>
  <c r="F11" i="10"/>
  <c r="E11" i="10"/>
  <c r="D11" i="10"/>
  <c r="C11" i="10"/>
  <c r="B11" i="10"/>
  <c r="T10" i="10"/>
  <c r="S10" i="10"/>
  <c r="Q10" i="10"/>
  <c r="P10" i="10"/>
  <c r="I10" i="10"/>
  <c r="H10" i="10"/>
  <c r="G10" i="10"/>
  <c r="F10" i="10"/>
  <c r="E10" i="10"/>
  <c r="D10" i="10"/>
  <c r="C10" i="10"/>
  <c r="B10" i="10"/>
  <c r="T9" i="10"/>
  <c r="S9" i="10"/>
  <c r="Q9" i="10"/>
  <c r="P9" i="10"/>
  <c r="I9" i="10"/>
  <c r="H9" i="10"/>
  <c r="G9" i="10"/>
  <c r="F9" i="10"/>
  <c r="E9" i="10"/>
  <c r="D9" i="10"/>
  <c r="C9" i="10"/>
  <c r="B9" i="10"/>
  <c r="T8" i="10"/>
  <c r="S8" i="10"/>
  <c r="Q8" i="10"/>
  <c r="P8" i="10"/>
  <c r="I8" i="10"/>
  <c r="H8" i="10"/>
  <c r="G8" i="10"/>
  <c r="F8" i="10"/>
  <c r="E8" i="10"/>
  <c r="D8" i="10"/>
  <c r="C8" i="10"/>
  <c r="B8" i="10"/>
  <c r="T7" i="10"/>
  <c r="S7" i="10"/>
  <c r="Q7" i="10"/>
  <c r="P7" i="10"/>
  <c r="I7" i="10"/>
  <c r="H7" i="10"/>
  <c r="G7" i="10"/>
  <c r="F7" i="10"/>
  <c r="E7" i="10"/>
  <c r="D7" i="10"/>
  <c r="C7" i="10"/>
  <c r="B7" i="10"/>
  <c r="T6" i="10"/>
  <c r="S6" i="10"/>
  <c r="Q6" i="10"/>
  <c r="P6" i="10"/>
  <c r="I6" i="10"/>
  <c r="H6" i="10"/>
  <c r="G6" i="10"/>
  <c r="F6" i="10"/>
  <c r="E6" i="10"/>
  <c r="D6" i="10"/>
  <c r="C6" i="10"/>
  <c r="B6" i="10"/>
  <c r="T5" i="10"/>
  <c r="S5" i="10"/>
  <c r="Q5" i="10"/>
  <c r="P5" i="10"/>
  <c r="I5" i="10"/>
  <c r="H5" i="10"/>
  <c r="G5" i="10"/>
  <c r="F5" i="10"/>
  <c r="E5" i="10"/>
  <c r="D5" i="10"/>
  <c r="C5" i="10"/>
  <c r="B5" i="10"/>
  <c r="T4" i="10"/>
  <c r="S4" i="10"/>
  <c r="Q4" i="10"/>
  <c r="P4" i="10"/>
  <c r="I4" i="10"/>
  <c r="H4" i="10"/>
  <c r="G4" i="10"/>
  <c r="F4" i="10"/>
  <c r="E4" i="10"/>
  <c r="D4" i="10"/>
  <c r="C4" i="10"/>
  <c r="B4" i="10"/>
  <c r="T3" i="10"/>
  <c r="S3" i="10"/>
  <c r="Q3" i="10"/>
  <c r="P3" i="10"/>
  <c r="I3" i="10"/>
  <c r="H3" i="10"/>
  <c r="G3" i="10"/>
  <c r="F3" i="10"/>
  <c r="E3" i="10"/>
  <c r="D3" i="10"/>
  <c r="C3" i="10"/>
  <c r="B3" i="10"/>
  <c r="P64" i="9"/>
  <c r="S50" i="9"/>
  <c r="S49" i="9"/>
  <c r="S48" i="9"/>
  <c r="S47" i="9"/>
  <c r="S46" i="9"/>
  <c r="S45" i="9"/>
  <c r="S44" i="9"/>
  <c r="S43" i="9"/>
  <c r="S42" i="9"/>
  <c r="S41" i="9"/>
  <c r="V40" i="9"/>
  <c r="T40" i="9"/>
  <c r="S40" i="9"/>
  <c r="Q40" i="9"/>
  <c r="P40" i="9"/>
  <c r="I40" i="9"/>
  <c r="H40" i="9"/>
  <c r="G40" i="9"/>
  <c r="F40" i="9"/>
  <c r="E40" i="9"/>
  <c r="D40" i="9"/>
  <c r="C40" i="9"/>
  <c r="B40" i="9"/>
  <c r="V39" i="9"/>
  <c r="T39" i="9"/>
  <c r="S39" i="9"/>
  <c r="Q39" i="9"/>
  <c r="P39" i="9"/>
  <c r="I39" i="9"/>
  <c r="G39" i="9"/>
  <c r="F39" i="9"/>
  <c r="E39" i="9"/>
  <c r="D39" i="9"/>
  <c r="C39" i="9"/>
  <c r="B39" i="9"/>
  <c r="V38" i="9"/>
  <c r="T38" i="9"/>
  <c r="S38" i="9"/>
  <c r="Q38" i="9"/>
  <c r="P38" i="9"/>
  <c r="I38" i="9"/>
  <c r="H38" i="9"/>
  <c r="G38" i="9"/>
  <c r="F38" i="9"/>
  <c r="E38" i="9"/>
  <c r="D38" i="9"/>
  <c r="C38" i="9"/>
  <c r="B38" i="9"/>
  <c r="V37" i="9"/>
  <c r="T37" i="9"/>
  <c r="S37" i="9"/>
  <c r="Q37" i="9"/>
  <c r="P37" i="9"/>
  <c r="I37" i="9"/>
  <c r="H37" i="9"/>
  <c r="G37" i="9"/>
  <c r="F37" i="9"/>
  <c r="E37" i="9"/>
  <c r="D37" i="9"/>
  <c r="C37" i="9"/>
  <c r="B37" i="9"/>
  <c r="V36" i="9"/>
  <c r="T36" i="9"/>
  <c r="S36" i="9"/>
  <c r="Q36" i="9"/>
  <c r="P36" i="9"/>
  <c r="I36" i="9"/>
  <c r="H36" i="9"/>
  <c r="G36" i="9"/>
  <c r="F36" i="9"/>
  <c r="E36" i="9"/>
  <c r="D36" i="9"/>
  <c r="C36" i="9"/>
  <c r="B36" i="9"/>
  <c r="V35" i="9"/>
  <c r="T35" i="9"/>
  <c r="S35" i="9"/>
  <c r="Q35" i="9"/>
  <c r="P35" i="9"/>
  <c r="I35" i="9"/>
  <c r="H35" i="9"/>
  <c r="G35" i="9"/>
  <c r="F35" i="9"/>
  <c r="E35" i="9"/>
  <c r="D35" i="9"/>
  <c r="C35" i="9"/>
  <c r="B35" i="9"/>
  <c r="V34" i="9"/>
  <c r="T34" i="9"/>
  <c r="S34" i="9"/>
  <c r="Q34" i="9"/>
  <c r="P34" i="9"/>
  <c r="I34" i="9"/>
  <c r="H34" i="9"/>
  <c r="G34" i="9"/>
  <c r="F34" i="9"/>
  <c r="E34" i="9"/>
  <c r="D34" i="9"/>
  <c r="C34" i="9"/>
  <c r="B34" i="9"/>
  <c r="V33" i="9"/>
  <c r="T33" i="9"/>
  <c r="S33" i="9"/>
  <c r="Q33" i="9"/>
  <c r="P33" i="9"/>
  <c r="I33" i="9"/>
  <c r="H33" i="9"/>
  <c r="G33" i="9"/>
  <c r="F33" i="9"/>
  <c r="E33" i="9"/>
  <c r="D33" i="9"/>
  <c r="C33" i="9"/>
  <c r="B33" i="9"/>
  <c r="V32" i="9"/>
  <c r="T32" i="9"/>
  <c r="S32" i="9"/>
  <c r="Q32" i="9"/>
  <c r="P32" i="9"/>
  <c r="I32" i="9"/>
  <c r="H32" i="9"/>
  <c r="G32" i="9"/>
  <c r="F32" i="9"/>
  <c r="E32" i="9"/>
  <c r="D32" i="9"/>
  <c r="C32" i="9"/>
  <c r="B32" i="9"/>
  <c r="V31" i="9"/>
  <c r="T31" i="9"/>
  <c r="S31" i="9"/>
  <c r="Q31" i="9"/>
  <c r="P31" i="9"/>
  <c r="I31" i="9"/>
  <c r="H31" i="9"/>
  <c r="G31" i="9"/>
  <c r="F31" i="9"/>
  <c r="E31" i="9"/>
  <c r="D31" i="9"/>
  <c r="C31" i="9"/>
  <c r="B31" i="9"/>
  <c r="V30" i="9"/>
  <c r="T30" i="9"/>
  <c r="S30" i="9"/>
  <c r="Q30" i="9"/>
  <c r="P30" i="9"/>
  <c r="I30" i="9"/>
  <c r="H30" i="9"/>
  <c r="G30" i="9"/>
  <c r="F30" i="9"/>
  <c r="E30" i="9"/>
  <c r="D30" i="9"/>
  <c r="C30" i="9"/>
  <c r="B30" i="9"/>
  <c r="V29" i="9"/>
  <c r="T29" i="9"/>
  <c r="S29" i="9"/>
  <c r="Q29" i="9"/>
  <c r="P29" i="9"/>
  <c r="I29" i="9"/>
  <c r="H29" i="9"/>
  <c r="G29" i="9"/>
  <c r="F29" i="9"/>
  <c r="E29" i="9"/>
  <c r="D29" i="9"/>
  <c r="C29" i="9"/>
  <c r="B29" i="9"/>
  <c r="V28" i="9"/>
  <c r="T28" i="9"/>
  <c r="S28" i="9"/>
  <c r="Q28" i="9"/>
  <c r="P28" i="9"/>
  <c r="I28" i="9"/>
  <c r="H28" i="9"/>
  <c r="G28" i="9"/>
  <c r="F28" i="9"/>
  <c r="E28" i="9"/>
  <c r="D28" i="9"/>
  <c r="C28" i="9"/>
  <c r="B28" i="9"/>
  <c r="V27" i="9"/>
  <c r="T27" i="9"/>
  <c r="S27" i="9"/>
  <c r="Q27" i="9"/>
  <c r="P27" i="9"/>
  <c r="I27" i="9"/>
  <c r="H27" i="9"/>
  <c r="G27" i="9"/>
  <c r="F27" i="9"/>
  <c r="E27" i="9"/>
  <c r="D27" i="9"/>
  <c r="C27" i="9"/>
  <c r="B27" i="9"/>
  <c r="V26" i="9"/>
  <c r="T26" i="9"/>
  <c r="S26" i="9"/>
  <c r="Q26" i="9"/>
  <c r="P26" i="9"/>
  <c r="I26" i="9"/>
  <c r="H26" i="9"/>
  <c r="G26" i="9"/>
  <c r="F26" i="9"/>
  <c r="E26" i="9"/>
  <c r="D26" i="9"/>
  <c r="C26" i="9"/>
  <c r="B26" i="9"/>
  <c r="V25" i="9"/>
  <c r="T25" i="9"/>
  <c r="S25" i="9"/>
  <c r="Q25" i="9"/>
  <c r="P25" i="9"/>
  <c r="I25" i="9"/>
  <c r="H25" i="9"/>
  <c r="G25" i="9"/>
  <c r="F25" i="9"/>
  <c r="E25" i="9"/>
  <c r="D25" i="9"/>
  <c r="C25" i="9"/>
  <c r="B25" i="9"/>
  <c r="V24" i="9"/>
  <c r="T24" i="9"/>
  <c r="S24" i="9"/>
  <c r="Q24" i="9"/>
  <c r="P24" i="9"/>
  <c r="I24" i="9"/>
  <c r="H24" i="9"/>
  <c r="G24" i="9"/>
  <c r="F24" i="9"/>
  <c r="E24" i="9"/>
  <c r="D24" i="9"/>
  <c r="C24" i="9"/>
  <c r="B24" i="9"/>
  <c r="V23" i="9"/>
  <c r="T23" i="9"/>
  <c r="S23" i="9"/>
  <c r="Q23" i="9"/>
  <c r="P23" i="9"/>
  <c r="I23" i="9"/>
  <c r="H23" i="9"/>
  <c r="G23" i="9"/>
  <c r="F23" i="9"/>
  <c r="E23" i="9"/>
  <c r="D23" i="9"/>
  <c r="C23" i="9"/>
  <c r="B23" i="9"/>
  <c r="V22" i="9"/>
  <c r="T22" i="9"/>
  <c r="S22" i="9"/>
  <c r="Q22" i="9"/>
  <c r="P22" i="9"/>
  <c r="I22" i="9"/>
  <c r="H22" i="9"/>
  <c r="G22" i="9"/>
  <c r="F22" i="9"/>
  <c r="E22" i="9"/>
  <c r="D22" i="9"/>
  <c r="C22" i="9"/>
  <c r="B22" i="9"/>
  <c r="V21" i="9"/>
  <c r="T21" i="9"/>
  <c r="S21" i="9"/>
  <c r="Q21" i="9"/>
  <c r="P21" i="9"/>
  <c r="I21" i="9"/>
  <c r="H21" i="9"/>
  <c r="G21" i="9"/>
  <c r="F21" i="9"/>
  <c r="E21" i="9"/>
  <c r="D21" i="9"/>
  <c r="C21" i="9"/>
  <c r="B21" i="9"/>
  <c r="V20" i="9"/>
  <c r="T20" i="9"/>
  <c r="S20" i="9"/>
  <c r="Q20" i="9"/>
  <c r="P20" i="9"/>
  <c r="I20" i="9"/>
  <c r="H20" i="9"/>
  <c r="G20" i="9"/>
  <c r="F20" i="9"/>
  <c r="E20" i="9"/>
  <c r="D20" i="9"/>
  <c r="C20" i="9"/>
  <c r="B20" i="9"/>
  <c r="V19" i="9"/>
  <c r="T19" i="9"/>
  <c r="S19" i="9"/>
  <c r="Q19" i="9"/>
  <c r="P19" i="9"/>
  <c r="I19" i="9"/>
  <c r="H19" i="9"/>
  <c r="G19" i="9"/>
  <c r="F19" i="9"/>
  <c r="E19" i="9"/>
  <c r="D19" i="9"/>
  <c r="C19" i="9"/>
  <c r="B19" i="9"/>
  <c r="V18" i="9"/>
  <c r="T18" i="9"/>
  <c r="S18" i="9"/>
  <c r="Q18" i="9"/>
  <c r="P18" i="9"/>
  <c r="I18" i="9"/>
  <c r="H18" i="9"/>
  <c r="G18" i="9"/>
  <c r="F18" i="9"/>
  <c r="E18" i="9"/>
  <c r="D18" i="9"/>
  <c r="C18" i="9"/>
  <c r="B18" i="9"/>
  <c r="V17" i="9"/>
  <c r="T17" i="9"/>
  <c r="S17" i="9"/>
  <c r="Q17" i="9"/>
  <c r="P17" i="9"/>
  <c r="I17" i="9"/>
  <c r="H17" i="9"/>
  <c r="G17" i="9"/>
  <c r="F17" i="9"/>
  <c r="E17" i="9"/>
  <c r="D17" i="9"/>
  <c r="C17" i="9"/>
  <c r="B17" i="9"/>
  <c r="V16" i="9"/>
  <c r="T16" i="9"/>
  <c r="S16" i="9"/>
  <c r="Q16" i="9"/>
  <c r="P16" i="9"/>
  <c r="I16" i="9"/>
  <c r="H16" i="9"/>
  <c r="G16" i="9"/>
  <c r="F16" i="9"/>
  <c r="E16" i="9"/>
  <c r="D16" i="9"/>
  <c r="C16" i="9"/>
  <c r="B16" i="9"/>
  <c r="V15" i="9"/>
  <c r="T15" i="9"/>
  <c r="S15" i="9"/>
  <c r="Q15" i="9"/>
  <c r="P15" i="9"/>
  <c r="I15" i="9"/>
  <c r="H15" i="9"/>
  <c r="G15" i="9"/>
  <c r="F15" i="9"/>
  <c r="E15" i="9"/>
  <c r="D15" i="9"/>
  <c r="C15" i="9"/>
  <c r="B15" i="9"/>
  <c r="V14" i="9"/>
  <c r="T14" i="9"/>
  <c r="S14" i="9"/>
  <c r="Q14" i="9"/>
  <c r="P14" i="9"/>
  <c r="I14" i="9"/>
  <c r="H14" i="9"/>
  <c r="G14" i="9"/>
  <c r="F14" i="9"/>
  <c r="E14" i="9"/>
  <c r="D14" i="9"/>
  <c r="C14" i="9"/>
  <c r="B14" i="9"/>
  <c r="V13" i="9"/>
  <c r="T13" i="9"/>
  <c r="S13" i="9"/>
  <c r="Q13" i="9"/>
  <c r="P13" i="9"/>
  <c r="I13" i="9"/>
  <c r="H13" i="9"/>
  <c r="G13" i="9"/>
  <c r="F13" i="9"/>
  <c r="E13" i="9"/>
  <c r="D13" i="9"/>
  <c r="C13" i="9"/>
  <c r="B13" i="9"/>
  <c r="V12" i="9"/>
  <c r="T12" i="9"/>
  <c r="S12" i="9"/>
  <c r="Q12" i="9"/>
  <c r="P12" i="9"/>
  <c r="I12" i="9"/>
  <c r="H12" i="9"/>
  <c r="G12" i="9"/>
  <c r="F12" i="9"/>
  <c r="E12" i="9"/>
  <c r="D12" i="9"/>
  <c r="C12" i="9"/>
  <c r="B12" i="9"/>
  <c r="V11" i="9"/>
  <c r="T11" i="9"/>
  <c r="S11" i="9"/>
  <c r="Q11" i="9"/>
  <c r="P11" i="9"/>
  <c r="I11" i="9"/>
  <c r="H11" i="9"/>
  <c r="G11" i="9"/>
  <c r="F11" i="9"/>
  <c r="E11" i="9"/>
  <c r="D11" i="9"/>
  <c r="C11" i="9"/>
  <c r="B11" i="9"/>
  <c r="V10" i="9"/>
  <c r="T10" i="9"/>
  <c r="S10" i="9"/>
  <c r="Q10" i="9"/>
  <c r="P10" i="9"/>
  <c r="I10" i="9"/>
  <c r="H10" i="9"/>
  <c r="G10" i="9"/>
  <c r="F10" i="9"/>
  <c r="E10" i="9"/>
  <c r="D10" i="9"/>
  <c r="C10" i="9"/>
  <c r="B10" i="9"/>
  <c r="V9" i="9"/>
  <c r="T9" i="9"/>
  <c r="S9" i="9"/>
  <c r="Q9" i="9"/>
  <c r="P9" i="9"/>
  <c r="I9" i="9"/>
  <c r="H9" i="9"/>
  <c r="G9" i="9"/>
  <c r="F9" i="9"/>
  <c r="E9" i="9"/>
  <c r="D9" i="9"/>
  <c r="C9" i="9"/>
  <c r="B9" i="9"/>
  <c r="V8" i="9"/>
  <c r="T8" i="9"/>
  <c r="S8" i="9"/>
  <c r="Q8" i="9"/>
  <c r="P8" i="9"/>
  <c r="I8" i="9"/>
  <c r="H8" i="9"/>
  <c r="G8" i="9"/>
  <c r="F8" i="9"/>
  <c r="E8" i="9"/>
  <c r="D8" i="9"/>
  <c r="C8" i="9"/>
  <c r="B8" i="9"/>
  <c r="V7" i="9"/>
  <c r="T7" i="9"/>
  <c r="S7" i="9"/>
  <c r="Q7" i="9"/>
  <c r="P7" i="9"/>
  <c r="I7" i="9"/>
  <c r="H7" i="9"/>
  <c r="G7" i="9"/>
  <c r="F7" i="9"/>
  <c r="E7" i="9"/>
  <c r="D7" i="9"/>
  <c r="C7" i="9"/>
  <c r="B7" i="9"/>
  <c r="V6" i="9"/>
  <c r="T6" i="9"/>
  <c r="S6" i="9"/>
  <c r="Q6" i="9"/>
  <c r="P6" i="9"/>
  <c r="I6" i="9"/>
  <c r="H6" i="9"/>
  <c r="G6" i="9"/>
  <c r="F6" i="9"/>
  <c r="E6" i="9"/>
  <c r="D6" i="9"/>
  <c r="C6" i="9"/>
  <c r="B6" i="9"/>
  <c r="V5" i="9"/>
  <c r="T5" i="9"/>
  <c r="S5" i="9"/>
  <c r="Q5" i="9"/>
  <c r="P5" i="9"/>
  <c r="I5" i="9"/>
  <c r="H5" i="9"/>
  <c r="G5" i="9"/>
  <c r="F5" i="9"/>
  <c r="E5" i="9"/>
  <c r="D5" i="9"/>
  <c r="C5" i="9"/>
  <c r="B5" i="9"/>
  <c r="V4" i="9"/>
  <c r="T4" i="9"/>
  <c r="S4" i="9"/>
  <c r="Q4" i="9"/>
  <c r="P4" i="9"/>
  <c r="I4" i="9"/>
  <c r="H4" i="9"/>
  <c r="G4" i="9"/>
  <c r="F4" i="9"/>
  <c r="E4" i="9"/>
  <c r="D4" i="9"/>
  <c r="C4" i="9"/>
  <c r="B4" i="9"/>
  <c r="V3" i="9"/>
  <c r="T3" i="9"/>
  <c r="S3" i="9"/>
  <c r="Q3" i="9"/>
  <c r="P3" i="9"/>
  <c r="I3" i="9"/>
  <c r="H3" i="9"/>
  <c r="G3" i="9"/>
  <c r="F3" i="9"/>
  <c r="E3" i="9"/>
  <c r="D3" i="9"/>
  <c r="C3" i="9"/>
  <c r="B3" i="9"/>
  <c r="R64" i="8"/>
  <c r="T63" i="8"/>
  <c r="R63" i="8"/>
  <c r="Q63" i="8"/>
  <c r="P63" i="8"/>
  <c r="T62" i="8"/>
  <c r="R62" i="8"/>
  <c r="Q62" i="8"/>
  <c r="P62" i="8"/>
  <c r="T61" i="8"/>
  <c r="R61" i="8"/>
  <c r="Q61" i="8"/>
  <c r="P61" i="8"/>
  <c r="T60" i="8"/>
  <c r="R60" i="8"/>
  <c r="Q60" i="8"/>
  <c r="P60" i="8"/>
  <c r="T59" i="8"/>
  <c r="R59" i="8"/>
  <c r="Q59" i="8"/>
  <c r="P59" i="8"/>
  <c r="T58" i="8"/>
  <c r="R58" i="8"/>
  <c r="Q58" i="8"/>
  <c r="P58" i="8"/>
  <c r="T57" i="8"/>
  <c r="R57" i="8"/>
  <c r="Q57" i="8"/>
  <c r="P57" i="8"/>
  <c r="T56" i="8"/>
  <c r="R56" i="8"/>
  <c r="Q56" i="8"/>
  <c r="P56" i="8"/>
  <c r="T55" i="8"/>
  <c r="R55" i="8"/>
  <c r="Q55" i="8"/>
  <c r="P55" i="8"/>
  <c r="T54" i="8"/>
  <c r="R54" i="8"/>
  <c r="Q54" i="8"/>
  <c r="P54" i="8"/>
  <c r="T53" i="8"/>
  <c r="R53" i="8"/>
  <c r="Q53" i="8"/>
  <c r="P53" i="8"/>
  <c r="T52" i="8"/>
  <c r="R52" i="8"/>
  <c r="Q52" i="8"/>
  <c r="P52" i="8"/>
  <c r="T51" i="8"/>
  <c r="R51" i="8"/>
  <c r="Q51" i="8"/>
  <c r="P51" i="8"/>
  <c r="T50" i="8"/>
  <c r="R50" i="8"/>
  <c r="Q50" i="8"/>
  <c r="P50" i="8"/>
  <c r="T49" i="8"/>
  <c r="R49" i="8"/>
  <c r="Q49" i="8"/>
  <c r="P49" i="8"/>
  <c r="T27" i="8"/>
  <c r="S27" i="8"/>
  <c r="Q27" i="8"/>
  <c r="P27" i="8"/>
  <c r="J27" i="8"/>
  <c r="I27" i="8"/>
  <c r="H27" i="8"/>
  <c r="G27" i="8"/>
  <c r="F27" i="8"/>
  <c r="E27" i="8"/>
  <c r="D27" i="8"/>
  <c r="C27" i="8"/>
  <c r="B27" i="8"/>
  <c r="T26" i="8"/>
  <c r="S26" i="8"/>
  <c r="Q26" i="8"/>
  <c r="P26" i="8"/>
  <c r="J26" i="8"/>
  <c r="I26" i="8"/>
  <c r="H26" i="8"/>
  <c r="G26" i="8"/>
  <c r="F26" i="8"/>
  <c r="E26" i="8"/>
  <c r="D26" i="8"/>
  <c r="C26" i="8"/>
  <c r="B26" i="8"/>
  <c r="T25" i="8"/>
  <c r="S25" i="8"/>
  <c r="Q25" i="8"/>
  <c r="P25" i="8"/>
  <c r="J25" i="8"/>
  <c r="I25" i="8"/>
  <c r="H25" i="8"/>
  <c r="G25" i="8"/>
  <c r="F25" i="8"/>
  <c r="E25" i="8"/>
  <c r="D25" i="8"/>
  <c r="C25" i="8"/>
  <c r="B25" i="8"/>
  <c r="T24" i="8"/>
  <c r="S24" i="8"/>
  <c r="Q24" i="8"/>
  <c r="P24" i="8"/>
  <c r="J24" i="8"/>
  <c r="I24" i="8"/>
  <c r="H24" i="8"/>
  <c r="G24" i="8"/>
  <c r="F24" i="8"/>
  <c r="E24" i="8"/>
  <c r="D24" i="8"/>
  <c r="C24" i="8"/>
  <c r="B24" i="8"/>
  <c r="T23" i="8"/>
  <c r="S23" i="8"/>
  <c r="Q23" i="8"/>
  <c r="P23" i="8"/>
  <c r="J23" i="8"/>
  <c r="I23" i="8"/>
  <c r="H23" i="8"/>
  <c r="G23" i="8"/>
  <c r="F23" i="8"/>
  <c r="E23" i="8"/>
  <c r="D23" i="8"/>
  <c r="C23" i="8"/>
  <c r="B23" i="8"/>
  <c r="T22" i="8"/>
  <c r="S22" i="8"/>
  <c r="Q22" i="8"/>
  <c r="P22" i="8"/>
  <c r="J22" i="8"/>
  <c r="I22" i="8"/>
  <c r="H22" i="8"/>
  <c r="G22" i="8"/>
  <c r="F22" i="8"/>
  <c r="E22" i="8"/>
  <c r="D22" i="8"/>
  <c r="C22" i="8"/>
  <c r="B22" i="8"/>
  <c r="T21" i="8"/>
  <c r="S21" i="8"/>
  <c r="Q21" i="8"/>
  <c r="P21" i="8"/>
  <c r="J21" i="8"/>
  <c r="I21" i="8"/>
  <c r="H21" i="8"/>
  <c r="G21" i="8"/>
  <c r="F21" i="8"/>
  <c r="E21" i="8"/>
  <c r="D21" i="8"/>
  <c r="C21" i="8"/>
  <c r="B21" i="8"/>
  <c r="T20" i="8"/>
  <c r="S20" i="8"/>
  <c r="Q20" i="8"/>
  <c r="P20" i="8"/>
  <c r="J20" i="8"/>
  <c r="I20" i="8"/>
  <c r="H20" i="8"/>
  <c r="G20" i="8"/>
  <c r="F20" i="8"/>
  <c r="E20" i="8"/>
  <c r="D20" i="8"/>
  <c r="C20" i="8"/>
  <c r="B20" i="8"/>
  <c r="T19" i="8"/>
  <c r="S19" i="8"/>
  <c r="Q19" i="8"/>
  <c r="P19" i="8"/>
  <c r="J19" i="8"/>
  <c r="I19" i="8"/>
  <c r="H19" i="8"/>
  <c r="G19" i="8"/>
  <c r="F19" i="8"/>
  <c r="E19" i="8"/>
  <c r="D19" i="8"/>
  <c r="C19" i="8"/>
  <c r="B19" i="8"/>
  <c r="T18" i="8"/>
  <c r="S18" i="8"/>
  <c r="Q18" i="8"/>
  <c r="P18" i="8"/>
  <c r="J18" i="8"/>
  <c r="I18" i="8"/>
  <c r="H18" i="8"/>
  <c r="G18" i="8"/>
  <c r="F18" i="8"/>
  <c r="E18" i="8"/>
  <c r="D18" i="8"/>
  <c r="C18" i="8"/>
  <c r="B18" i="8"/>
  <c r="T17" i="8"/>
  <c r="S17" i="8"/>
  <c r="Q17" i="8"/>
  <c r="P17" i="8"/>
  <c r="J17" i="8"/>
  <c r="I17" i="8"/>
  <c r="H17" i="8"/>
  <c r="G17" i="8"/>
  <c r="F17" i="8"/>
  <c r="E17" i="8"/>
  <c r="D17" i="8"/>
  <c r="C17" i="8"/>
  <c r="B17" i="8"/>
  <c r="T16" i="8"/>
  <c r="S16" i="8"/>
  <c r="Q16" i="8"/>
  <c r="P16" i="8"/>
  <c r="J16" i="8"/>
  <c r="I16" i="8"/>
  <c r="H16" i="8"/>
  <c r="G16" i="8"/>
  <c r="F16" i="8"/>
  <c r="E16" i="8"/>
  <c r="D16" i="8"/>
  <c r="C16" i="8"/>
  <c r="B16" i="8"/>
  <c r="T15" i="8"/>
  <c r="S15" i="8"/>
  <c r="Q15" i="8"/>
  <c r="P15" i="8"/>
  <c r="J15" i="8"/>
  <c r="I15" i="8"/>
  <c r="H15" i="8"/>
  <c r="G15" i="8"/>
  <c r="F15" i="8"/>
  <c r="E15" i="8"/>
  <c r="D15" i="8"/>
  <c r="C15" i="8"/>
  <c r="B15" i="8"/>
  <c r="T14" i="8"/>
  <c r="S14" i="8"/>
  <c r="Q14" i="8"/>
  <c r="P14" i="8"/>
  <c r="J14" i="8"/>
  <c r="I14" i="8"/>
  <c r="H14" i="8"/>
  <c r="G14" i="8"/>
  <c r="F14" i="8"/>
  <c r="E14" i="8"/>
  <c r="D14" i="8"/>
  <c r="C14" i="8"/>
  <c r="B14" i="8"/>
  <c r="T13" i="8"/>
  <c r="S13" i="8"/>
  <c r="Q13" i="8"/>
  <c r="P13" i="8"/>
  <c r="J13" i="8"/>
  <c r="I13" i="8"/>
  <c r="H13" i="8"/>
  <c r="G13" i="8"/>
  <c r="F13" i="8"/>
  <c r="E13" i="8"/>
  <c r="D13" i="8"/>
  <c r="C13" i="8"/>
  <c r="B13" i="8"/>
  <c r="T12" i="8"/>
  <c r="S12" i="8"/>
  <c r="Q12" i="8"/>
  <c r="P12" i="8"/>
  <c r="J12" i="8"/>
  <c r="I12" i="8"/>
  <c r="H12" i="8"/>
  <c r="G12" i="8"/>
  <c r="F12" i="8"/>
  <c r="E12" i="8"/>
  <c r="D12" i="8"/>
  <c r="C12" i="8"/>
  <c r="B12" i="8"/>
  <c r="T11" i="8"/>
  <c r="S11" i="8"/>
  <c r="Q11" i="8"/>
  <c r="P11" i="8"/>
  <c r="J11" i="8"/>
  <c r="I11" i="8"/>
  <c r="H11" i="8"/>
  <c r="G11" i="8"/>
  <c r="F11" i="8"/>
  <c r="E11" i="8"/>
  <c r="D11" i="8"/>
  <c r="C11" i="8"/>
  <c r="B11" i="8"/>
  <c r="T10" i="8"/>
  <c r="S10" i="8"/>
  <c r="Q10" i="8"/>
  <c r="P10" i="8"/>
  <c r="J10" i="8"/>
  <c r="I10" i="8"/>
  <c r="H10" i="8"/>
  <c r="G10" i="8"/>
  <c r="F10" i="8"/>
  <c r="E10" i="8"/>
  <c r="D10" i="8"/>
  <c r="C10" i="8"/>
  <c r="B10" i="8"/>
  <c r="T9" i="8"/>
  <c r="S9" i="8"/>
  <c r="Q9" i="8"/>
  <c r="P9" i="8"/>
  <c r="J9" i="8"/>
  <c r="I9" i="8"/>
  <c r="H9" i="8"/>
  <c r="G9" i="8"/>
  <c r="F9" i="8"/>
  <c r="E9" i="8"/>
  <c r="D9" i="8"/>
  <c r="C9" i="8"/>
  <c r="B9" i="8"/>
  <c r="T8" i="8"/>
  <c r="S8" i="8"/>
  <c r="Q8" i="8"/>
  <c r="P8" i="8"/>
  <c r="J8" i="8"/>
  <c r="I8" i="8"/>
  <c r="H8" i="8"/>
  <c r="G8" i="8"/>
  <c r="F8" i="8"/>
  <c r="E8" i="8"/>
  <c r="D8" i="8"/>
  <c r="C8" i="8"/>
  <c r="B8" i="8"/>
  <c r="T7" i="8"/>
  <c r="S7" i="8"/>
  <c r="Q7" i="8"/>
  <c r="P7" i="8"/>
  <c r="J7" i="8"/>
  <c r="I7" i="8"/>
  <c r="H7" i="8"/>
  <c r="G7" i="8"/>
  <c r="F7" i="8"/>
  <c r="E7" i="8"/>
  <c r="D7" i="8"/>
  <c r="C7" i="8"/>
  <c r="B7" i="8"/>
  <c r="T6" i="8"/>
  <c r="S6" i="8"/>
  <c r="Q6" i="8"/>
  <c r="P6" i="8"/>
  <c r="J6" i="8"/>
  <c r="I6" i="8"/>
  <c r="H6" i="8"/>
  <c r="G6" i="8"/>
  <c r="F6" i="8"/>
  <c r="E6" i="8"/>
  <c r="D6" i="8"/>
  <c r="C6" i="8"/>
  <c r="B6" i="8"/>
  <c r="T5" i="8"/>
  <c r="S5" i="8"/>
  <c r="Q5" i="8"/>
  <c r="P5" i="8"/>
  <c r="J5" i="8"/>
  <c r="I5" i="8"/>
  <c r="H5" i="8"/>
  <c r="G5" i="8"/>
  <c r="F5" i="8"/>
  <c r="E5" i="8"/>
  <c r="D5" i="8"/>
  <c r="C5" i="8"/>
  <c r="B5" i="8"/>
  <c r="T4" i="8"/>
  <c r="S4" i="8"/>
  <c r="Q4" i="8"/>
  <c r="P4" i="8"/>
  <c r="J4" i="8"/>
  <c r="I4" i="8"/>
  <c r="H4" i="8"/>
  <c r="G4" i="8"/>
  <c r="F4" i="8"/>
  <c r="E4" i="8"/>
  <c r="D4" i="8"/>
  <c r="C4" i="8"/>
  <c r="B4" i="8"/>
  <c r="T3" i="8"/>
  <c r="Q3" i="8"/>
  <c r="J3" i="8"/>
  <c r="I3" i="8"/>
  <c r="H3" i="8"/>
  <c r="G3" i="8"/>
  <c r="F3" i="8"/>
  <c r="E3" i="8"/>
  <c r="D3" i="8"/>
  <c r="C3" i="8"/>
  <c r="B3" i="8"/>
  <c r="T57" i="7"/>
  <c r="S57" i="7"/>
  <c r="Q57" i="7"/>
  <c r="P57" i="7"/>
  <c r="I57" i="7"/>
  <c r="H57" i="7"/>
  <c r="G57" i="7"/>
  <c r="F57" i="7"/>
  <c r="E57" i="7"/>
  <c r="D57" i="7"/>
  <c r="C57" i="7"/>
  <c r="B57" i="7"/>
  <c r="T56" i="7"/>
  <c r="S56" i="7"/>
  <c r="Q56" i="7"/>
  <c r="P56" i="7"/>
  <c r="I56" i="7"/>
  <c r="H56" i="7"/>
  <c r="G56" i="7"/>
  <c r="F56" i="7"/>
  <c r="E56" i="7"/>
  <c r="D56" i="7"/>
  <c r="C56" i="7"/>
  <c r="B56" i="7"/>
  <c r="T55" i="7"/>
  <c r="S55" i="7"/>
  <c r="Q55" i="7"/>
  <c r="P55" i="7"/>
  <c r="I55" i="7"/>
  <c r="H55" i="7"/>
  <c r="G55" i="7"/>
  <c r="F55" i="7"/>
  <c r="E55" i="7"/>
  <c r="D55" i="7"/>
  <c r="C55" i="7"/>
  <c r="B55" i="7"/>
  <c r="T54" i="7"/>
  <c r="S54" i="7"/>
  <c r="Q54" i="7"/>
  <c r="P54" i="7"/>
  <c r="I54" i="7"/>
  <c r="H54" i="7"/>
  <c r="G54" i="7"/>
  <c r="F54" i="7"/>
  <c r="E54" i="7"/>
  <c r="D54" i="7"/>
  <c r="C54" i="7"/>
  <c r="B54" i="7"/>
  <c r="T53" i="7"/>
  <c r="S53" i="7"/>
  <c r="Q53" i="7"/>
  <c r="P53" i="7"/>
  <c r="I53" i="7"/>
  <c r="H53" i="7"/>
  <c r="G53" i="7"/>
  <c r="F53" i="7"/>
  <c r="E53" i="7"/>
  <c r="D53" i="7"/>
  <c r="C53" i="7"/>
  <c r="B53" i="7"/>
  <c r="T52" i="7"/>
  <c r="S52" i="7"/>
  <c r="Q52" i="7"/>
  <c r="P52" i="7"/>
  <c r="I52" i="7"/>
  <c r="H52" i="7"/>
  <c r="G52" i="7"/>
  <c r="F52" i="7"/>
  <c r="E52" i="7"/>
  <c r="D52" i="7"/>
  <c r="C52" i="7"/>
  <c r="B52" i="7"/>
  <c r="T51" i="7"/>
  <c r="S51" i="7"/>
  <c r="Q51" i="7"/>
  <c r="P51" i="7"/>
  <c r="I51" i="7"/>
  <c r="H51" i="7"/>
  <c r="G51" i="7"/>
  <c r="F51" i="7"/>
  <c r="E51" i="7"/>
  <c r="D51" i="7"/>
  <c r="C51" i="7"/>
  <c r="B51" i="7"/>
  <c r="T50" i="7"/>
  <c r="S50" i="7"/>
  <c r="Q50" i="7"/>
  <c r="P50" i="7"/>
  <c r="I50" i="7"/>
  <c r="H50" i="7"/>
  <c r="G50" i="7"/>
  <c r="F50" i="7"/>
  <c r="E50" i="7"/>
  <c r="D50" i="7"/>
  <c r="C50" i="7"/>
  <c r="B50" i="7"/>
  <c r="T49" i="7"/>
  <c r="S49" i="7"/>
  <c r="Q49" i="7"/>
  <c r="P49" i="7"/>
  <c r="I49" i="7"/>
  <c r="H49" i="7"/>
  <c r="G49" i="7"/>
  <c r="F49" i="7"/>
  <c r="E49" i="7"/>
  <c r="D49" i="7"/>
  <c r="C49" i="7"/>
  <c r="B49" i="7"/>
  <c r="T48" i="7"/>
  <c r="S48" i="7"/>
  <c r="Q48" i="7"/>
  <c r="P48" i="7"/>
  <c r="I48" i="7"/>
  <c r="H48" i="7"/>
  <c r="G48" i="7"/>
  <c r="F48" i="7"/>
  <c r="E48" i="7"/>
  <c r="D48" i="7"/>
  <c r="C48" i="7"/>
  <c r="B48" i="7"/>
  <c r="T47" i="7"/>
  <c r="S47" i="7"/>
  <c r="Q47" i="7"/>
  <c r="P47" i="7"/>
  <c r="I47" i="7"/>
  <c r="H47" i="7"/>
  <c r="G47" i="7"/>
  <c r="F47" i="7"/>
  <c r="E47" i="7"/>
  <c r="D47" i="7"/>
  <c r="C47" i="7"/>
  <c r="B47" i="7"/>
  <c r="T46" i="7"/>
  <c r="S46" i="7"/>
  <c r="Q46" i="7"/>
  <c r="P46" i="7"/>
  <c r="I46" i="7"/>
  <c r="H46" i="7"/>
  <c r="G46" i="7"/>
  <c r="F46" i="7"/>
  <c r="E46" i="7"/>
  <c r="D46" i="7"/>
  <c r="C46" i="7"/>
  <c r="B46" i="7"/>
  <c r="T45" i="7"/>
  <c r="S45" i="7"/>
  <c r="Q45" i="7"/>
  <c r="P45" i="7"/>
  <c r="I45" i="7"/>
  <c r="H45" i="7"/>
  <c r="G45" i="7"/>
  <c r="F45" i="7"/>
  <c r="E45" i="7"/>
  <c r="D45" i="7"/>
  <c r="C45" i="7"/>
  <c r="B45" i="7"/>
  <c r="T44" i="7"/>
  <c r="S44" i="7"/>
  <c r="Q44" i="7"/>
  <c r="P44" i="7"/>
  <c r="I44" i="7"/>
  <c r="H44" i="7"/>
  <c r="G44" i="7"/>
  <c r="F44" i="7"/>
  <c r="E44" i="7"/>
  <c r="D44" i="7"/>
  <c r="C44" i="7"/>
  <c r="B44" i="7"/>
  <c r="T43" i="7"/>
  <c r="S43" i="7"/>
  <c r="Q43" i="7"/>
  <c r="P43" i="7"/>
  <c r="I43" i="7"/>
  <c r="H43" i="7"/>
  <c r="G43" i="7"/>
  <c r="F43" i="7"/>
  <c r="E43" i="7"/>
  <c r="D43" i="7"/>
  <c r="C43" i="7"/>
  <c r="B43" i="7"/>
  <c r="T42" i="7"/>
  <c r="S42" i="7"/>
  <c r="Q42" i="7"/>
  <c r="P42" i="7"/>
  <c r="I42" i="7"/>
  <c r="H42" i="7"/>
  <c r="G42" i="7"/>
  <c r="F42" i="7"/>
  <c r="E42" i="7"/>
  <c r="D42" i="7"/>
  <c r="C42" i="7"/>
  <c r="B42" i="7"/>
  <c r="T41" i="7"/>
  <c r="S41" i="7"/>
  <c r="Q41" i="7"/>
  <c r="P41" i="7"/>
  <c r="I41" i="7"/>
  <c r="H41" i="7"/>
  <c r="G41" i="7"/>
  <c r="F41" i="7"/>
  <c r="E41" i="7"/>
  <c r="D41" i="7"/>
  <c r="C41" i="7"/>
  <c r="B41" i="7"/>
  <c r="T40" i="7"/>
  <c r="S40" i="7"/>
  <c r="Q40" i="7"/>
  <c r="P40" i="7"/>
  <c r="I40" i="7"/>
  <c r="H40" i="7"/>
  <c r="G40" i="7"/>
  <c r="F40" i="7"/>
  <c r="E40" i="7"/>
  <c r="D40" i="7"/>
  <c r="C40" i="7"/>
  <c r="B40" i="7"/>
  <c r="T39" i="7"/>
  <c r="S39" i="7"/>
  <c r="Q39" i="7"/>
  <c r="P39" i="7"/>
  <c r="I39" i="7"/>
  <c r="H39" i="7"/>
  <c r="G39" i="7"/>
  <c r="F39" i="7"/>
  <c r="E39" i="7"/>
  <c r="D39" i="7"/>
  <c r="C39" i="7"/>
  <c r="B39" i="7"/>
  <c r="T38" i="7"/>
  <c r="S38" i="7"/>
  <c r="Q38" i="7"/>
  <c r="P38" i="7"/>
  <c r="I38" i="7"/>
  <c r="H38" i="7"/>
  <c r="G38" i="7"/>
  <c r="F38" i="7"/>
  <c r="E38" i="7"/>
  <c r="D38" i="7"/>
  <c r="C38" i="7"/>
  <c r="B38" i="7"/>
  <c r="T37" i="7"/>
  <c r="S37" i="7"/>
  <c r="Q37" i="7"/>
  <c r="P37" i="7"/>
  <c r="I37" i="7"/>
  <c r="H37" i="7"/>
  <c r="G37" i="7"/>
  <c r="F37" i="7"/>
  <c r="E37" i="7"/>
  <c r="D37" i="7"/>
  <c r="C37" i="7"/>
  <c r="B37" i="7"/>
  <c r="T36" i="7"/>
  <c r="S36" i="7"/>
  <c r="Q36" i="7"/>
  <c r="P36" i="7"/>
  <c r="I36" i="7"/>
  <c r="H36" i="7"/>
  <c r="G36" i="7"/>
  <c r="F36" i="7"/>
  <c r="E36" i="7"/>
  <c r="D36" i="7"/>
  <c r="C36" i="7"/>
  <c r="B36" i="7"/>
  <c r="T35" i="7"/>
  <c r="S35" i="7"/>
  <c r="Q35" i="7"/>
  <c r="P35" i="7"/>
  <c r="I35" i="7"/>
  <c r="H35" i="7"/>
  <c r="G35" i="7"/>
  <c r="F35" i="7"/>
  <c r="E35" i="7"/>
  <c r="D35" i="7"/>
  <c r="C35" i="7"/>
  <c r="B35" i="7"/>
  <c r="T34" i="7"/>
  <c r="S34" i="7"/>
  <c r="Q34" i="7"/>
  <c r="P34" i="7"/>
  <c r="I34" i="7"/>
  <c r="H34" i="7"/>
  <c r="G34" i="7"/>
  <c r="F34" i="7"/>
  <c r="E34" i="7"/>
  <c r="D34" i="7"/>
  <c r="C34" i="7"/>
  <c r="B34" i="7"/>
  <c r="T33" i="7"/>
  <c r="S33" i="7"/>
  <c r="Q33" i="7"/>
  <c r="P33" i="7"/>
  <c r="I33" i="7"/>
  <c r="H33" i="7"/>
  <c r="G33" i="7"/>
  <c r="F33" i="7"/>
  <c r="E33" i="7"/>
  <c r="D33" i="7"/>
  <c r="C33" i="7"/>
  <c r="B33" i="7"/>
  <c r="T32" i="7"/>
  <c r="S32" i="7"/>
  <c r="Q32" i="7"/>
  <c r="P32" i="7"/>
  <c r="I32" i="7"/>
  <c r="H32" i="7"/>
  <c r="G32" i="7"/>
  <c r="F32" i="7"/>
  <c r="E32" i="7"/>
  <c r="D32" i="7"/>
  <c r="C32" i="7"/>
  <c r="B32" i="7"/>
  <c r="T31" i="7"/>
  <c r="S31" i="7"/>
  <c r="Q31" i="7"/>
  <c r="P31" i="7"/>
  <c r="I31" i="7"/>
  <c r="H31" i="7"/>
  <c r="G31" i="7"/>
  <c r="F31" i="7"/>
  <c r="E31" i="7"/>
  <c r="D31" i="7"/>
  <c r="C31" i="7"/>
  <c r="B31" i="7"/>
  <c r="T30" i="7"/>
  <c r="S30" i="7"/>
  <c r="Q30" i="7"/>
  <c r="P30" i="7"/>
  <c r="I30" i="7"/>
  <c r="H30" i="7"/>
  <c r="G30" i="7"/>
  <c r="F30" i="7"/>
  <c r="E30" i="7"/>
  <c r="D30" i="7"/>
  <c r="C30" i="7"/>
  <c r="B30" i="7"/>
  <c r="T29" i="7"/>
  <c r="S29" i="7"/>
  <c r="Q29" i="7"/>
  <c r="P29" i="7"/>
  <c r="I29" i="7"/>
  <c r="H29" i="7"/>
  <c r="G29" i="7"/>
  <c r="F29" i="7"/>
  <c r="E29" i="7"/>
  <c r="D29" i="7"/>
  <c r="C29" i="7"/>
  <c r="B29" i="7"/>
  <c r="T28" i="7"/>
  <c r="S28" i="7"/>
  <c r="Q28" i="7"/>
  <c r="P28" i="7"/>
  <c r="I28" i="7"/>
  <c r="H28" i="7"/>
  <c r="G28" i="7"/>
  <c r="F28" i="7"/>
  <c r="E28" i="7"/>
  <c r="D28" i="7"/>
  <c r="C28" i="7"/>
  <c r="B28" i="7"/>
  <c r="T27" i="7"/>
  <c r="S27" i="7"/>
  <c r="Q27" i="7"/>
  <c r="P27" i="7"/>
  <c r="I27" i="7"/>
  <c r="H27" i="7"/>
  <c r="G27" i="7"/>
  <c r="F27" i="7"/>
  <c r="E27" i="7"/>
  <c r="D27" i="7"/>
  <c r="C27" i="7"/>
  <c r="B27" i="7"/>
  <c r="T26" i="7"/>
  <c r="S26" i="7"/>
  <c r="Q26" i="7"/>
  <c r="P26" i="7"/>
  <c r="I26" i="7"/>
  <c r="H26" i="7"/>
  <c r="G26" i="7"/>
  <c r="F26" i="7"/>
  <c r="E26" i="7"/>
  <c r="D26" i="7"/>
  <c r="C26" i="7"/>
  <c r="B26" i="7"/>
  <c r="T25" i="7"/>
  <c r="S25" i="7"/>
  <c r="Q25" i="7"/>
  <c r="P25" i="7"/>
  <c r="I25" i="7"/>
  <c r="H25" i="7"/>
  <c r="G25" i="7"/>
  <c r="F25" i="7"/>
  <c r="E25" i="7"/>
  <c r="D25" i="7"/>
  <c r="C25" i="7"/>
  <c r="B25" i="7"/>
  <c r="T24" i="7"/>
  <c r="S24" i="7"/>
  <c r="Q24" i="7"/>
  <c r="P24" i="7"/>
  <c r="I24" i="7"/>
  <c r="H24" i="7"/>
  <c r="G24" i="7"/>
  <c r="F24" i="7"/>
  <c r="E24" i="7"/>
  <c r="D24" i="7"/>
  <c r="C24" i="7"/>
  <c r="B24" i="7"/>
  <c r="T23" i="7"/>
  <c r="S23" i="7"/>
  <c r="Q23" i="7"/>
  <c r="P23" i="7"/>
  <c r="I23" i="7"/>
  <c r="H23" i="7"/>
  <c r="G23" i="7"/>
  <c r="F23" i="7"/>
  <c r="E23" i="7"/>
  <c r="D23" i="7"/>
  <c r="C23" i="7"/>
  <c r="B23" i="7"/>
  <c r="T22" i="7"/>
  <c r="S22" i="7"/>
  <c r="Q22" i="7"/>
  <c r="P22" i="7"/>
  <c r="I22" i="7"/>
  <c r="H22" i="7"/>
  <c r="G22" i="7"/>
  <c r="F22" i="7"/>
  <c r="E22" i="7"/>
  <c r="D22" i="7"/>
  <c r="C22" i="7"/>
  <c r="B22" i="7"/>
  <c r="T21" i="7"/>
  <c r="S21" i="7"/>
  <c r="Q21" i="7"/>
  <c r="P21" i="7"/>
  <c r="I21" i="7"/>
  <c r="H21" i="7"/>
  <c r="G21" i="7"/>
  <c r="F21" i="7"/>
  <c r="E21" i="7"/>
  <c r="D21" i="7"/>
  <c r="C21" i="7"/>
  <c r="B21" i="7"/>
  <c r="T20" i="7"/>
  <c r="S20" i="7"/>
  <c r="Q20" i="7"/>
  <c r="P20" i="7"/>
  <c r="I20" i="7"/>
  <c r="H20" i="7"/>
  <c r="G20" i="7"/>
  <c r="F20" i="7"/>
  <c r="E20" i="7"/>
  <c r="D20" i="7"/>
  <c r="C20" i="7"/>
  <c r="B20" i="7"/>
  <c r="T19" i="7"/>
  <c r="S19" i="7"/>
  <c r="Q19" i="7"/>
  <c r="P19" i="7"/>
  <c r="I19" i="7"/>
  <c r="H19" i="7"/>
  <c r="G19" i="7"/>
  <c r="F19" i="7"/>
  <c r="E19" i="7"/>
  <c r="D19" i="7"/>
  <c r="C19" i="7"/>
  <c r="B19" i="7"/>
  <c r="T18" i="7"/>
  <c r="S18" i="7"/>
  <c r="Q18" i="7"/>
  <c r="P18" i="7"/>
  <c r="I18" i="7"/>
  <c r="H18" i="7"/>
  <c r="G18" i="7"/>
  <c r="F18" i="7"/>
  <c r="E18" i="7"/>
  <c r="D18" i="7"/>
  <c r="C18" i="7"/>
  <c r="B18" i="7"/>
  <c r="T17" i="7"/>
  <c r="S17" i="7"/>
  <c r="Q17" i="7"/>
  <c r="P17" i="7"/>
  <c r="I17" i="7"/>
  <c r="H17" i="7"/>
  <c r="G17" i="7"/>
  <c r="F17" i="7"/>
  <c r="E17" i="7"/>
  <c r="D17" i="7"/>
  <c r="C17" i="7"/>
  <c r="B17" i="7"/>
  <c r="T16" i="7"/>
  <c r="S16" i="7"/>
  <c r="Q16" i="7"/>
  <c r="P16" i="7"/>
  <c r="I16" i="7"/>
  <c r="H16" i="7"/>
  <c r="G16" i="7"/>
  <c r="F16" i="7"/>
  <c r="E16" i="7"/>
  <c r="D16" i="7"/>
  <c r="C16" i="7"/>
  <c r="B16" i="7"/>
  <c r="T15" i="7"/>
  <c r="S15" i="7"/>
  <c r="Q15" i="7"/>
  <c r="P15" i="7"/>
  <c r="I15" i="7"/>
  <c r="H15" i="7"/>
  <c r="G15" i="7"/>
  <c r="F15" i="7"/>
  <c r="E15" i="7"/>
  <c r="D15" i="7"/>
  <c r="C15" i="7"/>
  <c r="B15" i="7"/>
  <c r="T14" i="7"/>
  <c r="S14" i="7"/>
  <c r="Q14" i="7"/>
  <c r="P14" i="7"/>
  <c r="I14" i="7"/>
  <c r="H14" i="7"/>
  <c r="G14" i="7"/>
  <c r="F14" i="7"/>
  <c r="E14" i="7"/>
  <c r="D14" i="7"/>
  <c r="C14" i="7"/>
  <c r="B14" i="7"/>
  <c r="T13" i="7"/>
  <c r="S13" i="7"/>
  <c r="Q13" i="7"/>
  <c r="P13" i="7"/>
  <c r="I13" i="7"/>
  <c r="H13" i="7"/>
  <c r="G13" i="7"/>
  <c r="F13" i="7"/>
  <c r="E13" i="7"/>
  <c r="D13" i="7"/>
  <c r="C13" i="7"/>
  <c r="B13" i="7"/>
  <c r="T12" i="7"/>
  <c r="S12" i="7"/>
  <c r="Q12" i="7"/>
  <c r="P12" i="7"/>
  <c r="I12" i="7"/>
  <c r="H12" i="7"/>
  <c r="G12" i="7"/>
  <c r="F12" i="7"/>
  <c r="E12" i="7"/>
  <c r="D12" i="7"/>
  <c r="C12" i="7"/>
  <c r="B12" i="7"/>
  <c r="T11" i="7"/>
  <c r="S11" i="7"/>
  <c r="Q11" i="7"/>
  <c r="P11" i="7"/>
  <c r="I11" i="7"/>
  <c r="H11" i="7"/>
  <c r="G11" i="7"/>
  <c r="F11" i="7"/>
  <c r="E11" i="7"/>
  <c r="D11" i="7"/>
  <c r="C11" i="7"/>
  <c r="B11" i="7"/>
  <c r="T10" i="7"/>
  <c r="S10" i="7"/>
  <c r="Q10" i="7"/>
  <c r="P10" i="7"/>
  <c r="I10" i="7"/>
  <c r="H10" i="7"/>
  <c r="G10" i="7"/>
  <c r="F10" i="7"/>
  <c r="E10" i="7"/>
  <c r="D10" i="7"/>
  <c r="C10" i="7"/>
  <c r="B10" i="7"/>
  <c r="T9" i="7"/>
  <c r="S9" i="7"/>
  <c r="Q9" i="7"/>
  <c r="P9" i="7"/>
  <c r="I9" i="7"/>
  <c r="H9" i="7"/>
  <c r="G9" i="7"/>
  <c r="F9" i="7"/>
  <c r="E9" i="7"/>
  <c r="D9" i="7"/>
  <c r="C9" i="7"/>
  <c r="B9" i="7"/>
  <c r="T8" i="7"/>
  <c r="S8" i="7"/>
  <c r="Q8" i="7"/>
  <c r="P8" i="7"/>
  <c r="I8" i="7"/>
  <c r="H8" i="7"/>
  <c r="G8" i="7"/>
  <c r="F8" i="7"/>
  <c r="E8" i="7"/>
  <c r="D8" i="7"/>
  <c r="C8" i="7"/>
  <c r="B8" i="7"/>
  <c r="T7" i="7"/>
  <c r="S7" i="7"/>
  <c r="Q7" i="7"/>
  <c r="P7" i="7"/>
  <c r="I7" i="7"/>
  <c r="H7" i="7"/>
  <c r="G7" i="7"/>
  <c r="F7" i="7"/>
  <c r="E7" i="7"/>
  <c r="D7" i="7"/>
  <c r="C7" i="7"/>
  <c r="B7" i="7"/>
  <c r="T6" i="7"/>
  <c r="S6" i="7"/>
  <c r="Q6" i="7"/>
  <c r="P6" i="7"/>
  <c r="I6" i="7"/>
  <c r="H6" i="7"/>
  <c r="G6" i="7"/>
  <c r="F6" i="7"/>
  <c r="E6" i="7"/>
  <c r="D6" i="7"/>
  <c r="C6" i="7"/>
  <c r="B6" i="7"/>
  <c r="T5" i="7"/>
  <c r="S5" i="7"/>
  <c r="Q5" i="7"/>
  <c r="P5" i="7"/>
  <c r="I5" i="7"/>
  <c r="H5" i="7"/>
  <c r="G5" i="7"/>
  <c r="F5" i="7"/>
  <c r="E5" i="7"/>
  <c r="D5" i="7"/>
  <c r="C5" i="7"/>
  <c r="B5" i="7"/>
  <c r="T4" i="7"/>
  <c r="S4" i="7"/>
  <c r="Q4" i="7"/>
  <c r="P4" i="7"/>
  <c r="I4" i="7"/>
  <c r="H4" i="7"/>
  <c r="G4" i="7"/>
  <c r="F4" i="7"/>
  <c r="E4" i="7"/>
  <c r="D4" i="7"/>
  <c r="C4" i="7"/>
  <c r="B4" i="7"/>
  <c r="T3" i="7"/>
  <c r="S3" i="7"/>
  <c r="Q3" i="7"/>
  <c r="P3" i="7"/>
  <c r="I3" i="7"/>
  <c r="H3" i="7"/>
  <c r="G3" i="7"/>
  <c r="F3" i="7"/>
  <c r="E3" i="7"/>
  <c r="D3" i="7"/>
  <c r="C3" i="7"/>
  <c r="B3" i="7"/>
  <c r="S75" i="6"/>
  <c r="S74" i="6"/>
  <c r="S73" i="6"/>
  <c r="S72" i="6"/>
  <c r="T71" i="6"/>
  <c r="S71" i="6"/>
  <c r="Q71" i="6"/>
  <c r="I71" i="6"/>
  <c r="H71" i="6"/>
  <c r="G71" i="6"/>
  <c r="F71" i="6"/>
  <c r="E71" i="6"/>
  <c r="D71" i="6"/>
  <c r="C71" i="6"/>
  <c r="B71" i="6"/>
  <c r="T70" i="6"/>
  <c r="S70" i="6"/>
  <c r="Q70" i="6"/>
  <c r="I70" i="6"/>
  <c r="H70" i="6"/>
  <c r="G70" i="6"/>
  <c r="F70" i="6"/>
  <c r="E70" i="6"/>
  <c r="D70" i="6"/>
  <c r="C70" i="6"/>
  <c r="B70" i="6"/>
  <c r="T69" i="6"/>
  <c r="S69" i="6"/>
  <c r="Q69" i="6"/>
  <c r="I69" i="6"/>
  <c r="H69" i="6"/>
  <c r="G69" i="6"/>
  <c r="F69" i="6"/>
  <c r="E69" i="6"/>
  <c r="D69" i="6"/>
  <c r="C69" i="6"/>
  <c r="B69" i="6"/>
  <c r="T68" i="6"/>
  <c r="S68" i="6"/>
  <c r="Q68" i="6"/>
  <c r="I68" i="6"/>
  <c r="H68" i="6"/>
  <c r="G68" i="6"/>
  <c r="F68" i="6"/>
  <c r="E68" i="6"/>
  <c r="D68" i="6"/>
  <c r="C68" i="6"/>
  <c r="B68" i="6"/>
  <c r="T67" i="6"/>
  <c r="S67" i="6"/>
  <c r="Q67" i="6"/>
  <c r="I67" i="6"/>
  <c r="H67" i="6"/>
  <c r="G67" i="6"/>
  <c r="F67" i="6"/>
  <c r="E67" i="6"/>
  <c r="D67" i="6"/>
  <c r="C67" i="6"/>
  <c r="B67" i="6"/>
  <c r="T66" i="6"/>
  <c r="S66" i="6"/>
  <c r="Q66" i="6"/>
  <c r="I66" i="6"/>
  <c r="H66" i="6"/>
  <c r="G66" i="6"/>
  <c r="F66" i="6"/>
  <c r="E66" i="6"/>
  <c r="D66" i="6"/>
  <c r="C66" i="6"/>
  <c r="B66" i="6"/>
  <c r="T65" i="6"/>
  <c r="S65" i="6"/>
  <c r="Q65" i="6"/>
  <c r="I65" i="6"/>
  <c r="H65" i="6"/>
  <c r="G65" i="6"/>
  <c r="F65" i="6"/>
  <c r="E65" i="6"/>
  <c r="D65" i="6"/>
  <c r="C65" i="6"/>
  <c r="B65" i="6"/>
  <c r="T64" i="6"/>
  <c r="S64" i="6"/>
  <c r="Q64" i="6"/>
  <c r="I64" i="6"/>
  <c r="H64" i="6"/>
  <c r="G64" i="6"/>
  <c r="F64" i="6"/>
  <c r="E64" i="6"/>
  <c r="D64" i="6"/>
  <c r="C64" i="6"/>
  <c r="B64" i="6"/>
  <c r="T63" i="6"/>
  <c r="S63" i="6"/>
  <c r="Q63" i="6"/>
  <c r="P63" i="6"/>
  <c r="I63" i="6"/>
  <c r="H63" i="6"/>
  <c r="G63" i="6"/>
  <c r="F63" i="6"/>
  <c r="E63" i="6"/>
  <c r="D63" i="6"/>
  <c r="C63" i="6"/>
  <c r="B63" i="6"/>
  <c r="T62" i="6"/>
  <c r="S62" i="6"/>
  <c r="Q62" i="6"/>
  <c r="P62" i="6"/>
  <c r="I62" i="6"/>
  <c r="H62" i="6"/>
  <c r="G62" i="6"/>
  <c r="F62" i="6"/>
  <c r="E62" i="6"/>
  <c r="D62" i="6"/>
  <c r="C62" i="6"/>
  <c r="B62" i="6"/>
  <c r="T61" i="6"/>
  <c r="S61" i="6"/>
  <c r="Q61" i="6"/>
  <c r="P61" i="6"/>
  <c r="I61" i="6"/>
  <c r="H61" i="6"/>
  <c r="G61" i="6"/>
  <c r="F61" i="6"/>
  <c r="E61" i="6"/>
  <c r="D61" i="6"/>
  <c r="C61" i="6"/>
  <c r="B61" i="6"/>
  <c r="T60" i="6"/>
  <c r="S60" i="6"/>
  <c r="Q60" i="6"/>
  <c r="P60" i="6"/>
  <c r="I60" i="6"/>
  <c r="H60" i="6"/>
  <c r="G60" i="6"/>
  <c r="F60" i="6"/>
  <c r="E60" i="6"/>
  <c r="D60" i="6"/>
  <c r="C60" i="6"/>
  <c r="B60" i="6"/>
  <c r="T59" i="6"/>
  <c r="S59" i="6"/>
  <c r="Q59" i="6"/>
  <c r="P59" i="6"/>
  <c r="I59" i="6"/>
  <c r="H59" i="6"/>
  <c r="G59" i="6"/>
  <c r="F59" i="6"/>
  <c r="E59" i="6"/>
  <c r="D59" i="6"/>
  <c r="C59" i="6"/>
  <c r="B59" i="6"/>
  <c r="T58" i="6"/>
  <c r="S58" i="6"/>
  <c r="Q58" i="6"/>
  <c r="P58" i="6"/>
  <c r="I58" i="6"/>
  <c r="H58" i="6"/>
  <c r="G58" i="6"/>
  <c r="F58" i="6"/>
  <c r="E58" i="6"/>
  <c r="D58" i="6"/>
  <c r="C58" i="6"/>
  <c r="B58" i="6"/>
  <c r="T57" i="6"/>
  <c r="S57" i="6"/>
  <c r="Q57" i="6"/>
  <c r="P57" i="6"/>
  <c r="I57" i="6"/>
  <c r="H57" i="6"/>
  <c r="G57" i="6"/>
  <c r="F57" i="6"/>
  <c r="E57" i="6"/>
  <c r="D57" i="6"/>
  <c r="C57" i="6"/>
  <c r="B57" i="6"/>
  <c r="T56" i="6"/>
  <c r="S56" i="6"/>
  <c r="Q56" i="6"/>
  <c r="P56" i="6"/>
  <c r="I56" i="6"/>
  <c r="H56" i="6"/>
  <c r="G56" i="6"/>
  <c r="F56" i="6"/>
  <c r="E56" i="6"/>
  <c r="D56" i="6"/>
  <c r="C56" i="6"/>
  <c r="B56" i="6"/>
  <c r="T55" i="6"/>
  <c r="S55" i="6"/>
  <c r="Q55" i="6"/>
  <c r="P55" i="6"/>
  <c r="I55" i="6"/>
  <c r="H55" i="6"/>
  <c r="G55" i="6"/>
  <c r="F55" i="6"/>
  <c r="E55" i="6"/>
  <c r="D55" i="6"/>
  <c r="C55" i="6"/>
  <c r="B55" i="6"/>
  <c r="T54" i="6"/>
  <c r="S54" i="6"/>
  <c r="Q54" i="6"/>
  <c r="P54" i="6"/>
  <c r="I54" i="6"/>
  <c r="H54" i="6"/>
  <c r="G54" i="6"/>
  <c r="F54" i="6"/>
  <c r="E54" i="6"/>
  <c r="D54" i="6"/>
  <c r="C54" i="6"/>
  <c r="B54" i="6"/>
  <c r="T53" i="6"/>
  <c r="S53" i="6"/>
  <c r="Q53" i="6"/>
  <c r="P53" i="6"/>
  <c r="I53" i="6"/>
  <c r="H53" i="6"/>
  <c r="G53" i="6"/>
  <c r="F53" i="6"/>
  <c r="E53" i="6"/>
  <c r="D53" i="6"/>
  <c r="C53" i="6"/>
  <c r="B53" i="6"/>
  <c r="T52" i="6"/>
  <c r="S52" i="6"/>
  <c r="Q52" i="6"/>
  <c r="P52" i="6"/>
  <c r="I52" i="6"/>
  <c r="H52" i="6"/>
  <c r="G52" i="6"/>
  <c r="F52" i="6"/>
  <c r="E52" i="6"/>
  <c r="D52" i="6"/>
  <c r="C52" i="6"/>
  <c r="B52" i="6"/>
  <c r="T51" i="6"/>
  <c r="S51" i="6"/>
  <c r="Q51" i="6"/>
  <c r="P51" i="6"/>
  <c r="I51" i="6"/>
  <c r="H51" i="6"/>
  <c r="G51" i="6"/>
  <c r="F51" i="6"/>
  <c r="E51" i="6"/>
  <c r="D51" i="6"/>
  <c r="C51" i="6"/>
  <c r="B51" i="6"/>
  <c r="T50" i="6"/>
  <c r="S50" i="6"/>
  <c r="Q50" i="6"/>
  <c r="P50" i="6"/>
  <c r="I50" i="6"/>
  <c r="H50" i="6"/>
  <c r="G50" i="6"/>
  <c r="F50" i="6"/>
  <c r="E50" i="6"/>
  <c r="D50" i="6"/>
  <c r="C50" i="6"/>
  <c r="B50" i="6"/>
  <c r="T49" i="6"/>
  <c r="S49" i="6"/>
  <c r="Q49" i="6"/>
  <c r="P49" i="6"/>
  <c r="I49" i="6"/>
  <c r="H49" i="6"/>
  <c r="G49" i="6"/>
  <c r="F49" i="6"/>
  <c r="E49" i="6"/>
  <c r="D49" i="6"/>
  <c r="C49" i="6"/>
  <c r="B49" i="6"/>
  <c r="T48" i="6"/>
  <c r="S48" i="6"/>
  <c r="Q48" i="6"/>
  <c r="P48" i="6"/>
  <c r="I48" i="6"/>
  <c r="H48" i="6"/>
  <c r="G48" i="6"/>
  <c r="F48" i="6"/>
  <c r="E48" i="6"/>
  <c r="D48" i="6"/>
  <c r="C48" i="6"/>
  <c r="B48" i="6"/>
  <c r="T47" i="6"/>
  <c r="S47" i="6"/>
  <c r="Q47" i="6"/>
  <c r="P47" i="6"/>
  <c r="I47" i="6"/>
  <c r="H47" i="6"/>
  <c r="G47" i="6"/>
  <c r="F47" i="6"/>
  <c r="E47" i="6"/>
  <c r="D47" i="6"/>
  <c r="C47" i="6"/>
  <c r="B47" i="6"/>
  <c r="T46" i="6"/>
  <c r="S46" i="6"/>
  <c r="Q46" i="6"/>
  <c r="P46" i="6"/>
  <c r="I46" i="6"/>
  <c r="H46" i="6"/>
  <c r="G46" i="6"/>
  <c r="F46" i="6"/>
  <c r="E46" i="6"/>
  <c r="D46" i="6"/>
  <c r="C46" i="6"/>
  <c r="B46" i="6"/>
  <c r="T45" i="6"/>
  <c r="S45" i="6"/>
  <c r="Q45" i="6"/>
  <c r="P45" i="6"/>
  <c r="I45" i="6"/>
  <c r="H45" i="6"/>
  <c r="G45" i="6"/>
  <c r="F45" i="6"/>
  <c r="E45" i="6"/>
  <c r="D45" i="6"/>
  <c r="C45" i="6"/>
  <c r="B45" i="6"/>
  <c r="T44" i="6"/>
  <c r="S44" i="6"/>
  <c r="Q44" i="6"/>
  <c r="P44" i="6"/>
  <c r="I44" i="6"/>
  <c r="H44" i="6"/>
  <c r="G44" i="6"/>
  <c r="F44" i="6"/>
  <c r="E44" i="6"/>
  <c r="D44" i="6"/>
  <c r="C44" i="6"/>
  <c r="B44" i="6"/>
  <c r="T43" i="6"/>
  <c r="S43" i="6"/>
  <c r="Q43" i="6"/>
  <c r="P43" i="6"/>
  <c r="I43" i="6"/>
  <c r="H43" i="6"/>
  <c r="G43" i="6"/>
  <c r="F43" i="6"/>
  <c r="E43" i="6"/>
  <c r="D43" i="6"/>
  <c r="C43" i="6"/>
  <c r="B43" i="6"/>
  <c r="T42" i="6"/>
  <c r="S42" i="6"/>
  <c r="Q42" i="6"/>
  <c r="P42" i="6"/>
  <c r="I42" i="6"/>
  <c r="H42" i="6"/>
  <c r="G42" i="6"/>
  <c r="F42" i="6"/>
  <c r="E42" i="6"/>
  <c r="D42" i="6"/>
  <c r="C42" i="6"/>
  <c r="B42" i="6"/>
  <c r="T41" i="6"/>
  <c r="S41" i="6"/>
  <c r="Q41" i="6"/>
  <c r="P41" i="6"/>
  <c r="I41" i="6"/>
  <c r="H41" i="6"/>
  <c r="G41" i="6"/>
  <c r="F41" i="6"/>
  <c r="E41" i="6"/>
  <c r="D41" i="6"/>
  <c r="C41" i="6"/>
  <c r="B41" i="6"/>
  <c r="T40" i="6"/>
  <c r="S40" i="6"/>
  <c r="Q40" i="6"/>
  <c r="P40" i="6"/>
  <c r="I40" i="6"/>
  <c r="H40" i="6"/>
  <c r="G40" i="6"/>
  <c r="F40" i="6"/>
  <c r="E40" i="6"/>
  <c r="D40" i="6"/>
  <c r="C40" i="6"/>
  <c r="B40" i="6"/>
  <c r="T39" i="6"/>
  <c r="S39" i="6"/>
  <c r="Q39" i="6"/>
  <c r="P39" i="6"/>
  <c r="I39" i="6"/>
  <c r="H39" i="6"/>
  <c r="G39" i="6"/>
  <c r="F39" i="6"/>
  <c r="E39" i="6"/>
  <c r="D39" i="6"/>
  <c r="C39" i="6"/>
  <c r="B39" i="6"/>
  <c r="T38" i="6"/>
  <c r="S38" i="6"/>
  <c r="Q38" i="6"/>
  <c r="P38" i="6"/>
  <c r="I38" i="6"/>
  <c r="H38" i="6"/>
  <c r="G38" i="6"/>
  <c r="F38" i="6"/>
  <c r="E38" i="6"/>
  <c r="D38" i="6"/>
  <c r="C38" i="6"/>
  <c r="B38" i="6"/>
  <c r="T37" i="6"/>
  <c r="S37" i="6"/>
  <c r="Q37" i="6"/>
  <c r="P37" i="6"/>
  <c r="I37" i="6"/>
  <c r="H37" i="6"/>
  <c r="G37" i="6"/>
  <c r="F37" i="6"/>
  <c r="E37" i="6"/>
  <c r="D37" i="6"/>
  <c r="C37" i="6"/>
  <c r="B37" i="6"/>
  <c r="T36" i="6"/>
  <c r="S36" i="6"/>
  <c r="Q36" i="6"/>
  <c r="P36" i="6"/>
  <c r="I36" i="6"/>
  <c r="H36" i="6"/>
  <c r="G36" i="6"/>
  <c r="F36" i="6"/>
  <c r="E36" i="6"/>
  <c r="D36" i="6"/>
  <c r="C36" i="6"/>
  <c r="B36" i="6"/>
  <c r="T35" i="6"/>
  <c r="S35" i="6"/>
  <c r="Q35" i="6"/>
  <c r="P35" i="6"/>
  <c r="I35" i="6"/>
  <c r="H35" i="6"/>
  <c r="G35" i="6"/>
  <c r="F35" i="6"/>
  <c r="E35" i="6"/>
  <c r="D35" i="6"/>
  <c r="C35" i="6"/>
  <c r="B35" i="6"/>
  <c r="T34" i="6"/>
  <c r="S34" i="6"/>
  <c r="Q34" i="6"/>
  <c r="P34" i="6"/>
  <c r="I34" i="6"/>
  <c r="H34" i="6"/>
  <c r="G34" i="6"/>
  <c r="F34" i="6"/>
  <c r="E34" i="6"/>
  <c r="D34" i="6"/>
  <c r="C34" i="6"/>
  <c r="B34" i="6"/>
  <c r="T33" i="6"/>
  <c r="S33" i="6"/>
  <c r="Q33" i="6"/>
  <c r="P33" i="6"/>
  <c r="I33" i="6"/>
  <c r="H33" i="6"/>
  <c r="G33" i="6"/>
  <c r="F33" i="6"/>
  <c r="E33" i="6"/>
  <c r="D33" i="6"/>
  <c r="C33" i="6"/>
  <c r="B33" i="6"/>
  <c r="T32" i="6"/>
  <c r="S32" i="6"/>
  <c r="Q32" i="6"/>
  <c r="P32" i="6"/>
  <c r="I32" i="6"/>
  <c r="H32" i="6"/>
  <c r="G32" i="6"/>
  <c r="F32" i="6"/>
  <c r="E32" i="6"/>
  <c r="D32" i="6"/>
  <c r="C32" i="6"/>
  <c r="B32" i="6"/>
  <c r="T31" i="6"/>
  <c r="S31" i="6"/>
  <c r="Q31" i="6"/>
  <c r="P31" i="6"/>
  <c r="I31" i="6"/>
  <c r="H31" i="6"/>
  <c r="G31" i="6"/>
  <c r="F31" i="6"/>
  <c r="E31" i="6"/>
  <c r="D31" i="6"/>
  <c r="C31" i="6"/>
  <c r="B31" i="6"/>
  <c r="T30" i="6"/>
  <c r="S30" i="6"/>
  <c r="Q30" i="6"/>
  <c r="P30" i="6"/>
  <c r="I30" i="6"/>
  <c r="H30" i="6"/>
  <c r="G30" i="6"/>
  <c r="F30" i="6"/>
  <c r="E30" i="6"/>
  <c r="D30" i="6"/>
  <c r="C30" i="6"/>
  <c r="B30" i="6"/>
  <c r="T29" i="6"/>
  <c r="S29" i="6"/>
  <c r="Q29" i="6"/>
  <c r="P29" i="6"/>
  <c r="I29" i="6"/>
  <c r="H29" i="6"/>
  <c r="G29" i="6"/>
  <c r="F29" i="6"/>
  <c r="E29" i="6"/>
  <c r="D29" i="6"/>
  <c r="C29" i="6"/>
  <c r="B29" i="6"/>
  <c r="T28" i="6"/>
  <c r="S28" i="6"/>
  <c r="Q28" i="6"/>
  <c r="P28" i="6"/>
  <c r="I28" i="6"/>
  <c r="H28" i="6"/>
  <c r="G28" i="6"/>
  <c r="F28" i="6"/>
  <c r="E28" i="6"/>
  <c r="D28" i="6"/>
  <c r="C28" i="6"/>
  <c r="B28" i="6"/>
  <c r="T27" i="6"/>
  <c r="S27" i="6"/>
  <c r="Q27" i="6"/>
  <c r="P27" i="6"/>
  <c r="I27" i="6"/>
  <c r="H27" i="6"/>
  <c r="G27" i="6"/>
  <c r="F27" i="6"/>
  <c r="E27" i="6"/>
  <c r="D27" i="6"/>
  <c r="C27" i="6"/>
  <c r="B27" i="6"/>
  <c r="T26" i="6"/>
  <c r="S26" i="6"/>
  <c r="Q26" i="6"/>
  <c r="P26" i="6"/>
  <c r="I26" i="6"/>
  <c r="H26" i="6"/>
  <c r="G26" i="6"/>
  <c r="F26" i="6"/>
  <c r="E26" i="6"/>
  <c r="D26" i="6"/>
  <c r="C26" i="6"/>
  <c r="B26" i="6"/>
  <c r="T25" i="6"/>
  <c r="S25" i="6"/>
  <c r="Q25" i="6"/>
  <c r="P25" i="6"/>
  <c r="I25" i="6"/>
  <c r="H25" i="6"/>
  <c r="G25" i="6"/>
  <c r="F25" i="6"/>
  <c r="E25" i="6"/>
  <c r="D25" i="6"/>
  <c r="C25" i="6"/>
  <c r="B25" i="6"/>
  <c r="T24" i="6"/>
  <c r="S24" i="6"/>
  <c r="Q24" i="6"/>
  <c r="P24" i="6"/>
  <c r="I24" i="6"/>
  <c r="H24" i="6"/>
  <c r="G24" i="6"/>
  <c r="F24" i="6"/>
  <c r="E24" i="6"/>
  <c r="D24" i="6"/>
  <c r="C24" i="6"/>
  <c r="B24" i="6"/>
  <c r="T23" i="6"/>
  <c r="S23" i="6"/>
  <c r="Q23" i="6"/>
  <c r="P23" i="6"/>
  <c r="I23" i="6"/>
  <c r="H23" i="6"/>
  <c r="G23" i="6"/>
  <c r="F23" i="6"/>
  <c r="E23" i="6"/>
  <c r="D23" i="6"/>
  <c r="C23" i="6"/>
  <c r="B23" i="6"/>
  <c r="T22" i="6"/>
  <c r="S22" i="6"/>
  <c r="Q22" i="6"/>
  <c r="P22" i="6"/>
  <c r="I22" i="6"/>
  <c r="H22" i="6"/>
  <c r="G22" i="6"/>
  <c r="F22" i="6"/>
  <c r="E22" i="6"/>
  <c r="D22" i="6"/>
  <c r="C22" i="6"/>
  <c r="B22" i="6"/>
  <c r="T21" i="6"/>
  <c r="S21" i="6"/>
  <c r="Q21" i="6"/>
  <c r="P21" i="6"/>
  <c r="I21" i="6"/>
  <c r="H21" i="6"/>
  <c r="G21" i="6"/>
  <c r="F21" i="6"/>
  <c r="E21" i="6"/>
  <c r="D21" i="6"/>
  <c r="C21" i="6"/>
  <c r="B21" i="6"/>
  <c r="T20" i="6"/>
  <c r="S20" i="6"/>
  <c r="Q20" i="6"/>
  <c r="P20" i="6"/>
  <c r="I20" i="6"/>
  <c r="H20" i="6"/>
  <c r="G20" i="6"/>
  <c r="F20" i="6"/>
  <c r="E20" i="6"/>
  <c r="D20" i="6"/>
  <c r="C20" i="6"/>
  <c r="B20" i="6"/>
  <c r="T19" i="6"/>
  <c r="S19" i="6"/>
  <c r="Q19" i="6"/>
  <c r="P19" i="6"/>
  <c r="I19" i="6"/>
  <c r="H19" i="6"/>
  <c r="G19" i="6"/>
  <c r="F19" i="6"/>
  <c r="E19" i="6"/>
  <c r="D19" i="6"/>
  <c r="C19" i="6"/>
  <c r="B19" i="6"/>
  <c r="T18" i="6"/>
  <c r="S18" i="6"/>
  <c r="Q18" i="6"/>
  <c r="P18" i="6"/>
  <c r="I18" i="6"/>
  <c r="H18" i="6"/>
  <c r="G18" i="6"/>
  <c r="F18" i="6"/>
  <c r="E18" i="6"/>
  <c r="D18" i="6"/>
  <c r="C18" i="6"/>
  <c r="B18" i="6"/>
  <c r="T17" i="6"/>
  <c r="S17" i="6"/>
  <c r="Q17" i="6"/>
  <c r="P17" i="6"/>
  <c r="I17" i="6"/>
  <c r="H17" i="6"/>
  <c r="G17" i="6"/>
  <c r="F17" i="6"/>
  <c r="E17" i="6"/>
  <c r="D17" i="6"/>
  <c r="C17" i="6"/>
  <c r="B17" i="6"/>
  <c r="T16" i="6"/>
  <c r="S16" i="6"/>
  <c r="Q16" i="6"/>
  <c r="P16" i="6"/>
  <c r="I16" i="6"/>
  <c r="H16" i="6"/>
  <c r="G16" i="6"/>
  <c r="F16" i="6"/>
  <c r="E16" i="6"/>
  <c r="D16" i="6"/>
  <c r="C16" i="6"/>
  <c r="B16" i="6"/>
  <c r="T15" i="6"/>
  <c r="S15" i="6"/>
  <c r="Q15" i="6"/>
  <c r="P15" i="6"/>
  <c r="I15" i="6"/>
  <c r="H15" i="6"/>
  <c r="G15" i="6"/>
  <c r="F15" i="6"/>
  <c r="E15" i="6"/>
  <c r="D15" i="6"/>
  <c r="C15" i="6"/>
  <c r="B15" i="6"/>
  <c r="T14" i="6"/>
  <c r="S14" i="6"/>
  <c r="Q14" i="6"/>
  <c r="P14" i="6"/>
  <c r="I14" i="6"/>
  <c r="H14" i="6"/>
  <c r="G14" i="6"/>
  <c r="F14" i="6"/>
  <c r="E14" i="6"/>
  <c r="D14" i="6"/>
  <c r="C14" i="6"/>
  <c r="B14" i="6"/>
  <c r="T13" i="6"/>
  <c r="S13" i="6"/>
  <c r="Q13" i="6"/>
  <c r="P13" i="6"/>
  <c r="I13" i="6"/>
  <c r="H13" i="6"/>
  <c r="G13" i="6"/>
  <c r="F13" i="6"/>
  <c r="E13" i="6"/>
  <c r="D13" i="6"/>
  <c r="C13" i="6"/>
  <c r="B13" i="6"/>
  <c r="T12" i="6"/>
  <c r="S12" i="6"/>
  <c r="Q12" i="6"/>
  <c r="P12" i="6"/>
  <c r="I12" i="6"/>
  <c r="H12" i="6"/>
  <c r="G12" i="6"/>
  <c r="F12" i="6"/>
  <c r="E12" i="6"/>
  <c r="D12" i="6"/>
  <c r="C12" i="6"/>
  <c r="B12" i="6"/>
  <c r="T11" i="6"/>
  <c r="S11" i="6"/>
  <c r="Q11" i="6"/>
  <c r="P11" i="6"/>
  <c r="I11" i="6"/>
  <c r="H11" i="6"/>
  <c r="G11" i="6"/>
  <c r="F11" i="6"/>
  <c r="E11" i="6"/>
  <c r="D11" i="6"/>
  <c r="C11" i="6"/>
  <c r="B11" i="6"/>
  <c r="T10" i="6"/>
  <c r="S10" i="6"/>
  <c r="Q10" i="6"/>
  <c r="P10" i="6"/>
  <c r="I10" i="6"/>
  <c r="H10" i="6"/>
  <c r="G10" i="6"/>
  <c r="F10" i="6"/>
  <c r="E10" i="6"/>
  <c r="D10" i="6"/>
  <c r="C10" i="6"/>
  <c r="B10" i="6"/>
  <c r="T9" i="6"/>
  <c r="S9" i="6"/>
  <c r="Q9" i="6"/>
  <c r="P9" i="6"/>
  <c r="I9" i="6"/>
  <c r="H9" i="6"/>
  <c r="G9" i="6"/>
  <c r="F9" i="6"/>
  <c r="E9" i="6"/>
  <c r="D9" i="6"/>
  <c r="C9" i="6"/>
  <c r="B9" i="6"/>
  <c r="T8" i="6"/>
  <c r="S8" i="6"/>
  <c r="Q8" i="6"/>
  <c r="P8" i="6"/>
  <c r="I8" i="6"/>
  <c r="H8" i="6"/>
  <c r="F8" i="6"/>
  <c r="E8" i="6"/>
  <c r="D8" i="6"/>
  <c r="C8" i="6"/>
  <c r="B8" i="6"/>
  <c r="T7" i="6"/>
  <c r="S7" i="6"/>
  <c r="Q7" i="6"/>
  <c r="P7" i="6"/>
  <c r="I7" i="6"/>
  <c r="H7" i="6"/>
  <c r="G7" i="6"/>
  <c r="F7" i="6"/>
  <c r="E7" i="6"/>
  <c r="D7" i="6"/>
  <c r="C7" i="6"/>
  <c r="B7" i="6"/>
  <c r="T6" i="6"/>
  <c r="S6" i="6"/>
  <c r="Q6" i="6"/>
  <c r="P6" i="6"/>
  <c r="I6" i="6"/>
  <c r="H6" i="6"/>
  <c r="G6" i="6"/>
  <c r="F6" i="6"/>
  <c r="E6" i="6"/>
  <c r="D6" i="6"/>
  <c r="C6" i="6"/>
  <c r="B6" i="6"/>
  <c r="T5" i="6"/>
  <c r="S5" i="6"/>
  <c r="Q5" i="6"/>
  <c r="P5" i="6"/>
  <c r="I5" i="6"/>
  <c r="H5" i="6"/>
  <c r="G5" i="6"/>
  <c r="F5" i="6"/>
  <c r="E5" i="6"/>
  <c r="D5" i="6"/>
  <c r="C5" i="6"/>
  <c r="B5" i="6"/>
  <c r="T4" i="6"/>
  <c r="S4" i="6"/>
  <c r="Q4" i="6"/>
  <c r="P4" i="6"/>
  <c r="I4" i="6"/>
  <c r="H4" i="6"/>
  <c r="G4" i="6"/>
  <c r="F4" i="6"/>
  <c r="E4" i="6"/>
  <c r="D4" i="6"/>
  <c r="C4" i="6"/>
  <c r="B4" i="6"/>
  <c r="T3" i="6"/>
  <c r="S3" i="6"/>
  <c r="Q3" i="6"/>
  <c r="P3" i="6"/>
  <c r="I3" i="6"/>
  <c r="H3" i="6"/>
  <c r="G3" i="6"/>
  <c r="F3" i="6"/>
  <c r="E3" i="6"/>
  <c r="D3" i="6"/>
  <c r="C3" i="6"/>
  <c r="B3" i="6"/>
  <c r="P70" i="5"/>
  <c r="P69" i="5"/>
  <c r="P68" i="5"/>
  <c r="P67" i="5"/>
  <c r="P66" i="5"/>
  <c r="P65" i="5"/>
  <c r="P64" i="5"/>
  <c r="T63" i="5"/>
  <c r="S63" i="5"/>
  <c r="Q63" i="5"/>
  <c r="P63" i="5"/>
  <c r="I63" i="5"/>
  <c r="H63" i="5"/>
  <c r="G63" i="5"/>
  <c r="F63" i="5"/>
  <c r="E63" i="5"/>
  <c r="D63" i="5"/>
  <c r="C63" i="5"/>
  <c r="B63" i="5"/>
  <c r="T62" i="5"/>
  <c r="S62" i="5"/>
  <c r="Q62" i="5"/>
  <c r="P62" i="5"/>
  <c r="I62" i="5"/>
  <c r="H62" i="5"/>
  <c r="G62" i="5"/>
  <c r="F62" i="5"/>
  <c r="E62" i="5"/>
  <c r="D62" i="5"/>
  <c r="C62" i="5"/>
  <c r="B62" i="5"/>
  <c r="T61" i="5"/>
  <c r="S61" i="5"/>
  <c r="Q61" i="5"/>
  <c r="P61" i="5"/>
  <c r="I61" i="5"/>
  <c r="H61" i="5"/>
  <c r="G61" i="5"/>
  <c r="F61" i="5"/>
  <c r="E61" i="5"/>
  <c r="D61" i="5"/>
  <c r="C61" i="5"/>
  <c r="B61" i="5"/>
  <c r="T60" i="5"/>
  <c r="S60" i="5"/>
  <c r="Q60" i="5"/>
  <c r="P60" i="5"/>
  <c r="I60" i="5"/>
  <c r="H60" i="5"/>
  <c r="G60" i="5"/>
  <c r="F60" i="5"/>
  <c r="E60" i="5"/>
  <c r="D60" i="5"/>
  <c r="C60" i="5"/>
  <c r="B60" i="5"/>
  <c r="T59" i="5"/>
  <c r="S59" i="5"/>
  <c r="Q59" i="5"/>
  <c r="P59" i="5"/>
  <c r="I59" i="5"/>
  <c r="H59" i="5"/>
  <c r="G59" i="5"/>
  <c r="F59" i="5"/>
  <c r="E59" i="5"/>
  <c r="D59" i="5"/>
  <c r="C59" i="5"/>
  <c r="B59" i="5"/>
  <c r="T58" i="5"/>
  <c r="S58" i="5"/>
  <c r="Q58" i="5"/>
  <c r="P58" i="5"/>
  <c r="I58" i="5"/>
  <c r="H58" i="5"/>
  <c r="G58" i="5"/>
  <c r="F58" i="5"/>
  <c r="E58" i="5"/>
  <c r="D58" i="5"/>
  <c r="C58" i="5"/>
  <c r="B58" i="5"/>
  <c r="T57" i="5"/>
  <c r="S57" i="5"/>
  <c r="Q57" i="5"/>
  <c r="P57" i="5"/>
  <c r="I57" i="5"/>
  <c r="H57" i="5"/>
  <c r="G57" i="5"/>
  <c r="F57" i="5"/>
  <c r="E57" i="5"/>
  <c r="D57" i="5"/>
  <c r="C57" i="5"/>
  <c r="B57" i="5"/>
  <c r="T56" i="5"/>
  <c r="S56" i="5"/>
  <c r="Q56" i="5"/>
  <c r="P56" i="5"/>
  <c r="I56" i="5"/>
  <c r="H56" i="5"/>
  <c r="G56" i="5"/>
  <c r="F56" i="5"/>
  <c r="E56" i="5"/>
  <c r="D56" i="5"/>
  <c r="C56" i="5"/>
  <c r="B56" i="5"/>
  <c r="T55" i="5"/>
  <c r="S55" i="5"/>
  <c r="Q55" i="5"/>
  <c r="P55" i="5"/>
  <c r="I55" i="5"/>
  <c r="H55" i="5"/>
  <c r="G55" i="5"/>
  <c r="F55" i="5"/>
  <c r="E55" i="5"/>
  <c r="D55" i="5"/>
  <c r="C55" i="5"/>
  <c r="B55" i="5"/>
  <c r="T54" i="5"/>
  <c r="S54" i="5"/>
  <c r="Q54" i="5"/>
  <c r="P54" i="5"/>
  <c r="I54" i="5"/>
  <c r="H54" i="5"/>
  <c r="G54" i="5"/>
  <c r="F54" i="5"/>
  <c r="E54" i="5"/>
  <c r="D54" i="5"/>
  <c r="C54" i="5"/>
  <c r="B54" i="5"/>
  <c r="T53" i="5"/>
  <c r="S53" i="5"/>
  <c r="Q53" i="5"/>
  <c r="P53" i="5"/>
  <c r="I53" i="5"/>
  <c r="H53" i="5"/>
  <c r="G53" i="5"/>
  <c r="F53" i="5"/>
  <c r="E53" i="5"/>
  <c r="D53" i="5"/>
  <c r="C53" i="5"/>
  <c r="B53" i="5"/>
  <c r="T52" i="5"/>
  <c r="S52" i="5"/>
  <c r="Q52" i="5"/>
  <c r="P52" i="5"/>
  <c r="I52" i="5"/>
  <c r="H52" i="5"/>
  <c r="G52" i="5"/>
  <c r="F52" i="5"/>
  <c r="E52" i="5"/>
  <c r="D52" i="5"/>
  <c r="C52" i="5"/>
  <c r="B52" i="5"/>
  <c r="T51" i="5"/>
  <c r="S51" i="5"/>
  <c r="Q51" i="5"/>
  <c r="P51" i="5"/>
  <c r="I51" i="5"/>
  <c r="H51" i="5"/>
  <c r="G51" i="5"/>
  <c r="F51" i="5"/>
  <c r="E51" i="5"/>
  <c r="D51" i="5"/>
  <c r="C51" i="5"/>
  <c r="B51" i="5"/>
  <c r="T50" i="5"/>
  <c r="S50" i="5"/>
  <c r="Q50" i="5"/>
  <c r="P50" i="5"/>
  <c r="I50" i="5"/>
  <c r="H50" i="5"/>
  <c r="G50" i="5"/>
  <c r="F50" i="5"/>
  <c r="E50" i="5"/>
  <c r="D50" i="5"/>
  <c r="C50" i="5"/>
  <c r="B50" i="5"/>
  <c r="T49" i="5"/>
  <c r="S49" i="5"/>
  <c r="Q49" i="5"/>
  <c r="P49" i="5"/>
  <c r="I49" i="5"/>
  <c r="H49" i="5"/>
  <c r="G49" i="5"/>
  <c r="F49" i="5"/>
  <c r="E49" i="5"/>
  <c r="D49" i="5"/>
  <c r="C49" i="5"/>
  <c r="B49" i="5"/>
  <c r="T48" i="5"/>
  <c r="S48" i="5"/>
  <c r="Q48" i="5"/>
  <c r="P48" i="5"/>
  <c r="I48" i="5"/>
  <c r="H48" i="5"/>
  <c r="G48" i="5"/>
  <c r="F48" i="5"/>
  <c r="E48" i="5"/>
  <c r="D48" i="5"/>
  <c r="C48" i="5"/>
  <c r="B48" i="5"/>
  <c r="T47" i="5"/>
  <c r="S47" i="5"/>
  <c r="Q47" i="5"/>
  <c r="P47" i="5"/>
  <c r="I47" i="5"/>
  <c r="H47" i="5"/>
  <c r="G47" i="5"/>
  <c r="F47" i="5"/>
  <c r="E47" i="5"/>
  <c r="D47" i="5"/>
  <c r="C47" i="5"/>
  <c r="B47" i="5"/>
  <c r="T46" i="5"/>
  <c r="S46" i="5"/>
  <c r="Q46" i="5"/>
  <c r="P46" i="5"/>
  <c r="I46" i="5"/>
  <c r="H46" i="5"/>
  <c r="G46" i="5"/>
  <c r="F46" i="5"/>
  <c r="E46" i="5"/>
  <c r="D46" i="5"/>
  <c r="C46" i="5"/>
  <c r="B46" i="5"/>
  <c r="T45" i="5"/>
  <c r="S45" i="5"/>
  <c r="Q45" i="5"/>
  <c r="P45" i="5"/>
  <c r="I45" i="5"/>
  <c r="H45" i="5"/>
  <c r="G45" i="5"/>
  <c r="F45" i="5"/>
  <c r="E45" i="5"/>
  <c r="D45" i="5"/>
  <c r="C45" i="5"/>
  <c r="B45" i="5"/>
  <c r="T44" i="5"/>
  <c r="S44" i="5"/>
  <c r="Q44" i="5"/>
  <c r="P44" i="5"/>
  <c r="I44" i="5"/>
  <c r="H44" i="5"/>
  <c r="G44" i="5"/>
  <c r="F44" i="5"/>
  <c r="E44" i="5"/>
  <c r="D44" i="5"/>
  <c r="C44" i="5"/>
  <c r="B44" i="5"/>
  <c r="T43" i="5"/>
  <c r="S43" i="5"/>
  <c r="Q43" i="5"/>
  <c r="P43" i="5"/>
  <c r="I43" i="5"/>
  <c r="H43" i="5"/>
  <c r="G43" i="5"/>
  <c r="F43" i="5"/>
  <c r="E43" i="5"/>
  <c r="D43" i="5"/>
  <c r="C43" i="5"/>
  <c r="B43" i="5"/>
  <c r="T42" i="5"/>
  <c r="S42" i="5"/>
  <c r="Q42" i="5"/>
  <c r="P42" i="5"/>
  <c r="I42" i="5"/>
  <c r="H42" i="5"/>
  <c r="G42" i="5"/>
  <c r="F42" i="5"/>
  <c r="E42" i="5"/>
  <c r="D42" i="5"/>
  <c r="C42" i="5"/>
  <c r="B42" i="5"/>
  <c r="T41" i="5"/>
  <c r="S41" i="5"/>
  <c r="Q41" i="5"/>
  <c r="P41" i="5"/>
  <c r="I41" i="5"/>
  <c r="H41" i="5"/>
  <c r="G41" i="5"/>
  <c r="F41" i="5"/>
  <c r="E41" i="5"/>
  <c r="D41" i="5"/>
  <c r="C41" i="5"/>
  <c r="B41" i="5"/>
  <c r="T40" i="5"/>
  <c r="S40" i="5"/>
  <c r="Q40" i="5"/>
  <c r="P40" i="5"/>
  <c r="I40" i="5"/>
  <c r="H40" i="5"/>
  <c r="G40" i="5"/>
  <c r="F40" i="5"/>
  <c r="E40" i="5"/>
  <c r="D40" i="5"/>
  <c r="C40" i="5"/>
  <c r="B40" i="5"/>
  <c r="T39" i="5"/>
  <c r="S39" i="5"/>
  <c r="Q39" i="5"/>
  <c r="P39" i="5"/>
  <c r="I39" i="5"/>
  <c r="H39" i="5"/>
  <c r="G39" i="5"/>
  <c r="F39" i="5"/>
  <c r="E39" i="5"/>
  <c r="D39" i="5"/>
  <c r="C39" i="5"/>
  <c r="B39" i="5"/>
  <c r="T38" i="5"/>
  <c r="S38" i="5"/>
  <c r="Q38" i="5"/>
  <c r="P38" i="5"/>
  <c r="I38" i="5"/>
  <c r="H38" i="5"/>
  <c r="G38" i="5"/>
  <c r="F38" i="5"/>
  <c r="E38" i="5"/>
  <c r="D38" i="5"/>
  <c r="C38" i="5"/>
  <c r="B38" i="5"/>
  <c r="T37" i="5"/>
  <c r="S37" i="5"/>
  <c r="Q37" i="5"/>
  <c r="P37" i="5"/>
  <c r="I37" i="5"/>
  <c r="H37" i="5"/>
  <c r="G37" i="5"/>
  <c r="F37" i="5"/>
  <c r="E37" i="5"/>
  <c r="D37" i="5"/>
  <c r="C37" i="5"/>
  <c r="B37" i="5"/>
  <c r="T36" i="5"/>
  <c r="S36" i="5"/>
  <c r="Q36" i="5"/>
  <c r="P36" i="5"/>
  <c r="I36" i="5"/>
  <c r="H36" i="5"/>
  <c r="G36" i="5"/>
  <c r="F36" i="5"/>
  <c r="E36" i="5"/>
  <c r="D36" i="5"/>
  <c r="C36" i="5"/>
  <c r="B36" i="5"/>
  <c r="T35" i="5"/>
  <c r="S35" i="5"/>
  <c r="Q35" i="5"/>
  <c r="P35" i="5"/>
  <c r="I35" i="5"/>
  <c r="H35" i="5"/>
  <c r="G35" i="5"/>
  <c r="F35" i="5"/>
  <c r="E35" i="5"/>
  <c r="D35" i="5"/>
  <c r="C35" i="5"/>
  <c r="B35" i="5"/>
  <c r="T34" i="5"/>
  <c r="S34" i="5"/>
  <c r="Q34" i="5"/>
  <c r="P34" i="5"/>
  <c r="I34" i="5"/>
  <c r="H34" i="5"/>
  <c r="G34" i="5"/>
  <c r="F34" i="5"/>
  <c r="E34" i="5"/>
  <c r="D34" i="5"/>
  <c r="C34" i="5"/>
  <c r="B34" i="5"/>
  <c r="T33" i="5"/>
  <c r="S33" i="5"/>
  <c r="Q33" i="5"/>
  <c r="P33" i="5"/>
  <c r="I33" i="5"/>
  <c r="H33" i="5"/>
  <c r="G33" i="5"/>
  <c r="F33" i="5"/>
  <c r="E33" i="5"/>
  <c r="D33" i="5"/>
  <c r="C33" i="5"/>
  <c r="B33" i="5"/>
  <c r="T32" i="5"/>
  <c r="S32" i="5"/>
  <c r="Q32" i="5"/>
  <c r="P32" i="5"/>
  <c r="I32" i="5"/>
  <c r="H32" i="5"/>
  <c r="G32" i="5"/>
  <c r="F32" i="5"/>
  <c r="E32" i="5"/>
  <c r="D32" i="5"/>
  <c r="C32" i="5"/>
  <c r="B32" i="5"/>
  <c r="T31" i="5"/>
  <c r="S31" i="5"/>
  <c r="Q31" i="5"/>
  <c r="P31" i="5"/>
  <c r="I31" i="5"/>
  <c r="H31" i="5"/>
  <c r="G31" i="5"/>
  <c r="F31" i="5"/>
  <c r="E31" i="5"/>
  <c r="D31" i="5"/>
  <c r="C31" i="5"/>
  <c r="B31" i="5"/>
  <c r="T30" i="5"/>
  <c r="S30" i="5"/>
  <c r="Q30" i="5"/>
  <c r="P30" i="5"/>
  <c r="I30" i="5"/>
  <c r="H30" i="5"/>
  <c r="G30" i="5"/>
  <c r="F30" i="5"/>
  <c r="E30" i="5"/>
  <c r="D30" i="5"/>
  <c r="C30" i="5"/>
  <c r="B30" i="5"/>
  <c r="T29" i="5"/>
  <c r="S29" i="5"/>
  <c r="Q29" i="5"/>
  <c r="P29" i="5"/>
  <c r="I29" i="5"/>
  <c r="H29" i="5"/>
  <c r="G29" i="5"/>
  <c r="F29" i="5"/>
  <c r="E29" i="5"/>
  <c r="D29" i="5"/>
  <c r="C29" i="5"/>
  <c r="B29" i="5"/>
  <c r="T28" i="5"/>
  <c r="S28" i="5"/>
  <c r="Q28" i="5"/>
  <c r="P28" i="5"/>
  <c r="I28" i="5"/>
  <c r="H28" i="5"/>
  <c r="G28" i="5"/>
  <c r="F28" i="5"/>
  <c r="E28" i="5"/>
  <c r="D28" i="5"/>
  <c r="C28" i="5"/>
  <c r="B28" i="5"/>
  <c r="T27" i="5"/>
  <c r="S27" i="5"/>
  <c r="Q27" i="5"/>
  <c r="P27" i="5"/>
  <c r="I27" i="5"/>
  <c r="H27" i="5"/>
  <c r="G27" i="5"/>
  <c r="F27" i="5"/>
  <c r="E27" i="5"/>
  <c r="D27" i="5"/>
  <c r="C27" i="5"/>
  <c r="B27" i="5"/>
  <c r="T26" i="5"/>
  <c r="S26" i="5"/>
  <c r="Q26" i="5"/>
  <c r="P26" i="5"/>
  <c r="I26" i="5"/>
  <c r="H26" i="5"/>
  <c r="G26" i="5"/>
  <c r="F26" i="5"/>
  <c r="E26" i="5"/>
  <c r="D26" i="5"/>
  <c r="C26" i="5"/>
  <c r="B26" i="5"/>
  <c r="T25" i="5"/>
  <c r="S25" i="5"/>
  <c r="Q25" i="5"/>
  <c r="P25" i="5"/>
  <c r="I25" i="5"/>
  <c r="H25" i="5"/>
  <c r="G25" i="5"/>
  <c r="F25" i="5"/>
  <c r="E25" i="5"/>
  <c r="D25" i="5"/>
  <c r="C25" i="5"/>
  <c r="B25" i="5"/>
  <c r="T24" i="5"/>
  <c r="S24" i="5"/>
  <c r="Q24" i="5"/>
  <c r="P24" i="5"/>
  <c r="I24" i="5"/>
  <c r="H24" i="5"/>
  <c r="G24" i="5"/>
  <c r="F24" i="5"/>
  <c r="E24" i="5"/>
  <c r="D24" i="5"/>
  <c r="C24" i="5"/>
  <c r="B24" i="5"/>
  <c r="T23" i="5"/>
  <c r="S23" i="5"/>
  <c r="Q23" i="5"/>
  <c r="P23" i="5"/>
  <c r="I23" i="5"/>
  <c r="H23" i="5"/>
  <c r="G23" i="5"/>
  <c r="F23" i="5"/>
  <c r="E23" i="5"/>
  <c r="D23" i="5"/>
  <c r="C23" i="5"/>
  <c r="B23" i="5"/>
  <c r="T22" i="5"/>
  <c r="S22" i="5"/>
  <c r="Q22" i="5"/>
  <c r="P22" i="5"/>
  <c r="I22" i="5"/>
  <c r="H22" i="5"/>
  <c r="G22" i="5"/>
  <c r="F22" i="5"/>
  <c r="E22" i="5"/>
  <c r="D22" i="5"/>
  <c r="C22" i="5"/>
  <c r="B22" i="5"/>
  <c r="T21" i="5"/>
  <c r="S21" i="5"/>
  <c r="Q21" i="5"/>
  <c r="P21" i="5"/>
  <c r="I21" i="5"/>
  <c r="H21" i="5"/>
  <c r="G21" i="5"/>
  <c r="F21" i="5"/>
  <c r="E21" i="5"/>
  <c r="D21" i="5"/>
  <c r="C21" i="5"/>
  <c r="B21" i="5"/>
  <c r="T20" i="5"/>
  <c r="S20" i="5"/>
  <c r="Q20" i="5"/>
  <c r="P20" i="5"/>
  <c r="I20" i="5"/>
  <c r="H20" i="5"/>
  <c r="G20" i="5"/>
  <c r="F20" i="5"/>
  <c r="E20" i="5"/>
  <c r="D20" i="5"/>
  <c r="C20" i="5"/>
  <c r="B20" i="5"/>
  <c r="T19" i="5"/>
  <c r="S19" i="5"/>
  <c r="Q19" i="5"/>
  <c r="P19" i="5"/>
  <c r="I19" i="5"/>
  <c r="H19" i="5"/>
  <c r="G19" i="5"/>
  <c r="F19" i="5"/>
  <c r="E19" i="5"/>
  <c r="D19" i="5"/>
  <c r="C19" i="5"/>
  <c r="B19" i="5"/>
  <c r="T18" i="5"/>
  <c r="S18" i="5"/>
  <c r="Q18" i="5"/>
  <c r="P18" i="5"/>
  <c r="I18" i="5"/>
  <c r="H18" i="5"/>
  <c r="G18" i="5"/>
  <c r="F18" i="5"/>
  <c r="E18" i="5"/>
  <c r="D18" i="5"/>
  <c r="C18" i="5"/>
  <c r="B18" i="5"/>
  <c r="T17" i="5"/>
  <c r="S17" i="5"/>
  <c r="Q17" i="5"/>
  <c r="P17" i="5"/>
  <c r="I17" i="5"/>
  <c r="H17" i="5"/>
  <c r="G17" i="5"/>
  <c r="F17" i="5"/>
  <c r="E17" i="5"/>
  <c r="D17" i="5"/>
  <c r="C17" i="5"/>
  <c r="B17" i="5"/>
  <c r="T16" i="5"/>
  <c r="S16" i="5"/>
  <c r="Q16" i="5"/>
  <c r="P16" i="5"/>
  <c r="I16" i="5"/>
  <c r="H16" i="5"/>
  <c r="G16" i="5"/>
  <c r="F16" i="5"/>
  <c r="E16" i="5"/>
  <c r="D16" i="5"/>
  <c r="C16" i="5"/>
  <c r="B16" i="5"/>
  <c r="T15" i="5"/>
  <c r="S15" i="5"/>
  <c r="Q15" i="5"/>
  <c r="P15" i="5"/>
  <c r="I15" i="5"/>
  <c r="H15" i="5"/>
  <c r="G15" i="5"/>
  <c r="F15" i="5"/>
  <c r="E15" i="5"/>
  <c r="D15" i="5"/>
  <c r="C15" i="5"/>
  <c r="B15" i="5"/>
  <c r="T14" i="5"/>
  <c r="S14" i="5"/>
  <c r="Q14" i="5"/>
  <c r="P14" i="5"/>
  <c r="I14" i="5"/>
  <c r="H14" i="5"/>
  <c r="G14" i="5"/>
  <c r="F14" i="5"/>
  <c r="E14" i="5"/>
  <c r="D14" i="5"/>
  <c r="C14" i="5"/>
  <c r="B14" i="5"/>
  <c r="T13" i="5"/>
  <c r="S13" i="5"/>
  <c r="Q13" i="5"/>
  <c r="P13" i="5"/>
  <c r="I13" i="5"/>
  <c r="H13" i="5"/>
  <c r="G13" i="5"/>
  <c r="F13" i="5"/>
  <c r="E13" i="5"/>
  <c r="D13" i="5"/>
  <c r="C13" i="5"/>
  <c r="B13" i="5"/>
  <c r="T12" i="5"/>
  <c r="S12" i="5"/>
  <c r="Q12" i="5"/>
  <c r="P12" i="5"/>
  <c r="I12" i="5"/>
  <c r="H12" i="5"/>
  <c r="G12" i="5"/>
  <c r="F12" i="5"/>
  <c r="E12" i="5"/>
  <c r="D12" i="5"/>
  <c r="C12" i="5"/>
  <c r="B12" i="5"/>
  <c r="T11" i="5"/>
  <c r="S11" i="5"/>
  <c r="Q11" i="5"/>
  <c r="P11" i="5"/>
  <c r="I11" i="5"/>
  <c r="H11" i="5"/>
  <c r="G11" i="5"/>
  <c r="F11" i="5"/>
  <c r="E11" i="5"/>
  <c r="D11" i="5"/>
  <c r="C11" i="5"/>
  <c r="B11" i="5"/>
  <c r="T10" i="5"/>
  <c r="S10" i="5"/>
  <c r="Q10" i="5"/>
  <c r="P10" i="5"/>
  <c r="I10" i="5"/>
  <c r="H10" i="5"/>
  <c r="G10" i="5"/>
  <c r="F10" i="5"/>
  <c r="E10" i="5"/>
  <c r="D10" i="5"/>
  <c r="C10" i="5"/>
  <c r="B10" i="5"/>
  <c r="T9" i="5"/>
  <c r="S9" i="5"/>
  <c r="Q9" i="5"/>
  <c r="P9" i="5"/>
  <c r="I9" i="5"/>
  <c r="H9" i="5"/>
  <c r="G9" i="5"/>
  <c r="F9" i="5"/>
  <c r="E9" i="5"/>
  <c r="D9" i="5"/>
  <c r="C9" i="5"/>
  <c r="B9" i="5"/>
  <c r="T8" i="5"/>
  <c r="S8" i="5"/>
  <c r="Q8" i="5"/>
  <c r="P8" i="5"/>
  <c r="I8" i="5"/>
  <c r="H8" i="5"/>
  <c r="G8" i="5"/>
  <c r="F8" i="5"/>
  <c r="E8" i="5"/>
  <c r="D8" i="5"/>
  <c r="C8" i="5"/>
  <c r="B8" i="5"/>
  <c r="T7" i="5"/>
  <c r="S7" i="5"/>
  <c r="Q7" i="5"/>
  <c r="P7" i="5"/>
  <c r="I7" i="5"/>
  <c r="H7" i="5"/>
  <c r="G7" i="5"/>
  <c r="F7" i="5"/>
  <c r="E7" i="5"/>
  <c r="D7" i="5"/>
  <c r="C7" i="5"/>
  <c r="B7" i="5"/>
  <c r="T6" i="5"/>
  <c r="S6" i="5"/>
  <c r="Q6" i="5"/>
  <c r="P6" i="5"/>
  <c r="I6" i="5"/>
  <c r="H6" i="5"/>
  <c r="G6" i="5"/>
  <c r="F6" i="5"/>
  <c r="E6" i="5"/>
  <c r="D6" i="5"/>
  <c r="C6" i="5"/>
  <c r="B6" i="5"/>
  <c r="T5" i="5"/>
  <c r="S5" i="5"/>
  <c r="Q5" i="5"/>
  <c r="P5" i="5"/>
  <c r="I5" i="5"/>
  <c r="H5" i="5"/>
  <c r="G5" i="5"/>
  <c r="F5" i="5"/>
  <c r="E5" i="5"/>
  <c r="D5" i="5"/>
  <c r="C5" i="5"/>
  <c r="B5" i="5"/>
  <c r="T4" i="5"/>
  <c r="S4" i="5"/>
  <c r="Q4" i="5"/>
  <c r="P4" i="5"/>
  <c r="I4" i="5"/>
  <c r="H4" i="5"/>
  <c r="G4" i="5"/>
  <c r="F4" i="5"/>
  <c r="E4" i="5"/>
  <c r="D4" i="5"/>
  <c r="C4" i="5"/>
  <c r="B4" i="5"/>
  <c r="T3" i="5"/>
  <c r="S3" i="5"/>
  <c r="Q3" i="5"/>
  <c r="P3" i="5"/>
  <c r="I3" i="5"/>
  <c r="H3" i="5"/>
  <c r="G3" i="5"/>
  <c r="F3" i="5"/>
  <c r="E3" i="5"/>
  <c r="D3" i="5"/>
  <c r="C3" i="5"/>
  <c r="B3" i="5"/>
  <c r="T40" i="4"/>
  <c r="S40" i="4"/>
  <c r="Q40" i="4"/>
  <c r="P40" i="4"/>
  <c r="I40" i="4"/>
  <c r="H40" i="4"/>
  <c r="G40" i="4"/>
  <c r="F40" i="4"/>
  <c r="E40" i="4"/>
  <c r="D40" i="4"/>
  <c r="C40" i="4"/>
  <c r="B40" i="4"/>
  <c r="T39" i="4"/>
  <c r="S39" i="4"/>
  <c r="Q39" i="4"/>
  <c r="P39" i="4"/>
  <c r="I39" i="4"/>
  <c r="H39" i="4"/>
  <c r="G39" i="4"/>
  <c r="F39" i="4"/>
  <c r="E39" i="4"/>
  <c r="D39" i="4"/>
  <c r="C39" i="4"/>
  <c r="B39" i="4"/>
  <c r="T38" i="4"/>
  <c r="S38" i="4"/>
  <c r="Q38" i="4"/>
  <c r="P38" i="4"/>
  <c r="I38" i="4"/>
  <c r="H38" i="4"/>
  <c r="G38" i="4"/>
  <c r="F38" i="4"/>
  <c r="E38" i="4"/>
  <c r="D38" i="4"/>
  <c r="C38" i="4"/>
  <c r="B38" i="4"/>
  <c r="T37" i="4"/>
  <c r="S37" i="4"/>
  <c r="Q37" i="4"/>
  <c r="P37" i="4"/>
  <c r="I37" i="4"/>
  <c r="H37" i="4"/>
  <c r="G37" i="4"/>
  <c r="F37" i="4"/>
  <c r="E37" i="4"/>
  <c r="D37" i="4"/>
  <c r="C37" i="4"/>
  <c r="B37" i="4"/>
  <c r="T36" i="4"/>
  <c r="S36" i="4"/>
  <c r="Q36" i="4"/>
  <c r="P36" i="4"/>
  <c r="I36" i="4"/>
  <c r="H36" i="4"/>
  <c r="G36" i="4"/>
  <c r="F36" i="4"/>
  <c r="E36" i="4"/>
  <c r="D36" i="4"/>
  <c r="C36" i="4"/>
  <c r="B36" i="4"/>
  <c r="T35" i="4"/>
  <c r="S35" i="4"/>
  <c r="Q35" i="4"/>
  <c r="P35" i="4"/>
  <c r="I35" i="4"/>
  <c r="H35" i="4"/>
  <c r="G35" i="4"/>
  <c r="F35" i="4"/>
  <c r="E35" i="4"/>
  <c r="D35" i="4"/>
  <c r="C35" i="4"/>
  <c r="B35" i="4"/>
  <c r="T34" i="4"/>
  <c r="S34" i="4"/>
  <c r="Q34" i="4"/>
  <c r="P34" i="4"/>
  <c r="I34" i="4"/>
  <c r="H34" i="4"/>
  <c r="G34" i="4"/>
  <c r="F34" i="4"/>
  <c r="E34" i="4"/>
  <c r="D34" i="4"/>
  <c r="C34" i="4"/>
  <c r="B34" i="4"/>
  <c r="T33" i="4"/>
  <c r="S33" i="4"/>
  <c r="Q33" i="4"/>
  <c r="P33" i="4"/>
  <c r="I33" i="4"/>
  <c r="H33" i="4"/>
  <c r="G33" i="4"/>
  <c r="F33" i="4"/>
  <c r="E33" i="4"/>
  <c r="D33" i="4"/>
  <c r="C33" i="4"/>
  <c r="B33" i="4"/>
  <c r="T32" i="4"/>
  <c r="S32" i="4"/>
  <c r="Q32" i="4"/>
  <c r="P32" i="4"/>
  <c r="I32" i="4"/>
  <c r="H32" i="4"/>
  <c r="G32" i="4"/>
  <c r="F32" i="4"/>
  <c r="E32" i="4"/>
  <c r="D32" i="4"/>
  <c r="C32" i="4"/>
  <c r="B32" i="4"/>
  <c r="T31" i="4"/>
  <c r="S31" i="4"/>
  <c r="Q31" i="4"/>
  <c r="P31" i="4"/>
  <c r="I31" i="4"/>
  <c r="H31" i="4"/>
  <c r="G31" i="4"/>
  <c r="F31" i="4"/>
  <c r="E31" i="4"/>
  <c r="D31" i="4"/>
  <c r="C31" i="4"/>
  <c r="B31" i="4"/>
  <c r="T30" i="4"/>
  <c r="S30" i="4"/>
  <c r="Q30" i="4"/>
  <c r="P30" i="4"/>
  <c r="I30" i="4"/>
  <c r="H30" i="4"/>
  <c r="G30" i="4"/>
  <c r="F30" i="4"/>
  <c r="E30" i="4"/>
  <c r="D30" i="4"/>
  <c r="C30" i="4"/>
  <c r="B30" i="4"/>
  <c r="T29" i="4"/>
  <c r="S29" i="4"/>
  <c r="Q29" i="4"/>
  <c r="P29" i="4"/>
  <c r="I29" i="4"/>
  <c r="H29" i="4"/>
  <c r="G29" i="4"/>
  <c r="F29" i="4"/>
  <c r="E29" i="4"/>
  <c r="D29" i="4"/>
  <c r="C29" i="4"/>
  <c r="B29" i="4"/>
  <c r="T28" i="4"/>
  <c r="S28" i="4"/>
  <c r="Q28" i="4"/>
  <c r="P28" i="4"/>
  <c r="I28" i="4"/>
  <c r="H28" i="4"/>
  <c r="G28" i="4"/>
  <c r="F28" i="4"/>
  <c r="E28" i="4"/>
  <c r="D28" i="4"/>
  <c r="C28" i="4"/>
  <c r="B28" i="4"/>
  <c r="T27" i="4"/>
  <c r="S27" i="4"/>
  <c r="Q27" i="4"/>
  <c r="P27" i="4"/>
  <c r="I27" i="4"/>
  <c r="H27" i="4"/>
  <c r="G27" i="4"/>
  <c r="F27" i="4"/>
  <c r="E27" i="4"/>
  <c r="D27" i="4"/>
  <c r="C27" i="4"/>
  <c r="B27" i="4"/>
  <c r="T26" i="4"/>
  <c r="S26" i="4"/>
  <c r="Q26" i="4"/>
  <c r="P26" i="4"/>
  <c r="I26" i="4"/>
  <c r="H26" i="4"/>
  <c r="G26" i="4"/>
  <c r="F26" i="4"/>
  <c r="E26" i="4"/>
  <c r="D26" i="4"/>
  <c r="C26" i="4"/>
  <c r="B26" i="4"/>
  <c r="T25" i="4"/>
  <c r="S25" i="4"/>
  <c r="Q25" i="4"/>
  <c r="P25" i="4"/>
  <c r="I25" i="4"/>
  <c r="H25" i="4"/>
  <c r="G25" i="4"/>
  <c r="F25" i="4"/>
  <c r="E25" i="4"/>
  <c r="D25" i="4"/>
  <c r="C25" i="4"/>
  <c r="B25" i="4"/>
  <c r="T24" i="4"/>
  <c r="S24" i="4"/>
  <c r="Q24" i="4"/>
  <c r="P24" i="4"/>
  <c r="I24" i="4"/>
  <c r="H24" i="4"/>
  <c r="G24" i="4"/>
  <c r="F24" i="4"/>
  <c r="E24" i="4"/>
  <c r="D24" i="4"/>
  <c r="C24" i="4"/>
  <c r="B24" i="4"/>
  <c r="T23" i="4"/>
  <c r="S23" i="4"/>
  <c r="Q23" i="4"/>
  <c r="P23" i="4"/>
  <c r="I23" i="4"/>
  <c r="H23" i="4"/>
  <c r="G23" i="4"/>
  <c r="F23" i="4"/>
  <c r="E23" i="4"/>
  <c r="D23" i="4"/>
  <c r="C23" i="4"/>
  <c r="B23" i="4"/>
  <c r="T22" i="4"/>
  <c r="S22" i="4"/>
  <c r="Q22" i="4"/>
  <c r="P22" i="4"/>
  <c r="I22" i="4"/>
  <c r="H22" i="4"/>
  <c r="G22" i="4"/>
  <c r="F22" i="4"/>
  <c r="E22" i="4"/>
  <c r="D22" i="4"/>
  <c r="C22" i="4"/>
  <c r="B22" i="4"/>
  <c r="T21" i="4"/>
  <c r="S21" i="4"/>
  <c r="Q21" i="4"/>
  <c r="P21" i="4"/>
  <c r="I21" i="4"/>
  <c r="H21" i="4"/>
  <c r="G21" i="4"/>
  <c r="F21" i="4"/>
  <c r="E21" i="4"/>
  <c r="D21" i="4"/>
  <c r="C21" i="4"/>
  <c r="B21" i="4"/>
  <c r="T20" i="4"/>
  <c r="S20" i="4"/>
  <c r="Q20" i="4"/>
  <c r="P20" i="4"/>
  <c r="I20" i="4"/>
  <c r="H20" i="4"/>
  <c r="G20" i="4"/>
  <c r="F20" i="4"/>
  <c r="E20" i="4"/>
  <c r="D20" i="4"/>
  <c r="C20" i="4"/>
  <c r="B20" i="4"/>
  <c r="T19" i="4"/>
  <c r="S19" i="4"/>
  <c r="Q19" i="4"/>
  <c r="P19" i="4"/>
  <c r="I19" i="4"/>
  <c r="H19" i="4"/>
  <c r="G19" i="4"/>
  <c r="F19" i="4"/>
  <c r="E19" i="4"/>
  <c r="D19" i="4"/>
  <c r="C19" i="4"/>
  <c r="B19" i="4"/>
  <c r="T18" i="4"/>
  <c r="S18" i="4"/>
  <c r="Q18" i="4"/>
  <c r="P18" i="4"/>
  <c r="I18" i="4"/>
  <c r="H18" i="4"/>
  <c r="G18" i="4"/>
  <c r="F18" i="4"/>
  <c r="E18" i="4"/>
  <c r="D18" i="4"/>
  <c r="C18" i="4"/>
  <c r="B18" i="4"/>
  <c r="T17" i="4"/>
  <c r="S17" i="4"/>
  <c r="Q17" i="4"/>
  <c r="P17" i="4"/>
  <c r="I17" i="4"/>
  <c r="H17" i="4"/>
  <c r="G17" i="4"/>
  <c r="F17" i="4"/>
  <c r="E17" i="4"/>
  <c r="D17" i="4"/>
  <c r="C17" i="4"/>
  <c r="B17" i="4"/>
  <c r="T16" i="4"/>
  <c r="S16" i="4"/>
  <c r="Q16" i="4"/>
  <c r="P16" i="4"/>
  <c r="I16" i="4"/>
  <c r="H16" i="4"/>
  <c r="G16" i="4"/>
  <c r="F16" i="4"/>
  <c r="E16" i="4"/>
  <c r="D16" i="4"/>
  <c r="C16" i="4"/>
  <c r="B16" i="4"/>
  <c r="T15" i="4"/>
  <c r="S15" i="4"/>
  <c r="Q15" i="4"/>
  <c r="P15" i="4"/>
  <c r="I15" i="4"/>
  <c r="H15" i="4"/>
  <c r="G15" i="4"/>
  <c r="F15" i="4"/>
  <c r="E15" i="4"/>
  <c r="D15" i="4"/>
  <c r="C15" i="4"/>
  <c r="B15" i="4"/>
  <c r="T14" i="4"/>
  <c r="S14" i="4"/>
  <c r="Q14" i="4"/>
  <c r="P14" i="4"/>
  <c r="I14" i="4"/>
  <c r="H14" i="4"/>
  <c r="G14" i="4"/>
  <c r="F14" i="4"/>
  <c r="E14" i="4"/>
  <c r="D14" i="4"/>
  <c r="C14" i="4"/>
  <c r="B14" i="4"/>
  <c r="T13" i="4"/>
  <c r="S13" i="4"/>
  <c r="Q13" i="4"/>
  <c r="P13" i="4"/>
  <c r="I13" i="4"/>
  <c r="H13" i="4"/>
  <c r="G13" i="4"/>
  <c r="F13" i="4"/>
  <c r="E13" i="4"/>
  <c r="D13" i="4"/>
  <c r="C13" i="4"/>
  <c r="B13" i="4"/>
  <c r="T12" i="4"/>
  <c r="S12" i="4"/>
  <c r="Q12" i="4"/>
  <c r="P12" i="4"/>
  <c r="I12" i="4"/>
  <c r="H12" i="4"/>
  <c r="G12" i="4"/>
  <c r="F12" i="4"/>
  <c r="E12" i="4"/>
  <c r="D12" i="4"/>
  <c r="C12" i="4"/>
  <c r="B12" i="4"/>
  <c r="T11" i="4"/>
  <c r="S11" i="4"/>
  <c r="Q11" i="4"/>
  <c r="P11" i="4"/>
  <c r="I11" i="4"/>
  <c r="H11" i="4"/>
  <c r="G11" i="4"/>
  <c r="F11" i="4"/>
  <c r="E11" i="4"/>
  <c r="D11" i="4"/>
  <c r="C11" i="4"/>
  <c r="B11" i="4"/>
  <c r="T10" i="4"/>
  <c r="S10" i="4"/>
  <c r="Q10" i="4"/>
  <c r="P10" i="4"/>
  <c r="I10" i="4"/>
  <c r="H10" i="4"/>
  <c r="G10" i="4"/>
  <c r="F10" i="4"/>
  <c r="E10" i="4"/>
  <c r="D10" i="4"/>
  <c r="C10" i="4"/>
  <c r="B10" i="4"/>
  <c r="T9" i="4"/>
  <c r="S9" i="4"/>
  <c r="Q9" i="4"/>
  <c r="P9" i="4"/>
  <c r="I9" i="4"/>
  <c r="H9" i="4"/>
  <c r="G9" i="4"/>
  <c r="F9" i="4"/>
  <c r="E9" i="4"/>
  <c r="D9" i="4"/>
  <c r="C9" i="4"/>
  <c r="B9" i="4"/>
  <c r="T8" i="4"/>
  <c r="S8" i="4"/>
  <c r="Q8" i="4"/>
  <c r="P8" i="4"/>
  <c r="I8" i="4"/>
  <c r="H8" i="4"/>
  <c r="G8" i="4"/>
  <c r="F8" i="4"/>
  <c r="E8" i="4"/>
  <c r="D8" i="4"/>
  <c r="C8" i="4"/>
  <c r="B8" i="4"/>
  <c r="T7" i="4"/>
  <c r="S7" i="4"/>
  <c r="Q7" i="4"/>
  <c r="P7" i="4"/>
  <c r="I7" i="4"/>
  <c r="H7" i="4"/>
  <c r="G7" i="4"/>
  <c r="F7" i="4"/>
  <c r="E7" i="4"/>
  <c r="D7" i="4"/>
  <c r="C7" i="4"/>
  <c r="B7" i="4"/>
  <c r="T6" i="4"/>
  <c r="S6" i="4"/>
  <c r="Q6" i="4"/>
  <c r="P6" i="4"/>
  <c r="I6" i="4"/>
  <c r="H6" i="4"/>
  <c r="G6" i="4"/>
  <c r="F6" i="4"/>
  <c r="E6" i="4"/>
  <c r="D6" i="4"/>
  <c r="C6" i="4"/>
  <c r="B6" i="4"/>
  <c r="T5" i="4"/>
  <c r="S5" i="4"/>
  <c r="Q5" i="4"/>
  <c r="P5" i="4"/>
  <c r="I5" i="4"/>
  <c r="H5" i="4"/>
  <c r="G5" i="4"/>
  <c r="F5" i="4"/>
  <c r="E5" i="4"/>
  <c r="D5" i="4"/>
  <c r="C5" i="4"/>
  <c r="B5" i="4"/>
  <c r="T4" i="4"/>
  <c r="S4" i="4"/>
  <c r="Q4" i="4"/>
  <c r="P4" i="4"/>
  <c r="I4" i="4"/>
  <c r="H4" i="4"/>
  <c r="G4" i="4"/>
  <c r="F4" i="4"/>
  <c r="E4" i="4"/>
  <c r="D4" i="4"/>
  <c r="C4" i="4"/>
  <c r="B4" i="4"/>
  <c r="T3" i="4"/>
  <c r="S3" i="4"/>
  <c r="Q3" i="4"/>
  <c r="P3" i="4"/>
  <c r="I3" i="4"/>
  <c r="H3" i="4"/>
  <c r="G3" i="4"/>
  <c r="F3" i="4"/>
  <c r="E3" i="4"/>
  <c r="D3" i="4"/>
  <c r="C3" i="4"/>
  <c r="B3" i="4"/>
  <c r="D92" i="2"/>
  <c r="D91" i="2"/>
  <c r="D90" i="2"/>
  <c r="D89" i="2"/>
  <c r="D88" i="2"/>
  <c r="D87" i="2"/>
  <c r="D86" i="2"/>
  <c r="D85" i="2"/>
  <c r="D84" i="2"/>
  <c r="D83" i="2"/>
  <c r="D82" i="2"/>
  <c r="D81" i="2"/>
  <c r="D80" i="2"/>
  <c r="D79" i="2"/>
  <c r="D78" i="2"/>
  <c r="D77" i="2"/>
  <c r="D76" i="2"/>
  <c r="D75" i="2"/>
  <c r="D74" i="2"/>
  <c r="D73" i="2"/>
  <c r="D72" i="2"/>
  <c r="D71" i="2"/>
  <c r="D70" i="2"/>
  <c r="D69" i="2"/>
  <c r="D68" i="2"/>
  <c r="D67" i="2"/>
  <c r="D66" i="2"/>
  <c r="D65" i="2"/>
  <c r="D64" i="2"/>
  <c r="D63" i="2"/>
  <c r="D62" i="2"/>
  <c r="D61" i="2"/>
  <c r="D60" i="2"/>
  <c r="D59" i="2"/>
  <c r="D58" i="2"/>
  <c r="D57" i="2"/>
  <c r="D56" i="2"/>
  <c r="D55" i="2"/>
  <c r="D54" i="2"/>
  <c r="D53" i="2"/>
  <c r="D52" i="2"/>
  <c r="D51" i="2"/>
  <c r="D50" i="2"/>
  <c r="D49" i="2"/>
  <c r="D48" i="2"/>
  <c r="D47" i="2"/>
  <c r="D46" i="2"/>
  <c r="D45" i="2"/>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16" i="2"/>
  <c r="D15" i="2"/>
  <c r="D14" i="2"/>
  <c r="D13" i="2"/>
  <c r="D12" i="2"/>
  <c r="D11" i="2"/>
  <c r="D10" i="2"/>
  <c r="D9" i="2"/>
  <c r="D8" i="2"/>
  <c r="D7" i="2"/>
  <c r="D6" i="2"/>
  <c r="D5" i="2"/>
  <c r="D4" i="2"/>
  <c r="D3" i="2"/>
  <c r="D2" i="2"/>
  <c r="X575" i="1"/>
  <c r="V575" i="1"/>
  <c r="U575" i="1"/>
  <c r="T575" i="1"/>
  <c r="S575" i="1"/>
  <c r="R575" i="1"/>
  <c r="Q575" i="1"/>
  <c r="P575" i="1"/>
  <c r="O575" i="1"/>
  <c r="N575" i="1"/>
  <c r="M575" i="1"/>
  <c r="L575" i="1"/>
  <c r="K575" i="1"/>
  <c r="J575" i="1"/>
  <c r="I575" i="1"/>
  <c r="H575" i="1"/>
  <c r="G575" i="1"/>
  <c r="F575" i="1"/>
  <c r="E575" i="1"/>
  <c r="D575" i="1"/>
  <c r="C575" i="1"/>
  <c r="B575" i="1"/>
  <c r="X574" i="1"/>
  <c r="V574" i="1"/>
  <c r="T574" i="1"/>
  <c r="S574" i="1"/>
  <c r="R574" i="1"/>
  <c r="Q574" i="1"/>
  <c r="P574" i="1"/>
  <c r="O574" i="1"/>
  <c r="N574" i="1"/>
  <c r="M574" i="1"/>
  <c r="L574" i="1"/>
  <c r="K574" i="1"/>
  <c r="J574" i="1"/>
  <c r="I574" i="1"/>
  <c r="H574" i="1"/>
  <c r="G574" i="1"/>
  <c r="F574" i="1"/>
  <c r="E574" i="1"/>
  <c r="D574" i="1"/>
  <c r="C574" i="1"/>
  <c r="B574" i="1"/>
  <c r="X573" i="1"/>
  <c r="V573" i="1"/>
  <c r="U573" i="1"/>
  <c r="T573" i="1"/>
  <c r="S573" i="1"/>
  <c r="R573" i="1"/>
  <c r="Q573" i="1"/>
  <c r="P573" i="1"/>
  <c r="O573" i="1"/>
  <c r="N573" i="1"/>
  <c r="M573" i="1"/>
  <c r="L573" i="1"/>
  <c r="K573" i="1"/>
  <c r="J573" i="1"/>
  <c r="I573" i="1"/>
  <c r="H573" i="1"/>
  <c r="G573" i="1"/>
  <c r="F573" i="1"/>
  <c r="E573" i="1"/>
  <c r="D573" i="1"/>
  <c r="C573" i="1"/>
  <c r="B573" i="1"/>
  <c r="X572" i="1"/>
  <c r="V572" i="1"/>
  <c r="U572" i="1"/>
  <c r="T572" i="1"/>
  <c r="S572" i="1"/>
  <c r="R572" i="1"/>
  <c r="Q572" i="1"/>
  <c r="P572" i="1"/>
  <c r="O572" i="1"/>
  <c r="N572" i="1"/>
  <c r="M572" i="1"/>
  <c r="L572" i="1"/>
  <c r="K572" i="1"/>
  <c r="J572" i="1"/>
  <c r="I572" i="1"/>
  <c r="H572" i="1"/>
  <c r="G572" i="1"/>
  <c r="F572" i="1"/>
  <c r="E572" i="1"/>
  <c r="D572" i="1"/>
  <c r="C572" i="1"/>
  <c r="B572" i="1"/>
  <c r="X571" i="1"/>
  <c r="V571" i="1"/>
  <c r="U571" i="1"/>
  <c r="T571" i="1"/>
  <c r="S571" i="1"/>
  <c r="R571" i="1"/>
  <c r="Q571" i="1"/>
  <c r="P571" i="1"/>
  <c r="O571" i="1"/>
  <c r="N571" i="1"/>
  <c r="M571" i="1"/>
  <c r="L571" i="1"/>
  <c r="K571" i="1"/>
  <c r="J571" i="1"/>
  <c r="I571" i="1"/>
  <c r="H571" i="1"/>
  <c r="G571" i="1"/>
  <c r="F571" i="1"/>
  <c r="E571" i="1"/>
  <c r="D571" i="1"/>
  <c r="C571" i="1"/>
  <c r="B571" i="1"/>
  <c r="X570" i="1"/>
  <c r="V570" i="1"/>
  <c r="U570" i="1"/>
  <c r="N570" i="1"/>
  <c r="M570" i="1"/>
  <c r="L570" i="1"/>
  <c r="K570" i="1"/>
  <c r="J570" i="1"/>
  <c r="I570" i="1"/>
  <c r="H570" i="1"/>
  <c r="G570" i="1"/>
  <c r="F570" i="1"/>
  <c r="E570" i="1"/>
  <c r="D570" i="1"/>
  <c r="C570" i="1"/>
  <c r="B570" i="1"/>
  <c r="X569" i="1"/>
  <c r="V569" i="1"/>
  <c r="U569" i="1"/>
  <c r="T569" i="1"/>
  <c r="S569" i="1"/>
  <c r="R569" i="1"/>
  <c r="Q569" i="1"/>
  <c r="P569" i="1"/>
  <c r="O569" i="1"/>
  <c r="N569" i="1"/>
  <c r="M569" i="1"/>
  <c r="L569" i="1"/>
  <c r="K569" i="1"/>
  <c r="J569" i="1"/>
  <c r="I569" i="1"/>
  <c r="H569" i="1"/>
  <c r="G569" i="1"/>
  <c r="F569" i="1"/>
  <c r="E569" i="1"/>
  <c r="D569" i="1"/>
  <c r="C569" i="1"/>
  <c r="B569" i="1"/>
  <c r="X568" i="1"/>
  <c r="V568" i="1"/>
  <c r="U568" i="1"/>
  <c r="Q568" i="1"/>
  <c r="P568" i="1"/>
  <c r="O568" i="1"/>
  <c r="N568" i="1"/>
  <c r="M568" i="1"/>
  <c r="L568" i="1"/>
  <c r="K568" i="1"/>
  <c r="J568" i="1"/>
  <c r="I568" i="1"/>
  <c r="H568" i="1"/>
  <c r="G568" i="1"/>
  <c r="F568" i="1"/>
  <c r="E568" i="1"/>
  <c r="D568" i="1"/>
  <c r="C568" i="1"/>
  <c r="B568" i="1"/>
  <c r="X567" i="1"/>
  <c r="V567" i="1"/>
  <c r="U567" i="1"/>
  <c r="N567" i="1"/>
  <c r="M567" i="1"/>
  <c r="L567" i="1"/>
  <c r="K567" i="1"/>
  <c r="J567" i="1"/>
  <c r="I567" i="1"/>
  <c r="H567" i="1"/>
  <c r="G567" i="1"/>
  <c r="F567" i="1"/>
  <c r="E567" i="1"/>
  <c r="D567" i="1"/>
  <c r="C567" i="1"/>
  <c r="B567" i="1"/>
  <c r="X566" i="1"/>
  <c r="V566" i="1"/>
  <c r="U566" i="1"/>
  <c r="Q566" i="1"/>
  <c r="P566" i="1"/>
  <c r="O566" i="1"/>
  <c r="N566" i="1"/>
  <c r="M566" i="1"/>
  <c r="L566" i="1"/>
  <c r="K566" i="1"/>
  <c r="J566" i="1"/>
  <c r="I566" i="1"/>
  <c r="H566" i="1"/>
  <c r="G566" i="1"/>
  <c r="F566" i="1"/>
  <c r="E566" i="1"/>
  <c r="D566" i="1"/>
  <c r="C566" i="1"/>
  <c r="B566" i="1"/>
  <c r="X565" i="1"/>
  <c r="V565" i="1"/>
  <c r="U565" i="1"/>
  <c r="Q565" i="1"/>
  <c r="P565" i="1"/>
  <c r="O565" i="1"/>
  <c r="N565" i="1"/>
  <c r="M565" i="1"/>
  <c r="L565" i="1"/>
  <c r="K565" i="1"/>
  <c r="J565" i="1"/>
  <c r="I565" i="1"/>
  <c r="H565" i="1"/>
  <c r="G565" i="1"/>
  <c r="F565" i="1"/>
  <c r="E565" i="1"/>
  <c r="D565" i="1"/>
  <c r="C565" i="1"/>
  <c r="B565" i="1"/>
  <c r="X564" i="1"/>
  <c r="V564" i="1"/>
  <c r="U564" i="1"/>
  <c r="T564" i="1"/>
  <c r="S564" i="1"/>
  <c r="R564" i="1"/>
  <c r="Q564" i="1"/>
  <c r="P564" i="1"/>
  <c r="O564" i="1"/>
  <c r="N564" i="1"/>
  <c r="M564" i="1"/>
  <c r="L564" i="1"/>
  <c r="K564" i="1"/>
  <c r="J564" i="1"/>
  <c r="I564" i="1"/>
  <c r="H564" i="1"/>
  <c r="G564" i="1"/>
  <c r="F564" i="1"/>
  <c r="E564" i="1"/>
  <c r="D564" i="1"/>
  <c r="C564" i="1"/>
  <c r="B564" i="1"/>
  <c r="X563" i="1"/>
  <c r="V563" i="1"/>
  <c r="U563" i="1"/>
  <c r="T563" i="1"/>
  <c r="S563" i="1"/>
  <c r="R563" i="1"/>
  <c r="Q563" i="1"/>
  <c r="P563" i="1"/>
  <c r="O563" i="1"/>
  <c r="N563" i="1"/>
  <c r="M563" i="1"/>
  <c r="L563" i="1"/>
  <c r="K563" i="1"/>
  <c r="J563" i="1"/>
  <c r="I563" i="1"/>
  <c r="H563" i="1"/>
  <c r="G563" i="1"/>
  <c r="F563" i="1"/>
  <c r="E563" i="1"/>
  <c r="D563" i="1"/>
  <c r="C563" i="1"/>
  <c r="B563" i="1"/>
  <c r="X562" i="1"/>
  <c r="V562" i="1"/>
  <c r="U562" i="1"/>
  <c r="T562" i="1"/>
  <c r="S562" i="1"/>
  <c r="R562" i="1"/>
  <c r="Q562" i="1"/>
  <c r="P562" i="1"/>
  <c r="O562" i="1"/>
  <c r="N562" i="1"/>
  <c r="M562" i="1"/>
  <c r="L562" i="1"/>
  <c r="K562" i="1"/>
  <c r="J562" i="1"/>
  <c r="I562" i="1"/>
  <c r="H562" i="1"/>
  <c r="G562" i="1"/>
  <c r="F562" i="1"/>
  <c r="E562" i="1"/>
  <c r="D562" i="1"/>
  <c r="C562" i="1"/>
  <c r="B562" i="1"/>
  <c r="X561" i="1"/>
  <c r="V561" i="1"/>
  <c r="U561" i="1"/>
  <c r="T561" i="1"/>
  <c r="S561" i="1"/>
  <c r="R561" i="1"/>
  <c r="Q561" i="1"/>
  <c r="P561" i="1"/>
  <c r="O561" i="1"/>
  <c r="N561" i="1"/>
  <c r="M561" i="1"/>
  <c r="L561" i="1"/>
  <c r="K561" i="1"/>
  <c r="J561" i="1"/>
  <c r="I561" i="1"/>
  <c r="H561" i="1"/>
  <c r="G561" i="1"/>
  <c r="F561" i="1"/>
  <c r="E561" i="1"/>
  <c r="D561" i="1"/>
  <c r="C561" i="1"/>
  <c r="B561" i="1"/>
  <c r="X560" i="1"/>
  <c r="V560" i="1"/>
  <c r="U560" i="1"/>
  <c r="Q560" i="1"/>
  <c r="P560" i="1"/>
  <c r="O560" i="1"/>
  <c r="N560" i="1"/>
  <c r="M560" i="1"/>
  <c r="L560" i="1"/>
  <c r="K560" i="1"/>
  <c r="J560" i="1"/>
  <c r="I560" i="1"/>
  <c r="H560" i="1"/>
  <c r="G560" i="1"/>
  <c r="F560" i="1"/>
  <c r="E560" i="1"/>
  <c r="D560" i="1"/>
  <c r="C560" i="1"/>
  <c r="B560" i="1"/>
  <c r="X559" i="1"/>
  <c r="V559" i="1"/>
  <c r="U559" i="1"/>
  <c r="N559" i="1"/>
  <c r="M559" i="1"/>
  <c r="L559" i="1"/>
  <c r="K559" i="1"/>
  <c r="J559" i="1"/>
  <c r="I559" i="1"/>
  <c r="H559" i="1"/>
  <c r="G559" i="1"/>
  <c r="F559" i="1"/>
  <c r="E559" i="1"/>
  <c r="D559" i="1"/>
  <c r="C559" i="1"/>
  <c r="B559" i="1"/>
  <c r="X558" i="1"/>
  <c r="V558" i="1"/>
  <c r="U558" i="1"/>
  <c r="T558" i="1"/>
  <c r="S558" i="1"/>
  <c r="R558" i="1"/>
  <c r="Q558" i="1"/>
  <c r="P558" i="1"/>
  <c r="O558" i="1"/>
  <c r="N558" i="1"/>
  <c r="M558" i="1"/>
  <c r="L558" i="1"/>
  <c r="K558" i="1"/>
  <c r="J558" i="1"/>
  <c r="I558" i="1"/>
  <c r="H558" i="1"/>
  <c r="G558" i="1"/>
  <c r="F558" i="1"/>
  <c r="E558" i="1"/>
  <c r="D558" i="1"/>
  <c r="C558" i="1"/>
  <c r="B558" i="1"/>
  <c r="X557" i="1"/>
  <c r="V557" i="1"/>
  <c r="U557" i="1"/>
  <c r="Q557" i="1"/>
  <c r="P557" i="1"/>
  <c r="O557" i="1"/>
  <c r="N557" i="1"/>
  <c r="M557" i="1"/>
  <c r="L557" i="1"/>
  <c r="K557" i="1"/>
  <c r="J557" i="1"/>
  <c r="I557" i="1"/>
  <c r="H557" i="1"/>
  <c r="G557" i="1"/>
  <c r="F557" i="1"/>
  <c r="E557" i="1"/>
  <c r="D557" i="1"/>
  <c r="C557" i="1"/>
  <c r="B557" i="1"/>
  <c r="X556" i="1"/>
  <c r="V556" i="1"/>
  <c r="U556" i="1"/>
  <c r="T556" i="1"/>
  <c r="S556" i="1"/>
  <c r="R556" i="1"/>
  <c r="Q556" i="1"/>
  <c r="P556" i="1"/>
  <c r="O556" i="1"/>
  <c r="N556" i="1"/>
  <c r="M556" i="1"/>
  <c r="L556" i="1"/>
  <c r="K556" i="1"/>
  <c r="J556" i="1"/>
  <c r="I556" i="1"/>
  <c r="H556" i="1"/>
  <c r="G556" i="1"/>
  <c r="F556" i="1"/>
  <c r="E556" i="1"/>
  <c r="D556" i="1"/>
  <c r="C556" i="1"/>
  <c r="B556" i="1"/>
  <c r="X555" i="1"/>
  <c r="V555" i="1"/>
  <c r="U555" i="1"/>
  <c r="T555" i="1"/>
  <c r="S555" i="1"/>
  <c r="R555" i="1"/>
  <c r="Q555" i="1"/>
  <c r="P555" i="1"/>
  <c r="O555" i="1"/>
  <c r="N555" i="1"/>
  <c r="M555" i="1"/>
  <c r="L555" i="1"/>
  <c r="K555" i="1"/>
  <c r="J555" i="1"/>
  <c r="I555" i="1"/>
  <c r="H555" i="1"/>
  <c r="G555" i="1"/>
  <c r="F555" i="1"/>
  <c r="E555" i="1"/>
  <c r="D555" i="1"/>
  <c r="C555" i="1"/>
  <c r="B555" i="1"/>
  <c r="X554" i="1"/>
  <c r="V554" i="1"/>
  <c r="U554" i="1"/>
  <c r="N554" i="1"/>
  <c r="M554" i="1"/>
  <c r="L554" i="1"/>
  <c r="K554" i="1"/>
  <c r="J554" i="1"/>
  <c r="I554" i="1"/>
  <c r="H554" i="1"/>
  <c r="G554" i="1"/>
  <c r="F554" i="1"/>
  <c r="E554" i="1"/>
  <c r="D554" i="1"/>
  <c r="C554" i="1"/>
  <c r="B554" i="1"/>
  <c r="X553" i="1"/>
  <c r="V553" i="1"/>
  <c r="U553" i="1"/>
  <c r="T553" i="1"/>
  <c r="S553" i="1"/>
  <c r="R553" i="1"/>
  <c r="Q553" i="1"/>
  <c r="P553" i="1"/>
  <c r="O553" i="1"/>
  <c r="N553" i="1"/>
  <c r="M553" i="1"/>
  <c r="L553" i="1"/>
  <c r="K553" i="1"/>
  <c r="J553" i="1"/>
  <c r="I553" i="1"/>
  <c r="H553" i="1"/>
  <c r="G553" i="1"/>
  <c r="F553" i="1"/>
  <c r="E553" i="1"/>
  <c r="D553" i="1"/>
  <c r="C553" i="1"/>
  <c r="B553" i="1"/>
  <c r="X552" i="1"/>
  <c r="V552" i="1"/>
  <c r="U552" i="1"/>
  <c r="N552" i="1"/>
  <c r="M552" i="1"/>
  <c r="L552" i="1"/>
  <c r="K552" i="1"/>
  <c r="J552" i="1"/>
  <c r="I552" i="1"/>
  <c r="H552" i="1"/>
  <c r="G552" i="1"/>
  <c r="F552" i="1"/>
  <c r="E552" i="1"/>
  <c r="D552" i="1"/>
  <c r="C552" i="1"/>
  <c r="B552" i="1"/>
  <c r="X551" i="1"/>
  <c r="V551" i="1"/>
  <c r="U551" i="1"/>
  <c r="Q551" i="1"/>
  <c r="P551" i="1"/>
  <c r="O551" i="1"/>
  <c r="N551" i="1"/>
  <c r="M551" i="1"/>
  <c r="L551" i="1"/>
  <c r="K551" i="1"/>
  <c r="J551" i="1"/>
  <c r="I551" i="1"/>
  <c r="H551" i="1"/>
  <c r="G551" i="1"/>
  <c r="F551" i="1"/>
  <c r="E551" i="1"/>
  <c r="D551" i="1"/>
  <c r="C551" i="1"/>
  <c r="B551" i="1"/>
  <c r="X550" i="1"/>
  <c r="V550" i="1"/>
  <c r="U550" i="1"/>
  <c r="T550" i="1"/>
  <c r="S550" i="1"/>
  <c r="R550" i="1"/>
  <c r="Q550" i="1"/>
  <c r="P550" i="1"/>
  <c r="O550" i="1"/>
  <c r="N550" i="1"/>
  <c r="M550" i="1"/>
  <c r="L550" i="1"/>
  <c r="K550" i="1"/>
  <c r="J550" i="1"/>
  <c r="I550" i="1"/>
  <c r="H550" i="1"/>
  <c r="G550" i="1"/>
  <c r="F550" i="1"/>
  <c r="E550" i="1"/>
  <c r="D550" i="1"/>
  <c r="C550" i="1"/>
  <c r="B550" i="1"/>
  <c r="X549" i="1"/>
  <c r="V549" i="1"/>
  <c r="U549" i="1"/>
  <c r="T549" i="1"/>
  <c r="S549" i="1"/>
  <c r="R549" i="1"/>
  <c r="Q549" i="1"/>
  <c r="P549" i="1"/>
  <c r="O549" i="1"/>
  <c r="N549" i="1"/>
  <c r="M549" i="1"/>
  <c r="L549" i="1"/>
  <c r="K549" i="1"/>
  <c r="J549" i="1"/>
  <c r="I549" i="1"/>
  <c r="H549" i="1"/>
  <c r="G549" i="1"/>
  <c r="F549" i="1"/>
  <c r="E549" i="1"/>
  <c r="D549" i="1"/>
  <c r="C549" i="1"/>
  <c r="B549" i="1"/>
  <c r="X548" i="1"/>
  <c r="V548" i="1"/>
  <c r="U548" i="1"/>
  <c r="T548" i="1"/>
  <c r="S548" i="1"/>
  <c r="R548" i="1"/>
  <c r="Q548" i="1"/>
  <c r="P548" i="1"/>
  <c r="O548" i="1"/>
  <c r="N548" i="1"/>
  <c r="M548" i="1"/>
  <c r="L548" i="1"/>
  <c r="K548" i="1"/>
  <c r="J548" i="1"/>
  <c r="I548" i="1"/>
  <c r="H548" i="1"/>
  <c r="G548" i="1"/>
  <c r="F548" i="1"/>
  <c r="E548" i="1"/>
  <c r="D548" i="1"/>
  <c r="C548" i="1"/>
  <c r="B548" i="1"/>
  <c r="X547" i="1"/>
  <c r="V547" i="1"/>
  <c r="U547" i="1"/>
  <c r="T547" i="1"/>
  <c r="S547" i="1"/>
  <c r="R547" i="1"/>
  <c r="Q547" i="1"/>
  <c r="P547" i="1"/>
  <c r="O547" i="1"/>
  <c r="N547" i="1"/>
  <c r="M547" i="1"/>
  <c r="L547" i="1"/>
  <c r="K547" i="1"/>
  <c r="J547" i="1"/>
  <c r="I547" i="1"/>
  <c r="H547" i="1"/>
  <c r="G547" i="1"/>
  <c r="F547" i="1"/>
  <c r="E547" i="1"/>
  <c r="D547" i="1"/>
  <c r="C547" i="1"/>
  <c r="B547" i="1"/>
  <c r="X546" i="1"/>
  <c r="V546" i="1"/>
  <c r="U546" i="1"/>
  <c r="Q546" i="1"/>
  <c r="P546" i="1"/>
  <c r="O546" i="1"/>
  <c r="N546" i="1"/>
  <c r="M546" i="1"/>
  <c r="L546" i="1"/>
  <c r="K546" i="1"/>
  <c r="J546" i="1"/>
  <c r="I546" i="1"/>
  <c r="H546" i="1"/>
  <c r="G546" i="1"/>
  <c r="F546" i="1"/>
  <c r="E546" i="1"/>
  <c r="D546" i="1"/>
  <c r="C546" i="1"/>
  <c r="B546" i="1"/>
  <c r="X545" i="1"/>
  <c r="V545" i="1"/>
  <c r="U545" i="1"/>
  <c r="Q545" i="1"/>
  <c r="P545" i="1"/>
  <c r="O545" i="1"/>
  <c r="N545" i="1"/>
  <c r="M545" i="1"/>
  <c r="L545" i="1"/>
  <c r="K545" i="1"/>
  <c r="J545" i="1"/>
  <c r="I545" i="1"/>
  <c r="H545" i="1"/>
  <c r="G545" i="1"/>
  <c r="F545" i="1"/>
  <c r="E545" i="1"/>
  <c r="D545" i="1"/>
  <c r="C545" i="1"/>
  <c r="B545" i="1"/>
  <c r="X544" i="1"/>
  <c r="V544" i="1"/>
  <c r="U544" i="1"/>
  <c r="T544" i="1"/>
  <c r="S544" i="1"/>
  <c r="R544" i="1"/>
  <c r="Q544" i="1"/>
  <c r="P544" i="1"/>
  <c r="O544" i="1"/>
  <c r="N544" i="1"/>
  <c r="M544" i="1"/>
  <c r="L544" i="1"/>
  <c r="K544" i="1"/>
  <c r="J544" i="1"/>
  <c r="I544" i="1"/>
  <c r="H544" i="1"/>
  <c r="G544" i="1"/>
  <c r="F544" i="1"/>
  <c r="E544" i="1"/>
  <c r="D544" i="1"/>
  <c r="C544" i="1"/>
  <c r="B544" i="1"/>
  <c r="X543" i="1"/>
  <c r="V543" i="1"/>
  <c r="U543" i="1"/>
  <c r="T543" i="1"/>
  <c r="S543" i="1"/>
  <c r="R543" i="1"/>
  <c r="Q543" i="1"/>
  <c r="P543" i="1"/>
  <c r="O543" i="1"/>
  <c r="N543" i="1"/>
  <c r="M543" i="1"/>
  <c r="L543" i="1"/>
  <c r="K543" i="1"/>
  <c r="J543" i="1"/>
  <c r="I543" i="1"/>
  <c r="H543" i="1"/>
  <c r="G543" i="1"/>
  <c r="F543" i="1"/>
  <c r="E543" i="1"/>
  <c r="D543" i="1"/>
  <c r="C543" i="1"/>
  <c r="B543" i="1"/>
  <c r="X542" i="1"/>
  <c r="V542" i="1"/>
  <c r="U542" i="1"/>
  <c r="T542" i="1"/>
  <c r="S542" i="1"/>
  <c r="R542" i="1"/>
  <c r="Q542" i="1"/>
  <c r="P542" i="1"/>
  <c r="O542" i="1"/>
  <c r="N542" i="1"/>
  <c r="M542" i="1"/>
  <c r="L542" i="1"/>
  <c r="K542" i="1"/>
  <c r="J542" i="1"/>
  <c r="I542" i="1"/>
  <c r="H542" i="1"/>
  <c r="G542" i="1"/>
  <c r="F542" i="1"/>
  <c r="E542" i="1"/>
  <c r="D542" i="1"/>
  <c r="C542" i="1"/>
  <c r="B542" i="1"/>
  <c r="X541" i="1"/>
  <c r="V541" i="1"/>
  <c r="U541" i="1"/>
  <c r="T541" i="1"/>
  <c r="S541" i="1"/>
  <c r="R541" i="1"/>
  <c r="Q541" i="1"/>
  <c r="P541" i="1"/>
  <c r="O541" i="1"/>
  <c r="N541" i="1"/>
  <c r="M541" i="1"/>
  <c r="L541" i="1"/>
  <c r="K541" i="1"/>
  <c r="J541" i="1"/>
  <c r="I541" i="1"/>
  <c r="H541" i="1"/>
  <c r="G541" i="1"/>
  <c r="F541" i="1"/>
  <c r="E541" i="1"/>
  <c r="D541" i="1"/>
  <c r="C541" i="1"/>
  <c r="B541" i="1"/>
  <c r="X540" i="1"/>
  <c r="V540" i="1"/>
  <c r="U540" i="1"/>
  <c r="T540" i="1"/>
  <c r="S540" i="1"/>
  <c r="R540" i="1"/>
  <c r="Q540" i="1"/>
  <c r="P540" i="1"/>
  <c r="O540" i="1"/>
  <c r="N540" i="1"/>
  <c r="M540" i="1"/>
  <c r="L540" i="1"/>
  <c r="K540" i="1"/>
  <c r="J540" i="1"/>
  <c r="I540" i="1"/>
  <c r="H540" i="1"/>
  <c r="G540" i="1"/>
  <c r="F540" i="1"/>
  <c r="E540" i="1"/>
  <c r="D540" i="1"/>
  <c r="C540" i="1"/>
  <c r="B540" i="1"/>
  <c r="X539" i="1"/>
  <c r="V539" i="1"/>
  <c r="U539" i="1"/>
  <c r="N539" i="1"/>
  <c r="M539" i="1"/>
  <c r="L539" i="1"/>
  <c r="K539" i="1"/>
  <c r="J539" i="1"/>
  <c r="I539" i="1"/>
  <c r="H539" i="1"/>
  <c r="G539" i="1"/>
  <c r="F539" i="1"/>
  <c r="E539" i="1"/>
  <c r="D539" i="1"/>
  <c r="C539" i="1"/>
  <c r="B539" i="1"/>
  <c r="X538" i="1"/>
  <c r="V538" i="1"/>
  <c r="U538" i="1"/>
  <c r="T538" i="1"/>
  <c r="S538" i="1"/>
  <c r="R538" i="1"/>
  <c r="Q538" i="1"/>
  <c r="P538" i="1"/>
  <c r="O538" i="1"/>
  <c r="N538" i="1"/>
  <c r="M538" i="1"/>
  <c r="L538" i="1"/>
  <c r="K538" i="1"/>
  <c r="J538" i="1"/>
  <c r="I538" i="1"/>
  <c r="H538" i="1"/>
  <c r="G538" i="1"/>
  <c r="F538" i="1"/>
  <c r="E538" i="1"/>
  <c r="D538" i="1"/>
  <c r="C538" i="1"/>
  <c r="B538" i="1"/>
  <c r="X537" i="1"/>
  <c r="V537" i="1"/>
  <c r="U537" i="1"/>
  <c r="Q537" i="1"/>
  <c r="P537" i="1"/>
  <c r="O537" i="1"/>
  <c r="N537" i="1"/>
  <c r="M537" i="1"/>
  <c r="L537" i="1"/>
  <c r="K537" i="1"/>
  <c r="J537" i="1"/>
  <c r="I537" i="1"/>
  <c r="H537" i="1"/>
  <c r="G537" i="1"/>
  <c r="F537" i="1"/>
  <c r="E537" i="1"/>
  <c r="D537" i="1"/>
  <c r="C537" i="1"/>
  <c r="B537" i="1"/>
  <c r="X536" i="1"/>
  <c r="V536" i="1"/>
  <c r="U536" i="1"/>
  <c r="T536" i="1"/>
  <c r="S536" i="1"/>
  <c r="R536" i="1"/>
  <c r="Q536" i="1"/>
  <c r="P536" i="1"/>
  <c r="O536" i="1"/>
  <c r="N536" i="1"/>
  <c r="M536" i="1"/>
  <c r="L536" i="1"/>
  <c r="K536" i="1"/>
  <c r="J536" i="1"/>
  <c r="I536" i="1"/>
  <c r="H536" i="1"/>
  <c r="G536" i="1"/>
  <c r="F536" i="1"/>
  <c r="E536" i="1"/>
  <c r="D536" i="1"/>
  <c r="C536" i="1"/>
  <c r="B536" i="1"/>
  <c r="X535" i="1"/>
  <c r="V535" i="1"/>
  <c r="U535" i="1"/>
  <c r="T535" i="1"/>
  <c r="S535" i="1"/>
  <c r="R535" i="1"/>
  <c r="Q535" i="1"/>
  <c r="P535" i="1"/>
  <c r="O535" i="1"/>
  <c r="N535" i="1"/>
  <c r="M535" i="1"/>
  <c r="L535" i="1"/>
  <c r="K535" i="1"/>
  <c r="J535" i="1"/>
  <c r="I535" i="1"/>
  <c r="H535" i="1"/>
  <c r="G535" i="1"/>
  <c r="F535" i="1"/>
  <c r="E535" i="1"/>
  <c r="D535" i="1"/>
  <c r="C535" i="1"/>
  <c r="B535" i="1"/>
  <c r="X534" i="1"/>
  <c r="V534" i="1"/>
  <c r="U534" i="1"/>
  <c r="T534" i="1"/>
  <c r="S534" i="1"/>
  <c r="R534" i="1"/>
  <c r="Q534" i="1"/>
  <c r="P534" i="1"/>
  <c r="O534" i="1"/>
  <c r="N534" i="1"/>
  <c r="M534" i="1"/>
  <c r="L534" i="1"/>
  <c r="K534" i="1"/>
  <c r="J534" i="1"/>
  <c r="I534" i="1"/>
  <c r="H534" i="1"/>
  <c r="G534" i="1"/>
  <c r="F534" i="1"/>
  <c r="E534" i="1"/>
  <c r="D534" i="1"/>
  <c r="C534" i="1"/>
  <c r="B534" i="1"/>
  <c r="X533" i="1"/>
  <c r="V533" i="1"/>
  <c r="U533" i="1"/>
  <c r="T533" i="1"/>
  <c r="S533" i="1"/>
  <c r="R533" i="1"/>
  <c r="Q533" i="1"/>
  <c r="P533" i="1"/>
  <c r="O533" i="1"/>
  <c r="N533" i="1"/>
  <c r="M533" i="1"/>
  <c r="L533" i="1"/>
  <c r="K533" i="1"/>
  <c r="J533" i="1"/>
  <c r="I533" i="1"/>
  <c r="H533" i="1"/>
  <c r="G533" i="1"/>
  <c r="F533" i="1"/>
  <c r="E533" i="1"/>
  <c r="D533" i="1"/>
  <c r="C533" i="1"/>
  <c r="B533" i="1"/>
  <c r="X532" i="1"/>
  <c r="V532" i="1"/>
  <c r="U532" i="1"/>
  <c r="T532" i="1"/>
  <c r="S532" i="1"/>
  <c r="R532" i="1"/>
  <c r="Q532" i="1"/>
  <c r="P532" i="1"/>
  <c r="O532" i="1"/>
  <c r="N532" i="1"/>
  <c r="M532" i="1"/>
  <c r="L532" i="1"/>
  <c r="K532" i="1"/>
  <c r="J532" i="1"/>
  <c r="I532" i="1"/>
  <c r="H532" i="1"/>
  <c r="G532" i="1"/>
  <c r="F532" i="1"/>
  <c r="E532" i="1"/>
  <c r="D532" i="1"/>
  <c r="C532" i="1"/>
  <c r="B532" i="1"/>
  <c r="X531" i="1"/>
  <c r="V531" i="1"/>
  <c r="U531" i="1"/>
  <c r="T531" i="1"/>
  <c r="S531" i="1"/>
  <c r="R531" i="1"/>
  <c r="Q531" i="1"/>
  <c r="P531" i="1"/>
  <c r="O531" i="1"/>
  <c r="N531" i="1"/>
  <c r="M531" i="1"/>
  <c r="L531" i="1"/>
  <c r="K531" i="1"/>
  <c r="J531" i="1"/>
  <c r="I531" i="1"/>
  <c r="H531" i="1"/>
  <c r="G531" i="1"/>
  <c r="F531" i="1"/>
  <c r="E531" i="1"/>
  <c r="D531" i="1"/>
  <c r="C531" i="1"/>
  <c r="B531" i="1"/>
  <c r="X530" i="1"/>
  <c r="V530" i="1"/>
  <c r="U530" i="1"/>
  <c r="T530" i="1"/>
  <c r="S530" i="1"/>
  <c r="R530" i="1"/>
  <c r="Q530" i="1"/>
  <c r="P530" i="1"/>
  <c r="O530" i="1"/>
  <c r="N530" i="1"/>
  <c r="M530" i="1"/>
  <c r="L530" i="1"/>
  <c r="K530" i="1"/>
  <c r="J530" i="1"/>
  <c r="I530" i="1"/>
  <c r="H530" i="1"/>
  <c r="G530" i="1"/>
  <c r="F530" i="1"/>
  <c r="E530" i="1"/>
  <c r="D530" i="1"/>
  <c r="C530" i="1"/>
  <c r="B530" i="1"/>
  <c r="X529" i="1"/>
  <c r="V529" i="1"/>
  <c r="U529" i="1"/>
  <c r="Q529" i="1"/>
  <c r="P529" i="1"/>
  <c r="O529" i="1"/>
  <c r="N529" i="1"/>
  <c r="M529" i="1"/>
  <c r="L529" i="1"/>
  <c r="K529" i="1"/>
  <c r="J529" i="1"/>
  <c r="I529" i="1"/>
  <c r="H529" i="1"/>
  <c r="G529" i="1"/>
  <c r="F529" i="1"/>
  <c r="E529" i="1"/>
  <c r="D529" i="1"/>
  <c r="C529" i="1"/>
  <c r="B529" i="1"/>
  <c r="X528" i="1"/>
  <c r="V528" i="1"/>
  <c r="U528" i="1"/>
  <c r="T528" i="1"/>
  <c r="S528" i="1"/>
  <c r="R528" i="1"/>
  <c r="Q528" i="1"/>
  <c r="P528" i="1"/>
  <c r="O528" i="1"/>
  <c r="N528" i="1"/>
  <c r="M528" i="1"/>
  <c r="L528" i="1"/>
  <c r="K528" i="1"/>
  <c r="J528" i="1"/>
  <c r="I528" i="1"/>
  <c r="H528" i="1"/>
  <c r="G528" i="1"/>
  <c r="F528" i="1"/>
  <c r="E528" i="1"/>
  <c r="D528" i="1"/>
  <c r="C528" i="1"/>
  <c r="B528" i="1"/>
  <c r="X527" i="1"/>
  <c r="V527" i="1"/>
  <c r="U527" i="1"/>
  <c r="T527" i="1"/>
  <c r="S527" i="1"/>
  <c r="R527" i="1"/>
  <c r="Q527" i="1"/>
  <c r="P527" i="1"/>
  <c r="O527" i="1"/>
  <c r="N527" i="1"/>
  <c r="M527" i="1"/>
  <c r="L527" i="1"/>
  <c r="K527" i="1"/>
  <c r="J527" i="1"/>
  <c r="I527" i="1"/>
  <c r="H527" i="1"/>
  <c r="G527" i="1"/>
  <c r="F527" i="1"/>
  <c r="E527" i="1"/>
  <c r="D527" i="1"/>
  <c r="C527" i="1"/>
  <c r="B527" i="1"/>
  <c r="X526" i="1"/>
  <c r="V526" i="1"/>
  <c r="U526" i="1"/>
  <c r="T526" i="1"/>
  <c r="S526" i="1"/>
  <c r="R526" i="1"/>
  <c r="Q526" i="1"/>
  <c r="P526" i="1"/>
  <c r="O526" i="1"/>
  <c r="N526" i="1"/>
  <c r="M526" i="1"/>
  <c r="L526" i="1"/>
  <c r="K526" i="1"/>
  <c r="J526" i="1"/>
  <c r="I526" i="1"/>
  <c r="H526" i="1"/>
  <c r="G526" i="1"/>
  <c r="F526" i="1"/>
  <c r="E526" i="1"/>
  <c r="D526" i="1"/>
  <c r="C526" i="1"/>
  <c r="B526" i="1"/>
  <c r="X525" i="1"/>
  <c r="V525" i="1"/>
  <c r="U525" i="1"/>
  <c r="T525" i="1"/>
  <c r="S525" i="1"/>
  <c r="R525" i="1"/>
  <c r="Q525" i="1"/>
  <c r="P525" i="1"/>
  <c r="O525" i="1"/>
  <c r="N525" i="1"/>
  <c r="M525" i="1"/>
  <c r="L525" i="1"/>
  <c r="K525" i="1"/>
  <c r="J525" i="1"/>
  <c r="I525" i="1"/>
  <c r="H525" i="1"/>
  <c r="G525" i="1"/>
  <c r="F525" i="1"/>
  <c r="E525" i="1"/>
  <c r="D525" i="1"/>
  <c r="C525" i="1"/>
  <c r="B525" i="1"/>
  <c r="X524" i="1"/>
  <c r="V524" i="1"/>
  <c r="U524" i="1"/>
  <c r="T524" i="1"/>
  <c r="S524" i="1"/>
  <c r="R524" i="1"/>
  <c r="Q524" i="1"/>
  <c r="P524" i="1"/>
  <c r="O524" i="1"/>
  <c r="N524" i="1"/>
  <c r="M524" i="1"/>
  <c r="L524" i="1"/>
  <c r="K524" i="1"/>
  <c r="J524" i="1"/>
  <c r="I524" i="1"/>
  <c r="H524" i="1"/>
  <c r="G524" i="1"/>
  <c r="F524" i="1"/>
  <c r="E524" i="1"/>
  <c r="D524" i="1"/>
  <c r="C524" i="1"/>
  <c r="B524" i="1"/>
  <c r="X523" i="1"/>
  <c r="V523" i="1"/>
  <c r="U523" i="1"/>
  <c r="T523" i="1"/>
  <c r="S523" i="1"/>
  <c r="R523" i="1"/>
  <c r="Q523" i="1"/>
  <c r="P523" i="1"/>
  <c r="O523" i="1"/>
  <c r="N523" i="1"/>
  <c r="M523" i="1"/>
  <c r="L523" i="1"/>
  <c r="K523" i="1"/>
  <c r="J523" i="1"/>
  <c r="I523" i="1"/>
  <c r="H523" i="1"/>
  <c r="G523" i="1"/>
  <c r="F523" i="1"/>
  <c r="E523" i="1"/>
  <c r="D523" i="1"/>
  <c r="C523" i="1"/>
  <c r="B523" i="1"/>
  <c r="X522" i="1"/>
  <c r="V522" i="1"/>
  <c r="U522" i="1"/>
  <c r="Q522" i="1"/>
  <c r="P522" i="1"/>
  <c r="O522" i="1"/>
  <c r="N522" i="1"/>
  <c r="M522" i="1"/>
  <c r="L522" i="1"/>
  <c r="K522" i="1"/>
  <c r="J522" i="1"/>
  <c r="I522" i="1"/>
  <c r="H522" i="1"/>
  <c r="G522" i="1"/>
  <c r="F522" i="1"/>
  <c r="E522" i="1"/>
  <c r="D522" i="1"/>
  <c r="C522" i="1"/>
  <c r="B522" i="1"/>
  <c r="X521" i="1"/>
  <c r="V521" i="1"/>
  <c r="U521" i="1"/>
  <c r="T521" i="1"/>
  <c r="S521" i="1"/>
  <c r="R521" i="1"/>
  <c r="Q521" i="1"/>
  <c r="P521" i="1"/>
  <c r="O521" i="1"/>
  <c r="N521" i="1"/>
  <c r="M521" i="1"/>
  <c r="L521" i="1"/>
  <c r="K521" i="1"/>
  <c r="J521" i="1"/>
  <c r="I521" i="1"/>
  <c r="H521" i="1"/>
  <c r="G521" i="1"/>
  <c r="F521" i="1"/>
  <c r="E521" i="1"/>
  <c r="D521" i="1"/>
  <c r="C521" i="1"/>
  <c r="B521" i="1"/>
  <c r="X520" i="1"/>
  <c r="V520" i="1"/>
  <c r="U520" i="1"/>
  <c r="T520" i="1"/>
  <c r="S520" i="1"/>
  <c r="R520" i="1"/>
  <c r="Q520" i="1"/>
  <c r="P520" i="1"/>
  <c r="O520" i="1"/>
  <c r="N520" i="1"/>
  <c r="M520" i="1"/>
  <c r="L520" i="1"/>
  <c r="K520" i="1"/>
  <c r="J520" i="1"/>
  <c r="I520" i="1"/>
  <c r="H520" i="1"/>
  <c r="G520" i="1"/>
  <c r="F520" i="1"/>
  <c r="E520" i="1"/>
  <c r="D520" i="1"/>
  <c r="C520" i="1"/>
  <c r="B520" i="1"/>
  <c r="X519" i="1"/>
  <c r="V519" i="1"/>
  <c r="U519" i="1"/>
  <c r="Q519" i="1"/>
  <c r="P519" i="1"/>
  <c r="O519" i="1"/>
  <c r="N519" i="1"/>
  <c r="M519" i="1"/>
  <c r="L519" i="1"/>
  <c r="K519" i="1"/>
  <c r="J519" i="1"/>
  <c r="I519" i="1"/>
  <c r="H519" i="1"/>
  <c r="G519" i="1"/>
  <c r="F519" i="1"/>
  <c r="E519" i="1"/>
  <c r="D519" i="1"/>
  <c r="C519" i="1"/>
  <c r="B519" i="1"/>
  <c r="X518" i="1"/>
  <c r="V518" i="1"/>
  <c r="U518" i="1"/>
  <c r="T518" i="1"/>
  <c r="S518" i="1"/>
  <c r="R518" i="1"/>
  <c r="Q518" i="1"/>
  <c r="P518" i="1"/>
  <c r="O518" i="1"/>
  <c r="N518" i="1"/>
  <c r="M518" i="1"/>
  <c r="L518" i="1"/>
  <c r="K518" i="1"/>
  <c r="J518" i="1"/>
  <c r="I518" i="1"/>
  <c r="H518" i="1"/>
  <c r="G518" i="1"/>
  <c r="F518" i="1"/>
  <c r="E518" i="1"/>
  <c r="D518" i="1"/>
  <c r="C518" i="1"/>
  <c r="B518" i="1"/>
  <c r="X517" i="1"/>
  <c r="V517" i="1"/>
  <c r="U517" i="1"/>
  <c r="T517" i="1"/>
  <c r="S517" i="1"/>
  <c r="R517" i="1"/>
  <c r="Q517" i="1"/>
  <c r="P517" i="1"/>
  <c r="O517" i="1"/>
  <c r="N517" i="1"/>
  <c r="M517" i="1"/>
  <c r="L517" i="1"/>
  <c r="K517" i="1"/>
  <c r="J517" i="1"/>
  <c r="I517" i="1"/>
  <c r="H517" i="1"/>
  <c r="G517" i="1"/>
  <c r="F517" i="1"/>
  <c r="E517" i="1"/>
  <c r="D517" i="1"/>
  <c r="C517" i="1"/>
  <c r="B517" i="1"/>
  <c r="X516" i="1"/>
  <c r="V516" i="1"/>
  <c r="U516" i="1"/>
  <c r="T516" i="1"/>
  <c r="S516" i="1"/>
  <c r="R516" i="1"/>
  <c r="Q516" i="1"/>
  <c r="P516" i="1"/>
  <c r="O516" i="1"/>
  <c r="N516" i="1"/>
  <c r="M516" i="1"/>
  <c r="L516" i="1"/>
  <c r="K516" i="1"/>
  <c r="J516" i="1"/>
  <c r="I516" i="1"/>
  <c r="H516" i="1"/>
  <c r="G516" i="1"/>
  <c r="F516" i="1"/>
  <c r="E516" i="1"/>
  <c r="D516" i="1"/>
  <c r="C516" i="1"/>
  <c r="B516" i="1"/>
  <c r="X515" i="1"/>
  <c r="V515" i="1"/>
  <c r="U515" i="1"/>
  <c r="T515" i="1"/>
  <c r="S515" i="1"/>
  <c r="R515" i="1"/>
  <c r="Q515" i="1"/>
  <c r="P515" i="1"/>
  <c r="O515" i="1"/>
  <c r="N515" i="1"/>
  <c r="M515" i="1"/>
  <c r="L515" i="1"/>
  <c r="K515" i="1"/>
  <c r="J515" i="1"/>
  <c r="I515" i="1"/>
  <c r="H515" i="1"/>
  <c r="G515" i="1"/>
  <c r="F515" i="1"/>
  <c r="E515" i="1"/>
  <c r="D515" i="1"/>
  <c r="C515" i="1"/>
  <c r="B515" i="1"/>
  <c r="X514" i="1"/>
  <c r="V514" i="1"/>
  <c r="U514" i="1"/>
  <c r="T514" i="1"/>
  <c r="S514" i="1"/>
  <c r="R514" i="1"/>
  <c r="Q514" i="1"/>
  <c r="P514" i="1"/>
  <c r="O514" i="1"/>
  <c r="N514" i="1"/>
  <c r="M514" i="1"/>
  <c r="L514" i="1"/>
  <c r="K514" i="1"/>
  <c r="J514" i="1"/>
  <c r="I514" i="1"/>
  <c r="H514" i="1"/>
  <c r="G514" i="1"/>
  <c r="F514" i="1"/>
  <c r="E514" i="1"/>
  <c r="D514" i="1"/>
  <c r="C514" i="1"/>
  <c r="B514" i="1"/>
  <c r="X513" i="1"/>
  <c r="V513" i="1"/>
  <c r="U513" i="1"/>
  <c r="T513" i="1"/>
  <c r="S513" i="1"/>
  <c r="R513" i="1"/>
  <c r="Q513" i="1"/>
  <c r="P513" i="1"/>
  <c r="O513" i="1"/>
  <c r="N513" i="1"/>
  <c r="M513" i="1"/>
  <c r="L513" i="1"/>
  <c r="K513" i="1"/>
  <c r="J513" i="1"/>
  <c r="I513" i="1"/>
  <c r="H513" i="1"/>
  <c r="G513" i="1"/>
  <c r="F513" i="1"/>
  <c r="E513" i="1"/>
  <c r="D513" i="1"/>
  <c r="C513" i="1"/>
  <c r="B513" i="1"/>
  <c r="X512" i="1"/>
  <c r="V512" i="1"/>
  <c r="U512" i="1"/>
  <c r="T512" i="1"/>
  <c r="S512" i="1"/>
  <c r="R512" i="1"/>
  <c r="Q512" i="1"/>
  <c r="P512" i="1"/>
  <c r="O512" i="1"/>
  <c r="N512" i="1"/>
  <c r="M512" i="1"/>
  <c r="L512" i="1"/>
  <c r="K512" i="1"/>
  <c r="J512" i="1"/>
  <c r="I512" i="1"/>
  <c r="H512" i="1"/>
  <c r="G512" i="1"/>
  <c r="F512" i="1"/>
  <c r="E512" i="1"/>
  <c r="D512" i="1"/>
  <c r="C512" i="1"/>
  <c r="B512" i="1"/>
  <c r="X511" i="1"/>
  <c r="V511" i="1"/>
  <c r="U511" i="1"/>
  <c r="T511" i="1"/>
  <c r="S511" i="1"/>
  <c r="R511" i="1"/>
  <c r="Q511" i="1"/>
  <c r="P511" i="1"/>
  <c r="O511" i="1"/>
  <c r="N511" i="1"/>
  <c r="M511" i="1"/>
  <c r="L511" i="1"/>
  <c r="K511" i="1"/>
  <c r="J511" i="1"/>
  <c r="I511" i="1"/>
  <c r="H511" i="1"/>
  <c r="G511" i="1"/>
  <c r="F511" i="1"/>
  <c r="E511" i="1"/>
  <c r="D511" i="1"/>
  <c r="C511" i="1"/>
  <c r="B511" i="1"/>
  <c r="X510" i="1"/>
  <c r="V510" i="1"/>
  <c r="U510" i="1"/>
  <c r="T510" i="1"/>
  <c r="S510" i="1"/>
  <c r="R510" i="1"/>
  <c r="Q510" i="1"/>
  <c r="P510" i="1"/>
  <c r="O510" i="1"/>
  <c r="N510" i="1"/>
  <c r="M510" i="1"/>
  <c r="L510" i="1"/>
  <c r="K510" i="1"/>
  <c r="J510" i="1"/>
  <c r="I510" i="1"/>
  <c r="H510" i="1"/>
  <c r="G510" i="1"/>
  <c r="F510" i="1"/>
  <c r="E510" i="1"/>
  <c r="D510" i="1"/>
  <c r="C510" i="1"/>
  <c r="B510" i="1"/>
  <c r="X509" i="1"/>
  <c r="V509" i="1"/>
  <c r="U509" i="1"/>
  <c r="T509" i="1"/>
  <c r="S509" i="1"/>
  <c r="R509" i="1"/>
  <c r="Q509" i="1"/>
  <c r="P509" i="1"/>
  <c r="O509" i="1"/>
  <c r="N509" i="1"/>
  <c r="M509" i="1"/>
  <c r="L509" i="1"/>
  <c r="K509" i="1"/>
  <c r="J509" i="1"/>
  <c r="I509" i="1"/>
  <c r="H509" i="1"/>
  <c r="G509" i="1"/>
  <c r="F509" i="1"/>
  <c r="E509" i="1"/>
  <c r="D509" i="1"/>
  <c r="C509" i="1"/>
  <c r="B509" i="1"/>
  <c r="X508" i="1"/>
  <c r="V508" i="1"/>
  <c r="U508" i="1"/>
  <c r="T508" i="1"/>
  <c r="S508" i="1"/>
  <c r="R508" i="1"/>
  <c r="Q508" i="1"/>
  <c r="P508" i="1"/>
  <c r="O508" i="1"/>
  <c r="N508" i="1"/>
  <c r="M508" i="1"/>
  <c r="L508" i="1"/>
  <c r="K508" i="1"/>
  <c r="J508" i="1"/>
  <c r="I508" i="1"/>
  <c r="H508" i="1"/>
  <c r="G508" i="1"/>
  <c r="F508" i="1"/>
  <c r="E508" i="1"/>
  <c r="D508" i="1"/>
  <c r="C508" i="1"/>
  <c r="B508" i="1"/>
  <c r="X507" i="1"/>
  <c r="V507" i="1"/>
  <c r="U507" i="1"/>
  <c r="T507" i="1"/>
  <c r="S507" i="1"/>
  <c r="R507" i="1"/>
  <c r="Q507" i="1"/>
  <c r="P507" i="1"/>
  <c r="O507" i="1"/>
  <c r="N507" i="1"/>
  <c r="M507" i="1"/>
  <c r="L507" i="1"/>
  <c r="K507" i="1"/>
  <c r="J507" i="1"/>
  <c r="I507" i="1"/>
  <c r="H507" i="1"/>
  <c r="G507" i="1"/>
  <c r="F507" i="1"/>
  <c r="E507" i="1"/>
  <c r="D507" i="1"/>
  <c r="C507" i="1"/>
  <c r="B507" i="1"/>
  <c r="X506" i="1"/>
  <c r="V506" i="1"/>
  <c r="U506" i="1"/>
  <c r="T506" i="1"/>
  <c r="S506" i="1"/>
  <c r="R506" i="1"/>
  <c r="Q506" i="1"/>
  <c r="P506" i="1"/>
  <c r="O506" i="1"/>
  <c r="N506" i="1"/>
  <c r="M506" i="1"/>
  <c r="L506" i="1"/>
  <c r="K506" i="1"/>
  <c r="J506" i="1"/>
  <c r="I506" i="1"/>
  <c r="H506" i="1"/>
  <c r="G506" i="1"/>
  <c r="F506" i="1"/>
  <c r="E506" i="1"/>
  <c r="D506" i="1"/>
  <c r="C506" i="1"/>
  <c r="B506" i="1"/>
  <c r="X505" i="1"/>
  <c r="V505" i="1"/>
  <c r="U505" i="1"/>
  <c r="T505" i="1"/>
  <c r="S505" i="1"/>
  <c r="R505" i="1"/>
  <c r="Q505" i="1"/>
  <c r="P505" i="1"/>
  <c r="O505" i="1"/>
  <c r="N505" i="1"/>
  <c r="M505" i="1"/>
  <c r="L505" i="1"/>
  <c r="K505" i="1"/>
  <c r="J505" i="1"/>
  <c r="I505" i="1"/>
  <c r="H505" i="1"/>
  <c r="G505" i="1"/>
  <c r="F505" i="1"/>
  <c r="E505" i="1"/>
  <c r="D505" i="1"/>
  <c r="C505" i="1"/>
  <c r="B505" i="1"/>
  <c r="X504" i="1"/>
  <c r="V504" i="1"/>
  <c r="U504" i="1"/>
  <c r="Q504" i="1"/>
  <c r="P504" i="1"/>
  <c r="O504" i="1"/>
  <c r="N504" i="1"/>
  <c r="M504" i="1"/>
  <c r="L504" i="1"/>
  <c r="K504" i="1"/>
  <c r="J504" i="1"/>
  <c r="I504" i="1"/>
  <c r="H504" i="1"/>
  <c r="G504" i="1"/>
  <c r="F504" i="1"/>
  <c r="E504" i="1"/>
  <c r="D504" i="1"/>
  <c r="C504" i="1"/>
  <c r="B504" i="1"/>
  <c r="X503" i="1"/>
  <c r="V503" i="1"/>
  <c r="U503" i="1"/>
  <c r="T503" i="1"/>
  <c r="S503" i="1"/>
  <c r="R503" i="1"/>
  <c r="Q503" i="1"/>
  <c r="P503" i="1"/>
  <c r="O503" i="1"/>
  <c r="N503" i="1"/>
  <c r="M503" i="1"/>
  <c r="L503" i="1"/>
  <c r="K503" i="1"/>
  <c r="J503" i="1"/>
  <c r="I503" i="1"/>
  <c r="H503" i="1"/>
  <c r="G503" i="1"/>
  <c r="F503" i="1"/>
  <c r="E503" i="1"/>
  <c r="D503" i="1"/>
  <c r="C503" i="1"/>
  <c r="B503" i="1"/>
  <c r="X502" i="1"/>
  <c r="V502" i="1"/>
  <c r="U502" i="1"/>
  <c r="Q502" i="1"/>
  <c r="P502" i="1"/>
  <c r="O502" i="1"/>
  <c r="N502" i="1"/>
  <c r="M502" i="1"/>
  <c r="L502" i="1"/>
  <c r="K502" i="1"/>
  <c r="J502" i="1"/>
  <c r="I502" i="1"/>
  <c r="H502" i="1"/>
  <c r="G502" i="1"/>
  <c r="F502" i="1"/>
  <c r="E502" i="1"/>
  <c r="D502" i="1"/>
  <c r="C502" i="1"/>
  <c r="B502" i="1"/>
  <c r="X501" i="1"/>
  <c r="V501" i="1"/>
  <c r="U501" i="1"/>
  <c r="T501" i="1"/>
  <c r="S501" i="1"/>
  <c r="R501" i="1"/>
  <c r="Q501" i="1"/>
  <c r="P501" i="1"/>
  <c r="O501" i="1"/>
  <c r="N501" i="1"/>
  <c r="M501" i="1"/>
  <c r="L501" i="1"/>
  <c r="K501" i="1"/>
  <c r="J501" i="1"/>
  <c r="I501" i="1"/>
  <c r="H501" i="1"/>
  <c r="G501" i="1"/>
  <c r="F501" i="1"/>
  <c r="E501" i="1"/>
  <c r="D501" i="1"/>
  <c r="C501" i="1"/>
  <c r="B501" i="1"/>
  <c r="X500" i="1"/>
  <c r="V500" i="1"/>
  <c r="U500" i="1"/>
  <c r="T500" i="1"/>
  <c r="S500" i="1"/>
  <c r="R500" i="1"/>
  <c r="Q500" i="1"/>
  <c r="P500" i="1"/>
  <c r="O500" i="1"/>
  <c r="N500" i="1"/>
  <c r="M500" i="1"/>
  <c r="L500" i="1"/>
  <c r="K500" i="1"/>
  <c r="J500" i="1"/>
  <c r="I500" i="1"/>
  <c r="H500" i="1"/>
  <c r="G500" i="1"/>
  <c r="F500" i="1"/>
  <c r="E500" i="1"/>
  <c r="D500" i="1"/>
  <c r="C500" i="1"/>
  <c r="B500" i="1"/>
  <c r="X499" i="1"/>
  <c r="V499" i="1"/>
  <c r="U499" i="1"/>
  <c r="N499" i="1"/>
  <c r="M499" i="1"/>
  <c r="L499" i="1"/>
  <c r="K499" i="1"/>
  <c r="J499" i="1"/>
  <c r="I499" i="1"/>
  <c r="H499" i="1"/>
  <c r="G499" i="1"/>
  <c r="F499" i="1"/>
  <c r="E499" i="1"/>
  <c r="D499" i="1"/>
  <c r="C499" i="1"/>
  <c r="B499" i="1"/>
  <c r="X498" i="1"/>
  <c r="V498" i="1"/>
  <c r="U498" i="1"/>
  <c r="T498" i="1"/>
  <c r="S498" i="1"/>
  <c r="R498" i="1"/>
  <c r="Q498" i="1"/>
  <c r="P498" i="1"/>
  <c r="O498" i="1"/>
  <c r="N498" i="1"/>
  <c r="M498" i="1"/>
  <c r="L498" i="1"/>
  <c r="K498" i="1"/>
  <c r="J498" i="1"/>
  <c r="I498" i="1"/>
  <c r="H498" i="1"/>
  <c r="G498" i="1"/>
  <c r="F498" i="1"/>
  <c r="E498" i="1"/>
  <c r="D498" i="1"/>
  <c r="C498" i="1"/>
  <c r="B498" i="1"/>
  <c r="X497" i="1"/>
  <c r="V497" i="1"/>
  <c r="U497" i="1"/>
  <c r="T497" i="1"/>
  <c r="S497" i="1"/>
  <c r="R497" i="1"/>
  <c r="Q497" i="1"/>
  <c r="P497" i="1"/>
  <c r="O497" i="1"/>
  <c r="N497" i="1"/>
  <c r="M497" i="1"/>
  <c r="L497" i="1"/>
  <c r="K497" i="1"/>
  <c r="J497" i="1"/>
  <c r="I497" i="1"/>
  <c r="H497" i="1"/>
  <c r="G497" i="1"/>
  <c r="F497" i="1"/>
  <c r="E497" i="1"/>
  <c r="D497" i="1"/>
  <c r="C497" i="1"/>
  <c r="B497" i="1"/>
  <c r="X496" i="1"/>
  <c r="V496" i="1"/>
  <c r="U496" i="1"/>
  <c r="T496" i="1"/>
  <c r="S496" i="1"/>
  <c r="R496" i="1"/>
  <c r="Q496" i="1"/>
  <c r="P496" i="1"/>
  <c r="O496" i="1"/>
  <c r="N496" i="1"/>
  <c r="M496" i="1"/>
  <c r="L496" i="1"/>
  <c r="K496" i="1"/>
  <c r="J496" i="1"/>
  <c r="I496" i="1"/>
  <c r="H496" i="1"/>
  <c r="G496" i="1"/>
  <c r="F496" i="1"/>
  <c r="E496" i="1"/>
  <c r="D496" i="1"/>
  <c r="C496" i="1"/>
  <c r="B496" i="1"/>
  <c r="X495" i="1"/>
  <c r="V495" i="1"/>
  <c r="U495" i="1"/>
  <c r="T495" i="1"/>
  <c r="S495" i="1"/>
  <c r="R495" i="1"/>
  <c r="Q495" i="1"/>
  <c r="P495" i="1"/>
  <c r="O495" i="1"/>
  <c r="N495" i="1"/>
  <c r="M495" i="1"/>
  <c r="L495" i="1"/>
  <c r="K495" i="1"/>
  <c r="J495" i="1"/>
  <c r="I495" i="1"/>
  <c r="H495" i="1"/>
  <c r="G495" i="1"/>
  <c r="F495" i="1"/>
  <c r="E495" i="1"/>
  <c r="D495" i="1"/>
  <c r="C495" i="1"/>
  <c r="B495" i="1"/>
  <c r="X494" i="1"/>
  <c r="V494" i="1"/>
  <c r="U494" i="1"/>
  <c r="Q494" i="1"/>
  <c r="P494" i="1"/>
  <c r="O494" i="1"/>
  <c r="N494" i="1"/>
  <c r="M494" i="1"/>
  <c r="L494" i="1"/>
  <c r="K494" i="1"/>
  <c r="J494" i="1"/>
  <c r="I494" i="1"/>
  <c r="H494" i="1"/>
  <c r="G494" i="1"/>
  <c r="F494" i="1"/>
  <c r="E494" i="1"/>
  <c r="D494" i="1"/>
  <c r="C494" i="1"/>
  <c r="B494" i="1"/>
  <c r="X493" i="1"/>
  <c r="V493" i="1"/>
  <c r="U493" i="1"/>
  <c r="N493" i="1"/>
  <c r="M493" i="1"/>
  <c r="L493" i="1"/>
  <c r="K493" i="1"/>
  <c r="J493" i="1"/>
  <c r="I493" i="1"/>
  <c r="H493" i="1"/>
  <c r="G493" i="1"/>
  <c r="F493" i="1"/>
  <c r="E493" i="1"/>
  <c r="D493" i="1"/>
  <c r="C493" i="1"/>
  <c r="B493" i="1"/>
  <c r="X492" i="1"/>
  <c r="V492" i="1"/>
  <c r="U492" i="1"/>
  <c r="T492" i="1"/>
  <c r="S492" i="1"/>
  <c r="R492" i="1"/>
  <c r="Q492" i="1"/>
  <c r="P492" i="1"/>
  <c r="O492" i="1"/>
  <c r="N492" i="1"/>
  <c r="M492" i="1"/>
  <c r="L492" i="1"/>
  <c r="K492" i="1"/>
  <c r="J492" i="1"/>
  <c r="I492" i="1"/>
  <c r="H492" i="1"/>
  <c r="G492" i="1"/>
  <c r="F492" i="1"/>
  <c r="E492" i="1"/>
  <c r="D492" i="1"/>
  <c r="C492" i="1"/>
  <c r="B492" i="1"/>
  <c r="X491" i="1"/>
  <c r="V491" i="1"/>
  <c r="U491" i="1"/>
  <c r="Q491" i="1"/>
  <c r="P491" i="1"/>
  <c r="O491" i="1"/>
  <c r="N491" i="1"/>
  <c r="M491" i="1"/>
  <c r="L491" i="1"/>
  <c r="K491" i="1"/>
  <c r="J491" i="1"/>
  <c r="I491" i="1"/>
  <c r="H491" i="1"/>
  <c r="G491" i="1"/>
  <c r="F491" i="1"/>
  <c r="E491" i="1"/>
  <c r="D491" i="1"/>
  <c r="C491" i="1"/>
  <c r="B491" i="1"/>
  <c r="X490" i="1"/>
  <c r="V490" i="1"/>
  <c r="U490" i="1"/>
  <c r="T490" i="1"/>
  <c r="S490" i="1"/>
  <c r="R490" i="1"/>
  <c r="Q490" i="1"/>
  <c r="P490" i="1"/>
  <c r="O490" i="1"/>
  <c r="N490" i="1"/>
  <c r="M490" i="1"/>
  <c r="L490" i="1"/>
  <c r="K490" i="1"/>
  <c r="J490" i="1"/>
  <c r="I490" i="1"/>
  <c r="H490" i="1"/>
  <c r="G490" i="1"/>
  <c r="F490" i="1"/>
  <c r="E490" i="1"/>
  <c r="D490" i="1"/>
  <c r="C490" i="1"/>
  <c r="B490" i="1"/>
  <c r="X489" i="1"/>
  <c r="V489" i="1"/>
  <c r="U489" i="1"/>
  <c r="T489" i="1"/>
  <c r="S489" i="1"/>
  <c r="R489" i="1"/>
  <c r="Q489" i="1"/>
  <c r="P489" i="1"/>
  <c r="O489" i="1"/>
  <c r="N489" i="1"/>
  <c r="M489" i="1"/>
  <c r="L489" i="1"/>
  <c r="K489" i="1"/>
  <c r="J489" i="1"/>
  <c r="I489" i="1"/>
  <c r="H489" i="1"/>
  <c r="G489" i="1"/>
  <c r="F489" i="1"/>
  <c r="E489" i="1"/>
  <c r="D489" i="1"/>
  <c r="C489" i="1"/>
  <c r="B489" i="1"/>
  <c r="X488" i="1"/>
  <c r="V488" i="1"/>
  <c r="U488" i="1"/>
  <c r="T488" i="1"/>
  <c r="S488" i="1"/>
  <c r="R488" i="1"/>
  <c r="Q488" i="1"/>
  <c r="P488" i="1"/>
  <c r="O488" i="1"/>
  <c r="N488" i="1"/>
  <c r="M488" i="1"/>
  <c r="L488" i="1"/>
  <c r="K488" i="1"/>
  <c r="J488" i="1"/>
  <c r="I488" i="1"/>
  <c r="H488" i="1"/>
  <c r="G488" i="1"/>
  <c r="F488" i="1"/>
  <c r="E488" i="1"/>
  <c r="D488" i="1"/>
  <c r="C488" i="1"/>
  <c r="B488" i="1"/>
  <c r="X487" i="1"/>
  <c r="V487" i="1"/>
  <c r="U487" i="1"/>
  <c r="T487" i="1"/>
  <c r="S487" i="1"/>
  <c r="R487" i="1"/>
  <c r="Q487" i="1"/>
  <c r="P487" i="1"/>
  <c r="O487" i="1"/>
  <c r="N487" i="1"/>
  <c r="M487" i="1"/>
  <c r="L487" i="1"/>
  <c r="K487" i="1"/>
  <c r="J487" i="1"/>
  <c r="I487" i="1"/>
  <c r="H487" i="1"/>
  <c r="G487" i="1"/>
  <c r="F487" i="1"/>
  <c r="E487" i="1"/>
  <c r="D487" i="1"/>
  <c r="C487" i="1"/>
  <c r="B487" i="1"/>
  <c r="X486" i="1"/>
  <c r="V486" i="1"/>
  <c r="U486" i="1"/>
  <c r="N486" i="1"/>
  <c r="M486" i="1"/>
  <c r="L486" i="1"/>
  <c r="K486" i="1"/>
  <c r="J486" i="1"/>
  <c r="I486" i="1"/>
  <c r="H486" i="1"/>
  <c r="G486" i="1"/>
  <c r="F486" i="1"/>
  <c r="E486" i="1"/>
  <c r="D486" i="1"/>
  <c r="C486" i="1"/>
  <c r="B486" i="1"/>
  <c r="X485" i="1"/>
  <c r="V485" i="1"/>
  <c r="U485" i="1"/>
  <c r="N485" i="1"/>
  <c r="M485" i="1"/>
  <c r="L485" i="1"/>
  <c r="K485" i="1"/>
  <c r="J485" i="1"/>
  <c r="I485" i="1"/>
  <c r="H485" i="1"/>
  <c r="G485" i="1"/>
  <c r="F485" i="1"/>
  <c r="E485" i="1"/>
  <c r="D485" i="1"/>
  <c r="C485" i="1"/>
  <c r="B485" i="1"/>
  <c r="X484" i="1"/>
  <c r="V484" i="1"/>
  <c r="U484" i="1"/>
  <c r="T484" i="1"/>
  <c r="S484" i="1"/>
  <c r="R484" i="1"/>
  <c r="Q484" i="1"/>
  <c r="P484" i="1"/>
  <c r="O484" i="1"/>
  <c r="N484" i="1"/>
  <c r="M484" i="1"/>
  <c r="L484" i="1"/>
  <c r="K484" i="1"/>
  <c r="J484" i="1"/>
  <c r="I484" i="1"/>
  <c r="H484" i="1"/>
  <c r="G484" i="1"/>
  <c r="F484" i="1"/>
  <c r="E484" i="1"/>
  <c r="D484" i="1"/>
  <c r="C484" i="1"/>
  <c r="B484" i="1"/>
  <c r="X483" i="1"/>
  <c r="V483" i="1"/>
  <c r="U483" i="1"/>
  <c r="T483" i="1"/>
  <c r="S483" i="1"/>
  <c r="R483" i="1"/>
  <c r="Q483" i="1"/>
  <c r="P483" i="1"/>
  <c r="O483" i="1"/>
  <c r="N483" i="1"/>
  <c r="M483" i="1"/>
  <c r="L483" i="1"/>
  <c r="K483" i="1"/>
  <c r="J483" i="1"/>
  <c r="I483" i="1"/>
  <c r="H483" i="1"/>
  <c r="G483" i="1"/>
  <c r="F483" i="1"/>
  <c r="E483" i="1"/>
  <c r="D483" i="1"/>
  <c r="C483" i="1"/>
  <c r="B483" i="1"/>
  <c r="X482" i="1"/>
  <c r="V482" i="1"/>
  <c r="U482" i="1"/>
  <c r="Q482" i="1"/>
  <c r="P482" i="1"/>
  <c r="O482" i="1"/>
  <c r="N482" i="1"/>
  <c r="M482" i="1"/>
  <c r="L482" i="1"/>
  <c r="K482" i="1"/>
  <c r="J482" i="1"/>
  <c r="I482" i="1"/>
  <c r="H482" i="1"/>
  <c r="G482" i="1"/>
  <c r="F482" i="1"/>
  <c r="E482" i="1"/>
  <c r="D482" i="1"/>
  <c r="C482" i="1"/>
  <c r="B482" i="1"/>
  <c r="X481" i="1"/>
  <c r="V481" i="1"/>
  <c r="U481" i="1"/>
  <c r="T481" i="1"/>
  <c r="S481" i="1"/>
  <c r="R481" i="1"/>
  <c r="Q481" i="1"/>
  <c r="P481" i="1"/>
  <c r="O481" i="1"/>
  <c r="N481" i="1"/>
  <c r="M481" i="1"/>
  <c r="L481" i="1"/>
  <c r="K481" i="1"/>
  <c r="J481" i="1"/>
  <c r="I481" i="1"/>
  <c r="H481" i="1"/>
  <c r="G481" i="1"/>
  <c r="F481" i="1"/>
  <c r="E481" i="1"/>
  <c r="D481" i="1"/>
  <c r="C481" i="1"/>
  <c r="B481" i="1"/>
  <c r="X480" i="1"/>
  <c r="V480" i="1"/>
  <c r="U480" i="1"/>
  <c r="T480" i="1"/>
  <c r="S480" i="1"/>
  <c r="R480" i="1"/>
  <c r="Q480" i="1"/>
  <c r="P480" i="1"/>
  <c r="O480" i="1"/>
  <c r="N480" i="1"/>
  <c r="M480" i="1"/>
  <c r="L480" i="1"/>
  <c r="K480" i="1"/>
  <c r="J480" i="1"/>
  <c r="I480" i="1"/>
  <c r="H480" i="1"/>
  <c r="G480" i="1"/>
  <c r="F480" i="1"/>
  <c r="E480" i="1"/>
  <c r="D480" i="1"/>
  <c r="C480" i="1"/>
  <c r="B480" i="1"/>
  <c r="X479" i="1"/>
  <c r="V479" i="1"/>
  <c r="U479" i="1"/>
  <c r="Q479" i="1"/>
  <c r="P479" i="1"/>
  <c r="O479" i="1"/>
  <c r="N479" i="1"/>
  <c r="M479" i="1"/>
  <c r="L479" i="1"/>
  <c r="K479" i="1"/>
  <c r="J479" i="1"/>
  <c r="I479" i="1"/>
  <c r="H479" i="1"/>
  <c r="G479" i="1"/>
  <c r="F479" i="1"/>
  <c r="E479" i="1"/>
  <c r="D479" i="1"/>
  <c r="C479" i="1"/>
  <c r="B479" i="1"/>
  <c r="X478" i="1"/>
  <c r="V478" i="1"/>
  <c r="U478" i="1"/>
  <c r="Q478" i="1"/>
  <c r="P478" i="1"/>
  <c r="O478" i="1"/>
  <c r="N478" i="1"/>
  <c r="M478" i="1"/>
  <c r="L478" i="1"/>
  <c r="K478" i="1"/>
  <c r="J478" i="1"/>
  <c r="I478" i="1"/>
  <c r="H478" i="1"/>
  <c r="G478" i="1"/>
  <c r="F478" i="1"/>
  <c r="E478" i="1"/>
  <c r="D478" i="1"/>
  <c r="C478" i="1"/>
  <c r="B478" i="1"/>
  <c r="X477" i="1"/>
  <c r="V477" i="1"/>
  <c r="U477" i="1"/>
  <c r="N477" i="1"/>
  <c r="M477" i="1"/>
  <c r="L477" i="1"/>
  <c r="K477" i="1"/>
  <c r="J477" i="1"/>
  <c r="I477" i="1"/>
  <c r="H477" i="1"/>
  <c r="G477" i="1"/>
  <c r="F477" i="1"/>
  <c r="E477" i="1"/>
  <c r="D477" i="1"/>
  <c r="C477" i="1"/>
  <c r="B477" i="1"/>
  <c r="X476" i="1"/>
  <c r="V476" i="1"/>
  <c r="U476" i="1"/>
  <c r="T476" i="1"/>
  <c r="S476" i="1"/>
  <c r="R476" i="1"/>
  <c r="Q476" i="1"/>
  <c r="P476" i="1"/>
  <c r="O476" i="1"/>
  <c r="N476" i="1"/>
  <c r="M476" i="1"/>
  <c r="L476" i="1"/>
  <c r="K476" i="1"/>
  <c r="J476" i="1"/>
  <c r="I476" i="1"/>
  <c r="H476" i="1"/>
  <c r="G476" i="1"/>
  <c r="F476" i="1"/>
  <c r="E476" i="1"/>
  <c r="D476" i="1"/>
  <c r="C476" i="1"/>
  <c r="B476" i="1"/>
  <c r="X475" i="1"/>
  <c r="V475" i="1"/>
  <c r="U475" i="1"/>
  <c r="T475" i="1"/>
  <c r="S475" i="1"/>
  <c r="R475" i="1"/>
  <c r="Q475" i="1"/>
  <c r="P475" i="1"/>
  <c r="O475" i="1"/>
  <c r="N475" i="1"/>
  <c r="M475" i="1"/>
  <c r="L475" i="1"/>
  <c r="K475" i="1"/>
  <c r="J475" i="1"/>
  <c r="I475" i="1"/>
  <c r="H475" i="1"/>
  <c r="G475" i="1"/>
  <c r="F475" i="1"/>
  <c r="E475" i="1"/>
  <c r="D475" i="1"/>
  <c r="C475" i="1"/>
  <c r="B475" i="1"/>
  <c r="X474" i="1"/>
  <c r="V474" i="1"/>
  <c r="U474" i="1"/>
  <c r="T474" i="1"/>
  <c r="S474" i="1"/>
  <c r="R474" i="1"/>
  <c r="Q474" i="1"/>
  <c r="P474" i="1"/>
  <c r="O474" i="1"/>
  <c r="N474" i="1"/>
  <c r="M474" i="1"/>
  <c r="L474" i="1"/>
  <c r="K474" i="1"/>
  <c r="J474" i="1"/>
  <c r="I474" i="1"/>
  <c r="H474" i="1"/>
  <c r="G474" i="1"/>
  <c r="F474" i="1"/>
  <c r="E474" i="1"/>
  <c r="D474" i="1"/>
  <c r="C474" i="1"/>
  <c r="B474" i="1"/>
  <c r="X473" i="1"/>
  <c r="V473" i="1"/>
  <c r="U473" i="1"/>
  <c r="T473" i="1"/>
  <c r="S473" i="1"/>
  <c r="R473" i="1"/>
  <c r="Q473" i="1"/>
  <c r="P473" i="1"/>
  <c r="O473" i="1"/>
  <c r="N473" i="1"/>
  <c r="M473" i="1"/>
  <c r="L473" i="1"/>
  <c r="K473" i="1"/>
  <c r="J473" i="1"/>
  <c r="I473" i="1"/>
  <c r="H473" i="1"/>
  <c r="G473" i="1"/>
  <c r="F473" i="1"/>
  <c r="E473" i="1"/>
  <c r="D473" i="1"/>
  <c r="C473" i="1"/>
  <c r="B473" i="1"/>
  <c r="X472" i="1"/>
  <c r="V472" i="1"/>
  <c r="U472" i="1"/>
  <c r="N472" i="1"/>
  <c r="M472" i="1"/>
  <c r="L472" i="1"/>
  <c r="K472" i="1"/>
  <c r="J472" i="1"/>
  <c r="I472" i="1"/>
  <c r="H472" i="1"/>
  <c r="G472" i="1"/>
  <c r="F472" i="1"/>
  <c r="E472" i="1"/>
  <c r="D472" i="1"/>
  <c r="C472" i="1"/>
  <c r="B472" i="1"/>
  <c r="X471" i="1"/>
  <c r="V471" i="1"/>
  <c r="U471" i="1"/>
  <c r="N471" i="1"/>
  <c r="M471" i="1"/>
  <c r="L471" i="1"/>
  <c r="K471" i="1"/>
  <c r="J471" i="1"/>
  <c r="I471" i="1"/>
  <c r="H471" i="1"/>
  <c r="G471" i="1"/>
  <c r="F471" i="1"/>
  <c r="E471" i="1"/>
  <c r="D471" i="1"/>
  <c r="C471" i="1"/>
  <c r="B471" i="1"/>
  <c r="X470" i="1"/>
  <c r="V470" i="1"/>
  <c r="U470" i="1"/>
  <c r="T470" i="1"/>
  <c r="S470" i="1"/>
  <c r="R470" i="1"/>
  <c r="Q470" i="1"/>
  <c r="P470" i="1"/>
  <c r="O470" i="1"/>
  <c r="N470" i="1"/>
  <c r="M470" i="1"/>
  <c r="L470" i="1"/>
  <c r="K470" i="1"/>
  <c r="J470" i="1"/>
  <c r="I470" i="1"/>
  <c r="H470" i="1"/>
  <c r="G470" i="1"/>
  <c r="F470" i="1"/>
  <c r="E470" i="1"/>
  <c r="D470" i="1"/>
  <c r="C470" i="1"/>
  <c r="B470" i="1"/>
  <c r="X469" i="1"/>
  <c r="V469" i="1"/>
  <c r="U469" i="1"/>
  <c r="T469" i="1"/>
  <c r="S469" i="1"/>
  <c r="R469" i="1"/>
  <c r="Q469" i="1"/>
  <c r="P469" i="1"/>
  <c r="O469" i="1"/>
  <c r="N469" i="1"/>
  <c r="M469" i="1"/>
  <c r="L469" i="1"/>
  <c r="K469" i="1"/>
  <c r="J469" i="1"/>
  <c r="I469" i="1"/>
  <c r="H469" i="1"/>
  <c r="G469" i="1"/>
  <c r="F469" i="1"/>
  <c r="E469" i="1"/>
  <c r="D469" i="1"/>
  <c r="C469" i="1"/>
  <c r="B469" i="1"/>
  <c r="X468" i="1"/>
  <c r="V468" i="1"/>
  <c r="U468" i="1"/>
  <c r="T468" i="1"/>
  <c r="S468" i="1"/>
  <c r="R468" i="1"/>
  <c r="Q468" i="1"/>
  <c r="P468" i="1"/>
  <c r="O468" i="1"/>
  <c r="N468" i="1"/>
  <c r="M468" i="1"/>
  <c r="L468" i="1"/>
  <c r="K468" i="1"/>
  <c r="J468" i="1"/>
  <c r="I468" i="1"/>
  <c r="H468" i="1"/>
  <c r="G468" i="1"/>
  <c r="F468" i="1"/>
  <c r="E468" i="1"/>
  <c r="D468" i="1"/>
  <c r="C468" i="1"/>
  <c r="B468" i="1"/>
  <c r="X467" i="1"/>
  <c r="V467" i="1"/>
  <c r="U467" i="1"/>
  <c r="T467" i="1"/>
  <c r="S467" i="1"/>
  <c r="R467" i="1"/>
  <c r="Q467" i="1"/>
  <c r="P467" i="1"/>
  <c r="O467" i="1"/>
  <c r="N467" i="1"/>
  <c r="M467" i="1"/>
  <c r="L467" i="1"/>
  <c r="K467" i="1"/>
  <c r="J467" i="1"/>
  <c r="I467" i="1"/>
  <c r="H467" i="1"/>
  <c r="G467" i="1"/>
  <c r="F467" i="1"/>
  <c r="E467" i="1"/>
  <c r="D467" i="1"/>
  <c r="C467" i="1"/>
  <c r="B467" i="1"/>
  <c r="X466" i="1"/>
  <c r="V466" i="1"/>
  <c r="U466" i="1"/>
  <c r="T466" i="1"/>
  <c r="S466" i="1"/>
  <c r="R466" i="1"/>
  <c r="Q466" i="1"/>
  <c r="P466" i="1"/>
  <c r="O466" i="1"/>
  <c r="N466" i="1"/>
  <c r="M466" i="1"/>
  <c r="L466" i="1"/>
  <c r="K466" i="1"/>
  <c r="J466" i="1"/>
  <c r="I466" i="1"/>
  <c r="H466" i="1"/>
  <c r="G466" i="1"/>
  <c r="F466" i="1"/>
  <c r="E466" i="1"/>
  <c r="D466" i="1"/>
  <c r="C466" i="1"/>
  <c r="B466" i="1"/>
  <c r="X465" i="1"/>
  <c r="V465" i="1"/>
  <c r="U465" i="1"/>
  <c r="T465" i="1"/>
  <c r="S465" i="1"/>
  <c r="R465" i="1"/>
  <c r="Q465" i="1"/>
  <c r="P465" i="1"/>
  <c r="O465" i="1"/>
  <c r="N465" i="1"/>
  <c r="M465" i="1"/>
  <c r="L465" i="1"/>
  <c r="K465" i="1"/>
  <c r="J465" i="1"/>
  <c r="I465" i="1"/>
  <c r="H465" i="1"/>
  <c r="G465" i="1"/>
  <c r="F465" i="1"/>
  <c r="E465" i="1"/>
  <c r="D465" i="1"/>
  <c r="C465" i="1"/>
  <c r="B465" i="1"/>
  <c r="X464" i="1"/>
  <c r="V464" i="1"/>
  <c r="U464" i="1"/>
  <c r="T464" i="1"/>
  <c r="S464" i="1"/>
  <c r="R464" i="1"/>
  <c r="Q464" i="1"/>
  <c r="P464" i="1"/>
  <c r="O464" i="1"/>
  <c r="N464" i="1"/>
  <c r="M464" i="1"/>
  <c r="L464" i="1"/>
  <c r="K464" i="1"/>
  <c r="J464" i="1"/>
  <c r="I464" i="1"/>
  <c r="H464" i="1"/>
  <c r="G464" i="1"/>
  <c r="F464" i="1"/>
  <c r="E464" i="1"/>
  <c r="D464" i="1"/>
  <c r="C464" i="1"/>
  <c r="B464" i="1"/>
  <c r="X463" i="1"/>
  <c r="V463" i="1"/>
  <c r="U463" i="1"/>
  <c r="T463" i="1"/>
  <c r="S463" i="1"/>
  <c r="R463" i="1"/>
  <c r="Q463" i="1"/>
  <c r="P463" i="1"/>
  <c r="O463" i="1"/>
  <c r="N463" i="1"/>
  <c r="M463" i="1"/>
  <c r="L463" i="1"/>
  <c r="K463" i="1"/>
  <c r="J463" i="1"/>
  <c r="I463" i="1"/>
  <c r="H463" i="1"/>
  <c r="G463" i="1"/>
  <c r="F463" i="1"/>
  <c r="E463" i="1"/>
  <c r="D463" i="1"/>
  <c r="C463" i="1"/>
  <c r="B463" i="1"/>
  <c r="X462" i="1"/>
  <c r="V462" i="1"/>
  <c r="U462" i="1"/>
  <c r="Q462" i="1"/>
  <c r="P462" i="1"/>
  <c r="O462" i="1"/>
  <c r="N462" i="1"/>
  <c r="M462" i="1"/>
  <c r="L462" i="1"/>
  <c r="K462" i="1"/>
  <c r="J462" i="1"/>
  <c r="I462" i="1"/>
  <c r="H462" i="1"/>
  <c r="G462" i="1"/>
  <c r="F462" i="1"/>
  <c r="E462" i="1"/>
  <c r="D462" i="1"/>
  <c r="C462" i="1"/>
  <c r="B462" i="1"/>
  <c r="X461" i="1"/>
  <c r="V461" i="1"/>
  <c r="U461" i="1"/>
  <c r="Q461" i="1"/>
  <c r="P461" i="1"/>
  <c r="O461" i="1"/>
  <c r="N461" i="1"/>
  <c r="M461" i="1"/>
  <c r="L461" i="1"/>
  <c r="K461" i="1"/>
  <c r="J461" i="1"/>
  <c r="I461" i="1"/>
  <c r="H461" i="1"/>
  <c r="G461" i="1"/>
  <c r="F461" i="1"/>
  <c r="E461" i="1"/>
  <c r="D461" i="1"/>
  <c r="C461" i="1"/>
  <c r="B461" i="1"/>
  <c r="X460" i="1"/>
  <c r="V460" i="1"/>
  <c r="U460" i="1"/>
  <c r="T460" i="1"/>
  <c r="S460" i="1"/>
  <c r="R460" i="1"/>
  <c r="Q460" i="1"/>
  <c r="P460" i="1"/>
  <c r="O460" i="1"/>
  <c r="N460" i="1"/>
  <c r="M460" i="1"/>
  <c r="L460" i="1"/>
  <c r="K460" i="1"/>
  <c r="J460" i="1"/>
  <c r="I460" i="1"/>
  <c r="H460" i="1"/>
  <c r="G460" i="1"/>
  <c r="F460" i="1"/>
  <c r="E460" i="1"/>
  <c r="D460" i="1"/>
  <c r="C460" i="1"/>
  <c r="B460" i="1"/>
  <c r="X459" i="1"/>
  <c r="V459" i="1"/>
  <c r="U459" i="1"/>
  <c r="T459" i="1"/>
  <c r="S459" i="1"/>
  <c r="R459" i="1"/>
  <c r="Q459" i="1"/>
  <c r="P459" i="1"/>
  <c r="O459" i="1"/>
  <c r="N459" i="1"/>
  <c r="M459" i="1"/>
  <c r="L459" i="1"/>
  <c r="K459" i="1"/>
  <c r="J459" i="1"/>
  <c r="I459" i="1"/>
  <c r="H459" i="1"/>
  <c r="G459" i="1"/>
  <c r="F459" i="1"/>
  <c r="E459" i="1"/>
  <c r="D459" i="1"/>
  <c r="C459" i="1"/>
  <c r="B459" i="1"/>
  <c r="X458" i="1"/>
  <c r="V458" i="1"/>
  <c r="U458" i="1"/>
  <c r="Q458" i="1"/>
  <c r="P458" i="1"/>
  <c r="O458" i="1"/>
  <c r="N458" i="1"/>
  <c r="M458" i="1"/>
  <c r="L458" i="1"/>
  <c r="K458" i="1"/>
  <c r="J458" i="1"/>
  <c r="I458" i="1"/>
  <c r="H458" i="1"/>
  <c r="G458" i="1"/>
  <c r="F458" i="1"/>
  <c r="E458" i="1"/>
  <c r="D458" i="1"/>
  <c r="C458" i="1"/>
  <c r="B458" i="1"/>
  <c r="X457" i="1"/>
  <c r="V457" i="1"/>
  <c r="U457" i="1"/>
  <c r="T457" i="1"/>
  <c r="S457" i="1"/>
  <c r="R457" i="1"/>
  <c r="Q457" i="1"/>
  <c r="P457" i="1"/>
  <c r="O457" i="1"/>
  <c r="N457" i="1"/>
  <c r="M457" i="1"/>
  <c r="L457" i="1"/>
  <c r="K457" i="1"/>
  <c r="J457" i="1"/>
  <c r="I457" i="1"/>
  <c r="H457" i="1"/>
  <c r="G457" i="1"/>
  <c r="F457" i="1"/>
  <c r="E457" i="1"/>
  <c r="D457" i="1"/>
  <c r="C457" i="1"/>
  <c r="B457" i="1"/>
  <c r="X456" i="1"/>
  <c r="V456" i="1"/>
  <c r="U456" i="1"/>
  <c r="Q456" i="1"/>
  <c r="P456" i="1"/>
  <c r="O456" i="1"/>
  <c r="N456" i="1"/>
  <c r="M456" i="1"/>
  <c r="L456" i="1"/>
  <c r="K456" i="1"/>
  <c r="J456" i="1"/>
  <c r="I456" i="1"/>
  <c r="H456" i="1"/>
  <c r="G456" i="1"/>
  <c r="F456" i="1"/>
  <c r="E456" i="1"/>
  <c r="D456" i="1"/>
  <c r="C456" i="1"/>
  <c r="B456" i="1"/>
  <c r="X455" i="1"/>
  <c r="V455" i="1"/>
  <c r="U455" i="1"/>
  <c r="N455" i="1"/>
  <c r="M455" i="1"/>
  <c r="L455" i="1"/>
  <c r="K455" i="1"/>
  <c r="J455" i="1"/>
  <c r="I455" i="1"/>
  <c r="H455" i="1"/>
  <c r="G455" i="1"/>
  <c r="F455" i="1"/>
  <c r="E455" i="1"/>
  <c r="D455" i="1"/>
  <c r="C455" i="1"/>
  <c r="B455" i="1"/>
  <c r="X454" i="1"/>
  <c r="V454" i="1"/>
  <c r="U454" i="1"/>
  <c r="T454" i="1"/>
  <c r="S454" i="1"/>
  <c r="R454" i="1"/>
  <c r="Q454" i="1"/>
  <c r="P454" i="1"/>
  <c r="O454" i="1"/>
  <c r="N454" i="1"/>
  <c r="M454" i="1"/>
  <c r="L454" i="1"/>
  <c r="K454" i="1"/>
  <c r="J454" i="1"/>
  <c r="I454" i="1"/>
  <c r="H454" i="1"/>
  <c r="G454" i="1"/>
  <c r="F454" i="1"/>
  <c r="E454" i="1"/>
  <c r="D454" i="1"/>
  <c r="C454" i="1"/>
  <c r="B454" i="1"/>
  <c r="X453" i="1"/>
  <c r="V453" i="1"/>
  <c r="U453" i="1"/>
  <c r="Q453" i="1"/>
  <c r="P453" i="1"/>
  <c r="O453" i="1"/>
  <c r="N453" i="1"/>
  <c r="M453" i="1"/>
  <c r="L453" i="1"/>
  <c r="K453" i="1"/>
  <c r="J453" i="1"/>
  <c r="I453" i="1"/>
  <c r="H453" i="1"/>
  <c r="G453" i="1"/>
  <c r="F453" i="1"/>
  <c r="E453" i="1"/>
  <c r="D453" i="1"/>
  <c r="C453" i="1"/>
  <c r="B453" i="1"/>
  <c r="X452" i="1"/>
  <c r="V452" i="1"/>
  <c r="U452" i="1"/>
  <c r="T452" i="1"/>
  <c r="S452" i="1"/>
  <c r="R452" i="1"/>
  <c r="Q452" i="1"/>
  <c r="P452" i="1"/>
  <c r="O452" i="1"/>
  <c r="N452" i="1"/>
  <c r="M452" i="1"/>
  <c r="L452" i="1"/>
  <c r="K452" i="1"/>
  <c r="J452" i="1"/>
  <c r="I452" i="1"/>
  <c r="H452" i="1"/>
  <c r="G452" i="1"/>
  <c r="F452" i="1"/>
  <c r="E452" i="1"/>
  <c r="D452" i="1"/>
  <c r="C452" i="1"/>
  <c r="B452" i="1"/>
  <c r="X451" i="1"/>
  <c r="V451" i="1"/>
  <c r="U451" i="1"/>
  <c r="Q451" i="1"/>
  <c r="P451" i="1"/>
  <c r="O451" i="1"/>
  <c r="N451" i="1"/>
  <c r="M451" i="1"/>
  <c r="L451" i="1"/>
  <c r="K451" i="1"/>
  <c r="J451" i="1"/>
  <c r="I451" i="1"/>
  <c r="H451" i="1"/>
  <c r="G451" i="1"/>
  <c r="F451" i="1"/>
  <c r="E451" i="1"/>
  <c r="D451" i="1"/>
  <c r="C451" i="1"/>
  <c r="B451" i="1"/>
  <c r="X450" i="1"/>
  <c r="V450" i="1"/>
  <c r="U450" i="1"/>
  <c r="N450" i="1"/>
  <c r="M450" i="1"/>
  <c r="L450" i="1"/>
  <c r="K450" i="1"/>
  <c r="J450" i="1"/>
  <c r="I450" i="1"/>
  <c r="H450" i="1"/>
  <c r="G450" i="1"/>
  <c r="F450" i="1"/>
  <c r="E450" i="1"/>
  <c r="D450" i="1"/>
  <c r="C450" i="1"/>
  <c r="B450" i="1"/>
  <c r="X449" i="1"/>
  <c r="V449" i="1"/>
  <c r="U449" i="1"/>
  <c r="T449" i="1"/>
  <c r="S449" i="1"/>
  <c r="R449" i="1"/>
  <c r="Q449" i="1"/>
  <c r="P449" i="1"/>
  <c r="O449" i="1"/>
  <c r="N449" i="1"/>
  <c r="M449" i="1"/>
  <c r="L449" i="1"/>
  <c r="K449" i="1"/>
  <c r="J449" i="1"/>
  <c r="I449" i="1"/>
  <c r="H449" i="1"/>
  <c r="G449" i="1"/>
  <c r="F449" i="1"/>
  <c r="E449" i="1"/>
  <c r="D449" i="1"/>
  <c r="C449" i="1"/>
  <c r="B449" i="1"/>
  <c r="X448" i="1"/>
  <c r="V448" i="1"/>
  <c r="U448" i="1"/>
  <c r="T448" i="1"/>
  <c r="S448" i="1"/>
  <c r="R448" i="1"/>
  <c r="Q448" i="1"/>
  <c r="P448" i="1"/>
  <c r="O448" i="1"/>
  <c r="N448" i="1"/>
  <c r="M448" i="1"/>
  <c r="L448" i="1"/>
  <c r="K448" i="1"/>
  <c r="J448" i="1"/>
  <c r="I448" i="1"/>
  <c r="H448" i="1"/>
  <c r="G448" i="1"/>
  <c r="F448" i="1"/>
  <c r="E448" i="1"/>
  <c r="D448" i="1"/>
  <c r="C448" i="1"/>
  <c r="B448" i="1"/>
  <c r="X447" i="1"/>
  <c r="V447" i="1"/>
  <c r="U447" i="1"/>
  <c r="Q447" i="1"/>
  <c r="P447" i="1"/>
  <c r="O447" i="1"/>
  <c r="N447" i="1"/>
  <c r="M447" i="1"/>
  <c r="L447" i="1"/>
  <c r="K447" i="1"/>
  <c r="J447" i="1"/>
  <c r="I447" i="1"/>
  <c r="H447" i="1"/>
  <c r="G447" i="1"/>
  <c r="F447" i="1"/>
  <c r="E447" i="1"/>
  <c r="D447" i="1"/>
  <c r="C447" i="1"/>
  <c r="B447" i="1"/>
  <c r="X446" i="1"/>
  <c r="V446" i="1"/>
  <c r="U446" i="1"/>
  <c r="N446" i="1"/>
  <c r="M446" i="1"/>
  <c r="L446" i="1"/>
  <c r="K446" i="1"/>
  <c r="J446" i="1"/>
  <c r="I446" i="1"/>
  <c r="H446" i="1"/>
  <c r="G446" i="1"/>
  <c r="F446" i="1"/>
  <c r="E446" i="1"/>
  <c r="D446" i="1"/>
  <c r="C446" i="1"/>
  <c r="B446" i="1"/>
  <c r="X445" i="1"/>
  <c r="V445" i="1"/>
  <c r="U445" i="1"/>
  <c r="Q445" i="1"/>
  <c r="P445" i="1"/>
  <c r="O445" i="1"/>
  <c r="N445" i="1"/>
  <c r="M445" i="1"/>
  <c r="L445" i="1"/>
  <c r="K445" i="1"/>
  <c r="J445" i="1"/>
  <c r="I445" i="1"/>
  <c r="H445" i="1"/>
  <c r="G445" i="1"/>
  <c r="F445" i="1"/>
  <c r="E445" i="1"/>
  <c r="D445" i="1"/>
  <c r="C445" i="1"/>
  <c r="B445" i="1"/>
  <c r="X444" i="1"/>
  <c r="V444" i="1"/>
  <c r="U444" i="1"/>
  <c r="Q444" i="1"/>
  <c r="P444" i="1"/>
  <c r="O444" i="1"/>
  <c r="N444" i="1"/>
  <c r="M444" i="1"/>
  <c r="L444" i="1"/>
  <c r="K444" i="1"/>
  <c r="J444" i="1"/>
  <c r="I444" i="1"/>
  <c r="H444" i="1"/>
  <c r="G444" i="1"/>
  <c r="F444" i="1"/>
  <c r="E444" i="1"/>
  <c r="D444" i="1"/>
  <c r="C444" i="1"/>
  <c r="B444" i="1"/>
  <c r="X443" i="1"/>
  <c r="V443" i="1"/>
  <c r="U443" i="1"/>
  <c r="T443" i="1"/>
  <c r="S443" i="1"/>
  <c r="R443" i="1"/>
  <c r="Q443" i="1"/>
  <c r="P443" i="1"/>
  <c r="O443" i="1"/>
  <c r="N443" i="1"/>
  <c r="M443" i="1"/>
  <c r="L443" i="1"/>
  <c r="K443" i="1"/>
  <c r="J443" i="1"/>
  <c r="I443" i="1"/>
  <c r="H443" i="1"/>
  <c r="G443" i="1"/>
  <c r="F443" i="1"/>
  <c r="E443" i="1"/>
  <c r="D443" i="1"/>
  <c r="C443" i="1"/>
  <c r="B443" i="1"/>
  <c r="X442" i="1"/>
  <c r="V442" i="1"/>
  <c r="U442" i="1"/>
  <c r="T442" i="1"/>
  <c r="S442" i="1"/>
  <c r="R442" i="1"/>
  <c r="Q442" i="1"/>
  <c r="P442" i="1"/>
  <c r="O442" i="1"/>
  <c r="N442" i="1"/>
  <c r="M442" i="1"/>
  <c r="L442" i="1"/>
  <c r="K442" i="1"/>
  <c r="J442" i="1"/>
  <c r="I442" i="1"/>
  <c r="H442" i="1"/>
  <c r="G442" i="1"/>
  <c r="F442" i="1"/>
  <c r="E442" i="1"/>
  <c r="D442" i="1"/>
  <c r="C442" i="1"/>
  <c r="B442" i="1"/>
  <c r="X441" i="1"/>
  <c r="V441" i="1"/>
  <c r="U441" i="1"/>
  <c r="T441" i="1"/>
  <c r="S441" i="1"/>
  <c r="R441" i="1"/>
  <c r="Q441" i="1"/>
  <c r="P441" i="1"/>
  <c r="O441" i="1"/>
  <c r="N441" i="1"/>
  <c r="M441" i="1"/>
  <c r="L441" i="1"/>
  <c r="K441" i="1"/>
  <c r="J441" i="1"/>
  <c r="I441" i="1"/>
  <c r="H441" i="1"/>
  <c r="G441" i="1"/>
  <c r="F441" i="1"/>
  <c r="E441" i="1"/>
  <c r="D441" i="1"/>
  <c r="C441" i="1"/>
  <c r="B441" i="1"/>
  <c r="X440" i="1"/>
  <c r="V440" i="1"/>
  <c r="U440" i="1"/>
  <c r="T440" i="1"/>
  <c r="S440" i="1"/>
  <c r="R440" i="1"/>
  <c r="Q440" i="1"/>
  <c r="P440" i="1"/>
  <c r="O440" i="1"/>
  <c r="N440" i="1"/>
  <c r="M440" i="1"/>
  <c r="L440" i="1"/>
  <c r="K440" i="1"/>
  <c r="J440" i="1"/>
  <c r="I440" i="1"/>
  <c r="H440" i="1"/>
  <c r="G440" i="1"/>
  <c r="F440" i="1"/>
  <c r="E440" i="1"/>
  <c r="D440" i="1"/>
  <c r="C440" i="1"/>
  <c r="B440" i="1"/>
  <c r="X439" i="1"/>
  <c r="V439" i="1"/>
  <c r="U439" i="1"/>
  <c r="Q439" i="1"/>
  <c r="P439" i="1"/>
  <c r="O439" i="1"/>
  <c r="N439" i="1"/>
  <c r="M439" i="1"/>
  <c r="L439" i="1"/>
  <c r="K439" i="1"/>
  <c r="J439" i="1"/>
  <c r="I439" i="1"/>
  <c r="H439" i="1"/>
  <c r="G439" i="1"/>
  <c r="F439" i="1"/>
  <c r="E439" i="1"/>
  <c r="D439" i="1"/>
  <c r="C439" i="1"/>
  <c r="B439" i="1"/>
  <c r="X438" i="1"/>
  <c r="V438" i="1"/>
  <c r="U438" i="1"/>
  <c r="T438" i="1"/>
  <c r="S438" i="1"/>
  <c r="R438" i="1"/>
  <c r="Q438" i="1"/>
  <c r="P438" i="1"/>
  <c r="O438" i="1"/>
  <c r="N438" i="1"/>
  <c r="M438" i="1"/>
  <c r="L438" i="1"/>
  <c r="K438" i="1"/>
  <c r="J438" i="1"/>
  <c r="I438" i="1"/>
  <c r="H438" i="1"/>
  <c r="G438" i="1"/>
  <c r="F438" i="1"/>
  <c r="E438" i="1"/>
  <c r="D438" i="1"/>
  <c r="C438" i="1"/>
  <c r="B438" i="1"/>
  <c r="X437" i="1"/>
  <c r="V437" i="1"/>
  <c r="U437" i="1"/>
  <c r="T437" i="1"/>
  <c r="S437" i="1"/>
  <c r="R437" i="1"/>
  <c r="Q437" i="1"/>
  <c r="P437" i="1"/>
  <c r="O437" i="1"/>
  <c r="N437" i="1"/>
  <c r="M437" i="1"/>
  <c r="L437" i="1"/>
  <c r="K437" i="1"/>
  <c r="J437" i="1"/>
  <c r="I437" i="1"/>
  <c r="H437" i="1"/>
  <c r="G437" i="1"/>
  <c r="F437" i="1"/>
  <c r="E437" i="1"/>
  <c r="D437" i="1"/>
  <c r="C437" i="1"/>
  <c r="B437" i="1"/>
  <c r="X436" i="1"/>
  <c r="V436" i="1"/>
  <c r="U436" i="1"/>
  <c r="N436" i="1"/>
  <c r="M436" i="1"/>
  <c r="L436" i="1"/>
  <c r="K436" i="1"/>
  <c r="J436" i="1"/>
  <c r="I436" i="1"/>
  <c r="H436" i="1"/>
  <c r="G436" i="1"/>
  <c r="F436" i="1"/>
  <c r="E436" i="1"/>
  <c r="D436" i="1"/>
  <c r="C436" i="1"/>
  <c r="B436" i="1"/>
  <c r="X435" i="1"/>
  <c r="V435" i="1"/>
  <c r="U435" i="1"/>
  <c r="T435" i="1"/>
  <c r="S435" i="1"/>
  <c r="R435" i="1"/>
  <c r="Q435" i="1"/>
  <c r="P435" i="1"/>
  <c r="O435" i="1"/>
  <c r="N435" i="1"/>
  <c r="M435" i="1"/>
  <c r="L435" i="1"/>
  <c r="K435" i="1"/>
  <c r="J435" i="1"/>
  <c r="I435" i="1"/>
  <c r="H435" i="1"/>
  <c r="G435" i="1"/>
  <c r="F435" i="1"/>
  <c r="E435" i="1"/>
  <c r="D435" i="1"/>
  <c r="C435" i="1"/>
  <c r="B435" i="1"/>
  <c r="X434" i="1"/>
  <c r="V434" i="1"/>
  <c r="U434" i="1"/>
  <c r="N434" i="1"/>
  <c r="M434" i="1"/>
  <c r="L434" i="1"/>
  <c r="K434" i="1"/>
  <c r="J434" i="1"/>
  <c r="I434" i="1"/>
  <c r="H434" i="1"/>
  <c r="G434" i="1"/>
  <c r="F434" i="1"/>
  <c r="E434" i="1"/>
  <c r="D434" i="1"/>
  <c r="C434" i="1"/>
  <c r="B434" i="1"/>
  <c r="X433" i="1"/>
  <c r="V433" i="1"/>
  <c r="U433" i="1"/>
  <c r="Q433" i="1"/>
  <c r="P433" i="1"/>
  <c r="O433" i="1"/>
  <c r="N433" i="1"/>
  <c r="M433" i="1"/>
  <c r="L433" i="1"/>
  <c r="K433" i="1"/>
  <c r="J433" i="1"/>
  <c r="I433" i="1"/>
  <c r="H433" i="1"/>
  <c r="G433" i="1"/>
  <c r="F433" i="1"/>
  <c r="E433" i="1"/>
  <c r="D433" i="1"/>
  <c r="C433" i="1"/>
  <c r="B433" i="1"/>
  <c r="X432" i="1"/>
  <c r="V432" i="1"/>
  <c r="U432" i="1"/>
  <c r="T432" i="1"/>
  <c r="S432" i="1"/>
  <c r="R432" i="1"/>
  <c r="Q432" i="1"/>
  <c r="P432" i="1"/>
  <c r="O432" i="1"/>
  <c r="N432" i="1"/>
  <c r="M432" i="1"/>
  <c r="L432" i="1"/>
  <c r="K432" i="1"/>
  <c r="J432" i="1"/>
  <c r="I432" i="1"/>
  <c r="H432" i="1"/>
  <c r="G432" i="1"/>
  <c r="F432" i="1"/>
  <c r="E432" i="1"/>
  <c r="D432" i="1"/>
  <c r="C432" i="1"/>
  <c r="B432" i="1"/>
  <c r="X431" i="1"/>
  <c r="V431" i="1"/>
  <c r="U431" i="1"/>
  <c r="T431" i="1"/>
  <c r="S431" i="1"/>
  <c r="R431" i="1"/>
  <c r="Q431" i="1"/>
  <c r="P431" i="1"/>
  <c r="O431" i="1"/>
  <c r="N431" i="1"/>
  <c r="M431" i="1"/>
  <c r="L431" i="1"/>
  <c r="K431" i="1"/>
  <c r="J431" i="1"/>
  <c r="I431" i="1"/>
  <c r="H431" i="1"/>
  <c r="G431" i="1"/>
  <c r="F431" i="1"/>
  <c r="E431" i="1"/>
  <c r="D431" i="1"/>
  <c r="C431" i="1"/>
  <c r="B431" i="1"/>
  <c r="X430" i="1"/>
  <c r="V430" i="1"/>
  <c r="U430" i="1"/>
  <c r="T430" i="1"/>
  <c r="S430" i="1"/>
  <c r="R430" i="1"/>
  <c r="Q430" i="1"/>
  <c r="P430" i="1"/>
  <c r="O430" i="1"/>
  <c r="N430" i="1"/>
  <c r="M430" i="1"/>
  <c r="L430" i="1"/>
  <c r="K430" i="1"/>
  <c r="J430" i="1"/>
  <c r="I430" i="1"/>
  <c r="H430" i="1"/>
  <c r="G430" i="1"/>
  <c r="F430" i="1"/>
  <c r="E430" i="1"/>
  <c r="D430" i="1"/>
  <c r="C430" i="1"/>
  <c r="B430" i="1"/>
  <c r="X429" i="1"/>
  <c r="V429" i="1"/>
  <c r="U429" i="1"/>
  <c r="T429" i="1"/>
  <c r="S429" i="1"/>
  <c r="R429" i="1"/>
  <c r="Q429" i="1"/>
  <c r="P429" i="1"/>
  <c r="O429" i="1"/>
  <c r="N429" i="1"/>
  <c r="M429" i="1"/>
  <c r="L429" i="1"/>
  <c r="K429" i="1"/>
  <c r="J429" i="1"/>
  <c r="I429" i="1"/>
  <c r="H429" i="1"/>
  <c r="G429" i="1"/>
  <c r="F429" i="1"/>
  <c r="E429" i="1"/>
  <c r="D429" i="1"/>
  <c r="C429" i="1"/>
  <c r="B429" i="1"/>
  <c r="X428" i="1"/>
  <c r="V428" i="1"/>
  <c r="U428" i="1"/>
  <c r="T428" i="1"/>
  <c r="S428" i="1"/>
  <c r="R428" i="1"/>
  <c r="Q428" i="1"/>
  <c r="P428" i="1"/>
  <c r="O428" i="1"/>
  <c r="N428" i="1"/>
  <c r="M428" i="1"/>
  <c r="L428" i="1"/>
  <c r="K428" i="1"/>
  <c r="J428" i="1"/>
  <c r="I428" i="1"/>
  <c r="H428" i="1"/>
  <c r="G428" i="1"/>
  <c r="F428" i="1"/>
  <c r="E428" i="1"/>
  <c r="D428" i="1"/>
  <c r="C428" i="1"/>
  <c r="B428" i="1"/>
  <c r="X427" i="1"/>
  <c r="V427" i="1"/>
  <c r="U427" i="1"/>
  <c r="Q427" i="1"/>
  <c r="P427" i="1"/>
  <c r="O427" i="1"/>
  <c r="N427" i="1"/>
  <c r="M427" i="1"/>
  <c r="L427" i="1"/>
  <c r="K427" i="1"/>
  <c r="J427" i="1"/>
  <c r="I427" i="1"/>
  <c r="H427" i="1"/>
  <c r="G427" i="1"/>
  <c r="F427" i="1"/>
  <c r="E427" i="1"/>
  <c r="D427" i="1"/>
  <c r="C427" i="1"/>
  <c r="B427" i="1"/>
  <c r="X426" i="1"/>
  <c r="V426" i="1"/>
  <c r="U426" i="1"/>
  <c r="T426" i="1"/>
  <c r="S426" i="1"/>
  <c r="R426" i="1"/>
  <c r="Q426" i="1"/>
  <c r="P426" i="1"/>
  <c r="O426" i="1"/>
  <c r="N426" i="1"/>
  <c r="M426" i="1"/>
  <c r="L426" i="1"/>
  <c r="K426" i="1"/>
  <c r="J426" i="1"/>
  <c r="I426" i="1"/>
  <c r="H426" i="1"/>
  <c r="G426" i="1"/>
  <c r="F426" i="1"/>
  <c r="E426" i="1"/>
  <c r="D426" i="1"/>
  <c r="C426" i="1"/>
  <c r="B426" i="1"/>
  <c r="X425" i="1"/>
  <c r="V425" i="1"/>
  <c r="U425" i="1"/>
  <c r="T425" i="1"/>
  <c r="S425" i="1"/>
  <c r="R425" i="1"/>
  <c r="Q425" i="1"/>
  <c r="P425" i="1"/>
  <c r="O425" i="1"/>
  <c r="N425" i="1"/>
  <c r="M425" i="1"/>
  <c r="L425" i="1"/>
  <c r="K425" i="1"/>
  <c r="J425" i="1"/>
  <c r="I425" i="1"/>
  <c r="H425" i="1"/>
  <c r="G425" i="1"/>
  <c r="F425" i="1"/>
  <c r="E425" i="1"/>
  <c r="D425" i="1"/>
  <c r="C425" i="1"/>
  <c r="B425" i="1"/>
  <c r="X424" i="1"/>
  <c r="V424" i="1"/>
  <c r="U424" i="1"/>
  <c r="T424" i="1"/>
  <c r="S424" i="1"/>
  <c r="R424" i="1"/>
  <c r="Q424" i="1"/>
  <c r="P424" i="1"/>
  <c r="O424" i="1"/>
  <c r="N424" i="1"/>
  <c r="M424" i="1"/>
  <c r="L424" i="1"/>
  <c r="K424" i="1"/>
  <c r="J424" i="1"/>
  <c r="I424" i="1"/>
  <c r="H424" i="1"/>
  <c r="G424" i="1"/>
  <c r="F424" i="1"/>
  <c r="E424" i="1"/>
  <c r="D424" i="1"/>
  <c r="C424" i="1"/>
  <c r="B424" i="1"/>
  <c r="X423" i="1"/>
  <c r="V423" i="1"/>
  <c r="U423" i="1"/>
  <c r="T423" i="1"/>
  <c r="S423" i="1"/>
  <c r="R423" i="1"/>
  <c r="Q423" i="1"/>
  <c r="P423" i="1"/>
  <c r="O423" i="1"/>
  <c r="N423" i="1"/>
  <c r="M423" i="1"/>
  <c r="L423" i="1"/>
  <c r="K423" i="1"/>
  <c r="J423" i="1"/>
  <c r="I423" i="1"/>
  <c r="H423" i="1"/>
  <c r="G423" i="1"/>
  <c r="F423" i="1"/>
  <c r="E423" i="1"/>
  <c r="D423" i="1"/>
  <c r="C423" i="1"/>
  <c r="B423" i="1"/>
  <c r="X422" i="1"/>
  <c r="V422" i="1"/>
  <c r="U422" i="1"/>
  <c r="T422" i="1"/>
  <c r="S422" i="1"/>
  <c r="R422" i="1"/>
  <c r="Q422" i="1"/>
  <c r="P422" i="1"/>
  <c r="O422" i="1"/>
  <c r="N422" i="1"/>
  <c r="M422" i="1"/>
  <c r="L422" i="1"/>
  <c r="K422" i="1"/>
  <c r="J422" i="1"/>
  <c r="I422" i="1"/>
  <c r="H422" i="1"/>
  <c r="G422" i="1"/>
  <c r="F422" i="1"/>
  <c r="E422" i="1"/>
  <c r="D422" i="1"/>
  <c r="C422" i="1"/>
  <c r="B422" i="1"/>
  <c r="X421" i="1"/>
  <c r="V421" i="1"/>
  <c r="U421" i="1"/>
  <c r="Q421" i="1"/>
  <c r="P421" i="1"/>
  <c r="O421" i="1"/>
  <c r="N421" i="1"/>
  <c r="M421" i="1"/>
  <c r="L421" i="1"/>
  <c r="K421" i="1"/>
  <c r="J421" i="1"/>
  <c r="I421" i="1"/>
  <c r="H421" i="1"/>
  <c r="G421" i="1"/>
  <c r="F421" i="1"/>
  <c r="E421" i="1"/>
  <c r="D421" i="1"/>
  <c r="C421" i="1"/>
  <c r="B421" i="1"/>
  <c r="X420" i="1"/>
  <c r="V420" i="1"/>
  <c r="U420" i="1"/>
  <c r="T420" i="1"/>
  <c r="S420" i="1"/>
  <c r="R420" i="1"/>
  <c r="Q420" i="1"/>
  <c r="P420" i="1"/>
  <c r="O420" i="1"/>
  <c r="N420" i="1"/>
  <c r="M420" i="1"/>
  <c r="L420" i="1"/>
  <c r="K420" i="1"/>
  <c r="J420" i="1"/>
  <c r="I420" i="1"/>
  <c r="H420" i="1"/>
  <c r="G420" i="1"/>
  <c r="F420" i="1"/>
  <c r="E420" i="1"/>
  <c r="D420" i="1"/>
  <c r="C420" i="1"/>
  <c r="B420" i="1"/>
  <c r="X419" i="1"/>
  <c r="V419" i="1"/>
  <c r="U419" i="1"/>
  <c r="Q419" i="1"/>
  <c r="P419" i="1"/>
  <c r="O419" i="1"/>
  <c r="N419" i="1"/>
  <c r="M419" i="1"/>
  <c r="L419" i="1"/>
  <c r="K419" i="1"/>
  <c r="J419" i="1"/>
  <c r="I419" i="1"/>
  <c r="H419" i="1"/>
  <c r="G419" i="1"/>
  <c r="F419" i="1"/>
  <c r="E419" i="1"/>
  <c r="D419" i="1"/>
  <c r="C419" i="1"/>
  <c r="B419" i="1"/>
  <c r="X418" i="1"/>
  <c r="V418" i="1"/>
  <c r="U418" i="1"/>
  <c r="T418" i="1"/>
  <c r="S418" i="1"/>
  <c r="R418" i="1"/>
  <c r="Q418" i="1"/>
  <c r="P418" i="1"/>
  <c r="O418" i="1"/>
  <c r="N418" i="1"/>
  <c r="M418" i="1"/>
  <c r="L418" i="1"/>
  <c r="K418" i="1"/>
  <c r="J418" i="1"/>
  <c r="I418" i="1"/>
  <c r="H418" i="1"/>
  <c r="G418" i="1"/>
  <c r="F418" i="1"/>
  <c r="E418" i="1"/>
  <c r="D418" i="1"/>
  <c r="C418" i="1"/>
  <c r="B418" i="1"/>
  <c r="X417" i="1"/>
  <c r="V417" i="1"/>
  <c r="U417" i="1"/>
  <c r="Q417" i="1"/>
  <c r="P417" i="1"/>
  <c r="O417" i="1"/>
  <c r="N417" i="1"/>
  <c r="M417" i="1"/>
  <c r="L417" i="1"/>
  <c r="K417" i="1"/>
  <c r="J417" i="1"/>
  <c r="I417" i="1"/>
  <c r="H417" i="1"/>
  <c r="G417" i="1"/>
  <c r="F417" i="1"/>
  <c r="E417" i="1"/>
  <c r="D417" i="1"/>
  <c r="C417" i="1"/>
  <c r="B417" i="1"/>
  <c r="X416" i="1"/>
  <c r="V416" i="1"/>
  <c r="U416" i="1"/>
  <c r="T416" i="1"/>
  <c r="S416" i="1"/>
  <c r="R416" i="1"/>
  <c r="Q416" i="1"/>
  <c r="P416" i="1"/>
  <c r="O416" i="1"/>
  <c r="N416" i="1"/>
  <c r="M416" i="1"/>
  <c r="L416" i="1"/>
  <c r="K416" i="1"/>
  <c r="J416" i="1"/>
  <c r="I416" i="1"/>
  <c r="H416" i="1"/>
  <c r="G416" i="1"/>
  <c r="F416" i="1"/>
  <c r="E416" i="1"/>
  <c r="D416" i="1"/>
  <c r="C416" i="1"/>
  <c r="B416" i="1"/>
  <c r="X415" i="1"/>
  <c r="V415" i="1"/>
  <c r="U415" i="1"/>
  <c r="T415" i="1"/>
  <c r="S415" i="1"/>
  <c r="R415" i="1"/>
  <c r="Q415" i="1"/>
  <c r="P415" i="1"/>
  <c r="O415" i="1"/>
  <c r="N415" i="1"/>
  <c r="M415" i="1"/>
  <c r="L415" i="1"/>
  <c r="K415" i="1"/>
  <c r="J415" i="1"/>
  <c r="I415" i="1"/>
  <c r="H415" i="1"/>
  <c r="G415" i="1"/>
  <c r="F415" i="1"/>
  <c r="E415" i="1"/>
  <c r="D415" i="1"/>
  <c r="C415" i="1"/>
  <c r="B415" i="1"/>
  <c r="X414" i="1"/>
  <c r="V414" i="1"/>
  <c r="U414" i="1"/>
  <c r="Q414" i="1"/>
  <c r="P414" i="1"/>
  <c r="O414" i="1"/>
  <c r="N414" i="1"/>
  <c r="M414" i="1"/>
  <c r="L414" i="1"/>
  <c r="K414" i="1"/>
  <c r="J414" i="1"/>
  <c r="I414" i="1"/>
  <c r="H414" i="1"/>
  <c r="G414" i="1"/>
  <c r="F414" i="1"/>
  <c r="E414" i="1"/>
  <c r="D414" i="1"/>
  <c r="C414" i="1"/>
  <c r="B414" i="1"/>
  <c r="X413" i="1"/>
  <c r="V413" i="1"/>
  <c r="U413" i="1"/>
  <c r="N413" i="1"/>
  <c r="M413" i="1"/>
  <c r="L413" i="1"/>
  <c r="K413" i="1"/>
  <c r="J413" i="1"/>
  <c r="I413" i="1"/>
  <c r="H413" i="1"/>
  <c r="G413" i="1"/>
  <c r="F413" i="1"/>
  <c r="E413" i="1"/>
  <c r="D413" i="1"/>
  <c r="C413" i="1"/>
  <c r="B413" i="1"/>
  <c r="X412" i="1"/>
  <c r="V412" i="1"/>
  <c r="U412" i="1"/>
  <c r="T412" i="1"/>
  <c r="S412" i="1"/>
  <c r="R412" i="1"/>
  <c r="Q412" i="1"/>
  <c r="P412" i="1"/>
  <c r="O412" i="1"/>
  <c r="N412" i="1"/>
  <c r="M412" i="1"/>
  <c r="L412" i="1"/>
  <c r="K412" i="1"/>
  <c r="J412" i="1"/>
  <c r="I412" i="1"/>
  <c r="H412" i="1"/>
  <c r="G412" i="1"/>
  <c r="F412" i="1"/>
  <c r="E412" i="1"/>
  <c r="D412" i="1"/>
  <c r="C412" i="1"/>
  <c r="B412" i="1"/>
  <c r="X411" i="1"/>
  <c r="V411" i="1"/>
  <c r="U411" i="1"/>
  <c r="T411" i="1"/>
  <c r="S411" i="1"/>
  <c r="R411" i="1"/>
  <c r="Q411" i="1"/>
  <c r="P411" i="1"/>
  <c r="O411" i="1"/>
  <c r="N411" i="1"/>
  <c r="M411" i="1"/>
  <c r="L411" i="1"/>
  <c r="K411" i="1"/>
  <c r="J411" i="1"/>
  <c r="I411" i="1"/>
  <c r="H411" i="1"/>
  <c r="G411" i="1"/>
  <c r="F411" i="1"/>
  <c r="E411" i="1"/>
  <c r="D411" i="1"/>
  <c r="C411" i="1"/>
  <c r="B411" i="1"/>
  <c r="X410" i="1"/>
  <c r="V410" i="1"/>
  <c r="U410" i="1"/>
  <c r="Q410" i="1"/>
  <c r="P410" i="1"/>
  <c r="O410" i="1"/>
  <c r="N410" i="1"/>
  <c r="M410" i="1"/>
  <c r="L410" i="1"/>
  <c r="K410" i="1"/>
  <c r="J410" i="1"/>
  <c r="I410" i="1"/>
  <c r="H410" i="1"/>
  <c r="G410" i="1"/>
  <c r="F410" i="1"/>
  <c r="E410" i="1"/>
  <c r="D410" i="1"/>
  <c r="C410" i="1"/>
  <c r="B410" i="1"/>
  <c r="X409" i="1"/>
  <c r="V409" i="1"/>
  <c r="U409" i="1"/>
  <c r="T409" i="1"/>
  <c r="S409" i="1"/>
  <c r="R409" i="1"/>
  <c r="Q409" i="1"/>
  <c r="P409" i="1"/>
  <c r="O409" i="1"/>
  <c r="N409" i="1"/>
  <c r="M409" i="1"/>
  <c r="L409" i="1"/>
  <c r="K409" i="1"/>
  <c r="J409" i="1"/>
  <c r="I409" i="1"/>
  <c r="H409" i="1"/>
  <c r="G409" i="1"/>
  <c r="F409" i="1"/>
  <c r="E409" i="1"/>
  <c r="D409" i="1"/>
  <c r="C409" i="1"/>
  <c r="B409" i="1"/>
  <c r="X408" i="1"/>
  <c r="V408" i="1"/>
  <c r="U408" i="1"/>
  <c r="Q408" i="1"/>
  <c r="P408" i="1"/>
  <c r="O408" i="1"/>
  <c r="N408" i="1"/>
  <c r="M408" i="1"/>
  <c r="L408" i="1"/>
  <c r="K408" i="1"/>
  <c r="J408" i="1"/>
  <c r="I408" i="1"/>
  <c r="H408" i="1"/>
  <c r="G408" i="1"/>
  <c r="F408" i="1"/>
  <c r="E408" i="1"/>
  <c r="D408" i="1"/>
  <c r="C408" i="1"/>
  <c r="B408" i="1"/>
  <c r="X407" i="1"/>
  <c r="V407" i="1"/>
  <c r="U407" i="1"/>
  <c r="T407" i="1"/>
  <c r="S407" i="1"/>
  <c r="R407" i="1"/>
  <c r="Q407" i="1"/>
  <c r="P407" i="1"/>
  <c r="O407" i="1"/>
  <c r="N407" i="1"/>
  <c r="M407" i="1"/>
  <c r="L407" i="1"/>
  <c r="K407" i="1"/>
  <c r="J407" i="1"/>
  <c r="I407" i="1"/>
  <c r="H407" i="1"/>
  <c r="G407" i="1"/>
  <c r="F407" i="1"/>
  <c r="E407" i="1"/>
  <c r="D407" i="1"/>
  <c r="C407" i="1"/>
  <c r="B407" i="1"/>
  <c r="X406" i="1"/>
  <c r="V406" i="1"/>
  <c r="U406" i="1"/>
  <c r="Q406" i="1"/>
  <c r="P406" i="1"/>
  <c r="O406" i="1"/>
  <c r="N406" i="1"/>
  <c r="M406" i="1"/>
  <c r="L406" i="1"/>
  <c r="K406" i="1"/>
  <c r="J406" i="1"/>
  <c r="I406" i="1"/>
  <c r="H406" i="1"/>
  <c r="G406" i="1"/>
  <c r="F406" i="1"/>
  <c r="E406" i="1"/>
  <c r="D406" i="1"/>
  <c r="C406" i="1"/>
  <c r="B406" i="1"/>
  <c r="X405" i="1"/>
  <c r="V405" i="1"/>
  <c r="U405" i="1"/>
  <c r="T405" i="1"/>
  <c r="S405" i="1"/>
  <c r="R405" i="1"/>
  <c r="Q405" i="1"/>
  <c r="P405" i="1"/>
  <c r="O405" i="1"/>
  <c r="N405" i="1"/>
  <c r="M405" i="1"/>
  <c r="L405" i="1"/>
  <c r="K405" i="1"/>
  <c r="J405" i="1"/>
  <c r="I405" i="1"/>
  <c r="H405" i="1"/>
  <c r="G405" i="1"/>
  <c r="F405" i="1"/>
  <c r="E405" i="1"/>
  <c r="D405" i="1"/>
  <c r="C405" i="1"/>
  <c r="B405" i="1"/>
  <c r="X404" i="1"/>
  <c r="V404" i="1"/>
  <c r="U404" i="1"/>
  <c r="Q404" i="1"/>
  <c r="P404" i="1"/>
  <c r="O404" i="1"/>
  <c r="N404" i="1"/>
  <c r="M404" i="1"/>
  <c r="L404" i="1"/>
  <c r="K404" i="1"/>
  <c r="J404" i="1"/>
  <c r="I404" i="1"/>
  <c r="H404" i="1"/>
  <c r="G404" i="1"/>
  <c r="F404" i="1"/>
  <c r="E404" i="1"/>
  <c r="D404" i="1"/>
  <c r="C404" i="1"/>
  <c r="B404" i="1"/>
  <c r="X403" i="1"/>
  <c r="V403" i="1"/>
  <c r="U403" i="1"/>
  <c r="N403" i="1"/>
  <c r="M403" i="1"/>
  <c r="L403" i="1"/>
  <c r="K403" i="1"/>
  <c r="J403" i="1"/>
  <c r="I403" i="1"/>
  <c r="H403" i="1"/>
  <c r="G403" i="1"/>
  <c r="F403" i="1"/>
  <c r="E403" i="1"/>
  <c r="D403" i="1"/>
  <c r="C403" i="1"/>
  <c r="B403" i="1"/>
  <c r="X402" i="1"/>
  <c r="V402" i="1"/>
  <c r="U402" i="1"/>
  <c r="T402" i="1"/>
  <c r="S402" i="1"/>
  <c r="R402" i="1"/>
  <c r="Q402" i="1"/>
  <c r="P402" i="1"/>
  <c r="O402" i="1"/>
  <c r="N402" i="1"/>
  <c r="M402" i="1"/>
  <c r="L402" i="1"/>
  <c r="K402" i="1"/>
  <c r="J402" i="1"/>
  <c r="I402" i="1"/>
  <c r="H402" i="1"/>
  <c r="G402" i="1"/>
  <c r="F402" i="1"/>
  <c r="E402" i="1"/>
  <c r="D402" i="1"/>
  <c r="C402" i="1"/>
  <c r="B402" i="1"/>
  <c r="X401" i="1"/>
  <c r="V401" i="1"/>
  <c r="U401" i="1"/>
  <c r="T401" i="1"/>
  <c r="S401" i="1"/>
  <c r="R401" i="1"/>
  <c r="Q401" i="1"/>
  <c r="P401" i="1"/>
  <c r="O401" i="1"/>
  <c r="N401" i="1"/>
  <c r="M401" i="1"/>
  <c r="L401" i="1"/>
  <c r="K401" i="1"/>
  <c r="J401" i="1"/>
  <c r="I401" i="1"/>
  <c r="H401" i="1"/>
  <c r="G401" i="1"/>
  <c r="F401" i="1"/>
  <c r="E401" i="1"/>
  <c r="D401" i="1"/>
  <c r="C401" i="1"/>
  <c r="B401" i="1"/>
  <c r="X400" i="1"/>
  <c r="V400" i="1"/>
  <c r="U400" i="1"/>
  <c r="T400" i="1"/>
  <c r="S400" i="1"/>
  <c r="R400" i="1"/>
  <c r="Q400" i="1"/>
  <c r="P400" i="1"/>
  <c r="O400" i="1"/>
  <c r="N400" i="1"/>
  <c r="M400" i="1"/>
  <c r="L400" i="1"/>
  <c r="K400" i="1"/>
  <c r="J400" i="1"/>
  <c r="I400" i="1"/>
  <c r="H400" i="1"/>
  <c r="G400" i="1"/>
  <c r="F400" i="1"/>
  <c r="E400" i="1"/>
  <c r="D400" i="1"/>
  <c r="C400" i="1"/>
  <c r="B400" i="1"/>
  <c r="X399" i="1"/>
  <c r="V399" i="1"/>
  <c r="U399" i="1"/>
  <c r="Q399" i="1"/>
  <c r="P399" i="1"/>
  <c r="O399" i="1"/>
  <c r="N399" i="1"/>
  <c r="M399" i="1"/>
  <c r="L399" i="1"/>
  <c r="K399" i="1"/>
  <c r="J399" i="1"/>
  <c r="I399" i="1"/>
  <c r="H399" i="1"/>
  <c r="G399" i="1"/>
  <c r="F399" i="1"/>
  <c r="E399" i="1"/>
  <c r="D399" i="1"/>
  <c r="C399" i="1"/>
  <c r="B399" i="1"/>
  <c r="X398" i="1"/>
  <c r="V398" i="1"/>
  <c r="U398" i="1"/>
  <c r="Q398" i="1"/>
  <c r="P398" i="1"/>
  <c r="O398" i="1"/>
  <c r="N398" i="1"/>
  <c r="M398" i="1"/>
  <c r="L398" i="1"/>
  <c r="K398" i="1"/>
  <c r="J398" i="1"/>
  <c r="I398" i="1"/>
  <c r="H398" i="1"/>
  <c r="G398" i="1"/>
  <c r="F398" i="1"/>
  <c r="E398" i="1"/>
  <c r="D398" i="1"/>
  <c r="C398" i="1"/>
  <c r="B398" i="1"/>
  <c r="X397" i="1"/>
  <c r="V397" i="1"/>
  <c r="U397" i="1"/>
  <c r="T397" i="1"/>
  <c r="S397" i="1"/>
  <c r="R397" i="1"/>
  <c r="Q397" i="1"/>
  <c r="P397" i="1"/>
  <c r="O397" i="1"/>
  <c r="N397" i="1"/>
  <c r="M397" i="1"/>
  <c r="L397" i="1"/>
  <c r="K397" i="1"/>
  <c r="J397" i="1"/>
  <c r="I397" i="1"/>
  <c r="H397" i="1"/>
  <c r="G397" i="1"/>
  <c r="F397" i="1"/>
  <c r="E397" i="1"/>
  <c r="D397" i="1"/>
  <c r="C397" i="1"/>
  <c r="B397" i="1"/>
  <c r="X396" i="1"/>
  <c r="V396" i="1"/>
  <c r="U396" i="1"/>
  <c r="T396" i="1"/>
  <c r="S396" i="1"/>
  <c r="R396" i="1"/>
  <c r="Q396" i="1"/>
  <c r="P396" i="1"/>
  <c r="O396" i="1"/>
  <c r="N396" i="1"/>
  <c r="M396" i="1"/>
  <c r="L396" i="1"/>
  <c r="K396" i="1"/>
  <c r="J396" i="1"/>
  <c r="I396" i="1"/>
  <c r="H396" i="1"/>
  <c r="G396" i="1"/>
  <c r="F396" i="1"/>
  <c r="E396" i="1"/>
  <c r="D396" i="1"/>
  <c r="C396" i="1"/>
  <c r="B396" i="1"/>
  <c r="X395" i="1"/>
  <c r="V395" i="1"/>
  <c r="U395" i="1"/>
  <c r="T395" i="1"/>
  <c r="S395" i="1"/>
  <c r="R395" i="1"/>
  <c r="Q395" i="1"/>
  <c r="P395" i="1"/>
  <c r="O395" i="1"/>
  <c r="N395" i="1"/>
  <c r="M395" i="1"/>
  <c r="L395" i="1"/>
  <c r="K395" i="1"/>
  <c r="J395" i="1"/>
  <c r="I395" i="1"/>
  <c r="H395" i="1"/>
  <c r="G395" i="1"/>
  <c r="F395" i="1"/>
  <c r="E395" i="1"/>
  <c r="D395" i="1"/>
  <c r="C395" i="1"/>
  <c r="B395" i="1"/>
  <c r="X394" i="1"/>
  <c r="V394" i="1"/>
  <c r="U394" i="1"/>
  <c r="T394" i="1"/>
  <c r="S394" i="1"/>
  <c r="R394" i="1"/>
  <c r="Q394" i="1"/>
  <c r="P394" i="1"/>
  <c r="O394" i="1"/>
  <c r="N394" i="1"/>
  <c r="M394" i="1"/>
  <c r="L394" i="1"/>
  <c r="K394" i="1"/>
  <c r="J394" i="1"/>
  <c r="I394" i="1"/>
  <c r="H394" i="1"/>
  <c r="G394" i="1"/>
  <c r="F394" i="1"/>
  <c r="E394" i="1"/>
  <c r="D394" i="1"/>
  <c r="C394" i="1"/>
  <c r="B394" i="1"/>
  <c r="X393" i="1"/>
  <c r="V393" i="1"/>
  <c r="U393" i="1"/>
  <c r="T393" i="1"/>
  <c r="S393" i="1"/>
  <c r="R393" i="1"/>
  <c r="Q393" i="1"/>
  <c r="P393" i="1"/>
  <c r="O393" i="1"/>
  <c r="N393" i="1"/>
  <c r="M393" i="1"/>
  <c r="L393" i="1"/>
  <c r="K393" i="1"/>
  <c r="J393" i="1"/>
  <c r="I393" i="1"/>
  <c r="H393" i="1"/>
  <c r="G393" i="1"/>
  <c r="F393" i="1"/>
  <c r="E393" i="1"/>
  <c r="D393" i="1"/>
  <c r="C393" i="1"/>
  <c r="B393" i="1"/>
  <c r="X392" i="1"/>
  <c r="V392" i="1"/>
  <c r="U392" i="1"/>
  <c r="Q392" i="1"/>
  <c r="P392" i="1"/>
  <c r="O392" i="1"/>
  <c r="N392" i="1"/>
  <c r="M392" i="1"/>
  <c r="L392" i="1"/>
  <c r="K392" i="1"/>
  <c r="J392" i="1"/>
  <c r="I392" i="1"/>
  <c r="H392" i="1"/>
  <c r="G392" i="1"/>
  <c r="F392" i="1"/>
  <c r="E392" i="1"/>
  <c r="D392" i="1"/>
  <c r="C392" i="1"/>
  <c r="B392" i="1"/>
  <c r="X391" i="1"/>
  <c r="V391" i="1"/>
  <c r="U391" i="1"/>
  <c r="T391" i="1"/>
  <c r="S391" i="1"/>
  <c r="R391" i="1"/>
  <c r="Q391" i="1"/>
  <c r="P391" i="1"/>
  <c r="O391" i="1"/>
  <c r="N391" i="1"/>
  <c r="M391" i="1"/>
  <c r="L391" i="1"/>
  <c r="K391" i="1"/>
  <c r="J391" i="1"/>
  <c r="I391" i="1"/>
  <c r="H391" i="1"/>
  <c r="G391" i="1"/>
  <c r="F391" i="1"/>
  <c r="E391" i="1"/>
  <c r="D391" i="1"/>
  <c r="C391" i="1"/>
  <c r="B391" i="1"/>
  <c r="X390" i="1"/>
  <c r="V390" i="1"/>
  <c r="U390" i="1"/>
  <c r="T390" i="1"/>
  <c r="S390" i="1"/>
  <c r="R390" i="1"/>
  <c r="Q390" i="1"/>
  <c r="P390" i="1"/>
  <c r="O390" i="1"/>
  <c r="N390" i="1"/>
  <c r="M390" i="1"/>
  <c r="L390" i="1"/>
  <c r="K390" i="1"/>
  <c r="J390" i="1"/>
  <c r="I390" i="1"/>
  <c r="H390" i="1"/>
  <c r="G390" i="1"/>
  <c r="F390" i="1"/>
  <c r="E390" i="1"/>
  <c r="D390" i="1"/>
  <c r="C390" i="1"/>
  <c r="B390" i="1"/>
  <c r="X389" i="1"/>
  <c r="V389" i="1"/>
  <c r="U389" i="1"/>
  <c r="T389" i="1"/>
  <c r="S389" i="1"/>
  <c r="R389" i="1"/>
  <c r="Q389" i="1"/>
  <c r="P389" i="1"/>
  <c r="O389" i="1"/>
  <c r="N389" i="1"/>
  <c r="M389" i="1"/>
  <c r="L389" i="1"/>
  <c r="K389" i="1"/>
  <c r="J389" i="1"/>
  <c r="I389" i="1"/>
  <c r="H389" i="1"/>
  <c r="G389" i="1"/>
  <c r="F389" i="1"/>
  <c r="E389" i="1"/>
  <c r="D389" i="1"/>
  <c r="C389" i="1"/>
  <c r="B389" i="1"/>
  <c r="X388" i="1"/>
  <c r="V388" i="1"/>
  <c r="U388" i="1"/>
  <c r="T388" i="1"/>
  <c r="S388" i="1"/>
  <c r="R388" i="1"/>
  <c r="Q388" i="1"/>
  <c r="P388" i="1"/>
  <c r="O388" i="1"/>
  <c r="N388" i="1"/>
  <c r="M388" i="1"/>
  <c r="L388" i="1"/>
  <c r="K388" i="1"/>
  <c r="J388" i="1"/>
  <c r="I388" i="1"/>
  <c r="H388" i="1"/>
  <c r="G388" i="1"/>
  <c r="F388" i="1"/>
  <c r="E388" i="1"/>
  <c r="D388" i="1"/>
  <c r="C388" i="1"/>
  <c r="B388" i="1"/>
  <c r="X387" i="1"/>
  <c r="V387" i="1"/>
  <c r="U387" i="1"/>
  <c r="N387" i="1"/>
  <c r="M387" i="1"/>
  <c r="L387" i="1"/>
  <c r="K387" i="1"/>
  <c r="J387" i="1"/>
  <c r="I387" i="1"/>
  <c r="H387" i="1"/>
  <c r="G387" i="1"/>
  <c r="F387" i="1"/>
  <c r="E387" i="1"/>
  <c r="D387" i="1"/>
  <c r="C387" i="1"/>
  <c r="B387" i="1"/>
  <c r="X386" i="1"/>
  <c r="V386" i="1"/>
  <c r="U386" i="1"/>
  <c r="T386" i="1"/>
  <c r="S386" i="1"/>
  <c r="R386" i="1"/>
  <c r="Q386" i="1"/>
  <c r="P386" i="1"/>
  <c r="O386" i="1"/>
  <c r="N386" i="1"/>
  <c r="M386" i="1"/>
  <c r="L386" i="1"/>
  <c r="K386" i="1"/>
  <c r="J386" i="1"/>
  <c r="I386" i="1"/>
  <c r="H386" i="1"/>
  <c r="G386" i="1"/>
  <c r="F386" i="1"/>
  <c r="E386" i="1"/>
  <c r="D386" i="1"/>
  <c r="C386" i="1"/>
  <c r="B386" i="1"/>
  <c r="X385" i="1"/>
  <c r="V385" i="1"/>
  <c r="U385" i="1"/>
  <c r="T385" i="1"/>
  <c r="S385" i="1"/>
  <c r="R385" i="1"/>
  <c r="Q385" i="1"/>
  <c r="P385" i="1"/>
  <c r="O385" i="1"/>
  <c r="N385" i="1"/>
  <c r="M385" i="1"/>
  <c r="L385" i="1"/>
  <c r="K385" i="1"/>
  <c r="J385" i="1"/>
  <c r="I385" i="1"/>
  <c r="H385" i="1"/>
  <c r="G385" i="1"/>
  <c r="F385" i="1"/>
  <c r="E385" i="1"/>
  <c r="D385" i="1"/>
  <c r="C385" i="1"/>
  <c r="B385" i="1"/>
  <c r="X384" i="1"/>
  <c r="V384" i="1"/>
  <c r="U384" i="1"/>
  <c r="T384" i="1"/>
  <c r="S384" i="1"/>
  <c r="R384" i="1"/>
  <c r="Q384" i="1"/>
  <c r="P384" i="1"/>
  <c r="O384" i="1"/>
  <c r="N384" i="1"/>
  <c r="M384" i="1"/>
  <c r="L384" i="1"/>
  <c r="K384" i="1"/>
  <c r="J384" i="1"/>
  <c r="I384" i="1"/>
  <c r="H384" i="1"/>
  <c r="G384" i="1"/>
  <c r="F384" i="1"/>
  <c r="E384" i="1"/>
  <c r="D384" i="1"/>
  <c r="C384" i="1"/>
  <c r="B384" i="1"/>
  <c r="X383" i="1"/>
  <c r="V383" i="1"/>
  <c r="U383" i="1"/>
  <c r="T383" i="1"/>
  <c r="S383" i="1"/>
  <c r="R383" i="1"/>
  <c r="Q383" i="1"/>
  <c r="P383" i="1"/>
  <c r="O383" i="1"/>
  <c r="N383" i="1"/>
  <c r="M383" i="1"/>
  <c r="L383" i="1"/>
  <c r="K383" i="1"/>
  <c r="J383" i="1"/>
  <c r="I383" i="1"/>
  <c r="H383" i="1"/>
  <c r="G383" i="1"/>
  <c r="F383" i="1"/>
  <c r="E383" i="1"/>
  <c r="D383" i="1"/>
  <c r="C383" i="1"/>
  <c r="B383" i="1"/>
  <c r="X382" i="1"/>
  <c r="V382" i="1"/>
  <c r="U382" i="1"/>
  <c r="T382" i="1"/>
  <c r="S382" i="1"/>
  <c r="R382" i="1"/>
  <c r="Q382" i="1"/>
  <c r="P382" i="1"/>
  <c r="O382" i="1"/>
  <c r="N382" i="1"/>
  <c r="M382" i="1"/>
  <c r="L382" i="1"/>
  <c r="K382" i="1"/>
  <c r="J382" i="1"/>
  <c r="I382" i="1"/>
  <c r="G382" i="1"/>
  <c r="F382" i="1"/>
  <c r="E382" i="1"/>
  <c r="D382" i="1"/>
  <c r="C382" i="1"/>
  <c r="B382" i="1"/>
  <c r="X381" i="1"/>
  <c r="V381" i="1"/>
  <c r="U381" i="1"/>
  <c r="T381" i="1"/>
  <c r="S381" i="1"/>
  <c r="R381" i="1"/>
  <c r="Q381" i="1"/>
  <c r="P381" i="1"/>
  <c r="O381" i="1"/>
  <c r="N381" i="1"/>
  <c r="M381" i="1"/>
  <c r="L381" i="1"/>
  <c r="K381" i="1"/>
  <c r="J381" i="1"/>
  <c r="I381" i="1"/>
  <c r="H381" i="1"/>
  <c r="G381" i="1"/>
  <c r="F381" i="1"/>
  <c r="E381" i="1"/>
  <c r="D381" i="1"/>
  <c r="C381" i="1"/>
  <c r="B381" i="1"/>
  <c r="X380" i="1"/>
  <c r="V380" i="1"/>
  <c r="U380" i="1"/>
  <c r="N380" i="1"/>
  <c r="M380" i="1"/>
  <c r="L380" i="1"/>
  <c r="K380" i="1"/>
  <c r="J380" i="1"/>
  <c r="I380" i="1"/>
  <c r="H380" i="1"/>
  <c r="G380" i="1"/>
  <c r="F380" i="1"/>
  <c r="E380" i="1"/>
  <c r="D380" i="1"/>
  <c r="C380" i="1"/>
  <c r="B380" i="1"/>
  <c r="X379" i="1"/>
  <c r="V379" i="1"/>
  <c r="U379" i="1"/>
  <c r="T379" i="1"/>
  <c r="S379" i="1"/>
  <c r="R379" i="1"/>
  <c r="Q379" i="1"/>
  <c r="P379" i="1"/>
  <c r="O379" i="1"/>
  <c r="N379" i="1"/>
  <c r="M379" i="1"/>
  <c r="L379" i="1"/>
  <c r="K379" i="1"/>
  <c r="J379" i="1"/>
  <c r="I379" i="1"/>
  <c r="H379" i="1"/>
  <c r="G379" i="1"/>
  <c r="F379" i="1"/>
  <c r="E379" i="1"/>
  <c r="D379" i="1"/>
  <c r="C379" i="1"/>
  <c r="B379" i="1"/>
  <c r="X378" i="1"/>
  <c r="V378" i="1"/>
  <c r="U378" i="1"/>
  <c r="T378" i="1"/>
  <c r="S378" i="1"/>
  <c r="R378" i="1"/>
  <c r="Q378" i="1"/>
  <c r="P378" i="1"/>
  <c r="O378" i="1"/>
  <c r="N378" i="1"/>
  <c r="M378" i="1"/>
  <c r="L378" i="1"/>
  <c r="K378" i="1"/>
  <c r="J378" i="1"/>
  <c r="I378" i="1"/>
  <c r="H378" i="1"/>
  <c r="G378" i="1"/>
  <c r="F378" i="1"/>
  <c r="E378" i="1"/>
  <c r="D378" i="1"/>
  <c r="C378" i="1"/>
  <c r="B378" i="1"/>
  <c r="X377" i="1"/>
  <c r="V377" i="1"/>
  <c r="U377" i="1"/>
  <c r="Q377" i="1"/>
  <c r="P377" i="1"/>
  <c r="O377" i="1"/>
  <c r="N377" i="1"/>
  <c r="M377" i="1"/>
  <c r="L377" i="1"/>
  <c r="K377" i="1"/>
  <c r="J377" i="1"/>
  <c r="I377" i="1"/>
  <c r="H377" i="1"/>
  <c r="G377" i="1"/>
  <c r="F377" i="1"/>
  <c r="E377" i="1"/>
  <c r="D377" i="1"/>
  <c r="C377" i="1"/>
  <c r="B377" i="1"/>
  <c r="X376" i="1"/>
  <c r="V376" i="1"/>
  <c r="U376" i="1"/>
  <c r="N376" i="1"/>
  <c r="M376" i="1"/>
  <c r="L376" i="1"/>
  <c r="K376" i="1"/>
  <c r="J376" i="1"/>
  <c r="I376" i="1"/>
  <c r="H376" i="1"/>
  <c r="G376" i="1"/>
  <c r="F376" i="1"/>
  <c r="E376" i="1"/>
  <c r="D376" i="1"/>
  <c r="C376" i="1"/>
  <c r="B376" i="1"/>
  <c r="X375" i="1"/>
  <c r="W375" i="1"/>
  <c r="V375" i="1"/>
  <c r="U375" i="1"/>
  <c r="Q375" i="1"/>
  <c r="P375" i="1"/>
  <c r="O375" i="1"/>
  <c r="N375" i="1"/>
  <c r="M375" i="1"/>
  <c r="L375" i="1"/>
  <c r="K375" i="1"/>
  <c r="J375" i="1"/>
  <c r="I375" i="1"/>
  <c r="H375" i="1"/>
  <c r="G375" i="1"/>
  <c r="F375" i="1"/>
  <c r="E375" i="1"/>
  <c r="D375" i="1"/>
  <c r="C375" i="1"/>
  <c r="B375" i="1"/>
  <c r="X374" i="1"/>
  <c r="V374" i="1"/>
  <c r="U374" i="1"/>
  <c r="T374" i="1"/>
  <c r="S374" i="1"/>
  <c r="R374" i="1"/>
  <c r="Q374" i="1"/>
  <c r="P374" i="1"/>
  <c r="O374" i="1"/>
  <c r="N374" i="1"/>
  <c r="M374" i="1"/>
  <c r="L374" i="1"/>
  <c r="K374" i="1"/>
  <c r="J374" i="1"/>
  <c r="I374" i="1"/>
  <c r="H374" i="1"/>
  <c r="G374" i="1"/>
  <c r="F374" i="1"/>
  <c r="E374" i="1"/>
  <c r="D374" i="1"/>
  <c r="C374" i="1"/>
  <c r="B374" i="1"/>
  <c r="X373" i="1"/>
  <c r="V373" i="1"/>
  <c r="U373" i="1"/>
  <c r="Q373" i="1"/>
  <c r="P373" i="1"/>
  <c r="O373" i="1"/>
  <c r="N373" i="1"/>
  <c r="M373" i="1"/>
  <c r="L373" i="1"/>
  <c r="K373" i="1"/>
  <c r="J373" i="1"/>
  <c r="I373" i="1"/>
  <c r="H373" i="1"/>
  <c r="G373" i="1"/>
  <c r="F373" i="1"/>
  <c r="E373" i="1"/>
  <c r="D373" i="1"/>
  <c r="C373" i="1"/>
  <c r="B373" i="1"/>
  <c r="X372" i="1"/>
  <c r="V372" i="1"/>
  <c r="U372" i="1"/>
  <c r="N372" i="1"/>
  <c r="M372" i="1"/>
  <c r="L372" i="1"/>
  <c r="K372" i="1"/>
  <c r="J372" i="1"/>
  <c r="I372" i="1"/>
  <c r="H372" i="1"/>
  <c r="G372" i="1"/>
  <c r="F372" i="1"/>
  <c r="E372" i="1"/>
  <c r="D372" i="1"/>
  <c r="C372" i="1"/>
  <c r="B372" i="1"/>
  <c r="X371" i="1"/>
  <c r="V371" i="1"/>
  <c r="U371" i="1"/>
  <c r="T371" i="1"/>
  <c r="S371" i="1"/>
  <c r="R371" i="1"/>
  <c r="Q371" i="1"/>
  <c r="P371" i="1"/>
  <c r="O371" i="1"/>
  <c r="N371" i="1"/>
  <c r="M371" i="1"/>
  <c r="L371" i="1"/>
  <c r="K371" i="1"/>
  <c r="J371" i="1"/>
  <c r="I371" i="1"/>
  <c r="H371" i="1"/>
  <c r="G371" i="1"/>
  <c r="F371" i="1"/>
  <c r="E371" i="1"/>
  <c r="D371" i="1"/>
  <c r="C371" i="1"/>
  <c r="B371" i="1"/>
  <c r="X370" i="1"/>
  <c r="W370" i="1"/>
  <c r="V370" i="1"/>
  <c r="U370" i="1"/>
  <c r="T370" i="1"/>
  <c r="S370" i="1"/>
  <c r="R370" i="1"/>
  <c r="Q370" i="1"/>
  <c r="P370" i="1"/>
  <c r="O370" i="1"/>
  <c r="N370" i="1"/>
  <c r="M370" i="1"/>
  <c r="L370" i="1"/>
  <c r="K370" i="1"/>
  <c r="J370" i="1"/>
  <c r="I370" i="1"/>
  <c r="H370" i="1"/>
  <c r="G370" i="1"/>
  <c r="F370" i="1"/>
  <c r="E370" i="1"/>
  <c r="D370" i="1"/>
  <c r="C370" i="1"/>
  <c r="B370" i="1"/>
  <c r="X369" i="1"/>
  <c r="V369" i="1"/>
  <c r="U369" i="1"/>
  <c r="T369" i="1"/>
  <c r="S369" i="1"/>
  <c r="R369" i="1"/>
  <c r="Q369" i="1"/>
  <c r="P369" i="1"/>
  <c r="O369" i="1"/>
  <c r="N369" i="1"/>
  <c r="M369" i="1"/>
  <c r="L369" i="1"/>
  <c r="K369" i="1"/>
  <c r="J369" i="1"/>
  <c r="I369" i="1"/>
  <c r="H369" i="1"/>
  <c r="G369" i="1"/>
  <c r="F369" i="1"/>
  <c r="E369" i="1"/>
  <c r="D369" i="1"/>
  <c r="C369" i="1"/>
  <c r="B369" i="1"/>
  <c r="X368" i="1"/>
  <c r="W368" i="1"/>
  <c r="V368" i="1"/>
  <c r="U368" i="1"/>
  <c r="T368" i="1"/>
  <c r="S368" i="1"/>
  <c r="R368" i="1"/>
  <c r="Q368" i="1"/>
  <c r="P368" i="1"/>
  <c r="O368" i="1"/>
  <c r="N368" i="1"/>
  <c r="M368" i="1"/>
  <c r="L368" i="1"/>
  <c r="K368" i="1"/>
  <c r="J368" i="1"/>
  <c r="I368" i="1"/>
  <c r="H368" i="1"/>
  <c r="G368" i="1"/>
  <c r="F368" i="1"/>
  <c r="E368" i="1"/>
  <c r="D368" i="1"/>
  <c r="C368" i="1"/>
  <c r="B368" i="1"/>
  <c r="X367" i="1"/>
  <c r="V367" i="1"/>
  <c r="U367" i="1"/>
  <c r="N367" i="1"/>
  <c r="M367" i="1"/>
  <c r="L367" i="1"/>
  <c r="K367" i="1"/>
  <c r="J367" i="1"/>
  <c r="I367" i="1"/>
  <c r="H367" i="1"/>
  <c r="G367" i="1"/>
  <c r="F367" i="1"/>
  <c r="E367" i="1"/>
  <c r="D367" i="1"/>
  <c r="C367" i="1"/>
  <c r="B367" i="1"/>
  <c r="X366" i="1"/>
  <c r="V366" i="1"/>
  <c r="U366" i="1"/>
  <c r="T366" i="1"/>
  <c r="S366" i="1"/>
  <c r="R366" i="1"/>
  <c r="Q366" i="1"/>
  <c r="P366" i="1"/>
  <c r="O366" i="1"/>
  <c r="N366" i="1"/>
  <c r="M366" i="1"/>
  <c r="L366" i="1"/>
  <c r="K366" i="1"/>
  <c r="J366" i="1"/>
  <c r="I366" i="1"/>
  <c r="H366" i="1"/>
  <c r="G366" i="1"/>
  <c r="F366" i="1"/>
  <c r="E366" i="1"/>
  <c r="D366" i="1"/>
  <c r="C366" i="1"/>
  <c r="B366" i="1"/>
  <c r="X365" i="1"/>
  <c r="V365" i="1"/>
  <c r="U365" i="1"/>
  <c r="T365" i="1"/>
  <c r="S365" i="1"/>
  <c r="R365" i="1"/>
  <c r="Q365" i="1"/>
  <c r="P365" i="1"/>
  <c r="O365" i="1"/>
  <c r="N365" i="1"/>
  <c r="M365" i="1"/>
  <c r="L365" i="1"/>
  <c r="K365" i="1"/>
  <c r="J365" i="1"/>
  <c r="I365" i="1"/>
  <c r="H365" i="1"/>
  <c r="G365" i="1"/>
  <c r="F365" i="1"/>
  <c r="E365" i="1"/>
  <c r="D365" i="1"/>
  <c r="C365" i="1"/>
  <c r="B365" i="1"/>
  <c r="X364" i="1"/>
  <c r="V364" i="1"/>
  <c r="U364" i="1"/>
  <c r="T364" i="1"/>
  <c r="S364" i="1"/>
  <c r="R364" i="1"/>
  <c r="Q364" i="1"/>
  <c r="P364" i="1"/>
  <c r="O364" i="1"/>
  <c r="N364" i="1"/>
  <c r="M364" i="1"/>
  <c r="L364" i="1"/>
  <c r="K364" i="1"/>
  <c r="J364" i="1"/>
  <c r="I364" i="1"/>
  <c r="H364" i="1"/>
  <c r="G364" i="1"/>
  <c r="F364" i="1"/>
  <c r="E364" i="1"/>
  <c r="D364" i="1"/>
  <c r="C364" i="1"/>
  <c r="B364" i="1"/>
  <c r="X363" i="1"/>
  <c r="W363" i="1"/>
  <c r="V363" i="1"/>
  <c r="U363" i="1"/>
  <c r="T363" i="1"/>
  <c r="S363" i="1"/>
  <c r="R363" i="1"/>
  <c r="Q363" i="1"/>
  <c r="P363" i="1"/>
  <c r="O363" i="1"/>
  <c r="N363" i="1"/>
  <c r="M363" i="1"/>
  <c r="L363" i="1"/>
  <c r="K363" i="1"/>
  <c r="J363" i="1"/>
  <c r="I363" i="1"/>
  <c r="H363" i="1"/>
  <c r="G363" i="1"/>
  <c r="F363" i="1"/>
  <c r="E363" i="1"/>
  <c r="D363" i="1"/>
  <c r="C363" i="1"/>
  <c r="B363" i="1"/>
  <c r="X362" i="1"/>
  <c r="W362" i="1"/>
  <c r="V362" i="1"/>
  <c r="U362" i="1"/>
  <c r="T362" i="1"/>
  <c r="S362" i="1"/>
  <c r="R362" i="1"/>
  <c r="Q362" i="1"/>
  <c r="P362" i="1"/>
  <c r="O362" i="1"/>
  <c r="N362" i="1"/>
  <c r="M362" i="1"/>
  <c r="L362" i="1"/>
  <c r="K362" i="1"/>
  <c r="J362" i="1"/>
  <c r="I362" i="1"/>
  <c r="H362" i="1"/>
  <c r="G362" i="1"/>
  <c r="F362" i="1"/>
  <c r="E362" i="1"/>
  <c r="D362" i="1"/>
  <c r="C362" i="1"/>
  <c r="B362" i="1"/>
  <c r="X361" i="1"/>
  <c r="V361" i="1"/>
  <c r="U361" i="1"/>
  <c r="T361" i="1"/>
  <c r="S361" i="1"/>
  <c r="R361" i="1"/>
  <c r="Q361" i="1"/>
  <c r="P361" i="1"/>
  <c r="O361" i="1"/>
  <c r="N361" i="1"/>
  <c r="M361" i="1"/>
  <c r="L361" i="1"/>
  <c r="K361" i="1"/>
  <c r="J361" i="1"/>
  <c r="I361" i="1"/>
  <c r="H361" i="1"/>
  <c r="G361" i="1"/>
  <c r="F361" i="1"/>
  <c r="E361" i="1"/>
  <c r="D361" i="1"/>
  <c r="C361" i="1"/>
  <c r="B361" i="1"/>
  <c r="X360" i="1"/>
  <c r="V360" i="1"/>
  <c r="U360" i="1"/>
  <c r="T360" i="1"/>
  <c r="S360" i="1"/>
  <c r="R360" i="1"/>
  <c r="Q360" i="1"/>
  <c r="P360" i="1"/>
  <c r="O360" i="1"/>
  <c r="N360" i="1"/>
  <c r="M360" i="1"/>
  <c r="L360" i="1"/>
  <c r="K360" i="1"/>
  <c r="J360" i="1"/>
  <c r="I360" i="1"/>
  <c r="H360" i="1"/>
  <c r="G360" i="1"/>
  <c r="F360" i="1"/>
  <c r="E360" i="1"/>
  <c r="D360" i="1"/>
  <c r="C360" i="1"/>
  <c r="B360" i="1"/>
  <c r="X359" i="1"/>
  <c r="W359" i="1"/>
  <c r="V359" i="1"/>
  <c r="U359" i="1"/>
  <c r="Q359" i="1"/>
  <c r="P359" i="1"/>
  <c r="O359" i="1"/>
  <c r="N359" i="1"/>
  <c r="M359" i="1"/>
  <c r="L359" i="1"/>
  <c r="K359" i="1"/>
  <c r="J359" i="1"/>
  <c r="I359" i="1"/>
  <c r="H359" i="1"/>
  <c r="G359" i="1"/>
  <c r="F359" i="1"/>
  <c r="E359" i="1"/>
  <c r="D359" i="1"/>
  <c r="C359" i="1"/>
  <c r="B359" i="1"/>
  <c r="X358" i="1"/>
  <c r="V358" i="1"/>
  <c r="U358" i="1"/>
  <c r="T358" i="1"/>
  <c r="S358" i="1"/>
  <c r="R358" i="1"/>
  <c r="Q358" i="1"/>
  <c r="P358" i="1"/>
  <c r="O358" i="1"/>
  <c r="N358" i="1"/>
  <c r="M358" i="1"/>
  <c r="L358" i="1"/>
  <c r="K358" i="1"/>
  <c r="J358" i="1"/>
  <c r="I358" i="1"/>
  <c r="H358" i="1"/>
  <c r="G358" i="1"/>
  <c r="F358" i="1"/>
  <c r="E358" i="1"/>
  <c r="D358" i="1"/>
  <c r="C358" i="1"/>
  <c r="B358" i="1"/>
  <c r="X357" i="1"/>
  <c r="V357" i="1"/>
  <c r="U357" i="1"/>
  <c r="T357" i="1"/>
  <c r="S357" i="1"/>
  <c r="R357" i="1"/>
  <c r="Q357" i="1"/>
  <c r="P357" i="1"/>
  <c r="O357" i="1"/>
  <c r="N357" i="1"/>
  <c r="M357" i="1"/>
  <c r="L357" i="1"/>
  <c r="K357" i="1"/>
  <c r="J357" i="1"/>
  <c r="I357" i="1"/>
  <c r="H357" i="1"/>
  <c r="G357" i="1"/>
  <c r="F357" i="1"/>
  <c r="E357" i="1"/>
  <c r="D357" i="1"/>
  <c r="C357" i="1"/>
  <c r="B357" i="1"/>
  <c r="X356" i="1"/>
  <c r="V356" i="1"/>
  <c r="U356" i="1"/>
  <c r="T356" i="1"/>
  <c r="S356" i="1"/>
  <c r="R356" i="1"/>
  <c r="Q356" i="1"/>
  <c r="P356" i="1"/>
  <c r="O356" i="1"/>
  <c r="N356" i="1"/>
  <c r="M356" i="1"/>
  <c r="L356" i="1"/>
  <c r="K356" i="1"/>
  <c r="J356" i="1"/>
  <c r="I356" i="1"/>
  <c r="H356" i="1"/>
  <c r="G356" i="1"/>
  <c r="F356" i="1"/>
  <c r="E356" i="1"/>
  <c r="D356" i="1"/>
  <c r="C356" i="1"/>
  <c r="B356" i="1"/>
  <c r="X355" i="1"/>
  <c r="W355" i="1"/>
  <c r="V355" i="1"/>
  <c r="U355" i="1"/>
  <c r="T355" i="1"/>
  <c r="S355" i="1"/>
  <c r="R355" i="1"/>
  <c r="Q355" i="1"/>
  <c r="P355" i="1"/>
  <c r="O355" i="1"/>
  <c r="N355" i="1"/>
  <c r="M355" i="1"/>
  <c r="L355" i="1"/>
  <c r="K355" i="1"/>
  <c r="J355" i="1"/>
  <c r="I355" i="1"/>
  <c r="H355" i="1"/>
  <c r="G355" i="1"/>
  <c r="F355" i="1"/>
  <c r="E355" i="1"/>
  <c r="D355" i="1"/>
  <c r="C355" i="1"/>
  <c r="B355" i="1"/>
  <c r="X354" i="1"/>
  <c r="W354" i="1"/>
  <c r="V354" i="1"/>
  <c r="U354" i="1"/>
  <c r="T354" i="1"/>
  <c r="S354" i="1"/>
  <c r="R354" i="1"/>
  <c r="Q354" i="1"/>
  <c r="P354" i="1"/>
  <c r="O354" i="1"/>
  <c r="N354" i="1"/>
  <c r="M354" i="1"/>
  <c r="L354" i="1"/>
  <c r="K354" i="1"/>
  <c r="J354" i="1"/>
  <c r="I354" i="1"/>
  <c r="H354" i="1"/>
  <c r="G354" i="1"/>
  <c r="F354" i="1"/>
  <c r="E354" i="1"/>
  <c r="D354" i="1"/>
  <c r="C354" i="1"/>
  <c r="B354" i="1"/>
  <c r="X353" i="1"/>
  <c r="V353" i="1"/>
  <c r="U353" i="1"/>
  <c r="Q353" i="1"/>
  <c r="P353" i="1"/>
  <c r="O353" i="1"/>
  <c r="N353" i="1"/>
  <c r="M353" i="1"/>
  <c r="L353" i="1"/>
  <c r="K353" i="1"/>
  <c r="J353" i="1"/>
  <c r="I353" i="1"/>
  <c r="H353" i="1"/>
  <c r="G353" i="1"/>
  <c r="F353" i="1"/>
  <c r="E353" i="1"/>
  <c r="D353" i="1"/>
  <c r="C353" i="1"/>
  <c r="B353" i="1"/>
  <c r="X352" i="1"/>
  <c r="V352" i="1"/>
  <c r="U352" i="1"/>
  <c r="Q352" i="1"/>
  <c r="P352" i="1"/>
  <c r="O352" i="1"/>
  <c r="N352" i="1"/>
  <c r="M352" i="1"/>
  <c r="L352" i="1"/>
  <c r="K352" i="1"/>
  <c r="J352" i="1"/>
  <c r="I352" i="1"/>
  <c r="H352" i="1"/>
  <c r="G352" i="1"/>
  <c r="F352" i="1"/>
  <c r="E352" i="1"/>
  <c r="D352" i="1"/>
  <c r="C352" i="1"/>
  <c r="B352" i="1"/>
  <c r="X351" i="1"/>
  <c r="V351" i="1"/>
  <c r="U351" i="1"/>
  <c r="N351" i="1"/>
  <c r="M351" i="1"/>
  <c r="L351" i="1"/>
  <c r="K351" i="1"/>
  <c r="J351" i="1"/>
  <c r="I351" i="1"/>
  <c r="H351" i="1"/>
  <c r="G351" i="1"/>
  <c r="F351" i="1"/>
  <c r="E351" i="1"/>
  <c r="D351" i="1"/>
  <c r="C351" i="1"/>
  <c r="B351" i="1"/>
  <c r="X350" i="1"/>
  <c r="V350" i="1"/>
  <c r="U350" i="1"/>
  <c r="T350" i="1"/>
  <c r="S350" i="1"/>
  <c r="R350" i="1"/>
  <c r="Q350" i="1"/>
  <c r="P350" i="1"/>
  <c r="O350" i="1"/>
  <c r="N350" i="1"/>
  <c r="M350" i="1"/>
  <c r="L350" i="1"/>
  <c r="K350" i="1"/>
  <c r="J350" i="1"/>
  <c r="I350" i="1"/>
  <c r="H350" i="1"/>
  <c r="G350" i="1"/>
  <c r="F350" i="1"/>
  <c r="E350" i="1"/>
  <c r="D350" i="1"/>
  <c r="C350" i="1"/>
  <c r="B350" i="1"/>
  <c r="X349" i="1"/>
  <c r="V349" i="1"/>
  <c r="U349" i="1"/>
  <c r="N349" i="1"/>
  <c r="M349" i="1"/>
  <c r="L349" i="1"/>
  <c r="K349" i="1"/>
  <c r="J349" i="1"/>
  <c r="I349" i="1"/>
  <c r="G349" i="1"/>
  <c r="F349" i="1"/>
  <c r="E349" i="1"/>
  <c r="D349" i="1"/>
  <c r="C349" i="1"/>
  <c r="B349" i="1"/>
  <c r="X348" i="1"/>
  <c r="V348" i="1"/>
  <c r="U348" i="1"/>
  <c r="T348" i="1"/>
  <c r="S348" i="1"/>
  <c r="R348" i="1"/>
  <c r="Q348" i="1"/>
  <c r="P348" i="1"/>
  <c r="O348" i="1"/>
  <c r="N348" i="1"/>
  <c r="M348" i="1"/>
  <c r="L348" i="1"/>
  <c r="K348" i="1"/>
  <c r="J348" i="1"/>
  <c r="I348" i="1"/>
  <c r="H348" i="1"/>
  <c r="G348" i="1"/>
  <c r="F348" i="1"/>
  <c r="E348" i="1"/>
  <c r="D348" i="1"/>
  <c r="C348" i="1"/>
  <c r="B348" i="1"/>
  <c r="X347" i="1"/>
  <c r="V347" i="1"/>
  <c r="U347" i="1"/>
  <c r="Q347" i="1"/>
  <c r="P347" i="1"/>
  <c r="O347" i="1"/>
  <c r="N347" i="1"/>
  <c r="M347" i="1"/>
  <c r="L347" i="1"/>
  <c r="K347" i="1"/>
  <c r="J347" i="1"/>
  <c r="I347" i="1"/>
  <c r="H347" i="1"/>
  <c r="G347" i="1"/>
  <c r="F347" i="1"/>
  <c r="E347" i="1"/>
  <c r="D347" i="1"/>
  <c r="C347" i="1"/>
  <c r="B347" i="1"/>
  <c r="X346" i="1"/>
  <c r="V346" i="1"/>
  <c r="U346" i="1"/>
  <c r="T346" i="1"/>
  <c r="S346" i="1"/>
  <c r="R346" i="1"/>
  <c r="Q346" i="1"/>
  <c r="P346" i="1"/>
  <c r="O346" i="1"/>
  <c r="N346" i="1"/>
  <c r="M346" i="1"/>
  <c r="L346" i="1"/>
  <c r="K346" i="1"/>
  <c r="J346" i="1"/>
  <c r="I346" i="1"/>
  <c r="H346" i="1"/>
  <c r="G346" i="1"/>
  <c r="F346" i="1"/>
  <c r="E346" i="1"/>
  <c r="D346" i="1"/>
  <c r="C346" i="1"/>
  <c r="B346" i="1"/>
  <c r="X345" i="1"/>
  <c r="V345" i="1"/>
  <c r="U345" i="1"/>
  <c r="T345" i="1"/>
  <c r="S345" i="1"/>
  <c r="R345" i="1"/>
  <c r="Q345" i="1"/>
  <c r="P345" i="1"/>
  <c r="O345" i="1"/>
  <c r="N345" i="1"/>
  <c r="M345" i="1"/>
  <c r="L345" i="1"/>
  <c r="K345" i="1"/>
  <c r="J345" i="1"/>
  <c r="I345" i="1"/>
  <c r="H345" i="1"/>
  <c r="G345" i="1"/>
  <c r="F345" i="1"/>
  <c r="E345" i="1"/>
  <c r="D345" i="1"/>
  <c r="C345" i="1"/>
  <c r="B345" i="1"/>
  <c r="X344" i="1"/>
  <c r="V344" i="1"/>
  <c r="U344" i="1"/>
  <c r="T344" i="1"/>
  <c r="S344" i="1"/>
  <c r="R344" i="1"/>
  <c r="Q344" i="1"/>
  <c r="P344" i="1"/>
  <c r="O344" i="1"/>
  <c r="N344" i="1"/>
  <c r="M344" i="1"/>
  <c r="L344" i="1"/>
  <c r="K344" i="1"/>
  <c r="J344" i="1"/>
  <c r="I344" i="1"/>
  <c r="H344" i="1"/>
  <c r="G344" i="1"/>
  <c r="F344" i="1"/>
  <c r="E344" i="1"/>
  <c r="D344" i="1"/>
  <c r="C344" i="1"/>
  <c r="B344" i="1"/>
  <c r="X343" i="1"/>
  <c r="V343" i="1"/>
  <c r="U343" i="1"/>
  <c r="T343" i="1"/>
  <c r="S343" i="1"/>
  <c r="R343" i="1"/>
  <c r="Q343" i="1"/>
  <c r="P343" i="1"/>
  <c r="O343" i="1"/>
  <c r="N343" i="1"/>
  <c r="M343" i="1"/>
  <c r="L343" i="1"/>
  <c r="K343" i="1"/>
  <c r="J343" i="1"/>
  <c r="I343" i="1"/>
  <c r="H343" i="1"/>
  <c r="G343" i="1"/>
  <c r="F343" i="1"/>
  <c r="E343" i="1"/>
  <c r="D343" i="1"/>
  <c r="C343" i="1"/>
  <c r="B343" i="1"/>
  <c r="X342" i="1"/>
  <c r="V342" i="1"/>
  <c r="U342" i="1"/>
  <c r="T342" i="1"/>
  <c r="S342" i="1"/>
  <c r="R342" i="1"/>
  <c r="Q342" i="1"/>
  <c r="P342" i="1"/>
  <c r="O342" i="1"/>
  <c r="N342" i="1"/>
  <c r="M342" i="1"/>
  <c r="L342" i="1"/>
  <c r="K342" i="1"/>
  <c r="J342" i="1"/>
  <c r="I342" i="1"/>
  <c r="H342" i="1"/>
  <c r="G342" i="1"/>
  <c r="F342" i="1"/>
  <c r="E342" i="1"/>
  <c r="D342" i="1"/>
  <c r="C342" i="1"/>
  <c r="B342" i="1"/>
  <c r="X341" i="1"/>
  <c r="V341" i="1"/>
  <c r="U341" i="1"/>
  <c r="T341" i="1"/>
  <c r="S341" i="1"/>
  <c r="R341" i="1"/>
  <c r="Q341" i="1"/>
  <c r="P341" i="1"/>
  <c r="O341" i="1"/>
  <c r="N341" i="1"/>
  <c r="M341" i="1"/>
  <c r="L341" i="1"/>
  <c r="K341" i="1"/>
  <c r="J341" i="1"/>
  <c r="I341" i="1"/>
  <c r="H341" i="1"/>
  <c r="G341" i="1"/>
  <c r="F341" i="1"/>
  <c r="E341" i="1"/>
  <c r="D341" i="1"/>
  <c r="C341" i="1"/>
  <c r="B341" i="1"/>
  <c r="X340" i="1"/>
  <c r="V340" i="1"/>
  <c r="U340" i="1"/>
  <c r="T340" i="1"/>
  <c r="S340" i="1"/>
  <c r="R340" i="1"/>
  <c r="Q340" i="1"/>
  <c r="P340" i="1"/>
  <c r="O340" i="1"/>
  <c r="N340" i="1"/>
  <c r="M340" i="1"/>
  <c r="L340" i="1"/>
  <c r="K340" i="1"/>
  <c r="J340" i="1"/>
  <c r="I340" i="1"/>
  <c r="H340" i="1"/>
  <c r="G340" i="1"/>
  <c r="F340" i="1"/>
  <c r="E340" i="1"/>
  <c r="D340" i="1"/>
  <c r="C340" i="1"/>
  <c r="B340" i="1"/>
  <c r="X339" i="1"/>
  <c r="V339" i="1"/>
  <c r="U339" i="1"/>
  <c r="T339" i="1"/>
  <c r="S339" i="1"/>
  <c r="R339" i="1"/>
  <c r="Q339" i="1"/>
  <c r="P339" i="1"/>
  <c r="O339" i="1"/>
  <c r="N339" i="1"/>
  <c r="M339" i="1"/>
  <c r="L339" i="1"/>
  <c r="K339" i="1"/>
  <c r="J339" i="1"/>
  <c r="I339" i="1"/>
  <c r="H339" i="1"/>
  <c r="G339" i="1"/>
  <c r="F339" i="1"/>
  <c r="E339" i="1"/>
  <c r="D339" i="1"/>
  <c r="C339" i="1"/>
  <c r="B339" i="1"/>
  <c r="X338" i="1"/>
  <c r="V338" i="1"/>
  <c r="U338" i="1"/>
  <c r="Q338" i="1"/>
  <c r="P338" i="1"/>
  <c r="O338" i="1"/>
  <c r="N338" i="1"/>
  <c r="M338" i="1"/>
  <c r="L338" i="1"/>
  <c r="K338" i="1"/>
  <c r="J338" i="1"/>
  <c r="I338" i="1"/>
  <c r="H338" i="1"/>
  <c r="G338" i="1"/>
  <c r="F338" i="1"/>
  <c r="E338" i="1"/>
  <c r="D338" i="1"/>
  <c r="C338" i="1"/>
  <c r="B338" i="1"/>
  <c r="X337" i="1"/>
  <c r="V337" i="1"/>
  <c r="U337" i="1"/>
  <c r="Q337" i="1"/>
  <c r="P337" i="1"/>
  <c r="O337" i="1"/>
  <c r="N337" i="1"/>
  <c r="M337" i="1"/>
  <c r="L337" i="1"/>
  <c r="K337" i="1"/>
  <c r="J337" i="1"/>
  <c r="I337" i="1"/>
  <c r="H337" i="1"/>
  <c r="G337" i="1"/>
  <c r="F337" i="1"/>
  <c r="E337" i="1"/>
  <c r="D337" i="1"/>
  <c r="C337" i="1"/>
  <c r="B337" i="1"/>
  <c r="X336" i="1"/>
  <c r="V336" i="1"/>
  <c r="U336" i="1"/>
  <c r="N336" i="1"/>
  <c r="M336" i="1"/>
  <c r="L336" i="1"/>
  <c r="K336" i="1"/>
  <c r="J336" i="1"/>
  <c r="I336" i="1"/>
  <c r="G336" i="1"/>
  <c r="F336" i="1"/>
  <c r="E336" i="1"/>
  <c r="D336" i="1"/>
  <c r="C336" i="1"/>
  <c r="B336" i="1"/>
  <c r="X335" i="1"/>
  <c r="V335" i="1"/>
  <c r="U335" i="1"/>
  <c r="Q335" i="1"/>
  <c r="P335" i="1"/>
  <c r="O335" i="1"/>
  <c r="N335" i="1"/>
  <c r="M335" i="1"/>
  <c r="L335" i="1"/>
  <c r="K335" i="1"/>
  <c r="J335" i="1"/>
  <c r="I335" i="1"/>
  <c r="H335" i="1"/>
  <c r="G335" i="1"/>
  <c r="F335" i="1"/>
  <c r="E335" i="1"/>
  <c r="D335" i="1"/>
  <c r="C335" i="1"/>
  <c r="B335" i="1"/>
  <c r="X334" i="1"/>
  <c r="V334" i="1"/>
  <c r="U334" i="1"/>
  <c r="T334" i="1"/>
  <c r="S334" i="1"/>
  <c r="R334" i="1"/>
  <c r="Q334" i="1"/>
  <c r="P334" i="1"/>
  <c r="O334" i="1"/>
  <c r="N334" i="1"/>
  <c r="M334" i="1"/>
  <c r="L334" i="1"/>
  <c r="K334" i="1"/>
  <c r="J334" i="1"/>
  <c r="I334" i="1"/>
  <c r="H334" i="1"/>
  <c r="G334" i="1"/>
  <c r="F334" i="1"/>
  <c r="E334" i="1"/>
  <c r="D334" i="1"/>
  <c r="C334" i="1"/>
  <c r="B334" i="1"/>
  <c r="X333" i="1"/>
  <c r="V333" i="1"/>
  <c r="U333" i="1"/>
  <c r="T333" i="1"/>
  <c r="S333" i="1"/>
  <c r="R333" i="1"/>
  <c r="Q333" i="1"/>
  <c r="P333" i="1"/>
  <c r="O333" i="1"/>
  <c r="N333" i="1"/>
  <c r="M333" i="1"/>
  <c r="L333" i="1"/>
  <c r="K333" i="1"/>
  <c r="J333" i="1"/>
  <c r="I333" i="1"/>
  <c r="H333" i="1"/>
  <c r="G333" i="1"/>
  <c r="F333" i="1"/>
  <c r="E333" i="1"/>
  <c r="D333" i="1"/>
  <c r="C333" i="1"/>
  <c r="B333" i="1"/>
  <c r="X332" i="1"/>
  <c r="V332" i="1"/>
  <c r="U332" i="1"/>
  <c r="Q332" i="1"/>
  <c r="P332" i="1"/>
  <c r="O332" i="1"/>
  <c r="N332" i="1"/>
  <c r="M332" i="1"/>
  <c r="L332" i="1"/>
  <c r="K332" i="1"/>
  <c r="J332" i="1"/>
  <c r="I332" i="1"/>
  <c r="H332" i="1"/>
  <c r="G332" i="1"/>
  <c r="F332" i="1"/>
  <c r="E332" i="1"/>
  <c r="D332" i="1"/>
  <c r="C332" i="1"/>
  <c r="B332" i="1"/>
  <c r="X331" i="1"/>
  <c r="V331" i="1"/>
  <c r="U331" i="1"/>
  <c r="T331" i="1"/>
  <c r="S331" i="1"/>
  <c r="R331" i="1"/>
  <c r="Q331" i="1"/>
  <c r="P331" i="1"/>
  <c r="O331" i="1"/>
  <c r="N331" i="1"/>
  <c r="M331" i="1"/>
  <c r="L331" i="1"/>
  <c r="K331" i="1"/>
  <c r="J331" i="1"/>
  <c r="I331" i="1"/>
  <c r="H331" i="1"/>
  <c r="G331" i="1"/>
  <c r="F331" i="1"/>
  <c r="E331" i="1"/>
  <c r="D331" i="1"/>
  <c r="C331" i="1"/>
  <c r="B331" i="1"/>
  <c r="X330" i="1"/>
  <c r="V330" i="1"/>
  <c r="U330" i="1"/>
  <c r="T330" i="1"/>
  <c r="S330" i="1"/>
  <c r="R330" i="1"/>
  <c r="Q330" i="1"/>
  <c r="P330" i="1"/>
  <c r="O330" i="1"/>
  <c r="N330" i="1"/>
  <c r="M330" i="1"/>
  <c r="L330" i="1"/>
  <c r="K330" i="1"/>
  <c r="J330" i="1"/>
  <c r="I330" i="1"/>
  <c r="H330" i="1"/>
  <c r="G330" i="1"/>
  <c r="F330" i="1"/>
  <c r="E330" i="1"/>
  <c r="D330" i="1"/>
  <c r="C330" i="1"/>
  <c r="B330" i="1"/>
  <c r="X329" i="1"/>
  <c r="V329" i="1"/>
  <c r="U329" i="1"/>
  <c r="T329" i="1"/>
  <c r="S329" i="1"/>
  <c r="R329" i="1"/>
  <c r="Q329" i="1"/>
  <c r="P329" i="1"/>
  <c r="O329" i="1"/>
  <c r="N329" i="1"/>
  <c r="M329" i="1"/>
  <c r="L329" i="1"/>
  <c r="K329" i="1"/>
  <c r="J329" i="1"/>
  <c r="I329" i="1"/>
  <c r="H329" i="1"/>
  <c r="G329" i="1"/>
  <c r="F329" i="1"/>
  <c r="E329" i="1"/>
  <c r="D329" i="1"/>
  <c r="C329" i="1"/>
  <c r="B329" i="1"/>
  <c r="X328" i="1"/>
  <c r="V328" i="1"/>
  <c r="U328" i="1"/>
  <c r="Q328" i="1"/>
  <c r="P328" i="1"/>
  <c r="O328" i="1"/>
  <c r="N328" i="1"/>
  <c r="M328" i="1"/>
  <c r="L328" i="1"/>
  <c r="K328" i="1"/>
  <c r="J328" i="1"/>
  <c r="I328" i="1"/>
  <c r="H328" i="1"/>
  <c r="G328" i="1"/>
  <c r="F328" i="1"/>
  <c r="E328" i="1"/>
  <c r="D328" i="1"/>
  <c r="C328" i="1"/>
  <c r="B328" i="1"/>
  <c r="X327" i="1"/>
  <c r="V327" i="1"/>
  <c r="U327" i="1"/>
  <c r="Q327" i="1"/>
  <c r="P327" i="1"/>
  <c r="O327" i="1"/>
  <c r="N327" i="1"/>
  <c r="M327" i="1"/>
  <c r="L327" i="1"/>
  <c r="K327" i="1"/>
  <c r="J327" i="1"/>
  <c r="I327" i="1"/>
  <c r="H327" i="1"/>
  <c r="G327" i="1"/>
  <c r="F327" i="1"/>
  <c r="E327" i="1"/>
  <c r="D327" i="1"/>
  <c r="C327" i="1"/>
  <c r="B327" i="1"/>
  <c r="X326" i="1"/>
  <c r="V326" i="1"/>
  <c r="U326" i="1"/>
  <c r="Q326" i="1"/>
  <c r="P326" i="1"/>
  <c r="O326" i="1"/>
  <c r="N326" i="1"/>
  <c r="M326" i="1"/>
  <c r="L326" i="1"/>
  <c r="K326" i="1"/>
  <c r="J326" i="1"/>
  <c r="I326" i="1"/>
  <c r="H326" i="1"/>
  <c r="G326" i="1"/>
  <c r="F326" i="1"/>
  <c r="E326" i="1"/>
  <c r="D326" i="1"/>
  <c r="C326" i="1"/>
  <c r="B326" i="1"/>
  <c r="X325" i="1"/>
  <c r="V325" i="1"/>
  <c r="U325" i="1"/>
  <c r="T325" i="1"/>
  <c r="S325" i="1"/>
  <c r="R325" i="1"/>
  <c r="Q325" i="1"/>
  <c r="P325" i="1"/>
  <c r="O325" i="1"/>
  <c r="N325" i="1"/>
  <c r="M325" i="1"/>
  <c r="L325" i="1"/>
  <c r="K325" i="1"/>
  <c r="J325" i="1"/>
  <c r="I325" i="1"/>
  <c r="H325" i="1"/>
  <c r="G325" i="1"/>
  <c r="F325" i="1"/>
  <c r="E325" i="1"/>
  <c r="D325" i="1"/>
  <c r="C325" i="1"/>
  <c r="B325" i="1"/>
  <c r="X324" i="1"/>
  <c r="V324" i="1"/>
  <c r="U324" i="1"/>
  <c r="Q324" i="1"/>
  <c r="P324" i="1"/>
  <c r="O324" i="1"/>
  <c r="N324" i="1"/>
  <c r="M324" i="1"/>
  <c r="L324" i="1"/>
  <c r="K324" i="1"/>
  <c r="J324" i="1"/>
  <c r="I324" i="1"/>
  <c r="H324" i="1"/>
  <c r="G324" i="1"/>
  <c r="F324" i="1"/>
  <c r="E324" i="1"/>
  <c r="D324" i="1"/>
  <c r="C324" i="1"/>
  <c r="B324" i="1"/>
  <c r="X323" i="1"/>
  <c r="V323" i="1"/>
  <c r="U323" i="1"/>
  <c r="T323" i="1"/>
  <c r="S323" i="1"/>
  <c r="R323" i="1"/>
  <c r="Q323" i="1"/>
  <c r="P323" i="1"/>
  <c r="O323" i="1"/>
  <c r="N323" i="1"/>
  <c r="M323" i="1"/>
  <c r="L323" i="1"/>
  <c r="K323" i="1"/>
  <c r="J323" i="1"/>
  <c r="I323" i="1"/>
  <c r="H323" i="1"/>
  <c r="G323" i="1"/>
  <c r="F323" i="1"/>
  <c r="E323" i="1"/>
  <c r="D323" i="1"/>
  <c r="C323" i="1"/>
  <c r="B323" i="1"/>
  <c r="X322" i="1"/>
  <c r="V322" i="1"/>
  <c r="U322" i="1"/>
  <c r="Q322" i="1"/>
  <c r="P322" i="1"/>
  <c r="O322" i="1"/>
  <c r="N322" i="1"/>
  <c r="M322" i="1"/>
  <c r="L322" i="1"/>
  <c r="K322" i="1"/>
  <c r="J322" i="1"/>
  <c r="I322" i="1"/>
  <c r="H322" i="1"/>
  <c r="G322" i="1"/>
  <c r="F322" i="1"/>
  <c r="E322" i="1"/>
  <c r="D322" i="1"/>
  <c r="C322" i="1"/>
  <c r="B322" i="1"/>
  <c r="X321" i="1"/>
  <c r="V321" i="1"/>
  <c r="U321" i="1"/>
  <c r="Q321" i="1"/>
  <c r="P321" i="1"/>
  <c r="O321" i="1"/>
  <c r="N321" i="1"/>
  <c r="M321" i="1"/>
  <c r="L321" i="1"/>
  <c r="K321" i="1"/>
  <c r="J321" i="1"/>
  <c r="I321" i="1"/>
  <c r="H321" i="1"/>
  <c r="G321" i="1"/>
  <c r="F321" i="1"/>
  <c r="E321" i="1"/>
  <c r="D321" i="1"/>
  <c r="C321" i="1"/>
  <c r="B321" i="1"/>
  <c r="X320" i="1"/>
  <c r="V320" i="1"/>
  <c r="U320" i="1"/>
  <c r="N320" i="1"/>
  <c r="M320" i="1"/>
  <c r="L320" i="1"/>
  <c r="K320" i="1"/>
  <c r="J320" i="1"/>
  <c r="I320" i="1"/>
  <c r="H320" i="1"/>
  <c r="G320" i="1"/>
  <c r="F320" i="1"/>
  <c r="E320" i="1"/>
  <c r="D320" i="1"/>
  <c r="C320" i="1"/>
  <c r="B320" i="1"/>
  <c r="X319" i="1"/>
  <c r="V319" i="1"/>
  <c r="U319" i="1"/>
  <c r="Q319" i="1"/>
  <c r="P319" i="1"/>
  <c r="O319" i="1"/>
  <c r="N319" i="1"/>
  <c r="M319" i="1"/>
  <c r="L319" i="1"/>
  <c r="K319" i="1"/>
  <c r="J319" i="1"/>
  <c r="I319" i="1"/>
  <c r="H319" i="1"/>
  <c r="G319" i="1"/>
  <c r="F319" i="1"/>
  <c r="E319" i="1"/>
  <c r="D319" i="1"/>
  <c r="C319" i="1"/>
  <c r="B319" i="1"/>
  <c r="X318" i="1"/>
  <c r="V318" i="1"/>
  <c r="U318" i="1"/>
  <c r="Q318" i="1"/>
  <c r="P318" i="1"/>
  <c r="O318" i="1"/>
  <c r="N318" i="1"/>
  <c r="M318" i="1"/>
  <c r="L318" i="1"/>
  <c r="K318" i="1"/>
  <c r="J318" i="1"/>
  <c r="I318" i="1"/>
  <c r="H318" i="1"/>
  <c r="G318" i="1"/>
  <c r="F318" i="1"/>
  <c r="E318" i="1"/>
  <c r="D318" i="1"/>
  <c r="C318" i="1"/>
  <c r="B318" i="1"/>
  <c r="X317" i="1"/>
  <c r="V317" i="1"/>
  <c r="U317" i="1"/>
  <c r="T317" i="1"/>
  <c r="S317" i="1"/>
  <c r="R317" i="1"/>
  <c r="Q317" i="1"/>
  <c r="P317" i="1"/>
  <c r="O317" i="1"/>
  <c r="N317" i="1"/>
  <c r="M317" i="1"/>
  <c r="L317" i="1"/>
  <c r="K317" i="1"/>
  <c r="J317" i="1"/>
  <c r="I317" i="1"/>
  <c r="H317" i="1"/>
  <c r="G317" i="1"/>
  <c r="F317" i="1"/>
  <c r="E317" i="1"/>
  <c r="D317" i="1"/>
  <c r="C317" i="1"/>
  <c r="B317" i="1"/>
  <c r="X316" i="1"/>
  <c r="V316" i="1"/>
  <c r="U316" i="1"/>
  <c r="T316" i="1"/>
  <c r="S316" i="1"/>
  <c r="R316" i="1"/>
  <c r="Q316" i="1"/>
  <c r="P316" i="1"/>
  <c r="O316" i="1"/>
  <c r="N316" i="1"/>
  <c r="M316" i="1"/>
  <c r="L316" i="1"/>
  <c r="K316" i="1"/>
  <c r="J316" i="1"/>
  <c r="I316" i="1"/>
  <c r="H316" i="1"/>
  <c r="G316" i="1"/>
  <c r="F316" i="1"/>
  <c r="E316" i="1"/>
  <c r="D316" i="1"/>
  <c r="C316" i="1"/>
  <c r="B316" i="1"/>
  <c r="X315" i="1"/>
  <c r="V315" i="1"/>
  <c r="U315" i="1"/>
  <c r="Q315" i="1"/>
  <c r="P315" i="1"/>
  <c r="O315" i="1"/>
  <c r="N315" i="1"/>
  <c r="M315" i="1"/>
  <c r="L315" i="1"/>
  <c r="K315" i="1"/>
  <c r="J315" i="1"/>
  <c r="I315" i="1"/>
  <c r="H315" i="1"/>
  <c r="G315" i="1"/>
  <c r="F315" i="1"/>
  <c r="E315" i="1"/>
  <c r="D315" i="1"/>
  <c r="C315" i="1"/>
  <c r="B315" i="1"/>
  <c r="X314" i="1"/>
  <c r="V314" i="1"/>
  <c r="U314" i="1"/>
  <c r="T314" i="1"/>
  <c r="S314" i="1"/>
  <c r="R314" i="1"/>
  <c r="Q314" i="1"/>
  <c r="P314" i="1"/>
  <c r="O314" i="1"/>
  <c r="N314" i="1"/>
  <c r="M314" i="1"/>
  <c r="L314" i="1"/>
  <c r="K314" i="1"/>
  <c r="J314" i="1"/>
  <c r="I314" i="1"/>
  <c r="H314" i="1"/>
  <c r="G314" i="1"/>
  <c r="F314" i="1"/>
  <c r="E314" i="1"/>
  <c r="D314" i="1"/>
  <c r="C314" i="1"/>
  <c r="B314" i="1"/>
  <c r="X313" i="1"/>
  <c r="V313" i="1"/>
  <c r="U313" i="1"/>
  <c r="T313" i="1"/>
  <c r="S313" i="1"/>
  <c r="R313" i="1"/>
  <c r="Q313" i="1"/>
  <c r="P313" i="1"/>
  <c r="O313" i="1"/>
  <c r="N313" i="1"/>
  <c r="M313" i="1"/>
  <c r="L313" i="1"/>
  <c r="K313" i="1"/>
  <c r="J313" i="1"/>
  <c r="I313" i="1"/>
  <c r="H313" i="1"/>
  <c r="G313" i="1"/>
  <c r="F313" i="1"/>
  <c r="E313" i="1"/>
  <c r="D313" i="1"/>
  <c r="C313" i="1"/>
  <c r="B313" i="1"/>
  <c r="X312" i="1"/>
  <c r="V312" i="1"/>
  <c r="U312" i="1"/>
  <c r="T312" i="1"/>
  <c r="S312" i="1"/>
  <c r="R312" i="1"/>
  <c r="Q312" i="1"/>
  <c r="P312" i="1"/>
  <c r="O312" i="1"/>
  <c r="N312" i="1"/>
  <c r="M312" i="1"/>
  <c r="L312" i="1"/>
  <c r="K312" i="1"/>
  <c r="J312" i="1"/>
  <c r="I312" i="1"/>
  <c r="H312" i="1"/>
  <c r="G312" i="1"/>
  <c r="F312" i="1"/>
  <c r="E312" i="1"/>
  <c r="D312" i="1"/>
  <c r="C312" i="1"/>
  <c r="B312" i="1"/>
  <c r="X311" i="1"/>
  <c r="V311" i="1"/>
  <c r="U311" i="1"/>
  <c r="T311" i="1"/>
  <c r="S311" i="1"/>
  <c r="R311" i="1"/>
  <c r="Q311" i="1"/>
  <c r="P311" i="1"/>
  <c r="O311" i="1"/>
  <c r="N311" i="1"/>
  <c r="M311" i="1"/>
  <c r="L311" i="1"/>
  <c r="K311" i="1"/>
  <c r="J311" i="1"/>
  <c r="I311" i="1"/>
  <c r="G311" i="1"/>
  <c r="F311" i="1"/>
  <c r="E311" i="1"/>
  <c r="D311" i="1"/>
  <c r="C311" i="1"/>
  <c r="B311" i="1"/>
  <c r="X310" i="1"/>
  <c r="V310" i="1"/>
  <c r="U310" i="1"/>
  <c r="N310" i="1"/>
  <c r="M310" i="1"/>
  <c r="L310" i="1"/>
  <c r="K310" i="1"/>
  <c r="J310" i="1"/>
  <c r="I310" i="1"/>
  <c r="H310" i="1"/>
  <c r="G310" i="1"/>
  <c r="F310" i="1"/>
  <c r="E310" i="1"/>
  <c r="D310" i="1"/>
  <c r="C310" i="1"/>
  <c r="B310" i="1"/>
  <c r="X309" i="1"/>
  <c r="V309" i="1"/>
  <c r="U309" i="1"/>
  <c r="N309" i="1"/>
  <c r="M309" i="1"/>
  <c r="L309" i="1"/>
  <c r="K309" i="1"/>
  <c r="J309" i="1"/>
  <c r="I309" i="1"/>
  <c r="H309" i="1"/>
  <c r="G309" i="1"/>
  <c r="F309" i="1"/>
  <c r="E309" i="1"/>
  <c r="D309" i="1"/>
  <c r="C309" i="1"/>
  <c r="B309" i="1"/>
  <c r="X308" i="1"/>
  <c r="V308" i="1"/>
  <c r="U308" i="1"/>
  <c r="N308" i="1"/>
  <c r="M308" i="1"/>
  <c r="L308" i="1"/>
  <c r="K308" i="1"/>
  <c r="J308" i="1"/>
  <c r="I308" i="1"/>
  <c r="H308" i="1"/>
  <c r="G308" i="1"/>
  <c r="F308" i="1"/>
  <c r="E308" i="1"/>
  <c r="D308" i="1"/>
  <c r="C308" i="1"/>
  <c r="B308" i="1"/>
  <c r="X307" i="1"/>
  <c r="V307" i="1"/>
  <c r="U307" i="1"/>
  <c r="T307" i="1"/>
  <c r="S307" i="1"/>
  <c r="R307" i="1"/>
  <c r="Q307" i="1"/>
  <c r="P307" i="1"/>
  <c r="O307" i="1"/>
  <c r="N307" i="1"/>
  <c r="M307" i="1"/>
  <c r="L307" i="1"/>
  <c r="K307" i="1"/>
  <c r="J307" i="1"/>
  <c r="I307" i="1"/>
  <c r="H307" i="1"/>
  <c r="G307" i="1"/>
  <c r="F307" i="1"/>
  <c r="E307" i="1"/>
  <c r="D307" i="1"/>
  <c r="C307" i="1"/>
  <c r="B307" i="1"/>
  <c r="X306" i="1"/>
  <c r="V306" i="1"/>
  <c r="U306" i="1"/>
  <c r="T306" i="1"/>
  <c r="S306" i="1"/>
  <c r="R306" i="1"/>
  <c r="Q306" i="1"/>
  <c r="P306" i="1"/>
  <c r="O306" i="1"/>
  <c r="N306" i="1"/>
  <c r="M306" i="1"/>
  <c r="L306" i="1"/>
  <c r="K306" i="1"/>
  <c r="J306" i="1"/>
  <c r="I306" i="1"/>
  <c r="H306" i="1"/>
  <c r="G306" i="1"/>
  <c r="F306" i="1"/>
  <c r="E306" i="1"/>
  <c r="D306" i="1"/>
  <c r="C306" i="1"/>
  <c r="B306" i="1"/>
  <c r="X305" i="1"/>
  <c r="V305" i="1"/>
  <c r="U305" i="1"/>
  <c r="T305" i="1"/>
  <c r="S305" i="1"/>
  <c r="R305" i="1"/>
  <c r="Q305" i="1"/>
  <c r="P305" i="1"/>
  <c r="O305" i="1"/>
  <c r="N305" i="1"/>
  <c r="M305" i="1"/>
  <c r="L305" i="1"/>
  <c r="K305" i="1"/>
  <c r="J305" i="1"/>
  <c r="I305" i="1"/>
  <c r="H305" i="1"/>
  <c r="G305" i="1"/>
  <c r="F305" i="1"/>
  <c r="E305" i="1"/>
  <c r="D305" i="1"/>
  <c r="C305" i="1"/>
  <c r="B305" i="1"/>
  <c r="X304" i="1"/>
  <c r="V304" i="1"/>
  <c r="U304" i="1"/>
  <c r="T304" i="1"/>
  <c r="S304" i="1"/>
  <c r="R304" i="1"/>
  <c r="Q304" i="1"/>
  <c r="P304" i="1"/>
  <c r="O304" i="1"/>
  <c r="N304" i="1"/>
  <c r="M304" i="1"/>
  <c r="L304" i="1"/>
  <c r="K304" i="1"/>
  <c r="J304" i="1"/>
  <c r="I304" i="1"/>
  <c r="H304" i="1"/>
  <c r="G304" i="1"/>
  <c r="F304" i="1"/>
  <c r="E304" i="1"/>
  <c r="D304" i="1"/>
  <c r="C304" i="1"/>
  <c r="B304" i="1"/>
  <c r="X303" i="1"/>
  <c r="V303" i="1"/>
  <c r="U303" i="1"/>
  <c r="Q303" i="1"/>
  <c r="P303" i="1"/>
  <c r="O303" i="1"/>
  <c r="N303" i="1"/>
  <c r="M303" i="1"/>
  <c r="L303" i="1"/>
  <c r="K303" i="1"/>
  <c r="J303" i="1"/>
  <c r="I303" i="1"/>
  <c r="H303" i="1"/>
  <c r="G303" i="1"/>
  <c r="F303" i="1"/>
  <c r="E303" i="1"/>
  <c r="D303" i="1"/>
  <c r="C303" i="1"/>
  <c r="B303" i="1"/>
  <c r="X302" i="1"/>
  <c r="V302" i="1"/>
  <c r="U302" i="1"/>
  <c r="T302" i="1"/>
  <c r="S302" i="1"/>
  <c r="R302" i="1"/>
  <c r="Q302" i="1"/>
  <c r="P302" i="1"/>
  <c r="O302" i="1"/>
  <c r="N302" i="1"/>
  <c r="M302" i="1"/>
  <c r="L302" i="1"/>
  <c r="K302" i="1"/>
  <c r="J302" i="1"/>
  <c r="I302" i="1"/>
  <c r="H302" i="1"/>
  <c r="G302" i="1"/>
  <c r="F302" i="1"/>
  <c r="E302" i="1"/>
  <c r="D302" i="1"/>
  <c r="C302" i="1"/>
  <c r="B302" i="1"/>
  <c r="X301" i="1"/>
  <c r="V301" i="1"/>
  <c r="U301" i="1"/>
  <c r="Q301" i="1"/>
  <c r="P301" i="1"/>
  <c r="O301" i="1"/>
  <c r="N301" i="1"/>
  <c r="M301" i="1"/>
  <c r="L301" i="1"/>
  <c r="K301" i="1"/>
  <c r="J301" i="1"/>
  <c r="I301" i="1"/>
  <c r="H301" i="1"/>
  <c r="G301" i="1"/>
  <c r="F301" i="1"/>
  <c r="E301" i="1"/>
  <c r="D301" i="1"/>
  <c r="C301" i="1"/>
  <c r="B301" i="1"/>
  <c r="X300" i="1"/>
  <c r="V300" i="1"/>
  <c r="U300" i="1"/>
  <c r="T300" i="1"/>
  <c r="S300" i="1"/>
  <c r="R300" i="1"/>
  <c r="Q300" i="1"/>
  <c r="P300" i="1"/>
  <c r="O300" i="1"/>
  <c r="N300" i="1"/>
  <c r="M300" i="1"/>
  <c r="L300" i="1"/>
  <c r="K300" i="1"/>
  <c r="J300" i="1"/>
  <c r="I300" i="1"/>
  <c r="H300" i="1"/>
  <c r="G300" i="1"/>
  <c r="F300" i="1"/>
  <c r="E300" i="1"/>
  <c r="D300" i="1"/>
  <c r="C300" i="1"/>
  <c r="B300" i="1"/>
  <c r="X299" i="1"/>
  <c r="V299" i="1"/>
  <c r="U299" i="1"/>
  <c r="T299" i="1"/>
  <c r="S299" i="1"/>
  <c r="R299" i="1"/>
  <c r="Q299" i="1"/>
  <c r="P299" i="1"/>
  <c r="O299" i="1"/>
  <c r="N299" i="1"/>
  <c r="M299" i="1"/>
  <c r="L299" i="1"/>
  <c r="K299" i="1"/>
  <c r="J299" i="1"/>
  <c r="I299" i="1"/>
  <c r="H299" i="1"/>
  <c r="G299" i="1"/>
  <c r="F299" i="1"/>
  <c r="E299" i="1"/>
  <c r="D299" i="1"/>
  <c r="C299" i="1"/>
  <c r="B299" i="1"/>
  <c r="X298" i="1"/>
  <c r="V298" i="1"/>
  <c r="U298" i="1"/>
  <c r="T298" i="1"/>
  <c r="S298" i="1"/>
  <c r="R298" i="1"/>
  <c r="Q298" i="1"/>
  <c r="P298" i="1"/>
  <c r="O298" i="1"/>
  <c r="N298" i="1"/>
  <c r="M298" i="1"/>
  <c r="L298" i="1"/>
  <c r="K298" i="1"/>
  <c r="J298" i="1"/>
  <c r="I298" i="1"/>
  <c r="H298" i="1"/>
  <c r="G298" i="1"/>
  <c r="F298" i="1"/>
  <c r="E298" i="1"/>
  <c r="D298" i="1"/>
  <c r="C298" i="1"/>
  <c r="B298" i="1"/>
  <c r="X297" i="1"/>
  <c r="V297" i="1"/>
  <c r="U297" i="1"/>
  <c r="T297" i="1"/>
  <c r="S297" i="1"/>
  <c r="R297" i="1"/>
  <c r="Q297" i="1"/>
  <c r="P297" i="1"/>
  <c r="O297" i="1"/>
  <c r="N297" i="1"/>
  <c r="M297" i="1"/>
  <c r="L297" i="1"/>
  <c r="K297" i="1"/>
  <c r="J297" i="1"/>
  <c r="I297" i="1"/>
  <c r="H297" i="1"/>
  <c r="G297" i="1"/>
  <c r="F297" i="1"/>
  <c r="E297" i="1"/>
  <c r="D297" i="1"/>
  <c r="C297" i="1"/>
  <c r="B297" i="1"/>
  <c r="X296" i="1"/>
  <c r="V296" i="1"/>
  <c r="U296" i="1"/>
  <c r="T296" i="1"/>
  <c r="S296" i="1"/>
  <c r="R296" i="1"/>
  <c r="Q296" i="1"/>
  <c r="P296" i="1"/>
  <c r="O296" i="1"/>
  <c r="N296" i="1"/>
  <c r="M296" i="1"/>
  <c r="L296" i="1"/>
  <c r="K296" i="1"/>
  <c r="J296" i="1"/>
  <c r="I296" i="1"/>
  <c r="H296" i="1"/>
  <c r="G296" i="1"/>
  <c r="F296" i="1"/>
  <c r="E296" i="1"/>
  <c r="D296" i="1"/>
  <c r="C296" i="1"/>
  <c r="B296" i="1"/>
  <c r="X295" i="1"/>
  <c r="V295" i="1"/>
  <c r="U295" i="1"/>
  <c r="T295" i="1"/>
  <c r="S295" i="1"/>
  <c r="R295" i="1"/>
  <c r="Q295" i="1"/>
  <c r="P295" i="1"/>
  <c r="O295" i="1"/>
  <c r="N295" i="1"/>
  <c r="M295" i="1"/>
  <c r="L295" i="1"/>
  <c r="K295" i="1"/>
  <c r="J295" i="1"/>
  <c r="I295" i="1"/>
  <c r="H295" i="1"/>
  <c r="G295" i="1"/>
  <c r="F295" i="1"/>
  <c r="E295" i="1"/>
  <c r="D295" i="1"/>
  <c r="C295" i="1"/>
  <c r="B295" i="1"/>
  <c r="X294" i="1"/>
  <c r="V294" i="1"/>
  <c r="U294" i="1"/>
  <c r="T294" i="1"/>
  <c r="S294" i="1"/>
  <c r="R294" i="1"/>
  <c r="Q294" i="1"/>
  <c r="P294" i="1"/>
  <c r="O294" i="1"/>
  <c r="N294" i="1"/>
  <c r="M294" i="1"/>
  <c r="L294" i="1"/>
  <c r="K294" i="1"/>
  <c r="J294" i="1"/>
  <c r="I294" i="1"/>
  <c r="H294" i="1"/>
  <c r="G294" i="1"/>
  <c r="F294" i="1"/>
  <c r="E294" i="1"/>
  <c r="D294" i="1"/>
  <c r="C294" i="1"/>
  <c r="B294" i="1"/>
  <c r="X293" i="1"/>
  <c r="V293" i="1"/>
  <c r="U293" i="1"/>
  <c r="T293" i="1"/>
  <c r="S293" i="1"/>
  <c r="R293" i="1"/>
  <c r="Q293" i="1"/>
  <c r="P293" i="1"/>
  <c r="O293" i="1"/>
  <c r="N293" i="1"/>
  <c r="M293" i="1"/>
  <c r="L293" i="1"/>
  <c r="K293" i="1"/>
  <c r="J293" i="1"/>
  <c r="I293" i="1"/>
  <c r="H293" i="1"/>
  <c r="G293" i="1"/>
  <c r="F293" i="1"/>
  <c r="E293" i="1"/>
  <c r="D293" i="1"/>
  <c r="C293" i="1"/>
  <c r="B293" i="1"/>
  <c r="X292" i="1"/>
  <c r="V292" i="1"/>
  <c r="U292" i="1"/>
  <c r="T292" i="1"/>
  <c r="S292" i="1"/>
  <c r="R292" i="1"/>
  <c r="Q292" i="1"/>
  <c r="P292" i="1"/>
  <c r="O292" i="1"/>
  <c r="N292" i="1"/>
  <c r="M292" i="1"/>
  <c r="L292" i="1"/>
  <c r="K292" i="1"/>
  <c r="J292" i="1"/>
  <c r="I292" i="1"/>
  <c r="H292" i="1"/>
  <c r="G292" i="1"/>
  <c r="F292" i="1"/>
  <c r="E292" i="1"/>
  <c r="D292" i="1"/>
  <c r="C292" i="1"/>
  <c r="B292" i="1"/>
  <c r="X291" i="1"/>
  <c r="V291" i="1"/>
  <c r="U291" i="1"/>
  <c r="Q291" i="1"/>
  <c r="P291" i="1"/>
  <c r="O291" i="1"/>
  <c r="N291" i="1"/>
  <c r="M291" i="1"/>
  <c r="L291" i="1"/>
  <c r="K291" i="1"/>
  <c r="J291" i="1"/>
  <c r="I291" i="1"/>
  <c r="H291" i="1"/>
  <c r="G291" i="1"/>
  <c r="F291" i="1"/>
  <c r="E291" i="1"/>
  <c r="D291" i="1"/>
  <c r="C291" i="1"/>
  <c r="B291" i="1"/>
  <c r="X290" i="1"/>
  <c r="V290" i="1"/>
  <c r="U290" i="1"/>
  <c r="T290" i="1"/>
  <c r="S290" i="1"/>
  <c r="R290" i="1"/>
  <c r="Q290" i="1"/>
  <c r="P290" i="1"/>
  <c r="O290" i="1"/>
  <c r="N290" i="1"/>
  <c r="M290" i="1"/>
  <c r="L290" i="1"/>
  <c r="K290" i="1"/>
  <c r="J290" i="1"/>
  <c r="I290" i="1"/>
  <c r="H290" i="1"/>
  <c r="G290" i="1"/>
  <c r="F290" i="1"/>
  <c r="E290" i="1"/>
  <c r="D290" i="1"/>
  <c r="C290" i="1"/>
  <c r="B290" i="1"/>
  <c r="X289" i="1"/>
  <c r="V289" i="1"/>
  <c r="U289" i="1"/>
  <c r="T289" i="1"/>
  <c r="S289" i="1"/>
  <c r="R289" i="1"/>
  <c r="Q289" i="1"/>
  <c r="P289" i="1"/>
  <c r="O289" i="1"/>
  <c r="N289" i="1"/>
  <c r="M289" i="1"/>
  <c r="L289" i="1"/>
  <c r="K289" i="1"/>
  <c r="J289" i="1"/>
  <c r="I289" i="1"/>
  <c r="H289" i="1"/>
  <c r="G289" i="1"/>
  <c r="F289" i="1"/>
  <c r="E289" i="1"/>
  <c r="D289" i="1"/>
  <c r="C289" i="1"/>
  <c r="B289" i="1"/>
  <c r="X288" i="1"/>
  <c r="V288" i="1"/>
  <c r="U288" i="1"/>
  <c r="Q288" i="1"/>
  <c r="P288" i="1"/>
  <c r="O288" i="1"/>
  <c r="N288" i="1"/>
  <c r="M288" i="1"/>
  <c r="L288" i="1"/>
  <c r="K288" i="1"/>
  <c r="J288" i="1"/>
  <c r="I288" i="1"/>
  <c r="H288" i="1"/>
  <c r="G288" i="1"/>
  <c r="F288" i="1"/>
  <c r="E288" i="1"/>
  <c r="D288" i="1"/>
  <c r="C288" i="1"/>
  <c r="B288" i="1"/>
  <c r="X287" i="1"/>
  <c r="V287" i="1"/>
  <c r="U287" i="1"/>
  <c r="T287" i="1"/>
  <c r="S287" i="1"/>
  <c r="R287" i="1"/>
  <c r="Q287" i="1"/>
  <c r="P287" i="1"/>
  <c r="O287" i="1"/>
  <c r="N287" i="1"/>
  <c r="M287" i="1"/>
  <c r="L287" i="1"/>
  <c r="K287" i="1"/>
  <c r="J287" i="1"/>
  <c r="I287" i="1"/>
  <c r="H287" i="1"/>
  <c r="G287" i="1"/>
  <c r="F287" i="1"/>
  <c r="E287" i="1"/>
  <c r="D287" i="1"/>
  <c r="C287" i="1"/>
  <c r="B287" i="1"/>
  <c r="X286" i="1"/>
  <c r="V286" i="1"/>
  <c r="U286" i="1"/>
  <c r="T286" i="1"/>
  <c r="S286" i="1"/>
  <c r="R286" i="1"/>
  <c r="Q286" i="1"/>
  <c r="P286" i="1"/>
  <c r="O286" i="1"/>
  <c r="N286" i="1"/>
  <c r="M286" i="1"/>
  <c r="L286" i="1"/>
  <c r="K286" i="1"/>
  <c r="J286" i="1"/>
  <c r="I286" i="1"/>
  <c r="H286" i="1"/>
  <c r="G286" i="1"/>
  <c r="F286" i="1"/>
  <c r="E286" i="1"/>
  <c r="D286" i="1"/>
  <c r="C286" i="1"/>
  <c r="B286" i="1"/>
  <c r="X285" i="1"/>
  <c r="V285" i="1"/>
  <c r="U285" i="1"/>
  <c r="T285" i="1"/>
  <c r="S285" i="1"/>
  <c r="R285" i="1"/>
  <c r="Q285" i="1"/>
  <c r="P285" i="1"/>
  <c r="O285" i="1"/>
  <c r="N285" i="1"/>
  <c r="M285" i="1"/>
  <c r="L285" i="1"/>
  <c r="K285" i="1"/>
  <c r="J285" i="1"/>
  <c r="I285" i="1"/>
  <c r="H285" i="1"/>
  <c r="G285" i="1"/>
  <c r="F285" i="1"/>
  <c r="E285" i="1"/>
  <c r="D285" i="1"/>
  <c r="C285" i="1"/>
  <c r="B285" i="1"/>
  <c r="X284" i="1"/>
  <c r="V284" i="1"/>
  <c r="U284" i="1"/>
  <c r="T284" i="1"/>
  <c r="S284" i="1"/>
  <c r="R284" i="1"/>
  <c r="Q284" i="1"/>
  <c r="P284" i="1"/>
  <c r="O284" i="1"/>
  <c r="N284" i="1"/>
  <c r="M284" i="1"/>
  <c r="L284" i="1"/>
  <c r="K284" i="1"/>
  <c r="J284" i="1"/>
  <c r="I284" i="1"/>
  <c r="H284" i="1"/>
  <c r="G284" i="1"/>
  <c r="F284" i="1"/>
  <c r="E284" i="1"/>
  <c r="D284" i="1"/>
  <c r="C284" i="1"/>
  <c r="B284" i="1"/>
  <c r="X283" i="1"/>
  <c r="V283" i="1"/>
  <c r="U283" i="1"/>
  <c r="T283" i="1"/>
  <c r="S283" i="1"/>
  <c r="R283" i="1"/>
  <c r="Q283" i="1"/>
  <c r="P283" i="1"/>
  <c r="O283" i="1"/>
  <c r="N283" i="1"/>
  <c r="M283" i="1"/>
  <c r="L283" i="1"/>
  <c r="K283" i="1"/>
  <c r="J283" i="1"/>
  <c r="I283" i="1"/>
  <c r="H283" i="1"/>
  <c r="G283" i="1"/>
  <c r="F283" i="1"/>
  <c r="E283" i="1"/>
  <c r="D283" i="1"/>
  <c r="C283" i="1"/>
  <c r="B283" i="1"/>
  <c r="X282" i="1"/>
  <c r="V282" i="1"/>
  <c r="U282" i="1"/>
  <c r="Q282" i="1"/>
  <c r="P282" i="1"/>
  <c r="O282" i="1"/>
  <c r="N282" i="1"/>
  <c r="M282" i="1"/>
  <c r="L282" i="1"/>
  <c r="K282" i="1"/>
  <c r="J282" i="1"/>
  <c r="I282" i="1"/>
  <c r="H282" i="1"/>
  <c r="G282" i="1"/>
  <c r="F282" i="1"/>
  <c r="E282" i="1"/>
  <c r="D282" i="1"/>
  <c r="C282" i="1"/>
  <c r="B282" i="1"/>
  <c r="X281" i="1"/>
  <c r="V281" i="1"/>
  <c r="U281" i="1"/>
  <c r="T281" i="1"/>
  <c r="S281" i="1"/>
  <c r="R281" i="1"/>
  <c r="Q281" i="1"/>
  <c r="P281" i="1"/>
  <c r="O281" i="1"/>
  <c r="N281" i="1"/>
  <c r="M281" i="1"/>
  <c r="L281" i="1"/>
  <c r="K281" i="1"/>
  <c r="J281" i="1"/>
  <c r="I281" i="1"/>
  <c r="H281" i="1"/>
  <c r="G281" i="1"/>
  <c r="F281" i="1"/>
  <c r="E281" i="1"/>
  <c r="D281" i="1"/>
  <c r="C281" i="1"/>
  <c r="B281" i="1"/>
  <c r="X280" i="1"/>
  <c r="V280" i="1"/>
  <c r="U280" i="1"/>
  <c r="T280" i="1"/>
  <c r="S280" i="1"/>
  <c r="R280" i="1"/>
  <c r="Q280" i="1"/>
  <c r="P280" i="1"/>
  <c r="O280" i="1"/>
  <c r="N280" i="1"/>
  <c r="M280" i="1"/>
  <c r="L280" i="1"/>
  <c r="K280" i="1"/>
  <c r="J280" i="1"/>
  <c r="I280" i="1"/>
  <c r="H280" i="1"/>
  <c r="G280" i="1"/>
  <c r="F280" i="1"/>
  <c r="E280" i="1"/>
  <c r="D280" i="1"/>
  <c r="C280" i="1"/>
  <c r="B280" i="1"/>
  <c r="X279" i="1"/>
  <c r="V279" i="1"/>
  <c r="U279" i="1"/>
  <c r="Q279" i="1"/>
  <c r="P279" i="1"/>
  <c r="O279" i="1"/>
  <c r="N279" i="1"/>
  <c r="M279" i="1"/>
  <c r="L279" i="1"/>
  <c r="K279" i="1"/>
  <c r="J279" i="1"/>
  <c r="I279" i="1"/>
  <c r="H279" i="1"/>
  <c r="G279" i="1"/>
  <c r="F279" i="1"/>
  <c r="E279" i="1"/>
  <c r="D279" i="1"/>
  <c r="C279" i="1"/>
  <c r="B279" i="1"/>
  <c r="X278" i="1"/>
  <c r="V278" i="1"/>
  <c r="U278" i="1"/>
  <c r="Q278" i="1"/>
  <c r="P278" i="1"/>
  <c r="O278" i="1"/>
  <c r="N278" i="1"/>
  <c r="M278" i="1"/>
  <c r="L278" i="1"/>
  <c r="K278" i="1"/>
  <c r="J278" i="1"/>
  <c r="I278" i="1"/>
  <c r="H278" i="1"/>
  <c r="G278" i="1"/>
  <c r="F278" i="1"/>
  <c r="E278" i="1"/>
  <c r="D278" i="1"/>
  <c r="C278" i="1"/>
  <c r="B278" i="1"/>
  <c r="X277" i="1"/>
  <c r="V277" i="1"/>
  <c r="U277" i="1"/>
  <c r="T277" i="1"/>
  <c r="S277" i="1"/>
  <c r="R277" i="1"/>
  <c r="Q277" i="1"/>
  <c r="P277" i="1"/>
  <c r="O277" i="1"/>
  <c r="N277" i="1"/>
  <c r="M277" i="1"/>
  <c r="L277" i="1"/>
  <c r="K277" i="1"/>
  <c r="J277" i="1"/>
  <c r="I277" i="1"/>
  <c r="H277" i="1"/>
  <c r="G277" i="1"/>
  <c r="F277" i="1"/>
  <c r="E277" i="1"/>
  <c r="D277" i="1"/>
  <c r="C277" i="1"/>
  <c r="B277" i="1"/>
  <c r="X276" i="1"/>
  <c r="V276" i="1"/>
  <c r="U276" i="1"/>
  <c r="T276" i="1"/>
  <c r="S276" i="1"/>
  <c r="R276" i="1"/>
  <c r="Q276" i="1"/>
  <c r="P276" i="1"/>
  <c r="O276" i="1"/>
  <c r="N276" i="1"/>
  <c r="M276" i="1"/>
  <c r="L276" i="1"/>
  <c r="K276" i="1"/>
  <c r="J276" i="1"/>
  <c r="I276" i="1"/>
  <c r="H276" i="1"/>
  <c r="G276" i="1"/>
  <c r="F276" i="1"/>
  <c r="E276" i="1"/>
  <c r="D276" i="1"/>
  <c r="C276" i="1"/>
  <c r="B276" i="1"/>
  <c r="X275" i="1"/>
  <c r="V275" i="1"/>
  <c r="U275" i="1"/>
  <c r="N275" i="1"/>
  <c r="M275" i="1"/>
  <c r="L275" i="1"/>
  <c r="K275" i="1"/>
  <c r="J275" i="1"/>
  <c r="I275" i="1"/>
  <c r="H275" i="1"/>
  <c r="G275" i="1"/>
  <c r="F275" i="1"/>
  <c r="E275" i="1"/>
  <c r="D275" i="1"/>
  <c r="C275" i="1"/>
  <c r="B275" i="1"/>
  <c r="X274" i="1"/>
  <c r="V274" i="1"/>
  <c r="U274" i="1"/>
  <c r="T274" i="1"/>
  <c r="S274" i="1"/>
  <c r="R274" i="1"/>
  <c r="Q274" i="1"/>
  <c r="P274" i="1"/>
  <c r="O274" i="1"/>
  <c r="N274" i="1"/>
  <c r="M274" i="1"/>
  <c r="L274" i="1"/>
  <c r="K274" i="1"/>
  <c r="J274" i="1"/>
  <c r="I274" i="1"/>
  <c r="H274" i="1"/>
  <c r="G274" i="1"/>
  <c r="F274" i="1"/>
  <c r="E274" i="1"/>
  <c r="D274" i="1"/>
  <c r="C274" i="1"/>
  <c r="B274" i="1"/>
  <c r="X273" i="1"/>
  <c r="V273" i="1"/>
  <c r="U273" i="1"/>
  <c r="Q273" i="1"/>
  <c r="P273" i="1"/>
  <c r="O273" i="1"/>
  <c r="N273" i="1"/>
  <c r="M273" i="1"/>
  <c r="L273" i="1"/>
  <c r="K273" i="1"/>
  <c r="J273" i="1"/>
  <c r="I273" i="1"/>
  <c r="H273" i="1"/>
  <c r="G273" i="1"/>
  <c r="F273" i="1"/>
  <c r="E273" i="1"/>
  <c r="D273" i="1"/>
  <c r="C273" i="1"/>
  <c r="B273" i="1"/>
  <c r="X272" i="1"/>
  <c r="V272" i="1"/>
  <c r="U272" i="1"/>
  <c r="Q272" i="1"/>
  <c r="P272" i="1"/>
  <c r="O272" i="1"/>
  <c r="N272" i="1"/>
  <c r="M272" i="1"/>
  <c r="L272" i="1"/>
  <c r="K272" i="1"/>
  <c r="J272" i="1"/>
  <c r="I272" i="1"/>
  <c r="H272" i="1"/>
  <c r="G272" i="1"/>
  <c r="F272" i="1"/>
  <c r="E272" i="1"/>
  <c r="D272" i="1"/>
  <c r="C272" i="1"/>
  <c r="B272" i="1"/>
  <c r="X271" i="1"/>
  <c r="V271" i="1"/>
  <c r="U271" i="1"/>
  <c r="T271" i="1"/>
  <c r="S271" i="1"/>
  <c r="R271" i="1"/>
  <c r="Q271" i="1"/>
  <c r="P271" i="1"/>
  <c r="O271" i="1"/>
  <c r="N271" i="1"/>
  <c r="M271" i="1"/>
  <c r="L271" i="1"/>
  <c r="K271" i="1"/>
  <c r="J271" i="1"/>
  <c r="I271" i="1"/>
  <c r="H271" i="1"/>
  <c r="G271" i="1"/>
  <c r="F271" i="1"/>
  <c r="E271" i="1"/>
  <c r="D271" i="1"/>
  <c r="C271" i="1"/>
  <c r="B271" i="1"/>
  <c r="X270" i="1"/>
  <c r="V270" i="1"/>
  <c r="U270" i="1"/>
  <c r="T270" i="1"/>
  <c r="S270" i="1"/>
  <c r="R270" i="1"/>
  <c r="Q270" i="1"/>
  <c r="P270" i="1"/>
  <c r="O270" i="1"/>
  <c r="N270" i="1"/>
  <c r="M270" i="1"/>
  <c r="L270" i="1"/>
  <c r="K270" i="1"/>
  <c r="J270" i="1"/>
  <c r="I270" i="1"/>
  <c r="H270" i="1"/>
  <c r="G270" i="1"/>
  <c r="F270" i="1"/>
  <c r="E270" i="1"/>
  <c r="D270" i="1"/>
  <c r="C270" i="1"/>
  <c r="B270" i="1"/>
  <c r="X269" i="1"/>
  <c r="V269" i="1"/>
  <c r="U269" i="1"/>
  <c r="T269" i="1"/>
  <c r="S269" i="1"/>
  <c r="R269" i="1"/>
  <c r="Q269" i="1"/>
  <c r="P269" i="1"/>
  <c r="O269" i="1"/>
  <c r="N269" i="1"/>
  <c r="M269" i="1"/>
  <c r="L269" i="1"/>
  <c r="K269" i="1"/>
  <c r="J269" i="1"/>
  <c r="I269" i="1"/>
  <c r="H269" i="1"/>
  <c r="G269" i="1"/>
  <c r="F269" i="1"/>
  <c r="E269" i="1"/>
  <c r="D269" i="1"/>
  <c r="C269" i="1"/>
  <c r="B269" i="1"/>
  <c r="X268" i="1"/>
  <c r="V268" i="1"/>
  <c r="U268" i="1"/>
  <c r="Q268" i="1"/>
  <c r="P268" i="1"/>
  <c r="O268" i="1"/>
  <c r="N268" i="1"/>
  <c r="M268" i="1"/>
  <c r="L268" i="1"/>
  <c r="K268" i="1"/>
  <c r="J268" i="1"/>
  <c r="I268" i="1"/>
  <c r="H268" i="1"/>
  <c r="G268" i="1"/>
  <c r="F268" i="1"/>
  <c r="E268" i="1"/>
  <c r="D268" i="1"/>
  <c r="C268" i="1"/>
  <c r="B268" i="1"/>
  <c r="X267" i="1"/>
  <c r="V267" i="1"/>
  <c r="U267" i="1"/>
  <c r="T267" i="1"/>
  <c r="S267" i="1"/>
  <c r="R267" i="1"/>
  <c r="Q267" i="1"/>
  <c r="P267" i="1"/>
  <c r="O267" i="1"/>
  <c r="N267" i="1"/>
  <c r="M267" i="1"/>
  <c r="L267" i="1"/>
  <c r="K267" i="1"/>
  <c r="J267" i="1"/>
  <c r="I267" i="1"/>
  <c r="H267" i="1"/>
  <c r="G267" i="1"/>
  <c r="F267" i="1"/>
  <c r="E267" i="1"/>
  <c r="D267" i="1"/>
  <c r="C267" i="1"/>
  <c r="B267" i="1"/>
  <c r="X266" i="1"/>
  <c r="V266" i="1"/>
  <c r="U266" i="1"/>
  <c r="T266" i="1"/>
  <c r="S266" i="1"/>
  <c r="R266" i="1"/>
  <c r="Q266" i="1"/>
  <c r="P266" i="1"/>
  <c r="O266" i="1"/>
  <c r="N266" i="1"/>
  <c r="M266" i="1"/>
  <c r="L266" i="1"/>
  <c r="K266" i="1"/>
  <c r="J266" i="1"/>
  <c r="I266" i="1"/>
  <c r="H266" i="1"/>
  <c r="G266" i="1"/>
  <c r="F266" i="1"/>
  <c r="E266" i="1"/>
  <c r="D266" i="1"/>
  <c r="C266" i="1"/>
  <c r="B266" i="1"/>
  <c r="X265" i="1"/>
  <c r="V265" i="1"/>
  <c r="U265" i="1"/>
  <c r="Q265" i="1"/>
  <c r="P265" i="1"/>
  <c r="O265" i="1"/>
  <c r="N265" i="1"/>
  <c r="M265" i="1"/>
  <c r="L265" i="1"/>
  <c r="K265" i="1"/>
  <c r="J265" i="1"/>
  <c r="I265" i="1"/>
  <c r="H265" i="1"/>
  <c r="G265" i="1"/>
  <c r="F265" i="1"/>
  <c r="E265" i="1"/>
  <c r="D265" i="1"/>
  <c r="C265" i="1"/>
  <c r="B265" i="1"/>
  <c r="X264" i="1"/>
  <c r="V264" i="1"/>
  <c r="U264" i="1"/>
  <c r="T264" i="1"/>
  <c r="S264" i="1"/>
  <c r="R264" i="1"/>
  <c r="Q264" i="1"/>
  <c r="P264" i="1"/>
  <c r="O264" i="1"/>
  <c r="N264" i="1"/>
  <c r="M264" i="1"/>
  <c r="L264" i="1"/>
  <c r="K264" i="1"/>
  <c r="J264" i="1"/>
  <c r="I264" i="1"/>
  <c r="H264" i="1"/>
  <c r="G264" i="1"/>
  <c r="F264" i="1"/>
  <c r="E264" i="1"/>
  <c r="D264" i="1"/>
  <c r="C264" i="1"/>
  <c r="B264" i="1"/>
  <c r="X263" i="1"/>
  <c r="V263" i="1"/>
  <c r="U263" i="1"/>
  <c r="T263" i="1"/>
  <c r="S263" i="1"/>
  <c r="R263" i="1"/>
  <c r="Q263" i="1"/>
  <c r="P263" i="1"/>
  <c r="O263" i="1"/>
  <c r="N263" i="1"/>
  <c r="M263" i="1"/>
  <c r="L263" i="1"/>
  <c r="K263" i="1"/>
  <c r="J263" i="1"/>
  <c r="I263" i="1"/>
  <c r="H263" i="1"/>
  <c r="G263" i="1"/>
  <c r="F263" i="1"/>
  <c r="E263" i="1"/>
  <c r="D263" i="1"/>
  <c r="C263" i="1"/>
  <c r="B263" i="1"/>
  <c r="X262" i="1"/>
  <c r="V262" i="1"/>
  <c r="U262" i="1"/>
  <c r="T262" i="1"/>
  <c r="S262" i="1"/>
  <c r="R262" i="1"/>
  <c r="Q262" i="1"/>
  <c r="P262" i="1"/>
  <c r="O262" i="1"/>
  <c r="N262" i="1"/>
  <c r="M262" i="1"/>
  <c r="L262" i="1"/>
  <c r="K262" i="1"/>
  <c r="J262" i="1"/>
  <c r="I262" i="1"/>
  <c r="H262" i="1"/>
  <c r="G262" i="1"/>
  <c r="F262" i="1"/>
  <c r="E262" i="1"/>
  <c r="D262" i="1"/>
  <c r="C262" i="1"/>
  <c r="B262" i="1"/>
  <c r="X261" i="1"/>
  <c r="V261" i="1"/>
  <c r="U261" i="1"/>
  <c r="T261" i="1"/>
  <c r="S261" i="1"/>
  <c r="R261" i="1"/>
  <c r="Q261" i="1"/>
  <c r="P261" i="1"/>
  <c r="O261" i="1"/>
  <c r="N261" i="1"/>
  <c r="M261" i="1"/>
  <c r="L261" i="1"/>
  <c r="K261" i="1"/>
  <c r="J261" i="1"/>
  <c r="I261" i="1"/>
  <c r="H261" i="1"/>
  <c r="G261" i="1"/>
  <c r="F261" i="1"/>
  <c r="E261" i="1"/>
  <c r="D261" i="1"/>
  <c r="C261" i="1"/>
  <c r="B261" i="1"/>
  <c r="X260" i="1"/>
  <c r="V260" i="1"/>
  <c r="U260" i="1"/>
  <c r="T260" i="1"/>
  <c r="S260" i="1"/>
  <c r="R260" i="1"/>
  <c r="Q260" i="1"/>
  <c r="P260" i="1"/>
  <c r="O260" i="1"/>
  <c r="N260" i="1"/>
  <c r="M260" i="1"/>
  <c r="L260" i="1"/>
  <c r="K260" i="1"/>
  <c r="J260" i="1"/>
  <c r="I260" i="1"/>
  <c r="H260" i="1"/>
  <c r="G260" i="1"/>
  <c r="F260" i="1"/>
  <c r="E260" i="1"/>
  <c r="D260" i="1"/>
  <c r="C260" i="1"/>
  <c r="B260" i="1"/>
  <c r="X259" i="1"/>
  <c r="V259" i="1"/>
  <c r="U259" i="1"/>
  <c r="T259" i="1"/>
  <c r="S259" i="1"/>
  <c r="R259" i="1"/>
  <c r="Q259" i="1"/>
  <c r="P259" i="1"/>
  <c r="O259" i="1"/>
  <c r="N259" i="1"/>
  <c r="M259" i="1"/>
  <c r="L259" i="1"/>
  <c r="K259" i="1"/>
  <c r="J259" i="1"/>
  <c r="I259" i="1"/>
  <c r="H259" i="1"/>
  <c r="G259" i="1"/>
  <c r="F259" i="1"/>
  <c r="E259" i="1"/>
  <c r="D259" i="1"/>
  <c r="C259" i="1"/>
  <c r="B259" i="1"/>
  <c r="X258" i="1"/>
  <c r="V258" i="1"/>
  <c r="U258" i="1"/>
  <c r="T258" i="1"/>
  <c r="S258" i="1"/>
  <c r="R258" i="1"/>
  <c r="Q258" i="1"/>
  <c r="P258" i="1"/>
  <c r="O258" i="1"/>
  <c r="N258" i="1"/>
  <c r="M258" i="1"/>
  <c r="L258" i="1"/>
  <c r="K258" i="1"/>
  <c r="J258" i="1"/>
  <c r="I258" i="1"/>
  <c r="H258" i="1"/>
  <c r="G258" i="1"/>
  <c r="F258" i="1"/>
  <c r="E258" i="1"/>
  <c r="D258" i="1"/>
  <c r="C258" i="1"/>
  <c r="B258" i="1"/>
  <c r="X257" i="1"/>
  <c r="V257" i="1"/>
  <c r="U257" i="1"/>
  <c r="Q257" i="1"/>
  <c r="P257" i="1"/>
  <c r="O257" i="1"/>
  <c r="N257" i="1"/>
  <c r="M257" i="1"/>
  <c r="L257" i="1"/>
  <c r="K257" i="1"/>
  <c r="J257" i="1"/>
  <c r="I257" i="1"/>
  <c r="H257" i="1"/>
  <c r="G257" i="1"/>
  <c r="F257" i="1"/>
  <c r="E257" i="1"/>
  <c r="D257" i="1"/>
  <c r="C257" i="1"/>
  <c r="B257" i="1"/>
  <c r="X256" i="1"/>
  <c r="V256" i="1"/>
  <c r="U256" i="1"/>
  <c r="Q256" i="1"/>
  <c r="P256" i="1"/>
  <c r="O256" i="1"/>
  <c r="N256" i="1"/>
  <c r="M256" i="1"/>
  <c r="L256" i="1"/>
  <c r="K256" i="1"/>
  <c r="J256" i="1"/>
  <c r="I256" i="1"/>
  <c r="H256" i="1"/>
  <c r="G256" i="1"/>
  <c r="F256" i="1"/>
  <c r="E256" i="1"/>
  <c r="D256" i="1"/>
  <c r="C256" i="1"/>
  <c r="B256" i="1"/>
  <c r="X255" i="1"/>
  <c r="V255" i="1"/>
  <c r="U255" i="1"/>
  <c r="T255" i="1"/>
  <c r="S255" i="1"/>
  <c r="R255" i="1"/>
  <c r="Q255" i="1"/>
  <c r="P255" i="1"/>
  <c r="O255" i="1"/>
  <c r="N255" i="1"/>
  <c r="M255" i="1"/>
  <c r="L255" i="1"/>
  <c r="K255" i="1"/>
  <c r="J255" i="1"/>
  <c r="I255" i="1"/>
  <c r="H255" i="1"/>
  <c r="G255" i="1"/>
  <c r="F255" i="1"/>
  <c r="E255" i="1"/>
  <c r="D255" i="1"/>
  <c r="C255" i="1"/>
  <c r="B255" i="1"/>
  <c r="X254" i="1"/>
  <c r="V254" i="1"/>
  <c r="U254" i="1"/>
  <c r="T254" i="1"/>
  <c r="S254" i="1"/>
  <c r="R254" i="1"/>
  <c r="Q254" i="1"/>
  <c r="P254" i="1"/>
  <c r="O254" i="1"/>
  <c r="N254" i="1"/>
  <c r="M254" i="1"/>
  <c r="L254" i="1"/>
  <c r="K254" i="1"/>
  <c r="J254" i="1"/>
  <c r="I254" i="1"/>
  <c r="H254" i="1"/>
  <c r="G254" i="1"/>
  <c r="F254" i="1"/>
  <c r="E254" i="1"/>
  <c r="D254" i="1"/>
  <c r="C254" i="1"/>
  <c r="B254" i="1"/>
  <c r="X253" i="1"/>
  <c r="V253" i="1"/>
  <c r="U253" i="1"/>
  <c r="Q253" i="1"/>
  <c r="P253" i="1"/>
  <c r="O253" i="1"/>
  <c r="N253" i="1"/>
  <c r="M253" i="1"/>
  <c r="L253" i="1"/>
  <c r="K253" i="1"/>
  <c r="J253" i="1"/>
  <c r="I253" i="1"/>
  <c r="H253" i="1"/>
  <c r="G253" i="1"/>
  <c r="F253" i="1"/>
  <c r="E253" i="1"/>
  <c r="D253" i="1"/>
  <c r="C253" i="1"/>
  <c r="B253" i="1"/>
  <c r="X252" i="1"/>
  <c r="V252" i="1"/>
  <c r="U252" i="1"/>
  <c r="T252" i="1"/>
  <c r="S252" i="1"/>
  <c r="R252" i="1"/>
  <c r="Q252" i="1"/>
  <c r="P252" i="1"/>
  <c r="O252" i="1"/>
  <c r="N252" i="1"/>
  <c r="M252" i="1"/>
  <c r="L252" i="1"/>
  <c r="K252" i="1"/>
  <c r="J252" i="1"/>
  <c r="I252" i="1"/>
  <c r="H252" i="1"/>
  <c r="G252" i="1"/>
  <c r="F252" i="1"/>
  <c r="E252" i="1"/>
  <c r="D252" i="1"/>
  <c r="C252" i="1"/>
  <c r="B252" i="1"/>
  <c r="X251" i="1"/>
  <c r="V251" i="1"/>
  <c r="U251" i="1"/>
  <c r="T251" i="1"/>
  <c r="S251" i="1"/>
  <c r="R251" i="1"/>
  <c r="Q251" i="1"/>
  <c r="P251" i="1"/>
  <c r="O251" i="1"/>
  <c r="N251" i="1"/>
  <c r="M251" i="1"/>
  <c r="L251" i="1"/>
  <c r="K251" i="1"/>
  <c r="J251" i="1"/>
  <c r="I251" i="1"/>
  <c r="H251" i="1"/>
  <c r="G251" i="1"/>
  <c r="F251" i="1"/>
  <c r="E251" i="1"/>
  <c r="D251" i="1"/>
  <c r="C251" i="1"/>
  <c r="B251" i="1"/>
  <c r="X250" i="1"/>
  <c r="V250" i="1"/>
  <c r="U250" i="1"/>
  <c r="T250" i="1"/>
  <c r="S250" i="1"/>
  <c r="R250" i="1"/>
  <c r="Q250" i="1"/>
  <c r="P250" i="1"/>
  <c r="O250" i="1"/>
  <c r="N250" i="1"/>
  <c r="M250" i="1"/>
  <c r="L250" i="1"/>
  <c r="K250" i="1"/>
  <c r="J250" i="1"/>
  <c r="I250" i="1"/>
  <c r="H250" i="1"/>
  <c r="G250" i="1"/>
  <c r="F250" i="1"/>
  <c r="E250" i="1"/>
  <c r="D250" i="1"/>
  <c r="C250" i="1"/>
  <c r="B250" i="1"/>
  <c r="X249" i="1"/>
  <c r="W249" i="1"/>
  <c r="V249" i="1"/>
  <c r="U249" i="1"/>
  <c r="T249" i="1"/>
  <c r="S249" i="1"/>
  <c r="R249" i="1"/>
  <c r="Q249" i="1"/>
  <c r="P249" i="1"/>
  <c r="O249" i="1"/>
  <c r="N249" i="1"/>
  <c r="M249" i="1"/>
  <c r="L249" i="1"/>
  <c r="K249" i="1"/>
  <c r="J249" i="1"/>
  <c r="I249" i="1"/>
  <c r="H249" i="1"/>
  <c r="G249" i="1"/>
  <c r="F249" i="1"/>
  <c r="E249" i="1"/>
  <c r="D249" i="1"/>
  <c r="C249" i="1"/>
  <c r="B249" i="1"/>
  <c r="X248" i="1"/>
  <c r="W248" i="1"/>
  <c r="V248" i="1"/>
  <c r="U248" i="1"/>
  <c r="T248" i="1"/>
  <c r="S248" i="1"/>
  <c r="R248" i="1"/>
  <c r="Q248" i="1"/>
  <c r="P248" i="1"/>
  <c r="O248" i="1"/>
  <c r="N248" i="1"/>
  <c r="M248" i="1"/>
  <c r="L248" i="1"/>
  <c r="K248" i="1"/>
  <c r="J248" i="1"/>
  <c r="I248" i="1"/>
  <c r="H248" i="1"/>
  <c r="G248" i="1"/>
  <c r="F248" i="1"/>
  <c r="E248" i="1"/>
  <c r="D248" i="1"/>
  <c r="C248" i="1"/>
  <c r="B248" i="1"/>
  <c r="X247" i="1"/>
  <c r="W247" i="1"/>
  <c r="V247" i="1"/>
  <c r="U247" i="1"/>
  <c r="T247" i="1"/>
  <c r="S247" i="1"/>
  <c r="R247" i="1"/>
  <c r="Q247" i="1"/>
  <c r="P247" i="1"/>
  <c r="O247" i="1"/>
  <c r="N247" i="1"/>
  <c r="M247" i="1"/>
  <c r="L247" i="1"/>
  <c r="K247" i="1"/>
  <c r="J247" i="1"/>
  <c r="I247" i="1"/>
  <c r="H247" i="1"/>
  <c r="G247" i="1"/>
  <c r="F247" i="1"/>
  <c r="E247" i="1"/>
  <c r="D247" i="1"/>
  <c r="C247" i="1"/>
  <c r="B247" i="1"/>
  <c r="X246" i="1"/>
  <c r="W246" i="1"/>
  <c r="V246" i="1"/>
  <c r="U246" i="1"/>
  <c r="Q246" i="1"/>
  <c r="P246" i="1"/>
  <c r="O246" i="1"/>
  <c r="N246" i="1"/>
  <c r="M246" i="1"/>
  <c r="L246" i="1"/>
  <c r="K246" i="1"/>
  <c r="J246" i="1"/>
  <c r="I246" i="1"/>
  <c r="H246" i="1"/>
  <c r="G246" i="1"/>
  <c r="F246" i="1"/>
  <c r="E246" i="1"/>
  <c r="D246" i="1"/>
  <c r="C246" i="1"/>
  <c r="B246" i="1"/>
  <c r="X245" i="1"/>
  <c r="W245" i="1"/>
  <c r="V245" i="1"/>
  <c r="U245" i="1"/>
  <c r="Q245" i="1"/>
  <c r="P245" i="1"/>
  <c r="O245" i="1"/>
  <c r="N245" i="1"/>
  <c r="M245" i="1"/>
  <c r="L245" i="1"/>
  <c r="K245" i="1"/>
  <c r="J245" i="1"/>
  <c r="I245" i="1"/>
  <c r="H245" i="1"/>
  <c r="G245" i="1"/>
  <c r="F245" i="1"/>
  <c r="E245" i="1"/>
  <c r="D245" i="1"/>
  <c r="C245" i="1"/>
  <c r="B245" i="1"/>
  <c r="X244" i="1"/>
  <c r="W244" i="1"/>
  <c r="V244" i="1"/>
  <c r="U244" i="1"/>
  <c r="Q244" i="1"/>
  <c r="P244" i="1"/>
  <c r="O244" i="1"/>
  <c r="N244" i="1"/>
  <c r="M244" i="1"/>
  <c r="L244" i="1"/>
  <c r="K244" i="1"/>
  <c r="J244" i="1"/>
  <c r="I244" i="1"/>
  <c r="H244" i="1"/>
  <c r="G244" i="1"/>
  <c r="F244" i="1"/>
  <c r="E244" i="1"/>
  <c r="D244" i="1"/>
  <c r="C244" i="1"/>
  <c r="B244" i="1"/>
  <c r="X243" i="1"/>
  <c r="W243" i="1"/>
  <c r="V243" i="1"/>
  <c r="U243" i="1"/>
  <c r="T243" i="1"/>
  <c r="S243" i="1"/>
  <c r="R243" i="1"/>
  <c r="Q243" i="1"/>
  <c r="P243" i="1"/>
  <c r="O243" i="1"/>
  <c r="N243" i="1"/>
  <c r="M243" i="1"/>
  <c r="L243" i="1"/>
  <c r="K243" i="1"/>
  <c r="J243" i="1"/>
  <c r="I243" i="1"/>
  <c r="H243" i="1"/>
  <c r="G243" i="1"/>
  <c r="F243" i="1"/>
  <c r="E243" i="1"/>
  <c r="D243" i="1"/>
  <c r="C243" i="1"/>
  <c r="B243" i="1"/>
  <c r="X242" i="1"/>
  <c r="W242" i="1"/>
  <c r="V242" i="1"/>
  <c r="U242" i="1"/>
  <c r="Q242" i="1"/>
  <c r="P242" i="1"/>
  <c r="O242" i="1"/>
  <c r="N242" i="1"/>
  <c r="M242" i="1"/>
  <c r="L242" i="1"/>
  <c r="K242" i="1"/>
  <c r="J242" i="1"/>
  <c r="I242" i="1"/>
  <c r="H242" i="1"/>
  <c r="G242" i="1"/>
  <c r="F242" i="1"/>
  <c r="E242" i="1"/>
  <c r="D242" i="1"/>
  <c r="C242" i="1"/>
  <c r="B242" i="1"/>
  <c r="X241" i="1"/>
  <c r="W241" i="1"/>
  <c r="V241" i="1"/>
  <c r="U241" i="1"/>
  <c r="T241" i="1"/>
  <c r="S241" i="1"/>
  <c r="R241" i="1"/>
  <c r="Q241" i="1"/>
  <c r="P241" i="1"/>
  <c r="O241" i="1"/>
  <c r="N241" i="1"/>
  <c r="M241" i="1"/>
  <c r="L241" i="1"/>
  <c r="K241" i="1"/>
  <c r="J241" i="1"/>
  <c r="I241" i="1"/>
  <c r="H241" i="1"/>
  <c r="G241" i="1"/>
  <c r="F241" i="1"/>
  <c r="E241" i="1"/>
  <c r="D241" i="1"/>
  <c r="C241" i="1"/>
  <c r="B241" i="1"/>
  <c r="X240" i="1"/>
  <c r="W240" i="1"/>
  <c r="V240" i="1"/>
  <c r="U240" i="1"/>
  <c r="T240" i="1"/>
  <c r="S240" i="1"/>
  <c r="R240" i="1"/>
  <c r="Q240" i="1"/>
  <c r="P240" i="1"/>
  <c r="O240" i="1"/>
  <c r="N240" i="1"/>
  <c r="M240" i="1"/>
  <c r="L240" i="1"/>
  <c r="K240" i="1"/>
  <c r="J240" i="1"/>
  <c r="I240" i="1"/>
  <c r="H240" i="1"/>
  <c r="G240" i="1"/>
  <c r="F240" i="1"/>
  <c r="E240" i="1"/>
  <c r="D240" i="1"/>
  <c r="C240" i="1"/>
  <c r="B240" i="1"/>
  <c r="X239" i="1"/>
  <c r="W239" i="1"/>
  <c r="V239" i="1"/>
  <c r="U239" i="1"/>
  <c r="N239" i="1"/>
  <c r="M239" i="1"/>
  <c r="L239" i="1"/>
  <c r="K239" i="1"/>
  <c r="J239" i="1"/>
  <c r="I239" i="1"/>
  <c r="H239" i="1"/>
  <c r="G239" i="1"/>
  <c r="F239" i="1"/>
  <c r="E239" i="1"/>
  <c r="D239" i="1"/>
  <c r="C239" i="1"/>
  <c r="B239" i="1"/>
  <c r="X238" i="1"/>
  <c r="W238" i="1"/>
  <c r="V238" i="1"/>
  <c r="U238" i="1"/>
  <c r="T238" i="1"/>
  <c r="S238" i="1"/>
  <c r="R238" i="1"/>
  <c r="Q238" i="1"/>
  <c r="P238" i="1"/>
  <c r="O238" i="1"/>
  <c r="N238" i="1"/>
  <c r="M238" i="1"/>
  <c r="L238" i="1"/>
  <c r="K238" i="1"/>
  <c r="J238" i="1"/>
  <c r="I238" i="1"/>
  <c r="H238" i="1"/>
  <c r="G238" i="1"/>
  <c r="F238" i="1"/>
  <c r="E238" i="1"/>
  <c r="D238" i="1"/>
  <c r="C238" i="1"/>
  <c r="B238" i="1"/>
  <c r="X237" i="1"/>
  <c r="W237" i="1"/>
  <c r="V237" i="1"/>
  <c r="U237" i="1"/>
  <c r="T237" i="1"/>
  <c r="S237" i="1"/>
  <c r="R237" i="1"/>
  <c r="Q237" i="1"/>
  <c r="P237" i="1"/>
  <c r="O237" i="1"/>
  <c r="N237" i="1"/>
  <c r="M237" i="1"/>
  <c r="L237" i="1"/>
  <c r="K237" i="1"/>
  <c r="J237" i="1"/>
  <c r="I237" i="1"/>
  <c r="H237" i="1"/>
  <c r="G237" i="1"/>
  <c r="F237" i="1"/>
  <c r="E237" i="1"/>
  <c r="D237" i="1"/>
  <c r="C237" i="1"/>
  <c r="B237" i="1"/>
  <c r="X236" i="1"/>
  <c r="W236" i="1"/>
  <c r="V236" i="1"/>
  <c r="U236" i="1"/>
  <c r="Q236" i="1"/>
  <c r="P236" i="1"/>
  <c r="O236" i="1"/>
  <c r="N236" i="1"/>
  <c r="M236" i="1"/>
  <c r="L236" i="1"/>
  <c r="K236" i="1"/>
  <c r="J236" i="1"/>
  <c r="I236" i="1"/>
  <c r="H236" i="1"/>
  <c r="G236" i="1"/>
  <c r="F236" i="1"/>
  <c r="E236" i="1"/>
  <c r="D236" i="1"/>
  <c r="C236" i="1"/>
  <c r="B236" i="1"/>
  <c r="X235" i="1"/>
  <c r="W235" i="1"/>
  <c r="V235" i="1"/>
  <c r="U235" i="1"/>
  <c r="T235" i="1"/>
  <c r="S235" i="1"/>
  <c r="R235" i="1"/>
  <c r="Q235" i="1"/>
  <c r="P235" i="1"/>
  <c r="O235" i="1"/>
  <c r="N235" i="1"/>
  <c r="M235" i="1"/>
  <c r="L235" i="1"/>
  <c r="K235" i="1"/>
  <c r="J235" i="1"/>
  <c r="I235" i="1"/>
  <c r="H235" i="1"/>
  <c r="G235" i="1"/>
  <c r="F235" i="1"/>
  <c r="E235" i="1"/>
  <c r="D235" i="1"/>
  <c r="C235" i="1"/>
  <c r="B235" i="1"/>
  <c r="X234" i="1"/>
  <c r="W234" i="1"/>
  <c r="V234" i="1"/>
  <c r="U234" i="1"/>
  <c r="T234" i="1"/>
  <c r="S234" i="1"/>
  <c r="R234" i="1"/>
  <c r="Q234" i="1"/>
  <c r="P234" i="1"/>
  <c r="O234" i="1"/>
  <c r="N234" i="1"/>
  <c r="M234" i="1"/>
  <c r="L234" i="1"/>
  <c r="K234" i="1"/>
  <c r="J234" i="1"/>
  <c r="I234" i="1"/>
  <c r="H234" i="1"/>
  <c r="G234" i="1"/>
  <c r="F234" i="1"/>
  <c r="E234" i="1"/>
  <c r="D234" i="1"/>
  <c r="C234" i="1"/>
  <c r="B234" i="1"/>
  <c r="X233" i="1"/>
  <c r="W233" i="1"/>
  <c r="V233" i="1"/>
  <c r="U233" i="1"/>
  <c r="T233" i="1"/>
  <c r="S233" i="1"/>
  <c r="R233" i="1"/>
  <c r="Q233" i="1"/>
  <c r="P233" i="1"/>
  <c r="O233" i="1"/>
  <c r="N233" i="1"/>
  <c r="M233" i="1"/>
  <c r="L233" i="1"/>
  <c r="K233" i="1"/>
  <c r="J233" i="1"/>
  <c r="I233" i="1"/>
  <c r="H233" i="1"/>
  <c r="G233" i="1"/>
  <c r="F233" i="1"/>
  <c r="E233" i="1"/>
  <c r="D233" i="1"/>
  <c r="C233" i="1"/>
  <c r="B233" i="1"/>
  <c r="X232" i="1"/>
  <c r="W232" i="1"/>
  <c r="V232" i="1"/>
  <c r="U232" i="1"/>
  <c r="T232" i="1"/>
  <c r="S232" i="1"/>
  <c r="R232" i="1"/>
  <c r="Q232" i="1"/>
  <c r="P232" i="1"/>
  <c r="O232" i="1"/>
  <c r="N232" i="1"/>
  <c r="M232" i="1"/>
  <c r="L232" i="1"/>
  <c r="K232" i="1"/>
  <c r="J232" i="1"/>
  <c r="I232" i="1"/>
  <c r="H232" i="1"/>
  <c r="G232" i="1"/>
  <c r="F232" i="1"/>
  <c r="E232" i="1"/>
  <c r="D232" i="1"/>
  <c r="C232" i="1"/>
  <c r="B232" i="1"/>
  <c r="X231" i="1"/>
  <c r="W231" i="1"/>
  <c r="V231" i="1"/>
  <c r="U231" i="1"/>
  <c r="T231" i="1"/>
  <c r="S231" i="1"/>
  <c r="R231" i="1"/>
  <c r="Q231" i="1"/>
  <c r="P231" i="1"/>
  <c r="O231" i="1"/>
  <c r="N231" i="1"/>
  <c r="M231" i="1"/>
  <c r="L231" i="1"/>
  <c r="K231" i="1"/>
  <c r="J231" i="1"/>
  <c r="I231" i="1"/>
  <c r="H231" i="1"/>
  <c r="G231" i="1"/>
  <c r="F231" i="1"/>
  <c r="E231" i="1"/>
  <c r="D231" i="1"/>
  <c r="C231" i="1"/>
  <c r="B231" i="1"/>
  <c r="X230" i="1"/>
  <c r="W230" i="1"/>
  <c r="V230" i="1"/>
  <c r="U230" i="1"/>
  <c r="T230" i="1"/>
  <c r="S230" i="1"/>
  <c r="R230" i="1"/>
  <c r="Q230" i="1"/>
  <c r="P230" i="1"/>
  <c r="O230" i="1"/>
  <c r="N230" i="1"/>
  <c r="M230" i="1"/>
  <c r="L230" i="1"/>
  <c r="K230" i="1"/>
  <c r="J230" i="1"/>
  <c r="I230" i="1"/>
  <c r="H230" i="1"/>
  <c r="G230" i="1"/>
  <c r="F230" i="1"/>
  <c r="E230" i="1"/>
  <c r="D230" i="1"/>
  <c r="C230" i="1"/>
  <c r="B230" i="1"/>
  <c r="X229" i="1"/>
  <c r="W229" i="1"/>
  <c r="V229" i="1"/>
  <c r="U229" i="1"/>
  <c r="T229" i="1"/>
  <c r="S229" i="1"/>
  <c r="R229" i="1"/>
  <c r="Q229" i="1"/>
  <c r="P229" i="1"/>
  <c r="O229" i="1"/>
  <c r="N229" i="1"/>
  <c r="M229" i="1"/>
  <c r="L229" i="1"/>
  <c r="K229" i="1"/>
  <c r="J229" i="1"/>
  <c r="I229" i="1"/>
  <c r="H229" i="1"/>
  <c r="G229" i="1"/>
  <c r="F229" i="1"/>
  <c r="E229" i="1"/>
  <c r="D229" i="1"/>
  <c r="C229" i="1"/>
  <c r="B229" i="1"/>
  <c r="X228" i="1"/>
  <c r="W228" i="1"/>
  <c r="V228" i="1"/>
  <c r="U228" i="1"/>
  <c r="T228" i="1"/>
  <c r="S228" i="1"/>
  <c r="R228" i="1"/>
  <c r="Q228" i="1"/>
  <c r="P228" i="1"/>
  <c r="O228" i="1"/>
  <c r="N228" i="1"/>
  <c r="M228" i="1"/>
  <c r="L228" i="1"/>
  <c r="K228" i="1"/>
  <c r="J228" i="1"/>
  <c r="I228" i="1"/>
  <c r="H228" i="1"/>
  <c r="G228" i="1"/>
  <c r="F228" i="1"/>
  <c r="E228" i="1"/>
  <c r="D228" i="1"/>
  <c r="C228" i="1"/>
  <c r="B228" i="1"/>
  <c r="X227" i="1"/>
  <c r="W227" i="1"/>
  <c r="V227" i="1"/>
  <c r="U227" i="1"/>
  <c r="T227" i="1"/>
  <c r="S227" i="1"/>
  <c r="R227" i="1"/>
  <c r="Q227" i="1"/>
  <c r="P227" i="1"/>
  <c r="O227" i="1"/>
  <c r="N227" i="1"/>
  <c r="M227" i="1"/>
  <c r="L227" i="1"/>
  <c r="K227" i="1"/>
  <c r="J227" i="1"/>
  <c r="I227" i="1"/>
  <c r="H227" i="1"/>
  <c r="G227" i="1"/>
  <c r="F227" i="1"/>
  <c r="E227" i="1"/>
  <c r="D227" i="1"/>
  <c r="C227" i="1"/>
  <c r="B227" i="1"/>
  <c r="X226" i="1"/>
  <c r="W226" i="1"/>
  <c r="V226" i="1"/>
  <c r="U226" i="1"/>
  <c r="T226" i="1"/>
  <c r="S226" i="1"/>
  <c r="R226" i="1"/>
  <c r="Q226" i="1"/>
  <c r="P226" i="1"/>
  <c r="O226" i="1"/>
  <c r="N226" i="1"/>
  <c r="M226" i="1"/>
  <c r="L226" i="1"/>
  <c r="K226" i="1"/>
  <c r="J226" i="1"/>
  <c r="I226" i="1"/>
  <c r="H226" i="1"/>
  <c r="G226" i="1"/>
  <c r="F226" i="1"/>
  <c r="E226" i="1"/>
  <c r="D226" i="1"/>
  <c r="C226" i="1"/>
  <c r="B226" i="1"/>
  <c r="X225" i="1"/>
  <c r="W225" i="1"/>
  <c r="V225" i="1"/>
  <c r="U225" i="1"/>
  <c r="T225" i="1"/>
  <c r="S225" i="1"/>
  <c r="R225" i="1"/>
  <c r="Q225" i="1"/>
  <c r="P225" i="1"/>
  <c r="O225" i="1"/>
  <c r="N225" i="1"/>
  <c r="M225" i="1"/>
  <c r="L225" i="1"/>
  <c r="K225" i="1"/>
  <c r="J225" i="1"/>
  <c r="I225" i="1"/>
  <c r="H225" i="1"/>
  <c r="G225" i="1"/>
  <c r="F225" i="1"/>
  <c r="E225" i="1"/>
  <c r="D225" i="1"/>
  <c r="C225" i="1"/>
  <c r="B225" i="1"/>
  <c r="X224" i="1"/>
  <c r="V224" i="1"/>
  <c r="U224" i="1"/>
  <c r="Q224" i="1"/>
  <c r="P224" i="1"/>
  <c r="O224" i="1"/>
  <c r="N224" i="1"/>
  <c r="M224" i="1"/>
  <c r="L224" i="1"/>
  <c r="K224" i="1"/>
  <c r="J224" i="1"/>
  <c r="I224" i="1"/>
  <c r="H224" i="1"/>
  <c r="G224" i="1"/>
  <c r="F224" i="1"/>
  <c r="E224" i="1"/>
  <c r="D224" i="1"/>
  <c r="C224" i="1"/>
  <c r="B224" i="1"/>
  <c r="X223" i="1"/>
  <c r="V223" i="1"/>
  <c r="U223" i="1"/>
  <c r="T223" i="1"/>
  <c r="S223" i="1"/>
  <c r="R223" i="1"/>
  <c r="Q223" i="1"/>
  <c r="P223" i="1"/>
  <c r="O223" i="1"/>
  <c r="N223" i="1"/>
  <c r="M223" i="1"/>
  <c r="L223" i="1"/>
  <c r="K223" i="1"/>
  <c r="J223" i="1"/>
  <c r="I223" i="1"/>
  <c r="H223" i="1"/>
  <c r="G223" i="1"/>
  <c r="F223" i="1"/>
  <c r="E223" i="1"/>
  <c r="D223" i="1"/>
  <c r="C223" i="1"/>
  <c r="B223" i="1"/>
  <c r="X222" i="1"/>
  <c r="V222" i="1"/>
  <c r="U222" i="1"/>
  <c r="T222" i="1"/>
  <c r="S222" i="1"/>
  <c r="R222" i="1"/>
  <c r="Q222" i="1"/>
  <c r="P222" i="1"/>
  <c r="O222" i="1"/>
  <c r="N222" i="1"/>
  <c r="M222" i="1"/>
  <c r="L222" i="1"/>
  <c r="K222" i="1"/>
  <c r="J222" i="1"/>
  <c r="I222" i="1"/>
  <c r="H222" i="1"/>
  <c r="G222" i="1"/>
  <c r="F222" i="1"/>
  <c r="E222" i="1"/>
  <c r="D222" i="1"/>
  <c r="C222" i="1"/>
  <c r="B222" i="1"/>
  <c r="X221" i="1"/>
  <c r="V221" i="1"/>
  <c r="U221" i="1"/>
  <c r="T221" i="1"/>
  <c r="S221" i="1"/>
  <c r="R221" i="1"/>
  <c r="Q221" i="1"/>
  <c r="P221" i="1"/>
  <c r="O221" i="1"/>
  <c r="N221" i="1"/>
  <c r="M221" i="1"/>
  <c r="L221" i="1"/>
  <c r="K221" i="1"/>
  <c r="J221" i="1"/>
  <c r="I221" i="1"/>
  <c r="H221" i="1"/>
  <c r="G221" i="1"/>
  <c r="F221" i="1"/>
  <c r="E221" i="1"/>
  <c r="D221" i="1"/>
  <c r="C221" i="1"/>
  <c r="B221" i="1"/>
  <c r="X220" i="1"/>
  <c r="V220" i="1"/>
  <c r="U220" i="1"/>
  <c r="Q220" i="1"/>
  <c r="P220" i="1"/>
  <c r="O220" i="1"/>
  <c r="N220" i="1"/>
  <c r="M220" i="1"/>
  <c r="L220" i="1"/>
  <c r="K220" i="1"/>
  <c r="J220" i="1"/>
  <c r="I220" i="1"/>
  <c r="H220" i="1"/>
  <c r="G220" i="1"/>
  <c r="F220" i="1"/>
  <c r="E220" i="1"/>
  <c r="D220" i="1"/>
  <c r="C220" i="1"/>
  <c r="B220" i="1"/>
  <c r="X219" i="1"/>
  <c r="V219" i="1"/>
  <c r="U219" i="1"/>
  <c r="T219" i="1"/>
  <c r="S219" i="1"/>
  <c r="R219" i="1"/>
  <c r="Q219" i="1"/>
  <c r="P219" i="1"/>
  <c r="O219" i="1"/>
  <c r="N219" i="1"/>
  <c r="M219" i="1"/>
  <c r="L219" i="1"/>
  <c r="K219" i="1"/>
  <c r="J219" i="1"/>
  <c r="I219" i="1"/>
  <c r="H219" i="1"/>
  <c r="G219" i="1"/>
  <c r="F219" i="1"/>
  <c r="E219" i="1"/>
  <c r="D219" i="1"/>
  <c r="C219" i="1"/>
  <c r="B219" i="1"/>
  <c r="X218" i="1"/>
  <c r="V218" i="1"/>
  <c r="U218" i="1"/>
  <c r="T218" i="1"/>
  <c r="S218" i="1"/>
  <c r="R218" i="1"/>
  <c r="Q218" i="1"/>
  <c r="P218" i="1"/>
  <c r="O218" i="1"/>
  <c r="N218" i="1"/>
  <c r="M218" i="1"/>
  <c r="L218" i="1"/>
  <c r="K218" i="1"/>
  <c r="J218" i="1"/>
  <c r="I218" i="1"/>
  <c r="H218" i="1"/>
  <c r="G218" i="1"/>
  <c r="F218" i="1"/>
  <c r="E218" i="1"/>
  <c r="D218" i="1"/>
  <c r="C218" i="1"/>
  <c r="B218" i="1"/>
  <c r="X217" i="1"/>
  <c r="V217" i="1"/>
  <c r="U217" i="1"/>
  <c r="T217" i="1"/>
  <c r="S217" i="1"/>
  <c r="R217" i="1"/>
  <c r="Q217" i="1"/>
  <c r="P217" i="1"/>
  <c r="O217" i="1"/>
  <c r="N217" i="1"/>
  <c r="M217" i="1"/>
  <c r="L217" i="1"/>
  <c r="K217" i="1"/>
  <c r="J217" i="1"/>
  <c r="I217" i="1"/>
  <c r="H217" i="1"/>
  <c r="G217" i="1"/>
  <c r="F217" i="1"/>
  <c r="E217" i="1"/>
  <c r="D217" i="1"/>
  <c r="C217" i="1"/>
  <c r="B217" i="1"/>
  <c r="X216" i="1"/>
  <c r="V216" i="1"/>
  <c r="U216" i="1"/>
  <c r="T216" i="1"/>
  <c r="S216" i="1"/>
  <c r="R216" i="1"/>
  <c r="Q216" i="1"/>
  <c r="P216" i="1"/>
  <c r="O216" i="1"/>
  <c r="N216" i="1"/>
  <c r="M216" i="1"/>
  <c r="L216" i="1"/>
  <c r="K216" i="1"/>
  <c r="J216" i="1"/>
  <c r="I216" i="1"/>
  <c r="H216" i="1"/>
  <c r="G216" i="1"/>
  <c r="F216" i="1"/>
  <c r="E216" i="1"/>
  <c r="D216" i="1"/>
  <c r="C216" i="1"/>
  <c r="B216" i="1"/>
  <c r="X215" i="1"/>
  <c r="V215" i="1"/>
  <c r="U215" i="1"/>
  <c r="T215" i="1"/>
  <c r="S215" i="1"/>
  <c r="R215" i="1"/>
  <c r="Q215" i="1"/>
  <c r="P215" i="1"/>
  <c r="O215" i="1"/>
  <c r="N215" i="1"/>
  <c r="M215" i="1"/>
  <c r="L215" i="1"/>
  <c r="K215" i="1"/>
  <c r="J215" i="1"/>
  <c r="I215" i="1"/>
  <c r="H215" i="1"/>
  <c r="G215" i="1"/>
  <c r="F215" i="1"/>
  <c r="E215" i="1"/>
  <c r="D215" i="1"/>
  <c r="C215" i="1"/>
  <c r="B215" i="1"/>
  <c r="X214" i="1"/>
  <c r="V214" i="1"/>
  <c r="U214" i="1"/>
  <c r="T214" i="1"/>
  <c r="S214" i="1"/>
  <c r="R214" i="1"/>
  <c r="Q214" i="1"/>
  <c r="P214" i="1"/>
  <c r="O214" i="1"/>
  <c r="N214" i="1"/>
  <c r="M214" i="1"/>
  <c r="L214" i="1"/>
  <c r="K214" i="1"/>
  <c r="J214" i="1"/>
  <c r="I214" i="1"/>
  <c r="H214" i="1"/>
  <c r="G214" i="1"/>
  <c r="F214" i="1"/>
  <c r="E214" i="1"/>
  <c r="D214" i="1"/>
  <c r="C214" i="1"/>
  <c r="B214" i="1"/>
  <c r="X213" i="1"/>
  <c r="V213" i="1"/>
  <c r="U213" i="1"/>
  <c r="Q213" i="1"/>
  <c r="P213" i="1"/>
  <c r="O213" i="1"/>
  <c r="N213" i="1"/>
  <c r="M213" i="1"/>
  <c r="L213" i="1"/>
  <c r="K213" i="1"/>
  <c r="J213" i="1"/>
  <c r="I213" i="1"/>
  <c r="H213" i="1"/>
  <c r="G213" i="1"/>
  <c r="F213" i="1"/>
  <c r="E213" i="1"/>
  <c r="D213" i="1"/>
  <c r="C213" i="1"/>
  <c r="B213" i="1"/>
  <c r="X212" i="1"/>
  <c r="V212" i="1"/>
  <c r="U212" i="1"/>
  <c r="T212" i="1"/>
  <c r="S212" i="1"/>
  <c r="R212" i="1"/>
  <c r="Q212" i="1"/>
  <c r="P212" i="1"/>
  <c r="O212" i="1"/>
  <c r="N212" i="1"/>
  <c r="M212" i="1"/>
  <c r="L212" i="1"/>
  <c r="K212" i="1"/>
  <c r="J212" i="1"/>
  <c r="I212" i="1"/>
  <c r="H212" i="1"/>
  <c r="G212" i="1"/>
  <c r="F212" i="1"/>
  <c r="E212" i="1"/>
  <c r="D212" i="1"/>
  <c r="C212" i="1"/>
  <c r="B212" i="1"/>
  <c r="X211" i="1"/>
  <c r="V211" i="1"/>
  <c r="U211" i="1"/>
  <c r="T211" i="1"/>
  <c r="S211" i="1"/>
  <c r="R211" i="1"/>
  <c r="Q211" i="1"/>
  <c r="P211" i="1"/>
  <c r="O211" i="1"/>
  <c r="N211" i="1"/>
  <c r="M211" i="1"/>
  <c r="L211" i="1"/>
  <c r="K211" i="1"/>
  <c r="J211" i="1"/>
  <c r="I211" i="1"/>
  <c r="H211" i="1"/>
  <c r="G211" i="1"/>
  <c r="F211" i="1"/>
  <c r="E211" i="1"/>
  <c r="D211" i="1"/>
  <c r="C211" i="1"/>
  <c r="B211" i="1"/>
  <c r="X210" i="1"/>
  <c r="V210" i="1"/>
  <c r="U210" i="1"/>
  <c r="T210" i="1"/>
  <c r="S210" i="1"/>
  <c r="R210" i="1"/>
  <c r="Q210" i="1"/>
  <c r="P210" i="1"/>
  <c r="O210" i="1"/>
  <c r="N210" i="1"/>
  <c r="M210" i="1"/>
  <c r="L210" i="1"/>
  <c r="K210" i="1"/>
  <c r="J210" i="1"/>
  <c r="I210" i="1"/>
  <c r="H210" i="1"/>
  <c r="G210" i="1"/>
  <c r="F210" i="1"/>
  <c r="E210" i="1"/>
  <c r="D210" i="1"/>
  <c r="C210" i="1"/>
  <c r="B210" i="1"/>
  <c r="X209" i="1"/>
  <c r="V209" i="1"/>
  <c r="U209" i="1"/>
  <c r="Q209" i="1"/>
  <c r="P209" i="1"/>
  <c r="O209" i="1"/>
  <c r="N209" i="1"/>
  <c r="M209" i="1"/>
  <c r="L209" i="1"/>
  <c r="K209" i="1"/>
  <c r="J209" i="1"/>
  <c r="I209" i="1"/>
  <c r="H209" i="1"/>
  <c r="G209" i="1"/>
  <c r="F209" i="1"/>
  <c r="E209" i="1"/>
  <c r="D209" i="1"/>
  <c r="C209" i="1"/>
  <c r="B209" i="1"/>
  <c r="X208" i="1"/>
  <c r="V208" i="1"/>
  <c r="U208" i="1"/>
  <c r="T208" i="1"/>
  <c r="S208" i="1"/>
  <c r="R208" i="1"/>
  <c r="Q208" i="1"/>
  <c r="P208" i="1"/>
  <c r="O208" i="1"/>
  <c r="N208" i="1"/>
  <c r="M208" i="1"/>
  <c r="L208" i="1"/>
  <c r="K208" i="1"/>
  <c r="J208" i="1"/>
  <c r="I208" i="1"/>
  <c r="H208" i="1"/>
  <c r="G208" i="1"/>
  <c r="F208" i="1"/>
  <c r="E208" i="1"/>
  <c r="D208" i="1"/>
  <c r="C208" i="1"/>
  <c r="B208" i="1"/>
  <c r="X207" i="1"/>
  <c r="V207" i="1"/>
  <c r="U207" i="1"/>
  <c r="T207" i="1"/>
  <c r="S207" i="1"/>
  <c r="R207" i="1"/>
  <c r="Q207" i="1"/>
  <c r="P207" i="1"/>
  <c r="O207" i="1"/>
  <c r="N207" i="1"/>
  <c r="M207" i="1"/>
  <c r="L207" i="1"/>
  <c r="K207" i="1"/>
  <c r="J207" i="1"/>
  <c r="I207" i="1"/>
  <c r="H207" i="1"/>
  <c r="G207" i="1"/>
  <c r="F207" i="1"/>
  <c r="E207" i="1"/>
  <c r="D207" i="1"/>
  <c r="C207" i="1"/>
  <c r="B207" i="1"/>
  <c r="X206" i="1"/>
  <c r="V206" i="1"/>
  <c r="U206" i="1"/>
  <c r="T206" i="1"/>
  <c r="S206" i="1"/>
  <c r="R206" i="1"/>
  <c r="Q206" i="1"/>
  <c r="P206" i="1"/>
  <c r="O206" i="1"/>
  <c r="N206" i="1"/>
  <c r="M206" i="1"/>
  <c r="L206" i="1"/>
  <c r="K206" i="1"/>
  <c r="J206" i="1"/>
  <c r="I206" i="1"/>
  <c r="H206" i="1"/>
  <c r="G206" i="1"/>
  <c r="F206" i="1"/>
  <c r="E206" i="1"/>
  <c r="D206" i="1"/>
  <c r="C206" i="1"/>
  <c r="B206" i="1"/>
  <c r="X205" i="1"/>
  <c r="V205" i="1"/>
  <c r="U205" i="1"/>
  <c r="N205" i="1"/>
  <c r="M205" i="1"/>
  <c r="L205" i="1"/>
  <c r="K205" i="1"/>
  <c r="J205" i="1"/>
  <c r="I205" i="1"/>
  <c r="H205" i="1"/>
  <c r="G205" i="1"/>
  <c r="F205" i="1"/>
  <c r="E205" i="1"/>
  <c r="D205" i="1"/>
  <c r="C205" i="1"/>
  <c r="B205" i="1"/>
  <c r="X204" i="1"/>
  <c r="V204" i="1"/>
  <c r="U204" i="1"/>
  <c r="T204" i="1"/>
  <c r="S204" i="1"/>
  <c r="R204" i="1"/>
  <c r="Q204" i="1"/>
  <c r="P204" i="1"/>
  <c r="O204" i="1"/>
  <c r="N204" i="1"/>
  <c r="M204" i="1"/>
  <c r="L204" i="1"/>
  <c r="K204" i="1"/>
  <c r="J204" i="1"/>
  <c r="I204" i="1"/>
  <c r="H204" i="1"/>
  <c r="G204" i="1"/>
  <c r="F204" i="1"/>
  <c r="E204" i="1"/>
  <c r="D204" i="1"/>
  <c r="C204" i="1"/>
  <c r="B204" i="1"/>
  <c r="X203" i="1"/>
  <c r="V203" i="1"/>
  <c r="U203" i="1"/>
  <c r="Q203" i="1"/>
  <c r="P203" i="1"/>
  <c r="O203" i="1"/>
  <c r="N203" i="1"/>
  <c r="M203" i="1"/>
  <c r="L203" i="1"/>
  <c r="K203" i="1"/>
  <c r="J203" i="1"/>
  <c r="I203" i="1"/>
  <c r="H203" i="1"/>
  <c r="G203" i="1"/>
  <c r="F203" i="1"/>
  <c r="E203" i="1"/>
  <c r="D203" i="1"/>
  <c r="C203" i="1"/>
  <c r="B203" i="1"/>
  <c r="X202" i="1"/>
  <c r="V202" i="1"/>
  <c r="U202" i="1"/>
  <c r="T202" i="1"/>
  <c r="S202" i="1"/>
  <c r="R202" i="1"/>
  <c r="Q202" i="1"/>
  <c r="P202" i="1"/>
  <c r="O202" i="1"/>
  <c r="N202" i="1"/>
  <c r="M202" i="1"/>
  <c r="L202" i="1"/>
  <c r="K202" i="1"/>
  <c r="J202" i="1"/>
  <c r="I202" i="1"/>
  <c r="H202" i="1"/>
  <c r="G202" i="1"/>
  <c r="F202" i="1"/>
  <c r="E202" i="1"/>
  <c r="D202" i="1"/>
  <c r="C202" i="1"/>
  <c r="B202" i="1"/>
  <c r="X201" i="1"/>
  <c r="V201" i="1"/>
  <c r="U201" i="1"/>
  <c r="Q201" i="1"/>
  <c r="P201" i="1"/>
  <c r="O201" i="1"/>
  <c r="N201" i="1"/>
  <c r="M201" i="1"/>
  <c r="L201" i="1"/>
  <c r="K201" i="1"/>
  <c r="J201" i="1"/>
  <c r="I201" i="1"/>
  <c r="H201" i="1"/>
  <c r="G201" i="1"/>
  <c r="F201" i="1"/>
  <c r="E201" i="1"/>
  <c r="D201" i="1"/>
  <c r="C201" i="1"/>
  <c r="B201" i="1"/>
  <c r="X200" i="1"/>
  <c r="V200" i="1"/>
  <c r="U200" i="1"/>
  <c r="T200" i="1"/>
  <c r="S200" i="1"/>
  <c r="R200" i="1"/>
  <c r="Q200" i="1"/>
  <c r="P200" i="1"/>
  <c r="O200" i="1"/>
  <c r="N200" i="1"/>
  <c r="M200" i="1"/>
  <c r="L200" i="1"/>
  <c r="K200" i="1"/>
  <c r="J200" i="1"/>
  <c r="I200" i="1"/>
  <c r="H200" i="1"/>
  <c r="G200" i="1"/>
  <c r="F200" i="1"/>
  <c r="E200" i="1"/>
  <c r="D200" i="1"/>
  <c r="C200" i="1"/>
  <c r="B200" i="1"/>
  <c r="X199" i="1"/>
  <c r="V199" i="1"/>
  <c r="U199" i="1"/>
  <c r="T199" i="1"/>
  <c r="S199" i="1"/>
  <c r="R199" i="1"/>
  <c r="Q199" i="1"/>
  <c r="P199" i="1"/>
  <c r="O199" i="1"/>
  <c r="N199" i="1"/>
  <c r="M199" i="1"/>
  <c r="L199" i="1"/>
  <c r="K199" i="1"/>
  <c r="J199" i="1"/>
  <c r="I199" i="1"/>
  <c r="H199" i="1"/>
  <c r="G199" i="1"/>
  <c r="F199" i="1"/>
  <c r="E199" i="1"/>
  <c r="D199" i="1"/>
  <c r="C199" i="1"/>
  <c r="B199" i="1"/>
  <c r="X198" i="1"/>
  <c r="V198" i="1"/>
  <c r="U198" i="1"/>
  <c r="T198" i="1"/>
  <c r="S198" i="1"/>
  <c r="R198" i="1"/>
  <c r="Q198" i="1"/>
  <c r="P198" i="1"/>
  <c r="O198" i="1"/>
  <c r="N198" i="1"/>
  <c r="M198" i="1"/>
  <c r="L198" i="1"/>
  <c r="K198" i="1"/>
  <c r="J198" i="1"/>
  <c r="I198" i="1"/>
  <c r="H198" i="1"/>
  <c r="G198" i="1"/>
  <c r="F198" i="1"/>
  <c r="E198" i="1"/>
  <c r="D198" i="1"/>
  <c r="C198" i="1"/>
  <c r="B198" i="1"/>
  <c r="X197" i="1"/>
  <c r="V197" i="1"/>
  <c r="U197" i="1"/>
  <c r="T197" i="1"/>
  <c r="S197" i="1"/>
  <c r="R197" i="1"/>
  <c r="Q197" i="1"/>
  <c r="P197" i="1"/>
  <c r="O197" i="1"/>
  <c r="N197" i="1"/>
  <c r="M197" i="1"/>
  <c r="L197" i="1"/>
  <c r="K197" i="1"/>
  <c r="J197" i="1"/>
  <c r="I197" i="1"/>
  <c r="H197" i="1"/>
  <c r="G197" i="1"/>
  <c r="F197" i="1"/>
  <c r="E197" i="1"/>
  <c r="D197" i="1"/>
  <c r="C197" i="1"/>
  <c r="B197" i="1"/>
  <c r="X196" i="1"/>
  <c r="V196" i="1"/>
  <c r="U196" i="1"/>
  <c r="N196" i="1"/>
  <c r="M196" i="1"/>
  <c r="L196" i="1"/>
  <c r="K196" i="1"/>
  <c r="J196" i="1"/>
  <c r="I196" i="1"/>
  <c r="H196" i="1"/>
  <c r="G196" i="1"/>
  <c r="F196" i="1"/>
  <c r="E196" i="1"/>
  <c r="D196" i="1"/>
  <c r="C196" i="1"/>
  <c r="B196" i="1"/>
  <c r="X195" i="1"/>
  <c r="V195" i="1"/>
  <c r="U195" i="1"/>
  <c r="T195" i="1"/>
  <c r="S195" i="1"/>
  <c r="R195" i="1"/>
  <c r="Q195" i="1"/>
  <c r="P195" i="1"/>
  <c r="O195" i="1"/>
  <c r="N195" i="1"/>
  <c r="M195" i="1"/>
  <c r="L195" i="1"/>
  <c r="K195" i="1"/>
  <c r="J195" i="1"/>
  <c r="I195" i="1"/>
  <c r="H195" i="1"/>
  <c r="G195" i="1"/>
  <c r="F195" i="1"/>
  <c r="E195" i="1"/>
  <c r="D195" i="1"/>
  <c r="C195" i="1"/>
  <c r="B195" i="1"/>
  <c r="X194" i="1"/>
  <c r="V194" i="1"/>
  <c r="U194" i="1"/>
  <c r="T194" i="1"/>
  <c r="S194" i="1"/>
  <c r="R194" i="1"/>
  <c r="Q194" i="1"/>
  <c r="P194" i="1"/>
  <c r="O194" i="1"/>
  <c r="N194" i="1"/>
  <c r="M194" i="1"/>
  <c r="L194" i="1"/>
  <c r="K194" i="1"/>
  <c r="J194" i="1"/>
  <c r="I194" i="1"/>
  <c r="H194" i="1"/>
  <c r="G194" i="1"/>
  <c r="F194" i="1"/>
  <c r="E194" i="1"/>
  <c r="D194" i="1"/>
  <c r="C194" i="1"/>
  <c r="B194" i="1"/>
  <c r="X193" i="1"/>
  <c r="V193" i="1"/>
  <c r="U193" i="1"/>
  <c r="Q193" i="1"/>
  <c r="P193" i="1"/>
  <c r="O193" i="1"/>
  <c r="N193" i="1"/>
  <c r="M193" i="1"/>
  <c r="L193" i="1"/>
  <c r="K193" i="1"/>
  <c r="J193" i="1"/>
  <c r="I193" i="1"/>
  <c r="H193" i="1"/>
  <c r="G193" i="1"/>
  <c r="F193" i="1"/>
  <c r="E193" i="1"/>
  <c r="D193" i="1"/>
  <c r="C193" i="1"/>
  <c r="B193" i="1"/>
  <c r="X192" i="1"/>
  <c r="V192" i="1"/>
  <c r="U192" i="1"/>
  <c r="T192" i="1"/>
  <c r="S192" i="1"/>
  <c r="R192" i="1"/>
  <c r="Q192" i="1"/>
  <c r="P192" i="1"/>
  <c r="O192" i="1"/>
  <c r="N192" i="1"/>
  <c r="M192" i="1"/>
  <c r="L192" i="1"/>
  <c r="K192" i="1"/>
  <c r="J192" i="1"/>
  <c r="I192" i="1"/>
  <c r="H192" i="1"/>
  <c r="G192" i="1"/>
  <c r="F192" i="1"/>
  <c r="E192" i="1"/>
  <c r="D192" i="1"/>
  <c r="C192" i="1"/>
  <c r="B192" i="1"/>
  <c r="X191" i="1"/>
  <c r="V191" i="1"/>
  <c r="U191" i="1"/>
  <c r="T191" i="1"/>
  <c r="S191" i="1"/>
  <c r="R191" i="1"/>
  <c r="Q191" i="1"/>
  <c r="P191" i="1"/>
  <c r="O191" i="1"/>
  <c r="N191" i="1"/>
  <c r="M191" i="1"/>
  <c r="L191" i="1"/>
  <c r="K191" i="1"/>
  <c r="J191" i="1"/>
  <c r="I191" i="1"/>
  <c r="H191" i="1"/>
  <c r="G191" i="1"/>
  <c r="F191" i="1"/>
  <c r="E191" i="1"/>
  <c r="D191" i="1"/>
  <c r="C191" i="1"/>
  <c r="B191" i="1"/>
  <c r="X190" i="1"/>
  <c r="V190" i="1"/>
  <c r="U190" i="1"/>
  <c r="N190" i="1"/>
  <c r="M190" i="1"/>
  <c r="L190" i="1"/>
  <c r="K190" i="1"/>
  <c r="J190" i="1"/>
  <c r="I190" i="1"/>
  <c r="H190" i="1"/>
  <c r="G190" i="1"/>
  <c r="F190" i="1"/>
  <c r="E190" i="1"/>
  <c r="D190" i="1"/>
  <c r="C190" i="1"/>
  <c r="B190" i="1"/>
  <c r="X189" i="1"/>
  <c r="V189" i="1"/>
  <c r="U189" i="1"/>
  <c r="Q189" i="1"/>
  <c r="P189" i="1"/>
  <c r="O189" i="1"/>
  <c r="N189" i="1"/>
  <c r="M189" i="1"/>
  <c r="L189" i="1"/>
  <c r="K189" i="1"/>
  <c r="J189" i="1"/>
  <c r="I189" i="1"/>
  <c r="H189" i="1"/>
  <c r="G189" i="1"/>
  <c r="F189" i="1"/>
  <c r="E189" i="1"/>
  <c r="D189" i="1"/>
  <c r="C189" i="1"/>
  <c r="B189" i="1"/>
  <c r="X188" i="1"/>
  <c r="V188" i="1"/>
  <c r="U188" i="1"/>
  <c r="T188" i="1"/>
  <c r="S188" i="1"/>
  <c r="R188" i="1"/>
  <c r="Q188" i="1"/>
  <c r="P188" i="1"/>
  <c r="O188" i="1"/>
  <c r="N188" i="1"/>
  <c r="M188" i="1"/>
  <c r="L188" i="1"/>
  <c r="K188" i="1"/>
  <c r="J188" i="1"/>
  <c r="I188" i="1"/>
  <c r="H188" i="1"/>
  <c r="G188" i="1"/>
  <c r="F188" i="1"/>
  <c r="E188" i="1"/>
  <c r="D188" i="1"/>
  <c r="C188" i="1"/>
  <c r="B188" i="1"/>
  <c r="X187" i="1"/>
  <c r="V187" i="1"/>
  <c r="U187" i="1"/>
  <c r="Q187" i="1"/>
  <c r="P187" i="1"/>
  <c r="O187" i="1"/>
  <c r="N187" i="1"/>
  <c r="M187" i="1"/>
  <c r="L187" i="1"/>
  <c r="K187" i="1"/>
  <c r="J187" i="1"/>
  <c r="I187" i="1"/>
  <c r="H187" i="1"/>
  <c r="G187" i="1"/>
  <c r="F187" i="1"/>
  <c r="E187" i="1"/>
  <c r="D187" i="1"/>
  <c r="C187" i="1"/>
  <c r="B187" i="1"/>
  <c r="X186" i="1"/>
  <c r="V186" i="1"/>
  <c r="U186" i="1"/>
  <c r="T186" i="1"/>
  <c r="S186" i="1"/>
  <c r="R186" i="1"/>
  <c r="Q186" i="1"/>
  <c r="P186" i="1"/>
  <c r="O186" i="1"/>
  <c r="N186" i="1"/>
  <c r="M186" i="1"/>
  <c r="L186" i="1"/>
  <c r="K186" i="1"/>
  <c r="J186" i="1"/>
  <c r="I186" i="1"/>
  <c r="H186" i="1"/>
  <c r="G186" i="1"/>
  <c r="F186" i="1"/>
  <c r="E186" i="1"/>
  <c r="D186" i="1"/>
  <c r="C186" i="1"/>
  <c r="B186" i="1"/>
  <c r="X185" i="1"/>
  <c r="V185" i="1"/>
  <c r="U185" i="1"/>
  <c r="Q185" i="1"/>
  <c r="P185" i="1"/>
  <c r="O185" i="1"/>
  <c r="N185" i="1"/>
  <c r="M185" i="1"/>
  <c r="L185" i="1"/>
  <c r="K185" i="1"/>
  <c r="J185" i="1"/>
  <c r="I185" i="1"/>
  <c r="H185" i="1"/>
  <c r="G185" i="1"/>
  <c r="F185" i="1"/>
  <c r="E185" i="1"/>
  <c r="D185" i="1"/>
  <c r="C185" i="1"/>
  <c r="B185" i="1"/>
  <c r="X184" i="1"/>
  <c r="V184" i="1"/>
  <c r="U184" i="1"/>
  <c r="T184" i="1"/>
  <c r="S184" i="1"/>
  <c r="R184" i="1"/>
  <c r="Q184" i="1"/>
  <c r="P184" i="1"/>
  <c r="O184" i="1"/>
  <c r="N184" i="1"/>
  <c r="M184" i="1"/>
  <c r="L184" i="1"/>
  <c r="K184" i="1"/>
  <c r="J184" i="1"/>
  <c r="I184" i="1"/>
  <c r="H184" i="1"/>
  <c r="G184" i="1"/>
  <c r="F184" i="1"/>
  <c r="E184" i="1"/>
  <c r="D184" i="1"/>
  <c r="C184" i="1"/>
  <c r="B184" i="1"/>
  <c r="X183" i="1"/>
  <c r="V183" i="1"/>
  <c r="U183" i="1"/>
  <c r="T183" i="1"/>
  <c r="S183" i="1"/>
  <c r="R183" i="1"/>
  <c r="Q183" i="1"/>
  <c r="P183" i="1"/>
  <c r="O183" i="1"/>
  <c r="N183" i="1"/>
  <c r="M183" i="1"/>
  <c r="L183" i="1"/>
  <c r="K183" i="1"/>
  <c r="J183" i="1"/>
  <c r="I183" i="1"/>
  <c r="H183" i="1"/>
  <c r="G183" i="1"/>
  <c r="F183" i="1"/>
  <c r="E183" i="1"/>
  <c r="D183" i="1"/>
  <c r="C183" i="1"/>
  <c r="B183" i="1"/>
  <c r="X182" i="1"/>
  <c r="V182" i="1"/>
  <c r="U182" i="1"/>
  <c r="T182" i="1"/>
  <c r="S182" i="1"/>
  <c r="R182" i="1"/>
  <c r="Q182" i="1"/>
  <c r="P182" i="1"/>
  <c r="O182" i="1"/>
  <c r="N182" i="1"/>
  <c r="M182" i="1"/>
  <c r="L182" i="1"/>
  <c r="K182" i="1"/>
  <c r="J182" i="1"/>
  <c r="I182" i="1"/>
  <c r="H182" i="1"/>
  <c r="G182" i="1"/>
  <c r="F182" i="1"/>
  <c r="E182" i="1"/>
  <c r="D182" i="1"/>
  <c r="C182" i="1"/>
  <c r="B182" i="1"/>
  <c r="X181" i="1"/>
  <c r="V181" i="1"/>
  <c r="U181" i="1"/>
  <c r="T181" i="1"/>
  <c r="S181" i="1"/>
  <c r="R181" i="1"/>
  <c r="Q181" i="1"/>
  <c r="P181" i="1"/>
  <c r="O181" i="1"/>
  <c r="N181" i="1"/>
  <c r="M181" i="1"/>
  <c r="L181" i="1"/>
  <c r="K181" i="1"/>
  <c r="J181" i="1"/>
  <c r="I181" i="1"/>
  <c r="H181" i="1"/>
  <c r="G181" i="1"/>
  <c r="F181" i="1"/>
  <c r="E181" i="1"/>
  <c r="D181" i="1"/>
  <c r="C181" i="1"/>
  <c r="B181" i="1"/>
  <c r="X180" i="1"/>
  <c r="V180" i="1"/>
  <c r="U180" i="1"/>
  <c r="T180" i="1"/>
  <c r="S180" i="1"/>
  <c r="R180" i="1"/>
  <c r="Q180" i="1"/>
  <c r="P180" i="1"/>
  <c r="O180" i="1"/>
  <c r="N180" i="1"/>
  <c r="M180" i="1"/>
  <c r="L180" i="1"/>
  <c r="K180" i="1"/>
  <c r="J180" i="1"/>
  <c r="I180" i="1"/>
  <c r="H180" i="1"/>
  <c r="G180" i="1"/>
  <c r="F180" i="1"/>
  <c r="E180" i="1"/>
  <c r="D180" i="1"/>
  <c r="C180" i="1"/>
  <c r="B180" i="1"/>
  <c r="X179" i="1"/>
  <c r="V179" i="1"/>
  <c r="U179" i="1"/>
  <c r="T179" i="1"/>
  <c r="S179" i="1"/>
  <c r="R179" i="1"/>
  <c r="Q179" i="1"/>
  <c r="P179" i="1"/>
  <c r="O179" i="1"/>
  <c r="N179" i="1"/>
  <c r="M179" i="1"/>
  <c r="L179" i="1"/>
  <c r="K179" i="1"/>
  <c r="J179" i="1"/>
  <c r="I179" i="1"/>
  <c r="H179" i="1"/>
  <c r="G179" i="1"/>
  <c r="F179" i="1"/>
  <c r="E179" i="1"/>
  <c r="D179" i="1"/>
  <c r="C179" i="1"/>
  <c r="B179" i="1"/>
  <c r="X178" i="1"/>
  <c r="V178" i="1"/>
  <c r="U178" i="1"/>
  <c r="T178" i="1"/>
  <c r="S178" i="1"/>
  <c r="R178" i="1"/>
  <c r="Q178" i="1"/>
  <c r="P178" i="1"/>
  <c r="O178" i="1"/>
  <c r="N178" i="1"/>
  <c r="M178" i="1"/>
  <c r="L178" i="1"/>
  <c r="K178" i="1"/>
  <c r="J178" i="1"/>
  <c r="I178" i="1"/>
  <c r="H178" i="1"/>
  <c r="G178" i="1"/>
  <c r="F178" i="1"/>
  <c r="E178" i="1"/>
  <c r="D178" i="1"/>
  <c r="C178" i="1"/>
  <c r="B178" i="1"/>
  <c r="X177" i="1"/>
  <c r="V177" i="1"/>
  <c r="U177" i="1"/>
  <c r="T177" i="1"/>
  <c r="S177" i="1"/>
  <c r="R177" i="1"/>
  <c r="Q177" i="1"/>
  <c r="P177" i="1"/>
  <c r="O177" i="1"/>
  <c r="N177" i="1"/>
  <c r="M177" i="1"/>
  <c r="L177" i="1"/>
  <c r="K177" i="1"/>
  <c r="J177" i="1"/>
  <c r="I177" i="1"/>
  <c r="H177" i="1"/>
  <c r="G177" i="1"/>
  <c r="F177" i="1"/>
  <c r="E177" i="1"/>
  <c r="D177" i="1"/>
  <c r="C177" i="1"/>
  <c r="B177" i="1"/>
  <c r="X176" i="1"/>
  <c r="V176" i="1"/>
  <c r="U176" i="1"/>
  <c r="Q176" i="1"/>
  <c r="P176" i="1"/>
  <c r="O176" i="1"/>
  <c r="N176" i="1"/>
  <c r="M176" i="1"/>
  <c r="L176" i="1"/>
  <c r="K176" i="1"/>
  <c r="J176" i="1"/>
  <c r="I176" i="1"/>
  <c r="H176" i="1"/>
  <c r="G176" i="1"/>
  <c r="F176" i="1"/>
  <c r="E176" i="1"/>
  <c r="D176" i="1"/>
  <c r="C176" i="1"/>
  <c r="B176" i="1"/>
  <c r="X175" i="1"/>
  <c r="V175" i="1"/>
  <c r="U175" i="1"/>
  <c r="T175" i="1"/>
  <c r="S175" i="1"/>
  <c r="R175" i="1"/>
  <c r="Q175" i="1"/>
  <c r="P175" i="1"/>
  <c r="O175" i="1"/>
  <c r="N175" i="1"/>
  <c r="M175" i="1"/>
  <c r="L175" i="1"/>
  <c r="K175" i="1"/>
  <c r="J175" i="1"/>
  <c r="I175" i="1"/>
  <c r="H175" i="1"/>
  <c r="G175" i="1"/>
  <c r="F175" i="1"/>
  <c r="E175" i="1"/>
  <c r="D175" i="1"/>
  <c r="C175" i="1"/>
  <c r="B175" i="1"/>
  <c r="X174" i="1"/>
  <c r="V174" i="1"/>
  <c r="U174" i="1"/>
  <c r="T174" i="1"/>
  <c r="S174" i="1"/>
  <c r="R174" i="1"/>
  <c r="Q174" i="1"/>
  <c r="P174" i="1"/>
  <c r="O174" i="1"/>
  <c r="N174" i="1"/>
  <c r="M174" i="1"/>
  <c r="L174" i="1"/>
  <c r="K174" i="1"/>
  <c r="J174" i="1"/>
  <c r="I174" i="1"/>
  <c r="H174" i="1"/>
  <c r="G174" i="1"/>
  <c r="F174" i="1"/>
  <c r="E174" i="1"/>
  <c r="D174" i="1"/>
  <c r="C174" i="1"/>
  <c r="B174" i="1"/>
  <c r="X173" i="1"/>
  <c r="V173" i="1"/>
  <c r="U173" i="1"/>
  <c r="T173" i="1"/>
  <c r="S173" i="1"/>
  <c r="R173" i="1"/>
  <c r="Q173" i="1"/>
  <c r="P173" i="1"/>
  <c r="O173" i="1"/>
  <c r="N173" i="1"/>
  <c r="M173" i="1"/>
  <c r="L173" i="1"/>
  <c r="K173" i="1"/>
  <c r="J173" i="1"/>
  <c r="I173" i="1"/>
  <c r="H173" i="1"/>
  <c r="G173" i="1"/>
  <c r="F173" i="1"/>
  <c r="E173" i="1"/>
  <c r="D173" i="1"/>
  <c r="C173" i="1"/>
  <c r="B173" i="1"/>
  <c r="X172" i="1"/>
  <c r="V172" i="1"/>
  <c r="U172" i="1"/>
  <c r="Q172" i="1"/>
  <c r="P172" i="1"/>
  <c r="O172" i="1"/>
  <c r="N172" i="1"/>
  <c r="M172" i="1"/>
  <c r="L172" i="1"/>
  <c r="K172" i="1"/>
  <c r="J172" i="1"/>
  <c r="I172" i="1"/>
  <c r="H172" i="1"/>
  <c r="G172" i="1"/>
  <c r="F172" i="1"/>
  <c r="E172" i="1"/>
  <c r="D172" i="1"/>
  <c r="C172" i="1"/>
  <c r="B172" i="1"/>
  <c r="X171" i="1"/>
  <c r="V171" i="1"/>
  <c r="U171" i="1"/>
  <c r="T171" i="1"/>
  <c r="S171" i="1"/>
  <c r="R171" i="1"/>
  <c r="Q171" i="1"/>
  <c r="P171" i="1"/>
  <c r="O171" i="1"/>
  <c r="N171" i="1"/>
  <c r="M171" i="1"/>
  <c r="L171" i="1"/>
  <c r="K171" i="1"/>
  <c r="J171" i="1"/>
  <c r="I171" i="1"/>
  <c r="H171" i="1"/>
  <c r="G171" i="1"/>
  <c r="F171" i="1"/>
  <c r="E171" i="1"/>
  <c r="D171" i="1"/>
  <c r="C171" i="1"/>
  <c r="B171" i="1"/>
  <c r="X170" i="1"/>
  <c r="V170" i="1"/>
  <c r="U170" i="1"/>
  <c r="Q170" i="1"/>
  <c r="P170" i="1"/>
  <c r="O170" i="1"/>
  <c r="N170" i="1"/>
  <c r="M170" i="1"/>
  <c r="L170" i="1"/>
  <c r="K170" i="1"/>
  <c r="J170" i="1"/>
  <c r="I170" i="1"/>
  <c r="H170" i="1"/>
  <c r="G170" i="1"/>
  <c r="F170" i="1"/>
  <c r="E170" i="1"/>
  <c r="D170" i="1"/>
  <c r="C170" i="1"/>
  <c r="B170" i="1"/>
  <c r="X169" i="1"/>
  <c r="V169" i="1"/>
  <c r="U169" i="1"/>
  <c r="T169" i="1"/>
  <c r="S169" i="1"/>
  <c r="R169" i="1"/>
  <c r="Q169" i="1"/>
  <c r="P169" i="1"/>
  <c r="O169" i="1"/>
  <c r="N169" i="1"/>
  <c r="M169" i="1"/>
  <c r="L169" i="1"/>
  <c r="K169" i="1"/>
  <c r="J169" i="1"/>
  <c r="I169" i="1"/>
  <c r="H169" i="1"/>
  <c r="G169" i="1"/>
  <c r="F169" i="1"/>
  <c r="E169" i="1"/>
  <c r="D169" i="1"/>
  <c r="C169" i="1"/>
  <c r="B169" i="1"/>
  <c r="X168" i="1"/>
  <c r="V168" i="1"/>
  <c r="U168" i="1"/>
  <c r="Q168" i="1"/>
  <c r="P168" i="1"/>
  <c r="O168" i="1"/>
  <c r="N168" i="1"/>
  <c r="M168" i="1"/>
  <c r="L168" i="1"/>
  <c r="K168" i="1"/>
  <c r="J168" i="1"/>
  <c r="I168" i="1"/>
  <c r="H168" i="1"/>
  <c r="G168" i="1"/>
  <c r="F168" i="1"/>
  <c r="E168" i="1"/>
  <c r="D168" i="1"/>
  <c r="C168" i="1"/>
  <c r="B168" i="1"/>
  <c r="X167" i="1"/>
  <c r="V167" i="1"/>
  <c r="U167" i="1"/>
  <c r="T167" i="1"/>
  <c r="S167" i="1"/>
  <c r="R167" i="1"/>
  <c r="Q167" i="1"/>
  <c r="P167" i="1"/>
  <c r="O167" i="1"/>
  <c r="N167" i="1"/>
  <c r="M167" i="1"/>
  <c r="L167" i="1"/>
  <c r="K167" i="1"/>
  <c r="J167" i="1"/>
  <c r="I167" i="1"/>
  <c r="H167" i="1"/>
  <c r="G167" i="1"/>
  <c r="F167" i="1"/>
  <c r="E167" i="1"/>
  <c r="D167" i="1"/>
  <c r="C167" i="1"/>
  <c r="B167" i="1"/>
  <c r="X166" i="1"/>
  <c r="V166" i="1"/>
  <c r="U166" i="1"/>
  <c r="Q166" i="1"/>
  <c r="P166" i="1"/>
  <c r="O166" i="1"/>
  <c r="N166" i="1"/>
  <c r="M166" i="1"/>
  <c r="L166" i="1"/>
  <c r="K166" i="1"/>
  <c r="J166" i="1"/>
  <c r="I166" i="1"/>
  <c r="H166" i="1"/>
  <c r="G166" i="1"/>
  <c r="F166" i="1"/>
  <c r="E166" i="1"/>
  <c r="D166" i="1"/>
  <c r="C166" i="1"/>
  <c r="B166" i="1"/>
  <c r="X165" i="1"/>
  <c r="V165" i="1"/>
  <c r="U165" i="1"/>
  <c r="T165" i="1"/>
  <c r="S165" i="1"/>
  <c r="R165" i="1"/>
  <c r="Q165" i="1"/>
  <c r="P165" i="1"/>
  <c r="O165" i="1"/>
  <c r="N165" i="1"/>
  <c r="M165" i="1"/>
  <c r="L165" i="1"/>
  <c r="K165" i="1"/>
  <c r="J165" i="1"/>
  <c r="I165" i="1"/>
  <c r="H165" i="1"/>
  <c r="G165" i="1"/>
  <c r="F165" i="1"/>
  <c r="E165" i="1"/>
  <c r="D165" i="1"/>
  <c r="C165" i="1"/>
  <c r="B165" i="1"/>
  <c r="X164" i="1"/>
  <c r="V164" i="1"/>
  <c r="U164" i="1"/>
  <c r="Q164" i="1"/>
  <c r="P164" i="1"/>
  <c r="O164" i="1"/>
  <c r="N164" i="1"/>
  <c r="M164" i="1"/>
  <c r="L164" i="1"/>
  <c r="K164" i="1"/>
  <c r="J164" i="1"/>
  <c r="I164" i="1"/>
  <c r="H164" i="1"/>
  <c r="G164" i="1"/>
  <c r="F164" i="1"/>
  <c r="E164" i="1"/>
  <c r="D164" i="1"/>
  <c r="C164" i="1"/>
  <c r="B164" i="1"/>
  <c r="X163" i="1"/>
  <c r="V163" i="1"/>
  <c r="U163" i="1"/>
  <c r="T163" i="1"/>
  <c r="S163" i="1"/>
  <c r="R163" i="1"/>
  <c r="Q163" i="1"/>
  <c r="P163" i="1"/>
  <c r="O163" i="1"/>
  <c r="N163" i="1"/>
  <c r="M163" i="1"/>
  <c r="L163" i="1"/>
  <c r="K163" i="1"/>
  <c r="J163" i="1"/>
  <c r="I163" i="1"/>
  <c r="H163" i="1"/>
  <c r="G163" i="1"/>
  <c r="F163" i="1"/>
  <c r="E163" i="1"/>
  <c r="D163" i="1"/>
  <c r="C163" i="1"/>
  <c r="B163" i="1"/>
  <c r="X162" i="1"/>
  <c r="V162" i="1"/>
  <c r="U162" i="1"/>
  <c r="T162" i="1"/>
  <c r="S162" i="1"/>
  <c r="R162" i="1"/>
  <c r="Q162" i="1"/>
  <c r="P162" i="1"/>
  <c r="O162" i="1"/>
  <c r="N162" i="1"/>
  <c r="M162" i="1"/>
  <c r="L162" i="1"/>
  <c r="K162" i="1"/>
  <c r="J162" i="1"/>
  <c r="I162" i="1"/>
  <c r="H162" i="1"/>
  <c r="G162" i="1"/>
  <c r="F162" i="1"/>
  <c r="E162" i="1"/>
  <c r="D162" i="1"/>
  <c r="C162" i="1"/>
  <c r="B162" i="1"/>
  <c r="X161" i="1"/>
  <c r="V161" i="1"/>
  <c r="U161" i="1"/>
  <c r="Q161" i="1"/>
  <c r="P161" i="1"/>
  <c r="O161" i="1"/>
  <c r="N161" i="1"/>
  <c r="M161" i="1"/>
  <c r="L161" i="1"/>
  <c r="K161" i="1"/>
  <c r="J161" i="1"/>
  <c r="I161" i="1"/>
  <c r="G161" i="1"/>
  <c r="F161" i="1"/>
  <c r="E161" i="1"/>
  <c r="D161" i="1"/>
  <c r="C161" i="1"/>
  <c r="B161" i="1"/>
  <c r="X160" i="1"/>
  <c r="V160" i="1"/>
  <c r="U160" i="1"/>
  <c r="Q160" i="1"/>
  <c r="P160" i="1"/>
  <c r="O160" i="1"/>
  <c r="N160" i="1"/>
  <c r="M160" i="1"/>
  <c r="L160" i="1"/>
  <c r="K160" i="1"/>
  <c r="J160" i="1"/>
  <c r="I160" i="1"/>
  <c r="H160" i="1"/>
  <c r="G160" i="1"/>
  <c r="F160" i="1"/>
  <c r="E160" i="1"/>
  <c r="D160" i="1"/>
  <c r="C160" i="1"/>
  <c r="B160" i="1"/>
  <c r="X159" i="1"/>
  <c r="V159" i="1"/>
  <c r="U159" i="1"/>
  <c r="T159" i="1"/>
  <c r="S159" i="1"/>
  <c r="R159" i="1"/>
  <c r="Q159" i="1"/>
  <c r="P159" i="1"/>
  <c r="O159" i="1"/>
  <c r="N159" i="1"/>
  <c r="M159" i="1"/>
  <c r="L159" i="1"/>
  <c r="K159" i="1"/>
  <c r="J159" i="1"/>
  <c r="I159" i="1"/>
  <c r="H159" i="1"/>
  <c r="G159" i="1"/>
  <c r="F159" i="1"/>
  <c r="E159" i="1"/>
  <c r="D159" i="1"/>
  <c r="C159" i="1"/>
  <c r="B159" i="1"/>
  <c r="X158" i="1"/>
  <c r="V158" i="1"/>
  <c r="U158" i="1"/>
  <c r="T158" i="1"/>
  <c r="S158" i="1"/>
  <c r="R158" i="1"/>
  <c r="Q158" i="1"/>
  <c r="P158" i="1"/>
  <c r="O158" i="1"/>
  <c r="N158" i="1"/>
  <c r="M158" i="1"/>
  <c r="L158" i="1"/>
  <c r="K158" i="1"/>
  <c r="J158" i="1"/>
  <c r="I158" i="1"/>
  <c r="H158" i="1"/>
  <c r="G158" i="1"/>
  <c r="F158" i="1"/>
  <c r="E158" i="1"/>
  <c r="D158" i="1"/>
  <c r="C158" i="1"/>
  <c r="B158" i="1"/>
  <c r="X157" i="1"/>
  <c r="V157" i="1"/>
  <c r="U157" i="1"/>
  <c r="T157" i="1"/>
  <c r="S157" i="1"/>
  <c r="R157" i="1"/>
  <c r="Q157" i="1"/>
  <c r="P157" i="1"/>
  <c r="O157" i="1"/>
  <c r="N157" i="1"/>
  <c r="M157" i="1"/>
  <c r="L157" i="1"/>
  <c r="K157" i="1"/>
  <c r="J157" i="1"/>
  <c r="I157" i="1"/>
  <c r="H157" i="1"/>
  <c r="G157" i="1"/>
  <c r="F157" i="1"/>
  <c r="E157" i="1"/>
  <c r="D157" i="1"/>
  <c r="C157" i="1"/>
  <c r="B157" i="1"/>
  <c r="X156" i="1"/>
  <c r="V156" i="1"/>
  <c r="U156" i="1"/>
  <c r="T156" i="1"/>
  <c r="S156" i="1"/>
  <c r="R156" i="1"/>
  <c r="Q156" i="1"/>
  <c r="P156" i="1"/>
  <c r="O156" i="1"/>
  <c r="N156" i="1"/>
  <c r="M156" i="1"/>
  <c r="L156" i="1"/>
  <c r="K156" i="1"/>
  <c r="J156" i="1"/>
  <c r="I156" i="1"/>
  <c r="H156" i="1"/>
  <c r="G156" i="1"/>
  <c r="F156" i="1"/>
  <c r="E156" i="1"/>
  <c r="D156" i="1"/>
  <c r="C156" i="1"/>
  <c r="B156" i="1"/>
  <c r="X155" i="1"/>
  <c r="V155" i="1"/>
  <c r="U155" i="1"/>
  <c r="Q155" i="1"/>
  <c r="P155" i="1"/>
  <c r="O155" i="1"/>
  <c r="N155" i="1"/>
  <c r="M155" i="1"/>
  <c r="L155" i="1"/>
  <c r="K155" i="1"/>
  <c r="J155" i="1"/>
  <c r="I155" i="1"/>
  <c r="H155" i="1"/>
  <c r="G155" i="1"/>
  <c r="F155" i="1"/>
  <c r="E155" i="1"/>
  <c r="D155" i="1"/>
  <c r="C155" i="1"/>
  <c r="B155" i="1"/>
  <c r="X154" i="1"/>
  <c r="V154" i="1"/>
  <c r="U154" i="1"/>
  <c r="Q154" i="1"/>
  <c r="P154" i="1"/>
  <c r="O154" i="1"/>
  <c r="N154" i="1"/>
  <c r="M154" i="1"/>
  <c r="L154" i="1"/>
  <c r="K154" i="1"/>
  <c r="J154" i="1"/>
  <c r="I154" i="1"/>
  <c r="H154" i="1"/>
  <c r="G154" i="1"/>
  <c r="F154" i="1"/>
  <c r="E154" i="1"/>
  <c r="D154" i="1"/>
  <c r="C154" i="1"/>
  <c r="B154" i="1"/>
  <c r="X153" i="1"/>
  <c r="V153" i="1"/>
  <c r="U153" i="1"/>
  <c r="Q153" i="1"/>
  <c r="P153" i="1"/>
  <c r="O153" i="1"/>
  <c r="N153" i="1"/>
  <c r="M153" i="1"/>
  <c r="L153" i="1"/>
  <c r="K153" i="1"/>
  <c r="J153" i="1"/>
  <c r="I153" i="1"/>
  <c r="H153" i="1"/>
  <c r="G153" i="1"/>
  <c r="F153" i="1"/>
  <c r="E153" i="1"/>
  <c r="D153" i="1"/>
  <c r="C153" i="1"/>
  <c r="B153" i="1"/>
  <c r="X152" i="1"/>
  <c r="V152" i="1"/>
  <c r="U152" i="1"/>
  <c r="T152" i="1"/>
  <c r="S152" i="1"/>
  <c r="R152" i="1"/>
  <c r="Q152" i="1"/>
  <c r="P152" i="1"/>
  <c r="O152" i="1"/>
  <c r="N152" i="1"/>
  <c r="M152" i="1"/>
  <c r="L152" i="1"/>
  <c r="K152" i="1"/>
  <c r="J152" i="1"/>
  <c r="I152" i="1"/>
  <c r="H152" i="1"/>
  <c r="G152" i="1"/>
  <c r="F152" i="1"/>
  <c r="E152" i="1"/>
  <c r="D152" i="1"/>
  <c r="C152" i="1"/>
  <c r="B152" i="1"/>
  <c r="X151" i="1"/>
  <c r="V151" i="1"/>
  <c r="U151" i="1"/>
  <c r="T151" i="1"/>
  <c r="S151" i="1"/>
  <c r="R151" i="1"/>
  <c r="Q151" i="1"/>
  <c r="P151" i="1"/>
  <c r="O151" i="1"/>
  <c r="N151" i="1"/>
  <c r="M151" i="1"/>
  <c r="L151" i="1"/>
  <c r="K151" i="1"/>
  <c r="J151" i="1"/>
  <c r="I151" i="1"/>
  <c r="H151" i="1"/>
  <c r="G151" i="1"/>
  <c r="F151" i="1"/>
  <c r="E151" i="1"/>
  <c r="D151" i="1"/>
  <c r="C151" i="1"/>
  <c r="B151" i="1"/>
  <c r="X150" i="1"/>
  <c r="V150" i="1"/>
  <c r="U150" i="1"/>
  <c r="T150" i="1"/>
  <c r="S150" i="1"/>
  <c r="R150" i="1"/>
  <c r="Q150" i="1"/>
  <c r="P150" i="1"/>
  <c r="O150" i="1"/>
  <c r="N150" i="1"/>
  <c r="M150" i="1"/>
  <c r="L150" i="1"/>
  <c r="K150" i="1"/>
  <c r="J150" i="1"/>
  <c r="I150" i="1"/>
  <c r="H150" i="1"/>
  <c r="G150" i="1"/>
  <c r="F150" i="1"/>
  <c r="E150" i="1"/>
  <c r="D150" i="1"/>
  <c r="C150" i="1"/>
  <c r="B150" i="1"/>
  <c r="X149" i="1"/>
  <c r="V149" i="1"/>
  <c r="U149" i="1"/>
  <c r="T149" i="1"/>
  <c r="S149" i="1"/>
  <c r="R149" i="1"/>
  <c r="Q149" i="1"/>
  <c r="P149" i="1"/>
  <c r="O149" i="1"/>
  <c r="N149" i="1"/>
  <c r="M149" i="1"/>
  <c r="L149" i="1"/>
  <c r="K149" i="1"/>
  <c r="J149" i="1"/>
  <c r="I149" i="1"/>
  <c r="H149" i="1"/>
  <c r="G149" i="1"/>
  <c r="F149" i="1"/>
  <c r="E149" i="1"/>
  <c r="D149" i="1"/>
  <c r="C149" i="1"/>
  <c r="B149" i="1"/>
  <c r="X148" i="1"/>
  <c r="V148" i="1"/>
  <c r="U148" i="1"/>
  <c r="T148" i="1"/>
  <c r="S148" i="1"/>
  <c r="R148" i="1"/>
  <c r="Q148" i="1"/>
  <c r="P148" i="1"/>
  <c r="O148" i="1"/>
  <c r="N148" i="1"/>
  <c r="M148" i="1"/>
  <c r="L148" i="1"/>
  <c r="K148" i="1"/>
  <c r="J148" i="1"/>
  <c r="I148" i="1"/>
  <c r="H148" i="1"/>
  <c r="G148" i="1"/>
  <c r="F148" i="1"/>
  <c r="E148" i="1"/>
  <c r="D148" i="1"/>
  <c r="C148" i="1"/>
  <c r="B148" i="1"/>
  <c r="X147" i="1"/>
  <c r="V147" i="1"/>
  <c r="U147" i="1"/>
  <c r="T147" i="1"/>
  <c r="S147" i="1"/>
  <c r="R147" i="1"/>
  <c r="Q147" i="1"/>
  <c r="P147" i="1"/>
  <c r="O147" i="1"/>
  <c r="N147" i="1"/>
  <c r="M147" i="1"/>
  <c r="L147" i="1"/>
  <c r="K147" i="1"/>
  <c r="J147" i="1"/>
  <c r="I147" i="1"/>
  <c r="H147" i="1"/>
  <c r="G147" i="1"/>
  <c r="F147" i="1"/>
  <c r="E147" i="1"/>
  <c r="D147" i="1"/>
  <c r="C147" i="1"/>
  <c r="B147" i="1"/>
  <c r="X146" i="1"/>
  <c r="V146" i="1"/>
  <c r="U146" i="1"/>
  <c r="Q146" i="1"/>
  <c r="P146" i="1"/>
  <c r="O146" i="1"/>
  <c r="N146" i="1"/>
  <c r="M146" i="1"/>
  <c r="L146" i="1"/>
  <c r="K146" i="1"/>
  <c r="J146" i="1"/>
  <c r="I146" i="1"/>
  <c r="H146" i="1"/>
  <c r="G146" i="1"/>
  <c r="F146" i="1"/>
  <c r="E146" i="1"/>
  <c r="D146" i="1"/>
  <c r="C146" i="1"/>
  <c r="B146" i="1"/>
  <c r="X145" i="1"/>
  <c r="V145" i="1"/>
  <c r="U145" i="1"/>
  <c r="T145" i="1"/>
  <c r="S145" i="1"/>
  <c r="R145" i="1"/>
  <c r="Q145" i="1"/>
  <c r="P145" i="1"/>
  <c r="O145" i="1"/>
  <c r="N145" i="1"/>
  <c r="M145" i="1"/>
  <c r="L145" i="1"/>
  <c r="K145" i="1"/>
  <c r="J145" i="1"/>
  <c r="I145" i="1"/>
  <c r="H145" i="1"/>
  <c r="G145" i="1"/>
  <c r="F145" i="1"/>
  <c r="E145" i="1"/>
  <c r="D145" i="1"/>
  <c r="C145" i="1"/>
  <c r="B145" i="1"/>
  <c r="X144" i="1"/>
  <c r="V144" i="1"/>
  <c r="U144" i="1"/>
  <c r="T144" i="1"/>
  <c r="S144" i="1"/>
  <c r="R144" i="1"/>
  <c r="Q144" i="1"/>
  <c r="P144" i="1"/>
  <c r="O144" i="1"/>
  <c r="N144" i="1"/>
  <c r="M144" i="1"/>
  <c r="L144" i="1"/>
  <c r="K144" i="1"/>
  <c r="J144" i="1"/>
  <c r="I144" i="1"/>
  <c r="H144" i="1"/>
  <c r="G144" i="1"/>
  <c r="F144" i="1"/>
  <c r="E144" i="1"/>
  <c r="D144" i="1"/>
  <c r="C144" i="1"/>
  <c r="B144" i="1"/>
  <c r="X143" i="1"/>
  <c r="V143" i="1"/>
  <c r="U143" i="1"/>
  <c r="T143" i="1"/>
  <c r="S143" i="1"/>
  <c r="R143" i="1"/>
  <c r="Q143" i="1"/>
  <c r="P143" i="1"/>
  <c r="O143" i="1"/>
  <c r="N143" i="1"/>
  <c r="M143" i="1"/>
  <c r="L143" i="1"/>
  <c r="K143" i="1"/>
  <c r="J143" i="1"/>
  <c r="I143" i="1"/>
  <c r="H143" i="1"/>
  <c r="G143" i="1"/>
  <c r="F143" i="1"/>
  <c r="E143" i="1"/>
  <c r="D143" i="1"/>
  <c r="C143" i="1"/>
  <c r="B143" i="1"/>
  <c r="X142" i="1"/>
  <c r="V142" i="1"/>
  <c r="U142" i="1"/>
  <c r="N142" i="1"/>
  <c r="M142" i="1"/>
  <c r="L142" i="1"/>
  <c r="K142" i="1"/>
  <c r="J142" i="1"/>
  <c r="I142" i="1"/>
  <c r="H142" i="1"/>
  <c r="G142" i="1"/>
  <c r="F142" i="1"/>
  <c r="E142" i="1"/>
  <c r="D142" i="1"/>
  <c r="C142" i="1"/>
  <c r="B142" i="1"/>
  <c r="X141" i="1"/>
  <c r="V141" i="1"/>
  <c r="U141" i="1"/>
  <c r="Q141" i="1"/>
  <c r="P141" i="1"/>
  <c r="O141" i="1"/>
  <c r="N141" i="1"/>
  <c r="M141" i="1"/>
  <c r="L141" i="1"/>
  <c r="K141" i="1"/>
  <c r="J141" i="1"/>
  <c r="I141" i="1"/>
  <c r="H141" i="1"/>
  <c r="G141" i="1"/>
  <c r="F141" i="1"/>
  <c r="E141" i="1"/>
  <c r="D141" i="1"/>
  <c r="C141" i="1"/>
  <c r="B141" i="1"/>
  <c r="X140" i="1"/>
  <c r="V140" i="1"/>
  <c r="U140" i="1"/>
  <c r="T140" i="1"/>
  <c r="S140" i="1"/>
  <c r="R140" i="1"/>
  <c r="Q140" i="1"/>
  <c r="P140" i="1"/>
  <c r="O140" i="1"/>
  <c r="N140" i="1"/>
  <c r="M140" i="1"/>
  <c r="L140" i="1"/>
  <c r="K140" i="1"/>
  <c r="J140" i="1"/>
  <c r="I140" i="1"/>
  <c r="H140" i="1"/>
  <c r="G140" i="1"/>
  <c r="F140" i="1"/>
  <c r="E140" i="1"/>
  <c r="D140" i="1"/>
  <c r="C140" i="1"/>
  <c r="B140" i="1"/>
  <c r="X139" i="1"/>
  <c r="V139" i="1"/>
  <c r="U139" i="1"/>
  <c r="T139" i="1"/>
  <c r="S139" i="1"/>
  <c r="R139" i="1"/>
  <c r="Q139" i="1"/>
  <c r="P139" i="1"/>
  <c r="O139" i="1"/>
  <c r="N139" i="1"/>
  <c r="M139" i="1"/>
  <c r="L139" i="1"/>
  <c r="K139" i="1"/>
  <c r="J139" i="1"/>
  <c r="I139" i="1"/>
  <c r="H139" i="1"/>
  <c r="G139" i="1"/>
  <c r="F139" i="1"/>
  <c r="E139" i="1"/>
  <c r="D139" i="1"/>
  <c r="C139" i="1"/>
  <c r="B139" i="1"/>
  <c r="X138" i="1"/>
  <c r="V138" i="1"/>
  <c r="U138" i="1"/>
  <c r="T138" i="1"/>
  <c r="S138" i="1"/>
  <c r="R138" i="1"/>
  <c r="Q138" i="1"/>
  <c r="P138" i="1"/>
  <c r="O138" i="1"/>
  <c r="N138" i="1"/>
  <c r="M138" i="1"/>
  <c r="L138" i="1"/>
  <c r="K138" i="1"/>
  <c r="J138" i="1"/>
  <c r="I138" i="1"/>
  <c r="H138" i="1"/>
  <c r="G138" i="1"/>
  <c r="F138" i="1"/>
  <c r="E138" i="1"/>
  <c r="D138" i="1"/>
  <c r="C138" i="1"/>
  <c r="B138" i="1"/>
  <c r="X137" i="1"/>
  <c r="V137" i="1"/>
  <c r="U137" i="1"/>
  <c r="T137" i="1"/>
  <c r="S137" i="1"/>
  <c r="R137" i="1"/>
  <c r="Q137" i="1"/>
  <c r="P137" i="1"/>
  <c r="O137" i="1"/>
  <c r="N137" i="1"/>
  <c r="M137" i="1"/>
  <c r="L137" i="1"/>
  <c r="K137" i="1"/>
  <c r="J137" i="1"/>
  <c r="I137" i="1"/>
  <c r="H137" i="1"/>
  <c r="G137" i="1"/>
  <c r="F137" i="1"/>
  <c r="E137" i="1"/>
  <c r="D137" i="1"/>
  <c r="C137" i="1"/>
  <c r="B137" i="1"/>
  <c r="X136" i="1"/>
  <c r="V136" i="1"/>
  <c r="U136" i="1"/>
  <c r="T136" i="1"/>
  <c r="S136" i="1"/>
  <c r="R136" i="1"/>
  <c r="Q136" i="1"/>
  <c r="P136" i="1"/>
  <c r="O136" i="1"/>
  <c r="N136" i="1"/>
  <c r="M136" i="1"/>
  <c r="L136" i="1"/>
  <c r="K136" i="1"/>
  <c r="J136" i="1"/>
  <c r="I136" i="1"/>
  <c r="H136" i="1"/>
  <c r="G136" i="1"/>
  <c r="F136" i="1"/>
  <c r="E136" i="1"/>
  <c r="D136" i="1"/>
  <c r="C136" i="1"/>
  <c r="B136" i="1"/>
  <c r="X135" i="1"/>
  <c r="V135" i="1"/>
  <c r="U135" i="1"/>
  <c r="Q135" i="1"/>
  <c r="P135" i="1"/>
  <c r="O135" i="1"/>
  <c r="N135" i="1"/>
  <c r="M135" i="1"/>
  <c r="L135" i="1"/>
  <c r="K135" i="1"/>
  <c r="J135" i="1"/>
  <c r="I135" i="1"/>
  <c r="H135" i="1"/>
  <c r="G135" i="1"/>
  <c r="F135" i="1"/>
  <c r="E135" i="1"/>
  <c r="D135" i="1"/>
  <c r="C135" i="1"/>
  <c r="B135" i="1"/>
  <c r="X134" i="1"/>
  <c r="V134" i="1"/>
  <c r="U134" i="1"/>
  <c r="T134" i="1"/>
  <c r="S134" i="1"/>
  <c r="R134" i="1"/>
  <c r="Q134" i="1"/>
  <c r="P134" i="1"/>
  <c r="O134" i="1"/>
  <c r="N134" i="1"/>
  <c r="M134" i="1"/>
  <c r="L134" i="1"/>
  <c r="K134" i="1"/>
  <c r="J134" i="1"/>
  <c r="I134" i="1"/>
  <c r="H134" i="1"/>
  <c r="G134" i="1"/>
  <c r="F134" i="1"/>
  <c r="E134" i="1"/>
  <c r="D134" i="1"/>
  <c r="C134" i="1"/>
  <c r="B134" i="1"/>
  <c r="X133" i="1"/>
  <c r="V133" i="1"/>
  <c r="U133" i="1"/>
  <c r="T133" i="1"/>
  <c r="S133" i="1"/>
  <c r="R133" i="1"/>
  <c r="Q133" i="1"/>
  <c r="P133" i="1"/>
  <c r="O133" i="1"/>
  <c r="N133" i="1"/>
  <c r="M133" i="1"/>
  <c r="L133" i="1"/>
  <c r="K133" i="1"/>
  <c r="J133" i="1"/>
  <c r="I133" i="1"/>
  <c r="H133" i="1"/>
  <c r="G133" i="1"/>
  <c r="F133" i="1"/>
  <c r="E133" i="1"/>
  <c r="D133" i="1"/>
  <c r="C133" i="1"/>
  <c r="B133" i="1"/>
  <c r="X132" i="1"/>
  <c r="V132" i="1"/>
  <c r="U132" i="1"/>
  <c r="Q132" i="1"/>
  <c r="P132" i="1"/>
  <c r="O132" i="1"/>
  <c r="N132" i="1"/>
  <c r="M132" i="1"/>
  <c r="L132" i="1"/>
  <c r="K132" i="1"/>
  <c r="J132" i="1"/>
  <c r="I132" i="1"/>
  <c r="H132" i="1"/>
  <c r="G132" i="1"/>
  <c r="F132" i="1"/>
  <c r="E132" i="1"/>
  <c r="D132" i="1"/>
  <c r="C132" i="1"/>
  <c r="B132" i="1"/>
  <c r="X131" i="1"/>
  <c r="V131" i="1"/>
  <c r="U131" i="1"/>
  <c r="T131" i="1"/>
  <c r="S131" i="1"/>
  <c r="R131" i="1"/>
  <c r="Q131" i="1"/>
  <c r="P131" i="1"/>
  <c r="O131" i="1"/>
  <c r="N131" i="1"/>
  <c r="M131" i="1"/>
  <c r="L131" i="1"/>
  <c r="K131" i="1"/>
  <c r="J131" i="1"/>
  <c r="I131" i="1"/>
  <c r="H131" i="1"/>
  <c r="G131" i="1"/>
  <c r="F131" i="1"/>
  <c r="E131" i="1"/>
  <c r="D131" i="1"/>
  <c r="C131" i="1"/>
  <c r="B131" i="1"/>
  <c r="X130" i="1"/>
  <c r="V130" i="1"/>
  <c r="U130" i="1"/>
  <c r="T130" i="1"/>
  <c r="S130" i="1"/>
  <c r="R130" i="1"/>
  <c r="Q130" i="1"/>
  <c r="P130" i="1"/>
  <c r="O130" i="1"/>
  <c r="N130" i="1"/>
  <c r="M130" i="1"/>
  <c r="L130" i="1"/>
  <c r="K130" i="1"/>
  <c r="J130" i="1"/>
  <c r="I130" i="1"/>
  <c r="H130" i="1"/>
  <c r="G130" i="1"/>
  <c r="F130" i="1"/>
  <c r="E130" i="1"/>
  <c r="D130" i="1"/>
  <c r="C130" i="1"/>
  <c r="B130" i="1"/>
  <c r="X129" i="1"/>
  <c r="V129" i="1"/>
  <c r="U129" i="1"/>
  <c r="T129" i="1"/>
  <c r="S129" i="1"/>
  <c r="R129" i="1"/>
  <c r="Q129" i="1"/>
  <c r="P129" i="1"/>
  <c r="O129" i="1"/>
  <c r="N129" i="1"/>
  <c r="M129" i="1"/>
  <c r="L129" i="1"/>
  <c r="K129" i="1"/>
  <c r="J129" i="1"/>
  <c r="I129" i="1"/>
  <c r="H129" i="1"/>
  <c r="G129" i="1"/>
  <c r="F129" i="1"/>
  <c r="E129" i="1"/>
  <c r="D129" i="1"/>
  <c r="C129" i="1"/>
  <c r="B129" i="1"/>
  <c r="X128" i="1"/>
  <c r="V128" i="1"/>
  <c r="U128" i="1"/>
  <c r="T128" i="1"/>
  <c r="S128" i="1"/>
  <c r="R128" i="1"/>
  <c r="Q128" i="1"/>
  <c r="P128" i="1"/>
  <c r="O128" i="1"/>
  <c r="N128" i="1"/>
  <c r="M128" i="1"/>
  <c r="L128" i="1"/>
  <c r="K128" i="1"/>
  <c r="J128" i="1"/>
  <c r="I128" i="1"/>
  <c r="H128" i="1"/>
  <c r="G128" i="1"/>
  <c r="F128" i="1"/>
  <c r="E128" i="1"/>
  <c r="D128" i="1"/>
  <c r="C128" i="1"/>
  <c r="B128" i="1"/>
  <c r="X127" i="1"/>
  <c r="V127" i="1"/>
  <c r="U127" i="1"/>
  <c r="T127" i="1"/>
  <c r="S127" i="1"/>
  <c r="R127" i="1"/>
  <c r="Q127" i="1"/>
  <c r="P127" i="1"/>
  <c r="O127" i="1"/>
  <c r="N127" i="1"/>
  <c r="M127" i="1"/>
  <c r="L127" i="1"/>
  <c r="K127" i="1"/>
  <c r="J127" i="1"/>
  <c r="I127" i="1"/>
  <c r="H127" i="1"/>
  <c r="G127" i="1"/>
  <c r="F127" i="1"/>
  <c r="E127" i="1"/>
  <c r="D127" i="1"/>
  <c r="C127" i="1"/>
  <c r="B127" i="1"/>
  <c r="X126" i="1"/>
  <c r="V126" i="1"/>
  <c r="U126" i="1"/>
  <c r="T126" i="1"/>
  <c r="S126" i="1"/>
  <c r="R126" i="1"/>
  <c r="Q126" i="1"/>
  <c r="P126" i="1"/>
  <c r="O126" i="1"/>
  <c r="N126" i="1"/>
  <c r="M126" i="1"/>
  <c r="L126" i="1"/>
  <c r="K126" i="1"/>
  <c r="J126" i="1"/>
  <c r="I126" i="1"/>
  <c r="H126" i="1"/>
  <c r="G126" i="1"/>
  <c r="F126" i="1"/>
  <c r="E126" i="1"/>
  <c r="D126" i="1"/>
  <c r="C126" i="1"/>
  <c r="B126" i="1"/>
  <c r="X125" i="1"/>
  <c r="V125" i="1"/>
  <c r="U125" i="1"/>
  <c r="T125" i="1"/>
  <c r="S125" i="1"/>
  <c r="R125" i="1"/>
  <c r="Q125" i="1"/>
  <c r="P125" i="1"/>
  <c r="O125" i="1"/>
  <c r="N125" i="1"/>
  <c r="M125" i="1"/>
  <c r="L125" i="1"/>
  <c r="K125" i="1"/>
  <c r="J125" i="1"/>
  <c r="I125" i="1"/>
  <c r="H125" i="1"/>
  <c r="G125" i="1"/>
  <c r="F125" i="1"/>
  <c r="E125" i="1"/>
  <c r="D125" i="1"/>
  <c r="C125" i="1"/>
  <c r="B125" i="1"/>
  <c r="X124" i="1"/>
  <c r="V124" i="1"/>
  <c r="U124" i="1"/>
  <c r="T124" i="1"/>
  <c r="S124" i="1"/>
  <c r="R124" i="1"/>
  <c r="Q124" i="1"/>
  <c r="P124" i="1"/>
  <c r="O124" i="1"/>
  <c r="N124" i="1"/>
  <c r="M124" i="1"/>
  <c r="L124" i="1"/>
  <c r="K124" i="1"/>
  <c r="J124" i="1"/>
  <c r="I124" i="1"/>
  <c r="H124" i="1"/>
  <c r="G124" i="1"/>
  <c r="F124" i="1"/>
  <c r="E124" i="1"/>
  <c r="D124" i="1"/>
  <c r="C124" i="1"/>
  <c r="B124" i="1"/>
  <c r="X123" i="1"/>
  <c r="V123" i="1"/>
  <c r="U123" i="1"/>
  <c r="T123" i="1"/>
  <c r="S123" i="1"/>
  <c r="R123" i="1"/>
  <c r="Q123" i="1"/>
  <c r="P123" i="1"/>
  <c r="O123" i="1"/>
  <c r="N123" i="1"/>
  <c r="M123" i="1"/>
  <c r="L123" i="1"/>
  <c r="K123" i="1"/>
  <c r="J123" i="1"/>
  <c r="I123" i="1"/>
  <c r="H123" i="1"/>
  <c r="G123" i="1"/>
  <c r="F123" i="1"/>
  <c r="E123" i="1"/>
  <c r="D123" i="1"/>
  <c r="C123" i="1"/>
  <c r="B123" i="1"/>
  <c r="X122" i="1"/>
  <c r="V122" i="1"/>
  <c r="U122" i="1"/>
  <c r="Q122" i="1"/>
  <c r="P122" i="1"/>
  <c r="O122" i="1"/>
  <c r="N122" i="1"/>
  <c r="M122" i="1"/>
  <c r="L122" i="1"/>
  <c r="K122" i="1"/>
  <c r="J122" i="1"/>
  <c r="I122" i="1"/>
  <c r="H122" i="1"/>
  <c r="G122" i="1"/>
  <c r="F122" i="1"/>
  <c r="E122" i="1"/>
  <c r="D122" i="1"/>
  <c r="C122" i="1"/>
  <c r="B122" i="1"/>
  <c r="X121" i="1"/>
  <c r="V121" i="1"/>
  <c r="U121" i="1"/>
  <c r="T121" i="1"/>
  <c r="S121" i="1"/>
  <c r="R121" i="1"/>
  <c r="Q121" i="1"/>
  <c r="P121" i="1"/>
  <c r="O121" i="1"/>
  <c r="N121" i="1"/>
  <c r="M121" i="1"/>
  <c r="L121" i="1"/>
  <c r="K121" i="1"/>
  <c r="J121" i="1"/>
  <c r="I121" i="1"/>
  <c r="H121" i="1"/>
  <c r="G121" i="1"/>
  <c r="F121" i="1"/>
  <c r="E121" i="1"/>
  <c r="D121" i="1"/>
  <c r="C121" i="1"/>
  <c r="B121" i="1"/>
  <c r="X120" i="1"/>
  <c r="V120" i="1"/>
  <c r="U120" i="1"/>
  <c r="T120" i="1"/>
  <c r="S120" i="1"/>
  <c r="R120" i="1"/>
  <c r="Q120" i="1"/>
  <c r="P120" i="1"/>
  <c r="O120" i="1"/>
  <c r="N120" i="1"/>
  <c r="M120" i="1"/>
  <c r="L120" i="1"/>
  <c r="K120" i="1"/>
  <c r="J120" i="1"/>
  <c r="I120" i="1"/>
  <c r="H120" i="1"/>
  <c r="G120" i="1"/>
  <c r="F120" i="1"/>
  <c r="E120" i="1"/>
  <c r="D120" i="1"/>
  <c r="C120" i="1"/>
  <c r="B120" i="1"/>
  <c r="X119" i="1"/>
  <c r="V119" i="1"/>
  <c r="U119" i="1"/>
  <c r="Q119" i="1"/>
  <c r="P119" i="1"/>
  <c r="O119" i="1"/>
  <c r="N119" i="1"/>
  <c r="M119" i="1"/>
  <c r="L119" i="1"/>
  <c r="K119" i="1"/>
  <c r="J119" i="1"/>
  <c r="I119" i="1"/>
  <c r="H119" i="1"/>
  <c r="G119" i="1"/>
  <c r="F119" i="1"/>
  <c r="E119" i="1"/>
  <c r="D119" i="1"/>
  <c r="C119" i="1"/>
  <c r="B119" i="1"/>
  <c r="X118" i="1"/>
  <c r="V118" i="1"/>
  <c r="U118" i="1"/>
  <c r="T118" i="1"/>
  <c r="S118" i="1"/>
  <c r="R118" i="1"/>
  <c r="Q118" i="1"/>
  <c r="P118" i="1"/>
  <c r="O118" i="1"/>
  <c r="N118" i="1"/>
  <c r="M118" i="1"/>
  <c r="L118" i="1"/>
  <c r="K118" i="1"/>
  <c r="J118" i="1"/>
  <c r="I118" i="1"/>
  <c r="H118" i="1"/>
  <c r="G118" i="1"/>
  <c r="F118" i="1"/>
  <c r="E118" i="1"/>
  <c r="D118" i="1"/>
  <c r="C118" i="1"/>
  <c r="B118" i="1"/>
  <c r="X117" i="1"/>
  <c r="V117" i="1"/>
  <c r="U117" i="1"/>
  <c r="T117" i="1"/>
  <c r="S117" i="1"/>
  <c r="R117" i="1"/>
  <c r="Q117" i="1"/>
  <c r="P117" i="1"/>
  <c r="O117" i="1"/>
  <c r="N117" i="1"/>
  <c r="M117" i="1"/>
  <c r="L117" i="1"/>
  <c r="K117" i="1"/>
  <c r="J117" i="1"/>
  <c r="I117" i="1"/>
  <c r="H117" i="1"/>
  <c r="G117" i="1"/>
  <c r="F117" i="1"/>
  <c r="E117" i="1"/>
  <c r="D117" i="1"/>
  <c r="C117" i="1"/>
  <c r="B117" i="1"/>
  <c r="X116" i="1"/>
  <c r="V116" i="1"/>
  <c r="U116" i="1"/>
  <c r="Q116" i="1"/>
  <c r="P116" i="1"/>
  <c r="O116" i="1"/>
  <c r="N116" i="1"/>
  <c r="M116" i="1"/>
  <c r="L116" i="1"/>
  <c r="K116" i="1"/>
  <c r="J116" i="1"/>
  <c r="I116" i="1"/>
  <c r="H116" i="1"/>
  <c r="G116" i="1"/>
  <c r="F116" i="1"/>
  <c r="E116" i="1"/>
  <c r="D116" i="1"/>
  <c r="C116" i="1"/>
  <c r="B116" i="1"/>
  <c r="X115" i="1"/>
  <c r="V115" i="1"/>
  <c r="U115" i="1"/>
  <c r="T115" i="1"/>
  <c r="S115" i="1"/>
  <c r="R115" i="1"/>
  <c r="Q115" i="1"/>
  <c r="P115" i="1"/>
  <c r="O115" i="1"/>
  <c r="N115" i="1"/>
  <c r="M115" i="1"/>
  <c r="L115" i="1"/>
  <c r="K115" i="1"/>
  <c r="J115" i="1"/>
  <c r="I115" i="1"/>
  <c r="H115" i="1"/>
  <c r="G115" i="1"/>
  <c r="F115" i="1"/>
  <c r="E115" i="1"/>
  <c r="D115" i="1"/>
  <c r="C115" i="1"/>
  <c r="B115" i="1"/>
  <c r="X114" i="1"/>
  <c r="V114" i="1"/>
  <c r="U114" i="1"/>
  <c r="T114" i="1"/>
  <c r="S114" i="1"/>
  <c r="R114" i="1"/>
  <c r="Q114" i="1"/>
  <c r="P114" i="1"/>
  <c r="O114" i="1"/>
  <c r="N114" i="1"/>
  <c r="M114" i="1"/>
  <c r="L114" i="1"/>
  <c r="K114" i="1"/>
  <c r="J114" i="1"/>
  <c r="I114" i="1"/>
  <c r="H114" i="1"/>
  <c r="G114" i="1"/>
  <c r="F114" i="1"/>
  <c r="E114" i="1"/>
  <c r="D114" i="1"/>
  <c r="C114" i="1"/>
  <c r="B114" i="1"/>
  <c r="X113" i="1"/>
  <c r="V113" i="1"/>
  <c r="U113" i="1"/>
  <c r="Q113" i="1"/>
  <c r="P113" i="1"/>
  <c r="O113" i="1"/>
  <c r="N113" i="1"/>
  <c r="M113" i="1"/>
  <c r="L113" i="1"/>
  <c r="K113" i="1"/>
  <c r="J113" i="1"/>
  <c r="I113" i="1"/>
  <c r="H113" i="1"/>
  <c r="G113" i="1"/>
  <c r="F113" i="1"/>
  <c r="E113" i="1"/>
  <c r="D113" i="1"/>
  <c r="C113" i="1"/>
  <c r="B113" i="1"/>
  <c r="X112" i="1"/>
  <c r="V112" i="1"/>
  <c r="U112" i="1"/>
  <c r="T112" i="1"/>
  <c r="S112" i="1"/>
  <c r="R112" i="1"/>
  <c r="Q112" i="1"/>
  <c r="P112" i="1"/>
  <c r="O112" i="1"/>
  <c r="N112" i="1"/>
  <c r="M112" i="1"/>
  <c r="L112" i="1"/>
  <c r="K112" i="1"/>
  <c r="J112" i="1"/>
  <c r="I112" i="1"/>
  <c r="H112" i="1"/>
  <c r="G112" i="1"/>
  <c r="F112" i="1"/>
  <c r="E112" i="1"/>
  <c r="D112" i="1"/>
  <c r="C112" i="1"/>
  <c r="B112" i="1"/>
  <c r="X111" i="1"/>
  <c r="V111" i="1"/>
  <c r="U111" i="1"/>
  <c r="T111" i="1"/>
  <c r="S111" i="1"/>
  <c r="R111" i="1"/>
  <c r="Q111" i="1"/>
  <c r="P111" i="1"/>
  <c r="O111" i="1"/>
  <c r="N111" i="1"/>
  <c r="M111" i="1"/>
  <c r="L111" i="1"/>
  <c r="K111" i="1"/>
  <c r="J111" i="1"/>
  <c r="I111" i="1"/>
  <c r="H111" i="1"/>
  <c r="G111" i="1"/>
  <c r="F111" i="1"/>
  <c r="E111" i="1"/>
  <c r="D111" i="1"/>
  <c r="C111" i="1"/>
  <c r="B111" i="1"/>
  <c r="X110" i="1"/>
  <c r="V110" i="1"/>
  <c r="U110" i="1"/>
  <c r="T110" i="1"/>
  <c r="S110" i="1"/>
  <c r="R110" i="1"/>
  <c r="Q110" i="1"/>
  <c r="P110" i="1"/>
  <c r="O110" i="1"/>
  <c r="N110" i="1"/>
  <c r="M110" i="1"/>
  <c r="L110" i="1"/>
  <c r="K110" i="1"/>
  <c r="J110" i="1"/>
  <c r="I110" i="1"/>
  <c r="H110" i="1"/>
  <c r="G110" i="1"/>
  <c r="F110" i="1"/>
  <c r="E110" i="1"/>
  <c r="D110" i="1"/>
  <c r="C110" i="1"/>
  <c r="B110" i="1"/>
  <c r="X109" i="1"/>
  <c r="V109" i="1"/>
  <c r="U109" i="1"/>
  <c r="T109" i="1"/>
  <c r="S109" i="1"/>
  <c r="R109" i="1"/>
  <c r="Q109" i="1"/>
  <c r="P109" i="1"/>
  <c r="O109" i="1"/>
  <c r="N109" i="1"/>
  <c r="M109" i="1"/>
  <c r="L109" i="1"/>
  <c r="K109" i="1"/>
  <c r="J109" i="1"/>
  <c r="I109" i="1"/>
  <c r="H109" i="1"/>
  <c r="G109" i="1"/>
  <c r="F109" i="1"/>
  <c r="E109" i="1"/>
  <c r="D109" i="1"/>
  <c r="C109" i="1"/>
  <c r="B109" i="1"/>
  <c r="X108" i="1"/>
  <c r="V108" i="1"/>
  <c r="U108" i="1"/>
  <c r="T108" i="1"/>
  <c r="S108" i="1"/>
  <c r="R108" i="1"/>
  <c r="Q108" i="1"/>
  <c r="P108" i="1"/>
  <c r="O108" i="1"/>
  <c r="N108" i="1"/>
  <c r="M108" i="1"/>
  <c r="L108" i="1"/>
  <c r="K108" i="1"/>
  <c r="J108" i="1"/>
  <c r="I108" i="1"/>
  <c r="H108" i="1"/>
  <c r="G108" i="1"/>
  <c r="F108" i="1"/>
  <c r="E108" i="1"/>
  <c r="D108" i="1"/>
  <c r="C108" i="1"/>
  <c r="B108" i="1"/>
  <c r="X107" i="1"/>
  <c r="V107" i="1"/>
  <c r="U107" i="1"/>
  <c r="Q107" i="1"/>
  <c r="P107" i="1"/>
  <c r="O107" i="1"/>
  <c r="N107" i="1"/>
  <c r="M107" i="1"/>
  <c r="L107" i="1"/>
  <c r="K107" i="1"/>
  <c r="J107" i="1"/>
  <c r="I107" i="1"/>
  <c r="H107" i="1"/>
  <c r="G107" i="1"/>
  <c r="F107" i="1"/>
  <c r="E107" i="1"/>
  <c r="D107" i="1"/>
  <c r="C107" i="1"/>
  <c r="B107" i="1"/>
  <c r="X106" i="1"/>
  <c r="V106" i="1"/>
  <c r="U106" i="1"/>
  <c r="Q106" i="1"/>
  <c r="P106" i="1"/>
  <c r="O106" i="1"/>
  <c r="N106" i="1"/>
  <c r="M106" i="1"/>
  <c r="L106" i="1"/>
  <c r="K106" i="1"/>
  <c r="J106" i="1"/>
  <c r="I106" i="1"/>
  <c r="H106" i="1"/>
  <c r="G106" i="1"/>
  <c r="F106" i="1"/>
  <c r="E106" i="1"/>
  <c r="D106" i="1"/>
  <c r="C106" i="1"/>
  <c r="B106" i="1"/>
  <c r="X105" i="1"/>
  <c r="V105" i="1"/>
  <c r="U105" i="1"/>
  <c r="T105" i="1"/>
  <c r="S105" i="1"/>
  <c r="R105" i="1"/>
  <c r="Q105" i="1"/>
  <c r="P105" i="1"/>
  <c r="O105" i="1"/>
  <c r="N105" i="1"/>
  <c r="M105" i="1"/>
  <c r="L105" i="1"/>
  <c r="K105" i="1"/>
  <c r="J105" i="1"/>
  <c r="I105" i="1"/>
  <c r="H105" i="1"/>
  <c r="G105" i="1"/>
  <c r="F105" i="1"/>
  <c r="E105" i="1"/>
  <c r="D105" i="1"/>
  <c r="C105" i="1"/>
  <c r="B105" i="1"/>
  <c r="X104" i="1"/>
  <c r="V104" i="1"/>
  <c r="U104" i="1"/>
  <c r="T104" i="1"/>
  <c r="S104" i="1"/>
  <c r="R104" i="1"/>
  <c r="Q104" i="1"/>
  <c r="P104" i="1"/>
  <c r="O104" i="1"/>
  <c r="N104" i="1"/>
  <c r="M104" i="1"/>
  <c r="L104" i="1"/>
  <c r="K104" i="1"/>
  <c r="J104" i="1"/>
  <c r="I104" i="1"/>
  <c r="H104" i="1"/>
  <c r="G104" i="1"/>
  <c r="F104" i="1"/>
  <c r="E104" i="1"/>
  <c r="D104" i="1"/>
  <c r="C104" i="1"/>
  <c r="B104" i="1"/>
  <c r="X103" i="1"/>
  <c r="V103" i="1"/>
  <c r="U103" i="1"/>
  <c r="T103" i="1"/>
  <c r="S103" i="1"/>
  <c r="R103" i="1"/>
  <c r="Q103" i="1"/>
  <c r="P103" i="1"/>
  <c r="O103" i="1"/>
  <c r="N103" i="1"/>
  <c r="M103" i="1"/>
  <c r="L103" i="1"/>
  <c r="K103" i="1"/>
  <c r="J103" i="1"/>
  <c r="I103" i="1"/>
  <c r="H103" i="1"/>
  <c r="G103" i="1"/>
  <c r="F103" i="1"/>
  <c r="E103" i="1"/>
  <c r="D103" i="1"/>
  <c r="C103" i="1"/>
  <c r="B103" i="1"/>
  <c r="X102" i="1"/>
  <c r="V102" i="1"/>
  <c r="U102" i="1"/>
  <c r="T102" i="1"/>
  <c r="S102" i="1"/>
  <c r="R102" i="1"/>
  <c r="Q102" i="1"/>
  <c r="P102" i="1"/>
  <c r="O102" i="1"/>
  <c r="N102" i="1"/>
  <c r="M102" i="1"/>
  <c r="L102" i="1"/>
  <c r="K102" i="1"/>
  <c r="J102" i="1"/>
  <c r="I102" i="1"/>
  <c r="H102" i="1"/>
  <c r="G102" i="1"/>
  <c r="F102" i="1"/>
  <c r="E102" i="1"/>
  <c r="D102" i="1"/>
  <c r="C102" i="1"/>
  <c r="B102" i="1"/>
  <c r="X101" i="1"/>
  <c r="V101" i="1"/>
  <c r="U101" i="1"/>
  <c r="T101" i="1"/>
  <c r="S101" i="1"/>
  <c r="R101" i="1"/>
  <c r="Q101" i="1"/>
  <c r="P101" i="1"/>
  <c r="O101" i="1"/>
  <c r="N101" i="1"/>
  <c r="M101" i="1"/>
  <c r="L101" i="1"/>
  <c r="K101" i="1"/>
  <c r="J101" i="1"/>
  <c r="I101" i="1"/>
  <c r="H101" i="1"/>
  <c r="G101" i="1"/>
  <c r="F101" i="1"/>
  <c r="E101" i="1"/>
  <c r="D101" i="1"/>
  <c r="C101" i="1"/>
  <c r="B101" i="1"/>
  <c r="X100" i="1"/>
  <c r="V100" i="1"/>
  <c r="U100" i="1"/>
  <c r="Q100" i="1"/>
  <c r="P100" i="1"/>
  <c r="O100" i="1"/>
  <c r="N100" i="1"/>
  <c r="M100" i="1"/>
  <c r="L100" i="1"/>
  <c r="K100" i="1"/>
  <c r="J100" i="1"/>
  <c r="I100" i="1"/>
  <c r="H100" i="1"/>
  <c r="G100" i="1"/>
  <c r="F100" i="1"/>
  <c r="E100" i="1"/>
  <c r="D100" i="1"/>
  <c r="C100" i="1"/>
  <c r="B100" i="1"/>
  <c r="X99" i="1"/>
  <c r="V99" i="1"/>
  <c r="U99" i="1"/>
  <c r="Q99" i="1"/>
  <c r="P99" i="1"/>
  <c r="O99" i="1"/>
  <c r="N99" i="1"/>
  <c r="M99" i="1"/>
  <c r="L99" i="1"/>
  <c r="K99" i="1"/>
  <c r="J99" i="1"/>
  <c r="I99" i="1"/>
  <c r="H99" i="1"/>
  <c r="G99" i="1"/>
  <c r="F99" i="1"/>
  <c r="E99" i="1"/>
  <c r="D99" i="1"/>
  <c r="C99" i="1"/>
  <c r="B99" i="1"/>
  <c r="X98" i="1"/>
  <c r="V98" i="1"/>
  <c r="U98" i="1"/>
  <c r="Q98" i="1"/>
  <c r="P98" i="1"/>
  <c r="O98" i="1"/>
  <c r="N98" i="1"/>
  <c r="M98" i="1"/>
  <c r="L98" i="1"/>
  <c r="K98" i="1"/>
  <c r="J98" i="1"/>
  <c r="I98" i="1"/>
  <c r="H98" i="1"/>
  <c r="G98" i="1"/>
  <c r="F98" i="1"/>
  <c r="E98" i="1"/>
  <c r="D98" i="1"/>
  <c r="C98" i="1"/>
  <c r="B98" i="1"/>
  <c r="X97" i="1"/>
  <c r="V97" i="1"/>
  <c r="U97" i="1"/>
  <c r="T97" i="1"/>
  <c r="S97" i="1"/>
  <c r="R97" i="1"/>
  <c r="Q97" i="1"/>
  <c r="P97" i="1"/>
  <c r="O97" i="1"/>
  <c r="N97" i="1"/>
  <c r="M97" i="1"/>
  <c r="L97" i="1"/>
  <c r="K97" i="1"/>
  <c r="J97" i="1"/>
  <c r="I97" i="1"/>
  <c r="H97" i="1"/>
  <c r="G97" i="1"/>
  <c r="F97" i="1"/>
  <c r="E97" i="1"/>
  <c r="D97" i="1"/>
  <c r="C97" i="1"/>
  <c r="B97" i="1"/>
  <c r="X96" i="1"/>
  <c r="V96" i="1"/>
  <c r="U96" i="1"/>
  <c r="Q96" i="1"/>
  <c r="P96" i="1"/>
  <c r="O96" i="1"/>
  <c r="N96" i="1"/>
  <c r="M96" i="1"/>
  <c r="L96" i="1"/>
  <c r="K96" i="1"/>
  <c r="J96" i="1"/>
  <c r="I96" i="1"/>
  <c r="H96" i="1"/>
  <c r="G96" i="1"/>
  <c r="F96" i="1"/>
  <c r="E96" i="1"/>
  <c r="D96" i="1"/>
  <c r="C96" i="1"/>
  <c r="B96" i="1"/>
  <c r="X95" i="1"/>
  <c r="V95" i="1"/>
  <c r="U95" i="1"/>
  <c r="T95" i="1"/>
  <c r="S95" i="1"/>
  <c r="R95" i="1"/>
  <c r="Q95" i="1"/>
  <c r="P95" i="1"/>
  <c r="O95" i="1"/>
  <c r="N95" i="1"/>
  <c r="M95" i="1"/>
  <c r="L95" i="1"/>
  <c r="K95" i="1"/>
  <c r="J95" i="1"/>
  <c r="I95" i="1"/>
  <c r="H95" i="1"/>
  <c r="G95" i="1"/>
  <c r="F95" i="1"/>
  <c r="E95" i="1"/>
  <c r="D95" i="1"/>
  <c r="C95" i="1"/>
  <c r="B95" i="1"/>
  <c r="X94" i="1"/>
  <c r="V94" i="1"/>
  <c r="U94" i="1"/>
  <c r="Q94" i="1"/>
  <c r="P94" i="1"/>
  <c r="O94" i="1"/>
  <c r="N94" i="1"/>
  <c r="M94" i="1"/>
  <c r="L94" i="1"/>
  <c r="K94" i="1"/>
  <c r="J94" i="1"/>
  <c r="I94" i="1"/>
  <c r="H94" i="1"/>
  <c r="G94" i="1"/>
  <c r="F94" i="1"/>
  <c r="E94" i="1"/>
  <c r="D94" i="1"/>
  <c r="C94" i="1"/>
  <c r="B94" i="1"/>
  <c r="X93" i="1"/>
  <c r="V93" i="1"/>
  <c r="U93" i="1"/>
  <c r="T93" i="1"/>
  <c r="S93" i="1"/>
  <c r="R93" i="1"/>
  <c r="Q93" i="1"/>
  <c r="P93" i="1"/>
  <c r="O93" i="1"/>
  <c r="N93" i="1"/>
  <c r="M93" i="1"/>
  <c r="L93" i="1"/>
  <c r="K93" i="1"/>
  <c r="J93" i="1"/>
  <c r="I93" i="1"/>
  <c r="H93" i="1"/>
  <c r="G93" i="1"/>
  <c r="F93" i="1"/>
  <c r="E93" i="1"/>
  <c r="D93" i="1"/>
  <c r="C93" i="1"/>
  <c r="B93" i="1"/>
  <c r="X92" i="1"/>
  <c r="V92" i="1"/>
  <c r="U92" i="1"/>
  <c r="T92" i="1"/>
  <c r="S92" i="1"/>
  <c r="R92" i="1"/>
  <c r="Q92" i="1"/>
  <c r="P92" i="1"/>
  <c r="O92" i="1"/>
  <c r="N92" i="1"/>
  <c r="M92" i="1"/>
  <c r="L92" i="1"/>
  <c r="K92" i="1"/>
  <c r="J92" i="1"/>
  <c r="I92" i="1"/>
  <c r="H92" i="1"/>
  <c r="G92" i="1"/>
  <c r="F92" i="1"/>
  <c r="E92" i="1"/>
  <c r="D92" i="1"/>
  <c r="C92" i="1"/>
  <c r="B92" i="1"/>
  <c r="X91" i="1"/>
  <c r="V91" i="1"/>
  <c r="U91" i="1"/>
  <c r="T91" i="1"/>
  <c r="S91" i="1"/>
  <c r="R91" i="1"/>
  <c r="Q91" i="1"/>
  <c r="P91" i="1"/>
  <c r="O91" i="1"/>
  <c r="N91" i="1"/>
  <c r="M91" i="1"/>
  <c r="L91" i="1"/>
  <c r="K91" i="1"/>
  <c r="J91" i="1"/>
  <c r="I91" i="1"/>
  <c r="H91" i="1"/>
  <c r="G91" i="1"/>
  <c r="F91" i="1"/>
  <c r="E91" i="1"/>
  <c r="D91" i="1"/>
  <c r="C91" i="1"/>
  <c r="B91" i="1"/>
  <c r="X90" i="1"/>
  <c r="V90" i="1"/>
  <c r="U90" i="1"/>
  <c r="T90" i="1"/>
  <c r="S90" i="1"/>
  <c r="R90" i="1"/>
  <c r="Q90" i="1"/>
  <c r="P90" i="1"/>
  <c r="O90" i="1"/>
  <c r="N90" i="1"/>
  <c r="M90" i="1"/>
  <c r="L90" i="1"/>
  <c r="K90" i="1"/>
  <c r="J90" i="1"/>
  <c r="I90" i="1"/>
  <c r="H90" i="1"/>
  <c r="G90" i="1"/>
  <c r="F90" i="1"/>
  <c r="E90" i="1"/>
  <c r="D90" i="1"/>
  <c r="C90" i="1"/>
  <c r="B90" i="1"/>
  <c r="X89" i="1"/>
  <c r="V89" i="1"/>
  <c r="U89" i="1"/>
  <c r="N89" i="1"/>
  <c r="M89" i="1"/>
  <c r="L89" i="1"/>
  <c r="K89" i="1"/>
  <c r="J89" i="1"/>
  <c r="I89" i="1"/>
  <c r="H89" i="1"/>
  <c r="G89" i="1"/>
  <c r="F89" i="1"/>
  <c r="E89" i="1"/>
  <c r="D89" i="1"/>
  <c r="C89" i="1"/>
  <c r="B89" i="1"/>
  <c r="X88" i="1"/>
  <c r="V88" i="1"/>
  <c r="U88" i="1"/>
  <c r="N88" i="1"/>
  <c r="M88" i="1"/>
  <c r="L88" i="1"/>
  <c r="K88" i="1"/>
  <c r="J88" i="1"/>
  <c r="I88" i="1"/>
  <c r="H88" i="1"/>
  <c r="G88" i="1"/>
  <c r="F88" i="1"/>
  <c r="E88" i="1"/>
  <c r="D88" i="1"/>
  <c r="C88" i="1"/>
  <c r="B88" i="1"/>
  <c r="X87" i="1"/>
  <c r="V87" i="1"/>
  <c r="U87" i="1"/>
  <c r="T87" i="1"/>
  <c r="S87" i="1"/>
  <c r="R87" i="1"/>
  <c r="Q87" i="1"/>
  <c r="P87" i="1"/>
  <c r="O87" i="1"/>
  <c r="N87" i="1"/>
  <c r="M87" i="1"/>
  <c r="L87" i="1"/>
  <c r="K87" i="1"/>
  <c r="J87" i="1"/>
  <c r="I87" i="1"/>
  <c r="H87" i="1"/>
  <c r="G87" i="1"/>
  <c r="F87" i="1"/>
  <c r="E87" i="1"/>
  <c r="D87" i="1"/>
  <c r="C87" i="1"/>
  <c r="B87" i="1"/>
  <c r="X86" i="1"/>
  <c r="V86" i="1"/>
  <c r="U86" i="1"/>
  <c r="T86" i="1"/>
  <c r="S86" i="1"/>
  <c r="R86" i="1"/>
  <c r="Q86" i="1"/>
  <c r="P86" i="1"/>
  <c r="O86" i="1"/>
  <c r="N86" i="1"/>
  <c r="M86" i="1"/>
  <c r="L86" i="1"/>
  <c r="K86" i="1"/>
  <c r="J86" i="1"/>
  <c r="I86" i="1"/>
  <c r="H86" i="1"/>
  <c r="G86" i="1"/>
  <c r="F86" i="1"/>
  <c r="E86" i="1"/>
  <c r="D86" i="1"/>
  <c r="C86" i="1"/>
  <c r="B86" i="1"/>
  <c r="X85" i="1"/>
  <c r="V85" i="1"/>
  <c r="U85" i="1"/>
  <c r="T85" i="1"/>
  <c r="S85" i="1"/>
  <c r="R85" i="1"/>
  <c r="Q85" i="1"/>
  <c r="P85" i="1"/>
  <c r="O85" i="1"/>
  <c r="N85" i="1"/>
  <c r="M85" i="1"/>
  <c r="L85" i="1"/>
  <c r="K85" i="1"/>
  <c r="J85" i="1"/>
  <c r="I85" i="1"/>
  <c r="H85" i="1"/>
  <c r="G85" i="1"/>
  <c r="F85" i="1"/>
  <c r="E85" i="1"/>
  <c r="D85" i="1"/>
  <c r="C85" i="1"/>
  <c r="B85" i="1"/>
  <c r="X84" i="1"/>
  <c r="V84" i="1"/>
  <c r="U84" i="1"/>
  <c r="T84" i="1"/>
  <c r="S84" i="1"/>
  <c r="R84" i="1"/>
  <c r="Q84" i="1"/>
  <c r="P84" i="1"/>
  <c r="O84" i="1"/>
  <c r="N84" i="1"/>
  <c r="M84" i="1"/>
  <c r="L84" i="1"/>
  <c r="K84" i="1"/>
  <c r="J84" i="1"/>
  <c r="I84" i="1"/>
  <c r="H84" i="1"/>
  <c r="G84" i="1"/>
  <c r="F84" i="1"/>
  <c r="E84" i="1"/>
  <c r="D84" i="1"/>
  <c r="C84" i="1"/>
  <c r="B84" i="1"/>
  <c r="X83" i="1"/>
  <c r="V83" i="1"/>
  <c r="U83" i="1"/>
  <c r="T83" i="1"/>
  <c r="S83" i="1"/>
  <c r="R83" i="1"/>
  <c r="Q83" i="1"/>
  <c r="P83" i="1"/>
  <c r="O83" i="1"/>
  <c r="N83" i="1"/>
  <c r="M83" i="1"/>
  <c r="L83" i="1"/>
  <c r="K83" i="1"/>
  <c r="J83" i="1"/>
  <c r="I83" i="1"/>
  <c r="H83" i="1"/>
  <c r="G83" i="1"/>
  <c r="F83" i="1"/>
  <c r="E83" i="1"/>
  <c r="D83" i="1"/>
  <c r="C83" i="1"/>
  <c r="B83" i="1"/>
  <c r="X82" i="1"/>
  <c r="V82" i="1"/>
  <c r="U82" i="1"/>
  <c r="Q82" i="1"/>
  <c r="P82" i="1"/>
  <c r="O82" i="1"/>
  <c r="N82" i="1"/>
  <c r="M82" i="1"/>
  <c r="L82" i="1"/>
  <c r="K82" i="1"/>
  <c r="J82" i="1"/>
  <c r="I82" i="1"/>
  <c r="H82" i="1"/>
  <c r="G82" i="1"/>
  <c r="F82" i="1"/>
  <c r="E82" i="1"/>
  <c r="D82" i="1"/>
  <c r="C82" i="1"/>
  <c r="B82" i="1"/>
  <c r="X81" i="1"/>
  <c r="V81" i="1"/>
  <c r="U81" i="1"/>
  <c r="T81" i="1"/>
  <c r="S81" i="1"/>
  <c r="R81" i="1"/>
  <c r="Q81" i="1"/>
  <c r="P81" i="1"/>
  <c r="O81" i="1"/>
  <c r="N81" i="1"/>
  <c r="M81" i="1"/>
  <c r="L81" i="1"/>
  <c r="K81" i="1"/>
  <c r="J81" i="1"/>
  <c r="I81" i="1"/>
  <c r="H81" i="1"/>
  <c r="G81" i="1"/>
  <c r="F81" i="1"/>
  <c r="E81" i="1"/>
  <c r="D81" i="1"/>
  <c r="C81" i="1"/>
  <c r="B81" i="1"/>
  <c r="X80" i="1"/>
  <c r="V80" i="1"/>
  <c r="U80" i="1"/>
  <c r="T80" i="1"/>
  <c r="S80" i="1"/>
  <c r="R80" i="1"/>
  <c r="Q80" i="1"/>
  <c r="P80" i="1"/>
  <c r="O80" i="1"/>
  <c r="N80" i="1"/>
  <c r="M80" i="1"/>
  <c r="L80" i="1"/>
  <c r="K80" i="1"/>
  <c r="J80" i="1"/>
  <c r="I80" i="1"/>
  <c r="H80" i="1"/>
  <c r="G80" i="1"/>
  <c r="F80" i="1"/>
  <c r="E80" i="1"/>
  <c r="D80" i="1"/>
  <c r="C80" i="1"/>
  <c r="B80" i="1"/>
  <c r="X79" i="1"/>
  <c r="V79" i="1"/>
  <c r="U79" i="1"/>
  <c r="Q79" i="1"/>
  <c r="P79" i="1"/>
  <c r="O79" i="1"/>
  <c r="N79" i="1"/>
  <c r="M79" i="1"/>
  <c r="L79" i="1"/>
  <c r="K79" i="1"/>
  <c r="J79" i="1"/>
  <c r="I79" i="1"/>
  <c r="H79" i="1"/>
  <c r="G79" i="1"/>
  <c r="F79" i="1"/>
  <c r="E79" i="1"/>
  <c r="D79" i="1"/>
  <c r="C79" i="1"/>
  <c r="B79" i="1"/>
  <c r="X78" i="1"/>
  <c r="V78" i="1"/>
  <c r="U78" i="1"/>
  <c r="Q78" i="1"/>
  <c r="P78" i="1"/>
  <c r="O78" i="1"/>
  <c r="N78" i="1"/>
  <c r="M78" i="1"/>
  <c r="L78" i="1"/>
  <c r="K78" i="1"/>
  <c r="J78" i="1"/>
  <c r="I78" i="1"/>
  <c r="H78" i="1"/>
  <c r="G78" i="1"/>
  <c r="F78" i="1"/>
  <c r="E78" i="1"/>
  <c r="D78" i="1"/>
  <c r="C78" i="1"/>
  <c r="B78" i="1"/>
  <c r="X77" i="1"/>
  <c r="V77" i="1"/>
  <c r="U77" i="1"/>
  <c r="T77" i="1"/>
  <c r="S77" i="1"/>
  <c r="R77" i="1"/>
  <c r="Q77" i="1"/>
  <c r="P77" i="1"/>
  <c r="O77" i="1"/>
  <c r="N77" i="1"/>
  <c r="M77" i="1"/>
  <c r="L77" i="1"/>
  <c r="K77" i="1"/>
  <c r="J77" i="1"/>
  <c r="I77" i="1"/>
  <c r="H77" i="1"/>
  <c r="G77" i="1"/>
  <c r="F77" i="1"/>
  <c r="E77" i="1"/>
  <c r="D77" i="1"/>
  <c r="C77" i="1"/>
  <c r="B77" i="1"/>
  <c r="X76" i="1"/>
  <c r="V76" i="1"/>
  <c r="U76" i="1"/>
  <c r="T76" i="1"/>
  <c r="S76" i="1"/>
  <c r="R76" i="1"/>
  <c r="Q76" i="1"/>
  <c r="P76" i="1"/>
  <c r="O76" i="1"/>
  <c r="N76" i="1"/>
  <c r="M76" i="1"/>
  <c r="L76" i="1"/>
  <c r="K76" i="1"/>
  <c r="J76" i="1"/>
  <c r="I76" i="1"/>
  <c r="H76" i="1"/>
  <c r="G76" i="1"/>
  <c r="F76" i="1"/>
  <c r="E76" i="1"/>
  <c r="D76" i="1"/>
  <c r="C76" i="1"/>
  <c r="B76" i="1"/>
  <c r="X75" i="1"/>
  <c r="V75" i="1"/>
  <c r="U75" i="1"/>
  <c r="Q75" i="1"/>
  <c r="P75" i="1"/>
  <c r="O75" i="1"/>
  <c r="N75" i="1"/>
  <c r="M75" i="1"/>
  <c r="L75" i="1"/>
  <c r="K75" i="1"/>
  <c r="J75" i="1"/>
  <c r="I75" i="1"/>
  <c r="H75" i="1"/>
  <c r="G75" i="1"/>
  <c r="F75" i="1"/>
  <c r="E75" i="1"/>
  <c r="D75" i="1"/>
  <c r="C75" i="1"/>
  <c r="B75" i="1"/>
  <c r="X74" i="1"/>
  <c r="V74" i="1"/>
  <c r="U74" i="1"/>
  <c r="T74" i="1"/>
  <c r="S74" i="1"/>
  <c r="R74" i="1"/>
  <c r="Q74" i="1"/>
  <c r="P74" i="1"/>
  <c r="O74" i="1"/>
  <c r="N74" i="1"/>
  <c r="M74" i="1"/>
  <c r="L74" i="1"/>
  <c r="K74" i="1"/>
  <c r="J74" i="1"/>
  <c r="I74" i="1"/>
  <c r="H74" i="1"/>
  <c r="G74" i="1"/>
  <c r="F74" i="1"/>
  <c r="E74" i="1"/>
  <c r="D74" i="1"/>
  <c r="C74" i="1"/>
  <c r="B74" i="1"/>
  <c r="X73" i="1"/>
  <c r="V73" i="1"/>
  <c r="U73" i="1"/>
  <c r="N73" i="1"/>
  <c r="M73" i="1"/>
  <c r="L73" i="1"/>
  <c r="K73" i="1"/>
  <c r="J73" i="1"/>
  <c r="I73" i="1"/>
  <c r="H73" i="1"/>
  <c r="G73" i="1"/>
  <c r="F73" i="1"/>
  <c r="E73" i="1"/>
  <c r="D73" i="1"/>
  <c r="C73" i="1"/>
  <c r="B73" i="1"/>
  <c r="X72" i="1"/>
  <c r="V72" i="1"/>
  <c r="U72" i="1"/>
  <c r="T72" i="1"/>
  <c r="S72" i="1"/>
  <c r="R72" i="1"/>
  <c r="Q72" i="1"/>
  <c r="P72" i="1"/>
  <c r="O72" i="1"/>
  <c r="N72" i="1"/>
  <c r="M72" i="1"/>
  <c r="L72" i="1"/>
  <c r="K72" i="1"/>
  <c r="J72" i="1"/>
  <c r="I72" i="1"/>
  <c r="H72" i="1"/>
  <c r="G72" i="1"/>
  <c r="F72" i="1"/>
  <c r="E72" i="1"/>
  <c r="D72" i="1"/>
  <c r="C72" i="1"/>
  <c r="B72" i="1"/>
  <c r="X71" i="1"/>
  <c r="V71" i="1"/>
  <c r="U71" i="1"/>
  <c r="Q71" i="1"/>
  <c r="P71" i="1"/>
  <c r="O71" i="1"/>
  <c r="N71" i="1"/>
  <c r="M71" i="1"/>
  <c r="L71" i="1"/>
  <c r="K71" i="1"/>
  <c r="J71" i="1"/>
  <c r="I71" i="1"/>
  <c r="H71" i="1"/>
  <c r="G71" i="1"/>
  <c r="F71" i="1"/>
  <c r="E71" i="1"/>
  <c r="D71" i="1"/>
  <c r="C71" i="1"/>
  <c r="B71" i="1"/>
  <c r="X70" i="1"/>
  <c r="V70" i="1"/>
  <c r="U70" i="1"/>
  <c r="T70" i="1"/>
  <c r="S70" i="1"/>
  <c r="R70" i="1"/>
  <c r="Q70" i="1"/>
  <c r="P70" i="1"/>
  <c r="O70" i="1"/>
  <c r="N70" i="1"/>
  <c r="M70" i="1"/>
  <c r="L70" i="1"/>
  <c r="K70" i="1"/>
  <c r="J70" i="1"/>
  <c r="I70" i="1"/>
  <c r="H70" i="1"/>
  <c r="G70" i="1"/>
  <c r="F70" i="1"/>
  <c r="E70" i="1"/>
  <c r="D70" i="1"/>
  <c r="C70" i="1"/>
  <c r="B70" i="1"/>
  <c r="X69" i="1"/>
  <c r="V69" i="1"/>
  <c r="U69" i="1"/>
  <c r="N69" i="1"/>
  <c r="M69" i="1"/>
  <c r="L69" i="1"/>
  <c r="K69" i="1"/>
  <c r="J69" i="1"/>
  <c r="I69" i="1"/>
  <c r="H69" i="1"/>
  <c r="G69" i="1"/>
  <c r="F69" i="1"/>
  <c r="E69" i="1"/>
  <c r="D69" i="1"/>
  <c r="C69" i="1"/>
  <c r="B69" i="1"/>
  <c r="X68" i="1"/>
  <c r="V68" i="1"/>
  <c r="U68" i="1"/>
  <c r="Q68" i="1"/>
  <c r="P68" i="1"/>
  <c r="O68" i="1"/>
  <c r="N68" i="1"/>
  <c r="M68" i="1"/>
  <c r="L68" i="1"/>
  <c r="K68" i="1"/>
  <c r="J68" i="1"/>
  <c r="I68" i="1"/>
  <c r="H68" i="1"/>
  <c r="G68" i="1"/>
  <c r="F68" i="1"/>
  <c r="E68" i="1"/>
  <c r="D68" i="1"/>
  <c r="C68" i="1"/>
  <c r="B68" i="1"/>
  <c r="X67" i="1"/>
  <c r="V67" i="1"/>
  <c r="U67" i="1"/>
  <c r="T67" i="1"/>
  <c r="S67" i="1"/>
  <c r="R67" i="1"/>
  <c r="Q67" i="1"/>
  <c r="P67" i="1"/>
  <c r="O67" i="1"/>
  <c r="N67" i="1"/>
  <c r="M67" i="1"/>
  <c r="L67" i="1"/>
  <c r="K67" i="1"/>
  <c r="J67" i="1"/>
  <c r="I67" i="1"/>
  <c r="H67" i="1"/>
  <c r="G67" i="1"/>
  <c r="F67" i="1"/>
  <c r="E67" i="1"/>
  <c r="D67" i="1"/>
  <c r="C67" i="1"/>
  <c r="B67" i="1"/>
  <c r="X66" i="1"/>
  <c r="V66" i="1"/>
  <c r="U66" i="1"/>
  <c r="Q66" i="1"/>
  <c r="P66" i="1"/>
  <c r="O66" i="1"/>
  <c r="N66" i="1"/>
  <c r="M66" i="1"/>
  <c r="L66" i="1"/>
  <c r="K66" i="1"/>
  <c r="J66" i="1"/>
  <c r="I66" i="1"/>
  <c r="H66" i="1"/>
  <c r="G66" i="1"/>
  <c r="F66" i="1"/>
  <c r="E66" i="1"/>
  <c r="D66" i="1"/>
  <c r="C66" i="1"/>
  <c r="B66" i="1"/>
  <c r="X65" i="1"/>
  <c r="V65" i="1"/>
  <c r="U65" i="1"/>
  <c r="Q65" i="1"/>
  <c r="P65" i="1"/>
  <c r="O65" i="1"/>
  <c r="N65" i="1"/>
  <c r="M65" i="1"/>
  <c r="L65" i="1"/>
  <c r="K65" i="1"/>
  <c r="J65" i="1"/>
  <c r="I65" i="1"/>
  <c r="H65" i="1"/>
  <c r="G65" i="1"/>
  <c r="F65" i="1"/>
  <c r="E65" i="1"/>
  <c r="D65" i="1"/>
  <c r="C65" i="1"/>
  <c r="B65" i="1"/>
  <c r="X64" i="1"/>
  <c r="V64" i="1"/>
  <c r="U64" i="1"/>
  <c r="T64" i="1"/>
  <c r="S64" i="1"/>
  <c r="R64" i="1"/>
  <c r="Q64" i="1"/>
  <c r="P64" i="1"/>
  <c r="O64" i="1"/>
  <c r="N64" i="1"/>
  <c r="M64" i="1"/>
  <c r="L64" i="1"/>
  <c r="K64" i="1"/>
  <c r="J64" i="1"/>
  <c r="I64" i="1"/>
  <c r="H64" i="1"/>
  <c r="G64" i="1"/>
  <c r="F64" i="1"/>
  <c r="E64" i="1"/>
  <c r="D64" i="1"/>
  <c r="C64" i="1"/>
  <c r="B64" i="1"/>
  <c r="X63" i="1"/>
  <c r="V63" i="1"/>
  <c r="U63" i="1"/>
  <c r="T63" i="1"/>
  <c r="S63" i="1"/>
  <c r="R63" i="1"/>
  <c r="Q63" i="1"/>
  <c r="P63" i="1"/>
  <c r="O63" i="1"/>
  <c r="N63" i="1"/>
  <c r="M63" i="1"/>
  <c r="L63" i="1"/>
  <c r="K63" i="1"/>
  <c r="J63" i="1"/>
  <c r="I63" i="1"/>
  <c r="H63" i="1"/>
  <c r="G63" i="1"/>
  <c r="F63" i="1"/>
  <c r="E63" i="1"/>
  <c r="D63" i="1"/>
  <c r="C63" i="1"/>
  <c r="B63" i="1"/>
  <c r="X62" i="1"/>
  <c r="V62" i="1"/>
  <c r="U62" i="1"/>
  <c r="T62" i="1"/>
  <c r="S62" i="1"/>
  <c r="R62" i="1"/>
  <c r="Q62" i="1"/>
  <c r="P62" i="1"/>
  <c r="O62" i="1"/>
  <c r="N62" i="1"/>
  <c r="M62" i="1"/>
  <c r="L62" i="1"/>
  <c r="K62" i="1"/>
  <c r="J62" i="1"/>
  <c r="I62" i="1"/>
  <c r="H62" i="1"/>
  <c r="G62" i="1"/>
  <c r="F62" i="1"/>
  <c r="E62" i="1"/>
  <c r="D62" i="1"/>
  <c r="C62" i="1"/>
  <c r="B62" i="1"/>
  <c r="X61" i="1"/>
  <c r="V61" i="1"/>
  <c r="U61" i="1"/>
  <c r="T61" i="1"/>
  <c r="S61" i="1"/>
  <c r="R61" i="1"/>
  <c r="Q61" i="1"/>
  <c r="P61" i="1"/>
  <c r="O61" i="1"/>
  <c r="N61" i="1"/>
  <c r="M61" i="1"/>
  <c r="L61" i="1"/>
  <c r="K61" i="1"/>
  <c r="J61" i="1"/>
  <c r="I61" i="1"/>
  <c r="H61" i="1"/>
  <c r="G61" i="1"/>
  <c r="F61" i="1"/>
  <c r="E61" i="1"/>
  <c r="D61" i="1"/>
  <c r="C61" i="1"/>
  <c r="B61" i="1"/>
  <c r="X60" i="1"/>
  <c r="V60" i="1"/>
  <c r="U60" i="1"/>
  <c r="N60" i="1"/>
  <c r="M60" i="1"/>
  <c r="L60" i="1"/>
  <c r="K60" i="1"/>
  <c r="J60" i="1"/>
  <c r="I60" i="1"/>
  <c r="H60" i="1"/>
  <c r="G60" i="1"/>
  <c r="F60" i="1"/>
  <c r="E60" i="1"/>
  <c r="D60" i="1"/>
  <c r="C60" i="1"/>
  <c r="B60" i="1"/>
  <c r="X59" i="1"/>
  <c r="V59" i="1"/>
  <c r="U59" i="1"/>
  <c r="T59" i="1"/>
  <c r="S59" i="1"/>
  <c r="R59" i="1"/>
  <c r="Q59" i="1"/>
  <c r="P59" i="1"/>
  <c r="O59" i="1"/>
  <c r="N59" i="1"/>
  <c r="M59" i="1"/>
  <c r="L59" i="1"/>
  <c r="K59" i="1"/>
  <c r="J59" i="1"/>
  <c r="I59" i="1"/>
  <c r="H59" i="1"/>
  <c r="G59" i="1"/>
  <c r="F59" i="1"/>
  <c r="E59" i="1"/>
  <c r="D59" i="1"/>
  <c r="C59" i="1"/>
  <c r="B59" i="1"/>
  <c r="X58" i="1"/>
  <c r="V58" i="1"/>
  <c r="U58" i="1"/>
  <c r="Q58" i="1"/>
  <c r="P58" i="1"/>
  <c r="O58" i="1"/>
  <c r="N58" i="1"/>
  <c r="M58" i="1"/>
  <c r="L58" i="1"/>
  <c r="K58" i="1"/>
  <c r="J58" i="1"/>
  <c r="I58" i="1"/>
  <c r="H58" i="1"/>
  <c r="G58" i="1"/>
  <c r="F58" i="1"/>
  <c r="E58" i="1"/>
  <c r="D58" i="1"/>
  <c r="C58" i="1"/>
  <c r="B58" i="1"/>
  <c r="X57" i="1"/>
  <c r="V57" i="1"/>
  <c r="U57" i="1"/>
  <c r="T57" i="1"/>
  <c r="S57" i="1"/>
  <c r="R57" i="1"/>
  <c r="Q57" i="1"/>
  <c r="P57" i="1"/>
  <c r="O57" i="1"/>
  <c r="N57" i="1"/>
  <c r="M57" i="1"/>
  <c r="L57" i="1"/>
  <c r="K57" i="1"/>
  <c r="J57" i="1"/>
  <c r="I57" i="1"/>
  <c r="H57" i="1"/>
  <c r="G57" i="1"/>
  <c r="F57" i="1"/>
  <c r="E57" i="1"/>
  <c r="D57" i="1"/>
  <c r="C57" i="1"/>
  <c r="B57" i="1"/>
  <c r="X56" i="1"/>
  <c r="V56" i="1"/>
  <c r="U56" i="1"/>
  <c r="T56" i="1"/>
  <c r="S56" i="1"/>
  <c r="R56" i="1"/>
  <c r="Q56" i="1"/>
  <c r="P56" i="1"/>
  <c r="O56" i="1"/>
  <c r="N56" i="1"/>
  <c r="M56" i="1"/>
  <c r="L56" i="1"/>
  <c r="K56" i="1"/>
  <c r="J56" i="1"/>
  <c r="I56" i="1"/>
  <c r="H56" i="1"/>
  <c r="G56" i="1"/>
  <c r="F56" i="1"/>
  <c r="E56" i="1"/>
  <c r="D56" i="1"/>
  <c r="C56" i="1"/>
  <c r="B56" i="1"/>
  <c r="X55" i="1"/>
  <c r="V55" i="1"/>
  <c r="U55" i="1"/>
  <c r="T55" i="1"/>
  <c r="S55" i="1"/>
  <c r="R55" i="1"/>
  <c r="Q55" i="1"/>
  <c r="P55" i="1"/>
  <c r="O55" i="1"/>
  <c r="N55" i="1"/>
  <c r="M55" i="1"/>
  <c r="L55" i="1"/>
  <c r="K55" i="1"/>
  <c r="J55" i="1"/>
  <c r="I55" i="1"/>
  <c r="H55" i="1"/>
  <c r="G55" i="1"/>
  <c r="F55" i="1"/>
  <c r="E55" i="1"/>
  <c r="D55" i="1"/>
  <c r="C55" i="1"/>
  <c r="B55" i="1"/>
  <c r="X54" i="1"/>
  <c r="V54" i="1"/>
  <c r="U54" i="1"/>
  <c r="Q54" i="1"/>
  <c r="P54" i="1"/>
  <c r="O54" i="1"/>
  <c r="N54" i="1"/>
  <c r="M54" i="1"/>
  <c r="L54" i="1"/>
  <c r="K54" i="1"/>
  <c r="J54" i="1"/>
  <c r="I54" i="1"/>
  <c r="H54" i="1"/>
  <c r="G54" i="1"/>
  <c r="F54" i="1"/>
  <c r="E54" i="1"/>
  <c r="D54" i="1"/>
  <c r="C54" i="1"/>
  <c r="B54" i="1"/>
  <c r="X53" i="1"/>
  <c r="V53" i="1"/>
  <c r="U53" i="1"/>
  <c r="T53" i="1"/>
  <c r="S53" i="1"/>
  <c r="R53" i="1"/>
  <c r="Q53" i="1"/>
  <c r="P53" i="1"/>
  <c r="O53" i="1"/>
  <c r="N53" i="1"/>
  <c r="M53" i="1"/>
  <c r="L53" i="1"/>
  <c r="K53" i="1"/>
  <c r="J53" i="1"/>
  <c r="I53" i="1"/>
  <c r="H53" i="1"/>
  <c r="G53" i="1"/>
  <c r="F53" i="1"/>
  <c r="E53" i="1"/>
  <c r="D53" i="1"/>
  <c r="C53" i="1"/>
  <c r="B53" i="1"/>
  <c r="X52" i="1"/>
  <c r="V52" i="1"/>
  <c r="U52" i="1"/>
  <c r="Q52" i="1"/>
  <c r="P52" i="1"/>
  <c r="O52" i="1"/>
  <c r="N52" i="1"/>
  <c r="M52" i="1"/>
  <c r="L52" i="1"/>
  <c r="K52" i="1"/>
  <c r="J52" i="1"/>
  <c r="I52" i="1"/>
  <c r="H52" i="1"/>
  <c r="G52" i="1"/>
  <c r="F52" i="1"/>
  <c r="E52" i="1"/>
  <c r="D52" i="1"/>
  <c r="C52" i="1"/>
  <c r="B52" i="1"/>
  <c r="X51" i="1"/>
  <c r="V51" i="1"/>
  <c r="U51" i="1"/>
  <c r="N51" i="1"/>
  <c r="M51" i="1"/>
  <c r="L51" i="1"/>
  <c r="K51" i="1"/>
  <c r="J51" i="1"/>
  <c r="I51" i="1"/>
  <c r="H51" i="1"/>
  <c r="G51" i="1"/>
  <c r="F51" i="1"/>
  <c r="E51" i="1"/>
  <c r="D51" i="1"/>
  <c r="C51" i="1"/>
  <c r="B51" i="1"/>
  <c r="X50" i="1"/>
  <c r="V50" i="1"/>
  <c r="U50" i="1"/>
  <c r="T50" i="1"/>
  <c r="S50" i="1"/>
  <c r="R50" i="1"/>
  <c r="Q50" i="1"/>
  <c r="P50" i="1"/>
  <c r="O50" i="1"/>
  <c r="N50" i="1"/>
  <c r="M50" i="1"/>
  <c r="L50" i="1"/>
  <c r="K50" i="1"/>
  <c r="J50" i="1"/>
  <c r="I50" i="1"/>
  <c r="H50" i="1"/>
  <c r="G50" i="1"/>
  <c r="F50" i="1"/>
  <c r="E50" i="1"/>
  <c r="D50" i="1"/>
  <c r="C50" i="1"/>
  <c r="B50" i="1"/>
  <c r="X49" i="1"/>
  <c r="V49" i="1"/>
  <c r="U49" i="1"/>
  <c r="T49" i="1"/>
  <c r="S49" i="1"/>
  <c r="R49" i="1"/>
  <c r="Q49" i="1"/>
  <c r="P49" i="1"/>
  <c r="O49" i="1"/>
  <c r="N49" i="1"/>
  <c r="M49" i="1"/>
  <c r="L49" i="1"/>
  <c r="K49" i="1"/>
  <c r="J49" i="1"/>
  <c r="I49" i="1"/>
  <c r="H49" i="1"/>
  <c r="G49" i="1"/>
  <c r="F49" i="1"/>
  <c r="E49" i="1"/>
  <c r="D49" i="1"/>
  <c r="C49" i="1"/>
  <c r="B49" i="1"/>
  <c r="X48" i="1"/>
  <c r="V48" i="1"/>
  <c r="U48" i="1"/>
  <c r="T48" i="1"/>
  <c r="S48" i="1"/>
  <c r="R48" i="1"/>
  <c r="Q48" i="1"/>
  <c r="P48" i="1"/>
  <c r="O48" i="1"/>
  <c r="N48" i="1"/>
  <c r="M48" i="1"/>
  <c r="L48" i="1"/>
  <c r="K48" i="1"/>
  <c r="J48" i="1"/>
  <c r="I48" i="1"/>
  <c r="H48" i="1"/>
  <c r="G48" i="1"/>
  <c r="F48" i="1"/>
  <c r="E48" i="1"/>
  <c r="D48" i="1"/>
  <c r="C48" i="1"/>
  <c r="B48" i="1"/>
  <c r="X47" i="1"/>
  <c r="V47" i="1"/>
  <c r="U47" i="1"/>
  <c r="N47" i="1"/>
  <c r="M47" i="1"/>
  <c r="L47" i="1"/>
  <c r="K47" i="1"/>
  <c r="J47" i="1"/>
  <c r="I47" i="1"/>
  <c r="H47" i="1"/>
  <c r="G47" i="1"/>
  <c r="F47" i="1"/>
  <c r="E47" i="1"/>
  <c r="D47" i="1"/>
  <c r="C47" i="1"/>
  <c r="B47" i="1"/>
  <c r="X46" i="1"/>
  <c r="V46" i="1"/>
  <c r="U46" i="1"/>
  <c r="T46" i="1"/>
  <c r="S46" i="1"/>
  <c r="R46" i="1"/>
  <c r="Q46" i="1"/>
  <c r="P46" i="1"/>
  <c r="O46" i="1"/>
  <c r="N46" i="1"/>
  <c r="M46" i="1"/>
  <c r="L46" i="1"/>
  <c r="K46" i="1"/>
  <c r="J46" i="1"/>
  <c r="I46" i="1"/>
  <c r="H46" i="1"/>
  <c r="G46" i="1"/>
  <c r="F46" i="1"/>
  <c r="E46" i="1"/>
  <c r="D46" i="1"/>
  <c r="C46" i="1"/>
  <c r="B46" i="1"/>
  <c r="X45" i="1"/>
  <c r="V45" i="1"/>
  <c r="U45" i="1"/>
  <c r="T45" i="1"/>
  <c r="S45" i="1"/>
  <c r="R45" i="1"/>
  <c r="Q45" i="1"/>
  <c r="P45" i="1"/>
  <c r="O45" i="1"/>
  <c r="N45" i="1"/>
  <c r="M45" i="1"/>
  <c r="L45" i="1"/>
  <c r="K45" i="1"/>
  <c r="J45" i="1"/>
  <c r="I45" i="1"/>
  <c r="H45" i="1"/>
  <c r="G45" i="1"/>
  <c r="F45" i="1"/>
  <c r="E45" i="1"/>
  <c r="D45" i="1"/>
  <c r="C45" i="1"/>
  <c r="B45" i="1"/>
  <c r="X44" i="1"/>
  <c r="V44" i="1"/>
  <c r="U44" i="1"/>
  <c r="Q44" i="1"/>
  <c r="P44" i="1"/>
  <c r="O44" i="1"/>
  <c r="N44" i="1"/>
  <c r="M44" i="1"/>
  <c r="L44" i="1"/>
  <c r="K44" i="1"/>
  <c r="J44" i="1"/>
  <c r="I44" i="1"/>
  <c r="H44" i="1"/>
  <c r="G44" i="1"/>
  <c r="F44" i="1"/>
  <c r="E44" i="1"/>
  <c r="D44" i="1"/>
  <c r="C44" i="1"/>
  <c r="B44" i="1"/>
  <c r="X43" i="1"/>
  <c r="V43" i="1"/>
  <c r="U43" i="1"/>
  <c r="Q43" i="1"/>
  <c r="P43" i="1"/>
  <c r="O43" i="1"/>
  <c r="N43" i="1"/>
  <c r="M43" i="1"/>
  <c r="L43" i="1"/>
  <c r="K43" i="1"/>
  <c r="J43" i="1"/>
  <c r="I43" i="1"/>
  <c r="H43" i="1"/>
  <c r="G43" i="1"/>
  <c r="F43" i="1"/>
  <c r="E43" i="1"/>
  <c r="D43" i="1"/>
  <c r="C43" i="1"/>
  <c r="B43" i="1"/>
  <c r="X42" i="1"/>
  <c r="V42" i="1"/>
  <c r="U42" i="1"/>
  <c r="Q42" i="1"/>
  <c r="P42" i="1"/>
  <c r="O42" i="1"/>
  <c r="N42" i="1"/>
  <c r="M42" i="1"/>
  <c r="L42" i="1"/>
  <c r="K42" i="1"/>
  <c r="J42" i="1"/>
  <c r="I42" i="1"/>
  <c r="H42" i="1"/>
  <c r="G42" i="1"/>
  <c r="F42" i="1"/>
  <c r="E42" i="1"/>
  <c r="D42" i="1"/>
  <c r="C42" i="1"/>
  <c r="B42" i="1"/>
  <c r="X41" i="1"/>
  <c r="V41" i="1"/>
  <c r="U41" i="1"/>
  <c r="Q41" i="1"/>
  <c r="P41" i="1"/>
  <c r="O41" i="1"/>
  <c r="N41" i="1"/>
  <c r="M41" i="1"/>
  <c r="L41" i="1"/>
  <c r="K41" i="1"/>
  <c r="J41" i="1"/>
  <c r="I41" i="1"/>
  <c r="H41" i="1"/>
  <c r="G41" i="1"/>
  <c r="F41" i="1"/>
  <c r="E41" i="1"/>
  <c r="D41" i="1"/>
  <c r="C41" i="1"/>
  <c r="B41" i="1"/>
  <c r="X40" i="1"/>
  <c r="V40" i="1"/>
  <c r="U40" i="1"/>
  <c r="T40" i="1"/>
  <c r="S40" i="1"/>
  <c r="R40" i="1"/>
  <c r="Q40" i="1"/>
  <c r="P40" i="1"/>
  <c r="O40" i="1"/>
  <c r="N40" i="1"/>
  <c r="M40" i="1"/>
  <c r="L40" i="1"/>
  <c r="K40" i="1"/>
  <c r="J40" i="1"/>
  <c r="I40" i="1"/>
  <c r="H40" i="1"/>
  <c r="G40" i="1"/>
  <c r="F40" i="1"/>
  <c r="E40" i="1"/>
  <c r="D40" i="1"/>
  <c r="C40" i="1"/>
  <c r="B40" i="1"/>
  <c r="X39" i="1"/>
  <c r="V39" i="1"/>
  <c r="U39" i="1"/>
  <c r="T39" i="1"/>
  <c r="S39" i="1"/>
  <c r="R39" i="1"/>
  <c r="Q39" i="1"/>
  <c r="P39" i="1"/>
  <c r="O39" i="1"/>
  <c r="N39" i="1"/>
  <c r="M39" i="1"/>
  <c r="L39" i="1"/>
  <c r="K39" i="1"/>
  <c r="J39" i="1"/>
  <c r="I39" i="1"/>
  <c r="H39" i="1"/>
  <c r="G39" i="1"/>
  <c r="F39" i="1"/>
  <c r="E39" i="1"/>
  <c r="D39" i="1"/>
  <c r="C39" i="1"/>
  <c r="B39" i="1"/>
  <c r="X38" i="1"/>
  <c r="V38" i="1"/>
  <c r="U38" i="1"/>
  <c r="N38" i="1"/>
  <c r="M38" i="1"/>
  <c r="L38" i="1"/>
  <c r="K38" i="1"/>
  <c r="J38" i="1"/>
  <c r="I38" i="1"/>
  <c r="H38" i="1"/>
  <c r="G38" i="1"/>
  <c r="F38" i="1"/>
  <c r="E38" i="1"/>
  <c r="D38" i="1"/>
  <c r="C38" i="1"/>
  <c r="B38" i="1"/>
  <c r="X37" i="1"/>
  <c r="V37" i="1"/>
  <c r="U37" i="1"/>
  <c r="Q37" i="1"/>
  <c r="P37" i="1"/>
  <c r="O37" i="1"/>
  <c r="N37" i="1"/>
  <c r="M37" i="1"/>
  <c r="L37" i="1"/>
  <c r="K37" i="1"/>
  <c r="J37" i="1"/>
  <c r="I37" i="1"/>
  <c r="H37" i="1"/>
  <c r="G37" i="1"/>
  <c r="F37" i="1"/>
  <c r="E37" i="1"/>
  <c r="D37" i="1"/>
  <c r="C37" i="1"/>
  <c r="B37" i="1"/>
  <c r="X36" i="1"/>
  <c r="V36" i="1"/>
  <c r="U36" i="1"/>
  <c r="N36" i="1"/>
  <c r="M36" i="1"/>
  <c r="L36" i="1"/>
  <c r="K36" i="1"/>
  <c r="J36" i="1"/>
  <c r="I36" i="1"/>
  <c r="H36" i="1"/>
  <c r="G36" i="1"/>
  <c r="F36" i="1"/>
  <c r="E36" i="1"/>
  <c r="D36" i="1"/>
  <c r="C36" i="1"/>
  <c r="B36" i="1"/>
  <c r="X35" i="1"/>
  <c r="V35" i="1"/>
  <c r="U35" i="1"/>
  <c r="N35" i="1"/>
  <c r="M35" i="1"/>
  <c r="L35" i="1"/>
  <c r="K35" i="1"/>
  <c r="J35" i="1"/>
  <c r="I35" i="1"/>
  <c r="H35" i="1"/>
  <c r="G35" i="1"/>
  <c r="F35" i="1"/>
  <c r="E35" i="1"/>
  <c r="D35" i="1"/>
  <c r="C35" i="1"/>
  <c r="B35" i="1"/>
  <c r="X34" i="1"/>
  <c r="V34" i="1"/>
  <c r="U34" i="1"/>
  <c r="N34" i="1"/>
  <c r="M34" i="1"/>
  <c r="L34" i="1"/>
  <c r="K34" i="1"/>
  <c r="J34" i="1"/>
  <c r="I34" i="1"/>
  <c r="H34" i="1"/>
  <c r="G34" i="1"/>
  <c r="F34" i="1"/>
  <c r="E34" i="1"/>
  <c r="D34" i="1"/>
  <c r="C34" i="1"/>
  <c r="B34" i="1"/>
  <c r="X33" i="1"/>
  <c r="V33" i="1"/>
  <c r="U33" i="1"/>
  <c r="Q33" i="1"/>
  <c r="P33" i="1"/>
  <c r="O33" i="1"/>
  <c r="N33" i="1"/>
  <c r="M33" i="1"/>
  <c r="L33" i="1"/>
  <c r="K33" i="1"/>
  <c r="J33" i="1"/>
  <c r="I33" i="1"/>
  <c r="H33" i="1"/>
  <c r="G33" i="1"/>
  <c r="F33" i="1"/>
  <c r="E33" i="1"/>
  <c r="D33" i="1"/>
  <c r="C33" i="1"/>
  <c r="B33" i="1"/>
  <c r="X32" i="1"/>
  <c r="V32" i="1"/>
  <c r="U32" i="1"/>
  <c r="Q32" i="1"/>
  <c r="P32" i="1"/>
  <c r="O32" i="1"/>
  <c r="N32" i="1"/>
  <c r="M32" i="1"/>
  <c r="L32" i="1"/>
  <c r="K32" i="1"/>
  <c r="J32" i="1"/>
  <c r="I32" i="1"/>
  <c r="H32" i="1"/>
  <c r="G32" i="1"/>
  <c r="F32" i="1"/>
  <c r="E32" i="1"/>
  <c r="D32" i="1"/>
  <c r="C32" i="1"/>
  <c r="B32" i="1"/>
  <c r="X31" i="1"/>
  <c r="V31" i="1"/>
  <c r="U31" i="1"/>
  <c r="N31" i="1"/>
  <c r="M31" i="1"/>
  <c r="L31" i="1"/>
  <c r="K31" i="1"/>
  <c r="J31" i="1"/>
  <c r="I31" i="1"/>
  <c r="H31" i="1"/>
  <c r="G31" i="1"/>
  <c r="F31" i="1"/>
  <c r="E31" i="1"/>
  <c r="D31" i="1"/>
  <c r="C31" i="1"/>
  <c r="B31" i="1"/>
  <c r="X30" i="1"/>
  <c r="V30" i="1"/>
  <c r="U30" i="1"/>
  <c r="T30" i="1"/>
  <c r="S30" i="1"/>
  <c r="R30" i="1"/>
  <c r="Q30" i="1"/>
  <c r="P30" i="1"/>
  <c r="O30" i="1"/>
  <c r="N30" i="1"/>
  <c r="M30" i="1"/>
  <c r="L30" i="1"/>
  <c r="K30" i="1"/>
  <c r="J30" i="1"/>
  <c r="I30" i="1"/>
  <c r="H30" i="1"/>
  <c r="G30" i="1"/>
  <c r="F30" i="1"/>
  <c r="E30" i="1"/>
  <c r="D30" i="1"/>
  <c r="C30" i="1"/>
  <c r="B30" i="1"/>
  <c r="X29" i="1"/>
  <c r="V29" i="1"/>
  <c r="U29" i="1"/>
  <c r="T29" i="1"/>
  <c r="S29" i="1"/>
  <c r="R29" i="1"/>
  <c r="Q29" i="1"/>
  <c r="P29" i="1"/>
  <c r="O29" i="1"/>
  <c r="N29" i="1"/>
  <c r="M29" i="1"/>
  <c r="L29" i="1"/>
  <c r="K29" i="1"/>
  <c r="J29" i="1"/>
  <c r="I29" i="1"/>
  <c r="H29" i="1"/>
  <c r="G29" i="1"/>
  <c r="F29" i="1"/>
  <c r="E29" i="1"/>
  <c r="D29" i="1"/>
  <c r="C29" i="1"/>
  <c r="B29" i="1"/>
  <c r="X28" i="1"/>
  <c r="V28" i="1"/>
  <c r="U28" i="1"/>
  <c r="Q28" i="1"/>
  <c r="P28" i="1"/>
  <c r="O28" i="1"/>
  <c r="N28" i="1"/>
  <c r="M28" i="1"/>
  <c r="L28" i="1"/>
  <c r="K28" i="1"/>
  <c r="J28" i="1"/>
  <c r="I28" i="1"/>
  <c r="H28" i="1"/>
  <c r="G28" i="1"/>
  <c r="F28" i="1"/>
  <c r="E28" i="1"/>
  <c r="D28" i="1"/>
  <c r="C28" i="1"/>
  <c r="B28" i="1"/>
  <c r="X27" i="1"/>
  <c r="V27" i="1"/>
  <c r="U27" i="1"/>
  <c r="T27" i="1"/>
  <c r="S27" i="1"/>
  <c r="R27" i="1"/>
  <c r="Q27" i="1"/>
  <c r="P27" i="1"/>
  <c r="O27" i="1"/>
  <c r="N27" i="1"/>
  <c r="M27" i="1"/>
  <c r="L27" i="1"/>
  <c r="K27" i="1"/>
  <c r="J27" i="1"/>
  <c r="I27" i="1"/>
  <c r="H27" i="1"/>
  <c r="G27" i="1"/>
  <c r="F27" i="1"/>
  <c r="E27" i="1"/>
  <c r="D27" i="1"/>
  <c r="C27" i="1"/>
  <c r="B27" i="1"/>
  <c r="X26" i="1"/>
  <c r="V26" i="1"/>
  <c r="U26" i="1"/>
  <c r="Q26" i="1"/>
  <c r="P26" i="1"/>
  <c r="O26" i="1"/>
  <c r="N26" i="1"/>
  <c r="M26" i="1"/>
  <c r="L26" i="1"/>
  <c r="K26" i="1"/>
  <c r="J26" i="1"/>
  <c r="I26" i="1"/>
  <c r="H26" i="1"/>
  <c r="G26" i="1"/>
  <c r="F26" i="1"/>
  <c r="E26" i="1"/>
  <c r="D26" i="1"/>
  <c r="C26" i="1"/>
  <c r="B26" i="1"/>
  <c r="X25" i="1"/>
  <c r="V25" i="1"/>
  <c r="U25" i="1"/>
  <c r="T25" i="1"/>
  <c r="S25" i="1"/>
  <c r="R25" i="1"/>
  <c r="Q25" i="1"/>
  <c r="P25" i="1"/>
  <c r="O25" i="1"/>
  <c r="N25" i="1"/>
  <c r="M25" i="1"/>
  <c r="L25" i="1"/>
  <c r="K25" i="1"/>
  <c r="J25" i="1"/>
  <c r="I25" i="1"/>
  <c r="H25" i="1"/>
  <c r="G25" i="1"/>
  <c r="F25" i="1"/>
  <c r="E25" i="1"/>
  <c r="D25" i="1"/>
  <c r="C25" i="1"/>
  <c r="B25" i="1"/>
  <c r="X24" i="1"/>
  <c r="V24" i="1"/>
  <c r="U24" i="1"/>
  <c r="Q24" i="1"/>
  <c r="P24" i="1"/>
  <c r="O24" i="1"/>
  <c r="N24" i="1"/>
  <c r="M24" i="1"/>
  <c r="L24" i="1"/>
  <c r="K24" i="1"/>
  <c r="J24" i="1"/>
  <c r="I24" i="1"/>
  <c r="H24" i="1"/>
  <c r="G24" i="1"/>
  <c r="F24" i="1"/>
  <c r="E24" i="1"/>
  <c r="D24" i="1"/>
  <c r="C24" i="1"/>
  <c r="B24" i="1"/>
  <c r="X23" i="1"/>
  <c r="V23" i="1"/>
  <c r="U23" i="1"/>
  <c r="N23" i="1"/>
  <c r="M23" i="1"/>
  <c r="L23" i="1"/>
  <c r="K23" i="1"/>
  <c r="J23" i="1"/>
  <c r="I23" i="1"/>
  <c r="H23" i="1"/>
  <c r="G23" i="1"/>
  <c r="F23" i="1"/>
  <c r="E23" i="1"/>
  <c r="D23" i="1"/>
  <c r="C23" i="1"/>
  <c r="B23" i="1"/>
  <c r="X22" i="1"/>
  <c r="V22" i="1"/>
  <c r="U22" i="1"/>
  <c r="T22" i="1"/>
  <c r="S22" i="1"/>
  <c r="R22" i="1"/>
  <c r="Q22" i="1"/>
  <c r="P22" i="1"/>
  <c r="O22" i="1"/>
  <c r="N22" i="1"/>
  <c r="M22" i="1"/>
  <c r="L22" i="1"/>
  <c r="K22" i="1"/>
  <c r="J22" i="1"/>
  <c r="I22" i="1"/>
  <c r="H22" i="1"/>
  <c r="G22" i="1"/>
  <c r="F22" i="1"/>
  <c r="E22" i="1"/>
  <c r="D22" i="1"/>
  <c r="C22" i="1"/>
  <c r="B22" i="1"/>
  <c r="X21" i="1"/>
  <c r="V21" i="1"/>
  <c r="U21" i="1"/>
  <c r="T21" i="1"/>
  <c r="S21" i="1"/>
  <c r="R21" i="1"/>
  <c r="Q21" i="1"/>
  <c r="P21" i="1"/>
  <c r="O21" i="1"/>
  <c r="N21" i="1"/>
  <c r="M21" i="1"/>
  <c r="L21" i="1"/>
  <c r="K21" i="1"/>
  <c r="J21" i="1"/>
  <c r="I21" i="1"/>
  <c r="H21" i="1"/>
  <c r="G21" i="1"/>
  <c r="F21" i="1"/>
  <c r="E21" i="1"/>
  <c r="D21" i="1"/>
  <c r="C21" i="1"/>
  <c r="B21" i="1"/>
  <c r="X20" i="1"/>
  <c r="V20" i="1"/>
  <c r="U20" i="1"/>
  <c r="N20" i="1"/>
  <c r="M20" i="1"/>
  <c r="L20" i="1"/>
  <c r="K20" i="1"/>
  <c r="J20" i="1"/>
  <c r="I20" i="1"/>
  <c r="H20" i="1"/>
  <c r="G20" i="1"/>
  <c r="F20" i="1"/>
  <c r="E20" i="1"/>
  <c r="D20" i="1"/>
  <c r="C20" i="1"/>
  <c r="B20" i="1"/>
  <c r="X19" i="1"/>
  <c r="V19" i="1"/>
  <c r="U19" i="1"/>
  <c r="N19" i="1"/>
  <c r="M19" i="1"/>
  <c r="L19" i="1"/>
  <c r="K19" i="1"/>
  <c r="J19" i="1"/>
  <c r="I19" i="1"/>
  <c r="H19" i="1"/>
  <c r="G19" i="1"/>
  <c r="F19" i="1"/>
  <c r="E19" i="1"/>
  <c r="D19" i="1"/>
  <c r="C19" i="1"/>
  <c r="B19" i="1"/>
  <c r="X18" i="1"/>
  <c r="V18" i="1"/>
  <c r="U18" i="1"/>
  <c r="Q18" i="1"/>
  <c r="P18" i="1"/>
  <c r="O18" i="1"/>
  <c r="N18" i="1"/>
  <c r="M18" i="1"/>
  <c r="L18" i="1"/>
  <c r="K18" i="1"/>
  <c r="J18" i="1"/>
  <c r="I18" i="1"/>
  <c r="H18" i="1"/>
  <c r="G18" i="1"/>
  <c r="F18" i="1"/>
  <c r="E18" i="1"/>
  <c r="D18" i="1"/>
  <c r="C18" i="1"/>
  <c r="B18" i="1"/>
  <c r="X17" i="1"/>
  <c r="V17" i="1"/>
  <c r="U17" i="1"/>
  <c r="T17" i="1"/>
  <c r="S17" i="1"/>
  <c r="R17" i="1"/>
  <c r="Q17" i="1"/>
  <c r="P17" i="1"/>
  <c r="O17" i="1"/>
  <c r="N17" i="1"/>
  <c r="M17" i="1"/>
  <c r="L17" i="1"/>
  <c r="K17" i="1"/>
  <c r="J17" i="1"/>
  <c r="I17" i="1"/>
  <c r="H17" i="1"/>
  <c r="G17" i="1"/>
  <c r="F17" i="1"/>
  <c r="E17" i="1"/>
  <c r="D17" i="1"/>
  <c r="C17" i="1"/>
  <c r="B17" i="1"/>
  <c r="X16" i="1"/>
  <c r="V16" i="1"/>
  <c r="U16" i="1"/>
  <c r="N16" i="1"/>
  <c r="M16" i="1"/>
  <c r="L16" i="1"/>
  <c r="K16" i="1"/>
  <c r="J16" i="1"/>
  <c r="I16" i="1"/>
  <c r="H16" i="1"/>
  <c r="G16" i="1"/>
  <c r="F16" i="1"/>
  <c r="E16" i="1"/>
  <c r="D16" i="1"/>
  <c r="C16" i="1"/>
  <c r="B16" i="1"/>
  <c r="X15" i="1"/>
  <c r="V15" i="1"/>
  <c r="U15" i="1"/>
  <c r="Q15" i="1"/>
  <c r="P15" i="1"/>
  <c r="O15" i="1"/>
  <c r="N15" i="1"/>
  <c r="M15" i="1"/>
  <c r="L15" i="1"/>
  <c r="K15" i="1"/>
  <c r="J15" i="1"/>
  <c r="I15" i="1"/>
  <c r="H15" i="1"/>
  <c r="G15" i="1"/>
  <c r="F15" i="1"/>
  <c r="E15" i="1"/>
  <c r="D15" i="1"/>
  <c r="C15" i="1"/>
  <c r="B15" i="1"/>
  <c r="X14" i="1"/>
  <c r="V14" i="1"/>
  <c r="U14" i="1"/>
  <c r="Q14" i="1"/>
  <c r="P14" i="1"/>
  <c r="O14" i="1"/>
  <c r="N14" i="1"/>
  <c r="M14" i="1"/>
  <c r="L14" i="1"/>
  <c r="K14" i="1"/>
  <c r="J14" i="1"/>
  <c r="I14" i="1"/>
  <c r="H14" i="1"/>
  <c r="G14" i="1"/>
  <c r="F14" i="1"/>
  <c r="E14" i="1"/>
  <c r="D14" i="1"/>
  <c r="C14" i="1"/>
  <c r="B14" i="1"/>
  <c r="X13" i="1"/>
  <c r="V13" i="1"/>
  <c r="U13" i="1"/>
  <c r="N13" i="1"/>
  <c r="M13" i="1"/>
  <c r="L13" i="1"/>
  <c r="K13" i="1"/>
  <c r="J13" i="1"/>
  <c r="I13" i="1"/>
  <c r="H13" i="1"/>
  <c r="G13" i="1"/>
  <c r="F13" i="1"/>
  <c r="E13" i="1"/>
  <c r="D13" i="1"/>
  <c r="C13" i="1"/>
  <c r="B13" i="1"/>
  <c r="X12" i="1"/>
  <c r="V12" i="1"/>
  <c r="U12" i="1"/>
  <c r="N12" i="1"/>
  <c r="M12" i="1"/>
  <c r="L12" i="1"/>
  <c r="K12" i="1"/>
  <c r="J12" i="1"/>
  <c r="I12" i="1"/>
  <c r="H12" i="1"/>
  <c r="G12" i="1"/>
  <c r="F12" i="1"/>
  <c r="E12" i="1"/>
  <c r="D12" i="1"/>
  <c r="C12" i="1"/>
  <c r="B12" i="1"/>
  <c r="X11" i="1"/>
  <c r="V11" i="1"/>
  <c r="U11" i="1"/>
  <c r="T11" i="1"/>
  <c r="S11" i="1"/>
  <c r="R11" i="1"/>
  <c r="Q11" i="1"/>
  <c r="P11" i="1"/>
  <c r="O11" i="1"/>
  <c r="N11" i="1"/>
  <c r="M11" i="1"/>
  <c r="L11" i="1"/>
  <c r="K11" i="1"/>
  <c r="J11" i="1"/>
  <c r="I11" i="1"/>
  <c r="H11" i="1"/>
  <c r="G11" i="1"/>
  <c r="F11" i="1"/>
  <c r="E11" i="1"/>
  <c r="D11" i="1"/>
  <c r="C11" i="1"/>
  <c r="B11" i="1"/>
  <c r="X10" i="1"/>
  <c r="V10" i="1"/>
  <c r="U10" i="1"/>
  <c r="T10" i="1"/>
  <c r="S10" i="1"/>
  <c r="R10" i="1"/>
  <c r="Q10" i="1"/>
  <c r="P10" i="1"/>
  <c r="O10" i="1"/>
  <c r="N10" i="1"/>
  <c r="M10" i="1"/>
  <c r="L10" i="1"/>
  <c r="K10" i="1"/>
  <c r="J10" i="1"/>
  <c r="I10" i="1"/>
  <c r="H10" i="1"/>
  <c r="G10" i="1"/>
  <c r="F10" i="1"/>
  <c r="E10" i="1"/>
  <c r="D10" i="1"/>
  <c r="C10" i="1"/>
  <c r="B10" i="1"/>
  <c r="X9" i="1"/>
  <c r="V9" i="1"/>
  <c r="U9" i="1"/>
  <c r="T9" i="1"/>
  <c r="S9" i="1"/>
  <c r="R9" i="1"/>
  <c r="Q9" i="1"/>
  <c r="P9" i="1"/>
  <c r="O9" i="1"/>
  <c r="N9" i="1"/>
  <c r="M9" i="1"/>
  <c r="L9" i="1"/>
  <c r="K9" i="1"/>
  <c r="J9" i="1"/>
  <c r="I9" i="1"/>
  <c r="H9" i="1"/>
  <c r="G9" i="1"/>
  <c r="F9" i="1"/>
  <c r="E9" i="1"/>
  <c r="D9" i="1"/>
  <c r="C9" i="1"/>
  <c r="B9" i="1"/>
  <c r="X8" i="1"/>
  <c r="V8" i="1"/>
  <c r="U8" i="1"/>
  <c r="N8" i="1"/>
  <c r="M8" i="1"/>
  <c r="L8" i="1"/>
  <c r="K8" i="1"/>
  <c r="J8" i="1"/>
  <c r="I8" i="1"/>
  <c r="H8" i="1"/>
  <c r="G8" i="1"/>
  <c r="F8" i="1"/>
  <c r="E8" i="1"/>
  <c r="D8" i="1"/>
  <c r="C8" i="1"/>
  <c r="B8" i="1"/>
  <c r="X7" i="1"/>
  <c r="V7" i="1"/>
  <c r="U7" i="1"/>
  <c r="T7" i="1"/>
  <c r="S7" i="1"/>
  <c r="R7" i="1"/>
  <c r="Q7" i="1"/>
  <c r="P7" i="1"/>
  <c r="O7" i="1"/>
  <c r="N7" i="1"/>
  <c r="M7" i="1"/>
  <c r="L7" i="1"/>
  <c r="K7" i="1"/>
  <c r="J7" i="1"/>
  <c r="I7" i="1"/>
  <c r="H7" i="1"/>
  <c r="G7" i="1"/>
  <c r="F7" i="1"/>
  <c r="E7" i="1"/>
  <c r="D7" i="1"/>
  <c r="C7" i="1"/>
  <c r="B7" i="1"/>
  <c r="X6" i="1"/>
  <c r="V6" i="1"/>
  <c r="U6" i="1"/>
  <c r="T6" i="1"/>
  <c r="S6" i="1"/>
  <c r="R6" i="1"/>
  <c r="Q6" i="1"/>
  <c r="P6" i="1"/>
  <c r="O6" i="1"/>
  <c r="N6" i="1"/>
  <c r="M6" i="1"/>
  <c r="L6" i="1"/>
  <c r="K6" i="1"/>
  <c r="J6" i="1"/>
  <c r="I6" i="1"/>
  <c r="H6" i="1"/>
  <c r="G6" i="1"/>
  <c r="F6" i="1"/>
  <c r="E6" i="1"/>
  <c r="D6" i="1"/>
  <c r="C6" i="1"/>
  <c r="B6" i="1"/>
  <c r="X5" i="1"/>
  <c r="V5" i="1"/>
  <c r="U5" i="1"/>
  <c r="Q5" i="1"/>
  <c r="P5" i="1"/>
  <c r="O5" i="1"/>
  <c r="N5" i="1"/>
  <c r="M5" i="1"/>
  <c r="L5" i="1"/>
  <c r="K5" i="1"/>
  <c r="J5" i="1"/>
  <c r="I5" i="1"/>
  <c r="H5" i="1"/>
  <c r="G5" i="1"/>
  <c r="F5" i="1"/>
  <c r="E5" i="1"/>
  <c r="D5" i="1"/>
  <c r="C5" i="1"/>
  <c r="B5" i="1"/>
  <c r="X4" i="1"/>
  <c r="V4" i="1"/>
  <c r="U4" i="1"/>
  <c r="T4" i="1"/>
  <c r="S4" i="1"/>
  <c r="R4" i="1"/>
  <c r="Q4" i="1"/>
  <c r="P4" i="1"/>
  <c r="O4" i="1"/>
  <c r="N4" i="1"/>
  <c r="M4" i="1"/>
  <c r="L4" i="1"/>
  <c r="K4" i="1"/>
  <c r="J4" i="1"/>
  <c r="I4" i="1"/>
  <c r="H4" i="1"/>
  <c r="G4" i="1"/>
  <c r="F4" i="1"/>
  <c r="E4" i="1"/>
  <c r="D4" i="1"/>
  <c r="C4" i="1"/>
  <c r="B4" i="1"/>
  <c r="X3" i="1"/>
  <c r="V3" i="1"/>
  <c r="U3" i="1"/>
  <c r="T3" i="1"/>
  <c r="S3" i="1"/>
  <c r="R3" i="1"/>
  <c r="Q3" i="1"/>
  <c r="P3" i="1"/>
  <c r="O3" i="1"/>
  <c r="N3" i="1"/>
  <c r="M3" i="1"/>
  <c r="L3" i="1"/>
  <c r="K3" i="1"/>
  <c r="J3" i="1"/>
  <c r="I3" i="1"/>
  <c r="H3" i="1"/>
  <c r="G3" i="1"/>
  <c r="F3" i="1"/>
  <c r="E3" i="1"/>
  <c r="D3" i="1"/>
  <c r="C3" i="1"/>
  <c r="B3" i="1"/>
  <c r="X2" i="1"/>
  <c r="V2" i="1"/>
  <c r="U2" i="1"/>
  <c r="T2" i="1"/>
  <c r="S2" i="1"/>
  <c r="R2" i="1"/>
  <c r="Q2" i="1"/>
  <c r="P2" i="1"/>
  <c r="O2" i="1"/>
  <c r="N2" i="1"/>
  <c r="M2" i="1"/>
  <c r="L2" i="1"/>
  <c r="K2" i="1"/>
  <c r="J2" i="1"/>
  <c r="I2" i="1"/>
  <c r="H2" i="1"/>
  <c r="G2" i="1"/>
  <c r="F2" i="1"/>
  <c r="E2" i="1"/>
  <c r="D2" i="1"/>
  <c r="C2" i="1"/>
  <c r="B2" i="1"/>
  <c r="X1" i="1"/>
  <c r="W1" i="1"/>
  <c r="V1" i="1"/>
  <c r="U1" i="1"/>
  <c r="T1" i="1"/>
  <c r="S1" i="1"/>
  <c r="R1" i="1"/>
  <c r="Q1" i="1"/>
  <c r="P1" i="1"/>
  <c r="O1" i="1"/>
  <c r="N1" i="1"/>
  <c r="M1" i="1"/>
  <c r="L1" i="1"/>
  <c r="K1" i="1"/>
  <c r="J1" i="1"/>
  <c r="I1" i="1"/>
  <c r="H1" i="1"/>
  <c r="G1" i="1"/>
  <c r="F1" i="1"/>
  <c r="E1" i="1"/>
  <c r="D1" i="1"/>
  <c r="C1" i="1"/>
  <c r="B1" i="1"/>
  <c r="F50" i="14" l="1"/>
  <c r="F100" i="14"/>
  <c r="R11" i="14"/>
  <c r="F57" i="14"/>
  <c r="F46" i="14"/>
  <c r="F58" i="14"/>
  <c r="I12" i="14"/>
  <c r="F104" i="14"/>
  <c r="F2" i="14"/>
  <c r="I8" i="14"/>
  <c r="O9" i="14"/>
  <c r="R3" i="14"/>
  <c r="F49" i="14"/>
  <c r="P5" i="14"/>
  <c r="O8" i="14"/>
  <c r="R2" i="14"/>
  <c r="I3" i="14"/>
  <c r="S3" i="14"/>
  <c r="O7" i="14"/>
  <c r="P8" i="14"/>
  <c r="Q9" i="14"/>
  <c r="R10" i="14"/>
  <c r="I11" i="14"/>
  <c r="S11" i="14"/>
  <c r="I17" i="14"/>
  <c r="I2" i="14"/>
  <c r="S2" i="14"/>
  <c r="O6" i="14"/>
  <c r="P7" i="14"/>
  <c r="Q8" i="14"/>
  <c r="R9" i="14"/>
  <c r="I10" i="14"/>
  <c r="S10" i="14"/>
  <c r="J2" i="14"/>
  <c r="O5" i="14"/>
  <c r="P6" i="14"/>
  <c r="Q7" i="14"/>
  <c r="R8" i="14"/>
  <c r="I9" i="14"/>
  <c r="S9" i="14"/>
  <c r="I14" i="14"/>
  <c r="I18" i="14"/>
  <c r="Q6" i="14"/>
  <c r="R7" i="14"/>
  <c r="S8" i="14"/>
  <c r="L2" i="14"/>
  <c r="O3" i="14"/>
  <c r="P4" i="14"/>
  <c r="Q5" i="14"/>
  <c r="R6" i="14"/>
  <c r="I7" i="14"/>
  <c r="S7" i="14"/>
  <c r="O11" i="14"/>
  <c r="I15" i="14"/>
  <c r="I19" i="14"/>
  <c r="I20" i="14"/>
  <c r="O4" i="14"/>
  <c r="O2" i="14"/>
  <c r="P3" i="14"/>
  <c r="Q4" i="14"/>
  <c r="R5" i="14"/>
  <c r="I6" i="14"/>
  <c r="S6" i="14"/>
  <c r="O10" i="14"/>
  <c r="P11" i="14"/>
  <c r="P2" i="14"/>
  <c r="Q3" i="14"/>
  <c r="F4" i="14"/>
  <c r="J19" i="14" s="1"/>
  <c r="R4" i="14"/>
  <c r="I5" i="14"/>
  <c r="S5" i="14"/>
  <c r="P10" i="14"/>
  <c r="Q11" i="14"/>
  <c r="I13" i="14"/>
  <c r="I16" i="14"/>
  <c r="Q2" i="14"/>
  <c r="I4" i="14"/>
  <c r="S4" i="14"/>
  <c r="P9" i="14"/>
  <c r="Q10" i="14"/>
  <c r="J5" i="14" l="1"/>
  <c r="K7" i="14"/>
  <c r="J15" i="14"/>
  <c r="L10" i="14"/>
  <c r="L9" i="14"/>
  <c r="K6" i="14"/>
  <c r="L14" i="14"/>
  <c r="L20" i="14"/>
  <c r="J16" i="14"/>
  <c r="L15" i="14"/>
  <c r="L18" i="14"/>
  <c r="J13" i="14"/>
  <c r="K20" i="14"/>
  <c r="K11" i="14"/>
  <c r="J17" i="14"/>
  <c r="L7" i="14"/>
  <c r="K15" i="14"/>
  <c r="K9" i="14"/>
  <c r="L11" i="14"/>
  <c r="K18" i="14"/>
  <c r="K8" i="14"/>
  <c r="L8" i="14"/>
  <c r="J20" i="14"/>
  <c r="L4" i="14"/>
  <c r="K14" i="14"/>
  <c r="J10" i="14"/>
  <c r="K3" i="14"/>
  <c r="K16" i="14"/>
  <c r="L16" i="14"/>
  <c r="L19" i="14"/>
  <c r="J6" i="14"/>
  <c r="K19" i="14"/>
  <c r="J7" i="14"/>
  <c r="J8" i="14"/>
  <c r="J18" i="14"/>
  <c r="K17" i="14"/>
  <c r="K12" i="14"/>
  <c r="K4" i="14"/>
  <c r="L17" i="14"/>
  <c r="J11" i="14"/>
  <c r="J14" i="14"/>
  <c r="L12" i="14"/>
  <c r="L13" i="14"/>
  <c r="K13" i="14"/>
  <c r="L6" i="14"/>
  <c r="L5" i="14"/>
  <c r="J12" i="14"/>
  <c r="K5" i="14"/>
  <c r="J4" i="14"/>
  <c r="J3" i="14"/>
  <c r="S13" i="14"/>
  <c r="L3" i="14"/>
  <c r="K2" i="14"/>
  <c r="K10" i="14"/>
  <c r="J9" i="14"/>
  <c r="S12" i="14"/>
  <c r="R12" i="14"/>
  <c r="Q12" i="14"/>
  <c r="P12" i="14"/>
  <c r="O12" i="14"/>
  <c r="Q13" i="14" l="1"/>
</calcChain>
</file>

<file path=xl/sharedStrings.xml><?xml version="1.0" encoding="utf-8"?>
<sst xmlns="http://schemas.openxmlformats.org/spreadsheetml/2006/main" count="5364" uniqueCount="1326">
  <si>
    <t>NRP Ketua</t>
  </si>
  <si>
    <t>06311840000019</t>
  </si>
  <si>
    <t>5003201071</t>
  </si>
  <si>
    <t>05111940000229</t>
  </si>
  <si>
    <t>07111940000038</t>
  </si>
  <si>
    <t>5011201149</t>
  </si>
  <si>
    <t>5016201007</t>
  </si>
  <si>
    <t>06311940000044</t>
  </si>
  <si>
    <t>10311910000056</t>
  </si>
  <si>
    <t>02111940000091</t>
  </si>
  <si>
    <t>2040211031</t>
  </si>
  <si>
    <t>5006201077</t>
  </si>
  <si>
    <t>2038201046</t>
  </si>
  <si>
    <t>02311840000094</t>
  </si>
  <si>
    <t>2038201043</t>
  </si>
  <si>
    <t>5006201002</t>
  </si>
  <si>
    <t>5003211005</t>
  </si>
  <si>
    <t>2041201080</t>
  </si>
  <si>
    <t>02311840000051</t>
  </si>
  <si>
    <t>06311940000024</t>
  </si>
  <si>
    <t>01311940000059</t>
  </si>
  <si>
    <t>04211840000042</t>
  </si>
  <si>
    <t>2041201086</t>
  </si>
  <si>
    <t>06311940000050</t>
  </si>
  <si>
    <t>2040211007</t>
  </si>
  <si>
    <t>02111940000079</t>
  </si>
  <si>
    <t>08111840000010</t>
  </si>
  <si>
    <t>02311840000008</t>
  </si>
  <si>
    <t>2043211037</t>
  </si>
  <si>
    <t>10311910000052</t>
  </si>
  <si>
    <t>04211840000079</t>
  </si>
  <si>
    <t>04211840000092</t>
  </si>
  <si>
    <t>5010211095</t>
  </si>
  <si>
    <t>04211840000057</t>
  </si>
  <si>
    <t>04211841000012</t>
  </si>
  <si>
    <t>08211940000021</t>
  </si>
  <si>
    <t>03411840000033</t>
  </si>
  <si>
    <t>04211840000025</t>
  </si>
  <si>
    <t>5008201154</t>
  </si>
  <si>
    <t>5022201227</t>
  </si>
  <si>
    <t>04211840000129</t>
  </si>
  <si>
    <t>08111840000039</t>
  </si>
  <si>
    <t>06311940000028</t>
  </si>
  <si>
    <t>5014201007</t>
  </si>
  <si>
    <t>01211940000033</t>
  </si>
  <si>
    <t>03411940000032</t>
  </si>
  <si>
    <t>04211840000055</t>
  </si>
  <si>
    <t>5005211034</t>
  </si>
  <si>
    <t>5003211078</t>
  </si>
  <si>
    <t>01311940000075</t>
  </si>
  <si>
    <t>04211840000002</t>
  </si>
  <si>
    <t>5003211101</t>
  </si>
  <si>
    <t>5007201164</t>
  </si>
  <si>
    <t>03411940000035</t>
  </si>
  <si>
    <t>04211840000113</t>
  </si>
  <si>
    <t>2038201005</t>
  </si>
  <si>
    <t>08111840000005</t>
  </si>
  <si>
    <t>03411840000035</t>
  </si>
  <si>
    <t>02311840000074</t>
  </si>
  <si>
    <t>09111940000033</t>
  </si>
  <si>
    <t>01311940000002</t>
  </si>
  <si>
    <t>08211840000077</t>
  </si>
  <si>
    <t>5015201062</t>
  </si>
  <si>
    <t>5009211076</t>
  </si>
  <si>
    <t>02311940000110</t>
  </si>
  <si>
    <t>07111940000066</t>
  </si>
  <si>
    <t>5017211006</t>
  </si>
  <si>
    <t>07111940000025</t>
  </si>
  <si>
    <t>5007211048</t>
  </si>
  <si>
    <t>5020201030</t>
  </si>
  <si>
    <t>5013211028</t>
  </si>
  <si>
    <t>03311940000096</t>
  </si>
  <si>
    <t>2042201104</t>
  </si>
  <si>
    <t>5020201012</t>
  </si>
  <si>
    <t>5020201098</t>
  </si>
  <si>
    <t>5007211084</t>
  </si>
  <si>
    <t>5022201183</t>
  </si>
  <si>
    <t>5022201036</t>
  </si>
  <si>
    <t>5003211012</t>
  </si>
  <si>
    <t>5019201036</t>
  </si>
  <si>
    <t>5022211043</t>
  </si>
  <si>
    <t>5002211093</t>
  </si>
  <si>
    <t>08111840000043</t>
  </si>
  <si>
    <t>5020211001</t>
  </si>
  <si>
    <t>08111840000079</t>
  </si>
  <si>
    <t>08111940000061</t>
  </si>
  <si>
    <t>03411940000008</t>
  </si>
  <si>
    <t>5017211014</t>
  </si>
  <si>
    <t>03211940000016</t>
  </si>
  <si>
    <t>5010211016</t>
  </si>
  <si>
    <t>5009201034</t>
  </si>
  <si>
    <t>5017211020</t>
  </si>
  <si>
    <t>5019211012</t>
  </si>
  <si>
    <t>5016201067</t>
  </si>
  <si>
    <t>07111940000119</t>
  </si>
  <si>
    <t>08111840000038</t>
  </si>
  <si>
    <t>5020201027</t>
  </si>
  <si>
    <t>02311940000053</t>
  </si>
  <si>
    <t>08111840000034</t>
  </si>
  <si>
    <t>5012201164</t>
  </si>
  <si>
    <t>10411910000043</t>
  </si>
  <si>
    <t>5023211029</t>
  </si>
  <si>
    <t>2042201006</t>
  </si>
  <si>
    <t>5022201007</t>
  </si>
  <si>
    <t>08211840000093</t>
  </si>
  <si>
    <t>5002211011</t>
  </si>
  <si>
    <t>5023211038</t>
  </si>
  <si>
    <t>5029211038</t>
  </si>
  <si>
    <t>07111940000116</t>
  </si>
  <si>
    <t>5009211044</t>
  </si>
  <si>
    <t>5020201108</t>
  </si>
  <si>
    <t>2042201082</t>
  </si>
  <si>
    <t>07111940000065</t>
  </si>
  <si>
    <t>5013201019</t>
  </si>
  <si>
    <t>5005211057</t>
  </si>
  <si>
    <t>5022201223</t>
  </si>
  <si>
    <t>2035201086</t>
  </si>
  <si>
    <t>5029201019</t>
  </si>
  <si>
    <t>5029201038</t>
  </si>
  <si>
    <t>5007201207</t>
  </si>
  <si>
    <t>5012201118</t>
  </si>
  <si>
    <t>5020211039</t>
  </si>
  <si>
    <t>07111940000167</t>
  </si>
  <si>
    <t>5029201049</t>
  </si>
  <si>
    <t>08411940000003</t>
  </si>
  <si>
    <t>5013211044</t>
  </si>
  <si>
    <t>5029201009</t>
  </si>
  <si>
    <t>08411940000056</t>
  </si>
  <si>
    <t>07111940000063</t>
  </si>
  <si>
    <t>08411940000030</t>
  </si>
  <si>
    <t>5007201224</t>
  </si>
  <si>
    <t>5029201003</t>
  </si>
  <si>
    <t>5014211007</t>
  </si>
  <si>
    <t>08411940000018</t>
  </si>
  <si>
    <t>03211940000020</t>
  </si>
  <si>
    <t>5029201070</t>
  </si>
  <si>
    <t>5010211136</t>
  </si>
  <si>
    <t>5029201031</t>
  </si>
  <si>
    <t>5029201002</t>
  </si>
  <si>
    <t>08111940000025</t>
  </si>
  <si>
    <t>5031211057</t>
  </si>
  <si>
    <t>5012201092</t>
  </si>
  <si>
    <t>5022201240</t>
  </si>
  <si>
    <t>03411940000040</t>
  </si>
  <si>
    <t>08411940000032</t>
  </si>
  <si>
    <t>5029201039</t>
  </si>
  <si>
    <t>5029201069</t>
  </si>
  <si>
    <t>5029201021</t>
  </si>
  <si>
    <t>5007201140</t>
  </si>
  <si>
    <t>5029201043</t>
  </si>
  <si>
    <t>5012201055</t>
  </si>
  <si>
    <t>02111940000010</t>
  </si>
  <si>
    <t>5030211008</t>
  </si>
  <si>
    <t>5015211119</t>
  </si>
  <si>
    <t>5031201007</t>
  </si>
  <si>
    <t>5031201052</t>
  </si>
  <si>
    <t>5031201038</t>
  </si>
  <si>
    <t>02111940000116</t>
  </si>
  <si>
    <t>05111940000018</t>
  </si>
  <si>
    <t>5007201102</t>
  </si>
  <si>
    <t>5026201156</t>
  </si>
  <si>
    <t>5004201156</t>
  </si>
  <si>
    <t>06211940000094</t>
  </si>
  <si>
    <t>10511910000015</t>
  </si>
  <si>
    <t>5031201014</t>
  </si>
  <si>
    <t>5020201073</t>
  </si>
  <si>
    <t>5002201013</t>
  </si>
  <si>
    <t>5014211096</t>
  </si>
  <si>
    <t>5010211156</t>
  </si>
  <si>
    <t>5014201003</t>
  </si>
  <si>
    <t>5006211104</t>
  </si>
  <si>
    <t>5003211096</t>
  </si>
  <si>
    <t>5010201188</t>
  </si>
  <si>
    <t>5031211047</t>
  </si>
  <si>
    <t>2040201130</t>
  </si>
  <si>
    <t>5006211107</t>
  </si>
  <si>
    <t>5022201103</t>
  </si>
  <si>
    <t>5031201082</t>
  </si>
  <si>
    <t>5007201091</t>
  </si>
  <si>
    <t>5010211067</t>
  </si>
  <si>
    <t>5010211142</t>
  </si>
  <si>
    <t>2039201088</t>
  </si>
  <si>
    <t>5010201038</t>
  </si>
  <si>
    <t>5003201055</t>
  </si>
  <si>
    <t>2039211061</t>
  </si>
  <si>
    <t>5014211011</t>
  </si>
  <si>
    <t>5005211071</t>
  </si>
  <si>
    <t>5006211003</t>
  </si>
  <si>
    <t>5014201079</t>
  </si>
  <si>
    <t>5022201069</t>
  </si>
  <si>
    <t>5003201014</t>
  </si>
  <si>
    <t>5006211010</t>
  </si>
  <si>
    <t>5031211075</t>
  </si>
  <si>
    <t>02311940000054</t>
  </si>
  <si>
    <t>5006211081</t>
  </si>
  <si>
    <t>5014211087</t>
  </si>
  <si>
    <t>5031201074</t>
  </si>
  <si>
    <t>5031201003</t>
  </si>
  <si>
    <t>02111840000067</t>
  </si>
  <si>
    <t>5002201117</t>
  </si>
  <si>
    <t>5024201028</t>
  </si>
  <si>
    <t>5031201037</t>
  </si>
  <si>
    <t>5013211085</t>
  </si>
  <si>
    <t>5011201003</t>
  </si>
  <si>
    <t>5025211135</t>
  </si>
  <si>
    <t>5031201061</t>
  </si>
  <si>
    <t>5029211035</t>
  </si>
  <si>
    <t>5010211133</t>
  </si>
  <si>
    <t>5033201069</t>
  </si>
  <si>
    <t>5003201066</t>
  </si>
  <si>
    <t>2043211005</t>
  </si>
  <si>
    <t>5031201036</t>
  </si>
  <si>
    <t>5016211079</t>
  </si>
  <si>
    <t>5013211103</t>
  </si>
  <si>
    <t>2038211049</t>
  </si>
  <si>
    <t>5031201001</t>
  </si>
  <si>
    <t>2043211060</t>
  </si>
  <si>
    <t>10511910000001</t>
  </si>
  <si>
    <t>5014201078</t>
  </si>
  <si>
    <t>09111940000028</t>
  </si>
  <si>
    <t>5005211100</t>
  </si>
  <si>
    <t>5010211007</t>
  </si>
  <si>
    <t>02111940000207</t>
  </si>
  <si>
    <t>01111940000021</t>
  </si>
  <si>
    <t>10511910000033</t>
  </si>
  <si>
    <t>2042201081</t>
  </si>
  <si>
    <t>5011201055</t>
  </si>
  <si>
    <t>10511910000058</t>
  </si>
  <si>
    <t>2042201110</t>
  </si>
  <si>
    <t>10511910000003</t>
  </si>
  <si>
    <t>02311940000070</t>
  </si>
  <si>
    <t>10311910000063</t>
  </si>
  <si>
    <t>2040201107</t>
  </si>
  <si>
    <t>10211810013017</t>
  </si>
  <si>
    <t>10211810013004</t>
  </si>
  <si>
    <t>5022201140</t>
  </si>
  <si>
    <t>10311910000055</t>
  </si>
  <si>
    <t>2042201118</t>
  </si>
  <si>
    <t>5007201059</t>
  </si>
  <si>
    <t>5010201168</t>
  </si>
  <si>
    <t>5025201002</t>
  </si>
  <si>
    <t>2042201088</t>
  </si>
  <si>
    <t>10211810013025</t>
  </si>
  <si>
    <t>5026211027</t>
  </si>
  <si>
    <t>04211941000012</t>
  </si>
  <si>
    <t>2040211078</t>
  </si>
  <si>
    <t>5012201018</t>
  </si>
  <si>
    <t>02311840000076</t>
  </si>
  <si>
    <t>04111940000010</t>
  </si>
  <si>
    <t>01111940000010</t>
  </si>
  <si>
    <t>10511810000085</t>
  </si>
  <si>
    <t>5001201006</t>
  </si>
  <si>
    <t>02111940000093</t>
  </si>
  <si>
    <t>5022211007</t>
  </si>
  <si>
    <t>5022201171</t>
  </si>
  <si>
    <t>03311942000003</t>
  </si>
  <si>
    <t>5022201179</t>
  </si>
  <si>
    <t>02111940000098</t>
  </si>
  <si>
    <t>5029211024</t>
  </si>
  <si>
    <t>07111940000058</t>
  </si>
  <si>
    <t>10411810000076</t>
  </si>
  <si>
    <t>10411910000013</t>
  </si>
  <si>
    <t>5018201088</t>
  </si>
  <si>
    <t>03111940000005</t>
  </si>
  <si>
    <t>5010201044</t>
  </si>
  <si>
    <t>5007201095</t>
  </si>
  <si>
    <t>5025201050</t>
  </si>
  <si>
    <t>07311940000022</t>
  </si>
  <si>
    <t>5022211104</t>
  </si>
  <si>
    <t>5010201110</t>
  </si>
  <si>
    <t>04211840000093</t>
  </si>
  <si>
    <t>07311940000028</t>
  </si>
  <si>
    <t>5026211177</t>
  </si>
  <si>
    <t>04111940000061</t>
  </si>
  <si>
    <t>02311840000091</t>
  </si>
  <si>
    <t>07111940000074</t>
  </si>
  <si>
    <t>10511810000001</t>
  </si>
  <si>
    <t>03311940000060</t>
  </si>
  <si>
    <t>10311910000039</t>
  </si>
  <si>
    <t>10511810000009</t>
  </si>
  <si>
    <t>5012201075</t>
  </si>
  <si>
    <t>10411810000059</t>
  </si>
  <si>
    <t>5010201010</t>
  </si>
  <si>
    <t>5007201001</t>
  </si>
  <si>
    <t>10511810000038</t>
  </si>
  <si>
    <t>10511910000035</t>
  </si>
  <si>
    <t>5009211041</t>
  </si>
  <si>
    <t>06111940000075</t>
  </si>
  <si>
    <t>5012211108</t>
  </si>
  <si>
    <t>02311840000080</t>
  </si>
  <si>
    <t>02111940000050</t>
  </si>
  <si>
    <t>5010201118</t>
  </si>
  <si>
    <t>02111940000044</t>
  </si>
  <si>
    <t>2036201079</t>
  </si>
  <si>
    <t>2042201015</t>
  </si>
  <si>
    <t>5010201189</t>
  </si>
  <si>
    <t>10411810000044</t>
  </si>
  <si>
    <t>07111940000101</t>
  </si>
  <si>
    <t>5010201179</t>
  </si>
  <si>
    <t>5010201075</t>
  </si>
  <si>
    <t>5001201036</t>
  </si>
  <si>
    <t>5008211016</t>
  </si>
  <si>
    <t>5010201138</t>
  </si>
  <si>
    <t>07311940000023</t>
  </si>
  <si>
    <t>5008211073</t>
  </si>
  <si>
    <t>5011201103</t>
  </si>
  <si>
    <t>5017211069</t>
  </si>
  <si>
    <t>5024201014</t>
  </si>
  <si>
    <t>2040201098</t>
  </si>
  <si>
    <t>07311940000020</t>
  </si>
  <si>
    <t>5025201011</t>
  </si>
  <si>
    <t>5004211017</t>
  </si>
  <si>
    <t>10511910000063</t>
  </si>
  <si>
    <t>07311940000013</t>
  </si>
  <si>
    <t>5026211131</t>
  </si>
  <si>
    <t>02111840000014</t>
  </si>
  <si>
    <t>07111940000164</t>
  </si>
  <si>
    <t>5006201014</t>
  </si>
  <si>
    <t>5023211033</t>
  </si>
  <si>
    <t>5022201123</t>
  </si>
  <si>
    <t>5025201235</t>
  </si>
  <si>
    <t>5023211001</t>
  </si>
  <si>
    <t>07311940000005</t>
  </si>
  <si>
    <t>02111940000143</t>
  </si>
  <si>
    <t>07311940000001</t>
  </si>
  <si>
    <t>5022201040</t>
  </si>
  <si>
    <t>2043211056</t>
  </si>
  <si>
    <t>07111940000177</t>
  </si>
  <si>
    <t>2042201046</t>
  </si>
  <si>
    <t>2042201030</t>
  </si>
  <si>
    <t>10411810000082</t>
  </si>
  <si>
    <t>5024211070</t>
  </si>
  <si>
    <t>07111840000134</t>
  </si>
  <si>
    <t>07311940000029</t>
  </si>
  <si>
    <t>5022211030</t>
  </si>
  <si>
    <t>10411910000033</t>
  </si>
  <si>
    <t>10511910000034</t>
  </si>
  <si>
    <t>2042201095</t>
  </si>
  <si>
    <t>5010211100</t>
  </si>
  <si>
    <t>5024201077</t>
  </si>
  <si>
    <t>2042201045</t>
  </si>
  <si>
    <t>07111942000012</t>
  </si>
  <si>
    <t>5010201184</t>
  </si>
  <si>
    <t>5022201207</t>
  </si>
  <si>
    <t>5001201045</t>
  </si>
  <si>
    <t>5022201230</t>
  </si>
  <si>
    <t>5001201033</t>
  </si>
  <si>
    <t>08211840000054</t>
  </si>
  <si>
    <t>5006201009</t>
  </si>
  <si>
    <t>5002201034</t>
  </si>
  <si>
    <t>5003201053</t>
  </si>
  <si>
    <t>5003201065</t>
  </si>
  <si>
    <t>08211840000031</t>
  </si>
  <si>
    <t>5003211073</t>
  </si>
  <si>
    <t>08211840000081</t>
  </si>
  <si>
    <t>5003201069</t>
  </si>
  <si>
    <t>08211840000003</t>
  </si>
  <si>
    <t>08211840000096</t>
  </si>
  <si>
    <t>08211840000011</t>
  </si>
  <si>
    <t>08211840000086</t>
  </si>
  <si>
    <t>08211840000010</t>
  </si>
  <si>
    <t>08211840000001</t>
  </si>
  <si>
    <t>10611910000011</t>
  </si>
  <si>
    <t>08211840000084</t>
  </si>
  <si>
    <t>5017201046</t>
  </si>
  <si>
    <t>08211840000028</t>
  </si>
  <si>
    <t>08211840000014</t>
  </si>
  <si>
    <t>08211840000025</t>
  </si>
  <si>
    <t>08211840000094</t>
  </si>
  <si>
    <t>08211840000056</t>
  </si>
  <si>
    <t>08211840000004</t>
  </si>
  <si>
    <t>08211840000049</t>
  </si>
  <si>
    <t>08211940000039</t>
  </si>
  <si>
    <t>08211840000037</t>
  </si>
  <si>
    <t>06211840000030</t>
  </si>
  <si>
    <t>08211840000029</t>
  </si>
  <si>
    <t>08211840000048</t>
  </si>
  <si>
    <t>08211840000059</t>
  </si>
  <si>
    <t>5003201095</t>
  </si>
  <si>
    <t>08211840000095</t>
  </si>
  <si>
    <t>08211840000008</t>
  </si>
  <si>
    <t>08211840000057</t>
  </si>
  <si>
    <t>08211840000083</t>
  </si>
  <si>
    <t>5003201032</t>
  </si>
  <si>
    <t>5003201036</t>
  </si>
  <si>
    <t>01211940000034</t>
  </si>
  <si>
    <t>10411810000058</t>
  </si>
  <si>
    <t>01211940000021</t>
  </si>
  <si>
    <t>5005201054</t>
  </si>
  <si>
    <t>02311840000015</t>
  </si>
  <si>
    <t>02511840007001</t>
  </si>
  <si>
    <t>10411810000050</t>
  </si>
  <si>
    <t>02211840000087</t>
  </si>
  <si>
    <t>10411810000032</t>
  </si>
  <si>
    <t>01211940000015</t>
  </si>
  <si>
    <t>01211940000074</t>
  </si>
  <si>
    <t>5011201035</t>
  </si>
  <si>
    <t>01211940000073</t>
  </si>
  <si>
    <t>01211940000038</t>
  </si>
  <si>
    <t>01211940000039</t>
  </si>
  <si>
    <t>02111940000131</t>
  </si>
  <si>
    <t>01211940000066</t>
  </si>
  <si>
    <t>10411810000068</t>
  </si>
  <si>
    <t>02111940000078</t>
  </si>
  <si>
    <t>06111940000057</t>
  </si>
  <si>
    <t>5009201142</t>
  </si>
  <si>
    <t>5004211047</t>
  </si>
  <si>
    <t>02311840000115</t>
  </si>
  <si>
    <t>5008201179</t>
  </si>
  <si>
    <t>5004211111</t>
  </si>
  <si>
    <t>02311940000038</t>
  </si>
  <si>
    <t>2035201013</t>
  </si>
  <si>
    <t>10111810010025</t>
  </si>
  <si>
    <t>10411810000035</t>
  </si>
  <si>
    <t>5011201075</t>
  </si>
  <si>
    <t>5004201062</t>
  </si>
  <si>
    <t>02511940000115</t>
  </si>
  <si>
    <t>10411910000060</t>
  </si>
  <si>
    <t>5004211053</t>
  </si>
  <si>
    <t>5022201042</t>
  </si>
  <si>
    <t>02511940000081</t>
  </si>
  <si>
    <t>02511940000021</t>
  </si>
  <si>
    <t>02211940000189</t>
  </si>
  <si>
    <t>5011211081</t>
  </si>
  <si>
    <t>02311840000099</t>
  </si>
  <si>
    <t>10411910000004</t>
  </si>
  <si>
    <t>01211940000093</t>
  </si>
  <si>
    <t>06111940000050</t>
  </si>
  <si>
    <t>02211940000014</t>
  </si>
  <si>
    <t>5011211094</t>
  </si>
  <si>
    <t>01211940000024</t>
  </si>
  <si>
    <t>5002211013</t>
  </si>
  <si>
    <t>5004211119</t>
  </si>
  <si>
    <t>5011211098</t>
  </si>
  <si>
    <t>01211940000023</t>
  </si>
  <si>
    <t>10411910000067</t>
  </si>
  <si>
    <t>5009201018</t>
  </si>
  <si>
    <t>03411940000033</t>
  </si>
  <si>
    <t>01211940000040</t>
  </si>
  <si>
    <t>5007201080</t>
  </si>
  <si>
    <t>10411910000058</t>
  </si>
  <si>
    <t>01211940000056</t>
  </si>
  <si>
    <t>5011201071</t>
  </si>
  <si>
    <t>02511940000005</t>
  </si>
  <si>
    <t>10111810013003</t>
  </si>
  <si>
    <t>2041201096</t>
  </si>
  <si>
    <t>5011201093</t>
  </si>
  <si>
    <t>01211940000068</t>
  </si>
  <si>
    <t>5004211006</t>
  </si>
  <si>
    <t>02211940000122</t>
  </si>
  <si>
    <t>02311940000093</t>
  </si>
  <si>
    <t>10111810013012</t>
  </si>
  <si>
    <t>01211840000049</t>
  </si>
  <si>
    <t>10411810000027</t>
  </si>
  <si>
    <t>10411810000078</t>
  </si>
  <si>
    <t>5008201087</t>
  </si>
  <si>
    <t>2041211044</t>
  </si>
  <si>
    <t>10411910000072</t>
  </si>
  <si>
    <t>02511940000027</t>
  </si>
  <si>
    <t>5001201017</t>
  </si>
  <si>
    <t>06111940000049</t>
  </si>
  <si>
    <t>10411910000027</t>
  </si>
  <si>
    <t>02211940000002</t>
  </si>
  <si>
    <t>10411910000046</t>
  </si>
  <si>
    <t>02211840000030</t>
  </si>
  <si>
    <t>5008201084</t>
  </si>
  <si>
    <t>01211940000070</t>
  </si>
  <si>
    <t>02211940000044</t>
  </si>
  <si>
    <t>04311940000047</t>
  </si>
  <si>
    <t>10411810000034</t>
  </si>
  <si>
    <t>10111810010005</t>
  </si>
  <si>
    <t>03311940000074</t>
  </si>
  <si>
    <t>01311940000033</t>
  </si>
  <si>
    <t>5011201036</t>
  </si>
  <si>
    <t>01111840000018</t>
  </si>
  <si>
    <t>02111940000138</t>
  </si>
  <si>
    <t>2041201034</t>
  </si>
  <si>
    <t>2035201077</t>
  </si>
  <si>
    <t>10411910000041</t>
  </si>
  <si>
    <t>5012201097</t>
  </si>
  <si>
    <t>07311840000002</t>
  </si>
  <si>
    <t>02111940000021</t>
  </si>
  <si>
    <t>5002201170</t>
  </si>
  <si>
    <t>10411910000047</t>
  </si>
  <si>
    <t>02211840000105</t>
  </si>
  <si>
    <t>5008211043</t>
  </si>
  <si>
    <t>01111940000072</t>
  </si>
  <si>
    <t>04311940000017</t>
  </si>
  <si>
    <t>04311940000056</t>
  </si>
  <si>
    <t>5012201169</t>
  </si>
  <si>
    <t>07111840000170</t>
  </si>
  <si>
    <t>5004201075</t>
  </si>
  <si>
    <t>5004201034</t>
  </si>
  <si>
    <t>04211940000033</t>
  </si>
  <si>
    <t>10411910000053</t>
  </si>
  <si>
    <t>06111940000055</t>
  </si>
  <si>
    <t>5004201050</t>
  </si>
  <si>
    <t>5022201064</t>
  </si>
  <si>
    <t>01111940000004</t>
  </si>
  <si>
    <t>5010201098</t>
  </si>
  <si>
    <t>5009201024</t>
  </si>
  <si>
    <t>5022211135</t>
  </si>
  <si>
    <t>5024201005</t>
  </si>
  <si>
    <t>2041201023</t>
  </si>
  <si>
    <t>2039211012</t>
  </si>
  <si>
    <t>2041201066</t>
  </si>
  <si>
    <t>10211810003008</t>
  </si>
  <si>
    <t>5005201074</t>
  </si>
  <si>
    <t>2039211011</t>
  </si>
  <si>
    <t>07111940000022</t>
  </si>
  <si>
    <t>07111940000010</t>
  </si>
  <si>
    <t>10511810000029</t>
  </si>
  <si>
    <t>5010201151</t>
  </si>
  <si>
    <t>5009201131</t>
  </si>
  <si>
    <t>10611810000050</t>
  </si>
  <si>
    <t>2042201049</t>
  </si>
  <si>
    <t>2038201066</t>
  </si>
  <si>
    <t>07311840000055</t>
  </si>
  <si>
    <t>07111940000107</t>
  </si>
  <si>
    <t>10511810000075</t>
  </si>
  <si>
    <t>2043211089</t>
  </si>
  <si>
    <t>10511910000059</t>
  </si>
  <si>
    <t>2040201022</t>
  </si>
  <si>
    <t>2041201030</t>
  </si>
  <si>
    <t>5010201082</t>
  </si>
  <si>
    <t>2035201088</t>
  </si>
  <si>
    <t>03111940000039</t>
  </si>
  <si>
    <t>2041201040</t>
  </si>
  <si>
    <t>03211940000039</t>
  </si>
  <si>
    <t>5004211068</t>
  </si>
  <si>
    <t>5008211031</t>
  </si>
  <si>
    <t>5012211039</t>
  </si>
  <si>
    <t>2041201048</t>
  </si>
  <si>
    <t>5005211016</t>
  </si>
  <si>
    <t>2036201072</t>
  </si>
  <si>
    <t>02111940000132</t>
  </si>
  <si>
    <t>5010211043</t>
  </si>
  <si>
    <t>5014201022</t>
  </si>
  <si>
    <t>2041201050</t>
  </si>
  <si>
    <t>2035201059</t>
  </si>
  <si>
    <t>5008201036</t>
  </si>
  <si>
    <t>03211940000025</t>
  </si>
  <si>
    <t>2042201087</t>
  </si>
  <si>
    <t>5003201102</t>
  </si>
  <si>
    <t>04111940000057</t>
  </si>
  <si>
    <t>09111940000039</t>
  </si>
  <si>
    <t>5006211006</t>
  </si>
  <si>
    <t>2041201007</t>
  </si>
  <si>
    <t>01211940000002</t>
  </si>
  <si>
    <t>08411940000042</t>
  </si>
  <si>
    <t>03211940000079</t>
  </si>
  <si>
    <t>5005201098</t>
  </si>
  <si>
    <t>5021211012</t>
  </si>
  <si>
    <t>5010211027</t>
  </si>
  <si>
    <t>5006211098</t>
  </si>
  <si>
    <t>2041201081</t>
  </si>
  <si>
    <t>2040201136</t>
  </si>
  <si>
    <t>07111940000002</t>
  </si>
  <si>
    <t>5029211019</t>
  </si>
  <si>
    <t>5006211028</t>
  </si>
  <si>
    <t>5014201062</t>
  </si>
  <si>
    <t>10511910000039</t>
  </si>
  <si>
    <t>5003201068</t>
  </si>
  <si>
    <t>Pak/Bu</t>
  </si>
  <si>
    <t>Dosen Penalaran</t>
  </si>
  <si>
    <t>No.WA</t>
  </si>
  <si>
    <t>WA</t>
  </si>
  <si>
    <t>Template Chat</t>
  </si>
  <si>
    <t>Nama Dosen</t>
  </si>
  <si>
    <t>Jumlah tim BIKOM 3</t>
  </si>
  <si>
    <t>Pak</t>
  </si>
  <si>
    <t>Adi Suryani, SS, M.Ed, Ph.D</t>
  </si>
  <si>
    <t>082316342040</t>
  </si>
  <si>
    <t>Adi Suryani, S.S., M.ED(LM)., Ph.D.</t>
  </si>
  <si>
    <t>Ahmad Fauzan Adziimaa, ST, M.Sc</t>
  </si>
  <si>
    <t>081234703101</t>
  </si>
  <si>
    <t>Ahmad Fauzan Adziimaa, S.T., M.Sc.</t>
  </si>
  <si>
    <t>Alief Wikarta, ST, M.Sc.Eng, Ph.D</t>
  </si>
  <si>
    <t>082257067722</t>
  </si>
  <si>
    <t>Alief Wikarta, ST., MSc.Eng. Ph.D</t>
  </si>
  <si>
    <t>Andre Parvian Aristio, S.Kom, M.Sc</t>
  </si>
  <si>
    <t>081380555857</t>
  </si>
  <si>
    <t>Andre Parvian Aristio, S.Kom., M.Sc.</t>
  </si>
  <si>
    <t>Annas Wiguno, S.T., M.T.</t>
  </si>
  <si>
    <t>085235130248</t>
  </si>
  <si>
    <t>Arief Abdurrakhman, ST, MT</t>
  </si>
  <si>
    <t>085648018113</t>
  </si>
  <si>
    <t>Arief Abdurrakhman, S.T., M.T.</t>
  </si>
  <si>
    <t>Arif Fadlan, S.Si, M.Si, D.Sc</t>
  </si>
  <si>
    <t>081252180161</t>
  </si>
  <si>
    <t>Arif Fadlan, S.Si., M.Si., D.Sc</t>
  </si>
  <si>
    <t>Bu</t>
  </si>
  <si>
    <t>Atikah Aghdhi Pratiwi, ST, MT</t>
  </si>
  <si>
    <t>082230011430</t>
  </si>
  <si>
    <t>Atikah Aghdhi Pratiwi, S.T., M.T.</t>
  </si>
  <si>
    <t>Azzah Dyah Pramata, ST, MT, M.Eng, Ph.D</t>
  </si>
  <si>
    <t>081230820228</t>
  </si>
  <si>
    <t>Azzah Dyah Pramata, S.T., M.T., M.Eng., Ph.D.</t>
  </si>
  <si>
    <t>Bahalwan Apriyansyah, ST, MBA</t>
  </si>
  <si>
    <t>085748540520</t>
  </si>
  <si>
    <t>Bahalwan Apriyansyah, S.T., MBA.</t>
  </si>
  <si>
    <t>Ciptian Weried Priananda, S.ST, MT</t>
  </si>
  <si>
    <t>0816996804</t>
  </si>
  <si>
    <t>Ciptian Weried Priananda, S.ST., M.T.</t>
  </si>
  <si>
    <t>Daril Ridho Zuchrillah, ST, MT</t>
  </si>
  <si>
    <t>081931607060</t>
  </si>
  <si>
    <t>Daril Ridho Zuchrillah, S.T., M.T.</t>
  </si>
  <si>
    <t>Deqi Rizkivia Radita, ST, MS</t>
  </si>
  <si>
    <t>081217239490</t>
  </si>
  <si>
    <t>Deqi Rizkivia Radita, S.T., M.Sc.</t>
  </si>
  <si>
    <t>Detak Yan Pratama, S.T., M.Sc.</t>
  </si>
  <si>
    <t>081330141429</t>
  </si>
  <si>
    <t>Dian Mughni Fellicia, ST, M.Sc</t>
  </si>
  <si>
    <t>08113303330</t>
  </si>
  <si>
    <t>Dian Mughni Fellicia, ST., M.Sc</t>
  </si>
  <si>
    <t>Dion Hayu Fandiantoro, ST, MT</t>
  </si>
  <si>
    <t>082210109076</t>
  </si>
  <si>
    <t>Dion Hayu Fandiantoro, S.T., M.Eng.</t>
  </si>
  <si>
    <t>Dr. Adithya Sudiarno, ST, MT</t>
  </si>
  <si>
    <t>081331318657</t>
  </si>
  <si>
    <t>Dr. Adithya Sudiarno, S.T., M.T.</t>
  </si>
  <si>
    <t>Dr. Afan Hamzah, ST</t>
  </si>
  <si>
    <t>085655413699</t>
  </si>
  <si>
    <t>Dr. Afan Hamzah, S.T.</t>
  </si>
  <si>
    <t>Dr. Awik Puji Dyah Nurhayati, S.Si, M.Si</t>
  </si>
  <si>
    <t>081332996854</t>
  </si>
  <si>
    <t>Dr. Awik Puji Dyah Nurhayati, S.Si., M.Si.</t>
  </si>
  <si>
    <t>Dr. Candra Irawan, ST, MT</t>
  </si>
  <si>
    <t>081233546664</t>
  </si>
  <si>
    <t>Dr. Candra Irawan, S.T., M.T.</t>
  </si>
  <si>
    <t>Dr. Dendy Satrio, S.ST</t>
  </si>
  <si>
    <t>085730700115</t>
  </si>
  <si>
    <t>Dr. Dendy Satrio, S.ST.</t>
  </si>
  <si>
    <t>Dr.Eng. Dhany Arifianto, ST, M.Eng</t>
  </si>
  <si>
    <t>085704036336</t>
  </si>
  <si>
    <t>Dr. Dhany Arifianto, S.T., M.Eng.</t>
  </si>
  <si>
    <t>Dr.Eng. Hosta Ardhyananta, ST, M.Sc</t>
  </si>
  <si>
    <t>08978026430</t>
  </si>
  <si>
    <t>Dr. Eng. Hosta Ardhyananta, S.T., M.Sc.</t>
  </si>
  <si>
    <t>Gunawan Nugroho, ST, MT, Ph.D</t>
  </si>
  <si>
    <t>081553132408</t>
  </si>
  <si>
    <t>Dr. Gunawan Nugroho, S.T., M.T.</t>
  </si>
  <si>
    <t>Dr. Hendro Juwono, M.Si</t>
  </si>
  <si>
    <t>08972508747</t>
  </si>
  <si>
    <t>Dr. Hendro Juwono, M.Si.</t>
  </si>
  <si>
    <t>Dr. I Gusti Ngurah Satriyadi Hernanda, ST, MT</t>
  </si>
  <si>
    <t>08123079182</t>
  </si>
  <si>
    <t>Dr. I Gusti Ngurah Satriyadi Hernanda, S.T., M.T.</t>
  </si>
  <si>
    <t>Dr. Ir. Bambang Sampurno, MT</t>
  </si>
  <si>
    <t>081216840619</t>
  </si>
  <si>
    <t>Dr. Ir. Bambang Sampurno, M.T.</t>
  </si>
  <si>
    <t>Dr. Ir. Purwadi Agus Darwito, M.Sc</t>
  </si>
  <si>
    <t>0811348113</t>
  </si>
  <si>
    <t>Dr. Ir. Purwadi Agus Darwito, M.Sc.</t>
  </si>
  <si>
    <t>Dr. Soedarso, SS, M.Hum</t>
  </si>
  <si>
    <t>08123116822</t>
  </si>
  <si>
    <t>Dr. Soedarso, S.S., M.Hum.</t>
  </si>
  <si>
    <t>Dr. Suyatno, M.Si</t>
  </si>
  <si>
    <t>088804943968</t>
  </si>
  <si>
    <t>Dr. Suyatno, S.Si., M.Si.</t>
  </si>
  <si>
    <t>Dr.-Ing. Doty Dewi Risanti, ST, MT</t>
  </si>
  <si>
    <t>087857637847</t>
  </si>
  <si>
    <t>Dr.-Ing. Doty Dewi Risanti, S.T., M.T.</t>
  </si>
  <si>
    <t>Dr.Eng. Chastine Fatichah, S.Kom, M.Kom</t>
  </si>
  <si>
    <t>08111779483</t>
  </si>
  <si>
    <t>Dr.Eng. Chastine Fatichah, S.Kom., M.Kom.</t>
  </si>
  <si>
    <t>Dr.Eng. Siti Machmudah, ST, M.Eng</t>
  </si>
  <si>
    <t>082132348064</t>
  </si>
  <si>
    <t>Dr.Eng. Siti Machmudah, S.T., M.Eng.</t>
  </si>
  <si>
    <t>Dr.Eng. Yudha Apri Hermawan, ST, MT</t>
  </si>
  <si>
    <t>081231307928</t>
  </si>
  <si>
    <t>Dr.Eng. Yuda Apri Hermawan, S.T., M.T.</t>
  </si>
  <si>
    <t>Dra. Ratna Ediati, MS, Ph.D</t>
  </si>
  <si>
    <t>08175087475</t>
  </si>
  <si>
    <t>Dra. Ratna Ediati, MS., Ph.D.</t>
  </si>
  <si>
    <t>Dr. Drs. Bandung Arry Sanjoyo, M.Ikomp</t>
  </si>
  <si>
    <t>081330296001</t>
  </si>
  <si>
    <t>Drs. Bandung Arry Sanjoyo, Mi.Komp.</t>
  </si>
  <si>
    <t>Dyah Sawitri, ST, MT</t>
  </si>
  <si>
    <t>081234614424</t>
  </si>
  <si>
    <t>Dyah Sawitri, S.T., M.T.</t>
  </si>
  <si>
    <t>Eko Agus Suprayitno, S.Si, MT</t>
  </si>
  <si>
    <t>081334357320</t>
  </si>
  <si>
    <t>Eko Agus Suprayitno, S.Si., M.T.</t>
  </si>
  <si>
    <t>Endarko, S.Si, M.Si, Ph.D</t>
  </si>
  <si>
    <t>082147633061</t>
  </si>
  <si>
    <t>Endarko, M.Si., Ph.D.</t>
  </si>
  <si>
    <t>Ervin Nurhayati, ST, MT, Ph.D</t>
  </si>
  <si>
    <t>081216462131</t>
  </si>
  <si>
    <t>Ervin Nurhayati, S.T., M.T., Ph.D.</t>
  </si>
  <si>
    <t>Fardilla Rizqiyah, ST, MT</t>
  </si>
  <si>
    <t>081259280730</t>
  </si>
  <si>
    <t>Galuh Oktavia Siswono , S.Si, M.Si, M.Act.Sc</t>
  </si>
  <si>
    <t>08993956979</t>
  </si>
  <si>
    <t>Galuh Oktavia Siswono, S.Si., M.Si., M.Act,Sc.</t>
  </si>
  <si>
    <t>Gita Widi Bhawika, S.ST, M.MT</t>
  </si>
  <si>
    <t>081808004880</t>
  </si>
  <si>
    <t>Gita Widi Bhawika, S.ST., M.MT</t>
  </si>
  <si>
    <t>Hamdan Dwi Rizqi, S.Si, M.Si</t>
  </si>
  <si>
    <t>082245283155</t>
  </si>
  <si>
    <t>Hamdan Dwi Rizqi, S.Si., M.Si.</t>
  </si>
  <si>
    <t>Dr. Hariyati Purwaningsih, S.Si, M.Si</t>
  </si>
  <si>
    <t>08123533358</t>
  </si>
  <si>
    <t>Hariyati Purwaningsih, S.Si., M.Si.</t>
  </si>
  <si>
    <t>Hertiari Idajati, ST, M.Sc</t>
  </si>
  <si>
    <t>081332429766</t>
  </si>
  <si>
    <t>Hertiari Idajati, S.T., M.Sc.</t>
  </si>
  <si>
    <t>Ika Nurkasanah, S.Kom, M.Sc</t>
  </si>
  <si>
    <t>085733523276</t>
  </si>
  <si>
    <t>Ika Nurkasanah, S.Kom., M.Sc.</t>
  </si>
  <si>
    <t>Dr. Indra Ranu Kusuma, ST., M.Sc</t>
  </si>
  <si>
    <t>0811334241</t>
  </si>
  <si>
    <t>Indra Ranu Kusuma, S.T., M.Sc.</t>
  </si>
  <si>
    <t>Ir. Agus Surono, MT</t>
  </si>
  <si>
    <t>081332582224</t>
  </si>
  <si>
    <t>Ir. Agus Surono, M.T.</t>
  </si>
  <si>
    <t>Ir. Arino Anzip, M.Eng,Sc</t>
  </si>
  <si>
    <t>081216128456</t>
  </si>
  <si>
    <t>Ir. Arino Anzip, M.Eng.Sc</t>
  </si>
  <si>
    <t>Ir. Josaphat Pramudijanto, M.Eng</t>
  </si>
  <si>
    <t>081231974410</t>
  </si>
  <si>
    <t>Ir. Josaphat Pramudijanto, M.Eng.</t>
  </si>
  <si>
    <t>Ir. Muchammad Husni, M.Kom</t>
  </si>
  <si>
    <t>082272425855</t>
  </si>
  <si>
    <t>Ir. Nur Husodo, MS</t>
  </si>
  <si>
    <t>083856993602</t>
  </si>
  <si>
    <t>Ir. Nur Husodo, M.S</t>
  </si>
  <si>
    <t>Iska Desmawati, S.Si, M.Si</t>
  </si>
  <si>
    <t>082244425714</t>
  </si>
  <si>
    <t>Iska Desmawati, S.Si., M.Si.</t>
  </si>
  <si>
    <t>Izzat Aulia Akbar, S.Kom, M.Eng, Ph.D</t>
  </si>
  <si>
    <t>082336991673</t>
  </si>
  <si>
    <t>Izzat Aulia Akbar, S.Kom., M.Eng., Ph.D.</t>
  </si>
  <si>
    <t>Juan Pandu Gya Nur Rochman, S.Si, MT</t>
  </si>
  <si>
    <t>081332042060</t>
  </si>
  <si>
    <t>Juan Pandu Gya Nur Rochman, S.Si., M.T.</t>
  </si>
  <si>
    <t>Lienggar Rahadiantino, SE, M.Sc</t>
  </si>
  <si>
    <t>085743774445</t>
  </si>
  <si>
    <t>Lienggar Rahadiantino, S.E., M.Sc</t>
  </si>
  <si>
    <t>Mahardika F. Rois, ST, MT</t>
  </si>
  <si>
    <t>081314969595</t>
  </si>
  <si>
    <t>Mahardika F. Rois, S.T, M.T</t>
  </si>
  <si>
    <t>Mochamad Yusuf, ST, M.Sc</t>
  </si>
  <si>
    <t>082221467302</t>
  </si>
  <si>
    <t>Mochamad Yusuf, S.T., M.Sc.</t>
  </si>
  <si>
    <t>Moh. Singgih Purwanto, S.Si, MT</t>
  </si>
  <si>
    <t>08113531609</t>
  </si>
  <si>
    <t>Moh. Singgih Purwanto, S.Si., M.T</t>
  </si>
  <si>
    <t>Mohammad Khoirul Effendi, ST, M.Sc.Eng, Ph.D</t>
  </si>
  <si>
    <t>081216446161</t>
  </si>
  <si>
    <t>Mohammad Khoirul Effendi, S.T., M.Sc.Eng., Ph.D.</t>
  </si>
  <si>
    <t>Mohammad Sholikhan Arif, ST, MT</t>
  </si>
  <si>
    <t>085730347997</t>
  </si>
  <si>
    <t>Mohammad Sholikhan Arif, S.T., M.T.</t>
  </si>
  <si>
    <t>Muchammad Nurif, SE, MT</t>
  </si>
  <si>
    <t>082139995991</t>
  </si>
  <si>
    <t>Muchammad Nurif, S.E., M.T.</t>
  </si>
  <si>
    <t>Muhammad Syifaul Mufid, S.Si, M.Si, D.Phil</t>
  </si>
  <si>
    <t>081234550189</t>
  </si>
  <si>
    <t>Muhammad Syifaul Mufid, S.Si.,M.Si</t>
  </si>
  <si>
    <t>Mukhammad Muryono , S.Si., M.Si., Ph.D</t>
  </si>
  <si>
    <t>08155058733</t>
  </si>
  <si>
    <t>Mukhammad Muryono, S.Si., M.Si., Ph.D.</t>
  </si>
  <si>
    <t>Mukti Ratna Dewi, S.Si., M.Sc.</t>
  </si>
  <si>
    <t>081216611441</t>
  </si>
  <si>
    <t>M Yoma Alief Samboro, ST, M.Ds</t>
  </si>
  <si>
    <t>085259177900</t>
  </si>
  <si>
    <t>MY Alief Samboro, S.T., M.Ds.</t>
  </si>
  <si>
    <t>Naufan Noordyanto, S.Sn, M.Sn</t>
  </si>
  <si>
    <t>087851267786</t>
  </si>
  <si>
    <t>Naufan Noordyanto, S.Sn., M.Sn.</t>
  </si>
  <si>
    <t>Nova Maulidina Ashuri, S.Si, M.Si</t>
  </si>
  <si>
    <t>082228511386</t>
  </si>
  <si>
    <t>Nova Maulidina Ashuri, S.Si., M.Si.</t>
  </si>
  <si>
    <t>Nur Azizah, S.Si, M.Stat.</t>
  </si>
  <si>
    <t>085646303133</t>
  </si>
  <si>
    <t>Nur Azizah, S.Si., M.Stat.</t>
  </si>
  <si>
    <t>Okta Putra Setio Ardianto, ST, MT</t>
  </si>
  <si>
    <t>087855140061</t>
  </si>
  <si>
    <t>Okta Putra Setio Ardianto, S.T., M.T.</t>
  </si>
  <si>
    <t>Prof. Dr. Dra. Fahimah Martak, M.Si</t>
  </si>
  <si>
    <t>081572535690</t>
  </si>
  <si>
    <t>Prof. Dr. Dra Fahimah Martak, M.Si</t>
  </si>
  <si>
    <t>Prof. Ir. Aguk Zuhdi Muhammad Fathallah, M.Eng, Ph.D</t>
  </si>
  <si>
    <t>081217707850</t>
  </si>
  <si>
    <t>Prof. Ir. Aguk Zuhdi Muhammad Fathallah, M.Eng., Ph.D.</t>
  </si>
  <si>
    <t>Putu Gde Ariastita, ST, MT</t>
  </si>
  <si>
    <t>082256167483</t>
  </si>
  <si>
    <t>Putu Gde Ariastita, S.T., M.T.</t>
  </si>
  <si>
    <t>Raditya Eka Rizkiantono, S.Sn, M.Ds</t>
  </si>
  <si>
    <t>082115327998</t>
  </si>
  <si>
    <t>R.Eka Rizkiantono, S.Sn, M.Ds</t>
  </si>
  <si>
    <t>Rindi Kusumawardani, ST, M.Sc</t>
  </si>
  <si>
    <t>081232666678</t>
  </si>
  <si>
    <t>Rindi Kusumawardani, S.Si., M.Sc.</t>
  </si>
  <si>
    <t>Rivan Aji Wahyu Dyan Syafitri, ST, MT</t>
  </si>
  <si>
    <t>081326636328</t>
  </si>
  <si>
    <t>Rivan Aji Wahyu Dyan Syafitri, S.PWK, M.Ars.</t>
  </si>
  <si>
    <t>Dr. Rudy Dikairono, ST, MT</t>
  </si>
  <si>
    <t>081357256652</t>
  </si>
  <si>
    <t>Rudy Dikairono, ST., M.T.</t>
  </si>
  <si>
    <t>Safira Firdaus Mujiyanti, ST, MT</t>
  </si>
  <si>
    <t>085735339398</t>
  </si>
  <si>
    <t>Safira Firdaus Mujiyanti, S.T., M.T.</t>
  </si>
  <si>
    <t>Sefi Novendra Patrialova, S.Si, MT</t>
  </si>
  <si>
    <t>081805110806</t>
  </si>
  <si>
    <t>Sefi Novendra Patrialova, S.Si., M.T</t>
  </si>
  <si>
    <t>Sena Safarina, S.Si, M.Sc, D.Sc</t>
  </si>
  <si>
    <t>081395934628</t>
  </si>
  <si>
    <t>Sena Safarina , S.Si., M.Sc., D.Sc</t>
  </si>
  <si>
    <t>Siska Arifiani, S.Kom, M.Kom</t>
  </si>
  <si>
    <t>082228940099</t>
  </si>
  <si>
    <t>Siska Arifiani, S.Kom., M.Kom.</t>
  </si>
  <si>
    <t>Sunarsih, ST, M.Eng, Ph.D</t>
  </si>
  <si>
    <t>083119936881</t>
  </si>
  <si>
    <t>Sunarsih, S.T., M.Eng., Ph.D.</t>
  </si>
  <si>
    <t>Tri Vicca Kusumadewi, ST, M.Sc</t>
  </si>
  <si>
    <t>081382792744</t>
  </si>
  <si>
    <t>Tri Vicca Kusumadewi, S.T., M.Sc.</t>
  </si>
  <si>
    <t>Ulil Azmi, S.Si, M.Si</t>
  </si>
  <si>
    <t>081226548611</t>
  </si>
  <si>
    <t>Ulil 'Azmi, S.Si., M.Si.</t>
  </si>
  <si>
    <t>Vania Mitha Pratiwi, ST, MT</t>
  </si>
  <si>
    <t>085755248410</t>
  </si>
  <si>
    <t>Vania Mitha Pratiwi, S.T., M.T.</t>
  </si>
  <si>
    <t>Welly Herumurti, ST, M.Sc</t>
  </si>
  <si>
    <t>08125200568</t>
  </si>
  <si>
    <t>Welly Herumurti, S.T., M.Sc.</t>
  </si>
  <si>
    <t>Dr. Wibawati, S.Si, M.Si</t>
  </si>
  <si>
    <t>081553346131</t>
  </si>
  <si>
    <t>Wibawati, S.Si., M.Si</t>
  </si>
  <si>
    <t>Wimala L. Dhanistha, ST, MT</t>
  </si>
  <si>
    <t>081221449532</t>
  </si>
  <si>
    <t>Wimala Lalitya Dhanistha, S.T., M.T.</t>
  </si>
  <si>
    <t>Yasmin Zainul Mochtar, ST, M.A</t>
  </si>
  <si>
    <t>081330119399</t>
  </si>
  <si>
    <t>Yasmin Zainul Mochtar, S.T., M.A.</t>
  </si>
  <si>
    <t>Yudha Prasetyawan, ST, M.Eng</t>
  </si>
  <si>
    <t>082132130884</t>
  </si>
  <si>
    <t>Yudha Prasetyawan, S.T., M.Eng.</t>
  </si>
  <si>
    <t>No.</t>
  </si>
  <si>
    <t>ID Proposal</t>
  </si>
  <si>
    <t>Nama</t>
  </si>
  <si>
    <t>NRP</t>
  </si>
  <si>
    <t>Departemen</t>
  </si>
  <si>
    <t>Judul</t>
  </si>
  <si>
    <t>Dosen Pendamping</t>
  </si>
  <si>
    <t>Reviewer 1</t>
  </si>
  <si>
    <t>Reviewer 2</t>
  </si>
  <si>
    <t>Reviewer 3</t>
  </si>
  <si>
    <t>Jadwal 
SON 3</t>
  </si>
  <si>
    <t>Jadwal 
SON 4</t>
  </si>
  <si>
    <t>Sudah SON 4</t>
  </si>
  <si>
    <t>Sudah Masuk grup perbidang</t>
  </si>
  <si>
    <t>Jadwal BIKOM 3</t>
  </si>
  <si>
    <t>Link Proposal</t>
  </si>
  <si>
    <t>Link Proposal 2</t>
  </si>
  <si>
    <t>Bidang</t>
  </si>
  <si>
    <t>Komentar</t>
  </si>
  <si>
    <t>Kelayakan UPLOAD</t>
  </si>
  <si>
    <t xml:space="preserve">Reviewer penilaian PKM </t>
  </si>
  <si>
    <t>Jadwal BIKOM 4</t>
  </si>
  <si>
    <t>Jadwal SON 5</t>
  </si>
  <si>
    <t>Sudah SON 5</t>
  </si>
  <si>
    <t>tanggal: 14 Maret 2022
Jam: 13:00:00
Fitriani</t>
  </si>
  <si>
    <t>tanggal: 18 Maret 2022       Jam: 07:00:00 Wisnu</t>
  </si>
  <si>
    <t>Tanggal: 17 Maret 2022
Jam: 13:00:00
Dosen :Putu Gde Ariastita, ST, MT</t>
  </si>
  <si>
    <t>PKM VGK</t>
  </si>
  <si>
    <t>Putu Gde Ariastita, ST, MT atau Okta Putra Setio Ardianto, S.T., M.T</t>
  </si>
  <si>
    <t>tanggal: 24 Maret 2022       Jam: 11:00:00 Wisnu</t>
  </si>
  <si>
    <t>tanggal: 24 Maret 2022       Jam: 12:00:00 Wisnu</t>
  </si>
  <si>
    <t>tanggal: 18 Maret 2022       Jam: 08:00:00 Wisnu</t>
  </si>
  <si>
    <t>tanggal: 14 Maret 2022
Jam: 15:00:00
Fitriani</t>
  </si>
  <si>
    <t>tanggal: 24 Maret 2022       Jam: 13:00:00 Wisnu</t>
  </si>
  <si>
    <t>Tanggal: 17 Maret 2022
Jam: 15:00:00
Dosen :M Yoma Alief Samboro, ST, M.Ds</t>
  </si>
  <si>
    <t>tanggal: 18 Maret 2022       Jam: 09:00:00 Wisnu</t>
  </si>
  <si>
    <t>tanggal: 24 Maret 2022       Jam: 14:00:00 Wisnu</t>
  </si>
  <si>
    <t>tanggal: 15 Maret 2022
Jam: 13:00:00
Fitriani</t>
  </si>
  <si>
    <t>Okta Putra Setio Ardianto, S.T., M.T</t>
  </si>
  <si>
    <t>tanggal: 18 Maret 2022       Jam: 19:00:00 Wisnu</t>
  </si>
  <si>
    <t>Tanggal: 17 Maret 2022
Jam: 17:00:00
Dosen :M Yoma Alief Samboro, ST, M.Ds</t>
  </si>
  <si>
    <t>tanggal: 24 Maret 2022       Jam: 15:00:00 Wisnu</t>
  </si>
  <si>
    <t>tanggal: 14 Maret 2022
Jam: 19:00:00
Idha Nurmalita Sari</t>
  </si>
  <si>
    <t>Tanggal: 17 Maret 2022
Jam: 19:00:00
Dosen :M Yoma Alief Samboro, ST, M.Ds</t>
  </si>
  <si>
    <t>tanggal: 25 Maret 2022       Jam: 09:00:00 Wisnu</t>
  </si>
  <si>
    <t>tanggal: 18 Maret 2022       Jam: 20:00:00 Wisnu</t>
  </si>
  <si>
    <t>tanggal: 25 Maret 2022       Jam: 10:00:00 Wisnu</t>
  </si>
  <si>
    <t>Tanggal: 18 Maret 2022
Jam: 09:00:00
Dosen :Putu Gde Ariastita, ST, MT</t>
  </si>
  <si>
    <t>tanggal: 15 Maret 2022
Jam: 19:00:00
Idha Nurmalita Sari</t>
  </si>
  <si>
    <t>tanggal: 17 Maret 2022       Jam: 08:00:00 Tegar</t>
  </si>
  <si>
    <t>tanggal: 25 Maret 2022       Jam: 08:00:00 Tegar</t>
  </si>
  <si>
    <t>tanggal: 17 Maret 2022       Jam: 09:00:00 Tegar</t>
  </si>
  <si>
    <t>tanggal: 25 Maret 2022       Jam: 09:00:00 Tegar</t>
  </si>
  <si>
    <t xml:space="preserve"> </t>
  </si>
  <si>
    <t>Nama Ketua</t>
  </si>
  <si>
    <t>tanggal: 14 Maret 2022
Jam: 10:00:00
Fitrah Arie Ramadhan</t>
  </si>
  <si>
    <t>tanggal: 17 Maret 2022
Jam: 10:00:00            Humam</t>
  </si>
  <si>
    <t>Tanggal: 19 Maret 2022
Jam: 14:00:00
Dosen :Putu Gde Ariastita, ST, MT</t>
  </si>
  <si>
    <t>PKM AI</t>
  </si>
  <si>
    <r>
      <rPr>
        <sz val="11"/>
        <color rgb="FF000000"/>
        <rFont val="Calibri"/>
      </rPr>
      <t xml:space="preserve">Dr.-Ing. Doty Dewi Risanti, ST, MT atau Welly Herumurti, ST, </t>
    </r>
    <r>
      <rPr>
        <u/>
        <sz val="11"/>
        <color rgb="FF1155CC"/>
        <rFont val="Calibri"/>
      </rPr>
      <t>M.Sc</t>
    </r>
  </si>
  <si>
    <t>tanggal: 24 Maret 2022
Jam: 10:00:00            Humam</t>
  </si>
  <si>
    <t>tanggal: 17 Maret 2022       Jam: 10:00:00 
Humam</t>
  </si>
  <si>
    <t>tanggal: 24 Maret 2022
Jam: 11:00:00            Humam</t>
  </si>
  <si>
    <t>Tanggal: 19 Maret 2022
Jam: 8:00:00
Dosen :Prof. Dr. Dra. Fahimah Martak, M.Si</t>
  </si>
  <si>
    <t>tanggal: 14 Maret 2022
Jam: 13:00:00
Fitrah Arie Ramadhan</t>
  </si>
  <si>
    <t>tanggal: 25 Maret 2022
Jam: 13:00:00            Humam</t>
  </si>
  <si>
    <t>tanggal: 17 Maret 2022
Jam: 12:00:00 
Humam</t>
  </si>
  <si>
    <t>tanggal: 25 Maret 2022
Jam: 14:00:00            Humam</t>
  </si>
  <si>
    <t>tanggal: 15 Maret 2022
Jam: 10:00:00
Fitrah Arie Ramadhan</t>
  </si>
  <si>
    <t>tanggal: 17 Maret 2022       Jam: 19:00:00 Humam</t>
  </si>
  <si>
    <t>tanggal: 25 Maret 2022
Jam: 15:00:00            Humam</t>
  </si>
  <si>
    <t>tanggal: 26 Maret 2022
Jam: 09:00:00            Humam</t>
  </si>
  <si>
    <t>tanggal: 17 Maret 2022       Jam: 20:00:00 Humam</t>
  </si>
  <si>
    <t>Tanggal: 19 Maret 2022
Jam: 9:00:00
Dosen :Dr.-Ing. Doty Dewi Risanti, ST, MT</t>
  </si>
  <si>
    <t>tanggal: 26 Maret 2022
Jam: 10:00:00            Humam</t>
  </si>
  <si>
    <t>tanggal: 15 Maret 2022
Jam: 13:00:00
Sulistya Indah Wahyuni</t>
  </si>
  <si>
    <t>tanggal: 17 Maret 2022       Jam: 21:00:00 Humam</t>
  </si>
  <si>
    <t>tanggal: 26 Maret 2022
Jam: 11:00:00            Humam</t>
  </si>
  <si>
    <t>tanggal: 18 Maret 2022       Jam: 13:00:00 Humam</t>
  </si>
  <si>
    <t>tanggal: 26 Maret 2022
Jam: 13:00:00            Humam</t>
  </si>
  <si>
    <t>tanggal: 26 Maret 2022
Jam: 14:00:00            Humam</t>
  </si>
  <si>
    <t>tanggal: 15 Maret 2022
Jam: 15:00:00
Sulistya Indah Wahyuni</t>
  </si>
  <si>
    <t>tanggal: 18 Maret 2022       Jam: 09:00:00 Kenyavi</t>
  </si>
  <si>
    <t>tanggal: 24 Maret 2022       Jam: 14:00:00 Kenyavi</t>
  </si>
  <si>
    <t>tanggal: 24 Maret 2022       Jam: 15:00:00 Kenyavi</t>
  </si>
  <si>
    <t>tanggal: 18 Maret 2022       Jam: 10:00:00 Kenyavi</t>
  </si>
  <si>
    <t>tanggal: 25 Maret 2022       Jam: 09:00:00 Kenyavi</t>
  </si>
  <si>
    <t>Tanggal: 19 Maret 2022
Jam: 11:00:00
Dosen :Prof. Dr. Dra. Fahimah Martak, M.Si</t>
  </si>
  <si>
    <t>tanggal: 25 Maret 2022       Jam: 10:00:00 Kenyavi</t>
  </si>
  <si>
    <t>tanggal: 15 Maret 2022
Jam: 15:00:00
Putu Maharani Anggun Ningtyas</t>
  </si>
  <si>
    <t>tanggal: 18 Maret 2022       Jam: 11:00:00 Kenyavi</t>
  </si>
  <si>
    <t>tanggal: 25 Maret 2022       Jam: 11:00:00 Kenyavi</t>
  </si>
  <si>
    <t>tanggal: 18 Maret 2022       Jam: 12:00:00 Kenyavi</t>
  </si>
  <si>
    <t>tanggal: 26 Maret 2022       Jam: 09:00:00 Kenyavi</t>
  </si>
  <si>
    <t>tanggal: 26 Maret 2022       Jam: 10:00:00 Kenyavi</t>
  </si>
  <si>
    <t>Tanggal: 19 Maret 2022
Jam: 13:00:00
Dosen :Prof. Dr. Dra. Fahimah Martak, M.Si</t>
  </si>
  <si>
    <t>tanggal: 18 Maret 2022       Jam: 18:00:00 Kenyavi</t>
  </si>
  <si>
    <t>tanggal: 15 Maret 2022
Jam: 19:00:00
Putu Maharani Anggun Ningtyas</t>
  </si>
  <si>
    <t>tanggal: 26 Maret 2022       Jam: 11:00:00 Kenyavi</t>
  </si>
  <si>
    <t>tanggal: 26 Maret 2022       Jam: 13:00:00 Kenyavi</t>
  </si>
  <si>
    <t>tanggal: 18 Maret 2022       Jam: 19:00:00 Kenyavi</t>
  </si>
  <si>
    <t>tanggal: 26 Maret 2022       Jam: 14:00:00 Kenyavi</t>
  </si>
  <si>
    <t>s</t>
  </si>
  <si>
    <t>tanggal: 14 Maret 2022
Jam: 18:00:00
Fa'izul Qholbi Tamimi</t>
  </si>
  <si>
    <t>tanggal: 18 Maret 2022
Jam: 12:00:00
Nana</t>
  </si>
  <si>
    <t>Tanggal: 19 Maret 2022
Jam: 10:00:00
Dosen :Muchammad Nurif, SE, MT</t>
  </si>
  <si>
    <t>PKM K</t>
  </si>
  <si>
    <r>
      <t xml:space="preserve">Mahardika F. Rois, ST, MT atau Dr. Drs. Bandung Arry S., MI.Komp .  atau  Gita Widi Bhawika, S.ST, </t>
    </r>
    <r>
      <rPr>
        <u/>
        <sz val="11"/>
        <color rgb="FF1155CC"/>
        <rFont val="Calibri"/>
      </rPr>
      <t>M.MT</t>
    </r>
    <r>
      <rPr>
        <sz val="11"/>
        <color rgb="FF000000"/>
        <rFont val="Calibri"/>
        <scheme val="minor"/>
      </rPr>
      <t xml:space="preserve"> atau  Dr.-Ing. Doty Dewi Risanti, ST, MT</t>
    </r>
  </si>
  <si>
    <t>tanggal: 24 Maret 2022
Jam: 15:00:00
Nana</t>
  </si>
  <si>
    <t>TRUE</t>
  </si>
  <si>
    <t>Tanggal: 18 Maret 2022
Jam: 13:30:00
Dosen :Muchammad Nurif, SE, MT</t>
  </si>
  <si>
    <t>tanggal: 25 Maret 2022
Jam: 11:00:00
Nana</t>
  </si>
  <si>
    <t>tanggal: 14 Maret 2022
Jam: 19:00:00
Fa'izul Qholbi Tamimi</t>
  </si>
  <si>
    <t>tanggal: 18 Maret 2022
Jam: 13:00:00
Nana</t>
  </si>
  <si>
    <t>tanggal: 25 Maret 2022
Jam: 13:00:00
Nana</t>
  </si>
  <si>
    <t>Tanggal: 18 Maret 2022
Jam: 15:00:00
Dosen :Mahardika F. Rois, ST, MT</t>
  </si>
  <si>
    <t>tanggal: 18 Maret 2022
Jam: 14:00:00
Nana</t>
  </si>
  <si>
    <t>Tanggal: 17 Maret 2022
Jam: 13:30:00
Dosen :Muchammad Nurif, SE, MT</t>
  </si>
  <si>
    <t>tanggal: 25 Maret 2022
Jam: 14:00:00
Nana</t>
  </si>
  <si>
    <t>tanggal: 18 Maret 2022
Jam: 15:00:00
Nana</t>
  </si>
  <si>
    <t>tanggal: 25 Maret 2022
Jam: 15:00:00
Nana</t>
  </si>
  <si>
    <t>tanggal: 14 Maret 2022
Jam: 13:00:00
Fajrur Rido Ataubakumarwa</t>
  </si>
  <si>
    <t>Tanggal: 17 Maret 2022
Jam: 19:30:00
Dosen :Nova Maulidina Ashuri, S.Si, M.Si</t>
  </si>
  <si>
    <t>tanggal: 18 Maret 2022
Jam: 16:00:00
Nana</t>
  </si>
  <si>
    <t>tanggal: 26 Maret 2022
Jam: 08:00:00
Nana</t>
  </si>
  <si>
    <t>Dr. Drs. Bandung Arry S., MI.Komp</t>
  </si>
  <si>
    <t>tanggal: 18 Maret 2022
Jam: 19:00:00
Nana</t>
  </si>
  <si>
    <t>Tanggal: 18 Maret 2022
Jam: 9:00:00
Dosen :Andre Parvian Aristio, S.Kom, M.Sc</t>
  </si>
  <si>
    <t>tanggal: 26 Maret 2022
Jam: 09:00:00
Nana</t>
  </si>
  <si>
    <t>tanggal: 15 Maret 2022
Jam: 13:00:00
Fajrur Rido Ataubakumarwa</t>
  </si>
  <si>
    <t>tanggal: 26 Maret 2022
Jam: 10:00:00
Nana</t>
  </si>
  <si>
    <t>tanggal: 18 Maret 2022
Jam: 20:00:00
Nana</t>
  </si>
  <si>
    <t>Tanggal: 18 Maret 2022
Jam: 13:00:00
Dosen :Andre Parvian Aristio, S.Kom, M.Sc</t>
  </si>
  <si>
    <t>tanggal: 17 Maret 2022       Jam: 10:00:00 Tegar</t>
  </si>
  <si>
    <t>tanggal: 25 Maret 2022       Jam: 13:00:00 Tegar</t>
  </si>
  <si>
    <t>tanggal: 14 Maret 2022
Jam: 19:00:00
Hanina Nurin Washlina</t>
  </si>
  <si>
    <t>tanggal: 25 Maret 2022       Jam: 14:00:00 Tegar</t>
  </si>
  <si>
    <t>tanggal: 18 Maret 2022       Jam: 09:00:00 Tegar</t>
  </si>
  <si>
    <t>tanggal: 26 Maret 2022       Jam: 09:00:00 Tegar</t>
  </si>
  <si>
    <t>tanggal: 15 Maret 2022
Jam: 19:00:00
Hanina Nurin Washlina</t>
  </si>
  <si>
    <t>tanggal: 18 Maret 2022       Jam: 10:00:00 Tegar</t>
  </si>
  <si>
    <t>tanggal: 26 Maret 2022       Jam: 10:00:00 Tegar</t>
  </si>
  <si>
    <t>tanggal: 26 Maret 2022       Jam: 11:00:00 Tegar</t>
  </si>
  <si>
    <t>tanggal: 18 Maret 2022       Jam: 11:00:00 Tegar</t>
  </si>
  <si>
    <t>tanggal: 14 Maret 2022
Jam: 15:30:00
M ABD Rozzaq Khaidhor</t>
  </si>
  <si>
    <t>tanggal: 26 Maret 2022       Jam: 13:00:00 Tegar</t>
  </si>
  <si>
    <t>tanggal: 18 Maret 2022       Jam: 20:00:00 Tegar</t>
  </si>
  <si>
    <t>Tanggal: 19 Maret 2022
Jam: 9:00:00
Dosen :Mahardika F. Rois, ST, MT</t>
  </si>
  <si>
    <t>tanggal: 26 Maret 2022       Jam: 14:00:00 Tegar</t>
  </si>
  <si>
    <t>tanggal: 26 Maret 2022
Jam: 14:00:00
Humam</t>
  </si>
  <si>
    <t>tanggal: 17 Maret 2022
Jam: 13:00:00
Humam</t>
  </si>
  <si>
    <t>tanggal: 26 Maret 2022
Jam: 15:00:00
Humam</t>
  </si>
  <si>
    <t>tanggal: 15 Maret 2022
Jam: 15:30:00
M ABD Rozzaq Khaidhor</t>
  </si>
  <si>
    <t>tanggal: 17 Maret 2022
Jam: 20:00:00
Atin</t>
  </si>
  <si>
    <t>tanggal: 26 Maret 2022
Jam: 11:00:00
Atin</t>
  </si>
  <si>
    <t>tanggal: 14 Maret 2022
Jam: 19:30:00
Degama Figo Garsya</t>
  </si>
  <si>
    <t>tanggal: 17 Maret 2022       Jam: 07:00:00 Astri</t>
  </si>
  <si>
    <t>Tanggal: 18 Maret 2022
Jam: 15:30:00
Dosen :Dr. Ir. Bambang Sampurno, MT</t>
  </si>
  <si>
    <t>PKM GFT</t>
  </si>
  <si>
    <t>Putu Gde Ariastita, ST, MT atau Wimala L. Dhanistha, ST, MT</t>
  </si>
  <si>
    <t>tanggal: 25 Maret 2022       Jam: 08:00:00 Astri</t>
  </si>
  <si>
    <t>tanggal: 25 Maret 2022       Jam: 09:00:00 Astri</t>
  </si>
  <si>
    <t>tanggal: 17 Maret 2022       Jam: 08:00:00 Astri</t>
  </si>
  <si>
    <t>tanggal: 15 Maret 2022
Jam: 9:00:00
Degama Figo Garsya</t>
  </si>
  <si>
    <t>Tanggal: 17 Maret 2022
Jam: 15:30:00
Dosen :Ir. Mas Agus Mardyanto, M.E, Ph.D</t>
  </si>
  <si>
    <t>tanggal: 25 Maret 2022       Jam: 10:00:00 Astri</t>
  </si>
  <si>
    <t>tanggal: 17 Maret 2022       Jam: 19:00:00 Astri</t>
  </si>
  <si>
    <t>tanggal: 26 Maret 2022       Jam: 08:00:00 Astri</t>
  </si>
  <si>
    <t>Tanggal: 18 Maret 2022
Jam: 8:00:00
Dosen :Prof. Ir. Aguk Zuhdi Muhammad Fathallah, M.Eng, Ph.D</t>
  </si>
  <si>
    <t>tanggal: 17 Maret 2022       Jam: 20:00:00 Astri</t>
  </si>
  <si>
    <t>tanggal: 26 Maret 2022       Jam: 09:00:00 Astri</t>
  </si>
  <si>
    <t>tanggal: 15 Maret 2022
Jam: 19:30:00
Degama Figo Garsya</t>
  </si>
  <si>
    <t>tanggal: 26 Maret 2022       Jam: 10:00:00 Astri</t>
  </si>
  <si>
    <t>tanggal: 18 Maret 2022       Jam: 18:00:00 Astri</t>
  </si>
  <si>
    <t>Tanggal: 18 Maret 2022
Jam: 13:30:00
Dosen :Prof. Ir. Aguk Zuhdi Muhammad Fathallah, M.Eng, Ph.D</t>
  </si>
  <si>
    <t>tanggal: 26 Maret 2022       Jam: 11:00:00 Astri</t>
  </si>
  <si>
    <t>tanggal: 15 Maret 2022
Jam: 13:00:00
Pradhikta Naufal Irfanda</t>
  </si>
  <si>
    <t>tanggal: 27 Maret 2022       Jam: 13:00:00 Astri</t>
  </si>
  <si>
    <t>tanggal: 18 Maret 2022       Jam: 19:00:00 Astri</t>
  </si>
  <si>
    <t>Tanggal: 18 Maret 2022
Jam: 15:30:00
Dosen :Ir. Mas Agus Mardyanto, M.E, Ph.D</t>
  </si>
  <si>
    <t>tanggal: 27 Maret 2022       Jam: 14:00:00 Astri</t>
  </si>
  <si>
    <t>tanggal: 17 Maret 2022       Jam: 13:00:00 Yabay</t>
  </si>
  <si>
    <t>tanggal: 27 Maret 2022       Jam: 07:00:00 Yabay</t>
  </si>
  <si>
    <t>tanggal: 27 Maret 2022       Jam: 08:00:00 Yabay</t>
  </si>
  <si>
    <t>Tanggal: 18 Maret 2022
Jam: 19:00:00
Dosen :Izzat Aulia Akbar, S.Kom, M.Eng, Ph.D</t>
  </si>
  <si>
    <t>tanggal: 17 Maret 2022       Jam: 14:00:00 Yabay</t>
  </si>
  <si>
    <t>tanggal: 27 Maret 2022       Jam: 09:00:00 Yabay</t>
  </si>
  <si>
    <t>tanggal: 15 Maret 2022
Jam: 19:30:00
Pradhikta Naufal Irfanda</t>
  </si>
  <si>
    <t>tanggal: 27 Maret 2022       Jam: 10:00:00 Yabay</t>
  </si>
  <si>
    <t>Tanggal: 19 Maret 2022
Jam: 15:30:00
Dosen :Fardilla Rizqiyah, ST, MT</t>
  </si>
  <si>
    <t>tanggal: 17 Maret 2022       Jam: 15:00:00 Yabay</t>
  </si>
  <si>
    <t>tanggal: 27 Maret 2022       Jam: 11:00:00 Yabay</t>
  </si>
  <si>
    <t>Tanggal: 19 Maret 2022
Jam: 16:30:00
Dosen :Fardilla Rizqiyah, ST, MT</t>
  </si>
  <si>
    <t>tanggal: 17 Maret 2022       Jam: 20:00:00 Wisnu</t>
  </si>
  <si>
    <t>tanggal: 24 Maret 2022       Jam: 10:00:00 Wisnu</t>
  </si>
  <si>
    <t>tanggal: 14 Maret 2022
Jam: 13:15:00
Galih Widyantoro</t>
  </si>
  <si>
    <t>tanggal: 17 Maret 2022       Jam: 15:00:00 Owi</t>
  </si>
  <si>
    <t>Tanggal: 17 Maret 2022
Jam: 16:00:00
Dosen :Sefi Novendra Patrialova, S.Si, MT</t>
  </si>
  <si>
    <t>PKM KI</t>
  </si>
  <si>
    <t>Sefi Novendra Patrialova, S.Si, MT atau Ahmad Fauzan Adziimaa, S.T., M.Sc. atau Ir. Josaphat Pramudijanto, M.Eng</t>
  </si>
  <si>
    <t>tanggal: 27 Maret 2022       Jam: 07:00:00 Owi</t>
  </si>
  <si>
    <t>LAYAK UPLOAD KE SIMBELMAWA DENGAN REVISI</t>
  </si>
  <si>
    <t>tanggal: 27 Maret 2022       Jam: 08:00:00 Owi</t>
  </si>
  <si>
    <t>TIDAK LAYAK UPLOAD KE SIMBELMAWA</t>
  </si>
  <si>
    <t>tanggal: 27 Maret 2022       Jam: 09:00:00 Owi</t>
  </si>
  <si>
    <t>tanggal: 17 Maret 2022       Jam: 16:00:00 Owi</t>
  </si>
  <si>
    <t>Tanggal: 19 Maret 2022
Jam: 9:00:00
Dosen :Dr. I Gusti Ngurah Satriyadi Hernanda, ST, MT</t>
  </si>
  <si>
    <t>tanggal: 15 Maret 2022
Jam: 13:15:00
Galih Widyantoro</t>
  </si>
  <si>
    <t>tanggal: 27 Maret 2022       Jam: 10:00:00 Owi</t>
  </si>
  <si>
    <t>tanggal: 18 Maret 2022       Jam: 07:00:00 Owi</t>
  </si>
  <si>
    <t>tanggal: 27 Maret 2022       Jam: 11:00:00 Owi</t>
  </si>
  <si>
    <t>tanggal: 14 Maret 2022
Jam: 9:00:00
Muhammad Dwi Prasetyo</t>
  </si>
  <si>
    <t>tanggal: 27 Maret 2022       Jam: 13:00:00 Owi</t>
  </si>
  <si>
    <t>tanggal: 18 Maret 2022       Jam: 08:00:00 Owi</t>
  </si>
  <si>
    <t>Tanggal: 19 Maret 2022
Jam: 10:00:00
Dosen :Sefi Novendra Patrialova, S.Si, MT</t>
  </si>
  <si>
    <t>tanggal: 14 Maret 2022
Jam: 13:30:00
Muhammad Dwi Prasetyo</t>
  </si>
  <si>
    <t>tanggal: 27 Maret 2022       Jam: 14:00:00 Owi</t>
  </si>
  <si>
    <t>Arief Abdurrakhman, S.T, M.T</t>
  </si>
  <si>
    <t>tanggal: 18 Maret 2022       Jam: 09:00:00 Owi</t>
  </si>
  <si>
    <t>tanggal: 27 Maret 2022       Jam: 15:00:00 Owi</t>
  </si>
  <si>
    <t>tanggal: 18 Maret 2022       Jam: 10:00:00 Owi</t>
  </si>
  <si>
    <t>Jarak dengan Mitra (km)</t>
  </si>
  <si>
    <t>tanggal: 14 Maret 2022
Jam: 9:30:00
Adhimas Nurul Mustofa</t>
  </si>
  <si>
    <t>tanggal: 17 Maret 2022       Jam: 13:00:00 Hana</t>
  </si>
  <si>
    <t>Tanggal: 19 Maret 2022
Jam: 19:30:00
Dosen :Welly Herumurti, ST, M.Sc</t>
  </si>
  <si>
    <t>PKM PM</t>
  </si>
  <si>
    <t>Yudha Prasetyawan ST, M.Eng</t>
  </si>
  <si>
    <r>
      <rPr>
        <sz val="11"/>
        <color rgb="FF000000"/>
        <rFont val="Calibri"/>
        <scheme val="minor"/>
      </rPr>
      <t xml:space="preserve">Welly Herumurti, ST, </t>
    </r>
    <r>
      <rPr>
        <u/>
        <sz val="11"/>
        <color rgb="FF1155CC"/>
        <rFont val="Calibri"/>
        <scheme val="minor"/>
      </rPr>
      <t>M.Sc</t>
    </r>
    <r>
      <rPr>
        <sz val="11"/>
        <color rgb="FF000000"/>
        <rFont val="Calibri"/>
        <scheme val="minor"/>
      </rPr>
      <t xml:space="preserve"> atau Yudha Prasetyawan ST, M.Eng atau  Dr. Awik Puji Dyah Nurhayati S.Si., </t>
    </r>
    <r>
      <rPr>
        <u/>
        <sz val="11"/>
        <color rgb="FF1155CC"/>
        <rFont val="Calibri"/>
        <scheme val="minor"/>
      </rPr>
      <t>M.Si</t>
    </r>
  </si>
  <si>
    <t>tanggal: 24 Maret 2022       Jam: 12:00:00 Hana</t>
  </si>
  <si>
    <t>tanggal: 24 Maret 2022       Jam: 13:00:00 Hana</t>
  </si>
  <si>
    <t>tanggal: 17 Maret 2022       Jam: 14:00:00 Hana</t>
  </si>
  <si>
    <t>tanggal: 24 Maret 2022       Jam: 14:00:00 Hana</t>
  </si>
  <si>
    <t>tanggal: 14 Maret 2022
Jam: 19:30:00
Adhimas Nurul Mustofa</t>
  </si>
  <si>
    <t>tanggal: 24 Maret 2022       Jam: 15:00:00 Hana</t>
  </si>
  <si>
    <t>tanggal: 17 Maret 2022       Jam: 15:00:00 Hana</t>
  </si>
  <si>
    <t>Tanggal: 19 Maret 2022
Jam: 9:00:00
Dosen :Welly Herumurti, ST, M.Sc</t>
  </si>
  <si>
    <t>tanggal: 26 Maret 2022       Jam: 09:00:00 Hana</t>
  </si>
  <si>
    <t>tanggal: 15 Maret 2022
Jam: 8:30:00
Adhimas Nurul Mustofa</t>
  </si>
  <si>
    <t>tanggal: 17 Maret 2022       Jam: 16:00:00 Hana</t>
  </si>
  <si>
    <t>tanggal: 26 Maret 2022       Jam: 10:00:00 Hana</t>
  </si>
  <si>
    <t>Tanggal: 17 Maret 2022
Jam: 19:00:00
Dosen :Yudha Prasetyawan, ST, M.Eng</t>
  </si>
  <si>
    <t>tanggal: 26 Maret 2022       Jam: 11:00:00 Hana</t>
  </si>
  <si>
    <t>tanggal: 18 Maret 2022       Jam: 19:00:00 Hana</t>
  </si>
  <si>
    <t>tanggal: 14 Maret 2022
Jam: 11:00:00
Salsabila Thufaila Wafi</t>
  </si>
  <si>
    <t>tanggal: 26 Maret 2022       Jam: 14:00:00 Hana</t>
  </si>
  <si>
    <t>Tanggal: 18 Maret 2022
Jam: 19:00:00
Dosen :Yudha Prasetyawan, ST, M.Eng</t>
  </si>
  <si>
    <t>tanggal: 26 Maret 2022       Jam: 15:00:00 Hana</t>
  </si>
  <si>
    <t>tanggal: 18 Maret 2022       Jam: 20:00:00 Hana</t>
  </si>
  <si>
    <t>Tanggal: 17 Maret 2022
Jam: 15:00:00
Dosen :Dr. Awik Puji Dyah Nurhayati, S.Si, M.Si</t>
  </si>
  <si>
    <t>tanggal: 27 Maret 2022       Jam: 09:00:00 Hana</t>
  </si>
  <si>
    <t>tanggal: 27 Maret 2022       Jam: 10:00:00 Hana</t>
  </si>
  <si>
    <t>tanggal: 18 Maret 2022       Jam: 21:00:00 Hana</t>
  </si>
  <si>
    <t>Tanggal: 18 Maret 2022
Jam: 15:00:00
Dosen :Dr. Awik Puji Dyah Nurhayati, S.Si, M.Si</t>
  </si>
  <si>
    <t>tanggal: 27 Maret 2022       Jam: 13:00:00 Hana</t>
  </si>
  <si>
    <t>tanggal: 15 Maret 2022
Jam: 19:00:00
Salsabila Thufaila Wafi</t>
  </si>
  <si>
    <t>tanggal: 18 Maret 2022       Jam: 20:00:00 Kenyavi</t>
  </si>
  <si>
    <t>Tanggal: 18 Maret 2022
Jam: 19:30:00
Dosen :Welly Herumurti, ST, M.Sc</t>
  </si>
  <si>
    <t>tanggal: 24 Maret 2022       Jam: 13:00:00 Kenyavi</t>
  </si>
  <si>
    <t>tanggal: 15 Maret 2022
Jam: 9:30:00
Annida Haqq</t>
  </si>
  <si>
    <t>tanggal: 18 Maret 2022
Jam: 13:00:00
Atin</t>
  </si>
  <si>
    <t>Tanggal: 18 Maret 2022
Jam: 19:00:00
Dosen :Dr.-Ing. Doty Dewi Risanti, ST, MT</t>
  </si>
  <si>
    <t>PKM RE</t>
  </si>
  <si>
    <r>
      <t xml:space="preserve">Dr.-Ing. Doty Dewi Risanti, ST, MT atau Welly Herumurti, ST, </t>
    </r>
    <r>
      <rPr>
        <u/>
        <sz val="11"/>
        <color rgb="FF1155CC"/>
        <rFont val="Calibri"/>
      </rPr>
      <t>M.Sc</t>
    </r>
  </si>
  <si>
    <t>tanggal: 26 Maret 2022
Jam: 13:00:00
Atin</t>
  </si>
  <si>
    <t>Tanggal: 19 Maret 2022
Jam: 16:00:00
Dosen :Dr.Eng. Siti Machmudah, ST, M.Eng</t>
  </si>
  <si>
    <t>tanggal: 26 Maret 2022
Jam: 14:00:00
Atin</t>
  </si>
  <si>
    <t>tanggal: 18 Maret 2022
Jam: 14:00:00
Atin</t>
  </si>
  <si>
    <t>tanggal: 26 Maret 2022
Jam: 15:00:00
Atin</t>
  </si>
  <si>
    <t>tanggal: 15 Maret 2022
Jam: 16:00:00
Annida Haqq</t>
  </si>
  <si>
    <t>tanggal: 18 Maret 2022
Jam: 15:00:00
Atin</t>
  </si>
  <si>
    <t>tanggal: 27 Maret 2022
Jam: 09:00:00
Atin</t>
  </si>
  <si>
    <t>tanggal: 18 Maret 2022
Jam: 16:00:00
Atin</t>
  </si>
  <si>
    <t>tanggal: 27 Maret 2022
Jam: 10:00:00
Atin</t>
  </si>
  <si>
    <t>Tanggal: 19 Maret 2022
Jam: 9:30:00
Dosen :Dr.Eng. Siti Machmudah, ST, M.Eng</t>
  </si>
  <si>
    <t>tanggal: 15 Maret 2022
Jam: 16:00:00
Dede Yusuf P. Kuntaritas</t>
  </si>
  <si>
    <t>tanggal: 26 Maret 2022
Jam: 09:00:00
Atin</t>
  </si>
  <si>
    <t>tanggal: 18 Maret 2022
Jam: 20:00:00
Atin</t>
  </si>
  <si>
    <t>Tanggal: 19 Maret 2022
Jam: 15:00:00
Dosen :Dr. Hariyati Purwaningsih, S.Si, M.Si</t>
  </si>
  <si>
    <t>Tanggal: 18 Maret 2022
Jam: 13:00:00
Dosen :Iska Desmawati, S.Si, M.Si</t>
  </si>
  <si>
    <t>tanggal: 26 Maret 2022
Jam: 10:00:00
Atin</t>
  </si>
  <si>
    <t>tanggal: 17 Maret 2022
Jam: 07:00:00
Elsy</t>
  </si>
  <si>
    <t>tanggal: 26 Maret 2022
Jam: 13:00:00
Elsy</t>
  </si>
  <si>
    <t>Tanggal: 19 Maret 2022
Jam: 9:00:00
Dosen :Muhammad Syifaul Mufid, S.Si, M.Si, D.Phil</t>
  </si>
  <si>
    <t>tanggal: 17 Maret 2022
Jam: 08:00:00
Elsy</t>
  </si>
  <si>
    <t>tanggal: 26 Maret 2022
Jam: 14:00:00
Elsy</t>
  </si>
  <si>
    <t>tanggal: 15 Maret 2022
Jam: 21:00:00
Dede Yusuf P. Kuntaritas</t>
  </si>
  <si>
    <t>Tanggal: 18 Maret 2022
Jam: 14:00:00
Dosen :Dr. Dendy Satrio, S.ST</t>
  </si>
  <si>
    <t>tanggal: 25 Maret 2022
Jam: 09:00:00
Elsy</t>
  </si>
  <si>
    <t>tanggal: 14 Maret 2022
Jam: 19:00:00
Khafidz Alauddin Farras</t>
  </si>
  <si>
    <t>tanggal: 17 Maret 2022
Jam: 17:00:00
Elsy</t>
  </si>
  <si>
    <t>tanggal: 25 Maret 2022
Jam: 10:00:00
Elsy</t>
  </si>
  <si>
    <t>tanggal: 17 Maret 2022
Jam: 18:00:00
Elsy</t>
  </si>
  <si>
    <t>tanggal: 25 Maret 2022
Jam: 11:00:00
Elsy</t>
  </si>
  <si>
    <t>tanggal: 17 Maret 2022
Jam: 19:00:00
Elsy</t>
  </si>
  <si>
    <t>tanggal: 26 Maret 2022
Jam: 09:00:00
Elsy</t>
  </si>
  <si>
    <t>Tanggal: 17 Maret 2022
Jam: 15:30:00
Dosen :Dr.-Ing. Doty Dewi Risanti, ST, MT</t>
  </si>
  <si>
    <t>tanggal: 26 Maret 2022
Jam: 10:00:00
Elsy</t>
  </si>
  <si>
    <t>tanggal: 15 Maret 2022
Jam: 21:00:00
Khafidz Alauddin Farras</t>
  </si>
  <si>
    <t>tanggal: 17 Maret 2022
Jam: 20:00:00
Elsy</t>
  </si>
  <si>
    <t>Tanggal: 18 Maret 2022
Jam: 10:00:00
Dosen :Dyah Sawitri, ST, MT</t>
  </si>
  <si>
    <t>tanggal: 26 Maret 2022
Jam: 11:00:00
Elsy</t>
  </si>
  <si>
    <t>tanggal: 14 Maret 2022
Jam: 16:00:00
Paundra Rizky Pratama</t>
  </si>
  <si>
    <t>tanggal: 18 Maret 2022
Jam: 10:00:00
Elsy</t>
  </si>
  <si>
    <t>Tanggal: 18 Maret 2022
Jam: 13:00:00
Dosen :Dr. Dendy Satrio, S.ST</t>
  </si>
  <si>
    <t>tanggal: 17 Maret 2022
Jam: 17:00:00
Chanifa</t>
  </si>
  <si>
    <t>tanggal: 25 Maret 2022
Jam: 09:00:00
Chanifa</t>
  </si>
  <si>
    <t>tanggal: 25 Maret 2022
Jam: 10:00:00
Chanifa</t>
  </si>
  <si>
    <t>tanggal: 17 Maret 2022
Jam: 18:00:00
Chanifa</t>
  </si>
  <si>
    <t>tanggal: 14 Maret 2022
Jam: 20:00:00
Paundra Rizky Pratama</t>
  </si>
  <si>
    <t>tanggal: 25 Maret 2022
Jam: 11:00:00
Chanifa</t>
  </si>
  <si>
    <t>Tanggal: 18 Maret 2022
Jam: 16:00:00
Dosen :Iska Desmawati, S.Si, M.Si</t>
  </si>
  <si>
    <t>tanggal: 17 Maret 2022
Jam: 19:00:00
Chanifa</t>
  </si>
  <si>
    <t>tanggal: 25 Maret 2022
Jam: 13:00:00
Chanifa</t>
  </si>
  <si>
    <t>tanggal: 15 Maret 2022
Jam: 20:00:00
Paundra Rizky Pratama</t>
  </si>
  <si>
    <t>tanggal: 25 Maret 2022
Jam: 14:00:00
Chanifa</t>
  </si>
  <si>
    <t>tanggal: 17 Maret 2022
Jam: 20:00:00
Chanifa</t>
  </si>
  <si>
    <t>tanggal: 14 Maret 2022
Jam: 20:00:00
Vindi mardatillah</t>
  </si>
  <si>
    <t>tanggal: 25 Maret 2022
Jam: 15:00:00
Chanifa</t>
  </si>
  <si>
    <t>Tanggal: 18 Maret 2022
Jam: 9:00:00
Dosen :Dr. Hariyati Purwaningsih, S.Si, M.Si</t>
  </si>
  <si>
    <t>tanggal: 18 Maret 2022
Jam: 17:00:00
Chanifa</t>
  </si>
  <si>
    <t>Tanggal: 18 Maret 2022
Jam: 09:00:00
Dosen :Wimala L. Dhanistha, ST, MT</t>
  </si>
  <si>
    <t>tanggal: 27 Maret 2022
Jam: 09:00:00
Chanifa</t>
  </si>
  <si>
    <t>tanggal: 15 Maret 2022
Jam: 19:00:00
Vindi mardatillah</t>
  </si>
  <si>
    <t>tanggal: 18 Maret 2022
Jam: 18:00:00
Chanifa</t>
  </si>
  <si>
    <t>tanggal: 27 Maret 2022
Jam: 10:00:00
Chanifa</t>
  </si>
  <si>
    <t>Tanggal: 17 Maret 2022
Jam: 19:00:00
Dosen :Dr. Hariyati Purwaningsih, S.Si, M.Si</t>
  </si>
  <si>
    <t>tanggal: 18 Maret 2022
Jam: 19:00:00
Chanifa</t>
  </si>
  <si>
    <r>
      <t xml:space="preserve">Tanggal: 17 Maret 2022
Jam: 19:00:00
Dosen :Dr. Hariyati Purwaningsih, S.Si, </t>
    </r>
    <r>
      <rPr>
        <u/>
        <sz val="11"/>
        <color rgb="FF1155CC"/>
        <rFont val="Calibri"/>
      </rPr>
      <t>M.Si</t>
    </r>
  </si>
  <si>
    <t>tanggal: 27 Maret 2022
Jam: 11:00:00
Chanifa</t>
  </si>
  <si>
    <t>tanggal: 27 Maret 2022
Jam: 13:00:00
Chanifa</t>
  </si>
  <si>
    <t>tanggal: 17 Maret 2022
Jam: 19:00:00
Fajar</t>
  </si>
  <si>
    <t>tanggal: 26 Maret 2022
Jam: 09:00:00
Fajar</t>
  </si>
  <si>
    <t>tanggal: 14 Maret 2022
Jam: 19:00:00
Widi Utami</t>
  </si>
  <si>
    <t>tanggal: 17 Maret 2022
Jam: 20:00:00
Fajar</t>
  </si>
  <si>
    <t>Tanggal: 19 Maret 2022
Jam: 10:00:00
Dosen :Iska Desmawati, S.Si, M.Si</t>
  </si>
  <si>
    <t>tanggal: 15 Maret 2022
Jam: 11:00:00
Widi Utami</t>
  </si>
  <si>
    <t>tanggal: 26 Maret 2022
Jam: 10:00:00
Fajar</t>
  </si>
  <si>
    <t>Tanggal: 19 Maret 2022
Jam: 13:00:00
Dosen :Iska Desmawati, S.Si, M.Si</t>
  </si>
  <si>
    <t>tanggal: 18 Maret 2022
Jam: 13:00:00
Fajar</t>
  </si>
  <si>
    <t>tanggal: 26 Maret 2022
Jam: 11:00:00
Fajar</t>
  </si>
  <si>
    <t>tanggal: 15 Maret 2022
Jam: 16:00:00
Widi Utami</t>
  </si>
  <si>
    <t>tanggal: 18 Maret 2022
Jam: 14:00:00
Fajar</t>
  </si>
  <si>
    <t xml:space="preserve">    </t>
  </si>
  <si>
    <t xml:space="preserve">tanggal: 14 Maret 2022
Jam: 10:00:00
Zahrotuts Tsaniyah </t>
  </si>
  <si>
    <t>tanggal: 17 Maret 2022
Jam: 14:00:00
Fadhil</t>
  </si>
  <si>
    <t>PKM RSH</t>
  </si>
  <si>
    <t>tanggal: 24  Maret 2022
Jam: 14:00:00
Fadhil</t>
  </si>
  <si>
    <t>tanggal: 24  Maret 2022
Jam: 15:00:00
Fadhil</t>
  </si>
  <si>
    <t>tanggal: 17 Maret 2022
Jam: 15:00:00
Fadhil</t>
  </si>
  <si>
    <t>tanggal: 26  Maret 2022
Jam: 09:00:00
Fadhil</t>
  </si>
  <si>
    <t xml:space="preserve">tanggal: 15 Maret 2022
Jam: 15:30:00
Zahrotuts Tsaniyah </t>
  </si>
  <si>
    <t>tanggal: 17 Maret 2022
Jam: 16:00:00
Fadhil</t>
  </si>
  <si>
    <t>tanggal: 26  Maret 2022
Jam: 10:00:00
Fadhil</t>
  </si>
  <si>
    <t>tanggal: 17 Maret 2022
Jam: 17:00:00
Fadhil</t>
  </si>
  <si>
    <t>tanggal: 17 Maret 2022
Jam: 19:00:00
Zulfani</t>
  </si>
  <si>
    <t>tanggal: 25 Maret 2022       Jam: 14:00:00 Zulfani</t>
  </si>
  <si>
    <t>tanggal: 14 Maret 2022
Jam: 13:00:00
Zel Andesra</t>
  </si>
  <si>
    <t>tanggal: 25 Maret 2022       Jam: 15:00:00 Zulfani</t>
  </si>
  <si>
    <t>tanggal: 26 Maret 2022       Jam: 08:00:00 Zulfani</t>
  </si>
  <si>
    <t>tanggal: 26 Maret 2022       Jam: 09:00:00 Zulfani</t>
  </si>
  <si>
    <t>tanggal: 14 Maret 2022
Jam: 20:00:00
Zel Andesra</t>
  </si>
  <si>
    <t>tanggal: 26 Maret 2022       Jam: 10:00:00 Zulfani</t>
  </si>
  <si>
    <t>tanggal: 15 Maret 2022
Jam: 20:00:00
Zel Andesra</t>
  </si>
  <si>
    <t>tanggal: 26 Maret 2022       Jam: 07:00:00 Zulfani</t>
  </si>
  <si>
    <t>tanggal: 14 Maret 2022
Jam: 19:00:00
Dhimas Khamim Eka Putra</t>
  </si>
  <si>
    <t>tanggal: 18 Maret 2022       Jam: 07:00:00 Helmi</t>
  </si>
  <si>
    <t>PKM PI</t>
  </si>
  <si>
    <t>Mohammad Khoirul Effendi, ST, M.Sc.Eng, Ph.D atau Muhammad Syifaul Mufid, S.Si, M.Si, D.Phil</t>
  </si>
  <si>
    <t>tanggal: 25 Maret 2022       Jam: 07:00:00 Helmi</t>
  </si>
  <si>
    <t>Tanggal: 18 Maret 2022
Jam: 8:30:00
Dosen :Ir. Nur Husodo, MS</t>
  </si>
  <si>
    <t>tanggal: 25 Maret 2022       Jam: 08:00:00 Helmi</t>
  </si>
  <si>
    <t>tanggal: 15 Maret 2022
Jam: 19:00:00
Dhimas Khamim Eka Putra</t>
  </si>
  <si>
    <t>tanggal: 18 Maret 2022       Jam: 08:00:00 Helmi</t>
  </si>
  <si>
    <t>Tanggal: 19 Maret 2022
Jam: 13:00:00
Dosen :Ciptian Weried Priananda, S.ST, MT</t>
  </si>
  <si>
    <t>tanggal: 25 Maret 2022       Jam: 09:00:00 Helmi</t>
  </si>
  <si>
    <t>Tanggal: 19 Maret 2022
Jam: 14:00:00
Dosen :Ir. Nur Husodo, MS</t>
  </si>
  <si>
    <t>tanggal: 25 Maret 2022       Jam: 10:00:00 Helmi</t>
  </si>
  <si>
    <t>tanggal: 18 Maret 2022       Jam: 09:00:00 Helmi</t>
  </si>
  <si>
    <t>tanggal: 14 Maret 2022
Jam: 14:00:00
Wijaya Sakti Muhammad Sampurna</t>
  </si>
  <si>
    <t>tanggal: 26 Maret 2022       Jam: 07:00:00 Helmi</t>
  </si>
  <si>
    <t>Tanggal: 19 Maret 2022
Jam: 14:00:00
Dosen :Ciptian Weried Priananda, S.ST, MT</t>
  </si>
  <si>
    <t>tanggal: 26 Maret 2022       Jam: 08:00:00 Helmi</t>
  </si>
  <si>
    <t>tanggal: 15 Maret 2022
Jam: 13:00:00
Wijaya Sakti Muhammad Sampurna</t>
  </si>
  <si>
    <t>tanggal: 18 Maret 2022       Jam: 10:00:00 Helmi</t>
  </si>
  <si>
    <t>Tanggal: 19 Maret 2022
Jam: 15:00:00
Dosen :Ciptian Weried Priananda, S.ST, MT</t>
  </si>
  <si>
    <t>tanggal: 26 Maret 2022       Jam: 09:00:00 Helmi</t>
  </si>
  <si>
    <t>tanggal: 15 Maret 2022
Jam: 7:00:00
Adiv Gayu Athallah</t>
  </si>
  <si>
    <t>tanggal: 17 Maret 2022       Jam: 16:00:00 Yabay</t>
  </si>
  <si>
    <t>Tanggal: 17 Maret 2022
Jam: 13:00:00
Dosen :Mohammad Khoirul Effendi, ST, M.Sc.Eng, Ph.D</t>
  </si>
  <si>
    <t>PKM KC</t>
  </si>
  <si>
    <t>Sefi Novendra Patrialova, S.Si, MT atau Alief Wikarta, ST, M.Sc.Eng, Ph.D atau Ahmad Fauzan Adziimaa, S.T., M.Sc. atau Ciptian Weried Priananda, S.ST, MT</t>
  </si>
  <si>
    <t>tanggal: 24 Maret 2022       Jam: 10:00:00 Yabay</t>
  </si>
  <si>
    <t>tanggal: 24 Maret 2022       Jam: 11:00:00 Yabay</t>
  </si>
  <si>
    <t>tanggal: 17 Maret 2022       Jam: 21:00:00 Yabay</t>
  </si>
  <si>
    <t>Tanggal: 17 Maret 2022
Jam: 13:00:00
Dosen :Dr. I Gusti Ngurah Satriyadi Hernanda, ST, MT</t>
  </si>
  <si>
    <t>tanggal: 24 Maret 2022       Jam: 13:00:00 Yabay</t>
  </si>
  <si>
    <t>tanggal: 15 Maret 2022
Jam: 9:00:00
Adiv Gayu Athallah</t>
  </si>
  <si>
    <t>tanggal: 18 Maret 2022       Jam: 21:00:00 Yabay</t>
  </si>
  <si>
    <t>tanggal: 24 Maret 2022       Jam: 14:00:00 Yabay</t>
  </si>
  <si>
    <t>Tanggal: 17 Maret 2022
Jam: 14:00:00
Dosen :Ir. Josaphat Pramudijanto, M.Eng</t>
  </si>
  <si>
    <t>tanggal: 25 Maret 2022       Jam: 15:00:00 Yabay</t>
  </si>
  <si>
    <t>tanggal: 18 Maret 2022       Jam: 22:00:00 Yabay</t>
  </si>
  <si>
    <t>tanggal: 14 Maret 2022
Jam: 21:00:00
FIQEY INDRIATI EKA SARI</t>
  </si>
  <si>
    <t>Tanggal: 17 Maret 2022
Jam: 19:00:00
Dosen :Endarko, S.Si, M.Si, Ph.D</t>
  </si>
  <si>
    <t xml:space="preserve">tanggal: 17 Maret 2022       Jam: 16:00:00 Zufar </t>
  </si>
  <si>
    <t>Tanggal: 17 Maret 2022
Jam: 15:00:00
Dosen :Rindi Kusumawardani, ST, M.Sc</t>
  </si>
  <si>
    <t>tanggal: 24 Maret 2022       Jam: 14:00:00 Zufar</t>
  </si>
  <si>
    <t>tanggal: 15 Maret 2022
Jam: 16:00:00
FIQEY INDRIATI EKA SARI</t>
  </si>
  <si>
    <t xml:space="preserve">tanggal: 17 Maret 2022       Jam: 17:00:00 Zufar </t>
  </si>
  <si>
    <t>tanggal: 24 Maret 2022       Jam: 15:00:00 Zufar</t>
  </si>
  <si>
    <t xml:space="preserve">tanggal: 17 Maret 2022       Jam: 18:00:00 Zufar </t>
  </si>
  <si>
    <t>tanggal: 25 Maret 2022       Jam: 10:00:00 Zufar</t>
  </si>
  <si>
    <t>tanggal: 25 Maret 2022       Jam: 11:00:00 Zufar</t>
  </si>
  <si>
    <t>tanggal: 15 Maret 2022
Jam: 21:00:00
FIQEY INDRIATI EKA SARI</t>
  </si>
  <si>
    <t xml:space="preserve">tanggal: 17 Maret 2022       Jam: 19:00:00 Zufar </t>
  </si>
  <si>
    <t>Tanggal: 18 Maret 2022
Jam: 13:00:00
Dosen :Mohammad Khoirul Effendi, ST, M.Sc.Eng, Ph.D</t>
  </si>
  <si>
    <t>tanggal: 25 Maret 2022       Jam: 13:00:00 Zufar</t>
  </si>
  <si>
    <t>tanggal: 15 Maret 2022
Jam: 9:00:00
Mochamad Fauzi</t>
  </si>
  <si>
    <t xml:space="preserve">tanggal: 18 Maret 2022       Jam: 18:00:00 Zufar </t>
  </si>
  <si>
    <t>tanggal: 25 Maret 2022       Jam: 14:00:00 Zufar</t>
  </si>
  <si>
    <t xml:space="preserve">tanggal: 18 Maret 2022       Jam: 19:00:00 Zufar </t>
  </si>
  <si>
    <t>Tanggal: 18 Maret 2022
Jam: 15:00:00
Dosen :Ir. Josaphat Pramudijanto, M.Eng</t>
  </si>
  <si>
    <t>tanggal: 25 Maret 2022       Jam: 15:00:00 Zufar</t>
  </si>
  <si>
    <t>tanggal: 15 Maret 2022
Jam: 11:00:00
Mochamad Fauzi</t>
  </si>
  <si>
    <t xml:space="preserve">tanggal: 18 Maret 2022       Jam: 20:00:00 Zufar </t>
  </si>
  <si>
    <t>Rudy Dikairono, ST., MT. atau Arief Abdurrakhman, ST, MT atau I Gusti Ngurah Satriyadi Hernanda, ST., MT. .atau  Muhammad Syifaul Mufid, S.Si, M.Si, D.Phil</t>
  </si>
  <si>
    <t>tanggal: 26 Maret 2022       Jam: 09:00:00 Zufar</t>
  </si>
  <si>
    <t xml:space="preserve">tanggal: 18 Maret 2022       Jam: 21:00:00 Zufar </t>
  </si>
  <si>
    <t>Tanggal: 18 Maret 2022
Jam: 15:00:00
Dosen :Dr. I Gusti Ngurah Satriyadi Hernanda, ST, MT</t>
  </si>
  <si>
    <t>tanggal: 26 Maret 2022       Jam: 10:00:00 Zufar</t>
  </si>
  <si>
    <t>Rudy Dikairono, ST., MT.</t>
  </si>
  <si>
    <t>tanggal: 26 Maret 2022       Jam: 11:00:00 Zufar</t>
  </si>
  <si>
    <t>tanggal: 17 Maret 2022       Jam: 13:00:00 Owi</t>
  </si>
  <si>
    <t>tanggal: 15 Maret 2022
Jam: 10:00:00
Mohammad Arrafi Azhar</t>
  </si>
  <si>
    <t>tanggal: 26 Maret 2022       Jam: 13:00:00 Zufar</t>
  </si>
  <si>
    <t>Tanggal: 19 Maret 2022
Jam: 8:00:00
Dosen :Siska Arifiani, S.Kom, M.Kom</t>
  </si>
  <si>
    <t>tanggal: 17 Maret 2022       Jam: 14:00:00 Owi</t>
  </si>
  <si>
    <t>tanggal: 26  Maret 2022
Jam: 14:00:00
Fadhil</t>
  </si>
  <si>
    <t>tanggal: 18 Maret 2022       Jam: 13:00:00 Zulfani</t>
  </si>
  <si>
    <t>tanggal: 25 Maret 2022       Jam: 11:00:00 Zulfani</t>
  </si>
  <si>
    <t>tanggal: 15 Maret 2022
Jam: 14:00:00
Mohammad Arrafi Azhar</t>
  </si>
  <si>
    <t>Tanggal: 19 Maret 2022
Jam: 9:30:00
Dosen :Ahmad Fauzan Adziimaa, ST, M.Sc</t>
  </si>
  <si>
    <t>tanggal: 25 Maret 2022       Jam: 13:00:00 Zulfani</t>
  </si>
  <si>
    <t>tanggal: 18 Maret 2022       Jam: 17:00:00 Fadhil</t>
  </si>
  <si>
    <t>Tanggal: 19 Maret 2022
Jam: 11:00:00
Dosen :Rindi Kusumawardani, ST, M.Sc</t>
  </si>
  <si>
    <t>tanggal: 26  Maret 2022
Jam: 11:00:00
Fadhil</t>
  </si>
  <si>
    <t>tanggal: 14 Maret 2022
Jam: 21:00:00
Nabilla Alvania Nurwardani</t>
  </si>
  <si>
    <t>tanggal: 26  Maret 2022
Jam: 13:00:00
Fadhil</t>
  </si>
  <si>
    <t>I Gusti Ngurah Satriyadi Hernanda, ST., MT.</t>
  </si>
  <si>
    <t>Tanggal: 19 Maret 2022
Jam: 15:30:00
Dosen :Siska Arifiani, S.Kom, M.Kom</t>
  </si>
  <si>
    <t>tanggal: 14 Maret 2022
Jam: 22:00:00
Nabilla Alvania Nurwardani</t>
  </si>
  <si>
    <t>tanggal: 18 Maret 2022
Jam: 15:00:00
Fajar</t>
  </si>
  <si>
    <t>tanggal: 24 Maret 2022
Jam: 15:00:00
Fajar</t>
  </si>
  <si>
    <t>tanggal: 25 Maret 2022
Jam: 09:00:00
Fajar</t>
  </si>
  <si>
    <t>tanggal: 18 Maret 2022
Jam: 16:00:00
Fajar</t>
  </si>
  <si>
    <t>Tanggal: 19 Maret 2022
Jam: 19:30:00
Dosen :Siska Arifiani, S.Kom, M.Kom</t>
  </si>
  <si>
    <t>tanggal: 25 Maret 2022
Jam: 10:00:00
Fajar</t>
  </si>
  <si>
    <t>tanggal: 18 Maret 2022
Jam: 19:00:00
Fajar</t>
  </si>
  <si>
    <t>PKM</t>
  </si>
  <si>
    <t>Kelayakan Upload</t>
  </si>
  <si>
    <t>Pembimbing</t>
  </si>
  <si>
    <t>Drive</t>
  </si>
  <si>
    <t>Jenis</t>
  </si>
  <si>
    <t>Jumlah review</t>
  </si>
  <si>
    <t>Jumlah belum upload</t>
  </si>
  <si>
    <t>Jumlah yang belum direview</t>
  </si>
  <si>
    <t>Jumlah yang sudah direview</t>
  </si>
  <si>
    <t>Bidang PKM</t>
  </si>
  <si>
    <t>Jumlah proposal</t>
  </si>
  <si>
    <t>LAYAK UPLOAD KE SIMBELMAWA</t>
  </si>
  <si>
    <t>Belum dinilai</t>
  </si>
  <si>
    <t>layak =</t>
  </si>
  <si>
    <t>PKM-AI</t>
  </si>
  <si>
    <t>PKM-GFT</t>
  </si>
  <si>
    <t>PKM-VGK</t>
  </si>
  <si>
    <t>PKM-K</t>
  </si>
  <si>
    <t>PKM-RE</t>
  </si>
  <si>
    <t>Lolos</t>
  </si>
  <si>
    <t>Tidak Lolos</t>
  </si>
  <si>
    <t>Karantina</t>
  </si>
  <si>
    <t>PKM-KI</t>
  </si>
  <si>
    <t>PKM-KC</t>
  </si>
  <si>
    <t>PKM-RSH</t>
  </si>
  <si>
    <t>PKM-PI</t>
  </si>
  <si>
    <t>PKM-PM</t>
  </si>
  <si>
    <t xml:space="preserve">Jumlah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</si>
</sst>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rgb="FF000000"/>
      <name val="Calibri"/>
      <scheme val="minor"/>
    </font>
    <font>
      <sz val="11"/>
      <color theme="1"/>
      <name val="Calibri"/>
      <scheme val="minor"/>
    </font>
    <font>
      <sz val="11"/>
      <color rgb="FF000000"/>
      <name val="Inconsolata"/>
    </font>
    <font>
      <sz val="11"/>
      <color theme="1"/>
      <name val="Arial"/>
    </font>
    <font>
      <sz val="11"/>
      <color theme="1"/>
      <name val="&quot;Times New Roman&quot;"/>
    </font>
    <font>
      <u/>
      <sz val="11"/>
      <color rgb="FF0000FF"/>
      <name val="Calibri"/>
    </font>
    <font>
      <sz val="11"/>
      <color theme="1"/>
      <name val="Calibri"/>
    </font>
    <font>
      <u/>
      <sz val="11"/>
      <color rgb="FF0000FF"/>
      <name val="&quot;Times New Roman&quot;"/>
    </font>
    <font>
      <u/>
      <sz val="11"/>
      <color rgb="FF0563C1"/>
      <name val="&quot;Times New Roman&quot;"/>
    </font>
    <font>
      <b/>
      <sz val="11"/>
      <color rgb="FF980000"/>
      <name val="Arial"/>
    </font>
    <font>
      <sz val="11"/>
      <name val="Calibri"/>
    </font>
    <font>
      <sz val="11"/>
      <color rgb="FF000000"/>
      <name val="Arial"/>
    </font>
    <font>
      <sz val="11"/>
      <color rgb="FF000000"/>
      <name val="Docs-Calibri"/>
    </font>
    <font>
      <sz val="11"/>
      <color rgb="FF000000"/>
      <name val="Roboto"/>
    </font>
    <font>
      <u/>
      <sz val="11"/>
      <color rgb="FF000000"/>
      <name val="Docs-Calibri"/>
    </font>
    <font>
      <sz val="11"/>
      <color rgb="FF000000"/>
      <name val="Calibri"/>
    </font>
    <font>
      <u/>
      <sz val="11"/>
      <color rgb="FF1155CC"/>
      <name val="Docs-Calibri"/>
    </font>
    <font>
      <b/>
      <sz val="11"/>
      <color rgb="FF980000"/>
      <name val="Calibri"/>
      <scheme val="minor"/>
    </font>
    <font>
      <sz val="11"/>
      <color rgb="FF000000"/>
      <name val="Docs-Roboto"/>
    </font>
    <font>
      <u/>
      <sz val="11"/>
      <color rgb="FF62A8EB"/>
      <name val="Nunito"/>
    </font>
    <font>
      <u/>
      <sz val="11"/>
      <color rgb="FF0563C1"/>
      <name val="Calibri"/>
    </font>
    <font>
      <u/>
      <sz val="11"/>
      <color rgb="FF000000"/>
      <name val="Roboto"/>
    </font>
    <font>
      <u/>
      <sz val="11"/>
      <color rgb="FF1155CC"/>
      <name val="Calibri"/>
    </font>
    <font>
      <u/>
      <sz val="11"/>
      <color rgb="FF1155CC"/>
      <name val="Calibri"/>
      <scheme val="minor"/>
    </font>
  </fonts>
  <fills count="8">
    <fill>
      <patternFill patternType="none"/>
    </fill>
    <fill>
      <patternFill patternType="gray125"/>
    </fill>
    <fill>
      <patternFill patternType="solid">
        <fgColor rgb="FFFFFFFF"/>
        <bgColor rgb="FFFFFFFF"/>
      </patternFill>
    </fill>
    <fill>
      <patternFill patternType="solid">
        <fgColor rgb="FFFFFF00"/>
        <bgColor rgb="FFFFFF00"/>
      </patternFill>
    </fill>
    <fill>
      <patternFill patternType="solid">
        <fgColor rgb="FFFF0000"/>
        <bgColor rgb="FFFF0000"/>
      </patternFill>
    </fill>
    <fill>
      <patternFill patternType="solid">
        <fgColor theme="0"/>
        <bgColor theme="0"/>
      </patternFill>
    </fill>
    <fill>
      <patternFill patternType="solid">
        <fgColor rgb="FFFF9900"/>
        <bgColor rgb="FFFF9900"/>
      </patternFill>
    </fill>
    <fill>
      <patternFill patternType="solid">
        <fgColor rgb="FFD9D9D9"/>
        <bgColor rgb="FFD9D9D9"/>
      </patternFill>
    </fill>
  </fills>
  <borders count="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rgb="FF000000"/>
      </right>
      <top style="thin">
        <color rgb="FF000000"/>
      </top>
      <bottom/>
      <diagonal/>
    </border>
    <border>
      <left/>
      <right style="thin">
        <color rgb="FF000000"/>
      </right>
      <top/>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115">
    <xf numFmtId="0" fontId="0" fillId="0" borderId="0" xfId="0"/>
    <xf numFmtId="0" fontId="1" fillId="0" borderId="0" xfId="0" applyFont="1"/>
    <xf numFmtId="0" fontId="2" fillId="2" borderId="0" xfId="0" applyFont="1" applyFill="1"/>
    <xf numFmtId="49" fontId="1" fillId="0" borderId="0" xfId="0" applyNumberFormat="1" applyFont="1"/>
    <xf numFmtId="0" fontId="3" fillId="0" borderId="0" xfId="0" applyFont="1"/>
    <xf numFmtId="0" fontId="3" fillId="0" borderId="1" xfId="0" applyFont="1" applyBorder="1"/>
    <xf numFmtId="0" fontId="4" fillId="0" borderId="1" xfId="0" applyFont="1" applyBorder="1"/>
    <xf numFmtId="0" fontId="5" fillId="0" borderId="0" xfId="0" applyFont="1"/>
    <xf numFmtId="0" fontId="6" fillId="0" borderId="0" xfId="0" applyFont="1"/>
    <xf numFmtId="0" fontId="3" fillId="0" borderId="0" xfId="0" applyFont="1" applyAlignment="1">
      <alignment horizontal="right"/>
    </xf>
    <xf numFmtId="0" fontId="4" fillId="0" borderId="1" xfId="0" applyFont="1" applyBorder="1" applyAlignment="1">
      <alignment wrapText="1"/>
    </xf>
    <xf numFmtId="0" fontId="7" fillId="0" borderId="1" xfId="0" applyFont="1" applyBorder="1" applyAlignment="1">
      <alignment wrapText="1"/>
    </xf>
    <xf numFmtId="0" fontId="8" fillId="0" borderId="1" xfId="0" applyFont="1" applyBorder="1" applyAlignment="1">
      <alignment wrapText="1"/>
    </xf>
    <xf numFmtId="0" fontId="4" fillId="0" borderId="0" xfId="0" applyFont="1" applyAlignment="1">
      <alignment wrapText="1"/>
    </xf>
    <xf numFmtId="0" fontId="9" fillId="3" borderId="0" xfId="0" applyFont="1" applyFill="1" applyAlignment="1">
      <alignment horizontal="center" vertical="center" wrapText="1"/>
    </xf>
    <xf numFmtId="0" fontId="1" fillId="0" borderId="0" xfId="0" applyFont="1" applyAlignment="1">
      <alignment horizontal="center" vertical="center"/>
    </xf>
    <xf numFmtId="0" fontId="1" fillId="0" borderId="0" xfId="0" applyFont="1" applyAlignment="1">
      <alignment wrapText="1"/>
    </xf>
    <xf numFmtId="49" fontId="3" fillId="0" borderId="1" xfId="0" applyNumberFormat="1" applyFont="1" applyBorder="1"/>
    <xf numFmtId="0" fontId="0" fillId="2" borderId="0" xfId="0" applyFill="1" applyAlignment="1">
      <alignment horizontal="left" wrapText="1"/>
    </xf>
    <xf numFmtId="0" fontId="11" fillId="2" borderId="0" xfId="0" applyFont="1" applyFill="1" applyAlignment="1">
      <alignment horizontal="center" vertical="center" wrapText="1"/>
    </xf>
    <xf numFmtId="0" fontId="3" fillId="0" borderId="0" xfId="0" applyFont="1" applyAlignment="1">
      <alignment horizontal="center" vertical="center" wrapText="1"/>
    </xf>
    <xf numFmtId="0" fontId="12" fillId="2" borderId="0" xfId="0" applyFont="1" applyFill="1" applyAlignment="1">
      <alignment horizontal="left"/>
    </xf>
    <xf numFmtId="0" fontId="0" fillId="2" borderId="0" xfId="0" applyFill="1" applyAlignment="1">
      <alignment horizontal="center" vertical="center" wrapText="1"/>
    </xf>
    <xf numFmtId="0" fontId="11" fillId="2" borderId="0" xfId="0" applyFont="1" applyFill="1" applyAlignment="1">
      <alignment horizontal="left" wrapText="1"/>
    </xf>
    <xf numFmtId="0" fontId="1" fillId="4" borderId="0" xfId="0" applyFont="1" applyFill="1"/>
    <xf numFmtId="0" fontId="1" fillId="0" borderId="0" xfId="0" applyFont="1" applyAlignment="1">
      <alignment horizontal="center" wrapText="1"/>
    </xf>
    <xf numFmtId="0" fontId="6" fillId="0" borderId="0" xfId="0" applyFont="1" applyAlignment="1">
      <alignment horizontal="center" wrapText="1"/>
    </xf>
    <xf numFmtId="49" fontId="3" fillId="0" borderId="0" xfId="0" applyNumberFormat="1" applyFont="1"/>
    <xf numFmtId="0" fontId="3" fillId="0" borderId="0" xfId="0" applyFont="1" applyAlignment="1">
      <alignment wrapText="1"/>
    </xf>
    <xf numFmtId="0" fontId="13" fillId="2" borderId="0" xfId="0" applyFont="1" applyFill="1" applyAlignment="1">
      <alignment horizontal="center"/>
    </xf>
    <xf numFmtId="0" fontId="14" fillId="2" borderId="0" xfId="0" applyFont="1" applyFill="1" applyAlignment="1">
      <alignment horizontal="center" vertical="center" wrapText="1"/>
    </xf>
    <xf numFmtId="0" fontId="1" fillId="5" borderId="0" xfId="0" applyFont="1" applyFill="1"/>
    <xf numFmtId="0" fontId="13" fillId="0" borderId="0" xfId="0" applyFont="1" applyAlignment="1">
      <alignment horizontal="center"/>
    </xf>
    <xf numFmtId="0" fontId="1" fillId="0" borderId="0" xfId="0" applyFont="1" applyAlignment="1">
      <alignment horizontal="center"/>
    </xf>
    <xf numFmtId="49" fontId="3" fillId="0" borderId="1" xfId="0" applyNumberFormat="1" applyFont="1" applyBorder="1" applyAlignment="1">
      <alignment vertical="center"/>
    </xf>
    <xf numFmtId="0" fontId="15" fillId="2" borderId="0" xfId="0" applyFont="1" applyFill="1" applyAlignment="1">
      <alignment horizontal="left"/>
    </xf>
    <xf numFmtId="0" fontId="16" fillId="0" borderId="0" xfId="0" applyFont="1" applyAlignment="1">
      <alignment horizontal="left"/>
    </xf>
    <xf numFmtId="0" fontId="12" fillId="2" borderId="0" xfId="0" applyFont="1" applyFill="1" applyAlignment="1">
      <alignment horizontal="center"/>
    </xf>
    <xf numFmtId="0" fontId="1" fillId="0" borderId="0" xfId="0" applyFont="1" applyAlignment="1">
      <alignment horizontal="center" vertical="center" wrapText="1"/>
    </xf>
    <xf numFmtId="0" fontId="13" fillId="2" borderId="0" xfId="0" applyFont="1" applyFill="1"/>
    <xf numFmtId="0" fontId="1" fillId="5" borderId="0" xfId="0" applyFont="1" applyFill="1" applyAlignment="1">
      <alignment horizontal="center" vertical="center"/>
    </xf>
    <xf numFmtId="0" fontId="1" fillId="5" borderId="0" xfId="0" applyFont="1" applyFill="1" applyAlignment="1">
      <alignment wrapText="1"/>
    </xf>
    <xf numFmtId="49" fontId="3" fillId="5" borderId="1" xfId="0" applyNumberFormat="1" applyFont="1" applyFill="1" applyBorder="1"/>
    <xf numFmtId="0" fontId="11" fillId="5" borderId="0" xfId="0" applyFont="1" applyFill="1" applyAlignment="1">
      <alignment horizontal="left" wrapText="1"/>
    </xf>
    <xf numFmtId="0" fontId="11" fillId="5" borderId="0" xfId="0" applyFont="1" applyFill="1" applyAlignment="1">
      <alignment horizontal="center" vertical="center" wrapText="1"/>
    </xf>
    <xf numFmtId="0" fontId="18" fillId="2" borderId="0" xfId="0" applyFont="1" applyFill="1" applyAlignment="1">
      <alignment horizontal="left"/>
    </xf>
    <xf numFmtId="0" fontId="13" fillId="2" borderId="0" xfId="0" applyFont="1" applyFill="1" applyAlignment="1">
      <alignment wrapText="1"/>
    </xf>
    <xf numFmtId="0" fontId="19" fillId="0" borderId="0" xfId="0" applyFont="1" applyAlignment="1">
      <alignment horizontal="left"/>
    </xf>
    <xf numFmtId="0" fontId="9" fillId="3" borderId="0" xfId="0" applyFont="1" applyFill="1" applyAlignment="1">
      <alignment horizontal="center" wrapText="1"/>
    </xf>
    <xf numFmtId="0" fontId="1" fillId="0" borderId="0" xfId="0" applyFont="1" applyAlignment="1">
      <alignment vertical="center" wrapText="1"/>
    </xf>
    <xf numFmtId="0" fontId="20" fillId="0" borderId="0" xfId="0" applyFont="1"/>
    <xf numFmtId="0" fontId="1" fillId="4" borderId="0" xfId="0" applyFont="1" applyFill="1" applyAlignment="1">
      <alignment horizontal="center" vertical="center" wrapText="1"/>
    </xf>
    <xf numFmtId="0" fontId="21" fillId="2" borderId="0" xfId="0" applyFont="1" applyFill="1" applyAlignment="1">
      <alignment wrapText="1"/>
    </xf>
    <xf numFmtId="49" fontId="3" fillId="0" borderId="0" xfId="0" applyNumberFormat="1" applyFont="1" applyAlignment="1">
      <alignment vertical="center"/>
    </xf>
    <xf numFmtId="0" fontId="6" fillId="0" borderId="0" xfId="0" applyFont="1" applyAlignment="1">
      <alignment horizontal="right"/>
    </xf>
    <xf numFmtId="0" fontId="6" fillId="0" borderId="0" xfId="0" applyFont="1" applyAlignment="1">
      <alignment wrapText="1"/>
    </xf>
    <xf numFmtId="0" fontId="6" fillId="0" borderId="0" xfId="0" applyFont="1" applyAlignment="1">
      <alignment horizontal="center" vertical="center"/>
    </xf>
    <xf numFmtId="0" fontId="1" fillId="0" borderId="0" xfId="0" applyFont="1" applyAlignment="1">
      <alignment vertical="center"/>
    </xf>
    <xf numFmtId="49" fontId="3" fillId="0" borderId="1" xfId="0" applyNumberFormat="1" applyFont="1" applyBorder="1" applyAlignment="1">
      <alignment wrapText="1"/>
    </xf>
    <xf numFmtId="0" fontId="1" fillId="4" borderId="0" xfId="0" applyFont="1" applyFill="1" applyAlignment="1">
      <alignment horizontal="center" vertical="center"/>
    </xf>
    <xf numFmtId="0" fontId="1" fillId="4" borderId="0" xfId="0" applyFont="1" applyFill="1" applyAlignment="1">
      <alignment wrapText="1"/>
    </xf>
    <xf numFmtId="49" fontId="3" fillId="4" borderId="1" xfId="0" applyNumberFormat="1" applyFont="1" applyFill="1" applyBorder="1"/>
    <xf numFmtId="49" fontId="3" fillId="4" borderId="1" xfId="0" applyNumberFormat="1" applyFont="1" applyFill="1" applyBorder="1" applyAlignment="1">
      <alignment wrapText="1"/>
    </xf>
    <xf numFmtId="0" fontId="11" fillId="4" borderId="0" xfId="0" applyFont="1" applyFill="1" applyAlignment="1">
      <alignment horizontal="center" vertical="center" wrapText="1"/>
    </xf>
    <xf numFmtId="49" fontId="3" fillId="4" borderId="1" xfId="0" applyNumberFormat="1" applyFont="1" applyFill="1" applyBorder="1" applyAlignment="1">
      <alignment vertical="center"/>
    </xf>
    <xf numFmtId="0" fontId="3" fillId="0" borderId="0" xfId="0" applyFont="1" applyAlignment="1">
      <alignment vertical="center"/>
    </xf>
    <xf numFmtId="49" fontId="6" fillId="0" borderId="0" xfId="0" applyNumberFormat="1" applyFont="1"/>
    <xf numFmtId="0" fontId="6" fillId="0" borderId="0" xfId="0" applyFont="1" applyAlignment="1">
      <alignment horizontal="right" vertical="center"/>
    </xf>
    <xf numFmtId="0" fontId="6" fillId="0" borderId="0" xfId="0" applyFont="1" applyAlignment="1">
      <alignment vertical="center"/>
    </xf>
    <xf numFmtId="0" fontId="1" fillId="6" borderId="0" xfId="0" applyFont="1" applyFill="1" applyAlignment="1">
      <alignment wrapText="1"/>
    </xf>
    <xf numFmtId="0" fontId="15" fillId="2" borderId="0" xfId="0" applyFont="1" applyFill="1" applyAlignment="1">
      <alignment horizontal="left" vertical="center" wrapText="1"/>
    </xf>
    <xf numFmtId="0" fontId="6" fillId="7" borderId="1" xfId="0" applyFont="1" applyFill="1" applyBorder="1" applyAlignment="1">
      <alignment wrapText="1"/>
    </xf>
    <xf numFmtId="0" fontId="3" fillId="7" borderId="1" xfId="0" applyFont="1" applyFill="1" applyBorder="1" applyAlignment="1">
      <alignment horizontal="center" wrapText="1"/>
    </xf>
    <xf numFmtId="49" fontId="3" fillId="7" borderId="1" xfId="0" applyNumberFormat="1" applyFont="1" applyFill="1" applyBorder="1" applyAlignment="1">
      <alignment wrapText="1"/>
    </xf>
    <xf numFmtId="0" fontId="1" fillId="7" borderId="1" xfId="0" applyFont="1" applyFill="1" applyBorder="1" applyAlignment="1">
      <alignment wrapText="1"/>
    </xf>
    <xf numFmtId="0" fontId="1" fillId="7" borderId="0" xfId="0" applyFont="1" applyFill="1" applyAlignment="1">
      <alignment wrapText="1"/>
    </xf>
    <xf numFmtId="0" fontId="6" fillId="0" borderId="1" xfId="0" applyFont="1" applyBorder="1" applyAlignment="1">
      <alignment wrapText="1"/>
    </xf>
    <xf numFmtId="0" fontId="6" fillId="0" borderId="1" xfId="0" applyFont="1" applyBorder="1" applyAlignment="1">
      <alignment horizontal="right" wrapText="1"/>
    </xf>
    <xf numFmtId="49" fontId="6" fillId="0" borderId="1" xfId="0" applyNumberFormat="1" applyFont="1" applyBorder="1" applyAlignment="1">
      <alignment wrapText="1"/>
    </xf>
    <xf numFmtId="0" fontId="1" fillId="0" borderId="1" xfId="0" applyFont="1" applyBorder="1"/>
    <xf numFmtId="0" fontId="1" fillId="0" borderId="0" xfId="0" applyFont="1" applyAlignment="1">
      <alignment horizontal="right"/>
    </xf>
    <xf numFmtId="0" fontId="1" fillId="0" borderId="0" xfId="0" applyFont="1" applyAlignment="1">
      <alignment horizontal="left"/>
    </xf>
    <xf numFmtId="49" fontId="6" fillId="0" borderId="0" xfId="0" applyNumberFormat="1" applyFont="1" applyAlignment="1">
      <alignment wrapText="1"/>
    </xf>
    <xf numFmtId="0" fontId="6" fillId="0" borderId="1" xfId="0" applyFont="1" applyBorder="1"/>
    <xf numFmtId="0" fontId="6" fillId="0" borderId="1" xfId="0" applyFont="1" applyBorder="1" applyAlignment="1">
      <alignment horizontal="right"/>
    </xf>
    <xf numFmtId="0" fontId="5" fillId="0" borderId="0" xfId="0" applyFont="1" applyAlignment="1">
      <alignment wrapText="1"/>
    </xf>
    <xf numFmtId="49" fontId="1" fillId="0" borderId="1" xfId="0" applyNumberFormat="1" applyFont="1" applyBorder="1"/>
    <xf numFmtId="0" fontId="13" fillId="2" borderId="0" xfId="0" applyFont="1" applyFill="1" applyAlignment="1">
      <alignment horizontal="left"/>
    </xf>
    <xf numFmtId="0" fontId="3" fillId="0" borderId="0" xfId="0" applyFont="1" applyAlignment="1">
      <alignment horizontal="center" wrapText="1"/>
    </xf>
    <xf numFmtId="0" fontId="5" fillId="4" borderId="0" xfId="0" applyFont="1" applyFill="1"/>
    <xf numFmtId="0" fontId="16" fillId="4" borderId="0" xfId="0" applyFont="1" applyFill="1" applyAlignment="1">
      <alignment horizontal="left"/>
    </xf>
    <xf numFmtId="0" fontId="5" fillId="4" borderId="0" xfId="0" applyFont="1" applyFill="1" applyAlignment="1">
      <alignment wrapText="1"/>
    </xf>
    <xf numFmtId="49" fontId="3" fillId="0" borderId="0" xfId="0" applyNumberFormat="1" applyFont="1" applyAlignment="1">
      <alignment horizontal="center" wrapText="1"/>
    </xf>
    <xf numFmtId="0" fontId="1" fillId="0" borderId="0" xfId="0" applyFont="1"/>
    <xf numFmtId="0" fontId="0" fillId="0" borderId="0" xfId="0"/>
    <xf numFmtId="0" fontId="9" fillId="3" borderId="0" xfId="0" applyFont="1" applyFill="1" applyAlignment="1">
      <alignment horizontal="center" vertical="center" wrapText="1"/>
    </xf>
    <xf numFmtId="0" fontId="9" fillId="3" borderId="2" xfId="0" applyFont="1" applyFill="1" applyBorder="1" applyAlignment="1">
      <alignment horizontal="center" vertical="center" wrapText="1"/>
    </xf>
    <xf numFmtId="0" fontId="10" fillId="0" borderId="3" xfId="0" applyFont="1" applyBorder="1"/>
    <xf numFmtId="0" fontId="9" fillId="3" borderId="2" xfId="0" applyFont="1" applyFill="1" applyBorder="1" applyAlignment="1">
      <alignment horizontal="center" vertical="center"/>
    </xf>
    <xf numFmtId="0" fontId="17" fillId="3" borderId="2" xfId="0" applyFont="1" applyFill="1" applyBorder="1" applyAlignment="1">
      <alignment horizontal="center" vertical="center" wrapText="1"/>
    </xf>
    <xf numFmtId="0" fontId="17" fillId="3" borderId="2" xfId="0" applyFont="1" applyFill="1" applyBorder="1" applyAlignment="1">
      <alignment horizontal="center" vertical="center"/>
    </xf>
    <xf numFmtId="0" fontId="6" fillId="0" borderId="0" xfId="0" applyFont="1"/>
    <xf numFmtId="0" fontId="6" fillId="0" borderId="0" xfId="0" applyFont="1" applyAlignment="1">
      <alignment horizontal="center" wrapText="1"/>
    </xf>
    <xf numFmtId="0" fontId="6" fillId="0" borderId="0" xfId="0" applyFont="1" applyAlignment="1">
      <alignment horizontal="right"/>
    </xf>
    <xf numFmtId="0" fontId="9" fillId="3" borderId="4" xfId="0" applyFont="1" applyFill="1" applyBorder="1" applyAlignment="1">
      <alignment horizontal="center" vertical="center" wrapText="1"/>
    </xf>
    <xf numFmtId="0" fontId="10" fillId="0" borderId="6" xfId="0" applyFont="1" applyBorder="1"/>
    <xf numFmtId="0" fontId="9" fillId="3" borderId="5" xfId="0" applyFont="1" applyFill="1" applyBorder="1" applyAlignment="1">
      <alignment horizontal="center" wrapText="1"/>
    </xf>
    <xf numFmtId="0" fontId="10" fillId="0" borderId="5" xfId="0" applyFont="1" applyBorder="1"/>
    <xf numFmtId="0" fontId="9" fillId="3" borderId="0" xfId="0" applyFont="1" applyFill="1" applyAlignment="1">
      <alignment horizontal="center" wrapText="1"/>
    </xf>
    <xf numFmtId="0" fontId="6" fillId="0" borderId="0" xfId="0" applyFont="1" applyAlignment="1">
      <alignment horizontal="center" vertical="center"/>
    </xf>
    <xf numFmtId="0" fontId="6" fillId="0" borderId="0" xfId="0" applyFont="1" applyAlignment="1">
      <alignment vertical="center"/>
    </xf>
    <xf numFmtId="0" fontId="6" fillId="0" borderId="0" xfId="0" applyFont="1" applyAlignment="1">
      <alignment horizontal="right" vertical="center"/>
    </xf>
    <xf numFmtId="49" fontId="9" fillId="3" borderId="0" xfId="0" applyNumberFormat="1" applyFont="1" applyFill="1" applyAlignment="1">
      <alignment horizontal="center" wrapText="1"/>
    </xf>
    <xf numFmtId="0" fontId="1" fillId="0" borderId="7" xfId="0" applyFont="1" applyBorder="1"/>
    <xf numFmtId="0" fontId="10" fillId="0" borderId="8" xfId="0" applyFont="1" applyBorder="1"/>
  </cellXfs>
  <cellStyles count="1">
    <cellStyle name="Normal" xfId="0" builtinId="0"/>
  </cellStyles>
  <dxfs count="12">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6B26B"/>
          <bgColor rgb="FFF6B26B"/>
        </patternFill>
      </fill>
    </dxf>
    <dxf>
      <fill>
        <patternFill patternType="solid">
          <fgColor rgb="FFFF0000"/>
          <bgColor rgb="FFFF0000"/>
        </patternFill>
      </fill>
    </dxf>
    <dxf>
      <fill>
        <patternFill patternType="solid">
          <fgColor rgb="FFFF0000"/>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hyperlink" Target="http://m.si/" TargetMode="External"/><Relationship Id="rId2" Type="http://schemas.openxmlformats.org/officeDocument/2006/relationships/hyperlink" Target="http://m.si/" TargetMode="External"/><Relationship Id="rId1" Type="http://schemas.openxmlformats.org/officeDocument/2006/relationships/hyperlink" Target="http://m.sc/" TargetMode="External"/></Relationships>
</file>

<file path=xl/worksheets/_rels/sheet5.xml.rels><?xml version="1.0" encoding="UTF-8" standalone="yes"?>
<Relationships xmlns="http://schemas.openxmlformats.org/package/2006/relationships"><Relationship Id="rId13" Type="http://schemas.openxmlformats.org/officeDocument/2006/relationships/hyperlink" Target="http://m.sc/" TargetMode="External"/><Relationship Id="rId18" Type="http://schemas.openxmlformats.org/officeDocument/2006/relationships/hyperlink" Target="http://m.sc/" TargetMode="External"/><Relationship Id="rId26" Type="http://schemas.openxmlformats.org/officeDocument/2006/relationships/hyperlink" Target="http://m.sc/" TargetMode="External"/><Relationship Id="rId39" Type="http://schemas.openxmlformats.org/officeDocument/2006/relationships/hyperlink" Target="http://m.sc/" TargetMode="External"/><Relationship Id="rId21" Type="http://schemas.openxmlformats.org/officeDocument/2006/relationships/hyperlink" Target="http://m.sc/" TargetMode="External"/><Relationship Id="rId34" Type="http://schemas.openxmlformats.org/officeDocument/2006/relationships/hyperlink" Target="http://m.sc/" TargetMode="External"/><Relationship Id="rId42" Type="http://schemas.openxmlformats.org/officeDocument/2006/relationships/hyperlink" Target="http://m.sc/" TargetMode="External"/><Relationship Id="rId47" Type="http://schemas.openxmlformats.org/officeDocument/2006/relationships/hyperlink" Target="http://m.sc/" TargetMode="External"/><Relationship Id="rId50" Type="http://schemas.openxmlformats.org/officeDocument/2006/relationships/hyperlink" Target="http://m.sc/" TargetMode="External"/><Relationship Id="rId55" Type="http://schemas.openxmlformats.org/officeDocument/2006/relationships/hyperlink" Target="http://m.sc/" TargetMode="External"/><Relationship Id="rId7" Type="http://schemas.openxmlformats.org/officeDocument/2006/relationships/hyperlink" Target="http://m.sc/" TargetMode="External"/><Relationship Id="rId2" Type="http://schemas.openxmlformats.org/officeDocument/2006/relationships/hyperlink" Target="http://m.sc/" TargetMode="External"/><Relationship Id="rId16" Type="http://schemas.openxmlformats.org/officeDocument/2006/relationships/hyperlink" Target="http://m.sc/" TargetMode="External"/><Relationship Id="rId29" Type="http://schemas.openxmlformats.org/officeDocument/2006/relationships/hyperlink" Target="http://m.sc/" TargetMode="External"/><Relationship Id="rId11" Type="http://schemas.openxmlformats.org/officeDocument/2006/relationships/hyperlink" Target="http://m.sc/" TargetMode="External"/><Relationship Id="rId24" Type="http://schemas.openxmlformats.org/officeDocument/2006/relationships/hyperlink" Target="http://m.sc/" TargetMode="External"/><Relationship Id="rId32" Type="http://schemas.openxmlformats.org/officeDocument/2006/relationships/hyperlink" Target="http://m.sc/" TargetMode="External"/><Relationship Id="rId37" Type="http://schemas.openxmlformats.org/officeDocument/2006/relationships/hyperlink" Target="http://m.sc/" TargetMode="External"/><Relationship Id="rId40" Type="http://schemas.openxmlformats.org/officeDocument/2006/relationships/hyperlink" Target="http://m.sc/" TargetMode="External"/><Relationship Id="rId45" Type="http://schemas.openxmlformats.org/officeDocument/2006/relationships/hyperlink" Target="http://m.sc/" TargetMode="External"/><Relationship Id="rId53" Type="http://schemas.openxmlformats.org/officeDocument/2006/relationships/hyperlink" Target="http://m.sc/" TargetMode="External"/><Relationship Id="rId58" Type="http://schemas.openxmlformats.org/officeDocument/2006/relationships/hyperlink" Target="http://m.sc/" TargetMode="External"/><Relationship Id="rId5" Type="http://schemas.openxmlformats.org/officeDocument/2006/relationships/hyperlink" Target="http://m.sc/" TargetMode="External"/><Relationship Id="rId61" Type="http://schemas.openxmlformats.org/officeDocument/2006/relationships/hyperlink" Target="http://m.sc/" TargetMode="External"/><Relationship Id="rId19" Type="http://schemas.openxmlformats.org/officeDocument/2006/relationships/hyperlink" Target="http://m.sc/" TargetMode="External"/><Relationship Id="rId14" Type="http://schemas.openxmlformats.org/officeDocument/2006/relationships/hyperlink" Target="http://m.sc/" TargetMode="External"/><Relationship Id="rId22" Type="http://schemas.openxmlformats.org/officeDocument/2006/relationships/hyperlink" Target="http://m.sc/" TargetMode="External"/><Relationship Id="rId27" Type="http://schemas.openxmlformats.org/officeDocument/2006/relationships/hyperlink" Target="http://m.sc/" TargetMode="External"/><Relationship Id="rId30" Type="http://schemas.openxmlformats.org/officeDocument/2006/relationships/hyperlink" Target="http://m.sc/" TargetMode="External"/><Relationship Id="rId35" Type="http://schemas.openxmlformats.org/officeDocument/2006/relationships/hyperlink" Target="http://m.sc/" TargetMode="External"/><Relationship Id="rId43" Type="http://schemas.openxmlformats.org/officeDocument/2006/relationships/hyperlink" Target="http://m.sc/" TargetMode="External"/><Relationship Id="rId48" Type="http://schemas.openxmlformats.org/officeDocument/2006/relationships/hyperlink" Target="http://m.sc/" TargetMode="External"/><Relationship Id="rId56" Type="http://schemas.openxmlformats.org/officeDocument/2006/relationships/hyperlink" Target="http://m.sc/" TargetMode="External"/><Relationship Id="rId8" Type="http://schemas.openxmlformats.org/officeDocument/2006/relationships/hyperlink" Target="http://m.sc/" TargetMode="External"/><Relationship Id="rId51" Type="http://schemas.openxmlformats.org/officeDocument/2006/relationships/hyperlink" Target="http://m.sc/" TargetMode="External"/><Relationship Id="rId3" Type="http://schemas.openxmlformats.org/officeDocument/2006/relationships/hyperlink" Target="http://m.sc/" TargetMode="External"/><Relationship Id="rId12" Type="http://schemas.openxmlformats.org/officeDocument/2006/relationships/hyperlink" Target="http://m.sc/" TargetMode="External"/><Relationship Id="rId17" Type="http://schemas.openxmlformats.org/officeDocument/2006/relationships/hyperlink" Target="http://m.sc/" TargetMode="External"/><Relationship Id="rId25" Type="http://schemas.openxmlformats.org/officeDocument/2006/relationships/hyperlink" Target="http://m.sc/" TargetMode="External"/><Relationship Id="rId33" Type="http://schemas.openxmlformats.org/officeDocument/2006/relationships/hyperlink" Target="http://m.sc/" TargetMode="External"/><Relationship Id="rId38" Type="http://schemas.openxmlformats.org/officeDocument/2006/relationships/hyperlink" Target="http://m.sc/" TargetMode="External"/><Relationship Id="rId46" Type="http://schemas.openxmlformats.org/officeDocument/2006/relationships/hyperlink" Target="http://m.sc/" TargetMode="External"/><Relationship Id="rId59" Type="http://schemas.openxmlformats.org/officeDocument/2006/relationships/hyperlink" Target="http://m.sc/" TargetMode="External"/><Relationship Id="rId20" Type="http://schemas.openxmlformats.org/officeDocument/2006/relationships/hyperlink" Target="http://m.sc/" TargetMode="External"/><Relationship Id="rId41" Type="http://schemas.openxmlformats.org/officeDocument/2006/relationships/hyperlink" Target="http://m.sc/" TargetMode="External"/><Relationship Id="rId54" Type="http://schemas.openxmlformats.org/officeDocument/2006/relationships/hyperlink" Target="http://m.sc/" TargetMode="External"/><Relationship Id="rId1" Type="http://schemas.openxmlformats.org/officeDocument/2006/relationships/hyperlink" Target="http://m.sc/" TargetMode="External"/><Relationship Id="rId6" Type="http://schemas.openxmlformats.org/officeDocument/2006/relationships/hyperlink" Target="http://m.sc/" TargetMode="External"/><Relationship Id="rId15" Type="http://schemas.openxmlformats.org/officeDocument/2006/relationships/hyperlink" Target="http://m.sc/" TargetMode="External"/><Relationship Id="rId23" Type="http://schemas.openxmlformats.org/officeDocument/2006/relationships/hyperlink" Target="http://m.sc/" TargetMode="External"/><Relationship Id="rId28" Type="http://schemas.openxmlformats.org/officeDocument/2006/relationships/hyperlink" Target="http://m.sc/" TargetMode="External"/><Relationship Id="rId36" Type="http://schemas.openxmlformats.org/officeDocument/2006/relationships/hyperlink" Target="http://m.sc/" TargetMode="External"/><Relationship Id="rId49" Type="http://schemas.openxmlformats.org/officeDocument/2006/relationships/hyperlink" Target="http://m.sc/" TargetMode="External"/><Relationship Id="rId57" Type="http://schemas.openxmlformats.org/officeDocument/2006/relationships/hyperlink" Target="http://m.sc/" TargetMode="External"/><Relationship Id="rId10" Type="http://schemas.openxmlformats.org/officeDocument/2006/relationships/hyperlink" Target="http://m.sc/" TargetMode="External"/><Relationship Id="rId31" Type="http://schemas.openxmlformats.org/officeDocument/2006/relationships/hyperlink" Target="http://m.sc/" TargetMode="External"/><Relationship Id="rId44" Type="http://schemas.openxmlformats.org/officeDocument/2006/relationships/hyperlink" Target="http://m.sc/" TargetMode="External"/><Relationship Id="rId52" Type="http://schemas.openxmlformats.org/officeDocument/2006/relationships/hyperlink" Target="http://m.sc/" TargetMode="External"/><Relationship Id="rId60" Type="http://schemas.openxmlformats.org/officeDocument/2006/relationships/hyperlink" Target="http://m.sc/" TargetMode="External"/><Relationship Id="rId4" Type="http://schemas.openxmlformats.org/officeDocument/2006/relationships/hyperlink" Target="http://m.sc/" TargetMode="External"/><Relationship Id="rId9" Type="http://schemas.openxmlformats.org/officeDocument/2006/relationships/hyperlink" Target="http://m.sc/" TargetMode="External"/></Relationships>
</file>

<file path=xl/worksheets/_rels/sheet6.xml.rels><?xml version="1.0" encoding="UTF-8" standalone="yes"?>
<Relationships xmlns="http://schemas.openxmlformats.org/package/2006/relationships"><Relationship Id="rId26" Type="http://schemas.openxmlformats.org/officeDocument/2006/relationships/hyperlink" Target="http://m.mt/" TargetMode="External"/><Relationship Id="rId21" Type="http://schemas.openxmlformats.org/officeDocument/2006/relationships/hyperlink" Target="http://m.mt/" TargetMode="External"/><Relationship Id="rId42" Type="http://schemas.openxmlformats.org/officeDocument/2006/relationships/hyperlink" Target="http://m.mt/" TargetMode="External"/><Relationship Id="rId47" Type="http://schemas.openxmlformats.org/officeDocument/2006/relationships/hyperlink" Target="http://m.mt/" TargetMode="External"/><Relationship Id="rId63" Type="http://schemas.openxmlformats.org/officeDocument/2006/relationships/hyperlink" Target="http://m.mt/" TargetMode="External"/><Relationship Id="rId68" Type="http://schemas.openxmlformats.org/officeDocument/2006/relationships/hyperlink" Target="http://m.mt/" TargetMode="External"/><Relationship Id="rId84" Type="http://schemas.openxmlformats.org/officeDocument/2006/relationships/hyperlink" Target="http://m.mt/" TargetMode="External"/><Relationship Id="rId89" Type="http://schemas.openxmlformats.org/officeDocument/2006/relationships/hyperlink" Target="http://m.mt/" TargetMode="External"/><Relationship Id="rId16" Type="http://schemas.openxmlformats.org/officeDocument/2006/relationships/hyperlink" Target="http://m.mt/" TargetMode="External"/><Relationship Id="rId11" Type="http://schemas.openxmlformats.org/officeDocument/2006/relationships/hyperlink" Target="http://m.mt/" TargetMode="External"/><Relationship Id="rId32" Type="http://schemas.openxmlformats.org/officeDocument/2006/relationships/hyperlink" Target="http://m.mt/" TargetMode="External"/><Relationship Id="rId37" Type="http://schemas.openxmlformats.org/officeDocument/2006/relationships/hyperlink" Target="http://m.mt/" TargetMode="External"/><Relationship Id="rId53" Type="http://schemas.openxmlformats.org/officeDocument/2006/relationships/hyperlink" Target="http://m.mt/" TargetMode="External"/><Relationship Id="rId58" Type="http://schemas.openxmlformats.org/officeDocument/2006/relationships/hyperlink" Target="http://m.mt/" TargetMode="External"/><Relationship Id="rId74" Type="http://schemas.openxmlformats.org/officeDocument/2006/relationships/hyperlink" Target="http://m.mt/" TargetMode="External"/><Relationship Id="rId79" Type="http://schemas.openxmlformats.org/officeDocument/2006/relationships/hyperlink" Target="http://m.mt/" TargetMode="External"/><Relationship Id="rId5" Type="http://schemas.openxmlformats.org/officeDocument/2006/relationships/hyperlink" Target="http://m.mt/" TargetMode="External"/><Relationship Id="rId90" Type="http://schemas.openxmlformats.org/officeDocument/2006/relationships/hyperlink" Target="http://m.mt/" TargetMode="External"/><Relationship Id="rId22" Type="http://schemas.openxmlformats.org/officeDocument/2006/relationships/hyperlink" Target="http://m.mt/" TargetMode="External"/><Relationship Id="rId27" Type="http://schemas.openxmlformats.org/officeDocument/2006/relationships/hyperlink" Target="http://m.mt/" TargetMode="External"/><Relationship Id="rId43" Type="http://schemas.openxmlformats.org/officeDocument/2006/relationships/hyperlink" Target="http://m.mt/" TargetMode="External"/><Relationship Id="rId48" Type="http://schemas.openxmlformats.org/officeDocument/2006/relationships/hyperlink" Target="http://m.mt/" TargetMode="External"/><Relationship Id="rId64" Type="http://schemas.openxmlformats.org/officeDocument/2006/relationships/hyperlink" Target="http://m.mt/" TargetMode="External"/><Relationship Id="rId69" Type="http://schemas.openxmlformats.org/officeDocument/2006/relationships/hyperlink" Target="http://m.mt/" TargetMode="External"/><Relationship Id="rId8" Type="http://schemas.openxmlformats.org/officeDocument/2006/relationships/hyperlink" Target="http://m.mt/" TargetMode="External"/><Relationship Id="rId51" Type="http://schemas.openxmlformats.org/officeDocument/2006/relationships/hyperlink" Target="http://m.mt/" TargetMode="External"/><Relationship Id="rId72" Type="http://schemas.openxmlformats.org/officeDocument/2006/relationships/hyperlink" Target="http://m.mt/" TargetMode="External"/><Relationship Id="rId80" Type="http://schemas.openxmlformats.org/officeDocument/2006/relationships/hyperlink" Target="http://m.mt/" TargetMode="External"/><Relationship Id="rId85" Type="http://schemas.openxmlformats.org/officeDocument/2006/relationships/hyperlink" Target="http://m.mt/" TargetMode="External"/><Relationship Id="rId93" Type="http://schemas.openxmlformats.org/officeDocument/2006/relationships/hyperlink" Target="http://m.mt/" TargetMode="External"/><Relationship Id="rId3" Type="http://schemas.openxmlformats.org/officeDocument/2006/relationships/hyperlink" Target="http://m.mt/" TargetMode="External"/><Relationship Id="rId12" Type="http://schemas.openxmlformats.org/officeDocument/2006/relationships/hyperlink" Target="http://m.mt/" TargetMode="External"/><Relationship Id="rId17" Type="http://schemas.openxmlformats.org/officeDocument/2006/relationships/hyperlink" Target="http://m.mt/" TargetMode="External"/><Relationship Id="rId25" Type="http://schemas.openxmlformats.org/officeDocument/2006/relationships/hyperlink" Target="http://m.mt/" TargetMode="External"/><Relationship Id="rId33" Type="http://schemas.openxmlformats.org/officeDocument/2006/relationships/hyperlink" Target="http://m.mt/" TargetMode="External"/><Relationship Id="rId38" Type="http://schemas.openxmlformats.org/officeDocument/2006/relationships/hyperlink" Target="http://m.mt/" TargetMode="External"/><Relationship Id="rId46" Type="http://schemas.openxmlformats.org/officeDocument/2006/relationships/hyperlink" Target="http://m.mt/" TargetMode="External"/><Relationship Id="rId59" Type="http://schemas.openxmlformats.org/officeDocument/2006/relationships/hyperlink" Target="http://m.mt/" TargetMode="External"/><Relationship Id="rId67" Type="http://schemas.openxmlformats.org/officeDocument/2006/relationships/hyperlink" Target="http://m.mt/" TargetMode="External"/><Relationship Id="rId20" Type="http://schemas.openxmlformats.org/officeDocument/2006/relationships/hyperlink" Target="http://m.mt/" TargetMode="External"/><Relationship Id="rId41" Type="http://schemas.openxmlformats.org/officeDocument/2006/relationships/hyperlink" Target="http://m.mt/" TargetMode="External"/><Relationship Id="rId54" Type="http://schemas.openxmlformats.org/officeDocument/2006/relationships/hyperlink" Target="http://m.mt/" TargetMode="External"/><Relationship Id="rId62" Type="http://schemas.openxmlformats.org/officeDocument/2006/relationships/hyperlink" Target="http://m.mt/" TargetMode="External"/><Relationship Id="rId70" Type="http://schemas.openxmlformats.org/officeDocument/2006/relationships/hyperlink" Target="http://m.mt/" TargetMode="External"/><Relationship Id="rId75" Type="http://schemas.openxmlformats.org/officeDocument/2006/relationships/hyperlink" Target="http://m.mt/" TargetMode="External"/><Relationship Id="rId83" Type="http://schemas.openxmlformats.org/officeDocument/2006/relationships/hyperlink" Target="http://m.mt/" TargetMode="External"/><Relationship Id="rId88" Type="http://schemas.openxmlformats.org/officeDocument/2006/relationships/hyperlink" Target="http://m.mt/" TargetMode="External"/><Relationship Id="rId91" Type="http://schemas.openxmlformats.org/officeDocument/2006/relationships/hyperlink" Target="http://m.mt/" TargetMode="External"/><Relationship Id="rId1" Type="http://schemas.openxmlformats.org/officeDocument/2006/relationships/hyperlink" Target="http://m.mt/" TargetMode="External"/><Relationship Id="rId6" Type="http://schemas.openxmlformats.org/officeDocument/2006/relationships/hyperlink" Target="http://m.mt/" TargetMode="External"/><Relationship Id="rId15" Type="http://schemas.openxmlformats.org/officeDocument/2006/relationships/hyperlink" Target="http://m.mt/" TargetMode="External"/><Relationship Id="rId23" Type="http://schemas.openxmlformats.org/officeDocument/2006/relationships/hyperlink" Target="http://m.mt/" TargetMode="External"/><Relationship Id="rId28" Type="http://schemas.openxmlformats.org/officeDocument/2006/relationships/hyperlink" Target="http://m.mt/" TargetMode="External"/><Relationship Id="rId36" Type="http://schemas.openxmlformats.org/officeDocument/2006/relationships/hyperlink" Target="http://m.mt/" TargetMode="External"/><Relationship Id="rId49" Type="http://schemas.openxmlformats.org/officeDocument/2006/relationships/hyperlink" Target="http://m.mt/" TargetMode="External"/><Relationship Id="rId57" Type="http://schemas.openxmlformats.org/officeDocument/2006/relationships/hyperlink" Target="http://m.mt/" TargetMode="External"/><Relationship Id="rId10" Type="http://schemas.openxmlformats.org/officeDocument/2006/relationships/hyperlink" Target="http://m.mt/" TargetMode="External"/><Relationship Id="rId31" Type="http://schemas.openxmlformats.org/officeDocument/2006/relationships/hyperlink" Target="http://m.mt/" TargetMode="External"/><Relationship Id="rId44" Type="http://schemas.openxmlformats.org/officeDocument/2006/relationships/hyperlink" Target="http://m.mt/" TargetMode="External"/><Relationship Id="rId52" Type="http://schemas.openxmlformats.org/officeDocument/2006/relationships/hyperlink" Target="http://m.mt/" TargetMode="External"/><Relationship Id="rId60" Type="http://schemas.openxmlformats.org/officeDocument/2006/relationships/hyperlink" Target="http://m.mt/" TargetMode="External"/><Relationship Id="rId65" Type="http://schemas.openxmlformats.org/officeDocument/2006/relationships/hyperlink" Target="http://m.mt/" TargetMode="External"/><Relationship Id="rId73" Type="http://schemas.openxmlformats.org/officeDocument/2006/relationships/hyperlink" Target="http://m.mt/" TargetMode="External"/><Relationship Id="rId78" Type="http://schemas.openxmlformats.org/officeDocument/2006/relationships/hyperlink" Target="http://m.mt/" TargetMode="External"/><Relationship Id="rId81" Type="http://schemas.openxmlformats.org/officeDocument/2006/relationships/hyperlink" Target="http://m.mt/" TargetMode="External"/><Relationship Id="rId86" Type="http://schemas.openxmlformats.org/officeDocument/2006/relationships/hyperlink" Target="http://m.mt/" TargetMode="External"/><Relationship Id="rId4" Type="http://schemas.openxmlformats.org/officeDocument/2006/relationships/hyperlink" Target="http://m.mt/" TargetMode="External"/><Relationship Id="rId9" Type="http://schemas.openxmlformats.org/officeDocument/2006/relationships/hyperlink" Target="http://m.mt/" TargetMode="External"/><Relationship Id="rId13" Type="http://schemas.openxmlformats.org/officeDocument/2006/relationships/hyperlink" Target="http://m.mt/" TargetMode="External"/><Relationship Id="rId18" Type="http://schemas.openxmlformats.org/officeDocument/2006/relationships/hyperlink" Target="http://m.mt/" TargetMode="External"/><Relationship Id="rId39" Type="http://schemas.openxmlformats.org/officeDocument/2006/relationships/hyperlink" Target="http://m.mt/" TargetMode="External"/><Relationship Id="rId34" Type="http://schemas.openxmlformats.org/officeDocument/2006/relationships/hyperlink" Target="http://m.mt/" TargetMode="External"/><Relationship Id="rId50" Type="http://schemas.openxmlformats.org/officeDocument/2006/relationships/hyperlink" Target="http://m.mt/" TargetMode="External"/><Relationship Id="rId55" Type="http://schemas.openxmlformats.org/officeDocument/2006/relationships/hyperlink" Target="http://m.mt/" TargetMode="External"/><Relationship Id="rId76" Type="http://schemas.openxmlformats.org/officeDocument/2006/relationships/hyperlink" Target="http://m.mt/" TargetMode="External"/><Relationship Id="rId7" Type="http://schemas.openxmlformats.org/officeDocument/2006/relationships/hyperlink" Target="http://m.mt/" TargetMode="External"/><Relationship Id="rId71" Type="http://schemas.openxmlformats.org/officeDocument/2006/relationships/hyperlink" Target="http://m.mt/" TargetMode="External"/><Relationship Id="rId92" Type="http://schemas.openxmlformats.org/officeDocument/2006/relationships/hyperlink" Target="http://m.mt/" TargetMode="External"/><Relationship Id="rId2" Type="http://schemas.openxmlformats.org/officeDocument/2006/relationships/hyperlink" Target="http://m.mt/" TargetMode="External"/><Relationship Id="rId29" Type="http://schemas.openxmlformats.org/officeDocument/2006/relationships/hyperlink" Target="http://m.mt/" TargetMode="External"/><Relationship Id="rId24" Type="http://schemas.openxmlformats.org/officeDocument/2006/relationships/hyperlink" Target="http://m.mt/" TargetMode="External"/><Relationship Id="rId40" Type="http://schemas.openxmlformats.org/officeDocument/2006/relationships/hyperlink" Target="http://m.mt/" TargetMode="External"/><Relationship Id="rId45" Type="http://schemas.openxmlformats.org/officeDocument/2006/relationships/hyperlink" Target="http://m.mt/" TargetMode="External"/><Relationship Id="rId66" Type="http://schemas.openxmlformats.org/officeDocument/2006/relationships/hyperlink" Target="http://m.mt/" TargetMode="External"/><Relationship Id="rId87" Type="http://schemas.openxmlformats.org/officeDocument/2006/relationships/hyperlink" Target="http://m.mt/" TargetMode="External"/><Relationship Id="rId61" Type="http://schemas.openxmlformats.org/officeDocument/2006/relationships/hyperlink" Target="http://m.mt/" TargetMode="External"/><Relationship Id="rId82" Type="http://schemas.openxmlformats.org/officeDocument/2006/relationships/hyperlink" Target="http://m.mt/" TargetMode="External"/><Relationship Id="rId19" Type="http://schemas.openxmlformats.org/officeDocument/2006/relationships/hyperlink" Target="http://m.mt/" TargetMode="External"/><Relationship Id="rId14" Type="http://schemas.openxmlformats.org/officeDocument/2006/relationships/hyperlink" Target="http://m.mt/" TargetMode="External"/><Relationship Id="rId30" Type="http://schemas.openxmlformats.org/officeDocument/2006/relationships/hyperlink" Target="http://m.mt/" TargetMode="External"/><Relationship Id="rId35" Type="http://schemas.openxmlformats.org/officeDocument/2006/relationships/hyperlink" Target="http://m.mt/" TargetMode="External"/><Relationship Id="rId56" Type="http://schemas.openxmlformats.org/officeDocument/2006/relationships/hyperlink" Target="http://m.mt/" TargetMode="External"/><Relationship Id="rId77" Type="http://schemas.openxmlformats.org/officeDocument/2006/relationships/hyperlink" Target="http://m.mt/"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classroom.its.ac.id/course/view.php?id=10624" TargetMode="External"/><Relationship Id="rId2" Type="http://schemas.openxmlformats.org/officeDocument/2006/relationships/hyperlink" Target="https://classroom.its.ac.id/course/view.php?id=10624" TargetMode="External"/><Relationship Id="rId1" Type="http://schemas.openxmlformats.org/officeDocument/2006/relationships/hyperlink" Target="https://classroom.its.ac.id/course/view.php?id=10624" TargetMode="External"/><Relationship Id="rId6" Type="http://schemas.openxmlformats.org/officeDocument/2006/relationships/hyperlink" Target="https://classroom.its.ac.id/course/view.php?id=10624" TargetMode="External"/><Relationship Id="rId5" Type="http://schemas.openxmlformats.org/officeDocument/2006/relationships/hyperlink" Target="https://classroom.its.ac.id/course/view.php?id=10624" TargetMode="External"/><Relationship Id="rId4" Type="http://schemas.openxmlformats.org/officeDocument/2006/relationships/hyperlink" Target="https://classroom.its.ac.id/course/view.php?id=10624" TargetMode="External"/></Relationships>
</file>

<file path=xl/worksheets/_rels/sheet9.xml.rels><?xml version="1.0" encoding="UTF-8" standalone="yes"?>
<Relationships xmlns="http://schemas.openxmlformats.org/package/2006/relationships"><Relationship Id="rId13" Type="http://schemas.openxmlformats.org/officeDocument/2006/relationships/hyperlink" Target="http://m.sc/" TargetMode="External"/><Relationship Id="rId18" Type="http://schemas.openxmlformats.org/officeDocument/2006/relationships/hyperlink" Target="http://m.sc/" TargetMode="External"/><Relationship Id="rId26" Type="http://schemas.openxmlformats.org/officeDocument/2006/relationships/hyperlink" Target="http://m.sc/" TargetMode="External"/><Relationship Id="rId39" Type="http://schemas.openxmlformats.org/officeDocument/2006/relationships/hyperlink" Target="http://m.sc/" TargetMode="External"/><Relationship Id="rId21" Type="http://schemas.openxmlformats.org/officeDocument/2006/relationships/hyperlink" Target="http://m.sc/" TargetMode="External"/><Relationship Id="rId34" Type="http://schemas.openxmlformats.org/officeDocument/2006/relationships/hyperlink" Target="http://m.sc/" TargetMode="External"/><Relationship Id="rId42" Type="http://schemas.openxmlformats.org/officeDocument/2006/relationships/hyperlink" Target="http://m.sc/" TargetMode="External"/><Relationship Id="rId47" Type="http://schemas.openxmlformats.org/officeDocument/2006/relationships/hyperlink" Target="http://m.sc/" TargetMode="External"/><Relationship Id="rId50" Type="http://schemas.openxmlformats.org/officeDocument/2006/relationships/hyperlink" Target="http://m.sc/" TargetMode="External"/><Relationship Id="rId55" Type="http://schemas.openxmlformats.org/officeDocument/2006/relationships/hyperlink" Target="http://m.sc/" TargetMode="External"/><Relationship Id="rId7" Type="http://schemas.openxmlformats.org/officeDocument/2006/relationships/hyperlink" Target="http://m.sc/" TargetMode="External"/><Relationship Id="rId2" Type="http://schemas.openxmlformats.org/officeDocument/2006/relationships/hyperlink" Target="http://m.sc/" TargetMode="External"/><Relationship Id="rId16" Type="http://schemas.openxmlformats.org/officeDocument/2006/relationships/hyperlink" Target="http://m.sc/" TargetMode="External"/><Relationship Id="rId29" Type="http://schemas.openxmlformats.org/officeDocument/2006/relationships/hyperlink" Target="http://m.sc/" TargetMode="External"/><Relationship Id="rId11" Type="http://schemas.openxmlformats.org/officeDocument/2006/relationships/hyperlink" Target="http://m.sc/" TargetMode="External"/><Relationship Id="rId24" Type="http://schemas.openxmlformats.org/officeDocument/2006/relationships/hyperlink" Target="http://m.sc/" TargetMode="External"/><Relationship Id="rId32" Type="http://schemas.openxmlformats.org/officeDocument/2006/relationships/hyperlink" Target="http://m.sc/" TargetMode="External"/><Relationship Id="rId37" Type="http://schemas.openxmlformats.org/officeDocument/2006/relationships/hyperlink" Target="http://m.sc/" TargetMode="External"/><Relationship Id="rId40" Type="http://schemas.openxmlformats.org/officeDocument/2006/relationships/hyperlink" Target="http://m.sc/" TargetMode="External"/><Relationship Id="rId45" Type="http://schemas.openxmlformats.org/officeDocument/2006/relationships/hyperlink" Target="http://m.sc/" TargetMode="External"/><Relationship Id="rId53" Type="http://schemas.openxmlformats.org/officeDocument/2006/relationships/hyperlink" Target="http://m.sc/" TargetMode="External"/><Relationship Id="rId5" Type="http://schemas.openxmlformats.org/officeDocument/2006/relationships/hyperlink" Target="http://m.sc/" TargetMode="External"/><Relationship Id="rId19" Type="http://schemas.openxmlformats.org/officeDocument/2006/relationships/hyperlink" Target="http://m.sc/" TargetMode="External"/><Relationship Id="rId4" Type="http://schemas.openxmlformats.org/officeDocument/2006/relationships/hyperlink" Target="http://m.sc/" TargetMode="External"/><Relationship Id="rId9" Type="http://schemas.openxmlformats.org/officeDocument/2006/relationships/hyperlink" Target="http://m.sc/" TargetMode="External"/><Relationship Id="rId14" Type="http://schemas.openxmlformats.org/officeDocument/2006/relationships/hyperlink" Target="http://m.sc/" TargetMode="External"/><Relationship Id="rId22" Type="http://schemas.openxmlformats.org/officeDocument/2006/relationships/hyperlink" Target="http://m.sc/" TargetMode="External"/><Relationship Id="rId27" Type="http://schemas.openxmlformats.org/officeDocument/2006/relationships/hyperlink" Target="http://m.sc/" TargetMode="External"/><Relationship Id="rId30" Type="http://schemas.openxmlformats.org/officeDocument/2006/relationships/hyperlink" Target="http://m.sc/" TargetMode="External"/><Relationship Id="rId35" Type="http://schemas.openxmlformats.org/officeDocument/2006/relationships/hyperlink" Target="http://m.sc/" TargetMode="External"/><Relationship Id="rId43" Type="http://schemas.openxmlformats.org/officeDocument/2006/relationships/hyperlink" Target="http://m.sc/" TargetMode="External"/><Relationship Id="rId48" Type="http://schemas.openxmlformats.org/officeDocument/2006/relationships/hyperlink" Target="http://m.sc/" TargetMode="External"/><Relationship Id="rId56" Type="http://schemas.openxmlformats.org/officeDocument/2006/relationships/hyperlink" Target="http://m.sc/" TargetMode="External"/><Relationship Id="rId8" Type="http://schemas.openxmlformats.org/officeDocument/2006/relationships/hyperlink" Target="http://m.sc/" TargetMode="External"/><Relationship Id="rId51" Type="http://schemas.openxmlformats.org/officeDocument/2006/relationships/hyperlink" Target="http://m.sc/" TargetMode="External"/><Relationship Id="rId3" Type="http://schemas.openxmlformats.org/officeDocument/2006/relationships/hyperlink" Target="http://m.sc/" TargetMode="External"/><Relationship Id="rId12" Type="http://schemas.openxmlformats.org/officeDocument/2006/relationships/hyperlink" Target="http://m.sc/" TargetMode="External"/><Relationship Id="rId17" Type="http://schemas.openxmlformats.org/officeDocument/2006/relationships/hyperlink" Target="http://m.sc/" TargetMode="External"/><Relationship Id="rId25" Type="http://schemas.openxmlformats.org/officeDocument/2006/relationships/hyperlink" Target="http://m.sc/" TargetMode="External"/><Relationship Id="rId33" Type="http://schemas.openxmlformats.org/officeDocument/2006/relationships/hyperlink" Target="http://m.sc/" TargetMode="External"/><Relationship Id="rId38" Type="http://schemas.openxmlformats.org/officeDocument/2006/relationships/hyperlink" Target="http://m.sc/" TargetMode="External"/><Relationship Id="rId46" Type="http://schemas.openxmlformats.org/officeDocument/2006/relationships/hyperlink" Target="http://m.sc/" TargetMode="External"/><Relationship Id="rId20" Type="http://schemas.openxmlformats.org/officeDocument/2006/relationships/hyperlink" Target="http://m.sc/" TargetMode="External"/><Relationship Id="rId41" Type="http://schemas.openxmlformats.org/officeDocument/2006/relationships/hyperlink" Target="http://m.sc/" TargetMode="External"/><Relationship Id="rId54" Type="http://schemas.openxmlformats.org/officeDocument/2006/relationships/hyperlink" Target="http://m.sc/" TargetMode="External"/><Relationship Id="rId1" Type="http://schemas.openxmlformats.org/officeDocument/2006/relationships/hyperlink" Target="http://m.sc/" TargetMode="External"/><Relationship Id="rId6" Type="http://schemas.openxmlformats.org/officeDocument/2006/relationships/hyperlink" Target="http://m.sc/" TargetMode="External"/><Relationship Id="rId15" Type="http://schemas.openxmlformats.org/officeDocument/2006/relationships/hyperlink" Target="http://m.sc/" TargetMode="External"/><Relationship Id="rId23" Type="http://schemas.openxmlformats.org/officeDocument/2006/relationships/hyperlink" Target="http://m.sc/" TargetMode="External"/><Relationship Id="rId28" Type="http://schemas.openxmlformats.org/officeDocument/2006/relationships/hyperlink" Target="http://m.sc/" TargetMode="External"/><Relationship Id="rId36" Type="http://schemas.openxmlformats.org/officeDocument/2006/relationships/hyperlink" Target="http://m.sc/" TargetMode="External"/><Relationship Id="rId49" Type="http://schemas.openxmlformats.org/officeDocument/2006/relationships/hyperlink" Target="http://m.sc/" TargetMode="External"/><Relationship Id="rId57" Type="http://schemas.openxmlformats.org/officeDocument/2006/relationships/hyperlink" Target="http://m.sc/" TargetMode="External"/><Relationship Id="rId10" Type="http://schemas.openxmlformats.org/officeDocument/2006/relationships/hyperlink" Target="http://m.sc/" TargetMode="External"/><Relationship Id="rId31" Type="http://schemas.openxmlformats.org/officeDocument/2006/relationships/hyperlink" Target="http://m.sc/" TargetMode="External"/><Relationship Id="rId44" Type="http://schemas.openxmlformats.org/officeDocument/2006/relationships/hyperlink" Target="http://m.sc/" TargetMode="External"/><Relationship Id="rId52" Type="http://schemas.openxmlformats.org/officeDocument/2006/relationships/hyperlink" Target="http://m.sc/"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m.sc/" TargetMode="External"/><Relationship Id="rId21" Type="http://schemas.openxmlformats.org/officeDocument/2006/relationships/hyperlink" Target="http://m.sc/" TargetMode="External"/><Relationship Id="rId42" Type="http://schemas.openxmlformats.org/officeDocument/2006/relationships/hyperlink" Target="http://m.sc/" TargetMode="External"/><Relationship Id="rId63" Type="http://schemas.openxmlformats.org/officeDocument/2006/relationships/hyperlink" Target="http://m.sc/" TargetMode="External"/><Relationship Id="rId84" Type="http://schemas.openxmlformats.org/officeDocument/2006/relationships/hyperlink" Target="http://m.sc/" TargetMode="External"/><Relationship Id="rId138" Type="http://schemas.openxmlformats.org/officeDocument/2006/relationships/hyperlink" Target="http://m.sc/" TargetMode="External"/><Relationship Id="rId159" Type="http://schemas.openxmlformats.org/officeDocument/2006/relationships/hyperlink" Target="http://m.sc/" TargetMode="External"/><Relationship Id="rId170" Type="http://schemas.openxmlformats.org/officeDocument/2006/relationships/hyperlink" Target="http://m.sc/" TargetMode="External"/><Relationship Id="rId107" Type="http://schemas.openxmlformats.org/officeDocument/2006/relationships/hyperlink" Target="http://m.sc/" TargetMode="External"/><Relationship Id="rId11" Type="http://schemas.openxmlformats.org/officeDocument/2006/relationships/hyperlink" Target="http://m.sc/" TargetMode="External"/><Relationship Id="rId32" Type="http://schemas.openxmlformats.org/officeDocument/2006/relationships/hyperlink" Target="http://m.sc/" TargetMode="External"/><Relationship Id="rId53" Type="http://schemas.openxmlformats.org/officeDocument/2006/relationships/hyperlink" Target="http://m.sc/" TargetMode="External"/><Relationship Id="rId74" Type="http://schemas.openxmlformats.org/officeDocument/2006/relationships/hyperlink" Target="http://m.sc/" TargetMode="External"/><Relationship Id="rId128" Type="http://schemas.openxmlformats.org/officeDocument/2006/relationships/hyperlink" Target="http://m.sc/" TargetMode="External"/><Relationship Id="rId149" Type="http://schemas.openxmlformats.org/officeDocument/2006/relationships/hyperlink" Target="http://m.sc/" TargetMode="External"/><Relationship Id="rId5" Type="http://schemas.openxmlformats.org/officeDocument/2006/relationships/hyperlink" Target="http://m.sc/" TargetMode="External"/><Relationship Id="rId95" Type="http://schemas.openxmlformats.org/officeDocument/2006/relationships/hyperlink" Target="http://m.sc/" TargetMode="External"/><Relationship Id="rId160" Type="http://schemas.openxmlformats.org/officeDocument/2006/relationships/hyperlink" Target="http://m.sc/" TargetMode="External"/><Relationship Id="rId22" Type="http://schemas.openxmlformats.org/officeDocument/2006/relationships/hyperlink" Target="http://m.sc/" TargetMode="External"/><Relationship Id="rId43" Type="http://schemas.openxmlformats.org/officeDocument/2006/relationships/hyperlink" Target="http://m.sc/" TargetMode="External"/><Relationship Id="rId64" Type="http://schemas.openxmlformats.org/officeDocument/2006/relationships/hyperlink" Target="http://m.sc/" TargetMode="External"/><Relationship Id="rId118" Type="http://schemas.openxmlformats.org/officeDocument/2006/relationships/hyperlink" Target="http://m.sc/" TargetMode="External"/><Relationship Id="rId139" Type="http://schemas.openxmlformats.org/officeDocument/2006/relationships/hyperlink" Target="http://m.sc/" TargetMode="External"/><Relationship Id="rId85" Type="http://schemas.openxmlformats.org/officeDocument/2006/relationships/hyperlink" Target="http://m.sc/" TargetMode="External"/><Relationship Id="rId150" Type="http://schemas.openxmlformats.org/officeDocument/2006/relationships/hyperlink" Target="http://m.sc/" TargetMode="External"/><Relationship Id="rId171" Type="http://schemas.openxmlformats.org/officeDocument/2006/relationships/hyperlink" Target="http://m.sc/" TargetMode="External"/><Relationship Id="rId12" Type="http://schemas.openxmlformats.org/officeDocument/2006/relationships/hyperlink" Target="http://m.sc/" TargetMode="External"/><Relationship Id="rId33" Type="http://schemas.openxmlformats.org/officeDocument/2006/relationships/hyperlink" Target="http://m.sc/" TargetMode="External"/><Relationship Id="rId108" Type="http://schemas.openxmlformats.org/officeDocument/2006/relationships/hyperlink" Target="http://m.sc/" TargetMode="External"/><Relationship Id="rId129" Type="http://schemas.openxmlformats.org/officeDocument/2006/relationships/hyperlink" Target="http://m.sc/" TargetMode="External"/><Relationship Id="rId54" Type="http://schemas.openxmlformats.org/officeDocument/2006/relationships/hyperlink" Target="http://m.sc/" TargetMode="External"/><Relationship Id="rId75" Type="http://schemas.openxmlformats.org/officeDocument/2006/relationships/hyperlink" Target="http://m.sc/" TargetMode="External"/><Relationship Id="rId96" Type="http://schemas.openxmlformats.org/officeDocument/2006/relationships/hyperlink" Target="http://m.sc/" TargetMode="External"/><Relationship Id="rId140" Type="http://schemas.openxmlformats.org/officeDocument/2006/relationships/hyperlink" Target="http://m.sc/" TargetMode="External"/><Relationship Id="rId161" Type="http://schemas.openxmlformats.org/officeDocument/2006/relationships/hyperlink" Target="http://m.sc/" TargetMode="External"/><Relationship Id="rId6" Type="http://schemas.openxmlformats.org/officeDocument/2006/relationships/hyperlink" Target="http://m.sc/" TargetMode="External"/><Relationship Id="rId23" Type="http://schemas.openxmlformats.org/officeDocument/2006/relationships/hyperlink" Target="http://m.sc/" TargetMode="External"/><Relationship Id="rId28" Type="http://schemas.openxmlformats.org/officeDocument/2006/relationships/hyperlink" Target="http://m.sc/" TargetMode="External"/><Relationship Id="rId49" Type="http://schemas.openxmlformats.org/officeDocument/2006/relationships/hyperlink" Target="http://m.sc/" TargetMode="External"/><Relationship Id="rId114" Type="http://schemas.openxmlformats.org/officeDocument/2006/relationships/hyperlink" Target="http://m.sc/" TargetMode="External"/><Relationship Id="rId119" Type="http://schemas.openxmlformats.org/officeDocument/2006/relationships/hyperlink" Target="http://m.sc/" TargetMode="External"/><Relationship Id="rId44" Type="http://schemas.openxmlformats.org/officeDocument/2006/relationships/hyperlink" Target="http://m.sc/" TargetMode="External"/><Relationship Id="rId60" Type="http://schemas.openxmlformats.org/officeDocument/2006/relationships/hyperlink" Target="http://m.sc/" TargetMode="External"/><Relationship Id="rId65" Type="http://schemas.openxmlformats.org/officeDocument/2006/relationships/hyperlink" Target="http://m.sc/" TargetMode="External"/><Relationship Id="rId81" Type="http://schemas.openxmlformats.org/officeDocument/2006/relationships/hyperlink" Target="http://m.sc/" TargetMode="External"/><Relationship Id="rId86" Type="http://schemas.openxmlformats.org/officeDocument/2006/relationships/hyperlink" Target="http://m.sc/" TargetMode="External"/><Relationship Id="rId130" Type="http://schemas.openxmlformats.org/officeDocument/2006/relationships/hyperlink" Target="http://m.sc/" TargetMode="External"/><Relationship Id="rId135" Type="http://schemas.openxmlformats.org/officeDocument/2006/relationships/hyperlink" Target="http://m.sc/" TargetMode="External"/><Relationship Id="rId151" Type="http://schemas.openxmlformats.org/officeDocument/2006/relationships/hyperlink" Target="http://m.sc/" TargetMode="External"/><Relationship Id="rId156" Type="http://schemas.openxmlformats.org/officeDocument/2006/relationships/hyperlink" Target="http://m.sc/" TargetMode="External"/><Relationship Id="rId177" Type="http://schemas.openxmlformats.org/officeDocument/2006/relationships/hyperlink" Target="http://m.sc/" TargetMode="External"/><Relationship Id="rId172" Type="http://schemas.openxmlformats.org/officeDocument/2006/relationships/hyperlink" Target="http://m.sc/" TargetMode="External"/><Relationship Id="rId13" Type="http://schemas.openxmlformats.org/officeDocument/2006/relationships/hyperlink" Target="http://m.sc/" TargetMode="External"/><Relationship Id="rId18" Type="http://schemas.openxmlformats.org/officeDocument/2006/relationships/hyperlink" Target="http://m.sc/" TargetMode="External"/><Relationship Id="rId39" Type="http://schemas.openxmlformats.org/officeDocument/2006/relationships/hyperlink" Target="http://m.sc/" TargetMode="External"/><Relationship Id="rId109" Type="http://schemas.openxmlformats.org/officeDocument/2006/relationships/hyperlink" Target="http://m.sc/" TargetMode="External"/><Relationship Id="rId34" Type="http://schemas.openxmlformats.org/officeDocument/2006/relationships/hyperlink" Target="http://m.sc/" TargetMode="External"/><Relationship Id="rId50" Type="http://schemas.openxmlformats.org/officeDocument/2006/relationships/hyperlink" Target="http://m.sc/" TargetMode="External"/><Relationship Id="rId55" Type="http://schemas.openxmlformats.org/officeDocument/2006/relationships/hyperlink" Target="http://m.sc/" TargetMode="External"/><Relationship Id="rId76" Type="http://schemas.openxmlformats.org/officeDocument/2006/relationships/hyperlink" Target="http://m.sc/" TargetMode="External"/><Relationship Id="rId97" Type="http://schemas.openxmlformats.org/officeDocument/2006/relationships/hyperlink" Target="http://m.sc/" TargetMode="External"/><Relationship Id="rId104" Type="http://schemas.openxmlformats.org/officeDocument/2006/relationships/hyperlink" Target="http://m.sc/" TargetMode="External"/><Relationship Id="rId120" Type="http://schemas.openxmlformats.org/officeDocument/2006/relationships/hyperlink" Target="http://m.sc/" TargetMode="External"/><Relationship Id="rId125" Type="http://schemas.openxmlformats.org/officeDocument/2006/relationships/hyperlink" Target="http://m.sc/" TargetMode="External"/><Relationship Id="rId141" Type="http://schemas.openxmlformats.org/officeDocument/2006/relationships/hyperlink" Target="http://m.sc/" TargetMode="External"/><Relationship Id="rId146" Type="http://schemas.openxmlformats.org/officeDocument/2006/relationships/hyperlink" Target="http://m.sc/" TargetMode="External"/><Relationship Id="rId167" Type="http://schemas.openxmlformats.org/officeDocument/2006/relationships/hyperlink" Target="http://m.sc/" TargetMode="External"/><Relationship Id="rId7" Type="http://schemas.openxmlformats.org/officeDocument/2006/relationships/hyperlink" Target="http://m.sc/" TargetMode="External"/><Relationship Id="rId71" Type="http://schemas.openxmlformats.org/officeDocument/2006/relationships/hyperlink" Target="http://m.sc/" TargetMode="External"/><Relationship Id="rId92" Type="http://schemas.openxmlformats.org/officeDocument/2006/relationships/hyperlink" Target="http://m.sc/" TargetMode="External"/><Relationship Id="rId162" Type="http://schemas.openxmlformats.org/officeDocument/2006/relationships/hyperlink" Target="http://m.sc/" TargetMode="External"/><Relationship Id="rId2" Type="http://schemas.openxmlformats.org/officeDocument/2006/relationships/hyperlink" Target="http://m.sc/" TargetMode="External"/><Relationship Id="rId29" Type="http://schemas.openxmlformats.org/officeDocument/2006/relationships/hyperlink" Target="http://m.sc/" TargetMode="External"/><Relationship Id="rId24" Type="http://schemas.openxmlformats.org/officeDocument/2006/relationships/hyperlink" Target="http://m.sc/" TargetMode="External"/><Relationship Id="rId40" Type="http://schemas.openxmlformats.org/officeDocument/2006/relationships/hyperlink" Target="http://m.sc/" TargetMode="External"/><Relationship Id="rId45" Type="http://schemas.openxmlformats.org/officeDocument/2006/relationships/hyperlink" Target="http://m.sc/" TargetMode="External"/><Relationship Id="rId66" Type="http://schemas.openxmlformats.org/officeDocument/2006/relationships/hyperlink" Target="http://m.sc/" TargetMode="External"/><Relationship Id="rId87" Type="http://schemas.openxmlformats.org/officeDocument/2006/relationships/hyperlink" Target="http://m.sc/" TargetMode="External"/><Relationship Id="rId110" Type="http://schemas.openxmlformats.org/officeDocument/2006/relationships/hyperlink" Target="http://m.sc/" TargetMode="External"/><Relationship Id="rId115" Type="http://schemas.openxmlformats.org/officeDocument/2006/relationships/hyperlink" Target="http://m.sc/" TargetMode="External"/><Relationship Id="rId131" Type="http://schemas.openxmlformats.org/officeDocument/2006/relationships/hyperlink" Target="http://m.si/" TargetMode="External"/><Relationship Id="rId136" Type="http://schemas.openxmlformats.org/officeDocument/2006/relationships/hyperlink" Target="http://m.sc/" TargetMode="External"/><Relationship Id="rId157" Type="http://schemas.openxmlformats.org/officeDocument/2006/relationships/hyperlink" Target="http://m.sc/" TargetMode="External"/><Relationship Id="rId61" Type="http://schemas.openxmlformats.org/officeDocument/2006/relationships/hyperlink" Target="http://m.sc/" TargetMode="External"/><Relationship Id="rId82" Type="http://schemas.openxmlformats.org/officeDocument/2006/relationships/hyperlink" Target="http://m.sc/" TargetMode="External"/><Relationship Id="rId152" Type="http://schemas.openxmlformats.org/officeDocument/2006/relationships/hyperlink" Target="http://m.sc/" TargetMode="External"/><Relationship Id="rId173" Type="http://schemas.openxmlformats.org/officeDocument/2006/relationships/hyperlink" Target="http://m.sc/" TargetMode="External"/><Relationship Id="rId19" Type="http://schemas.openxmlformats.org/officeDocument/2006/relationships/hyperlink" Target="http://m.sc/" TargetMode="External"/><Relationship Id="rId14" Type="http://schemas.openxmlformats.org/officeDocument/2006/relationships/hyperlink" Target="http://m.sc/" TargetMode="External"/><Relationship Id="rId30" Type="http://schemas.openxmlformats.org/officeDocument/2006/relationships/hyperlink" Target="http://m.sc/" TargetMode="External"/><Relationship Id="rId35" Type="http://schemas.openxmlformats.org/officeDocument/2006/relationships/hyperlink" Target="http://m.sc/" TargetMode="External"/><Relationship Id="rId56" Type="http://schemas.openxmlformats.org/officeDocument/2006/relationships/hyperlink" Target="http://m.sc/" TargetMode="External"/><Relationship Id="rId77" Type="http://schemas.openxmlformats.org/officeDocument/2006/relationships/hyperlink" Target="http://m.sc/" TargetMode="External"/><Relationship Id="rId100" Type="http://schemas.openxmlformats.org/officeDocument/2006/relationships/hyperlink" Target="http://m.sc/" TargetMode="External"/><Relationship Id="rId105" Type="http://schemas.openxmlformats.org/officeDocument/2006/relationships/hyperlink" Target="http://m.sc/" TargetMode="External"/><Relationship Id="rId126" Type="http://schemas.openxmlformats.org/officeDocument/2006/relationships/hyperlink" Target="http://m.sc/" TargetMode="External"/><Relationship Id="rId147" Type="http://schemas.openxmlformats.org/officeDocument/2006/relationships/hyperlink" Target="http://m.sc/" TargetMode="External"/><Relationship Id="rId168" Type="http://schemas.openxmlformats.org/officeDocument/2006/relationships/hyperlink" Target="http://m.sc/" TargetMode="External"/><Relationship Id="rId8" Type="http://schemas.openxmlformats.org/officeDocument/2006/relationships/hyperlink" Target="http://m.sc/" TargetMode="External"/><Relationship Id="rId51" Type="http://schemas.openxmlformats.org/officeDocument/2006/relationships/hyperlink" Target="http://m.sc/" TargetMode="External"/><Relationship Id="rId72" Type="http://schemas.openxmlformats.org/officeDocument/2006/relationships/hyperlink" Target="http://m.sc/" TargetMode="External"/><Relationship Id="rId93" Type="http://schemas.openxmlformats.org/officeDocument/2006/relationships/hyperlink" Target="http://m.sc/" TargetMode="External"/><Relationship Id="rId98" Type="http://schemas.openxmlformats.org/officeDocument/2006/relationships/hyperlink" Target="http://m.sc/" TargetMode="External"/><Relationship Id="rId121" Type="http://schemas.openxmlformats.org/officeDocument/2006/relationships/hyperlink" Target="http://m.sc/" TargetMode="External"/><Relationship Id="rId142" Type="http://schemas.openxmlformats.org/officeDocument/2006/relationships/hyperlink" Target="http://m.sc/" TargetMode="External"/><Relationship Id="rId163" Type="http://schemas.openxmlformats.org/officeDocument/2006/relationships/hyperlink" Target="http://m.sc/" TargetMode="External"/><Relationship Id="rId3" Type="http://schemas.openxmlformats.org/officeDocument/2006/relationships/hyperlink" Target="http://m.sc/" TargetMode="External"/><Relationship Id="rId25" Type="http://schemas.openxmlformats.org/officeDocument/2006/relationships/hyperlink" Target="http://m.sc/" TargetMode="External"/><Relationship Id="rId46" Type="http://schemas.openxmlformats.org/officeDocument/2006/relationships/hyperlink" Target="http://m.sc/" TargetMode="External"/><Relationship Id="rId67" Type="http://schemas.openxmlformats.org/officeDocument/2006/relationships/hyperlink" Target="http://m.sc/" TargetMode="External"/><Relationship Id="rId116" Type="http://schemas.openxmlformats.org/officeDocument/2006/relationships/hyperlink" Target="http://m.sc/" TargetMode="External"/><Relationship Id="rId137" Type="http://schemas.openxmlformats.org/officeDocument/2006/relationships/hyperlink" Target="http://m.sc/" TargetMode="External"/><Relationship Id="rId158" Type="http://schemas.openxmlformats.org/officeDocument/2006/relationships/hyperlink" Target="http://m.sc/" TargetMode="External"/><Relationship Id="rId20" Type="http://schemas.openxmlformats.org/officeDocument/2006/relationships/hyperlink" Target="http://m.sc/" TargetMode="External"/><Relationship Id="rId41" Type="http://schemas.openxmlformats.org/officeDocument/2006/relationships/hyperlink" Target="http://m.sc/" TargetMode="External"/><Relationship Id="rId62" Type="http://schemas.openxmlformats.org/officeDocument/2006/relationships/hyperlink" Target="http://m.sc/" TargetMode="External"/><Relationship Id="rId83" Type="http://schemas.openxmlformats.org/officeDocument/2006/relationships/hyperlink" Target="http://m.sc/" TargetMode="External"/><Relationship Id="rId88" Type="http://schemas.openxmlformats.org/officeDocument/2006/relationships/hyperlink" Target="http://m.sc/" TargetMode="External"/><Relationship Id="rId111" Type="http://schemas.openxmlformats.org/officeDocument/2006/relationships/hyperlink" Target="http://m.sc/" TargetMode="External"/><Relationship Id="rId132" Type="http://schemas.openxmlformats.org/officeDocument/2006/relationships/hyperlink" Target="http://m.sc/" TargetMode="External"/><Relationship Id="rId153" Type="http://schemas.openxmlformats.org/officeDocument/2006/relationships/hyperlink" Target="http://m.sc/" TargetMode="External"/><Relationship Id="rId174" Type="http://schemas.openxmlformats.org/officeDocument/2006/relationships/hyperlink" Target="http://m.sc/" TargetMode="External"/><Relationship Id="rId15" Type="http://schemas.openxmlformats.org/officeDocument/2006/relationships/hyperlink" Target="http://m.sc/" TargetMode="External"/><Relationship Id="rId36" Type="http://schemas.openxmlformats.org/officeDocument/2006/relationships/hyperlink" Target="http://m.sc/" TargetMode="External"/><Relationship Id="rId57" Type="http://schemas.openxmlformats.org/officeDocument/2006/relationships/hyperlink" Target="http://m.sc/" TargetMode="External"/><Relationship Id="rId106" Type="http://schemas.openxmlformats.org/officeDocument/2006/relationships/hyperlink" Target="http://m.sc/" TargetMode="External"/><Relationship Id="rId127" Type="http://schemas.openxmlformats.org/officeDocument/2006/relationships/hyperlink" Target="http://m.sc/" TargetMode="External"/><Relationship Id="rId10" Type="http://schemas.openxmlformats.org/officeDocument/2006/relationships/hyperlink" Target="http://m.sc/" TargetMode="External"/><Relationship Id="rId31" Type="http://schemas.openxmlformats.org/officeDocument/2006/relationships/hyperlink" Target="http://m.sc/" TargetMode="External"/><Relationship Id="rId52" Type="http://schemas.openxmlformats.org/officeDocument/2006/relationships/hyperlink" Target="http://m.sc/" TargetMode="External"/><Relationship Id="rId73" Type="http://schemas.openxmlformats.org/officeDocument/2006/relationships/hyperlink" Target="http://m.sc/" TargetMode="External"/><Relationship Id="rId78" Type="http://schemas.openxmlformats.org/officeDocument/2006/relationships/hyperlink" Target="http://m.sc/" TargetMode="External"/><Relationship Id="rId94" Type="http://schemas.openxmlformats.org/officeDocument/2006/relationships/hyperlink" Target="http://m.sc/" TargetMode="External"/><Relationship Id="rId99" Type="http://schemas.openxmlformats.org/officeDocument/2006/relationships/hyperlink" Target="http://m.sc/" TargetMode="External"/><Relationship Id="rId101" Type="http://schemas.openxmlformats.org/officeDocument/2006/relationships/hyperlink" Target="http://m.sc/" TargetMode="External"/><Relationship Id="rId122" Type="http://schemas.openxmlformats.org/officeDocument/2006/relationships/hyperlink" Target="http://m.sc/" TargetMode="External"/><Relationship Id="rId143" Type="http://schemas.openxmlformats.org/officeDocument/2006/relationships/hyperlink" Target="http://m.sc/" TargetMode="External"/><Relationship Id="rId148" Type="http://schemas.openxmlformats.org/officeDocument/2006/relationships/hyperlink" Target="http://m.sc/" TargetMode="External"/><Relationship Id="rId164" Type="http://schemas.openxmlformats.org/officeDocument/2006/relationships/hyperlink" Target="http://m.sc/" TargetMode="External"/><Relationship Id="rId169" Type="http://schemas.openxmlformats.org/officeDocument/2006/relationships/hyperlink" Target="http://m.sc/" TargetMode="External"/><Relationship Id="rId4" Type="http://schemas.openxmlformats.org/officeDocument/2006/relationships/hyperlink" Target="http://m.sc/" TargetMode="External"/><Relationship Id="rId9" Type="http://schemas.openxmlformats.org/officeDocument/2006/relationships/hyperlink" Target="http://m.sc/" TargetMode="External"/><Relationship Id="rId26" Type="http://schemas.openxmlformats.org/officeDocument/2006/relationships/hyperlink" Target="http://m.sc/" TargetMode="External"/><Relationship Id="rId47" Type="http://schemas.openxmlformats.org/officeDocument/2006/relationships/hyperlink" Target="http://m.sc/" TargetMode="External"/><Relationship Id="rId68" Type="http://schemas.openxmlformats.org/officeDocument/2006/relationships/hyperlink" Target="http://m.sc/" TargetMode="External"/><Relationship Id="rId89" Type="http://schemas.openxmlformats.org/officeDocument/2006/relationships/hyperlink" Target="http://m.sc/" TargetMode="External"/><Relationship Id="rId112" Type="http://schemas.openxmlformats.org/officeDocument/2006/relationships/hyperlink" Target="http://m.sc/" TargetMode="External"/><Relationship Id="rId133" Type="http://schemas.openxmlformats.org/officeDocument/2006/relationships/hyperlink" Target="http://m.sc/" TargetMode="External"/><Relationship Id="rId154" Type="http://schemas.openxmlformats.org/officeDocument/2006/relationships/hyperlink" Target="http://m.sc/" TargetMode="External"/><Relationship Id="rId175" Type="http://schemas.openxmlformats.org/officeDocument/2006/relationships/hyperlink" Target="http://m.sc/" TargetMode="External"/><Relationship Id="rId16" Type="http://schemas.openxmlformats.org/officeDocument/2006/relationships/hyperlink" Target="http://m.sc/" TargetMode="External"/><Relationship Id="rId37" Type="http://schemas.openxmlformats.org/officeDocument/2006/relationships/hyperlink" Target="http://m.sc/" TargetMode="External"/><Relationship Id="rId58" Type="http://schemas.openxmlformats.org/officeDocument/2006/relationships/hyperlink" Target="http://m.sc/" TargetMode="External"/><Relationship Id="rId79" Type="http://schemas.openxmlformats.org/officeDocument/2006/relationships/hyperlink" Target="http://m.sc/" TargetMode="External"/><Relationship Id="rId102" Type="http://schemas.openxmlformats.org/officeDocument/2006/relationships/hyperlink" Target="http://m.sc/" TargetMode="External"/><Relationship Id="rId123" Type="http://schemas.openxmlformats.org/officeDocument/2006/relationships/hyperlink" Target="http://m.sc/" TargetMode="External"/><Relationship Id="rId144" Type="http://schemas.openxmlformats.org/officeDocument/2006/relationships/hyperlink" Target="http://m.sc/" TargetMode="External"/><Relationship Id="rId90" Type="http://schemas.openxmlformats.org/officeDocument/2006/relationships/hyperlink" Target="http://m.sc/" TargetMode="External"/><Relationship Id="rId165" Type="http://schemas.openxmlformats.org/officeDocument/2006/relationships/hyperlink" Target="http://m.sc/" TargetMode="External"/><Relationship Id="rId27" Type="http://schemas.openxmlformats.org/officeDocument/2006/relationships/hyperlink" Target="http://m.sc/" TargetMode="External"/><Relationship Id="rId48" Type="http://schemas.openxmlformats.org/officeDocument/2006/relationships/hyperlink" Target="http://m.sc/" TargetMode="External"/><Relationship Id="rId69" Type="http://schemas.openxmlformats.org/officeDocument/2006/relationships/hyperlink" Target="http://m.sc/" TargetMode="External"/><Relationship Id="rId113" Type="http://schemas.openxmlformats.org/officeDocument/2006/relationships/hyperlink" Target="http://m.sc/" TargetMode="External"/><Relationship Id="rId134" Type="http://schemas.openxmlformats.org/officeDocument/2006/relationships/hyperlink" Target="http://m.sc/" TargetMode="External"/><Relationship Id="rId80" Type="http://schemas.openxmlformats.org/officeDocument/2006/relationships/hyperlink" Target="http://m.sc/" TargetMode="External"/><Relationship Id="rId155" Type="http://schemas.openxmlformats.org/officeDocument/2006/relationships/hyperlink" Target="http://m.sc/" TargetMode="External"/><Relationship Id="rId176" Type="http://schemas.openxmlformats.org/officeDocument/2006/relationships/hyperlink" Target="http://m.sc/" TargetMode="External"/><Relationship Id="rId17" Type="http://schemas.openxmlformats.org/officeDocument/2006/relationships/hyperlink" Target="http://m.sc/" TargetMode="External"/><Relationship Id="rId38" Type="http://schemas.openxmlformats.org/officeDocument/2006/relationships/hyperlink" Target="http://m.sc/" TargetMode="External"/><Relationship Id="rId59" Type="http://schemas.openxmlformats.org/officeDocument/2006/relationships/hyperlink" Target="http://m.sc/" TargetMode="External"/><Relationship Id="rId103" Type="http://schemas.openxmlformats.org/officeDocument/2006/relationships/hyperlink" Target="http://m.sc/" TargetMode="External"/><Relationship Id="rId124" Type="http://schemas.openxmlformats.org/officeDocument/2006/relationships/hyperlink" Target="http://m.sc/" TargetMode="External"/><Relationship Id="rId70" Type="http://schemas.openxmlformats.org/officeDocument/2006/relationships/hyperlink" Target="http://m.sc/" TargetMode="External"/><Relationship Id="rId91" Type="http://schemas.openxmlformats.org/officeDocument/2006/relationships/hyperlink" Target="http://m.sc/" TargetMode="External"/><Relationship Id="rId145" Type="http://schemas.openxmlformats.org/officeDocument/2006/relationships/hyperlink" Target="http://m.sc/" TargetMode="External"/><Relationship Id="rId166" Type="http://schemas.openxmlformats.org/officeDocument/2006/relationships/hyperlink" Target="http://m.sc/" TargetMode="External"/><Relationship Id="rId1" Type="http://schemas.openxmlformats.org/officeDocument/2006/relationships/hyperlink" Target="http://m.sc/" TargetMode="External"/></Relationships>
</file>

<file path=xl/worksheets/_rels/sheet14.xml.rels><?xml version="1.0" encoding="UTF-8" standalone="yes"?>
<Relationships xmlns="http://schemas.openxmlformats.org/package/2006/relationships"><Relationship Id="rId117" Type="http://schemas.openxmlformats.org/officeDocument/2006/relationships/hyperlink" Target="https://drive.google.com/open?id=1dQqCxa-L1JMDf4OdafdS7Pz2vf-FMQnd" TargetMode="External"/><Relationship Id="rId299" Type="http://schemas.openxmlformats.org/officeDocument/2006/relationships/hyperlink" Target="https://drive.google.com/open?id=1UXsq6Rwmd6tb9tGv3xy4wTfQjjK_ClYg" TargetMode="External"/><Relationship Id="rId21" Type="http://schemas.openxmlformats.org/officeDocument/2006/relationships/hyperlink" Target="https://drive.google.com/open?id=1q_7hkEsef5TNODKLrNczKASW2_HQ3C9A" TargetMode="External"/><Relationship Id="rId63" Type="http://schemas.openxmlformats.org/officeDocument/2006/relationships/hyperlink" Target="https://drive.google.com/open?id=1g_ZeGLqPUvZuCgj6OOxOjr4Kz0pGsnyc" TargetMode="External"/><Relationship Id="rId159" Type="http://schemas.openxmlformats.org/officeDocument/2006/relationships/hyperlink" Target="https://drive.google.com/open?id=1rigeLedBRjLIXKf0guxJmFsxjraxxXeG" TargetMode="External"/><Relationship Id="rId324" Type="http://schemas.openxmlformats.org/officeDocument/2006/relationships/hyperlink" Target="https://drive.google.com/open?id=1qkU40pWLVR4iX_WZ0JjaGZXJajOUXHWP" TargetMode="External"/><Relationship Id="rId366" Type="http://schemas.openxmlformats.org/officeDocument/2006/relationships/hyperlink" Target="https://drive.google.com/open?id=1t6KS9dwWImWWf6LXfG62IiqlKH3MFEQP" TargetMode="External"/><Relationship Id="rId170" Type="http://schemas.openxmlformats.org/officeDocument/2006/relationships/hyperlink" Target="https://drive.google.com/open?id=1Q9KkUQiQum9M2orLrOUvR-Uv1ughXPfb" TargetMode="External"/><Relationship Id="rId226" Type="http://schemas.openxmlformats.org/officeDocument/2006/relationships/hyperlink" Target="https://drive.google.com/open?id=1e7n2QBVe-OcxZCmsb0_3GVJAZtTn90kx" TargetMode="External"/><Relationship Id="rId433" Type="http://schemas.openxmlformats.org/officeDocument/2006/relationships/hyperlink" Target="https://drive.google.com/open?id=1e_3F86QyoQfRzsYyWTJIprJbwEEj-9ec" TargetMode="External"/><Relationship Id="rId268" Type="http://schemas.openxmlformats.org/officeDocument/2006/relationships/hyperlink" Target="https://drive.google.com/open?id=1Y-RzyyLu84s7RmuTfG8VmrJDyN4uEqOj" TargetMode="External"/><Relationship Id="rId32" Type="http://schemas.openxmlformats.org/officeDocument/2006/relationships/hyperlink" Target="https://drive.google.com/open?id=14vK_ncvUEMZaz2rQGiwnujaspuy4RNFG" TargetMode="External"/><Relationship Id="rId74" Type="http://schemas.openxmlformats.org/officeDocument/2006/relationships/hyperlink" Target="https://drive.google.com/open?id=1L5agORFEg-Wu6ZW_7df5j8_OCjraoz-J" TargetMode="External"/><Relationship Id="rId128" Type="http://schemas.openxmlformats.org/officeDocument/2006/relationships/hyperlink" Target="https://drive.google.com/open?id=1R5sGWSRiG8vF4dBESB1v8hIwER5NmeL7" TargetMode="External"/><Relationship Id="rId335" Type="http://schemas.openxmlformats.org/officeDocument/2006/relationships/hyperlink" Target="https://drive.google.com/open?id=15j7iM_9ycWj_LmLqScs6pSk_jhMMh7U8" TargetMode="External"/><Relationship Id="rId377" Type="http://schemas.openxmlformats.org/officeDocument/2006/relationships/hyperlink" Target="https://drive.google.com/open?id=1Je2gyiuXfig4OfNSy49R2Z3yYFmijupX" TargetMode="External"/><Relationship Id="rId5" Type="http://schemas.openxmlformats.org/officeDocument/2006/relationships/hyperlink" Target="https://drive.google.com/open?id=1jI507Vcdu6eA0RFmJ0arCDX9Ncp48Ouz" TargetMode="External"/><Relationship Id="rId181" Type="http://schemas.openxmlformats.org/officeDocument/2006/relationships/hyperlink" Target="https://drive.google.com/open?id=1YUilSqXOXNOcxzQPGfGfepTVEGd6cYi7" TargetMode="External"/><Relationship Id="rId237" Type="http://schemas.openxmlformats.org/officeDocument/2006/relationships/hyperlink" Target="https://drive.google.com/open?id=16Or9cvFJNpbZbkexUiT6xU6Tsf4zECP1" TargetMode="External"/><Relationship Id="rId402" Type="http://schemas.openxmlformats.org/officeDocument/2006/relationships/hyperlink" Target="https://drive.google.com/open?id=1iIOq4L2BXcTfPVrAho9_jOXUWow4iPjb" TargetMode="External"/><Relationship Id="rId279" Type="http://schemas.openxmlformats.org/officeDocument/2006/relationships/hyperlink" Target="https://drive.google.com/open?id=1cEN5g73cJjkY2T2w6AAhjDb3T2NTovh9" TargetMode="External"/><Relationship Id="rId444" Type="http://schemas.openxmlformats.org/officeDocument/2006/relationships/hyperlink" Target="https://drive.google.com/open?id=1p_ldpGrjTz0VUFt7DzyXIJq2VjmioVYz" TargetMode="External"/><Relationship Id="rId43" Type="http://schemas.openxmlformats.org/officeDocument/2006/relationships/hyperlink" Target="https://drive.google.com/open?id=1CREXNqnhaOmNalV6N6yui2r9De2id4qr" TargetMode="External"/><Relationship Id="rId139" Type="http://schemas.openxmlformats.org/officeDocument/2006/relationships/hyperlink" Target="https://drive.google.com/open?id=1s-Ls1uhAS__l9eDfYW5G5STECRAzDZPQ" TargetMode="External"/><Relationship Id="rId290" Type="http://schemas.openxmlformats.org/officeDocument/2006/relationships/hyperlink" Target="https://drive.google.com/open?id=1BGUHwcNWcF9B_cZDR2sywoYP7QKBeHGL" TargetMode="External"/><Relationship Id="rId304" Type="http://schemas.openxmlformats.org/officeDocument/2006/relationships/hyperlink" Target="https://drive.google.com/open?id=1yStDi00c3zgl9RMJCELWJ__lyQptxmQq" TargetMode="External"/><Relationship Id="rId346" Type="http://schemas.openxmlformats.org/officeDocument/2006/relationships/hyperlink" Target="https://drive.google.com/open?id=1omxMei7NaVMgMDrsSPAZVMO-ETNJ6Soe" TargetMode="External"/><Relationship Id="rId388" Type="http://schemas.openxmlformats.org/officeDocument/2006/relationships/hyperlink" Target="https://drive.google.com/file/d/1AycHSUxnBFmkMjeNdr2kZgymoUUhKHwn/view?usp=sharing" TargetMode="External"/><Relationship Id="rId85" Type="http://schemas.openxmlformats.org/officeDocument/2006/relationships/hyperlink" Target="https://drive.google.com/open?id=1RJhZSMvojNxHr3r4kMdSXqOl_eIiwzlB" TargetMode="External"/><Relationship Id="rId150" Type="http://schemas.openxmlformats.org/officeDocument/2006/relationships/hyperlink" Target="https://drive.google.com/open?id=1pCxWAf4a6KJbT-2hJVHoL43jETH5mX1O" TargetMode="External"/><Relationship Id="rId192" Type="http://schemas.openxmlformats.org/officeDocument/2006/relationships/hyperlink" Target="https://drive.google.com/open?id=1Pj7WFeSuyawnu4yGvsUEylrFQpBbdhMm" TargetMode="External"/><Relationship Id="rId206" Type="http://schemas.openxmlformats.org/officeDocument/2006/relationships/hyperlink" Target="https://drive.google.com/open?id=1KXi1sSv3hluMjQANddd_hyig23eN2gO8" TargetMode="External"/><Relationship Id="rId413" Type="http://schemas.openxmlformats.org/officeDocument/2006/relationships/hyperlink" Target="https://drive.google.com/open?id=1YcXr3Y08v_i-nQbxdZKitt5WI_p-M-43" TargetMode="External"/><Relationship Id="rId248" Type="http://schemas.openxmlformats.org/officeDocument/2006/relationships/hyperlink" Target="https://drive.google.com/open?id=1MuNSB7HQYuQ8zSitkYvokKDmr_NxJacc" TargetMode="External"/><Relationship Id="rId455" Type="http://schemas.openxmlformats.org/officeDocument/2006/relationships/hyperlink" Target="https://drive.google.com/open?id=1vJEkNsUoc1eoQJzhjjEqUC5HX-h5nIFx" TargetMode="External"/><Relationship Id="rId12" Type="http://schemas.openxmlformats.org/officeDocument/2006/relationships/hyperlink" Target="https://drive.google.com/open?id=1H5wheC2jA3SShaOgr9BqIUX44AlkDvDF" TargetMode="External"/><Relationship Id="rId108" Type="http://schemas.openxmlformats.org/officeDocument/2006/relationships/hyperlink" Target="https://drive.google.com/open?id=1x3F7XS2otDivHQVIXxzT2gqGF92W8jGU" TargetMode="External"/><Relationship Id="rId315" Type="http://schemas.openxmlformats.org/officeDocument/2006/relationships/hyperlink" Target="https://drive.google.com/open?id=18PR7_tkwIcT9DCAd50Zr4s1vI7mjBA00" TargetMode="External"/><Relationship Id="rId357" Type="http://schemas.openxmlformats.org/officeDocument/2006/relationships/hyperlink" Target="https://drive.google.com/open?id=1-2JRamYB74heHff-2L0ONLcKwNSpGOdG" TargetMode="External"/><Relationship Id="rId54" Type="http://schemas.openxmlformats.org/officeDocument/2006/relationships/hyperlink" Target="https://drive.google.com/open?id=120FqQiEw6ietGN_wrIRbOMpGfJB0lfaF" TargetMode="External"/><Relationship Id="rId96" Type="http://schemas.openxmlformats.org/officeDocument/2006/relationships/hyperlink" Target="https://drive.google.com/open?id=12MgQ5wD1wmqyW1sPQY__oygLBjAk3TJi" TargetMode="External"/><Relationship Id="rId161" Type="http://schemas.openxmlformats.org/officeDocument/2006/relationships/hyperlink" Target="https://drive.google.com/open?id=1XkkQWgkQPd9JTiVvrD8G-z11ayKksMGX" TargetMode="External"/><Relationship Id="rId217" Type="http://schemas.openxmlformats.org/officeDocument/2006/relationships/hyperlink" Target="https://drive.google.com/open?id=1mSBVHuRDzYMFrvzjUA_Fd3VUVf3vu8cC" TargetMode="External"/><Relationship Id="rId399" Type="http://schemas.openxmlformats.org/officeDocument/2006/relationships/hyperlink" Target="https://drive.google.com/open?id=1pCE2ELzlb9uE0IiyklOISNm-RydT4Kj6" TargetMode="External"/><Relationship Id="rId259" Type="http://schemas.openxmlformats.org/officeDocument/2006/relationships/hyperlink" Target="https://drive.google.com/open?id=1gp5Xols33X3gldDn4aYCuNGc_0ZpopuN" TargetMode="External"/><Relationship Id="rId424" Type="http://schemas.openxmlformats.org/officeDocument/2006/relationships/hyperlink" Target="https://drive.google.com/open?id=1dCwS2NzNmYSPqdBE08SRuIprtMRGQ2fU" TargetMode="External"/><Relationship Id="rId23" Type="http://schemas.openxmlformats.org/officeDocument/2006/relationships/hyperlink" Target="https://drive.google.com/open?id=1icAqMnQ2o5iTbkzTsuhwbr8ap549HGwK" TargetMode="External"/><Relationship Id="rId119" Type="http://schemas.openxmlformats.org/officeDocument/2006/relationships/hyperlink" Target="https://drive.google.com/open?id=1RI8bmDz_u0J07PfaXsTcUHo71mOLJ2gs" TargetMode="External"/><Relationship Id="rId270" Type="http://schemas.openxmlformats.org/officeDocument/2006/relationships/hyperlink" Target="https://drive.google.com/open?id=1uFMaF0wclEXprAnZ6qG09fwYkBKKcnXj" TargetMode="External"/><Relationship Id="rId326" Type="http://schemas.openxmlformats.org/officeDocument/2006/relationships/hyperlink" Target="https://drive.google.com/open?id=1THj-CFt7SUqbJzqPgx-cN7zNIvuaoXwt" TargetMode="External"/><Relationship Id="rId65" Type="http://schemas.openxmlformats.org/officeDocument/2006/relationships/hyperlink" Target="https://drive.google.com/open?id=1GS2MUnfTVXGwGRhBSThhv1QYoU2t24Sk" TargetMode="External"/><Relationship Id="rId130" Type="http://schemas.openxmlformats.org/officeDocument/2006/relationships/hyperlink" Target="https://drive.google.com/open?id=1OIRLvpvWWOIWZ0Eq6A_wQfjQhoyuNOGi" TargetMode="External"/><Relationship Id="rId368" Type="http://schemas.openxmlformats.org/officeDocument/2006/relationships/hyperlink" Target="https://drive.google.com/open?id=1uDZRGG_NkL6_YgtrtO56OvvPE0dJrd6z" TargetMode="External"/><Relationship Id="rId172" Type="http://schemas.openxmlformats.org/officeDocument/2006/relationships/hyperlink" Target="https://drive.google.com/open?id=1uV_eMYEkLIJeXcEd9il2rg4QqJQHhpNo" TargetMode="External"/><Relationship Id="rId228" Type="http://schemas.openxmlformats.org/officeDocument/2006/relationships/hyperlink" Target="https://drive.google.com/open?id=1DMyTynJygDQwi0vT8p62-vkNKCcX2EtW" TargetMode="External"/><Relationship Id="rId435" Type="http://schemas.openxmlformats.org/officeDocument/2006/relationships/hyperlink" Target="https://drive.google.com/open?id=11R7WbTp4SlIdOavJyNDsWT4R-1YbJnDU" TargetMode="External"/><Relationship Id="rId281" Type="http://schemas.openxmlformats.org/officeDocument/2006/relationships/hyperlink" Target="https://drive.google.com/open?id=1qJ3dKJdxfnGX2xhEbV1aV8pd3n54PILJ" TargetMode="External"/><Relationship Id="rId337" Type="http://schemas.openxmlformats.org/officeDocument/2006/relationships/hyperlink" Target="https://drive.google.com/open?id=1hXukFEPagszlpbO4GWOFcbkNBctkUwix" TargetMode="External"/><Relationship Id="rId34" Type="http://schemas.openxmlformats.org/officeDocument/2006/relationships/hyperlink" Target="https://drive.google.com/open?id=1QNXbJaYFMRh1o3uNEoVoQCxEbqQHecUS" TargetMode="External"/><Relationship Id="rId76" Type="http://schemas.openxmlformats.org/officeDocument/2006/relationships/hyperlink" Target="https://drive.google.com/open?id=1tOVTaO-iqlg1nDyrLA1IEERTk800h4zv" TargetMode="External"/><Relationship Id="rId141" Type="http://schemas.openxmlformats.org/officeDocument/2006/relationships/hyperlink" Target="https://drive.google.com/open?id=1cwtBBSiWPGdj1OUkWubH3snlbeOV38Ef" TargetMode="External"/><Relationship Id="rId379" Type="http://schemas.openxmlformats.org/officeDocument/2006/relationships/hyperlink" Target="https://drive.google.com/open?id=1kT3iYhbVHTUSaZkZcflGxo3iLvraNJKx" TargetMode="External"/><Relationship Id="rId7" Type="http://schemas.openxmlformats.org/officeDocument/2006/relationships/hyperlink" Target="https://drive.google.com/open?id=1cx-E2yZrrDzuapLFooRqVS8pw3zoi-lh" TargetMode="External"/><Relationship Id="rId183" Type="http://schemas.openxmlformats.org/officeDocument/2006/relationships/hyperlink" Target="https://drive.google.com/open?id=1vOl09EUgclyKaFQHTCw7eL577JVP2pah" TargetMode="External"/><Relationship Id="rId239" Type="http://schemas.openxmlformats.org/officeDocument/2006/relationships/hyperlink" Target="https://drive.google.com/open?id=1XhT-69O_DZ6BQyxvEX1tRvb6un-jp3WD" TargetMode="External"/><Relationship Id="rId390" Type="http://schemas.openxmlformats.org/officeDocument/2006/relationships/hyperlink" Target="https://drive.google.com/open?id=1rpSHmcEc9byzYkKsn6LCgFJ4pxWs_vTc" TargetMode="External"/><Relationship Id="rId404" Type="http://schemas.openxmlformats.org/officeDocument/2006/relationships/hyperlink" Target="https://drive.google.com/open?id=16FVAcQQIZXIu__kl_Ldf81G4ImYyAB5x" TargetMode="External"/><Relationship Id="rId446" Type="http://schemas.openxmlformats.org/officeDocument/2006/relationships/hyperlink" Target="https://drive.google.com/open?id=139XSRL2DfUCq76_AF57QrXqRtXvx-2aB" TargetMode="External"/><Relationship Id="rId250" Type="http://schemas.openxmlformats.org/officeDocument/2006/relationships/hyperlink" Target="https://drive.google.com/open?id=1DjhhN_dV61kPPMb44mTr6849Hi7Sbm4k" TargetMode="External"/><Relationship Id="rId292" Type="http://schemas.openxmlformats.org/officeDocument/2006/relationships/hyperlink" Target="https://drive.google.com/open?id=1-gsHnREW7u8eTTJWok3yiY-YwNlcioe8" TargetMode="External"/><Relationship Id="rId306" Type="http://schemas.openxmlformats.org/officeDocument/2006/relationships/hyperlink" Target="https://drive.google.com/open?id=1bHspHl112yrnPwzJNM_4xuE8Qio4O2F1" TargetMode="External"/><Relationship Id="rId45" Type="http://schemas.openxmlformats.org/officeDocument/2006/relationships/hyperlink" Target="https://drive.google.com/open?id=1nlyjbUb13fCp1UbI9dVDsrbpjJveyZ83" TargetMode="External"/><Relationship Id="rId87" Type="http://schemas.openxmlformats.org/officeDocument/2006/relationships/hyperlink" Target="https://drive.google.com/open?id=1n99WzOkGi2DY8S4xkxTV0PcSN_DpF5ir" TargetMode="External"/><Relationship Id="rId110" Type="http://schemas.openxmlformats.org/officeDocument/2006/relationships/hyperlink" Target="https://drive.google.com/open?id=1SUoROXGUhvDYMEFZ8FBFofVllUjeDgjf" TargetMode="External"/><Relationship Id="rId348" Type="http://schemas.openxmlformats.org/officeDocument/2006/relationships/hyperlink" Target="https://drive.google.com/open?id=1GxZxVMVcXYpCd1JtTk5N3R-RLqrUSFWa" TargetMode="External"/><Relationship Id="rId152" Type="http://schemas.openxmlformats.org/officeDocument/2006/relationships/hyperlink" Target="https://drive.google.com/open?id=1zjpH9DSc3mnvgug5pMc8Y-GYMIEjot_x" TargetMode="External"/><Relationship Id="rId194" Type="http://schemas.openxmlformats.org/officeDocument/2006/relationships/hyperlink" Target="https://drive.google.com/open?id=1db4MeqLW7YX-fM1xGLZZZMnbED0tGOTc" TargetMode="External"/><Relationship Id="rId208" Type="http://schemas.openxmlformats.org/officeDocument/2006/relationships/hyperlink" Target="https://drive.google.com/open?id=1qfpRyZI_QrMD3o2viVjUrTqNfS19UG05" TargetMode="External"/><Relationship Id="rId415" Type="http://schemas.openxmlformats.org/officeDocument/2006/relationships/hyperlink" Target="https://drive.google.com/open?id=1DqdvduuakaABtWZ2F3ttShakSyKuF8VS" TargetMode="External"/><Relationship Id="rId457" Type="http://schemas.openxmlformats.org/officeDocument/2006/relationships/hyperlink" Target="https://drive.google.com/open?id=1q9Vx328RF-v1YcvPRwUKMe1DHhcSfzyO" TargetMode="External"/><Relationship Id="rId261" Type="http://schemas.openxmlformats.org/officeDocument/2006/relationships/hyperlink" Target="https://drive.google.com/open?id=1tMVU3Hs1WdIZVf8SIahjQtTQr6_pf6g1" TargetMode="External"/><Relationship Id="rId14" Type="http://schemas.openxmlformats.org/officeDocument/2006/relationships/hyperlink" Target="https://drive.google.com/open?id=1D6HvzsYq7emOrr3nwYCMxtmaG6HL6ahw" TargetMode="External"/><Relationship Id="rId56" Type="http://schemas.openxmlformats.org/officeDocument/2006/relationships/hyperlink" Target="https://drive.google.com/open?id=1YopiwngKWc2FJYbM9i0HMzLwMujE-O81" TargetMode="External"/><Relationship Id="rId317" Type="http://schemas.openxmlformats.org/officeDocument/2006/relationships/hyperlink" Target="https://drive.google.com/open?id=1oMacN46IWozBM7vzL0PM14uoIeTDDBG4" TargetMode="External"/><Relationship Id="rId359" Type="http://schemas.openxmlformats.org/officeDocument/2006/relationships/hyperlink" Target="https://drive.google.com/open?id=1Z3BxJICfey326cs_2lQZUdYl2MKtyuRE" TargetMode="External"/><Relationship Id="rId98" Type="http://schemas.openxmlformats.org/officeDocument/2006/relationships/hyperlink" Target="https://drive.google.com/open?id=1RmR4I9GAd_3PtOhBYP-Ug5Eb7DL8vCOW" TargetMode="External"/><Relationship Id="rId121" Type="http://schemas.openxmlformats.org/officeDocument/2006/relationships/hyperlink" Target="https://drive.google.com/open?id=1KBYV2ktmx8FYPpPOZvQa6D8LMs7Gwn-P" TargetMode="External"/><Relationship Id="rId163" Type="http://schemas.openxmlformats.org/officeDocument/2006/relationships/hyperlink" Target="https://drive.google.com/open?id=1Nx4tFOvVK-eBsPODH0vAto2YkTkhdfwG" TargetMode="External"/><Relationship Id="rId219" Type="http://schemas.openxmlformats.org/officeDocument/2006/relationships/hyperlink" Target="https://drive.google.com/open?id=1oePYwq9QAqPeTVYIvQ8ZPzi4jJXncwXK" TargetMode="External"/><Relationship Id="rId370" Type="http://schemas.openxmlformats.org/officeDocument/2006/relationships/hyperlink" Target="https://drive.google.com/open?id=1e-FycEn7FsyyQ6GgV4BeADcd2KBamUSM" TargetMode="External"/><Relationship Id="rId426" Type="http://schemas.openxmlformats.org/officeDocument/2006/relationships/hyperlink" Target="https://drive.google.com/open?id=1R9KzBzv2rzhPTsrV0_uh66FVyeNz6AUP" TargetMode="External"/><Relationship Id="rId230" Type="http://schemas.openxmlformats.org/officeDocument/2006/relationships/hyperlink" Target="https://drive.google.com/open?id=1nVGXke7xeBPfvFBnirxdxObSGCTA1Aol" TargetMode="External"/><Relationship Id="rId25" Type="http://schemas.openxmlformats.org/officeDocument/2006/relationships/hyperlink" Target="https://drive.google.com/open?id=1WB72HQcfRt272ArNE-hkLZjjUCxVyWj0" TargetMode="External"/><Relationship Id="rId67" Type="http://schemas.openxmlformats.org/officeDocument/2006/relationships/hyperlink" Target="https://drive.google.com/open?id=1QxQ_tqoHyOzlBTYfC2HH6Wbp3jZ-DERY" TargetMode="External"/><Relationship Id="rId272" Type="http://schemas.openxmlformats.org/officeDocument/2006/relationships/hyperlink" Target="https://drive.google.com/open?id=1E5lEg7RlgxuvmYodluucWxzaA3DWSKwg" TargetMode="External"/><Relationship Id="rId328" Type="http://schemas.openxmlformats.org/officeDocument/2006/relationships/hyperlink" Target="https://drive.google.com/open?id=1xLhIrgi0PkFp--nVS3QmutqxZq4Oqzbh" TargetMode="External"/><Relationship Id="rId132" Type="http://schemas.openxmlformats.org/officeDocument/2006/relationships/hyperlink" Target="https://drive.google.com/open?id=1sWWEpf2rNGN_WMLgbTeoHOJ3pTafx-p3" TargetMode="External"/><Relationship Id="rId174" Type="http://schemas.openxmlformats.org/officeDocument/2006/relationships/hyperlink" Target="https://drive.google.com/open?id=1obki3iu3yHccyNxbJsfiaMzoGbTFqTNV" TargetMode="External"/><Relationship Id="rId381" Type="http://schemas.openxmlformats.org/officeDocument/2006/relationships/hyperlink" Target="https://drive.google.com/open?id=1ymfJN-URyDUPSDU_D-e23w6nrXCxhSnX" TargetMode="External"/><Relationship Id="rId241" Type="http://schemas.openxmlformats.org/officeDocument/2006/relationships/hyperlink" Target="https://drive.google.com/open?id=1RI_t6o_xLsfhSEGE6CDSDJY0EKL-eBTq" TargetMode="External"/><Relationship Id="rId437" Type="http://schemas.openxmlformats.org/officeDocument/2006/relationships/hyperlink" Target="https://drive.google.com/open?id=1NRXT6ccInOE7ucQjCPSlnJ9vCLpNh6qm" TargetMode="External"/><Relationship Id="rId36" Type="http://schemas.openxmlformats.org/officeDocument/2006/relationships/hyperlink" Target="https://drive.google.com/open?id=1gd-dSphEPN-IIvtPP8nK_Dm6eVJxGcGT" TargetMode="External"/><Relationship Id="rId283" Type="http://schemas.openxmlformats.org/officeDocument/2006/relationships/hyperlink" Target="https://drive.google.com/open?id=1kepKRrb8J7xsc7tzC0VxikKE13HZMK8R" TargetMode="External"/><Relationship Id="rId339" Type="http://schemas.openxmlformats.org/officeDocument/2006/relationships/hyperlink" Target="https://drive.google.com/open?id=1zHdztogAOy_ba9UPrjMZsjgvT-teFmqV" TargetMode="External"/><Relationship Id="rId78" Type="http://schemas.openxmlformats.org/officeDocument/2006/relationships/hyperlink" Target="https://drive.google.com/open?id=1gtgD93bofO7BlVOEY9LXp72RI49Hkh2l" TargetMode="External"/><Relationship Id="rId101" Type="http://schemas.openxmlformats.org/officeDocument/2006/relationships/hyperlink" Target="https://drive.google.com/open?id=1srs3qYN9J6Izuvuk0p0-awZAKy0eiDWM" TargetMode="External"/><Relationship Id="rId143" Type="http://schemas.openxmlformats.org/officeDocument/2006/relationships/hyperlink" Target="https://drive.google.com/open?id=1zKGbmlZwr89DPpnyo9J1m75uVcRAxJCq" TargetMode="External"/><Relationship Id="rId185" Type="http://schemas.openxmlformats.org/officeDocument/2006/relationships/hyperlink" Target="https://drive.google.com/open?id=1kNYtKDk9naQLid6Qhege0ocShlXO4it_" TargetMode="External"/><Relationship Id="rId350" Type="http://schemas.openxmlformats.org/officeDocument/2006/relationships/hyperlink" Target="https://drive.google.com/open?id=1Fue4XEsu2SMTeOqkkjOj5qv81MrOX41J" TargetMode="External"/><Relationship Id="rId406" Type="http://schemas.openxmlformats.org/officeDocument/2006/relationships/hyperlink" Target="https://drive.google.com/file/d/1x5Qp6LgBz_QmDXaIJpndKCzhd0JZ0ms6/view?usp=sharing" TargetMode="External"/><Relationship Id="rId9" Type="http://schemas.openxmlformats.org/officeDocument/2006/relationships/hyperlink" Target="https://drive.google.com/open?id=17UaXT9ZLA8XPfqyngECCoH2_B05Vm1XX" TargetMode="External"/><Relationship Id="rId210" Type="http://schemas.openxmlformats.org/officeDocument/2006/relationships/hyperlink" Target="https://drive.google.com/open?id=1p7vpsihWgS9Z52G9208oj3szeB0G6xhu" TargetMode="External"/><Relationship Id="rId392" Type="http://schemas.openxmlformats.org/officeDocument/2006/relationships/hyperlink" Target="https://drive.google.com/open?id=17iWj0MH0moAx4F8lrNFQkz6CCIhQGdpL" TargetMode="External"/><Relationship Id="rId448" Type="http://schemas.openxmlformats.org/officeDocument/2006/relationships/hyperlink" Target="https://drive.google.com/open?id=1bgo7uAWFUKTt7k9nlZ33r2d7AHHL8Zi-" TargetMode="External"/><Relationship Id="rId252" Type="http://schemas.openxmlformats.org/officeDocument/2006/relationships/hyperlink" Target="https://drive.google.com/open?id=1ZBa_2bf3tBR1JduQ_ururCFL6DwbBIKV" TargetMode="External"/><Relationship Id="rId294" Type="http://schemas.openxmlformats.org/officeDocument/2006/relationships/hyperlink" Target="https://drive.google.com/open?id=1lGpsQyazxQRSREoC3pPL0SqEBVBDO0_Z" TargetMode="External"/><Relationship Id="rId308" Type="http://schemas.openxmlformats.org/officeDocument/2006/relationships/hyperlink" Target="https://drive.google.com/open?id=1PoatgyJO13KH4DkVgBsFXHgaLyYKqZOJ" TargetMode="External"/><Relationship Id="rId47" Type="http://schemas.openxmlformats.org/officeDocument/2006/relationships/hyperlink" Target="https://drive.google.com/open?id=1nPcMuj4tkKX0B0Qvo07plX6Vfhmi4ikL" TargetMode="External"/><Relationship Id="rId89" Type="http://schemas.openxmlformats.org/officeDocument/2006/relationships/hyperlink" Target="https://drive.google.com/open?id=11D3HzYCQRD24ZFjPaCG4Xcnr_h8atsV9" TargetMode="External"/><Relationship Id="rId112" Type="http://schemas.openxmlformats.org/officeDocument/2006/relationships/hyperlink" Target="https://drive.google.com/open?id=1Xq5ItNLTTuDrhwsMUYtlQVuG1jmgl3XS" TargetMode="External"/><Relationship Id="rId154" Type="http://schemas.openxmlformats.org/officeDocument/2006/relationships/hyperlink" Target="https://drive.google.com/open?id=1GKljEbLO0d5Mr_iaXjYgGfEsRCzoDrYK" TargetMode="External"/><Relationship Id="rId361" Type="http://schemas.openxmlformats.org/officeDocument/2006/relationships/hyperlink" Target="https://drive.google.com/open?id=1r7cUohb3GFgqInLZd5iGLBWewhVPsk9v" TargetMode="External"/><Relationship Id="rId196" Type="http://schemas.openxmlformats.org/officeDocument/2006/relationships/hyperlink" Target="https://drive.google.com/open?id=1GswCjH9Foq4rMESiLKcCY-Thvr5CPE6J" TargetMode="External"/><Relationship Id="rId417" Type="http://schemas.openxmlformats.org/officeDocument/2006/relationships/hyperlink" Target="https://drive.google.com/open?id=1ZRK2yBwHBCs1N-B9wp5Lf42Fa8BqIwAK" TargetMode="External"/><Relationship Id="rId459" Type="http://schemas.openxmlformats.org/officeDocument/2006/relationships/hyperlink" Target="https://drive.google.com/open?id=1HO38cVx6602FWiEr0teAIalIRzRlZRgP" TargetMode="External"/><Relationship Id="rId16" Type="http://schemas.openxmlformats.org/officeDocument/2006/relationships/hyperlink" Target="https://drive.google.com/open?id=1IfutzzvOBuwEw2hQ2SsAA7p2ltQvijTL" TargetMode="External"/><Relationship Id="rId221" Type="http://schemas.openxmlformats.org/officeDocument/2006/relationships/hyperlink" Target="https://drive.google.com/open?id=1M_S6DbX6-6etM-Gz73fzuY57jd_r-B0v" TargetMode="External"/><Relationship Id="rId263" Type="http://schemas.openxmlformats.org/officeDocument/2006/relationships/hyperlink" Target="https://drive.google.com/open?id=1YlSHJBMmLXUiPE1Rwy51r4-FpRP4XbNQ" TargetMode="External"/><Relationship Id="rId319" Type="http://schemas.openxmlformats.org/officeDocument/2006/relationships/hyperlink" Target="https://drive.google.com/open?id=1k_elAc6K7rT7viXrxEtdz1l4lvjfiiab" TargetMode="External"/><Relationship Id="rId58" Type="http://schemas.openxmlformats.org/officeDocument/2006/relationships/hyperlink" Target="https://drive.google.com/open?id=1Z6uqYTMJxFAG7o5wLeKtlg9OSZutMmGK" TargetMode="External"/><Relationship Id="rId123" Type="http://schemas.openxmlformats.org/officeDocument/2006/relationships/hyperlink" Target="https://drive.google.com/open?id=1SGmJEEJJESm4xG1A_OJ038yWbP90Vrb_" TargetMode="External"/><Relationship Id="rId330" Type="http://schemas.openxmlformats.org/officeDocument/2006/relationships/hyperlink" Target="https://drive.google.com/open?id=1za45Y_i02h__aGwXJJzlpojMnvx-AC3P" TargetMode="External"/><Relationship Id="rId165" Type="http://schemas.openxmlformats.org/officeDocument/2006/relationships/hyperlink" Target="https://drive.google.com/open?id=1cQxTz4I5fD-a0SSWP58e0MPa5NhiYx6Q" TargetMode="External"/><Relationship Id="rId372" Type="http://schemas.openxmlformats.org/officeDocument/2006/relationships/hyperlink" Target="https://drive.google.com/open?id=12-k-b8Hq81lFYZIlZ1xseOZw8_eimIri" TargetMode="External"/><Relationship Id="rId428" Type="http://schemas.openxmlformats.org/officeDocument/2006/relationships/hyperlink" Target="https://drive.google.com/open?id=1zN4yvH44xjp87DhyuOdowMYMvx2erneU" TargetMode="External"/><Relationship Id="rId232" Type="http://schemas.openxmlformats.org/officeDocument/2006/relationships/hyperlink" Target="https://drive.google.com/open?id=1QW7thUdg-axtc4BGcCiaSSRgu1Gj9-Sw" TargetMode="External"/><Relationship Id="rId274" Type="http://schemas.openxmlformats.org/officeDocument/2006/relationships/hyperlink" Target="https://drive.google.com/open?id=1Kwo7OAdZ8MrsoNfv4gBVFKI-nnsaSgX0" TargetMode="External"/><Relationship Id="rId27" Type="http://schemas.openxmlformats.org/officeDocument/2006/relationships/hyperlink" Target="https://drive.google.com/open?id=1V3B2XncXor0STyX3us3NvR_tuIcFhKX_" TargetMode="External"/><Relationship Id="rId69" Type="http://schemas.openxmlformats.org/officeDocument/2006/relationships/hyperlink" Target="https://drive.google.com/open?id=1korVDsnWIHl6M5Dxhx0fM5umfFYnc0me" TargetMode="External"/><Relationship Id="rId134" Type="http://schemas.openxmlformats.org/officeDocument/2006/relationships/hyperlink" Target="https://drive.google.com/open?id=1DiRcJTLrunJUL6oQStWhJovSYZMTI_aw" TargetMode="External"/><Relationship Id="rId80" Type="http://schemas.openxmlformats.org/officeDocument/2006/relationships/hyperlink" Target="https://drive.google.com/open?id=1hqLwpkMcu7KAZ0Z4JfMfiZpTRGSKtznp" TargetMode="External"/><Relationship Id="rId176" Type="http://schemas.openxmlformats.org/officeDocument/2006/relationships/hyperlink" Target="https://drive.google.com/open?id=1b_0VBZgrjPTWYy3a6ZMm7gsiUZP7jDfT" TargetMode="External"/><Relationship Id="rId341" Type="http://schemas.openxmlformats.org/officeDocument/2006/relationships/hyperlink" Target="https://drive.google.com/open?id=1W7txkbWyKEBRGIt-yr_WkmVRPy0eJKmw" TargetMode="External"/><Relationship Id="rId383" Type="http://schemas.openxmlformats.org/officeDocument/2006/relationships/hyperlink" Target="https://drive.google.com/open?id=14J6w4nxUrKLJzMq7mVqNRYRUWYuV3k9B" TargetMode="External"/><Relationship Id="rId439" Type="http://schemas.openxmlformats.org/officeDocument/2006/relationships/hyperlink" Target="https://drive.google.com/open?id=1qrFbupe95cHDQkAGaA6xqmSoLWlCLELF" TargetMode="External"/><Relationship Id="rId201" Type="http://schemas.openxmlformats.org/officeDocument/2006/relationships/hyperlink" Target="https://drive.google.com/open?id=1IDtX4quMFeMByZPd7VzjTPSkjG_C2WAt" TargetMode="External"/><Relationship Id="rId243" Type="http://schemas.openxmlformats.org/officeDocument/2006/relationships/hyperlink" Target="https://drive.google.com/open?id=1p9ij_v8RHuVEyNlGt17w0jiNQP6yR_wD" TargetMode="External"/><Relationship Id="rId285" Type="http://schemas.openxmlformats.org/officeDocument/2006/relationships/hyperlink" Target="https://drive.google.com/open?id=1SpJlX7tJf1KhM29RRpLrpa4zyaL5L3Zn" TargetMode="External"/><Relationship Id="rId450" Type="http://schemas.openxmlformats.org/officeDocument/2006/relationships/hyperlink" Target="https://drive.google.com/open?id=1ZU-hW19N_g9z4JJySe3AxcPP8uOFRukf" TargetMode="External"/><Relationship Id="rId38" Type="http://schemas.openxmlformats.org/officeDocument/2006/relationships/hyperlink" Target="https://drive.google.com/open?id=1nVm1j62QaHAowsKWa5TOTpiCnbzv_QUq" TargetMode="External"/><Relationship Id="rId103" Type="http://schemas.openxmlformats.org/officeDocument/2006/relationships/hyperlink" Target="https://drive.google.com/open?id=1FiniaYa4EJZOmnLTrG98dFjNJWXFUTpl" TargetMode="External"/><Relationship Id="rId310" Type="http://schemas.openxmlformats.org/officeDocument/2006/relationships/hyperlink" Target="https://drive.google.com/open?id=1BYYgkG2jUGuH9iGMGIl32QEEUPuKKOgy" TargetMode="External"/><Relationship Id="rId91" Type="http://schemas.openxmlformats.org/officeDocument/2006/relationships/hyperlink" Target="https://drive.google.com/open?id=12ajFla9kiua3RKk_mHfqNtJzEC9djNid" TargetMode="External"/><Relationship Id="rId145" Type="http://schemas.openxmlformats.org/officeDocument/2006/relationships/hyperlink" Target="https://drive.google.com/open?id=1co68Y66YcghuCCiQhuFD2esh9AgE7-7S" TargetMode="External"/><Relationship Id="rId187" Type="http://schemas.openxmlformats.org/officeDocument/2006/relationships/hyperlink" Target="https://drive.google.com/open?id=1XbbWua-LR4Yx-exouKJzXmFwCLG6SxTJ" TargetMode="External"/><Relationship Id="rId352" Type="http://schemas.openxmlformats.org/officeDocument/2006/relationships/hyperlink" Target="https://drive.google.com/open?id=13lUDW9r7lyKTWH-axFDzFUxliZ1VitbY" TargetMode="External"/><Relationship Id="rId394" Type="http://schemas.openxmlformats.org/officeDocument/2006/relationships/hyperlink" Target="https://drive.google.com/open?id=1XlLionxoQk8A-cMkDRFz-xy4_p7_tyoZ" TargetMode="External"/><Relationship Id="rId408" Type="http://schemas.openxmlformats.org/officeDocument/2006/relationships/hyperlink" Target="https://drive.google.com/open?id=19u-Mq7B7v7vVLAbrgr-BRGGu7wIuiC3K" TargetMode="External"/><Relationship Id="rId212" Type="http://schemas.openxmlformats.org/officeDocument/2006/relationships/hyperlink" Target="https://drive.google.com/open?id=1nZG7vHGM3aZE23eRdY1nHgZkjkSLpjIM" TargetMode="External"/><Relationship Id="rId254" Type="http://schemas.openxmlformats.org/officeDocument/2006/relationships/hyperlink" Target="https://drive.google.com/open?id=13fPMAw7vedBKpLMaULEteB_bp0fK4TGR" TargetMode="External"/><Relationship Id="rId49" Type="http://schemas.openxmlformats.org/officeDocument/2006/relationships/hyperlink" Target="https://drive.google.com/open?id=1OjvwOd2_UAOfwtUqVJjohKTQpANRerTK" TargetMode="External"/><Relationship Id="rId114" Type="http://schemas.openxmlformats.org/officeDocument/2006/relationships/hyperlink" Target="https://drive.google.com/open?id=10maYmh1fQsLgK4_EjSYPB7AX3934J6Nu" TargetMode="External"/><Relationship Id="rId296" Type="http://schemas.openxmlformats.org/officeDocument/2006/relationships/hyperlink" Target="https://drive.google.com/open?id=1qcg5KL8Vs_7V8BhG1N9d2oaHEVqmVYNN" TargetMode="External"/><Relationship Id="rId461" Type="http://schemas.openxmlformats.org/officeDocument/2006/relationships/hyperlink" Target="https://drive.google.com/open?id=1wEOle1o2ahWhiHDg1DfL823BazDTpR-a" TargetMode="External"/><Relationship Id="rId60" Type="http://schemas.openxmlformats.org/officeDocument/2006/relationships/hyperlink" Target="https://drive.google.com/open?id=1HFVHfGetBxuJivKTl1_lKQoobkJLkl14" TargetMode="External"/><Relationship Id="rId156" Type="http://schemas.openxmlformats.org/officeDocument/2006/relationships/hyperlink" Target="https://drive.google.com/open?id=1a6XLRcW5Pm_w0n8lUGA3V6DWd7K3camk" TargetMode="External"/><Relationship Id="rId198" Type="http://schemas.openxmlformats.org/officeDocument/2006/relationships/hyperlink" Target="https://drive.google.com/open?id=1d4hlu5IELrkHpLd_WTbNYILAVVnsqRoC" TargetMode="External"/><Relationship Id="rId321" Type="http://schemas.openxmlformats.org/officeDocument/2006/relationships/hyperlink" Target="https://drive.google.com/open?id=1L6ZwFDmwnxlr2HZJot2_cRuUtb3iL4ek" TargetMode="External"/><Relationship Id="rId363" Type="http://schemas.openxmlformats.org/officeDocument/2006/relationships/hyperlink" Target="https://drive.google.com/open?id=1xFWPBJuyrtXYHSI6aZUsxUxT-Br_Pcd_" TargetMode="External"/><Relationship Id="rId419" Type="http://schemas.openxmlformats.org/officeDocument/2006/relationships/hyperlink" Target="https://drive.google.com/open?id=1khuaTrfgX09AswDfhrUjfIdiIsIrDiCD" TargetMode="External"/><Relationship Id="rId223" Type="http://schemas.openxmlformats.org/officeDocument/2006/relationships/hyperlink" Target="https://drive.google.com/open?id=1Y3woNd8cb7SNY594l5Hjuj8HrhAcKWY5" TargetMode="External"/><Relationship Id="rId430" Type="http://schemas.openxmlformats.org/officeDocument/2006/relationships/hyperlink" Target="https://drive.google.com/open?id=1N_q_S5_s5lqQ4l8facqEqQfoB4g23uOO" TargetMode="External"/><Relationship Id="rId18" Type="http://schemas.openxmlformats.org/officeDocument/2006/relationships/hyperlink" Target="https://drive.google.com/open?id=1LswZsUo9KcdQ2dyw9neOJQ4r3efUdMsA" TargetMode="External"/><Relationship Id="rId265" Type="http://schemas.openxmlformats.org/officeDocument/2006/relationships/hyperlink" Target="https://drive.google.com/open?id=1HDdMwOlNok15J0_eCqXyUJILzJhgDuo5" TargetMode="External"/><Relationship Id="rId125" Type="http://schemas.openxmlformats.org/officeDocument/2006/relationships/hyperlink" Target="https://drive.google.com/open?id=1ROh60aQfESdYHITcPubAUl9msDgB8b6x" TargetMode="External"/><Relationship Id="rId167" Type="http://schemas.openxmlformats.org/officeDocument/2006/relationships/hyperlink" Target="https://drive.google.com/open?id=1OtAFqZwpT_IaukHBHdDlFkURgTRs1hx-" TargetMode="External"/><Relationship Id="rId332" Type="http://schemas.openxmlformats.org/officeDocument/2006/relationships/hyperlink" Target="https://drive.google.com/open?id=1KziH9QiIAlhbieZrSIAnYLGS-iLH48y6" TargetMode="External"/><Relationship Id="rId374" Type="http://schemas.openxmlformats.org/officeDocument/2006/relationships/hyperlink" Target="https://drive.google.com/open?id=1145-hyW-JfO3Zdt8g8SN_yV9pLMfzhm1" TargetMode="External"/><Relationship Id="rId71" Type="http://schemas.openxmlformats.org/officeDocument/2006/relationships/hyperlink" Target="https://drive.google.com/open?id=1H3AWLs3lav3o5QK-UA-wmf34o4cXTktD" TargetMode="External"/><Relationship Id="rId234" Type="http://schemas.openxmlformats.org/officeDocument/2006/relationships/hyperlink" Target="https://drive.google.com/open?id=1rKtGDs7f6l92QEo8OBKnmVHCO8Uriliw" TargetMode="External"/><Relationship Id="rId2" Type="http://schemas.openxmlformats.org/officeDocument/2006/relationships/hyperlink" Target="https://drive.google.com/open?id=1AxQsCPWONB4L9zhjRMFbjzl2Cyw_6n-3" TargetMode="External"/><Relationship Id="rId29" Type="http://schemas.openxmlformats.org/officeDocument/2006/relationships/hyperlink" Target="https://drive.google.com/open?id=1Dz0RQoFCeAUqEwZgjeEZyFCRGPTv27EL" TargetMode="External"/><Relationship Id="rId276" Type="http://schemas.openxmlformats.org/officeDocument/2006/relationships/hyperlink" Target="https://drive.google.com/open?id=1yNU05yiJEicItLU3AhY1qnCW1OzhRNw2" TargetMode="External"/><Relationship Id="rId441" Type="http://schemas.openxmlformats.org/officeDocument/2006/relationships/hyperlink" Target="https://drive.google.com/open?id=1kK8Q3RKvi8ROKATpyvxoe9-2AObMoTPD" TargetMode="External"/><Relationship Id="rId40" Type="http://schemas.openxmlformats.org/officeDocument/2006/relationships/hyperlink" Target="https://drive.google.com/open?id=1xJkckvUCI8LN26vclPtgCEuMeHbny5dn" TargetMode="External"/><Relationship Id="rId136" Type="http://schemas.openxmlformats.org/officeDocument/2006/relationships/hyperlink" Target="https://drive.google.com/open?id=180YhhyPRYGinP5AWi3yjrQbljIOorWaI" TargetMode="External"/><Relationship Id="rId178" Type="http://schemas.openxmlformats.org/officeDocument/2006/relationships/hyperlink" Target="https://drive.google.com/open?id=1ONf5FGRma3no-lO3Azpl2yML6h4bZm9R" TargetMode="External"/><Relationship Id="rId301" Type="http://schemas.openxmlformats.org/officeDocument/2006/relationships/hyperlink" Target="https://drive.google.com/open?id=1VZ9Hy79PxIdC0VZ4DLIgrgRY179krgTA" TargetMode="External"/><Relationship Id="rId343" Type="http://schemas.openxmlformats.org/officeDocument/2006/relationships/hyperlink" Target="https://drive.google.com/open?id=15gd7WNp18JolDqUcE5Ybsvzak_Ttvf2a" TargetMode="External"/><Relationship Id="rId61" Type="http://schemas.openxmlformats.org/officeDocument/2006/relationships/hyperlink" Target="https://drive.google.com/open?id=15W2BtliUv0Kfb0uIDo-hEr2B1EOVfefn" TargetMode="External"/><Relationship Id="rId82" Type="http://schemas.openxmlformats.org/officeDocument/2006/relationships/hyperlink" Target="https://drive.google.com/open?id=1a4Z45D8s6jE0YjuPO-mWeD9WeZkD7BF1" TargetMode="External"/><Relationship Id="rId199" Type="http://schemas.openxmlformats.org/officeDocument/2006/relationships/hyperlink" Target="https://drive.google.com/open?id=1YO-EqRGTsKMI0nzQyAJV06g9Dp44cmv0" TargetMode="External"/><Relationship Id="rId203" Type="http://schemas.openxmlformats.org/officeDocument/2006/relationships/hyperlink" Target="https://drive.google.com/open?id=1T7Vt8hoGrPSXWs7pcPUMEeoA-JYUvfYJ" TargetMode="External"/><Relationship Id="rId385" Type="http://schemas.openxmlformats.org/officeDocument/2006/relationships/hyperlink" Target="https://drive.google.com/open?id=163ZOvRTo8rJapbOiW1mrGLXbQgT93U4P" TargetMode="External"/><Relationship Id="rId19" Type="http://schemas.openxmlformats.org/officeDocument/2006/relationships/hyperlink" Target="https://drive.google.com/open?id=10vbYmbxC8mGJLHyABWfxkYuXCPrDlEK7" TargetMode="External"/><Relationship Id="rId224" Type="http://schemas.openxmlformats.org/officeDocument/2006/relationships/hyperlink" Target="https://drive.google.com/open?id=1vctw7euF2PYY4efMJTfRBXzRP9wfqzjc" TargetMode="External"/><Relationship Id="rId245" Type="http://schemas.openxmlformats.org/officeDocument/2006/relationships/hyperlink" Target="https://drive.google.com/open?id=1gEq1dyQ2LmWjPLuQ2JuhcMiPqCqkcSFw" TargetMode="External"/><Relationship Id="rId266" Type="http://schemas.openxmlformats.org/officeDocument/2006/relationships/hyperlink" Target="https://drive.google.com/open?id=13BEdSkJKpWOQ3hv9I5YJ9SNoVruSDL_i" TargetMode="External"/><Relationship Id="rId287" Type="http://schemas.openxmlformats.org/officeDocument/2006/relationships/hyperlink" Target="https://drive.google.com/open?id=1C-NaHVHZ9mUEmQLBStWD8ASJOt-Gm8GZ" TargetMode="External"/><Relationship Id="rId410" Type="http://schemas.openxmlformats.org/officeDocument/2006/relationships/hyperlink" Target="https://drive.google.com/open?id=1riuTQxkjOx38ThXn5FX5kYu6nioAvADJ" TargetMode="External"/><Relationship Id="rId431" Type="http://schemas.openxmlformats.org/officeDocument/2006/relationships/hyperlink" Target="https://drive.google.com/open?id=1zP0_DcmxpuNaUDOo53fxXbTP20mQDtvi" TargetMode="External"/><Relationship Id="rId452" Type="http://schemas.openxmlformats.org/officeDocument/2006/relationships/hyperlink" Target="https://drive.google.com/open?id=11zBU-kSadVnUASB_RcJbbku3Ea-iMSVK" TargetMode="External"/><Relationship Id="rId30" Type="http://schemas.openxmlformats.org/officeDocument/2006/relationships/hyperlink" Target="https://drive.google.com/open?id=1QBFGLNIf9Paz96kACHzrDyM7Px0T9lWz" TargetMode="External"/><Relationship Id="rId105" Type="http://schemas.openxmlformats.org/officeDocument/2006/relationships/hyperlink" Target="https://drive.google.com/open?id=1dJvRiC8kUh5mH5DRJ77ZsPiIk9TyclxI" TargetMode="External"/><Relationship Id="rId126" Type="http://schemas.openxmlformats.org/officeDocument/2006/relationships/hyperlink" Target="https://drive.google.com/open?id=1dfWW4dlBBcj8HahYwPZH4wtv71g-VPVv" TargetMode="External"/><Relationship Id="rId147" Type="http://schemas.openxmlformats.org/officeDocument/2006/relationships/hyperlink" Target="https://drive.google.com/open?id=1i-I7EcuGPRAKLuqehrhObEqeG2yPOIJg" TargetMode="External"/><Relationship Id="rId168" Type="http://schemas.openxmlformats.org/officeDocument/2006/relationships/hyperlink" Target="https://drive.google.com/open?id=1KOWShsgFWOrk6CXt7e05O2B1uWcNR2pl" TargetMode="External"/><Relationship Id="rId312" Type="http://schemas.openxmlformats.org/officeDocument/2006/relationships/hyperlink" Target="https://drive.google.com/open?id=1NBf69YmOiAUcK1gcVHeITB66U3us2VeI" TargetMode="External"/><Relationship Id="rId333" Type="http://schemas.openxmlformats.org/officeDocument/2006/relationships/hyperlink" Target="https://drive.google.com/open?id=106EAT38dAzov53uXwmkkqyj3QUxYt9CF" TargetMode="External"/><Relationship Id="rId354" Type="http://schemas.openxmlformats.org/officeDocument/2006/relationships/hyperlink" Target="https://drive.google.com/open?id=1chJqTEQ2UMjmUUi53fieBqo2RSW062mY" TargetMode="External"/><Relationship Id="rId51" Type="http://schemas.openxmlformats.org/officeDocument/2006/relationships/hyperlink" Target="https://drive.google.com/open?id=13B59uVms02njZbcnkZdHmF6944UFvoh-" TargetMode="External"/><Relationship Id="rId72" Type="http://schemas.openxmlformats.org/officeDocument/2006/relationships/hyperlink" Target="https://drive.google.com/open?id=1oEr-YtgGRUgDCkD_wmpy1ZiyFwKJ7gdL" TargetMode="External"/><Relationship Id="rId93" Type="http://schemas.openxmlformats.org/officeDocument/2006/relationships/hyperlink" Target="https://drive.google.com/open?id=1QP_8Htqk6SfJPMT2p8iKLob_teHYbUFo" TargetMode="External"/><Relationship Id="rId189" Type="http://schemas.openxmlformats.org/officeDocument/2006/relationships/hyperlink" Target="https://drive.google.com/open?id=1_QK9928s8MOaQvFvHefmuXgaFp2o6Ipo" TargetMode="External"/><Relationship Id="rId375" Type="http://schemas.openxmlformats.org/officeDocument/2006/relationships/hyperlink" Target="https://drive.google.com/open?id=1S4B94NZS2gmAnvJ_d636S2rT2VFYvuVy" TargetMode="External"/><Relationship Id="rId396" Type="http://schemas.openxmlformats.org/officeDocument/2006/relationships/hyperlink" Target="https://drive.google.com/open?id=1UTdhn1GAdgqfjr1ppST-TFVy_x-XqTj5" TargetMode="External"/><Relationship Id="rId3" Type="http://schemas.openxmlformats.org/officeDocument/2006/relationships/hyperlink" Target="https://drive.google.com/open?id=14dH7ICsgzmmcJTNwkCku70FFnNGc4tzX" TargetMode="External"/><Relationship Id="rId214" Type="http://schemas.openxmlformats.org/officeDocument/2006/relationships/hyperlink" Target="https://drive.google.com/open?id=1HieL5ATNtEV2e1xdTTFC_AbnqqJtpPoO" TargetMode="External"/><Relationship Id="rId235" Type="http://schemas.openxmlformats.org/officeDocument/2006/relationships/hyperlink" Target="https://drive.google.com/open?id=1GdO6DIOPk5mAjXeI_e91-Vehf0yXpXrc" TargetMode="External"/><Relationship Id="rId256" Type="http://schemas.openxmlformats.org/officeDocument/2006/relationships/hyperlink" Target="https://drive.google.com/open?id=1eQMiLyxZBI6X_vzBshbJlm4nvheUvhdC" TargetMode="External"/><Relationship Id="rId277" Type="http://schemas.openxmlformats.org/officeDocument/2006/relationships/hyperlink" Target="https://drive.google.com/open?id=1t12cGMrEZgfT7-Aftg7lO6xdD6B81qUs" TargetMode="External"/><Relationship Id="rId298" Type="http://schemas.openxmlformats.org/officeDocument/2006/relationships/hyperlink" Target="https://drive.google.com/open?id=1yE-xC8ffF1aB7a973l2nWI4x7ogyRUU4" TargetMode="External"/><Relationship Id="rId400" Type="http://schemas.openxmlformats.org/officeDocument/2006/relationships/hyperlink" Target="https://drive.google.com/open?id=1lap-UpJzCNerRiNvj43xZwnpgpj6Eag4" TargetMode="External"/><Relationship Id="rId421" Type="http://schemas.openxmlformats.org/officeDocument/2006/relationships/hyperlink" Target="https://drive.google.com/open?id=1l9Sc9k5_SwckzE7MYjkwHbXva2JsjVsP" TargetMode="External"/><Relationship Id="rId442" Type="http://schemas.openxmlformats.org/officeDocument/2006/relationships/hyperlink" Target="https://drive.google.com/open?id=1VJ3_U0EFJcBaGUMl0cQ9mOVI8KMWNdJA" TargetMode="External"/><Relationship Id="rId463" Type="http://schemas.openxmlformats.org/officeDocument/2006/relationships/hyperlink" Target="https://drive.google.com/open?id=1UzC69MtGqgXCvbVoxmorTdxU0GapBV2X" TargetMode="External"/><Relationship Id="rId116" Type="http://schemas.openxmlformats.org/officeDocument/2006/relationships/hyperlink" Target="https://drive.google.com/open?id=1cCcaOrymBRdI8ah_Gu5W09PrzXGsVBJD" TargetMode="External"/><Relationship Id="rId137" Type="http://schemas.openxmlformats.org/officeDocument/2006/relationships/hyperlink" Target="https://drive.google.com/open?id=1lM-KN80ew3jR2awIgUs8qVQb-aH3BmVN" TargetMode="External"/><Relationship Id="rId158" Type="http://schemas.openxmlformats.org/officeDocument/2006/relationships/hyperlink" Target="https://drive.google.com/open?id=16OUcJgTvCzArOzofC938jSul2_untIXR" TargetMode="External"/><Relationship Id="rId302" Type="http://schemas.openxmlformats.org/officeDocument/2006/relationships/hyperlink" Target="https://drive.google.com/open?id=1dH3dEnKTaXLK27LNAKnEcOQKHTcqJLPx" TargetMode="External"/><Relationship Id="rId323" Type="http://schemas.openxmlformats.org/officeDocument/2006/relationships/hyperlink" Target="https://drive.google.com/open?id=1wHS_Gg5-vHmDw_mRCvVWgMrQvwdI503Z" TargetMode="External"/><Relationship Id="rId344" Type="http://schemas.openxmlformats.org/officeDocument/2006/relationships/hyperlink" Target="https://drive.google.com/open?id=1xriKcbbtlIxo3SgrYELCoYWbfZj0CEZT" TargetMode="External"/><Relationship Id="rId20" Type="http://schemas.openxmlformats.org/officeDocument/2006/relationships/hyperlink" Target="https://drive.google.com/open?id=11_4rpJEp9UQdFi4S6So_v-Rp3OiXNft-" TargetMode="External"/><Relationship Id="rId41" Type="http://schemas.openxmlformats.org/officeDocument/2006/relationships/hyperlink" Target="https://drive.google.com/open?id=1yD9PXtCCn-pDG0QLYwxGZ80xqWDMBrW4" TargetMode="External"/><Relationship Id="rId62" Type="http://schemas.openxmlformats.org/officeDocument/2006/relationships/hyperlink" Target="https://drive.google.com/open?id=10wY1ISwNNrJzwCIcz0jsCdYcj5qvl3Iq" TargetMode="External"/><Relationship Id="rId83" Type="http://schemas.openxmlformats.org/officeDocument/2006/relationships/hyperlink" Target="https://drive.google.com/open?id=1tM8qPA5BMUQNBP-95tsVpGarZmc7RGTA" TargetMode="External"/><Relationship Id="rId179" Type="http://schemas.openxmlformats.org/officeDocument/2006/relationships/hyperlink" Target="https://drive.google.com/open?id=118geyvLP-hDnypHKGS-cfYsODBaeXspJ" TargetMode="External"/><Relationship Id="rId365" Type="http://schemas.openxmlformats.org/officeDocument/2006/relationships/hyperlink" Target="https://drive.google.com/open?id=1bphzhwgyiuU04-9OoeEc2ipECpsS8Trt" TargetMode="External"/><Relationship Id="rId386" Type="http://schemas.openxmlformats.org/officeDocument/2006/relationships/hyperlink" Target="https://drive.google.com/open?id=1bNtAQl7JMUWyoY0RXyAf4eEcQtKDOMk7" TargetMode="External"/><Relationship Id="rId190" Type="http://schemas.openxmlformats.org/officeDocument/2006/relationships/hyperlink" Target="https://drive.google.com/open?id=1rSWgLdRwMMhN8cTg4UFhkC3lWZrw4toL" TargetMode="External"/><Relationship Id="rId204" Type="http://schemas.openxmlformats.org/officeDocument/2006/relationships/hyperlink" Target="https://drive.google.com/open?id=188TmdRMzCgK0acl7CWcZLvlK5nyIH5td" TargetMode="External"/><Relationship Id="rId225" Type="http://schemas.openxmlformats.org/officeDocument/2006/relationships/hyperlink" Target="https://drive.google.com/open?id=1b-gUvc8Oip55uhxR0xK_Y0lFtHBdG_Bh" TargetMode="External"/><Relationship Id="rId246" Type="http://schemas.openxmlformats.org/officeDocument/2006/relationships/hyperlink" Target="https://drive.google.com/open?id=1OUEq45b75uUshB8wP9ORddwAwHFcw3-K" TargetMode="External"/><Relationship Id="rId267" Type="http://schemas.openxmlformats.org/officeDocument/2006/relationships/hyperlink" Target="https://drive.google.com/open?id=1T18kCqsGrWqyD0fpqRJdRkq1Hqu_-yG0" TargetMode="External"/><Relationship Id="rId288" Type="http://schemas.openxmlformats.org/officeDocument/2006/relationships/hyperlink" Target="https://drive.google.com/open?id=1ScElP5aQdF5wbW2EblnfOJBst9JDcs8x" TargetMode="External"/><Relationship Id="rId411" Type="http://schemas.openxmlformats.org/officeDocument/2006/relationships/hyperlink" Target="https://drive.google.com/open?id=1H3QFIpEyj3BPHSYODZub2WDX7d_DTk7z" TargetMode="External"/><Relationship Id="rId432" Type="http://schemas.openxmlformats.org/officeDocument/2006/relationships/hyperlink" Target="https://drive.google.com/open?id=1M14T16zgA96KyPoyChOWHjGsb53PSxZH" TargetMode="External"/><Relationship Id="rId453" Type="http://schemas.openxmlformats.org/officeDocument/2006/relationships/hyperlink" Target="https://drive.google.com/open?id=1pEQtdlP5AVD0-DkX1u0rFFBBvh410bBX" TargetMode="External"/><Relationship Id="rId106" Type="http://schemas.openxmlformats.org/officeDocument/2006/relationships/hyperlink" Target="https://drive.google.com/open?id=1rHLxvfE0r2kp3bbIw0EvhQoVO3rhUlu9" TargetMode="External"/><Relationship Id="rId127" Type="http://schemas.openxmlformats.org/officeDocument/2006/relationships/hyperlink" Target="https://drive.google.com/open?id=1zpwEkXRMpIoTTDjXFceW_Bn1qwrZhLMt" TargetMode="External"/><Relationship Id="rId313" Type="http://schemas.openxmlformats.org/officeDocument/2006/relationships/hyperlink" Target="https://drive.google.com/open?id=10Ocw3pmJaIMR4CUFNnGjZZ4OUQs1hY20" TargetMode="External"/><Relationship Id="rId10" Type="http://schemas.openxmlformats.org/officeDocument/2006/relationships/hyperlink" Target="https://drive.google.com/open?id=1pEIWUu9oWsz2kudrcwXBUxp7n3kCQtVT" TargetMode="External"/><Relationship Id="rId31" Type="http://schemas.openxmlformats.org/officeDocument/2006/relationships/hyperlink" Target="https://drive.google.com/open?id=1FIRtIv07YVj2HKjwKfc8PTWedWzsDHRO" TargetMode="External"/><Relationship Id="rId52" Type="http://schemas.openxmlformats.org/officeDocument/2006/relationships/hyperlink" Target="https://drive.google.com/open?id=13YJ-qExIphl_ZIsa8biQv021U0Mcyg2k" TargetMode="External"/><Relationship Id="rId73" Type="http://schemas.openxmlformats.org/officeDocument/2006/relationships/hyperlink" Target="https://drive.google.com/open?id=1XH5_9HD9lo1_L1nyT481w30Ww9G2EJyO" TargetMode="External"/><Relationship Id="rId94" Type="http://schemas.openxmlformats.org/officeDocument/2006/relationships/hyperlink" Target="https://drive.google.com/open?id=1at32rHZq6SqsvU8WwRoUQZRYeCsNLYiR" TargetMode="External"/><Relationship Id="rId148" Type="http://schemas.openxmlformats.org/officeDocument/2006/relationships/hyperlink" Target="https://drive.google.com/open?id=1bKl_osuMCiVdw30PzkuRyilml_Y91PAz" TargetMode="External"/><Relationship Id="rId169" Type="http://schemas.openxmlformats.org/officeDocument/2006/relationships/hyperlink" Target="https://drive.google.com/open?id=1ohlsf5rBqFoyE8P3pNNJSfgTML_l4URW" TargetMode="External"/><Relationship Id="rId334" Type="http://schemas.openxmlformats.org/officeDocument/2006/relationships/hyperlink" Target="https://drive.google.com/open?id=1OIwDLbi64pLCmwHwE2lIcMuqa0ByazCD" TargetMode="External"/><Relationship Id="rId355" Type="http://schemas.openxmlformats.org/officeDocument/2006/relationships/hyperlink" Target="https://drive.google.com/open?id=1DMyixOuiH3EhIx_regD0o7nRQhU41jFk" TargetMode="External"/><Relationship Id="rId376" Type="http://schemas.openxmlformats.org/officeDocument/2006/relationships/hyperlink" Target="https://drive.google.com/open?id=1miv--YeoPr9xLFqN33RdLQIJoZvu4wiq" TargetMode="External"/><Relationship Id="rId397" Type="http://schemas.openxmlformats.org/officeDocument/2006/relationships/hyperlink" Target="https://drive.google.com/open?id=1nr4uft8vWzCsfSm9DTvKG48ErWjBWSxs" TargetMode="External"/><Relationship Id="rId4" Type="http://schemas.openxmlformats.org/officeDocument/2006/relationships/hyperlink" Target="https://drive.google.com/open?id=1KzVc8EI5TFFVL9Y_SDf7w6eQRueVereD" TargetMode="External"/><Relationship Id="rId180" Type="http://schemas.openxmlformats.org/officeDocument/2006/relationships/hyperlink" Target="https://drive.google.com/open?id=1m9xBtspwmjtlMfyT473iTNOVfGKRkdIr" TargetMode="External"/><Relationship Id="rId215" Type="http://schemas.openxmlformats.org/officeDocument/2006/relationships/hyperlink" Target="https://drive.google.com/open?id=1ebhGODh2MLe9O1MSwhdJeTTdanFmGGAu" TargetMode="External"/><Relationship Id="rId236" Type="http://schemas.openxmlformats.org/officeDocument/2006/relationships/hyperlink" Target="https://drive.google.com/open?id=1joI1xkhluTQnxrEm4ri6WS93bi4OOmJf" TargetMode="External"/><Relationship Id="rId257" Type="http://schemas.openxmlformats.org/officeDocument/2006/relationships/hyperlink" Target="https://drive.google.com/open?id=1vSHxNbkBlKKFuE6xOl1w-Xp1_z2A5tOD" TargetMode="External"/><Relationship Id="rId278" Type="http://schemas.openxmlformats.org/officeDocument/2006/relationships/hyperlink" Target="https://drive.google.com/open?id=1l9mlKDrGz2LASMvposRbU3VuSMhTax_3" TargetMode="External"/><Relationship Id="rId401" Type="http://schemas.openxmlformats.org/officeDocument/2006/relationships/hyperlink" Target="https://drive.google.com/open?id=1aemiqQl29JRyCs2WOmMlsr3mERnvZ8Oq" TargetMode="External"/><Relationship Id="rId422" Type="http://schemas.openxmlformats.org/officeDocument/2006/relationships/hyperlink" Target="https://drive.google.com/open?id=1DBpxxBRlLKVCHUp6ipY_DGHx9zpKjdjO" TargetMode="External"/><Relationship Id="rId443" Type="http://schemas.openxmlformats.org/officeDocument/2006/relationships/hyperlink" Target="https://drive.google.com/open?id=1HO6vwYUsHdqLD1I0tGl0SL8kuvO0oXCT" TargetMode="External"/><Relationship Id="rId464" Type="http://schemas.openxmlformats.org/officeDocument/2006/relationships/hyperlink" Target="https://drive.google.com/open?id=1FP8d3GXRrK_UFG2XjGs-xzjfcRH4PvP7" TargetMode="External"/><Relationship Id="rId303" Type="http://schemas.openxmlformats.org/officeDocument/2006/relationships/hyperlink" Target="https://drive.google.com/open?id=1Bii9uTmabXpaY3K4sbsG7EDx3iHlXmsY" TargetMode="External"/><Relationship Id="rId42" Type="http://schemas.openxmlformats.org/officeDocument/2006/relationships/hyperlink" Target="https://drive.google.com/open?id=1Mq91xeUsxzu1JwdX_F16LDJMPNy8tXjL" TargetMode="External"/><Relationship Id="rId84" Type="http://schemas.openxmlformats.org/officeDocument/2006/relationships/hyperlink" Target="https://drive.google.com/open?id=1suxlaGjaPXj-G4FdLdjjPE3j8TClUTZY" TargetMode="External"/><Relationship Id="rId138" Type="http://schemas.openxmlformats.org/officeDocument/2006/relationships/hyperlink" Target="https://drive.google.com/open?id=1OsWYj53nwZxdewPnCD0fzqKb4F3IECZn" TargetMode="External"/><Relationship Id="rId345" Type="http://schemas.openxmlformats.org/officeDocument/2006/relationships/hyperlink" Target="https://drive.google.com/open?id=1Ei9oJmbN5s1dLJIN0JIhZ9fvIkP87Gva" TargetMode="External"/><Relationship Id="rId387" Type="http://schemas.openxmlformats.org/officeDocument/2006/relationships/hyperlink" Target="https://drive.google.com/open?id=1X-XEKB_InRL_LynGtQctSSCeZbweAzbn" TargetMode="External"/><Relationship Id="rId191" Type="http://schemas.openxmlformats.org/officeDocument/2006/relationships/hyperlink" Target="https://drive.google.com/open?id=1F_ci3QVnTuAT0Sa16nOfpTVRG5vSvr6P" TargetMode="External"/><Relationship Id="rId205" Type="http://schemas.openxmlformats.org/officeDocument/2006/relationships/hyperlink" Target="https://drive.google.com/open?id=1QBusZD0rGMEyAZYhS8C4-h5VXz-bpSmI" TargetMode="External"/><Relationship Id="rId247" Type="http://schemas.openxmlformats.org/officeDocument/2006/relationships/hyperlink" Target="https://drive.google.com/open?id=1ScyEZ5Mzs28OPLvNNtqKLrcKr1fgt4tU" TargetMode="External"/><Relationship Id="rId412" Type="http://schemas.openxmlformats.org/officeDocument/2006/relationships/hyperlink" Target="https://drive.google.com/open?id=1JhGIc35zvUi48qNEZZUe-Brk1p31mleL" TargetMode="External"/><Relationship Id="rId107" Type="http://schemas.openxmlformats.org/officeDocument/2006/relationships/hyperlink" Target="https://drive.google.com/open?id=1KOYz_ov1AD4rTgVypHhwImT1sBIIl78P" TargetMode="External"/><Relationship Id="rId289" Type="http://schemas.openxmlformats.org/officeDocument/2006/relationships/hyperlink" Target="https://drive.google.com/open?id=1NX3uOrQ__ULO1wov3DDsNdNxf4en1H81" TargetMode="External"/><Relationship Id="rId454" Type="http://schemas.openxmlformats.org/officeDocument/2006/relationships/hyperlink" Target="https://drive.google.com/open?id=1y4taegEMLvJ22vFy6HFtjt5sY8I4Meiv" TargetMode="External"/><Relationship Id="rId11" Type="http://schemas.openxmlformats.org/officeDocument/2006/relationships/hyperlink" Target="https://drive.google.com/open?id=1EChVbA0hNNEKSG4Ug4RPN_bC7INp5NNh" TargetMode="External"/><Relationship Id="rId53" Type="http://schemas.openxmlformats.org/officeDocument/2006/relationships/hyperlink" Target="https://drive.google.com/open?id=1Gam3lxrYnLOzrr5o5cPwMxlLQjEnMxh8" TargetMode="External"/><Relationship Id="rId149" Type="http://schemas.openxmlformats.org/officeDocument/2006/relationships/hyperlink" Target="https://drive.google.com/open?id=1m04OSsz-RJM1OB5YE2ZCiPXLW1zxPbkz" TargetMode="External"/><Relationship Id="rId314" Type="http://schemas.openxmlformats.org/officeDocument/2006/relationships/hyperlink" Target="https://drive.google.com/open?id=1uOk0z67gjYjdvMeODWmroTBs00oAjn80" TargetMode="External"/><Relationship Id="rId356" Type="http://schemas.openxmlformats.org/officeDocument/2006/relationships/hyperlink" Target="https://drive.google.com/open?id=154fxTd-k96UWGMZ7WbPqqAbNtkQLnTeW" TargetMode="External"/><Relationship Id="rId398" Type="http://schemas.openxmlformats.org/officeDocument/2006/relationships/hyperlink" Target="https://drive.google.com/open?id=1Pv-kflVRIMXwyta3NVt4--KMXwloLmyG" TargetMode="External"/><Relationship Id="rId95" Type="http://schemas.openxmlformats.org/officeDocument/2006/relationships/hyperlink" Target="https://drive.google.com/open?id=1fDCRvtMhbJbdTqmMsmL55OKcjdGcAI5b" TargetMode="External"/><Relationship Id="rId160" Type="http://schemas.openxmlformats.org/officeDocument/2006/relationships/hyperlink" Target="https://drive.google.com/open?id=1qhkxf-AEPsvfAAxoNxWPY1-5ti63d9GZ" TargetMode="External"/><Relationship Id="rId216" Type="http://schemas.openxmlformats.org/officeDocument/2006/relationships/hyperlink" Target="https://drive.google.com/open?id=1vmDslU-yECR_viFuS69y5dvfMJb-GCtd" TargetMode="External"/><Relationship Id="rId423" Type="http://schemas.openxmlformats.org/officeDocument/2006/relationships/hyperlink" Target="https://drive.google.com/open?id=1creqXivpnOF56eXwkNHBh8tGv3padlb0" TargetMode="External"/><Relationship Id="rId258" Type="http://schemas.openxmlformats.org/officeDocument/2006/relationships/hyperlink" Target="https://drive.google.com/open?id=1PU6pJQhfTYng2wJVWEFRz_Bw84MH3XTx" TargetMode="External"/><Relationship Id="rId465" Type="http://schemas.openxmlformats.org/officeDocument/2006/relationships/hyperlink" Target="https://drive.google.com/open?id=1lRg7klVbWU_iNUWDhuMYjpuSuQjzpdVc" TargetMode="External"/><Relationship Id="rId22" Type="http://schemas.openxmlformats.org/officeDocument/2006/relationships/hyperlink" Target="https://drive.google.com/open?id=1bR-D0JF4G7LICUyiDRIsrHTxwLx3xXEs" TargetMode="External"/><Relationship Id="rId64" Type="http://schemas.openxmlformats.org/officeDocument/2006/relationships/hyperlink" Target="https://drive.google.com/open?id=1Q12VkjiTkTijflqvHlM-9lsyupIUOfEN" TargetMode="External"/><Relationship Id="rId118" Type="http://schemas.openxmlformats.org/officeDocument/2006/relationships/hyperlink" Target="https://drive.google.com/open?id=1KoeP95DD9GojEjDtQpwyyGmEfee8vV5l" TargetMode="External"/><Relationship Id="rId325" Type="http://schemas.openxmlformats.org/officeDocument/2006/relationships/hyperlink" Target="https://drive.google.com/open?id=1pu4Y9QCdQmnZ1f3dsKyGeelCD4mjW5aS" TargetMode="External"/><Relationship Id="rId367" Type="http://schemas.openxmlformats.org/officeDocument/2006/relationships/hyperlink" Target="https://drive.google.com/open?id=1iFDqyNF1Y2yFSQ7JuNzd4erILr2fsPMd" TargetMode="External"/><Relationship Id="rId171" Type="http://schemas.openxmlformats.org/officeDocument/2006/relationships/hyperlink" Target="https://drive.google.com/open?id=1i10XRzBUgn8S5MNr43-ufeagiKpwMZWg" TargetMode="External"/><Relationship Id="rId227" Type="http://schemas.openxmlformats.org/officeDocument/2006/relationships/hyperlink" Target="https://drive.google.com/open?id=1HgFb97hzZA3bjJRG2nEwooeGxj-KJP_l" TargetMode="External"/><Relationship Id="rId269" Type="http://schemas.openxmlformats.org/officeDocument/2006/relationships/hyperlink" Target="https://drive.google.com/open?id=1CsrV4P1E7nZZtVxvUpuvMWh-LYxMfWfO" TargetMode="External"/><Relationship Id="rId434" Type="http://schemas.openxmlformats.org/officeDocument/2006/relationships/hyperlink" Target="https://drive.google.com/open?id=1nyTqXoxFHlhXmE51bXMAzYQiNB58QVv4" TargetMode="External"/><Relationship Id="rId33" Type="http://schemas.openxmlformats.org/officeDocument/2006/relationships/hyperlink" Target="https://drive.google.com/open?id=1ycbLCDhBsz1Nfa_UFC6KsiWFhSFr2Mjo" TargetMode="External"/><Relationship Id="rId129" Type="http://schemas.openxmlformats.org/officeDocument/2006/relationships/hyperlink" Target="https://drive.google.com/open?id=1fUa71RveKt0ueTROxn4Px7mmIrgdV1Bo" TargetMode="External"/><Relationship Id="rId280" Type="http://schemas.openxmlformats.org/officeDocument/2006/relationships/hyperlink" Target="https://drive.google.com/open?id=1kCPvoHTJuJhJZk12gpDDz6Y1B2vKjeR_" TargetMode="External"/><Relationship Id="rId336" Type="http://schemas.openxmlformats.org/officeDocument/2006/relationships/hyperlink" Target="https://drive.google.com/open?id=1-IbrGvRh5cecccjmYPVPpmxZ5tmzMgMU" TargetMode="External"/><Relationship Id="rId75" Type="http://schemas.openxmlformats.org/officeDocument/2006/relationships/hyperlink" Target="https://drive.google.com/open?id=1e1rQyMxnVnW-QAZ3GSNhhFB8nc5Q5jDl" TargetMode="External"/><Relationship Id="rId140" Type="http://schemas.openxmlformats.org/officeDocument/2006/relationships/hyperlink" Target="https://drive.google.com/open?id=1VXAZCuvVslYjuvQdHX4n1Vh3ISrssJ9G" TargetMode="External"/><Relationship Id="rId182" Type="http://schemas.openxmlformats.org/officeDocument/2006/relationships/hyperlink" Target="https://drive.google.com/open?id=1XvwTNCQOHmDG5STj4Wc4TnrWn3pDPUTo" TargetMode="External"/><Relationship Id="rId378" Type="http://schemas.openxmlformats.org/officeDocument/2006/relationships/hyperlink" Target="https://drive.google.com/open?id=1pbN5kui56vfQe1Una4GAJeuv3ciHbZHn" TargetMode="External"/><Relationship Id="rId403" Type="http://schemas.openxmlformats.org/officeDocument/2006/relationships/hyperlink" Target="https://drive.google.com/open?id=1mNlEQwOWj_enxUfFswJUB8-BtJRGWOMF" TargetMode="External"/><Relationship Id="rId6" Type="http://schemas.openxmlformats.org/officeDocument/2006/relationships/hyperlink" Target="https://drive.google.com/open?id=1pODGAcUUGR15Wub8BW0fseQnfT_JYftm" TargetMode="External"/><Relationship Id="rId238" Type="http://schemas.openxmlformats.org/officeDocument/2006/relationships/hyperlink" Target="https://drive.google.com/open?id=1Tqq9sxhMSxrQc-xq87NLX_wIKo-TN-5B" TargetMode="External"/><Relationship Id="rId445" Type="http://schemas.openxmlformats.org/officeDocument/2006/relationships/hyperlink" Target="https://drive.google.com/open?id=1woiLW6GwvvCTwkktpXNSest_slA5nlIw" TargetMode="External"/><Relationship Id="rId291" Type="http://schemas.openxmlformats.org/officeDocument/2006/relationships/hyperlink" Target="https://drive.google.com/open?id=145-OfY_IWT_XY4k3kVnBO6DZv0V1W8gk" TargetMode="External"/><Relationship Id="rId305" Type="http://schemas.openxmlformats.org/officeDocument/2006/relationships/hyperlink" Target="https://drive.google.com/open?id=1JksKfQmRNeFqlO67LXIGgmZnHWvRGszi" TargetMode="External"/><Relationship Id="rId347" Type="http://schemas.openxmlformats.org/officeDocument/2006/relationships/hyperlink" Target="https://drive.google.com/open?id=1sndApBwqxMmNsa77RZccU1lNHGwMfu1H" TargetMode="External"/><Relationship Id="rId44" Type="http://schemas.openxmlformats.org/officeDocument/2006/relationships/hyperlink" Target="https://drive.google.com/open?id=1lk08CtbDqL-DxfNkXyZhfvvHq4zvSSOT" TargetMode="External"/><Relationship Id="rId86" Type="http://schemas.openxmlformats.org/officeDocument/2006/relationships/hyperlink" Target="https://drive.google.com/open?id=1Y1rh004oxOCOZzMRTS9o767ZlBMF_xmK" TargetMode="External"/><Relationship Id="rId151" Type="http://schemas.openxmlformats.org/officeDocument/2006/relationships/hyperlink" Target="https://drive.google.com/open?id=1fjSgDiEmqGEc4eHhyprjvrhsRdKbr2Fc" TargetMode="External"/><Relationship Id="rId389" Type="http://schemas.openxmlformats.org/officeDocument/2006/relationships/hyperlink" Target="https://drive.google.com/open?id=1NKNoJSk146qvYlv3SyGJ14a8LlUsTtuS" TargetMode="External"/><Relationship Id="rId193" Type="http://schemas.openxmlformats.org/officeDocument/2006/relationships/hyperlink" Target="https://drive.google.com/open?id=1XVEQ6k2yolyM22BWoKwYTCJYGdSfshso" TargetMode="External"/><Relationship Id="rId207" Type="http://schemas.openxmlformats.org/officeDocument/2006/relationships/hyperlink" Target="https://drive.google.com/open?id=1_67Si2kris9_dnj-sMDrlOHiAsYJ5Nux" TargetMode="External"/><Relationship Id="rId249" Type="http://schemas.openxmlformats.org/officeDocument/2006/relationships/hyperlink" Target="https://drive.google.com/open?id=1T7LBk0g2MitC2bRWdpuSejlXieFkny-r" TargetMode="External"/><Relationship Id="rId414" Type="http://schemas.openxmlformats.org/officeDocument/2006/relationships/hyperlink" Target="https://drive.google.com/open?id=1FIV9139rUBAjRv7H68dR8nejPX4JSXMv" TargetMode="External"/><Relationship Id="rId456" Type="http://schemas.openxmlformats.org/officeDocument/2006/relationships/hyperlink" Target="https://drive.google.com/open?id=1xvX-AXMIusXK-sLYWQMpJq_Wid0Lu1-V" TargetMode="External"/><Relationship Id="rId13" Type="http://schemas.openxmlformats.org/officeDocument/2006/relationships/hyperlink" Target="https://drive.google.com/open?id=1FmGTyRLG0XFGRoalaAxpCxFB7xrzyJHS" TargetMode="External"/><Relationship Id="rId109" Type="http://schemas.openxmlformats.org/officeDocument/2006/relationships/hyperlink" Target="https://drive.google.com/open?id=1NRFY-x8pKkr0eKlGTFxc3rlr2e-oayT5" TargetMode="External"/><Relationship Id="rId260" Type="http://schemas.openxmlformats.org/officeDocument/2006/relationships/hyperlink" Target="https://drive.google.com/open?id=1NJlwpvntbxbyed-xf_vPgS3t2g0gC3nw" TargetMode="External"/><Relationship Id="rId316" Type="http://schemas.openxmlformats.org/officeDocument/2006/relationships/hyperlink" Target="https://drive.google.com/open?id=1pi91PKoyN8gJE2aJXBWq6682WTTXsTWK" TargetMode="External"/><Relationship Id="rId55" Type="http://schemas.openxmlformats.org/officeDocument/2006/relationships/hyperlink" Target="https://drive.google.com/open?id=1AyxY2R7kfJYCZx4h2zYxS-fRqBmsoTWJ" TargetMode="External"/><Relationship Id="rId97" Type="http://schemas.openxmlformats.org/officeDocument/2006/relationships/hyperlink" Target="https://drive.google.com/open?id=1XtMOCm1LWdw_SFytpQV4Se7iHSamsKbO" TargetMode="External"/><Relationship Id="rId120" Type="http://schemas.openxmlformats.org/officeDocument/2006/relationships/hyperlink" Target="https://drive.google.com/open?id=1ZJLeAJa6EdCP9dvbeixKSHd_o3jH_Uqr" TargetMode="External"/><Relationship Id="rId358" Type="http://schemas.openxmlformats.org/officeDocument/2006/relationships/hyperlink" Target="https://drive.google.com/open?id=1cRY2VzrNXiiKZ9t8m6FmoY5JPYsIfXKL" TargetMode="External"/><Relationship Id="rId162" Type="http://schemas.openxmlformats.org/officeDocument/2006/relationships/hyperlink" Target="https://drive.google.com/open?id=1sLV7SBAAP45asrmwQDpOy3YFRZfeaeDl" TargetMode="External"/><Relationship Id="rId218" Type="http://schemas.openxmlformats.org/officeDocument/2006/relationships/hyperlink" Target="https://drive.google.com/open?id=1yDAQGh9tL4yRhC7TCHYkeJUrRzOfBSrM" TargetMode="External"/><Relationship Id="rId425" Type="http://schemas.openxmlformats.org/officeDocument/2006/relationships/hyperlink" Target="https://drive.google.com/open?id=1Wlrv_JnLBfbPb5S49NJ4yDf5yhUsipjm" TargetMode="External"/><Relationship Id="rId271" Type="http://schemas.openxmlformats.org/officeDocument/2006/relationships/hyperlink" Target="https://drive.google.com/open?id=1bO18-C9eTHXS4r8_nIef_XglnuB-z4NX" TargetMode="External"/><Relationship Id="rId24" Type="http://schemas.openxmlformats.org/officeDocument/2006/relationships/hyperlink" Target="https://drive.google.com/open?id=1r8vrVvoo6Pf7SwVBb-wlzVLoL9M9rlS7" TargetMode="External"/><Relationship Id="rId66" Type="http://schemas.openxmlformats.org/officeDocument/2006/relationships/hyperlink" Target="https://drive.google.com/open?id=19H5bgTDShV-ruF8K3IBCge0udSYhhwlW" TargetMode="External"/><Relationship Id="rId131" Type="http://schemas.openxmlformats.org/officeDocument/2006/relationships/hyperlink" Target="https://drive.google.com/open?id=1CUrkesELD49YG_0GlHUgBdxIAp9VVuwT" TargetMode="External"/><Relationship Id="rId327" Type="http://schemas.openxmlformats.org/officeDocument/2006/relationships/hyperlink" Target="https://drive.google.com/open?id=1wJbFqWmr8ScDl8d6PQOYuBxP4Q7kFZGr" TargetMode="External"/><Relationship Id="rId369" Type="http://schemas.openxmlformats.org/officeDocument/2006/relationships/hyperlink" Target="https://drive.google.com/open?id=10Y1xjSZDgSiovv4IAY4BR2RyxCSpkFfK" TargetMode="External"/><Relationship Id="rId173" Type="http://schemas.openxmlformats.org/officeDocument/2006/relationships/hyperlink" Target="https://drive.google.com/open?id=1SK5mmRPHHANct5Zk8TIROXGD37Dfz5Ay" TargetMode="External"/><Relationship Id="rId229" Type="http://schemas.openxmlformats.org/officeDocument/2006/relationships/hyperlink" Target="https://drive.google.com/open?id=1kKJR4omphmf4vvpVnuzhMkfhRgwFPvZc" TargetMode="External"/><Relationship Id="rId380" Type="http://schemas.openxmlformats.org/officeDocument/2006/relationships/hyperlink" Target="https://drive.google.com/open?id=1d8qZvLHJ0PzSlj417h70szFR4F438Dr2" TargetMode="External"/><Relationship Id="rId436" Type="http://schemas.openxmlformats.org/officeDocument/2006/relationships/hyperlink" Target="https://drive.google.com/open?id=1k85Juapt3J2OAejMLZVXZSPKO6IMEU5D" TargetMode="External"/><Relationship Id="rId240" Type="http://schemas.openxmlformats.org/officeDocument/2006/relationships/hyperlink" Target="https://drive.google.com/open?id=1xGSxCOxo2RS7PsuLI2Ly8bDjOUNwVWua" TargetMode="External"/><Relationship Id="rId35" Type="http://schemas.openxmlformats.org/officeDocument/2006/relationships/hyperlink" Target="https://drive.google.com/open?id=1WDyY8YYbnYD6mNHb9fReHzP_GyE3VeNP" TargetMode="External"/><Relationship Id="rId77" Type="http://schemas.openxmlformats.org/officeDocument/2006/relationships/hyperlink" Target="https://drive.google.com/open?id=1E50T8wLexznNdpasvsFmZXs7H8EEYBOc" TargetMode="External"/><Relationship Id="rId100" Type="http://schemas.openxmlformats.org/officeDocument/2006/relationships/hyperlink" Target="https://drive.google.com/open?id=1LGloD9Fme7CwsMp1VqAXfBwLxVMnEjjR" TargetMode="External"/><Relationship Id="rId282" Type="http://schemas.openxmlformats.org/officeDocument/2006/relationships/hyperlink" Target="https://drive.google.com/open?id=1JBN5oFyYKsBdQy7g1sp3bS6C86GAHX1z" TargetMode="External"/><Relationship Id="rId338" Type="http://schemas.openxmlformats.org/officeDocument/2006/relationships/hyperlink" Target="https://drive.google.com/open?id=1n3Gv6FGu-moCeqmbWNkOqu9ASttkT6K4" TargetMode="External"/><Relationship Id="rId8" Type="http://schemas.openxmlformats.org/officeDocument/2006/relationships/hyperlink" Target="https://drive.google.com/open?id=13sqLyLghiSL1jhtPdokvS2SN_i0It0Zl" TargetMode="External"/><Relationship Id="rId142" Type="http://schemas.openxmlformats.org/officeDocument/2006/relationships/hyperlink" Target="https://drive.google.com/open?id=1mLuEK9IyHOx8H6snC42cYOYDlEzgsQ9U" TargetMode="External"/><Relationship Id="rId184" Type="http://schemas.openxmlformats.org/officeDocument/2006/relationships/hyperlink" Target="https://drive.google.com/open?id=1khdCEm9PZ8a-Sby4hlz8CQQfXTzwIFUF" TargetMode="External"/><Relationship Id="rId391" Type="http://schemas.openxmlformats.org/officeDocument/2006/relationships/hyperlink" Target="https://drive.google.com/open?id=1OL6AwI_O74kzCfj0hmbmwj95H5D764BJ" TargetMode="External"/><Relationship Id="rId405" Type="http://schemas.openxmlformats.org/officeDocument/2006/relationships/hyperlink" Target="https://drive.google.com/open?id=1vniFkeTX15IpcvKJcTMc0a1vbio5E-To" TargetMode="External"/><Relationship Id="rId447" Type="http://schemas.openxmlformats.org/officeDocument/2006/relationships/hyperlink" Target="https://drive.google.com/open?id=1-NxO1q7IqrftU8uStQ5PDG3GDEX45Ga7" TargetMode="External"/><Relationship Id="rId251" Type="http://schemas.openxmlformats.org/officeDocument/2006/relationships/hyperlink" Target="https://drive.google.com/open?id=1hktNgZJLQtsa1FhcDtpwYW8laRUdd4AZ" TargetMode="External"/><Relationship Id="rId46" Type="http://schemas.openxmlformats.org/officeDocument/2006/relationships/hyperlink" Target="https://drive.google.com/open?id=16pUaboglRBf7cqiAVRWaPU__8rj9gzS_" TargetMode="External"/><Relationship Id="rId293" Type="http://schemas.openxmlformats.org/officeDocument/2006/relationships/hyperlink" Target="https://drive.google.com/open?id=1_44itxRksE3TSCuHoBVJSTSXEW6PHroq" TargetMode="External"/><Relationship Id="rId307" Type="http://schemas.openxmlformats.org/officeDocument/2006/relationships/hyperlink" Target="https://drive.google.com/open?id=1Pq_bU8S4Ym7slaHGEIXgnRODXETWAAPg" TargetMode="External"/><Relationship Id="rId349" Type="http://schemas.openxmlformats.org/officeDocument/2006/relationships/hyperlink" Target="https://drive.google.com/open?id=1GTGhSiMyj4b0v1ZTnZJAtBDvChpXxs35" TargetMode="External"/><Relationship Id="rId88" Type="http://schemas.openxmlformats.org/officeDocument/2006/relationships/hyperlink" Target="https://drive.google.com/open?id=187X8VEShazmfJKGrVKuWLlMFNLXhx3zt" TargetMode="External"/><Relationship Id="rId111" Type="http://schemas.openxmlformats.org/officeDocument/2006/relationships/hyperlink" Target="https://drive.google.com/open?id=16xfgVa9uWnUE0xz50lHQ41BnaUIR9w5M" TargetMode="External"/><Relationship Id="rId153" Type="http://schemas.openxmlformats.org/officeDocument/2006/relationships/hyperlink" Target="https://drive.google.com/open?id=1dwdslm9HvRCYPFAZIoUv77mkCSwCAfry" TargetMode="External"/><Relationship Id="rId195" Type="http://schemas.openxmlformats.org/officeDocument/2006/relationships/hyperlink" Target="https://drive.google.com/open?id=1jMpsKh0L5YN_u6zJyAU27gsYIPPRfKX2" TargetMode="External"/><Relationship Id="rId209" Type="http://schemas.openxmlformats.org/officeDocument/2006/relationships/hyperlink" Target="https://drive.google.com/open?id=1g4W_Viwnx1w16q1buHNVwyDCURGDyB72" TargetMode="External"/><Relationship Id="rId360" Type="http://schemas.openxmlformats.org/officeDocument/2006/relationships/hyperlink" Target="https://drive.google.com/open?id=1wN3ELKR0In1ECBLIKK5CR4pZGM_WUzxy" TargetMode="External"/><Relationship Id="rId416" Type="http://schemas.openxmlformats.org/officeDocument/2006/relationships/hyperlink" Target="https://drive.google.com/open?id=1M1s8K-KZ4wCWiWLSTqCCwGZ2inLr2UzA" TargetMode="External"/><Relationship Id="rId220" Type="http://schemas.openxmlformats.org/officeDocument/2006/relationships/hyperlink" Target="https://drive.google.com/open?id=1ZtViZPe_OTexmW7o_fM-zdqIdnyVS9o7" TargetMode="External"/><Relationship Id="rId458" Type="http://schemas.openxmlformats.org/officeDocument/2006/relationships/hyperlink" Target="https://drive.google.com/open?id=1YZQ5BWO0Bnzcks4WGOOWmIVc8ZykIcAg" TargetMode="External"/><Relationship Id="rId15" Type="http://schemas.openxmlformats.org/officeDocument/2006/relationships/hyperlink" Target="https://drive.google.com/open?id=1t7SqR2GytUPcLXx2JG_IuW5pscfINiQ9" TargetMode="External"/><Relationship Id="rId57" Type="http://schemas.openxmlformats.org/officeDocument/2006/relationships/hyperlink" Target="https://drive.google.com/open?id=1Nf7-pwoxwwkMtiIpJ5JyJpvQ6vOyqNgG" TargetMode="External"/><Relationship Id="rId262" Type="http://schemas.openxmlformats.org/officeDocument/2006/relationships/hyperlink" Target="https://drive.google.com/open?id=1tMUWcAjwLfMqHKBzOOjtOhnvbmO3B_gg" TargetMode="External"/><Relationship Id="rId318" Type="http://schemas.openxmlformats.org/officeDocument/2006/relationships/hyperlink" Target="https://drive.google.com/open?id=11RkHENmox8_1JQ_VcOI11S9gTk7ByVuK" TargetMode="External"/><Relationship Id="rId99" Type="http://schemas.openxmlformats.org/officeDocument/2006/relationships/hyperlink" Target="https://drive.google.com/open?id=1sjvge74up08kYj_Ujv1fE0marsAN8qL3" TargetMode="External"/><Relationship Id="rId122" Type="http://schemas.openxmlformats.org/officeDocument/2006/relationships/hyperlink" Target="https://drive.google.com/open?id=1PonzIttDf26671cnar7CO8dmaq4H0W98" TargetMode="External"/><Relationship Id="rId164" Type="http://schemas.openxmlformats.org/officeDocument/2006/relationships/hyperlink" Target="https://drive.google.com/open?id=1muN8zOHz7uAKttx7EpYrZLYvxneg0e8i" TargetMode="External"/><Relationship Id="rId371" Type="http://schemas.openxmlformats.org/officeDocument/2006/relationships/hyperlink" Target="https://drive.google.com/open?id=1nko9WaMgXaAnmf4zf8G42BC_ElP9UD3G" TargetMode="External"/><Relationship Id="rId427" Type="http://schemas.openxmlformats.org/officeDocument/2006/relationships/hyperlink" Target="https://drive.google.com/open?id=1v3MU_VPVE6M5NnQaWMc7BbdqXUHCRcKL" TargetMode="External"/><Relationship Id="rId26" Type="http://schemas.openxmlformats.org/officeDocument/2006/relationships/hyperlink" Target="https://drive.google.com/open?id=1FGsUAPQFNXrcy90gcjGXX6jUK21SBPrd" TargetMode="External"/><Relationship Id="rId231" Type="http://schemas.openxmlformats.org/officeDocument/2006/relationships/hyperlink" Target="https://drive.google.com/open?id=1wla5ZNfk-F98tl-7zJHbv5PS-hrt_X8D" TargetMode="External"/><Relationship Id="rId273" Type="http://schemas.openxmlformats.org/officeDocument/2006/relationships/hyperlink" Target="https://drive.google.com/open?id=1p81Fb0q-n7b0P8XS-PUF4ykXNc4ZA6dP" TargetMode="External"/><Relationship Id="rId329" Type="http://schemas.openxmlformats.org/officeDocument/2006/relationships/hyperlink" Target="https://drive.google.com/open?id=1siV-32B4IyefX9Sn1lEMiFXRBHFaGdx6" TargetMode="External"/><Relationship Id="rId68" Type="http://schemas.openxmlformats.org/officeDocument/2006/relationships/hyperlink" Target="https://drive.google.com/open?id=1Qa3f41544y0I9uVo1v2VGHvsaiKOQ3HU" TargetMode="External"/><Relationship Id="rId133" Type="http://schemas.openxmlformats.org/officeDocument/2006/relationships/hyperlink" Target="https://drive.google.com/open?id=1MeCxscLqamC5K4VxAwLwa3GjkyRfep7h" TargetMode="External"/><Relationship Id="rId175" Type="http://schemas.openxmlformats.org/officeDocument/2006/relationships/hyperlink" Target="https://drive.google.com/open?id=1BmdbPI-L5RY3w_O6ZhrCfG0Pa8ib1mIN" TargetMode="External"/><Relationship Id="rId340" Type="http://schemas.openxmlformats.org/officeDocument/2006/relationships/hyperlink" Target="https://drive.google.com/open?id=1CHZkW_uMRQcV7NZn6CfuQe4kmXeoZ4q6" TargetMode="External"/><Relationship Id="rId200" Type="http://schemas.openxmlformats.org/officeDocument/2006/relationships/hyperlink" Target="https://drive.google.com/open?id=17hyx0Rv8l_tNIprzCjLLSWAm8atUVCMP" TargetMode="External"/><Relationship Id="rId382" Type="http://schemas.openxmlformats.org/officeDocument/2006/relationships/hyperlink" Target="https://drive.google.com/open?id=1KDkO3QcZfWLiTtY1KlK7RKpoQZatCc30" TargetMode="External"/><Relationship Id="rId438" Type="http://schemas.openxmlformats.org/officeDocument/2006/relationships/hyperlink" Target="https://drive.google.com/open?id=18gk621-bjmjaSNeiIh-dh1NF3kSE0qE2" TargetMode="External"/><Relationship Id="rId242" Type="http://schemas.openxmlformats.org/officeDocument/2006/relationships/hyperlink" Target="https://drive.google.com/open?id=1PBuo1Al4DODAizr1WrIivpc9pBDz3OB_" TargetMode="External"/><Relationship Id="rId284" Type="http://schemas.openxmlformats.org/officeDocument/2006/relationships/hyperlink" Target="https://drive.google.com/open?id=1s8tasA0vHiJA-2Xu6-ZiLKakAjqs2e4m" TargetMode="External"/><Relationship Id="rId37" Type="http://schemas.openxmlformats.org/officeDocument/2006/relationships/hyperlink" Target="https://drive.google.com/open?id=1uvUzD6NuOpBSxJ35faUu-sYlHS0393Pg" TargetMode="External"/><Relationship Id="rId79" Type="http://schemas.openxmlformats.org/officeDocument/2006/relationships/hyperlink" Target="https://drive.google.com/open?id=1_4DHoE8SAhwfHZMWOQ_2Sj8arOGkle74" TargetMode="External"/><Relationship Id="rId102" Type="http://schemas.openxmlformats.org/officeDocument/2006/relationships/hyperlink" Target="https://drive.google.com/open?id=1iHI7kJYWpYZrJjGCaxQ3zmMEr8eB4UDa" TargetMode="External"/><Relationship Id="rId144" Type="http://schemas.openxmlformats.org/officeDocument/2006/relationships/hyperlink" Target="https://drive.google.com/open?id=1FmwsmhfqTaDPZroiETSJEL100VXBg-KU" TargetMode="External"/><Relationship Id="rId90" Type="http://schemas.openxmlformats.org/officeDocument/2006/relationships/hyperlink" Target="https://drive.google.com/open?id=1eV1eYsKOE1Onx_xzuazYVAs_BBv1Y7tk" TargetMode="External"/><Relationship Id="rId186" Type="http://schemas.openxmlformats.org/officeDocument/2006/relationships/hyperlink" Target="https://drive.google.com/open?id=1D83rT2gk4lGFRppq_mdiw9JwfbiBntx2" TargetMode="External"/><Relationship Id="rId351" Type="http://schemas.openxmlformats.org/officeDocument/2006/relationships/hyperlink" Target="https://drive.google.com/open?id=1EEc_uTcA4-f2HgfS1xMry2kRMQXy5JUi" TargetMode="External"/><Relationship Id="rId393" Type="http://schemas.openxmlformats.org/officeDocument/2006/relationships/hyperlink" Target="https://drive.google.com/open?id=1x5J5cpszR7RRoTc1V473XbNDFXyDs5We" TargetMode="External"/><Relationship Id="rId407" Type="http://schemas.openxmlformats.org/officeDocument/2006/relationships/hyperlink" Target="https://drive.google.com/open?id=1s45eIWRWksyHpg48NG_jF-PXs65sx6Jw" TargetMode="External"/><Relationship Id="rId449" Type="http://schemas.openxmlformats.org/officeDocument/2006/relationships/hyperlink" Target="https://drive.google.com/open?id=1VxDHJBczPGpcu6N_aJyO4kxlElaMiGDr" TargetMode="External"/><Relationship Id="rId211" Type="http://schemas.openxmlformats.org/officeDocument/2006/relationships/hyperlink" Target="https://drive.google.com/open?id=1GUcyHXdkYqpo8o6qs4Nj4CRnk_hbU5R2" TargetMode="External"/><Relationship Id="rId253" Type="http://schemas.openxmlformats.org/officeDocument/2006/relationships/hyperlink" Target="https://drive.google.com/open?id=1ZNbtDbfpPZq0pWyDjwHflc2zL4MxPRKU" TargetMode="External"/><Relationship Id="rId295" Type="http://schemas.openxmlformats.org/officeDocument/2006/relationships/hyperlink" Target="https://drive.google.com/open?id=1um2qRplHjIsLasUgZHdSf7tVinseEFa3" TargetMode="External"/><Relationship Id="rId309" Type="http://schemas.openxmlformats.org/officeDocument/2006/relationships/hyperlink" Target="https://drive.google.com/open?id=165wHFTgfDHcu8Ohfu45A25St_GJqdsXb" TargetMode="External"/><Relationship Id="rId460" Type="http://schemas.openxmlformats.org/officeDocument/2006/relationships/hyperlink" Target="https://drive.google.com/open?id=1OuI7zcfChYh1xfDaLxnuXCm8w4fnh46Y" TargetMode="External"/><Relationship Id="rId48" Type="http://schemas.openxmlformats.org/officeDocument/2006/relationships/hyperlink" Target="https://drive.google.com/open?id=1lFvl9N1tLcznINSSaRGdbZ35El1C5_eT" TargetMode="External"/><Relationship Id="rId113" Type="http://schemas.openxmlformats.org/officeDocument/2006/relationships/hyperlink" Target="https://drive.google.com/open?id=1Ic_SzNUfCPRIZzEV5ViLs3W9r7XQPFAw" TargetMode="External"/><Relationship Id="rId320" Type="http://schemas.openxmlformats.org/officeDocument/2006/relationships/hyperlink" Target="https://drive.google.com/open?id=18q97YTHidm4WVSVMUAkPpNw0cASb3Lrv" TargetMode="External"/><Relationship Id="rId155" Type="http://schemas.openxmlformats.org/officeDocument/2006/relationships/hyperlink" Target="https://drive.google.com/open?id=1D481aODhjcrSwutry4uE6qo_WbA3JHWg" TargetMode="External"/><Relationship Id="rId197" Type="http://schemas.openxmlformats.org/officeDocument/2006/relationships/hyperlink" Target="https://drive.google.com/open?id=1UeRzqA37M1tOTMGTePBrC738hM1IRz6d" TargetMode="External"/><Relationship Id="rId362" Type="http://schemas.openxmlformats.org/officeDocument/2006/relationships/hyperlink" Target="https://drive.google.com/open?id=1XatlOqIi2EygtjnVnUysK1uBiTaTSyx9" TargetMode="External"/><Relationship Id="rId418" Type="http://schemas.openxmlformats.org/officeDocument/2006/relationships/hyperlink" Target="https://drive.google.com/open?id=1hJkv_TsPlzUpYgNgBnLqmEEVnYrlS5Lb" TargetMode="External"/><Relationship Id="rId222" Type="http://schemas.openxmlformats.org/officeDocument/2006/relationships/hyperlink" Target="https://drive.google.com/open?id=1N36ruN0IHpNKY0jHaaGx-4b7FHOQ3t9_" TargetMode="External"/><Relationship Id="rId264" Type="http://schemas.openxmlformats.org/officeDocument/2006/relationships/hyperlink" Target="https://drive.google.com/open?id=1w46nEyMSfhC4z9QKYOHfCit1ZdABattN" TargetMode="External"/><Relationship Id="rId17" Type="http://schemas.openxmlformats.org/officeDocument/2006/relationships/hyperlink" Target="https://drive.google.com/open?id=1JqYLaVQxUhH363pxsU68dldiW875s3ef" TargetMode="External"/><Relationship Id="rId59" Type="http://schemas.openxmlformats.org/officeDocument/2006/relationships/hyperlink" Target="https://drive.google.com/open?id=14YJCEn49FsupkhIz2-chc9hCO-_7Lm2V" TargetMode="External"/><Relationship Id="rId124" Type="http://schemas.openxmlformats.org/officeDocument/2006/relationships/hyperlink" Target="https://drive.google.com/open?id=1k5zxB8kdJdmP2aIQfEvO_Pp9Qw6wSm6W" TargetMode="External"/><Relationship Id="rId70" Type="http://schemas.openxmlformats.org/officeDocument/2006/relationships/hyperlink" Target="https://drive.google.com/open?id=1c-2_OKcZF9afKJRh_fOTfMaloewbkG0H" TargetMode="External"/><Relationship Id="rId166" Type="http://schemas.openxmlformats.org/officeDocument/2006/relationships/hyperlink" Target="https://drive.google.com/open?id=1cC7D6SpI6teUYvdlOex2DbaEjbTe-LqB" TargetMode="External"/><Relationship Id="rId331" Type="http://schemas.openxmlformats.org/officeDocument/2006/relationships/hyperlink" Target="https://drive.google.com/open?id=1JD45eB0EfqK1iIeu8ujMySIGD1x_8kcW" TargetMode="External"/><Relationship Id="rId373" Type="http://schemas.openxmlformats.org/officeDocument/2006/relationships/hyperlink" Target="https://drive.google.com/open?id=1C77_ScHOvpselbtjG1LfBp-caADaLzJu" TargetMode="External"/><Relationship Id="rId429" Type="http://schemas.openxmlformats.org/officeDocument/2006/relationships/hyperlink" Target="https://drive.google.com/open?id=13SNxlsvnDZL_fys7ioJhBe9Etz7Tn3MV" TargetMode="External"/><Relationship Id="rId1" Type="http://schemas.openxmlformats.org/officeDocument/2006/relationships/hyperlink" Target="https://drive.google.com/open?id=16tyYYe0WzgIAJNRCggejLRW1DpxdHJpE" TargetMode="External"/><Relationship Id="rId233" Type="http://schemas.openxmlformats.org/officeDocument/2006/relationships/hyperlink" Target="https://drive.google.com/open?id=1PbmxFRa_twtzlxv7fvNxogPtDrk5HmvQ" TargetMode="External"/><Relationship Id="rId440" Type="http://schemas.openxmlformats.org/officeDocument/2006/relationships/hyperlink" Target="https://drive.google.com/open?id=1M7UKj-hXrL-93MHh9pZEBw5TNjTg5PxZ" TargetMode="External"/><Relationship Id="rId28" Type="http://schemas.openxmlformats.org/officeDocument/2006/relationships/hyperlink" Target="https://drive.google.com/open?id=1q21bB1sVq8jbbDqVpasnpMUHOw277CRY" TargetMode="External"/><Relationship Id="rId275" Type="http://schemas.openxmlformats.org/officeDocument/2006/relationships/hyperlink" Target="https://drive.google.com/open?id=1rk46vi4Gh0bNAwwp1Rwt05q-LC-Jxvjs" TargetMode="External"/><Relationship Id="rId300" Type="http://schemas.openxmlformats.org/officeDocument/2006/relationships/hyperlink" Target="https://drive.google.com/open?id=1SbfYwNAKjXvTmmiK93C69pnyXrhKD05h" TargetMode="External"/><Relationship Id="rId81" Type="http://schemas.openxmlformats.org/officeDocument/2006/relationships/hyperlink" Target="https://drive.google.com/open?id=1B5IOY5JqPI7sIY8QcgLMsJpZT5xghA1y" TargetMode="External"/><Relationship Id="rId135" Type="http://schemas.openxmlformats.org/officeDocument/2006/relationships/hyperlink" Target="https://drive.google.com/open?id=1ZtV8oPqLceW349ep7xAOqzBdzNSj44Vt" TargetMode="External"/><Relationship Id="rId177" Type="http://schemas.openxmlformats.org/officeDocument/2006/relationships/hyperlink" Target="https://drive.google.com/open?id=1zEqXrlnCZX_mF6cxTVP8Kx6gA4gK3IVo" TargetMode="External"/><Relationship Id="rId342" Type="http://schemas.openxmlformats.org/officeDocument/2006/relationships/hyperlink" Target="https://drive.google.com/open?id=1gtQwbFhnIIxxG53PNklQlB9prCmHG-lo" TargetMode="External"/><Relationship Id="rId384" Type="http://schemas.openxmlformats.org/officeDocument/2006/relationships/hyperlink" Target="https://drive.google.com/open?id=1Y_3YHEbqLtsuuhMaAXOmD-9EQJepIvLu" TargetMode="External"/><Relationship Id="rId202" Type="http://schemas.openxmlformats.org/officeDocument/2006/relationships/hyperlink" Target="https://drive.google.com/open?id=1mVigVh8PoSbe-HQZiOn69VwnnBOJDTT3" TargetMode="External"/><Relationship Id="rId244" Type="http://schemas.openxmlformats.org/officeDocument/2006/relationships/hyperlink" Target="https://drive.google.com/open?id=1QYbQlgyRigvnHaBDUIDx_bpQlhq-rpGf" TargetMode="External"/><Relationship Id="rId39" Type="http://schemas.openxmlformats.org/officeDocument/2006/relationships/hyperlink" Target="https://drive.google.com/open?id=1La0mP-SjW6aocBozvtCvxeaSu9Ndk6fb" TargetMode="External"/><Relationship Id="rId286" Type="http://schemas.openxmlformats.org/officeDocument/2006/relationships/hyperlink" Target="https://drive.google.com/open?id=1jWbd7ALp8j7J629YnkF8eRjIi6cXr-h1" TargetMode="External"/><Relationship Id="rId451" Type="http://schemas.openxmlformats.org/officeDocument/2006/relationships/hyperlink" Target="https://drive.google.com/open?id=1z5cOQsnzN_0qXKyjQlHTEwVcukdcLnTV" TargetMode="External"/><Relationship Id="rId50" Type="http://schemas.openxmlformats.org/officeDocument/2006/relationships/hyperlink" Target="https://drive.google.com/open?id=1HiNv6OZzxHILL8EmgipYSBZkwcrXYTy5" TargetMode="External"/><Relationship Id="rId104" Type="http://schemas.openxmlformats.org/officeDocument/2006/relationships/hyperlink" Target="https://drive.google.com/open?id=1a7235QgRC85voStR-Zg4e8Oy84x3e8LY" TargetMode="External"/><Relationship Id="rId146" Type="http://schemas.openxmlformats.org/officeDocument/2006/relationships/hyperlink" Target="https://drive.google.com/open?id=1Kdxbb4zSPU8mEymPNK5Wa2dd743gIXW3" TargetMode="External"/><Relationship Id="rId188" Type="http://schemas.openxmlformats.org/officeDocument/2006/relationships/hyperlink" Target="https://drive.google.com/open?id=1JKtNi3ALyUnBOpBRlSsJD_mosb7K3CsV" TargetMode="External"/><Relationship Id="rId311" Type="http://schemas.openxmlformats.org/officeDocument/2006/relationships/hyperlink" Target="https://drive.google.com/open?id=1Xvw1GMH1nlJ_4V_JBKF32oY-27_ZmKzi" TargetMode="External"/><Relationship Id="rId353" Type="http://schemas.openxmlformats.org/officeDocument/2006/relationships/hyperlink" Target="https://drive.google.com/open?id=13eyflR3YetESliE9p__-AKqSd-Nks6vg" TargetMode="External"/><Relationship Id="rId395" Type="http://schemas.openxmlformats.org/officeDocument/2006/relationships/hyperlink" Target="https://drive.google.com/open?id=1CoOgVkSO5hf4j-muaiKcULGO4NyEvzpw" TargetMode="External"/><Relationship Id="rId409" Type="http://schemas.openxmlformats.org/officeDocument/2006/relationships/hyperlink" Target="https://drive.google.com/open?id=1K9nFlwrH0EKpw_qVJ13vK9SQ89JOlsxy" TargetMode="External"/><Relationship Id="rId92" Type="http://schemas.openxmlformats.org/officeDocument/2006/relationships/hyperlink" Target="https://drive.google.com/open?id=1R62IROQtIwtkfA2ShEiHItqtx05w5NjH" TargetMode="External"/><Relationship Id="rId213" Type="http://schemas.openxmlformats.org/officeDocument/2006/relationships/hyperlink" Target="https://drive.google.com/open?id=10LUsTTNfQUKuUfA1nlIEHvKR2RvF-67U" TargetMode="External"/><Relationship Id="rId420" Type="http://schemas.openxmlformats.org/officeDocument/2006/relationships/hyperlink" Target="https://drive.google.com/open?id=136tkY1AmRMuQ-xZ7Job38hMYn7oAWidE" TargetMode="External"/><Relationship Id="rId255" Type="http://schemas.openxmlformats.org/officeDocument/2006/relationships/hyperlink" Target="https://drive.google.com/open?id=1_8MbSvzbaawu0ADL-2tI9Bfybr1ChrWt" TargetMode="External"/><Relationship Id="rId297" Type="http://schemas.openxmlformats.org/officeDocument/2006/relationships/hyperlink" Target="https://drive.google.com/open?id=1JAeeP6lkNtZw2QbbM6nm4muSassfE8_B" TargetMode="External"/><Relationship Id="rId462" Type="http://schemas.openxmlformats.org/officeDocument/2006/relationships/hyperlink" Target="https://drive.google.com/open?id=1kXi1I-M0MetwtoHY4r4Q5_xw0U6Mk-dY" TargetMode="External"/><Relationship Id="rId115" Type="http://schemas.openxmlformats.org/officeDocument/2006/relationships/hyperlink" Target="https://drive.google.com/open?id=1QH92k6s8pdByrgcl2a4pQgyX_3CoN3Z-" TargetMode="External"/><Relationship Id="rId157" Type="http://schemas.openxmlformats.org/officeDocument/2006/relationships/hyperlink" Target="https://drive.google.com/open?id=1kPLIcpMtsQZTK6BDd5Wpz4sQJ-3OvWzg" TargetMode="External"/><Relationship Id="rId322" Type="http://schemas.openxmlformats.org/officeDocument/2006/relationships/hyperlink" Target="https://drive.google.com/open?id=1sntqbpoJ22jid_g4DwSdO743svz6pQcd" TargetMode="External"/><Relationship Id="rId364" Type="http://schemas.openxmlformats.org/officeDocument/2006/relationships/hyperlink" Target="https://drive.google.com/open?id=19_sSPyJTwSHKj5a_SPdZSljGaUPt9J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A1000"/>
  <sheetViews>
    <sheetView workbookViewId="0">
      <pane ySplit="1" topLeftCell="A32" activePane="bottomLeft" state="frozen"/>
      <selection pane="bottomLeft" activeCell="C11" sqref="C11"/>
    </sheetView>
  </sheetViews>
  <sheetFormatPr defaultColWidth="14.44140625" defaultRowHeight="15" customHeight="1"/>
  <cols>
    <col min="9" max="9" width="44.88671875" customWidth="1"/>
  </cols>
  <sheetData>
    <row r="1" spans="1:27">
      <c r="A1" s="1" t="s">
        <v>0</v>
      </c>
      <c r="B1" s="2" t="str">
        <f ca="1">IFERROR(__xludf.DUMMYFUNCTION("importrange(""https://docs.google.com/spreadsheets/d/1hYpw2cEEWuqYqKYHGnWCBVBn_hwZI-4jcJizsSbVKc4/edit#gid=1972820076"",""Sheet17!$A$1:$AZ"")"),"id_proposal")</f>
        <v>id_proposal</v>
      </c>
      <c r="C1" s="1" t="str">
        <f ca="1">IFERROR(__xludf.DUMMYFUNCTION("""COMPUTED_VALUE"""),"nama_pkm")</f>
        <v>nama_pkm</v>
      </c>
      <c r="D1" s="1" t="str">
        <f ca="1">IFERROR(__xludf.DUMMYFUNCTION("""COMPUTED_VALUE"""),"judul_proposal")</f>
        <v>judul_proposal</v>
      </c>
      <c r="E1" s="1" t="str">
        <f ca="1">IFERROR(__xludf.DUMMYFUNCTION("""COMPUTED_VALUE"""),"nama_ketua")</f>
        <v>nama_ketua</v>
      </c>
      <c r="F1" s="1" t="str">
        <f ca="1">IFERROR(__xludf.DUMMYFUNCTION("""COMPUTED_VALUE"""),"NRP Ketua")</f>
        <v>NRP Ketua</v>
      </c>
      <c r="G1" s="1" t="str">
        <f ca="1">IFERROR(__xludf.DUMMYFUNCTION("""COMPUTED_VALUE"""),"Departemen Ketua")</f>
        <v>Departemen Ketua</v>
      </c>
      <c r="H1" s="1" t="str">
        <f ca="1">IFERROR(__xludf.DUMMYFUNCTION("""COMPUTED_VALUE"""),"Dosen Pendamping")</f>
        <v>Dosen Pendamping</v>
      </c>
      <c r="I1" s="1" t="str">
        <f ca="1">IFERROR(__xludf.DUMMYFUNCTION("""COMPUTED_VALUE"""),"Nama Anggota 1")</f>
        <v>Nama Anggota 1</v>
      </c>
      <c r="J1" s="1" t="str">
        <f ca="1">IFERROR(__xludf.DUMMYFUNCTION("""COMPUTED_VALUE"""),"NRP Anggota 1")</f>
        <v>NRP Anggota 1</v>
      </c>
      <c r="K1" s="1" t="str">
        <f ca="1">IFERROR(__xludf.DUMMYFUNCTION("""COMPUTED_VALUE"""),"Departemen Anggota 1")</f>
        <v>Departemen Anggota 1</v>
      </c>
      <c r="L1" s="1" t="str">
        <f ca="1">IFERROR(__xludf.DUMMYFUNCTION("""COMPUTED_VALUE"""),"Nama Anggota 2")</f>
        <v>Nama Anggota 2</v>
      </c>
      <c r="M1" s="1" t="str">
        <f ca="1">IFERROR(__xludf.DUMMYFUNCTION("""COMPUTED_VALUE"""),"NRP Anggota 2")</f>
        <v>NRP Anggota 2</v>
      </c>
      <c r="N1" s="1" t="str">
        <f ca="1">IFERROR(__xludf.DUMMYFUNCTION("""COMPUTED_VALUE"""),"Departemen Anggota 2")</f>
        <v>Departemen Anggota 2</v>
      </c>
      <c r="O1" s="1" t="str">
        <f ca="1">IFERROR(__xludf.DUMMYFUNCTION("""COMPUTED_VALUE"""),"Nama Anggota 3")</f>
        <v>Nama Anggota 3</v>
      </c>
      <c r="P1" s="1" t="str">
        <f ca="1">IFERROR(__xludf.DUMMYFUNCTION("""COMPUTED_VALUE"""),"NRP Anggota 3")</f>
        <v>NRP Anggota 3</v>
      </c>
      <c r="Q1" s="1" t="str">
        <f ca="1">IFERROR(__xludf.DUMMYFUNCTION("""COMPUTED_VALUE"""),"Departemen Anggota 3")</f>
        <v>Departemen Anggota 3</v>
      </c>
      <c r="R1" s="1" t="str">
        <f ca="1">IFERROR(__xludf.DUMMYFUNCTION("""COMPUTED_VALUE"""),"Nama Anggota 4")</f>
        <v>Nama Anggota 4</v>
      </c>
      <c r="S1" s="1" t="str">
        <f ca="1">IFERROR(__xludf.DUMMYFUNCTION("""COMPUTED_VALUE"""),"NRP Anggota 4")</f>
        <v>NRP Anggota 4</v>
      </c>
      <c r="T1" s="1" t="str">
        <f ca="1">IFERROR(__xludf.DUMMYFUNCTION("""COMPUTED_VALUE"""),"Departemen Anggota 4")</f>
        <v>Departemen Anggota 4</v>
      </c>
      <c r="U1" s="1" t="str">
        <f ca="1">IFERROR(__xludf.DUMMYFUNCTION("""COMPUTED_VALUE"""),"reviewer_1")</f>
        <v>reviewer_1</v>
      </c>
      <c r="V1" s="1" t="str">
        <f ca="1">IFERROR(__xludf.DUMMYFUNCTION("""COMPUTED_VALUE"""),"reviewer_2")</f>
        <v>reviewer_2</v>
      </c>
      <c r="W1" s="1" t="str">
        <f ca="1">IFERROR(__xludf.DUMMYFUNCTION("""COMPUTED_VALUE"""),"reviewer_3")</f>
        <v>reviewer_3</v>
      </c>
      <c r="X1" s="1" t="str">
        <f ca="1">IFERROR(__xludf.DUMMYFUNCTION("""COMPUTED_VALUE"""),"kategori")</f>
        <v>kategori</v>
      </c>
      <c r="Y1" s="1"/>
      <c r="Z1" s="1"/>
      <c r="AA1" s="1"/>
    </row>
    <row r="2" spans="1:27">
      <c r="A2" s="1" t="s">
        <v>1</v>
      </c>
      <c r="B2" s="1">
        <f ca="1">IFERROR(__xludf.DUMMYFUNCTION("""COMPUTED_VALUE"""),2494)</f>
        <v>2494</v>
      </c>
      <c r="C2" s="1" t="str">
        <f ca="1">IFERROR(__xludf.DUMMYFUNCTION("""COMPUTED_VALUE"""),"PKM Artikel Ilmiah")</f>
        <v>PKM Artikel Ilmiah</v>
      </c>
      <c r="D2" s="1" t="str">
        <f ca="1">IFERROR(__xludf.DUMMYFUNCTION("""COMPUTED_VALUE"""),"ESTIMASI RISIKO SAHAM JAKARTA ISLAMIC INDEX MENGGUNAKAN VALUE AT RISK DAN CONDITIONAL VALUE AT RISK DENGAN PENDEKATAN ARIMA DAN FFNN")</f>
        <v>ESTIMASI RISIKO SAHAM JAKARTA ISLAMIC INDEX MENGGUNAKAN VALUE AT RISK DAN CONDITIONAL VALUE AT RISK DENGAN PENDEKATAN ARIMA DAN FFNN</v>
      </c>
      <c r="E2" s="1" t="str">
        <f ca="1">IFERROR(__xludf.DUMMYFUNCTION("""COMPUTED_VALUE"""),"Yeni April Lina")</f>
        <v>Yeni April Lina</v>
      </c>
      <c r="F2" s="1" t="str">
        <f ca="1">IFERROR(__xludf.DUMMYFUNCTION("""COMPUTED_VALUE"""),"06311840000019")</f>
        <v>06311840000019</v>
      </c>
      <c r="G2" s="1" t="str">
        <f ca="1">IFERROR(__xludf.DUMMYFUNCTION("""COMPUTED_VALUE"""),"Departemen Aktuaria")</f>
        <v>Departemen Aktuaria</v>
      </c>
      <c r="H2" s="1" t="str">
        <f ca="1">IFERROR(__xludf.DUMMYFUNCTION("""COMPUTED_VALUE"""),"Pratnya Paramitha Oktaviana, S.Si., M.Si.")</f>
        <v>Pratnya Paramitha Oktaviana, S.Si., M.Si.</v>
      </c>
      <c r="I2" s="1" t="str">
        <f ca="1">IFERROR(__xludf.DUMMYFUNCTION("""COMPUTED_VALUE"""),"Fithra Rabbaniyah")</f>
        <v>Fithra Rabbaniyah</v>
      </c>
      <c r="J2" s="1" t="str">
        <f ca="1">IFERROR(__xludf.DUMMYFUNCTION("""COMPUTED_VALUE"""),"06311840000007")</f>
        <v>06311840000007</v>
      </c>
      <c r="K2" s="1" t="str">
        <f ca="1">IFERROR(__xludf.DUMMYFUNCTION("""COMPUTED_VALUE"""),"Departemen Aktuaria")</f>
        <v>Departemen Aktuaria</v>
      </c>
      <c r="L2" s="1" t="str">
        <f ca="1">IFERROR(__xludf.DUMMYFUNCTION("""COMPUTED_VALUE"""),"Zaza Dewi Fortuna")</f>
        <v>Zaza Dewi Fortuna</v>
      </c>
      <c r="M2" s="1" t="str">
        <f ca="1">IFERROR(__xludf.DUMMYFUNCTION("""COMPUTED_VALUE"""),"06311840000014")</f>
        <v>06311840000014</v>
      </c>
      <c r="N2" s="1" t="str">
        <f ca="1">IFERROR(__xludf.DUMMYFUNCTION("""COMPUTED_VALUE"""),"Departemen Aktuaria")</f>
        <v>Departemen Aktuaria</v>
      </c>
      <c r="O2" s="1" t="str">
        <f ca="1">IFERROR(__xludf.DUMMYFUNCTION("""COMPUTED_VALUE"""),"Ika Safitri")</f>
        <v>Ika Safitri</v>
      </c>
      <c r="P2" s="1" t="str">
        <f ca="1">IFERROR(__xludf.DUMMYFUNCTION("""COMPUTED_VALUE"""),"06311940000024")</f>
        <v>06311940000024</v>
      </c>
      <c r="Q2" s="1" t="str">
        <f ca="1">IFERROR(__xludf.DUMMYFUNCTION("""COMPUTED_VALUE"""),"Departemen Aktuaria")</f>
        <v>Departemen Aktuaria</v>
      </c>
      <c r="R2" s="1" t="str">
        <f ca="1">IFERROR(__xludf.DUMMYFUNCTION("""COMPUTED_VALUE"""),"Siti Firdaus")</f>
        <v>Siti Firdaus</v>
      </c>
      <c r="S2" s="1" t="str">
        <f ca="1">IFERROR(__xludf.DUMMYFUNCTION("""COMPUTED_VALUE"""),"06311840000016")</f>
        <v>06311840000016</v>
      </c>
      <c r="T2" s="1" t="str">
        <f ca="1">IFERROR(__xludf.DUMMYFUNCTION("""COMPUTED_VALUE"""),"Departemen Aktuaria")</f>
        <v>Departemen Aktuaria</v>
      </c>
      <c r="U2" s="1" t="str">
        <f ca="1">IFERROR(__xludf.DUMMYFUNCTION("""COMPUTED_VALUE"""),"Prof. Dr. Dra Fahimah Martak, M.Si")</f>
        <v>Prof. Dr. Dra Fahimah Martak, M.Si</v>
      </c>
      <c r="V2" s="1" t="str">
        <f ca="1">IFERROR(__xludf.DUMMYFUNCTION("""COMPUTED_VALUE"""),"Arif Fadlan, S.Si., M.Si., D.Sc")</f>
        <v>Arif Fadlan, S.Si., M.Si., D.Sc</v>
      </c>
      <c r="W2" s="1"/>
      <c r="X2" s="1" t="str">
        <f ca="1">IFERROR(__xludf.DUMMYFUNCTION("""COMPUTED_VALUE"""),"Lolos")</f>
        <v>Lolos</v>
      </c>
      <c r="Y2" s="1"/>
      <c r="Z2" s="1"/>
      <c r="AA2" s="1"/>
    </row>
    <row r="3" spans="1:27">
      <c r="A3" s="1" t="s">
        <v>2</v>
      </c>
      <c r="B3" s="1">
        <f ca="1">IFERROR(__xludf.DUMMYFUNCTION("""COMPUTED_VALUE"""),2832)</f>
        <v>2832</v>
      </c>
      <c r="C3" s="1" t="str">
        <f ca="1">IFERROR(__xludf.DUMMYFUNCTION("""COMPUTED_VALUE"""),"PKM Artikel Ilmiah")</f>
        <v>PKM Artikel Ilmiah</v>
      </c>
      <c r="D3" s="1" t="str">
        <f ca="1">IFERROR(__xludf.DUMMYFUNCTION("""COMPUTED_VALUE"""),"KLASIFIKASI PROVINSI DI INDONESIA YANG MEMBUTUHKAN BANTUAN BERDASARKAN SUSTAINABLE DEVELOPMENT GOALS (SDGs) MENGGUNAKAN METODE K-MEANS ")</f>
        <v xml:space="preserve">KLASIFIKASI PROVINSI DI INDONESIA YANG MEMBUTUHKAN BANTUAN BERDASARKAN SUSTAINABLE DEVELOPMENT GOALS (SDGs) MENGGUNAKAN METODE K-MEANS </v>
      </c>
      <c r="E3" s="1" t="str">
        <f ca="1">IFERROR(__xludf.DUMMYFUNCTION("""COMPUTED_VALUE"""),"JESSICA ZERLINA SARWONO")</f>
        <v>JESSICA ZERLINA SARWONO</v>
      </c>
      <c r="F3" s="1" t="str">
        <f ca="1">IFERROR(__xludf.DUMMYFUNCTION("""COMPUTED_VALUE"""),"5003201071")</f>
        <v>5003201071</v>
      </c>
      <c r="G3" s="1" t="str">
        <f ca="1">IFERROR(__xludf.DUMMYFUNCTION("""COMPUTED_VALUE"""),"Departemen Statistika")</f>
        <v>Departemen Statistika</v>
      </c>
      <c r="H3" s="1" t="str">
        <f ca="1">IFERROR(__xludf.DUMMYFUNCTION("""COMPUTED_VALUE"""),"Adatul Mukarromah, S.Si., M.Si.")</f>
        <v>Adatul Mukarromah, S.Si., M.Si.</v>
      </c>
      <c r="I3" s="1" t="str">
        <f ca="1">IFERROR(__xludf.DUMMYFUNCTION("""COMPUTED_VALUE"""),"BENEDICTUS KENNY TJAHJONO")</f>
        <v>BENEDICTUS KENNY TJAHJONO</v>
      </c>
      <c r="J3" s="1" t="str">
        <f ca="1">IFERROR(__xludf.DUMMYFUNCTION("""COMPUTED_VALUE"""),"5003201159")</f>
        <v>5003201159</v>
      </c>
      <c r="K3" s="1" t="str">
        <f ca="1">IFERROR(__xludf.DUMMYFUNCTION("""COMPUTED_VALUE"""),"Departemen Statistika")</f>
        <v>Departemen Statistika</v>
      </c>
      <c r="L3" s="1" t="str">
        <f ca="1">IFERROR(__xludf.DUMMYFUNCTION("""COMPUTED_VALUE"""),"ANTHONY SATYA WIDJAJA")</f>
        <v>ANTHONY SATYA WIDJAJA</v>
      </c>
      <c r="M3" s="1" t="str">
        <f ca="1">IFERROR(__xludf.DUMMYFUNCTION("""COMPUTED_VALUE"""),"5006201039")</f>
        <v>5006201039</v>
      </c>
      <c r="N3" s="1" t="str">
        <f ca="1">IFERROR(__xludf.DUMMYFUNCTION("""COMPUTED_VALUE"""),"Departemen Aktuaria")</f>
        <v>Departemen Aktuaria</v>
      </c>
      <c r="O3" s="1" t="str">
        <f ca="1">IFERROR(__xludf.DUMMYFUNCTION("""COMPUTED_VALUE"""),"PONTISELLY")</f>
        <v>PONTISELLY</v>
      </c>
      <c r="P3" s="1" t="str">
        <f ca="1">IFERROR(__xludf.DUMMYFUNCTION("""COMPUTED_VALUE"""),"5003201083")</f>
        <v>5003201083</v>
      </c>
      <c r="Q3" s="1" t="str">
        <f ca="1">IFERROR(__xludf.DUMMYFUNCTION("""COMPUTED_VALUE"""),"Departemen Statistika")</f>
        <v>Departemen Statistika</v>
      </c>
      <c r="R3" s="1" t="str">
        <f ca="1">IFERROR(__xludf.DUMMYFUNCTION("""COMPUTED_VALUE"""),"REYNER NOLAN KOO")</f>
        <v>REYNER NOLAN KOO</v>
      </c>
      <c r="S3" s="1" t="str">
        <f ca="1">IFERROR(__xludf.DUMMYFUNCTION("""COMPUTED_VALUE"""),"5003201135")</f>
        <v>5003201135</v>
      </c>
      <c r="T3" s="1" t="str">
        <f ca="1">IFERROR(__xludf.DUMMYFUNCTION("""COMPUTED_VALUE"""),"Departemen Statistika")</f>
        <v>Departemen Statistika</v>
      </c>
      <c r="U3" s="1" t="str">
        <f ca="1">IFERROR(__xludf.DUMMYFUNCTION("""COMPUTED_VALUE"""),"Prof. Dr. Dra Fahimah Martak, M.Si")</f>
        <v>Prof. Dr. Dra Fahimah Martak, M.Si</v>
      </c>
      <c r="V3" s="1" t="str">
        <f ca="1">IFERROR(__xludf.DUMMYFUNCTION("""COMPUTED_VALUE"""),"Arif Fadlan, S.Si., M.Si., D.Sc")</f>
        <v>Arif Fadlan, S.Si., M.Si., D.Sc</v>
      </c>
      <c r="W3" s="1"/>
      <c r="X3" s="1" t="str">
        <f ca="1">IFERROR(__xludf.DUMMYFUNCTION("""COMPUTED_VALUE"""),"Lolos")</f>
        <v>Lolos</v>
      </c>
      <c r="Y3" s="1"/>
      <c r="Z3" s="1"/>
      <c r="AA3" s="1"/>
    </row>
    <row r="4" spans="1:27">
      <c r="A4" s="1" t="s">
        <v>3</v>
      </c>
      <c r="B4" s="1">
        <f ca="1">IFERROR(__xludf.DUMMYFUNCTION("""COMPUTED_VALUE"""),4132)</f>
        <v>4132</v>
      </c>
      <c r="C4" s="1" t="str">
        <f ca="1">IFERROR(__xludf.DUMMYFUNCTION("""COMPUTED_VALUE"""),"PKM Artikel Ilmiah")</f>
        <v>PKM Artikel Ilmiah</v>
      </c>
      <c r="D4" s="1" t="str">
        <f ca="1">IFERROR(__xludf.DUMMYFUNCTION("""COMPUTED_VALUE"""),"Sistem Terintegrasi Berbasis Website dan Donor Plasma Konvalesen  Guna Menurunkan Resiko Kematian Pasien COVID-19 Melalui Komunitas Plasmahero.id")</f>
        <v>Sistem Terintegrasi Berbasis Website dan Donor Plasma Konvalesen  Guna Menurunkan Resiko Kematian Pasien COVID-19 Melalui Komunitas Plasmahero.id</v>
      </c>
      <c r="E4" s="1" t="str">
        <f ca="1">IFERROR(__xludf.DUMMYFUNCTION("""COMPUTED_VALUE"""),"IWAN DWI PRAKOSO")</f>
        <v>IWAN DWI PRAKOSO</v>
      </c>
      <c r="F4" s="1" t="str">
        <f ca="1">IFERROR(__xludf.DUMMYFUNCTION("""COMPUTED_VALUE"""),"05111940000229")</f>
        <v>05111940000229</v>
      </c>
      <c r="G4" s="1" t="str">
        <f ca="1">IFERROR(__xludf.DUMMYFUNCTION("""COMPUTED_VALUE"""),"Departemen Teknik Informatika")</f>
        <v>Departemen Teknik Informatika</v>
      </c>
      <c r="H4" s="1" t="str">
        <f ca="1">IFERROR(__xludf.DUMMYFUNCTION("""COMPUTED_VALUE"""),"Gita Widi Bhawika, S.ST., M.MT")</f>
        <v>Gita Widi Bhawika, S.ST., M.MT</v>
      </c>
      <c r="I4" s="1" t="str">
        <f ca="1">IFERROR(__xludf.DUMMYFUNCTION("""COMPUTED_VALUE"""),"KENYAVI SYAHDHANI RASYID")</f>
        <v>KENYAVI SYAHDHANI RASYID</v>
      </c>
      <c r="J4" s="1" t="str">
        <f ca="1">IFERROR(__xludf.DUMMYFUNCTION("""COMPUTED_VALUE"""),"01311940000059")</f>
        <v>01311940000059</v>
      </c>
      <c r="K4" s="1" t="str">
        <f ca="1">IFERROR(__xludf.DUMMYFUNCTION("""COMPUTED_VALUE"""),"Departemen Biologi")</f>
        <v>Departemen Biologi</v>
      </c>
      <c r="L4" s="1" t="str">
        <f ca="1">IFERROR(__xludf.DUMMYFUNCTION("""COMPUTED_VALUE"""),"GALIH WIDYANTORO")</f>
        <v>GALIH WIDYANTORO</v>
      </c>
      <c r="M4" s="1" t="str">
        <f ca="1">IFERROR(__xludf.DUMMYFUNCTION("""COMPUTED_VALUE"""),"10311910000052")</f>
        <v>10311910000052</v>
      </c>
      <c r="N4" s="1" t="str">
        <f ca="1">IFERROR(__xludf.DUMMYFUNCTION("""COMPUTED_VALUE"""),"Departemen Teknik Elektro Otomasi")</f>
        <v>Departemen Teknik Elektro Otomasi</v>
      </c>
      <c r="O4" s="1" t="str">
        <f ca="1">IFERROR(__xludf.DUMMYFUNCTION("""COMPUTED_VALUE"""),"YULFI ARISTA")</f>
        <v>YULFI ARISTA</v>
      </c>
      <c r="P4" s="1" t="str">
        <f ca="1">IFERROR(__xludf.DUMMYFUNCTION("""COMPUTED_VALUE"""),"10311910000056")</f>
        <v>10311910000056</v>
      </c>
      <c r="Q4" s="1" t="str">
        <f ca="1">IFERROR(__xludf.DUMMYFUNCTION("""COMPUTED_VALUE"""),"Departemen Teknik Elektro Otomasi")</f>
        <v>Departemen Teknik Elektro Otomasi</v>
      </c>
      <c r="R4" s="1" t="str">
        <f ca="1">IFERROR(__xludf.DUMMYFUNCTION("""COMPUTED_VALUE"""),"Shelly Damayanti")</f>
        <v>Shelly Damayanti</v>
      </c>
      <c r="S4" s="1" t="str">
        <f ca="1">IFERROR(__xludf.DUMMYFUNCTION("""COMPUTED_VALUE"""),"01311940000002")</f>
        <v>01311940000002</v>
      </c>
      <c r="T4" s="1" t="str">
        <f ca="1">IFERROR(__xludf.DUMMYFUNCTION("""COMPUTED_VALUE"""),"Departemen Biologi")</f>
        <v>Departemen Biologi</v>
      </c>
      <c r="U4" s="1" t="str">
        <f ca="1">IFERROR(__xludf.DUMMYFUNCTION("""COMPUTED_VALUE"""),"Prof. Dr. Dra Fahimah Martak, M.Si")</f>
        <v>Prof. Dr. Dra Fahimah Martak, M.Si</v>
      </c>
      <c r="V4" s="1" t="str">
        <f ca="1">IFERROR(__xludf.DUMMYFUNCTION("""COMPUTED_VALUE"""),"Ulil 'Azmi, S.Si., M.Si.")</f>
        <v>Ulil 'Azmi, S.Si., M.Si.</v>
      </c>
      <c r="W4" s="1"/>
      <c r="X4" s="1" t="str">
        <f ca="1">IFERROR(__xludf.DUMMYFUNCTION("""COMPUTED_VALUE"""),"Lolos")</f>
        <v>Lolos</v>
      </c>
      <c r="Y4" s="1"/>
      <c r="Z4" s="1"/>
      <c r="AA4" s="1"/>
    </row>
    <row r="5" spans="1:27">
      <c r="A5" s="1" t="s">
        <v>4</v>
      </c>
      <c r="B5" s="1">
        <f ca="1">IFERROR(__xludf.DUMMYFUNCTION("""COMPUTED_VALUE"""),2628)</f>
        <v>2628</v>
      </c>
      <c r="C5" s="1" t="str">
        <f ca="1">IFERROR(__xludf.DUMMYFUNCTION("""COMPUTED_VALUE"""),"PKM Artikel Ilmiah")</f>
        <v>PKM Artikel Ilmiah</v>
      </c>
      <c r="D5" s="1" t="str">
        <f ca="1">IFERROR(__xludf.DUMMYFUNCTION("""COMPUTED_VALUE"""),"SISTEM KLASIFIKASI CERDAS DANGEROUS GOODS X-RAY PADA DETEKSI KARGO BERBASIS ALGORITMA YOLO V4 ")</f>
        <v xml:space="preserve">SISTEM KLASIFIKASI CERDAS DANGEROUS GOODS X-RAY PADA DETEKSI KARGO BERBASIS ALGORITMA YOLO V4 </v>
      </c>
      <c r="E5" s="1" t="str">
        <f ca="1">IFERROR(__xludf.DUMMYFUNCTION("""COMPUTED_VALUE"""),"Vincentius Charles Maynad")</f>
        <v>Vincentius Charles Maynad</v>
      </c>
      <c r="F5" s="1" t="str">
        <f ca="1">IFERROR(__xludf.DUMMYFUNCTION("""COMPUTED_VALUE"""),"07111940000038")</f>
        <v>07111940000038</v>
      </c>
      <c r="G5" s="1" t="str">
        <f ca="1">IFERROR(__xludf.DUMMYFUNCTION("""COMPUTED_VALUE"""),"Departemen Teknik Elektro")</f>
        <v>Departemen Teknik Elektro</v>
      </c>
      <c r="H5" s="1" t="str">
        <f ca="1">IFERROR(__xludf.DUMMYFUNCTION("""COMPUTED_VALUE"""),"Eka Iskandar, S.T., M.T.")</f>
        <v>Eka Iskandar, S.T., M.T.</v>
      </c>
      <c r="I5" s="1" t="str">
        <f ca="1">IFERROR(__xludf.DUMMYFUNCTION("""COMPUTED_VALUE"""),"FAIRUZ FIRJATULLAH")</f>
        <v>FAIRUZ FIRJATULLAH</v>
      </c>
      <c r="J5" s="1" t="str">
        <f ca="1">IFERROR(__xludf.DUMMYFUNCTION("""COMPUTED_VALUE"""),"07111840000121")</f>
        <v>07111840000121</v>
      </c>
      <c r="K5" s="1" t="str">
        <f ca="1">IFERROR(__xludf.DUMMYFUNCTION("""COMPUTED_VALUE"""),"Departemen Teknik Elektro")</f>
        <v>Departemen Teknik Elektro</v>
      </c>
      <c r="L5" s="1" t="str">
        <f ca="1">IFERROR(__xludf.DUMMYFUNCTION("""COMPUTED_VALUE"""),"RAMADHAN SANYOTO SUGIHARSO W")</f>
        <v>RAMADHAN SANYOTO SUGIHARSO W</v>
      </c>
      <c r="M5" s="1" t="str">
        <f ca="1">IFERROR(__xludf.DUMMYFUNCTION("""COMPUTED_VALUE"""),"07211940000058")</f>
        <v>07211940000058</v>
      </c>
      <c r="N5" s="1" t="str">
        <f ca="1">IFERROR(__xludf.DUMMYFUNCTION("""COMPUTED_VALUE"""),"Departemen Teknik Komputer")</f>
        <v>Departemen Teknik Komputer</v>
      </c>
      <c r="O5" s="1" t="str">
        <f ca="1">IFERROR(__xludf.DUMMYFUNCTION("""COMPUTED_VALUE"""),"Dimas Aditya Maulana Fajri")</f>
        <v>Dimas Aditya Maulana Fajri</v>
      </c>
      <c r="P5" s="1" t="str">
        <f ca="1">IFERROR(__xludf.DUMMYFUNCTION("""COMPUTED_VALUE"""),"07211940000012")</f>
        <v>07211940000012</v>
      </c>
      <c r="Q5" s="1" t="str">
        <f ca="1">IFERROR(__xludf.DUMMYFUNCTION("""COMPUTED_VALUE"""),"Departemen Teknik Komputer")</f>
        <v>Departemen Teknik Komputer</v>
      </c>
      <c r="R5" s="1"/>
      <c r="S5" s="1"/>
      <c r="T5" s="1"/>
      <c r="U5" s="1" t="str">
        <f ca="1">IFERROR(__xludf.DUMMYFUNCTION("""COMPUTED_VALUE"""),"Prof. Dr. Dra Fahimah Martak, M.Si")</f>
        <v>Prof. Dr. Dra Fahimah Martak, M.Si</v>
      </c>
      <c r="V5" s="1" t="str">
        <f ca="1">IFERROR(__xludf.DUMMYFUNCTION("""COMPUTED_VALUE"""),"Arif Fadlan, S.Si., M.Si., D.Sc")</f>
        <v>Arif Fadlan, S.Si., M.Si., D.Sc</v>
      </c>
      <c r="W5" s="1"/>
      <c r="X5" s="1" t="str">
        <f ca="1">IFERROR(__xludf.DUMMYFUNCTION("""COMPUTED_VALUE"""),"Lolos")</f>
        <v>Lolos</v>
      </c>
      <c r="Y5" s="1"/>
      <c r="Z5" s="1"/>
      <c r="AA5" s="1"/>
    </row>
    <row r="6" spans="1:27">
      <c r="A6" s="1" t="s">
        <v>5</v>
      </c>
      <c r="B6" s="1">
        <f ca="1">IFERROR(__xludf.DUMMYFUNCTION("""COMPUTED_VALUE"""),3641)</f>
        <v>3641</v>
      </c>
      <c r="C6" s="1" t="str">
        <f ca="1">IFERROR(__xludf.DUMMYFUNCTION("""COMPUTED_VALUE"""),"PKM Artikel Ilmiah")</f>
        <v>PKM Artikel Ilmiah</v>
      </c>
      <c r="D6" s="1" t="str">
        <f ca="1">IFERROR(__xludf.DUMMYFUNCTION("""COMPUTED_VALUE"""),"PENINGKATAN NILAI KALOR PEMBAKARAN BIOGAS DARI PALM OIL 
MILL EFFLUENT DENGAN TEKNOLOGI MIXED MATRIX MEMBRANE
PSF/KOMPOSIT KARBON ZIF-8")</f>
        <v>PENINGKATAN NILAI KALOR PEMBAKARAN BIOGAS DARI PALM OIL 
MILL EFFLUENT DENGAN TEKNOLOGI MIXED MATRIX MEMBRANE
PSF/KOMPOSIT KARBON ZIF-8</v>
      </c>
      <c r="E6" s="1" t="str">
        <f ca="1">IFERROR(__xludf.DUMMYFUNCTION("""COMPUTED_VALUE"""),"AFRIZAL RIKO ALFARIZI")</f>
        <v>AFRIZAL RIKO ALFARIZI</v>
      </c>
      <c r="F6" s="1" t="str">
        <f ca="1">IFERROR(__xludf.DUMMYFUNCTION("""COMPUTED_VALUE"""),"5011201149")</f>
        <v>5011201149</v>
      </c>
      <c r="G6" s="1" t="str">
        <f ca="1">IFERROR(__xludf.DUMMYFUNCTION("""COMPUTED_VALUE"""),"Departemen Teknik Material dan Metalurgi")</f>
        <v>Departemen Teknik Material dan Metalurgi</v>
      </c>
      <c r="H6" s="1" t="str">
        <f ca="1">IFERROR(__xludf.DUMMYFUNCTION("""COMPUTED_VALUE"""),"Dr. Triyanda Gunawan, S.Si.")</f>
        <v>Dr. Triyanda Gunawan, S.Si.</v>
      </c>
      <c r="I6" s="1" t="str">
        <f ca="1">IFERROR(__xludf.DUMMYFUNCTION("""COMPUTED_VALUE"""),"SARAZEN SHALAHUDDIN AKBAR")</f>
        <v>SARAZEN SHALAHUDDIN AKBAR</v>
      </c>
      <c r="J6" s="1" t="str">
        <f ca="1">IFERROR(__xludf.DUMMYFUNCTION("""COMPUTED_VALUE"""),"01211940000066")</f>
        <v>01211940000066</v>
      </c>
      <c r="K6" s="1" t="str">
        <f ca="1">IFERROR(__xludf.DUMMYFUNCTION("""COMPUTED_VALUE"""),"Departemen Kimia")</f>
        <v>Departemen Kimia</v>
      </c>
      <c r="L6" s="1" t="str">
        <f ca="1">IFERROR(__xludf.DUMMYFUNCTION("""COMPUTED_VALUE"""),"WIDYA ANASTASYA NINGTIYAS")</f>
        <v>WIDYA ANASTASYA NINGTIYAS</v>
      </c>
      <c r="M6" s="1" t="str">
        <f ca="1">IFERROR(__xludf.DUMMYFUNCTION("""COMPUTED_VALUE"""),"01211940000070")</f>
        <v>01211940000070</v>
      </c>
      <c r="N6" s="1" t="str">
        <f ca="1">IFERROR(__xludf.DUMMYFUNCTION("""COMPUTED_VALUE"""),"Departemen Kimia")</f>
        <v>Departemen Kimia</v>
      </c>
      <c r="O6" s="1" t="str">
        <f ca="1">IFERROR(__xludf.DUMMYFUNCTION("""COMPUTED_VALUE"""),"RIFDAH ADYA SALSABILA")</f>
        <v>RIFDAH ADYA SALSABILA</v>
      </c>
      <c r="P6" s="1" t="str">
        <f ca="1">IFERROR(__xludf.DUMMYFUNCTION("""COMPUTED_VALUE"""),"5004201050")</f>
        <v>5004201050</v>
      </c>
      <c r="Q6" s="1" t="str">
        <f ca="1">IFERROR(__xludf.DUMMYFUNCTION("""COMPUTED_VALUE"""),"Departemen Kimia")</f>
        <v>Departemen Kimia</v>
      </c>
      <c r="R6" s="1" t="str">
        <f ca="1">IFERROR(__xludf.DUMMYFUNCTION("""COMPUTED_VALUE"""),"Miftahul Jannah")</f>
        <v>Miftahul Jannah</v>
      </c>
      <c r="S6" s="1" t="str">
        <f ca="1">IFERROR(__xludf.DUMMYFUNCTION("""COMPUTED_VALUE"""),"01211940000023")</f>
        <v>01211940000023</v>
      </c>
      <c r="T6" s="1" t="str">
        <f ca="1">IFERROR(__xludf.DUMMYFUNCTION("""COMPUTED_VALUE"""),"Departemen Kimia")</f>
        <v>Departemen Kimia</v>
      </c>
      <c r="U6" s="1" t="str">
        <f ca="1">IFERROR(__xludf.DUMMYFUNCTION("""COMPUTED_VALUE"""),"Prof. Dr. Dra Fahimah Martak, M.Si")</f>
        <v>Prof. Dr. Dra Fahimah Martak, M.Si</v>
      </c>
      <c r="V6" s="1" t="str">
        <f ca="1">IFERROR(__xludf.DUMMYFUNCTION("""COMPUTED_VALUE"""),"Arif Fadlan, S.Si., M.Si., D.Sc")</f>
        <v>Arif Fadlan, S.Si., M.Si., D.Sc</v>
      </c>
      <c r="W6" s="1"/>
      <c r="X6" s="1" t="str">
        <f ca="1">IFERROR(__xludf.DUMMYFUNCTION("""COMPUTED_VALUE"""),"Lolos")</f>
        <v>Lolos</v>
      </c>
      <c r="Y6" s="1"/>
      <c r="Z6" s="1"/>
      <c r="AA6" s="1"/>
    </row>
    <row r="7" spans="1:27">
      <c r="A7" s="1" t="s">
        <v>6</v>
      </c>
      <c r="B7" s="1">
        <f ca="1">IFERROR(__xludf.DUMMYFUNCTION("""COMPUTED_VALUE"""),3131)</f>
        <v>3131</v>
      </c>
      <c r="C7" s="1" t="str">
        <f ca="1">IFERROR(__xludf.DUMMYFUNCTION("""COMPUTED_VALUE"""),"PKM Artikel Ilmiah")</f>
        <v>PKM Artikel Ilmiah</v>
      </c>
      <c r="D7" s="1" t="str">
        <f ca="1">IFERROR(__xludf.DUMMYFUNCTION("""COMPUTED_VALUE"""),"Optimalisasi Fungsi Lahan Pertanian dan Perkebunan Menggunakan Pemetaan Klasifikasi Jenis Tanah Berbasis WebGIS Studi Kasus Daerah Kabupaten Ngawi 
")</f>
        <v xml:space="preserve">Optimalisasi Fungsi Lahan Pertanian dan Perkebunan Menggunakan Pemetaan Klasifikasi Jenis Tanah Berbasis WebGIS Studi Kasus Daerah Kabupaten Ngawi 
</v>
      </c>
      <c r="E7" s="1" t="str">
        <f ca="1">IFERROR(__xludf.DUMMYFUNCTION("""COMPUTED_VALUE"""),"IKHSAN NURADI")</f>
        <v>IKHSAN NURADI</v>
      </c>
      <c r="F7" s="1" t="str">
        <f ca="1">IFERROR(__xludf.DUMMYFUNCTION("""COMPUTED_VALUE"""),"5016201007")</f>
        <v>5016201007</v>
      </c>
      <c r="G7" s="1" t="str">
        <f ca="1">IFERROR(__xludf.DUMMYFUNCTION("""COMPUTED_VALUE"""),"Departemen Teknik Geomatika")</f>
        <v>Departemen Teknik Geomatika</v>
      </c>
      <c r="H7" s="1" t="str">
        <f ca="1">IFERROR(__xludf.DUMMYFUNCTION("""COMPUTED_VALUE"""),"Mohammad Rohmaneo Darminto, S.T., M.Sc.")</f>
        <v>Mohammad Rohmaneo Darminto, S.T., M.Sc.</v>
      </c>
      <c r="I7" s="1" t="str">
        <f ca="1">IFERROR(__xludf.DUMMYFUNCTION("""COMPUTED_VALUE"""),"FATHAN AKBAR GEMILANG")</f>
        <v>FATHAN AKBAR GEMILANG</v>
      </c>
      <c r="J7" s="1" t="str">
        <f ca="1">IFERROR(__xludf.DUMMYFUNCTION("""COMPUTED_VALUE"""),"5016201086")</f>
        <v>5016201086</v>
      </c>
      <c r="K7" s="1" t="str">
        <f ca="1">IFERROR(__xludf.DUMMYFUNCTION("""COMPUTED_VALUE"""),"Departemen Teknik Geomatika")</f>
        <v>Departemen Teknik Geomatika</v>
      </c>
      <c r="L7" s="1" t="str">
        <f ca="1">IFERROR(__xludf.DUMMYFUNCTION("""COMPUTED_VALUE"""),"DINDA APRILIANTI")</f>
        <v>DINDA APRILIANTI</v>
      </c>
      <c r="M7" s="1" t="str">
        <f ca="1">IFERROR(__xludf.DUMMYFUNCTION("""COMPUTED_VALUE"""),"5016201027")</f>
        <v>5016201027</v>
      </c>
      <c r="N7" s="1" t="str">
        <f ca="1">IFERROR(__xludf.DUMMYFUNCTION("""COMPUTED_VALUE"""),"Departemen Teknik Geomatika")</f>
        <v>Departemen Teknik Geomatika</v>
      </c>
      <c r="O7" s="1" t="str">
        <f ca="1">IFERROR(__xludf.DUMMYFUNCTION("""COMPUTED_VALUE"""),"FADHILLA CHINTIA WIDORESMI")</f>
        <v>FADHILLA CHINTIA WIDORESMI</v>
      </c>
      <c r="P7" s="1" t="str">
        <f ca="1">IFERROR(__xludf.DUMMYFUNCTION("""COMPUTED_VALUE"""),"5016201002")</f>
        <v>5016201002</v>
      </c>
      <c r="Q7" s="1" t="str">
        <f ca="1">IFERROR(__xludf.DUMMYFUNCTION("""COMPUTED_VALUE"""),"Departemen Teknik Geomatika")</f>
        <v>Departemen Teknik Geomatika</v>
      </c>
      <c r="R7" s="1" t="str">
        <f ca="1">IFERROR(__xludf.DUMMYFUNCTION("""COMPUTED_VALUE"""),"ANDIK CAHYO UTOMO")</f>
        <v>ANDIK CAHYO UTOMO</v>
      </c>
      <c r="S7" s="1" t="str">
        <f ca="1">IFERROR(__xludf.DUMMYFUNCTION("""COMPUTED_VALUE"""),"5016201020")</f>
        <v>5016201020</v>
      </c>
      <c r="T7" s="1" t="str">
        <f ca="1">IFERROR(__xludf.DUMMYFUNCTION("""COMPUTED_VALUE"""),"Departemen Teknik Geomatika")</f>
        <v>Departemen Teknik Geomatika</v>
      </c>
      <c r="U7" s="1" t="str">
        <f ca="1">IFERROR(__xludf.DUMMYFUNCTION("""COMPUTED_VALUE"""),"Prof. Dr. Dra Fahimah Martak, M.Si")</f>
        <v>Prof. Dr. Dra Fahimah Martak, M.Si</v>
      </c>
      <c r="V7" s="1" t="str">
        <f ca="1">IFERROR(__xludf.DUMMYFUNCTION("""COMPUTED_VALUE"""),"Ulil 'Azmi, S.Si., M.Si.")</f>
        <v>Ulil 'Azmi, S.Si., M.Si.</v>
      </c>
      <c r="W7" s="1"/>
      <c r="X7" s="1" t="str">
        <f ca="1">IFERROR(__xludf.DUMMYFUNCTION("""COMPUTED_VALUE"""),"Lolos")</f>
        <v>Lolos</v>
      </c>
      <c r="Y7" s="1"/>
      <c r="Z7" s="1"/>
      <c r="AA7" s="1"/>
    </row>
    <row r="8" spans="1:27">
      <c r="A8" s="1" t="s">
        <v>7</v>
      </c>
      <c r="B8" s="1">
        <f ca="1">IFERROR(__xludf.DUMMYFUNCTION("""COMPUTED_VALUE"""),2130)</f>
        <v>2130</v>
      </c>
      <c r="C8" s="1" t="str">
        <f ca="1">IFERROR(__xludf.DUMMYFUNCTION("""COMPUTED_VALUE"""),"PKM Artikel Ilmiah")</f>
        <v>PKM Artikel Ilmiah</v>
      </c>
      <c r="D8" s="1" t="str">
        <f ca="1">IFERROR(__xludf.DUMMYFUNCTION("""COMPUTED_VALUE"""),"Penerapan Artificial Neural Network dalam Prediksi Financial Distress pada Rasio Profitabilitas Saham LQ45 menggunakan K Means Clustering
")</f>
        <v xml:space="preserve">Penerapan Artificial Neural Network dalam Prediksi Financial Distress pada Rasio Profitabilitas Saham LQ45 menggunakan K Means Clustering
</v>
      </c>
      <c r="E8" s="1" t="str">
        <f ca="1">IFERROR(__xludf.DUMMYFUNCTION("""COMPUTED_VALUE"""),"CHECELLYA MAITRIANI")</f>
        <v>CHECELLYA MAITRIANI</v>
      </c>
      <c r="F8" s="1" t="str">
        <f ca="1">IFERROR(__xludf.DUMMYFUNCTION("""COMPUTED_VALUE"""),"06311940000044")</f>
        <v>06311940000044</v>
      </c>
      <c r="G8" s="1" t="str">
        <f ca="1">IFERROR(__xludf.DUMMYFUNCTION("""COMPUTED_VALUE"""),"Departemen Aktuaria")</f>
        <v>Departemen Aktuaria</v>
      </c>
      <c r="H8" s="1" t="str">
        <f ca="1">IFERROR(__xludf.DUMMYFUNCTION("""COMPUTED_VALUE"""),"Imam Safawi Ahmad, S.Si., M.Si.")</f>
        <v>Imam Safawi Ahmad, S.Si., M.Si.</v>
      </c>
      <c r="I8" s="1" t="str">
        <f ca="1">IFERROR(__xludf.DUMMYFUNCTION("""COMPUTED_VALUE"""),"MICHAEL NATHANIEL DINARTA")</f>
        <v>MICHAEL NATHANIEL DINARTA</v>
      </c>
      <c r="J8" s="1" t="str">
        <f ca="1">IFERROR(__xludf.DUMMYFUNCTION("""COMPUTED_VALUE"""),"06311940000028")</f>
        <v>06311940000028</v>
      </c>
      <c r="K8" s="1" t="str">
        <f ca="1">IFERROR(__xludf.DUMMYFUNCTION("""COMPUTED_VALUE"""),"Departemen Aktuaria")</f>
        <v>Departemen Aktuaria</v>
      </c>
      <c r="L8" s="1" t="str">
        <f ca="1">IFERROR(__xludf.DUMMYFUNCTION("""COMPUTED_VALUE"""),"AGATHA SANDIRA YUDHAJAYA")</f>
        <v>AGATHA SANDIRA YUDHAJAYA</v>
      </c>
      <c r="M8" s="1" t="str">
        <f ca="1">IFERROR(__xludf.DUMMYFUNCTION("""COMPUTED_VALUE"""),"5006201038")</f>
        <v>5006201038</v>
      </c>
      <c r="N8" s="1" t="str">
        <f ca="1">IFERROR(__xludf.DUMMYFUNCTION("""COMPUTED_VALUE"""),"Departemen Aktuaria")</f>
        <v>Departemen Aktuaria</v>
      </c>
      <c r="O8" s="1"/>
      <c r="P8" s="1"/>
      <c r="Q8" s="1"/>
      <c r="R8" s="1"/>
      <c r="S8" s="1"/>
      <c r="T8" s="1"/>
      <c r="U8" s="1" t="str">
        <f ca="1">IFERROR(__xludf.DUMMYFUNCTION("""COMPUTED_VALUE"""),"Prof. Dr. Dra Fahimah Martak, M.Si")</f>
        <v>Prof. Dr. Dra Fahimah Martak, M.Si</v>
      </c>
      <c r="V8" s="1" t="str">
        <f ca="1">IFERROR(__xludf.DUMMYFUNCTION("""COMPUTED_VALUE"""),"Arif Fadlan, S.Si., M.Si., D.Sc")</f>
        <v>Arif Fadlan, S.Si., M.Si., D.Sc</v>
      </c>
      <c r="W8" s="1"/>
      <c r="X8" s="1" t="str">
        <f ca="1">IFERROR(__xludf.DUMMYFUNCTION("""COMPUTED_VALUE"""),"Lolos")</f>
        <v>Lolos</v>
      </c>
      <c r="Y8" s="1"/>
      <c r="Z8" s="1"/>
      <c r="AA8" s="1"/>
    </row>
    <row r="9" spans="1:27">
      <c r="A9" s="1" t="s">
        <v>8</v>
      </c>
      <c r="B9" s="1">
        <f ca="1">IFERROR(__xludf.DUMMYFUNCTION("""COMPUTED_VALUE"""),4122)</f>
        <v>4122</v>
      </c>
      <c r="C9" s="1" t="str">
        <f ca="1">IFERROR(__xludf.DUMMYFUNCTION("""COMPUTED_VALUE"""),"PKM Artikel Ilmiah")</f>
        <v>PKM Artikel Ilmiah</v>
      </c>
      <c r="D9" s="1" t="str">
        <f ca="1">IFERROR(__xludf.DUMMYFUNCTION("""COMPUTED_VALUE"""),"Pelatihan Digital Marketing Dalam Program Kramat Millenial Project Guna Menumbuhkan Jiwa Sociopreneur Kelompok Ibu PKK Desa Kramat, Pulau Mengare")</f>
        <v>Pelatihan Digital Marketing Dalam Program Kramat Millenial Project Guna Menumbuhkan Jiwa Sociopreneur Kelompok Ibu PKK Desa Kramat, Pulau Mengare</v>
      </c>
      <c r="E9" s="1" t="str">
        <f ca="1">IFERROR(__xludf.DUMMYFUNCTION("""COMPUTED_VALUE"""),"YULFI ARISTA")</f>
        <v>YULFI ARISTA</v>
      </c>
      <c r="F9" s="1" t="str">
        <f ca="1">IFERROR(__xludf.DUMMYFUNCTION("""COMPUTED_VALUE"""),"10311910000056")</f>
        <v>10311910000056</v>
      </c>
      <c r="G9" s="1" t="str">
        <f ca="1">IFERROR(__xludf.DUMMYFUNCTION("""COMPUTED_VALUE"""),"Departemen Teknik Elektro Otomasi")</f>
        <v>Departemen Teknik Elektro Otomasi</v>
      </c>
      <c r="H9" s="1" t="str">
        <f ca="1">IFERROR(__xludf.DUMMYFUNCTION("""COMPUTED_VALUE"""),"Dr. Awik Puji Dyah Nurhayati, S.Si., M.Si.")</f>
        <v>Dr. Awik Puji Dyah Nurhayati, S.Si., M.Si.</v>
      </c>
      <c r="I9" s="1" t="str">
        <f ca="1">IFERROR(__xludf.DUMMYFUNCTION("""COMPUTED_VALUE"""),"KENYAVI SYAHDHANI RASYID")</f>
        <v>KENYAVI SYAHDHANI RASYID</v>
      </c>
      <c r="J9" s="1" t="str">
        <f ca="1">IFERROR(__xludf.DUMMYFUNCTION("""COMPUTED_VALUE"""),"01311940000059")</f>
        <v>01311940000059</v>
      </c>
      <c r="K9" s="1" t="str">
        <f ca="1">IFERROR(__xludf.DUMMYFUNCTION("""COMPUTED_VALUE"""),"Departemen Biologi")</f>
        <v>Departemen Biologi</v>
      </c>
      <c r="L9" s="1" t="str">
        <f ca="1">IFERROR(__xludf.DUMMYFUNCTION("""COMPUTED_VALUE"""),"GALIH WIDYANTORO")</f>
        <v>GALIH WIDYANTORO</v>
      </c>
      <c r="M9" s="1" t="str">
        <f ca="1">IFERROR(__xludf.DUMMYFUNCTION("""COMPUTED_VALUE"""),"10311910000052")</f>
        <v>10311910000052</v>
      </c>
      <c r="N9" s="1" t="str">
        <f ca="1">IFERROR(__xludf.DUMMYFUNCTION("""COMPUTED_VALUE"""),"Departemen Teknik Elektro Otomasi")</f>
        <v>Departemen Teknik Elektro Otomasi</v>
      </c>
      <c r="O9" s="1" t="str">
        <f ca="1">IFERROR(__xludf.DUMMYFUNCTION("""COMPUTED_VALUE"""),"Shelly Damayanti")</f>
        <v>Shelly Damayanti</v>
      </c>
      <c r="P9" s="1" t="str">
        <f ca="1">IFERROR(__xludf.DUMMYFUNCTION("""COMPUTED_VALUE"""),"01311940000002")</f>
        <v>01311940000002</v>
      </c>
      <c r="Q9" s="1" t="str">
        <f ca="1">IFERROR(__xludf.DUMMYFUNCTION("""COMPUTED_VALUE"""),"Departemen Biologi")</f>
        <v>Departemen Biologi</v>
      </c>
      <c r="R9" s="1" t="str">
        <f ca="1">IFERROR(__xludf.DUMMYFUNCTION("""COMPUTED_VALUE"""),"IWAN DWI PRAKOSO")</f>
        <v>IWAN DWI PRAKOSO</v>
      </c>
      <c r="S9" s="1" t="str">
        <f ca="1">IFERROR(__xludf.DUMMYFUNCTION("""COMPUTED_VALUE"""),"05111940000229")</f>
        <v>05111940000229</v>
      </c>
      <c r="T9" s="1" t="str">
        <f ca="1">IFERROR(__xludf.DUMMYFUNCTION("""COMPUTED_VALUE"""),"Departemen Teknik Informatika")</f>
        <v>Departemen Teknik Informatika</v>
      </c>
      <c r="U9" s="1" t="str">
        <f ca="1">IFERROR(__xludf.DUMMYFUNCTION("""COMPUTED_VALUE"""),"Prof. Dr. Dra Fahimah Martak, M.Si")</f>
        <v>Prof. Dr. Dra Fahimah Martak, M.Si</v>
      </c>
      <c r="V9" s="1" t="str">
        <f ca="1">IFERROR(__xludf.DUMMYFUNCTION("""COMPUTED_VALUE"""),"Ulil 'Azmi, S.Si., M.Si.")</f>
        <v>Ulil 'Azmi, S.Si., M.Si.</v>
      </c>
      <c r="W9" s="1"/>
      <c r="X9" s="1" t="str">
        <f ca="1">IFERROR(__xludf.DUMMYFUNCTION("""COMPUTED_VALUE"""),"Lolos")</f>
        <v>Lolos</v>
      </c>
      <c r="Y9" s="1"/>
      <c r="Z9" s="1"/>
      <c r="AA9" s="1"/>
    </row>
    <row r="10" spans="1:27">
      <c r="A10" s="1" t="s">
        <v>9</v>
      </c>
      <c r="B10" s="1">
        <f ca="1">IFERROR(__xludf.DUMMYFUNCTION("""COMPUTED_VALUE"""),2145)</f>
        <v>2145</v>
      </c>
      <c r="C10" s="1" t="str">
        <f ca="1">IFERROR(__xludf.DUMMYFUNCTION("""COMPUTED_VALUE"""),"PKM Artikel Ilmiah")</f>
        <v>PKM Artikel Ilmiah</v>
      </c>
      <c r="D10" s="1" t="str">
        <f ca="1">IFERROR(__xludf.DUMMYFUNCTION("""COMPUTED_VALUE"""),"Optimasi Topologi Knuckle Pada Mobil Listrik Anargya EV Mark 2.0 Menggunakan
Software Solid Edge
")</f>
        <v xml:space="preserve">Optimasi Topologi Knuckle Pada Mobil Listrik Anargya EV Mark 2.0 Menggunakan
Software Solid Edge
</v>
      </c>
      <c r="E10" s="1" t="str">
        <f ca="1">IFERROR(__xludf.DUMMYFUNCTION("""COMPUTED_VALUE"""),"NICHOLLAS VIANINO")</f>
        <v>NICHOLLAS VIANINO</v>
      </c>
      <c r="F10" s="1" t="str">
        <f ca="1">IFERROR(__xludf.DUMMYFUNCTION("""COMPUTED_VALUE"""),"02111940000091")</f>
        <v>02111940000091</v>
      </c>
      <c r="G10" s="1" t="str">
        <f ca="1">IFERROR(__xludf.DUMMYFUNCTION("""COMPUTED_VALUE"""),"Departemen Teknik Mesin")</f>
        <v>Departemen Teknik Mesin</v>
      </c>
      <c r="H10" s="1" t="str">
        <f ca="1">IFERROR(__xludf.DUMMYFUNCTION("""COMPUTED_VALUE"""),"Alief Wikarta, ST., MSc.Eng. Ph.D")</f>
        <v>Alief Wikarta, ST., MSc.Eng. Ph.D</v>
      </c>
      <c r="I10" s="1" t="str">
        <f ca="1">IFERROR(__xludf.DUMMYFUNCTION("""COMPUTED_VALUE"""),"TIMOTHY DENZEL CHRISDHITO")</f>
        <v>TIMOTHY DENZEL CHRISDHITO</v>
      </c>
      <c r="J10" s="1" t="str">
        <f ca="1">IFERROR(__xludf.DUMMYFUNCTION("""COMPUTED_VALUE"""),"02111940000118")</f>
        <v>02111940000118</v>
      </c>
      <c r="K10" s="1" t="str">
        <f ca="1">IFERROR(__xludf.DUMMYFUNCTION("""COMPUTED_VALUE"""),"Departemen Teknik Mesin")</f>
        <v>Departemen Teknik Mesin</v>
      </c>
      <c r="L10" s="1" t="str">
        <f ca="1">IFERROR(__xludf.DUMMYFUNCTION("""COMPUTED_VALUE"""),"Sultan Achmad Hidayatulloh")</f>
        <v>Sultan Achmad Hidayatulloh</v>
      </c>
      <c r="M10" s="1" t="str">
        <f ca="1">IFERROR(__xludf.DUMMYFUNCTION("""COMPUTED_VALUE"""),"02111940000021")</f>
        <v>02111940000021</v>
      </c>
      <c r="N10" s="1" t="str">
        <f ca="1">IFERROR(__xludf.DUMMYFUNCTION("""COMPUTED_VALUE"""),"Departemen Teknik Mesin")</f>
        <v>Departemen Teknik Mesin</v>
      </c>
      <c r="O10" s="1" t="str">
        <f ca="1">IFERROR(__xludf.DUMMYFUNCTION("""COMPUTED_VALUE"""),"EDWARD IVANDER MUIS")</f>
        <v>EDWARD IVANDER MUIS</v>
      </c>
      <c r="P10" s="1" t="str">
        <f ca="1">IFERROR(__xludf.DUMMYFUNCTION("""COMPUTED_VALUE"""),"02111940000119")</f>
        <v>02111940000119</v>
      </c>
      <c r="Q10" s="1" t="str">
        <f ca="1">IFERROR(__xludf.DUMMYFUNCTION("""COMPUTED_VALUE"""),"Departemen Teknik Mesin")</f>
        <v>Departemen Teknik Mesin</v>
      </c>
      <c r="R10" s="1" t="str">
        <f ca="1">IFERROR(__xludf.DUMMYFUNCTION("""COMPUTED_VALUE"""),"MOH HAIDLER ALI SYAFI`I")</f>
        <v>MOH HAIDLER ALI SYAFI`I</v>
      </c>
      <c r="S10" s="1" t="str">
        <f ca="1">IFERROR(__xludf.DUMMYFUNCTION("""COMPUTED_VALUE"""),"2039201009")</f>
        <v>2039201009</v>
      </c>
      <c r="T10" s="1" t="str">
        <f ca="1">IFERROR(__xludf.DUMMYFUNCTION("""COMPUTED_VALUE"""),"Departemen Teknik Mesin Industri")</f>
        <v>Departemen Teknik Mesin Industri</v>
      </c>
      <c r="U10" s="1" t="str">
        <f ca="1">IFERROR(__xludf.DUMMYFUNCTION("""COMPUTED_VALUE"""),"Prof. Dr. Dra Fahimah Martak, M.Si")</f>
        <v>Prof. Dr. Dra Fahimah Martak, M.Si</v>
      </c>
      <c r="V10" s="1" t="str">
        <f ca="1">IFERROR(__xludf.DUMMYFUNCTION("""COMPUTED_VALUE"""),"Ulil 'Azmi, S.Si., M.Si.")</f>
        <v>Ulil 'Azmi, S.Si., M.Si.</v>
      </c>
      <c r="W10" s="1"/>
      <c r="X10" s="1" t="str">
        <f ca="1">IFERROR(__xludf.DUMMYFUNCTION("""COMPUTED_VALUE"""),"Lolos")</f>
        <v>Lolos</v>
      </c>
      <c r="Y10" s="1"/>
      <c r="Z10" s="1"/>
      <c r="AA10" s="1"/>
    </row>
    <row r="11" spans="1:27">
      <c r="A11" s="1" t="s">
        <v>10</v>
      </c>
      <c r="B11" s="1">
        <f ca="1">IFERROR(__xludf.DUMMYFUNCTION("""COMPUTED_VALUE"""),2599)</f>
        <v>2599</v>
      </c>
      <c r="C11" s="1" t="str">
        <f ca="1">IFERROR(__xludf.DUMMYFUNCTION("""COMPUTED_VALUE"""),"PKM Artikel Ilmiah")</f>
        <v>PKM Artikel Ilmiah</v>
      </c>
      <c r="D11" s="1" t="str">
        <f ca="1">IFERROR(__xludf.DUMMYFUNCTION("""COMPUTED_VALUE"""),"Desain dan Analisis Shutdown Circuit dengan Relay Sebagai Safety System pada Mobil Listrik Formula Student
")</f>
        <v xml:space="preserve">Desain dan Analisis Shutdown Circuit dengan Relay Sebagai Safety System pada Mobil Listrik Formula Student
</v>
      </c>
      <c r="E11" s="1" t="str">
        <f ca="1">IFERROR(__xludf.DUMMYFUNCTION("""COMPUTED_VALUE"""),"M. ZULFI HUDA AL-HAQ")</f>
        <v>M. ZULFI HUDA AL-HAQ</v>
      </c>
      <c r="F11" s="1" t="str">
        <f ca="1">IFERROR(__xludf.DUMMYFUNCTION("""COMPUTED_VALUE"""),"2040211031")</f>
        <v>2040211031</v>
      </c>
      <c r="G11" s="1" t="str">
        <f ca="1">IFERROR(__xludf.DUMMYFUNCTION("""COMPUTED_VALUE"""),"Departemen Teknik Elektro Otomasi")</f>
        <v>Departemen Teknik Elektro Otomasi</v>
      </c>
      <c r="H11" s="1" t="str">
        <f ca="1">IFERROR(__xludf.DUMMYFUNCTION("""COMPUTED_VALUE"""),"Alief Wikarta, ST., MSc.Eng. Ph.D")</f>
        <v>Alief Wikarta, ST., MSc.Eng. Ph.D</v>
      </c>
      <c r="I11" s="1" t="str">
        <f ca="1">IFERROR(__xludf.DUMMYFUNCTION("""COMPUTED_VALUE"""),"GILANG AJI PRATAMA")</f>
        <v>GILANG AJI PRATAMA</v>
      </c>
      <c r="J11" s="1" t="str">
        <f ca="1">IFERROR(__xludf.DUMMYFUNCTION("""COMPUTED_VALUE"""),"10311910000037")</f>
        <v>10311910000037</v>
      </c>
      <c r="K11" s="1" t="str">
        <f ca="1">IFERROR(__xludf.DUMMYFUNCTION("""COMPUTED_VALUE"""),"Departemen Teknik Elektro Otomasi")</f>
        <v>Departemen Teknik Elektro Otomasi</v>
      </c>
      <c r="L11" s="1" t="str">
        <f ca="1">IFERROR(__xludf.DUMMYFUNCTION("""COMPUTED_VALUE"""),"BAGAS ARYO DANANJOYO")</f>
        <v>BAGAS ARYO DANANJOYO</v>
      </c>
      <c r="M11" s="1" t="str">
        <f ca="1">IFERROR(__xludf.DUMMYFUNCTION("""COMPUTED_VALUE"""),"5022201148")</f>
        <v>5022201148</v>
      </c>
      <c r="N11" s="1" t="str">
        <f ca="1">IFERROR(__xludf.DUMMYFUNCTION("""COMPUTED_VALUE"""),"Departemen Teknik Elektro")</f>
        <v>Departemen Teknik Elektro</v>
      </c>
      <c r="O11" s="1" t="str">
        <f ca="1">IFERROR(__xludf.DUMMYFUNCTION("""COMPUTED_VALUE"""),"SABRINA QOLBU PRADIPTA")</f>
        <v>SABRINA QOLBU PRADIPTA</v>
      </c>
      <c r="P11" s="1" t="str">
        <f ca="1">IFERROR(__xludf.DUMMYFUNCTION("""COMPUTED_VALUE"""),"5022201058")</f>
        <v>5022201058</v>
      </c>
      <c r="Q11" s="1" t="str">
        <f ca="1">IFERROR(__xludf.DUMMYFUNCTION("""COMPUTED_VALUE"""),"Departemen Teknik Elektro")</f>
        <v>Departemen Teknik Elektro</v>
      </c>
      <c r="R11" s="1" t="str">
        <f ca="1">IFERROR(__xludf.DUMMYFUNCTION("""COMPUTED_VALUE"""),"Salwa Nisrina Aulia")</f>
        <v>Salwa Nisrina Aulia</v>
      </c>
      <c r="S11" s="1" t="str">
        <f ca="1">IFERROR(__xludf.DUMMYFUNCTION("""COMPUTED_VALUE"""),"02111940000031")</f>
        <v>02111940000031</v>
      </c>
      <c r="T11" s="1" t="str">
        <f ca="1">IFERROR(__xludf.DUMMYFUNCTION("""COMPUTED_VALUE"""),"Departemen Teknik Mesin")</f>
        <v>Departemen Teknik Mesin</v>
      </c>
      <c r="U11" s="1" t="str">
        <f ca="1">IFERROR(__xludf.DUMMYFUNCTION("""COMPUTED_VALUE"""),"Prof. Dr. Dra Fahimah Martak, M.Si")</f>
        <v>Prof. Dr. Dra Fahimah Martak, M.Si</v>
      </c>
      <c r="V11" s="1" t="str">
        <f ca="1">IFERROR(__xludf.DUMMYFUNCTION("""COMPUTED_VALUE"""),"Arif Fadlan, S.Si., M.Si., D.Sc")</f>
        <v>Arif Fadlan, S.Si., M.Si., D.Sc</v>
      </c>
      <c r="W11" s="1"/>
      <c r="X11" s="1" t="str">
        <f ca="1">IFERROR(__xludf.DUMMYFUNCTION("""COMPUTED_VALUE"""),"Lolos")</f>
        <v>Lolos</v>
      </c>
      <c r="Y11" s="1"/>
      <c r="Z11" s="1"/>
      <c r="AA11" s="1"/>
    </row>
    <row r="12" spans="1:27">
      <c r="A12" s="1" t="s">
        <v>11</v>
      </c>
      <c r="B12" s="1">
        <f ca="1">IFERROR(__xludf.DUMMYFUNCTION("""COMPUTED_VALUE"""),3820)</f>
        <v>3820</v>
      </c>
      <c r="C12" s="1" t="str">
        <f ca="1">IFERROR(__xludf.DUMMYFUNCTION("""COMPUTED_VALUE"""),"PKM Artikel Ilmiah")</f>
        <v>PKM Artikel Ilmiah</v>
      </c>
      <c r="D12" s="1" t="str">
        <f ca="1">IFERROR(__xludf.DUMMYFUNCTION("""COMPUTED_VALUE"""),"PEMODELAN HOLT-WINTER EXPONENTIAL SMOOTHING PADA PENGHITUNGAN RISIKO INVESTASI REKSADANA OBLIGASI MENGGUNAKAN EXPECTED TAIL LOSS (ETL)")</f>
        <v>PEMODELAN HOLT-WINTER EXPONENTIAL SMOOTHING PADA PENGHITUNGAN RISIKO INVESTASI REKSADANA OBLIGASI MENGGUNAKAN EXPECTED TAIL LOSS (ETL)</v>
      </c>
      <c r="E12" s="1" t="str">
        <f ca="1">IFERROR(__xludf.DUMMYFUNCTION("""COMPUTED_VALUE"""),"KARINA RAHMALIA")</f>
        <v>KARINA RAHMALIA</v>
      </c>
      <c r="F12" s="1" t="str">
        <f ca="1">IFERROR(__xludf.DUMMYFUNCTION("""COMPUTED_VALUE"""),"5006201077")</f>
        <v>5006201077</v>
      </c>
      <c r="G12" s="1" t="str">
        <f ca="1">IFERROR(__xludf.DUMMYFUNCTION("""COMPUTED_VALUE"""),"Departemen Aktuaria")</f>
        <v>Departemen Aktuaria</v>
      </c>
      <c r="H12" s="1" t="str">
        <f ca="1">IFERROR(__xludf.DUMMYFUNCTION("""COMPUTED_VALUE"""),"Dr. Drs. Soehardjoepri, M.Si.")</f>
        <v>Dr. Drs. Soehardjoepri, M.Si.</v>
      </c>
      <c r="I12" s="1" t="str">
        <f ca="1">IFERROR(__xludf.DUMMYFUNCTION("""COMPUTED_VALUE"""),"PUTRI REGINA SUHARTONO")</f>
        <v>PUTRI REGINA SUHARTONO</v>
      </c>
      <c r="J12" s="1" t="str">
        <f ca="1">IFERROR(__xludf.DUMMYFUNCTION("""COMPUTED_VALUE"""),"5006201009")</f>
        <v>5006201009</v>
      </c>
      <c r="K12" s="1" t="str">
        <f ca="1">IFERROR(__xludf.DUMMYFUNCTION("""COMPUTED_VALUE"""),"Departemen Aktuaria")</f>
        <v>Departemen Aktuaria</v>
      </c>
      <c r="L12" s="1" t="str">
        <f ca="1">IFERROR(__xludf.DUMMYFUNCTION("""COMPUTED_VALUE"""),"Ika Safitri")</f>
        <v>Ika Safitri</v>
      </c>
      <c r="M12" s="1" t="str">
        <f ca="1">IFERROR(__xludf.DUMMYFUNCTION("""COMPUTED_VALUE"""),"06311940000024")</f>
        <v>06311940000024</v>
      </c>
      <c r="N12" s="1" t="str">
        <f ca="1">IFERROR(__xludf.DUMMYFUNCTION("""COMPUTED_VALUE"""),"Departemen Aktuaria")</f>
        <v>Departemen Aktuaria</v>
      </c>
      <c r="O12" s="1"/>
      <c r="P12" s="1"/>
      <c r="Q12" s="1"/>
      <c r="R12" s="1"/>
      <c r="S12" s="1"/>
      <c r="T12" s="1"/>
      <c r="U12" s="1" t="str">
        <f ca="1">IFERROR(__xludf.DUMMYFUNCTION("""COMPUTED_VALUE"""),"Prof. Dr. Dra Fahimah Martak, M.Si")</f>
        <v>Prof. Dr. Dra Fahimah Martak, M.Si</v>
      </c>
      <c r="V12" s="1" t="str">
        <f ca="1">IFERROR(__xludf.DUMMYFUNCTION("""COMPUTED_VALUE"""),"Arif Fadlan, S.Si., M.Si., D.Sc")</f>
        <v>Arif Fadlan, S.Si., M.Si., D.Sc</v>
      </c>
      <c r="W12" s="1"/>
      <c r="X12" s="1" t="str">
        <f ca="1">IFERROR(__xludf.DUMMYFUNCTION("""COMPUTED_VALUE"""),"Lolos")</f>
        <v>Lolos</v>
      </c>
      <c r="Y12" s="1"/>
      <c r="Z12" s="1"/>
      <c r="AA12" s="1"/>
    </row>
    <row r="13" spans="1:27">
      <c r="A13" s="1" t="s">
        <v>12</v>
      </c>
      <c r="B13" s="1">
        <f ca="1">IFERROR(__xludf.DUMMYFUNCTION("""COMPUTED_VALUE"""),3132)</f>
        <v>3132</v>
      </c>
      <c r="C13" s="1" t="str">
        <f ca="1">IFERROR(__xludf.DUMMYFUNCTION("""COMPUTED_VALUE"""),"PKM Artikel Ilmiah")</f>
        <v>PKM Artikel Ilmiah</v>
      </c>
      <c r="D13" s="1" t="str">
        <f ca="1">IFERROR(__xludf.DUMMYFUNCTION("""COMPUTED_VALUE"""),"AUTOMASI HIDROPONIK INDOOR DAN OUTDOOR DENGAN SISTEM COMBINE BESERTA PENAMBAHAN PENCAHAYAAN BERBASIS INTERNET OF THINGS ")</f>
        <v xml:space="preserve">AUTOMASI HIDROPONIK INDOOR DAN OUTDOOR DENGAN SISTEM COMBINE BESERTA PENAMBAHAN PENCAHAYAAN BERBASIS INTERNET OF THINGS </v>
      </c>
      <c r="E13" s="1" t="str">
        <f ca="1">IFERROR(__xludf.DUMMYFUNCTION("""COMPUTED_VALUE"""),"MUHAMMAD NIZAAR MUSYAFFA")</f>
        <v>MUHAMMAD NIZAAR MUSYAFFA</v>
      </c>
      <c r="F13" s="1" t="str">
        <f ca="1">IFERROR(__xludf.DUMMYFUNCTION("""COMPUTED_VALUE"""),"2038201046")</f>
        <v>2038201046</v>
      </c>
      <c r="G13" s="1" t="str">
        <f ca="1">IFERROR(__xludf.DUMMYFUNCTION("""COMPUTED_VALUE"""),"Departemen Teknik Mesin Industri")</f>
        <v>Departemen Teknik Mesin Industri</v>
      </c>
      <c r="H13" s="1" t="str">
        <f ca="1">IFERROR(__xludf.DUMMYFUNCTION("""COMPUTED_VALUE"""),"Liza Rusdiyana, S.T., M.T.")</f>
        <v>Liza Rusdiyana, S.T., M.T.</v>
      </c>
      <c r="I13" s="1" t="str">
        <f ca="1">IFERROR(__xludf.DUMMYFUNCTION("""COMPUTED_VALUE"""),"MOH. RAFI BIMA ADI SAPUTRA")</f>
        <v>MOH. RAFI BIMA ADI SAPUTRA</v>
      </c>
      <c r="J13" s="1" t="str">
        <f ca="1">IFERROR(__xludf.DUMMYFUNCTION("""COMPUTED_VALUE"""),"2038201005")</f>
        <v>2038201005</v>
      </c>
      <c r="K13" s="1" t="str">
        <f ca="1">IFERROR(__xludf.DUMMYFUNCTION("""COMPUTED_VALUE"""),"Departemen Teknik Mesin Industri")</f>
        <v>Departemen Teknik Mesin Industri</v>
      </c>
      <c r="L13" s="1" t="str">
        <f ca="1">IFERROR(__xludf.DUMMYFUNCTION("""COMPUTED_VALUE"""),"RIZKY RAMADHAN ")</f>
        <v xml:space="preserve">RIZKY RAMADHAN </v>
      </c>
      <c r="M13" s="1" t="str">
        <f ca="1">IFERROR(__xludf.DUMMYFUNCTION("""COMPUTED_VALUE"""),"2038201057")</f>
        <v>2038201057</v>
      </c>
      <c r="N13" s="1" t="str">
        <f ca="1">IFERROR(__xludf.DUMMYFUNCTION("""COMPUTED_VALUE"""),"Departemen Teknik Mesin Industri")</f>
        <v>Departemen Teknik Mesin Industri</v>
      </c>
      <c r="O13" s="1"/>
      <c r="P13" s="1"/>
      <c r="Q13" s="1"/>
      <c r="R13" s="1"/>
      <c r="S13" s="1"/>
      <c r="T13" s="1"/>
      <c r="U13" s="1" t="str">
        <f ca="1">IFERROR(__xludf.DUMMYFUNCTION("""COMPUTED_VALUE"""),"Dian Mughni Fellicia, ST., M.Sc")</f>
        <v>Dian Mughni Fellicia, ST., M.Sc</v>
      </c>
      <c r="V13" s="1" t="str">
        <f ca="1">IFERROR(__xludf.DUMMYFUNCTION("""COMPUTED_VALUE"""),"Ulil 'Azmi, S.Si., M.Si.")</f>
        <v>Ulil 'Azmi, S.Si., M.Si.</v>
      </c>
      <c r="W13" s="1"/>
      <c r="X13" s="1" t="str">
        <f ca="1">IFERROR(__xludf.DUMMYFUNCTION("""COMPUTED_VALUE"""),"Lolos")</f>
        <v>Lolos</v>
      </c>
      <c r="Y13" s="1"/>
      <c r="Z13" s="1"/>
      <c r="AA13" s="1"/>
    </row>
    <row r="14" spans="1:27">
      <c r="A14" s="1" t="s">
        <v>13</v>
      </c>
      <c r="B14" s="1">
        <f ca="1">IFERROR(__xludf.DUMMYFUNCTION("""COMPUTED_VALUE"""),2033)</f>
        <v>2033</v>
      </c>
      <c r="C14" s="1" t="str">
        <f ca="1">IFERROR(__xludf.DUMMYFUNCTION("""COMPUTED_VALUE"""),"PKM Artikel Ilmiah")</f>
        <v>PKM Artikel Ilmiah</v>
      </c>
      <c r="D14" s="1" t="str">
        <f ca="1">IFERROR(__xludf.DUMMYFUNCTION("""COMPUTED_VALUE"""),"Analisis Respon Transient pada Sensor Komposit PVP/Termokromik dengan Variasi Komposisi")</f>
        <v>Analisis Respon Transient pada Sensor Komposit PVP/Termokromik dengan Variasi Komposisi</v>
      </c>
      <c r="E14" s="1" t="str">
        <f ca="1">IFERROR(__xludf.DUMMYFUNCTION("""COMPUTED_VALUE"""),"FIKRI NURHIDAYAT")</f>
        <v>FIKRI NURHIDAYAT</v>
      </c>
      <c r="F14" s="1" t="str">
        <f ca="1">IFERROR(__xludf.DUMMYFUNCTION("""COMPUTED_VALUE"""),"02311840000094")</f>
        <v>02311840000094</v>
      </c>
      <c r="G14" s="1" t="str">
        <f ca="1">IFERROR(__xludf.DUMMYFUNCTION("""COMPUTED_VALUE"""),"Departemen Teknik Fisika")</f>
        <v>Departemen Teknik Fisika</v>
      </c>
      <c r="H14" s="1" t="str">
        <f ca="1">IFERROR(__xludf.DUMMYFUNCTION("""COMPUTED_VALUE"""),"Dr.rer.nat Ruri Agung Wahyuono, S.T., M.T.")</f>
        <v>Dr.rer.nat Ruri Agung Wahyuono, S.T., M.T.</v>
      </c>
      <c r="I14" s="1" t="str">
        <f ca="1">IFERROR(__xludf.DUMMYFUNCTION("""COMPUTED_VALUE"""),"FIKRI NURHIDAYAT")</f>
        <v>FIKRI NURHIDAYAT</v>
      </c>
      <c r="J14" s="1" t="str">
        <f ca="1">IFERROR(__xludf.DUMMYFUNCTION("""COMPUTED_VALUE"""),"02311840000094")</f>
        <v>02311840000094</v>
      </c>
      <c r="K14" s="1" t="str">
        <f ca="1">IFERROR(__xludf.DUMMYFUNCTION("""COMPUTED_VALUE"""),"Departemen Teknik Fisika")</f>
        <v>Departemen Teknik Fisika</v>
      </c>
      <c r="L14" s="1" t="str">
        <f ca="1">IFERROR(__xludf.DUMMYFUNCTION("""COMPUTED_VALUE"""),"RIHIN NUR IKHWAN")</f>
        <v>RIHIN NUR IKHWAN</v>
      </c>
      <c r="M14" s="1" t="str">
        <f ca="1">IFERROR(__xludf.DUMMYFUNCTION("""COMPUTED_VALUE"""),"02311840000081")</f>
        <v>02311840000081</v>
      </c>
      <c r="N14" s="1" t="str">
        <f ca="1">IFERROR(__xludf.DUMMYFUNCTION("""COMPUTED_VALUE"""),"Departemen Teknik Fisika")</f>
        <v>Departemen Teknik Fisika</v>
      </c>
      <c r="O14" s="1" t="str">
        <f ca="1">IFERROR(__xludf.DUMMYFUNCTION("""COMPUTED_VALUE"""),"SAFRI AULIA RUSDI")</f>
        <v>SAFRI AULIA RUSDI</v>
      </c>
      <c r="P14" s="1" t="str">
        <f ca="1">IFERROR(__xludf.DUMMYFUNCTION("""COMPUTED_VALUE"""),"02311940000072")</f>
        <v>02311940000072</v>
      </c>
      <c r="Q14" s="1" t="str">
        <f ca="1">IFERROR(__xludf.DUMMYFUNCTION("""COMPUTED_VALUE"""),"Departemen Teknik Fisika")</f>
        <v>Departemen Teknik Fisika</v>
      </c>
      <c r="R14" s="1"/>
      <c r="S14" s="1"/>
      <c r="T14" s="1"/>
      <c r="U14" s="1" t="str">
        <f ca="1">IFERROR(__xludf.DUMMYFUNCTION("""COMPUTED_VALUE"""),"Prof. Dr. Dra Fahimah Martak, M.Si")</f>
        <v>Prof. Dr. Dra Fahimah Martak, M.Si</v>
      </c>
      <c r="V14" s="1" t="str">
        <f ca="1">IFERROR(__xludf.DUMMYFUNCTION("""COMPUTED_VALUE"""),"Arif Fadlan, S.Si., M.Si., D.Sc")</f>
        <v>Arif Fadlan, S.Si., M.Si., D.Sc</v>
      </c>
      <c r="W14" s="1"/>
      <c r="X14" s="1" t="str">
        <f ca="1">IFERROR(__xludf.DUMMYFUNCTION("""COMPUTED_VALUE"""),"Lolos")</f>
        <v>Lolos</v>
      </c>
      <c r="Y14" s="1"/>
      <c r="Z14" s="1"/>
      <c r="AA14" s="1"/>
    </row>
    <row r="15" spans="1:27">
      <c r="A15" s="1" t="s">
        <v>14</v>
      </c>
      <c r="B15" s="1">
        <f ca="1">IFERROR(__xludf.DUMMYFUNCTION("""COMPUTED_VALUE"""),2760)</f>
        <v>2760</v>
      </c>
      <c r="C15" s="1" t="str">
        <f ca="1">IFERROR(__xludf.DUMMYFUNCTION("""COMPUTED_VALUE"""),"PKM Artikel Ilmiah")</f>
        <v>PKM Artikel Ilmiah</v>
      </c>
      <c r="D15" s="1" t="str">
        <f ca="1">IFERROR(__xludf.DUMMYFUNCTION("""COMPUTED_VALUE"""),"DESAIN, SIMULASI, DAN TESTING IMPACT ATTENUATOR FORMULA STUDENT ANARGYA MARK 2.0 DENGAN MATERIAL KOMPOSIT SANDWICH ALUMINIUM HONEYCOMB DAN FIBERGLASS")</f>
        <v>DESAIN, SIMULASI, DAN TESTING IMPACT ATTENUATOR FORMULA STUDENT ANARGYA MARK 2.0 DENGAN MATERIAL KOMPOSIT SANDWICH ALUMINIUM HONEYCOMB DAN FIBERGLASS</v>
      </c>
      <c r="E15" s="1" t="str">
        <f ca="1">IFERROR(__xludf.DUMMYFUNCTION("""COMPUTED_VALUE"""),"RAFIF HERDIAN NOOR")</f>
        <v>RAFIF HERDIAN NOOR</v>
      </c>
      <c r="F15" s="1" t="str">
        <f ca="1">IFERROR(__xludf.DUMMYFUNCTION("""COMPUTED_VALUE"""),"2038201043")</f>
        <v>2038201043</v>
      </c>
      <c r="G15" s="1" t="str">
        <f ca="1">IFERROR(__xludf.DUMMYFUNCTION("""COMPUTED_VALUE"""),"Departemen Teknik Mesin Industri")</f>
        <v>Departemen Teknik Mesin Industri</v>
      </c>
      <c r="H15" s="1" t="str">
        <f ca="1">IFERROR(__xludf.DUMMYFUNCTION("""COMPUTED_VALUE"""),"Alief Wikarta, ST., MSc.Eng. Ph.D")</f>
        <v>Alief Wikarta, ST., MSc.Eng. Ph.D</v>
      </c>
      <c r="I15" s="1" t="str">
        <f ca="1">IFERROR(__xludf.DUMMYFUNCTION("""COMPUTED_VALUE"""),"MUHAMMAD NIZAAR MUSYAFFA")</f>
        <v>MUHAMMAD NIZAAR MUSYAFFA</v>
      </c>
      <c r="J15" s="1" t="str">
        <f ca="1">IFERROR(__xludf.DUMMYFUNCTION("""COMPUTED_VALUE"""),"2038201046")</f>
        <v>2038201046</v>
      </c>
      <c r="K15" s="1" t="str">
        <f ca="1">IFERROR(__xludf.DUMMYFUNCTION("""COMPUTED_VALUE"""),"Departemen Teknik Mesin Industri")</f>
        <v>Departemen Teknik Mesin Industri</v>
      </c>
      <c r="L15" s="1" t="str">
        <f ca="1">IFERROR(__xludf.DUMMYFUNCTION("""COMPUTED_VALUE"""),"ALWA JAMAL ADZANY")</f>
        <v>ALWA JAMAL ADZANY</v>
      </c>
      <c r="M15" s="1" t="str">
        <f ca="1">IFERROR(__xludf.DUMMYFUNCTION("""COMPUTED_VALUE"""),"2039201077")</f>
        <v>2039201077</v>
      </c>
      <c r="N15" s="1" t="str">
        <f ca="1">IFERROR(__xludf.DUMMYFUNCTION("""COMPUTED_VALUE"""),"Departemen Teknik Mesin Industri")</f>
        <v>Departemen Teknik Mesin Industri</v>
      </c>
      <c r="O15" s="1" t="str">
        <f ca="1">IFERROR(__xludf.DUMMYFUNCTION("""COMPUTED_VALUE"""),"SITI AMINATUL MUAWANAH")</f>
        <v>SITI AMINATUL MUAWANAH</v>
      </c>
      <c r="P15" s="1" t="str">
        <f ca="1">IFERROR(__xludf.DUMMYFUNCTION("""COMPUTED_VALUE"""),"2038201020")</f>
        <v>2038201020</v>
      </c>
      <c r="Q15" s="1" t="str">
        <f ca="1">IFERROR(__xludf.DUMMYFUNCTION("""COMPUTED_VALUE"""),"Departemen Teknik Mesin Industri")</f>
        <v>Departemen Teknik Mesin Industri</v>
      </c>
      <c r="R15" s="1"/>
      <c r="S15" s="1"/>
      <c r="T15" s="1"/>
      <c r="U15" s="1" t="str">
        <f ca="1">IFERROR(__xludf.DUMMYFUNCTION("""COMPUTED_VALUE"""),"Dr.-Ing. Doty Dewi Risanti, S.T., M.T.")</f>
        <v>Dr.-Ing. Doty Dewi Risanti, S.T., M.T.</v>
      </c>
      <c r="V15" s="1" t="str">
        <f ca="1">IFERROR(__xludf.DUMMYFUNCTION("""COMPUTED_VALUE"""),"Hariyati Purwaningsih, S.Si., M.Si.")</f>
        <v>Hariyati Purwaningsih, S.Si., M.Si.</v>
      </c>
      <c r="W15" s="1"/>
      <c r="X15" s="1" t="str">
        <f ca="1">IFERROR(__xludf.DUMMYFUNCTION("""COMPUTED_VALUE"""),"Lolos")</f>
        <v>Lolos</v>
      </c>
      <c r="Y15" s="1"/>
      <c r="Z15" s="1"/>
      <c r="AA15" s="1"/>
    </row>
    <row r="16" spans="1:27">
      <c r="A16" s="1" t="s">
        <v>15</v>
      </c>
      <c r="B16" s="1">
        <f ca="1">IFERROR(__xludf.DUMMYFUNCTION("""COMPUTED_VALUE"""),3808)</f>
        <v>3808</v>
      </c>
      <c r="C16" s="1" t="str">
        <f ca="1">IFERROR(__xludf.DUMMYFUNCTION("""COMPUTED_VALUE"""),"PKM Artikel Ilmiah")</f>
        <v>PKM Artikel Ilmiah</v>
      </c>
      <c r="D16" s="1" t="str">
        <f ca="1">IFERROR(__xludf.DUMMYFUNCTION("""COMPUTED_VALUE"""),"ANALISIS CLUSTER UNTUK PENGELOMPOKAN NILAI BAHASA PORTUGIS SISWA DI PENDIDIKAN MENENGAH SEKOLAH PORTUGIS (MOUSINHO DA SILVEIRA)")</f>
        <v>ANALISIS CLUSTER UNTUK PENGELOMPOKAN NILAI BAHASA PORTUGIS SISWA DI PENDIDIKAN MENENGAH SEKOLAH PORTUGIS (MOUSINHO DA SILVEIRA)</v>
      </c>
      <c r="E16" s="1" t="str">
        <f ca="1">IFERROR(__xludf.DUMMYFUNCTION("""COMPUTED_VALUE"""),"ANNISA RIZQY AMALIA")</f>
        <v>ANNISA RIZQY AMALIA</v>
      </c>
      <c r="F16" s="1" t="str">
        <f ca="1">IFERROR(__xludf.DUMMYFUNCTION("""COMPUTED_VALUE"""),"5006201002")</f>
        <v>5006201002</v>
      </c>
      <c r="G16" s="1" t="str">
        <f ca="1">IFERROR(__xludf.DUMMYFUNCTION("""COMPUTED_VALUE"""),"Departemen Aktuaria")</f>
        <v>Departemen Aktuaria</v>
      </c>
      <c r="H16" s="1" t="str">
        <f ca="1">IFERROR(__xludf.DUMMYFUNCTION("""COMPUTED_VALUE"""),"Dr. Drs. Soehardjoepri, M.Si.")</f>
        <v>Dr. Drs. Soehardjoepri, M.Si.</v>
      </c>
      <c r="I16" s="1" t="str">
        <f ca="1">IFERROR(__xludf.DUMMYFUNCTION("""COMPUTED_VALUE"""),"KARINA RAHMALIA")</f>
        <v>KARINA RAHMALIA</v>
      </c>
      <c r="J16" s="1" t="str">
        <f ca="1">IFERROR(__xludf.DUMMYFUNCTION("""COMPUTED_VALUE"""),"5006201077")</f>
        <v>5006201077</v>
      </c>
      <c r="K16" s="1" t="str">
        <f ca="1">IFERROR(__xludf.DUMMYFUNCTION("""COMPUTED_VALUE"""),"Departemen Aktuaria")</f>
        <v>Departemen Aktuaria</v>
      </c>
      <c r="L16" s="1" t="str">
        <f ca="1">IFERROR(__xludf.DUMMYFUNCTION("""COMPUTED_VALUE"""),"Ika Safitri")</f>
        <v>Ika Safitri</v>
      </c>
      <c r="M16" s="1" t="str">
        <f ca="1">IFERROR(__xludf.DUMMYFUNCTION("""COMPUTED_VALUE"""),"06311940000024")</f>
        <v>06311940000024</v>
      </c>
      <c r="N16" s="1" t="str">
        <f ca="1">IFERROR(__xludf.DUMMYFUNCTION("""COMPUTED_VALUE"""),"Departemen Aktuaria")</f>
        <v>Departemen Aktuaria</v>
      </c>
      <c r="O16" s="1"/>
      <c r="P16" s="1"/>
      <c r="Q16" s="1"/>
      <c r="R16" s="1"/>
      <c r="S16" s="1"/>
      <c r="T16" s="1"/>
      <c r="U16" s="1" t="str">
        <f ca="1">IFERROR(__xludf.DUMMYFUNCTION("""COMPUTED_VALUE"""),"Prof. Dr. Dra Fahimah Martak, M.Si")</f>
        <v>Prof. Dr. Dra Fahimah Martak, M.Si</v>
      </c>
      <c r="V16" s="1" t="str">
        <f ca="1">IFERROR(__xludf.DUMMYFUNCTION("""COMPUTED_VALUE"""),"Arif Fadlan, S.Si., M.Si., D.Sc")</f>
        <v>Arif Fadlan, S.Si., M.Si., D.Sc</v>
      </c>
      <c r="W16" s="1"/>
      <c r="X16" s="1" t="str">
        <f ca="1">IFERROR(__xludf.DUMMYFUNCTION("""COMPUTED_VALUE"""),"Lolos")</f>
        <v>Lolos</v>
      </c>
      <c r="Y16" s="1"/>
      <c r="Z16" s="1"/>
      <c r="AA16" s="1"/>
    </row>
    <row r="17" spans="1:27">
      <c r="A17" s="1" t="s">
        <v>16</v>
      </c>
      <c r="B17" s="1">
        <f ca="1">IFERROR(__xludf.DUMMYFUNCTION("""COMPUTED_VALUE"""),2441)</f>
        <v>2441</v>
      </c>
      <c r="C17" s="1" t="str">
        <f ca="1">IFERROR(__xludf.DUMMYFUNCTION("""COMPUTED_VALUE"""),"PKM Artikel Ilmiah")</f>
        <v>PKM Artikel Ilmiah</v>
      </c>
      <c r="D17" s="1" t="str">
        <f ca="1">IFERROR(__xludf.DUMMYFUNCTION("""COMPUTED_VALUE"""),"Analisis Pengaruh Limbah Botol Plastik Terhadap Metode Pembayaran Bus Kota Surabaya")</f>
        <v>Analisis Pengaruh Limbah Botol Plastik Terhadap Metode Pembayaran Bus Kota Surabaya</v>
      </c>
      <c r="E17" s="1" t="str">
        <f ca="1">IFERROR(__xludf.DUMMYFUNCTION("""COMPUTED_VALUE"""),"Clarissa Rexana P.")</f>
        <v>Clarissa Rexana P.</v>
      </c>
      <c r="F17" s="1" t="str">
        <f ca="1">IFERROR(__xludf.DUMMYFUNCTION("""COMPUTED_VALUE"""),"5003211005")</f>
        <v>5003211005</v>
      </c>
      <c r="G17" s="1" t="str">
        <f ca="1">IFERROR(__xludf.DUMMYFUNCTION("""COMPUTED_VALUE"""),"Departemen Statistika")</f>
        <v>Departemen Statistika</v>
      </c>
      <c r="H17" s="1" t="str">
        <f ca="1">IFERROR(__xludf.DUMMYFUNCTION("""COMPUTED_VALUE"""),"Dr. Sutikno, S.Si., M.Si.")</f>
        <v>Dr. Sutikno, S.Si., M.Si.</v>
      </c>
      <c r="I17" s="1" t="str">
        <f ca="1">IFERROR(__xludf.DUMMYFUNCTION("""COMPUTED_VALUE"""),"Elizabeth Sianturi ")</f>
        <v xml:space="preserve">Elizabeth Sianturi </v>
      </c>
      <c r="J17" s="1" t="str">
        <f ca="1">IFERROR(__xludf.DUMMYFUNCTION("""COMPUTED_VALUE"""),"5003211119")</f>
        <v>5003211119</v>
      </c>
      <c r="K17" s="1" t="str">
        <f ca="1">IFERROR(__xludf.DUMMYFUNCTION("""COMPUTED_VALUE"""),"Departemen Statistika")</f>
        <v>Departemen Statistika</v>
      </c>
      <c r="L17" s="1" t="str">
        <f ca="1">IFERROR(__xludf.DUMMYFUNCTION("""COMPUTED_VALUE"""),"Safandra Alifia P.")</f>
        <v>Safandra Alifia P.</v>
      </c>
      <c r="M17" s="1" t="str">
        <f ca="1">IFERROR(__xludf.DUMMYFUNCTION("""COMPUTED_VALUE"""),"5003211156")</f>
        <v>5003211156</v>
      </c>
      <c r="N17" s="1" t="str">
        <f ca="1">IFERROR(__xludf.DUMMYFUNCTION("""COMPUTED_VALUE"""),"Departemen Statistika")</f>
        <v>Departemen Statistika</v>
      </c>
      <c r="O17" s="1" t="str">
        <f ca="1">IFERROR(__xludf.DUMMYFUNCTION("""COMPUTED_VALUE"""),"Ferica Sunan Sari")</f>
        <v>Ferica Sunan Sari</v>
      </c>
      <c r="P17" s="1" t="str">
        <f ca="1">IFERROR(__xludf.DUMMYFUNCTION("""COMPUTED_VALUE"""),"5003211109")</f>
        <v>5003211109</v>
      </c>
      <c r="Q17" s="1" t="str">
        <f ca="1">IFERROR(__xludf.DUMMYFUNCTION("""COMPUTED_VALUE"""),"Departemen Statistika")</f>
        <v>Departemen Statistika</v>
      </c>
      <c r="R17" s="1" t="str">
        <f ca="1">IFERROR(__xludf.DUMMYFUNCTION("""COMPUTED_VALUE"""),"SYAHDIFA A.Q.A.")</f>
        <v>SYAHDIFA A.Q.A.</v>
      </c>
      <c r="S17" s="1" t="str">
        <f ca="1">IFERROR(__xludf.DUMMYFUNCTION("""COMPUTED_VALUE"""),"5023211032")</f>
        <v>5023211032</v>
      </c>
      <c r="T17" s="1" t="str">
        <f ca="1">IFERROR(__xludf.DUMMYFUNCTION("""COMPUTED_VALUE"""),"Departemen Teknik Biomedik")</f>
        <v>Departemen Teknik Biomedik</v>
      </c>
      <c r="U17" s="1" t="str">
        <f ca="1">IFERROR(__xludf.DUMMYFUNCTION("""COMPUTED_VALUE"""),"Prof. Dr. Dra Fahimah Martak, M.Si")</f>
        <v>Prof. Dr. Dra Fahimah Martak, M.Si</v>
      </c>
      <c r="V17" s="1" t="str">
        <f ca="1">IFERROR(__xludf.DUMMYFUNCTION("""COMPUTED_VALUE"""),"Ulil 'Azmi, S.Si., M.Si.")</f>
        <v>Ulil 'Azmi, S.Si., M.Si.</v>
      </c>
      <c r="W17" s="1"/>
      <c r="X17" s="1" t="str">
        <f ca="1">IFERROR(__xludf.DUMMYFUNCTION("""COMPUTED_VALUE"""),"Lolos")</f>
        <v>Lolos</v>
      </c>
      <c r="Y17" s="1"/>
      <c r="Z17" s="1"/>
      <c r="AA17" s="1"/>
    </row>
    <row r="18" spans="1:27">
      <c r="A18" s="1" t="s">
        <v>17</v>
      </c>
      <c r="B18" s="1">
        <f ca="1">IFERROR(__xludf.DUMMYFUNCTION("""COMPUTED_VALUE"""),2248)</f>
        <v>2248</v>
      </c>
      <c r="C18" s="1" t="str">
        <f ca="1">IFERROR(__xludf.DUMMYFUNCTION("""COMPUTED_VALUE"""),"PKM Artikel Ilmiah")</f>
        <v>PKM Artikel Ilmiah</v>
      </c>
      <c r="D18" s="1" t="str">
        <f ca="1">IFERROR(__xludf.DUMMYFUNCTION("""COMPUTED_VALUE"""),"Inovasi Pembuatan Membran Titanium Dioxide (TiO2) Dengan Penambahan Zeolit Sebagai Upaya Pengoptimalan Gas CO2 Dari Steam Reforming")</f>
        <v>Inovasi Pembuatan Membran Titanium Dioxide (TiO2) Dengan Penambahan Zeolit Sebagai Upaya Pengoptimalan Gas CO2 Dari Steam Reforming</v>
      </c>
      <c r="E18" s="1" t="str">
        <f ca="1">IFERROR(__xludf.DUMMYFUNCTION("""COMPUTED_VALUE"""),"M ALDI NUGROHO")</f>
        <v>M ALDI NUGROHO</v>
      </c>
      <c r="F18" s="1" t="str">
        <f ca="1">IFERROR(__xludf.DUMMYFUNCTION("""COMPUTED_VALUE"""),"2041201080")</f>
        <v>2041201080</v>
      </c>
      <c r="G18" s="1" t="str">
        <f ca="1">IFERROR(__xludf.DUMMYFUNCTION("""COMPUTED_VALUE"""),"Departemen Teknik Kimia Industri")</f>
        <v>Departemen Teknik Kimia Industri</v>
      </c>
      <c r="H18" s="1" t="str">
        <f ca="1">IFERROR(__xludf.DUMMYFUNCTION("""COMPUTED_VALUE"""),"Dr. Afan Hamzah, S.T.")</f>
        <v>Dr. Afan Hamzah, S.T.</v>
      </c>
      <c r="I18" s="1" t="str">
        <f ca="1">IFERROR(__xludf.DUMMYFUNCTION("""COMPUTED_VALUE"""),"YOGA BEKTI SUSANTO")</f>
        <v>YOGA BEKTI SUSANTO</v>
      </c>
      <c r="J18" s="1" t="str">
        <f ca="1">IFERROR(__xludf.DUMMYFUNCTION("""COMPUTED_VALUE"""),"2041201086")</f>
        <v>2041201086</v>
      </c>
      <c r="K18" s="1" t="str">
        <f ca="1">IFERROR(__xludf.DUMMYFUNCTION("""COMPUTED_VALUE"""),"Departemen Teknik Kimia Industri")</f>
        <v>Departemen Teknik Kimia Industri</v>
      </c>
      <c r="L18" s="1" t="str">
        <f ca="1">IFERROR(__xludf.DUMMYFUNCTION("""COMPUTED_VALUE"""),"MAHARANI SUGITO ROSANTI ")</f>
        <v xml:space="preserve">MAHARANI SUGITO ROSANTI </v>
      </c>
      <c r="M18" s="1" t="str">
        <f ca="1">IFERROR(__xludf.DUMMYFUNCTION("""COMPUTED_VALUE"""),"2041201087")</f>
        <v>2041201087</v>
      </c>
      <c r="N18" s="1" t="str">
        <f ca="1">IFERROR(__xludf.DUMMYFUNCTION("""COMPUTED_VALUE"""),"Departemen Teknik Kimia Industri")</f>
        <v>Departemen Teknik Kimia Industri</v>
      </c>
      <c r="O18" s="1" t="str">
        <f ca="1">IFERROR(__xludf.DUMMYFUNCTION("""COMPUTED_VALUE"""),"TOBING GUMELAR")</f>
        <v>TOBING GUMELAR</v>
      </c>
      <c r="P18" s="1" t="str">
        <f ca="1">IFERROR(__xludf.DUMMYFUNCTION("""COMPUTED_VALUE"""),"2041201093")</f>
        <v>2041201093</v>
      </c>
      <c r="Q18" s="1" t="str">
        <f ca="1">IFERROR(__xludf.DUMMYFUNCTION("""COMPUTED_VALUE"""),"Departemen Teknik Kimia Industri")</f>
        <v>Departemen Teknik Kimia Industri</v>
      </c>
      <c r="R18" s="1"/>
      <c r="S18" s="1"/>
      <c r="T18" s="1"/>
      <c r="U18" s="1" t="str">
        <f ca="1">IFERROR(__xludf.DUMMYFUNCTION("""COMPUTED_VALUE"""),"Prof. Dr. Dra Fahimah Martak, M.Si")</f>
        <v>Prof. Dr. Dra Fahimah Martak, M.Si</v>
      </c>
      <c r="V18" s="1" t="str">
        <f ca="1">IFERROR(__xludf.DUMMYFUNCTION("""COMPUTED_VALUE"""),"Ulil 'Azmi, S.Si., M.Si.")</f>
        <v>Ulil 'Azmi, S.Si., M.Si.</v>
      </c>
      <c r="W18" s="1"/>
      <c r="X18" s="1" t="str">
        <f ca="1">IFERROR(__xludf.DUMMYFUNCTION("""COMPUTED_VALUE"""),"Lolos")</f>
        <v>Lolos</v>
      </c>
      <c r="Y18" s="1"/>
      <c r="Z18" s="1"/>
      <c r="AA18" s="1"/>
    </row>
    <row r="19" spans="1:27">
      <c r="A19" s="1" t="s">
        <v>18</v>
      </c>
      <c r="B19" s="1">
        <f ca="1">IFERROR(__xludf.DUMMYFUNCTION("""COMPUTED_VALUE"""),2411)</f>
        <v>2411</v>
      </c>
      <c r="C19" s="1" t="str">
        <f ca="1">IFERROR(__xludf.DUMMYFUNCTION("""COMPUTED_VALUE"""),"PKM Artikel Ilmiah")</f>
        <v>PKM Artikel Ilmiah</v>
      </c>
      <c r="D19" s="1" t="str">
        <f ca="1">IFERROR(__xludf.DUMMYFUNCTION("""COMPUTED_VALUE"""),"Analisis Karakteristik Statik Pengukuran Kolesterol pada Kertas Mikrofluida Multikanal dengan Teknik Kolorimetri")</f>
        <v>Analisis Karakteristik Statik Pengukuran Kolesterol pada Kertas Mikrofluida Multikanal dengan Teknik Kolorimetri</v>
      </c>
      <c r="E19" s="1" t="str">
        <f ca="1">IFERROR(__xludf.DUMMYFUNCTION("""COMPUTED_VALUE"""),"IGNACIUS GILBERT CHANO")</f>
        <v>IGNACIUS GILBERT CHANO</v>
      </c>
      <c r="F19" s="1" t="str">
        <f ca="1">IFERROR(__xludf.DUMMYFUNCTION("""COMPUTED_VALUE"""),"02311840000051")</f>
        <v>02311840000051</v>
      </c>
      <c r="G19" s="1" t="str">
        <f ca="1">IFERROR(__xludf.DUMMYFUNCTION("""COMPUTED_VALUE"""),"Departemen Teknik Fisika")</f>
        <v>Departemen Teknik Fisika</v>
      </c>
      <c r="H19" s="1" t="str">
        <f ca="1">IFERROR(__xludf.DUMMYFUNCTION("""COMPUTED_VALUE"""),"Dr.rer.nat Ruri Agung Wahyuono, S.T., M.T.")</f>
        <v>Dr.rer.nat Ruri Agung Wahyuono, S.T., M.T.</v>
      </c>
      <c r="I19" s="1" t="str">
        <f ca="1">IFERROR(__xludf.DUMMYFUNCTION("""COMPUTED_VALUE"""),"JOVIN")</f>
        <v>JOVIN</v>
      </c>
      <c r="J19" s="1" t="str">
        <f ca="1">IFERROR(__xludf.DUMMYFUNCTION("""COMPUTED_VALUE"""),"02311840000091")</f>
        <v>02311840000091</v>
      </c>
      <c r="K19" s="1" t="str">
        <f ca="1">IFERROR(__xludf.DUMMYFUNCTION("""COMPUTED_VALUE"""),"Departemen Teknik Fisika")</f>
        <v>Departemen Teknik Fisika</v>
      </c>
      <c r="L19" s="1" t="str">
        <f ca="1">IFERROR(__xludf.DUMMYFUNCTION("""COMPUTED_VALUE"""),"ERVINA NUR AZIZAH")</f>
        <v>ERVINA NUR AZIZAH</v>
      </c>
      <c r="M19" s="1" t="str">
        <f ca="1">IFERROR(__xludf.DUMMYFUNCTION("""COMPUTED_VALUE"""),"02311942000004")</f>
        <v>02311942000004</v>
      </c>
      <c r="N19" s="1" t="str">
        <f ca="1">IFERROR(__xludf.DUMMYFUNCTION("""COMPUTED_VALUE"""),"Departemen Teknik Fisika")</f>
        <v>Departemen Teknik Fisika</v>
      </c>
      <c r="O19" s="1"/>
      <c r="P19" s="1"/>
      <c r="Q19" s="1"/>
      <c r="R19" s="1"/>
      <c r="S19" s="1"/>
      <c r="T19" s="1"/>
      <c r="U19" s="1" t="str">
        <f ca="1">IFERROR(__xludf.DUMMYFUNCTION("""COMPUTED_VALUE"""),"Dr.-Ing. Doty Dewi Risanti, S.T., M.T.")</f>
        <v>Dr.-Ing. Doty Dewi Risanti, S.T., M.T.</v>
      </c>
      <c r="V19" s="1" t="str">
        <f ca="1">IFERROR(__xludf.DUMMYFUNCTION("""COMPUTED_VALUE"""),"Hariyati Purwaningsih, S.Si., M.Si.")</f>
        <v>Hariyati Purwaningsih, S.Si., M.Si.</v>
      </c>
      <c r="W19" s="1"/>
      <c r="X19" s="1" t="str">
        <f ca="1">IFERROR(__xludf.DUMMYFUNCTION("""COMPUTED_VALUE"""),"Lolos")</f>
        <v>Lolos</v>
      </c>
      <c r="Y19" s="1"/>
      <c r="Z19" s="1"/>
      <c r="AA19" s="1"/>
    </row>
    <row r="20" spans="1:27">
      <c r="A20" s="1" t="s">
        <v>19</v>
      </c>
      <c r="B20" s="1">
        <f ca="1">IFERROR(__xludf.DUMMYFUNCTION("""COMPUTED_VALUE"""),3764)</f>
        <v>3764</v>
      </c>
      <c r="C20" s="1" t="str">
        <f ca="1">IFERROR(__xludf.DUMMYFUNCTION("""COMPUTED_VALUE"""),"PKM Artikel Ilmiah")</f>
        <v>PKM Artikel Ilmiah</v>
      </c>
      <c r="D20" s="1" t="str">
        <f ca="1">IFERROR(__xludf.DUMMYFUNCTION("""COMPUTED_VALUE"""),"ANALISIS RISIKO INVESTASI SAHAM PERBANKAN MENGGUNAKAN VALUE AT RISK (VAR) DENGAN ESTIMASI BERBASIS HOLT-WINTER")</f>
        <v>ANALISIS RISIKO INVESTASI SAHAM PERBANKAN MENGGUNAKAN VALUE AT RISK (VAR) DENGAN ESTIMASI BERBASIS HOLT-WINTER</v>
      </c>
      <c r="E20" s="1" t="str">
        <f ca="1">IFERROR(__xludf.DUMMYFUNCTION("""COMPUTED_VALUE"""),"Ika Safitri")</f>
        <v>Ika Safitri</v>
      </c>
      <c r="F20" s="1" t="str">
        <f ca="1">IFERROR(__xludf.DUMMYFUNCTION("""COMPUTED_VALUE"""),"06311940000024")</f>
        <v>06311940000024</v>
      </c>
      <c r="G20" s="1" t="str">
        <f ca="1">IFERROR(__xludf.DUMMYFUNCTION("""COMPUTED_VALUE"""),"Departemen Aktuaria")</f>
        <v>Departemen Aktuaria</v>
      </c>
      <c r="H20" s="1" t="str">
        <f ca="1">IFERROR(__xludf.DUMMYFUNCTION("""COMPUTED_VALUE"""),"Ulil 'Azmi, S.Si., M.Si.")</f>
        <v>Ulil 'Azmi, S.Si., M.Si.</v>
      </c>
      <c r="I20" s="1" t="str">
        <f ca="1">IFERROR(__xludf.DUMMYFUNCTION("""COMPUTED_VALUE"""),"KARINA RAHMALIA")</f>
        <v>KARINA RAHMALIA</v>
      </c>
      <c r="J20" s="1" t="str">
        <f ca="1">IFERROR(__xludf.DUMMYFUNCTION("""COMPUTED_VALUE"""),"5006201077")</f>
        <v>5006201077</v>
      </c>
      <c r="K20" s="1" t="str">
        <f ca="1">IFERROR(__xludf.DUMMYFUNCTION("""COMPUTED_VALUE"""),"Departemen Aktuaria")</f>
        <v>Departemen Aktuaria</v>
      </c>
      <c r="L20" s="1" t="str">
        <f ca="1">IFERROR(__xludf.DUMMYFUNCTION("""COMPUTED_VALUE"""),"PUTRI REGINA SUHARTONO")</f>
        <v>PUTRI REGINA SUHARTONO</v>
      </c>
      <c r="M20" s="1" t="str">
        <f ca="1">IFERROR(__xludf.DUMMYFUNCTION("""COMPUTED_VALUE"""),"5006201009")</f>
        <v>5006201009</v>
      </c>
      <c r="N20" s="1" t="str">
        <f ca="1">IFERROR(__xludf.DUMMYFUNCTION("""COMPUTED_VALUE"""),"Departemen Aktuaria")</f>
        <v>Departemen Aktuaria</v>
      </c>
      <c r="O20" s="1"/>
      <c r="P20" s="1"/>
      <c r="Q20" s="1"/>
      <c r="R20" s="1"/>
      <c r="S20" s="1"/>
      <c r="T20" s="1"/>
      <c r="U20" s="1" t="str">
        <f ca="1">IFERROR(__xludf.DUMMYFUNCTION("""COMPUTED_VALUE"""),"Dr.-Ing. Doty Dewi Risanti, S.T., M.T.")</f>
        <v>Dr.-Ing. Doty Dewi Risanti, S.T., M.T.</v>
      </c>
      <c r="V20" s="1" t="str">
        <f ca="1">IFERROR(__xludf.DUMMYFUNCTION("""COMPUTED_VALUE"""),"Hariyati Purwaningsih, S.Si., M.Si.")</f>
        <v>Hariyati Purwaningsih, S.Si., M.Si.</v>
      </c>
      <c r="W20" s="1"/>
      <c r="X20" s="1" t="str">
        <f ca="1">IFERROR(__xludf.DUMMYFUNCTION("""COMPUTED_VALUE"""),"Lolos")</f>
        <v>Lolos</v>
      </c>
      <c r="Y20" s="1"/>
      <c r="Z20" s="1"/>
      <c r="AA20" s="1"/>
    </row>
    <row r="21" spans="1:27">
      <c r="A21" s="1" t="s">
        <v>20</v>
      </c>
      <c r="B21" s="1">
        <f ca="1">IFERROR(__xludf.DUMMYFUNCTION("""COMPUTED_VALUE"""),3963)</f>
        <v>3963</v>
      </c>
      <c r="C21" s="1" t="str">
        <f ca="1">IFERROR(__xludf.DUMMYFUNCTION("""COMPUTED_VALUE"""),"PKM Artikel Ilmiah")</f>
        <v>PKM Artikel Ilmiah</v>
      </c>
      <c r="D21" s="1" t="str">
        <f ca="1">IFERROR(__xludf.DUMMYFUNCTION("""COMPUTED_VALUE"""),"Keberlanjutan Penerapan Sistem Terintegrasi Berbasis Website dan Edukasi Donor Plasma Konvalesen oleh Komunitas Plasmahero.id")</f>
        <v>Keberlanjutan Penerapan Sistem Terintegrasi Berbasis Website dan Edukasi Donor Plasma Konvalesen oleh Komunitas Plasmahero.id</v>
      </c>
      <c r="E21" s="1" t="str">
        <f ca="1">IFERROR(__xludf.DUMMYFUNCTION("""COMPUTED_VALUE"""),"KENYAVI SYAHDHANI RASYID")</f>
        <v>KENYAVI SYAHDHANI RASYID</v>
      </c>
      <c r="F21" s="1" t="str">
        <f ca="1">IFERROR(__xludf.DUMMYFUNCTION("""COMPUTED_VALUE"""),"01311940000059")</f>
        <v>01311940000059</v>
      </c>
      <c r="G21" s="1" t="str">
        <f ca="1">IFERROR(__xludf.DUMMYFUNCTION("""COMPUTED_VALUE"""),"Departemen Biologi")</f>
        <v>Departemen Biologi</v>
      </c>
      <c r="H21" s="1" t="str">
        <f ca="1">IFERROR(__xludf.DUMMYFUNCTION("""COMPUTED_VALUE"""),"Gita Widi Bhawika, S.ST., M.MT")</f>
        <v>Gita Widi Bhawika, S.ST., M.MT</v>
      </c>
      <c r="I21" s="1" t="str">
        <f ca="1">IFERROR(__xludf.DUMMYFUNCTION("""COMPUTED_VALUE"""),"Shelly Damayanti")</f>
        <v>Shelly Damayanti</v>
      </c>
      <c r="J21" s="1" t="str">
        <f ca="1">IFERROR(__xludf.DUMMYFUNCTION("""COMPUTED_VALUE"""),"01311940000002")</f>
        <v>01311940000002</v>
      </c>
      <c r="K21" s="1" t="str">
        <f ca="1">IFERROR(__xludf.DUMMYFUNCTION("""COMPUTED_VALUE"""),"Departemen Biologi")</f>
        <v>Departemen Biologi</v>
      </c>
      <c r="L21" s="1" t="str">
        <f ca="1">IFERROR(__xludf.DUMMYFUNCTION("""COMPUTED_VALUE"""),"GALIH WIDYANTORO")</f>
        <v>GALIH WIDYANTORO</v>
      </c>
      <c r="M21" s="1" t="str">
        <f ca="1">IFERROR(__xludf.DUMMYFUNCTION("""COMPUTED_VALUE"""),"10311910000052")</f>
        <v>10311910000052</v>
      </c>
      <c r="N21" s="1" t="str">
        <f ca="1">IFERROR(__xludf.DUMMYFUNCTION("""COMPUTED_VALUE"""),"Departemen Teknik Elektro Otomasi")</f>
        <v>Departemen Teknik Elektro Otomasi</v>
      </c>
      <c r="O21" s="1" t="str">
        <f ca="1">IFERROR(__xludf.DUMMYFUNCTION("""COMPUTED_VALUE"""),"YULFI ARISTA")</f>
        <v>YULFI ARISTA</v>
      </c>
      <c r="P21" s="1" t="str">
        <f ca="1">IFERROR(__xludf.DUMMYFUNCTION("""COMPUTED_VALUE"""),"10311910000056")</f>
        <v>10311910000056</v>
      </c>
      <c r="Q21" s="1" t="str">
        <f ca="1">IFERROR(__xludf.DUMMYFUNCTION("""COMPUTED_VALUE"""),"Departemen Teknik Elektro Otomasi")</f>
        <v>Departemen Teknik Elektro Otomasi</v>
      </c>
      <c r="R21" s="1" t="str">
        <f ca="1">IFERROR(__xludf.DUMMYFUNCTION("""COMPUTED_VALUE"""),"IWAN DWI PRAKOSO")</f>
        <v>IWAN DWI PRAKOSO</v>
      </c>
      <c r="S21" s="1" t="str">
        <f ca="1">IFERROR(__xludf.DUMMYFUNCTION("""COMPUTED_VALUE"""),"05111940000229")</f>
        <v>05111940000229</v>
      </c>
      <c r="T21" s="1" t="str">
        <f ca="1">IFERROR(__xludf.DUMMYFUNCTION("""COMPUTED_VALUE"""),"Departemen Teknik Informatika")</f>
        <v>Departemen Teknik Informatika</v>
      </c>
      <c r="U21" s="1" t="str">
        <f ca="1">IFERROR(__xludf.DUMMYFUNCTION("""COMPUTED_VALUE"""),"Dian Mughni Fellicia, ST., M.Sc")</f>
        <v>Dian Mughni Fellicia, ST., M.Sc</v>
      </c>
      <c r="V21" s="1" t="str">
        <f ca="1">IFERROR(__xludf.DUMMYFUNCTION("""COMPUTED_VALUE"""),"Hariyati Purwaningsih, S.Si., M.Si.")</f>
        <v>Hariyati Purwaningsih, S.Si., M.Si.</v>
      </c>
      <c r="W21" s="1"/>
      <c r="X21" s="1" t="str">
        <f ca="1">IFERROR(__xludf.DUMMYFUNCTION("""COMPUTED_VALUE"""),"Lolos")</f>
        <v>Lolos</v>
      </c>
      <c r="Y21" s="1"/>
      <c r="Z21" s="1"/>
      <c r="AA21" s="1"/>
    </row>
    <row r="22" spans="1:27">
      <c r="A22" s="1" t="s">
        <v>21</v>
      </c>
      <c r="B22" s="1">
        <f ca="1">IFERROR(__xludf.DUMMYFUNCTION("""COMPUTED_VALUE"""),2691)</f>
        <v>2691</v>
      </c>
      <c r="C22" s="1" t="str">
        <f ca="1">IFERROR(__xludf.DUMMYFUNCTION("""COMPUTED_VALUE"""),"PKM Artikel Ilmiah")</f>
        <v>PKM Artikel Ilmiah</v>
      </c>
      <c r="D22" s="1" t="str">
        <f ca="1">IFERROR(__xludf.DUMMYFUNCTION("""COMPUTED_VALUE"""),"Analisis Aliran Daya Akibat Rekonfigurasi Sistem Distribusi Listrik AC Menjadi DC Pada TSHD King Arthur III Berbasis Simulasi")</f>
        <v>Analisis Aliran Daya Akibat Rekonfigurasi Sistem Distribusi Listrik AC Menjadi DC Pada TSHD King Arthur III Berbasis Simulasi</v>
      </c>
      <c r="E22" s="1" t="str">
        <f ca="1">IFERROR(__xludf.DUMMYFUNCTION("""COMPUTED_VALUE"""),"Priskila Putri Irene")</f>
        <v>Priskila Putri Irene</v>
      </c>
      <c r="F22" s="1" t="str">
        <f ca="1">IFERROR(__xludf.DUMMYFUNCTION("""COMPUTED_VALUE"""),"04211840000042")</f>
        <v>04211840000042</v>
      </c>
      <c r="G22" s="1" t="str">
        <f ca="1">IFERROR(__xludf.DUMMYFUNCTION("""COMPUTED_VALUE"""),"Departemen Teknik Sistem Perkapalan")</f>
        <v>Departemen Teknik Sistem Perkapalan</v>
      </c>
      <c r="H22" s="1" t="str">
        <f ca="1">IFERROR(__xludf.DUMMYFUNCTION("""COMPUTED_VALUE"""),"Dr.Eng. Adi Kurniawan, S.T., M.T.")</f>
        <v>Dr.Eng. Adi Kurniawan, S.T., M.T.</v>
      </c>
      <c r="I22" s="1" t="str">
        <f ca="1">IFERROR(__xludf.DUMMYFUNCTION("""COMPUTED_VALUE"""),"SHAAFA DIVA NARENDRA")</f>
        <v>SHAAFA DIVA NARENDRA</v>
      </c>
      <c r="J22" s="1" t="str">
        <f ca="1">IFERROR(__xludf.DUMMYFUNCTION("""COMPUTED_VALUE"""),"04211941000043")</f>
        <v>04211941000043</v>
      </c>
      <c r="K22" s="1" t="str">
        <f ca="1">IFERROR(__xludf.DUMMYFUNCTION("""COMPUTED_VALUE"""),"Departemen Teknik Sistem Perkapalan")</f>
        <v>Departemen Teknik Sistem Perkapalan</v>
      </c>
      <c r="L22" s="1" t="str">
        <f ca="1">IFERROR(__xludf.DUMMYFUNCTION("""COMPUTED_VALUE"""),"AUDREY BETRISIA KUSUMA PUTRI")</f>
        <v>AUDREY BETRISIA KUSUMA PUTRI</v>
      </c>
      <c r="M22" s="1" t="str">
        <f ca="1">IFERROR(__xludf.DUMMYFUNCTION("""COMPUTED_VALUE"""),"5019201125")</f>
        <v>5019201125</v>
      </c>
      <c r="N22" s="1" t="str">
        <f ca="1">IFERROR(__xludf.DUMMYFUNCTION("""COMPUTED_VALUE"""),"Departemen Teknik Sistem Perkapalan")</f>
        <v>Departemen Teknik Sistem Perkapalan</v>
      </c>
      <c r="O22" s="1" t="str">
        <f ca="1">IFERROR(__xludf.DUMMYFUNCTION("""COMPUTED_VALUE"""),"MUHAMMAD RAFFI ADHITAMA")</f>
        <v>MUHAMMAD RAFFI ADHITAMA</v>
      </c>
      <c r="P22" s="1" t="str">
        <f ca="1">IFERROR(__xludf.DUMMYFUNCTION("""COMPUTED_VALUE"""),"04211940000095")</f>
        <v>04211940000095</v>
      </c>
      <c r="Q22" s="1" t="str">
        <f ca="1">IFERROR(__xludf.DUMMYFUNCTION("""COMPUTED_VALUE"""),"Departemen Teknik Sistem Perkapalan")</f>
        <v>Departemen Teknik Sistem Perkapalan</v>
      </c>
      <c r="R22" s="1" t="str">
        <f ca="1">IFERROR(__xludf.DUMMYFUNCTION("""COMPUTED_VALUE"""),"Anak Agung Madya Kusuma Dewa")</f>
        <v>Anak Agung Madya Kusuma Dewa</v>
      </c>
      <c r="S22" s="1" t="str">
        <f ca="1">IFERROR(__xludf.DUMMYFUNCTION("""COMPUTED_VALUE"""),"04211841000001")</f>
        <v>04211841000001</v>
      </c>
      <c r="T22" s="1" t="str">
        <f ca="1">IFERROR(__xludf.DUMMYFUNCTION("""COMPUTED_VALUE"""),"Departemen Teknik Sistem Perkapalan")</f>
        <v>Departemen Teknik Sistem Perkapalan</v>
      </c>
      <c r="U22" s="1" t="str">
        <f ca="1">IFERROR(__xludf.DUMMYFUNCTION("""COMPUTED_VALUE"""),"Prof. Dr. Dra Fahimah Martak, M.Si")</f>
        <v>Prof. Dr. Dra Fahimah Martak, M.Si</v>
      </c>
      <c r="V22" s="1" t="str">
        <f ca="1">IFERROR(__xludf.DUMMYFUNCTION("""COMPUTED_VALUE"""),"Arif Fadlan, S.Si., M.Si., D.Sc")</f>
        <v>Arif Fadlan, S.Si., M.Si., D.Sc</v>
      </c>
      <c r="W22" s="1"/>
      <c r="X22" s="1" t="str">
        <f ca="1">IFERROR(__xludf.DUMMYFUNCTION("""COMPUTED_VALUE"""),"Lolos")</f>
        <v>Lolos</v>
      </c>
      <c r="Y22" s="1"/>
      <c r="Z22" s="1"/>
      <c r="AA22" s="1"/>
    </row>
    <row r="23" spans="1:27">
      <c r="A23" s="1" t="s">
        <v>22</v>
      </c>
      <c r="B23" s="1">
        <f ca="1">IFERROR(__xludf.DUMMYFUNCTION("""COMPUTED_VALUE"""),2287)</f>
        <v>2287</v>
      </c>
      <c r="C23" s="1" t="str">
        <f ca="1">IFERROR(__xludf.DUMMYFUNCTION("""COMPUTED_VALUE"""),"PKM Artikel Ilmiah")</f>
        <v>PKM Artikel Ilmiah</v>
      </c>
      <c r="D23" s="1" t="str">
        <f ca="1">IFERROR(__xludf.DUMMYFUNCTION("""COMPUTED_VALUE"""),"Aplikasi Pencegahan dan Penanganan Tindak Kriminal Pinjaman Online Ilegal Berbasis Cloud Database")</f>
        <v>Aplikasi Pencegahan dan Penanganan Tindak Kriminal Pinjaman Online Ilegal Berbasis Cloud Database</v>
      </c>
      <c r="E23" s="1" t="str">
        <f ca="1">IFERROR(__xludf.DUMMYFUNCTION("""COMPUTED_VALUE"""),"YOGA BEKTI SUSANTO")</f>
        <v>YOGA BEKTI SUSANTO</v>
      </c>
      <c r="F23" s="1" t="str">
        <f ca="1">IFERROR(__xludf.DUMMYFUNCTION("""COMPUTED_VALUE"""),"2041201086")</f>
        <v>2041201086</v>
      </c>
      <c r="G23" s="1" t="str">
        <f ca="1">IFERROR(__xludf.DUMMYFUNCTION("""COMPUTED_VALUE"""),"Departemen Teknik Kimia Industri")</f>
        <v>Departemen Teknik Kimia Industri</v>
      </c>
      <c r="H23" s="1" t="str">
        <f ca="1">IFERROR(__xludf.DUMMYFUNCTION("""COMPUTED_VALUE"""),"Dr. Afan Hamzah, S.T.")</f>
        <v>Dr. Afan Hamzah, S.T.</v>
      </c>
      <c r="I23" s="1" t="str">
        <f ca="1">IFERROR(__xludf.DUMMYFUNCTION("""COMPUTED_VALUE"""),"SILMA ELVARETTA ASKA")</f>
        <v>SILMA ELVARETTA ASKA</v>
      </c>
      <c r="J23" s="1" t="str">
        <f ca="1">IFERROR(__xludf.DUMMYFUNCTION("""COMPUTED_VALUE"""),"2041201001")</f>
        <v>2041201001</v>
      </c>
      <c r="K23" s="1" t="str">
        <f ca="1">IFERROR(__xludf.DUMMYFUNCTION("""COMPUTED_VALUE"""),"Departemen Teknik Kimia Industri")</f>
        <v>Departemen Teknik Kimia Industri</v>
      </c>
      <c r="L23" s="1" t="str">
        <f ca="1">IFERROR(__xludf.DUMMYFUNCTION("""COMPUTED_VALUE"""),"Fauzan Agra Ibrahim")</f>
        <v>Fauzan Agra Ibrahim</v>
      </c>
      <c r="M23" s="1" t="str">
        <f ca="1">IFERROR(__xludf.DUMMYFUNCTION("""COMPUTED_VALUE"""),"02211940000028")</f>
        <v>02211940000028</v>
      </c>
      <c r="N23" s="1" t="str">
        <f ca="1">IFERROR(__xludf.DUMMYFUNCTION("""COMPUTED_VALUE"""),"Departemen Teknik Kimia")</f>
        <v>Departemen Teknik Kimia</v>
      </c>
      <c r="O23" s="1"/>
      <c r="P23" s="1"/>
      <c r="Q23" s="1"/>
      <c r="R23" s="1"/>
      <c r="S23" s="1"/>
      <c r="T23" s="1"/>
      <c r="U23" s="1" t="str">
        <f ca="1">IFERROR(__xludf.DUMMYFUNCTION("""COMPUTED_VALUE"""),"Dian Mughni Fellicia, ST., M.Sc")</f>
        <v>Dian Mughni Fellicia, ST., M.Sc</v>
      </c>
      <c r="V23" s="1" t="str">
        <f ca="1">IFERROR(__xludf.DUMMYFUNCTION("""COMPUTED_VALUE"""),"Hariyati Purwaningsih, S.Si., M.Si.")</f>
        <v>Hariyati Purwaningsih, S.Si., M.Si.</v>
      </c>
      <c r="W23" s="1"/>
      <c r="X23" s="1" t="str">
        <f ca="1">IFERROR(__xludf.DUMMYFUNCTION("""COMPUTED_VALUE"""),"Lolos")</f>
        <v>Lolos</v>
      </c>
      <c r="Y23" s="1"/>
      <c r="Z23" s="1"/>
      <c r="AA23" s="1"/>
    </row>
    <row r="24" spans="1:27">
      <c r="A24" s="1" t="s">
        <v>23</v>
      </c>
      <c r="B24" s="1">
        <f ca="1">IFERROR(__xludf.DUMMYFUNCTION("""COMPUTED_VALUE"""),2390)</f>
        <v>2390</v>
      </c>
      <c r="C24" s="1" t="str">
        <f ca="1">IFERROR(__xludf.DUMMYFUNCTION("""COMPUTED_VALUE"""),"PKM Artikel Ilmiah")</f>
        <v>PKM Artikel Ilmiah</v>
      </c>
      <c r="D24" s="1" t="str">
        <f ca="1">IFERROR(__xludf.DUMMYFUNCTION("""COMPUTED_VALUE"""),"ESTIMASI RISIKO KOMODITAS EMAS BERBASIS VALUE AT RISK (VAR) DAN EXPECTED SHORTFALL (ES) DENGAN PENDEKATAN VECTOR ERROR CORRECTION MODEL (VECM)")</f>
        <v>ESTIMASI RISIKO KOMODITAS EMAS BERBASIS VALUE AT RISK (VAR) DAN EXPECTED SHORTFALL (ES) DENGAN PENDEKATAN VECTOR ERROR CORRECTION MODEL (VECM)</v>
      </c>
      <c r="E24" s="1" t="str">
        <f ca="1">IFERROR(__xludf.DUMMYFUNCTION("""COMPUTED_VALUE"""),"FERRY ARDIANTO LIM")</f>
        <v>FERRY ARDIANTO LIM</v>
      </c>
      <c r="F24" s="1" t="str">
        <f ca="1">IFERROR(__xludf.DUMMYFUNCTION("""COMPUTED_VALUE"""),"06311940000050")</f>
        <v>06311940000050</v>
      </c>
      <c r="G24" s="1" t="str">
        <f ca="1">IFERROR(__xludf.DUMMYFUNCTION("""COMPUTED_VALUE"""),"Departemen Aktuaria")</f>
        <v>Departemen Aktuaria</v>
      </c>
      <c r="H24" s="1" t="str">
        <f ca="1">IFERROR(__xludf.DUMMYFUNCTION("""COMPUTED_VALUE"""),"Imam Safawi Ahmad, S.Si., M.Si.")</f>
        <v>Imam Safawi Ahmad, S.Si., M.Si.</v>
      </c>
      <c r="I24" s="1" t="str">
        <f ca="1">IFERROR(__xludf.DUMMYFUNCTION("""COMPUTED_VALUE"""),"VERENCIA PRICILA")</f>
        <v>VERENCIA PRICILA</v>
      </c>
      <c r="J24" s="1" t="str">
        <f ca="1">IFERROR(__xludf.DUMMYFUNCTION("""COMPUTED_VALUE"""),"06311940000036")</f>
        <v>06311940000036</v>
      </c>
      <c r="K24" s="1" t="str">
        <f ca="1">IFERROR(__xludf.DUMMYFUNCTION("""COMPUTED_VALUE"""),"Departemen Aktuaria")</f>
        <v>Departemen Aktuaria</v>
      </c>
      <c r="L24" s="1" t="str">
        <f ca="1">IFERROR(__xludf.DUMMYFUNCTION("""COMPUTED_VALUE"""),"CHECELLYA MAITRIANI")</f>
        <v>CHECELLYA MAITRIANI</v>
      </c>
      <c r="M24" s="1" t="str">
        <f ca="1">IFERROR(__xludf.DUMMYFUNCTION("""COMPUTED_VALUE"""),"06311940000044")</f>
        <v>06311940000044</v>
      </c>
      <c r="N24" s="1" t="str">
        <f ca="1">IFERROR(__xludf.DUMMYFUNCTION("""COMPUTED_VALUE"""),"Departemen Aktuaria")</f>
        <v>Departemen Aktuaria</v>
      </c>
      <c r="O24" s="1" t="str">
        <f ca="1">IFERROR(__xludf.DUMMYFUNCTION("""COMPUTED_VALUE"""),"ANTHONY SATYA WIDJAJA")</f>
        <v>ANTHONY SATYA WIDJAJA</v>
      </c>
      <c r="P24" s="1" t="str">
        <f ca="1">IFERROR(__xludf.DUMMYFUNCTION("""COMPUTED_VALUE"""),"5006201039")</f>
        <v>5006201039</v>
      </c>
      <c r="Q24" s="1" t="str">
        <f ca="1">IFERROR(__xludf.DUMMYFUNCTION("""COMPUTED_VALUE"""),"Departemen Aktuaria")</f>
        <v>Departemen Aktuaria</v>
      </c>
      <c r="R24" s="1"/>
      <c r="S24" s="1"/>
      <c r="T24" s="1"/>
      <c r="U24" s="1" t="str">
        <f ca="1">IFERROR(__xludf.DUMMYFUNCTION("""COMPUTED_VALUE"""),"Dr.-Ing. Doty Dewi Risanti, S.T., M.T.")</f>
        <v>Dr.-Ing. Doty Dewi Risanti, S.T., M.T.</v>
      </c>
      <c r="V24" s="1" t="str">
        <f ca="1">IFERROR(__xludf.DUMMYFUNCTION("""COMPUTED_VALUE"""),"Hariyati Purwaningsih, S.Si., M.Si.")</f>
        <v>Hariyati Purwaningsih, S.Si., M.Si.</v>
      </c>
      <c r="W24" s="1"/>
      <c r="X24" s="1" t="str">
        <f ca="1">IFERROR(__xludf.DUMMYFUNCTION("""COMPUTED_VALUE"""),"Lolos")</f>
        <v>Lolos</v>
      </c>
      <c r="Y24" s="1"/>
      <c r="Z24" s="1"/>
      <c r="AA24" s="1"/>
    </row>
    <row r="25" spans="1:27">
      <c r="A25" s="1" t="s">
        <v>24</v>
      </c>
      <c r="B25" s="1">
        <f ca="1">IFERROR(__xludf.DUMMYFUNCTION("""COMPUTED_VALUE"""),2337)</f>
        <v>2337</v>
      </c>
      <c r="C25" s="1" t="str">
        <f ca="1">IFERROR(__xludf.DUMMYFUNCTION("""COMPUTED_VALUE"""),"PKM Artikel Ilmiah")</f>
        <v>PKM Artikel Ilmiah</v>
      </c>
      <c r="D25" s="1" t="str">
        <f ca="1">IFERROR(__xludf.DUMMYFUNCTION("""COMPUTED_VALUE"""),"Desain dan Manufaktur Rangkaian Precharge Discharge  Menggunakan Timer Pada Mobil Formula Anargya Mark 2.0 ")</f>
        <v xml:space="preserve">Desain dan Manufaktur Rangkaian Precharge Discharge  Menggunakan Timer Pada Mobil Formula Anargya Mark 2.0 </v>
      </c>
      <c r="E25" s="1" t="str">
        <f ca="1">IFERROR(__xludf.DUMMYFUNCTION("""COMPUTED_VALUE"""),"M. FARRAS NABIL ")</f>
        <v xml:space="preserve">M. FARRAS NABIL </v>
      </c>
      <c r="F25" s="1" t="str">
        <f ca="1">IFERROR(__xludf.DUMMYFUNCTION("""COMPUTED_VALUE"""),"2040211007")</f>
        <v>2040211007</v>
      </c>
      <c r="G25" s="1" t="str">
        <f ca="1">IFERROR(__xludf.DUMMYFUNCTION("""COMPUTED_VALUE"""),"Departemen Teknik Elektro Otomasi")</f>
        <v>Departemen Teknik Elektro Otomasi</v>
      </c>
      <c r="H25" s="1" t="str">
        <f ca="1">IFERROR(__xludf.DUMMYFUNCTION("""COMPUTED_VALUE"""),"Alief Wikarta, ST., MSc.Eng. Ph.D")</f>
        <v>Alief Wikarta, ST., MSc.Eng. Ph.D</v>
      </c>
      <c r="I25" s="1" t="str">
        <f ca="1">IFERROR(__xludf.DUMMYFUNCTION("""COMPUTED_VALUE"""),"HAMZAH NUR AZZAM")</f>
        <v>HAMZAH NUR AZZAM</v>
      </c>
      <c r="J25" s="1" t="str">
        <f ca="1">IFERROR(__xludf.DUMMYFUNCTION("""COMPUTED_VALUE"""),"07111942000012")</f>
        <v>07111942000012</v>
      </c>
      <c r="K25" s="1" t="str">
        <f ca="1">IFERROR(__xludf.DUMMYFUNCTION("""COMPUTED_VALUE"""),"Departemen Teknik Elektro")</f>
        <v>Departemen Teknik Elektro</v>
      </c>
      <c r="L25" s="1" t="str">
        <f ca="1">IFERROR(__xludf.DUMMYFUNCTION("""COMPUTED_VALUE"""),"M. Rafi Daffa")</f>
        <v>M. Rafi Daffa</v>
      </c>
      <c r="M25" s="1" t="str">
        <f ca="1">IFERROR(__xludf.DUMMYFUNCTION("""COMPUTED_VALUE"""),"5031211005")</f>
        <v>5031211005</v>
      </c>
      <c r="N25" s="1" t="str">
        <f ca="1">IFERROR(__xludf.DUMMYFUNCTION("""COMPUTED_VALUE"""),"Departemen Manajemen Bisnis")</f>
        <v>Departemen Manajemen Bisnis</v>
      </c>
      <c r="O25" s="1" t="str">
        <f ca="1">IFERROR(__xludf.DUMMYFUNCTION("""COMPUTED_VALUE"""),"ANDREA FRANCILIANO")</f>
        <v>ANDREA FRANCILIANO</v>
      </c>
      <c r="P25" s="1" t="str">
        <f ca="1">IFERROR(__xludf.DUMMYFUNCTION("""COMPUTED_VALUE"""),"03411940000043")</f>
        <v>03411940000043</v>
      </c>
      <c r="Q25" s="1" t="str">
        <f ca="1">IFERROR(__xludf.DUMMYFUNCTION("""COMPUTED_VALUE"""),"Departemen Teknik Geofisika")</f>
        <v>Departemen Teknik Geofisika</v>
      </c>
      <c r="R25" s="1" t="str">
        <f ca="1">IFERROR(__xludf.DUMMYFUNCTION("""COMPUTED_VALUE"""),"LAZUARDI RAIHAN")</f>
        <v>LAZUARDI RAIHAN</v>
      </c>
      <c r="S25" s="1" t="str">
        <f ca="1">IFERROR(__xludf.DUMMYFUNCTION("""COMPUTED_VALUE"""),"5009201006")</f>
        <v>5009201006</v>
      </c>
      <c r="T25" s="1" t="str">
        <f ca="1">IFERROR(__xludf.DUMMYFUNCTION("""COMPUTED_VALUE"""),"Departemen Teknik Fisika")</f>
        <v>Departemen Teknik Fisika</v>
      </c>
      <c r="U25" s="1" t="str">
        <f ca="1">IFERROR(__xludf.DUMMYFUNCTION("""COMPUTED_VALUE"""),"Dian Mughni Fellicia, ST., M.Sc")</f>
        <v>Dian Mughni Fellicia, ST., M.Sc</v>
      </c>
      <c r="V25" s="1" t="str">
        <f ca="1">IFERROR(__xludf.DUMMYFUNCTION("""COMPUTED_VALUE"""),"Hariyati Purwaningsih, S.Si., M.Si.")</f>
        <v>Hariyati Purwaningsih, S.Si., M.Si.</v>
      </c>
      <c r="W25" s="1"/>
      <c r="X25" s="1" t="str">
        <f ca="1">IFERROR(__xludf.DUMMYFUNCTION("""COMPUTED_VALUE"""),"Lolos")</f>
        <v>Lolos</v>
      </c>
      <c r="Y25" s="1"/>
      <c r="Z25" s="1"/>
      <c r="AA25" s="1"/>
    </row>
    <row r="26" spans="1:27">
      <c r="A26" s="1" t="s">
        <v>25</v>
      </c>
      <c r="B26" s="1">
        <f ca="1">IFERROR(__xludf.DUMMYFUNCTION("""COMPUTED_VALUE"""),2686)</f>
        <v>2686</v>
      </c>
      <c r="C26" s="1" t="str">
        <f ca="1">IFERROR(__xludf.DUMMYFUNCTION("""COMPUTED_VALUE"""),"PKM Artikel Ilmiah")</f>
        <v>PKM Artikel Ilmiah</v>
      </c>
      <c r="D26" s="1" t="str">
        <f ca="1">IFERROR(__xludf.DUMMYFUNCTION("""COMPUTED_VALUE"""),"Desain, Simulasi, dan Analisis Struktural Sasis Mobil Balap Formula Student Society of Automotive Engineers Anargya ITS Team Mark 2.0")</f>
        <v>Desain, Simulasi, dan Analisis Struktural Sasis Mobil Balap Formula Student Society of Automotive Engineers Anargya ITS Team Mark 2.0</v>
      </c>
      <c r="E26" s="1" t="str">
        <f ca="1">IFERROR(__xludf.DUMMYFUNCTION("""COMPUTED_VALUE"""),"MASAYU ANGGITHA MIRANDA")</f>
        <v>MASAYU ANGGITHA MIRANDA</v>
      </c>
      <c r="F26" s="1" t="str">
        <f ca="1">IFERROR(__xludf.DUMMYFUNCTION("""COMPUTED_VALUE"""),"02111940000079")</f>
        <v>02111940000079</v>
      </c>
      <c r="G26" s="1" t="str">
        <f ca="1">IFERROR(__xludf.DUMMYFUNCTION("""COMPUTED_VALUE"""),"Departemen Teknik Mesin")</f>
        <v>Departemen Teknik Mesin</v>
      </c>
      <c r="H26" s="1" t="str">
        <f ca="1">IFERROR(__xludf.DUMMYFUNCTION("""COMPUTED_VALUE"""),"Alief Wikarta, ST., MSc.Eng. Ph.D")</f>
        <v>Alief Wikarta, ST., MSc.Eng. Ph.D</v>
      </c>
      <c r="I26" s="1" t="str">
        <f ca="1">IFERROR(__xludf.DUMMYFUNCTION("""COMPUTED_VALUE"""),"RIZAL HAIDARRAZAN")</f>
        <v>RIZAL HAIDARRAZAN</v>
      </c>
      <c r="J26" s="1" t="str">
        <f ca="1">IFERROR(__xludf.DUMMYFUNCTION("""COMPUTED_VALUE"""),"5007201164")</f>
        <v>5007201164</v>
      </c>
      <c r="K26" s="1" t="str">
        <f ca="1">IFERROR(__xludf.DUMMYFUNCTION("""COMPUTED_VALUE"""),"Departemen Teknik Mesin")</f>
        <v>Departemen Teknik Mesin</v>
      </c>
      <c r="L26" s="1" t="str">
        <f ca="1">IFERROR(__xludf.DUMMYFUNCTION("""COMPUTED_VALUE"""),"RAFIF HERDIAN NOOR")</f>
        <v>RAFIF HERDIAN NOOR</v>
      </c>
      <c r="M26" s="1" t="str">
        <f ca="1">IFERROR(__xludf.DUMMYFUNCTION("""COMPUTED_VALUE"""),"2038201043")</f>
        <v>2038201043</v>
      </c>
      <c r="N26" s="1" t="str">
        <f ca="1">IFERROR(__xludf.DUMMYFUNCTION("""COMPUTED_VALUE"""),"Departemen Teknik Mesin Industri")</f>
        <v>Departemen Teknik Mesin Industri</v>
      </c>
      <c r="O26" s="1" t="str">
        <f ca="1">IFERROR(__xludf.DUMMYFUNCTION("""COMPUTED_VALUE"""),"KEVIN DENIO SETIAWAN")</f>
        <v>KEVIN DENIO SETIAWAN</v>
      </c>
      <c r="P26" s="1" t="str">
        <f ca="1">IFERROR(__xludf.DUMMYFUNCTION("""COMPUTED_VALUE"""),"10211810010001")</f>
        <v>10211810010001</v>
      </c>
      <c r="Q26" s="1" t="str">
        <f ca="1">IFERROR(__xludf.DUMMYFUNCTION("""COMPUTED_VALUE"""),"Departemen Teknik Mesin Industri")</f>
        <v>Departemen Teknik Mesin Industri</v>
      </c>
      <c r="R26" s="1"/>
      <c r="S26" s="1"/>
      <c r="T26" s="1"/>
      <c r="U26" s="1" t="str">
        <f ca="1">IFERROR(__xludf.DUMMYFUNCTION("""COMPUTED_VALUE"""),"Dian Mughni Fellicia, ST., M.Sc")</f>
        <v>Dian Mughni Fellicia, ST., M.Sc</v>
      </c>
      <c r="V26" s="1" t="str">
        <f ca="1">IFERROR(__xludf.DUMMYFUNCTION("""COMPUTED_VALUE"""),"Hariyati Purwaningsih, S.Si., M.Si.")</f>
        <v>Hariyati Purwaningsih, S.Si., M.Si.</v>
      </c>
      <c r="W26" s="1"/>
      <c r="X26" s="1" t="str">
        <f ca="1">IFERROR(__xludf.DUMMYFUNCTION("""COMPUTED_VALUE"""),"Lolos")</f>
        <v>Lolos</v>
      </c>
      <c r="Y26" s="1"/>
      <c r="Z26" s="1"/>
      <c r="AA26" s="1"/>
    </row>
    <row r="27" spans="1:27">
      <c r="A27" s="1" t="s">
        <v>26</v>
      </c>
      <c r="B27" s="1">
        <f ca="1">IFERROR(__xludf.DUMMYFUNCTION("""COMPUTED_VALUE"""),3907)</f>
        <v>3907</v>
      </c>
      <c r="C27" s="1" t="str">
        <f ca="1">IFERROR(__xludf.DUMMYFUNCTION("""COMPUTED_VALUE"""),"PKM Artikel Ilmiah")</f>
        <v>PKM Artikel Ilmiah</v>
      </c>
      <c r="D27" s="1" t="str">
        <f ca="1">IFERROR(__xludf.DUMMYFUNCTION("""COMPUTED_VALUE"""),"Investigasi Fungsi Ruang Terhadap Penyintas Covid-19
Selama Karantina Mandiri")</f>
        <v>Investigasi Fungsi Ruang Terhadap Penyintas Covid-19
Selama Karantina Mandiri</v>
      </c>
      <c r="E27" s="1" t="str">
        <f ca="1">IFERROR(__xludf.DUMMYFUNCTION("""COMPUTED_VALUE"""),"Chaerul Bahrum")</f>
        <v>Chaerul Bahrum</v>
      </c>
      <c r="F27" s="1" t="str">
        <f ca="1">IFERROR(__xludf.DUMMYFUNCTION("""COMPUTED_VALUE"""),"08111840000010")</f>
        <v>08111840000010</v>
      </c>
      <c r="G27" s="1" t="str">
        <f ca="1">IFERROR(__xludf.DUMMYFUNCTION("""COMPUTED_VALUE"""),"Departemen Arsitektur")</f>
        <v>Departemen Arsitektur</v>
      </c>
      <c r="H27" s="1" t="str">
        <f ca="1">IFERROR(__xludf.DUMMYFUNCTION("""COMPUTED_VALUE"""),"Dr.Eng. Didit Novianto, S.T., M.Eng.")</f>
        <v>Dr.Eng. Didit Novianto, S.T., M.Eng.</v>
      </c>
      <c r="I27" s="1" t="str">
        <f ca="1">IFERROR(__xludf.DUMMYFUNCTION("""COMPUTED_VALUE"""),"Muhammad Yusuf Al Ghifari")</f>
        <v>Muhammad Yusuf Al Ghifari</v>
      </c>
      <c r="J27" s="1" t="str">
        <f ca="1">IFERROR(__xludf.DUMMYFUNCTION("""COMPUTED_VALUE"""),"08111840000005")</f>
        <v>08111840000005</v>
      </c>
      <c r="K27" s="1" t="str">
        <f ca="1">IFERROR(__xludf.DUMMYFUNCTION("""COMPUTED_VALUE"""),"Departemen Arsitektur")</f>
        <v>Departemen Arsitektur</v>
      </c>
      <c r="L27" s="1" t="str">
        <f ca="1">IFERROR(__xludf.DUMMYFUNCTION("""COMPUTED_VALUE"""),"Mutiah Shalsabylah")</f>
        <v>Mutiah Shalsabylah</v>
      </c>
      <c r="M27" s="1" t="str">
        <f ca="1">IFERROR(__xludf.DUMMYFUNCTION("""COMPUTED_VALUE"""),"08111840000019")</f>
        <v>08111840000019</v>
      </c>
      <c r="N27" s="1" t="str">
        <f ca="1">IFERROR(__xludf.DUMMYFUNCTION("""COMPUTED_VALUE"""),"Departemen Arsitektur")</f>
        <v>Departemen Arsitektur</v>
      </c>
      <c r="O27" s="1" t="str">
        <f ca="1">IFERROR(__xludf.DUMMYFUNCTION("""COMPUTED_VALUE"""),"ADINDA SARASWATI CAHYANING WULAN SUCI")</f>
        <v>ADINDA SARASWATI CAHYANING WULAN SUCI</v>
      </c>
      <c r="P27" s="1" t="str">
        <f ca="1">IFERROR(__xludf.DUMMYFUNCTION("""COMPUTED_VALUE"""),"08111840000083")</f>
        <v>08111840000083</v>
      </c>
      <c r="Q27" s="1" t="str">
        <f ca="1">IFERROR(__xludf.DUMMYFUNCTION("""COMPUTED_VALUE"""),"Departemen Arsitektur")</f>
        <v>Departemen Arsitektur</v>
      </c>
      <c r="R27" s="1" t="str">
        <f ca="1">IFERROR(__xludf.DUMMYFUNCTION("""COMPUTED_VALUE"""),"ARDHASARI SYAHPUTRI HIDAYAT")</f>
        <v>ARDHASARI SYAHPUTRI HIDAYAT</v>
      </c>
      <c r="S27" s="1" t="str">
        <f ca="1">IFERROR(__xludf.DUMMYFUNCTION("""COMPUTED_VALUE"""),"08111840000059")</f>
        <v>08111840000059</v>
      </c>
      <c r="T27" s="1" t="str">
        <f ca="1">IFERROR(__xludf.DUMMYFUNCTION("""COMPUTED_VALUE"""),"Departemen Arsitektur")</f>
        <v>Departemen Arsitektur</v>
      </c>
      <c r="U27" s="1" t="str">
        <f ca="1">IFERROR(__xludf.DUMMYFUNCTION("""COMPUTED_VALUE"""),"Dr.-Ing. Doty Dewi Risanti, S.T., M.T.")</f>
        <v>Dr.-Ing. Doty Dewi Risanti, S.T., M.T.</v>
      </c>
      <c r="V27" s="1" t="str">
        <f ca="1">IFERROR(__xludf.DUMMYFUNCTION("""COMPUTED_VALUE"""),"Hariyati Purwaningsih, S.Si., M.Si.")</f>
        <v>Hariyati Purwaningsih, S.Si., M.Si.</v>
      </c>
      <c r="W27" s="1"/>
      <c r="X27" s="1" t="str">
        <f ca="1">IFERROR(__xludf.DUMMYFUNCTION("""COMPUTED_VALUE"""),"Lolos")</f>
        <v>Lolos</v>
      </c>
      <c r="Y27" s="1"/>
      <c r="Z27" s="1"/>
      <c r="AA27" s="1"/>
    </row>
    <row r="28" spans="1:27">
      <c r="A28" s="1" t="s">
        <v>27</v>
      </c>
      <c r="B28" s="1">
        <f ca="1">IFERROR(__xludf.DUMMYFUNCTION("""COMPUTED_VALUE"""),2774)</f>
        <v>2774</v>
      </c>
      <c r="C28" s="1" t="str">
        <f ca="1">IFERROR(__xludf.DUMMYFUNCTION("""COMPUTED_VALUE"""),"PKM Artikel Ilmiah")</f>
        <v>PKM Artikel Ilmiah</v>
      </c>
      <c r="D28" s="1" t="str">
        <f ca="1">IFERROR(__xludf.DUMMYFUNCTION("""COMPUTED_VALUE"""),"Analisis Dinamika Transfer Muatan pada Quasi-solid state Dye-sensitized Solar Cells (DSSC) dengan Spektroskopi Impedansi")</f>
        <v>Analisis Dinamika Transfer Muatan pada Quasi-solid state Dye-sensitized Solar Cells (DSSC) dengan Spektroskopi Impedansi</v>
      </c>
      <c r="E28" s="1" t="str">
        <f ca="1">IFERROR(__xludf.DUMMYFUNCTION("""COMPUTED_VALUE"""),"Charisa Virga Muliyono")</f>
        <v>Charisa Virga Muliyono</v>
      </c>
      <c r="F28" s="1" t="str">
        <f ca="1">IFERROR(__xludf.DUMMYFUNCTION("""COMPUTED_VALUE"""),"02311840000008")</f>
        <v>02311840000008</v>
      </c>
      <c r="G28" s="1" t="str">
        <f ca="1">IFERROR(__xludf.DUMMYFUNCTION("""COMPUTED_VALUE"""),"Departemen Teknik Fisika")</f>
        <v>Departemen Teknik Fisika</v>
      </c>
      <c r="H28" s="1" t="str">
        <f ca="1">IFERROR(__xludf.DUMMYFUNCTION("""COMPUTED_VALUE"""),"Dr.rer.nat Ruri Agung Wahyuono, S.T., M.T.")</f>
        <v>Dr.rer.nat Ruri Agung Wahyuono, S.T., M.T.</v>
      </c>
      <c r="I28" s="1" t="str">
        <f ca="1">IFERROR(__xludf.DUMMYFUNCTION("""COMPUTED_VALUE"""),"MUHAMMAD FIKRI MUMTAZ")</f>
        <v>MUHAMMAD FIKRI MUMTAZ</v>
      </c>
      <c r="J28" s="1" t="str">
        <f ca="1">IFERROR(__xludf.DUMMYFUNCTION("""COMPUTED_VALUE"""),"02311840000115")</f>
        <v>02311840000115</v>
      </c>
      <c r="K28" s="1" t="str">
        <f ca="1">IFERROR(__xludf.DUMMYFUNCTION("""COMPUTED_VALUE"""),"Departemen Teknik Fisika")</f>
        <v>Departemen Teknik Fisika</v>
      </c>
      <c r="L28" s="1" t="str">
        <f ca="1">IFERROR(__xludf.DUMMYFUNCTION("""COMPUTED_VALUE"""),"A.A.Gde Yogi Pramana")</f>
        <v>A.A.Gde Yogi Pramana</v>
      </c>
      <c r="M28" s="1" t="str">
        <f ca="1">IFERROR(__xludf.DUMMYFUNCTION("""COMPUTED_VALUE"""),"5009211160")</f>
        <v>5009211160</v>
      </c>
      <c r="N28" s="1" t="str">
        <f ca="1">IFERROR(__xludf.DUMMYFUNCTION("""COMPUTED_VALUE"""),"Departemen Teknik Fisika")</f>
        <v>Departemen Teknik Fisika</v>
      </c>
      <c r="O28" s="1" t="str">
        <f ca="1">IFERROR(__xludf.DUMMYFUNCTION("""COMPUTED_VALUE"""),"Arda Fridua Putra")</f>
        <v>Arda Fridua Putra</v>
      </c>
      <c r="P28" s="1" t="str">
        <f ca="1">IFERROR(__xludf.DUMMYFUNCTION("""COMPUTED_VALUE"""),"02311940000028")</f>
        <v>02311940000028</v>
      </c>
      <c r="Q28" s="1" t="str">
        <f ca="1">IFERROR(__xludf.DUMMYFUNCTION("""COMPUTED_VALUE"""),"Departemen Teknik Fisika")</f>
        <v>Departemen Teknik Fisika</v>
      </c>
      <c r="R28" s="1"/>
      <c r="S28" s="1"/>
      <c r="T28" s="1"/>
      <c r="U28" s="1" t="str">
        <f ca="1">IFERROR(__xludf.DUMMYFUNCTION("""COMPUTED_VALUE"""),"Dr.-Ing. Doty Dewi Risanti, S.T., M.T.")</f>
        <v>Dr.-Ing. Doty Dewi Risanti, S.T., M.T.</v>
      </c>
      <c r="V28" s="1" t="str">
        <f ca="1">IFERROR(__xludf.DUMMYFUNCTION("""COMPUTED_VALUE"""),"Hariyati Purwaningsih, S.Si., M.Si.")</f>
        <v>Hariyati Purwaningsih, S.Si., M.Si.</v>
      </c>
      <c r="W28" s="1"/>
      <c r="X28" s="1" t="str">
        <f ca="1">IFERROR(__xludf.DUMMYFUNCTION("""COMPUTED_VALUE"""),"Lolos")</f>
        <v>Lolos</v>
      </c>
      <c r="Y28" s="1"/>
      <c r="Z28" s="1"/>
      <c r="AA28" s="1"/>
    </row>
    <row r="29" spans="1:27">
      <c r="A29" s="1" t="s">
        <v>28</v>
      </c>
      <c r="B29" s="1">
        <f ca="1">IFERROR(__xludf.DUMMYFUNCTION("""COMPUTED_VALUE"""),2851)</f>
        <v>2851</v>
      </c>
      <c r="C29" s="1" t="str">
        <f ca="1">IFERROR(__xludf.DUMMYFUNCTION("""COMPUTED_VALUE"""),"PKM Artikel Ilmiah")</f>
        <v>PKM Artikel Ilmiah</v>
      </c>
      <c r="D29" s="1" t="str">
        <f ca="1">IFERROR(__xludf.DUMMYFUNCTION("""COMPUTED_VALUE"""),"ANALISIS PENGARUH KUALITAS PRODUK, HARGA, DAN PROMOSI TERHADAP KEPUTUSAN PEMBELIAN AIR MINUM DALAM KEMASAN (AMDK)")</f>
        <v>ANALISIS PENGARUH KUALITAS PRODUK, HARGA, DAN PROMOSI TERHADAP KEPUTUSAN PEMBELIAN AIR MINUM DALAM KEMASAN (AMDK)</v>
      </c>
      <c r="E29" s="1" t="str">
        <f ca="1">IFERROR(__xludf.DUMMYFUNCTION("""COMPUTED_VALUE"""),"Faizin Prasetyo")</f>
        <v>Faizin Prasetyo</v>
      </c>
      <c r="F29" s="1" t="str">
        <f ca="1">IFERROR(__xludf.DUMMYFUNCTION("""COMPUTED_VALUE"""),"2043211037")</f>
        <v>2043211037</v>
      </c>
      <c r="G29" s="1" t="str">
        <f ca="1">IFERROR(__xludf.DUMMYFUNCTION("""COMPUTED_VALUE"""),"Departemen Statistika Bisnis")</f>
        <v>Departemen Statistika Bisnis</v>
      </c>
      <c r="H29" s="1" t="str">
        <f ca="1">IFERROR(__xludf.DUMMYFUNCTION("""COMPUTED_VALUE"""),"Ir. Sri Pingit Wulandari, M.Si.")</f>
        <v>Ir. Sri Pingit Wulandari, M.Si.</v>
      </c>
      <c r="I29" s="1" t="str">
        <f ca="1">IFERROR(__xludf.DUMMYFUNCTION("""COMPUTED_VALUE"""),"Sindi Anisa R")</f>
        <v>Sindi Anisa R</v>
      </c>
      <c r="J29" s="1" t="str">
        <f ca="1">IFERROR(__xludf.DUMMYFUNCTION("""COMPUTED_VALUE"""),"2043211043")</f>
        <v>2043211043</v>
      </c>
      <c r="K29" s="1" t="str">
        <f ca="1">IFERROR(__xludf.DUMMYFUNCTION("""COMPUTED_VALUE"""),"Departemen Statistika Bisnis")</f>
        <v>Departemen Statistika Bisnis</v>
      </c>
      <c r="L29" s="1" t="str">
        <f ca="1">IFERROR(__xludf.DUMMYFUNCTION("""COMPUTED_VALUE"""),"Elsa Elvira")</f>
        <v>Elsa Elvira</v>
      </c>
      <c r="M29" s="1" t="str">
        <f ca="1">IFERROR(__xludf.DUMMYFUNCTION("""COMPUTED_VALUE"""),"2043211051")</f>
        <v>2043211051</v>
      </c>
      <c r="N29" s="1" t="str">
        <f ca="1">IFERROR(__xludf.DUMMYFUNCTION("""COMPUTED_VALUE"""),"Departemen Statistika Bisnis")</f>
        <v>Departemen Statistika Bisnis</v>
      </c>
      <c r="O29" s="1" t="str">
        <f ca="1">IFERROR(__xludf.DUMMYFUNCTION("""COMPUTED_VALUE"""),"Sinta Priyastiwi ")</f>
        <v xml:space="preserve">Sinta Priyastiwi </v>
      </c>
      <c r="P29" s="1" t="str">
        <f ca="1">IFERROR(__xludf.DUMMYFUNCTION("""COMPUTED_VALUE"""),"2043211021")</f>
        <v>2043211021</v>
      </c>
      <c r="Q29" s="1" t="str">
        <f ca="1">IFERROR(__xludf.DUMMYFUNCTION("""COMPUTED_VALUE"""),"Departemen Statistika Bisnis")</f>
        <v>Departemen Statistika Bisnis</v>
      </c>
      <c r="R29" s="1" t="str">
        <f ca="1">IFERROR(__xludf.DUMMYFUNCTION("""COMPUTED_VALUE"""),"RISMATUL SOLIHAH")</f>
        <v>RISMATUL SOLIHAH</v>
      </c>
      <c r="S29" s="1" t="str">
        <f ca="1">IFERROR(__xludf.DUMMYFUNCTION("""COMPUTED_VALUE"""),"2043211025")</f>
        <v>2043211025</v>
      </c>
      <c r="T29" s="1" t="str">
        <f ca="1">IFERROR(__xludf.DUMMYFUNCTION("""COMPUTED_VALUE"""),"Departemen Statistika Bisnis")</f>
        <v>Departemen Statistika Bisnis</v>
      </c>
      <c r="U29" s="1" t="str">
        <f ca="1">IFERROR(__xludf.DUMMYFUNCTION("""COMPUTED_VALUE"""),"Prof. Dr. Dra Fahimah Martak, M.Si")</f>
        <v>Prof. Dr. Dra Fahimah Martak, M.Si</v>
      </c>
      <c r="V29" s="1" t="str">
        <f ca="1">IFERROR(__xludf.DUMMYFUNCTION("""COMPUTED_VALUE"""),"Arif Fadlan, S.Si., M.Si., D.Sc")</f>
        <v>Arif Fadlan, S.Si., M.Si., D.Sc</v>
      </c>
      <c r="W29" s="1"/>
      <c r="X29" s="1" t="str">
        <f ca="1">IFERROR(__xludf.DUMMYFUNCTION("""COMPUTED_VALUE"""),"Lolos")</f>
        <v>Lolos</v>
      </c>
      <c r="Y29" s="1"/>
      <c r="Z29" s="1"/>
      <c r="AA29" s="1"/>
    </row>
    <row r="30" spans="1:27">
      <c r="A30" s="1" t="s">
        <v>29</v>
      </c>
      <c r="B30" s="1">
        <f ca="1">IFERROR(__xludf.DUMMYFUNCTION("""COMPUTED_VALUE"""),4102)</f>
        <v>4102</v>
      </c>
      <c r="C30" s="1" t="str">
        <f ca="1">IFERROR(__xludf.DUMMYFUNCTION("""COMPUTED_VALUE"""),"PKM Artikel Ilmiah")</f>
        <v>PKM Artikel Ilmiah</v>
      </c>
      <c r="D30" s="1" t="str">
        <f ca="1">IFERROR(__xludf.DUMMYFUNCTION("""COMPUTED_VALUE"""),"Inovasi Pembangkit Listrik Terbang Pertama di Indonesia yang Ramah Lingkungan Guna Membantu Mencapai Target EBT tahun 2025")</f>
        <v>Inovasi Pembangkit Listrik Terbang Pertama di Indonesia yang Ramah Lingkungan Guna Membantu Mencapai Target EBT tahun 2025</v>
      </c>
      <c r="E30" s="1" t="str">
        <f ca="1">IFERROR(__xludf.DUMMYFUNCTION("""COMPUTED_VALUE"""),"GALIH WIDYANTORO")</f>
        <v>GALIH WIDYANTORO</v>
      </c>
      <c r="F30" s="1" t="str">
        <f ca="1">IFERROR(__xludf.DUMMYFUNCTION("""COMPUTED_VALUE"""),"10311910000052")</f>
        <v>10311910000052</v>
      </c>
      <c r="G30" s="1" t="str">
        <f ca="1">IFERROR(__xludf.DUMMYFUNCTION("""COMPUTED_VALUE"""),"Departemen Teknik Elektro Otomasi")</f>
        <v>Departemen Teknik Elektro Otomasi</v>
      </c>
      <c r="H30" s="1" t="str">
        <f ca="1">IFERROR(__xludf.DUMMYFUNCTION("""COMPUTED_VALUE"""),"Ciptian Weried Priananda, S.ST., M.T.")</f>
        <v>Ciptian Weried Priananda, S.ST., M.T.</v>
      </c>
      <c r="I30" s="1" t="str">
        <f ca="1">IFERROR(__xludf.DUMMYFUNCTION("""COMPUTED_VALUE"""),"KENYAVI SYAHDHANI RASYID")</f>
        <v>KENYAVI SYAHDHANI RASYID</v>
      </c>
      <c r="J30" s="1" t="str">
        <f ca="1">IFERROR(__xludf.DUMMYFUNCTION("""COMPUTED_VALUE"""),"01311940000059")</f>
        <v>01311940000059</v>
      </c>
      <c r="K30" s="1" t="str">
        <f ca="1">IFERROR(__xludf.DUMMYFUNCTION("""COMPUTED_VALUE"""),"Departemen Biologi")</f>
        <v>Departemen Biologi</v>
      </c>
      <c r="L30" s="1" t="str">
        <f ca="1">IFERROR(__xludf.DUMMYFUNCTION("""COMPUTED_VALUE"""),"Shelly Damayanti")</f>
        <v>Shelly Damayanti</v>
      </c>
      <c r="M30" s="1" t="str">
        <f ca="1">IFERROR(__xludf.DUMMYFUNCTION("""COMPUTED_VALUE"""),"01311940000002")</f>
        <v>01311940000002</v>
      </c>
      <c r="N30" s="1" t="str">
        <f ca="1">IFERROR(__xludf.DUMMYFUNCTION("""COMPUTED_VALUE"""),"Departemen Biologi")</f>
        <v>Departemen Biologi</v>
      </c>
      <c r="O30" s="1" t="str">
        <f ca="1">IFERROR(__xludf.DUMMYFUNCTION("""COMPUTED_VALUE"""),"YULFI ARISTA")</f>
        <v>YULFI ARISTA</v>
      </c>
      <c r="P30" s="1" t="str">
        <f ca="1">IFERROR(__xludf.DUMMYFUNCTION("""COMPUTED_VALUE"""),"10311910000056")</f>
        <v>10311910000056</v>
      </c>
      <c r="Q30" s="1" t="str">
        <f ca="1">IFERROR(__xludf.DUMMYFUNCTION("""COMPUTED_VALUE"""),"Departemen Teknik Elektro Otomasi")</f>
        <v>Departemen Teknik Elektro Otomasi</v>
      </c>
      <c r="R30" s="1" t="str">
        <f ca="1">IFERROR(__xludf.DUMMYFUNCTION("""COMPUTED_VALUE"""),"IWAN DWI PRAKOSO")</f>
        <v>IWAN DWI PRAKOSO</v>
      </c>
      <c r="S30" s="1" t="str">
        <f ca="1">IFERROR(__xludf.DUMMYFUNCTION("""COMPUTED_VALUE"""),"05111940000229")</f>
        <v>05111940000229</v>
      </c>
      <c r="T30" s="1" t="str">
        <f ca="1">IFERROR(__xludf.DUMMYFUNCTION("""COMPUTED_VALUE"""),"Departemen Teknik Informatika")</f>
        <v>Departemen Teknik Informatika</v>
      </c>
      <c r="U30" s="1" t="str">
        <f ca="1">IFERROR(__xludf.DUMMYFUNCTION("""COMPUTED_VALUE"""),"Dian Mughni Fellicia, ST., M.Sc")</f>
        <v>Dian Mughni Fellicia, ST., M.Sc</v>
      </c>
      <c r="V30" s="1" t="str">
        <f ca="1">IFERROR(__xludf.DUMMYFUNCTION("""COMPUTED_VALUE"""),"Hariyati Purwaningsih, S.Si., M.Si.")</f>
        <v>Hariyati Purwaningsih, S.Si., M.Si.</v>
      </c>
      <c r="W30" s="1"/>
      <c r="X30" s="1" t="str">
        <f ca="1">IFERROR(__xludf.DUMMYFUNCTION("""COMPUTED_VALUE"""),"Lolos")</f>
        <v>Lolos</v>
      </c>
      <c r="Y30" s="1"/>
      <c r="Z30" s="1"/>
      <c r="AA30" s="1"/>
    </row>
    <row r="31" spans="1:27">
      <c r="A31" s="1" t="s">
        <v>30</v>
      </c>
      <c r="B31" s="1">
        <f ca="1">IFERROR(__xludf.DUMMYFUNCTION("""COMPUTED_VALUE"""),2596)</f>
        <v>2596</v>
      </c>
      <c r="C31" s="1" t="str">
        <f ca="1">IFERROR(__xludf.DUMMYFUNCTION("""COMPUTED_VALUE"""),"PKM Artikel Ilmiah")</f>
        <v>PKM Artikel Ilmiah</v>
      </c>
      <c r="D31" s="1" t="str">
        <f ca="1">IFERROR(__xludf.DUMMYFUNCTION("""COMPUTED_VALUE"""),"PERENCANAAN DESAIN HEAT EXCHANGER PLATE AND FRAME DENGAN HEAT WASTE RECOVERY UNTUK MENJAGA HIGIENITAS SISTEM DOMESTIK PUSKESMAS TERAPUNG 65 GT")</f>
        <v>PERENCANAAN DESAIN HEAT EXCHANGER PLATE AND FRAME DENGAN HEAT WASTE RECOVERY UNTUK MENJAGA HIGIENITAS SISTEM DOMESTIK PUSKESMAS TERAPUNG 65 GT</v>
      </c>
      <c r="E31" s="1" t="str">
        <f ca="1">IFERROR(__xludf.DUMMYFUNCTION("""COMPUTED_VALUE"""),"CHANDRA WISNU JELANG DWI LAKSA")</f>
        <v>CHANDRA WISNU JELANG DWI LAKSA</v>
      </c>
      <c r="F31" s="1" t="str">
        <f ca="1">IFERROR(__xludf.DUMMYFUNCTION("""COMPUTED_VALUE"""),"04211840000079")</f>
        <v>04211840000079</v>
      </c>
      <c r="G31" s="1" t="str">
        <f ca="1">IFERROR(__xludf.DUMMYFUNCTION("""COMPUTED_VALUE"""),"Departemen Teknik Sistem Perkapalan")</f>
        <v>Departemen Teknik Sistem Perkapalan</v>
      </c>
      <c r="H31" s="1" t="str">
        <f ca="1">IFERROR(__xludf.DUMMYFUNCTION("""COMPUTED_VALUE"""),"Ir. Agoes Santoso, M.Sc.")</f>
        <v>Ir. Agoes Santoso, M.Sc.</v>
      </c>
      <c r="I31" s="1" t="str">
        <f ca="1">IFERROR(__xludf.DUMMYFUNCTION("""COMPUTED_VALUE"""),"NUR AUFAQ RIZKY IRFAN AR ROCHIM")</f>
        <v>NUR AUFAQ RIZKY IRFAN AR ROCHIM</v>
      </c>
      <c r="J31" s="1" t="str">
        <f ca="1">IFERROR(__xludf.DUMMYFUNCTION("""COMPUTED_VALUE"""),"04211840000084")</f>
        <v>04211840000084</v>
      </c>
      <c r="K31" s="1" t="str">
        <f ca="1">IFERROR(__xludf.DUMMYFUNCTION("""COMPUTED_VALUE"""),"Departemen Teknik Sistem Perkapalan")</f>
        <v>Departemen Teknik Sistem Perkapalan</v>
      </c>
      <c r="L31" s="1" t="str">
        <f ca="1">IFERROR(__xludf.DUMMYFUNCTION("""COMPUTED_VALUE"""),"ARYA DIMAS RAMADHAN")</f>
        <v>ARYA DIMAS RAMADHAN</v>
      </c>
      <c r="M31" s="1" t="str">
        <f ca="1">IFERROR(__xludf.DUMMYFUNCTION("""COMPUTED_VALUE"""),"04211940000073")</f>
        <v>04211940000073</v>
      </c>
      <c r="N31" s="1" t="str">
        <f ca="1">IFERROR(__xludf.DUMMYFUNCTION("""COMPUTED_VALUE"""),"Departemen Teknik Sistem Perkapalan")</f>
        <v>Departemen Teknik Sistem Perkapalan</v>
      </c>
      <c r="O31" s="1"/>
      <c r="P31" s="1"/>
      <c r="Q31" s="1"/>
      <c r="R31" s="1"/>
      <c r="S31" s="1"/>
      <c r="T31" s="1"/>
      <c r="U31" s="1" t="str">
        <f ca="1">IFERROR(__xludf.DUMMYFUNCTION("""COMPUTED_VALUE"""),"Prof. Dr. Dra Fahimah Martak, M.Si")</f>
        <v>Prof. Dr. Dra Fahimah Martak, M.Si</v>
      </c>
      <c r="V31" s="1" t="str">
        <f ca="1">IFERROR(__xludf.DUMMYFUNCTION("""COMPUTED_VALUE"""),"Arif Fadlan, S.Si., M.Si., D.Sc")</f>
        <v>Arif Fadlan, S.Si., M.Si., D.Sc</v>
      </c>
      <c r="W31" s="1"/>
      <c r="X31" s="1" t="str">
        <f ca="1">IFERROR(__xludf.DUMMYFUNCTION("""COMPUTED_VALUE"""),"Lolos")</f>
        <v>Lolos</v>
      </c>
      <c r="Y31" s="1"/>
      <c r="Z31" s="1"/>
      <c r="AA31" s="1"/>
    </row>
    <row r="32" spans="1:27">
      <c r="A32" s="1" t="s">
        <v>31</v>
      </c>
      <c r="B32" s="1">
        <f ca="1">IFERROR(__xludf.DUMMYFUNCTION("""COMPUTED_VALUE"""),2611)</f>
        <v>2611</v>
      </c>
      <c r="C32" s="1" t="str">
        <f ca="1">IFERROR(__xludf.DUMMYFUNCTION("""COMPUTED_VALUE"""),"PKM Artikel Ilmiah")</f>
        <v>PKM Artikel Ilmiah</v>
      </c>
      <c r="D32" s="1" t="str">
        <f ca="1">IFERROR(__xludf.DUMMYFUNCTION("""COMPUTED_VALUE"""),"ANALISA GAYA LUAR TERHADAP GERAKAN DAN POTENSI ENERGI PENDULUM TIPE JURING UNTUK SISTEM PEMBANGKIT LISTRIK TENAGA GELOMBANG LAUT")</f>
        <v>ANALISA GAYA LUAR TERHADAP GERAKAN DAN POTENSI ENERGI PENDULUM TIPE JURING UNTUK SISTEM PEMBANGKIT LISTRIK TENAGA GELOMBANG LAUT</v>
      </c>
      <c r="E32" s="1" t="str">
        <f ca="1">IFERROR(__xludf.DUMMYFUNCTION("""COMPUTED_VALUE"""),"ADITYA PUTRA SANTOSA")</f>
        <v>ADITYA PUTRA SANTOSA</v>
      </c>
      <c r="F32" s="1" t="str">
        <f ca="1">IFERROR(__xludf.DUMMYFUNCTION("""COMPUTED_VALUE"""),"04211840000092")</f>
        <v>04211840000092</v>
      </c>
      <c r="G32" s="1" t="str">
        <f ca="1">IFERROR(__xludf.DUMMYFUNCTION("""COMPUTED_VALUE"""),"Departemen Teknik Sistem Perkapalan")</f>
        <v>Departemen Teknik Sistem Perkapalan</v>
      </c>
      <c r="H32" s="1" t="str">
        <f ca="1">IFERROR(__xludf.DUMMYFUNCTION("""COMPUTED_VALUE"""),"Irfan Syarief Arief, S.T., M.T.")</f>
        <v>Irfan Syarief Arief, S.T., M.T.</v>
      </c>
      <c r="I32" s="1" t="str">
        <f ca="1">IFERROR(__xludf.DUMMYFUNCTION("""COMPUTED_VALUE"""),"DANIEL ALFARO")</f>
        <v>DANIEL ALFARO</v>
      </c>
      <c r="J32" s="1" t="str">
        <f ca="1">IFERROR(__xludf.DUMMYFUNCTION("""COMPUTED_VALUE"""),"04211941000017")</f>
        <v>04211941000017</v>
      </c>
      <c r="K32" s="1" t="str">
        <f ca="1">IFERROR(__xludf.DUMMYFUNCTION("""COMPUTED_VALUE"""),"Departemen Teknik Sistem Perkapalan")</f>
        <v>Departemen Teknik Sistem Perkapalan</v>
      </c>
      <c r="L32" s="1" t="str">
        <f ca="1">IFERROR(__xludf.DUMMYFUNCTION("""COMPUTED_VALUE"""),"ARKAN DAVID ALZHAFRAN")</f>
        <v>ARKAN DAVID ALZHAFRAN</v>
      </c>
      <c r="M32" s="1" t="str">
        <f ca="1">IFERROR(__xludf.DUMMYFUNCTION("""COMPUTED_VALUE"""),"04211941000029")</f>
        <v>04211941000029</v>
      </c>
      <c r="N32" s="1" t="str">
        <f ca="1">IFERROR(__xludf.DUMMYFUNCTION("""COMPUTED_VALUE"""),"Departemen Teknik Sistem Perkapalan")</f>
        <v>Departemen Teknik Sistem Perkapalan</v>
      </c>
      <c r="O32" s="1" t="str">
        <f ca="1">IFERROR(__xludf.DUMMYFUNCTION("""COMPUTED_VALUE"""),"AHMAD AULIYA HANIIF HANURAGA")</f>
        <v>AHMAD AULIYA HANIIF HANURAGA</v>
      </c>
      <c r="P32" s="1" t="str">
        <f ca="1">IFERROR(__xludf.DUMMYFUNCTION("""COMPUTED_VALUE"""),"04211940000044")</f>
        <v>04211940000044</v>
      </c>
      <c r="Q32" s="1" t="str">
        <f ca="1">IFERROR(__xludf.DUMMYFUNCTION("""COMPUTED_VALUE"""),"Departemen Teknik Sistem Perkapalan")</f>
        <v>Departemen Teknik Sistem Perkapalan</v>
      </c>
      <c r="R32" s="1"/>
      <c r="S32" s="1"/>
      <c r="T32" s="1"/>
      <c r="U32" s="1" t="str">
        <f ca="1">IFERROR(__xludf.DUMMYFUNCTION("""COMPUTED_VALUE"""),"Prof. Dr. Dra Fahimah Martak, M.Si")</f>
        <v>Prof. Dr. Dra Fahimah Martak, M.Si</v>
      </c>
      <c r="V32" s="1" t="str">
        <f ca="1">IFERROR(__xludf.DUMMYFUNCTION("""COMPUTED_VALUE"""),"Arif Fadlan, S.Si., M.Si., D.Sc")</f>
        <v>Arif Fadlan, S.Si., M.Si., D.Sc</v>
      </c>
      <c r="W32" s="1"/>
      <c r="X32" s="1" t="str">
        <f ca="1">IFERROR(__xludf.DUMMYFUNCTION("""COMPUTED_VALUE"""),"Lolos")</f>
        <v>Lolos</v>
      </c>
      <c r="Y32" s="1"/>
      <c r="Z32" s="1"/>
      <c r="AA32" s="1"/>
    </row>
    <row r="33" spans="1:27">
      <c r="A33" s="1" t="s">
        <v>32</v>
      </c>
      <c r="B33" s="1">
        <f ca="1">IFERROR(__xludf.DUMMYFUNCTION("""COMPUTED_VALUE"""),2221)</f>
        <v>2221</v>
      </c>
      <c r="C33" s="1" t="str">
        <f ca="1">IFERROR(__xludf.DUMMYFUNCTION("""COMPUTED_VALUE"""),"PKM Artikel Ilmiah")</f>
        <v>PKM Artikel Ilmiah</v>
      </c>
      <c r="D33" s="1" t="str">
        <f ca="1">IFERROR(__xludf.DUMMYFUNCTION("""COMPUTED_VALUE"""),"Penerapan Konsep Smart City Berbasis Internet of Things pada Ibu Kota Baru Indonesia")</f>
        <v>Penerapan Konsep Smart City Berbasis Internet of Things pada Ibu Kota Baru Indonesia</v>
      </c>
      <c r="E33" s="1" t="str">
        <f ca="1">IFERROR(__xludf.DUMMYFUNCTION("""COMPUTED_VALUE"""),"Lukas Lauren")</f>
        <v>Lukas Lauren</v>
      </c>
      <c r="F33" s="1" t="str">
        <f ca="1">IFERROR(__xludf.DUMMYFUNCTION("""COMPUTED_VALUE"""),"5010211095")</f>
        <v>5010211095</v>
      </c>
      <c r="G33" s="1" t="str">
        <f ca="1">IFERROR(__xludf.DUMMYFUNCTION("""COMPUTED_VALUE"""),"Departemen Teknik Sistem dan Industri")</f>
        <v>Departemen Teknik Sistem dan Industri</v>
      </c>
      <c r="H33" s="1" t="str">
        <f ca="1">IFERROR(__xludf.DUMMYFUNCTION("""COMPUTED_VALUE"""),"Dody Hartanto, S.T., M.T.")</f>
        <v>Dody Hartanto, S.T., M.T.</v>
      </c>
      <c r="I33" s="1" t="str">
        <f ca="1">IFERROR(__xludf.DUMMYFUNCTION("""COMPUTED_VALUE"""),"Tatia Mahendra")</f>
        <v>Tatia Mahendra</v>
      </c>
      <c r="J33" s="1" t="str">
        <f ca="1">IFERROR(__xludf.DUMMYFUNCTION("""COMPUTED_VALUE"""),"5024211073")</f>
        <v>5024211073</v>
      </c>
      <c r="K33" s="1" t="str">
        <f ca="1">IFERROR(__xludf.DUMMYFUNCTION("""COMPUTED_VALUE"""),"Departemen Teknik Komputer")</f>
        <v>Departemen Teknik Komputer</v>
      </c>
      <c r="L33" s="1" t="str">
        <f ca="1">IFERROR(__xludf.DUMMYFUNCTION("""COMPUTED_VALUE"""),"Mika Daniel Nainggol")</f>
        <v>Mika Daniel Nainggol</v>
      </c>
      <c r="M33" s="1" t="str">
        <f ca="1">IFERROR(__xludf.DUMMYFUNCTION("""COMPUTED_VALUE"""),"5002211163")</f>
        <v>5002211163</v>
      </c>
      <c r="N33" s="1" t="str">
        <f ca="1">IFERROR(__xludf.DUMMYFUNCTION("""COMPUTED_VALUE"""),"Departemen Matematika")</f>
        <v>Departemen Matematika</v>
      </c>
      <c r="O33" s="1" t="str">
        <f ca="1">IFERROR(__xludf.DUMMYFUNCTION("""COMPUTED_VALUE"""),"SESILIA DHINI N.P")</f>
        <v>SESILIA DHINI N.P</v>
      </c>
      <c r="P33" s="1" t="str">
        <f ca="1">IFERROR(__xludf.DUMMYFUNCTION("""COMPUTED_VALUE"""),"5010211105")</f>
        <v>5010211105</v>
      </c>
      <c r="Q33" s="1" t="str">
        <f ca="1">IFERROR(__xludf.DUMMYFUNCTION("""COMPUTED_VALUE"""),"Departemen Teknik Sistem dan Industri")</f>
        <v>Departemen Teknik Sistem dan Industri</v>
      </c>
      <c r="R33" s="1"/>
      <c r="S33" s="1"/>
      <c r="T33" s="1"/>
      <c r="U33" s="1" t="str">
        <f ca="1">IFERROR(__xludf.DUMMYFUNCTION("""COMPUTED_VALUE"""),"Prof. Dr. Dra Fahimah Martak, M.Si")</f>
        <v>Prof. Dr. Dra Fahimah Martak, M.Si</v>
      </c>
      <c r="V33" s="1" t="str">
        <f ca="1">IFERROR(__xludf.DUMMYFUNCTION("""COMPUTED_VALUE"""),"Ulil 'Azmi, S.Si., M.Si.")</f>
        <v>Ulil 'Azmi, S.Si., M.Si.</v>
      </c>
      <c r="W33" s="1"/>
      <c r="X33" s="1" t="str">
        <f ca="1">IFERROR(__xludf.DUMMYFUNCTION("""COMPUTED_VALUE"""),"Lolos")</f>
        <v>Lolos</v>
      </c>
      <c r="Y33" s="1"/>
      <c r="Z33" s="1"/>
      <c r="AA33" s="1"/>
    </row>
    <row r="34" spans="1:27">
      <c r="A34" s="1" t="s">
        <v>33</v>
      </c>
      <c r="B34" s="1">
        <f ca="1">IFERROR(__xludf.DUMMYFUNCTION("""COMPUTED_VALUE"""),2644)</f>
        <v>2644</v>
      </c>
      <c r="C34" s="1" t="str">
        <f ca="1">IFERROR(__xludf.DUMMYFUNCTION("""COMPUTED_VALUE"""),"PKM Artikel Ilmiah")</f>
        <v>PKM Artikel Ilmiah</v>
      </c>
      <c r="D34" s="1" t="str">
        <f ca="1">IFERROR(__xludf.DUMMYFUNCTION("""COMPUTED_VALUE"""),"ANALISA PENGGUNAAN METODE PASTEURIZATION UNTUK BALLAST WATER TREATMENT KAPAL KONTAINER")</f>
        <v>ANALISA PENGGUNAAN METODE PASTEURIZATION UNTUK BALLAST WATER TREATMENT KAPAL KONTAINER</v>
      </c>
      <c r="E34" s="1" t="str">
        <f ca="1">IFERROR(__xludf.DUMMYFUNCTION("""COMPUTED_VALUE"""),"DERYL PUTRA ASWIN")</f>
        <v>DERYL PUTRA ASWIN</v>
      </c>
      <c r="F34" s="1" t="str">
        <f ca="1">IFERROR(__xludf.DUMMYFUNCTION("""COMPUTED_VALUE"""),"04211840000057")</f>
        <v>04211840000057</v>
      </c>
      <c r="G34" s="1" t="str">
        <f ca="1">IFERROR(__xludf.DUMMYFUNCTION("""COMPUTED_VALUE"""),"Departemen Teknik Sistem Perkapalan")</f>
        <v>Departemen Teknik Sistem Perkapalan</v>
      </c>
      <c r="H34" s="1" t="str">
        <f ca="1">IFERROR(__xludf.DUMMYFUNCTION("""COMPUTED_VALUE"""),"Ir. Agoes Santoso, M.Sc.")</f>
        <v>Ir. Agoes Santoso, M.Sc.</v>
      </c>
      <c r="I34" s="1" t="str">
        <f ca="1">IFERROR(__xludf.DUMMYFUNCTION("""COMPUTED_VALUE"""),"Ibnu Khuldun")</f>
        <v>Ibnu Khuldun</v>
      </c>
      <c r="J34" s="1" t="str">
        <f ca="1">IFERROR(__xludf.DUMMYFUNCTION("""COMPUTED_VALUE"""),"04211840000002")</f>
        <v>04211840000002</v>
      </c>
      <c r="K34" s="1" t="str">
        <f ca="1">IFERROR(__xludf.DUMMYFUNCTION("""COMPUTED_VALUE"""),"Departemen Teknik Sistem Perkapalan")</f>
        <v>Departemen Teknik Sistem Perkapalan</v>
      </c>
      <c r="L34" s="1" t="str">
        <f ca="1">IFERROR(__xludf.DUMMYFUNCTION("""COMPUTED_VALUE"""),"OSA TITO PUTRA")</f>
        <v>OSA TITO PUTRA</v>
      </c>
      <c r="M34" s="1" t="str">
        <f ca="1">IFERROR(__xludf.DUMMYFUNCTION("""COMPUTED_VALUE"""),"04211840000126")</f>
        <v>04211840000126</v>
      </c>
      <c r="N34" s="1" t="str">
        <f ca="1">IFERROR(__xludf.DUMMYFUNCTION("""COMPUTED_VALUE"""),"Departemen Teknik Sistem Perkapalan")</f>
        <v>Departemen Teknik Sistem Perkapalan</v>
      </c>
      <c r="O34" s="1"/>
      <c r="P34" s="1"/>
      <c r="Q34" s="1"/>
      <c r="R34" s="1"/>
      <c r="S34" s="1"/>
      <c r="T34" s="1"/>
      <c r="U34" s="1" t="str">
        <f ca="1">IFERROR(__xludf.DUMMYFUNCTION("""COMPUTED_VALUE"""),"Prof. Dr. Dra Fahimah Martak, M.Si")</f>
        <v>Prof. Dr. Dra Fahimah Martak, M.Si</v>
      </c>
      <c r="V34" s="1" t="str">
        <f ca="1">IFERROR(__xludf.DUMMYFUNCTION("""COMPUTED_VALUE"""),"Arif Fadlan, S.Si., M.Si., D.Sc")</f>
        <v>Arif Fadlan, S.Si., M.Si., D.Sc</v>
      </c>
      <c r="W34" s="1"/>
      <c r="X34" s="1" t="str">
        <f ca="1">IFERROR(__xludf.DUMMYFUNCTION("""COMPUTED_VALUE"""),"Lolos")</f>
        <v>Lolos</v>
      </c>
      <c r="Y34" s="1"/>
      <c r="Z34" s="1"/>
      <c r="AA34" s="1"/>
    </row>
    <row r="35" spans="1:27">
      <c r="A35" s="1" t="s">
        <v>34</v>
      </c>
      <c r="B35" s="1">
        <f ca="1">IFERROR(__xludf.DUMMYFUNCTION("""COMPUTED_VALUE"""),2707)</f>
        <v>2707</v>
      </c>
      <c r="C35" s="1" t="str">
        <f ca="1">IFERROR(__xludf.DUMMYFUNCTION("""COMPUTED_VALUE"""),"PKM Artikel Ilmiah")</f>
        <v>PKM Artikel Ilmiah</v>
      </c>
      <c r="D35" s="1" t="str">
        <f ca="1">IFERROR(__xludf.DUMMYFUNCTION("""COMPUTED_VALUE"""),"SHORT CIRCUIT ANALYSIS DUE TO RECONFIGURATION AC TO DC ELECTRICAL DISTRIBUTION SYSTEM ON TSHD KING ARTHUR III BASED ON SIMULATION")</f>
        <v>SHORT CIRCUIT ANALYSIS DUE TO RECONFIGURATION AC TO DC ELECTRICAL DISTRIBUTION SYSTEM ON TSHD KING ARTHUR III BASED ON SIMULATION</v>
      </c>
      <c r="E35" s="1" t="str">
        <f ca="1">IFERROR(__xludf.DUMMYFUNCTION("""COMPUTED_VALUE"""),"Muhammad Raihan Rosulan Indni Kesuma")</f>
        <v>Muhammad Raihan Rosulan Indni Kesuma</v>
      </c>
      <c r="F35" s="1" t="str">
        <f ca="1">IFERROR(__xludf.DUMMYFUNCTION("""COMPUTED_VALUE"""),"04211841000012")</f>
        <v>04211841000012</v>
      </c>
      <c r="G35" s="1" t="str">
        <f ca="1">IFERROR(__xludf.DUMMYFUNCTION("""COMPUTED_VALUE"""),"Departemen Teknik Sistem Perkapalan")</f>
        <v>Departemen Teknik Sistem Perkapalan</v>
      </c>
      <c r="H35" s="1" t="str">
        <f ca="1">IFERROR(__xludf.DUMMYFUNCTION("""COMPUTED_VALUE"""),"Dr.Eng. Adi Kurniawan, S.T., M.T.")</f>
        <v>Dr.Eng. Adi Kurniawan, S.T., M.T.</v>
      </c>
      <c r="I35" s="1" t="str">
        <f ca="1">IFERROR(__xludf.DUMMYFUNCTION("""COMPUTED_VALUE"""),"HISYAM AMRU OSAMAH")</f>
        <v>HISYAM AMRU OSAMAH</v>
      </c>
      <c r="J35" s="1" t="str">
        <f ca="1">IFERROR(__xludf.DUMMYFUNCTION("""COMPUTED_VALUE"""),"04211941000031")</f>
        <v>04211941000031</v>
      </c>
      <c r="K35" s="1" t="str">
        <f ca="1">IFERROR(__xludf.DUMMYFUNCTION("""COMPUTED_VALUE"""),"Departemen Teknik Sistem Perkapalan")</f>
        <v>Departemen Teknik Sistem Perkapalan</v>
      </c>
      <c r="L35" s="1" t="str">
        <f ca="1">IFERROR(__xludf.DUMMYFUNCTION("""COMPUTED_VALUE"""),"FAUZAN TAUFIKHAIRUL")</f>
        <v>FAUZAN TAUFIKHAIRUL</v>
      </c>
      <c r="M35" s="1" t="str">
        <f ca="1">IFERROR(__xludf.DUMMYFUNCTION("""COMPUTED_VALUE"""),"04211940000047")</f>
        <v>04211940000047</v>
      </c>
      <c r="N35" s="1" t="str">
        <f ca="1">IFERROR(__xludf.DUMMYFUNCTION("""COMPUTED_VALUE"""),"Departemen Teknik Sistem Perkapalan")</f>
        <v>Departemen Teknik Sistem Perkapalan</v>
      </c>
      <c r="O35" s="1"/>
      <c r="P35" s="1"/>
      <c r="Q35" s="1"/>
      <c r="R35" s="1"/>
      <c r="S35" s="1"/>
      <c r="T35" s="1"/>
      <c r="U35" s="1" t="str">
        <f ca="1">IFERROR(__xludf.DUMMYFUNCTION("""COMPUTED_VALUE"""),"Prof. Dr. Dra Fahimah Martak, M.Si")</f>
        <v>Prof. Dr. Dra Fahimah Martak, M.Si</v>
      </c>
      <c r="V35" s="1" t="str">
        <f ca="1">IFERROR(__xludf.DUMMYFUNCTION("""COMPUTED_VALUE"""),"Arif Fadlan, S.Si., M.Si., D.Sc")</f>
        <v>Arif Fadlan, S.Si., M.Si., D.Sc</v>
      </c>
      <c r="W35" s="1"/>
      <c r="X35" s="1" t="str">
        <f ca="1">IFERROR(__xludf.DUMMYFUNCTION("""COMPUTED_VALUE"""),"Lolos")</f>
        <v>Lolos</v>
      </c>
      <c r="Y35" s="1"/>
      <c r="Z35" s="1"/>
      <c r="AA35" s="1"/>
    </row>
    <row r="36" spans="1:27">
      <c r="A36" s="1" t="s">
        <v>35</v>
      </c>
      <c r="B36" s="1">
        <f ca="1">IFERROR(__xludf.DUMMYFUNCTION("""COMPUTED_VALUE"""),3782)</f>
        <v>3782</v>
      </c>
      <c r="C36" s="1" t="str">
        <f ca="1">IFERROR(__xludf.DUMMYFUNCTION("""COMPUTED_VALUE"""),"PKM Artikel Ilmiah")</f>
        <v>PKM Artikel Ilmiah</v>
      </c>
      <c r="D36" s="1" t="str">
        <f ca="1">IFERROR(__xludf.DUMMYFUNCTION("""COMPUTED_VALUE"""),"Pemanfaatan Teknologi Artificial Intelligence Dalam Upaya Peningkatan Keuntungan UMKM Melalui Penggunaan Jasa Influencer Sebagai Media Pemasaran ")</f>
        <v xml:space="preserve">Pemanfaatan Teknologi Artificial Intelligence Dalam Upaya Peningkatan Keuntungan UMKM Melalui Penggunaan Jasa Influencer Sebagai Media Pemasaran </v>
      </c>
      <c r="E36" s="1" t="str">
        <f ca="1">IFERROR(__xludf.DUMMYFUNCTION("""COMPUTED_VALUE"""),"Mukhammad Akbar Makhbubi")</f>
        <v>Mukhammad Akbar Makhbubi</v>
      </c>
      <c r="F36" s="1" t="str">
        <f ca="1">IFERROR(__xludf.DUMMYFUNCTION("""COMPUTED_VALUE"""),"08211940000021")</f>
        <v>08211940000021</v>
      </c>
      <c r="G36" s="1" t="str">
        <f ca="1">IFERROR(__xludf.DUMMYFUNCTION("""COMPUTED_VALUE"""),"Departemen Perencanaan Wilayah dan Kota")</f>
        <v>Departemen Perencanaan Wilayah dan Kota</v>
      </c>
      <c r="H36" s="1" t="str">
        <f ca="1">IFERROR(__xludf.DUMMYFUNCTION("""COMPUTED_VALUE"""),"Ika Nurkasanah, S.Kom., M.Sc.")</f>
        <v>Ika Nurkasanah, S.Kom., M.Sc.</v>
      </c>
      <c r="I36" s="1" t="str">
        <f ca="1">IFERROR(__xludf.DUMMYFUNCTION("""COMPUTED_VALUE"""),"Alifia Shafa Camila")</f>
        <v>Alifia Shafa Camila</v>
      </c>
      <c r="J36" s="1" t="str">
        <f ca="1">IFERROR(__xludf.DUMMYFUNCTION("""COMPUTED_VALUE"""),"05211940000016")</f>
        <v>05211940000016</v>
      </c>
      <c r="K36" s="1" t="str">
        <f ca="1">IFERROR(__xludf.DUMMYFUNCTION("""COMPUTED_VALUE"""),"Departemen Sistem Informasi")</f>
        <v>Departemen Sistem Informasi</v>
      </c>
      <c r="L36" s="1" t="str">
        <f ca="1">IFERROR(__xludf.DUMMYFUNCTION("""COMPUTED_VALUE"""),"ENING TRI AYU ALFIYANTI")</f>
        <v>ENING TRI AYU ALFIYANTI</v>
      </c>
      <c r="M36" s="1" t="str">
        <f ca="1">IFERROR(__xludf.DUMMYFUNCTION("""COMPUTED_VALUE"""),"05211940000047")</f>
        <v>05211940000047</v>
      </c>
      <c r="N36" s="1" t="str">
        <f ca="1">IFERROR(__xludf.DUMMYFUNCTION("""COMPUTED_VALUE"""),"Departemen Sistem Informasi")</f>
        <v>Departemen Sistem Informasi</v>
      </c>
      <c r="O36" s="1"/>
      <c r="P36" s="1"/>
      <c r="Q36" s="1"/>
      <c r="R36" s="1"/>
      <c r="S36" s="1"/>
      <c r="T36" s="1"/>
      <c r="U36" s="1" t="str">
        <f ca="1">IFERROR(__xludf.DUMMYFUNCTION("""COMPUTED_VALUE"""),"Dr.-Ing. Doty Dewi Risanti, S.T., M.T.")</f>
        <v>Dr.-Ing. Doty Dewi Risanti, S.T., M.T.</v>
      </c>
      <c r="V36" s="1" t="str">
        <f ca="1">IFERROR(__xludf.DUMMYFUNCTION("""COMPUTED_VALUE"""),"Hariyati Purwaningsih, S.Si., M.Si.")</f>
        <v>Hariyati Purwaningsih, S.Si., M.Si.</v>
      </c>
      <c r="W36" s="1"/>
      <c r="X36" s="1" t="str">
        <f ca="1">IFERROR(__xludf.DUMMYFUNCTION("""COMPUTED_VALUE"""),"Lolos")</f>
        <v>Lolos</v>
      </c>
      <c r="Y36" s="1"/>
      <c r="Z36" s="1"/>
      <c r="AA36" s="1"/>
    </row>
    <row r="37" spans="1:27">
      <c r="A37" s="1" t="s">
        <v>36</v>
      </c>
      <c r="B37" s="1">
        <f ca="1">IFERROR(__xludf.DUMMYFUNCTION("""COMPUTED_VALUE"""),3755)</f>
        <v>3755</v>
      </c>
      <c r="C37" s="1" t="str">
        <f ca="1">IFERROR(__xludf.DUMMYFUNCTION("""COMPUTED_VALUE"""),"PKM Artikel Ilmiah")</f>
        <v>PKM Artikel Ilmiah</v>
      </c>
      <c r="D37" s="1" t="str">
        <f ca="1">IFERROR(__xludf.DUMMYFUNCTION("""COMPUTED_VALUE"""),"PENGOLAHAN PETA DEM MENGGUNAKAN SOFTWARE ARCGIS UNTUK MENDETEKSI RECHARGE AREA DI DAERAH SANGKULIRANG, KUTAI TIMUR, KALIMANTAN TIMUR")</f>
        <v>PENGOLAHAN PETA DEM MENGGUNAKAN SOFTWARE ARCGIS UNTUK MENDETEKSI RECHARGE AREA DI DAERAH SANGKULIRANG, KUTAI TIMUR, KALIMANTAN TIMUR</v>
      </c>
      <c r="E37" s="1" t="str">
        <f ca="1">IFERROR(__xludf.DUMMYFUNCTION("""COMPUTED_VALUE"""),"ANNISA RAMADHANI VARHANA")</f>
        <v>ANNISA RAMADHANI VARHANA</v>
      </c>
      <c r="F37" s="1" t="str">
        <f ca="1">IFERROR(__xludf.DUMMYFUNCTION("""COMPUTED_VALUE"""),"03411840000033")</f>
        <v>03411840000033</v>
      </c>
      <c r="G37" s="1" t="str">
        <f ca="1">IFERROR(__xludf.DUMMYFUNCTION("""COMPUTED_VALUE"""),"Departemen Teknik Geofisika")</f>
        <v>Departemen Teknik Geofisika</v>
      </c>
      <c r="H37" s="1" t="str">
        <f ca="1">IFERROR(__xludf.DUMMYFUNCTION("""COMPUTED_VALUE"""),"Wien Lestari, S.T., M.T.")</f>
        <v>Wien Lestari, S.T., M.T.</v>
      </c>
      <c r="I37" s="1" t="str">
        <f ca="1">IFERROR(__xludf.DUMMYFUNCTION("""COMPUTED_VALUE"""),"Titah Anggraeni Putri Kinasih")</f>
        <v>Titah Anggraeni Putri Kinasih</v>
      </c>
      <c r="J37" s="1" t="str">
        <f ca="1">IFERROR(__xludf.DUMMYFUNCTION("""COMPUTED_VALUE"""),"03411840000019")</f>
        <v>03411840000019</v>
      </c>
      <c r="K37" s="1" t="str">
        <f ca="1">IFERROR(__xludf.DUMMYFUNCTION("""COMPUTED_VALUE"""),"Departemen Teknik Geofisika")</f>
        <v>Departemen Teknik Geofisika</v>
      </c>
      <c r="L37" s="1" t="str">
        <f ca="1">IFERROR(__xludf.DUMMYFUNCTION("""COMPUTED_VALUE"""),"AMANDA PUTRI WIDYANTI")</f>
        <v>AMANDA PUTRI WIDYANTI</v>
      </c>
      <c r="M37" s="1" t="str">
        <f ca="1">IFERROR(__xludf.DUMMYFUNCTION("""COMPUTED_VALUE"""),"03411840000028")</f>
        <v>03411840000028</v>
      </c>
      <c r="N37" s="1" t="str">
        <f ca="1">IFERROR(__xludf.DUMMYFUNCTION("""COMPUTED_VALUE"""),"Departemen Teknik Geofisika")</f>
        <v>Departemen Teknik Geofisika</v>
      </c>
      <c r="O37" s="1" t="str">
        <f ca="1">IFERROR(__xludf.DUMMYFUNCTION("""COMPUTED_VALUE"""),"MILANIA ANNISA ROSVIN")</f>
        <v>MILANIA ANNISA ROSVIN</v>
      </c>
      <c r="P37" s="1" t="str">
        <f ca="1">IFERROR(__xludf.DUMMYFUNCTION("""COMPUTED_VALUE"""),"03411840000035")</f>
        <v>03411840000035</v>
      </c>
      <c r="Q37" s="1" t="str">
        <f ca="1">IFERROR(__xludf.DUMMYFUNCTION("""COMPUTED_VALUE"""),"Departemen Teknik Geofisika")</f>
        <v>Departemen Teknik Geofisika</v>
      </c>
      <c r="R37" s="1"/>
      <c r="S37" s="1"/>
      <c r="T37" s="1"/>
      <c r="U37" s="1" t="str">
        <f ca="1">IFERROR(__xludf.DUMMYFUNCTION("""COMPUTED_VALUE"""),"Dr.-Ing. Doty Dewi Risanti, S.T., M.T.")</f>
        <v>Dr.-Ing. Doty Dewi Risanti, S.T., M.T.</v>
      </c>
      <c r="V37" s="1" t="str">
        <f ca="1">IFERROR(__xludf.DUMMYFUNCTION("""COMPUTED_VALUE"""),"Hariyati Purwaningsih, S.Si., M.Si.")</f>
        <v>Hariyati Purwaningsih, S.Si., M.Si.</v>
      </c>
      <c r="W37" s="1"/>
      <c r="X37" s="1" t="str">
        <f ca="1">IFERROR(__xludf.DUMMYFUNCTION("""COMPUTED_VALUE"""),"Lolos")</f>
        <v>Lolos</v>
      </c>
      <c r="Y37" s="1"/>
      <c r="Z37" s="1"/>
      <c r="AA37" s="1"/>
    </row>
    <row r="38" spans="1:27">
      <c r="A38" s="1" t="s">
        <v>37</v>
      </c>
      <c r="B38" s="1">
        <f ca="1">IFERROR(__xludf.DUMMYFUNCTION("""COMPUTED_VALUE"""),2265)</f>
        <v>2265</v>
      </c>
      <c r="C38" s="1" t="str">
        <f ca="1">IFERROR(__xludf.DUMMYFUNCTION("""COMPUTED_VALUE"""),"PKM Artikel Ilmiah")</f>
        <v>PKM Artikel Ilmiah</v>
      </c>
      <c r="D38" s="1" t="str">
        <f ca="1">IFERROR(__xludf.DUMMYFUNCTION("""COMPUTED_VALUE"""),"ANALISIS TEGANGAN JATUH AKIBAT REKONFIGURASI DISTRIBUSI LISTRIK AC MENJADI DC PADA KAPAL TANKER DENGAN SUMBER LISTRIK HYBRID GENERATOR DAN FOTOVOLTAIK")</f>
        <v>ANALISIS TEGANGAN JATUH AKIBAT REKONFIGURASI DISTRIBUSI LISTRIK AC MENJADI DC PADA KAPAL TANKER DENGAN SUMBER LISTRIK HYBRID GENERATOR DAN FOTOVOLTAIK</v>
      </c>
      <c r="E38" s="1" t="str">
        <f ca="1">IFERROR(__xludf.DUMMYFUNCTION("""COMPUTED_VALUE"""),"Meynanda Setiadi")</f>
        <v>Meynanda Setiadi</v>
      </c>
      <c r="F38" s="1" t="str">
        <f ca="1">IFERROR(__xludf.DUMMYFUNCTION("""COMPUTED_VALUE"""),"04211840000025")</f>
        <v>04211840000025</v>
      </c>
      <c r="G38" s="1" t="str">
        <f ca="1">IFERROR(__xludf.DUMMYFUNCTION("""COMPUTED_VALUE"""),"Departemen Teknik Sistem Perkapalan")</f>
        <v>Departemen Teknik Sistem Perkapalan</v>
      </c>
      <c r="H38" s="1" t="str">
        <f ca="1">IFERROR(__xludf.DUMMYFUNCTION("""COMPUTED_VALUE"""),"Dr.Eng. Adi Kurniawan, S.T., M.T.")</f>
        <v>Dr.Eng. Adi Kurniawan, S.T., M.T.</v>
      </c>
      <c r="I38" s="1" t="str">
        <f ca="1">IFERROR(__xludf.DUMMYFUNCTION("""COMPUTED_VALUE"""),"NUR AUFAQ RIZKY IRFAN AR ROCHIM")</f>
        <v>NUR AUFAQ RIZKY IRFAN AR ROCHIM</v>
      </c>
      <c r="J38" s="1" t="str">
        <f ca="1">IFERROR(__xludf.DUMMYFUNCTION("""COMPUTED_VALUE"""),"04211840000084")</f>
        <v>04211840000084</v>
      </c>
      <c r="K38" s="1" t="str">
        <f ca="1">IFERROR(__xludf.DUMMYFUNCTION("""COMPUTED_VALUE"""),"Departemen Teknik Sistem Perkapalan")</f>
        <v>Departemen Teknik Sistem Perkapalan</v>
      </c>
      <c r="L38" s="1" t="str">
        <f ca="1">IFERROR(__xludf.DUMMYFUNCTION("""COMPUTED_VALUE"""),"Sutama Cahyo Putra")</f>
        <v>Sutama Cahyo Putra</v>
      </c>
      <c r="M38" s="1" t="str">
        <f ca="1">IFERROR(__xludf.DUMMYFUNCTION("""COMPUTED_VALUE"""),"04211940000025")</f>
        <v>04211940000025</v>
      </c>
      <c r="N38" s="1" t="str">
        <f ca="1">IFERROR(__xludf.DUMMYFUNCTION("""COMPUTED_VALUE"""),"Departemen Teknik Sistem Perkapalan")</f>
        <v>Departemen Teknik Sistem Perkapalan</v>
      </c>
      <c r="O38" s="1"/>
      <c r="P38" s="1"/>
      <c r="Q38" s="1"/>
      <c r="R38" s="1"/>
      <c r="S38" s="1"/>
      <c r="T38" s="1"/>
      <c r="U38" s="1" t="str">
        <f ca="1">IFERROR(__xludf.DUMMYFUNCTION("""COMPUTED_VALUE"""),"Prof. Dr. Dra Fahimah Martak, M.Si")</f>
        <v>Prof. Dr. Dra Fahimah Martak, M.Si</v>
      </c>
      <c r="V38" s="1" t="str">
        <f ca="1">IFERROR(__xludf.DUMMYFUNCTION("""COMPUTED_VALUE"""),"Ulil 'Azmi, S.Si., M.Si.")</f>
        <v>Ulil 'Azmi, S.Si., M.Si.</v>
      </c>
      <c r="W38" s="1"/>
      <c r="X38" s="1" t="str">
        <f ca="1">IFERROR(__xludf.DUMMYFUNCTION("""COMPUTED_VALUE"""),"Lolos")</f>
        <v>Lolos</v>
      </c>
      <c r="Y38" s="1"/>
      <c r="Z38" s="1"/>
      <c r="AA38" s="1"/>
    </row>
    <row r="39" spans="1:27">
      <c r="A39" s="1" t="s">
        <v>38</v>
      </c>
      <c r="B39" s="1">
        <f ca="1">IFERROR(__xludf.DUMMYFUNCTION("""COMPUTED_VALUE"""),3881)</f>
        <v>3881</v>
      </c>
      <c r="C39" s="1" t="str">
        <f ca="1">IFERROR(__xludf.DUMMYFUNCTION("""COMPUTED_VALUE"""),"PKM Artikel Ilmiah")</f>
        <v>PKM Artikel Ilmiah</v>
      </c>
      <c r="D39" s="1" t="str">
        <f ca="1">IFERROR(__xludf.DUMMYFUNCTION("""COMPUTED_VALUE"""),"Pemanfaatan Briket Berbahan Limbah Pabrik Kertas dalam Peningkatan 
Efisiensi Proses Pembuatan Kertas")</f>
        <v>Pemanfaatan Briket Berbahan Limbah Pabrik Kertas dalam Peningkatan 
Efisiensi Proses Pembuatan Kertas</v>
      </c>
      <c r="E39" s="1" t="str">
        <f ca="1">IFERROR(__xludf.DUMMYFUNCTION("""COMPUTED_VALUE"""),"HUGO")</f>
        <v>HUGO</v>
      </c>
      <c r="F39" s="1" t="str">
        <f ca="1">IFERROR(__xludf.DUMMYFUNCTION("""COMPUTED_VALUE"""),"5008201154")</f>
        <v>5008201154</v>
      </c>
      <c r="G39" s="1" t="str">
        <f ca="1">IFERROR(__xludf.DUMMYFUNCTION("""COMPUTED_VALUE"""),"Departemen Teknik Kimia")</f>
        <v>Departemen Teknik Kimia</v>
      </c>
      <c r="H39" s="1" t="str">
        <f ca="1">IFERROR(__xludf.DUMMYFUNCTION("""COMPUTED_VALUE"""),"Dr.Eng. Siti Machmudah, S.T., M.Eng.")</f>
        <v>Dr.Eng. Siti Machmudah, S.T., M.Eng.</v>
      </c>
      <c r="I39" s="1" t="str">
        <f ca="1">IFERROR(__xludf.DUMMYFUNCTION("""COMPUTED_VALUE"""),"BERNARDUS KRISNA BRATA")</f>
        <v>BERNARDUS KRISNA BRATA</v>
      </c>
      <c r="J39" s="1" t="str">
        <f ca="1">IFERROR(__xludf.DUMMYFUNCTION("""COMPUTED_VALUE"""),"5008201158")</f>
        <v>5008201158</v>
      </c>
      <c r="K39" s="1" t="str">
        <f ca="1">IFERROR(__xludf.DUMMYFUNCTION("""COMPUTED_VALUE"""),"Departemen Teknik Kimia")</f>
        <v>Departemen Teknik Kimia</v>
      </c>
      <c r="L39" s="1" t="str">
        <f ca="1">IFERROR(__xludf.DUMMYFUNCTION("""COMPUTED_VALUE"""),"DAVINE DOROTHY HALIM")</f>
        <v>DAVINE DOROTHY HALIM</v>
      </c>
      <c r="M39" s="1" t="str">
        <f ca="1">IFERROR(__xludf.DUMMYFUNCTION("""COMPUTED_VALUE"""),"5008201123")</f>
        <v>5008201123</v>
      </c>
      <c r="N39" s="1" t="str">
        <f ca="1">IFERROR(__xludf.DUMMYFUNCTION("""COMPUTED_VALUE"""),"Departemen Teknik Kimia")</f>
        <v>Departemen Teknik Kimia</v>
      </c>
      <c r="O39" s="1" t="str">
        <f ca="1">IFERROR(__xludf.DUMMYFUNCTION("""COMPUTED_VALUE"""),"STELLA GRACIA")</f>
        <v>STELLA GRACIA</v>
      </c>
      <c r="P39" s="1" t="str">
        <f ca="1">IFERROR(__xludf.DUMMYFUNCTION("""COMPUTED_VALUE"""),"5008201126")</f>
        <v>5008201126</v>
      </c>
      <c r="Q39" s="1" t="str">
        <f ca="1">IFERROR(__xludf.DUMMYFUNCTION("""COMPUTED_VALUE"""),"Departemen Teknik Kimia")</f>
        <v>Departemen Teknik Kimia</v>
      </c>
      <c r="R39" s="1" t="str">
        <f ca="1">IFERROR(__xludf.DUMMYFUNCTION("""COMPUTED_VALUE"""),"EDBERT GERVAIS DE LIYIS")</f>
        <v>EDBERT GERVAIS DE LIYIS</v>
      </c>
      <c r="S39" s="1" t="str">
        <f ca="1">IFERROR(__xludf.DUMMYFUNCTION("""COMPUTED_VALUE"""),"5008201168")</f>
        <v>5008201168</v>
      </c>
      <c r="T39" s="1" t="str">
        <f ca="1">IFERROR(__xludf.DUMMYFUNCTION("""COMPUTED_VALUE"""),"Departemen Teknik Kimia")</f>
        <v>Departemen Teknik Kimia</v>
      </c>
      <c r="U39" s="1" t="str">
        <f ca="1">IFERROR(__xludf.DUMMYFUNCTION("""COMPUTED_VALUE"""),"Dr.-Ing. Doty Dewi Risanti, S.T., M.T.")</f>
        <v>Dr.-Ing. Doty Dewi Risanti, S.T., M.T.</v>
      </c>
      <c r="V39" s="1" t="str">
        <f ca="1">IFERROR(__xludf.DUMMYFUNCTION("""COMPUTED_VALUE"""),"Hariyati Purwaningsih, S.Si., M.Si.")</f>
        <v>Hariyati Purwaningsih, S.Si., M.Si.</v>
      </c>
      <c r="W39" s="1"/>
      <c r="X39" s="1" t="str">
        <f ca="1">IFERROR(__xludf.DUMMYFUNCTION("""COMPUTED_VALUE"""),"Lolos")</f>
        <v>Lolos</v>
      </c>
      <c r="Y39" s="1"/>
      <c r="Z39" s="1"/>
      <c r="AA39" s="1"/>
    </row>
    <row r="40" spans="1:27">
      <c r="A40" s="1" t="s">
        <v>39</v>
      </c>
      <c r="B40" s="1">
        <f ca="1">IFERROR(__xludf.DUMMYFUNCTION("""COMPUTED_VALUE"""),2054)</f>
        <v>2054</v>
      </c>
      <c r="C40" s="1" t="str">
        <f ca="1">IFERROR(__xludf.DUMMYFUNCTION("""COMPUTED_VALUE"""),"PKM Artikel Ilmiah")</f>
        <v>PKM Artikel Ilmiah</v>
      </c>
      <c r="D40" s="1" t="str">
        <f ca="1">IFERROR(__xludf.DUMMYFUNCTION("""COMPUTED_VALUE"""),"PERANCANGAN COOLING SYSTEM UNTUK BATERAI LiFePO4 POUCH CELL PADA ACCUMULATOR MOBIL FORMULA EV")</f>
        <v>PERANCANGAN COOLING SYSTEM UNTUK BATERAI LiFePO4 POUCH CELL PADA ACCUMULATOR MOBIL FORMULA EV</v>
      </c>
      <c r="E40" s="1" t="str">
        <f ca="1">IFERROR(__xludf.DUMMYFUNCTION("""COMPUTED_VALUE"""),"PRABANDARU GAGAS PRATAMA")</f>
        <v>PRABANDARU GAGAS PRATAMA</v>
      </c>
      <c r="F40" s="1" t="str">
        <f ca="1">IFERROR(__xludf.DUMMYFUNCTION("""COMPUTED_VALUE"""),"5022201227")</f>
        <v>5022201227</v>
      </c>
      <c r="G40" s="1" t="str">
        <f ca="1">IFERROR(__xludf.DUMMYFUNCTION("""COMPUTED_VALUE"""),"Departemen Teknik Elektro")</f>
        <v>Departemen Teknik Elektro</v>
      </c>
      <c r="H40" s="1" t="str">
        <f ca="1">IFERROR(__xludf.DUMMYFUNCTION("""COMPUTED_VALUE"""),"Alief Wikarta, ST., MSc.Eng. Ph.D")</f>
        <v>Alief Wikarta, ST., MSc.Eng. Ph.D</v>
      </c>
      <c r="I40" s="1" t="str">
        <f ca="1">IFERROR(__xludf.DUMMYFUNCTION("""COMPUTED_VALUE"""),"AKHMAD JATI PURNOMO")</f>
        <v>AKHMAD JATI PURNOMO</v>
      </c>
      <c r="J40" s="1" t="str">
        <f ca="1">IFERROR(__xludf.DUMMYFUNCTION("""COMPUTED_VALUE"""),"5022201191")</f>
        <v>5022201191</v>
      </c>
      <c r="K40" s="1" t="str">
        <f ca="1">IFERROR(__xludf.DUMMYFUNCTION("""COMPUTED_VALUE"""),"Departemen Teknik Elektro")</f>
        <v>Departemen Teknik Elektro</v>
      </c>
      <c r="L40" s="1" t="str">
        <f ca="1">IFERROR(__xludf.DUMMYFUNCTION("""COMPUTED_VALUE"""),"MUHAMMAD FARID ASYAM")</f>
        <v>MUHAMMAD FARID ASYAM</v>
      </c>
      <c r="M40" s="1" t="str">
        <f ca="1">IFERROR(__xludf.DUMMYFUNCTION("""COMPUTED_VALUE"""),"5007201059")</f>
        <v>5007201059</v>
      </c>
      <c r="N40" s="1" t="str">
        <f ca="1">IFERROR(__xludf.DUMMYFUNCTION("""COMPUTED_VALUE"""),"Departemen Teknik Mesin")</f>
        <v>Departemen Teknik Mesin</v>
      </c>
      <c r="O40" s="1" t="str">
        <f ca="1">IFERROR(__xludf.DUMMYFUNCTION("""COMPUTED_VALUE"""),"HAMZAH NUR AZZAM")</f>
        <v>HAMZAH NUR AZZAM</v>
      </c>
      <c r="P40" s="1" t="str">
        <f ca="1">IFERROR(__xludf.DUMMYFUNCTION("""COMPUTED_VALUE"""),"07111942000012")</f>
        <v>07111942000012</v>
      </c>
      <c r="Q40" s="1" t="str">
        <f ca="1">IFERROR(__xludf.DUMMYFUNCTION("""COMPUTED_VALUE"""),"Departemen Teknik Elektro")</f>
        <v>Departemen Teknik Elektro</v>
      </c>
      <c r="R40" s="1" t="str">
        <f ca="1">IFERROR(__xludf.DUMMYFUNCTION("""COMPUTED_VALUE"""),"M. FARRAS NABIL ")</f>
        <v xml:space="preserve">M. FARRAS NABIL </v>
      </c>
      <c r="S40" s="1" t="str">
        <f ca="1">IFERROR(__xludf.DUMMYFUNCTION("""COMPUTED_VALUE"""),"2040211007")</f>
        <v>2040211007</v>
      </c>
      <c r="T40" s="1" t="str">
        <f ca="1">IFERROR(__xludf.DUMMYFUNCTION("""COMPUTED_VALUE"""),"Departemen Teknik Elektro Otomasi")</f>
        <v>Departemen Teknik Elektro Otomasi</v>
      </c>
      <c r="U40" s="1" t="str">
        <f ca="1">IFERROR(__xludf.DUMMYFUNCTION("""COMPUTED_VALUE"""),"Prof. Dr. Dra Fahimah Martak, M.Si")</f>
        <v>Prof. Dr. Dra Fahimah Martak, M.Si</v>
      </c>
      <c r="V40" s="1" t="str">
        <f ca="1">IFERROR(__xludf.DUMMYFUNCTION("""COMPUTED_VALUE"""),"Arif Fadlan, S.Si., M.Si., D.Sc")</f>
        <v>Arif Fadlan, S.Si., M.Si., D.Sc</v>
      </c>
      <c r="W40" s="1"/>
      <c r="X40" s="1" t="str">
        <f ca="1">IFERROR(__xludf.DUMMYFUNCTION("""COMPUTED_VALUE"""),"Lolos")</f>
        <v>Lolos</v>
      </c>
      <c r="Y40" s="1"/>
      <c r="Z40" s="1"/>
      <c r="AA40" s="1"/>
    </row>
    <row r="41" spans="1:27">
      <c r="A41" s="1" t="s">
        <v>40</v>
      </c>
      <c r="B41" s="1">
        <f ca="1">IFERROR(__xludf.DUMMYFUNCTION("""COMPUTED_VALUE"""),2615)</f>
        <v>2615</v>
      </c>
      <c r="C41" s="1" t="str">
        <f ca="1">IFERROR(__xludf.DUMMYFUNCTION("""COMPUTED_VALUE"""),"PKM Artikel Ilmiah")</f>
        <v>PKM Artikel Ilmiah</v>
      </c>
      <c r="D41" s="1" t="str">
        <f ca="1">IFERROR(__xludf.DUMMYFUNCTION("""COMPUTED_VALUE"""),"ANALISIS TEKNIS DALAM EVALUASI KEBUTUHAN LPG COMPRESSOR PADA TRUCK LOADING ARM (TLA) VENTING SYSTEM TERMINAL LPG SEMARANG")</f>
        <v>ANALISIS TEKNIS DALAM EVALUASI KEBUTUHAN LPG COMPRESSOR PADA TRUCK LOADING ARM (TLA) VENTING SYSTEM TERMINAL LPG SEMARANG</v>
      </c>
      <c r="E41" s="1" t="str">
        <f ca="1">IFERROR(__xludf.DUMMYFUNCTION("""COMPUTED_VALUE"""),"JERYCO RAHARDIAN")</f>
        <v>JERYCO RAHARDIAN</v>
      </c>
      <c r="F41" s="1" t="str">
        <f ca="1">IFERROR(__xludf.DUMMYFUNCTION("""COMPUTED_VALUE"""),"04211840000129")</f>
        <v>04211840000129</v>
      </c>
      <c r="G41" s="1" t="str">
        <f ca="1">IFERROR(__xludf.DUMMYFUNCTION("""COMPUTED_VALUE"""),"Departemen Teknik Sistem Perkapalan")</f>
        <v>Departemen Teknik Sistem Perkapalan</v>
      </c>
      <c r="H41" s="1" t="str">
        <f ca="1">IFERROR(__xludf.DUMMYFUNCTION("""COMPUTED_VALUE"""),"Ir. Agoes Santoso, M.Sc.")</f>
        <v>Ir. Agoes Santoso, M.Sc.</v>
      </c>
      <c r="I41" s="1" t="str">
        <f ca="1">IFERROR(__xludf.DUMMYFUNCTION("""COMPUTED_VALUE"""),"MUHAMMAD NAUFAL BINTANG")</f>
        <v>MUHAMMAD NAUFAL BINTANG</v>
      </c>
      <c r="J41" s="1" t="str">
        <f ca="1">IFERROR(__xludf.DUMMYFUNCTION("""COMPUTED_VALUE"""),"04211941000032")</f>
        <v>04211941000032</v>
      </c>
      <c r="K41" s="1" t="str">
        <f ca="1">IFERROR(__xludf.DUMMYFUNCTION("""COMPUTED_VALUE"""),"Departemen Teknik Sistem Perkapalan")</f>
        <v>Departemen Teknik Sistem Perkapalan</v>
      </c>
      <c r="L41" s="1" t="str">
        <f ca="1">IFERROR(__xludf.DUMMYFUNCTION("""COMPUTED_VALUE"""),"PRAYOGA DWI PAMUNGKAS")</f>
        <v>PRAYOGA DWI PAMUNGKAS</v>
      </c>
      <c r="M41" s="1" t="str">
        <f ca="1">IFERROR(__xludf.DUMMYFUNCTION("""COMPUTED_VALUE"""),"5018201096")</f>
        <v>5018201096</v>
      </c>
      <c r="N41" s="1" t="str">
        <f ca="1">IFERROR(__xludf.DUMMYFUNCTION("""COMPUTED_VALUE"""),"Departemen Teknik Perkapalan")</f>
        <v>Departemen Teknik Perkapalan</v>
      </c>
      <c r="O41" s="1" t="str">
        <f ca="1">IFERROR(__xludf.DUMMYFUNCTION("""COMPUTED_VALUE"""),"AGUSTIN MARYATUL QIBTIYAH")</f>
        <v>AGUSTIN MARYATUL QIBTIYAH</v>
      </c>
      <c r="P41" s="1" t="str">
        <f ca="1">IFERROR(__xludf.DUMMYFUNCTION("""COMPUTED_VALUE"""),"5007201047")</f>
        <v>5007201047</v>
      </c>
      <c r="Q41" s="1" t="str">
        <f ca="1">IFERROR(__xludf.DUMMYFUNCTION("""COMPUTED_VALUE"""),"Departemen Teknik Mesin")</f>
        <v>Departemen Teknik Mesin</v>
      </c>
      <c r="R41" s="1"/>
      <c r="S41" s="1"/>
      <c r="T41" s="1"/>
      <c r="U41" s="1" t="str">
        <f ca="1">IFERROR(__xludf.DUMMYFUNCTION("""COMPUTED_VALUE"""),"Prof. Dr. Dra Fahimah Martak, M.Si")</f>
        <v>Prof. Dr. Dra Fahimah Martak, M.Si</v>
      </c>
      <c r="V41" s="1" t="str">
        <f ca="1">IFERROR(__xludf.DUMMYFUNCTION("""COMPUTED_VALUE"""),"Arif Fadlan, S.Si., M.Si., D.Sc")</f>
        <v>Arif Fadlan, S.Si., M.Si., D.Sc</v>
      </c>
      <c r="W41" s="1"/>
      <c r="X41" s="1" t="str">
        <f ca="1">IFERROR(__xludf.DUMMYFUNCTION("""COMPUTED_VALUE"""),"Lolos")</f>
        <v>Lolos</v>
      </c>
      <c r="Y41" s="1"/>
      <c r="Z41" s="1"/>
      <c r="AA41" s="1"/>
    </row>
    <row r="42" spans="1:27">
      <c r="A42" s="1" t="s">
        <v>41</v>
      </c>
      <c r="B42" s="1">
        <f ca="1">IFERROR(__xludf.DUMMYFUNCTION("""COMPUTED_VALUE"""),3863)</f>
        <v>3863</v>
      </c>
      <c r="C42" s="1" t="str">
        <f ca="1">IFERROR(__xludf.DUMMYFUNCTION("""COMPUTED_VALUE"""),"PKM Artikel Ilmiah")</f>
        <v>PKM Artikel Ilmiah</v>
      </c>
      <c r="D42" s="1" t="str">
        <f ca="1">IFERROR(__xludf.DUMMYFUNCTION("""COMPUTED_VALUE"""),"Perbaikan Kampung Illegal Keputih Tegal Timur Baru dengan Memanfaatkan Potensi serta SDA Masyarakat Sekitar")</f>
        <v>Perbaikan Kampung Illegal Keputih Tegal Timur Baru dengan Memanfaatkan Potensi serta SDA Masyarakat Sekitar</v>
      </c>
      <c r="E42" s="1" t="str">
        <f ca="1">IFERROR(__xludf.DUMMYFUNCTION("""COMPUTED_VALUE"""),"TSABITA KARLINA HIDAYATI")</f>
        <v>TSABITA KARLINA HIDAYATI</v>
      </c>
      <c r="F42" s="1" t="str">
        <f ca="1">IFERROR(__xludf.DUMMYFUNCTION("""COMPUTED_VALUE"""),"08111840000039")</f>
        <v>08111840000039</v>
      </c>
      <c r="G42" s="1" t="str">
        <f ca="1">IFERROR(__xludf.DUMMYFUNCTION("""COMPUTED_VALUE"""),"Departemen Arsitektur")</f>
        <v>Departemen Arsitektur</v>
      </c>
      <c r="H42" s="1" t="str">
        <f ca="1">IFERROR(__xludf.DUMMYFUNCTION("""COMPUTED_VALUE"""),"Dewi Septanti, S.Pd., S.T., M.T., Ph.D.")</f>
        <v>Dewi Septanti, S.Pd., S.T., M.T., Ph.D.</v>
      </c>
      <c r="I42" s="1" t="str">
        <f ca="1">IFERROR(__xludf.DUMMYFUNCTION("""COMPUTED_VALUE"""),"MUHAMMAD SYAHRIZAL ANWAR")</f>
        <v>MUHAMMAD SYAHRIZAL ANWAR</v>
      </c>
      <c r="J42" s="1" t="str">
        <f ca="1">IFERROR(__xludf.DUMMYFUNCTION("""COMPUTED_VALUE"""),"08111840000073")</f>
        <v>08111840000073</v>
      </c>
      <c r="K42" s="1" t="str">
        <f ca="1">IFERROR(__xludf.DUMMYFUNCTION("""COMPUTED_VALUE"""),"Departemen Arsitektur")</f>
        <v>Departemen Arsitektur</v>
      </c>
      <c r="L42" s="1" t="str">
        <f ca="1">IFERROR(__xludf.DUMMYFUNCTION("""COMPUTED_VALUE"""),"ARA AWANDA")</f>
        <v>ARA AWANDA</v>
      </c>
      <c r="M42" s="1" t="str">
        <f ca="1">IFERROR(__xludf.DUMMYFUNCTION("""COMPUTED_VALUE"""),"08111940000037")</f>
        <v>08111940000037</v>
      </c>
      <c r="N42" s="1" t="str">
        <f ca="1">IFERROR(__xludf.DUMMYFUNCTION("""COMPUTED_VALUE"""),"Departemen Arsitektur")</f>
        <v>Departemen Arsitektur</v>
      </c>
      <c r="O42" s="1" t="str">
        <f ca="1">IFERROR(__xludf.DUMMYFUNCTION("""COMPUTED_VALUE"""),"Aphrodita Fairuz Smarty Priyanta")</f>
        <v>Aphrodita Fairuz Smarty Priyanta</v>
      </c>
      <c r="P42" s="1" t="str">
        <f ca="1">IFERROR(__xludf.DUMMYFUNCTION("""COMPUTED_VALUE"""),"08111940000024")</f>
        <v>08111940000024</v>
      </c>
      <c r="Q42" s="1" t="str">
        <f ca="1">IFERROR(__xludf.DUMMYFUNCTION("""COMPUTED_VALUE"""),"Departemen Arsitektur")</f>
        <v>Departemen Arsitektur</v>
      </c>
      <c r="R42" s="1"/>
      <c r="S42" s="1"/>
      <c r="T42" s="1"/>
      <c r="U42" s="1" t="str">
        <f ca="1">IFERROR(__xludf.DUMMYFUNCTION("""COMPUTED_VALUE"""),"Prof. Dr. Dra Fahimah Martak, M.Si")</f>
        <v>Prof. Dr. Dra Fahimah Martak, M.Si</v>
      </c>
      <c r="V42" s="1" t="str">
        <f ca="1">IFERROR(__xludf.DUMMYFUNCTION("""COMPUTED_VALUE"""),"Ulil 'Azmi, S.Si., M.Si.")</f>
        <v>Ulil 'Azmi, S.Si., M.Si.</v>
      </c>
      <c r="W42" s="1"/>
      <c r="X42" s="1" t="str">
        <f ca="1">IFERROR(__xludf.DUMMYFUNCTION("""COMPUTED_VALUE"""),"Lolos")</f>
        <v>Lolos</v>
      </c>
      <c r="Y42" s="1"/>
      <c r="Z42" s="1"/>
      <c r="AA42" s="1"/>
    </row>
    <row r="43" spans="1:27">
      <c r="A43" s="1" t="s">
        <v>42</v>
      </c>
      <c r="B43" s="1">
        <f ca="1">IFERROR(__xludf.DUMMYFUNCTION("""COMPUTED_VALUE"""),2133)</f>
        <v>2133</v>
      </c>
      <c r="C43" s="1" t="str">
        <f ca="1">IFERROR(__xludf.DUMMYFUNCTION("""COMPUTED_VALUE"""),"PKM Artikel Ilmiah")</f>
        <v>PKM Artikel Ilmiah</v>
      </c>
      <c r="D43" s="1" t="str">
        <f ca="1">IFERROR(__xludf.DUMMYFUNCTION("""COMPUTED_VALUE"""),"Analisis Risiko dalam Penerapan Capital Asset Pricing Model (CAPM) pada Investasi Saham LQ45 menggunakan Expected Shortfall (ES)")</f>
        <v>Analisis Risiko dalam Penerapan Capital Asset Pricing Model (CAPM) pada Investasi Saham LQ45 menggunakan Expected Shortfall (ES)</v>
      </c>
      <c r="E43" s="1" t="str">
        <f ca="1">IFERROR(__xludf.DUMMYFUNCTION("""COMPUTED_VALUE"""),"MICHAEL NATHANIEL DINARTA")</f>
        <v>MICHAEL NATHANIEL DINARTA</v>
      </c>
      <c r="F43" s="1" t="str">
        <f ca="1">IFERROR(__xludf.DUMMYFUNCTION("""COMPUTED_VALUE"""),"06311940000028")</f>
        <v>06311940000028</v>
      </c>
      <c r="G43" s="1" t="str">
        <f ca="1">IFERROR(__xludf.DUMMYFUNCTION("""COMPUTED_VALUE"""),"Departemen Aktuaria")</f>
        <v>Departemen Aktuaria</v>
      </c>
      <c r="H43" s="1" t="str">
        <f ca="1">IFERROR(__xludf.DUMMYFUNCTION("""COMPUTED_VALUE"""),"R. Mohamad Atok, S.Si, M.Si, Ph.D")</f>
        <v>R. Mohamad Atok, S.Si, M.Si, Ph.D</v>
      </c>
      <c r="I43" s="1" t="str">
        <f ca="1">IFERROR(__xludf.DUMMYFUNCTION("""COMPUTED_VALUE"""),"Ika Safitri")</f>
        <v>Ika Safitri</v>
      </c>
      <c r="J43" s="1" t="str">
        <f ca="1">IFERROR(__xludf.DUMMYFUNCTION("""COMPUTED_VALUE"""),"06311940000024")</f>
        <v>06311940000024</v>
      </c>
      <c r="K43" s="1" t="str">
        <f ca="1">IFERROR(__xludf.DUMMYFUNCTION("""COMPUTED_VALUE"""),"Departemen Aktuaria")</f>
        <v>Departemen Aktuaria</v>
      </c>
      <c r="L43" s="1" t="str">
        <f ca="1">IFERROR(__xludf.DUMMYFUNCTION("""COMPUTED_VALUE"""),"JOY BENEDICT ANNIVERSARO PURBA")</f>
        <v>JOY BENEDICT ANNIVERSARO PURBA</v>
      </c>
      <c r="M43" s="1" t="str">
        <f ca="1">IFERROR(__xludf.DUMMYFUNCTION("""COMPUTED_VALUE"""),"06311940000068")</f>
        <v>06311940000068</v>
      </c>
      <c r="N43" s="1" t="str">
        <f ca="1">IFERROR(__xludf.DUMMYFUNCTION("""COMPUTED_VALUE"""),"Departemen Aktuaria")</f>
        <v>Departemen Aktuaria</v>
      </c>
      <c r="O43" s="1" t="str">
        <f ca="1">IFERROR(__xludf.DUMMYFUNCTION("""COMPUTED_VALUE"""),"JEAN REBEKA")</f>
        <v>JEAN REBEKA</v>
      </c>
      <c r="P43" s="1" t="str">
        <f ca="1">IFERROR(__xludf.DUMMYFUNCTION("""COMPUTED_VALUE"""),"5006201061")</f>
        <v>5006201061</v>
      </c>
      <c r="Q43" s="1" t="str">
        <f ca="1">IFERROR(__xludf.DUMMYFUNCTION("""COMPUTED_VALUE"""),"Departemen Aktuaria")</f>
        <v>Departemen Aktuaria</v>
      </c>
      <c r="R43" s="1"/>
      <c r="S43" s="1"/>
      <c r="T43" s="1"/>
      <c r="U43" s="1" t="str">
        <f ca="1">IFERROR(__xludf.DUMMYFUNCTION("""COMPUTED_VALUE"""),"Prof. Dr. Dra Fahimah Martak, M.Si")</f>
        <v>Prof. Dr. Dra Fahimah Martak, M.Si</v>
      </c>
      <c r="V43" s="1" t="str">
        <f ca="1">IFERROR(__xludf.DUMMYFUNCTION("""COMPUTED_VALUE"""),"Daril Ridho Zuchrillah, S.T., M.T.")</f>
        <v>Daril Ridho Zuchrillah, S.T., M.T.</v>
      </c>
      <c r="W43" s="1"/>
      <c r="X43" s="1" t="str">
        <f ca="1">IFERROR(__xludf.DUMMYFUNCTION("""COMPUTED_VALUE"""),"Lolos")</f>
        <v>Lolos</v>
      </c>
      <c r="Y43" s="1"/>
      <c r="Z43" s="1"/>
      <c r="AA43" s="1"/>
    </row>
    <row r="44" spans="1:27">
      <c r="A44" s="1" t="s">
        <v>43</v>
      </c>
      <c r="B44" s="1">
        <f ca="1">IFERROR(__xludf.DUMMYFUNCTION("""COMPUTED_VALUE"""),2770)</f>
        <v>2770</v>
      </c>
      <c r="C44" s="1" t="str">
        <f ca="1">IFERROR(__xludf.DUMMYFUNCTION("""COMPUTED_VALUE"""),"PKM Artikel Ilmiah")</f>
        <v>PKM Artikel Ilmiah</v>
      </c>
      <c r="D44" s="1" t="str">
        <f ca="1">IFERROR(__xludf.DUMMYFUNCTION("""COMPUTED_VALUE"""),"Pemanfaatan Activated Carbon Fibers sebagai Upaya Pengendalian Microfibers terhadap Pencemaran Udara di Dalam Ruangan
")</f>
        <v xml:space="preserve">Pemanfaatan Activated Carbon Fibers sebagai Upaya Pengendalian Microfibers terhadap Pencemaran Udara di Dalam Ruangan
</v>
      </c>
      <c r="E44" s="1" t="str">
        <f ca="1">IFERROR(__xludf.DUMMYFUNCTION("""COMPUTED_VALUE"""),"NANDA SEPTA AGATHA PUTRI")</f>
        <v>NANDA SEPTA AGATHA PUTRI</v>
      </c>
      <c r="F44" s="1" t="str">
        <f ca="1">IFERROR(__xludf.DUMMYFUNCTION("""COMPUTED_VALUE"""),"5014201007")</f>
        <v>5014201007</v>
      </c>
      <c r="G44" s="1" t="str">
        <f ca="1">IFERROR(__xludf.DUMMYFUNCTION("""COMPUTED_VALUE"""),"Departemen Teknik Lingkungan")</f>
        <v>Departemen Teknik Lingkungan</v>
      </c>
      <c r="H44" s="1" t="str">
        <f ca="1">IFERROR(__xludf.DUMMYFUNCTION("""COMPUTED_VALUE"""),"Arseto Yekti Bagastyo, S.T., M.Phil, PhD")</f>
        <v>Arseto Yekti Bagastyo, S.T., M.Phil, PhD</v>
      </c>
      <c r="I44" s="1" t="str">
        <f ca="1">IFERROR(__xludf.DUMMYFUNCTION("""COMPUTED_VALUE"""),"TALITHA SYAFIAH HARZANTI")</f>
        <v>TALITHA SYAFIAH HARZANTI</v>
      </c>
      <c r="J44" s="1" t="str">
        <f ca="1">IFERROR(__xludf.DUMMYFUNCTION("""COMPUTED_VALUE"""),"5014201074")</f>
        <v>5014201074</v>
      </c>
      <c r="K44" s="1" t="str">
        <f ca="1">IFERROR(__xludf.DUMMYFUNCTION("""COMPUTED_VALUE"""),"Departemen Teknik Lingkungan")</f>
        <v>Departemen Teknik Lingkungan</v>
      </c>
      <c r="L44" s="1" t="str">
        <f ca="1">IFERROR(__xludf.DUMMYFUNCTION("""COMPUTED_VALUE"""),"NAFISHA TIBET DAMAIYANTI")</f>
        <v>NAFISHA TIBET DAMAIYANTI</v>
      </c>
      <c r="M44" s="1" t="str">
        <f ca="1">IFERROR(__xludf.DUMMYFUNCTION("""COMPUTED_VALUE"""),"5014201015")</f>
        <v>5014201015</v>
      </c>
      <c r="N44" s="1" t="str">
        <f ca="1">IFERROR(__xludf.DUMMYFUNCTION("""COMPUTED_VALUE"""),"Departemen Teknik Lingkungan")</f>
        <v>Departemen Teknik Lingkungan</v>
      </c>
      <c r="O44" s="1" t="str">
        <f ca="1">IFERROR(__xludf.DUMMYFUNCTION("""COMPUTED_VALUE"""),"ADELIA SAFIRA")</f>
        <v>ADELIA SAFIRA</v>
      </c>
      <c r="P44" s="1" t="str">
        <f ca="1">IFERROR(__xludf.DUMMYFUNCTION("""COMPUTED_VALUE"""),"5014211083")</f>
        <v>5014211083</v>
      </c>
      <c r="Q44" s="1" t="str">
        <f ca="1">IFERROR(__xludf.DUMMYFUNCTION("""COMPUTED_VALUE"""),"Departemen Teknik Lingkungan")</f>
        <v>Departemen Teknik Lingkungan</v>
      </c>
      <c r="R44" s="1"/>
      <c r="S44" s="1"/>
      <c r="T44" s="1"/>
      <c r="U44" s="1" t="str">
        <f ca="1">IFERROR(__xludf.DUMMYFUNCTION("""COMPUTED_VALUE"""),"Dr.-Ing. Doty Dewi Risanti, S.T., M.T.")</f>
        <v>Dr.-Ing. Doty Dewi Risanti, S.T., M.T.</v>
      </c>
      <c r="V44" s="1" t="str">
        <f ca="1">IFERROR(__xludf.DUMMYFUNCTION("""COMPUTED_VALUE"""),"Hariyati Purwaningsih, S.Si., M.Si.")</f>
        <v>Hariyati Purwaningsih, S.Si., M.Si.</v>
      </c>
      <c r="W44" s="1"/>
      <c r="X44" s="1" t="str">
        <f ca="1">IFERROR(__xludf.DUMMYFUNCTION("""COMPUTED_VALUE"""),"Lolos")</f>
        <v>Lolos</v>
      </c>
      <c r="Y44" s="1"/>
      <c r="Z44" s="1"/>
      <c r="AA44" s="1"/>
    </row>
    <row r="45" spans="1:27">
      <c r="A45" s="1" t="s">
        <v>44</v>
      </c>
      <c r="B45" s="1">
        <f ca="1">IFERROR(__xludf.DUMMYFUNCTION("""COMPUTED_VALUE"""),4081)</f>
        <v>4081</v>
      </c>
      <c r="C45" s="1" t="str">
        <f ca="1">IFERROR(__xludf.DUMMYFUNCTION("""COMPUTED_VALUE"""),"PKM Artikel Ilmiah")</f>
        <v>PKM Artikel Ilmiah</v>
      </c>
      <c r="D45" s="1" t="str">
        <f ca="1">IFERROR(__xludf.DUMMYFUNCTION("""COMPUTED_VALUE"""),"Bioaktivitas Eugenol Daun Cengkeh dan Ekstrak dan sirih Hijau (Piper betle L.) untuk Antiseptik Mulut")</f>
        <v>Bioaktivitas Eugenol Daun Cengkeh dan Ekstrak dan sirih Hijau (Piper betle L.) untuk Antiseptik Mulut</v>
      </c>
      <c r="E45" s="1" t="str">
        <f ca="1">IFERROR(__xludf.DUMMYFUNCTION("""COMPUTED_VALUE"""),"Binti Ainiatur Rohmah")</f>
        <v>Binti Ainiatur Rohmah</v>
      </c>
      <c r="F45" s="1" t="str">
        <f ca="1">IFERROR(__xludf.DUMMYFUNCTION("""COMPUTED_VALUE"""),"01211940000033")</f>
        <v>01211940000033</v>
      </c>
      <c r="G45" s="1" t="str">
        <f ca="1">IFERROR(__xludf.DUMMYFUNCTION("""COMPUTED_VALUE"""),"Departemen Kimia")</f>
        <v>Departemen Kimia</v>
      </c>
      <c r="H45" s="1" t="str">
        <f ca="1">IFERROR(__xludf.DUMMYFUNCTION("""COMPUTED_VALUE"""),"Arif Fadlan, S.Si., M.Si., D.Sc")</f>
        <v>Arif Fadlan, S.Si., M.Si., D.Sc</v>
      </c>
      <c r="I45" s="1" t="str">
        <f ca="1">IFERROR(__xludf.DUMMYFUNCTION("""COMPUTED_VALUE"""),"Adinda Fitria Hidayati")</f>
        <v>Adinda Fitria Hidayati</v>
      </c>
      <c r="J45" s="1" t="str">
        <f ca="1">IFERROR(__xludf.DUMMYFUNCTION("""COMPUTED_VALUE"""),"01211940000012")</f>
        <v>01211940000012</v>
      </c>
      <c r="K45" s="1" t="str">
        <f ca="1">IFERROR(__xludf.DUMMYFUNCTION("""COMPUTED_VALUE"""),"Departemen Kimia")</f>
        <v>Departemen Kimia</v>
      </c>
      <c r="L45" s="1" t="str">
        <f ca="1">IFERROR(__xludf.DUMMYFUNCTION("""COMPUTED_VALUE"""),"Winda Seviani")</f>
        <v>Winda Seviani</v>
      </c>
      <c r="M45" s="1" t="str">
        <f ca="1">IFERROR(__xludf.DUMMYFUNCTION("""COMPUTED_VALUE"""),"01211940000018")</f>
        <v>01211940000018</v>
      </c>
      <c r="N45" s="1" t="str">
        <f ca="1">IFERROR(__xludf.DUMMYFUNCTION("""COMPUTED_VALUE"""),"Departemen Kimia")</f>
        <v>Departemen Kimia</v>
      </c>
      <c r="O45" s="1" t="str">
        <f ca="1">IFERROR(__xludf.DUMMYFUNCTION("""COMPUTED_VALUE"""),"Siti Khomariyah")</f>
        <v>Siti Khomariyah</v>
      </c>
      <c r="P45" s="1" t="str">
        <f ca="1">IFERROR(__xludf.DUMMYFUNCTION("""COMPUTED_VALUE"""),"01211940000024")</f>
        <v>01211940000024</v>
      </c>
      <c r="Q45" s="1" t="str">
        <f ca="1">IFERROR(__xludf.DUMMYFUNCTION("""COMPUTED_VALUE"""),"Departemen Kimia")</f>
        <v>Departemen Kimia</v>
      </c>
      <c r="R45" s="1" t="str">
        <f ca="1">IFERROR(__xludf.DUMMYFUNCTION("""COMPUTED_VALUE"""),"Heni Masitoh")</f>
        <v>Heni Masitoh</v>
      </c>
      <c r="S45" s="1" t="str">
        <f ca="1">IFERROR(__xludf.DUMMYFUNCTION("""COMPUTED_VALUE"""),"01211940000034")</f>
        <v>01211940000034</v>
      </c>
      <c r="T45" s="1" t="str">
        <f ca="1">IFERROR(__xludf.DUMMYFUNCTION("""COMPUTED_VALUE"""),"Departemen Kimia")</f>
        <v>Departemen Kimia</v>
      </c>
      <c r="U45" s="1" t="str">
        <f ca="1">IFERROR(__xludf.DUMMYFUNCTION("""COMPUTED_VALUE"""),"Dian Mughni Fellicia, ST., M.Sc")</f>
        <v>Dian Mughni Fellicia, ST., M.Sc</v>
      </c>
      <c r="V45" s="1" t="str">
        <f ca="1">IFERROR(__xludf.DUMMYFUNCTION("""COMPUTED_VALUE"""),"Hariyati Purwaningsih, S.Si., M.Si.")</f>
        <v>Hariyati Purwaningsih, S.Si., M.Si.</v>
      </c>
      <c r="W45" s="1"/>
      <c r="X45" s="1" t="str">
        <f ca="1">IFERROR(__xludf.DUMMYFUNCTION("""COMPUTED_VALUE"""),"Lolos")</f>
        <v>Lolos</v>
      </c>
      <c r="Y45" s="1"/>
      <c r="Z45" s="1"/>
      <c r="AA45" s="1"/>
    </row>
    <row r="46" spans="1:27">
      <c r="A46" s="1" t="s">
        <v>45</v>
      </c>
      <c r="B46" s="1">
        <f ca="1">IFERROR(__xludf.DUMMYFUNCTION("""COMPUTED_VALUE"""),4098)</f>
        <v>4098</v>
      </c>
      <c r="C46" s="1" t="str">
        <f ca="1">IFERROR(__xludf.DUMMYFUNCTION("""COMPUTED_VALUE"""),"PKM Artikel Ilmiah")</f>
        <v>PKM Artikel Ilmiah</v>
      </c>
      <c r="D46" s="1" t="str">
        <f ca="1">IFERROR(__xludf.DUMMYFUNCTION("""COMPUTED_VALUE"""),"Analisis Densitas dan Porositas Batu Bata Merah dan Batu Bata Putih pada Konstruksi Rekayasa Pesisir Utara Jakarta")</f>
        <v>Analisis Densitas dan Porositas Batu Bata Merah dan Batu Bata Putih pada Konstruksi Rekayasa Pesisir Utara Jakarta</v>
      </c>
      <c r="E46" s="1" t="str">
        <f ca="1">IFERROR(__xludf.DUMMYFUNCTION("""COMPUTED_VALUE"""),"FRANCISCUS XAVERIUS GAGAH WIKU BAGASKARA")</f>
        <v>FRANCISCUS XAVERIUS GAGAH WIKU BAGASKARA</v>
      </c>
      <c r="F46" s="1" t="str">
        <f ca="1">IFERROR(__xludf.DUMMYFUNCTION("""COMPUTED_VALUE"""),"03411940000032")</f>
        <v>03411940000032</v>
      </c>
      <c r="G46" s="1" t="str">
        <f ca="1">IFERROR(__xludf.DUMMYFUNCTION("""COMPUTED_VALUE"""),"Departemen Teknik Geofisika")</f>
        <v>Departemen Teknik Geofisika</v>
      </c>
      <c r="H46" s="1" t="str">
        <f ca="1">IFERROR(__xludf.DUMMYFUNCTION("""COMPUTED_VALUE"""),"Juan Pandu Gya Nur Rochman, S.Si., M.T.")</f>
        <v>Juan Pandu Gya Nur Rochman, S.Si., M.T.</v>
      </c>
      <c r="I46" s="1" t="str">
        <f ca="1">IFERROR(__xludf.DUMMYFUNCTION("""COMPUTED_VALUE"""),"RHEZA MARCHELLINO PUTRA")</f>
        <v>RHEZA MARCHELLINO PUTRA</v>
      </c>
      <c r="J46" s="1" t="str">
        <f ca="1">IFERROR(__xludf.DUMMYFUNCTION("""COMPUTED_VALUE"""),"03411940000047")</f>
        <v>03411940000047</v>
      </c>
      <c r="K46" s="1" t="str">
        <f ca="1">IFERROR(__xludf.DUMMYFUNCTION("""COMPUTED_VALUE"""),"Departemen Teknik Geofisika")</f>
        <v>Departemen Teknik Geofisika</v>
      </c>
      <c r="L46" s="1" t="str">
        <f ca="1">IFERROR(__xludf.DUMMYFUNCTION("""COMPUTED_VALUE"""),"M REYHAN NABIHA")</f>
        <v>M REYHAN NABIHA</v>
      </c>
      <c r="M46" s="1" t="str">
        <f ca="1">IFERROR(__xludf.DUMMYFUNCTION("""COMPUTED_VALUE"""),"03411940000053")</f>
        <v>03411940000053</v>
      </c>
      <c r="N46" s="1" t="str">
        <f ca="1">IFERROR(__xludf.DUMMYFUNCTION("""COMPUTED_VALUE"""),"Departemen Teknik Geofisika")</f>
        <v>Departemen Teknik Geofisika</v>
      </c>
      <c r="O46" s="1" t="str">
        <f ca="1">IFERROR(__xludf.DUMMYFUNCTION("""COMPUTED_VALUE"""),"ARIEF TRIADI NUGRAHA")</f>
        <v>ARIEF TRIADI NUGRAHA</v>
      </c>
      <c r="P46" s="1" t="str">
        <f ca="1">IFERROR(__xludf.DUMMYFUNCTION("""COMPUTED_VALUE"""),"03411940000059")</f>
        <v>03411940000059</v>
      </c>
      <c r="Q46" s="1" t="str">
        <f ca="1">IFERROR(__xludf.DUMMYFUNCTION("""COMPUTED_VALUE"""),"Departemen Teknik Geofisika")</f>
        <v>Departemen Teknik Geofisika</v>
      </c>
      <c r="R46" s="1" t="str">
        <f ca="1">IFERROR(__xludf.DUMMYFUNCTION("""COMPUTED_VALUE"""),"NADHIL ABYAN HILMY")</f>
        <v>NADHIL ABYAN HILMY</v>
      </c>
      <c r="S46" s="1" t="str">
        <f ca="1">IFERROR(__xludf.DUMMYFUNCTION("""COMPUTED_VALUE"""),"03411940000049")</f>
        <v>03411940000049</v>
      </c>
      <c r="T46" s="1" t="str">
        <f ca="1">IFERROR(__xludf.DUMMYFUNCTION("""COMPUTED_VALUE"""),"Departemen Teknik Geofisika")</f>
        <v>Departemen Teknik Geofisika</v>
      </c>
      <c r="U46" s="1" t="str">
        <f ca="1">IFERROR(__xludf.DUMMYFUNCTION("""COMPUTED_VALUE"""),"Dian Mughni Fellicia, ST., M.Sc")</f>
        <v>Dian Mughni Fellicia, ST., M.Sc</v>
      </c>
      <c r="V46" s="1" t="str">
        <f ca="1">IFERROR(__xludf.DUMMYFUNCTION("""COMPUTED_VALUE"""),"Hariyati Purwaningsih, S.Si., M.Si.")</f>
        <v>Hariyati Purwaningsih, S.Si., M.Si.</v>
      </c>
      <c r="W46" s="1"/>
      <c r="X46" s="1" t="str">
        <f ca="1">IFERROR(__xludf.DUMMYFUNCTION("""COMPUTED_VALUE"""),"Lolos")</f>
        <v>Lolos</v>
      </c>
      <c r="Y46" s="1"/>
      <c r="Z46" s="1"/>
      <c r="AA46" s="1"/>
    </row>
    <row r="47" spans="1:27">
      <c r="A47" s="1" t="s">
        <v>46</v>
      </c>
      <c r="B47" s="1">
        <f ca="1">IFERROR(__xludf.DUMMYFUNCTION("""COMPUTED_VALUE"""),2244)</f>
        <v>2244</v>
      </c>
      <c r="C47" s="1" t="str">
        <f ca="1">IFERROR(__xludf.DUMMYFUNCTION("""COMPUTED_VALUE"""),"PKM Artikel Ilmiah")</f>
        <v>PKM Artikel Ilmiah</v>
      </c>
      <c r="D47" s="1" t="str">
        <f ca="1">IFERROR(__xludf.DUMMYFUNCTION("""COMPUTED_VALUE"""),"PERENCANAAN SISTEM VENTILASI DAN PENGKONDISIAN UDARA PADA AREA GELADAK KENDARAAN KAPAL ANGKUT MULTIPURPOSE 3500 GT")</f>
        <v>PERENCANAAN SISTEM VENTILASI DAN PENGKONDISIAN UDARA PADA AREA GELADAK KENDARAAN KAPAL ANGKUT MULTIPURPOSE 3500 GT</v>
      </c>
      <c r="E47" s="1" t="str">
        <f ca="1">IFERROR(__xludf.DUMMYFUNCTION("""COMPUTED_VALUE"""),"NUR RAFIF MAULANA")</f>
        <v>NUR RAFIF MAULANA</v>
      </c>
      <c r="F47" s="1" t="str">
        <f ca="1">IFERROR(__xludf.DUMMYFUNCTION("""COMPUTED_VALUE"""),"04211840000055")</f>
        <v>04211840000055</v>
      </c>
      <c r="G47" s="1" t="str">
        <f ca="1">IFERROR(__xludf.DUMMYFUNCTION("""COMPUTED_VALUE"""),"Departemen Teknik Sistem Perkapalan")</f>
        <v>Departemen Teknik Sistem Perkapalan</v>
      </c>
      <c r="H47" s="1" t="str">
        <f ca="1">IFERROR(__xludf.DUMMYFUNCTION("""COMPUTED_VALUE"""),"Ir. Agoes Santoso, M.Sc.")</f>
        <v>Ir. Agoes Santoso, M.Sc.</v>
      </c>
      <c r="I47" s="1" t="str">
        <f ca="1">IFERROR(__xludf.DUMMYFUNCTION("""COMPUTED_VALUE"""),"Shakty Galang Nusantara")</f>
        <v>Shakty Galang Nusantara</v>
      </c>
      <c r="J47" s="1" t="str">
        <f ca="1">IFERROR(__xludf.DUMMYFUNCTION("""COMPUTED_VALUE"""),"04211940000013")</f>
        <v>04211940000013</v>
      </c>
      <c r="K47" s="1" t="str">
        <f ca="1">IFERROR(__xludf.DUMMYFUNCTION("""COMPUTED_VALUE"""),"Departemen Teknik Sistem Perkapalan")</f>
        <v>Departemen Teknik Sistem Perkapalan</v>
      </c>
      <c r="L47" s="1" t="str">
        <f ca="1">IFERROR(__xludf.DUMMYFUNCTION("""COMPUTED_VALUE"""),"YASMINE NOOR RAMADHANI")</f>
        <v>YASMINE NOOR RAMADHANI</v>
      </c>
      <c r="M47" s="1" t="str">
        <f ca="1">IFERROR(__xludf.DUMMYFUNCTION("""COMPUTED_VALUE"""),"04211940000048")</f>
        <v>04211940000048</v>
      </c>
      <c r="N47" s="1" t="str">
        <f ca="1">IFERROR(__xludf.DUMMYFUNCTION("""COMPUTED_VALUE"""),"Departemen Teknik Sistem Perkapalan")</f>
        <v>Departemen Teknik Sistem Perkapalan</v>
      </c>
      <c r="O47" s="1"/>
      <c r="P47" s="1"/>
      <c r="Q47" s="1"/>
      <c r="R47" s="1"/>
      <c r="S47" s="1"/>
      <c r="T47" s="1"/>
      <c r="U47" s="1" t="str">
        <f ca="1">IFERROR(__xludf.DUMMYFUNCTION("""COMPUTED_VALUE"""),"Prof. Dr. Dra Fahimah Martak, M.Si")</f>
        <v>Prof. Dr. Dra Fahimah Martak, M.Si</v>
      </c>
      <c r="V47" s="1" t="str">
        <f ca="1">IFERROR(__xludf.DUMMYFUNCTION("""COMPUTED_VALUE"""),"Ulil 'Azmi, S.Si., M.Si.")</f>
        <v>Ulil 'Azmi, S.Si., M.Si.</v>
      </c>
      <c r="W47" s="1"/>
      <c r="X47" s="1" t="str">
        <f ca="1">IFERROR(__xludf.DUMMYFUNCTION("""COMPUTED_VALUE"""),"Lolos")</f>
        <v>Lolos</v>
      </c>
      <c r="Y47" s="1"/>
      <c r="Z47" s="1"/>
      <c r="AA47" s="1"/>
    </row>
    <row r="48" spans="1:27">
      <c r="A48" s="1" t="s">
        <v>47</v>
      </c>
      <c r="B48" s="1">
        <f ca="1">IFERROR(__xludf.DUMMYFUNCTION("""COMPUTED_VALUE"""),2825)</f>
        <v>2825</v>
      </c>
      <c r="C48" s="1" t="str">
        <f ca="1">IFERROR(__xludf.DUMMYFUNCTION("""COMPUTED_VALUE"""),"PKM Artikel Ilmiah")</f>
        <v>PKM Artikel Ilmiah</v>
      </c>
      <c r="D48" s="1" t="str">
        <f ca="1">IFERROR(__xludf.DUMMYFUNCTION("""COMPUTED_VALUE"""),"Pembuatan Sabun Padat Dari Minyak Kelapa Sawit Untuk Kesehatan Kulit")</f>
        <v>Pembuatan Sabun Padat Dari Minyak Kelapa Sawit Untuk Kesehatan Kulit</v>
      </c>
      <c r="E48" s="1" t="str">
        <f ca="1">IFERROR(__xludf.DUMMYFUNCTION("""COMPUTED_VALUE"""),"Puspa Nirmala")</f>
        <v>Puspa Nirmala</v>
      </c>
      <c r="F48" s="1" t="str">
        <f ca="1">IFERROR(__xludf.DUMMYFUNCTION("""COMPUTED_VALUE"""),"5005211034")</f>
        <v>5005211034</v>
      </c>
      <c r="G48" s="1" t="str">
        <f ca="1">IFERROR(__xludf.DUMMYFUNCTION("""COMPUTED_VALUE"""),"Departemen Biologi")</f>
        <v>Departemen Biologi</v>
      </c>
      <c r="H48" s="1" t="str">
        <f ca="1">IFERROR(__xludf.DUMMYFUNCTION("""COMPUTED_VALUE"""),"Dr. Awik Puji Dyah Nurhayati, S.Si., M.Si.")</f>
        <v>Dr. Awik Puji Dyah Nurhayati, S.Si., M.Si.</v>
      </c>
      <c r="I48" s="1" t="str">
        <f ca="1">IFERROR(__xludf.DUMMYFUNCTION("""COMPUTED_VALUE"""),"MAYLA FAIZAH ")</f>
        <v xml:space="preserve">MAYLA FAIZAH </v>
      </c>
      <c r="J48" s="1" t="str">
        <f ca="1">IFERROR(__xludf.DUMMYFUNCTION("""COMPUTED_VALUE"""),"5005211007")</f>
        <v>5005211007</v>
      </c>
      <c r="K48" s="1" t="str">
        <f ca="1">IFERROR(__xludf.DUMMYFUNCTION("""COMPUTED_VALUE"""),"Departemen Biologi")</f>
        <v>Departemen Biologi</v>
      </c>
      <c r="L48" s="1" t="str">
        <f ca="1">IFERROR(__xludf.DUMMYFUNCTION("""COMPUTED_VALUE"""),"Amel Apriliani F")</f>
        <v>Amel Apriliani F</v>
      </c>
      <c r="M48" s="1" t="str">
        <f ca="1">IFERROR(__xludf.DUMMYFUNCTION("""COMPUTED_VALUE"""),"5005211064")</f>
        <v>5005211064</v>
      </c>
      <c r="N48" s="1" t="str">
        <f ca="1">IFERROR(__xludf.DUMMYFUNCTION("""COMPUTED_VALUE"""),"Departemen Biologi")</f>
        <v>Departemen Biologi</v>
      </c>
      <c r="O48" s="1" t="str">
        <f ca="1">IFERROR(__xludf.DUMMYFUNCTION("""COMPUTED_VALUE"""),"TASYA RESA PRATIWI")</f>
        <v>TASYA RESA PRATIWI</v>
      </c>
      <c r="P48" s="1" t="str">
        <f ca="1">IFERROR(__xludf.DUMMYFUNCTION("""COMPUTED_VALUE"""),"5004211038")</f>
        <v>5004211038</v>
      </c>
      <c r="Q48" s="1" t="str">
        <f ca="1">IFERROR(__xludf.DUMMYFUNCTION("""COMPUTED_VALUE"""),"Departemen Kimia")</f>
        <v>Departemen Kimia</v>
      </c>
      <c r="R48" s="1" t="str">
        <f ca="1">IFERROR(__xludf.DUMMYFUNCTION("""COMPUTED_VALUE"""),"Tsania Alfiina F")</f>
        <v>Tsania Alfiina F</v>
      </c>
      <c r="S48" s="1" t="str">
        <f ca="1">IFERROR(__xludf.DUMMYFUNCTION("""COMPUTED_VALUE"""),"5004211011")</f>
        <v>5004211011</v>
      </c>
      <c r="T48" s="1" t="str">
        <f ca="1">IFERROR(__xludf.DUMMYFUNCTION("""COMPUTED_VALUE"""),"Departemen Kimia")</f>
        <v>Departemen Kimia</v>
      </c>
      <c r="U48" s="1" t="str">
        <f ca="1">IFERROR(__xludf.DUMMYFUNCTION("""COMPUTED_VALUE"""),"Prof. Dr. Dra Fahimah Martak, M.Si")</f>
        <v>Prof. Dr. Dra Fahimah Martak, M.Si</v>
      </c>
      <c r="V48" s="1" t="str">
        <f ca="1">IFERROR(__xludf.DUMMYFUNCTION("""COMPUTED_VALUE"""),"Arif Fadlan, S.Si., M.Si., D.Sc")</f>
        <v>Arif Fadlan, S.Si., M.Si., D.Sc</v>
      </c>
      <c r="W48" s="1"/>
      <c r="X48" s="1" t="str">
        <f ca="1">IFERROR(__xludf.DUMMYFUNCTION("""COMPUTED_VALUE"""),"Lolos")</f>
        <v>Lolos</v>
      </c>
      <c r="Y48" s="1"/>
      <c r="Z48" s="1"/>
      <c r="AA48" s="1"/>
    </row>
    <row r="49" spans="1:27">
      <c r="A49" s="1" t="s">
        <v>48</v>
      </c>
      <c r="B49" s="1">
        <f ca="1">IFERROR(__xludf.DUMMYFUNCTION("""COMPUTED_VALUE"""),2545)</f>
        <v>2545</v>
      </c>
      <c r="C49" s="1" t="str">
        <f ca="1">IFERROR(__xludf.DUMMYFUNCTION("""COMPUTED_VALUE"""),"PKM Artikel Ilmiah")</f>
        <v>PKM Artikel Ilmiah</v>
      </c>
      <c r="D49" s="1" t="str">
        <f ca="1">IFERROR(__xludf.DUMMYFUNCTION("""COMPUTED_VALUE"""),"Pengaruh Kecanduan Internet dan Fear of Missing Out (FoMO) terhadap  Kesehatan Mental Remaja")</f>
        <v>Pengaruh Kecanduan Internet dan Fear of Missing Out (FoMO) terhadap  Kesehatan Mental Remaja</v>
      </c>
      <c r="E49" s="1" t="str">
        <f ca="1">IFERROR(__xludf.DUMMYFUNCTION("""COMPUTED_VALUE"""),"Moch. Yusuf Agil S")</f>
        <v>Moch. Yusuf Agil S</v>
      </c>
      <c r="F49" s="1" t="str">
        <f ca="1">IFERROR(__xludf.DUMMYFUNCTION("""COMPUTED_VALUE"""),"5003211078")</f>
        <v>5003211078</v>
      </c>
      <c r="G49" s="1" t="str">
        <f ca="1">IFERROR(__xludf.DUMMYFUNCTION("""COMPUTED_VALUE"""),"Departemen Statistika")</f>
        <v>Departemen Statistika</v>
      </c>
      <c r="H49" s="1" t="str">
        <f ca="1">IFERROR(__xludf.DUMMYFUNCTION("""COMPUTED_VALUE"""),"Dr. Vita Ratnasari, S.Si., M.Si.")</f>
        <v>Dr. Vita Ratnasari, S.Si., M.Si.</v>
      </c>
      <c r="I49" s="1" t="str">
        <f ca="1">IFERROR(__xludf.DUMMYFUNCTION("""COMPUTED_VALUE"""),"Daniyal Wiraharja A.")</f>
        <v>Daniyal Wiraharja A.</v>
      </c>
      <c r="J49" s="1" t="str">
        <f ca="1">IFERROR(__xludf.DUMMYFUNCTION("""COMPUTED_VALUE"""),"5003211083")</f>
        <v>5003211083</v>
      </c>
      <c r="K49" s="1" t="str">
        <f ca="1">IFERROR(__xludf.DUMMYFUNCTION("""COMPUTED_VALUE"""),"Departemen Statistika")</f>
        <v>Departemen Statistika</v>
      </c>
      <c r="L49" s="1" t="str">
        <f ca="1">IFERROR(__xludf.DUMMYFUNCTION("""COMPUTED_VALUE"""),"EVANA FAUSTA NAJDAH")</f>
        <v>EVANA FAUSTA NAJDAH</v>
      </c>
      <c r="M49" s="1" t="str">
        <f ca="1">IFERROR(__xludf.DUMMYFUNCTION("""COMPUTED_VALUE"""),"5003211056")</f>
        <v>5003211056</v>
      </c>
      <c r="N49" s="1" t="str">
        <f ca="1">IFERROR(__xludf.DUMMYFUNCTION("""COMPUTED_VALUE"""),"Departemen Statistika")</f>
        <v>Departemen Statistika</v>
      </c>
      <c r="O49" s="1" t="str">
        <f ca="1">IFERROR(__xludf.DUMMYFUNCTION("""COMPUTED_VALUE"""),"Yanuardhani Putri W.")</f>
        <v>Yanuardhani Putri W.</v>
      </c>
      <c r="P49" s="1" t="str">
        <f ca="1">IFERROR(__xludf.DUMMYFUNCTION("""COMPUTED_VALUE"""),"5003211009")</f>
        <v>5003211009</v>
      </c>
      <c r="Q49" s="1" t="str">
        <f ca="1">IFERROR(__xludf.DUMMYFUNCTION("""COMPUTED_VALUE"""),"Departemen Statistika")</f>
        <v>Departemen Statistika</v>
      </c>
      <c r="R49" s="1" t="str">
        <f ca="1">IFERROR(__xludf.DUMMYFUNCTION("""COMPUTED_VALUE"""),"ARUM MAULINDA PUTRI")</f>
        <v>ARUM MAULINDA PUTRI</v>
      </c>
      <c r="S49" s="1" t="str">
        <f ca="1">IFERROR(__xludf.DUMMYFUNCTION("""COMPUTED_VALUE"""),"5005211008")</f>
        <v>5005211008</v>
      </c>
      <c r="T49" s="1" t="str">
        <f ca="1">IFERROR(__xludf.DUMMYFUNCTION("""COMPUTED_VALUE"""),"Departemen Biologi")</f>
        <v>Departemen Biologi</v>
      </c>
      <c r="U49" s="1" t="str">
        <f ca="1">IFERROR(__xludf.DUMMYFUNCTION("""COMPUTED_VALUE"""),"Prof. Dr. Dra Fahimah Martak, M.Si")</f>
        <v>Prof. Dr. Dra Fahimah Martak, M.Si</v>
      </c>
      <c r="V49" s="1" t="str">
        <f ca="1">IFERROR(__xludf.DUMMYFUNCTION("""COMPUTED_VALUE"""),"Ulil 'Azmi, S.Si., M.Si.")</f>
        <v>Ulil 'Azmi, S.Si., M.Si.</v>
      </c>
      <c r="W49" s="1"/>
      <c r="X49" s="1" t="str">
        <f ca="1">IFERROR(__xludf.DUMMYFUNCTION("""COMPUTED_VALUE"""),"Lolos")</f>
        <v>Lolos</v>
      </c>
      <c r="Y49" s="1"/>
      <c r="Z49" s="1"/>
      <c r="AA49" s="1"/>
    </row>
    <row r="50" spans="1:27">
      <c r="A50" s="1" t="s">
        <v>49</v>
      </c>
      <c r="B50" s="1">
        <f ca="1">IFERROR(__xludf.DUMMYFUNCTION("""COMPUTED_VALUE"""),3739)</f>
        <v>3739</v>
      </c>
      <c r="C50" s="1" t="str">
        <f ca="1">IFERROR(__xludf.DUMMYFUNCTION("""COMPUTED_VALUE"""),"PKM Artikel Ilmiah")</f>
        <v>PKM Artikel Ilmiah</v>
      </c>
      <c r="D50" s="1" t="str">
        <f ca="1">IFERROR(__xludf.DUMMYFUNCTION("""COMPUTED_VALUE"""),"PENDIRIAN UKM GELATIN IKAN DI KAWASAN BINAAN ITS PACITAN SELATAN")</f>
        <v>PENDIRIAN UKM GELATIN IKAN DI KAWASAN BINAAN ITS PACITAN SELATAN</v>
      </c>
      <c r="E50" s="1" t="str">
        <f ca="1">IFERROR(__xludf.DUMMYFUNCTION("""COMPUTED_VALUE"""),"ANNIDA HAQQ")</f>
        <v>ANNIDA HAQQ</v>
      </c>
      <c r="F50" s="1" t="str">
        <f ca="1">IFERROR(__xludf.DUMMYFUNCTION("""COMPUTED_VALUE"""),"01311940000075")</f>
        <v>01311940000075</v>
      </c>
      <c r="G50" s="1" t="str">
        <f ca="1">IFERROR(__xludf.DUMMYFUNCTION("""COMPUTED_VALUE"""),"Departemen Biologi")</f>
        <v>Departemen Biologi</v>
      </c>
      <c r="H50" s="1" t="str">
        <f ca="1">IFERROR(__xludf.DUMMYFUNCTION("""COMPUTED_VALUE"""),"Drs. Lukman Atmaja, M.Si., Ph.D.")</f>
        <v>Drs. Lukman Atmaja, M.Si., Ph.D.</v>
      </c>
      <c r="I50" s="1" t="str">
        <f ca="1">IFERROR(__xludf.DUMMYFUNCTION("""COMPUTED_VALUE"""),"KENYAVI SYAHDHANI RASYID")</f>
        <v>KENYAVI SYAHDHANI RASYID</v>
      </c>
      <c r="J50" s="1" t="str">
        <f ca="1">IFERROR(__xludf.DUMMYFUNCTION("""COMPUTED_VALUE"""),"01311940000059")</f>
        <v>01311940000059</v>
      </c>
      <c r="K50" s="1" t="str">
        <f ca="1">IFERROR(__xludf.DUMMYFUNCTION("""COMPUTED_VALUE"""),"Departemen Biologi")</f>
        <v>Departemen Biologi</v>
      </c>
      <c r="L50" s="1" t="str">
        <f ca="1">IFERROR(__xludf.DUMMYFUNCTION("""COMPUTED_VALUE"""),"SALSABILA AIDA FITRIYA")</f>
        <v>SALSABILA AIDA FITRIYA</v>
      </c>
      <c r="M50" s="1" t="str">
        <f ca="1">IFERROR(__xludf.DUMMYFUNCTION("""COMPUTED_VALUE"""),"01311940000033")</f>
        <v>01311940000033</v>
      </c>
      <c r="N50" s="1" t="str">
        <f ca="1">IFERROR(__xludf.DUMMYFUNCTION("""COMPUTED_VALUE"""),"Departemen Biologi")</f>
        <v>Departemen Biologi</v>
      </c>
      <c r="O50" s="1" t="str">
        <f ca="1">IFERROR(__xludf.DUMMYFUNCTION("""COMPUTED_VALUE"""),"TIARA ARDIANTI")</f>
        <v>TIARA ARDIANTI</v>
      </c>
      <c r="P50" s="1" t="str">
        <f ca="1">IFERROR(__xludf.DUMMYFUNCTION("""COMPUTED_VALUE"""),"01211940000082")</f>
        <v>01211940000082</v>
      </c>
      <c r="Q50" s="1" t="str">
        <f ca="1">IFERROR(__xludf.DUMMYFUNCTION("""COMPUTED_VALUE"""),"Departemen Kimia")</f>
        <v>Departemen Kimia</v>
      </c>
      <c r="R50" s="1" t="str">
        <f ca="1">IFERROR(__xludf.DUMMYFUNCTION("""COMPUTED_VALUE"""),"WIDYA ANASTASYA NINGTIYAS")</f>
        <v>WIDYA ANASTASYA NINGTIYAS</v>
      </c>
      <c r="S50" s="1" t="str">
        <f ca="1">IFERROR(__xludf.DUMMYFUNCTION("""COMPUTED_VALUE"""),"01211940000070")</f>
        <v>01211940000070</v>
      </c>
      <c r="T50" s="1" t="str">
        <f ca="1">IFERROR(__xludf.DUMMYFUNCTION("""COMPUTED_VALUE"""),"Departemen Kimia")</f>
        <v>Departemen Kimia</v>
      </c>
      <c r="U50" s="1" t="str">
        <f ca="1">IFERROR(__xludf.DUMMYFUNCTION("""COMPUTED_VALUE"""),"Dian Mughni Fellicia, ST., M.Sc")</f>
        <v>Dian Mughni Fellicia, ST., M.Sc</v>
      </c>
      <c r="V50" s="1" t="str">
        <f ca="1">IFERROR(__xludf.DUMMYFUNCTION("""COMPUTED_VALUE"""),"Hariyati Purwaningsih, S.Si., M.Si.")</f>
        <v>Hariyati Purwaningsih, S.Si., M.Si.</v>
      </c>
      <c r="W50" s="1"/>
      <c r="X50" s="1" t="str">
        <f ca="1">IFERROR(__xludf.DUMMYFUNCTION("""COMPUTED_VALUE"""),"Lolos")</f>
        <v>Lolos</v>
      </c>
      <c r="Y50" s="1"/>
      <c r="Z50" s="1"/>
      <c r="AA50" s="1"/>
    </row>
    <row r="51" spans="1:27">
      <c r="A51" s="1" t="s">
        <v>50</v>
      </c>
      <c r="B51" s="1">
        <f ca="1">IFERROR(__xludf.DUMMYFUNCTION("""COMPUTED_VALUE"""),3397)</f>
        <v>3397</v>
      </c>
      <c r="C51" s="1" t="str">
        <f ca="1">IFERROR(__xludf.DUMMYFUNCTION("""COMPUTED_VALUE"""),"PKM Artikel Ilmiah")</f>
        <v>PKM Artikel Ilmiah</v>
      </c>
      <c r="D51" s="1" t="str">
        <f ca="1">IFERROR(__xludf.DUMMYFUNCTION("""COMPUTED_VALUE"""),"ANALISIS KELAYAKAN EKONOMI PENGAPLIKASIAN MULTI STORAGE (BEKU DAN SEGAR) PADA KAPAL ANGKUT IKAN (FISH CARRIER) BERBASIS SOFTWARE RETSCREEN")</f>
        <v>ANALISIS KELAYAKAN EKONOMI PENGAPLIKASIAN MULTI STORAGE (BEKU DAN SEGAR) PADA KAPAL ANGKUT IKAN (FISH CARRIER) BERBASIS SOFTWARE RETSCREEN</v>
      </c>
      <c r="E51" s="1" t="str">
        <f ca="1">IFERROR(__xludf.DUMMYFUNCTION("""COMPUTED_VALUE"""),"Ibnu Khuldun")</f>
        <v>Ibnu Khuldun</v>
      </c>
      <c r="F51" s="1" t="str">
        <f ca="1">IFERROR(__xludf.DUMMYFUNCTION("""COMPUTED_VALUE"""),"04211840000002")</f>
        <v>04211840000002</v>
      </c>
      <c r="G51" s="1" t="str">
        <f ca="1">IFERROR(__xludf.DUMMYFUNCTION("""COMPUTED_VALUE"""),"Departemen Teknik Sistem Perkapalan")</f>
        <v>Departemen Teknik Sistem Perkapalan</v>
      </c>
      <c r="H51" s="1" t="str">
        <f ca="1">IFERROR(__xludf.DUMMYFUNCTION("""COMPUTED_VALUE"""),"Ir. Agoes Santoso, M.Sc.")</f>
        <v>Ir. Agoes Santoso, M.Sc.</v>
      </c>
      <c r="I51" s="1" t="str">
        <f ca="1">IFERROR(__xludf.DUMMYFUNCTION("""COMPUTED_VALUE"""),"DERYL PUTRA ASWIN")</f>
        <v>DERYL PUTRA ASWIN</v>
      </c>
      <c r="J51" s="1" t="str">
        <f ca="1">IFERROR(__xludf.DUMMYFUNCTION("""COMPUTED_VALUE"""),"04211840000057")</f>
        <v>04211840000057</v>
      </c>
      <c r="K51" s="1" t="str">
        <f ca="1">IFERROR(__xludf.DUMMYFUNCTION("""COMPUTED_VALUE"""),"Departemen Teknik Sistem Perkapalan")</f>
        <v>Departemen Teknik Sistem Perkapalan</v>
      </c>
      <c r="L51" s="1" t="str">
        <f ca="1">IFERROR(__xludf.DUMMYFUNCTION("""COMPUTED_VALUE"""),"SYACH REZA FAHLEVI")</f>
        <v>SYACH REZA FAHLEVI</v>
      </c>
      <c r="M51" s="1" t="str">
        <f ca="1">IFERROR(__xludf.DUMMYFUNCTION("""COMPUTED_VALUE"""),"04211940000053")</f>
        <v>04211940000053</v>
      </c>
      <c r="N51" s="1" t="str">
        <f ca="1">IFERROR(__xludf.DUMMYFUNCTION("""COMPUTED_VALUE"""),"Departemen Teknik Sistem Perkapalan")</f>
        <v>Departemen Teknik Sistem Perkapalan</v>
      </c>
      <c r="O51" s="1"/>
      <c r="P51" s="1"/>
      <c r="Q51" s="1"/>
      <c r="R51" s="1"/>
      <c r="S51" s="1"/>
      <c r="T51" s="1"/>
      <c r="U51" s="1" t="str">
        <f ca="1">IFERROR(__xludf.DUMMYFUNCTION("""COMPUTED_VALUE"""),"Prof. Dr. Dra Fahimah Martak, M.Si")</f>
        <v>Prof. Dr. Dra Fahimah Martak, M.Si</v>
      </c>
      <c r="V51" s="1" t="str">
        <f ca="1">IFERROR(__xludf.DUMMYFUNCTION("""COMPUTED_VALUE"""),"Ulil 'Azmi, S.Si., M.Si.")</f>
        <v>Ulil 'Azmi, S.Si., M.Si.</v>
      </c>
      <c r="W51" s="1"/>
      <c r="X51" s="1" t="str">
        <f ca="1">IFERROR(__xludf.DUMMYFUNCTION("""COMPUTED_VALUE"""),"Lolos")</f>
        <v>Lolos</v>
      </c>
      <c r="Y51" s="1"/>
      <c r="Z51" s="1"/>
      <c r="AA51" s="1"/>
    </row>
    <row r="52" spans="1:27">
      <c r="A52" s="1" t="s">
        <v>51</v>
      </c>
      <c r="B52" s="1">
        <f ca="1">IFERROR(__xludf.DUMMYFUNCTION("""COMPUTED_VALUE"""),3905)</f>
        <v>3905</v>
      </c>
      <c r="C52" s="1" t="str">
        <f ca="1">IFERROR(__xludf.DUMMYFUNCTION("""COMPUTED_VALUE"""),"PKM Artikel Ilmiah")</f>
        <v>PKM Artikel Ilmiah</v>
      </c>
      <c r="D52" s="1" t="str">
        <f ca="1">IFERROR(__xludf.DUMMYFUNCTION("""COMPUTED_VALUE"""),"Hubungan Internet terhadap Fenomena Insomnia pada Igneration: Sebab atau Akibat?")</f>
        <v>Hubungan Internet terhadap Fenomena Insomnia pada Igneration: Sebab atau Akibat?</v>
      </c>
      <c r="E52" s="1" t="str">
        <f ca="1">IFERROR(__xludf.DUMMYFUNCTION("""COMPUTED_VALUE"""),"Elsa Maulida P.")</f>
        <v>Elsa Maulida P.</v>
      </c>
      <c r="F52" s="1" t="str">
        <f ca="1">IFERROR(__xludf.DUMMYFUNCTION("""COMPUTED_VALUE"""),"5003211101")</f>
        <v>5003211101</v>
      </c>
      <c r="G52" s="1" t="str">
        <f ca="1">IFERROR(__xludf.DUMMYFUNCTION("""COMPUTED_VALUE"""),"Departemen Statistika")</f>
        <v>Departemen Statistika</v>
      </c>
      <c r="H52" s="1" t="str">
        <f ca="1">IFERROR(__xludf.DUMMYFUNCTION("""COMPUTED_VALUE"""),"Adatul Mukarromah, S.Si., M.Si.")</f>
        <v>Adatul Mukarromah, S.Si., M.Si.</v>
      </c>
      <c r="I52" s="1" t="str">
        <f ca="1">IFERROR(__xludf.DUMMYFUNCTION("""COMPUTED_VALUE"""),"Salma Zaura Baraza")</f>
        <v>Salma Zaura Baraza</v>
      </c>
      <c r="J52" s="1" t="str">
        <f ca="1">IFERROR(__xludf.DUMMYFUNCTION("""COMPUTED_VALUE"""),"5003211151")</f>
        <v>5003211151</v>
      </c>
      <c r="K52" s="1" t="str">
        <f ca="1">IFERROR(__xludf.DUMMYFUNCTION("""COMPUTED_VALUE"""),"Departemen Statistika")</f>
        <v>Departemen Statistika</v>
      </c>
      <c r="L52" s="1" t="str">
        <f ca="1">IFERROR(__xludf.DUMMYFUNCTION("""COMPUTED_VALUE"""),"PUTRI AYU DESITA")</f>
        <v>PUTRI AYU DESITA</v>
      </c>
      <c r="M52" s="1" t="str">
        <f ca="1">IFERROR(__xludf.DUMMYFUNCTION("""COMPUTED_VALUE"""),"5003211051")</f>
        <v>5003211051</v>
      </c>
      <c r="N52" s="1" t="str">
        <f ca="1">IFERROR(__xludf.DUMMYFUNCTION("""COMPUTED_VALUE"""),"Departemen Statistika")</f>
        <v>Departemen Statistika</v>
      </c>
      <c r="O52" s="1" t="str">
        <f ca="1">IFERROR(__xludf.DUMMYFUNCTION("""COMPUTED_VALUE"""),"MOCH. ABDUL KHOLIQ")</f>
        <v>MOCH. ABDUL KHOLIQ</v>
      </c>
      <c r="P52" s="1" t="str">
        <f ca="1">IFERROR(__xludf.DUMMYFUNCTION("""COMPUTED_VALUE"""),"5016211070")</f>
        <v>5016211070</v>
      </c>
      <c r="Q52" s="1" t="str">
        <f ca="1">IFERROR(__xludf.DUMMYFUNCTION("""COMPUTED_VALUE"""),"Departemen Teknik Geomatika")</f>
        <v>Departemen Teknik Geomatika</v>
      </c>
      <c r="R52" s="1"/>
      <c r="S52" s="1"/>
      <c r="T52" s="1"/>
      <c r="U52" s="1" t="str">
        <f ca="1">IFERROR(__xludf.DUMMYFUNCTION("""COMPUTED_VALUE"""),"Dr.-Ing. Doty Dewi Risanti, S.T., M.T.")</f>
        <v>Dr.-Ing. Doty Dewi Risanti, S.T., M.T.</v>
      </c>
      <c r="V52" s="1" t="str">
        <f ca="1">IFERROR(__xludf.DUMMYFUNCTION("""COMPUTED_VALUE"""),"Hariyati Purwaningsih, S.Si., M.Si.")</f>
        <v>Hariyati Purwaningsih, S.Si., M.Si.</v>
      </c>
      <c r="W52" s="1"/>
      <c r="X52" s="1" t="str">
        <f ca="1">IFERROR(__xludf.DUMMYFUNCTION("""COMPUTED_VALUE"""),"Karantina")</f>
        <v>Karantina</v>
      </c>
      <c r="Y52" s="1"/>
      <c r="Z52" s="1"/>
      <c r="AA52" s="1"/>
    </row>
    <row r="53" spans="1:27">
      <c r="A53" s="1" t="s">
        <v>52</v>
      </c>
      <c r="B53" s="1">
        <f ca="1">IFERROR(__xludf.DUMMYFUNCTION("""COMPUTED_VALUE"""),2963)</f>
        <v>2963</v>
      </c>
      <c r="C53" s="1" t="str">
        <f ca="1">IFERROR(__xludf.DUMMYFUNCTION("""COMPUTED_VALUE"""),"PKM Artikel Ilmiah")</f>
        <v>PKM Artikel Ilmiah</v>
      </c>
      <c r="D53" s="1" t="str">
        <f ca="1">IFERROR(__xludf.DUMMYFUNCTION("""COMPUTED_VALUE"""),"Redesain Mounting Wing dengan Metode Elemen Hingga Untuk Menurunkan Beban Mobil Mark 2 Anargya dalam Kompetisi Formula Student")</f>
        <v>Redesain Mounting Wing dengan Metode Elemen Hingga Untuk Menurunkan Beban Mobil Mark 2 Anargya dalam Kompetisi Formula Student</v>
      </c>
      <c r="E53" s="1" t="str">
        <f ca="1">IFERROR(__xludf.DUMMYFUNCTION("""COMPUTED_VALUE"""),"RIZAL HAIDARRAZAN")</f>
        <v>RIZAL HAIDARRAZAN</v>
      </c>
      <c r="F53" s="1" t="str">
        <f ca="1">IFERROR(__xludf.DUMMYFUNCTION("""COMPUTED_VALUE"""),"5007201164")</f>
        <v>5007201164</v>
      </c>
      <c r="G53" s="1" t="str">
        <f ca="1">IFERROR(__xludf.DUMMYFUNCTION("""COMPUTED_VALUE"""),"Departemen Teknik Mesin")</f>
        <v>Departemen Teknik Mesin</v>
      </c>
      <c r="H53" s="1" t="str">
        <f ca="1">IFERROR(__xludf.DUMMYFUNCTION("""COMPUTED_VALUE"""),"Alief Wikarta, ST., MSc.Eng. Ph.D")</f>
        <v>Alief Wikarta, ST., MSc.Eng. Ph.D</v>
      </c>
      <c r="I53" s="1" t="str">
        <f ca="1">IFERROR(__xludf.DUMMYFUNCTION("""COMPUTED_VALUE"""),"MASAYU ANGGITHA MIRANDA")</f>
        <v>MASAYU ANGGITHA MIRANDA</v>
      </c>
      <c r="J53" s="1" t="str">
        <f ca="1">IFERROR(__xludf.DUMMYFUNCTION("""COMPUTED_VALUE"""),"02111940000079")</f>
        <v>02111940000079</v>
      </c>
      <c r="K53" s="1" t="str">
        <f ca="1">IFERROR(__xludf.DUMMYFUNCTION("""COMPUTED_VALUE"""),"Departemen Teknik Mesin")</f>
        <v>Departemen Teknik Mesin</v>
      </c>
      <c r="L53" s="1" t="str">
        <f ca="1">IFERROR(__xludf.DUMMYFUNCTION("""COMPUTED_VALUE"""),"ALWA JAMAL ADZANY")</f>
        <v>ALWA JAMAL ADZANY</v>
      </c>
      <c r="M53" s="1" t="str">
        <f ca="1">IFERROR(__xludf.DUMMYFUNCTION("""COMPUTED_VALUE"""),"2039201077")</f>
        <v>2039201077</v>
      </c>
      <c r="N53" s="1" t="str">
        <f ca="1">IFERROR(__xludf.DUMMYFUNCTION("""COMPUTED_VALUE"""),"Departemen Teknik Mesin Industri")</f>
        <v>Departemen Teknik Mesin Industri</v>
      </c>
      <c r="O53" s="1" t="str">
        <f ca="1">IFERROR(__xludf.DUMMYFUNCTION("""COMPUTED_VALUE"""),"FEBRIAN DWI SAPUTRA")</f>
        <v>FEBRIAN DWI SAPUTRA</v>
      </c>
      <c r="P53" s="1" t="str">
        <f ca="1">IFERROR(__xludf.DUMMYFUNCTION("""COMPUTED_VALUE"""),"2038201044")</f>
        <v>2038201044</v>
      </c>
      <c r="Q53" s="1" t="str">
        <f ca="1">IFERROR(__xludf.DUMMYFUNCTION("""COMPUTED_VALUE"""),"Departemen Teknik Mesin Industri")</f>
        <v>Departemen Teknik Mesin Industri</v>
      </c>
      <c r="R53" s="1" t="str">
        <f ca="1">IFERROR(__xludf.DUMMYFUNCTION("""COMPUTED_VALUE"""),"ZAHRA OKTAVIANA")</f>
        <v>ZAHRA OKTAVIANA</v>
      </c>
      <c r="S53" s="1" t="str">
        <f ca="1">IFERROR(__xludf.DUMMYFUNCTION("""COMPUTED_VALUE"""),"2038201004")</f>
        <v>2038201004</v>
      </c>
      <c r="T53" s="1" t="str">
        <f ca="1">IFERROR(__xludf.DUMMYFUNCTION("""COMPUTED_VALUE"""),"Departemen Teknik Mesin Industri")</f>
        <v>Departemen Teknik Mesin Industri</v>
      </c>
      <c r="U53" s="1" t="str">
        <f ca="1">IFERROR(__xludf.DUMMYFUNCTION("""COMPUTED_VALUE"""),"Dian Mughni Fellicia, ST., M.Sc")</f>
        <v>Dian Mughni Fellicia, ST., M.Sc</v>
      </c>
      <c r="V53" s="1" t="str">
        <f ca="1">IFERROR(__xludf.DUMMYFUNCTION("""COMPUTED_VALUE"""),"Hariyati Purwaningsih, S.Si., M.Si.")</f>
        <v>Hariyati Purwaningsih, S.Si., M.Si.</v>
      </c>
      <c r="W53" s="1"/>
      <c r="X53" s="1" t="str">
        <f ca="1">IFERROR(__xludf.DUMMYFUNCTION("""COMPUTED_VALUE"""),"Karantina")</f>
        <v>Karantina</v>
      </c>
      <c r="Y53" s="1"/>
      <c r="Z53" s="1"/>
      <c r="AA53" s="1"/>
    </row>
    <row r="54" spans="1:27">
      <c r="A54" s="1" t="s">
        <v>53</v>
      </c>
      <c r="B54" s="1">
        <f ca="1">IFERROR(__xludf.DUMMYFUNCTION("""COMPUTED_VALUE"""),2960)</f>
        <v>2960</v>
      </c>
      <c r="C54" s="1" t="str">
        <f ca="1">IFERROR(__xludf.DUMMYFUNCTION("""COMPUTED_VALUE"""),"PKM Artikel Ilmiah")</f>
        <v>PKM Artikel Ilmiah</v>
      </c>
      <c r="D54" s="1" t="str">
        <f ca="1">IFERROR(__xludf.DUMMYFUNCTION("""COMPUTED_VALUE"""),"Analisis Karakteristik Safety Factor Sumur Bor Injeksi Berdasarkan Geomekanika Lapisan Batu Lempung dan Batubara")</f>
        <v>Analisis Karakteristik Safety Factor Sumur Bor Injeksi Berdasarkan Geomekanika Lapisan Batu Lempung dan Batubara</v>
      </c>
      <c r="E54" s="1" t="str">
        <f ca="1">IFERROR(__xludf.DUMMYFUNCTION("""COMPUTED_VALUE"""),"FIRDIAN ALANSYAH")</f>
        <v>FIRDIAN ALANSYAH</v>
      </c>
      <c r="F54" s="1" t="str">
        <f ca="1">IFERROR(__xludf.DUMMYFUNCTION("""COMPUTED_VALUE"""),"03411940000035")</f>
        <v>03411940000035</v>
      </c>
      <c r="G54" s="1" t="str">
        <f ca="1">IFERROR(__xludf.DUMMYFUNCTION("""COMPUTED_VALUE"""),"Departemen Teknik Geofisika")</f>
        <v>Departemen Teknik Geofisika</v>
      </c>
      <c r="H54" s="1" t="str">
        <f ca="1">IFERROR(__xludf.DUMMYFUNCTION("""COMPUTED_VALUE"""),"Juan Pandu Gya Nur Rochman, S.Si., M.T.")</f>
        <v>Juan Pandu Gya Nur Rochman, S.Si., M.T.</v>
      </c>
      <c r="I54" s="1" t="str">
        <f ca="1">IFERROR(__xludf.DUMMYFUNCTION("""COMPUTED_VALUE"""),"FERDIAN YOGA ADITAMA")</f>
        <v>FERDIAN YOGA ADITAMA</v>
      </c>
      <c r="J54" s="1" t="str">
        <f ca="1">IFERROR(__xludf.DUMMYFUNCTION("""COMPUTED_VALUE"""),"03411940000034")</f>
        <v>03411940000034</v>
      </c>
      <c r="K54" s="1" t="str">
        <f ca="1">IFERROR(__xludf.DUMMYFUNCTION("""COMPUTED_VALUE"""),"Departemen Teknik Geofisika")</f>
        <v>Departemen Teknik Geofisika</v>
      </c>
      <c r="L54" s="1" t="str">
        <f ca="1">IFERROR(__xludf.DUMMYFUNCTION("""COMPUTED_VALUE"""),"Sekar Fajar Lestari")</f>
        <v>Sekar Fajar Lestari</v>
      </c>
      <c r="M54" s="1" t="str">
        <f ca="1">IFERROR(__xludf.DUMMYFUNCTION("""COMPUTED_VALUE"""),"03411940000014")</f>
        <v>03411940000014</v>
      </c>
      <c r="N54" s="1" t="str">
        <f ca="1">IFERROR(__xludf.DUMMYFUNCTION("""COMPUTED_VALUE"""),"Departemen Teknik Geofisika")</f>
        <v>Departemen Teknik Geofisika</v>
      </c>
      <c r="O54" s="1" t="str">
        <f ca="1">IFERROR(__xludf.DUMMYFUNCTION("""COMPUTED_VALUE"""),"AUSSIE ANINDYA NARI PINANDITA")</f>
        <v>AUSSIE ANINDYA NARI PINANDITA</v>
      </c>
      <c r="P54" s="1" t="str">
        <f ca="1">IFERROR(__xludf.DUMMYFUNCTION("""COMPUTED_VALUE"""),"03411940000018")</f>
        <v>03411940000018</v>
      </c>
      <c r="Q54" s="1" t="str">
        <f ca="1">IFERROR(__xludf.DUMMYFUNCTION("""COMPUTED_VALUE"""),"Departemen Teknik Geofisika")</f>
        <v>Departemen Teknik Geofisika</v>
      </c>
      <c r="R54" s="1"/>
      <c r="S54" s="1"/>
      <c r="T54" s="1"/>
      <c r="U54" s="1" t="str">
        <f ca="1">IFERROR(__xludf.DUMMYFUNCTION("""COMPUTED_VALUE"""),"Dian Mughni Fellicia, ST., M.Sc")</f>
        <v>Dian Mughni Fellicia, ST., M.Sc</v>
      </c>
      <c r="V54" s="1" t="str">
        <f ca="1">IFERROR(__xludf.DUMMYFUNCTION("""COMPUTED_VALUE"""),"Hariyati Purwaningsih, S.Si., M.Si.")</f>
        <v>Hariyati Purwaningsih, S.Si., M.Si.</v>
      </c>
      <c r="W54" s="1"/>
      <c r="X54" s="1" t="str">
        <f ca="1">IFERROR(__xludf.DUMMYFUNCTION("""COMPUTED_VALUE"""),"Karantina")</f>
        <v>Karantina</v>
      </c>
      <c r="Y54" s="1"/>
      <c r="Z54" s="1"/>
      <c r="AA54" s="1"/>
    </row>
    <row r="55" spans="1:27">
      <c r="A55" s="1" t="s">
        <v>54</v>
      </c>
      <c r="B55" s="1">
        <f ca="1">IFERROR(__xludf.DUMMYFUNCTION("""COMPUTED_VALUE"""),3439)</f>
        <v>3439</v>
      </c>
      <c r="C55" s="1" t="str">
        <f ca="1">IFERROR(__xludf.DUMMYFUNCTION("""COMPUTED_VALUE"""),"PKM Artikel Ilmiah")</f>
        <v>PKM Artikel Ilmiah</v>
      </c>
      <c r="D55" s="1" t="str">
        <f ca="1">IFERROR(__xludf.DUMMYFUNCTION("""COMPUTED_VALUE"""),"SIMULASI FEM PADA DESAIN SISTEM POMPA TIPE VS4 STANDAR API610 MENGGUNAKAN POMPA TORISHIMA TIPE CEN 80X65-250")</f>
        <v>SIMULASI FEM PADA DESAIN SISTEM POMPA TIPE VS4 STANDAR API610 MENGGUNAKAN POMPA TORISHIMA TIPE CEN 80X65-250</v>
      </c>
      <c r="E55" s="1" t="str">
        <f ca="1">IFERROR(__xludf.DUMMYFUNCTION("""COMPUTED_VALUE"""),"ZHOEL MAULANA ALFARISI")</f>
        <v>ZHOEL MAULANA ALFARISI</v>
      </c>
      <c r="F55" s="1" t="str">
        <f ca="1">IFERROR(__xludf.DUMMYFUNCTION("""COMPUTED_VALUE"""),"04211840000113")</f>
        <v>04211840000113</v>
      </c>
      <c r="G55" s="1" t="str">
        <f ca="1">IFERROR(__xludf.DUMMYFUNCTION("""COMPUTED_VALUE"""),"Departemen Teknik Sistem Perkapalan")</f>
        <v>Departemen Teknik Sistem Perkapalan</v>
      </c>
      <c r="H55" s="1" t="str">
        <f ca="1">IFERROR(__xludf.DUMMYFUNCTION("""COMPUTED_VALUE"""),"Sutopo Purwono Fitri, S.T., M.Eng., Ph.D.")</f>
        <v>Sutopo Purwono Fitri, S.T., M.Eng., Ph.D.</v>
      </c>
      <c r="I55" s="1" t="str">
        <f ca="1">IFERROR(__xludf.DUMMYFUNCTION("""COMPUTED_VALUE"""),"ZHOEL MAULANA ALFARISI")</f>
        <v>ZHOEL MAULANA ALFARISI</v>
      </c>
      <c r="J55" s="1" t="str">
        <f ca="1">IFERROR(__xludf.DUMMYFUNCTION("""COMPUTED_VALUE"""),"04211840000113")</f>
        <v>04211840000113</v>
      </c>
      <c r="K55" s="1" t="str">
        <f ca="1">IFERROR(__xludf.DUMMYFUNCTION("""COMPUTED_VALUE"""),"Departemen Teknik Sistem Perkapalan")</f>
        <v>Departemen Teknik Sistem Perkapalan</v>
      </c>
      <c r="L55" s="1" t="str">
        <f ca="1">IFERROR(__xludf.DUMMYFUNCTION("""COMPUTED_VALUE"""),"ZHOEL MAULANA ALFARISI")</f>
        <v>ZHOEL MAULANA ALFARISI</v>
      </c>
      <c r="M55" s="1" t="str">
        <f ca="1">IFERROR(__xludf.DUMMYFUNCTION("""COMPUTED_VALUE"""),"04211840000113")</f>
        <v>04211840000113</v>
      </c>
      <c r="N55" s="1" t="str">
        <f ca="1">IFERROR(__xludf.DUMMYFUNCTION("""COMPUTED_VALUE"""),"Departemen Teknik Sistem Perkapalan")</f>
        <v>Departemen Teknik Sistem Perkapalan</v>
      </c>
      <c r="O55" s="1" t="str">
        <f ca="1">IFERROR(__xludf.DUMMYFUNCTION("""COMPUTED_VALUE"""),"ZHOEL MAULANA ALFARISI")</f>
        <v>ZHOEL MAULANA ALFARISI</v>
      </c>
      <c r="P55" s="1" t="str">
        <f ca="1">IFERROR(__xludf.DUMMYFUNCTION("""COMPUTED_VALUE"""),"04211840000113")</f>
        <v>04211840000113</v>
      </c>
      <c r="Q55" s="1" t="str">
        <f ca="1">IFERROR(__xludf.DUMMYFUNCTION("""COMPUTED_VALUE"""),"Departemen Teknik Sistem Perkapalan")</f>
        <v>Departemen Teknik Sistem Perkapalan</v>
      </c>
      <c r="R55" s="1" t="str">
        <f ca="1">IFERROR(__xludf.DUMMYFUNCTION("""COMPUTED_VALUE"""),"ZHOEL MAULANA ALFARISI")</f>
        <v>ZHOEL MAULANA ALFARISI</v>
      </c>
      <c r="S55" s="1" t="str">
        <f ca="1">IFERROR(__xludf.DUMMYFUNCTION("""COMPUTED_VALUE"""),"04211840000113")</f>
        <v>04211840000113</v>
      </c>
      <c r="T55" s="1" t="str">
        <f ca="1">IFERROR(__xludf.DUMMYFUNCTION("""COMPUTED_VALUE"""),"Departemen Teknik Sistem Perkapalan")</f>
        <v>Departemen Teknik Sistem Perkapalan</v>
      </c>
      <c r="U55" s="1" t="str">
        <f ca="1">IFERROR(__xludf.DUMMYFUNCTION("""COMPUTED_VALUE"""),"Dian Mughni Fellicia, ST., M.Sc")</f>
        <v>Dian Mughni Fellicia, ST., M.Sc</v>
      </c>
      <c r="V55" s="1" t="str">
        <f ca="1">IFERROR(__xludf.DUMMYFUNCTION("""COMPUTED_VALUE"""),"Hariyati Purwaningsih, S.Si., M.Si.")</f>
        <v>Hariyati Purwaningsih, S.Si., M.Si.</v>
      </c>
      <c r="W55" s="1"/>
      <c r="X55" s="1" t="str">
        <f ca="1">IFERROR(__xludf.DUMMYFUNCTION("""COMPUTED_VALUE"""),"Karantina")</f>
        <v>Karantina</v>
      </c>
      <c r="Y55" s="1"/>
      <c r="Z55" s="1"/>
      <c r="AA55" s="1"/>
    </row>
    <row r="56" spans="1:27">
      <c r="A56" s="1" t="s">
        <v>55</v>
      </c>
      <c r="B56" s="1">
        <f ca="1">IFERROR(__xludf.DUMMYFUNCTION("""COMPUTED_VALUE"""),3442)</f>
        <v>3442</v>
      </c>
      <c r="C56" s="1" t="str">
        <f ca="1">IFERROR(__xludf.DUMMYFUNCTION("""COMPUTED_VALUE"""),"PKM Artikel Ilmiah")</f>
        <v>PKM Artikel Ilmiah</v>
      </c>
      <c r="D56" s="1" t="str">
        <f ca="1">IFERROR(__xludf.DUMMYFUNCTION("""COMPUTED_VALUE"""),"PENAMBAHAN AERODYNAMICS DEVICE FRONT PADA MOBIL MARK 2 
ANARGYA ITS UNTUK MENINGKATKAN TRAKSI PADA BAN GUNA 
MENJAGA PERFORMA SAAT CORNERING")</f>
        <v>PENAMBAHAN AERODYNAMICS DEVICE FRONT PADA MOBIL MARK 2 
ANARGYA ITS UNTUK MENINGKATKAN TRAKSI PADA BAN GUNA 
MENJAGA PERFORMA SAAT CORNERING</v>
      </c>
      <c r="E56" s="1" t="str">
        <f ca="1">IFERROR(__xludf.DUMMYFUNCTION("""COMPUTED_VALUE"""),"MOH. RAFI BIMA ADI SAPUTRA")</f>
        <v>MOH. RAFI BIMA ADI SAPUTRA</v>
      </c>
      <c r="F56" s="1" t="str">
        <f ca="1">IFERROR(__xludf.DUMMYFUNCTION("""COMPUTED_VALUE"""),"2038201005")</f>
        <v>2038201005</v>
      </c>
      <c r="G56" s="1" t="str">
        <f ca="1">IFERROR(__xludf.DUMMYFUNCTION("""COMPUTED_VALUE"""),"Departemen Teknik Mesin Industri")</f>
        <v>Departemen Teknik Mesin Industri</v>
      </c>
      <c r="H56" s="1" t="str">
        <f ca="1">IFERROR(__xludf.DUMMYFUNCTION("""COMPUTED_VALUE"""),"Dr. Ir. Heru Mirmanto, M.T.")</f>
        <v>Dr. Ir. Heru Mirmanto, M.T.</v>
      </c>
      <c r="I56" s="1" t="str">
        <f ca="1">IFERROR(__xludf.DUMMYFUNCTION("""COMPUTED_VALUE"""),"RAFIF HERDIAN NOOR")</f>
        <v>RAFIF HERDIAN NOOR</v>
      </c>
      <c r="J56" s="1" t="str">
        <f ca="1">IFERROR(__xludf.DUMMYFUNCTION("""COMPUTED_VALUE"""),"2038201043")</f>
        <v>2038201043</v>
      </c>
      <c r="K56" s="1" t="str">
        <f ca="1">IFERROR(__xludf.DUMMYFUNCTION("""COMPUTED_VALUE"""),"Departemen Teknik Mesin Industri")</f>
        <v>Departemen Teknik Mesin Industri</v>
      </c>
      <c r="L56" s="1" t="str">
        <f ca="1">IFERROR(__xludf.DUMMYFUNCTION("""COMPUTED_VALUE"""),"SITI AMINATUL MUAWANAH")</f>
        <v>SITI AMINATUL MUAWANAH</v>
      </c>
      <c r="M56" s="1" t="str">
        <f ca="1">IFERROR(__xludf.DUMMYFUNCTION("""COMPUTED_VALUE"""),"2038201020")</f>
        <v>2038201020</v>
      </c>
      <c r="N56" s="1" t="str">
        <f ca="1">IFERROR(__xludf.DUMMYFUNCTION("""COMPUTED_VALUE"""),"Departemen Teknik Mesin Industri")</f>
        <v>Departemen Teknik Mesin Industri</v>
      </c>
      <c r="O56" s="1" t="str">
        <f ca="1">IFERROR(__xludf.DUMMYFUNCTION("""COMPUTED_VALUE"""),"PUTRI FEBYANTI SETYA DARMA")</f>
        <v>PUTRI FEBYANTI SETYA DARMA</v>
      </c>
      <c r="P56" s="1" t="str">
        <f ca="1">IFERROR(__xludf.DUMMYFUNCTION("""COMPUTED_VALUE"""),"2038201034")</f>
        <v>2038201034</v>
      </c>
      <c r="Q56" s="1" t="str">
        <f ca="1">IFERROR(__xludf.DUMMYFUNCTION("""COMPUTED_VALUE"""),"Departemen Teknik Mesin Industri")</f>
        <v>Departemen Teknik Mesin Industri</v>
      </c>
      <c r="R56" s="1" t="str">
        <f ca="1">IFERROR(__xludf.DUMMYFUNCTION("""COMPUTED_VALUE"""),"YUUKA SATO")</f>
        <v>YUUKA SATO</v>
      </c>
      <c r="S56" s="1" t="str">
        <f ca="1">IFERROR(__xludf.DUMMYFUNCTION("""COMPUTED_VALUE"""),"2039201025")</f>
        <v>2039201025</v>
      </c>
      <c r="T56" s="1" t="str">
        <f ca="1">IFERROR(__xludf.DUMMYFUNCTION("""COMPUTED_VALUE"""),"Departemen Teknik Mesin Industri")</f>
        <v>Departemen Teknik Mesin Industri</v>
      </c>
      <c r="U56" s="1" t="str">
        <f ca="1">IFERROR(__xludf.DUMMYFUNCTION("""COMPUTED_VALUE"""),"Dian Mughni Fellicia, ST., M.Sc")</f>
        <v>Dian Mughni Fellicia, ST., M.Sc</v>
      </c>
      <c r="V56" s="1" t="str">
        <f ca="1">IFERROR(__xludf.DUMMYFUNCTION("""COMPUTED_VALUE"""),"Hariyati Purwaningsih, S.Si., M.Si.")</f>
        <v>Hariyati Purwaningsih, S.Si., M.Si.</v>
      </c>
      <c r="W56" s="1"/>
      <c r="X56" s="1" t="str">
        <f ca="1">IFERROR(__xludf.DUMMYFUNCTION("""COMPUTED_VALUE"""),"Karantina")</f>
        <v>Karantina</v>
      </c>
      <c r="Y56" s="1"/>
      <c r="Z56" s="1"/>
      <c r="AA56" s="1"/>
    </row>
    <row r="57" spans="1:27">
      <c r="A57" s="1" t="s">
        <v>56</v>
      </c>
      <c r="B57" s="1">
        <f ca="1">IFERROR(__xludf.DUMMYFUNCTION("""COMPUTED_VALUE"""),3713)</f>
        <v>3713</v>
      </c>
      <c r="C57" s="1" t="str">
        <f ca="1">IFERROR(__xludf.DUMMYFUNCTION("""COMPUTED_VALUE"""),"PKM Artikel Ilmiah")</f>
        <v>PKM Artikel Ilmiah</v>
      </c>
      <c r="D57" s="1" t="str">
        <f ca="1">IFERROR(__xludf.DUMMYFUNCTION("""COMPUTED_VALUE"""),"Perjalanan Arsitektur Bawean Merespon Perkembangan Zaman")</f>
        <v>Perjalanan Arsitektur Bawean Merespon Perkembangan Zaman</v>
      </c>
      <c r="E57" s="1" t="str">
        <f ca="1">IFERROR(__xludf.DUMMYFUNCTION("""COMPUTED_VALUE"""),"Muhammad Yusuf Al Ghifari")</f>
        <v>Muhammad Yusuf Al Ghifari</v>
      </c>
      <c r="F57" s="1" t="str">
        <f ca="1">IFERROR(__xludf.DUMMYFUNCTION("""COMPUTED_VALUE"""),"08111840000005")</f>
        <v>08111840000005</v>
      </c>
      <c r="G57" s="1" t="str">
        <f ca="1">IFERROR(__xludf.DUMMYFUNCTION("""COMPUTED_VALUE"""),"Departemen Arsitektur")</f>
        <v>Departemen Arsitektur</v>
      </c>
      <c r="H57" s="1" t="str">
        <f ca="1">IFERROR(__xludf.DUMMYFUNCTION("""COMPUTED_VALUE"""),"Dr.Eng. Didit Novianto, S.T., M.Eng.")</f>
        <v>Dr.Eng. Didit Novianto, S.T., M.Eng.</v>
      </c>
      <c r="I57" s="1" t="str">
        <f ca="1">IFERROR(__xludf.DUMMYFUNCTION("""COMPUTED_VALUE"""),"ARDHASARI SYAHPUTRI HIDAYAT")</f>
        <v>ARDHASARI SYAHPUTRI HIDAYAT</v>
      </c>
      <c r="J57" s="1" t="str">
        <f ca="1">IFERROR(__xludf.DUMMYFUNCTION("""COMPUTED_VALUE"""),"08111840000059")</f>
        <v>08111840000059</v>
      </c>
      <c r="K57" s="1" t="str">
        <f ca="1">IFERROR(__xludf.DUMMYFUNCTION("""COMPUTED_VALUE"""),"Departemen Arsitektur")</f>
        <v>Departemen Arsitektur</v>
      </c>
      <c r="L57" s="1" t="str">
        <f ca="1">IFERROR(__xludf.DUMMYFUNCTION("""COMPUTED_VALUE"""),"Mutiah Shalsabylah")</f>
        <v>Mutiah Shalsabylah</v>
      </c>
      <c r="M57" s="1" t="str">
        <f ca="1">IFERROR(__xludf.DUMMYFUNCTION("""COMPUTED_VALUE"""),"08111840000019")</f>
        <v>08111840000019</v>
      </c>
      <c r="N57" s="1" t="str">
        <f ca="1">IFERROR(__xludf.DUMMYFUNCTION("""COMPUTED_VALUE"""),"Departemen Arsitektur")</f>
        <v>Departemen Arsitektur</v>
      </c>
      <c r="O57" s="1" t="str">
        <f ca="1">IFERROR(__xludf.DUMMYFUNCTION("""COMPUTED_VALUE"""),"ADINDA SARASWATI CAHYANING WULAN SUCI")</f>
        <v>ADINDA SARASWATI CAHYANING WULAN SUCI</v>
      </c>
      <c r="P57" s="1" t="str">
        <f ca="1">IFERROR(__xludf.DUMMYFUNCTION("""COMPUTED_VALUE"""),"08111840000083")</f>
        <v>08111840000083</v>
      </c>
      <c r="Q57" s="1" t="str">
        <f ca="1">IFERROR(__xludf.DUMMYFUNCTION("""COMPUTED_VALUE"""),"Departemen Arsitektur")</f>
        <v>Departemen Arsitektur</v>
      </c>
      <c r="R57" s="1" t="str">
        <f ca="1">IFERROR(__xludf.DUMMYFUNCTION("""COMPUTED_VALUE"""),"Chaerul Bahrum")</f>
        <v>Chaerul Bahrum</v>
      </c>
      <c r="S57" s="1" t="str">
        <f ca="1">IFERROR(__xludf.DUMMYFUNCTION("""COMPUTED_VALUE"""),"08111840000010")</f>
        <v>08111840000010</v>
      </c>
      <c r="T57" s="1" t="str">
        <f ca="1">IFERROR(__xludf.DUMMYFUNCTION("""COMPUTED_VALUE"""),"Departemen Arsitektur")</f>
        <v>Departemen Arsitektur</v>
      </c>
      <c r="U57" s="1" t="str">
        <f ca="1">IFERROR(__xludf.DUMMYFUNCTION("""COMPUTED_VALUE"""),"Dian Mughni Fellicia, ST., M.Sc")</f>
        <v>Dian Mughni Fellicia, ST., M.Sc</v>
      </c>
      <c r="V57" s="1" t="str">
        <f ca="1">IFERROR(__xludf.DUMMYFUNCTION("""COMPUTED_VALUE"""),"Hariyati Purwaningsih, S.Si., M.Si.")</f>
        <v>Hariyati Purwaningsih, S.Si., M.Si.</v>
      </c>
      <c r="W57" s="1"/>
      <c r="X57" s="1" t="str">
        <f ca="1">IFERROR(__xludf.DUMMYFUNCTION("""COMPUTED_VALUE"""),"Karantina")</f>
        <v>Karantina</v>
      </c>
      <c r="Y57" s="1"/>
      <c r="Z57" s="1"/>
      <c r="AA57" s="1"/>
    </row>
    <row r="58" spans="1:27">
      <c r="A58" s="1" t="s">
        <v>57</v>
      </c>
      <c r="B58" s="1">
        <f ca="1">IFERROR(__xludf.DUMMYFUNCTION("""COMPUTED_VALUE"""),3752)</f>
        <v>3752</v>
      </c>
      <c r="C58" s="1" t="str">
        <f ca="1">IFERROR(__xludf.DUMMYFUNCTION("""COMPUTED_VALUE"""),"PKM Artikel Ilmiah")</f>
        <v>PKM Artikel Ilmiah</v>
      </c>
      <c r="D58" s="1" t="str">
        <f ca="1">IFERROR(__xludf.DUMMYFUNCTION("""COMPUTED_VALUE"""),"PEMETAAN PERSEBARAN NILAI KERENTANAN TANAH MELALUI PENGOLAHAN DATA AKUISISI METODE MIKROTREMOR")</f>
        <v>PEMETAAN PERSEBARAN NILAI KERENTANAN TANAH MELALUI PENGOLAHAN DATA AKUISISI METODE MIKROTREMOR</v>
      </c>
      <c r="E58" s="1" t="str">
        <f ca="1">IFERROR(__xludf.DUMMYFUNCTION("""COMPUTED_VALUE"""),"MILANIA ANNISA ROSVIN")</f>
        <v>MILANIA ANNISA ROSVIN</v>
      </c>
      <c r="F58" s="1" t="str">
        <f ca="1">IFERROR(__xludf.DUMMYFUNCTION("""COMPUTED_VALUE"""),"03411840000035")</f>
        <v>03411840000035</v>
      </c>
      <c r="G58" s="1" t="str">
        <f ca="1">IFERROR(__xludf.DUMMYFUNCTION("""COMPUTED_VALUE"""),"Departemen Teknik Geofisika")</f>
        <v>Departemen Teknik Geofisika</v>
      </c>
      <c r="H58" s="1" t="str">
        <f ca="1">IFERROR(__xludf.DUMMYFUNCTION("""COMPUTED_VALUE"""),"Wien Lestari, S.T., M.T.")</f>
        <v>Wien Lestari, S.T., M.T.</v>
      </c>
      <c r="I58" s="1" t="str">
        <f ca="1">IFERROR(__xludf.DUMMYFUNCTION("""COMPUTED_VALUE"""),"Titah Anggraeni Putri Kinasih")</f>
        <v>Titah Anggraeni Putri Kinasih</v>
      </c>
      <c r="J58" s="1" t="str">
        <f ca="1">IFERROR(__xludf.DUMMYFUNCTION("""COMPUTED_VALUE"""),"03411840000019")</f>
        <v>03411840000019</v>
      </c>
      <c r="K58" s="1" t="str">
        <f ca="1">IFERROR(__xludf.DUMMYFUNCTION("""COMPUTED_VALUE"""),"Departemen Teknik Geofisika")</f>
        <v>Departemen Teknik Geofisika</v>
      </c>
      <c r="L58" s="1" t="str">
        <f ca="1">IFERROR(__xludf.DUMMYFUNCTION("""COMPUTED_VALUE"""),"AMANDA PUTRI WIDYANTI")</f>
        <v>AMANDA PUTRI WIDYANTI</v>
      </c>
      <c r="M58" s="1" t="str">
        <f ca="1">IFERROR(__xludf.DUMMYFUNCTION("""COMPUTED_VALUE"""),"03411840000028")</f>
        <v>03411840000028</v>
      </c>
      <c r="N58" s="1" t="str">
        <f ca="1">IFERROR(__xludf.DUMMYFUNCTION("""COMPUTED_VALUE"""),"Departemen Teknik Geofisika")</f>
        <v>Departemen Teknik Geofisika</v>
      </c>
      <c r="O58" s="1" t="str">
        <f ca="1">IFERROR(__xludf.DUMMYFUNCTION("""COMPUTED_VALUE"""),"ANNISA RAMADHANI VARHANA")</f>
        <v>ANNISA RAMADHANI VARHANA</v>
      </c>
      <c r="P58" s="1" t="str">
        <f ca="1">IFERROR(__xludf.DUMMYFUNCTION("""COMPUTED_VALUE"""),"03411840000033")</f>
        <v>03411840000033</v>
      </c>
      <c r="Q58" s="1" t="str">
        <f ca="1">IFERROR(__xludf.DUMMYFUNCTION("""COMPUTED_VALUE"""),"Departemen Teknik Geofisika")</f>
        <v>Departemen Teknik Geofisika</v>
      </c>
      <c r="R58" s="1"/>
      <c r="S58" s="1"/>
      <c r="T58" s="1"/>
      <c r="U58" s="1" t="str">
        <f ca="1">IFERROR(__xludf.DUMMYFUNCTION("""COMPUTED_VALUE"""),"Dr.-Ing. Doty Dewi Risanti, S.T., M.T.")</f>
        <v>Dr.-Ing. Doty Dewi Risanti, S.T., M.T.</v>
      </c>
      <c r="V58" s="1" t="str">
        <f ca="1">IFERROR(__xludf.DUMMYFUNCTION("""COMPUTED_VALUE"""),"Hariyati Purwaningsih, S.Si., M.Si.")</f>
        <v>Hariyati Purwaningsih, S.Si., M.Si.</v>
      </c>
      <c r="W58" s="1"/>
      <c r="X58" s="1" t="str">
        <f ca="1">IFERROR(__xludf.DUMMYFUNCTION("""COMPUTED_VALUE"""),"Karantina")</f>
        <v>Karantina</v>
      </c>
      <c r="Y58" s="1"/>
      <c r="Z58" s="1"/>
      <c r="AA58" s="1"/>
    </row>
    <row r="59" spans="1:27">
      <c r="A59" s="1" t="s">
        <v>28</v>
      </c>
      <c r="B59" s="1">
        <f ca="1">IFERROR(__xludf.DUMMYFUNCTION("""COMPUTED_VALUE"""),3943)</f>
        <v>3943</v>
      </c>
      <c r="C59" s="1" t="str">
        <f ca="1">IFERROR(__xludf.DUMMYFUNCTION("""COMPUTED_VALUE"""),"PKM Artikel Ilmiah")</f>
        <v>PKM Artikel Ilmiah</v>
      </c>
      <c r="D59" s="1" t="str">
        <f ca="1">IFERROR(__xludf.DUMMYFUNCTION("""COMPUTED_VALUE"""),"ANALISIS PENGARUH KUALITAS PRODUK, HARGA, DAN PROMOSI TERHADAP KEPUTUSAN PEMBELIAN AIR MINUM DALAM KEMASAN (AMDK)")</f>
        <v>ANALISIS PENGARUH KUALITAS PRODUK, HARGA, DAN PROMOSI TERHADAP KEPUTUSAN PEMBELIAN AIR MINUM DALAM KEMASAN (AMDK)</v>
      </c>
      <c r="E59" s="1" t="str">
        <f ca="1">IFERROR(__xludf.DUMMYFUNCTION("""COMPUTED_VALUE"""),"Faizin Prasetyo")</f>
        <v>Faizin Prasetyo</v>
      </c>
      <c r="F59" s="1" t="str">
        <f ca="1">IFERROR(__xludf.DUMMYFUNCTION("""COMPUTED_VALUE"""),"2043211037")</f>
        <v>2043211037</v>
      </c>
      <c r="G59" s="1" t="str">
        <f ca="1">IFERROR(__xludf.DUMMYFUNCTION("""COMPUTED_VALUE"""),"Departemen Statistika Bisnis")</f>
        <v>Departemen Statistika Bisnis</v>
      </c>
      <c r="H59" s="1" t="str">
        <f ca="1">IFERROR(__xludf.DUMMYFUNCTION("""COMPUTED_VALUE"""),"Ir. Sri Pingit Wulandari, M.Si.")</f>
        <v>Ir. Sri Pingit Wulandari, M.Si.</v>
      </c>
      <c r="I59" s="1" t="str">
        <f ca="1">IFERROR(__xludf.DUMMYFUNCTION("""COMPUTED_VALUE"""),"Sindi Anisa R")</f>
        <v>Sindi Anisa R</v>
      </c>
      <c r="J59" s="1" t="str">
        <f ca="1">IFERROR(__xludf.DUMMYFUNCTION("""COMPUTED_VALUE"""),"2043211043")</f>
        <v>2043211043</v>
      </c>
      <c r="K59" s="1" t="str">
        <f ca="1">IFERROR(__xludf.DUMMYFUNCTION("""COMPUTED_VALUE"""),"Departemen Statistika Bisnis")</f>
        <v>Departemen Statistika Bisnis</v>
      </c>
      <c r="L59" s="1" t="str">
        <f ca="1">IFERROR(__xludf.DUMMYFUNCTION("""COMPUTED_VALUE"""),"Elsa Elvira")</f>
        <v>Elsa Elvira</v>
      </c>
      <c r="M59" s="1" t="str">
        <f ca="1">IFERROR(__xludf.DUMMYFUNCTION("""COMPUTED_VALUE"""),"2043211051")</f>
        <v>2043211051</v>
      </c>
      <c r="N59" s="1" t="str">
        <f ca="1">IFERROR(__xludf.DUMMYFUNCTION("""COMPUTED_VALUE"""),"Departemen Statistika Bisnis")</f>
        <v>Departemen Statistika Bisnis</v>
      </c>
      <c r="O59" s="1" t="str">
        <f ca="1">IFERROR(__xludf.DUMMYFUNCTION("""COMPUTED_VALUE"""),"Sinta Priyastiwi ")</f>
        <v xml:space="preserve">Sinta Priyastiwi </v>
      </c>
      <c r="P59" s="1" t="str">
        <f ca="1">IFERROR(__xludf.DUMMYFUNCTION("""COMPUTED_VALUE"""),"2043211021")</f>
        <v>2043211021</v>
      </c>
      <c r="Q59" s="1" t="str">
        <f ca="1">IFERROR(__xludf.DUMMYFUNCTION("""COMPUTED_VALUE"""),"Departemen Statistika Bisnis")</f>
        <v>Departemen Statistika Bisnis</v>
      </c>
      <c r="R59" s="1" t="str">
        <f ca="1">IFERROR(__xludf.DUMMYFUNCTION("""COMPUTED_VALUE"""),"RISMATUL SOLIHAH")</f>
        <v>RISMATUL SOLIHAH</v>
      </c>
      <c r="S59" s="1" t="str">
        <f ca="1">IFERROR(__xludf.DUMMYFUNCTION("""COMPUTED_VALUE"""),"2043211025")</f>
        <v>2043211025</v>
      </c>
      <c r="T59" s="1" t="str">
        <f ca="1">IFERROR(__xludf.DUMMYFUNCTION("""COMPUTED_VALUE"""),"Departemen Statistika Bisnis")</f>
        <v>Departemen Statistika Bisnis</v>
      </c>
      <c r="U59" s="1" t="str">
        <f ca="1">IFERROR(__xludf.DUMMYFUNCTION("""COMPUTED_VALUE"""),"Dian Mughni Fellicia, ST., M.Sc")</f>
        <v>Dian Mughni Fellicia, ST., M.Sc</v>
      </c>
      <c r="V59" s="1" t="str">
        <f ca="1">IFERROR(__xludf.DUMMYFUNCTION("""COMPUTED_VALUE"""),"Hariyati Purwaningsih, S.Si., M.Si.")</f>
        <v>Hariyati Purwaningsih, S.Si., M.Si.</v>
      </c>
      <c r="W59" s="1"/>
      <c r="X59" s="1" t="str">
        <f ca="1">IFERROR(__xludf.DUMMYFUNCTION("""COMPUTED_VALUE"""),"Karantina")</f>
        <v>Karantina</v>
      </c>
      <c r="Y59" s="1"/>
      <c r="Z59" s="1"/>
      <c r="AA59" s="1"/>
    </row>
    <row r="60" spans="1:27">
      <c r="A60" s="1" t="s">
        <v>58</v>
      </c>
      <c r="B60" s="1">
        <f ca="1">IFERROR(__xludf.DUMMYFUNCTION("""COMPUTED_VALUE"""),4000)</f>
        <v>4000</v>
      </c>
      <c r="C60" s="1" t="str">
        <f ca="1">IFERROR(__xludf.DUMMYFUNCTION("""COMPUTED_VALUE"""),"PKM Artikel Ilmiah")</f>
        <v>PKM Artikel Ilmiah</v>
      </c>
      <c r="D60" s="1" t="str">
        <f ca="1">IFERROR(__xludf.DUMMYFUNCTION("""COMPUTED_VALUE"""),"Remediasi Air Limbah dengan Polutan Metylen Blue Secara Fotokatalisis (TiO2/ZnO) pada Fotoreaktor")</f>
        <v>Remediasi Air Limbah dengan Polutan Metylen Blue Secara Fotokatalisis (TiO2/ZnO) pada Fotoreaktor</v>
      </c>
      <c r="E60" s="1" t="str">
        <f ca="1">IFERROR(__xludf.DUMMYFUNCTION("""COMPUTED_VALUE"""),"MUHAMMAD ZAIM ALHUSNA")</f>
        <v>MUHAMMAD ZAIM ALHUSNA</v>
      </c>
      <c r="F60" s="1" t="str">
        <f ca="1">IFERROR(__xludf.DUMMYFUNCTION("""COMPUTED_VALUE"""),"02311840000074")</f>
        <v>02311840000074</v>
      </c>
      <c r="G60" s="1" t="str">
        <f ca="1">IFERROR(__xludf.DUMMYFUNCTION("""COMPUTED_VALUE"""),"Departemen Teknik Fisika")</f>
        <v>Departemen Teknik Fisika</v>
      </c>
      <c r="H60" s="1" t="str">
        <f ca="1">IFERROR(__xludf.DUMMYFUNCTION("""COMPUTED_VALUE"""),"Dr.rer.nat Ruri Agung Wahyuono, S.T., M.T.")</f>
        <v>Dr.rer.nat Ruri Agung Wahyuono, S.T., M.T.</v>
      </c>
      <c r="I60" s="1" t="str">
        <f ca="1">IFERROR(__xludf.DUMMYFUNCTION("""COMPUTED_VALUE"""),"Muhammad Wifqi Ariful Fuadi")</f>
        <v>Muhammad Wifqi Ariful Fuadi</v>
      </c>
      <c r="J60" s="1" t="str">
        <f ca="1">IFERROR(__xludf.DUMMYFUNCTION("""COMPUTED_VALUE"""),"02311840000024")</f>
        <v>02311840000024</v>
      </c>
      <c r="K60" s="1" t="str">
        <f ca="1">IFERROR(__xludf.DUMMYFUNCTION("""COMPUTED_VALUE"""),"Departemen Teknik Fisika")</f>
        <v>Departemen Teknik Fisika</v>
      </c>
      <c r="L60" s="1" t="str">
        <f ca="1">IFERROR(__xludf.DUMMYFUNCTION("""COMPUTED_VALUE"""),"DWI WULANDARI")</f>
        <v>DWI WULANDARI</v>
      </c>
      <c r="M60" s="1" t="str">
        <f ca="1">IFERROR(__xludf.DUMMYFUNCTION("""COMPUTED_VALUE"""),"02311942000003")</f>
        <v>02311942000003</v>
      </c>
      <c r="N60" s="1" t="str">
        <f ca="1">IFERROR(__xludf.DUMMYFUNCTION("""COMPUTED_VALUE"""),"Departemen Teknik Fisika")</f>
        <v>Departemen Teknik Fisika</v>
      </c>
      <c r="O60" s="1"/>
      <c r="P60" s="1"/>
      <c r="Q60" s="1"/>
      <c r="R60" s="1"/>
      <c r="S60" s="1"/>
      <c r="T60" s="1"/>
      <c r="U60" s="1" t="str">
        <f ca="1">IFERROR(__xludf.DUMMYFUNCTION("""COMPUTED_VALUE"""),"Dian Mughni Fellicia, ST., M.Sc")</f>
        <v>Dian Mughni Fellicia, ST., M.Sc</v>
      </c>
      <c r="V60" s="1" t="str">
        <f ca="1">IFERROR(__xludf.DUMMYFUNCTION("""COMPUTED_VALUE"""),"Hariyati Purwaningsih, S.Si., M.Si.")</f>
        <v>Hariyati Purwaningsih, S.Si., M.Si.</v>
      </c>
      <c r="W60" s="1"/>
      <c r="X60" s="1" t="str">
        <f ca="1">IFERROR(__xludf.DUMMYFUNCTION("""COMPUTED_VALUE"""),"Karantina")</f>
        <v>Karantina</v>
      </c>
      <c r="Y60" s="1"/>
      <c r="Z60" s="1"/>
      <c r="AA60" s="1"/>
    </row>
    <row r="61" spans="1:27">
      <c r="A61" s="1" t="s">
        <v>59</v>
      </c>
      <c r="B61" s="1">
        <f ca="1">IFERROR(__xludf.DUMMYFUNCTION("""COMPUTED_VALUE"""),4089)</f>
        <v>4089</v>
      </c>
      <c r="C61" s="1" t="str">
        <f ca="1">IFERROR(__xludf.DUMMYFUNCTION("""COMPUTED_VALUE"""),"PKM Artikel Ilmiah")</f>
        <v>PKM Artikel Ilmiah</v>
      </c>
      <c r="D61" s="1" t="str">
        <f ca="1">IFERROR(__xludf.DUMMYFUNCTION("""COMPUTED_VALUE"""),"Inovasi Layanan Jual Beli Buku Bekas dan Pemenuhan Segala Kebutuhan Perkuliahan dengan Sortir Jurusan Berbasis Aplikasi
")</f>
        <v xml:space="preserve">Inovasi Layanan Jual Beli Buku Bekas dan Pemenuhan Segala Kebutuhan Perkuliahan dengan Sortir Jurusan Berbasis Aplikasi
</v>
      </c>
      <c r="E61" s="1" t="str">
        <f ca="1">IFERROR(__xludf.DUMMYFUNCTION("""COMPUTED_VALUE"""),"Sulistya Indah Wahyuni")</f>
        <v>Sulistya Indah Wahyuni</v>
      </c>
      <c r="F61" s="1" t="str">
        <f ca="1">IFERROR(__xludf.DUMMYFUNCTION("""COMPUTED_VALUE"""),"09111940000033")</f>
        <v>09111940000033</v>
      </c>
      <c r="G61" s="1" t="str">
        <f ca="1">IFERROR(__xludf.DUMMYFUNCTION("""COMPUTED_VALUE"""),"Departemen Manajemen Bisnis")</f>
        <v>Departemen Manajemen Bisnis</v>
      </c>
      <c r="H61" s="1" t="str">
        <f ca="1">IFERROR(__xludf.DUMMYFUNCTION("""COMPUTED_VALUE"""),"Nabila Silmina Hakim, S.T., MBA.")</f>
        <v>Nabila Silmina Hakim, S.T., MBA.</v>
      </c>
      <c r="I61" s="1" t="str">
        <f ca="1">IFERROR(__xludf.DUMMYFUNCTION("""COMPUTED_VALUE"""),"ALYA NUR SHABRINA")</f>
        <v>ALYA NUR SHABRINA</v>
      </c>
      <c r="J61" s="1" t="str">
        <f ca="1">IFERROR(__xludf.DUMMYFUNCTION("""COMPUTED_VALUE"""),"06111940000055")</f>
        <v>06111940000055</v>
      </c>
      <c r="K61" s="1" t="str">
        <f ca="1">IFERROR(__xludf.DUMMYFUNCTION("""COMPUTED_VALUE"""),"Departemen Matematika")</f>
        <v>Departemen Matematika</v>
      </c>
      <c r="L61" s="1" t="str">
        <f ca="1">IFERROR(__xludf.DUMMYFUNCTION("""COMPUTED_VALUE"""),"ANNIDA HAQQ")</f>
        <v>ANNIDA HAQQ</v>
      </c>
      <c r="M61" s="1" t="str">
        <f ca="1">IFERROR(__xludf.DUMMYFUNCTION("""COMPUTED_VALUE"""),"01311940000075")</f>
        <v>01311940000075</v>
      </c>
      <c r="N61" s="1" t="str">
        <f ca="1">IFERROR(__xludf.DUMMYFUNCTION("""COMPUTED_VALUE"""),"Departemen Biologi")</f>
        <v>Departemen Biologi</v>
      </c>
      <c r="O61" s="1" t="str">
        <f ca="1">IFERROR(__xludf.DUMMYFUNCTION("""COMPUTED_VALUE"""),"ABADILA BARASMARA BIAS DEWANDRA")</f>
        <v>ABADILA BARASMARA BIAS DEWANDRA</v>
      </c>
      <c r="P61" s="1" t="str">
        <f ca="1">IFERROR(__xludf.DUMMYFUNCTION("""COMPUTED_VALUE"""),"5027201052")</f>
        <v>5027201052</v>
      </c>
      <c r="Q61" s="1" t="str">
        <f ca="1">IFERROR(__xludf.DUMMYFUNCTION("""COMPUTED_VALUE"""),"Departemen Teknologi Informasi")</f>
        <v>Departemen Teknologi Informasi</v>
      </c>
      <c r="R61" s="1" t="str">
        <f ca="1">IFERROR(__xludf.DUMMYFUNCTION("""COMPUTED_VALUE"""),"ABD. WAHID")</f>
        <v>ABD. WAHID</v>
      </c>
      <c r="S61" s="1" t="str">
        <f ca="1">IFERROR(__xludf.DUMMYFUNCTION("""COMPUTED_VALUE"""),"5025201039")</f>
        <v>5025201039</v>
      </c>
      <c r="T61" s="1" t="str">
        <f ca="1">IFERROR(__xludf.DUMMYFUNCTION("""COMPUTED_VALUE"""),"Departemen Teknik Informatika")</f>
        <v>Departemen Teknik Informatika</v>
      </c>
      <c r="U61" s="1" t="str">
        <f ca="1">IFERROR(__xludf.DUMMYFUNCTION("""COMPUTED_VALUE"""),"Dian Mughni Fellicia, ST., M.Sc")</f>
        <v>Dian Mughni Fellicia, ST., M.Sc</v>
      </c>
      <c r="V61" s="1" t="str">
        <f ca="1">IFERROR(__xludf.DUMMYFUNCTION("""COMPUTED_VALUE"""),"Hariyati Purwaningsih, S.Si., M.Si.")</f>
        <v>Hariyati Purwaningsih, S.Si., M.Si.</v>
      </c>
      <c r="W61" s="1"/>
      <c r="X61" s="1" t="str">
        <f ca="1">IFERROR(__xludf.DUMMYFUNCTION("""COMPUTED_VALUE"""),"Karantina")</f>
        <v>Karantina</v>
      </c>
      <c r="Y61" s="1"/>
      <c r="Z61" s="1"/>
      <c r="AA61" s="1"/>
    </row>
    <row r="62" spans="1:27">
      <c r="A62" s="1" t="s">
        <v>60</v>
      </c>
      <c r="B62" s="1">
        <f ca="1">IFERROR(__xludf.DUMMYFUNCTION("""COMPUTED_VALUE"""),3833)</f>
        <v>3833</v>
      </c>
      <c r="C62" s="1" t="str">
        <f ca="1">IFERROR(__xludf.DUMMYFUNCTION("""COMPUTED_VALUE"""),"PKM Artikel Ilmiah")</f>
        <v>PKM Artikel Ilmiah</v>
      </c>
      <c r="D62" s="1" t="str">
        <f ca="1">IFERROR(__xludf.DUMMYFUNCTION("""COMPUTED_VALUE"""),"Pelatihan Digital Marketing dalam Program Kramat Millenial Project Guna Menumbuhkan Jiwa Sociopreneur Kelompok Ibu PKK Desa Kramat, Pulau Mengare 
")</f>
        <v xml:space="preserve">Pelatihan Digital Marketing dalam Program Kramat Millenial Project Guna Menumbuhkan Jiwa Sociopreneur Kelompok Ibu PKK Desa Kramat, Pulau Mengare 
</v>
      </c>
      <c r="E62" s="1" t="str">
        <f ca="1">IFERROR(__xludf.DUMMYFUNCTION("""COMPUTED_VALUE"""),"Shelly Damayanti")</f>
        <v>Shelly Damayanti</v>
      </c>
      <c r="F62" s="1" t="str">
        <f ca="1">IFERROR(__xludf.DUMMYFUNCTION("""COMPUTED_VALUE"""),"01311940000002")</f>
        <v>01311940000002</v>
      </c>
      <c r="G62" s="1" t="str">
        <f ca="1">IFERROR(__xludf.DUMMYFUNCTION("""COMPUTED_VALUE"""),"Departemen Biologi")</f>
        <v>Departemen Biologi</v>
      </c>
      <c r="H62" s="1" t="str">
        <f ca="1">IFERROR(__xludf.DUMMYFUNCTION("""COMPUTED_VALUE"""),"Dr. Awik Puji Dyah Nurhayati, S.Si., M.Si.")</f>
        <v>Dr. Awik Puji Dyah Nurhayati, S.Si., M.Si.</v>
      </c>
      <c r="I62" s="1" t="str">
        <f ca="1">IFERROR(__xludf.DUMMYFUNCTION("""COMPUTED_VALUE"""),"KENYAVI SYAHDHANI RASYID")</f>
        <v>KENYAVI SYAHDHANI RASYID</v>
      </c>
      <c r="J62" s="1" t="str">
        <f ca="1">IFERROR(__xludf.DUMMYFUNCTION("""COMPUTED_VALUE"""),"01311940000059")</f>
        <v>01311940000059</v>
      </c>
      <c r="K62" s="1" t="str">
        <f ca="1">IFERROR(__xludf.DUMMYFUNCTION("""COMPUTED_VALUE"""),"Departemen Biologi")</f>
        <v>Departemen Biologi</v>
      </c>
      <c r="L62" s="1" t="str">
        <f ca="1">IFERROR(__xludf.DUMMYFUNCTION("""COMPUTED_VALUE"""),"GALIH WIDYANTORO")</f>
        <v>GALIH WIDYANTORO</v>
      </c>
      <c r="M62" s="1" t="str">
        <f ca="1">IFERROR(__xludf.DUMMYFUNCTION("""COMPUTED_VALUE"""),"10311910000052")</f>
        <v>10311910000052</v>
      </c>
      <c r="N62" s="1" t="str">
        <f ca="1">IFERROR(__xludf.DUMMYFUNCTION("""COMPUTED_VALUE"""),"Departemen Teknik Elektro Otomasi")</f>
        <v>Departemen Teknik Elektro Otomasi</v>
      </c>
      <c r="O62" s="1" t="str">
        <f ca="1">IFERROR(__xludf.DUMMYFUNCTION("""COMPUTED_VALUE"""),"YULFI ARISTA")</f>
        <v>YULFI ARISTA</v>
      </c>
      <c r="P62" s="1" t="str">
        <f ca="1">IFERROR(__xludf.DUMMYFUNCTION("""COMPUTED_VALUE"""),"10311910000056")</f>
        <v>10311910000056</v>
      </c>
      <c r="Q62" s="1" t="str">
        <f ca="1">IFERROR(__xludf.DUMMYFUNCTION("""COMPUTED_VALUE"""),"Departemen Teknik Elektro Otomasi")</f>
        <v>Departemen Teknik Elektro Otomasi</v>
      </c>
      <c r="R62" s="1" t="str">
        <f ca="1">IFERROR(__xludf.DUMMYFUNCTION("""COMPUTED_VALUE"""),"IWAN DWI PRAKOSO")</f>
        <v>IWAN DWI PRAKOSO</v>
      </c>
      <c r="S62" s="1" t="str">
        <f ca="1">IFERROR(__xludf.DUMMYFUNCTION("""COMPUTED_VALUE"""),"05111940000229")</f>
        <v>05111940000229</v>
      </c>
      <c r="T62" s="1" t="str">
        <f ca="1">IFERROR(__xludf.DUMMYFUNCTION("""COMPUTED_VALUE"""),"Departemen Teknik Informatika")</f>
        <v>Departemen Teknik Informatika</v>
      </c>
      <c r="U62" s="1" t="str">
        <f ca="1">IFERROR(__xludf.DUMMYFUNCTION("""COMPUTED_VALUE"""),"Prof. Dr. Dra Fahimah Martak, M.Si")</f>
        <v>Prof. Dr. Dra Fahimah Martak, M.Si</v>
      </c>
      <c r="V62" s="1" t="str">
        <f ca="1">IFERROR(__xludf.DUMMYFUNCTION("""COMPUTED_VALUE"""),"Arif Fadlan, S.Si., M.Si., D.Sc")</f>
        <v>Arif Fadlan, S.Si., M.Si., D.Sc</v>
      </c>
      <c r="W62" s="1"/>
      <c r="X62" s="1" t="str">
        <f ca="1">IFERROR(__xludf.DUMMYFUNCTION("""COMPUTED_VALUE"""),"Karantina")</f>
        <v>Karantina</v>
      </c>
      <c r="Y62" s="1"/>
      <c r="Z62" s="1"/>
      <c r="AA62" s="1"/>
    </row>
    <row r="63" spans="1:27">
      <c r="A63" s="1" t="s">
        <v>61</v>
      </c>
      <c r="B63" s="1">
        <f ca="1">IFERROR(__xludf.DUMMYFUNCTION("""COMPUTED_VALUE"""),2077)</f>
        <v>2077</v>
      </c>
      <c r="C63" s="1" t="str">
        <f ca="1">IFERROR(__xludf.DUMMYFUNCTION("""COMPUTED_VALUE"""),"PKM Gagasan Tertulis")</f>
        <v>PKM Gagasan Tertulis</v>
      </c>
      <c r="D63" s="1" t="str">
        <f ca="1">IFERROR(__xludf.DUMMYFUNCTION("""COMPUTED_VALUE"""),"Sustainable Smart Silvofishery: Solusi Penanganan Lahan Pasca Tambang Batubara di Pesisir Kalimantan Guna Mewujudkan Ekonomi Hijau Indonesia
")</f>
        <v xml:space="preserve">Sustainable Smart Silvofishery: Solusi Penanganan Lahan Pasca Tambang Batubara di Pesisir Kalimantan Guna Mewujudkan Ekonomi Hijau Indonesia
</v>
      </c>
      <c r="E63" s="1" t="str">
        <f ca="1">IFERROR(__xludf.DUMMYFUNCTION("""COMPUTED_VALUE"""),"ILVI NUR AINI")</f>
        <v>ILVI NUR AINI</v>
      </c>
      <c r="F63" s="1" t="str">
        <f ca="1">IFERROR(__xludf.DUMMYFUNCTION("""COMPUTED_VALUE"""),"08211840000077")</f>
        <v>08211840000077</v>
      </c>
      <c r="G63" s="1" t="str">
        <f ca="1">IFERROR(__xludf.DUMMYFUNCTION("""COMPUTED_VALUE"""),"Departemen Perencanaan Wilayah dan Kota")</f>
        <v>Departemen Perencanaan Wilayah dan Kota</v>
      </c>
      <c r="H63" s="1" t="str">
        <f ca="1">IFERROR(__xludf.DUMMYFUNCTION("""COMPUTED_VALUE"""),"Surya Hadi Kusuma, S.T., M.T.")</f>
        <v>Surya Hadi Kusuma, S.T., M.T.</v>
      </c>
      <c r="I63" s="1" t="str">
        <f ca="1">IFERROR(__xludf.DUMMYFUNCTION("""COMPUTED_VALUE"""),"AMRIH EKA PRATIWI")</f>
        <v>AMRIH EKA PRATIWI</v>
      </c>
      <c r="J63" s="1" t="str">
        <f ca="1">IFERROR(__xludf.DUMMYFUNCTION("""COMPUTED_VALUE"""),"08211840000081")</f>
        <v>08211840000081</v>
      </c>
      <c r="K63" s="1" t="str">
        <f ca="1">IFERROR(__xludf.DUMMYFUNCTION("""COMPUTED_VALUE"""),"Departemen Perencanaan Wilayah dan Kota")</f>
        <v>Departemen Perencanaan Wilayah dan Kota</v>
      </c>
      <c r="L63" s="1" t="str">
        <f ca="1">IFERROR(__xludf.DUMMYFUNCTION("""COMPUTED_VALUE"""),"Alfian Mahfudin")</f>
        <v>Alfian Mahfudin</v>
      </c>
      <c r="M63" s="1" t="str">
        <f ca="1">IFERROR(__xludf.DUMMYFUNCTION("""COMPUTED_VALUE"""),"08211840000010")</f>
        <v>08211840000010</v>
      </c>
      <c r="N63" s="1" t="str">
        <f ca="1">IFERROR(__xludf.DUMMYFUNCTION("""COMPUTED_VALUE"""),"Departemen Perencanaan Wilayah dan Kota")</f>
        <v>Departemen Perencanaan Wilayah dan Kota</v>
      </c>
      <c r="O63" s="1" t="str">
        <f ca="1">IFERROR(__xludf.DUMMYFUNCTION("""COMPUTED_VALUE"""),"KINTAN CAHYANI")</f>
        <v>KINTAN CAHYANI</v>
      </c>
      <c r="P63" s="1" t="str">
        <f ca="1">IFERROR(__xludf.DUMMYFUNCTION("""COMPUTED_VALUE"""),"08211840000052")</f>
        <v>08211840000052</v>
      </c>
      <c r="Q63" s="1" t="str">
        <f ca="1">IFERROR(__xludf.DUMMYFUNCTION("""COMPUTED_VALUE"""),"Departemen Perencanaan Wilayah dan Kota")</f>
        <v>Departemen Perencanaan Wilayah dan Kota</v>
      </c>
      <c r="R63" s="1" t="str">
        <f ca="1">IFERROR(__xludf.DUMMYFUNCTION("""COMPUTED_VALUE"""),"GRACE EIRENE SINAGA")</f>
        <v>GRACE EIRENE SINAGA</v>
      </c>
      <c r="S63" s="1" t="str">
        <f ca="1">IFERROR(__xludf.DUMMYFUNCTION("""COMPUTED_VALUE"""),"5015211139")</f>
        <v>5015211139</v>
      </c>
      <c r="T63" s="1" t="str">
        <f ca="1">IFERROR(__xludf.DUMMYFUNCTION("""COMPUTED_VALUE"""),"Departemen Perencanaan Wilayah dan Kota")</f>
        <v>Departemen Perencanaan Wilayah dan Kota</v>
      </c>
      <c r="U63" s="1" t="str">
        <f ca="1">IFERROR(__xludf.DUMMYFUNCTION("""COMPUTED_VALUE"""),"Dyah Sawitri, S.T., M.T.")</f>
        <v>Dyah Sawitri, S.T., M.T.</v>
      </c>
      <c r="V63" s="1" t="str">
        <f ca="1">IFERROR(__xludf.DUMMYFUNCTION("""COMPUTED_VALUE"""),"Dr.Eng. Yuda Apri Hermawan, S.T., M.T.")</f>
        <v>Dr.Eng. Yuda Apri Hermawan, S.T., M.T.</v>
      </c>
      <c r="W63" s="1"/>
      <c r="X63" s="1" t="str">
        <f ca="1">IFERROR(__xludf.DUMMYFUNCTION("""COMPUTED_VALUE"""),"Lolos")</f>
        <v>Lolos</v>
      </c>
      <c r="Y63" s="1"/>
      <c r="Z63" s="1"/>
      <c r="AA63" s="1"/>
    </row>
    <row r="64" spans="1:27">
      <c r="A64" s="1" t="s">
        <v>62</v>
      </c>
      <c r="B64" s="1">
        <f ca="1">IFERROR(__xludf.DUMMYFUNCTION("""COMPUTED_VALUE"""),3379)</f>
        <v>3379</v>
      </c>
      <c r="C64" s="1" t="str">
        <f ca="1">IFERROR(__xludf.DUMMYFUNCTION("""COMPUTED_VALUE"""),"PKM Gagasan Tertulis")</f>
        <v>PKM Gagasan Tertulis</v>
      </c>
      <c r="D64" s="1" t="str">
        <f ca="1">IFERROR(__xludf.DUMMYFUNCTION("""COMPUTED_VALUE"""),"Nusantara Artificial Green Area: Konsep Kawasan Terpadu Perbaikan Oksigen Ibu Kota Negara Baru Guna Mewujudkan Net Zero Emissions 2050")</f>
        <v>Nusantara Artificial Green Area: Konsep Kawasan Terpadu Perbaikan Oksigen Ibu Kota Negara Baru Guna Mewujudkan Net Zero Emissions 2050</v>
      </c>
      <c r="E64" s="1" t="str">
        <f ca="1">IFERROR(__xludf.DUMMYFUNCTION("""COMPUTED_VALUE"""),"DANANG ADI RISTANTO")</f>
        <v>DANANG ADI RISTANTO</v>
      </c>
      <c r="F64" s="1" t="str">
        <f ca="1">IFERROR(__xludf.DUMMYFUNCTION("""COMPUTED_VALUE"""),"5015201062")</f>
        <v>5015201062</v>
      </c>
      <c r="G64" s="1" t="str">
        <f ca="1">IFERROR(__xludf.DUMMYFUNCTION("""COMPUTED_VALUE"""),"Departemen Perencanaan Wilayah dan Kota")</f>
        <v>Departemen Perencanaan Wilayah dan Kota</v>
      </c>
      <c r="H64" s="1" t="str">
        <f ca="1">IFERROR(__xludf.DUMMYFUNCTION("""COMPUTED_VALUE"""),"Dyah Sawitri, S.T., M.T.")</f>
        <v>Dyah Sawitri, S.T., M.T.</v>
      </c>
      <c r="I64" s="1" t="str">
        <f ca="1">IFERROR(__xludf.DUMMYFUNCTION("""COMPUTED_VALUE"""),"Mukhammad Akbar Makhbubi")</f>
        <v>Mukhammad Akbar Makhbubi</v>
      </c>
      <c r="J64" s="1" t="str">
        <f ca="1">IFERROR(__xludf.DUMMYFUNCTION("""COMPUTED_VALUE"""),"08211940000021")</f>
        <v>08211940000021</v>
      </c>
      <c r="K64" s="1" t="str">
        <f ca="1">IFERROR(__xludf.DUMMYFUNCTION("""COMPUTED_VALUE"""),"Departemen Perencanaan Wilayah dan Kota")</f>
        <v>Departemen Perencanaan Wilayah dan Kota</v>
      </c>
      <c r="L64" s="1" t="str">
        <f ca="1">IFERROR(__xludf.DUMMYFUNCTION("""COMPUTED_VALUE"""),"SALSABILA DHITA NURANI")</f>
        <v>SALSABILA DHITA NURANI</v>
      </c>
      <c r="M64" s="1" t="str">
        <f ca="1">IFERROR(__xludf.DUMMYFUNCTION("""COMPUTED_VALUE"""),"08311940000034")</f>
        <v>08311940000034</v>
      </c>
      <c r="N64" s="1" t="str">
        <f ca="1">IFERROR(__xludf.DUMMYFUNCTION("""COMPUTED_VALUE"""),"Departemen Desain Produk")</f>
        <v>Departemen Desain Produk</v>
      </c>
      <c r="O64" s="1" t="str">
        <f ca="1">IFERROR(__xludf.DUMMYFUNCTION("""COMPUTED_VALUE"""),"NAILAH NAF`ANIL ILMI")</f>
        <v>NAILAH NAF`ANIL ILMI</v>
      </c>
      <c r="P64" s="1" t="str">
        <f ca="1">IFERROR(__xludf.DUMMYFUNCTION("""COMPUTED_VALUE"""),"5015201072")</f>
        <v>5015201072</v>
      </c>
      <c r="Q64" s="1" t="str">
        <f ca="1">IFERROR(__xludf.DUMMYFUNCTION("""COMPUTED_VALUE"""),"Departemen Perencanaan Wilayah dan Kota")</f>
        <v>Departemen Perencanaan Wilayah dan Kota</v>
      </c>
      <c r="R64" s="1" t="str">
        <f ca="1">IFERROR(__xludf.DUMMYFUNCTION("""COMPUTED_VALUE"""),"AHMAD ZAKY MUBAAROK ")</f>
        <v xml:space="preserve">AHMAD ZAKY MUBAAROK </v>
      </c>
      <c r="S64" s="1" t="str">
        <f ca="1">IFERROR(__xludf.DUMMYFUNCTION("""COMPUTED_VALUE"""),"5015211119")</f>
        <v>5015211119</v>
      </c>
      <c r="T64" s="1" t="str">
        <f ca="1">IFERROR(__xludf.DUMMYFUNCTION("""COMPUTED_VALUE"""),"Departemen Perencanaan Wilayah dan Kota")</f>
        <v>Departemen Perencanaan Wilayah dan Kota</v>
      </c>
      <c r="U64" s="1" t="str">
        <f ca="1">IFERROR(__xludf.DUMMYFUNCTION("""COMPUTED_VALUE"""),"Dyah Sawitri, S.T., M.T.")</f>
        <v>Dyah Sawitri, S.T., M.T.</v>
      </c>
      <c r="V64" s="1" t="str">
        <f ca="1">IFERROR(__xludf.DUMMYFUNCTION("""COMPUTED_VALUE"""),"Rindi Kusumawardani, S.Si., M.Sc.")</f>
        <v>Rindi Kusumawardani, S.Si., M.Sc.</v>
      </c>
      <c r="W64" s="1"/>
      <c r="X64" s="1" t="str">
        <f ca="1">IFERROR(__xludf.DUMMYFUNCTION("""COMPUTED_VALUE"""),"Lolos")</f>
        <v>Lolos</v>
      </c>
      <c r="Y64" s="1"/>
      <c r="Z64" s="1"/>
      <c r="AA64" s="1"/>
    </row>
    <row r="65" spans="1:27">
      <c r="A65" s="1" t="s">
        <v>63</v>
      </c>
      <c r="B65" s="1">
        <f ca="1">IFERROR(__xludf.DUMMYFUNCTION("""COMPUTED_VALUE"""),2280)</f>
        <v>2280</v>
      </c>
      <c r="C65" s="1" t="str">
        <f ca="1">IFERROR(__xludf.DUMMYFUNCTION("""COMPUTED_VALUE"""),"PKM Gagasan Tertulis")</f>
        <v>PKM Gagasan Tertulis</v>
      </c>
      <c r="D65" s="1" t="str">
        <f ca="1">IFERROR(__xludf.DUMMYFUNCTION("""COMPUTED_VALUE"""),"1.	Konsep Kota yang Mendukung Kendaraan Listrik Untuk Menempuh Jarak Tanpa Batas")</f>
        <v>1.	Konsep Kota yang Mendukung Kendaraan Listrik Untuk Menempuh Jarak Tanpa Batas</v>
      </c>
      <c r="E65" s="1" t="str">
        <f ca="1">IFERROR(__xludf.DUMMYFUNCTION("""COMPUTED_VALUE"""),"Rif'at Muhammad")</f>
        <v>Rif'at Muhammad</v>
      </c>
      <c r="F65" s="1" t="str">
        <f ca="1">IFERROR(__xludf.DUMMYFUNCTION("""COMPUTED_VALUE"""),"5009211076")</f>
        <v>5009211076</v>
      </c>
      <c r="G65" s="1" t="str">
        <f ca="1">IFERROR(__xludf.DUMMYFUNCTION("""COMPUTED_VALUE"""),"Departemen Teknik Fisika")</f>
        <v>Departemen Teknik Fisika</v>
      </c>
      <c r="H65" s="1" t="str">
        <f ca="1">IFERROR(__xludf.DUMMYFUNCTION("""COMPUTED_VALUE"""),"Dr. Dhany Arifianto, S.T., M.Eng.")</f>
        <v>Dr. Dhany Arifianto, S.T., M.Eng.</v>
      </c>
      <c r="I65" s="1" t="str">
        <f ca="1">IFERROR(__xludf.DUMMYFUNCTION("""COMPUTED_VALUE"""),"M. FAHMI RAMADHAN")</f>
        <v>M. FAHMI RAMADHAN</v>
      </c>
      <c r="J65" s="1" t="str">
        <f ca="1">IFERROR(__xludf.DUMMYFUNCTION("""COMPUTED_VALUE"""),"5009211007")</f>
        <v>5009211007</v>
      </c>
      <c r="K65" s="1" t="str">
        <f ca="1">IFERROR(__xludf.DUMMYFUNCTION("""COMPUTED_VALUE"""),"Departemen Teknik Fisika")</f>
        <v>Departemen Teknik Fisika</v>
      </c>
      <c r="L65" s="1" t="str">
        <f ca="1">IFERROR(__xludf.DUMMYFUNCTION("""COMPUTED_VALUE"""),"JOFAN SYAHFIDI A.")</f>
        <v>JOFAN SYAHFIDI A.</v>
      </c>
      <c r="M65" s="1" t="str">
        <f ca="1">IFERROR(__xludf.DUMMYFUNCTION("""COMPUTED_VALUE"""),"5009211071")</f>
        <v>5009211071</v>
      </c>
      <c r="N65" s="1" t="str">
        <f ca="1">IFERROR(__xludf.DUMMYFUNCTION("""COMPUTED_VALUE"""),"Departemen Teknik Fisika")</f>
        <v>Departemen Teknik Fisika</v>
      </c>
      <c r="O65" s="1" t="str">
        <f ca="1">IFERROR(__xludf.DUMMYFUNCTION("""COMPUTED_VALUE"""),"M REVI FIKRI")</f>
        <v>M REVI FIKRI</v>
      </c>
      <c r="P65" s="1" t="str">
        <f ca="1">IFERROR(__xludf.DUMMYFUNCTION("""COMPUTED_VALUE"""),"5009211090")</f>
        <v>5009211090</v>
      </c>
      <c r="Q65" s="1" t="str">
        <f ca="1">IFERROR(__xludf.DUMMYFUNCTION("""COMPUTED_VALUE"""),"Departemen Teknik Fisika")</f>
        <v>Departemen Teknik Fisika</v>
      </c>
      <c r="R65" s="1"/>
      <c r="S65" s="1"/>
      <c r="T65" s="1"/>
      <c r="U65" s="1" t="str">
        <f ca="1">IFERROR(__xludf.DUMMYFUNCTION("""COMPUTED_VALUE"""),"Dyah Sawitri, S.T., M.T.")</f>
        <v>Dyah Sawitri, S.T., M.T.</v>
      </c>
      <c r="V65" s="1" t="str">
        <f ca="1">IFERROR(__xludf.DUMMYFUNCTION("""COMPUTED_VALUE"""),"Rindi Kusumawardani, S.Si., M.Sc.")</f>
        <v>Rindi Kusumawardani, S.Si., M.Sc.</v>
      </c>
      <c r="W65" s="1"/>
      <c r="X65" s="1" t="str">
        <f ca="1">IFERROR(__xludf.DUMMYFUNCTION("""COMPUTED_VALUE"""),"Lolos")</f>
        <v>Lolos</v>
      </c>
      <c r="Y65" s="1"/>
      <c r="Z65" s="1"/>
      <c r="AA65" s="1"/>
    </row>
    <row r="66" spans="1:27">
      <c r="A66" s="1" t="s">
        <v>64</v>
      </c>
      <c r="B66" s="1">
        <f ca="1">IFERROR(__xludf.DUMMYFUNCTION("""COMPUTED_VALUE"""),2274)</f>
        <v>2274</v>
      </c>
      <c r="C66" s="1" t="str">
        <f ca="1">IFERROR(__xludf.DUMMYFUNCTION("""COMPUTED_VALUE"""),"PKM Gagasan Tertulis")</f>
        <v>PKM Gagasan Tertulis</v>
      </c>
      <c r="D66" s="1" t="str">
        <f ca="1">IFERROR(__xludf.DUMMYFUNCTION("""COMPUTED_VALUE"""),"Sistem Pencegahan Land Subsidence untuk Mengatasi Penurunan Permukaan Tanah di Pulau Jawa")</f>
        <v>Sistem Pencegahan Land Subsidence untuk Mengatasi Penurunan Permukaan Tanah di Pulau Jawa</v>
      </c>
      <c r="E66" s="1" t="str">
        <f ca="1">IFERROR(__xludf.DUMMYFUNCTION("""COMPUTED_VALUE"""),"CHOIRINA ALIVIA")</f>
        <v>CHOIRINA ALIVIA</v>
      </c>
      <c r="F66" s="1" t="str">
        <f ca="1">IFERROR(__xludf.DUMMYFUNCTION("""COMPUTED_VALUE"""),"02311940000110")</f>
        <v>02311940000110</v>
      </c>
      <c r="G66" s="1" t="str">
        <f ca="1">IFERROR(__xludf.DUMMYFUNCTION("""COMPUTED_VALUE"""),"Departemen Teknik Fisika")</f>
        <v>Departemen Teknik Fisika</v>
      </c>
      <c r="H66" s="1" t="str">
        <f ca="1">IFERROR(__xludf.DUMMYFUNCTION("""COMPUTED_VALUE"""),"Dyah Sawitri, S.T., M.T.")</f>
        <v>Dyah Sawitri, S.T., M.T.</v>
      </c>
      <c r="I66" s="1" t="str">
        <f ca="1">IFERROR(__xludf.DUMMYFUNCTION("""COMPUTED_VALUE"""),"Yuni Kurnia")</f>
        <v>Yuni Kurnia</v>
      </c>
      <c r="J66" s="1" t="str">
        <f ca="1">IFERROR(__xludf.DUMMYFUNCTION("""COMPUTED_VALUE"""),"02311940000053")</f>
        <v>02311940000053</v>
      </c>
      <c r="K66" s="1" t="str">
        <f ca="1">IFERROR(__xludf.DUMMYFUNCTION("""COMPUTED_VALUE"""),"Departemen Teknik Fisika")</f>
        <v>Departemen Teknik Fisika</v>
      </c>
      <c r="L66" s="1" t="str">
        <f ca="1">IFERROR(__xludf.DUMMYFUNCTION("""COMPUTED_VALUE"""),"Alifia Rifta Putri Zharifa")</f>
        <v>Alifia Rifta Putri Zharifa</v>
      </c>
      <c r="M66" s="1" t="str">
        <f ca="1">IFERROR(__xludf.DUMMYFUNCTION("""COMPUTED_VALUE"""),"02311940000031")</f>
        <v>02311940000031</v>
      </c>
      <c r="N66" s="1" t="str">
        <f ca="1">IFERROR(__xludf.DUMMYFUNCTION("""COMPUTED_VALUE"""),"Departemen Teknik Fisika")</f>
        <v>Departemen Teknik Fisika</v>
      </c>
      <c r="O66" s="1" t="str">
        <f ca="1">IFERROR(__xludf.DUMMYFUNCTION("""COMPUTED_VALUE"""),"Intan Mey Setyaningrum")</f>
        <v>Intan Mey Setyaningrum</v>
      </c>
      <c r="P66" s="1" t="str">
        <f ca="1">IFERROR(__xludf.DUMMYFUNCTION("""COMPUTED_VALUE"""),"02311940000045")</f>
        <v>02311940000045</v>
      </c>
      <c r="Q66" s="1" t="str">
        <f ca="1">IFERROR(__xludf.DUMMYFUNCTION("""COMPUTED_VALUE"""),"Departemen Teknik Fisika")</f>
        <v>Departemen Teknik Fisika</v>
      </c>
      <c r="R66" s="1"/>
      <c r="S66" s="1"/>
      <c r="T66" s="1"/>
      <c r="U66" s="1" t="str">
        <f ca="1">IFERROR(__xludf.DUMMYFUNCTION("""COMPUTED_VALUE"""),"Dyah Sawitri, S.T., M.T.")</f>
        <v>Dyah Sawitri, S.T., M.T.</v>
      </c>
      <c r="V66" s="1" t="str">
        <f ca="1">IFERROR(__xludf.DUMMYFUNCTION("""COMPUTED_VALUE"""),"Rindi Kusumawardani, S.Si., M.Sc.")</f>
        <v>Rindi Kusumawardani, S.Si., M.Sc.</v>
      </c>
      <c r="W66" s="1"/>
      <c r="X66" s="1" t="str">
        <f ca="1">IFERROR(__xludf.DUMMYFUNCTION("""COMPUTED_VALUE"""),"Lolos")</f>
        <v>Lolos</v>
      </c>
      <c r="Y66" s="1"/>
      <c r="Z66" s="1"/>
      <c r="AA66" s="1"/>
    </row>
    <row r="67" spans="1:27">
      <c r="A67" s="1" t="s">
        <v>65</v>
      </c>
      <c r="B67" s="1">
        <f ca="1">IFERROR(__xludf.DUMMYFUNCTION("""COMPUTED_VALUE"""),2558)</f>
        <v>2558</v>
      </c>
      <c r="C67" s="1" t="str">
        <f ca="1">IFERROR(__xludf.DUMMYFUNCTION("""COMPUTED_VALUE"""),"PKM Gagasan Tertulis")</f>
        <v>PKM Gagasan Tertulis</v>
      </c>
      <c r="D67" s="1" t="str">
        <f ca="1">IFERROR(__xludf.DUMMYFUNCTION("""COMPUTED_VALUE"""),"Pemanfaatan Lahan Bekas Tambang di Kabupaten Kutai Kartenegara sebagai Penunjang Pangan Ibu Kota Negara Baru Berbasis Smart Integration Food-Energy-Water System")</f>
        <v>Pemanfaatan Lahan Bekas Tambang di Kabupaten Kutai Kartenegara sebagai Penunjang Pangan Ibu Kota Negara Baru Berbasis Smart Integration Food-Energy-Water System</v>
      </c>
      <c r="E67" s="1" t="str">
        <f ca="1">IFERROR(__xludf.DUMMYFUNCTION("""COMPUTED_VALUE"""),"Dian Nur Faizzah")</f>
        <v>Dian Nur Faizzah</v>
      </c>
      <c r="F67" s="1" t="str">
        <f ca="1">IFERROR(__xludf.DUMMYFUNCTION("""COMPUTED_VALUE"""),"07111940000066")</f>
        <v>07111940000066</v>
      </c>
      <c r="G67" s="1" t="str">
        <f ca="1">IFERROR(__xludf.DUMMYFUNCTION("""COMPUTED_VALUE"""),"Departemen Teknik Elektro")</f>
        <v>Departemen Teknik Elektro</v>
      </c>
      <c r="H67" s="1" t="str">
        <f ca="1">IFERROR(__xludf.DUMMYFUNCTION("""COMPUTED_VALUE"""),"Dimas Anton Asfani, S.T., M.T., Ph.D.")</f>
        <v>Dimas Anton Asfani, S.T., M.T., Ph.D.</v>
      </c>
      <c r="I67" s="1" t="str">
        <f ca="1">IFERROR(__xludf.DUMMYFUNCTION("""COMPUTED_VALUE"""),"PUTU MIRA TAZIA DEWI")</f>
        <v>PUTU MIRA TAZIA DEWI</v>
      </c>
      <c r="J67" s="1" t="str">
        <f ca="1">IFERROR(__xludf.DUMMYFUNCTION("""COMPUTED_VALUE"""),"07111840000175")</f>
        <v>07111840000175</v>
      </c>
      <c r="K67" s="1" t="str">
        <f ca="1">IFERROR(__xludf.DUMMYFUNCTION("""COMPUTED_VALUE"""),"Departemen Teknik Elektro")</f>
        <v>Departemen Teknik Elektro</v>
      </c>
      <c r="L67" s="1" t="str">
        <f ca="1">IFERROR(__xludf.DUMMYFUNCTION("""COMPUTED_VALUE"""),"Cory Rafsyanyani")</f>
        <v>Cory Rafsyanyani</v>
      </c>
      <c r="M67" s="1" t="str">
        <f ca="1">IFERROR(__xludf.DUMMYFUNCTION("""COMPUTED_VALUE"""),"01311940000006")</f>
        <v>01311940000006</v>
      </c>
      <c r="N67" s="1" t="str">
        <f ca="1">IFERROR(__xludf.DUMMYFUNCTION("""COMPUTED_VALUE"""),"Departemen Biologi")</f>
        <v>Departemen Biologi</v>
      </c>
      <c r="O67" s="1" t="str">
        <f ca="1">IFERROR(__xludf.DUMMYFUNCTION("""COMPUTED_VALUE"""),"YOHANES BAGAS EKO WIBOWO")</f>
        <v>YOHANES BAGAS EKO WIBOWO</v>
      </c>
      <c r="P67" s="1" t="str">
        <f ca="1">IFERROR(__xludf.DUMMYFUNCTION("""COMPUTED_VALUE"""),"5022201194")</f>
        <v>5022201194</v>
      </c>
      <c r="Q67" s="1" t="str">
        <f ca="1">IFERROR(__xludf.DUMMYFUNCTION("""COMPUTED_VALUE"""),"Departemen Teknik Elektro")</f>
        <v>Departemen Teknik Elektro</v>
      </c>
      <c r="R67" s="1" t="str">
        <f ca="1">IFERROR(__xludf.DUMMYFUNCTION("""COMPUTED_VALUE"""),"Haura N")</f>
        <v>Haura N</v>
      </c>
      <c r="S67" s="1" t="str">
        <f ca="1">IFERROR(__xludf.DUMMYFUNCTION("""COMPUTED_VALUE"""),"5022211153")</f>
        <v>5022211153</v>
      </c>
      <c r="T67" s="1" t="str">
        <f ca="1">IFERROR(__xludf.DUMMYFUNCTION("""COMPUTED_VALUE"""),"Departemen Teknik Elektro")</f>
        <v>Departemen Teknik Elektro</v>
      </c>
      <c r="U67" s="1" t="str">
        <f ca="1">IFERROR(__xludf.DUMMYFUNCTION("""COMPUTED_VALUE"""),"Dyah Sawitri, S.T., M.T.")</f>
        <v>Dyah Sawitri, S.T., M.T.</v>
      </c>
      <c r="V67" s="1" t="str">
        <f ca="1">IFERROR(__xludf.DUMMYFUNCTION("""COMPUTED_VALUE"""),"Wimala Lalitya Dhanistha, S.T., M.T.")</f>
        <v>Wimala Lalitya Dhanistha, S.T., M.T.</v>
      </c>
      <c r="W67" s="1"/>
      <c r="X67" s="1" t="str">
        <f ca="1">IFERROR(__xludf.DUMMYFUNCTION("""COMPUTED_VALUE"""),"Lolos")</f>
        <v>Lolos</v>
      </c>
      <c r="Y67" s="1"/>
      <c r="Z67" s="1"/>
      <c r="AA67" s="1"/>
    </row>
    <row r="68" spans="1:27">
      <c r="A68" s="1" t="s">
        <v>66</v>
      </c>
      <c r="B68" s="1">
        <f ca="1">IFERROR(__xludf.DUMMYFUNCTION("""COMPUTED_VALUE"""),3346)</f>
        <v>3346</v>
      </c>
      <c r="C68" s="1" t="str">
        <f ca="1">IFERROR(__xludf.DUMMYFUNCTION("""COMPUTED_VALUE"""),"PKM Gagasan Tertulis")</f>
        <v>PKM Gagasan Tertulis</v>
      </c>
      <c r="D68" s="1" t="str">
        <f ca="1">IFERROR(__xludf.DUMMYFUNCTION("""COMPUTED_VALUE"""),"Pertanian Pasca Tambang Batubara Sebagai Upaya Rehabilitasi dengan Metode Ameliorasi-Fitoremediasi")</f>
        <v>Pertanian Pasca Tambang Batubara Sebagai Upaya Rehabilitasi dengan Metode Ameliorasi-Fitoremediasi</v>
      </c>
      <c r="E68" s="1" t="str">
        <f ca="1">IFERROR(__xludf.DUMMYFUNCTION("""COMPUTED_VALUE"""),"Ratna Amalia Nur A.")</f>
        <v>Ratna Amalia Nur A.</v>
      </c>
      <c r="F68" s="1" t="str">
        <f ca="1">IFERROR(__xludf.DUMMYFUNCTION("""COMPUTED_VALUE"""),"5017211006")</f>
        <v>5017211006</v>
      </c>
      <c r="G68" s="1" t="str">
        <f ca="1">IFERROR(__xludf.DUMMYFUNCTION("""COMPUTED_VALUE"""),"Departemen Teknik Geofisika")</f>
        <v>Departemen Teknik Geofisika</v>
      </c>
      <c r="H68" s="1" t="str">
        <f ca="1">IFERROR(__xludf.DUMMYFUNCTION("""COMPUTED_VALUE"""),"Juan Pandu Gya Nur Rochman, S.Si., M.T.")</f>
        <v>Juan Pandu Gya Nur Rochman, S.Si., M.T.</v>
      </c>
      <c r="I68" s="1" t="str">
        <f ca="1">IFERROR(__xludf.DUMMYFUNCTION("""COMPUTED_VALUE"""),"Stefany Nugi Ardiana")</f>
        <v>Stefany Nugi Ardiana</v>
      </c>
      <c r="J68" s="1" t="str">
        <f ca="1">IFERROR(__xludf.DUMMYFUNCTION("""COMPUTED_VALUE"""),"5017211031")</f>
        <v>5017211031</v>
      </c>
      <c r="K68" s="1" t="str">
        <f ca="1">IFERROR(__xludf.DUMMYFUNCTION("""COMPUTED_VALUE"""),"Departemen Teknik Geofisika")</f>
        <v>Departemen Teknik Geofisika</v>
      </c>
      <c r="L68" s="1" t="str">
        <f ca="1">IFERROR(__xludf.DUMMYFUNCTION("""COMPUTED_VALUE"""),"ALIFATUL NUR ROHMAH ")</f>
        <v xml:space="preserve">ALIFATUL NUR ROHMAH </v>
      </c>
      <c r="M68" s="1" t="str">
        <f ca="1">IFERROR(__xludf.DUMMYFUNCTION("""COMPUTED_VALUE"""),"5017211049")</f>
        <v>5017211049</v>
      </c>
      <c r="N68" s="1" t="str">
        <f ca="1">IFERROR(__xludf.DUMMYFUNCTION("""COMPUTED_VALUE"""),"Departemen Teknik Geofisika")</f>
        <v>Departemen Teknik Geofisika</v>
      </c>
      <c r="O68" s="1" t="str">
        <f ca="1">IFERROR(__xludf.DUMMYFUNCTION("""COMPUTED_VALUE"""),"AYU PUTRI RAMADHANI")</f>
        <v>AYU PUTRI RAMADHANI</v>
      </c>
      <c r="P68" s="1" t="str">
        <f ca="1">IFERROR(__xludf.DUMMYFUNCTION("""COMPUTED_VALUE"""),"5017211015")</f>
        <v>5017211015</v>
      </c>
      <c r="Q68" s="1" t="str">
        <f ca="1">IFERROR(__xludf.DUMMYFUNCTION("""COMPUTED_VALUE"""),"Departemen Teknik Geofisika")</f>
        <v>Departemen Teknik Geofisika</v>
      </c>
      <c r="R68" s="1"/>
      <c r="S68" s="1"/>
      <c r="T68" s="1"/>
      <c r="U68" s="1" t="str">
        <f ca="1">IFERROR(__xludf.DUMMYFUNCTION("""COMPUTED_VALUE"""),"Dyah Sawitri, S.T., M.T.")</f>
        <v>Dyah Sawitri, S.T., M.T.</v>
      </c>
      <c r="V68" s="1" t="str">
        <f ca="1">IFERROR(__xludf.DUMMYFUNCTION("""COMPUTED_VALUE"""),"Rindi Kusumawardani, S.Si., M.Sc.")</f>
        <v>Rindi Kusumawardani, S.Si., M.Sc.</v>
      </c>
      <c r="W68" s="1"/>
      <c r="X68" s="1" t="str">
        <f ca="1">IFERROR(__xludf.DUMMYFUNCTION("""COMPUTED_VALUE"""),"Lolos")</f>
        <v>Lolos</v>
      </c>
      <c r="Y68" s="1"/>
      <c r="Z68" s="1"/>
      <c r="AA68" s="1"/>
    </row>
    <row r="69" spans="1:27">
      <c r="A69" s="1" t="s">
        <v>67</v>
      </c>
      <c r="B69" s="1">
        <f ca="1">IFERROR(__xludf.DUMMYFUNCTION("""COMPUTED_VALUE"""),2283)</f>
        <v>2283</v>
      </c>
      <c r="C69" s="1" t="str">
        <f ca="1">IFERROR(__xludf.DUMMYFUNCTION("""COMPUTED_VALUE"""),"PKM Gagasan Tertulis")</f>
        <v>PKM Gagasan Tertulis</v>
      </c>
      <c r="D69" s="1" t="str">
        <f ca="1">IFERROR(__xludf.DUMMYFUNCTION("""COMPUTED_VALUE"""),"Integrasi Sistem Transportasi Cerdas menggunakan 5G untuk  Real-time Data Monitoring guna Menciptakan Daerah Kota Besar Terhindar dari Kemacetan.")</f>
        <v>Integrasi Sistem Transportasi Cerdas menggunakan 5G untuk  Real-time Data Monitoring guna Menciptakan Daerah Kota Besar Terhindar dari Kemacetan.</v>
      </c>
      <c r="E69" s="1" t="str">
        <f ca="1">IFERROR(__xludf.DUMMYFUNCTION("""COMPUTED_VALUE"""),"Victorio E.C. Muhamad Al Ghozali")</f>
        <v>Victorio E.C. Muhamad Al Ghozali</v>
      </c>
      <c r="F69" s="1" t="str">
        <f ca="1">IFERROR(__xludf.DUMMYFUNCTION("""COMPUTED_VALUE"""),"07111940000025")</f>
        <v>07111940000025</v>
      </c>
      <c r="G69" s="1" t="str">
        <f ca="1">IFERROR(__xludf.DUMMYFUNCTION("""COMPUTED_VALUE"""),"Departemen Teknik Elektro")</f>
        <v>Departemen Teknik Elektro</v>
      </c>
      <c r="H69" s="1" t="str">
        <f ca="1">IFERROR(__xludf.DUMMYFUNCTION("""COMPUTED_VALUE"""),"Prof. Ir. Gamantyo Hendrantoro, M.Eng., Ph.D.")</f>
        <v>Prof. Ir. Gamantyo Hendrantoro, M.Eng., Ph.D.</v>
      </c>
      <c r="I69" s="1" t="str">
        <f ca="1">IFERROR(__xludf.DUMMYFUNCTION("""COMPUTED_VALUE"""),"MUHAMMAD RIZKY FIRMANSYAH")</f>
        <v>MUHAMMAD RIZKY FIRMANSYAH</v>
      </c>
      <c r="J69" s="1" t="str">
        <f ca="1">IFERROR(__xludf.DUMMYFUNCTION("""COMPUTED_VALUE"""),"07111940000099")</f>
        <v>07111940000099</v>
      </c>
      <c r="K69" s="1" t="str">
        <f ca="1">IFERROR(__xludf.DUMMYFUNCTION("""COMPUTED_VALUE"""),"Departemen Teknik Elektro")</f>
        <v>Departemen Teknik Elektro</v>
      </c>
      <c r="L69" s="1" t="str">
        <f ca="1">IFERROR(__xludf.DUMMYFUNCTION("""COMPUTED_VALUE"""),"Fakhriel Muhamad Mughniansyah")</f>
        <v>Fakhriel Muhamad Mughniansyah</v>
      </c>
      <c r="M69" s="1" t="str">
        <f ca="1">IFERROR(__xludf.DUMMYFUNCTION("""COMPUTED_VALUE"""),"07111940000031")</f>
        <v>07111940000031</v>
      </c>
      <c r="N69" s="1" t="str">
        <f ca="1">IFERROR(__xludf.DUMMYFUNCTION("""COMPUTED_VALUE"""),"Departemen Teknik Elektro")</f>
        <v>Departemen Teknik Elektro</v>
      </c>
      <c r="O69" s="1"/>
      <c r="P69" s="1"/>
      <c r="Q69" s="1"/>
      <c r="R69" s="1"/>
      <c r="S69" s="1"/>
      <c r="T69" s="1"/>
      <c r="U69" s="1" t="str">
        <f ca="1">IFERROR(__xludf.DUMMYFUNCTION("""COMPUTED_VALUE"""),"Dr.-Ing. Doty Dewi Risanti, S.T., M.T.")</f>
        <v>Dr.-Ing. Doty Dewi Risanti, S.T., M.T.</v>
      </c>
      <c r="V69" s="1" t="str">
        <f ca="1">IFERROR(__xludf.DUMMYFUNCTION("""COMPUTED_VALUE"""),"Dyah Sawitri, S.T., M.T.")</f>
        <v>Dyah Sawitri, S.T., M.T.</v>
      </c>
      <c r="W69" s="1"/>
      <c r="X69" s="1" t="str">
        <f ca="1">IFERROR(__xludf.DUMMYFUNCTION("""COMPUTED_VALUE"""),"Lolos")</f>
        <v>Lolos</v>
      </c>
      <c r="Y69" s="1"/>
      <c r="Z69" s="1"/>
      <c r="AA69" s="1"/>
    </row>
    <row r="70" spans="1:27">
      <c r="A70" s="1" t="s">
        <v>68</v>
      </c>
      <c r="B70" s="1">
        <f ca="1">IFERROR(__xludf.DUMMYFUNCTION("""COMPUTED_VALUE"""),3367)</f>
        <v>3367</v>
      </c>
      <c r="C70" s="1" t="str">
        <f ca="1">IFERROR(__xludf.DUMMYFUNCTION("""COMPUTED_VALUE"""),"PKM Gagasan Tertulis")</f>
        <v>PKM Gagasan Tertulis</v>
      </c>
      <c r="D70" s="1" t="str">
        <f ca="1">IFERROR(__xludf.DUMMYFUNCTION("""COMPUTED_VALUE"""),"COSPITE: Combined Solar Panels and D-S Wind Turbine Terintegrasi SWRO untuk Masa Depan NTT Mandiri Listrik dan Air Bersih")</f>
        <v>COSPITE: Combined Solar Panels and D-S Wind Turbine Terintegrasi SWRO untuk Masa Depan NTT Mandiri Listrik dan Air Bersih</v>
      </c>
      <c r="E70" s="1" t="str">
        <f ca="1">IFERROR(__xludf.DUMMYFUNCTION("""COMPUTED_VALUE"""),"Hendi Yudistya")</f>
        <v>Hendi Yudistya</v>
      </c>
      <c r="F70" s="1" t="str">
        <f ca="1">IFERROR(__xludf.DUMMYFUNCTION("""COMPUTED_VALUE"""),"5007211048")</f>
        <v>5007211048</v>
      </c>
      <c r="G70" s="1" t="str">
        <f ca="1">IFERROR(__xludf.DUMMYFUNCTION("""COMPUTED_VALUE"""),"Departemen Teknik Mesin")</f>
        <v>Departemen Teknik Mesin</v>
      </c>
      <c r="H70" s="1" t="str">
        <f ca="1">IFERROR(__xludf.DUMMYFUNCTION("""COMPUTED_VALUE"""),"Tri Vicca Kusumadewi, S.T., M.Sc.")</f>
        <v>Tri Vicca Kusumadewi, S.T., M.Sc.</v>
      </c>
      <c r="I70" s="1" t="str">
        <f ca="1">IFERROR(__xludf.DUMMYFUNCTION("""COMPUTED_VALUE"""),"Andreas. P. S")</f>
        <v>Andreas. P. S</v>
      </c>
      <c r="J70" s="1" t="str">
        <f ca="1">IFERROR(__xludf.DUMMYFUNCTION("""COMPUTED_VALUE"""),"5007211084")</f>
        <v>5007211084</v>
      </c>
      <c r="K70" s="1" t="str">
        <f ca="1">IFERROR(__xludf.DUMMYFUNCTION("""COMPUTED_VALUE"""),"Departemen Teknik Mesin")</f>
        <v>Departemen Teknik Mesin</v>
      </c>
      <c r="L70" s="1" t="str">
        <f ca="1">IFERROR(__xludf.DUMMYFUNCTION("""COMPUTED_VALUE"""),"Gabriel Nicholas")</f>
        <v>Gabriel Nicholas</v>
      </c>
      <c r="M70" s="1" t="str">
        <f ca="1">IFERROR(__xludf.DUMMYFUNCTION("""COMPUTED_VALUE"""),"5007211171")</f>
        <v>5007211171</v>
      </c>
      <c r="N70" s="1" t="str">
        <f ca="1">IFERROR(__xludf.DUMMYFUNCTION("""COMPUTED_VALUE"""),"Departemen Teknik Mesin")</f>
        <v>Departemen Teknik Mesin</v>
      </c>
      <c r="O70" s="1" t="str">
        <f ca="1">IFERROR(__xludf.DUMMYFUNCTION("""COMPUTED_VALUE"""),"I Putu Putra T. D.")</f>
        <v>I Putu Putra T. D.</v>
      </c>
      <c r="P70" s="1" t="str">
        <f ca="1">IFERROR(__xludf.DUMMYFUNCTION("""COMPUTED_VALUE"""),"5007211108")</f>
        <v>5007211108</v>
      </c>
      <c r="Q70" s="1" t="str">
        <f ca="1">IFERROR(__xludf.DUMMYFUNCTION("""COMPUTED_VALUE"""),"Departemen Teknik Mesin")</f>
        <v>Departemen Teknik Mesin</v>
      </c>
      <c r="R70" s="1" t="str">
        <f ca="1">IFERROR(__xludf.DUMMYFUNCTION("""COMPUTED_VALUE"""),"ROZAQ PURI AHMAD")</f>
        <v>ROZAQ PURI AHMAD</v>
      </c>
      <c r="S70" s="1" t="str">
        <f ca="1">IFERROR(__xludf.DUMMYFUNCTION("""COMPUTED_VALUE"""),"5020211066")</f>
        <v>5020211066</v>
      </c>
      <c r="T70" s="1" t="str">
        <f ca="1">IFERROR(__xludf.DUMMYFUNCTION("""COMPUTED_VALUE"""),"Departemen Teknik Kelautan")</f>
        <v>Departemen Teknik Kelautan</v>
      </c>
      <c r="U70" s="1" t="str">
        <f ca="1">IFERROR(__xludf.DUMMYFUNCTION("""COMPUTED_VALUE"""),"Dyah Sawitri, S.T., M.T.")</f>
        <v>Dyah Sawitri, S.T., M.T.</v>
      </c>
      <c r="V70" s="1" t="str">
        <f ca="1">IFERROR(__xludf.DUMMYFUNCTION("""COMPUTED_VALUE"""),"Rindi Kusumawardani, S.Si., M.Sc.")</f>
        <v>Rindi Kusumawardani, S.Si., M.Sc.</v>
      </c>
      <c r="W70" s="1"/>
      <c r="X70" s="1" t="str">
        <f ca="1">IFERROR(__xludf.DUMMYFUNCTION("""COMPUTED_VALUE"""),"Lolos")</f>
        <v>Lolos</v>
      </c>
      <c r="Y70" s="1"/>
      <c r="Z70" s="1"/>
      <c r="AA70" s="1"/>
    </row>
    <row r="71" spans="1:27">
      <c r="A71" s="1" t="s">
        <v>69</v>
      </c>
      <c r="B71" s="1">
        <f ca="1">IFERROR(__xludf.DUMMYFUNCTION("""COMPUTED_VALUE"""),3515)</f>
        <v>3515</v>
      </c>
      <c r="C71" s="1" t="str">
        <f ca="1">IFERROR(__xludf.DUMMYFUNCTION("""COMPUTED_VALUE"""),"PKM Gagasan Tertulis")</f>
        <v>PKM Gagasan Tertulis</v>
      </c>
      <c r="D71" s="1" t="str">
        <f ca="1">IFERROR(__xludf.DUMMYFUNCTION("""COMPUTED_VALUE"""),"Marine Emergency Surveillance System Sistem Pendeteksian Bawah Air Berteknologi Fast AUV Dilengkapi Dengan Smart Inflatable Buoy Pada Kecelakaan di Laut")</f>
        <v>Marine Emergency Surveillance System Sistem Pendeteksian Bawah Air Berteknologi Fast AUV Dilengkapi Dengan Smart Inflatable Buoy Pada Kecelakaan di Laut</v>
      </c>
      <c r="E71" s="1" t="str">
        <f ca="1">IFERROR(__xludf.DUMMYFUNCTION("""COMPUTED_VALUE"""),"ADIWIRA SURYA SUSANTO")</f>
        <v>ADIWIRA SURYA SUSANTO</v>
      </c>
      <c r="F71" s="1" t="str">
        <f ca="1">IFERROR(__xludf.DUMMYFUNCTION("""COMPUTED_VALUE"""),"5020201030")</f>
        <v>5020201030</v>
      </c>
      <c r="G71" s="1" t="str">
        <f ca="1">IFERROR(__xludf.DUMMYFUNCTION("""COMPUTED_VALUE"""),"Departemen Teknik Kelautan")</f>
        <v>Departemen Teknik Kelautan</v>
      </c>
      <c r="H71" s="1" t="str">
        <f ca="1">IFERROR(__xludf.DUMMYFUNCTION("""COMPUTED_VALUE"""),"Wimala Lalitya Dhanistha, S.T., M.T.")</f>
        <v>Wimala Lalitya Dhanistha, S.T., M.T.</v>
      </c>
      <c r="I71" s="1" t="str">
        <f ca="1">IFERROR(__xludf.DUMMYFUNCTION("""COMPUTED_VALUE"""),"ADINDA ANGGRAENI RAHMAWATI SUKARSA")</f>
        <v>ADINDA ANGGRAENI RAHMAWATI SUKARSA</v>
      </c>
      <c r="J71" s="1" t="str">
        <f ca="1">IFERROR(__xludf.DUMMYFUNCTION("""COMPUTED_VALUE"""),"5020201053")</f>
        <v>5020201053</v>
      </c>
      <c r="K71" s="1" t="str">
        <f ca="1">IFERROR(__xludf.DUMMYFUNCTION("""COMPUTED_VALUE"""),"Departemen Teknik Kelautan")</f>
        <v>Departemen Teknik Kelautan</v>
      </c>
      <c r="L71" s="1" t="str">
        <f ca="1">IFERROR(__xludf.DUMMYFUNCTION("""COMPUTED_VALUE"""),"ANGELO VINCENTIO ISMAIL")</f>
        <v>ANGELO VINCENTIO ISMAIL</v>
      </c>
      <c r="M71" s="1" t="str">
        <f ca="1">IFERROR(__xludf.DUMMYFUNCTION("""COMPUTED_VALUE"""),"5018201057")</f>
        <v>5018201057</v>
      </c>
      <c r="N71" s="1" t="str">
        <f ca="1">IFERROR(__xludf.DUMMYFUNCTION("""COMPUTED_VALUE"""),"Departemen Teknik Perkapalan")</f>
        <v>Departemen Teknik Perkapalan</v>
      </c>
      <c r="O71" s="1" t="str">
        <f ca="1">IFERROR(__xludf.DUMMYFUNCTION("""COMPUTED_VALUE"""),"I Gst Ayu Satya Dewi")</f>
        <v>I Gst Ayu Satya Dewi</v>
      </c>
      <c r="P71" s="1" t="str">
        <f ca="1">IFERROR(__xludf.DUMMYFUNCTION("""COMPUTED_VALUE"""),"5020211007")</f>
        <v>5020211007</v>
      </c>
      <c r="Q71" s="1" t="str">
        <f ca="1">IFERROR(__xludf.DUMMYFUNCTION("""COMPUTED_VALUE"""),"Departemen Teknik Kelautan")</f>
        <v>Departemen Teknik Kelautan</v>
      </c>
      <c r="R71" s="1"/>
      <c r="S71" s="1"/>
      <c r="T71" s="1"/>
      <c r="U71" s="1" t="str">
        <f ca="1">IFERROR(__xludf.DUMMYFUNCTION("""COMPUTED_VALUE"""),"Prof. Ir. Aguk Zuhdi Muhammad Fathallah, M.Eng., Ph.D.")</f>
        <v>Prof. Ir. Aguk Zuhdi Muhammad Fathallah, M.Eng., Ph.D.</v>
      </c>
      <c r="V71" s="1" t="str">
        <f ca="1">IFERROR(__xludf.DUMMYFUNCTION("""COMPUTED_VALUE"""),"Muhammad Syifaul Mufid, S.Si.,M.Si")</f>
        <v>Muhammad Syifaul Mufid, S.Si.,M.Si</v>
      </c>
      <c r="W71" s="1"/>
      <c r="X71" s="1" t="str">
        <f ca="1">IFERROR(__xludf.DUMMYFUNCTION("""COMPUTED_VALUE"""),"Lolos")</f>
        <v>Lolos</v>
      </c>
      <c r="Y71" s="1"/>
      <c r="Z71" s="1"/>
      <c r="AA71" s="1"/>
    </row>
    <row r="72" spans="1:27">
      <c r="A72" s="1" t="s">
        <v>70</v>
      </c>
      <c r="B72" s="1">
        <f ca="1">IFERROR(__xludf.DUMMYFUNCTION("""COMPUTED_VALUE"""),3335)</f>
        <v>3335</v>
      </c>
      <c r="C72" s="1" t="str">
        <f ca="1">IFERROR(__xludf.DUMMYFUNCTION("""COMPUTED_VALUE"""),"PKM Gagasan Tertulis")</f>
        <v>PKM Gagasan Tertulis</v>
      </c>
      <c r="D72" s="1" t="str">
        <f ca="1">IFERROR(__xludf.DUMMYFUNCTION("""COMPUTED_VALUE"""),"Konsep Ruang Terbuka Hijau Vertical Linear Open Space di Kawasan Padat Huni yang Ramah dan Aman bagi Penyandang Disabilitas")</f>
        <v>Konsep Ruang Terbuka Hijau Vertical Linear Open Space di Kawasan Padat Huni yang Ramah dan Aman bagi Penyandang Disabilitas</v>
      </c>
      <c r="E72" s="1" t="str">
        <f ca="1">IFERROR(__xludf.DUMMYFUNCTION("""COMPUTED_VALUE"""),"Adinda Putri Prianto")</f>
        <v>Adinda Putri Prianto</v>
      </c>
      <c r="F72" s="1" t="str">
        <f ca="1">IFERROR(__xludf.DUMMYFUNCTION("""COMPUTED_VALUE"""),"5013211028")</f>
        <v>5013211028</v>
      </c>
      <c r="G72" s="1" t="str">
        <f ca="1">IFERROR(__xludf.DUMMYFUNCTION("""COMPUTED_VALUE"""),"Departemen Arsitektur")</f>
        <v>Departemen Arsitektur</v>
      </c>
      <c r="H72" s="1" t="str">
        <f ca="1">IFERROR(__xludf.DUMMYFUNCTION("""COMPUTED_VALUE"""),"Dr. Arina Hayati, S.T., M.T.")</f>
        <v>Dr. Arina Hayati, S.T., M.T.</v>
      </c>
      <c r="I72" s="1" t="str">
        <f ca="1">IFERROR(__xludf.DUMMYFUNCTION("""COMPUTED_VALUE"""),"AHMAD NAZALA RIZKY F")</f>
        <v>AHMAD NAZALA RIZKY F</v>
      </c>
      <c r="J72" s="1" t="str">
        <f ca="1">IFERROR(__xludf.DUMMYFUNCTION("""COMPUTED_VALUE"""),"5013211048")</f>
        <v>5013211048</v>
      </c>
      <c r="K72" s="1" t="str">
        <f ca="1">IFERROR(__xludf.DUMMYFUNCTION("""COMPUTED_VALUE"""),"Departemen Arsitektur")</f>
        <v>Departemen Arsitektur</v>
      </c>
      <c r="L72" s="1" t="str">
        <f ca="1">IFERROR(__xludf.DUMMYFUNCTION("""COMPUTED_VALUE"""),"FITRI AYU LESTARI")</f>
        <v>FITRI AYU LESTARI</v>
      </c>
      <c r="M72" s="1" t="str">
        <f ca="1">IFERROR(__xludf.DUMMYFUNCTION("""COMPUTED_VALUE"""),"5013211030")</f>
        <v>5013211030</v>
      </c>
      <c r="N72" s="1" t="str">
        <f ca="1">IFERROR(__xludf.DUMMYFUNCTION("""COMPUTED_VALUE"""),"Departemen Arsitektur")</f>
        <v>Departemen Arsitektur</v>
      </c>
      <c r="O72" s="1" t="str">
        <f ca="1">IFERROR(__xludf.DUMMYFUNCTION("""COMPUTED_VALUE"""),"Novia Rahmadani")</f>
        <v>Novia Rahmadani</v>
      </c>
      <c r="P72" s="1" t="str">
        <f ca="1">IFERROR(__xludf.DUMMYFUNCTION("""COMPUTED_VALUE"""),"5013211009")</f>
        <v>5013211009</v>
      </c>
      <c r="Q72" s="1" t="str">
        <f ca="1">IFERROR(__xludf.DUMMYFUNCTION("""COMPUTED_VALUE"""),"Departemen Arsitektur")</f>
        <v>Departemen Arsitektur</v>
      </c>
      <c r="R72" s="1" t="str">
        <f ca="1">IFERROR(__xludf.DUMMYFUNCTION("""COMPUTED_VALUE"""),"Risti Ratna Duhita")</f>
        <v>Risti Ratna Duhita</v>
      </c>
      <c r="S72" s="1" t="str">
        <f ca="1">IFERROR(__xludf.DUMMYFUNCTION("""COMPUTED_VALUE"""),"5013211010")</f>
        <v>5013211010</v>
      </c>
      <c r="T72" s="1" t="str">
        <f ca="1">IFERROR(__xludf.DUMMYFUNCTION("""COMPUTED_VALUE"""),"Departemen Arsitektur")</f>
        <v>Departemen Arsitektur</v>
      </c>
      <c r="U72" s="1" t="str">
        <f ca="1">IFERROR(__xludf.DUMMYFUNCTION("""COMPUTED_VALUE"""),"Dyah Sawitri, S.T., M.T.")</f>
        <v>Dyah Sawitri, S.T., M.T.</v>
      </c>
      <c r="V72" s="1" t="str">
        <f ca="1">IFERROR(__xludf.DUMMYFUNCTION("""COMPUTED_VALUE"""),"Rindi Kusumawardani, S.Si., M.Sc.")</f>
        <v>Rindi Kusumawardani, S.Si., M.Sc.</v>
      </c>
      <c r="W72" s="1"/>
      <c r="X72" s="1" t="str">
        <f ca="1">IFERROR(__xludf.DUMMYFUNCTION("""COMPUTED_VALUE"""),"Lolos")</f>
        <v>Lolos</v>
      </c>
      <c r="Y72" s="1"/>
      <c r="Z72" s="1"/>
      <c r="AA72" s="1"/>
    </row>
    <row r="73" spans="1:27">
      <c r="A73" s="1" t="s">
        <v>71</v>
      </c>
      <c r="B73" s="1">
        <f ca="1">IFERROR(__xludf.DUMMYFUNCTION("""COMPUTED_VALUE"""),2092)</f>
        <v>2092</v>
      </c>
      <c r="C73" s="1" t="str">
        <f ca="1">IFERROR(__xludf.DUMMYFUNCTION("""COMPUTED_VALUE"""),"PKM Gagasan Tertulis")</f>
        <v>PKM Gagasan Tertulis</v>
      </c>
      <c r="D73" s="1" t="str">
        <f ca="1">IFERROR(__xludf.DUMMYFUNCTION("""COMPUTED_VALUE"""),"Pembangunan Waduk Cerdas Bersistem Filter Kawasan Kabupaten Banyuwangi Sebagai Solusi Kekeringan Berkepanjangan melalui Analisis Spasial dengan Citra Satelit Landsat 8")</f>
        <v>Pembangunan Waduk Cerdas Bersistem Filter Kawasan Kabupaten Banyuwangi Sebagai Solusi Kekeringan Berkepanjangan melalui Analisis Spasial dengan Citra Satelit Landsat 8</v>
      </c>
      <c r="E73" s="1" t="str">
        <f ca="1">IFERROR(__xludf.DUMMYFUNCTION("""COMPUTED_VALUE"""),"NUR AINI QOLBI FADHILAH")</f>
        <v>NUR AINI QOLBI FADHILAH</v>
      </c>
      <c r="F73" s="1" t="str">
        <f ca="1">IFERROR(__xludf.DUMMYFUNCTION("""COMPUTED_VALUE"""),"03311940000096")</f>
        <v>03311940000096</v>
      </c>
      <c r="G73" s="1" t="str">
        <f ca="1">IFERROR(__xludf.DUMMYFUNCTION("""COMPUTED_VALUE"""),"Departemen Teknik Geomatika")</f>
        <v>Departemen Teknik Geomatika</v>
      </c>
      <c r="H73" s="1" t="str">
        <f ca="1">IFERROR(__xludf.DUMMYFUNCTION("""COMPUTED_VALUE"""),"Lalu Muhamad Jaelani, S.T., M.Sc., Ph.D.")</f>
        <v>Lalu Muhamad Jaelani, S.T., M.Sc., Ph.D.</v>
      </c>
      <c r="I73" s="1" t="str">
        <f ca="1">IFERROR(__xludf.DUMMYFUNCTION("""COMPUTED_VALUE"""),"Dwi Sri Lestari")</f>
        <v>Dwi Sri Lestari</v>
      </c>
      <c r="J73" s="1" t="str">
        <f ca="1">IFERROR(__xludf.DUMMYFUNCTION("""COMPUTED_VALUE"""),"03311940000031")</f>
        <v>03311940000031</v>
      </c>
      <c r="K73" s="1" t="str">
        <f ca="1">IFERROR(__xludf.DUMMYFUNCTION("""COMPUTED_VALUE"""),"Departemen Teknik Geomatika")</f>
        <v>Departemen Teknik Geomatika</v>
      </c>
      <c r="L73" s="1" t="str">
        <f ca="1">IFERROR(__xludf.DUMMYFUNCTION("""COMPUTED_VALUE"""),"DONA CRONWILIA DIANA PUTRI")</f>
        <v>DONA CRONWILIA DIANA PUTRI</v>
      </c>
      <c r="M73" s="1" t="str">
        <f ca="1">IFERROR(__xludf.DUMMYFUNCTION("""COMPUTED_VALUE"""),"08211940000037")</f>
        <v>08211940000037</v>
      </c>
      <c r="N73" s="1" t="str">
        <f ca="1">IFERROR(__xludf.DUMMYFUNCTION("""COMPUTED_VALUE"""),"Departemen Perencanaan Wilayah dan Kota")</f>
        <v>Departemen Perencanaan Wilayah dan Kota</v>
      </c>
      <c r="O73" s="1"/>
      <c r="P73" s="1"/>
      <c r="Q73" s="1"/>
      <c r="R73" s="1"/>
      <c r="S73" s="1"/>
      <c r="T73" s="1"/>
      <c r="U73" s="1" t="str">
        <f ca="1">IFERROR(__xludf.DUMMYFUNCTION("""COMPUTED_VALUE"""),"Dyah Sawitri, S.T., M.T.")</f>
        <v>Dyah Sawitri, S.T., M.T.</v>
      </c>
      <c r="V73" s="1" t="str">
        <f ca="1">IFERROR(__xludf.DUMMYFUNCTION("""COMPUTED_VALUE"""),"Nova Maulidina Ashuri, S.Si., M.Si.")</f>
        <v>Nova Maulidina Ashuri, S.Si., M.Si.</v>
      </c>
      <c r="W73" s="1"/>
      <c r="X73" s="1" t="str">
        <f ca="1">IFERROR(__xludf.DUMMYFUNCTION("""COMPUTED_VALUE"""),"Lolos")</f>
        <v>Lolos</v>
      </c>
      <c r="Y73" s="1"/>
      <c r="Z73" s="1"/>
      <c r="AA73" s="1"/>
    </row>
    <row r="74" spans="1:27">
      <c r="A74" s="1" t="s">
        <v>72</v>
      </c>
      <c r="B74" s="1">
        <f ca="1">IFERROR(__xludf.DUMMYFUNCTION("""COMPUTED_VALUE"""),2361)</f>
        <v>2361</v>
      </c>
      <c r="C74" s="1" t="str">
        <f ca="1">IFERROR(__xludf.DUMMYFUNCTION("""COMPUTED_VALUE"""),"PKM Gagasan Tertulis")</f>
        <v>PKM Gagasan Tertulis</v>
      </c>
      <c r="D74" s="1" t="str">
        <f ca="1">IFERROR(__xludf.DUMMYFUNCTION("""COMPUTED_VALUE"""),"Adhinata,virtual assistant berteknologi holographic display system dan augmented reality di ruangan ICU guna meningkatkan pelayanan kesehatan di era Sosiety 5.0")</f>
        <v>Adhinata,virtual assistant berteknologi holographic display system dan augmented reality di ruangan ICU guna meningkatkan pelayanan kesehatan di era Sosiety 5.0</v>
      </c>
      <c r="E74" s="1" t="str">
        <f ca="1">IFERROR(__xludf.DUMMYFUNCTION("""COMPUTED_VALUE"""),"RIZKY FATKHUR SUSANTO")</f>
        <v>RIZKY FATKHUR SUSANTO</v>
      </c>
      <c r="F74" s="1" t="str">
        <f ca="1">IFERROR(__xludf.DUMMYFUNCTION("""COMPUTED_VALUE"""),"2042201104")</f>
        <v>2042201104</v>
      </c>
      <c r="G74" s="1" t="str">
        <f ca="1">IFERROR(__xludf.DUMMYFUNCTION("""COMPUTED_VALUE"""),"Departemen Teknik Instrumentasi")</f>
        <v>Departemen Teknik Instrumentasi</v>
      </c>
      <c r="H74" s="1" t="str">
        <f ca="1">IFERROR(__xludf.DUMMYFUNCTION("""COMPUTED_VALUE"""),"Dr. Ir. Totok Soehartanto, DEA.")</f>
        <v>Dr. Ir. Totok Soehartanto, DEA.</v>
      </c>
      <c r="I74" s="1" t="str">
        <f ca="1">IFERROR(__xludf.DUMMYFUNCTION("""COMPUTED_VALUE"""),"RAHMADHITYA ALGHIFFARY INSAN FIRDAUSYI")</f>
        <v>RAHMADHITYA ALGHIFFARY INSAN FIRDAUSYI</v>
      </c>
      <c r="J74" s="1" t="str">
        <f ca="1">IFERROR(__xludf.DUMMYFUNCTION("""COMPUTED_VALUE"""),"2042201122")</f>
        <v>2042201122</v>
      </c>
      <c r="K74" s="1" t="str">
        <f ca="1">IFERROR(__xludf.DUMMYFUNCTION("""COMPUTED_VALUE"""),"Departemen Teknik Instrumentasi")</f>
        <v>Departemen Teknik Instrumentasi</v>
      </c>
      <c r="L74" s="1" t="str">
        <f ca="1">IFERROR(__xludf.DUMMYFUNCTION("""COMPUTED_VALUE"""),"MARISA AKMALIYA RIZKY")</f>
        <v>MARISA AKMALIYA RIZKY</v>
      </c>
      <c r="M74" s="1" t="str">
        <f ca="1">IFERROR(__xludf.DUMMYFUNCTION("""COMPUTED_VALUE"""),"2042201089")</f>
        <v>2042201089</v>
      </c>
      <c r="N74" s="1" t="str">
        <f ca="1">IFERROR(__xludf.DUMMYFUNCTION("""COMPUTED_VALUE"""),"Departemen Teknik Instrumentasi")</f>
        <v>Departemen Teknik Instrumentasi</v>
      </c>
      <c r="O74" s="1" t="str">
        <f ca="1">IFERROR(__xludf.DUMMYFUNCTION("""COMPUTED_VALUE"""),"SABELLA PR")</f>
        <v>SABELLA PR</v>
      </c>
      <c r="P74" s="1" t="str">
        <f ca="1">IFERROR(__xludf.DUMMYFUNCTION("""COMPUTED_VALUE"""),"2042211008")</f>
        <v>2042211008</v>
      </c>
      <c r="Q74" s="1" t="str">
        <f ca="1">IFERROR(__xludf.DUMMYFUNCTION("""COMPUTED_VALUE"""),"Departemen Teknik Instrumentasi")</f>
        <v>Departemen Teknik Instrumentasi</v>
      </c>
      <c r="R74" s="1" t="str">
        <f ca="1">IFERROR(__xludf.DUMMYFUNCTION("""COMPUTED_VALUE"""),"F.J.N. FAIZATIN")</f>
        <v>F.J.N. FAIZATIN</v>
      </c>
      <c r="S74" s="1" t="str">
        <f ca="1">IFERROR(__xludf.DUMMYFUNCTION("""COMPUTED_VALUE"""),"2042211056")</f>
        <v>2042211056</v>
      </c>
      <c r="T74" s="1" t="str">
        <f ca="1">IFERROR(__xludf.DUMMYFUNCTION("""COMPUTED_VALUE"""),"Departemen Teknik Instrumentasi")</f>
        <v>Departemen Teknik Instrumentasi</v>
      </c>
      <c r="U74" s="1" t="str">
        <f ca="1">IFERROR(__xludf.DUMMYFUNCTION("""COMPUTED_VALUE"""),"Dr.-Ing. Doty Dewi Risanti, S.T., M.T.")</f>
        <v>Dr.-Ing. Doty Dewi Risanti, S.T., M.T.</v>
      </c>
      <c r="V74" s="1" t="str">
        <f ca="1">IFERROR(__xludf.DUMMYFUNCTION("""COMPUTED_VALUE"""),"Rivan Aji Wahyu Dyan Syafitri, S.PWK, M.Ars.")</f>
        <v>Rivan Aji Wahyu Dyan Syafitri, S.PWK, M.Ars.</v>
      </c>
      <c r="W74" s="1"/>
      <c r="X74" s="1" t="str">
        <f ca="1">IFERROR(__xludf.DUMMYFUNCTION("""COMPUTED_VALUE"""),"Lolos")</f>
        <v>Lolos</v>
      </c>
      <c r="Y74" s="1"/>
      <c r="Z74" s="1"/>
      <c r="AA74" s="1"/>
    </row>
    <row r="75" spans="1:27">
      <c r="A75" s="1" t="s">
        <v>73</v>
      </c>
      <c r="B75" s="1">
        <f ca="1">IFERROR(__xludf.DUMMYFUNCTION("""COMPUTED_VALUE"""),4108)</f>
        <v>4108</v>
      </c>
      <c r="C75" s="1" t="str">
        <f ca="1">IFERROR(__xludf.DUMMYFUNCTION("""COMPUTED_VALUE"""),"PKM Gagasan Tertulis")</f>
        <v>PKM Gagasan Tertulis</v>
      </c>
      <c r="D75" s="1" t="str">
        <f ca="1">IFERROR(__xludf.DUMMYFUNCTION("""COMPUTED_VALUE"""),"Marine Cleanup System Berbasis Autonomous Vessel dengan Teknologi Underwater Vacuum dan Visual Servoing sebagai Sistem Pembersih Sampah di Laut Jakarta")</f>
        <v>Marine Cleanup System Berbasis Autonomous Vessel dengan Teknologi Underwater Vacuum dan Visual Servoing sebagai Sistem Pembersih Sampah di Laut Jakarta</v>
      </c>
      <c r="E75" s="1" t="str">
        <f ca="1">IFERROR(__xludf.DUMMYFUNCTION("""COMPUTED_VALUE"""),"GUMILANG ALHAFIZ")</f>
        <v>GUMILANG ALHAFIZ</v>
      </c>
      <c r="F75" s="1" t="str">
        <f ca="1">IFERROR(__xludf.DUMMYFUNCTION("""COMPUTED_VALUE"""),"5020201012")</f>
        <v>5020201012</v>
      </c>
      <c r="G75" s="1" t="str">
        <f ca="1">IFERROR(__xludf.DUMMYFUNCTION("""COMPUTED_VALUE"""),"Departemen Teknik Kelautan")</f>
        <v>Departemen Teknik Kelautan</v>
      </c>
      <c r="H75" s="1" t="str">
        <f ca="1">IFERROR(__xludf.DUMMYFUNCTION("""COMPUTED_VALUE"""),"Wimala Lalitya Dhanistha, S.T., M.T.")</f>
        <v>Wimala Lalitya Dhanistha, S.T., M.T.</v>
      </c>
      <c r="I75" s="1" t="str">
        <f ca="1">IFERROR(__xludf.DUMMYFUNCTION("""COMPUTED_VALUE"""),"MUHAMMAD ZAKARIA AL AMIN")</f>
        <v>MUHAMMAD ZAKARIA AL AMIN</v>
      </c>
      <c r="J75" s="1" t="str">
        <f ca="1">IFERROR(__xludf.DUMMYFUNCTION("""COMPUTED_VALUE"""),"5020201066")</f>
        <v>5020201066</v>
      </c>
      <c r="K75" s="1" t="str">
        <f ca="1">IFERROR(__xludf.DUMMYFUNCTION("""COMPUTED_VALUE"""),"Departemen Teknik Kelautan")</f>
        <v>Departemen Teknik Kelautan</v>
      </c>
      <c r="L75" s="1" t="str">
        <f ca="1">IFERROR(__xludf.DUMMYFUNCTION("""COMPUTED_VALUE"""),"AUDREY SALSZA MARET ROBERTE")</f>
        <v>AUDREY SALSZA MARET ROBERTE</v>
      </c>
      <c r="M75" s="1" t="str">
        <f ca="1">IFERROR(__xludf.DUMMYFUNCTION("""COMPUTED_VALUE"""),"5020201052")</f>
        <v>5020201052</v>
      </c>
      <c r="N75" s="1" t="str">
        <f ca="1">IFERROR(__xludf.DUMMYFUNCTION("""COMPUTED_VALUE"""),"Departemen Teknik Kelautan")</f>
        <v>Departemen Teknik Kelautan</v>
      </c>
      <c r="O75" s="1" t="str">
        <f ca="1">IFERROR(__xludf.DUMMYFUNCTION("""COMPUTED_VALUE"""),"MOHAMMAD FAHMI")</f>
        <v>MOHAMMAD FAHMI</v>
      </c>
      <c r="P75" s="1" t="str">
        <f ca="1">IFERROR(__xludf.DUMMYFUNCTION("""COMPUTED_VALUE"""),"5020211009")</f>
        <v>5020211009</v>
      </c>
      <c r="Q75" s="1" t="str">
        <f ca="1">IFERROR(__xludf.DUMMYFUNCTION("""COMPUTED_VALUE"""),"Departemen Teknik Kelautan")</f>
        <v>Departemen Teknik Kelautan</v>
      </c>
      <c r="R75" s="1"/>
      <c r="S75" s="1"/>
      <c r="T75" s="1"/>
      <c r="U75" s="1" t="str">
        <f ca="1">IFERROR(__xludf.DUMMYFUNCTION("""COMPUTED_VALUE"""),"Dr.-Ing. Doty Dewi Risanti, S.T., M.T.")</f>
        <v>Dr.-Ing. Doty Dewi Risanti, S.T., M.T.</v>
      </c>
      <c r="V75" s="1" t="str">
        <f ca="1">IFERROR(__xludf.DUMMYFUNCTION("""COMPUTED_VALUE"""),"Muhammad Syifaul Mufid, S.Si.,M.Si")</f>
        <v>Muhammad Syifaul Mufid, S.Si.,M.Si</v>
      </c>
      <c r="W75" s="1"/>
      <c r="X75" s="1" t="str">
        <f ca="1">IFERROR(__xludf.DUMMYFUNCTION("""COMPUTED_VALUE"""),"Lolos")</f>
        <v>Lolos</v>
      </c>
      <c r="Y75" s="1"/>
      <c r="Z75" s="1"/>
      <c r="AA75" s="1"/>
    </row>
    <row r="76" spans="1:27">
      <c r="A76" s="1" t="s">
        <v>74</v>
      </c>
      <c r="B76" s="1">
        <f ca="1">IFERROR(__xludf.DUMMYFUNCTION("""COMPUTED_VALUE"""),3511)</f>
        <v>3511</v>
      </c>
      <c r="C76" s="1" t="str">
        <f ca="1">IFERROR(__xludf.DUMMYFUNCTION("""COMPUTED_VALUE"""),"PKM Gagasan Tertulis")</f>
        <v>PKM Gagasan Tertulis</v>
      </c>
      <c r="D76" s="1" t="str">
        <f ca="1">IFERROR(__xludf.DUMMYFUNCTION("""COMPUTED_VALUE"""),"Outer Island System Defense: Sistem Berbasis Autonomous dalam Upaya Mempertahankan dan Memajukan Ekowisata Pulau Sekatung")</f>
        <v>Outer Island System Defense: Sistem Berbasis Autonomous dalam Upaya Mempertahankan dan Memajukan Ekowisata Pulau Sekatung</v>
      </c>
      <c r="E76" s="1" t="str">
        <f ca="1">IFERROR(__xludf.DUMMYFUNCTION("""COMPUTED_VALUE"""),"SAIF ADAM SAUQI")</f>
        <v>SAIF ADAM SAUQI</v>
      </c>
      <c r="F76" s="1" t="str">
        <f ca="1">IFERROR(__xludf.DUMMYFUNCTION("""COMPUTED_VALUE"""),"5020201098")</f>
        <v>5020201098</v>
      </c>
      <c r="G76" s="1" t="str">
        <f ca="1">IFERROR(__xludf.DUMMYFUNCTION("""COMPUTED_VALUE"""),"Departemen Teknik Kelautan")</f>
        <v>Departemen Teknik Kelautan</v>
      </c>
      <c r="H76" s="1" t="str">
        <f ca="1">IFERROR(__xludf.DUMMYFUNCTION("""COMPUTED_VALUE"""),"Wimala Lalitya Dhanistha, S.T., M.T.")</f>
        <v>Wimala Lalitya Dhanistha, S.T., M.T.</v>
      </c>
      <c r="I76" s="1" t="str">
        <f ca="1">IFERROR(__xludf.DUMMYFUNCTION("""COMPUTED_VALUE"""),"AS ACHMAD DAFFA DHIYA`UDIEN MUNAF")</f>
        <v>AS ACHMAD DAFFA DHIYA`UDIEN MUNAF</v>
      </c>
      <c r="J76" s="1" t="str">
        <f ca="1">IFERROR(__xludf.DUMMYFUNCTION("""COMPUTED_VALUE"""),"5020201014")</f>
        <v>5020201014</v>
      </c>
      <c r="K76" s="1" t="str">
        <f ca="1">IFERROR(__xludf.DUMMYFUNCTION("""COMPUTED_VALUE"""),"Departemen Teknik Kelautan")</f>
        <v>Departemen Teknik Kelautan</v>
      </c>
      <c r="L76" s="1" t="str">
        <f ca="1">IFERROR(__xludf.DUMMYFUNCTION("""COMPUTED_VALUE"""),"BRAINO ARDHAN")</f>
        <v>BRAINO ARDHAN</v>
      </c>
      <c r="M76" s="1" t="str">
        <f ca="1">IFERROR(__xludf.DUMMYFUNCTION("""COMPUTED_VALUE"""),"5020201116")</f>
        <v>5020201116</v>
      </c>
      <c r="N76" s="1" t="str">
        <f ca="1">IFERROR(__xludf.DUMMYFUNCTION("""COMPUTED_VALUE"""),"Departemen Teknik Kelautan")</f>
        <v>Departemen Teknik Kelautan</v>
      </c>
      <c r="O76" s="1" t="str">
        <f ca="1">IFERROR(__xludf.DUMMYFUNCTION("""COMPUTED_VALUE"""),"SELA NURCAHAYA APRIL")</f>
        <v>SELA NURCAHAYA APRIL</v>
      </c>
      <c r="P76" s="1" t="str">
        <f ca="1">IFERROR(__xludf.DUMMYFUNCTION("""COMPUTED_VALUE"""),"5020211030")</f>
        <v>5020211030</v>
      </c>
      <c r="Q76" s="1" t="str">
        <f ca="1">IFERROR(__xludf.DUMMYFUNCTION("""COMPUTED_VALUE"""),"Departemen Teknik Kelautan")</f>
        <v>Departemen Teknik Kelautan</v>
      </c>
      <c r="R76" s="1" t="str">
        <f ca="1">IFERROR(__xludf.DUMMYFUNCTION("""COMPUTED_VALUE"""),"PITCININI CANTIKA HA")</f>
        <v>PITCININI CANTIKA HA</v>
      </c>
      <c r="S76" s="1" t="str">
        <f ca="1">IFERROR(__xludf.DUMMYFUNCTION("""COMPUTED_VALUE"""),"5020211022")</f>
        <v>5020211022</v>
      </c>
      <c r="T76" s="1" t="str">
        <f ca="1">IFERROR(__xludf.DUMMYFUNCTION("""COMPUTED_VALUE"""),"Departemen Teknik Kelautan")</f>
        <v>Departemen Teknik Kelautan</v>
      </c>
      <c r="U76" s="1" t="str">
        <f ca="1">IFERROR(__xludf.DUMMYFUNCTION("""COMPUTED_VALUE"""),"Prof. Ir. Aguk Zuhdi Muhammad Fathallah, M.Eng., Ph.D.")</f>
        <v>Prof. Ir. Aguk Zuhdi Muhammad Fathallah, M.Eng., Ph.D.</v>
      </c>
      <c r="V76" s="1" t="str">
        <f ca="1">IFERROR(__xludf.DUMMYFUNCTION("""COMPUTED_VALUE"""),"Muhammad Syifaul Mufid, S.Si.,M.Si")</f>
        <v>Muhammad Syifaul Mufid, S.Si.,M.Si</v>
      </c>
      <c r="W76" s="1"/>
      <c r="X76" s="1" t="str">
        <f ca="1">IFERROR(__xludf.DUMMYFUNCTION("""COMPUTED_VALUE"""),"Lolos")</f>
        <v>Lolos</v>
      </c>
      <c r="Y76" s="1"/>
      <c r="Z76" s="1"/>
      <c r="AA76" s="1"/>
    </row>
    <row r="77" spans="1:27">
      <c r="A77" s="1" t="s">
        <v>75</v>
      </c>
      <c r="B77" s="1">
        <f ca="1">IFERROR(__xludf.DUMMYFUNCTION("""COMPUTED_VALUE"""),3398)</f>
        <v>3398</v>
      </c>
      <c r="C77" s="1" t="str">
        <f ca="1">IFERROR(__xludf.DUMMYFUNCTION("""COMPUTED_VALUE"""),"PKM Gagasan Tertulis")</f>
        <v>PKM Gagasan Tertulis</v>
      </c>
      <c r="D77" s="1" t="str">
        <f ca="1">IFERROR(__xludf.DUMMYFUNCTION("""COMPUTED_VALUE"""),"(NEUCURITY) : Sistem Keamanan Kerja Masa Depan pada  Pembangkit Listrik Tenaga Nuklir Terintegrasi Metaverse dan IoT di Indonesia 2049")</f>
        <v>(NEUCURITY) : Sistem Keamanan Kerja Masa Depan pada  Pembangkit Listrik Tenaga Nuklir Terintegrasi Metaverse dan IoT di Indonesia 2049</v>
      </c>
      <c r="E77" s="1" t="str">
        <f ca="1">IFERROR(__xludf.DUMMYFUNCTION("""COMPUTED_VALUE"""),"Andreas. P. S")</f>
        <v>Andreas. P. S</v>
      </c>
      <c r="F77" s="1" t="str">
        <f ca="1">IFERROR(__xludf.DUMMYFUNCTION("""COMPUTED_VALUE"""),"5007211084")</f>
        <v>5007211084</v>
      </c>
      <c r="G77" s="1" t="str">
        <f ca="1">IFERROR(__xludf.DUMMYFUNCTION("""COMPUTED_VALUE"""),"Departemen Teknik Mesin")</f>
        <v>Departemen Teknik Mesin</v>
      </c>
      <c r="H77" s="1" t="str">
        <f ca="1">IFERROR(__xludf.DUMMYFUNCTION("""COMPUTED_VALUE"""),"Mohammad Khoirul Effendi, S.T., M.Sc.Eng., Ph.D.")</f>
        <v>Mohammad Khoirul Effendi, S.T., M.Sc.Eng., Ph.D.</v>
      </c>
      <c r="I77" s="1" t="str">
        <f ca="1">IFERROR(__xludf.DUMMYFUNCTION("""COMPUTED_VALUE"""),"Hendi Yudistya")</f>
        <v>Hendi Yudistya</v>
      </c>
      <c r="J77" s="1" t="str">
        <f ca="1">IFERROR(__xludf.DUMMYFUNCTION("""COMPUTED_VALUE"""),"5007211048")</f>
        <v>5007211048</v>
      </c>
      <c r="K77" s="1" t="str">
        <f ca="1">IFERROR(__xludf.DUMMYFUNCTION("""COMPUTED_VALUE"""),"Departemen Teknik Mesin")</f>
        <v>Departemen Teknik Mesin</v>
      </c>
      <c r="L77" s="1" t="str">
        <f ca="1">IFERROR(__xludf.DUMMYFUNCTION("""COMPUTED_VALUE"""),"I Putu Putra T. D.")</f>
        <v>I Putu Putra T. D.</v>
      </c>
      <c r="M77" s="1" t="str">
        <f ca="1">IFERROR(__xludf.DUMMYFUNCTION("""COMPUTED_VALUE"""),"5007211108")</f>
        <v>5007211108</v>
      </c>
      <c r="N77" s="1" t="str">
        <f ca="1">IFERROR(__xludf.DUMMYFUNCTION("""COMPUTED_VALUE"""),"Departemen Teknik Mesin")</f>
        <v>Departemen Teknik Mesin</v>
      </c>
      <c r="O77" s="1" t="str">
        <f ca="1">IFERROR(__xludf.DUMMYFUNCTION("""COMPUTED_VALUE"""),"Gabriel Nicholas")</f>
        <v>Gabriel Nicholas</v>
      </c>
      <c r="P77" s="1" t="str">
        <f ca="1">IFERROR(__xludf.DUMMYFUNCTION("""COMPUTED_VALUE"""),"5007211171")</f>
        <v>5007211171</v>
      </c>
      <c r="Q77" s="1" t="str">
        <f ca="1">IFERROR(__xludf.DUMMYFUNCTION("""COMPUTED_VALUE"""),"Departemen Teknik Mesin")</f>
        <v>Departemen Teknik Mesin</v>
      </c>
      <c r="R77" s="1" t="str">
        <f ca="1">IFERROR(__xludf.DUMMYFUNCTION("""COMPUTED_VALUE"""),"Valerian Giovanni T.")</f>
        <v>Valerian Giovanni T.</v>
      </c>
      <c r="S77" s="1" t="str">
        <f ca="1">IFERROR(__xludf.DUMMYFUNCTION("""COMPUTED_VALUE"""),"5007211122")</f>
        <v>5007211122</v>
      </c>
      <c r="T77" s="1" t="str">
        <f ca="1">IFERROR(__xludf.DUMMYFUNCTION("""COMPUTED_VALUE"""),"Departemen Teknik Mesin")</f>
        <v>Departemen Teknik Mesin</v>
      </c>
      <c r="U77" s="1" t="str">
        <f ca="1">IFERROR(__xludf.DUMMYFUNCTION("""COMPUTED_VALUE"""),"Dyah Sawitri, S.T., M.T.")</f>
        <v>Dyah Sawitri, S.T., M.T.</v>
      </c>
      <c r="V77" s="1" t="str">
        <f ca="1">IFERROR(__xludf.DUMMYFUNCTION("""COMPUTED_VALUE"""),"Rindi Kusumawardani, S.Si., M.Sc.")</f>
        <v>Rindi Kusumawardani, S.Si., M.Sc.</v>
      </c>
      <c r="W77" s="1"/>
      <c r="X77" s="1" t="str">
        <f ca="1">IFERROR(__xludf.DUMMYFUNCTION("""COMPUTED_VALUE"""),"Lolos")</f>
        <v>Lolos</v>
      </c>
      <c r="Y77" s="1"/>
      <c r="Z77" s="1"/>
      <c r="AA77" s="1"/>
    </row>
    <row r="78" spans="1:27">
      <c r="A78" s="1" t="s">
        <v>76</v>
      </c>
      <c r="B78" s="1">
        <f ca="1">IFERROR(__xludf.DUMMYFUNCTION("""COMPUTED_VALUE"""),2049)</f>
        <v>2049</v>
      </c>
      <c r="C78" s="1" t="str">
        <f ca="1">IFERROR(__xludf.DUMMYFUNCTION("""COMPUTED_VALUE"""),"PKM Gagasan Tertulis")</f>
        <v>PKM Gagasan Tertulis</v>
      </c>
      <c r="D78" s="1" t="str">
        <f ca="1">IFERROR(__xludf.DUMMYFUNCTION("""COMPUTED_VALUE"""),"Sistem Interkoneksi Indonesia Berbasis High Voltage Direct Current Transmission untuk Peningkatan Keandalan Sistem Tenaga Listrik dan Percepatan Energi Baru Terbarukan")</f>
        <v>Sistem Interkoneksi Indonesia Berbasis High Voltage Direct Current Transmission untuk Peningkatan Keandalan Sistem Tenaga Listrik dan Percepatan Energi Baru Terbarukan</v>
      </c>
      <c r="E78" s="1" t="str">
        <f ca="1">IFERROR(__xludf.DUMMYFUNCTION("""COMPUTED_VALUE"""),"AHMAD SYAKIR")</f>
        <v>AHMAD SYAKIR</v>
      </c>
      <c r="F78" s="1" t="str">
        <f ca="1">IFERROR(__xludf.DUMMYFUNCTION("""COMPUTED_VALUE"""),"5022201183")</f>
        <v>5022201183</v>
      </c>
      <c r="G78" s="1" t="str">
        <f ca="1">IFERROR(__xludf.DUMMYFUNCTION("""COMPUTED_VALUE"""),"Departemen Teknik Elektro")</f>
        <v>Departemen Teknik Elektro</v>
      </c>
      <c r="H78" s="1" t="str">
        <f ca="1">IFERROR(__xludf.DUMMYFUNCTION("""COMPUTED_VALUE"""),"Dr.Ir. Ni Ketut Aryani, M.T.")</f>
        <v>Dr.Ir. Ni Ketut Aryani, M.T.</v>
      </c>
      <c r="I78" s="1" t="str">
        <f ca="1">IFERROR(__xludf.DUMMYFUNCTION("""COMPUTED_VALUE"""),"M  RIFAD FATURRAHMAN")</f>
        <v>M  RIFAD FATURRAHMAN</v>
      </c>
      <c r="J78" s="1" t="str">
        <f ca="1">IFERROR(__xludf.DUMMYFUNCTION("""COMPUTED_VALUE"""),"5022211043")</f>
        <v>5022211043</v>
      </c>
      <c r="K78" s="1" t="str">
        <f ca="1">IFERROR(__xludf.DUMMYFUNCTION("""COMPUTED_VALUE"""),"Departemen Teknik Elektro")</f>
        <v>Departemen Teknik Elektro</v>
      </c>
      <c r="L78" s="1" t="str">
        <f ca="1">IFERROR(__xludf.DUMMYFUNCTION("""COMPUTED_VALUE"""),"MARCEL NICKY ARIANTO")</f>
        <v>MARCEL NICKY ARIANTO</v>
      </c>
      <c r="M78" s="1" t="str">
        <f ca="1">IFERROR(__xludf.DUMMYFUNCTION("""COMPUTED_VALUE"""),"07111940000174")</f>
        <v>07111940000174</v>
      </c>
      <c r="N78" s="1" t="str">
        <f ca="1">IFERROR(__xludf.DUMMYFUNCTION("""COMPUTED_VALUE"""),"Departemen Teknik Elektro")</f>
        <v>Departemen Teknik Elektro</v>
      </c>
      <c r="O78" s="1" t="str">
        <f ca="1">IFERROR(__xludf.DUMMYFUNCTION("""COMPUTED_VALUE"""),"Mochamad Fauzi")</f>
        <v>Mochamad Fauzi</v>
      </c>
      <c r="P78" s="1" t="str">
        <f ca="1">IFERROR(__xludf.DUMMYFUNCTION("""COMPUTED_VALUE"""),"07111940000007")</f>
        <v>07111940000007</v>
      </c>
      <c r="Q78" s="1" t="str">
        <f ca="1">IFERROR(__xludf.DUMMYFUNCTION("""COMPUTED_VALUE"""),"Departemen Teknik Elektro")</f>
        <v>Departemen Teknik Elektro</v>
      </c>
      <c r="R78" s="1"/>
      <c r="S78" s="1"/>
      <c r="T78" s="1"/>
      <c r="U78" s="1" t="str">
        <f ca="1">IFERROR(__xludf.DUMMYFUNCTION("""COMPUTED_VALUE"""),"Putu Gde Ariastita, S.T., M.T.")</f>
        <v>Putu Gde Ariastita, S.T., M.T.</v>
      </c>
      <c r="V78" s="1" t="str">
        <f ca="1">IFERROR(__xludf.DUMMYFUNCTION("""COMPUTED_VALUE"""),"Dr.Eng. Yuda Apri Hermawan, S.T., M.T.")</f>
        <v>Dr.Eng. Yuda Apri Hermawan, S.T., M.T.</v>
      </c>
      <c r="W78" s="1"/>
      <c r="X78" s="1" t="str">
        <f ca="1">IFERROR(__xludf.DUMMYFUNCTION("""COMPUTED_VALUE"""),"Lolos")</f>
        <v>Lolos</v>
      </c>
      <c r="Y78" s="1"/>
      <c r="Z78" s="1"/>
      <c r="AA78" s="1"/>
    </row>
    <row r="79" spans="1:27">
      <c r="A79" s="1" t="s">
        <v>77</v>
      </c>
      <c r="B79" s="1">
        <f ca="1">IFERROR(__xludf.DUMMYFUNCTION("""COMPUTED_VALUE"""),2041)</f>
        <v>2041</v>
      </c>
      <c r="C79" s="1" t="str">
        <f ca="1">IFERROR(__xludf.DUMMYFUNCTION("""COMPUTED_VALUE"""),"PKM Gagasan Tertulis")</f>
        <v>PKM Gagasan Tertulis</v>
      </c>
      <c r="D79" s="1" t="str">
        <f ca="1">IFERROR(__xludf.DUMMYFUNCTION("""COMPUTED_VALUE"""),"Meta Power Plant sebagai Langkah Transformasi Energi dalam Menjawab Tantangan 3D (Dekarbonisasi, Desentralisasi, dan Digitalisasi) di Indonesia")</f>
        <v>Meta Power Plant sebagai Langkah Transformasi Energi dalam Menjawab Tantangan 3D (Dekarbonisasi, Desentralisasi, dan Digitalisasi) di Indonesia</v>
      </c>
      <c r="E79" s="1" t="str">
        <f ca="1">IFERROR(__xludf.DUMMYFUNCTION("""COMPUTED_VALUE"""),"MUGNI AHMAD HIKAM")</f>
        <v>MUGNI AHMAD HIKAM</v>
      </c>
      <c r="F79" s="1" t="str">
        <f ca="1">IFERROR(__xludf.DUMMYFUNCTION("""COMPUTED_VALUE"""),"5022201036")</f>
        <v>5022201036</v>
      </c>
      <c r="G79" s="1" t="str">
        <f ca="1">IFERROR(__xludf.DUMMYFUNCTION("""COMPUTED_VALUE"""),"Departemen Teknik Elektro")</f>
        <v>Departemen Teknik Elektro</v>
      </c>
      <c r="H79" s="1" t="str">
        <f ca="1">IFERROR(__xludf.DUMMYFUNCTION("""COMPUTED_VALUE"""),"Dr. Dimas Fajar Uman Putra, S.T., M.T.")</f>
        <v>Dr. Dimas Fajar Uman Putra, S.T., M.T.</v>
      </c>
      <c r="I79" s="1" t="str">
        <f ca="1">IFERROR(__xludf.DUMMYFUNCTION("""COMPUTED_VALUE"""),"Mochamad Fauzi")</f>
        <v>Mochamad Fauzi</v>
      </c>
      <c r="J79" s="1" t="str">
        <f ca="1">IFERROR(__xludf.DUMMYFUNCTION("""COMPUTED_VALUE"""),"07111940000007")</f>
        <v>07111940000007</v>
      </c>
      <c r="K79" s="1" t="str">
        <f ca="1">IFERROR(__xludf.DUMMYFUNCTION("""COMPUTED_VALUE"""),"Departemen Teknik Elektro")</f>
        <v>Departemen Teknik Elektro</v>
      </c>
      <c r="L79" s="1" t="str">
        <f ca="1">IFERROR(__xludf.DUMMYFUNCTION("""COMPUTED_VALUE"""),"Rayhan Alifa Dewantara")</f>
        <v>Rayhan Alifa Dewantara</v>
      </c>
      <c r="M79" s="1" t="str">
        <f ca="1">IFERROR(__xludf.DUMMYFUNCTION("""COMPUTED_VALUE"""),"07111940000013")</f>
        <v>07111940000013</v>
      </c>
      <c r="N79" s="1" t="str">
        <f ca="1">IFERROR(__xludf.DUMMYFUNCTION("""COMPUTED_VALUE"""),"Departemen Teknik Elektro")</f>
        <v>Departemen Teknik Elektro</v>
      </c>
      <c r="O79" s="1" t="str">
        <f ca="1">IFERROR(__xludf.DUMMYFUNCTION("""COMPUTED_VALUE"""),"ANDRA CAHAYA KHALIEF")</f>
        <v>ANDRA CAHAYA KHALIEF</v>
      </c>
      <c r="P79" s="1" t="str">
        <f ca="1">IFERROR(__xludf.DUMMYFUNCTION("""COMPUTED_VALUE"""),"07111940000116")</f>
        <v>07111940000116</v>
      </c>
      <c r="Q79" s="1" t="str">
        <f ca="1">IFERROR(__xludf.DUMMYFUNCTION("""COMPUTED_VALUE"""),"Departemen Teknik Elektro")</f>
        <v>Departemen Teknik Elektro</v>
      </c>
      <c r="R79" s="1"/>
      <c r="S79" s="1"/>
      <c r="T79" s="1"/>
      <c r="U79" s="1" t="str">
        <f ca="1">IFERROR(__xludf.DUMMYFUNCTION("""COMPUTED_VALUE"""),"Putu Gde Ariastita, S.T., M.T.")</f>
        <v>Putu Gde Ariastita, S.T., M.T.</v>
      </c>
      <c r="V79" s="1" t="str">
        <f ca="1">IFERROR(__xludf.DUMMYFUNCTION("""COMPUTED_VALUE"""),"Dr.Eng. Yuda Apri Hermawan, S.T., M.T.")</f>
        <v>Dr.Eng. Yuda Apri Hermawan, S.T., M.T.</v>
      </c>
      <c r="W79" s="1"/>
      <c r="X79" s="1" t="str">
        <f ca="1">IFERROR(__xludf.DUMMYFUNCTION("""COMPUTED_VALUE"""),"Lolos")</f>
        <v>Lolos</v>
      </c>
      <c r="Y79" s="1"/>
      <c r="Z79" s="1"/>
      <c r="AA79" s="1"/>
    </row>
    <row r="80" spans="1:27">
      <c r="A80" s="1" t="s">
        <v>78</v>
      </c>
      <c r="B80" s="1">
        <f ca="1">IFERROR(__xludf.DUMMYFUNCTION("""COMPUTED_VALUE"""),3868)</f>
        <v>3868</v>
      </c>
      <c r="C80" s="1" t="str">
        <f ca="1">IFERROR(__xludf.DUMMYFUNCTION("""COMPUTED_VALUE"""),"PKM Gagasan Tertulis")</f>
        <v>PKM Gagasan Tertulis</v>
      </c>
      <c r="D80" s="1" t="str">
        <f ca="1">IFERROR(__xludf.DUMMYFUNCTION("""COMPUTED_VALUE"""),"Bangka Nuclear Island: Konsep Pulau Masa Depan sebagai Sentra Suplai Energi Listrik Bebas Emisi Sumatera")</f>
        <v>Bangka Nuclear Island: Konsep Pulau Masa Depan sebagai Sentra Suplai Energi Listrik Bebas Emisi Sumatera</v>
      </c>
      <c r="E80" s="1" t="str">
        <f ca="1">IFERROR(__xludf.DUMMYFUNCTION("""COMPUTED_VALUE"""),"NAUFAL LUTHFAN T.")</f>
        <v>NAUFAL LUTHFAN T.</v>
      </c>
      <c r="F80" s="1" t="str">
        <f ca="1">IFERROR(__xludf.DUMMYFUNCTION("""COMPUTED_VALUE"""),"5003211012")</f>
        <v>5003211012</v>
      </c>
      <c r="G80" s="1" t="str">
        <f ca="1">IFERROR(__xludf.DUMMYFUNCTION("""COMPUTED_VALUE"""),"Departemen Statistika")</f>
        <v>Departemen Statistika</v>
      </c>
      <c r="H80" s="1" t="str">
        <f ca="1">IFERROR(__xludf.DUMMYFUNCTION("""COMPUTED_VALUE"""),"Dr. Vita Ratnasari, S.Si., M.Si.")</f>
        <v>Dr. Vita Ratnasari, S.Si., M.Si.</v>
      </c>
      <c r="I80" s="1" t="str">
        <f ca="1">IFERROR(__xludf.DUMMYFUNCTION("""COMPUTED_VALUE"""),"GALANG ADI SAPUTRO")</f>
        <v>GALANG ADI SAPUTRO</v>
      </c>
      <c r="J80" s="1" t="str">
        <f ca="1">IFERROR(__xludf.DUMMYFUNCTION("""COMPUTED_VALUE"""),"02111940000131")</f>
        <v>02111940000131</v>
      </c>
      <c r="K80" s="1" t="str">
        <f ca="1">IFERROR(__xludf.DUMMYFUNCTION("""COMPUTED_VALUE"""),"Departemen Teknik Mesin")</f>
        <v>Departemen Teknik Mesin</v>
      </c>
      <c r="L80" s="1" t="str">
        <f ca="1">IFERROR(__xludf.DUMMYFUNCTION("""COMPUTED_VALUE"""),"Arrijalu Fabriano Hernanda")</f>
        <v>Arrijalu Fabriano Hernanda</v>
      </c>
      <c r="M80" s="1" t="str">
        <f ca="1">IFERROR(__xludf.DUMMYFUNCTION("""COMPUTED_VALUE"""),"03111940000040")</f>
        <v>03111940000040</v>
      </c>
      <c r="N80" s="1" t="str">
        <f ca="1">IFERROR(__xludf.DUMMYFUNCTION("""COMPUTED_VALUE"""),"Departemen Teknik Sipil")</f>
        <v>Departemen Teknik Sipil</v>
      </c>
      <c r="O80" s="1" t="str">
        <f ca="1">IFERROR(__xludf.DUMMYFUNCTION("""COMPUTED_VALUE"""),"KHODIJAH")</f>
        <v>KHODIJAH</v>
      </c>
      <c r="P80" s="1" t="str">
        <f ca="1">IFERROR(__xludf.DUMMYFUNCTION("""COMPUTED_VALUE"""),"5003211037")</f>
        <v>5003211037</v>
      </c>
      <c r="Q80" s="1" t="str">
        <f ca="1">IFERROR(__xludf.DUMMYFUNCTION("""COMPUTED_VALUE"""),"Departemen Statistika")</f>
        <v>Departemen Statistika</v>
      </c>
      <c r="R80" s="1" t="str">
        <f ca="1">IFERROR(__xludf.DUMMYFUNCTION("""COMPUTED_VALUE"""),"REIDINA DIAN S.")</f>
        <v>REIDINA DIAN S.</v>
      </c>
      <c r="S80" s="1" t="str">
        <f ca="1">IFERROR(__xludf.DUMMYFUNCTION("""COMPUTED_VALUE"""),"5003211039")</f>
        <v>5003211039</v>
      </c>
      <c r="T80" s="1" t="str">
        <f ca="1">IFERROR(__xludf.DUMMYFUNCTION("""COMPUTED_VALUE"""),"Departemen Statistika")</f>
        <v>Departemen Statistika</v>
      </c>
      <c r="U80" s="1" t="str">
        <f ca="1">IFERROR(__xludf.DUMMYFUNCTION("""COMPUTED_VALUE"""),"Dyah Sawitri, S.T., M.T.")</f>
        <v>Dyah Sawitri, S.T., M.T.</v>
      </c>
      <c r="V80" s="1" t="str">
        <f ca="1">IFERROR(__xludf.DUMMYFUNCTION("""COMPUTED_VALUE"""),"Wimala Lalitya Dhanistha, S.T., M.T.")</f>
        <v>Wimala Lalitya Dhanistha, S.T., M.T.</v>
      </c>
      <c r="W80" s="1"/>
      <c r="X80" s="1" t="str">
        <f ca="1">IFERROR(__xludf.DUMMYFUNCTION("""COMPUTED_VALUE"""),"Lolos")</f>
        <v>Lolos</v>
      </c>
      <c r="Y80" s="1"/>
      <c r="Z80" s="1"/>
      <c r="AA80" s="1"/>
    </row>
    <row r="81" spans="1:27">
      <c r="A81" s="1" t="s">
        <v>79</v>
      </c>
      <c r="B81" s="1">
        <f ca="1">IFERROR(__xludf.DUMMYFUNCTION("""COMPUTED_VALUE"""),2742)</f>
        <v>2742</v>
      </c>
      <c r="C81" s="1" t="str">
        <f ca="1">IFERROR(__xludf.DUMMYFUNCTION("""COMPUTED_VALUE"""),"PKM Gagasan Tertulis")</f>
        <v>PKM Gagasan Tertulis</v>
      </c>
      <c r="D81" s="1" t="str">
        <f ca="1">IFERROR(__xludf.DUMMYFUNCTION("""COMPUTED_VALUE"""),"Autonomous Marine Trash Skimmer: Kapal Cerdas Berteknologi Pirolisis untuk Keselamatan Ekosistem Laut Indonesia")</f>
        <v>Autonomous Marine Trash Skimmer: Kapal Cerdas Berteknologi Pirolisis untuk Keselamatan Ekosistem Laut Indonesia</v>
      </c>
      <c r="E81" s="1" t="str">
        <f ca="1">IFERROR(__xludf.DUMMYFUNCTION("""COMPUTED_VALUE"""),"ALIF FATIH ABDURRAHMAN")</f>
        <v>ALIF FATIH ABDURRAHMAN</v>
      </c>
      <c r="F81" s="1" t="str">
        <f ca="1">IFERROR(__xludf.DUMMYFUNCTION("""COMPUTED_VALUE"""),"5019201036")</f>
        <v>5019201036</v>
      </c>
      <c r="G81" s="1" t="str">
        <f ca="1">IFERROR(__xludf.DUMMYFUNCTION("""COMPUTED_VALUE"""),"Departemen Teknik Sistem Perkapalan")</f>
        <v>Departemen Teknik Sistem Perkapalan</v>
      </c>
      <c r="H81" s="1" t="str">
        <f ca="1">IFERROR(__xludf.DUMMYFUNCTION("""COMPUTED_VALUE"""),"Dr.Eng. Adi Kurniawan, S.T., M.T.")</f>
        <v>Dr.Eng. Adi Kurniawan, S.T., M.T.</v>
      </c>
      <c r="I81" s="1" t="str">
        <f ca="1">IFERROR(__xludf.DUMMYFUNCTION("""COMPUTED_VALUE"""),"NITA WAHYUNI DWI PUSPITASARI")</f>
        <v>NITA WAHYUNI DWI PUSPITASARI</v>
      </c>
      <c r="J81" s="1" t="str">
        <f ca="1">IFERROR(__xludf.DUMMYFUNCTION("""COMPUTED_VALUE"""),"5019201032")</f>
        <v>5019201032</v>
      </c>
      <c r="K81" s="1" t="str">
        <f ca="1">IFERROR(__xludf.DUMMYFUNCTION("""COMPUTED_VALUE"""),"Departemen Teknik Sistem Perkapalan")</f>
        <v>Departemen Teknik Sistem Perkapalan</v>
      </c>
      <c r="L81" s="1" t="str">
        <f ca="1">IFERROR(__xludf.DUMMYFUNCTION("""COMPUTED_VALUE"""),"NUR FARIDA HARWIN LATIFAH")</f>
        <v>NUR FARIDA HARWIN LATIFAH</v>
      </c>
      <c r="M81" s="1" t="str">
        <f ca="1">IFERROR(__xludf.DUMMYFUNCTION("""COMPUTED_VALUE"""),"5019201126")</f>
        <v>5019201126</v>
      </c>
      <c r="N81" s="1" t="str">
        <f ca="1">IFERROR(__xludf.DUMMYFUNCTION("""COMPUTED_VALUE"""),"Departemen Teknik Sistem Perkapalan")</f>
        <v>Departemen Teknik Sistem Perkapalan</v>
      </c>
      <c r="O81" s="1" t="str">
        <f ca="1">IFERROR(__xludf.DUMMYFUNCTION("""COMPUTED_VALUE"""),"TRISHIA FIRDAYANTI")</f>
        <v>TRISHIA FIRDAYANTI</v>
      </c>
      <c r="P81" s="1" t="str">
        <f ca="1">IFERROR(__xludf.DUMMYFUNCTION("""COMPUTED_VALUE"""),"5019201048")</f>
        <v>5019201048</v>
      </c>
      <c r="Q81" s="1" t="str">
        <f ca="1">IFERROR(__xludf.DUMMYFUNCTION("""COMPUTED_VALUE"""),"Departemen Teknik Sistem Perkapalan")</f>
        <v>Departemen Teknik Sistem Perkapalan</v>
      </c>
      <c r="R81" s="1" t="str">
        <f ca="1">IFERROR(__xludf.DUMMYFUNCTION("""COMPUTED_VALUE"""),"FEBRO HELIOS JAVANICA")</f>
        <v>FEBRO HELIOS JAVANICA</v>
      </c>
      <c r="S81" s="1" t="str">
        <f ca="1">IFERROR(__xludf.DUMMYFUNCTION("""COMPUTED_VALUE"""),"5019201122")</f>
        <v>5019201122</v>
      </c>
      <c r="T81" s="1" t="str">
        <f ca="1">IFERROR(__xludf.DUMMYFUNCTION("""COMPUTED_VALUE"""),"Departemen Teknik Sistem Perkapalan")</f>
        <v>Departemen Teknik Sistem Perkapalan</v>
      </c>
      <c r="U81" s="1" t="str">
        <f ca="1">IFERROR(__xludf.DUMMYFUNCTION("""COMPUTED_VALUE"""),"Izzat Aulia Akbar, S.Kom., M.Eng., Ph.D.")</f>
        <v>Izzat Aulia Akbar, S.Kom., M.Eng., Ph.D.</v>
      </c>
      <c r="V81" s="1" t="str">
        <f ca="1">IFERROR(__xludf.DUMMYFUNCTION("""COMPUTED_VALUE"""),"Putu Gde Ariastita, S.T., M.T.")</f>
        <v>Putu Gde Ariastita, S.T., M.T.</v>
      </c>
      <c r="W81" s="1"/>
      <c r="X81" s="1" t="str">
        <f ca="1">IFERROR(__xludf.DUMMYFUNCTION("""COMPUTED_VALUE"""),"Lolos")</f>
        <v>Lolos</v>
      </c>
      <c r="Y81" s="1"/>
      <c r="Z81" s="1"/>
      <c r="AA81" s="1"/>
    </row>
    <row r="82" spans="1:27">
      <c r="A82" s="1" t="s">
        <v>80</v>
      </c>
      <c r="B82" s="1">
        <f ca="1">IFERROR(__xludf.DUMMYFUNCTION("""COMPUTED_VALUE"""),2353)</f>
        <v>2353</v>
      </c>
      <c r="C82" s="1" t="str">
        <f ca="1">IFERROR(__xludf.DUMMYFUNCTION("""COMPUTED_VALUE"""),"PKM Gagasan Tertulis")</f>
        <v>PKM Gagasan Tertulis</v>
      </c>
      <c r="D82" s="1" t="str">
        <f ca="1">IFERROR(__xludf.DUMMYFUNCTION("""COMPUTED_VALUE"""),"Integrasi Keramba Jaring Apung Offshore, Pelabuhan Transhipment, dan Solar Power Plant dalam Mewujudkan Sentra Budidaya Perikanan Futuristik Anambas")</f>
        <v>Integrasi Keramba Jaring Apung Offshore, Pelabuhan Transhipment, dan Solar Power Plant dalam Mewujudkan Sentra Budidaya Perikanan Futuristik Anambas</v>
      </c>
      <c r="E82" s="1" t="str">
        <f ca="1">IFERROR(__xludf.DUMMYFUNCTION("""COMPUTED_VALUE"""),"M  RIFAD FATURRAHMAN")</f>
        <v>M  RIFAD FATURRAHMAN</v>
      </c>
      <c r="F82" s="1" t="str">
        <f ca="1">IFERROR(__xludf.DUMMYFUNCTION("""COMPUTED_VALUE"""),"5022211043")</f>
        <v>5022211043</v>
      </c>
      <c r="G82" s="1" t="str">
        <f ca="1">IFERROR(__xludf.DUMMYFUNCTION("""COMPUTED_VALUE"""),"Departemen Teknik Elektro")</f>
        <v>Departemen Teknik Elektro</v>
      </c>
      <c r="H82" s="1" t="str">
        <f ca="1">IFERROR(__xludf.DUMMYFUNCTION("""COMPUTED_VALUE"""),"Dr.Ir. Ni Ketut Aryani, M.T.")</f>
        <v>Dr.Ir. Ni Ketut Aryani, M.T.</v>
      </c>
      <c r="I82" s="1" t="str">
        <f ca="1">IFERROR(__xludf.DUMMYFUNCTION("""COMPUTED_VALUE"""),"AHMAD SYAKIR")</f>
        <v>AHMAD SYAKIR</v>
      </c>
      <c r="J82" s="1" t="str">
        <f ca="1">IFERROR(__xludf.DUMMYFUNCTION("""COMPUTED_VALUE"""),"5022201183")</f>
        <v>5022201183</v>
      </c>
      <c r="K82" s="1" t="str">
        <f ca="1">IFERROR(__xludf.DUMMYFUNCTION("""COMPUTED_VALUE"""),"Departemen Teknik Elektro")</f>
        <v>Departemen Teknik Elektro</v>
      </c>
      <c r="L82" s="1" t="str">
        <f ca="1">IFERROR(__xludf.DUMMYFUNCTION("""COMPUTED_VALUE"""),"MARCEL NICKY ARIANTO")</f>
        <v>MARCEL NICKY ARIANTO</v>
      </c>
      <c r="M82" s="1" t="str">
        <f ca="1">IFERROR(__xludf.DUMMYFUNCTION("""COMPUTED_VALUE"""),"07111940000174")</f>
        <v>07111940000174</v>
      </c>
      <c r="N82" s="1" t="str">
        <f ca="1">IFERROR(__xludf.DUMMYFUNCTION("""COMPUTED_VALUE"""),"Departemen Teknik Elektro")</f>
        <v>Departemen Teknik Elektro</v>
      </c>
      <c r="O82" s="1" t="str">
        <f ca="1">IFERROR(__xludf.DUMMYFUNCTION("""COMPUTED_VALUE"""),"Mochamad Fauzi")</f>
        <v>Mochamad Fauzi</v>
      </c>
      <c r="P82" s="1" t="str">
        <f ca="1">IFERROR(__xludf.DUMMYFUNCTION("""COMPUTED_VALUE"""),"07111940000007")</f>
        <v>07111940000007</v>
      </c>
      <c r="Q82" s="1" t="str">
        <f ca="1">IFERROR(__xludf.DUMMYFUNCTION("""COMPUTED_VALUE"""),"Departemen Teknik Elektro")</f>
        <v>Departemen Teknik Elektro</v>
      </c>
      <c r="R82" s="1"/>
      <c r="S82" s="1"/>
      <c r="T82" s="1"/>
      <c r="U82" s="1" t="str">
        <f ca="1">IFERROR(__xludf.DUMMYFUNCTION("""COMPUTED_VALUE"""),"Dr.-Ing. Doty Dewi Risanti, S.T., M.T.")</f>
        <v>Dr.-Ing. Doty Dewi Risanti, S.T., M.T.</v>
      </c>
      <c r="V82" s="1" t="str">
        <f ca="1">IFERROR(__xludf.DUMMYFUNCTION("""COMPUTED_VALUE"""),"Rivan Aji Wahyu Dyan Syafitri, S.PWK, M.Ars.")</f>
        <v>Rivan Aji Wahyu Dyan Syafitri, S.PWK, M.Ars.</v>
      </c>
      <c r="W82" s="1"/>
      <c r="X82" s="1" t="str">
        <f ca="1">IFERROR(__xludf.DUMMYFUNCTION("""COMPUTED_VALUE"""),"Lolos")</f>
        <v>Lolos</v>
      </c>
      <c r="Y82" s="1"/>
      <c r="Z82" s="1"/>
      <c r="AA82" s="1"/>
    </row>
    <row r="83" spans="1:27">
      <c r="A83" s="1" t="s">
        <v>81</v>
      </c>
      <c r="B83" s="1">
        <f ca="1">IFERROR(__xludf.DUMMYFUNCTION("""COMPUTED_VALUE"""),2015)</f>
        <v>2015</v>
      </c>
      <c r="C83" s="1" t="str">
        <f ca="1">IFERROR(__xludf.DUMMYFUNCTION("""COMPUTED_VALUE"""),"PKM Gagasan Tertulis")</f>
        <v>PKM Gagasan Tertulis</v>
      </c>
      <c r="D83" s="1" t="str">
        <f ca="1">IFERROR(__xludf.DUMMYFUNCTION("""COMPUTED_VALUE"""),"GALUS AGRILY (Agriculture Technology) dengan Konsep Pengintegrasian Artificial Intelegent dan Solar Cell Untuk Memajukan Sektor Pertanian di Kabupaten Gayo Lues")</f>
        <v>GALUS AGRILY (Agriculture Technology) dengan Konsep Pengintegrasian Artificial Intelegent dan Solar Cell Untuk Memajukan Sektor Pertanian di Kabupaten Gayo Lues</v>
      </c>
      <c r="E83" s="1" t="str">
        <f ca="1">IFERROR(__xludf.DUMMYFUNCTION("""COMPUTED_VALUE"""),"Nisrina Qurratu'ain")</f>
        <v>Nisrina Qurratu'ain</v>
      </c>
      <c r="F83" s="1" t="str">
        <f ca="1">IFERROR(__xludf.DUMMYFUNCTION("""COMPUTED_VALUE"""),"5002211093")</f>
        <v>5002211093</v>
      </c>
      <c r="G83" s="1" t="str">
        <f ca="1">IFERROR(__xludf.DUMMYFUNCTION("""COMPUTED_VALUE"""),"Departemen Matematika")</f>
        <v>Departemen Matematika</v>
      </c>
      <c r="H83" s="1" t="str">
        <f ca="1">IFERROR(__xludf.DUMMYFUNCTION("""COMPUTED_VALUE"""),"Subchan, S.Si., M.Sc., Ph.D.")</f>
        <v>Subchan, S.Si., M.Sc., Ph.D.</v>
      </c>
      <c r="I83" s="1" t="str">
        <f ca="1">IFERROR(__xludf.DUMMYFUNCTION("""COMPUTED_VALUE"""),"SAUSAN FIRDHA L")</f>
        <v>SAUSAN FIRDHA L</v>
      </c>
      <c r="J83" s="1" t="str">
        <f ca="1">IFERROR(__xludf.DUMMYFUNCTION("""COMPUTED_VALUE"""),"5002211065")</f>
        <v>5002211065</v>
      </c>
      <c r="K83" s="1" t="str">
        <f ca="1">IFERROR(__xludf.DUMMYFUNCTION("""COMPUTED_VALUE"""),"Departemen Matematika")</f>
        <v>Departemen Matematika</v>
      </c>
      <c r="L83" s="1" t="str">
        <f ca="1">IFERROR(__xludf.DUMMYFUNCTION("""COMPUTED_VALUE"""),"SHERLY FIKRIMA N")</f>
        <v>SHERLY FIKRIMA N</v>
      </c>
      <c r="M83" s="1" t="str">
        <f ca="1">IFERROR(__xludf.DUMMYFUNCTION("""COMPUTED_VALUE"""),"5022211157")</f>
        <v>5022211157</v>
      </c>
      <c r="N83" s="1" t="str">
        <f ca="1">IFERROR(__xludf.DUMMYFUNCTION("""COMPUTED_VALUE"""),"Departemen Teknik Elektro")</f>
        <v>Departemen Teknik Elektro</v>
      </c>
      <c r="O83" s="1" t="str">
        <f ca="1">IFERROR(__xludf.DUMMYFUNCTION("""COMPUTED_VALUE"""),"Amelia Widhi N Srg")</f>
        <v>Amelia Widhi N Srg</v>
      </c>
      <c r="P83" s="1" t="str">
        <f ca="1">IFERROR(__xludf.DUMMYFUNCTION("""COMPUTED_VALUE"""),"5022211067")</f>
        <v>5022211067</v>
      </c>
      <c r="Q83" s="1" t="str">
        <f ca="1">IFERROR(__xludf.DUMMYFUNCTION("""COMPUTED_VALUE"""),"Departemen Teknik Elektro")</f>
        <v>Departemen Teknik Elektro</v>
      </c>
      <c r="R83" s="1" t="str">
        <f ca="1">IFERROR(__xludf.DUMMYFUNCTION("""COMPUTED_VALUE"""),"FAIRUUZ NURDIAZ AMAANULLAH")</f>
        <v>FAIRUUZ NURDIAZ AMAANULLAH</v>
      </c>
      <c r="S83" s="1" t="str">
        <f ca="1">IFERROR(__xludf.DUMMYFUNCTION("""COMPUTED_VALUE"""),"5002201042")</f>
        <v>5002201042</v>
      </c>
      <c r="T83" s="1" t="str">
        <f ca="1">IFERROR(__xludf.DUMMYFUNCTION("""COMPUTED_VALUE"""),"Departemen Matematika")</f>
        <v>Departemen Matematika</v>
      </c>
      <c r="U83" s="1" t="str">
        <f ca="1">IFERROR(__xludf.DUMMYFUNCTION("""COMPUTED_VALUE"""),"Putu Gde Ariastita, S.T., M.T.")</f>
        <v>Putu Gde Ariastita, S.T., M.T.</v>
      </c>
      <c r="V83" s="1" t="str">
        <f ca="1">IFERROR(__xludf.DUMMYFUNCTION("""COMPUTED_VALUE"""),"Dr.Eng. Yuda Apri Hermawan, S.T., M.T.")</f>
        <v>Dr.Eng. Yuda Apri Hermawan, S.T., M.T.</v>
      </c>
      <c r="W83" s="1"/>
      <c r="X83" s="1" t="str">
        <f ca="1">IFERROR(__xludf.DUMMYFUNCTION("""COMPUTED_VALUE"""),"Lolos")</f>
        <v>Lolos</v>
      </c>
      <c r="Y83" s="1"/>
      <c r="Z83" s="1"/>
      <c r="AA83" s="1"/>
    </row>
    <row r="84" spans="1:27">
      <c r="A84" s="1" t="s">
        <v>82</v>
      </c>
      <c r="B84" s="1">
        <f ca="1">IFERROR(__xludf.DUMMYFUNCTION("""COMPUTED_VALUE"""),2044)</f>
        <v>2044</v>
      </c>
      <c r="C84" s="1" t="str">
        <f ca="1">IFERROR(__xludf.DUMMYFUNCTION("""COMPUTED_VALUE"""),"PKM Gagasan Tertulis")</f>
        <v>PKM Gagasan Tertulis</v>
      </c>
      <c r="D84" s="1" t="str">
        <f ca="1">IFERROR(__xludf.DUMMYFUNCTION("""COMPUTED_VALUE"""),"Konsep Ruang Transit Masa Depan Berdasarkan Struktur Tidur Manusia sebagai Solusi Permasalahan Kualitas Tidur pada Business Traveler")</f>
        <v>Konsep Ruang Transit Masa Depan Berdasarkan Struktur Tidur Manusia sebagai Solusi Permasalahan Kualitas Tidur pada Business Traveler</v>
      </c>
      <c r="E84" s="1" t="str">
        <f ca="1">IFERROR(__xludf.DUMMYFUNCTION("""COMPUTED_VALUE"""),"GABRIELA EMILLY XIAN")</f>
        <v>GABRIELA EMILLY XIAN</v>
      </c>
      <c r="F84" s="1" t="str">
        <f ca="1">IFERROR(__xludf.DUMMYFUNCTION("""COMPUTED_VALUE"""),"08111840000043")</f>
        <v>08111840000043</v>
      </c>
      <c r="G84" s="1" t="str">
        <f ca="1">IFERROR(__xludf.DUMMYFUNCTION("""COMPUTED_VALUE"""),"Departemen Arsitektur")</f>
        <v>Departemen Arsitektur</v>
      </c>
      <c r="H84" s="1" t="str">
        <f ca="1">IFERROR(__xludf.DUMMYFUNCTION("""COMPUTED_VALUE"""),"FX. Teddy Badai Samodra, S.T., M.T., Ph.D.")</f>
        <v>FX. Teddy Badai Samodra, S.T., M.T., Ph.D.</v>
      </c>
      <c r="I84" s="1" t="str">
        <f ca="1">IFERROR(__xludf.DUMMYFUNCTION("""COMPUTED_VALUE"""),"Izzah Desta Bastian Ramadhani")</f>
        <v>Izzah Desta Bastian Ramadhani</v>
      </c>
      <c r="J84" s="1" t="str">
        <f ca="1">IFERROR(__xludf.DUMMYFUNCTION("""COMPUTED_VALUE"""),"08111940000011")</f>
        <v>08111940000011</v>
      </c>
      <c r="K84" s="1" t="str">
        <f ca="1">IFERROR(__xludf.DUMMYFUNCTION("""COMPUTED_VALUE"""),"Departemen Arsitektur")</f>
        <v>Departemen Arsitektur</v>
      </c>
      <c r="L84" s="1" t="str">
        <f ca="1">IFERROR(__xludf.DUMMYFUNCTION("""COMPUTED_VALUE"""),"Kresentia Ivena Krisanti")</f>
        <v>Kresentia Ivena Krisanti</v>
      </c>
      <c r="M84" s="1" t="str">
        <f ca="1">IFERROR(__xludf.DUMMYFUNCTION("""COMPUTED_VALUE"""),"08111940000019")</f>
        <v>08111940000019</v>
      </c>
      <c r="N84" s="1" t="str">
        <f ca="1">IFERROR(__xludf.DUMMYFUNCTION("""COMPUTED_VALUE"""),"Departemen Arsitektur")</f>
        <v>Departemen Arsitektur</v>
      </c>
      <c r="O84" s="1" t="str">
        <f ca="1">IFERROR(__xludf.DUMMYFUNCTION("""COMPUTED_VALUE"""),"KORNELIUS ABDI SETIAWAN")</f>
        <v>KORNELIUS ABDI SETIAWAN</v>
      </c>
      <c r="P84" s="1" t="str">
        <f ca="1">IFERROR(__xludf.DUMMYFUNCTION("""COMPUTED_VALUE"""),"5013201017")</f>
        <v>5013201017</v>
      </c>
      <c r="Q84" s="1" t="str">
        <f ca="1">IFERROR(__xludf.DUMMYFUNCTION("""COMPUTED_VALUE"""),"Departemen Arsitektur")</f>
        <v>Departemen Arsitektur</v>
      </c>
      <c r="R84" s="1" t="str">
        <f ca="1">IFERROR(__xludf.DUMMYFUNCTION("""COMPUTED_VALUE"""),"CLAUDIA CAHYANING TYAS")</f>
        <v>CLAUDIA CAHYANING TYAS</v>
      </c>
      <c r="S84" s="1" t="str">
        <f ca="1">IFERROR(__xludf.DUMMYFUNCTION("""COMPUTED_VALUE"""),"5013201034")</f>
        <v>5013201034</v>
      </c>
      <c r="T84" s="1" t="str">
        <f ca="1">IFERROR(__xludf.DUMMYFUNCTION("""COMPUTED_VALUE"""),"Departemen Arsitektur")</f>
        <v>Departemen Arsitektur</v>
      </c>
      <c r="U84" s="1" t="str">
        <f ca="1">IFERROR(__xludf.DUMMYFUNCTION("""COMPUTED_VALUE"""),"Putu Gde Ariastita, S.T., M.T.")</f>
        <v>Putu Gde Ariastita, S.T., M.T.</v>
      </c>
      <c r="V84" s="1" t="str">
        <f ca="1">IFERROR(__xludf.DUMMYFUNCTION("""COMPUTED_VALUE"""),"Dr.Eng. Yuda Apri Hermawan, S.T., M.T.")</f>
        <v>Dr.Eng. Yuda Apri Hermawan, S.T., M.T.</v>
      </c>
      <c r="W84" s="1"/>
      <c r="X84" s="1" t="str">
        <f ca="1">IFERROR(__xludf.DUMMYFUNCTION("""COMPUTED_VALUE"""),"Lolos")</f>
        <v>Lolos</v>
      </c>
      <c r="Y84" s="1"/>
      <c r="Z84" s="1"/>
      <c r="AA84" s="1"/>
    </row>
    <row r="85" spans="1:27">
      <c r="A85" s="1" t="s">
        <v>83</v>
      </c>
      <c r="B85" s="1">
        <f ca="1">IFERROR(__xludf.DUMMYFUNCTION("""COMPUTED_VALUE"""),3576)</f>
        <v>3576</v>
      </c>
      <c r="C85" s="1" t="str">
        <f ca="1">IFERROR(__xludf.DUMMYFUNCTION("""COMPUTED_VALUE"""),"PKM Gagasan Tertulis")</f>
        <v>PKM Gagasan Tertulis</v>
      </c>
      <c r="D85" s="1" t="str">
        <f ca="1">IFERROR(__xludf.DUMMYFUNCTION("""COMPUTED_VALUE"""),"E-breater : breakwater penghasil listrik untuk proteksi daerah wisata pantai masirete")</f>
        <v>E-breater : breakwater penghasil listrik untuk proteksi daerah wisata pantai masirete</v>
      </c>
      <c r="E85" s="1" t="str">
        <f ca="1">IFERROR(__xludf.DUMMYFUNCTION("""COMPUTED_VALUE"""),"Angelyca David Vinci")</f>
        <v>Angelyca David Vinci</v>
      </c>
      <c r="F85" s="1" t="str">
        <f ca="1">IFERROR(__xludf.DUMMYFUNCTION("""COMPUTED_VALUE"""),"5020211001")</f>
        <v>5020211001</v>
      </c>
      <c r="G85" s="1" t="str">
        <f ca="1">IFERROR(__xludf.DUMMYFUNCTION("""COMPUTED_VALUE"""),"Departemen Teknik Kelautan")</f>
        <v>Departemen Teknik Kelautan</v>
      </c>
      <c r="H85" s="1" t="str">
        <f ca="1">IFERROR(__xludf.DUMMYFUNCTION("""COMPUTED_VALUE"""),"Dr. Dendy Satrio, S.ST.")</f>
        <v>Dr. Dendy Satrio, S.ST.</v>
      </c>
      <c r="I85" s="1" t="str">
        <f ca="1">IFERROR(__xludf.DUMMYFUNCTION("""COMPUTED_VALUE"""),"FAREL NOVAL JAMALUDDIN")</f>
        <v>FAREL NOVAL JAMALUDDIN</v>
      </c>
      <c r="J85" s="1" t="str">
        <f ca="1">IFERROR(__xludf.DUMMYFUNCTION("""COMPUTED_VALUE"""),"5020201105")</f>
        <v>5020201105</v>
      </c>
      <c r="K85" s="1" t="str">
        <f ca="1">IFERROR(__xludf.DUMMYFUNCTION("""COMPUTED_VALUE"""),"Departemen Teknik Kelautan")</f>
        <v>Departemen Teknik Kelautan</v>
      </c>
      <c r="L85" s="1" t="str">
        <f ca="1">IFERROR(__xludf.DUMMYFUNCTION("""COMPUTED_VALUE"""),"DANENDRA ARYA WISESA")</f>
        <v>DANENDRA ARYA WISESA</v>
      </c>
      <c r="M85" s="1" t="str">
        <f ca="1">IFERROR(__xludf.DUMMYFUNCTION("""COMPUTED_VALUE"""),"5020201084")</f>
        <v>5020201084</v>
      </c>
      <c r="N85" s="1" t="str">
        <f ca="1">IFERROR(__xludf.DUMMYFUNCTION("""COMPUTED_VALUE"""),"Departemen Teknik Kelautan")</f>
        <v>Departemen Teknik Kelautan</v>
      </c>
      <c r="O85" s="1" t="str">
        <f ca="1">IFERROR(__xludf.DUMMYFUNCTION("""COMPUTED_VALUE"""),"Mutia H Br Sinuraya")</f>
        <v>Mutia H Br Sinuraya</v>
      </c>
      <c r="P85" s="1" t="str">
        <f ca="1">IFERROR(__xludf.DUMMYFUNCTION("""COMPUTED_VALUE"""),"5020211015")</f>
        <v>5020211015</v>
      </c>
      <c r="Q85" s="1" t="str">
        <f ca="1">IFERROR(__xludf.DUMMYFUNCTION("""COMPUTED_VALUE"""),"Departemen Teknik Kelautan")</f>
        <v>Departemen Teknik Kelautan</v>
      </c>
      <c r="R85" s="1" t="str">
        <f ca="1">IFERROR(__xludf.DUMMYFUNCTION("""COMPUTED_VALUE"""),"Moh Nabil Rohman")</f>
        <v>Moh Nabil Rohman</v>
      </c>
      <c r="S85" s="1" t="str">
        <f ca="1">IFERROR(__xludf.DUMMYFUNCTION("""COMPUTED_VALUE"""),"5020211010")</f>
        <v>5020211010</v>
      </c>
      <c r="T85" s="1" t="str">
        <f ca="1">IFERROR(__xludf.DUMMYFUNCTION("""COMPUTED_VALUE"""),"Departemen Teknik Kelautan")</f>
        <v>Departemen Teknik Kelautan</v>
      </c>
      <c r="U85" s="1" t="str">
        <f ca="1">IFERROR(__xludf.DUMMYFUNCTION("""COMPUTED_VALUE"""),"Prof. Ir. Aguk Zuhdi Muhammad Fathallah, M.Eng., Ph.D.")</f>
        <v>Prof. Ir. Aguk Zuhdi Muhammad Fathallah, M.Eng., Ph.D.</v>
      </c>
      <c r="V85" s="1" t="str">
        <f ca="1">IFERROR(__xludf.DUMMYFUNCTION("""COMPUTED_VALUE"""),"Dyah Sawitri, S.T., M.T.")</f>
        <v>Dyah Sawitri, S.T., M.T.</v>
      </c>
      <c r="W85" s="1"/>
      <c r="X85" s="1" t="str">
        <f ca="1">IFERROR(__xludf.DUMMYFUNCTION("""COMPUTED_VALUE"""),"Lolos")</f>
        <v>Lolos</v>
      </c>
      <c r="Y85" s="1"/>
      <c r="Z85" s="1"/>
      <c r="AA85" s="1"/>
    </row>
    <row r="86" spans="1:27">
      <c r="A86" s="1" t="s">
        <v>84</v>
      </c>
      <c r="B86" s="1">
        <f ca="1">IFERROR(__xludf.DUMMYFUNCTION("""COMPUTED_VALUE"""),2417)</f>
        <v>2417</v>
      </c>
      <c r="C86" s="1" t="str">
        <f ca="1">IFERROR(__xludf.DUMMYFUNCTION("""COMPUTED_VALUE"""),"PKM Gagasan Tertulis")</f>
        <v>PKM Gagasan Tertulis</v>
      </c>
      <c r="D86" s="1" t="str">
        <f ca="1">IFERROR(__xludf.DUMMYFUNCTION("""COMPUTED_VALUE"""),"Sistem Penambangan Litium Tepi Laut sebagai Bahan Baterai Terintegrasi dengan Sarana Edukasi Publik Guna Mengurangi Kerusakan Alam Akibat Penambangan Darat")</f>
        <v>Sistem Penambangan Litium Tepi Laut sebagai Bahan Baterai Terintegrasi dengan Sarana Edukasi Publik Guna Mengurangi Kerusakan Alam Akibat Penambangan Darat</v>
      </c>
      <c r="E86" s="1" t="str">
        <f ca="1">IFERROR(__xludf.DUMMYFUNCTION("""COMPUTED_VALUE"""),"GRACIANI CAHYADRESTA DEWANDA")</f>
        <v>GRACIANI CAHYADRESTA DEWANDA</v>
      </c>
      <c r="F86" s="1" t="str">
        <f ca="1">IFERROR(__xludf.DUMMYFUNCTION("""COMPUTED_VALUE"""),"08111840000079")</f>
        <v>08111840000079</v>
      </c>
      <c r="G86" s="1" t="str">
        <f ca="1">IFERROR(__xludf.DUMMYFUNCTION("""COMPUTED_VALUE"""),"Departemen Arsitektur")</f>
        <v>Departemen Arsitektur</v>
      </c>
      <c r="H86" s="1" t="str">
        <f ca="1">IFERROR(__xludf.DUMMYFUNCTION("""COMPUTED_VALUE"""),"Ir. I Gusti Ngurah Antaryama, Ph.D.")</f>
        <v>Ir. I Gusti Ngurah Antaryama, Ph.D.</v>
      </c>
      <c r="I86" s="1" t="str">
        <f ca="1">IFERROR(__xludf.DUMMYFUNCTION("""COMPUTED_VALUE"""),"Agustine Berliana Putri")</f>
        <v>Agustine Berliana Putri</v>
      </c>
      <c r="J86" s="1" t="str">
        <f ca="1">IFERROR(__xludf.DUMMYFUNCTION("""COMPUTED_VALUE"""),"08111840000027")</f>
        <v>08111840000027</v>
      </c>
      <c r="K86" s="1" t="str">
        <f ca="1">IFERROR(__xludf.DUMMYFUNCTION("""COMPUTED_VALUE"""),"Departemen Arsitektur")</f>
        <v>Departemen Arsitektur</v>
      </c>
      <c r="L86" s="1" t="str">
        <f ca="1">IFERROR(__xludf.DUMMYFUNCTION("""COMPUTED_VALUE"""),"Devi Novita Sari")</f>
        <v>Devi Novita Sari</v>
      </c>
      <c r="M86" s="1" t="str">
        <f ca="1">IFERROR(__xludf.DUMMYFUNCTION("""COMPUTED_VALUE"""),"08111840000012")</f>
        <v>08111840000012</v>
      </c>
      <c r="N86" s="1" t="str">
        <f ca="1">IFERROR(__xludf.DUMMYFUNCTION("""COMPUTED_VALUE"""),"Departemen Arsitektur")</f>
        <v>Departemen Arsitektur</v>
      </c>
      <c r="O86" s="1" t="str">
        <f ca="1">IFERROR(__xludf.DUMMYFUNCTION("""COMPUTED_VALUE"""),"Tristansha Noor Andini")</f>
        <v>Tristansha Noor Andini</v>
      </c>
      <c r="P86" s="1" t="str">
        <f ca="1">IFERROR(__xludf.DUMMYFUNCTION("""COMPUTED_VALUE"""),"08111940000002")</f>
        <v>08111940000002</v>
      </c>
      <c r="Q86" s="1" t="str">
        <f ca="1">IFERROR(__xludf.DUMMYFUNCTION("""COMPUTED_VALUE"""),"Departemen Arsitektur")</f>
        <v>Departemen Arsitektur</v>
      </c>
      <c r="R86" s="1" t="str">
        <f ca="1">IFERROR(__xludf.DUMMYFUNCTION("""COMPUTED_VALUE"""),"ASTRI MULIA")</f>
        <v>ASTRI MULIA</v>
      </c>
      <c r="S86" s="1" t="str">
        <f ca="1">IFERROR(__xludf.DUMMYFUNCTION("""COMPUTED_VALUE"""),"5013201019")</f>
        <v>5013201019</v>
      </c>
      <c r="T86" s="1" t="str">
        <f ca="1">IFERROR(__xludf.DUMMYFUNCTION("""COMPUTED_VALUE"""),"Departemen Arsitektur")</f>
        <v>Departemen Arsitektur</v>
      </c>
      <c r="U86" s="1" t="str">
        <f ca="1">IFERROR(__xludf.DUMMYFUNCTION("""COMPUTED_VALUE"""),"Izzat Aulia Akbar, S.Kom., M.Eng., Ph.D.")</f>
        <v>Izzat Aulia Akbar, S.Kom., M.Eng., Ph.D.</v>
      </c>
      <c r="V86" s="1" t="str">
        <f ca="1">IFERROR(__xludf.DUMMYFUNCTION("""COMPUTED_VALUE"""),"Mahardika F. Rois, S.T, M.T")</f>
        <v>Mahardika F. Rois, S.T, M.T</v>
      </c>
      <c r="W86" s="1"/>
      <c r="X86" s="1" t="str">
        <f ca="1">IFERROR(__xludf.DUMMYFUNCTION("""COMPUTED_VALUE"""),"Lolos")</f>
        <v>Lolos</v>
      </c>
      <c r="Y86" s="1"/>
      <c r="Z86" s="1"/>
      <c r="AA86" s="1"/>
    </row>
    <row r="87" spans="1:27">
      <c r="A87" s="1" t="s">
        <v>85</v>
      </c>
      <c r="B87" s="1">
        <f ca="1">IFERROR(__xludf.DUMMYFUNCTION("""COMPUTED_VALUE"""),3056)</f>
        <v>3056</v>
      </c>
      <c r="C87" s="1" t="str">
        <f ca="1">IFERROR(__xludf.DUMMYFUNCTION("""COMPUTED_VALUE"""),"PKM Gagasan Tertulis")</f>
        <v>PKM Gagasan Tertulis</v>
      </c>
      <c r="D87" s="1" t="str">
        <f ca="1">IFERROR(__xludf.DUMMYFUNCTION("""COMPUTED_VALUE"""),"Program Jangka Panjang untuk Mewujudkan Arsitektur Metabolism Building menuju Zero Emission Carbon dengan Pemanfaatan Tanaman Alga sebagai Fasad Bangunan")</f>
        <v>Program Jangka Panjang untuk Mewujudkan Arsitektur Metabolism Building menuju Zero Emission Carbon dengan Pemanfaatan Tanaman Alga sebagai Fasad Bangunan</v>
      </c>
      <c r="E87" s="1" t="str">
        <f ca="1">IFERROR(__xludf.DUMMYFUNCTION("""COMPUTED_VALUE"""),"ALDIMAS KURNIAWAN PRATAMA")</f>
        <v>ALDIMAS KURNIAWAN PRATAMA</v>
      </c>
      <c r="F87" s="1" t="str">
        <f ca="1">IFERROR(__xludf.DUMMYFUNCTION("""COMPUTED_VALUE"""),"08111940000061")</f>
        <v>08111940000061</v>
      </c>
      <c r="G87" s="1" t="str">
        <f ca="1">IFERROR(__xludf.DUMMYFUNCTION("""COMPUTED_VALUE"""),"Departemen Arsitektur")</f>
        <v>Departemen Arsitektur</v>
      </c>
      <c r="H87" s="1" t="str">
        <f ca="1">IFERROR(__xludf.DUMMYFUNCTION("""COMPUTED_VALUE"""),"Endy Yudho Prasetyo, S.T., M.T.")</f>
        <v>Endy Yudho Prasetyo, S.T., M.T.</v>
      </c>
      <c r="I87" s="1" t="str">
        <f ca="1">IFERROR(__xludf.DUMMYFUNCTION("""COMPUTED_VALUE"""),"RIEZFILYANDHA TRIANA PUTRI")</f>
        <v>RIEZFILYANDHA TRIANA PUTRI</v>
      </c>
      <c r="J87" s="1" t="str">
        <f ca="1">IFERROR(__xludf.DUMMYFUNCTION("""COMPUTED_VALUE"""),"08111940000078")</f>
        <v>08111940000078</v>
      </c>
      <c r="K87" s="1" t="str">
        <f ca="1">IFERROR(__xludf.DUMMYFUNCTION("""COMPUTED_VALUE"""),"Departemen Arsitektur")</f>
        <v>Departemen Arsitektur</v>
      </c>
      <c r="L87" s="1" t="str">
        <f ca="1">IFERROR(__xludf.DUMMYFUNCTION("""COMPUTED_VALUE"""),"Ailsashofa Alfadhila")</f>
        <v>Ailsashofa Alfadhila</v>
      </c>
      <c r="M87" s="1" t="str">
        <f ca="1">IFERROR(__xludf.DUMMYFUNCTION("""COMPUTED_VALUE"""),"08411940000003")</f>
        <v>08411940000003</v>
      </c>
      <c r="N87" s="1" t="str">
        <f ca="1">IFERROR(__xludf.DUMMYFUNCTION("""COMPUTED_VALUE"""),"Departemen Desain Interior")</f>
        <v>Departemen Desain Interior</v>
      </c>
      <c r="O87" s="1" t="str">
        <f ca="1">IFERROR(__xludf.DUMMYFUNCTION("""COMPUTED_VALUE"""),"JEREMY LOVENDIANTO")</f>
        <v>JEREMY LOVENDIANTO</v>
      </c>
      <c r="P87" s="1" t="str">
        <f ca="1">IFERROR(__xludf.DUMMYFUNCTION("""COMPUTED_VALUE"""),"08111940000034")</f>
        <v>08111940000034</v>
      </c>
      <c r="Q87" s="1" t="str">
        <f ca="1">IFERROR(__xludf.DUMMYFUNCTION("""COMPUTED_VALUE"""),"Departemen Arsitektur")</f>
        <v>Departemen Arsitektur</v>
      </c>
      <c r="R87" s="1" t="str">
        <f ca="1">IFERROR(__xludf.DUMMYFUNCTION("""COMPUTED_VALUE"""),"KIKI WANDANINE")</f>
        <v>KIKI WANDANINE</v>
      </c>
      <c r="S87" s="1" t="str">
        <f ca="1">IFERROR(__xludf.DUMMYFUNCTION("""COMPUTED_VALUE"""),"5013201095")</f>
        <v>5013201095</v>
      </c>
      <c r="T87" s="1" t="str">
        <f ca="1">IFERROR(__xludf.DUMMYFUNCTION("""COMPUTED_VALUE"""),"Departemen Arsitektur")</f>
        <v>Departemen Arsitektur</v>
      </c>
      <c r="U87" s="1" t="str">
        <f ca="1">IFERROR(__xludf.DUMMYFUNCTION("""COMPUTED_VALUE"""),"Prof. Ir. Aguk Zuhdi Muhammad Fathallah, M.Eng., Ph.D.")</f>
        <v>Prof. Ir. Aguk Zuhdi Muhammad Fathallah, M.Eng., Ph.D.</v>
      </c>
      <c r="V87" s="1" t="str">
        <f ca="1">IFERROR(__xludf.DUMMYFUNCTION("""COMPUTED_VALUE"""),"Ahmad Fauzan Adziimaa, S.T., M.Sc.")</f>
        <v>Ahmad Fauzan Adziimaa, S.T., M.Sc.</v>
      </c>
      <c r="W87" s="1"/>
      <c r="X87" s="1" t="str">
        <f ca="1">IFERROR(__xludf.DUMMYFUNCTION("""COMPUTED_VALUE"""),"Lolos")</f>
        <v>Lolos</v>
      </c>
      <c r="Y87" s="1"/>
      <c r="Z87" s="1"/>
      <c r="AA87" s="1"/>
    </row>
    <row r="88" spans="1:27">
      <c r="A88" s="1" t="s">
        <v>86</v>
      </c>
      <c r="B88" s="1">
        <f ca="1">IFERROR(__xludf.DUMMYFUNCTION("""COMPUTED_VALUE"""),2319)</f>
        <v>2319</v>
      </c>
      <c r="C88" s="1" t="str">
        <f ca="1">IFERROR(__xludf.DUMMYFUNCTION("""COMPUTED_VALUE"""),"PKM Gagasan Tertulis")</f>
        <v>PKM Gagasan Tertulis</v>
      </c>
      <c r="D88" s="1" t="str">
        <f ca="1">IFERROR(__xludf.DUMMYFUNCTION("""COMPUTED_VALUE"""),"Penanganan Kekeringan di Buleleng Bali Melalui Pemanfaatan Geo Ocean Energy Conversion Berbasis Water Desalination Sebagai Inovasi Pembangunan Berkelanjutan Tahun 2030")</f>
        <v>Penanganan Kekeringan di Buleleng Bali Melalui Pemanfaatan Geo Ocean Energy Conversion Berbasis Water Desalination Sebagai Inovasi Pembangunan Berkelanjutan Tahun 2030</v>
      </c>
      <c r="E88" s="1" t="str">
        <f ca="1">IFERROR(__xludf.DUMMYFUNCTION("""COMPUTED_VALUE"""),"Khusnul Nur Rochmah")</f>
        <v>Khusnul Nur Rochmah</v>
      </c>
      <c r="F88" s="1" t="str">
        <f ca="1">IFERROR(__xludf.DUMMYFUNCTION("""COMPUTED_VALUE"""),"03411940000008")</f>
        <v>03411940000008</v>
      </c>
      <c r="G88" s="1" t="str">
        <f ca="1">IFERROR(__xludf.DUMMYFUNCTION("""COMPUTED_VALUE"""),"Departemen Teknik Geofisika")</f>
        <v>Departemen Teknik Geofisika</v>
      </c>
      <c r="H88" s="1" t="str">
        <f ca="1">IFERROR(__xludf.DUMMYFUNCTION("""COMPUTED_VALUE"""),"Wien Lestari, S.T., M.T.")</f>
        <v>Wien Lestari, S.T., M.T.</v>
      </c>
      <c r="I88" s="1" t="str">
        <f ca="1">IFERROR(__xludf.DUMMYFUNCTION("""COMPUTED_VALUE"""),"FERDIAN YOGA ADITAMA")</f>
        <v>FERDIAN YOGA ADITAMA</v>
      </c>
      <c r="J88" s="1" t="str">
        <f ca="1">IFERROR(__xludf.DUMMYFUNCTION("""COMPUTED_VALUE"""),"03411940000034")</f>
        <v>03411940000034</v>
      </c>
      <c r="K88" s="1" t="str">
        <f ca="1">IFERROR(__xludf.DUMMYFUNCTION("""COMPUTED_VALUE"""),"Departemen Teknik Geofisika")</f>
        <v>Departemen Teknik Geofisika</v>
      </c>
      <c r="L88" s="1" t="str">
        <f ca="1">IFERROR(__xludf.DUMMYFUNCTION("""COMPUTED_VALUE"""),"ZAHROTUTS TSANIYAH")</f>
        <v>ZAHROTUTS TSANIYAH</v>
      </c>
      <c r="M88" s="1" t="str">
        <f ca="1">IFERROR(__xludf.DUMMYFUNCTION("""COMPUTED_VALUE"""),"03411940000033")</f>
        <v>03411940000033</v>
      </c>
      <c r="N88" s="1" t="str">
        <f ca="1">IFERROR(__xludf.DUMMYFUNCTION("""COMPUTED_VALUE"""),"Departemen Teknik Geofisika")</f>
        <v>Departemen Teknik Geofisika</v>
      </c>
      <c r="O88" s="1"/>
      <c r="P88" s="1"/>
      <c r="Q88" s="1"/>
      <c r="R88" s="1"/>
      <c r="S88" s="1"/>
      <c r="T88" s="1"/>
      <c r="U88" s="1" t="str">
        <f ca="1">IFERROR(__xludf.DUMMYFUNCTION("""COMPUTED_VALUE"""),"Dr.-Ing. Doty Dewi Risanti, S.T., M.T.")</f>
        <v>Dr.-Ing. Doty Dewi Risanti, S.T., M.T.</v>
      </c>
      <c r="V88" s="1" t="str">
        <f ca="1">IFERROR(__xludf.DUMMYFUNCTION("""COMPUTED_VALUE"""),"Dyah Sawitri, S.T., M.T.")</f>
        <v>Dyah Sawitri, S.T., M.T.</v>
      </c>
      <c r="W88" s="1"/>
      <c r="X88" s="1" t="str">
        <f ca="1">IFERROR(__xludf.DUMMYFUNCTION("""COMPUTED_VALUE"""),"Lolos")</f>
        <v>Lolos</v>
      </c>
      <c r="Y88" s="1"/>
      <c r="Z88" s="1"/>
      <c r="AA88" s="1"/>
    </row>
    <row r="89" spans="1:27">
      <c r="A89" s="1" t="s">
        <v>87</v>
      </c>
      <c r="B89" s="1">
        <f ca="1">IFERROR(__xludf.DUMMYFUNCTION("""COMPUTED_VALUE"""),3522)</f>
        <v>3522</v>
      </c>
      <c r="C89" s="1" t="str">
        <f ca="1">IFERROR(__xludf.DUMMYFUNCTION("""COMPUTED_VALUE"""),"PKM Gagasan Tertulis")</f>
        <v>PKM Gagasan Tertulis</v>
      </c>
      <c r="D89" s="1" t="str">
        <f ca="1">IFERROR(__xludf.DUMMYFUNCTION("""COMPUTED_VALUE"""),"Inovasi Alat Peringatan Dini Tsunami Senyap Deep-ocean Assessement and Reporting Tsunami Menggunakan Realtime Sub Bottom Profiler dengan Melibatkan Local System")</f>
        <v>Inovasi Alat Peringatan Dini Tsunami Senyap Deep-ocean Assessement and Reporting Tsunami Menggunakan Realtime Sub Bottom Profiler dengan Melibatkan Local System</v>
      </c>
      <c r="E89" s="1" t="str">
        <f ca="1">IFERROR(__xludf.DUMMYFUNCTION("""COMPUTED_VALUE"""),"FAIZ MAULANA ACHSAN")</f>
        <v>FAIZ MAULANA ACHSAN</v>
      </c>
      <c r="F89" s="1" t="str">
        <f ca="1">IFERROR(__xludf.DUMMYFUNCTION("""COMPUTED_VALUE"""),"5017211014")</f>
        <v>5017211014</v>
      </c>
      <c r="G89" s="1" t="str">
        <f ca="1">IFERROR(__xludf.DUMMYFUNCTION("""COMPUTED_VALUE"""),"Departemen Teknik Geofisika")</f>
        <v>Departemen Teknik Geofisika</v>
      </c>
      <c r="H89" s="1" t="str">
        <f ca="1">IFERROR(__xludf.DUMMYFUNCTION("""COMPUTED_VALUE"""),"Juan Pandu Gya Nur Rochman, S.Si., M.T.")</f>
        <v>Juan Pandu Gya Nur Rochman, S.Si., M.T.</v>
      </c>
      <c r="I89" s="1" t="str">
        <f ca="1">IFERROR(__xludf.DUMMYFUNCTION("""COMPUTED_VALUE"""),"Muhammad Zidan Naufa")</f>
        <v>Muhammad Zidan Naufa</v>
      </c>
      <c r="J89" s="1" t="str">
        <f ca="1">IFERROR(__xludf.DUMMYFUNCTION("""COMPUTED_VALUE"""),"5017211070")</f>
        <v>5017211070</v>
      </c>
      <c r="K89" s="1" t="str">
        <f ca="1">IFERROR(__xludf.DUMMYFUNCTION("""COMPUTED_VALUE"""),"Departemen Teknik Geofisika")</f>
        <v>Departemen Teknik Geofisika</v>
      </c>
      <c r="L89" s="1" t="str">
        <f ca="1">IFERROR(__xludf.DUMMYFUNCTION("""COMPUTED_VALUE"""),"MOHAMAD ARFIAN FAHRUL ROZI F")</f>
        <v>MOHAMAD ARFIAN FAHRUL ROZI F</v>
      </c>
      <c r="M89" s="1" t="str">
        <f ca="1">IFERROR(__xludf.DUMMYFUNCTION("""COMPUTED_VALUE"""),"2036201077")</f>
        <v>2036201077</v>
      </c>
      <c r="N89" s="1" t="str">
        <f ca="1">IFERROR(__xludf.DUMMYFUNCTION("""COMPUTED_VALUE"""),"Departemen Teknik Infrastruktur Sipil")</f>
        <v>Departemen Teknik Infrastruktur Sipil</v>
      </c>
      <c r="O89" s="1"/>
      <c r="P89" s="1"/>
      <c r="Q89" s="1"/>
      <c r="R89" s="1"/>
      <c r="S89" s="1"/>
      <c r="T89" s="1"/>
      <c r="U89" s="1" t="str">
        <f ca="1">IFERROR(__xludf.DUMMYFUNCTION("""COMPUTED_VALUE"""),"Prof. Ir. Aguk Zuhdi Muhammad Fathallah, M.Eng., Ph.D.")</f>
        <v>Prof. Ir. Aguk Zuhdi Muhammad Fathallah, M.Eng., Ph.D.</v>
      </c>
      <c r="V89" s="1" t="str">
        <f ca="1">IFERROR(__xludf.DUMMYFUNCTION("""COMPUTED_VALUE"""),"Muhammad Syifaul Mufid, S.Si.,M.Si")</f>
        <v>Muhammad Syifaul Mufid, S.Si.,M.Si</v>
      </c>
      <c r="W89" s="1"/>
      <c r="X89" s="1" t="str">
        <f ca="1">IFERROR(__xludf.DUMMYFUNCTION("""COMPUTED_VALUE"""),"Lolos")</f>
        <v>Lolos</v>
      </c>
      <c r="Y89" s="1"/>
      <c r="Z89" s="1"/>
      <c r="AA89" s="1"/>
    </row>
    <row r="90" spans="1:27">
      <c r="A90" s="1" t="s">
        <v>88</v>
      </c>
      <c r="B90" s="1">
        <f ca="1">IFERROR(__xludf.DUMMYFUNCTION("""COMPUTED_VALUE"""),4118)</f>
        <v>4118</v>
      </c>
      <c r="C90" s="1" t="str">
        <f ca="1">IFERROR(__xludf.DUMMYFUNCTION("""COMPUTED_VALUE"""),"PKM Gagasan Tertulis")</f>
        <v>PKM Gagasan Tertulis</v>
      </c>
      <c r="D90" s="1" t="str">
        <f ca="1">IFERROR(__xludf.DUMMYFUNCTION("""COMPUTED_VALUE"""),"Barge Mounted Power Plant Penghasil Energi sebagai Pemenuh Kebutuhan Rumah Tangga dan Solusi Permasalahan Sampah Laut di Kepulauan Maluku")</f>
        <v>Barge Mounted Power Plant Penghasil Energi sebagai Pemenuh Kebutuhan Rumah Tangga dan Solusi Permasalahan Sampah Laut di Kepulauan Maluku</v>
      </c>
      <c r="E90" s="1" t="str">
        <f ca="1">IFERROR(__xludf.DUMMYFUNCTION("""COMPUTED_VALUE"""),"Bamara Untsa Cita Suci")</f>
        <v>Bamara Untsa Cita Suci</v>
      </c>
      <c r="F90" s="1" t="str">
        <f ca="1">IFERROR(__xludf.DUMMYFUNCTION("""COMPUTED_VALUE"""),"03211940000016")</f>
        <v>03211940000016</v>
      </c>
      <c r="G90" s="1" t="str">
        <f ca="1">IFERROR(__xludf.DUMMYFUNCTION("""COMPUTED_VALUE"""),"Departemen Teknik Lingkungan")</f>
        <v>Departemen Teknik Lingkungan</v>
      </c>
      <c r="H90" s="1" t="str">
        <f ca="1">IFERROR(__xludf.DUMMYFUNCTION("""COMPUTED_VALUE"""),"Arseto Yekti Bagastyo, S.T., M.Phil, PhD")</f>
        <v>Arseto Yekti Bagastyo, S.T., M.Phil, PhD</v>
      </c>
      <c r="I90" s="1" t="str">
        <f ca="1">IFERROR(__xludf.DUMMYFUNCTION("""COMPUTED_VALUE"""),"NURI TRIAINNI PRISTALOKA")</f>
        <v>NURI TRIAINNI PRISTALOKA</v>
      </c>
      <c r="J90" s="1" t="str">
        <f ca="1">IFERROR(__xludf.DUMMYFUNCTION("""COMPUTED_VALUE"""),"03211940000090")</f>
        <v>03211940000090</v>
      </c>
      <c r="K90" s="1" t="str">
        <f ca="1">IFERROR(__xludf.DUMMYFUNCTION("""COMPUTED_VALUE"""),"Departemen Teknik Lingkungan")</f>
        <v>Departemen Teknik Lingkungan</v>
      </c>
      <c r="L90" s="1" t="str">
        <f ca="1">IFERROR(__xludf.DUMMYFUNCTION("""COMPUTED_VALUE"""),"Adinda Putri R")</f>
        <v>Adinda Putri R</v>
      </c>
      <c r="M90" s="1" t="str">
        <f ca="1">IFERROR(__xludf.DUMMYFUNCTION("""COMPUTED_VALUE"""),"5014211108")</f>
        <v>5014211108</v>
      </c>
      <c r="N90" s="1" t="str">
        <f ca="1">IFERROR(__xludf.DUMMYFUNCTION("""COMPUTED_VALUE"""),"Departemen Teknik Lingkungan")</f>
        <v>Departemen Teknik Lingkungan</v>
      </c>
      <c r="O90" s="1" t="str">
        <f ca="1">IFERROR(__xludf.DUMMYFUNCTION("""COMPUTED_VALUE"""),"Fika Nur Aini")</f>
        <v>Fika Nur Aini</v>
      </c>
      <c r="P90" s="1" t="str">
        <f ca="1">IFERROR(__xludf.DUMMYFUNCTION("""COMPUTED_VALUE"""),"05111940000067")</f>
        <v>05111940000067</v>
      </c>
      <c r="Q90" s="1" t="str">
        <f ca="1">IFERROR(__xludf.DUMMYFUNCTION("""COMPUTED_VALUE"""),"Departemen Teknik Informatika")</f>
        <v>Departemen Teknik Informatika</v>
      </c>
      <c r="R90" s="1" t="str">
        <f ca="1">IFERROR(__xludf.DUMMYFUNCTION("""COMPUTED_VALUE"""),"I GEDE ANDHIRA SWASTIKA A")</f>
        <v>I GEDE ANDHIRA SWASTIKA A</v>
      </c>
      <c r="S90" s="1" t="str">
        <f ca="1">IFERROR(__xludf.DUMMYFUNCTION("""COMPUTED_VALUE"""),"04111941000004")</f>
        <v>04111941000004</v>
      </c>
      <c r="T90" s="1" t="str">
        <f ca="1">IFERROR(__xludf.DUMMYFUNCTION("""COMPUTED_VALUE"""),"Departemen Teknik Perkapalan")</f>
        <v>Departemen Teknik Perkapalan</v>
      </c>
      <c r="U90" s="1" t="str">
        <f ca="1">IFERROR(__xludf.DUMMYFUNCTION("""COMPUTED_VALUE"""),"Putu Gde Ariastita, S.T., M.T.")</f>
        <v>Putu Gde Ariastita, S.T., M.T.</v>
      </c>
      <c r="V90" s="1" t="str">
        <f ca="1">IFERROR(__xludf.DUMMYFUNCTION("""COMPUTED_VALUE"""),"Dr.-Ing. Doty Dewi Risanti, S.T., M.T.")</f>
        <v>Dr.-Ing. Doty Dewi Risanti, S.T., M.T.</v>
      </c>
      <c r="W90" s="1"/>
      <c r="X90" s="1" t="str">
        <f ca="1">IFERROR(__xludf.DUMMYFUNCTION("""COMPUTED_VALUE"""),"Lolos")</f>
        <v>Lolos</v>
      </c>
      <c r="Y90" s="1"/>
      <c r="Z90" s="1"/>
      <c r="AA90" s="1"/>
    </row>
    <row r="91" spans="1:27">
      <c r="A91" s="1" t="s">
        <v>89</v>
      </c>
      <c r="B91" s="1">
        <f ca="1">IFERROR(__xludf.DUMMYFUNCTION("""COMPUTED_VALUE"""),2412)</f>
        <v>2412</v>
      </c>
      <c r="C91" s="1" t="str">
        <f ca="1">IFERROR(__xludf.DUMMYFUNCTION("""COMPUTED_VALUE"""),"PKM Gagasan Tertulis")</f>
        <v>PKM Gagasan Tertulis</v>
      </c>
      <c r="D91" s="1" t="str">
        <f ca="1">IFERROR(__xludf.DUMMYFUNCTION("""COMPUTED_VALUE"""),"Wireless Solar Energy Electric Tower (WIRE): Menara Listrik Nirkabel Berbasis Panel Surya Guna Mengatasi Kelangkaan Energi di Nusa Tenggara Timur")</f>
        <v>Wireless Solar Energy Electric Tower (WIRE): Menara Listrik Nirkabel Berbasis Panel Surya Guna Mengatasi Kelangkaan Energi di Nusa Tenggara Timur</v>
      </c>
      <c r="E91" s="1" t="str">
        <f ca="1">IFERROR(__xludf.DUMMYFUNCTION("""COMPUTED_VALUE"""),"MUHAMMAD ARTHUR F")</f>
        <v>MUHAMMAD ARTHUR F</v>
      </c>
      <c r="F91" s="1" t="str">
        <f ca="1">IFERROR(__xludf.DUMMYFUNCTION("""COMPUTED_VALUE"""),"5010211016")</f>
        <v>5010211016</v>
      </c>
      <c r="G91" s="1" t="str">
        <f ca="1">IFERROR(__xludf.DUMMYFUNCTION("""COMPUTED_VALUE"""),"Departemen Teknik Sistem dan Industri")</f>
        <v>Departemen Teknik Sistem dan Industri</v>
      </c>
      <c r="H91" s="1" t="str">
        <f ca="1">IFERROR(__xludf.DUMMYFUNCTION("""COMPUTED_VALUE"""),"Rindi Kusumawardani, S.Si., M.Sc.")</f>
        <v>Rindi Kusumawardani, S.Si., M.Sc.</v>
      </c>
      <c r="I91" s="1" t="str">
        <f ca="1">IFERROR(__xludf.DUMMYFUNCTION("""COMPUTED_VALUE"""),"SITI FATHIMAH A")</f>
        <v>SITI FATHIMAH A</v>
      </c>
      <c r="J91" s="1" t="str">
        <f ca="1">IFERROR(__xludf.DUMMYFUNCTION("""COMPUTED_VALUE"""),"5010211033")</f>
        <v>5010211033</v>
      </c>
      <c r="K91" s="1" t="str">
        <f ca="1">IFERROR(__xludf.DUMMYFUNCTION("""COMPUTED_VALUE"""),"Departemen Teknik Sistem dan Industri")</f>
        <v>Departemen Teknik Sistem dan Industri</v>
      </c>
      <c r="L91" s="1" t="str">
        <f ca="1">IFERROR(__xludf.DUMMYFUNCTION("""COMPUTED_VALUE"""),"AGNI FAIZATUL UZMA")</f>
        <v>AGNI FAIZATUL UZMA</v>
      </c>
      <c r="M91" s="1" t="str">
        <f ca="1">IFERROR(__xludf.DUMMYFUNCTION("""COMPUTED_VALUE"""),"5010211004")</f>
        <v>5010211004</v>
      </c>
      <c r="N91" s="1" t="str">
        <f ca="1">IFERROR(__xludf.DUMMYFUNCTION("""COMPUTED_VALUE"""),"Departemen Teknik Sistem dan Industri")</f>
        <v>Departemen Teknik Sistem dan Industri</v>
      </c>
      <c r="O91" s="1" t="str">
        <f ca="1">IFERROR(__xludf.DUMMYFUNCTION("""COMPUTED_VALUE"""),"JASMINE NOOR I.P.")</f>
        <v>JASMINE NOOR I.P.</v>
      </c>
      <c r="P91" s="1" t="str">
        <f ca="1">IFERROR(__xludf.DUMMYFUNCTION("""COMPUTED_VALUE"""),"5010211075")</f>
        <v>5010211075</v>
      </c>
      <c r="Q91" s="1" t="str">
        <f ca="1">IFERROR(__xludf.DUMMYFUNCTION("""COMPUTED_VALUE"""),"Departemen Teknik Sistem dan Industri")</f>
        <v>Departemen Teknik Sistem dan Industri</v>
      </c>
      <c r="R91" s="1" t="str">
        <f ca="1">IFERROR(__xludf.DUMMYFUNCTION("""COMPUTED_VALUE"""),"MOCHAMMAD ASHAR KHANAFI ")</f>
        <v xml:space="preserve">MOCHAMMAD ASHAR KHANAFI </v>
      </c>
      <c r="S91" s="1" t="str">
        <f ca="1">IFERROR(__xludf.DUMMYFUNCTION("""COMPUTED_VALUE"""),"2036201046")</f>
        <v>2036201046</v>
      </c>
      <c r="T91" s="1" t="str">
        <f ca="1">IFERROR(__xludf.DUMMYFUNCTION("""COMPUTED_VALUE"""),"Departemen Teknik Infrastruktur Sipil")</f>
        <v>Departemen Teknik Infrastruktur Sipil</v>
      </c>
      <c r="U91" s="1" t="str">
        <f ca="1">IFERROR(__xludf.DUMMYFUNCTION("""COMPUTED_VALUE"""),"Dyah Sawitri, S.T., M.T.")</f>
        <v>Dyah Sawitri, S.T., M.T.</v>
      </c>
      <c r="V91" s="1" t="str">
        <f ca="1">IFERROR(__xludf.DUMMYFUNCTION("""COMPUTED_VALUE"""),"Wimala Lalitya Dhanistha, S.T., M.T.")</f>
        <v>Wimala Lalitya Dhanistha, S.T., M.T.</v>
      </c>
      <c r="W91" s="1"/>
      <c r="X91" s="1" t="str">
        <f ca="1">IFERROR(__xludf.DUMMYFUNCTION("""COMPUTED_VALUE"""),"Lolos")</f>
        <v>Lolos</v>
      </c>
      <c r="Y91" s="1"/>
      <c r="Z91" s="1"/>
      <c r="AA91" s="1"/>
    </row>
    <row r="92" spans="1:27">
      <c r="A92" s="1" t="s">
        <v>90</v>
      </c>
      <c r="B92" s="1">
        <f ca="1">IFERROR(__xludf.DUMMYFUNCTION("""COMPUTED_VALUE"""),2845)</f>
        <v>2845</v>
      </c>
      <c r="C92" s="1" t="str">
        <f ca="1">IFERROR(__xludf.DUMMYFUNCTION("""COMPUTED_VALUE"""),"PKM Gagasan Tertulis")</f>
        <v>PKM Gagasan Tertulis</v>
      </c>
      <c r="D92" s="1" t="str">
        <f ca="1">IFERROR(__xludf.DUMMYFUNCTION("""COMPUTED_VALUE"""),"Metaverse Dalam Manajemen Hama Serangga Terpadu Pada Pertanian Padi Untuk Meningkatkan Efektivitas Pengendalian Hama Menuju Indonesia Tangguh Pangan")</f>
        <v>Metaverse Dalam Manajemen Hama Serangga Terpadu Pada Pertanian Padi Untuk Meningkatkan Efektivitas Pengendalian Hama Menuju Indonesia Tangguh Pangan</v>
      </c>
      <c r="E92" s="1" t="str">
        <f ca="1">IFERROR(__xludf.DUMMYFUNCTION("""COMPUTED_VALUE"""),"MOHAMMAD RISQY FIRMANSYAH")</f>
        <v>MOHAMMAD RISQY FIRMANSYAH</v>
      </c>
      <c r="F92" s="1" t="str">
        <f ca="1">IFERROR(__xludf.DUMMYFUNCTION("""COMPUTED_VALUE"""),"5009201034")</f>
        <v>5009201034</v>
      </c>
      <c r="G92" s="1" t="str">
        <f ca="1">IFERROR(__xludf.DUMMYFUNCTION("""COMPUTED_VALUE"""),"Departemen Teknik Fisika")</f>
        <v>Departemen Teknik Fisika</v>
      </c>
      <c r="H92" s="1" t="str">
        <f ca="1">IFERROR(__xludf.DUMMYFUNCTION("""COMPUTED_VALUE"""),"Dr. Bambang Lelono Widjiantoro, S.T., M.T.")</f>
        <v>Dr. Bambang Lelono Widjiantoro, S.T., M.T.</v>
      </c>
      <c r="I92" s="1" t="str">
        <f ca="1">IFERROR(__xludf.DUMMYFUNCTION("""COMPUTED_VALUE"""),"AGUN WIDYA PRATIWI")</f>
        <v>AGUN WIDYA PRATIWI</v>
      </c>
      <c r="J92" s="1" t="str">
        <f ca="1">IFERROR(__xludf.DUMMYFUNCTION("""COMPUTED_VALUE"""),"5009201031")</f>
        <v>5009201031</v>
      </c>
      <c r="K92" s="1" t="str">
        <f ca="1">IFERROR(__xludf.DUMMYFUNCTION("""COMPUTED_VALUE"""),"Departemen Teknik Fisika")</f>
        <v>Departemen Teknik Fisika</v>
      </c>
      <c r="L92" s="1" t="str">
        <f ca="1">IFERROR(__xludf.DUMMYFUNCTION("""COMPUTED_VALUE"""),"VIRA MEILINA SULISTYOWATI")</f>
        <v>VIRA MEILINA SULISTYOWATI</v>
      </c>
      <c r="M92" s="1" t="str">
        <f ca="1">IFERROR(__xludf.DUMMYFUNCTION("""COMPUTED_VALUE"""),"5009201120")</f>
        <v>5009201120</v>
      </c>
      <c r="N92" s="1" t="str">
        <f ca="1">IFERROR(__xludf.DUMMYFUNCTION("""COMPUTED_VALUE"""),"Departemen Teknik Fisika")</f>
        <v>Departemen Teknik Fisika</v>
      </c>
      <c r="O92" s="1" t="str">
        <f ca="1">IFERROR(__xludf.DUMMYFUNCTION("""COMPUTED_VALUE"""),"FEBRI PUTRI WIJAYADI")</f>
        <v>FEBRI PUTRI WIJAYADI</v>
      </c>
      <c r="P92" s="1" t="str">
        <f ca="1">IFERROR(__xludf.DUMMYFUNCTION("""COMPUTED_VALUE"""),"5009201023")</f>
        <v>5009201023</v>
      </c>
      <c r="Q92" s="1" t="str">
        <f ca="1">IFERROR(__xludf.DUMMYFUNCTION("""COMPUTED_VALUE"""),"Departemen Teknik Fisika")</f>
        <v>Departemen Teknik Fisika</v>
      </c>
      <c r="R92" s="1" t="str">
        <f ca="1">IFERROR(__xludf.DUMMYFUNCTION("""COMPUTED_VALUE"""),"GHINASTI KHANSA H")</f>
        <v>GHINASTI KHANSA H</v>
      </c>
      <c r="S92" s="1" t="str">
        <f ca="1">IFERROR(__xludf.DUMMYFUNCTION("""COMPUTED_VALUE"""),"5009211014")</f>
        <v>5009211014</v>
      </c>
      <c r="T92" s="1" t="str">
        <f ca="1">IFERROR(__xludf.DUMMYFUNCTION("""COMPUTED_VALUE"""),"Departemen Teknik Fisika")</f>
        <v>Departemen Teknik Fisika</v>
      </c>
      <c r="U92" s="1" t="str">
        <f ca="1">IFERROR(__xludf.DUMMYFUNCTION("""COMPUTED_VALUE"""),"Putu Gde Ariastita, S.T., M.T.")</f>
        <v>Putu Gde Ariastita, S.T., M.T.</v>
      </c>
      <c r="V92" s="1" t="str">
        <f ca="1">IFERROR(__xludf.DUMMYFUNCTION("""COMPUTED_VALUE"""),"Nova Maulidina Ashuri, S.Si., M.Si.")</f>
        <v>Nova Maulidina Ashuri, S.Si., M.Si.</v>
      </c>
      <c r="W92" s="1"/>
      <c r="X92" s="1" t="str">
        <f ca="1">IFERROR(__xludf.DUMMYFUNCTION("""COMPUTED_VALUE"""),"Lolos")</f>
        <v>Lolos</v>
      </c>
      <c r="Y92" s="1"/>
      <c r="Z92" s="1"/>
      <c r="AA92" s="1"/>
    </row>
    <row r="93" spans="1:27">
      <c r="A93" s="1" t="s">
        <v>91</v>
      </c>
      <c r="B93" s="1">
        <f ca="1">IFERROR(__xludf.DUMMYFUNCTION("""COMPUTED_VALUE"""),3286)</f>
        <v>3286</v>
      </c>
      <c r="C93" s="1" t="str">
        <f ca="1">IFERROR(__xludf.DUMMYFUNCTION("""COMPUTED_VALUE"""),"PKM Gagasan Tertulis")</f>
        <v>PKM Gagasan Tertulis</v>
      </c>
      <c r="D93" s="1" t="str">
        <f ca="1">IFERROR(__xludf.DUMMYFUNCTION("""COMPUTED_VALUE"""),"Integrated and Optimal Sanitation System: Upaya Pemenuhan Ketersediaan Air Bersih Siap Minum Ibu Kota Negara di Kabupaten Penajam Paser Utara")</f>
        <v>Integrated and Optimal Sanitation System: Upaya Pemenuhan Ketersediaan Air Bersih Siap Minum Ibu Kota Negara di Kabupaten Penajam Paser Utara</v>
      </c>
      <c r="E93" s="1" t="str">
        <f ca="1">IFERROR(__xludf.DUMMYFUNCTION("""COMPUTED_VALUE"""),"Adinda Rana Fadhilah")</f>
        <v>Adinda Rana Fadhilah</v>
      </c>
      <c r="F93" s="1" t="str">
        <f ca="1">IFERROR(__xludf.DUMMYFUNCTION("""COMPUTED_VALUE"""),"5017211020")</f>
        <v>5017211020</v>
      </c>
      <c r="G93" s="1" t="str">
        <f ca="1">IFERROR(__xludf.DUMMYFUNCTION("""COMPUTED_VALUE"""),"Departemen Teknik Geofisika")</f>
        <v>Departemen Teknik Geofisika</v>
      </c>
      <c r="H93" s="1" t="str">
        <f ca="1">IFERROR(__xludf.DUMMYFUNCTION("""COMPUTED_VALUE"""),"Ir Eddy Setiadi Soedjono, Dipl.SE., M.Sc., Ph.D.")</f>
        <v>Ir Eddy Setiadi Soedjono, Dipl.SE., M.Sc., Ph.D.</v>
      </c>
      <c r="I93" s="1" t="str">
        <f ca="1">IFERROR(__xludf.DUMMYFUNCTION("""COMPUTED_VALUE"""),"NASYWA RAINA K")</f>
        <v>NASYWA RAINA K</v>
      </c>
      <c r="J93" s="1" t="str">
        <f ca="1">IFERROR(__xludf.DUMMYFUNCTION("""COMPUTED_VALUE"""),"5013211018")</f>
        <v>5013211018</v>
      </c>
      <c r="K93" s="1" t="str">
        <f ca="1">IFERROR(__xludf.DUMMYFUNCTION("""COMPUTED_VALUE"""),"Departemen Arsitektur")</f>
        <v>Departemen Arsitektur</v>
      </c>
      <c r="L93" s="1" t="str">
        <f ca="1">IFERROR(__xludf.DUMMYFUNCTION("""COMPUTED_VALUE"""),"FIDELA JOVITA KANEDI")</f>
        <v>FIDELA JOVITA KANEDI</v>
      </c>
      <c r="M93" s="1" t="str">
        <f ca="1">IFERROR(__xludf.DUMMYFUNCTION("""COMPUTED_VALUE"""),"5026211112")</f>
        <v>5026211112</v>
      </c>
      <c r="N93" s="1" t="str">
        <f ca="1">IFERROR(__xludf.DUMMYFUNCTION("""COMPUTED_VALUE"""),"Departemen Sistem Informasi")</f>
        <v>Departemen Sistem Informasi</v>
      </c>
      <c r="O93" s="1" t="str">
        <f ca="1">IFERROR(__xludf.DUMMYFUNCTION("""COMPUTED_VALUE"""),"DEVITA SELLA NUR.S.")</f>
        <v>DEVITA SELLA NUR.S.</v>
      </c>
      <c r="P93" s="1" t="str">
        <f ca="1">IFERROR(__xludf.DUMMYFUNCTION("""COMPUTED_VALUE"""),"5007211024")</f>
        <v>5007211024</v>
      </c>
      <c r="Q93" s="1" t="str">
        <f ca="1">IFERROR(__xludf.DUMMYFUNCTION("""COMPUTED_VALUE"""),"Departemen Teknik Mesin")</f>
        <v>Departemen Teknik Mesin</v>
      </c>
      <c r="R93" s="1" t="str">
        <f ca="1">IFERROR(__xludf.DUMMYFUNCTION("""COMPUTED_VALUE"""),"Devi Sekar Wangi")</f>
        <v>Devi Sekar Wangi</v>
      </c>
      <c r="S93" s="1" t="str">
        <f ca="1">IFERROR(__xludf.DUMMYFUNCTION("""COMPUTED_VALUE"""),"5007211037")</f>
        <v>5007211037</v>
      </c>
      <c r="T93" s="1" t="str">
        <f ca="1">IFERROR(__xludf.DUMMYFUNCTION("""COMPUTED_VALUE"""),"Departemen Teknik Mesin")</f>
        <v>Departemen Teknik Mesin</v>
      </c>
      <c r="U93" s="1" t="str">
        <f ca="1">IFERROR(__xludf.DUMMYFUNCTION("""COMPUTED_VALUE"""),"Prof. Ir. Aguk Zuhdi Muhammad Fathallah, M.Eng., Ph.D.")</f>
        <v>Prof. Ir. Aguk Zuhdi Muhammad Fathallah, M.Eng., Ph.D.</v>
      </c>
      <c r="V93" s="1" t="str">
        <f ca="1">IFERROR(__xludf.DUMMYFUNCTION("""COMPUTED_VALUE"""),"Putu Gde Ariastita, S.T., M.T.")</f>
        <v>Putu Gde Ariastita, S.T., M.T.</v>
      </c>
      <c r="W93" s="1"/>
      <c r="X93" s="1" t="str">
        <f ca="1">IFERROR(__xludf.DUMMYFUNCTION("""COMPUTED_VALUE"""),"Lolos")</f>
        <v>Lolos</v>
      </c>
      <c r="Y93" s="1"/>
      <c r="Z93" s="1"/>
      <c r="AA93" s="1"/>
    </row>
    <row r="94" spans="1:27">
      <c r="A94" s="1" t="s">
        <v>92</v>
      </c>
      <c r="B94" s="1">
        <f ca="1">IFERROR(__xludf.DUMMYFUNCTION("""COMPUTED_VALUE"""),3790)</f>
        <v>3790</v>
      </c>
      <c r="C94" s="1" t="str">
        <f ca="1">IFERROR(__xludf.DUMMYFUNCTION("""COMPUTED_VALUE"""),"PKM Gagasan Tertulis")</f>
        <v>PKM Gagasan Tertulis</v>
      </c>
      <c r="D94" s="1" t="str">
        <f ca="1">IFERROR(__xludf.DUMMYFUNCTION("""COMPUTED_VALUE"""),"SMART FLOATING WASTE MANAGEMENT SEBAGAI LANGKAH MENANGGULANGI SAMPAH KIRIMAN DI PANTAI KUTA DAN SEKITARNYA")</f>
        <v>SMART FLOATING WASTE MANAGEMENT SEBAGAI LANGKAH MENANGGULANGI SAMPAH KIRIMAN DI PANTAI KUTA DAN SEKITARNYA</v>
      </c>
      <c r="E94" s="1" t="str">
        <f ca="1">IFERROR(__xludf.DUMMYFUNCTION("""COMPUTED_VALUE"""),"I MD VIBRA DANANJAYA")</f>
        <v>I MD VIBRA DANANJAYA</v>
      </c>
      <c r="F94" s="1" t="str">
        <f ca="1">IFERROR(__xludf.DUMMYFUNCTION("""COMPUTED_VALUE"""),"5019211012")</f>
        <v>5019211012</v>
      </c>
      <c r="G94" s="1" t="str">
        <f ca="1">IFERROR(__xludf.DUMMYFUNCTION("""COMPUTED_VALUE"""),"Departemen Teknik Sistem Perkapalan")</f>
        <v>Departemen Teknik Sistem Perkapalan</v>
      </c>
      <c r="H94" s="1" t="str">
        <f ca="1">IFERROR(__xludf.DUMMYFUNCTION("""COMPUTED_VALUE"""),"Prof. Ir. Aguk Zuhdi Muhammad Fathallah, M.Eng., Ph.D.")</f>
        <v>Prof. Ir. Aguk Zuhdi Muhammad Fathallah, M.Eng., Ph.D.</v>
      </c>
      <c r="I94" s="1" t="str">
        <f ca="1">IFERROR(__xludf.DUMMYFUNCTION("""COMPUTED_VALUE"""),"IDA BAGUS ADE DWI SASKA")</f>
        <v>IDA BAGUS ADE DWI SASKA</v>
      </c>
      <c r="J94" s="1" t="str">
        <f ca="1">IFERROR(__xludf.DUMMYFUNCTION("""COMPUTED_VALUE"""),"5019201087")</f>
        <v>5019201087</v>
      </c>
      <c r="K94" s="1" t="str">
        <f ca="1">IFERROR(__xludf.DUMMYFUNCTION("""COMPUTED_VALUE"""),"Departemen Teknik Sistem Perkapalan")</f>
        <v>Departemen Teknik Sistem Perkapalan</v>
      </c>
      <c r="L94" s="1" t="str">
        <f ca="1">IFERROR(__xludf.DUMMYFUNCTION("""COMPUTED_VALUE"""),"M JORDI RAMADHAN")</f>
        <v>M JORDI RAMADHAN</v>
      </c>
      <c r="M94" s="1" t="str">
        <f ca="1">IFERROR(__xludf.DUMMYFUNCTION("""COMPUTED_VALUE"""),"5019211049")</f>
        <v>5019211049</v>
      </c>
      <c r="N94" s="1" t="str">
        <f ca="1">IFERROR(__xludf.DUMMYFUNCTION("""COMPUTED_VALUE"""),"Departemen Teknik Sistem Perkapalan")</f>
        <v>Departemen Teknik Sistem Perkapalan</v>
      </c>
      <c r="O94" s="1" t="str">
        <f ca="1">IFERROR(__xludf.DUMMYFUNCTION("""COMPUTED_VALUE"""),"Kadek Putra Puja Wir")</f>
        <v>Kadek Putra Puja Wir</v>
      </c>
      <c r="P94" s="1" t="str">
        <f ca="1">IFERROR(__xludf.DUMMYFUNCTION("""COMPUTED_VALUE"""),"5019211078")</f>
        <v>5019211078</v>
      </c>
      <c r="Q94" s="1" t="str">
        <f ca="1">IFERROR(__xludf.DUMMYFUNCTION("""COMPUTED_VALUE"""),"Departemen Teknik Sistem Perkapalan")</f>
        <v>Departemen Teknik Sistem Perkapalan</v>
      </c>
      <c r="R94" s="1"/>
      <c r="S94" s="1"/>
      <c r="T94" s="1"/>
      <c r="U94" s="1" t="str">
        <f ca="1">IFERROR(__xludf.DUMMYFUNCTION("""COMPUTED_VALUE"""),"Izzat Aulia Akbar, S.Kom., M.Eng., Ph.D.")</f>
        <v>Izzat Aulia Akbar, S.Kom., M.Eng., Ph.D.</v>
      </c>
      <c r="V94" s="1" t="str">
        <f ca="1">IFERROR(__xludf.DUMMYFUNCTION("""COMPUTED_VALUE"""),"Mahardika F. Rois, S.T, M.T")</f>
        <v>Mahardika F. Rois, S.T, M.T</v>
      </c>
      <c r="W94" s="1"/>
      <c r="X94" s="1" t="str">
        <f ca="1">IFERROR(__xludf.DUMMYFUNCTION("""COMPUTED_VALUE"""),"Lolos")</f>
        <v>Lolos</v>
      </c>
      <c r="Y94" s="1"/>
      <c r="Z94" s="1"/>
      <c r="AA94" s="1"/>
    </row>
    <row r="95" spans="1:27">
      <c r="A95" s="1" t="s">
        <v>93</v>
      </c>
      <c r="B95" s="1">
        <f ca="1">IFERROR(__xludf.DUMMYFUNCTION("""COMPUTED_VALUE"""),2769)</f>
        <v>2769</v>
      </c>
      <c r="C95" s="1" t="str">
        <f ca="1">IFERROR(__xludf.DUMMYFUNCTION("""COMPUTED_VALUE"""),"PKM Gagasan Tertulis")</f>
        <v>PKM Gagasan Tertulis</v>
      </c>
      <c r="D95" s="1" t="str">
        <f ca="1">IFERROR(__xludf.DUMMYFUNCTION("""COMPUTED_VALUE"""),"Komba Arc Hydrothermal Vent Floating Power Plant Metode Combustion Chamber Memanfaatkan Non-Decommissioning Oil Rig Guna Membentuk Kawasan Energi Bersih")</f>
        <v>Komba Arc Hydrothermal Vent Floating Power Plant Metode Combustion Chamber Memanfaatkan Non-Decommissioning Oil Rig Guna Membentuk Kawasan Energi Bersih</v>
      </c>
      <c r="E95" s="1" t="str">
        <f ca="1">IFERROR(__xludf.DUMMYFUNCTION("""COMPUTED_VALUE"""),"BAYU SAPUTRA")</f>
        <v>BAYU SAPUTRA</v>
      </c>
      <c r="F95" s="1" t="str">
        <f ca="1">IFERROR(__xludf.DUMMYFUNCTION("""COMPUTED_VALUE"""),"5016201067")</f>
        <v>5016201067</v>
      </c>
      <c r="G95" s="1" t="str">
        <f ca="1">IFERROR(__xludf.DUMMYFUNCTION("""COMPUTED_VALUE"""),"Departemen Teknik Geomatika")</f>
        <v>Departemen Teknik Geomatika</v>
      </c>
      <c r="H95" s="1" t="str">
        <f ca="1">IFERROR(__xludf.DUMMYFUNCTION("""COMPUTED_VALUE"""),"Dr. Dendy Satrio, S.ST.")</f>
        <v>Dr. Dendy Satrio, S.ST.</v>
      </c>
      <c r="I95" s="1" t="str">
        <f ca="1">IFERROR(__xludf.DUMMYFUNCTION("""COMPUTED_VALUE"""),"CHRISTIAN VIERI HALIM")</f>
        <v>CHRISTIAN VIERI HALIM</v>
      </c>
      <c r="J95" s="1" t="str">
        <f ca="1">IFERROR(__xludf.DUMMYFUNCTION("""COMPUTED_VALUE"""),"5009201123")</f>
        <v>5009201123</v>
      </c>
      <c r="K95" s="1" t="str">
        <f ca="1">IFERROR(__xludf.DUMMYFUNCTION("""COMPUTED_VALUE"""),"Departemen Teknik Fisika")</f>
        <v>Departemen Teknik Fisika</v>
      </c>
      <c r="L95" s="1" t="str">
        <f ca="1">IFERROR(__xludf.DUMMYFUNCTION("""COMPUTED_VALUE"""),"ARDI LUKMAN HAKIM")</f>
        <v>ARDI LUKMAN HAKIM</v>
      </c>
      <c r="M95" s="1" t="str">
        <f ca="1">IFERROR(__xludf.DUMMYFUNCTION("""COMPUTED_VALUE"""),"5004201040")</f>
        <v>5004201040</v>
      </c>
      <c r="N95" s="1" t="str">
        <f ca="1">IFERROR(__xludf.DUMMYFUNCTION("""COMPUTED_VALUE"""),"Departemen Kimia")</f>
        <v>Departemen Kimia</v>
      </c>
      <c r="O95" s="1" t="str">
        <f ca="1">IFERROR(__xludf.DUMMYFUNCTION("""COMPUTED_VALUE"""),"WAFIYUDDIN TSALATSYANTO")</f>
        <v>WAFIYUDDIN TSALATSYANTO</v>
      </c>
      <c r="P95" s="1" t="str">
        <f ca="1">IFERROR(__xludf.DUMMYFUNCTION("""COMPUTED_VALUE"""),"5020201073")</f>
        <v>5020201073</v>
      </c>
      <c r="Q95" s="1" t="str">
        <f ca="1">IFERROR(__xludf.DUMMYFUNCTION("""COMPUTED_VALUE"""),"Departemen Teknik Kelautan")</f>
        <v>Departemen Teknik Kelautan</v>
      </c>
      <c r="R95" s="1" t="str">
        <f ca="1">IFERROR(__xludf.DUMMYFUNCTION("""COMPUTED_VALUE"""),"MUHAMMAD ABID FADLULLAH")</f>
        <v>MUHAMMAD ABID FADLULLAH</v>
      </c>
      <c r="S95" s="1" t="str">
        <f ca="1">IFERROR(__xludf.DUMMYFUNCTION("""COMPUTED_VALUE"""),"5007201177")</f>
        <v>5007201177</v>
      </c>
      <c r="T95" s="1" t="str">
        <f ca="1">IFERROR(__xludf.DUMMYFUNCTION("""COMPUTED_VALUE"""),"Departemen Teknik Mesin")</f>
        <v>Departemen Teknik Mesin</v>
      </c>
      <c r="U95" s="1" t="str">
        <f ca="1">IFERROR(__xludf.DUMMYFUNCTION("""COMPUTED_VALUE"""),"Izzat Aulia Akbar, S.Kom., M.Eng., Ph.D.")</f>
        <v>Izzat Aulia Akbar, S.Kom., M.Eng., Ph.D.</v>
      </c>
      <c r="V95" s="1" t="str">
        <f ca="1">IFERROR(__xludf.DUMMYFUNCTION("""COMPUTED_VALUE"""),"Mahardika F. Rois, S.T, M.T")</f>
        <v>Mahardika F. Rois, S.T, M.T</v>
      </c>
      <c r="W95" s="1"/>
      <c r="X95" s="1" t="str">
        <f ca="1">IFERROR(__xludf.DUMMYFUNCTION("""COMPUTED_VALUE"""),"Lolos")</f>
        <v>Lolos</v>
      </c>
      <c r="Y95" s="1"/>
      <c r="Z95" s="1"/>
      <c r="AA95" s="1"/>
    </row>
    <row r="96" spans="1:27">
      <c r="A96" s="1" t="s">
        <v>94</v>
      </c>
      <c r="B96" s="1">
        <f ca="1">IFERROR(__xludf.DUMMYFUNCTION("""COMPUTED_VALUE"""),2137)</f>
        <v>2137</v>
      </c>
      <c r="C96" s="1" t="str">
        <f ca="1">IFERROR(__xludf.DUMMYFUNCTION("""COMPUTED_VALUE"""),"PKM Gagasan Tertulis")</f>
        <v>PKM Gagasan Tertulis</v>
      </c>
      <c r="D96" s="1" t="str">
        <f ca="1">IFERROR(__xludf.DUMMYFUNCTION("""COMPUTED_VALUE"""),"Fully Remote Monitoring and Controlling Digital Twin Nuclear Power Plant Bangka Belitung dengan Massive IoT yang Terintegrasi 5G Network Slicing
")</f>
        <v xml:space="preserve">Fully Remote Monitoring and Controlling Digital Twin Nuclear Power Plant Bangka Belitung dengan Massive IoT yang Terintegrasi 5G Network Slicing
</v>
      </c>
      <c r="E96" s="1" t="str">
        <f ca="1">IFERROR(__xludf.DUMMYFUNCTION("""COMPUTED_VALUE"""),"A KRISNA WIKANTYOSO")</f>
        <v>A KRISNA WIKANTYOSO</v>
      </c>
      <c r="F96" s="1" t="str">
        <f ca="1">IFERROR(__xludf.DUMMYFUNCTION("""COMPUTED_VALUE"""),"07111940000119")</f>
        <v>07111940000119</v>
      </c>
      <c r="G96" s="1" t="str">
        <f ca="1">IFERROR(__xludf.DUMMYFUNCTION("""COMPUTED_VALUE"""),"Departemen Teknik Elektro")</f>
        <v>Departemen Teknik Elektro</v>
      </c>
      <c r="H96" s="1" t="str">
        <f ca="1">IFERROR(__xludf.DUMMYFUNCTION("""COMPUTED_VALUE"""),"Dr. Dimas Fajar Uman Putra, S.T., M.T.")</f>
        <v>Dr. Dimas Fajar Uman Putra, S.T., M.T.</v>
      </c>
      <c r="I96" s="1" t="str">
        <f ca="1">IFERROR(__xludf.DUMMYFUNCTION("""COMPUTED_VALUE"""),"DEVA FERNANDA PRAMUDYA")</f>
        <v>DEVA FERNANDA PRAMUDYA</v>
      </c>
      <c r="J96" s="1" t="str">
        <f ca="1">IFERROR(__xludf.DUMMYFUNCTION("""COMPUTED_VALUE"""),"5022201009")</f>
        <v>5022201009</v>
      </c>
      <c r="K96" s="1" t="str">
        <f ca="1">IFERROR(__xludf.DUMMYFUNCTION("""COMPUTED_VALUE"""),"Departemen Teknik Elektro")</f>
        <v>Departemen Teknik Elektro</v>
      </c>
      <c r="L96" s="1" t="str">
        <f ca="1">IFERROR(__xludf.DUMMYFUNCTION("""COMPUTED_VALUE"""),"Elite Hotman Talenta Sirait")</f>
        <v>Elite Hotman Talenta Sirait</v>
      </c>
      <c r="M96" s="1" t="str">
        <f ca="1">IFERROR(__xludf.DUMMYFUNCTION("""COMPUTED_VALUE"""),"07111940000014")</f>
        <v>07111940000014</v>
      </c>
      <c r="N96" s="1" t="str">
        <f ca="1">IFERROR(__xludf.DUMMYFUNCTION("""COMPUTED_VALUE"""),"Departemen Teknik Elektro")</f>
        <v>Departemen Teknik Elektro</v>
      </c>
      <c r="O96" s="1" t="str">
        <f ca="1">IFERROR(__xludf.DUMMYFUNCTION("""COMPUTED_VALUE"""),"Daffa Rasya Framadiva")</f>
        <v>Daffa Rasya Framadiva</v>
      </c>
      <c r="P96" s="1" t="str">
        <f ca="1">IFERROR(__xludf.DUMMYFUNCTION("""COMPUTED_VALUE"""),"07111940000043")</f>
        <v>07111940000043</v>
      </c>
      <c r="Q96" s="1" t="str">
        <f ca="1">IFERROR(__xludf.DUMMYFUNCTION("""COMPUTED_VALUE"""),"Departemen Teknik Elektro")</f>
        <v>Departemen Teknik Elektro</v>
      </c>
      <c r="R96" s="1"/>
      <c r="S96" s="1"/>
      <c r="T96" s="1"/>
      <c r="U96" s="1" t="str">
        <f ca="1">IFERROR(__xludf.DUMMYFUNCTION("""COMPUTED_VALUE"""),"Putu Gde Ariastita, S.T., M.T.")</f>
        <v>Putu Gde Ariastita, S.T., M.T.</v>
      </c>
      <c r="V96" s="1" t="str">
        <f ca="1">IFERROR(__xludf.DUMMYFUNCTION("""COMPUTED_VALUE"""),"Mahardika F. Rois, S.T, M.T")</f>
        <v>Mahardika F. Rois, S.T, M.T</v>
      </c>
      <c r="W96" s="1"/>
      <c r="X96" s="1" t="str">
        <f ca="1">IFERROR(__xludf.DUMMYFUNCTION("""COMPUTED_VALUE"""),"Lolos")</f>
        <v>Lolos</v>
      </c>
      <c r="Y96" s="1"/>
      <c r="Z96" s="1"/>
      <c r="AA96" s="1"/>
    </row>
    <row r="97" spans="1:27">
      <c r="A97" s="1" t="s">
        <v>95</v>
      </c>
      <c r="B97" s="1">
        <f ca="1">IFERROR(__xludf.DUMMYFUNCTION("""COMPUTED_VALUE"""),3686)</f>
        <v>3686</v>
      </c>
      <c r="C97" s="1" t="str">
        <f ca="1">IFERROR(__xludf.DUMMYFUNCTION("""COMPUTED_VALUE"""),"PKM Gagasan Tertulis")</f>
        <v>PKM Gagasan Tertulis</v>
      </c>
      <c r="D97" s="1" t="str">
        <f ca="1">IFERROR(__xludf.DUMMYFUNCTION("""COMPUTED_VALUE"""),"COMPLEX SETTLEMENT SEBAGAI SARANA REVITALISASI
KAWASAN CAGAR BUDAYA KALIMAS TIMUR SURABAYA")</f>
        <v>COMPLEX SETTLEMENT SEBAGAI SARANA REVITALISASI
KAWASAN CAGAR BUDAYA KALIMAS TIMUR SURABAYA</v>
      </c>
      <c r="E97" s="1" t="str">
        <f ca="1">IFERROR(__xludf.DUMMYFUNCTION("""COMPUTED_VALUE"""),"AHNAF")</f>
        <v>AHNAF</v>
      </c>
      <c r="F97" s="1" t="str">
        <f ca="1">IFERROR(__xludf.DUMMYFUNCTION("""COMPUTED_VALUE"""),"08111840000038")</f>
        <v>08111840000038</v>
      </c>
      <c r="G97" s="1" t="str">
        <f ca="1">IFERROR(__xludf.DUMMYFUNCTION("""COMPUTED_VALUE"""),"Departemen Arsitektur")</f>
        <v>Departemen Arsitektur</v>
      </c>
      <c r="H97" s="1" t="str">
        <f ca="1">IFERROR(__xludf.DUMMYFUNCTION("""COMPUTED_VALUE"""),"Dewi Septanti, S.Pd., S.T., M.T., Ph.D.")</f>
        <v>Dewi Septanti, S.Pd., S.T., M.T., Ph.D.</v>
      </c>
      <c r="I97" s="1" t="str">
        <f ca="1">IFERROR(__xludf.DUMMYFUNCTION("""COMPUTED_VALUE"""),"Riska Indah Prasetya")</f>
        <v>Riska Indah Prasetya</v>
      </c>
      <c r="J97" s="1" t="str">
        <f ca="1">IFERROR(__xludf.DUMMYFUNCTION("""COMPUTED_VALUE"""),"5013211080")</f>
        <v>5013211080</v>
      </c>
      <c r="K97" s="1" t="str">
        <f ca="1">IFERROR(__xludf.DUMMYFUNCTION("""COMPUTED_VALUE"""),"Departemen Arsitektur")</f>
        <v>Departemen Arsitektur</v>
      </c>
      <c r="L97" s="1" t="str">
        <f ca="1">IFERROR(__xludf.DUMMYFUNCTION("""COMPUTED_VALUE"""),"Nadila Amalia Sigit")</f>
        <v>Nadila Amalia Sigit</v>
      </c>
      <c r="M97" s="1" t="str">
        <f ca="1">IFERROR(__xludf.DUMMYFUNCTION("""COMPUTED_VALUE"""),"5013211105")</f>
        <v>5013211105</v>
      </c>
      <c r="N97" s="1" t="str">
        <f ca="1">IFERROR(__xludf.DUMMYFUNCTION("""COMPUTED_VALUE"""),"Departemen Arsitektur")</f>
        <v>Departemen Arsitektur</v>
      </c>
      <c r="O97" s="1" t="str">
        <f ca="1">IFERROR(__xludf.DUMMYFUNCTION("""COMPUTED_VALUE"""),"Bintang Aura Pasiola")</f>
        <v>Bintang Aura Pasiola</v>
      </c>
      <c r="P97" s="1" t="str">
        <f ca="1">IFERROR(__xludf.DUMMYFUNCTION("""COMPUTED_VALUE"""),"5013211096")</f>
        <v>5013211096</v>
      </c>
      <c r="Q97" s="1" t="str">
        <f ca="1">IFERROR(__xludf.DUMMYFUNCTION("""COMPUTED_VALUE"""),"Departemen Arsitektur")</f>
        <v>Departemen Arsitektur</v>
      </c>
      <c r="R97" s="1" t="str">
        <f ca="1">IFERROR(__xludf.DUMMYFUNCTION("""COMPUTED_VALUE"""),"LIVINDYA PUTRI R.")</f>
        <v>LIVINDYA PUTRI R.</v>
      </c>
      <c r="S97" s="1" t="str">
        <f ca="1">IFERROR(__xludf.DUMMYFUNCTION("""COMPUTED_VALUE"""),"5013211078")</f>
        <v>5013211078</v>
      </c>
      <c r="T97" s="1" t="str">
        <f ca="1">IFERROR(__xludf.DUMMYFUNCTION("""COMPUTED_VALUE"""),"Departemen Arsitektur")</f>
        <v>Departemen Arsitektur</v>
      </c>
      <c r="U97" s="1" t="str">
        <f ca="1">IFERROR(__xludf.DUMMYFUNCTION("""COMPUTED_VALUE"""),"Prof. Ir. Aguk Zuhdi Muhammad Fathallah, M.Eng., Ph.D.")</f>
        <v>Prof. Ir. Aguk Zuhdi Muhammad Fathallah, M.Eng., Ph.D.</v>
      </c>
      <c r="V97" s="1" t="str">
        <f ca="1">IFERROR(__xludf.DUMMYFUNCTION("""COMPUTED_VALUE"""),"Dyah Sawitri, S.T., M.T.")</f>
        <v>Dyah Sawitri, S.T., M.T.</v>
      </c>
      <c r="W97" s="1"/>
      <c r="X97" s="1" t="str">
        <f ca="1">IFERROR(__xludf.DUMMYFUNCTION("""COMPUTED_VALUE"""),"Lolos")</f>
        <v>Lolos</v>
      </c>
      <c r="Y97" s="1"/>
      <c r="Z97" s="1"/>
      <c r="AA97" s="1"/>
    </row>
    <row r="98" spans="1:27">
      <c r="A98" s="1" t="s">
        <v>96</v>
      </c>
      <c r="B98" s="1">
        <f ca="1">IFERROR(__xludf.DUMMYFUNCTION("""COMPUTED_VALUE"""),3452)</f>
        <v>3452</v>
      </c>
      <c r="C98" s="1" t="str">
        <f ca="1">IFERROR(__xludf.DUMMYFUNCTION("""COMPUTED_VALUE"""),"PKM Gagasan Tertulis")</f>
        <v>PKM Gagasan Tertulis</v>
      </c>
      <c r="D98" s="1" t="str">
        <f ca="1">IFERROR(__xludf.DUMMYFUNCTION("""COMPUTED_VALUE"""),"Penindakan Destructive Fishing Menggunakan Sensor Hyperspectral Dilangkapi Dengan AiC-AIR Technology Sebagai Alutsista Pertahanan Laut Indonesia Masa Depan")</f>
        <v>Penindakan Destructive Fishing Menggunakan Sensor Hyperspectral Dilangkapi Dengan AiC-AIR Technology Sebagai Alutsista Pertahanan Laut Indonesia Masa Depan</v>
      </c>
      <c r="E98" s="1" t="str">
        <f ca="1">IFERROR(__xludf.DUMMYFUNCTION("""COMPUTED_VALUE"""),"SEPTHIA ROIHANATUL WARDAH")</f>
        <v>SEPTHIA ROIHANATUL WARDAH</v>
      </c>
      <c r="F98" s="1" t="str">
        <f ca="1">IFERROR(__xludf.DUMMYFUNCTION("""COMPUTED_VALUE"""),"5020201027")</f>
        <v>5020201027</v>
      </c>
      <c r="G98" s="1" t="str">
        <f ca="1">IFERROR(__xludf.DUMMYFUNCTION("""COMPUTED_VALUE"""),"Departemen Teknik Kelautan")</f>
        <v>Departemen Teknik Kelautan</v>
      </c>
      <c r="H98" s="1" t="str">
        <f ca="1">IFERROR(__xludf.DUMMYFUNCTION("""COMPUTED_VALUE"""),"Dr. Dendy Satrio, S.ST.")</f>
        <v>Dr. Dendy Satrio, S.ST.</v>
      </c>
      <c r="I98" s="1" t="str">
        <f ca="1">IFERROR(__xludf.DUMMYFUNCTION("""COMPUTED_VALUE"""),"BARIZALLEN ABDULLAH SUPRAPTO")</f>
        <v>BARIZALLEN ABDULLAH SUPRAPTO</v>
      </c>
      <c r="J98" s="1" t="str">
        <f ca="1">IFERROR(__xludf.DUMMYFUNCTION("""COMPUTED_VALUE"""),"5020201103")</f>
        <v>5020201103</v>
      </c>
      <c r="K98" s="1" t="str">
        <f ca="1">IFERROR(__xludf.DUMMYFUNCTION("""COMPUTED_VALUE"""),"Departemen Teknik Kelautan")</f>
        <v>Departemen Teknik Kelautan</v>
      </c>
      <c r="L98" s="1" t="str">
        <f ca="1">IFERROR(__xludf.DUMMYFUNCTION("""COMPUTED_VALUE"""),"DICKA TAMA PUTRA")</f>
        <v>DICKA TAMA PUTRA</v>
      </c>
      <c r="M98" s="1" t="str">
        <f ca="1">IFERROR(__xludf.DUMMYFUNCTION("""COMPUTED_VALUE"""),"5020201022")</f>
        <v>5020201022</v>
      </c>
      <c r="N98" s="1" t="str">
        <f ca="1">IFERROR(__xludf.DUMMYFUNCTION("""COMPUTED_VALUE"""),"Departemen Teknik Kelautan")</f>
        <v>Departemen Teknik Kelautan</v>
      </c>
      <c r="O98" s="1" t="str">
        <f ca="1">IFERROR(__xludf.DUMMYFUNCTION("""COMPUTED_VALUE"""),"Fajar Lemanza Dj")</f>
        <v>Fajar Lemanza Dj</v>
      </c>
      <c r="P98" s="1" t="str">
        <f ca="1">IFERROR(__xludf.DUMMYFUNCTION("""COMPUTED_VALUE"""),"5020211100")</f>
        <v>5020211100</v>
      </c>
      <c r="Q98" s="1" t="str">
        <f ca="1">IFERROR(__xludf.DUMMYFUNCTION("""COMPUTED_VALUE"""),"Departemen Teknik Kelautan")</f>
        <v>Departemen Teknik Kelautan</v>
      </c>
      <c r="R98" s="1"/>
      <c r="S98" s="1"/>
      <c r="T98" s="1"/>
      <c r="U98" s="1" t="str">
        <f ca="1">IFERROR(__xludf.DUMMYFUNCTION("""COMPUTED_VALUE"""),"Dr.-Ing. Doty Dewi Risanti, S.T., M.T.")</f>
        <v>Dr.-Ing. Doty Dewi Risanti, S.T., M.T.</v>
      </c>
      <c r="V98" s="1" t="str">
        <f ca="1">IFERROR(__xludf.DUMMYFUNCTION("""COMPUTED_VALUE"""),"Rivan Aji Wahyu Dyan Syafitri, S.PWK, M.Ars.")</f>
        <v>Rivan Aji Wahyu Dyan Syafitri, S.PWK, M.Ars.</v>
      </c>
      <c r="W98" s="1"/>
      <c r="X98" s="1" t="str">
        <f ca="1">IFERROR(__xludf.DUMMYFUNCTION("""COMPUTED_VALUE"""),"Lolos")</f>
        <v>Lolos</v>
      </c>
      <c r="Y98" s="1"/>
      <c r="Z98" s="1"/>
      <c r="AA98" s="1"/>
    </row>
    <row r="99" spans="1:27">
      <c r="A99" s="1" t="s">
        <v>97</v>
      </c>
      <c r="B99" s="1">
        <f ca="1">IFERROR(__xludf.DUMMYFUNCTION("""COMPUTED_VALUE"""),2289)</f>
        <v>2289</v>
      </c>
      <c r="C99" s="1" t="str">
        <f ca="1">IFERROR(__xludf.DUMMYFUNCTION("""COMPUTED_VALUE"""),"PKM Gagasan Tertulis")</f>
        <v>PKM Gagasan Tertulis</v>
      </c>
      <c r="D99" s="1" t="str">
        <f ca="1">IFERROR(__xludf.DUMMYFUNCTION("""COMPUTED_VALUE"""),"Sistem Pengelolaan Karbon Berkelanjutan sebagai Solusi Climate Change di Indonesia")</f>
        <v>Sistem Pengelolaan Karbon Berkelanjutan sebagai Solusi Climate Change di Indonesia</v>
      </c>
      <c r="E99" s="1" t="str">
        <f ca="1">IFERROR(__xludf.DUMMYFUNCTION("""COMPUTED_VALUE"""),"Yuni Kurnia")</f>
        <v>Yuni Kurnia</v>
      </c>
      <c r="F99" s="1" t="str">
        <f ca="1">IFERROR(__xludf.DUMMYFUNCTION("""COMPUTED_VALUE"""),"02311940000053")</f>
        <v>02311940000053</v>
      </c>
      <c r="G99" s="1" t="str">
        <f ca="1">IFERROR(__xludf.DUMMYFUNCTION("""COMPUTED_VALUE"""),"Departemen Teknik Fisika")</f>
        <v>Departemen Teknik Fisika</v>
      </c>
      <c r="H99" s="1" t="str">
        <f ca="1">IFERROR(__xludf.DUMMYFUNCTION("""COMPUTED_VALUE"""),"Dyah Sawitri, S.T., M.T.")</f>
        <v>Dyah Sawitri, S.T., M.T.</v>
      </c>
      <c r="I99" s="1" t="str">
        <f ca="1">IFERROR(__xludf.DUMMYFUNCTION("""COMPUTED_VALUE"""),"CHOIRINA ALIVIA")</f>
        <v>CHOIRINA ALIVIA</v>
      </c>
      <c r="J99" s="1" t="str">
        <f ca="1">IFERROR(__xludf.DUMMYFUNCTION("""COMPUTED_VALUE"""),"02311940000110")</f>
        <v>02311940000110</v>
      </c>
      <c r="K99" s="1" t="str">
        <f ca="1">IFERROR(__xludf.DUMMYFUNCTION("""COMPUTED_VALUE"""),"Departemen Teknik Fisika")</f>
        <v>Departemen Teknik Fisika</v>
      </c>
      <c r="L99" s="1" t="str">
        <f ca="1">IFERROR(__xludf.DUMMYFUNCTION("""COMPUTED_VALUE"""),"Intan Mey Setyaningrum")</f>
        <v>Intan Mey Setyaningrum</v>
      </c>
      <c r="M99" s="1" t="str">
        <f ca="1">IFERROR(__xludf.DUMMYFUNCTION("""COMPUTED_VALUE"""),"02311940000045")</f>
        <v>02311940000045</v>
      </c>
      <c r="N99" s="1" t="str">
        <f ca="1">IFERROR(__xludf.DUMMYFUNCTION("""COMPUTED_VALUE"""),"Departemen Teknik Fisika")</f>
        <v>Departemen Teknik Fisika</v>
      </c>
      <c r="O99" s="1" t="str">
        <f ca="1">IFERROR(__xludf.DUMMYFUNCTION("""COMPUTED_VALUE"""),"Alifia Rifta Putri Zharifa")</f>
        <v>Alifia Rifta Putri Zharifa</v>
      </c>
      <c r="P99" s="1" t="str">
        <f ca="1">IFERROR(__xludf.DUMMYFUNCTION("""COMPUTED_VALUE"""),"02311940000031")</f>
        <v>02311940000031</v>
      </c>
      <c r="Q99" s="1" t="str">
        <f ca="1">IFERROR(__xludf.DUMMYFUNCTION("""COMPUTED_VALUE"""),"Departemen Teknik Fisika")</f>
        <v>Departemen Teknik Fisika</v>
      </c>
      <c r="R99" s="1"/>
      <c r="S99" s="1"/>
      <c r="T99" s="1"/>
      <c r="U99" s="1" t="str">
        <f ca="1">IFERROR(__xludf.DUMMYFUNCTION("""COMPUTED_VALUE"""),"Dr.-Ing. Doty Dewi Risanti, S.T., M.T.")</f>
        <v>Dr.-Ing. Doty Dewi Risanti, S.T., M.T.</v>
      </c>
      <c r="V99" s="1" t="str">
        <f ca="1">IFERROR(__xludf.DUMMYFUNCTION("""COMPUTED_VALUE"""),"Dyah Sawitri, S.T., M.T.")</f>
        <v>Dyah Sawitri, S.T., M.T.</v>
      </c>
      <c r="W99" s="1"/>
      <c r="X99" s="1" t="str">
        <f ca="1">IFERROR(__xludf.DUMMYFUNCTION("""COMPUTED_VALUE"""),"Lolos")</f>
        <v>Lolos</v>
      </c>
      <c r="Y99" s="1"/>
      <c r="Z99" s="1"/>
      <c r="AA99" s="1"/>
    </row>
    <row r="100" spans="1:27">
      <c r="A100" s="1" t="s">
        <v>98</v>
      </c>
      <c r="B100" s="1">
        <f ca="1">IFERROR(__xludf.DUMMYFUNCTION("""COMPUTED_VALUE"""),2433)</f>
        <v>2433</v>
      </c>
      <c r="C100" s="1" t="str">
        <f ca="1">IFERROR(__xludf.DUMMYFUNCTION("""COMPUTED_VALUE"""),"PKM Gagasan Tertulis")</f>
        <v>PKM Gagasan Tertulis</v>
      </c>
      <c r="D100" s="1" t="str">
        <f ca="1">IFERROR(__xludf.DUMMYFUNCTION("""COMPUTED_VALUE"""),"Pusat Rehabilitasi Vokasional dan Sosial untuk Penyandang Disabilitas Intelektual Berbasis Arsitektur Inklusif")</f>
        <v>Pusat Rehabilitasi Vokasional dan Sosial untuk Penyandang Disabilitas Intelektual Berbasis Arsitektur Inklusif</v>
      </c>
      <c r="E100" s="1" t="str">
        <f ca="1">IFERROR(__xludf.DUMMYFUNCTION("""COMPUTED_VALUE"""),"SYAUQOTUN NISA` AGIL MAHIROH")</f>
        <v>SYAUQOTUN NISA` AGIL MAHIROH</v>
      </c>
      <c r="F100" s="1" t="str">
        <f ca="1">IFERROR(__xludf.DUMMYFUNCTION("""COMPUTED_VALUE"""),"08111840000034")</f>
        <v>08111840000034</v>
      </c>
      <c r="G100" s="1" t="str">
        <f ca="1">IFERROR(__xludf.DUMMYFUNCTION("""COMPUTED_VALUE"""),"Departemen Arsitektur")</f>
        <v>Departemen Arsitektur</v>
      </c>
      <c r="H100" s="1" t="str">
        <f ca="1">IFERROR(__xludf.DUMMYFUNCTION("""COMPUTED_VALUE"""),"Dewi Septanti, S.Pd., S.T., M.T., Ph.D.")</f>
        <v>Dewi Septanti, S.Pd., S.T., M.T., Ph.D.</v>
      </c>
      <c r="I100" s="1" t="str">
        <f ca="1">IFERROR(__xludf.DUMMYFUNCTION("""COMPUTED_VALUE"""),"Irfiana Nur Firdauzy")</f>
        <v>Irfiana Nur Firdauzy</v>
      </c>
      <c r="J100" s="1" t="str">
        <f ca="1">IFERROR(__xludf.DUMMYFUNCTION("""COMPUTED_VALUE"""),"08111940000029")</f>
        <v>08111940000029</v>
      </c>
      <c r="K100" s="1" t="str">
        <f ca="1">IFERROR(__xludf.DUMMYFUNCTION("""COMPUTED_VALUE"""),"Departemen Arsitektur")</f>
        <v>Departemen Arsitektur</v>
      </c>
      <c r="L100" s="1" t="str">
        <f ca="1">IFERROR(__xludf.DUMMYFUNCTION("""COMPUTED_VALUE"""),"R. Ayu Nadhifa Imania")</f>
        <v>R. Ayu Nadhifa Imania</v>
      </c>
      <c r="M100" s="1" t="str">
        <f ca="1">IFERROR(__xludf.DUMMYFUNCTION("""COMPUTED_VALUE"""),"03211940000022")</f>
        <v>03211940000022</v>
      </c>
      <c r="N100" s="1" t="str">
        <f ca="1">IFERROR(__xludf.DUMMYFUNCTION("""COMPUTED_VALUE"""),"Departemen Teknik Lingkungan")</f>
        <v>Departemen Teknik Lingkungan</v>
      </c>
      <c r="O100" s="1" t="str">
        <f ca="1">IFERROR(__xludf.DUMMYFUNCTION("""COMPUTED_VALUE"""),"Annisa Febriani Putri")</f>
        <v>Annisa Febriani Putri</v>
      </c>
      <c r="P100" s="1" t="str">
        <f ca="1">IFERROR(__xludf.DUMMYFUNCTION("""COMPUTED_VALUE"""),"08111840000028")</f>
        <v>08111840000028</v>
      </c>
      <c r="Q100" s="1" t="str">
        <f ca="1">IFERROR(__xludf.DUMMYFUNCTION("""COMPUTED_VALUE"""),"Departemen Arsitektur")</f>
        <v>Departemen Arsitektur</v>
      </c>
      <c r="R100" s="1"/>
      <c r="S100" s="1"/>
      <c r="T100" s="1"/>
      <c r="U100" s="1" t="str">
        <f ca="1">IFERROR(__xludf.DUMMYFUNCTION("""COMPUTED_VALUE"""),"Dyah Sawitri, S.T., M.T.")</f>
        <v>Dyah Sawitri, S.T., M.T.</v>
      </c>
      <c r="V100" s="1" t="str">
        <f ca="1">IFERROR(__xludf.DUMMYFUNCTION("""COMPUTED_VALUE"""),"Wimala Lalitya Dhanistha, S.T., M.T.")</f>
        <v>Wimala Lalitya Dhanistha, S.T., M.T.</v>
      </c>
      <c r="W100" s="1"/>
      <c r="X100" s="1" t="str">
        <f ca="1">IFERROR(__xludf.DUMMYFUNCTION("""COMPUTED_VALUE"""),"Lolos")</f>
        <v>Lolos</v>
      </c>
      <c r="Y100" s="1"/>
      <c r="Z100" s="1"/>
      <c r="AA100" s="1"/>
    </row>
    <row r="101" spans="1:27">
      <c r="A101" s="1" t="s">
        <v>99</v>
      </c>
      <c r="B101" s="1">
        <f ca="1">IFERROR(__xludf.DUMMYFUNCTION("""COMPUTED_VALUE"""),2623)</f>
        <v>2623</v>
      </c>
      <c r="C101" s="1" t="str">
        <f ca="1">IFERROR(__xludf.DUMMYFUNCTION("""COMPUTED_VALUE"""),"PKM Gagasan Tertulis")</f>
        <v>PKM Gagasan Tertulis</v>
      </c>
      <c r="D101" s="1" t="str">
        <f ca="1">IFERROR(__xludf.DUMMYFUNCTION("""COMPUTED_VALUE"""),"PEMBANGUNAN UNDER PAVEMENT TUNNEL DI KAWASAN BARU IBU KOTA NEGARA SEBAGAI LANGKAH MITIGASI PENCEGAHAN BANJIR DAN CADANGAN AIR")</f>
        <v>PEMBANGUNAN UNDER PAVEMENT TUNNEL DI KAWASAN BARU IBU KOTA NEGARA SEBAGAI LANGKAH MITIGASI PENCEGAHAN BANJIR DAN CADANGAN AIR</v>
      </c>
      <c r="E101" s="1" t="str">
        <f ca="1">IFERROR(__xludf.DUMMYFUNCTION("""COMPUTED_VALUE"""),"MOCHAMMAD ILHAM YUNANTO")</f>
        <v>MOCHAMMAD ILHAM YUNANTO</v>
      </c>
      <c r="F101" s="1" t="str">
        <f ca="1">IFERROR(__xludf.DUMMYFUNCTION("""COMPUTED_VALUE"""),"5012201164")</f>
        <v>5012201164</v>
      </c>
      <c r="G101" s="1" t="str">
        <f ca="1">IFERROR(__xludf.DUMMYFUNCTION("""COMPUTED_VALUE"""),"Departemen Teknik Sipil")</f>
        <v>Departemen Teknik Sipil</v>
      </c>
      <c r="H101" s="1" t="str">
        <f ca="1">IFERROR(__xludf.DUMMYFUNCTION("""COMPUTED_VALUE"""),"Yang Ratri Savitri, S.T., M.T.")</f>
        <v>Yang Ratri Savitri, S.T., M.T.</v>
      </c>
      <c r="I101" s="1" t="str">
        <f ca="1">IFERROR(__xludf.DUMMYFUNCTION("""COMPUTED_VALUE"""),"RENDI SAPUTRA")</f>
        <v>RENDI SAPUTRA</v>
      </c>
      <c r="J101" s="1" t="str">
        <f ca="1">IFERROR(__xludf.DUMMYFUNCTION("""COMPUTED_VALUE"""),"5012201108")</f>
        <v>5012201108</v>
      </c>
      <c r="K101" s="1" t="str">
        <f ca="1">IFERROR(__xludf.DUMMYFUNCTION("""COMPUTED_VALUE"""),"Departemen Teknik Sipil")</f>
        <v>Departemen Teknik Sipil</v>
      </c>
      <c r="L101" s="1" t="str">
        <f ca="1">IFERROR(__xludf.DUMMYFUNCTION("""COMPUTED_VALUE"""),"VINCENT HANS SIPUTRA")</f>
        <v>VINCENT HANS SIPUTRA</v>
      </c>
      <c r="M101" s="1" t="str">
        <f ca="1">IFERROR(__xludf.DUMMYFUNCTION("""COMPUTED_VALUE"""),"5012201148")</f>
        <v>5012201148</v>
      </c>
      <c r="N101" s="1" t="str">
        <f ca="1">IFERROR(__xludf.DUMMYFUNCTION("""COMPUTED_VALUE"""),"Departemen Teknik Sipil")</f>
        <v>Departemen Teknik Sipil</v>
      </c>
      <c r="O101" s="1" t="str">
        <f ca="1">IFERROR(__xludf.DUMMYFUNCTION("""COMPUTED_VALUE"""),"NATHANAEL YOAN PUTRA LAZARUS")</f>
        <v>NATHANAEL YOAN PUTRA LAZARUS</v>
      </c>
      <c r="P101" s="1" t="str">
        <f ca="1">IFERROR(__xludf.DUMMYFUNCTION("""COMPUTED_VALUE"""),"5012201053")</f>
        <v>5012201053</v>
      </c>
      <c r="Q101" s="1" t="str">
        <f ca="1">IFERROR(__xludf.DUMMYFUNCTION("""COMPUTED_VALUE"""),"Departemen Teknik Sipil")</f>
        <v>Departemen Teknik Sipil</v>
      </c>
      <c r="R101" s="1" t="str">
        <f ca="1">IFERROR(__xludf.DUMMYFUNCTION("""COMPUTED_VALUE"""),"GREGORIUS ALEXANDER")</f>
        <v>GREGORIUS ALEXANDER</v>
      </c>
      <c r="S101" s="1" t="str">
        <f ca="1">IFERROR(__xludf.DUMMYFUNCTION("""COMPUTED_VALUE"""),"5012201151")</f>
        <v>5012201151</v>
      </c>
      <c r="T101" s="1" t="str">
        <f ca="1">IFERROR(__xludf.DUMMYFUNCTION("""COMPUTED_VALUE"""),"Departemen Teknik Sipil")</f>
        <v>Departemen Teknik Sipil</v>
      </c>
      <c r="U101" s="1" t="str">
        <f ca="1">IFERROR(__xludf.DUMMYFUNCTION("""COMPUTED_VALUE"""),"Putu Gde Ariastita, S.T., M.T.")</f>
        <v>Putu Gde Ariastita, S.T., M.T.</v>
      </c>
      <c r="V101" s="1" t="str">
        <f ca="1">IFERROR(__xludf.DUMMYFUNCTION("""COMPUTED_VALUE"""),"Nova Maulidina Ashuri, S.Si., M.Si.")</f>
        <v>Nova Maulidina Ashuri, S.Si., M.Si.</v>
      </c>
      <c r="W101" s="1"/>
      <c r="X101" s="1" t="str">
        <f ca="1">IFERROR(__xludf.DUMMYFUNCTION("""COMPUTED_VALUE"""),"Lolos")</f>
        <v>Lolos</v>
      </c>
      <c r="Y101" s="1"/>
      <c r="Z101" s="1"/>
      <c r="AA101" s="1"/>
    </row>
    <row r="102" spans="1:27">
      <c r="A102" s="1" t="s">
        <v>100</v>
      </c>
      <c r="B102" s="1">
        <f ca="1">IFERROR(__xludf.DUMMYFUNCTION("""COMPUTED_VALUE"""),2642)</f>
        <v>2642</v>
      </c>
      <c r="C102" s="1" t="str">
        <f ca="1">IFERROR(__xludf.DUMMYFUNCTION("""COMPUTED_VALUE"""),"PKM Gagasan Tertulis")</f>
        <v>PKM Gagasan Tertulis</v>
      </c>
      <c r="D102" s="1" t="str">
        <f ca="1">IFERROR(__xludf.DUMMYFUNCTION("""COMPUTED_VALUE"""),"Konsep Ekosistem Bioekonomi Berkelanjutan Berbasis Produk Bioenergi guna Mewujudkan Bauran Energi 2050")</f>
        <v>Konsep Ekosistem Bioekonomi Berkelanjutan Berbasis Produk Bioenergi guna Mewujudkan Bauran Energi 2050</v>
      </c>
      <c r="E102" s="1" t="str">
        <f ca="1">IFERROR(__xludf.DUMMYFUNCTION("""COMPUTED_VALUE"""),"RAFI RAJFAN HANIF")</f>
        <v>RAFI RAJFAN HANIF</v>
      </c>
      <c r="F102" s="1" t="str">
        <f ca="1">IFERROR(__xludf.DUMMYFUNCTION("""COMPUTED_VALUE"""),"10411910000043")</f>
        <v>10411910000043</v>
      </c>
      <c r="G102" s="1" t="str">
        <f ca="1">IFERROR(__xludf.DUMMYFUNCTION("""COMPUTED_VALUE"""),"Departemen Teknik Kimia Industri")</f>
        <v>Departemen Teknik Kimia Industri</v>
      </c>
      <c r="H102" s="1" t="str">
        <f ca="1">IFERROR(__xludf.DUMMYFUNCTION("""COMPUTED_VALUE"""),"Dr.Ir. Niniek Fajar Puspita, M.Eng.")</f>
        <v>Dr.Ir. Niniek Fajar Puspita, M.Eng.</v>
      </c>
      <c r="I102" s="1" t="str">
        <f ca="1">IFERROR(__xludf.DUMMYFUNCTION("""COMPUTED_VALUE"""),"MUHAMMAD DIMAS HAFANI")</f>
        <v>MUHAMMAD DIMAS HAFANI</v>
      </c>
      <c r="J102" s="1" t="str">
        <f ca="1">IFERROR(__xludf.DUMMYFUNCTION("""COMPUTED_VALUE"""),"10411910000060")</f>
        <v>10411910000060</v>
      </c>
      <c r="K102" s="1" t="str">
        <f ca="1">IFERROR(__xludf.DUMMYFUNCTION("""COMPUTED_VALUE"""),"Departemen Teknik Kimia Industri")</f>
        <v>Departemen Teknik Kimia Industri</v>
      </c>
      <c r="L102" s="1" t="str">
        <f ca="1">IFERROR(__xludf.DUMMYFUNCTION("""COMPUTED_VALUE"""),"YOGA BEKTI SUSANTO")</f>
        <v>YOGA BEKTI SUSANTO</v>
      </c>
      <c r="M102" s="1" t="str">
        <f ca="1">IFERROR(__xludf.DUMMYFUNCTION("""COMPUTED_VALUE"""),"2041201086")</f>
        <v>2041201086</v>
      </c>
      <c r="N102" s="1" t="str">
        <f ca="1">IFERROR(__xludf.DUMMYFUNCTION("""COMPUTED_VALUE"""),"Departemen Teknik Kimia Industri")</f>
        <v>Departemen Teknik Kimia Industri</v>
      </c>
      <c r="O102" s="1" t="str">
        <f ca="1">IFERROR(__xludf.DUMMYFUNCTION("""COMPUTED_VALUE"""),"LATIFATUZ ZULFA")</f>
        <v>LATIFATUZ ZULFA</v>
      </c>
      <c r="P102" s="1" t="str">
        <f ca="1">IFERROR(__xludf.DUMMYFUNCTION("""COMPUTED_VALUE"""),"06211940000144")</f>
        <v>06211940000144</v>
      </c>
      <c r="Q102" s="1" t="str">
        <f ca="1">IFERROR(__xludf.DUMMYFUNCTION("""COMPUTED_VALUE"""),"Departemen Statistika")</f>
        <v>Departemen Statistika</v>
      </c>
      <c r="R102" s="1" t="str">
        <f ca="1">IFERROR(__xludf.DUMMYFUNCTION("""COMPUTED_VALUE"""),"Nur Farahizam Sari Harahap")</f>
        <v>Nur Farahizam Sari Harahap</v>
      </c>
      <c r="S102" s="1" t="str">
        <f ca="1">IFERROR(__xludf.DUMMYFUNCTION("""COMPUTED_VALUE"""),"06211940007003")</f>
        <v>06211940007003</v>
      </c>
      <c r="T102" s="1" t="str">
        <f ca="1">IFERROR(__xludf.DUMMYFUNCTION("""COMPUTED_VALUE"""),"Departemen Statistika")</f>
        <v>Departemen Statistika</v>
      </c>
      <c r="U102" s="1" t="str">
        <f ca="1">IFERROR(__xludf.DUMMYFUNCTION("""COMPUTED_VALUE"""),"Putu Gde Ariastita, S.T., M.T.")</f>
        <v>Putu Gde Ariastita, S.T., M.T.</v>
      </c>
      <c r="V102" s="1" t="str">
        <f ca="1">IFERROR(__xludf.DUMMYFUNCTION("""COMPUTED_VALUE"""),"Mahardika F. Rois, S.T, M.T")</f>
        <v>Mahardika F. Rois, S.T, M.T</v>
      </c>
      <c r="W102" s="1"/>
      <c r="X102" s="1" t="str">
        <f ca="1">IFERROR(__xludf.DUMMYFUNCTION("""COMPUTED_VALUE"""),"Lolos")</f>
        <v>Lolos</v>
      </c>
      <c r="Y102" s="1"/>
      <c r="Z102" s="1"/>
      <c r="AA102" s="1"/>
    </row>
    <row r="103" spans="1:27">
      <c r="A103" s="1" t="s">
        <v>101</v>
      </c>
      <c r="B103" s="1">
        <f ca="1">IFERROR(__xludf.DUMMYFUNCTION("""COMPUTED_VALUE"""),2438)</f>
        <v>2438</v>
      </c>
      <c r="C103" s="1" t="str">
        <f ca="1">IFERROR(__xludf.DUMMYFUNCTION("""COMPUTED_VALUE"""),"PKM Gagasan Tertulis")</f>
        <v>PKM Gagasan Tertulis</v>
      </c>
      <c r="D103" s="1" t="str">
        <f ca="1">IFERROR(__xludf.DUMMYFUNCTION("""COMPUTED_VALUE"""),"CareYOne: Sistem Pemantau Kondisi Kesehatan Mental dan Fisik Terintegrasi Database untuk Meningkatkan Kenyamanan dan Kualitas Pekerja Indonesia")</f>
        <v>CareYOne: Sistem Pemantau Kondisi Kesehatan Mental dan Fisik Terintegrasi Database untuk Meningkatkan Kenyamanan dan Kualitas Pekerja Indonesia</v>
      </c>
      <c r="E103" s="1" t="str">
        <f ca="1">IFERROR(__xludf.DUMMYFUNCTION("""COMPUTED_VALUE"""),"Benedicta S")</f>
        <v>Benedicta S</v>
      </c>
      <c r="F103" s="1" t="str">
        <f ca="1">IFERROR(__xludf.DUMMYFUNCTION("""COMPUTED_VALUE"""),"5023211029")</f>
        <v>5023211029</v>
      </c>
      <c r="G103" s="1" t="str">
        <f ca="1">IFERROR(__xludf.DUMMYFUNCTION("""COMPUTED_VALUE"""),"Departemen Teknik Biomedik")</f>
        <v>Departemen Teknik Biomedik</v>
      </c>
      <c r="H103" s="1" t="str">
        <f ca="1">IFERROR(__xludf.DUMMYFUNCTION("""COMPUTED_VALUE"""),"Muhammad Hilman Fatoni, S.T., M.T.")</f>
        <v>Muhammad Hilman Fatoni, S.T., M.T.</v>
      </c>
      <c r="I103" s="1" t="str">
        <f ca="1">IFERROR(__xludf.DUMMYFUNCTION("""COMPUTED_VALUE"""),"Firza Aji Zunaarta")</f>
        <v>Firza Aji Zunaarta</v>
      </c>
      <c r="J103" s="1" t="str">
        <f ca="1">IFERROR(__xludf.DUMMYFUNCTION("""COMPUTED_VALUE"""),"5023211002")</f>
        <v>5023211002</v>
      </c>
      <c r="K103" s="1" t="str">
        <f ca="1">IFERROR(__xludf.DUMMYFUNCTION("""COMPUTED_VALUE"""),"Departemen Teknik Biomedik")</f>
        <v>Departemen Teknik Biomedik</v>
      </c>
      <c r="L103" s="1" t="str">
        <f ca="1">IFERROR(__xludf.DUMMYFUNCTION("""COMPUTED_VALUE"""),"Isabelle Jessica")</f>
        <v>Isabelle Jessica</v>
      </c>
      <c r="M103" s="1" t="str">
        <f ca="1">IFERROR(__xludf.DUMMYFUNCTION("""COMPUTED_VALUE"""),"5023211022")</f>
        <v>5023211022</v>
      </c>
      <c r="N103" s="1" t="str">
        <f ca="1">IFERROR(__xludf.DUMMYFUNCTION("""COMPUTED_VALUE"""),"Departemen Teknik Biomedik")</f>
        <v>Departemen Teknik Biomedik</v>
      </c>
      <c r="O103" s="1" t="str">
        <f ca="1">IFERROR(__xludf.DUMMYFUNCTION("""COMPUTED_VALUE"""),"ANINDYA CLARASANTY")</f>
        <v>ANINDYA CLARASANTY</v>
      </c>
      <c r="P103" s="1" t="str">
        <f ca="1">IFERROR(__xludf.DUMMYFUNCTION("""COMPUTED_VALUE"""),"5023211005")</f>
        <v>5023211005</v>
      </c>
      <c r="Q103" s="1" t="str">
        <f ca="1">IFERROR(__xludf.DUMMYFUNCTION("""COMPUTED_VALUE"""),"Departemen Teknik Biomedik")</f>
        <v>Departemen Teknik Biomedik</v>
      </c>
      <c r="R103" s="1" t="str">
        <f ca="1">IFERROR(__xludf.DUMMYFUNCTION("""COMPUTED_VALUE"""),"Ni putu wira sekar m")</f>
        <v>Ni putu wira sekar m</v>
      </c>
      <c r="S103" s="1" t="str">
        <f ca="1">IFERROR(__xludf.DUMMYFUNCTION("""COMPUTED_VALUE"""),"5023211041")</f>
        <v>5023211041</v>
      </c>
      <c r="T103" s="1" t="str">
        <f ca="1">IFERROR(__xludf.DUMMYFUNCTION("""COMPUTED_VALUE"""),"Departemen Teknik Biomedik")</f>
        <v>Departemen Teknik Biomedik</v>
      </c>
      <c r="U103" s="1" t="str">
        <f ca="1">IFERROR(__xludf.DUMMYFUNCTION("""COMPUTED_VALUE"""),"Dyah Sawitri, S.T., M.T.")</f>
        <v>Dyah Sawitri, S.T., M.T.</v>
      </c>
      <c r="V103" s="1" t="str">
        <f ca="1">IFERROR(__xludf.DUMMYFUNCTION("""COMPUTED_VALUE"""),"Wimala Lalitya Dhanistha, S.T., M.T.")</f>
        <v>Wimala Lalitya Dhanistha, S.T., M.T.</v>
      </c>
      <c r="W103" s="1"/>
      <c r="X103" s="1" t="str">
        <f ca="1">IFERROR(__xludf.DUMMYFUNCTION("""COMPUTED_VALUE"""),"Lolos")</f>
        <v>Lolos</v>
      </c>
      <c r="Y103" s="1"/>
      <c r="Z103" s="1"/>
      <c r="AA103" s="1"/>
    </row>
    <row r="104" spans="1:27">
      <c r="A104" s="1" t="s">
        <v>102</v>
      </c>
      <c r="B104" s="1">
        <f ca="1">IFERROR(__xludf.DUMMYFUNCTION("""COMPUTED_VALUE"""),4046)</f>
        <v>4046</v>
      </c>
      <c r="C104" s="1" t="str">
        <f ca="1">IFERROR(__xludf.DUMMYFUNCTION("""COMPUTED_VALUE"""),"PKM Gagasan Tertulis")</f>
        <v>PKM Gagasan Tertulis</v>
      </c>
      <c r="D104" s="1" t="str">
        <f ca="1">IFERROR(__xludf.DUMMYFUNCTION("""COMPUTED_VALUE"""),"Pemanfaatan Power Tiles Pada Trotoar Sebagai Pengisi Battery Swapping Station Untuk Menciptakan Surabaya Kota Kendaraan Listrik")</f>
        <v>Pemanfaatan Power Tiles Pada Trotoar Sebagai Pengisi Battery Swapping Station Untuk Menciptakan Surabaya Kota Kendaraan Listrik</v>
      </c>
      <c r="E104" s="1" t="str">
        <f ca="1">IFERROR(__xludf.DUMMYFUNCTION("""COMPUTED_VALUE"""),"AISYIAH ANJELLICA NURRUL IZZA`")</f>
        <v>AISYIAH ANJELLICA NURRUL IZZA`</v>
      </c>
      <c r="F104" s="1" t="str">
        <f ca="1">IFERROR(__xludf.DUMMYFUNCTION("""COMPUTED_VALUE"""),"2042201006")</f>
        <v>2042201006</v>
      </c>
      <c r="G104" s="1" t="str">
        <f ca="1">IFERROR(__xludf.DUMMYFUNCTION("""COMPUTED_VALUE"""),"Departemen Teknik Instrumentasi")</f>
        <v>Departemen Teknik Instrumentasi</v>
      </c>
      <c r="H104" s="1" t="str">
        <f ca="1">IFERROR(__xludf.DUMMYFUNCTION("""COMPUTED_VALUE"""),"Safira Firdaus Mujiyanti, S.T., M.T.")</f>
        <v>Safira Firdaus Mujiyanti, S.T., M.T.</v>
      </c>
      <c r="I104" s="1" t="str">
        <f ca="1">IFERROR(__xludf.DUMMYFUNCTION("""COMPUTED_VALUE"""),"RIZAL FIQRI MUTTAQIN")</f>
        <v>RIZAL FIQRI MUTTAQIN</v>
      </c>
      <c r="J104" s="1" t="str">
        <f ca="1">IFERROR(__xludf.DUMMYFUNCTION("""COMPUTED_VALUE"""),"2042211120")</f>
        <v>2042211120</v>
      </c>
      <c r="K104" s="1" t="str">
        <f ca="1">IFERROR(__xludf.DUMMYFUNCTION("""COMPUTED_VALUE"""),"Departemen Teknik Instrumentasi")</f>
        <v>Departemen Teknik Instrumentasi</v>
      </c>
      <c r="L104" s="1" t="str">
        <f ca="1">IFERROR(__xludf.DUMMYFUNCTION("""COMPUTED_VALUE"""),"DINDA RISKIANA")</f>
        <v>DINDA RISKIANA</v>
      </c>
      <c r="M104" s="1" t="str">
        <f ca="1">IFERROR(__xludf.DUMMYFUNCTION("""COMPUTED_VALUE"""),"2042211090")</f>
        <v>2042211090</v>
      </c>
      <c r="N104" s="1" t="str">
        <f ca="1">IFERROR(__xludf.DUMMYFUNCTION("""COMPUTED_VALUE"""),"Departemen Teknik Instrumentasi")</f>
        <v>Departemen Teknik Instrumentasi</v>
      </c>
      <c r="O104" s="1" t="str">
        <f ca="1">IFERROR(__xludf.DUMMYFUNCTION("""COMPUTED_VALUE"""),"zalfaa shaafia")</f>
        <v>zalfaa shaafia</v>
      </c>
      <c r="P104" s="1" t="str">
        <f ca="1">IFERROR(__xludf.DUMMYFUNCTION("""COMPUTED_VALUE"""),"2042211035")</f>
        <v>2042211035</v>
      </c>
      <c r="Q104" s="1" t="str">
        <f ca="1">IFERROR(__xludf.DUMMYFUNCTION("""COMPUTED_VALUE"""),"Departemen Teknik Instrumentasi")</f>
        <v>Departemen Teknik Instrumentasi</v>
      </c>
      <c r="R104" s="1" t="str">
        <f ca="1">IFERROR(__xludf.DUMMYFUNCTION("""COMPUTED_VALUE"""),"Jacynda Valiant")</f>
        <v>Jacynda Valiant</v>
      </c>
      <c r="S104" s="1" t="str">
        <f ca="1">IFERROR(__xludf.DUMMYFUNCTION("""COMPUTED_VALUE"""),"2042211100")</f>
        <v>2042211100</v>
      </c>
      <c r="T104" s="1" t="str">
        <f ca="1">IFERROR(__xludf.DUMMYFUNCTION("""COMPUTED_VALUE"""),"Departemen Teknik Instrumentasi")</f>
        <v>Departemen Teknik Instrumentasi</v>
      </c>
      <c r="U104" s="1" t="str">
        <f ca="1">IFERROR(__xludf.DUMMYFUNCTION("""COMPUTED_VALUE"""),"Putu Gde Ariastita, S.T., M.T.")</f>
        <v>Putu Gde Ariastita, S.T., M.T.</v>
      </c>
      <c r="V104" s="1" t="str">
        <f ca="1">IFERROR(__xludf.DUMMYFUNCTION("""COMPUTED_VALUE"""),"Nova Maulidina Ashuri, S.Si., M.Si.")</f>
        <v>Nova Maulidina Ashuri, S.Si., M.Si.</v>
      </c>
      <c r="W104" s="1"/>
      <c r="X104" s="1" t="str">
        <f ca="1">IFERROR(__xludf.DUMMYFUNCTION("""COMPUTED_VALUE"""),"Lolos")</f>
        <v>Lolos</v>
      </c>
      <c r="Y104" s="1"/>
      <c r="Z104" s="1"/>
      <c r="AA104" s="1"/>
    </row>
    <row r="105" spans="1:27">
      <c r="A105" s="1" t="s">
        <v>103</v>
      </c>
      <c r="B105" s="1">
        <f ca="1">IFERROR(__xludf.DUMMYFUNCTION("""COMPUTED_VALUE"""),2377)</f>
        <v>2377</v>
      </c>
      <c r="C105" s="1" t="str">
        <f ca="1">IFERROR(__xludf.DUMMYFUNCTION("""COMPUTED_VALUE"""),"PKM Gagasan Tertulis")</f>
        <v>PKM Gagasan Tertulis</v>
      </c>
      <c r="D105" s="1" t="str">
        <f ca="1">IFERROR(__xludf.DUMMYFUNCTION("""COMPUTED_VALUE"""),"Smart Tent : Tenda Portabel Bertenaga Matahari Berbasis IOT Sebagai Penyedia Listrik dan Sinyal Darurat Bagi Daerah Terdampak Bencana alam.
")</f>
        <v xml:space="preserve">Smart Tent : Tenda Portabel Bertenaga Matahari Berbasis IOT Sebagai Penyedia Listrik dan Sinyal Darurat Bagi Daerah Terdampak Bencana alam.
</v>
      </c>
      <c r="E105" s="1" t="str">
        <f ca="1">IFERROR(__xludf.DUMMYFUNCTION("""COMPUTED_VALUE"""),"MUHAMMAD RIFQI RAHARDJO")</f>
        <v>MUHAMMAD RIFQI RAHARDJO</v>
      </c>
      <c r="F105" s="1" t="str">
        <f ca="1">IFERROR(__xludf.DUMMYFUNCTION("""COMPUTED_VALUE"""),"5022201007")</f>
        <v>5022201007</v>
      </c>
      <c r="G105" s="1" t="str">
        <f ca="1">IFERROR(__xludf.DUMMYFUNCTION("""COMPUTED_VALUE"""),"Departemen Teknik Elektro")</f>
        <v>Departemen Teknik Elektro</v>
      </c>
      <c r="H105" s="1" t="str">
        <f ca="1">IFERROR(__xludf.DUMMYFUNCTION("""COMPUTED_VALUE"""),"Dr. I Gusti Ngurah Satriyadi Hernanda, S.T., M.T.")</f>
        <v>Dr. I Gusti Ngurah Satriyadi Hernanda, S.T., M.T.</v>
      </c>
      <c r="I105" s="1" t="str">
        <f ca="1">IFERROR(__xludf.DUMMYFUNCTION("""COMPUTED_VALUE"""),"NAMIRA ROUDLOTUL JANNAH")</f>
        <v>NAMIRA ROUDLOTUL JANNAH</v>
      </c>
      <c r="J105" s="1" t="str">
        <f ca="1">IFERROR(__xludf.DUMMYFUNCTION("""COMPUTED_VALUE"""),"07111840000127")</f>
        <v>07111840000127</v>
      </c>
      <c r="K105" s="1" t="str">
        <f ca="1">IFERROR(__xludf.DUMMYFUNCTION("""COMPUTED_VALUE"""),"Departemen Teknik Elektro")</f>
        <v>Departemen Teknik Elektro</v>
      </c>
      <c r="L105" s="1" t="str">
        <f ca="1">IFERROR(__xludf.DUMMYFUNCTION("""COMPUTED_VALUE"""),"RENO DARIN KHALIFAH PANARUNG")</f>
        <v>RENO DARIN KHALIFAH PANARUNG</v>
      </c>
      <c r="M105" s="1" t="str">
        <f ca="1">IFERROR(__xludf.DUMMYFUNCTION("""COMPUTED_VALUE"""),"07111940000156")</f>
        <v>07111940000156</v>
      </c>
      <c r="N105" s="1" t="str">
        <f ca="1">IFERROR(__xludf.DUMMYFUNCTION("""COMPUTED_VALUE"""),"Departemen Teknik Elektro")</f>
        <v>Departemen Teknik Elektro</v>
      </c>
      <c r="O105" s="1" t="str">
        <f ca="1">IFERROR(__xludf.DUMMYFUNCTION("""COMPUTED_VALUE"""),"DZACKY AULIA DIEZA")</f>
        <v>DZACKY AULIA DIEZA</v>
      </c>
      <c r="P105" s="1" t="str">
        <f ca="1">IFERROR(__xludf.DUMMYFUNCTION("""COMPUTED_VALUE"""),"5022201093")</f>
        <v>5022201093</v>
      </c>
      <c r="Q105" s="1" t="str">
        <f ca="1">IFERROR(__xludf.DUMMYFUNCTION("""COMPUTED_VALUE"""),"Departemen Teknik Elektro")</f>
        <v>Departemen Teknik Elektro</v>
      </c>
      <c r="R105" s="1" t="str">
        <f ca="1">IFERROR(__xludf.DUMMYFUNCTION("""COMPUTED_VALUE"""),"ADAMS TRYAS ALFIAN")</f>
        <v>ADAMS TRYAS ALFIAN</v>
      </c>
      <c r="S105" s="1" t="str">
        <f ca="1">IFERROR(__xludf.DUMMYFUNCTION("""COMPUTED_VALUE"""),"5022201061")</f>
        <v>5022201061</v>
      </c>
      <c r="T105" s="1" t="str">
        <f ca="1">IFERROR(__xludf.DUMMYFUNCTION("""COMPUTED_VALUE"""),"Departemen Teknik Elektro")</f>
        <v>Departemen Teknik Elektro</v>
      </c>
      <c r="U105" s="1" t="str">
        <f ca="1">IFERROR(__xludf.DUMMYFUNCTION("""COMPUTED_VALUE"""),"Dr.-Ing. Doty Dewi Risanti, S.T., M.T.")</f>
        <v>Dr.-Ing. Doty Dewi Risanti, S.T., M.T.</v>
      </c>
      <c r="V105" s="1" t="str">
        <f ca="1">IFERROR(__xludf.DUMMYFUNCTION("""COMPUTED_VALUE"""),"Rivan Aji Wahyu Dyan Syafitri, S.PWK, M.Ars.")</f>
        <v>Rivan Aji Wahyu Dyan Syafitri, S.PWK, M.Ars.</v>
      </c>
      <c r="W105" s="1"/>
      <c r="X105" s="1" t="str">
        <f ca="1">IFERROR(__xludf.DUMMYFUNCTION("""COMPUTED_VALUE"""),"Lolos")</f>
        <v>Lolos</v>
      </c>
      <c r="Y105" s="1"/>
      <c r="Z105" s="1"/>
      <c r="AA105" s="1"/>
    </row>
    <row r="106" spans="1:27">
      <c r="A106" s="1" t="s">
        <v>104</v>
      </c>
      <c r="B106" s="1">
        <f ca="1">IFERROR(__xludf.DUMMYFUNCTION("""COMPUTED_VALUE"""),2086)</f>
        <v>2086</v>
      </c>
      <c r="C106" s="1" t="str">
        <f ca="1">IFERROR(__xludf.DUMMYFUNCTION("""COMPUTED_VALUE"""),"PKM Gagasan Tertulis")</f>
        <v>PKM Gagasan Tertulis</v>
      </c>
      <c r="D106" s="1" t="str">
        <f ca="1">IFERROR(__xludf.DUMMYFUNCTION("""COMPUTED_VALUE"""),"ARAHAN PENGEMBANGAN RUANG TERBUKA HIJAU DI KAWASAN INDUSTRI TERPADU BATANG DENGAN KONSEP GREEN- BLUE OPEN SPACE ")</f>
        <v xml:space="preserve">ARAHAN PENGEMBANGAN RUANG TERBUKA HIJAU DI KAWASAN INDUSTRI TERPADU BATANG DENGAN KONSEP GREEN- BLUE OPEN SPACE </v>
      </c>
      <c r="E106" s="1" t="str">
        <f ca="1">IFERROR(__xludf.DUMMYFUNCTION("""COMPUTED_VALUE"""),"NAURA ATHIRA ARDIANTI")</f>
        <v>NAURA ATHIRA ARDIANTI</v>
      </c>
      <c r="F106" s="1" t="str">
        <f ca="1">IFERROR(__xludf.DUMMYFUNCTION("""COMPUTED_VALUE"""),"08211840000093")</f>
        <v>08211840000093</v>
      </c>
      <c r="G106" s="1" t="str">
        <f ca="1">IFERROR(__xludf.DUMMYFUNCTION("""COMPUTED_VALUE"""),"Departemen Perencanaan Wilayah dan Kota")</f>
        <v>Departemen Perencanaan Wilayah dan Kota</v>
      </c>
      <c r="H106" s="1" t="str">
        <f ca="1">IFERROR(__xludf.DUMMYFUNCTION("""COMPUTED_VALUE"""),"Ardy Maulidy Navastara, S.T., M.T.")</f>
        <v>Ardy Maulidy Navastara, S.T., M.T.</v>
      </c>
      <c r="I106" s="1" t="str">
        <f ca="1">IFERROR(__xludf.DUMMYFUNCTION("""COMPUTED_VALUE"""),"HANANTA RIZKY BRAHMANTYA BAGASKARA")</f>
        <v>HANANTA RIZKY BRAHMANTYA BAGASKARA</v>
      </c>
      <c r="J106" s="1" t="str">
        <f ca="1">IFERROR(__xludf.DUMMYFUNCTION("""COMPUTED_VALUE"""),"08211940000060")</f>
        <v>08211940000060</v>
      </c>
      <c r="K106" s="1" t="str">
        <f ca="1">IFERROR(__xludf.DUMMYFUNCTION("""COMPUTED_VALUE"""),"Departemen Perencanaan Wilayah dan Kota")</f>
        <v>Departemen Perencanaan Wilayah dan Kota</v>
      </c>
      <c r="L106" s="1" t="str">
        <f ca="1">IFERROR(__xludf.DUMMYFUNCTION("""COMPUTED_VALUE"""),"HIZKIA NARENDRADI")</f>
        <v>HIZKIA NARENDRADI</v>
      </c>
      <c r="M106" s="1" t="str">
        <f ca="1">IFERROR(__xludf.DUMMYFUNCTION("""COMPUTED_VALUE"""),"08211940000079")</f>
        <v>08211940000079</v>
      </c>
      <c r="N106" s="1" t="str">
        <f ca="1">IFERROR(__xludf.DUMMYFUNCTION("""COMPUTED_VALUE"""),"Departemen Perencanaan Wilayah dan Kota")</f>
        <v>Departemen Perencanaan Wilayah dan Kota</v>
      </c>
      <c r="O106" s="1" t="str">
        <f ca="1">IFERROR(__xludf.DUMMYFUNCTION("""COMPUTED_VALUE"""),"NADHIF AMIN NAGATA TRISMANA")</f>
        <v>NADHIF AMIN NAGATA TRISMANA</v>
      </c>
      <c r="P106" s="1" t="str">
        <f ca="1">IFERROR(__xludf.DUMMYFUNCTION("""COMPUTED_VALUE"""),"5015201089")</f>
        <v>5015201089</v>
      </c>
      <c r="Q106" s="1" t="str">
        <f ca="1">IFERROR(__xludf.DUMMYFUNCTION("""COMPUTED_VALUE"""),"Departemen Perencanaan Wilayah dan Kota")</f>
        <v>Departemen Perencanaan Wilayah dan Kota</v>
      </c>
      <c r="R106" s="1"/>
      <c r="S106" s="1"/>
      <c r="T106" s="1"/>
      <c r="U106" s="1" t="str">
        <f ca="1">IFERROR(__xludf.DUMMYFUNCTION("""COMPUTED_VALUE"""),"Dyah Sawitri, S.T., M.T.")</f>
        <v>Dyah Sawitri, S.T., M.T.</v>
      </c>
      <c r="V106" s="1" t="str">
        <f ca="1">IFERROR(__xludf.DUMMYFUNCTION("""COMPUTED_VALUE"""),"Nova Maulidina Ashuri, S.Si., M.Si.")</f>
        <v>Nova Maulidina Ashuri, S.Si., M.Si.</v>
      </c>
      <c r="W106" s="1"/>
      <c r="X106" s="1" t="str">
        <f ca="1">IFERROR(__xludf.DUMMYFUNCTION("""COMPUTED_VALUE"""),"Lolos")</f>
        <v>Lolos</v>
      </c>
      <c r="Y106" s="1"/>
      <c r="Z106" s="1"/>
      <c r="AA106" s="1"/>
    </row>
    <row r="107" spans="1:27">
      <c r="A107" s="1" t="s">
        <v>105</v>
      </c>
      <c r="B107" s="1">
        <f ca="1">IFERROR(__xludf.DUMMYFUNCTION("""COMPUTED_VALUE"""),2614)</f>
        <v>2614</v>
      </c>
      <c r="C107" s="1" t="str">
        <f ca="1">IFERROR(__xludf.DUMMYFUNCTION("""COMPUTED_VALUE"""),"PKM Gagasan Tertulis")</f>
        <v>PKM Gagasan Tertulis</v>
      </c>
      <c r="D107" s="1" t="str">
        <f ca="1">IFERROR(__xludf.DUMMYFUNCTION("""COMPUTED_VALUE"""),"EduAI: Solusi Pemberdayaan Sumber Daya Manusia melalui Pendidikan Dukung Indonesia Emas 2045")</f>
        <v>EduAI: Solusi Pemberdayaan Sumber Daya Manusia melalui Pendidikan Dukung Indonesia Emas 2045</v>
      </c>
      <c r="E107" s="1" t="str">
        <f ca="1">IFERROR(__xludf.DUMMYFUNCTION("""COMPUTED_VALUE"""),"RESKY ANDI WICAKSONO")</f>
        <v>RESKY ANDI WICAKSONO</v>
      </c>
      <c r="F107" s="1" t="str">
        <f ca="1">IFERROR(__xludf.DUMMYFUNCTION("""COMPUTED_VALUE"""),"5002211011")</f>
        <v>5002211011</v>
      </c>
      <c r="G107" s="1" t="str">
        <f ca="1">IFERROR(__xludf.DUMMYFUNCTION("""COMPUTED_VALUE"""),"Departemen Matematika")</f>
        <v>Departemen Matematika</v>
      </c>
      <c r="H107" s="1" t="str">
        <f ca="1">IFERROR(__xludf.DUMMYFUNCTION("""COMPUTED_VALUE"""),"Mohammad Iqbal, S.Si., M.Si.")</f>
        <v>Mohammad Iqbal, S.Si., M.Si.</v>
      </c>
      <c r="I107" s="1" t="str">
        <f ca="1">IFERROR(__xludf.DUMMYFUNCTION("""COMPUTED_VALUE"""),"WIJAYA SAKTI MUHAMMAD SAMPURNA")</f>
        <v>WIJAYA SAKTI MUHAMMAD SAMPURNA</v>
      </c>
      <c r="J107" s="1" t="str">
        <f ca="1">IFERROR(__xludf.DUMMYFUNCTION("""COMPUTED_VALUE"""),"02411840000144")</f>
        <v>02411840000144</v>
      </c>
      <c r="K107" s="1" t="str">
        <f ca="1">IFERROR(__xludf.DUMMYFUNCTION("""COMPUTED_VALUE"""),"Departemen Teknik Sistem dan Industri")</f>
        <v>Departemen Teknik Sistem dan Industri</v>
      </c>
      <c r="L107" s="1" t="str">
        <f ca="1">IFERROR(__xludf.DUMMYFUNCTION("""COMPUTED_VALUE"""),"GAUDENSIUS NICHOLAS LEANDER")</f>
        <v>GAUDENSIUS NICHOLAS LEANDER</v>
      </c>
      <c r="M107" s="1" t="str">
        <f ca="1">IFERROR(__xludf.DUMMYFUNCTION("""COMPUTED_VALUE"""),"5008201161")</f>
        <v>5008201161</v>
      </c>
      <c r="N107" s="1" t="str">
        <f ca="1">IFERROR(__xludf.DUMMYFUNCTION("""COMPUTED_VALUE"""),"Departemen Teknik Kimia")</f>
        <v>Departemen Teknik Kimia</v>
      </c>
      <c r="O107" s="1" t="str">
        <f ca="1">IFERROR(__xludf.DUMMYFUNCTION("""COMPUTED_VALUE"""),"INDA USHA RANI")</f>
        <v>INDA USHA RANI</v>
      </c>
      <c r="P107" s="1" t="str">
        <f ca="1">IFERROR(__xludf.DUMMYFUNCTION("""COMPUTED_VALUE"""),"5006211060")</f>
        <v>5006211060</v>
      </c>
      <c r="Q107" s="1" t="str">
        <f ca="1">IFERROR(__xludf.DUMMYFUNCTION("""COMPUTED_VALUE"""),"Departemen Aktuaria")</f>
        <v>Departemen Aktuaria</v>
      </c>
      <c r="R107" s="1"/>
      <c r="S107" s="1"/>
      <c r="T107" s="1"/>
      <c r="U107" s="1" t="str">
        <f ca="1">IFERROR(__xludf.DUMMYFUNCTION("""COMPUTED_VALUE"""),"Putu Gde Ariastita, S.T., M.T.")</f>
        <v>Putu Gde Ariastita, S.T., M.T.</v>
      </c>
      <c r="V107" s="1" t="str">
        <f ca="1">IFERROR(__xludf.DUMMYFUNCTION("""COMPUTED_VALUE"""),"Nova Maulidina Ashuri, S.Si., M.Si.")</f>
        <v>Nova Maulidina Ashuri, S.Si., M.Si.</v>
      </c>
      <c r="W107" s="1"/>
      <c r="X107" s="1" t="str">
        <f ca="1">IFERROR(__xludf.DUMMYFUNCTION("""COMPUTED_VALUE"""),"Lolos")</f>
        <v>Lolos</v>
      </c>
      <c r="Y107" s="1"/>
      <c r="Z107" s="1"/>
      <c r="AA107" s="1"/>
    </row>
    <row r="108" spans="1:27">
      <c r="A108" s="1" t="s">
        <v>106</v>
      </c>
      <c r="B108" s="1">
        <f ca="1">IFERROR(__xludf.DUMMYFUNCTION("""COMPUTED_VALUE"""),2157)</f>
        <v>2157</v>
      </c>
      <c r="C108" s="1" t="str">
        <f ca="1">IFERROR(__xludf.DUMMYFUNCTION("""COMPUTED_VALUE"""),"PKM Gagasan Tertulis")</f>
        <v>PKM Gagasan Tertulis</v>
      </c>
      <c r="D108" s="1" t="str">
        <f ca="1">IFERROR(__xludf.DUMMYFUNCTION("""COMPUTED_VALUE"""),"KenaliDiri: Sistem Informasi Genetik Terintegrasi Berbasis Whole Genome
Sequencing Sebagai  Personalized Medicine dan Pendeteksi Dini Penyakit Genetik Penduduk Indonesia
")</f>
        <v xml:space="preserve">KenaliDiri: Sistem Informasi Genetik Terintegrasi Berbasis Whole Genome
Sequencing Sebagai  Personalized Medicine dan Pendeteksi Dini Penyakit Genetik Penduduk Indonesia
</v>
      </c>
      <c r="E108" s="1" t="str">
        <f ca="1">IFERROR(__xludf.DUMMYFUNCTION("""COMPUTED_VALUE"""),"Muhammad Daffa K. P.")</f>
        <v>Muhammad Daffa K. P.</v>
      </c>
      <c r="F108" s="1" t="str">
        <f ca="1">IFERROR(__xludf.DUMMYFUNCTION("""COMPUTED_VALUE"""),"5023211038")</f>
        <v>5023211038</v>
      </c>
      <c r="G108" s="1" t="str">
        <f ca="1">IFERROR(__xludf.DUMMYFUNCTION("""COMPUTED_VALUE"""),"Departemen Teknik Biomedik")</f>
        <v>Departemen Teknik Biomedik</v>
      </c>
      <c r="H108" s="1" t="str">
        <f ca="1">IFERROR(__xludf.DUMMYFUNCTION("""COMPUTED_VALUE"""),"Nada Fitrieyatul Hikmah, S.T., M.T.")</f>
        <v>Nada Fitrieyatul Hikmah, S.T., M.T.</v>
      </c>
      <c r="I108" s="1" t="str">
        <f ca="1">IFERROR(__xludf.DUMMYFUNCTION("""COMPUTED_VALUE"""),"Firza Aji Zunaarta")</f>
        <v>Firza Aji Zunaarta</v>
      </c>
      <c r="J108" s="1" t="str">
        <f ca="1">IFERROR(__xludf.DUMMYFUNCTION("""COMPUTED_VALUE"""),"5023211002")</f>
        <v>5023211002</v>
      </c>
      <c r="K108" s="1" t="str">
        <f ca="1">IFERROR(__xludf.DUMMYFUNCTION("""COMPUTED_VALUE"""),"Departemen Teknik Biomedik")</f>
        <v>Departemen Teknik Biomedik</v>
      </c>
      <c r="L108" s="1" t="str">
        <f ca="1">IFERROR(__xludf.DUMMYFUNCTION("""COMPUTED_VALUE"""),"Michelle Casey")</f>
        <v>Michelle Casey</v>
      </c>
      <c r="M108" s="1" t="str">
        <f ca="1">IFERROR(__xludf.DUMMYFUNCTION("""COMPUTED_VALUE"""),"5023211003")</f>
        <v>5023211003</v>
      </c>
      <c r="N108" s="1" t="str">
        <f ca="1">IFERROR(__xludf.DUMMYFUNCTION("""COMPUTED_VALUE"""),"Departemen Teknik Biomedik")</f>
        <v>Departemen Teknik Biomedik</v>
      </c>
      <c r="O108" s="1" t="str">
        <f ca="1">IFERROR(__xludf.DUMMYFUNCTION("""COMPUTED_VALUE"""),"Abyan Zhafran Trisna")</f>
        <v>Abyan Zhafran Trisna</v>
      </c>
      <c r="P108" s="1" t="str">
        <f ca="1">IFERROR(__xludf.DUMMYFUNCTION("""COMPUTED_VALUE"""),"5025211218")</f>
        <v>5025211218</v>
      </c>
      <c r="Q108" s="1" t="str">
        <f ca="1">IFERROR(__xludf.DUMMYFUNCTION("""COMPUTED_VALUE"""),"Departemen Teknik Informatika")</f>
        <v>Departemen Teknik Informatika</v>
      </c>
      <c r="R108" s="1" t="str">
        <f ca="1">IFERROR(__xludf.DUMMYFUNCTION("""COMPUTED_VALUE"""),"Nur Azizah")</f>
        <v>Nur Azizah</v>
      </c>
      <c r="S108" s="1" t="str">
        <f ca="1">IFERROR(__xludf.DUMMYFUNCTION("""COMPUTED_VALUE"""),"5025211252")</f>
        <v>5025211252</v>
      </c>
      <c r="T108" s="1" t="str">
        <f ca="1">IFERROR(__xludf.DUMMYFUNCTION("""COMPUTED_VALUE"""),"Departemen Teknik Informatika")</f>
        <v>Departemen Teknik Informatika</v>
      </c>
      <c r="U108" s="1" t="str">
        <f ca="1">IFERROR(__xludf.DUMMYFUNCTION("""COMPUTED_VALUE"""),"Putu Gde Ariastita, S.T., M.T.")</f>
        <v>Putu Gde Ariastita, S.T., M.T.</v>
      </c>
      <c r="V108" s="1" t="str">
        <f ca="1">IFERROR(__xludf.DUMMYFUNCTION("""COMPUTED_VALUE"""),"Mahardika F. Rois, S.T, M.T")</f>
        <v>Mahardika F. Rois, S.T, M.T</v>
      </c>
      <c r="W108" s="1"/>
      <c r="X108" s="1" t="str">
        <f ca="1">IFERROR(__xludf.DUMMYFUNCTION("""COMPUTED_VALUE"""),"Lolos")</f>
        <v>Lolos</v>
      </c>
      <c r="Y108" s="1"/>
      <c r="Z108" s="1"/>
      <c r="AA108" s="1"/>
    </row>
    <row r="109" spans="1:27">
      <c r="A109" s="1" t="s">
        <v>107</v>
      </c>
      <c r="B109" s="1">
        <f ca="1">IFERROR(__xludf.DUMMYFUNCTION("""COMPUTED_VALUE"""),3044)</f>
        <v>3044</v>
      </c>
      <c r="C109" s="1" t="str">
        <f ca="1">IFERROR(__xludf.DUMMYFUNCTION("""COMPUTED_VALUE"""),"PKM Gagasan Tertulis")</f>
        <v>PKM Gagasan Tertulis</v>
      </c>
      <c r="D109" s="1" t="str">
        <f ca="1">IFERROR(__xludf.DUMMYFUNCTION("""COMPUTED_VALUE"""),"NEOTRAD SETTLEMENT: PENERAPAN POLA PERMUKIMAN TRADISIONAL GUNA MENGIKAT SIKLUS CO2 PADA KAWASAN PERMUKIMAN IBU KOTA BARU")</f>
        <v>NEOTRAD SETTLEMENT: PENERAPAN POLA PERMUKIMAN TRADISIONAL GUNA MENGIKAT SIKLUS CO2 PADA KAWASAN PERMUKIMAN IBU KOTA BARU</v>
      </c>
      <c r="E109" s="1" t="str">
        <f ca="1">IFERROR(__xludf.DUMMYFUNCTION("""COMPUTED_VALUE"""),"SALMA ARSYI NURANI")</f>
        <v>SALMA ARSYI NURANI</v>
      </c>
      <c r="F109" s="1" t="str">
        <f ca="1">IFERROR(__xludf.DUMMYFUNCTION("""COMPUTED_VALUE"""),"5029211038")</f>
        <v>5029211038</v>
      </c>
      <c r="G109" s="1" t="str">
        <f ca="1">IFERROR(__xludf.DUMMYFUNCTION("""COMPUTED_VALUE"""),"Departemen Desain Interior")</f>
        <v>Departemen Desain Interior</v>
      </c>
      <c r="H109" s="1" t="str">
        <f ca="1">IFERROR(__xludf.DUMMYFUNCTION("""COMPUTED_VALUE"""),"Okta Putra Setio Ardianto, S.T., M.T.")</f>
        <v>Okta Putra Setio Ardianto, S.T., M.T.</v>
      </c>
      <c r="I109" s="1" t="str">
        <f ca="1">IFERROR(__xludf.DUMMYFUNCTION("""COMPUTED_VALUE"""),"Elsa Aura Nabila")</f>
        <v>Elsa Aura Nabila</v>
      </c>
      <c r="J109" s="1" t="str">
        <f ca="1">IFERROR(__xludf.DUMMYFUNCTION("""COMPUTED_VALUE"""),"5029211001")</f>
        <v>5029211001</v>
      </c>
      <c r="K109" s="1" t="str">
        <f ca="1">IFERROR(__xludf.DUMMYFUNCTION("""COMPUTED_VALUE"""),"Departemen Desain Interior")</f>
        <v>Departemen Desain Interior</v>
      </c>
      <c r="L109" s="1" t="str">
        <f ca="1">IFERROR(__xludf.DUMMYFUNCTION("""COMPUTED_VALUE"""),"Tafiyuddin Nauval I")</f>
        <v>Tafiyuddin Nauval I</v>
      </c>
      <c r="M109" s="1" t="str">
        <f ca="1">IFERROR(__xludf.DUMMYFUNCTION("""COMPUTED_VALUE"""),"5029211011")</f>
        <v>5029211011</v>
      </c>
      <c r="N109" s="1" t="str">
        <f ca="1">IFERROR(__xludf.DUMMYFUNCTION("""COMPUTED_VALUE"""),"Departemen Desain Interior")</f>
        <v>Departemen Desain Interior</v>
      </c>
      <c r="O109" s="1" t="str">
        <f ca="1">IFERROR(__xludf.DUMMYFUNCTION("""COMPUTED_VALUE"""),"EMILIA NOFISARI")</f>
        <v>EMILIA NOFISARI</v>
      </c>
      <c r="P109" s="1" t="str">
        <f ca="1">IFERROR(__xludf.DUMMYFUNCTION("""COMPUTED_VALUE"""),"5029211014")</f>
        <v>5029211014</v>
      </c>
      <c r="Q109" s="1" t="str">
        <f ca="1">IFERROR(__xludf.DUMMYFUNCTION("""COMPUTED_VALUE"""),"Departemen Desain Interior")</f>
        <v>Departemen Desain Interior</v>
      </c>
      <c r="R109" s="1" t="str">
        <f ca="1">IFERROR(__xludf.DUMMYFUNCTION("""COMPUTED_VALUE"""),"GEESHA NOOR ZAM ZAM")</f>
        <v>GEESHA NOOR ZAM ZAM</v>
      </c>
      <c r="S109" s="1" t="str">
        <f ca="1">IFERROR(__xludf.DUMMYFUNCTION("""COMPUTED_VALUE"""),"5013201039")</f>
        <v>5013201039</v>
      </c>
      <c r="T109" s="1" t="str">
        <f ca="1">IFERROR(__xludf.DUMMYFUNCTION("""COMPUTED_VALUE"""),"Departemen Arsitektur")</f>
        <v>Departemen Arsitektur</v>
      </c>
      <c r="U109" s="1" t="str">
        <f ca="1">IFERROR(__xludf.DUMMYFUNCTION("""COMPUTED_VALUE"""),"Prof. Ir. Aguk Zuhdi Muhammad Fathallah, M.Eng., Ph.D.")</f>
        <v>Prof. Ir. Aguk Zuhdi Muhammad Fathallah, M.Eng., Ph.D.</v>
      </c>
      <c r="V109" s="1" t="str">
        <f ca="1">IFERROR(__xludf.DUMMYFUNCTION("""COMPUTED_VALUE"""),"Ahmad Fauzan Adziimaa, S.T., M.Sc.")</f>
        <v>Ahmad Fauzan Adziimaa, S.T., M.Sc.</v>
      </c>
      <c r="W109" s="1"/>
      <c r="X109" s="1" t="str">
        <f ca="1">IFERROR(__xludf.DUMMYFUNCTION("""COMPUTED_VALUE"""),"Lolos")</f>
        <v>Lolos</v>
      </c>
      <c r="Y109" s="1"/>
      <c r="Z109" s="1"/>
      <c r="AA109" s="1"/>
    </row>
    <row r="110" spans="1:27">
      <c r="A110" s="1" t="s">
        <v>108</v>
      </c>
      <c r="B110" s="1">
        <f ca="1">IFERROR(__xludf.DUMMYFUNCTION("""COMPUTED_VALUE"""),2211)</f>
        <v>2211</v>
      </c>
      <c r="C110" s="1" t="str">
        <f ca="1">IFERROR(__xludf.DUMMYFUNCTION("""COMPUTED_VALUE"""),"PKM Gagasan Tertulis")</f>
        <v>PKM Gagasan Tertulis</v>
      </c>
      <c r="D110" s="1" t="str">
        <f ca="1">IFERROR(__xludf.DUMMYFUNCTION("""COMPUTED_VALUE"""),"Sistem Pengolahan Limbah Baterai Berteknologi Hydrometallurgy Identification Process Terintegrasi IoT guna mendudukung Zero Emissions 2040 di kawasasan Asia Tenggara")</f>
        <v>Sistem Pengolahan Limbah Baterai Berteknologi Hydrometallurgy Identification Process Terintegrasi IoT guna mendudukung Zero Emissions 2040 di kawasasan Asia Tenggara</v>
      </c>
      <c r="E110" s="1" t="str">
        <f ca="1">IFERROR(__xludf.DUMMYFUNCTION("""COMPUTED_VALUE"""),"ANDRA CAHAYA KHALIEF")</f>
        <v>ANDRA CAHAYA KHALIEF</v>
      </c>
      <c r="F110" s="1" t="str">
        <f ca="1">IFERROR(__xludf.DUMMYFUNCTION("""COMPUTED_VALUE"""),"07111940000116")</f>
        <v>07111940000116</v>
      </c>
      <c r="G110" s="1" t="str">
        <f ca="1">IFERROR(__xludf.DUMMYFUNCTION("""COMPUTED_VALUE"""),"Departemen Teknik Elektro")</f>
        <v>Departemen Teknik Elektro</v>
      </c>
      <c r="H110" s="1" t="str">
        <f ca="1">IFERROR(__xludf.DUMMYFUNCTION("""COMPUTED_VALUE"""),"Dr.Ir. Ni Ketut Aryani, M.T.")</f>
        <v>Dr.Ir. Ni Ketut Aryani, M.T.</v>
      </c>
      <c r="I110" s="1" t="str">
        <f ca="1">IFERROR(__xludf.DUMMYFUNCTION("""COMPUTED_VALUE"""),"Mochammad Adri Satria Musti")</f>
        <v>Mochammad Adri Satria Musti</v>
      </c>
      <c r="J110" s="1" t="str">
        <f ca="1">IFERROR(__xludf.DUMMYFUNCTION("""COMPUTED_VALUE"""),"07111940000002")</f>
        <v>07111940000002</v>
      </c>
      <c r="K110" s="1" t="str">
        <f ca="1">IFERROR(__xludf.DUMMYFUNCTION("""COMPUTED_VALUE"""),"Departemen Teknik Elektro")</f>
        <v>Departemen Teknik Elektro</v>
      </c>
      <c r="L110" s="1" t="str">
        <f ca="1">IFERROR(__xludf.DUMMYFUNCTION("""COMPUTED_VALUE"""),"HUSNUL ROHMA")</f>
        <v>HUSNUL ROHMA</v>
      </c>
      <c r="M110" s="1" t="str">
        <f ca="1">IFERROR(__xludf.DUMMYFUNCTION("""COMPUTED_VALUE"""),"01211940000078")</f>
        <v>01211940000078</v>
      </c>
      <c r="N110" s="1" t="str">
        <f ca="1">IFERROR(__xludf.DUMMYFUNCTION("""COMPUTED_VALUE"""),"Departemen Kimia")</f>
        <v>Departemen Kimia</v>
      </c>
      <c r="O110" s="1" t="str">
        <f ca="1">IFERROR(__xludf.DUMMYFUNCTION("""COMPUTED_VALUE"""),"M SYAHRUL RAMADHANI")</f>
        <v>M SYAHRUL RAMADHANI</v>
      </c>
      <c r="P110" s="1" t="str">
        <f ca="1">IFERROR(__xludf.DUMMYFUNCTION("""COMPUTED_VALUE"""),"5022201073")</f>
        <v>5022201073</v>
      </c>
      <c r="Q110" s="1" t="str">
        <f ca="1">IFERROR(__xludf.DUMMYFUNCTION("""COMPUTED_VALUE"""),"Departemen Teknik Elektro")</f>
        <v>Departemen Teknik Elektro</v>
      </c>
      <c r="R110" s="1" t="str">
        <f ca="1">IFERROR(__xludf.DUMMYFUNCTION("""COMPUTED_VALUE"""),"Salman Alfarisi Sulaiman")</f>
        <v>Salman Alfarisi Sulaiman</v>
      </c>
      <c r="S110" s="1" t="str">
        <f ca="1">IFERROR(__xludf.DUMMYFUNCTION("""COMPUTED_VALUE"""),"08511940000008")</f>
        <v>08511940000008</v>
      </c>
      <c r="T110" s="1" t="str">
        <f ca="1">IFERROR(__xludf.DUMMYFUNCTION("""COMPUTED_VALUE"""),"Departemen Desain Komunikasi Visual")</f>
        <v>Departemen Desain Komunikasi Visual</v>
      </c>
      <c r="U110" s="1" t="str">
        <f ca="1">IFERROR(__xludf.DUMMYFUNCTION("""COMPUTED_VALUE"""),"Putu Gde Ariastita, S.T., M.T.")</f>
        <v>Putu Gde Ariastita, S.T., M.T.</v>
      </c>
      <c r="V110" s="1" t="str">
        <f ca="1">IFERROR(__xludf.DUMMYFUNCTION("""COMPUTED_VALUE"""),"Mahardika F. Rois, S.T, M.T")</f>
        <v>Mahardika F. Rois, S.T, M.T</v>
      </c>
      <c r="W110" s="1"/>
      <c r="X110" s="1" t="str">
        <f ca="1">IFERROR(__xludf.DUMMYFUNCTION("""COMPUTED_VALUE"""),"Lolos")</f>
        <v>Lolos</v>
      </c>
      <c r="Y110" s="1"/>
      <c r="Z110" s="1"/>
      <c r="AA110" s="1"/>
    </row>
    <row r="111" spans="1:27">
      <c r="A111" s="1" t="s">
        <v>109</v>
      </c>
      <c r="B111" s="1">
        <f ca="1">IFERROR(__xludf.DUMMYFUNCTION("""COMPUTED_VALUE"""),2815)</f>
        <v>2815</v>
      </c>
      <c r="C111" s="1" t="str">
        <f ca="1">IFERROR(__xludf.DUMMYFUNCTION("""COMPUTED_VALUE"""),"PKM Gagasan Tertulis")</f>
        <v>PKM Gagasan Tertulis</v>
      </c>
      <c r="D111" s="1" t="str">
        <f ca="1">IFERROR(__xludf.DUMMYFUNCTION("""COMPUTED_VALUE"""),"INUBASE (Indonesian's Natuna Underwater Base) : Pangkalan Bawah Laut untuk Pertahanan dan Riset Perairan Natuna")</f>
        <v>INUBASE (Indonesian's Natuna Underwater Base) : Pangkalan Bawah Laut untuk Pertahanan dan Riset Perairan Natuna</v>
      </c>
      <c r="E111" s="1" t="str">
        <f ca="1">IFERROR(__xludf.DUMMYFUNCTION("""COMPUTED_VALUE"""),"RAPHAEL CHRISTANTO")</f>
        <v>RAPHAEL CHRISTANTO</v>
      </c>
      <c r="F111" s="1" t="str">
        <f ca="1">IFERROR(__xludf.DUMMYFUNCTION("""COMPUTED_VALUE"""),"5009211044")</f>
        <v>5009211044</v>
      </c>
      <c r="G111" s="1" t="str">
        <f ca="1">IFERROR(__xludf.DUMMYFUNCTION("""COMPUTED_VALUE"""),"Departemen Teknik Fisika")</f>
        <v>Departemen Teknik Fisika</v>
      </c>
      <c r="H111" s="1" t="str">
        <f ca="1">IFERROR(__xludf.DUMMYFUNCTION("""COMPUTED_VALUE"""),"Dr. Dhany Arifianto, S.T., M.Eng.")</f>
        <v>Dr. Dhany Arifianto, S.T., M.Eng.</v>
      </c>
      <c r="I111" s="1" t="str">
        <f ca="1">IFERROR(__xludf.DUMMYFUNCTION("""COMPUTED_VALUE"""),"ALIF AL FARDANU")</f>
        <v>ALIF AL FARDANU</v>
      </c>
      <c r="J111" s="1" t="str">
        <f ca="1">IFERROR(__xludf.DUMMYFUNCTION("""COMPUTED_VALUE"""),"5009211084")</f>
        <v>5009211084</v>
      </c>
      <c r="K111" s="1" t="str">
        <f ca="1">IFERROR(__xludf.DUMMYFUNCTION("""COMPUTED_VALUE"""),"Departemen Teknik Fisika")</f>
        <v>Departemen Teknik Fisika</v>
      </c>
      <c r="L111" s="1" t="str">
        <f ca="1">IFERROR(__xludf.DUMMYFUNCTION("""COMPUTED_VALUE"""),"SYAHRUL WAHYUDI")</f>
        <v>SYAHRUL WAHYUDI</v>
      </c>
      <c r="M111" s="1" t="str">
        <f ca="1">IFERROR(__xludf.DUMMYFUNCTION("""COMPUTED_VALUE"""),"5009211098")</f>
        <v>5009211098</v>
      </c>
      <c r="N111" s="1" t="str">
        <f ca="1">IFERROR(__xludf.DUMMYFUNCTION("""COMPUTED_VALUE"""),"Departemen Teknik Fisika")</f>
        <v>Departemen Teknik Fisika</v>
      </c>
      <c r="O111" s="1" t="str">
        <f ca="1">IFERROR(__xludf.DUMMYFUNCTION("""COMPUTED_VALUE"""),"ADI SYAHRUL SETYA BUDI")</f>
        <v>ADI SYAHRUL SETYA BUDI</v>
      </c>
      <c r="P111" s="1" t="str">
        <f ca="1">IFERROR(__xludf.DUMMYFUNCTION("""COMPUTED_VALUE"""),"5024201003")</f>
        <v>5024201003</v>
      </c>
      <c r="Q111" s="1" t="str">
        <f ca="1">IFERROR(__xludf.DUMMYFUNCTION("""COMPUTED_VALUE"""),"Departemen Teknik Komputer")</f>
        <v>Departemen Teknik Komputer</v>
      </c>
      <c r="R111" s="1" t="str">
        <f ca="1">IFERROR(__xludf.DUMMYFUNCTION("""COMPUTED_VALUE"""),"MUHAMMAD RIZAL AFFAN IRYANSYAH")</f>
        <v>MUHAMMAD RIZAL AFFAN IRYANSYAH</v>
      </c>
      <c r="S111" s="1" t="str">
        <f ca="1">IFERROR(__xludf.DUMMYFUNCTION("""COMPUTED_VALUE"""),"2035201119")</f>
        <v>2035201119</v>
      </c>
      <c r="T111" s="1" t="str">
        <f ca="1">IFERROR(__xludf.DUMMYFUNCTION("""COMPUTED_VALUE"""),"Departemen Teknik Infrastruktur Sipil")</f>
        <v>Departemen Teknik Infrastruktur Sipil</v>
      </c>
      <c r="U111" s="1" t="str">
        <f ca="1">IFERROR(__xludf.DUMMYFUNCTION("""COMPUTED_VALUE"""),"Dyah Sawitri, S.T., M.T.")</f>
        <v>Dyah Sawitri, S.T., M.T.</v>
      </c>
      <c r="V111" s="1" t="str">
        <f ca="1">IFERROR(__xludf.DUMMYFUNCTION("""COMPUTED_VALUE"""),"Rindi Kusumawardani, S.Si., M.Sc.")</f>
        <v>Rindi Kusumawardani, S.Si., M.Sc.</v>
      </c>
      <c r="W111" s="1"/>
      <c r="X111" s="1" t="str">
        <f ca="1">IFERROR(__xludf.DUMMYFUNCTION("""COMPUTED_VALUE"""),"Lolos")</f>
        <v>Lolos</v>
      </c>
      <c r="Y111" s="1"/>
      <c r="Z111" s="1"/>
      <c r="AA111" s="1"/>
    </row>
    <row r="112" spans="1:27">
      <c r="A112" s="1" t="s">
        <v>110</v>
      </c>
      <c r="B112" s="1">
        <f ca="1">IFERROR(__xludf.DUMMYFUNCTION("""COMPUTED_VALUE"""),3153)</f>
        <v>3153</v>
      </c>
      <c r="C112" s="1" t="str">
        <f ca="1">IFERROR(__xludf.DUMMYFUNCTION("""COMPUTED_VALUE"""),"PKM Gagasan Tertulis")</f>
        <v>PKM Gagasan Tertulis</v>
      </c>
      <c r="D112" s="1" t="str">
        <f ca="1">IFERROR(__xludf.DUMMYFUNCTION("""COMPUTED_VALUE"""),"TNR : Holographic Robot Berbasis Scanning Test Untuk Uji Kelayakan Kapal")</f>
        <v>TNR : Holographic Robot Berbasis Scanning Test Untuk Uji Kelayakan Kapal</v>
      </c>
      <c r="E112" s="1" t="str">
        <f ca="1">IFERROR(__xludf.DUMMYFUNCTION("""COMPUTED_VALUE"""),"BHAGAWANTA ATHA ADYATMA")</f>
        <v>BHAGAWANTA ATHA ADYATMA</v>
      </c>
      <c r="F112" s="1" t="str">
        <f ca="1">IFERROR(__xludf.DUMMYFUNCTION("""COMPUTED_VALUE"""),"5020201108")</f>
        <v>5020201108</v>
      </c>
      <c r="G112" s="1" t="str">
        <f ca="1">IFERROR(__xludf.DUMMYFUNCTION("""COMPUTED_VALUE"""),"Departemen Teknik Kelautan")</f>
        <v>Departemen Teknik Kelautan</v>
      </c>
      <c r="H112" s="1" t="str">
        <f ca="1">IFERROR(__xludf.DUMMYFUNCTION("""COMPUTED_VALUE"""),"R. Haryo Dwito Armono, S.T., M.Eng., Ph.D.")</f>
        <v>R. Haryo Dwito Armono, S.T., M.Eng., Ph.D.</v>
      </c>
      <c r="I112" s="1" t="str">
        <f ca="1">IFERROR(__xludf.DUMMYFUNCTION("""COMPUTED_VALUE"""),"MOCHAMMAD SHARIF REZANTA PUTRA")</f>
        <v>MOCHAMMAD SHARIF REZANTA PUTRA</v>
      </c>
      <c r="J112" s="1" t="str">
        <f ca="1">IFERROR(__xludf.DUMMYFUNCTION("""COMPUTED_VALUE"""),"5020201041")</f>
        <v>5020201041</v>
      </c>
      <c r="K112" s="1" t="str">
        <f ca="1">IFERROR(__xludf.DUMMYFUNCTION("""COMPUTED_VALUE"""),"Departemen Teknik Kelautan")</f>
        <v>Departemen Teknik Kelautan</v>
      </c>
      <c r="L112" s="1" t="str">
        <f ca="1">IFERROR(__xludf.DUMMYFUNCTION("""COMPUTED_VALUE"""),"MUHAMMAD ZIADJI SYATRIA")</f>
        <v>MUHAMMAD ZIADJI SYATRIA</v>
      </c>
      <c r="M112" s="1" t="str">
        <f ca="1">IFERROR(__xludf.DUMMYFUNCTION("""COMPUTED_VALUE"""),"5020201115")</f>
        <v>5020201115</v>
      </c>
      <c r="N112" s="1" t="str">
        <f ca="1">IFERROR(__xludf.DUMMYFUNCTION("""COMPUTED_VALUE"""),"Departemen Teknik Kelautan")</f>
        <v>Departemen Teknik Kelautan</v>
      </c>
      <c r="O112" s="1" t="str">
        <f ca="1">IFERROR(__xludf.DUMMYFUNCTION("""COMPUTED_VALUE"""),"ALIF NAGRA KAUTSAR")</f>
        <v>ALIF NAGRA KAUTSAR</v>
      </c>
      <c r="P112" s="1" t="str">
        <f ca="1">IFERROR(__xludf.DUMMYFUNCTION("""COMPUTED_VALUE"""),"5020201031")</f>
        <v>5020201031</v>
      </c>
      <c r="Q112" s="1" t="str">
        <f ca="1">IFERROR(__xludf.DUMMYFUNCTION("""COMPUTED_VALUE"""),"Departemen Teknik Kelautan")</f>
        <v>Departemen Teknik Kelautan</v>
      </c>
      <c r="R112" s="1" t="str">
        <f ca="1">IFERROR(__xludf.DUMMYFUNCTION("""COMPUTED_VALUE"""),"FAUZAN RAMADHAN")</f>
        <v>FAUZAN RAMADHAN</v>
      </c>
      <c r="S112" s="1" t="str">
        <f ca="1">IFERROR(__xludf.DUMMYFUNCTION("""COMPUTED_VALUE"""),"5020201092")</f>
        <v>5020201092</v>
      </c>
      <c r="T112" s="1" t="str">
        <f ca="1">IFERROR(__xludf.DUMMYFUNCTION("""COMPUTED_VALUE"""),"Departemen Teknik Kelautan")</f>
        <v>Departemen Teknik Kelautan</v>
      </c>
      <c r="U112" s="1" t="str">
        <f ca="1">IFERROR(__xludf.DUMMYFUNCTION("""COMPUTED_VALUE"""),"Dyah Sawitri, S.T., M.T.")</f>
        <v>Dyah Sawitri, S.T., M.T.</v>
      </c>
      <c r="V112" s="1" t="str">
        <f ca="1">IFERROR(__xludf.DUMMYFUNCTION("""COMPUTED_VALUE"""),"Rindi Kusumawardani, S.Si., M.Sc.")</f>
        <v>Rindi Kusumawardani, S.Si., M.Sc.</v>
      </c>
      <c r="W112" s="1"/>
      <c r="X112" s="1" t="str">
        <f ca="1">IFERROR(__xludf.DUMMYFUNCTION("""COMPUTED_VALUE"""),"Lolos")</f>
        <v>Lolos</v>
      </c>
      <c r="Y112" s="1"/>
      <c r="Z112" s="1"/>
      <c r="AA112" s="1"/>
    </row>
    <row r="113" spans="1:27">
      <c r="A113" s="1" t="s">
        <v>111</v>
      </c>
      <c r="B113" s="1">
        <f ca="1">IFERROR(__xludf.DUMMYFUNCTION("""COMPUTED_VALUE"""),3374)</f>
        <v>3374</v>
      </c>
      <c r="C113" s="1" t="str">
        <f ca="1">IFERROR(__xludf.DUMMYFUNCTION("""COMPUTED_VALUE"""),"PKM Gagasan Tertulis")</f>
        <v>PKM Gagasan Tertulis</v>
      </c>
      <c r="D113" s="1" t="str">
        <f ca="1">IFERROR(__xludf.DUMMYFUNCTION("""COMPUTED_VALUE"""),"Free Energy Gravitator to Charging Battery")</f>
        <v>Free Energy Gravitator to Charging Battery</v>
      </c>
      <c r="E113" s="1" t="str">
        <f ca="1">IFERROR(__xludf.DUMMYFUNCTION("""COMPUTED_VALUE"""),"VELLINA AYU PUTRI")</f>
        <v>VELLINA AYU PUTRI</v>
      </c>
      <c r="F113" s="1" t="str">
        <f ca="1">IFERROR(__xludf.DUMMYFUNCTION("""COMPUTED_VALUE"""),"2042201082")</f>
        <v>2042201082</v>
      </c>
      <c r="G113" s="1" t="str">
        <f ca="1">IFERROR(__xludf.DUMMYFUNCTION("""COMPUTED_VALUE"""),"Departemen Teknik Instrumentasi")</f>
        <v>Departemen Teknik Instrumentasi</v>
      </c>
      <c r="H113" s="1" t="str">
        <f ca="1">IFERROR(__xludf.DUMMYFUNCTION("""COMPUTED_VALUE"""),"Ahmad Fauzan Adziimaa, S.T., M.Sc.")</f>
        <v>Ahmad Fauzan Adziimaa, S.T., M.Sc.</v>
      </c>
      <c r="I113" s="1" t="str">
        <f ca="1">IFERROR(__xludf.DUMMYFUNCTION("""COMPUTED_VALUE"""),"Ibrahim Risyad")</f>
        <v>Ibrahim Risyad</v>
      </c>
      <c r="J113" s="1" t="str">
        <f ca="1">IFERROR(__xludf.DUMMYFUNCTION("""COMPUTED_VALUE"""),"2042211069")</f>
        <v>2042211069</v>
      </c>
      <c r="K113" s="1" t="str">
        <f ca="1">IFERROR(__xludf.DUMMYFUNCTION("""COMPUTED_VALUE"""),"Departemen Teknik Instrumentasi")</f>
        <v>Departemen Teknik Instrumentasi</v>
      </c>
      <c r="L113" s="1" t="str">
        <f ca="1">IFERROR(__xludf.DUMMYFUNCTION("""COMPUTED_VALUE"""),"ARNOLD HALOMOAN P")</f>
        <v>ARNOLD HALOMOAN P</v>
      </c>
      <c r="M113" s="1" t="str">
        <f ca="1">IFERROR(__xludf.DUMMYFUNCTION("""COMPUTED_VALUE"""),"2042211055")</f>
        <v>2042211055</v>
      </c>
      <c r="N113" s="1" t="str">
        <f ca="1">IFERROR(__xludf.DUMMYFUNCTION("""COMPUTED_VALUE"""),"Departemen Teknik Instrumentasi")</f>
        <v>Departemen Teknik Instrumentasi</v>
      </c>
      <c r="O113" s="1" t="str">
        <f ca="1">IFERROR(__xludf.DUMMYFUNCTION("""COMPUTED_VALUE"""),"HAYKHEL AMIRUL AKIB ")</f>
        <v xml:space="preserve">HAYKHEL AMIRUL AKIB </v>
      </c>
      <c r="P113" s="1" t="str">
        <f ca="1">IFERROR(__xludf.DUMMYFUNCTION("""COMPUTED_VALUE"""),"2042211105")</f>
        <v>2042211105</v>
      </c>
      <c r="Q113" s="1" t="str">
        <f ca="1">IFERROR(__xludf.DUMMYFUNCTION("""COMPUTED_VALUE"""),"Departemen Teknik Instrumentasi")</f>
        <v>Departemen Teknik Instrumentasi</v>
      </c>
      <c r="R113" s="1"/>
      <c r="S113" s="1"/>
      <c r="T113" s="1"/>
      <c r="U113" s="1" t="str">
        <f ca="1">IFERROR(__xludf.DUMMYFUNCTION("""COMPUTED_VALUE"""),"Dyah Sawitri, S.T., M.T.")</f>
        <v>Dyah Sawitri, S.T., M.T.</v>
      </c>
      <c r="V113" s="1" t="str">
        <f ca="1">IFERROR(__xludf.DUMMYFUNCTION("""COMPUTED_VALUE"""),"Rindi Kusumawardani, S.Si., M.Sc.")</f>
        <v>Rindi Kusumawardani, S.Si., M.Sc.</v>
      </c>
      <c r="W113" s="1"/>
      <c r="X113" s="1" t="str">
        <f ca="1">IFERROR(__xludf.DUMMYFUNCTION("""COMPUTED_VALUE"""),"Karantina")</f>
        <v>Karantina</v>
      </c>
      <c r="Y113" s="1"/>
      <c r="Z113" s="1"/>
      <c r="AA113" s="1"/>
    </row>
    <row r="114" spans="1:27">
      <c r="A114" s="1" t="s">
        <v>112</v>
      </c>
      <c r="B114" s="1">
        <f ca="1">IFERROR(__xludf.DUMMYFUNCTION("""COMPUTED_VALUE"""),2500)</f>
        <v>2500</v>
      </c>
      <c r="C114" s="1" t="str">
        <f ca="1">IFERROR(__xludf.DUMMYFUNCTION("""COMPUTED_VALUE"""),"PKM Gagasan Tertulis")</f>
        <v>PKM Gagasan Tertulis</v>
      </c>
      <c r="D114" s="1" t="str">
        <f ca="1">IFERROR(__xludf.DUMMYFUNCTION("""COMPUTED_VALUE"""),"Smart Offshore Integrated Renewable Energy System")</f>
        <v>Smart Offshore Integrated Renewable Energy System</v>
      </c>
      <c r="E114" s="1" t="str">
        <f ca="1">IFERROR(__xludf.DUMMYFUNCTION("""COMPUTED_VALUE"""),"Akhmad Farid Rosyidi")</f>
        <v>Akhmad Farid Rosyidi</v>
      </c>
      <c r="F114" s="1" t="str">
        <f ca="1">IFERROR(__xludf.DUMMYFUNCTION("""COMPUTED_VALUE"""),"07111940000065")</f>
        <v>07111940000065</v>
      </c>
      <c r="G114" s="1" t="str">
        <f ca="1">IFERROR(__xludf.DUMMYFUNCTION("""COMPUTED_VALUE"""),"Departemen Teknik Elektro")</f>
        <v>Departemen Teknik Elektro</v>
      </c>
      <c r="H114" s="1" t="str">
        <f ca="1">IFERROR(__xludf.DUMMYFUNCTION("""COMPUTED_VALUE"""),"Feby Agung Pamuji, S.T., M.T., Ph.D.")</f>
        <v>Feby Agung Pamuji, S.T., M.T., Ph.D.</v>
      </c>
      <c r="I114" s="1" t="str">
        <f ca="1">IFERROR(__xludf.DUMMYFUNCTION("""COMPUTED_VALUE"""),"Mohamad Angga Faurahmansyah")</f>
        <v>Mohamad Angga Faurahmansyah</v>
      </c>
      <c r="J114" s="1" t="str">
        <f ca="1">IFERROR(__xludf.DUMMYFUNCTION("""COMPUTED_VALUE"""),"07111940000058")</f>
        <v>07111940000058</v>
      </c>
      <c r="K114" s="1" t="str">
        <f ca="1">IFERROR(__xludf.DUMMYFUNCTION("""COMPUTED_VALUE"""),"Departemen Teknik Elektro")</f>
        <v>Departemen Teknik Elektro</v>
      </c>
      <c r="L114" s="1" t="str">
        <f ca="1">IFERROR(__xludf.DUMMYFUNCTION("""COMPUTED_VALUE"""),"MUGNI AHMAD HIKAM")</f>
        <v>MUGNI AHMAD HIKAM</v>
      </c>
      <c r="M114" s="1" t="str">
        <f ca="1">IFERROR(__xludf.DUMMYFUNCTION("""COMPUTED_VALUE"""),"5022201036")</f>
        <v>5022201036</v>
      </c>
      <c r="N114" s="1" t="str">
        <f ca="1">IFERROR(__xludf.DUMMYFUNCTION("""COMPUTED_VALUE"""),"Departemen Teknik Elektro")</f>
        <v>Departemen Teknik Elektro</v>
      </c>
      <c r="O114" s="1" t="str">
        <f ca="1">IFERROR(__xludf.DUMMYFUNCTION("""COMPUTED_VALUE"""),"ZIDNEY AHMAD ZAKKY")</f>
        <v>ZIDNEY AHMAD ZAKKY</v>
      </c>
      <c r="P114" s="1" t="str">
        <f ca="1">IFERROR(__xludf.DUMMYFUNCTION("""COMPUTED_VALUE"""),"5022201120")</f>
        <v>5022201120</v>
      </c>
      <c r="Q114" s="1" t="str">
        <f ca="1">IFERROR(__xludf.DUMMYFUNCTION("""COMPUTED_VALUE"""),"Departemen Teknik Elektro")</f>
        <v>Departemen Teknik Elektro</v>
      </c>
      <c r="R114" s="1" t="str">
        <f ca="1">IFERROR(__xludf.DUMMYFUNCTION("""COMPUTED_VALUE"""),"ZAHRA DAVINA BATANGTARIS ")</f>
        <v xml:space="preserve">ZAHRA DAVINA BATANGTARIS </v>
      </c>
      <c r="S114" s="1" t="str">
        <f ca="1">IFERROR(__xludf.DUMMYFUNCTION("""COMPUTED_VALUE"""),"5022201156")</f>
        <v>5022201156</v>
      </c>
      <c r="T114" s="1" t="str">
        <f ca="1">IFERROR(__xludf.DUMMYFUNCTION("""COMPUTED_VALUE"""),"Departemen Teknik Elektro")</f>
        <v>Departemen Teknik Elektro</v>
      </c>
      <c r="U114" s="1" t="str">
        <f ca="1">IFERROR(__xludf.DUMMYFUNCTION("""COMPUTED_VALUE"""),"Putu Gde Ariastita, S.T., M.T.")</f>
        <v>Putu Gde Ariastita, S.T., M.T.</v>
      </c>
      <c r="V114" s="1" t="str">
        <f ca="1">IFERROR(__xludf.DUMMYFUNCTION("""COMPUTED_VALUE"""),"Nova Maulidina Ashuri, S.Si., M.Si.")</f>
        <v>Nova Maulidina Ashuri, S.Si., M.Si.</v>
      </c>
      <c r="W114" s="1"/>
      <c r="X114" s="1" t="str">
        <f ca="1">IFERROR(__xludf.DUMMYFUNCTION("""COMPUTED_VALUE"""),"Karantina")</f>
        <v>Karantina</v>
      </c>
      <c r="Y114" s="1"/>
      <c r="Z114" s="1"/>
      <c r="AA114" s="1"/>
    </row>
    <row r="115" spans="1:27">
      <c r="A115" s="1" t="s">
        <v>113</v>
      </c>
      <c r="B115" s="1">
        <f ca="1">IFERROR(__xludf.DUMMYFUNCTION("""COMPUTED_VALUE"""),2420)</f>
        <v>2420</v>
      </c>
      <c r="C115" s="1" t="str">
        <f ca="1">IFERROR(__xludf.DUMMYFUNCTION("""COMPUTED_VALUE"""),"PKM Gagasan Tertulis")</f>
        <v>PKM Gagasan Tertulis</v>
      </c>
      <c r="D115" s="1" t="str">
        <f ca="1">IFERROR(__xludf.DUMMYFUNCTION("""COMPUTED_VALUE"""),"Konsep  Kawasan Ruang Terbuka Hijau sebagai Titik Kumpul Pasca Bencana di IKN dengan Pendekatan Building Structure dan Material")</f>
        <v>Konsep  Kawasan Ruang Terbuka Hijau sebagai Titik Kumpul Pasca Bencana di IKN dengan Pendekatan Building Structure dan Material</v>
      </c>
      <c r="E115" s="1" t="str">
        <f ca="1">IFERROR(__xludf.DUMMYFUNCTION("""COMPUTED_VALUE"""),"ASTRI MULIA")</f>
        <v>ASTRI MULIA</v>
      </c>
      <c r="F115" s="1" t="str">
        <f ca="1">IFERROR(__xludf.DUMMYFUNCTION("""COMPUTED_VALUE"""),"5013201019")</f>
        <v>5013201019</v>
      </c>
      <c r="G115" s="1" t="str">
        <f ca="1">IFERROR(__xludf.DUMMYFUNCTION("""COMPUTED_VALUE"""),"Departemen Arsitektur")</f>
        <v>Departemen Arsitektur</v>
      </c>
      <c r="H115" s="1" t="str">
        <f ca="1">IFERROR(__xludf.DUMMYFUNCTION("""COMPUTED_VALUE"""),"Dr. Arina Hayati, S.T., M.T.")</f>
        <v>Dr. Arina Hayati, S.T., M.T.</v>
      </c>
      <c r="I115" s="1" t="str">
        <f ca="1">IFERROR(__xludf.DUMMYFUNCTION("""COMPUTED_VALUE"""),"Dhimas Panji Lindung Ardhana")</f>
        <v>Dhimas Panji Lindung Ardhana</v>
      </c>
      <c r="J115" s="1" t="str">
        <f ca="1">IFERROR(__xludf.DUMMYFUNCTION("""COMPUTED_VALUE"""),"08111940000012")</f>
        <v>08111940000012</v>
      </c>
      <c r="K115" s="1" t="str">
        <f ca="1">IFERROR(__xludf.DUMMYFUNCTION("""COMPUTED_VALUE"""),"Departemen Arsitektur")</f>
        <v>Departemen Arsitektur</v>
      </c>
      <c r="L115" s="1" t="str">
        <f ca="1">IFERROR(__xludf.DUMMYFUNCTION("""COMPUTED_VALUE"""),"FERNALDY ATHALAIRD HAMSJAH")</f>
        <v>FERNALDY ATHALAIRD HAMSJAH</v>
      </c>
      <c r="M115" s="1" t="str">
        <f ca="1">IFERROR(__xludf.DUMMYFUNCTION("""COMPUTED_VALUE"""),"5013201056")</f>
        <v>5013201056</v>
      </c>
      <c r="N115" s="1" t="str">
        <f ca="1">IFERROR(__xludf.DUMMYFUNCTION("""COMPUTED_VALUE"""),"Departemen Arsitektur")</f>
        <v>Departemen Arsitektur</v>
      </c>
      <c r="O115" s="1" t="str">
        <f ca="1">IFERROR(__xludf.DUMMYFUNCTION("""COMPUTED_VALUE"""),"AURELLIA PERMATA ANJANI")</f>
        <v>AURELLIA PERMATA ANJANI</v>
      </c>
      <c r="P115" s="1" t="str">
        <f ca="1">IFERROR(__xludf.DUMMYFUNCTION("""COMPUTED_VALUE"""),"5013201041")</f>
        <v>5013201041</v>
      </c>
      <c r="Q115" s="1" t="str">
        <f ca="1">IFERROR(__xludf.DUMMYFUNCTION("""COMPUTED_VALUE"""),"Departemen Arsitektur")</f>
        <v>Departemen Arsitektur</v>
      </c>
      <c r="R115" s="1" t="str">
        <f ca="1">IFERROR(__xludf.DUMMYFUNCTION("""COMPUTED_VALUE"""),"Chusnul Galitsa Assyura")</f>
        <v>Chusnul Galitsa Assyura</v>
      </c>
      <c r="S115" s="1" t="str">
        <f ca="1">IFERROR(__xludf.DUMMYFUNCTION("""COMPUTED_VALUE"""),"08111940000001")</f>
        <v>08111940000001</v>
      </c>
      <c r="T115" s="1" t="str">
        <f ca="1">IFERROR(__xludf.DUMMYFUNCTION("""COMPUTED_VALUE"""),"Departemen Arsitektur")</f>
        <v>Departemen Arsitektur</v>
      </c>
      <c r="U115" s="1" t="str">
        <f ca="1">IFERROR(__xludf.DUMMYFUNCTION("""COMPUTED_VALUE"""),"Izzat Aulia Akbar, S.Kom., M.Eng., Ph.D.")</f>
        <v>Izzat Aulia Akbar, S.Kom., M.Eng., Ph.D.</v>
      </c>
      <c r="V115" s="1" t="str">
        <f ca="1">IFERROR(__xludf.DUMMYFUNCTION("""COMPUTED_VALUE"""),"Dr.-Ing. Doty Dewi Risanti, S.T., M.T.")</f>
        <v>Dr.-Ing. Doty Dewi Risanti, S.T., M.T.</v>
      </c>
      <c r="W115" s="1"/>
      <c r="X115" s="1" t="str">
        <f ca="1">IFERROR(__xludf.DUMMYFUNCTION("""COMPUTED_VALUE"""),"Karantina")</f>
        <v>Karantina</v>
      </c>
      <c r="Y115" s="1"/>
      <c r="Z115" s="1"/>
      <c r="AA115" s="1"/>
    </row>
    <row r="116" spans="1:27">
      <c r="A116" s="1" t="s">
        <v>114</v>
      </c>
      <c r="B116" s="1">
        <f ca="1">IFERROR(__xludf.DUMMYFUNCTION("""COMPUTED_VALUE"""),3338)</f>
        <v>3338</v>
      </c>
      <c r="C116" s="1" t="str">
        <f ca="1">IFERROR(__xludf.DUMMYFUNCTION("""COMPUTED_VALUE"""),"PKM Gagasan Tertulis")</f>
        <v>PKM Gagasan Tertulis</v>
      </c>
      <c r="D116" s="1" t="str">
        <f ca="1">IFERROR(__xludf.DUMMYFUNCTION("""COMPUTED_VALUE"""),"Pemanfaatan Kitosan sebagai Bahan Dasar Obat Kapsul")</f>
        <v>Pemanfaatan Kitosan sebagai Bahan Dasar Obat Kapsul</v>
      </c>
      <c r="E116" s="1" t="str">
        <f ca="1">IFERROR(__xludf.DUMMYFUNCTION("""COMPUTED_VALUE"""),"MARIFA NISA AZZAHRO")</f>
        <v>MARIFA NISA AZZAHRO</v>
      </c>
      <c r="F116" s="1" t="str">
        <f ca="1">IFERROR(__xludf.DUMMYFUNCTION("""COMPUTED_VALUE"""),"5005211057")</f>
        <v>5005211057</v>
      </c>
      <c r="G116" s="1" t="str">
        <f ca="1">IFERROR(__xludf.DUMMYFUNCTION("""COMPUTED_VALUE"""),"Departemen Biologi")</f>
        <v>Departemen Biologi</v>
      </c>
      <c r="H116" s="1" t="str">
        <f ca="1">IFERROR(__xludf.DUMMYFUNCTION("""COMPUTED_VALUE"""),"Nova Maulidina Ashuri, S.Si., M.Si.")</f>
        <v>Nova Maulidina Ashuri, S.Si., M.Si.</v>
      </c>
      <c r="I116" s="1" t="str">
        <f ca="1">IFERROR(__xludf.DUMMYFUNCTION("""COMPUTED_VALUE"""),"Auliyya Intan M.A")</f>
        <v>Auliyya Intan M.A</v>
      </c>
      <c r="J116" s="1" t="str">
        <f ca="1">IFERROR(__xludf.DUMMYFUNCTION("""COMPUTED_VALUE"""),"5005211056")</f>
        <v>5005211056</v>
      </c>
      <c r="K116" s="1" t="str">
        <f ca="1">IFERROR(__xludf.DUMMYFUNCTION("""COMPUTED_VALUE"""),"Departemen Biologi")</f>
        <v>Departemen Biologi</v>
      </c>
      <c r="L116" s="1" t="str">
        <f ca="1">IFERROR(__xludf.DUMMYFUNCTION("""COMPUTED_VALUE"""),"Rosiana Pambayun")</f>
        <v>Rosiana Pambayun</v>
      </c>
      <c r="M116" s="1" t="str">
        <f ca="1">IFERROR(__xludf.DUMMYFUNCTION("""COMPUTED_VALUE"""),"5014211032")</f>
        <v>5014211032</v>
      </c>
      <c r="N116" s="1" t="str">
        <f ca="1">IFERROR(__xludf.DUMMYFUNCTION("""COMPUTED_VALUE"""),"Departemen Teknik Lingkungan")</f>
        <v>Departemen Teknik Lingkungan</v>
      </c>
      <c r="O116" s="1" t="str">
        <f ca="1">IFERROR(__xludf.DUMMYFUNCTION("""COMPUTED_VALUE"""),"DESIAMY FITRIA")</f>
        <v>DESIAMY FITRIA</v>
      </c>
      <c r="P116" s="1" t="str">
        <f ca="1">IFERROR(__xludf.DUMMYFUNCTION("""COMPUTED_VALUE"""),"5014211005")</f>
        <v>5014211005</v>
      </c>
      <c r="Q116" s="1" t="str">
        <f ca="1">IFERROR(__xludf.DUMMYFUNCTION("""COMPUTED_VALUE"""),"Departemen Teknik Lingkungan")</f>
        <v>Departemen Teknik Lingkungan</v>
      </c>
      <c r="R116" s="1"/>
      <c r="S116" s="1"/>
      <c r="T116" s="1"/>
      <c r="U116" s="1" t="str">
        <f ca="1">IFERROR(__xludf.DUMMYFUNCTION("""COMPUTED_VALUE"""),"Dyah Sawitri, S.T., M.T.")</f>
        <v>Dyah Sawitri, S.T., M.T.</v>
      </c>
      <c r="V116" s="1" t="str">
        <f ca="1">IFERROR(__xludf.DUMMYFUNCTION("""COMPUTED_VALUE"""),"Rindi Kusumawardani, S.Si., M.Sc.")</f>
        <v>Rindi Kusumawardani, S.Si., M.Sc.</v>
      </c>
      <c r="W116" s="1"/>
      <c r="X116" s="1" t="str">
        <f ca="1">IFERROR(__xludf.DUMMYFUNCTION("""COMPUTED_VALUE"""),"Karantina")</f>
        <v>Karantina</v>
      </c>
      <c r="Y116" s="1"/>
      <c r="Z116" s="1"/>
      <c r="AA116" s="1"/>
    </row>
    <row r="117" spans="1:27">
      <c r="A117" s="1" t="s">
        <v>115</v>
      </c>
      <c r="B117" s="1">
        <f ca="1">IFERROR(__xludf.DUMMYFUNCTION("""COMPUTED_VALUE"""),3051)</f>
        <v>3051</v>
      </c>
      <c r="C117" s="1" t="str">
        <f ca="1">IFERROR(__xludf.DUMMYFUNCTION("""COMPUTED_VALUE"""),"PKM Gagasan Tertulis")</f>
        <v>PKM Gagasan Tertulis</v>
      </c>
      <c r="D117" s="1" t="str">
        <f ca="1">IFERROR(__xludf.DUMMYFUNCTION("""COMPUTED_VALUE"""),"Sistem Charging Station Terintegrasi Perahu Nelayan Bertenaga Listrik Berbasis 5G Smart Controller guna Mencapai Indonesia Zero Net Carbon 2050")</f>
        <v>Sistem Charging Station Terintegrasi Perahu Nelayan Bertenaga Listrik Berbasis 5G Smart Controller guna Mencapai Indonesia Zero Net Carbon 2050</v>
      </c>
      <c r="E117" s="1" t="str">
        <f ca="1">IFERROR(__xludf.DUMMYFUNCTION("""COMPUTED_VALUE"""),"ARRAFI SYIFA MUKHTAFAQ")</f>
        <v>ARRAFI SYIFA MUKHTAFAQ</v>
      </c>
      <c r="F117" s="1" t="str">
        <f ca="1">IFERROR(__xludf.DUMMYFUNCTION("""COMPUTED_VALUE"""),"5022201223")</f>
        <v>5022201223</v>
      </c>
      <c r="G117" s="1" t="str">
        <f ca="1">IFERROR(__xludf.DUMMYFUNCTION("""COMPUTED_VALUE"""),"Departemen Teknik Elektro")</f>
        <v>Departemen Teknik Elektro</v>
      </c>
      <c r="H117" s="1" t="str">
        <f ca="1">IFERROR(__xludf.DUMMYFUNCTION("""COMPUTED_VALUE"""),"Dr. Dimas Fajar Uman Putra, S.T., M.T.")</f>
        <v>Dr. Dimas Fajar Uman Putra, S.T., M.T.</v>
      </c>
      <c r="I117" s="1" t="str">
        <f ca="1">IFERROR(__xludf.DUMMYFUNCTION("""COMPUTED_VALUE"""),"Pramudya Tiandana Wisnu Gautama")</f>
        <v>Pramudya Tiandana Wisnu Gautama</v>
      </c>
      <c r="J117" s="1" t="str">
        <f ca="1">IFERROR(__xludf.DUMMYFUNCTION("""COMPUTED_VALUE"""),"05111940000018")</f>
        <v>05111940000018</v>
      </c>
      <c r="K117" s="1" t="str">
        <f ca="1">IFERROR(__xludf.DUMMYFUNCTION("""COMPUTED_VALUE"""),"Departemen Teknik Informatika")</f>
        <v>Departemen Teknik Informatika</v>
      </c>
      <c r="L117" s="1" t="str">
        <f ca="1">IFERROR(__xludf.DUMMYFUNCTION("""COMPUTED_VALUE"""),"Berliandra Oktaviani")</f>
        <v>Berliandra Oktaviani</v>
      </c>
      <c r="M117" s="1" t="str">
        <f ca="1">IFERROR(__xludf.DUMMYFUNCTION("""COMPUTED_VALUE"""),"07111940000019")</f>
        <v>07111940000019</v>
      </c>
      <c r="N117" s="1" t="str">
        <f ca="1">IFERROR(__xludf.DUMMYFUNCTION("""COMPUTED_VALUE"""),"Departemen Teknik Elektro")</f>
        <v>Departemen Teknik Elektro</v>
      </c>
      <c r="O117" s="1" t="str">
        <f ca="1">IFERROR(__xludf.DUMMYFUNCTION("""COMPUTED_VALUE"""),"Annisyah Amelia Fadhilah")</f>
        <v>Annisyah Amelia Fadhilah</v>
      </c>
      <c r="P117" s="1" t="str">
        <f ca="1">IFERROR(__xludf.DUMMYFUNCTION("""COMPUTED_VALUE"""),"07111940000020")</f>
        <v>07111940000020</v>
      </c>
      <c r="Q117" s="1" t="str">
        <f ca="1">IFERROR(__xludf.DUMMYFUNCTION("""COMPUTED_VALUE"""),"Departemen Teknik Elektro")</f>
        <v>Departemen Teknik Elektro</v>
      </c>
      <c r="R117" s="1" t="str">
        <f ca="1">IFERROR(__xludf.DUMMYFUNCTION("""COMPUTED_VALUE"""),"ALIF AKBAR PUTRA KRISNOWO")</f>
        <v>ALIF AKBAR PUTRA KRISNOWO</v>
      </c>
      <c r="S117" s="1" t="str">
        <f ca="1">IFERROR(__xludf.DUMMYFUNCTION("""COMPUTED_VALUE"""),"08311940000064")</f>
        <v>08311940000064</v>
      </c>
      <c r="T117" s="1" t="str">
        <f ca="1">IFERROR(__xludf.DUMMYFUNCTION("""COMPUTED_VALUE"""),"Departemen Desain Produk")</f>
        <v>Departemen Desain Produk</v>
      </c>
      <c r="U117" s="1" t="str">
        <f ca="1">IFERROR(__xludf.DUMMYFUNCTION("""COMPUTED_VALUE"""),"Prof. Ir. Aguk Zuhdi Muhammad Fathallah, M.Eng., Ph.D.")</f>
        <v>Prof. Ir. Aguk Zuhdi Muhammad Fathallah, M.Eng., Ph.D.</v>
      </c>
      <c r="V117" s="1" t="str">
        <f ca="1">IFERROR(__xludf.DUMMYFUNCTION("""COMPUTED_VALUE"""),"Ahmad Fauzan Adziimaa, S.T., M.Sc.")</f>
        <v>Ahmad Fauzan Adziimaa, S.T., M.Sc.</v>
      </c>
      <c r="W117" s="1"/>
      <c r="X117" s="1" t="str">
        <f ca="1">IFERROR(__xludf.DUMMYFUNCTION("""COMPUTED_VALUE"""),"Karantina")</f>
        <v>Karantina</v>
      </c>
      <c r="Y117" s="1"/>
      <c r="Z117" s="1"/>
      <c r="AA117" s="1"/>
    </row>
    <row r="118" spans="1:27">
      <c r="A118" s="1" t="s">
        <v>116</v>
      </c>
      <c r="B118" s="1">
        <f ca="1">IFERROR(__xludf.DUMMYFUNCTION("""COMPUTED_VALUE"""),2389)</f>
        <v>2389</v>
      </c>
      <c r="C118" s="1" t="str">
        <f ca="1">IFERROR(__xludf.DUMMYFUNCTION("""COMPUTED_VALUE"""),"PKM Gagasan Futuristik Konstruktif")</f>
        <v>PKM Gagasan Futuristik Konstruktif</v>
      </c>
      <c r="D118" s="1" t="str">
        <f ca="1">IFERROR(__xludf.DUMMYFUNCTION("""COMPUTED_VALUE"""),"Konsep Pendinginan Rumah Berbasis Pot in Pot Terintegrasi Internet of Things Demi Mewujudkkan Target SDGs Net-Zero Emissions pada 2050.")</f>
        <v>Konsep Pendinginan Rumah Berbasis Pot in Pot Terintegrasi Internet of Things Demi Mewujudkkan Target SDGs Net-Zero Emissions pada 2050.</v>
      </c>
      <c r="E118" s="1" t="str">
        <f ca="1">IFERROR(__xludf.DUMMYFUNCTION("""COMPUTED_VALUE"""),"CAHYO MAULANA ASROFI")</f>
        <v>CAHYO MAULANA ASROFI</v>
      </c>
      <c r="F118" s="1" t="str">
        <f ca="1">IFERROR(__xludf.DUMMYFUNCTION("""COMPUTED_VALUE"""),"2035201086")</f>
        <v>2035201086</v>
      </c>
      <c r="G118" s="1" t="str">
        <f ca="1">IFERROR(__xludf.DUMMYFUNCTION("""COMPUTED_VALUE"""),"Departemen Teknik Infrastruktur Sipil")</f>
        <v>Departemen Teknik Infrastruktur Sipil</v>
      </c>
      <c r="H118" s="1" t="str">
        <f ca="1">IFERROR(__xludf.DUMMYFUNCTION("""COMPUTED_VALUE"""),"Vania Mitha Pratiwi, S.T., M.T.")</f>
        <v>Vania Mitha Pratiwi, S.T., M.T.</v>
      </c>
      <c r="I118" s="1" t="str">
        <f ca="1">IFERROR(__xludf.DUMMYFUNCTION("""COMPUTED_VALUE"""),"MIFTAQUL ZANAH")</f>
        <v>MIFTAQUL ZANAH</v>
      </c>
      <c r="J118" s="1" t="str">
        <f ca="1">IFERROR(__xludf.DUMMYFUNCTION("""COMPUTED_VALUE"""),"2035201084")</f>
        <v>2035201084</v>
      </c>
      <c r="K118" s="1" t="str">
        <f ca="1">IFERROR(__xludf.DUMMYFUNCTION("""COMPUTED_VALUE"""),"Departemen Teknik Infrastruktur Sipil")</f>
        <v>Departemen Teknik Infrastruktur Sipil</v>
      </c>
      <c r="L118" s="1" t="str">
        <f ca="1">IFERROR(__xludf.DUMMYFUNCTION("""COMPUTED_VALUE"""),"MUHAMMAD RIZAL AFFAN IRYANSYAH")</f>
        <v>MUHAMMAD RIZAL AFFAN IRYANSYAH</v>
      </c>
      <c r="M118" s="1" t="str">
        <f ca="1">IFERROR(__xludf.DUMMYFUNCTION("""COMPUTED_VALUE"""),"2035201119")</f>
        <v>2035201119</v>
      </c>
      <c r="N118" s="1" t="str">
        <f ca="1">IFERROR(__xludf.DUMMYFUNCTION("""COMPUTED_VALUE"""),"Departemen Teknik Infrastruktur Sipil")</f>
        <v>Departemen Teknik Infrastruktur Sipil</v>
      </c>
      <c r="O118" s="1" t="str">
        <f ca="1">IFERROR(__xludf.DUMMYFUNCTION("""COMPUTED_VALUE"""),"AULIA VITA JANATI")</f>
        <v>AULIA VITA JANATI</v>
      </c>
      <c r="P118" s="1" t="str">
        <f ca="1">IFERROR(__xludf.DUMMYFUNCTION("""COMPUTED_VALUE"""),"2035201090")</f>
        <v>2035201090</v>
      </c>
      <c r="Q118" s="1" t="str">
        <f ca="1">IFERROR(__xludf.DUMMYFUNCTION("""COMPUTED_VALUE"""),"Departemen Teknik Infrastruktur Sipil")</f>
        <v>Departemen Teknik Infrastruktur Sipil</v>
      </c>
      <c r="R118" s="1" t="str">
        <f ca="1">IFERROR(__xludf.DUMMYFUNCTION("""COMPUTED_VALUE"""),"AJENG DINI MAYAIKA")</f>
        <v>AJENG DINI MAYAIKA</v>
      </c>
      <c r="S118" s="1" t="str">
        <f ca="1">IFERROR(__xludf.DUMMYFUNCTION("""COMPUTED_VALUE"""),"5011201003")</f>
        <v>5011201003</v>
      </c>
      <c r="T118" s="1" t="str">
        <f ca="1">IFERROR(__xludf.DUMMYFUNCTION("""COMPUTED_VALUE"""),"Departemen Teknik Material dan Metalurgi")</f>
        <v>Departemen Teknik Material dan Metalurgi</v>
      </c>
      <c r="U118" s="1" t="str">
        <f ca="1">IFERROR(__xludf.DUMMYFUNCTION("""COMPUTED_VALUE"""),"Dr. I Gusti Ngurah Satriyadi Hernanda, S.T., M.T.")</f>
        <v>Dr. I Gusti Ngurah Satriyadi Hernanda, S.T., M.T.</v>
      </c>
      <c r="V118" s="1" t="str">
        <f ca="1">IFERROR(__xludf.DUMMYFUNCTION("""COMPUTED_VALUE"""),"Dr.Eng. Yuda Apri Hermawan, S.T., M.T.")</f>
        <v>Dr.Eng. Yuda Apri Hermawan, S.T., M.T.</v>
      </c>
      <c r="W118" s="1"/>
      <c r="X118" s="1" t="str">
        <f ca="1">IFERROR(__xludf.DUMMYFUNCTION("""COMPUTED_VALUE"""),"Lolos")</f>
        <v>Lolos</v>
      </c>
      <c r="Y118" s="1"/>
      <c r="Z118" s="1"/>
      <c r="AA118" s="1"/>
    </row>
    <row r="119" spans="1:27">
      <c r="A119" s="1" t="s">
        <v>117</v>
      </c>
      <c r="B119" s="1">
        <f ca="1">IFERROR(__xludf.DUMMYFUNCTION("""COMPUTED_VALUE"""),3768)</f>
        <v>3768</v>
      </c>
      <c r="C119" s="1" t="str">
        <f ca="1">IFERROR(__xludf.DUMMYFUNCTION("""COMPUTED_VALUE"""),"PKM Gagasan Futuristik Konstruktif")</f>
        <v>PKM Gagasan Futuristik Konstruktif</v>
      </c>
      <c r="D119" s="1" t="str">
        <f ca="1">IFERROR(__xludf.DUMMYFUNCTION("""COMPUTED_VALUE"""),"Rumah Anti Banjir Berkonsep Sustainable Green Architecture dengan Struktural Rumah Panggung Palembang untuk Inovasi Pembangunan Hunian yang Berkelanjutan")</f>
        <v>Rumah Anti Banjir Berkonsep Sustainable Green Architecture dengan Struktural Rumah Panggung Palembang untuk Inovasi Pembangunan Hunian yang Berkelanjutan</v>
      </c>
      <c r="E119" s="1" t="str">
        <f ca="1">IFERROR(__xludf.DUMMYFUNCTION("""COMPUTED_VALUE"""),"KEYZA PUTRI MANDELA")</f>
        <v>KEYZA PUTRI MANDELA</v>
      </c>
      <c r="F119" s="1" t="str">
        <f ca="1">IFERROR(__xludf.DUMMYFUNCTION("""COMPUTED_VALUE"""),"5029201019")</f>
        <v>5029201019</v>
      </c>
      <c r="G119" s="1" t="str">
        <f ca="1">IFERROR(__xludf.DUMMYFUNCTION("""COMPUTED_VALUE"""),"Departemen Desain Interior")</f>
        <v>Departemen Desain Interior</v>
      </c>
      <c r="H119" s="1" t="str">
        <f ca="1">IFERROR(__xludf.DUMMYFUNCTION("""COMPUTED_VALUE"""),"Anggra Ayu Rucitra, S.T., M.MT")</f>
        <v>Anggra Ayu Rucitra, S.T., M.MT</v>
      </c>
      <c r="I119" s="1" t="str">
        <f ca="1">IFERROR(__xludf.DUMMYFUNCTION("""COMPUTED_VALUE"""),"ALYA MAULIDYA NAILULKAMILA")</f>
        <v>ALYA MAULIDYA NAILULKAMILA</v>
      </c>
      <c r="J119" s="1" t="str">
        <f ca="1">IFERROR(__xludf.DUMMYFUNCTION("""COMPUTED_VALUE"""),"5029201023")</f>
        <v>5029201023</v>
      </c>
      <c r="K119" s="1" t="str">
        <f ca="1">IFERROR(__xludf.DUMMYFUNCTION("""COMPUTED_VALUE"""),"Departemen Desain Interior")</f>
        <v>Departemen Desain Interior</v>
      </c>
      <c r="L119" s="1" t="str">
        <f ca="1">IFERROR(__xludf.DUMMYFUNCTION("""COMPUTED_VALUE"""),"KARINA AUDRIA SUSENA")</f>
        <v>KARINA AUDRIA SUSENA</v>
      </c>
      <c r="M119" s="1" t="str">
        <f ca="1">IFERROR(__xludf.DUMMYFUNCTION("""COMPUTED_VALUE"""),"5029201061")</f>
        <v>5029201061</v>
      </c>
      <c r="N119" s="1" t="str">
        <f ca="1">IFERROR(__xludf.DUMMYFUNCTION("""COMPUTED_VALUE"""),"Departemen Desain Interior")</f>
        <v>Departemen Desain Interior</v>
      </c>
      <c r="O119" s="1" t="str">
        <f ca="1">IFERROR(__xludf.DUMMYFUNCTION("""COMPUTED_VALUE"""),"DANI MUHARI ABDULLAH")</f>
        <v>DANI MUHARI ABDULLAH</v>
      </c>
      <c r="P119" s="1" t="str">
        <f ca="1">IFERROR(__xludf.DUMMYFUNCTION("""COMPUTED_VALUE"""),"5013201076")</f>
        <v>5013201076</v>
      </c>
      <c r="Q119" s="1" t="str">
        <f ca="1">IFERROR(__xludf.DUMMYFUNCTION("""COMPUTED_VALUE"""),"Departemen Arsitektur")</f>
        <v>Departemen Arsitektur</v>
      </c>
      <c r="R119" s="1"/>
      <c r="S119" s="1"/>
      <c r="T119" s="1"/>
      <c r="U119" s="1" t="str">
        <f ca="1">IFERROR(__xludf.DUMMYFUNCTION("""COMPUTED_VALUE"""),"Dr. I Gusti Ngurah Satriyadi Hernanda, S.T., M.T.")</f>
        <v>Dr. I Gusti Ngurah Satriyadi Hernanda, S.T., M.T.</v>
      </c>
      <c r="V119" s="1" t="str">
        <f ca="1">IFERROR(__xludf.DUMMYFUNCTION("""COMPUTED_VALUE"""),"Dr.Eng. Yuda Apri Hermawan, S.T., M.T.")</f>
        <v>Dr.Eng. Yuda Apri Hermawan, S.T., M.T.</v>
      </c>
      <c r="W119" s="1"/>
      <c r="X119" s="1" t="str">
        <f ca="1">IFERROR(__xludf.DUMMYFUNCTION("""COMPUTED_VALUE"""),"Lolos")</f>
        <v>Lolos</v>
      </c>
      <c r="Y119" s="1"/>
      <c r="Z119" s="1"/>
      <c r="AA119" s="1"/>
    </row>
    <row r="120" spans="1:27">
      <c r="A120" s="1" t="s">
        <v>118</v>
      </c>
      <c r="B120" s="1">
        <f ca="1">IFERROR(__xludf.DUMMYFUNCTION("""COMPUTED_VALUE"""),3762)</f>
        <v>3762</v>
      </c>
      <c r="C120" s="1" t="str">
        <f ca="1">IFERROR(__xludf.DUMMYFUNCTION("""COMPUTED_VALUE"""),"PKM Gagasan Futuristik Konstruktif")</f>
        <v>PKM Gagasan Futuristik Konstruktif</v>
      </c>
      <c r="D120" s="1" t="str">
        <f ca="1">IFERROR(__xludf.DUMMYFUNCTION("""COMPUTED_VALUE"""),"Hunian Tanggap Banjir Rob Bersistem Mezzanine sebagai Safe Room Ramah Anak dengan Fasilitas Pemenuhan Kebutuhan Esensial Terintegrasi bagi Masyarakat Pesisir")</f>
        <v>Hunian Tanggap Banjir Rob Bersistem Mezzanine sebagai Safe Room Ramah Anak dengan Fasilitas Pemenuhan Kebutuhan Esensial Terintegrasi bagi Masyarakat Pesisir</v>
      </c>
      <c r="E120" s="1" t="str">
        <f ca="1">IFERROR(__xludf.DUMMYFUNCTION("""COMPUTED_VALUE"""),"PUTU NADYA ISWARIDEWI")</f>
        <v>PUTU NADYA ISWARIDEWI</v>
      </c>
      <c r="F120" s="1" t="str">
        <f ca="1">IFERROR(__xludf.DUMMYFUNCTION("""COMPUTED_VALUE"""),"5029201038")</f>
        <v>5029201038</v>
      </c>
      <c r="G120" s="1" t="str">
        <f ca="1">IFERROR(__xludf.DUMMYFUNCTION("""COMPUTED_VALUE"""),"Departemen Desain Interior")</f>
        <v>Departemen Desain Interior</v>
      </c>
      <c r="H120" s="1" t="str">
        <f ca="1">IFERROR(__xludf.DUMMYFUNCTION("""COMPUTED_VALUE"""),"Okta Putra Setio Ardianto, S.T., M.T.")</f>
        <v>Okta Putra Setio Ardianto, S.T., M.T.</v>
      </c>
      <c r="I120" s="1" t="str">
        <f ca="1">IFERROR(__xludf.DUMMYFUNCTION("""COMPUTED_VALUE"""),"KESI NURMILAWATI")</f>
        <v>KESI NURMILAWATI</v>
      </c>
      <c r="J120" s="1" t="str">
        <f ca="1">IFERROR(__xludf.DUMMYFUNCTION("""COMPUTED_VALUE"""),"5029201030")</f>
        <v>5029201030</v>
      </c>
      <c r="K120" s="1" t="str">
        <f ca="1">IFERROR(__xludf.DUMMYFUNCTION("""COMPUTED_VALUE"""),"Departemen Desain Interior")</f>
        <v>Departemen Desain Interior</v>
      </c>
      <c r="L120" s="1" t="str">
        <f ca="1">IFERROR(__xludf.DUMMYFUNCTION("""COMPUTED_VALUE"""),"ALIFIA RAHMA AISYAH")</f>
        <v>ALIFIA RAHMA AISYAH</v>
      </c>
      <c r="M120" s="1" t="str">
        <f ca="1">IFERROR(__xludf.DUMMYFUNCTION("""COMPUTED_VALUE"""),"5029201032")</f>
        <v>5029201032</v>
      </c>
      <c r="N120" s="1" t="str">
        <f ca="1">IFERROR(__xludf.DUMMYFUNCTION("""COMPUTED_VALUE"""),"Departemen Desain Interior")</f>
        <v>Departemen Desain Interior</v>
      </c>
      <c r="O120" s="1" t="str">
        <f ca="1">IFERROR(__xludf.DUMMYFUNCTION("""COMPUTED_VALUE"""),"PUTRI NURTASHYA WIBOWO")</f>
        <v>PUTRI NURTASHYA WIBOWO</v>
      </c>
      <c r="P120" s="1" t="str">
        <f ca="1">IFERROR(__xludf.DUMMYFUNCTION("""COMPUTED_VALUE"""),"5029201035")</f>
        <v>5029201035</v>
      </c>
      <c r="Q120" s="1" t="str">
        <f ca="1">IFERROR(__xludf.DUMMYFUNCTION("""COMPUTED_VALUE"""),"Departemen Desain Interior")</f>
        <v>Departemen Desain Interior</v>
      </c>
      <c r="R120" s="1" t="str">
        <f ca="1">IFERROR(__xludf.DUMMYFUNCTION("""COMPUTED_VALUE"""),"MUHAMMAD MUZAKKY")</f>
        <v>MUHAMMAD MUZAKKY</v>
      </c>
      <c r="S120" s="1" t="str">
        <f ca="1">IFERROR(__xludf.DUMMYFUNCTION("""COMPUTED_VALUE"""),"5030201025")</f>
        <v>5030201025</v>
      </c>
      <c r="T120" s="1" t="str">
        <f ca="1">IFERROR(__xludf.DUMMYFUNCTION("""COMPUTED_VALUE"""),"Departemen Desain Komunikasi Visual")</f>
        <v>Departemen Desain Komunikasi Visual</v>
      </c>
      <c r="U120" s="1" t="str">
        <f ca="1">IFERROR(__xludf.DUMMYFUNCTION("""COMPUTED_VALUE"""),"Dr. I Gusti Ngurah Satriyadi Hernanda, S.T., M.T.")</f>
        <v>Dr. I Gusti Ngurah Satriyadi Hernanda, S.T., M.T.</v>
      </c>
      <c r="V120" s="1" t="str">
        <f ca="1">IFERROR(__xludf.DUMMYFUNCTION("""COMPUTED_VALUE"""),"Dr.Eng. Yuda Apri Hermawan, S.T., M.T.")</f>
        <v>Dr.Eng. Yuda Apri Hermawan, S.T., M.T.</v>
      </c>
      <c r="W120" s="1"/>
      <c r="X120" s="1" t="str">
        <f ca="1">IFERROR(__xludf.DUMMYFUNCTION("""COMPUTED_VALUE"""),"Lolos")</f>
        <v>Lolos</v>
      </c>
      <c r="Y120" s="1"/>
      <c r="Z120" s="1"/>
      <c r="AA120" s="1"/>
    </row>
    <row r="121" spans="1:27">
      <c r="A121" s="1" t="s">
        <v>119</v>
      </c>
      <c r="B121" s="1">
        <f ca="1">IFERROR(__xludf.DUMMYFUNCTION("""COMPUTED_VALUE"""),2424)</f>
        <v>2424</v>
      </c>
      <c r="C121" s="1" t="str">
        <f ca="1">IFERROR(__xludf.DUMMYFUNCTION("""COMPUTED_VALUE"""),"PKM Gagasan Futuristik Konstruktif")</f>
        <v>PKM Gagasan Futuristik Konstruktif</v>
      </c>
      <c r="D121" s="1" t="str">
        <f ca="1">IFERROR(__xludf.DUMMYFUNCTION("""COMPUTED_VALUE"""),"Konsep Terminal Masa Depan untuk Autonomous Bus dengan Kecanggihan IoT dan Pemanfaatan Mobilitas sebagai Sumber Energi Listrik Mandiri ")</f>
        <v xml:space="preserve">Konsep Terminal Masa Depan untuk Autonomous Bus dengan Kecanggihan IoT dan Pemanfaatan Mobilitas sebagai Sumber Energi Listrik Mandiri </v>
      </c>
      <c r="E121" s="1" t="str">
        <f ca="1">IFERROR(__xludf.DUMMYFUNCTION("""COMPUTED_VALUE"""),"DIYON ADI SANTOSO")</f>
        <v>DIYON ADI SANTOSO</v>
      </c>
      <c r="F121" s="1" t="str">
        <f ca="1">IFERROR(__xludf.DUMMYFUNCTION("""COMPUTED_VALUE"""),"5007201207")</f>
        <v>5007201207</v>
      </c>
      <c r="G121" s="1" t="str">
        <f ca="1">IFERROR(__xludf.DUMMYFUNCTION("""COMPUTED_VALUE"""),"Departemen Teknik Mesin")</f>
        <v>Departemen Teknik Mesin</v>
      </c>
      <c r="H121" s="1" t="str">
        <f ca="1">IFERROR(__xludf.DUMMYFUNCTION("""COMPUTED_VALUE"""),"Alief Wikarta, ST., MSc.Eng. Ph.D")</f>
        <v>Alief Wikarta, ST., MSc.Eng. Ph.D</v>
      </c>
      <c r="I121" s="1" t="str">
        <f ca="1">IFERROR(__xludf.DUMMYFUNCTION("""COMPUTED_VALUE"""),"NAURA ZALFA ADDINTAMA")</f>
        <v>NAURA ZALFA ADDINTAMA</v>
      </c>
      <c r="J121" s="1" t="str">
        <f ca="1">IFERROR(__xludf.DUMMYFUNCTION("""COMPUTED_VALUE"""),"5013201006")</f>
        <v>5013201006</v>
      </c>
      <c r="K121" s="1" t="str">
        <f ca="1">IFERROR(__xludf.DUMMYFUNCTION("""COMPUTED_VALUE"""),"Departemen Arsitektur")</f>
        <v>Departemen Arsitektur</v>
      </c>
      <c r="L121" s="1" t="str">
        <f ca="1">IFERROR(__xludf.DUMMYFUNCTION("""COMPUTED_VALUE"""),"YOGIK SEPTIADI")</f>
        <v>YOGIK SEPTIADI</v>
      </c>
      <c r="M121" s="1" t="str">
        <f ca="1">IFERROR(__xludf.DUMMYFUNCTION("""COMPUTED_VALUE"""),"5026201021")</f>
        <v>5026201021</v>
      </c>
      <c r="N121" s="1" t="str">
        <f ca="1">IFERROR(__xludf.DUMMYFUNCTION("""COMPUTED_VALUE"""),"Departemen Sistem Informasi")</f>
        <v>Departemen Sistem Informasi</v>
      </c>
      <c r="O121" s="1" t="str">
        <f ca="1">IFERROR(__xludf.DUMMYFUNCTION("""COMPUTED_VALUE"""),"EKA MAYA EVITASARI")</f>
        <v>EKA MAYA EVITASARI</v>
      </c>
      <c r="P121" s="1" t="str">
        <f ca="1">IFERROR(__xludf.DUMMYFUNCTION("""COMPUTED_VALUE"""),"5007201040")</f>
        <v>5007201040</v>
      </c>
      <c r="Q121" s="1" t="str">
        <f ca="1">IFERROR(__xludf.DUMMYFUNCTION("""COMPUTED_VALUE"""),"Departemen Teknik Mesin")</f>
        <v>Departemen Teknik Mesin</v>
      </c>
      <c r="R121" s="1" t="str">
        <f ca="1">IFERROR(__xludf.DUMMYFUNCTION("""COMPUTED_VALUE"""),"KEUMALAHAYATI CAHYA ARIFAH")</f>
        <v>KEUMALAHAYATI CAHYA ARIFAH</v>
      </c>
      <c r="S121" s="1" t="str">
        <f ca="1">IFERROR(__xludf.DUMMYFUNCTION("""COMPUTED_VALUE"""),"5029201045")</f>
        <v>5029201045</v>
      </c>
      <c r="T121" s="1" t="str">
        <f ca="1">IFERROR(__xludf.DUMMYFUNCTION("""COMPUTED_VALUE"""),"Departemen Desain Interior")</f>
        <v>Departemen Desain Interior</v>
      </c>
      <c r="U121" s="1" t="str">
        <f ca="1">IFERROR(__xludf.DUMMYFUNCTION("""COMPUTED_VALUE"""),"Dr. I Gusti Ngurah Satriyadi Hernanda, S.T., M.T.")</f>
        <v>Dr. I Gusti Ngurah Satriyadi Hernanda, S.T., M.T.</v>
      </c>
      <c r="V121" s="1" t="str">
        <f ca="1">IFERROR(__xludf.DUMMYFUNCTION("""COMPUTED_VALUE"""),"Dr.Eng. Yuda Apri Hermawan, S.T., M.T.")</f>
        <v>Dr.Eng. Yuda Apri Hermawan, S.T., M.T.</v>
      </c>
      <c r="W121" s="1"/>
      <c r="X121" s="1" t="str">
        <f ca="1">IFERROR(__xludf.DUMMYFUNCTION("""COMPUTED_VALUE"""),"Lolos")</f>
        <v>Lolos</v>
      </c>
      <c r="Y121" s="1"/>
      <c r="Z121" s="1"/>
      <c r="AA121" s="1"/>
    </row>
    <row r="122" spans="1:27">
      <c r="A122" s="1" t="s">
        <v>120</v>
      </c>
      <c r="B122" s="1">
        <f ca="1">IFERROR(__xludf.DUMMYFUNCTION("""COMPUTED_VALUE"""),2761)</f>
        <v>2761</v>
      </c>
      <c r="C122" s="1" t="str">
        <f ca="1">IFERROR(__xludf.DUMMYFUNCTION("""COMPUTED_VALUE"""),"PKM Gagasan Futuristik Konstruktif")</f>
        <v>PKM Gagasan Futuristik Konstruktif</v>
      </c>
      <c r="D122" s="1" t="str">
        <f ca="1">IFERROR(__xludf.DUMMYFUNCTION("""COMPUTED_VALUE"""),"Penerapan Low Maintenance Rainwater Harvesting System di komunitas pesisir pulau Ende sebagai Pilot Project Ecovillage SDGs ke-6 di Indonesia.")</f>
        <v>Penerapan Low Maintenance Rainwater Harvesting System di komunitas pesisir pulau Ende sebagai Pilot Project Ecovillage SDGs ke-6 di Indonesia.</v>
      </c>
      <c r="E122" s="1" t="str">
        <f ca="1">IFERROR(__xludf.DUMMYFUNCTION("""COMPUTED_VALUE"""),"HUWAIZA I DARISMAN")</f>
        <v>HUWAIZA I DARISMAN</v>
      </c>
      <c r="F122" s="1" t="str">
        <f ca="1">IFERROR(__xludf.DUMMYFUNCTION("""COMPUTED_VALUE"""),"5012201118")</f>
        <v>5012201118</v>
      </c>
      <c r="G122" s="1" t="str">
        <f ca="1">IFERROR(__xludf.DUMMYFUNCTION("""COMPUTED_VALUE"""),"Departemen Teknik Sipil")</f>
        <v>Departemen Teknik Sipil</v>
      </c>
      <c r="H122" s="1" t="str">
        <f ca="1">IFERROR(__xludf.DUMMYFUNCTION("""COMPUTED_VALUE"""),"Dr.techn. Umboro Lasminto, S.T., M.Sc.")</f>
        <v>Dr.techn. Umboro Lasminto, S.T., M.Sc.</v>
      </c>
      <c r="I122" s="1" t="str">
        <f ca="1">IFERROR(__xludf.DUMMYFUNCTION("""COMPUTED_VALUE"""),"IKBAR MAKHABBATAN SALAM")</f>
        <v>IKBAR MAKHABBATAN SALAM</v>
      </c>
      <c r="J122" s="1" t="str">
        <f ca="1">IFERROR(__xludf.DUMMYFUNCTION("""COMPUTED_VALUE"""),"5012201114")</f>
        <v>5012201114</v>
      </c>
      <c r="K122" s="1" t="str">
        <f ca="1">IFERROR(__xludf.DUMMYFUNCTION("""COMPUTED_VALUE"""),"Departemen Teknik Sipil")</f>
        <v>Departemen Teknik Sipil</v>
      </c>
      <c r="L122" s="1" t="str">
        <f ca="1">IFERROR(__xludf.DUMMYFUNCTION("""COMPUTED_VALUE"""),"MUHAMMAD WILDAN FIRDAUS")</f>
        <v>MUHAMMAD WILDAN FIRDAUS</v>
      </c>
      <c r="M122" s="1" t="str">
        <f ca="1">IFERROR(__xludf.DUMMYFUNCTION("""COMPUTED_VALUE"""),"5012201109")</f>
        <v>5012201109</v>
      </c>
      <c r="N122" s="1" t="str">
        <f ca="1">IFERROR(__xludf.DUMMYFUNCTION("""COMPUTED_VALUE"""),"Departemen Teknik Sipil")</f>
        <v>Departemen Teknik Sipil</v>
      </c>
      <c r="O122" s="1" t="str">
        <f ca="1">IFERROR(__xludf.DUMMYFUNCTION("""COMPUTED_VALUE"""),"ALIM MUBAROK")</f>
        <v>ALIM MUBAROK</v>
      </c>
      <c r="P122" s="1" t="str">
        <f ca="1">IFERROR(__xludf.DUMMYFUNCTION("""COMPUTED_VALUE"""),"5012201123")</f>
        <v>5012201123</v>
      </c>
      <c r="Q122" s="1" t="str">
        <f ca="1">IFERROR(__xludf.DUMMYFUNCTION("""COMPUTED_VALUE"""),"Departemen Teknik Sipil")</f>
        <v>Departemen Teknik Sipil</v>
      </c>
      <c r="R122" s="1"/>
      <c r="S122" s="1"/>
      <c r="T122" s="1"/>
      <c r="U122" s="1" t="str">
        <f ca="1">IFERROR(__xludf.DUMMYFUNCTION("""COMPUTED_VALUE"""),"Dr. I Gusti Ngurah Satriyadi Hernanda, S.T., M.T.")</f>
        <v>Dr. I Gusti Ngurah Satriyadi Hernanda, S.T., M.T.</v>
      </c>
      <c r="V122" s="1" t="str">
        <f ca="1">IFERROR(__xludf.DUMMYFUNCTION("""COMPUTED_VALUE"""),"Dion Hayu Fandiantoro, S.T., M.Eng.")</f>
        <v>Dion Hayu Fandiantoro, S.T., M.Eng.</v>
      </c>
      <c r="W122" s="1"/>
      <c r="X122" s="1" t="str">
        <f ca="1">IFERROR(__xludf.DUMMYFUNCTION("""COMPUTED_VALUE"""),"Lolos")</f>
        <v>Lolos</v>
      </c>
      <c r="Y122" s="1"/>
      <c r="Z122" s="1"/>
      <c r="AA122" s="1"/>
    </row>
    <row r="123" spans="1:27">
      <c r="A123" s="1" t="s">
        <v>121</v>
      </c>
      <c r="B123" s="1">
        <f ca="1">IFERROR(__xludf.DUMMYFUNCTION("""COMPUTED_VALUE"""),3481)</f>
        <v>3481</v>
      </c>
      <c r="C123" s="1" t="str">
        <f ca="1">IFERROR(__xludf.DUMMYFUNCTION("""COMPUTED_VALUE"""),"PKM Gagasan Futuristik Konstruktif")</f>
        <v>PKM Gagasan Futuristik Konstruktif</v>
      </c>
      <c r="D123" s="1" t="str">
        <f ca="1">IFERROR(__xludf.DUMMYFUNCTION("""COMPUTED_VALUE"""),"PariJagat: ROV Penyaring dan Degradator Mikroplastik Berbasis Biodegradation")</f>
        <v>PariJagat: ROV Penyaring dan Degradator Mikroplastik Berbasis Biodegradation</v>
      </c>
      <c r="E123" s="1" t="str">
        <f ca="1">IFERROR(__xludf.DUMMYFUNCTION("""COMPUTED_VALUE"""),"M. Syafiq Fadli Rahm")</f>
        <v>M. Syafiq Fadli Rahm</v>
      </c>
      <c r="F123" s="1" t="str">
        <f ca="1">IFERROR(__xludf.DUMMYFUNCTION("""COMPUTED_VALUE"""),"5020211039")</f>
        <v>5020211039</v>
      </c>
      <c r="G123" s="1" t="str">
        <f ca="1">IFERROR(__xludf.DUMMYFUNCTION("""COMPUTED_VALUE"""),"Departemen Teknik Kelautan")</f>
        <v>Departemen Teknik Kelautan</v>
      </c>
      <c r="H123" s="1" t="str">
        <f ca="1">IFERROR(__xludf.DUMMYFUNCTION("""COMPUTED_VALUE"""),"Dr. Shade Rahmawati, S.T., M.T.")</f>
        <v>Dr. Shade Rahmawati, S.T., M.T.</v>
      </c>
      <c r="I123" s="1" t="str">
        <f ca="1">IFERROR(__xludf.DUMMYFUNCTION("""COMPUTED_VALUE"""),"ADVIRA NAFI KHALIDA")</f>
        <v>ADVIRA NAFI KHALIDA</v>
      </c>
      <c r="J123" s="1" t="str">
        <f ca="1">IFERROR(__xludf.DUMMYFUNCTION("""COMPUTED_VALUE"""),"5020211008")</f>
        <v>5020211008</v>
      </c>
      <c r="K123" s="1" t="str">
        <f ca="1">IFERROR(__xludf.DUMMYFUNCTION("""COMPUTED_VALUE"""),"Departemen Teknik Kelautan")</f>
        <v>Departemen Teknik Kelautan</v>
      </c>
      <c r="L123" s="1" t="str">
        <f ca="1">IFERROR(__xludf.DUMMYFUNCTION("""COMPUTED_VALUE"""),"BAGAS SATRIO W")</f>
        <v>BAGAS SATRIO W</v>
      </c>
      <c r="M123" s="1" t="str">
        <f ca="1">IFERROR(__xludf.DUMMYFUNCTION("""COMPUTED_VALUE"""),"5020211019")</f>
        <v>5020211019</v>
      </c>
      <c r="N123" s="1" t="str">
        <f ca="1">IFERROR(__xludf.DUMMYFUNCTION("""COMPUTED_VALUE"""),"Departemen Teknik Kelautan")</f>
        <v>Departemen Teknik Kelautan</v>
      </c>
      <c r="O123" s="1" t="str">
        <f ca="1">IFERROR(__xludf.DUMMYFUNCTION("""COMPUTED_VALUE"""),"Hanna Ressica")</f>
        <v>Hanna Ressica</v>
      </c>
      <c r="P123" s="1" t="str">
        <f ca="1">IFERROR(__xludf.DUMMYFUNCTION("""COMPUTED_VALUE"""),"5020211062")</f>
        <v>5020211062</v>
      </c>
      <c r="Q123" s="1" t="str">
        <f ca="1">IFERROR(__xludf.DUMMYFUNCTION("""COMPUTED_VALUE"""),"Departemen Teknik Kelautan")</f>
        <v>Departemen Teknik Kelautan</v>
      </c>
      <c r="R123" s="1" t="str">
        <f ca="1">IFERROR(__xludf.DUMMYFUNCTION("""COMPUTED_VALUE"""),"MUHAMMAD DESAR EKA S")</f>
        <v>MUHAMMAD DESAR EKA S</v>
      </c>
      <c r="S123" s="1" t="str">
        <f ca="1">IFERROR(__xludf.DUMMYFUNCTION("""COMPUTED_VALUE"""),"5020211108")</f>
        <v>5020211108</v>
      </c>
      <c r="T123" s="1" t="str">
        <f ca="1">IFERROR(__xludf.DUMMYFUNCTION("""COMPUTED_VALUE"""),"Departemen Teknik Kelautan")</f>
        <v>Departemen Teknik Kelautan</v>
      </c>
      <c r="U123" s="1" t="str">
        <f ca="1">IFERROR(__xludf.DUMMYFUNCTION("""COMPUTED_VALUE"""),"Okta Putra Setio Ardianto, S.T., M.T.")</f>
        <v>Okta Putra Setio Ardianto, S.T., M.T.</v>
      </c>
      <c r="V123" s="1" t="str">
        <f ca="1">IFERROR(__xludf.DUMMYFUNCTION("""COMPUTED_VALUE"""),"Dion Hayu Fandiantoro, S.T., M.Eng.")</f>
        <v>Dion Hayu Fandiantoro, S.T., M.Eng.</v>
      </c>
      <c r="W123" s="1"/>
      <c r="X123" s="1" t="str">
        <f ca="1">IFERROR(__xludf.DUMMYFUNCTION("""COMPUTED_VALUE"""),"Lolos")</f>
        <v>Lolos</v>
      </c>
      <c r="Y123" s="1"/>
      <c r="Z123" s="1"/>
      <c r="AA123" s="1"/>
    </row>
    <row r="124" spans="1:27">
      <c r="A124" s="1" t="s">
        <v>122</v>
      </c>
      <c r="B124" s="1">
        <f ca="1">IFERROR(__xludf.DUMMYFUNCTION("""COMPUTED_VALUE"""),2182)</f>
        <v>2182</v>
      </c>
      <c r="C124" s="1" t="str">
        <f ca="1">IFERROR(__xludf.DUMMYFUNCTION("""COMPUTED_VALUE"""),"PKM Gagasan Futuristik Konstruktif")</f>
        <v>PKM Gagasan Futuristik Konstruktif</v>
      </c>
      <c r="D124" s="1" t="str">
        <f ca="1">IFERROR(__xludf.DUMMYFUNCTION("""COMPUTED_VALUE"""),"Pemanfaatan 6G Integrated Access and Backhaul dalam Realisasi Human Health Digital Twin Terintegrasi AI")</f>
        <v>Pemanfaatan 6G Integrated Access and Backhaul dalam Realisasi Human Health Digital Twin Terintegrasi AI</v>
      </c>
      <c r="E124" s="1" t="str">
        <f ca="1">IFERROR(__xludf.DUMMYFUNCTION("""COMPUTED_VALUE"""),"BHARA ALFHANIAWAN")</f>
        <v>BHARA ALFHANIAWAN</v>
      </c>
      <c r="F124" s="1" t="str">
        <f ca="1">IFERROR(__xludf.DUMMYFUNCTION("""COMPUTED_VALUE"""),"07111940000167")</f>
        <v>07111940000167</v>
      </c>
      <c r="G124" s="1" t="str">
        <f ca="1">IFERROR(__xludf.DUMMYFUNCTION("""COMPUTED_VALUE"""),"Departemen Teknik Elektro")</f>
        <v>Departemen Teknik Elektro</v>
      </c>
      <c r="H124" s="1" t="str">
        <f ca="1">IFERROR(__xludf.DUMMYFUNCTION("""COMPUTED_VALUE"""),"Prof. Ir. Gamantyo Hendrantoro, M.Eng., Ph.D.")</f>
        <v>Prof. Ir. Gamantyo Hendrantoro, M.Eng., Ph.D.</v>
      </c>
      <c r="I124" s="1" t="str">
        <f ca="1">IFERROR(__xludf.DUMMYFUNCTION("""COMPUTED_VALUE"""),"A KRISNA WIKANTYOSO")</f>
        <v>A KRISNA WIKANTYOSO</v>
      </c>
      <c r="J124" s="1" t="str">
        <f ca="1">IFERROR(__xludf.DUMMYFUNCTION("""COMPUTED_VALUE"""),"07111940000119")</f>
        <v>07111940000119</v>
      </c>
      <c r="K124" s="1" t="str">
        <f ca="1">IFERROR(__xludf.DUMMYFUNCTION("""COMPUTED_VALUE"""),"Departemen Teknik Elektro")</f>
        <v>Departemen Teknik Elektro</v>
      </c>
      <c r="L124" s="1" t="str">
        <f ca="1">IFERROR(__xludf.DUMMYFUNCTION("""COMPUTED_VALUE"""),"Donny Triartahsasta")</f>
        <v>Donny Triartahsasta</v>
      </c>
      <c r="M124" s="1" t="str">
        <f ca="1">IFERROR(__xludf.DUMMYFUNCTION("""COMPUTED_VALUE"""),"07111940000035")</f>
        <v>07111940000035</v>
      </c>
      <c r="N124" s="1" t="str">
        <f ca="1">IFERROR(__xludf.DUMMYFUNCTION("""COMPUTED_VALUE"""),"Departemen Teknik Elektro")</f>
        <v>Departemen Teknik Elektro</v>
      </c>
      <c r="O124" s="1" t="str">
        <f ca="1">IFERROR(__xludf.DUMMYFUNCTION("""COMPUTED_VALUE"""),"BRIAN HABIB PUTRA PURNAMA")</f>
        <v>BRIAN HABIB PUTRA PURNAMA</v>
      </c>
      <c r="P124" s="1" t="str">
        <f ca="1">IFERROR(__xludf.DUMMYFUNCTION("""COMPUTED_VALUE"""),"07111940000154")</f>
        <v>07111940000154</v>
      </c>
      <c r="Q124" s="1" t="str">
        <f ca="1">IFERROR(__xludf.DUMMYFUNCTION("""COMPUTED_VALUE"""),"Departemen Teknik Elektro")</f>
        <v>Departemen Teknik Elektro</v>
      </c>
      <c r="R124" s="1" t="str">
        <f ca="1">IFERROR(__xludf.DUMMYFUNCTION("""COMPUTED_VALUE"""),"FADILLA RATRI NURISHA")</f>
        <v>FADILLA RATRI NURISHA</v>
      </c>
      <c r="S124" s="1" t="str">
        <f ca="1">IFERROR(__xludf.DUMMYFUNCTION("""COMPUTED_VALUE"""),"5029201009")</f>
        <v>5029201009</v>
      </c>
      <c r="T124" s="1" t="str">
        <f ca="1">IFERROR(__xludf.DUMMYFUNCTION("""COMPUTED_VALUE"""),"Departemen Desain Interior")</f>
        <v>Departemen Desain Interior</v>
      </c>
      <c r="U124" s="1" t="str">
        <f ca="1">IFERROR(__xludf.DUMMYFUNCTION("""COMPUTED_VALUE"""),"Putu Gde Ariastita, S.T., M.T.")</f>
        <v>Putu Gde Ariastita, S.T., M.T.</v>
      </c>
      <c r="V124" s="1" t="str">
        <f ca="1">IFERROR(__xludf.DUMMYFUNCTION("""COMPUTED_VALUE"""),"Nur Azizah, S.Si., M.Stat.")</f>
        <v>Nur Azizah, S.Si., M.Stat.</v>
      </c>
      <c r="W124" s="1"/>
      <c r="X124" s="1" t="str">
        <f ca="1">IFERROR(__xludf.DUMMYFUNCTION("""COMPUTED_VALUE"""),"Lolos")</f>
        <v>Lolos</v>
      </c>
      <c r="Y124" s="1"/>
      <c r="Z124" s="1"/>
      <c r="AA124" s="1"/>
    </row>
    <row r="125" spans="1:27">
      <c r="A125" s="1" t="s">
        <v>123</v>
      </c>
      <c r="B125" s="1">
        <f ca="1">IFERROR(__xludf.DUMMYFUNCTION("""COMPUTED_VALUE"""),3889)</f>
        <v>3889</v>
      </c>
      <c r="C125" s="1" t="str">
        <f ca="1">IFERROR(__xludf.DUMMYFUNCTION("""COMPUTED_VALUE"""),"PKM Gagasan Futuristik Konstruktif")</f>
        <v>PKM Gagasan Futuristik Konstruktif</v>
      </c>
      <c r="D125" s="1" t="str">
        <f ca="1">IFERROR(__xludf.DUMMYFUNCTION("""COMPUTED_VALUE"""),"Desain Smart Home dengan Memanfaatkan Energi Surya untuk Menunjang Kehidupan Manusia dengan Disabilitas Fisik ")</f>
        <v xml:space="preserve">Desain Smart Home dengan Memanfaatkan Energi Surya untuk Menunjang Kehidupan Manusia dengan Disabilitas Fisik </v>
      </c>
      <c r="E125" s="1" t="str">
        <f ca="1">IFERROR(__xludf.DUMMYFUNCTION("""COMPUTED_VALUE"""),"NASYATUL IFADAH")</f>
        <v>NASYATUL IFADAH</v>
      </c>
      <c r="F125" s="1" t="str">
        <f ca="1">IFERROR(__xludf.DUMMYFUNCTION("""COMPUTED_VALUE"""),"5029201049")</f>
        <v>5029201049</v>
      </c>
      <c r="G125" s="1" t="str">
        <f ca="1">IFERROR(__xludf.DUMMYFUNCTION("""COMPUTED_VALUE"""),"Departemen Desain Interior")</f>
        <v>Departemen Desain Interior</v>
      </c>
      <c r="H125" s="1" t="str">
        <f ca="1">IFERROR(__xludf.DUMMYFUNCTION("""COMPUTED_VALUE"""),"Anggra Ayu Rucitra, S.T., M.MT")</f>
        <v>Anggra Ayu Rucitra, S.T., M.MT</v>
      </c>
      <c r="I125" s="1" t="str">
        <f ca="1">IFERROR(__xludf.DUMMYFUNCTION("""COMPUTED_VALUE"""),"CITRA NUR FITRIANI")</f>
        <v>CITRA NUR FITRIANI</v>
      </c>
      <c r="J125" s="1" t="str">
        <f ca="1">IFERROR(__xludf.DUMMYFUNCTION("""COMPUTED_VALUE"""),"5029201029")</f>
        <v>5029201029</v>
      </c>
      <c r="K125" s="1" t="str">
        <f ca="1">IFERROR(__xludf.DUMMYFUNCTION("""COMPUTED_VALUE"""),"Departemen Desain Interior")</f>
        <v>Departemen Desain Interior</v>
      </c>
      <c r="L125" s="1" t="str">
        <f ca="1">IFERROR(__xludf.DUMMYFUNCTION("""COMPUTED_VALUE"""),"FAUZIYATUTS TSANIYAH PUTRI")</f>
        <v>FAUZIYATUTS TSANIYAH PUTRI</v>
      </c>
      <c r="M125" s="1" t="str">
        <f ca="1">IFERROR(__xludf.DUMMYFUNCTION("""COMPUTED_VALUE"""),"5029201046")</f>
        <v>5029201046</v>
      </c>
      <c r="N125" s="1" t="str">
        <f ca="1">IFERROR(__xludf.DUMMYFUNCTION("""COMPUTED_VALUE"""),"Departemen Desain Interior")</f>
        <v>Departemen Desain Interior</v>
      </c>
      <c r="O125" s="1" t="str">
        <f ca="1">IFERROR(__xludf.DUMMYFUNCTION("""COMPUTED_VALUE"""),"SABRINA ATIKAH RAHMA")</f>
        <v>SABRINA ATIKAH RAHMA</v>
      </c>
      <c r="P125" s="1" t="str">
        <f ca="1">IFERROR(__xludf.DUMMYFUNCTION("""COMPUTED_VALUE"""),"5029201062")</f>
        <v>5029201062</v>
      </c>
      <c r="Q125" s="1" t="str">
        <f ca="1">IFERROR(__xludf.DUMMYFUNCTION("""COMPUTED_VALUE"""),"Departemen Desain Interior")</f>
        <v>Departemen Desain Interior</v>
      </c>
      <c r="R125" s="1" t="str">
        <f ca="1">IFERROR(__xludf.DUMMYFUNCTION("""COMPUTED_VALUE"""),"REVAYA RADITYOTOMO")</f>
        <v>REVAYA RADITYOTOMO</v>
      </c>
      <c r="S125" s="1" t="str">
        <f ca="1">IFERROR(__xludf.DUMMYFUNCTION("""COMPUTED_VALUE"""),"08411940000060")</f>
        <v>08411940000060</v>
      </c>
      <c r="T125" s="1" t="str">
        <f ca="1">IFERROR(__xludf.DUMMYFUNCTION("""COMPUTED_VALUE"""),"Departemen Desain Interior")</f>
        <v>Departemen Desain Interior</v>
      </c>
      <c r="U125" s="1" t="str">
        <f ca="1">IFERROR(__xludf.DUMMYFUNCTION("""COMPUTED_VALUE"""),"Dr. I Gusti Ngurah Satriyadi Hernanda, S.T., M.T.")</f>
        <v>Dr. I Gusti Ngurah Satriyadi Hernanda, S.T., M.T.</v>
      </c>
      <c r="V125" s="1" t="str">
        <f ca="1">IFERROR(__xludf.DUMMYFUNCTION("""COMPUTED_VALUE"""),"Dion Hayu Fandiantoro, S.T., M.Eng.")</f>
        <v>Dion Hayu Fandiantoro, S.T., M.Eng.</v>
      </c>
      <c r="W125" s="1"/>
      <c r="X125" s="1" t="str">
        <f ca="1">IFERROR(__xludf.DUMMYFUNCTION("""COMPUTED_VALUE"""),"Lolos")</f>
        <v>Lolos</v>
      </c>
      <c r="Y125" s="1"/>
      <c r="Z125" s="1"/>
      <c r="AA125" s="1"/>
    </row>
    <row r="126" spans="1:27">
      <c r="A126" s="1" t="s">
        <v>124</v>
      </c>
      <c r="B126" s="1">
        <f ca="1">IFERROR(__xludf.DUMMYFUNCTION("""COMPUTED_VALUE"""),3982)</f>
        <v>3982</v>
      </c>
      <c r="C126" s="1" t="str">
        <f ca="1">IFERROR(__xludf.DUMMYFUNCTION("""COMPUTED_VALUE"""),"PKM Gagasan Futuristik Konstruktif")</f>
        <v>PKM Gagasan Futuristik Konstruktif</v>
      </c>
      <c r="D126" s="1" t="str">
        <f ca="1">IFERROR(__xludf.DUMMYFUNCTION("""COMPUTED_VALUE"""),"Inovasi Desain Public Space dengan Pizoelectric Energy dan Smart Umbrella Mewujudkan Zero Net Building serta Meminimalisir Gas Emisi Karbon Perkotaan")</f>
        <v>Inovasi Desain Public Space dengan Pizoelectric Energy dan Smart Umbrella Mewujudkan Zero Net Building serta Meminimalisir Gas Emisi Karbon Perkotaan</v>
      </c>
      <c r="E126" s="1" t="str">
        <f ca="1">IFERROR(__xludf.DUMMYFUNCTION("""COMPUTED_VALUE"""),"Ailsashofa Alfadhila")</f>
        <v>Ailsashofa Alfadhila</v>
      </c>
      <c r="F126" s="1" t="str">
        <f ca="1">IFERROR(__xludf.DUMMYFUNCTION("""COMPUTED_VALUE"""),"08411940000003")</f>
        <v>08411940000003</v>
      </c>
      <c r="G126" s="1" t="str">
        <f ca="1">IFERROR(__xludf.DUMMYFUNCTION("""COMPUTED_VALUE"""),"Departemen Desain Interior")</f>
        <v>Departemen Desain Interior</v>
      </c>
      <c r="H126" s="1" t="str">
        <f ca="1">IFERROR(__xludf.DUMMYFUNCTION("""COMPUTED_VALUE"""),"Caesario Ari Budianto, S.T., M.T.")</f>
        <v>Caesario Ari Budianto, S.T., M.T.</v>
      </c>
      <c r="I126" s="1" t="str">
        <f ca="1">IFERROR(__xludf.DUMMYFUNCTION("""COMPUTED_VALUE"""),"Retno Dewi Handayani")</f>
        <v>Retno Dewi Handayani</v>
      </c>
      <c r="J126" s="1" t="str">
        <f ca="1">IFERROR(__xludf.DUMMYFUNCTION("""COMPUTED_VALUE"""),"08411940000005")</f>
        <v>08411940000005</v>
      </c>
      <c r="K126" s="1" t="str">
        <f ca="1">IFERROR(__xludf.DUMMYFUNCTION("""COMPUTED_VALUE"""),"Departemen Desain Interior")</f>
        <v>Departemen Desain Interior</v>
      </c>
      <c r="L126" s="1" t="str">
        <f ca="1">IFERROR(__xludf.DUMMYFUNCTION("""COMPUTED_VALUE"""),"FAUZIYAH NURUL AFA")</f>
        <v>FAUZIYAH NURUL AFA</v>
      </c>
      <c r="M126" s="1" t="str">
        <f ca="1">IFERROR(__xludf.DUMMYFUNCTION("""COMPUTED_VALUE"""),"08411940000055")</f>
        <v>08411940000055</v>
      </c>
      <c r="N126" s="1" t="str">
        <f ca="1">IFERROR(__xludf.DUMMYFUNCTION("""COMPUTED_VALUE"""),"Departemen Desain Interior")</f>
        <v>Departemen Desain Interior</v>
      </c>
      <c r="O126" s="1" t="str">
        <f ca="1">IFERROR(__xludf.DUMMYFUNCTION("""COMPUTED_VALUE"""),"AZKIA LAILA AZRA")</f>
        <v>AZKIA LAILA AZRA</v>
      </c>
      <c r="P126" s="1" t="str">
        <f ca="1">IFERROR(__xludf.DUMMYFUNCTION("""COMPUTED_VALUE"""),"08411940000039")</f>
        <v>08411940000039</v>
      </c>
      <c r="Q126" s="1" t="str">
        <f ca="1">IFERROR(__xludf.DUMMYFUNCTION("""COMPUTED_VALUE"""),"Departemen Desain Interior")</f>
        <v>Departemen Desain Interior</v>
      </c>
      <c r="R126" s="1" t="str">
        <f ca="1">IFERROR(__xludf.DUMMYFUNCTION("""COMPUTED_VALUE"""),"IZAAZ ABDUL HARITS")</f>
        <v>IZAAZ ABDUL HARITS</v>
      </c>
      <c r="S126" s="1" t="str">
        <f ca="1">IFERROR(__xludf.DUMMYFUNCTION("""COMPUTED_VALUE"""),"5015201058")</f>
        <v>5015201058</v>
      </c>
      <c r="T126" s="1" t="str">
        <f ca="1">IFERROR(__xludf.DUMMYFUNCTION("""COMPUTED_VALUE"""),"Departemen Perencanaan Wilayah dan Kota")</f>
        <v>Departemen Perencanaan Wilayah dan Kota</v>
      </c>
      <c r="U126" s="1" t="str">
        <f ca="1">IFERROR(__xludf.DUMMYFUNCTION("""COMPUTED_VALUE"""),"Dr. I Gusti Ngurah Satriyadi Hernanda, S.T., M.T.")</f>
        <v>Dr. I Gusti Ngurah Satriyadi Hernanda, S.T., M.T.</v>
      </c>
      <c r="V126" s="1" t="str">
        <f ca="1">IFERROR(__xludf.DUMMYFUNCTION("""COMPUTED_VALUE"""),"Fardilla Rizqiyah, ST, MT")</f>
        <v>Fardilla Rizqiyah, ST, MT</v>
      </c>
      <c r="W126" s="1"/>
      <c r="X126" s="1" t="str">
        <f ca="1">IFERROR(__xludf.DUMMYFUNCTION("""COMPUTED_VALUE"""),"Lolos")</f>
        <v>Lolos</v>
      </c>
      <c r="Y126" s="1"/>
      <c r="Z126" s="1"/>
      <c r="AA126" s="1"/>
    </row>
    <row r="127" spans="1:27">
      <c r="A127" s="1" t="s">
        <v>125</v>
      </c>
      <c r="B127" s="1">
        <f ca="1">IFERROR(__xludf.DUMMYFUNCTION("""COMPUTED_VALUE"""),4104)</f>
        <v>4104</v>
      </c>
      <c r="C127" s="1" t="str">
        <f ca="1">IFERROR(__xludf.DUMMYFUNCTION("""COMPUTED_VALUE"""),"PKM Gagasan Futuristik Konstruktif")</f>
        <v>PKM Gagasan Futuristik Konstruktif</v>
      </c>
      <c r="D127" s="1" t="str">
        <f ca="1">IFERROR(__xludf.DUMMYFUNCTION("""COMPUTED_VALUE"""),"Pemanfaatan Shaft Sebagai Lahan Vertikultur dengan Sistem Smart Building Guna Mengatasi Defisit Pangan di Ibu Kota Baru
")</f>
        <v xml:space="preserve">Pemanfaatan Shaft Sebagai Lahan Vertikultur dengan Sistem Smart Building Guna Mengatasi Defisit Pangan di Ibu Kota Baru
</v>
      </c>
      <c r="E127" s="1" t="str">
        <f ca="1">IFERROR(__xludf.DUMMYFUNCTION("""COMPUTED_VALUE"""),"BELINDAH APRILEA TAN")</f>
        <v>BELINDAH APRILEA TAN</v>
      </c>
      <c r="F127" s="1" t="str">
        <f ca="1">IFERROR(__xludf.DUMMYFUNCTION("""COMPUTED_VALUE"""),"5013211044")</f>
        <v>5013211044</v>
      </c>
      <c r="G127" s="1" t="str">
        <f ca="1">IFERROR(__xludf.DUMMYFUNCTION("""COMPUTED_VALUE"""),"Departemen Arsitektur")</f>
        <v>Departemen Arsitektur</v>
      </c>
      <c r="H127" s="1" t="str">
        <f ca="1">IFERROR(__xludf.DUMMYFUNCTION("""COMPUTED_VALUE"""),"Rabbani Kharismawan, S.T., M.T.")</f>
        <v>Rabbani Kharismawan, S.T., M.T.</v>
      </c>
      <c r="I127" s="1" t="str">
        <f ca="1">IFERROR(__xludf.DUMMYFUNCTION("""COMPUTED_VALUE"""),"ROSETA PURWANINGTYAS")</f>
        <v>ROSETA PURWANINGTYAS</v>
      </c>
      <c r="J127" s="1" t="str">
        <f ca="1">IFERROR(__xludf.DUMMYFUNCTION("""COMPUTED_VALUE"""),"5013211025")</f>
        <v>5013211025</v>
      </c>
      <c r="K127" s="1" t="str">
        <f ca="1">IFERROR(__xludf.DUMMYFUNCTION("""COMPUTED_VALUE"""),"Departemen Arsitektur")</f>
        <v>Departemen Arsitektur</v>
      </c>
      <c r="L127" s="1" t="str">
        <f ca="1">IFERROR(__xludf.DUMMYFUNCTION("""COMPUTED_VALUE"""),"NUR AISYAH ABIDARTA")</f>
        <v>NUR AISYAH ABIDARTA</v>
      </c>
      <c r="M127" s="1" t="str">
        <f ca="1">IFERROR(__xludf.DUMMYFUNCTION("""COMPUTED_VALUE"""),"5013211026")</f>
        <v>5013211026</v>
      </c>
      <c r="N127" s="1" t="str">
        <f ca="1">IFERROR(__xludf.DUMMYFUNCTION("""COMPUTED_VALUE"""),"Departemen Arsitektur")</f>
        <v>Departemen Arsitektur</v>
      </c>
      <c r="O127" s="1" t="str">
        <f ca="1">IFERROR(__xludf.DUMMYFUNCTION("""COMPUTED_VALUE"""),"Aling Shofi Pramono")</f>
        <v>Aling Shofi Pramono</v>
      </c>
      <c r="P127" s="1" t="str">
        <f ca="1">IFERROR(__xludf.DUMMYFUNCTION("""COMPUTED_VALUE"""),"5013211027")</f>
        <v>5013211027</v>
      </c>
      <c r="Q127" s="1" t="str">
        <f ca="1">IFERROR(__xludf.DUMMYFUNCTION("""COMPUTED_VALUE"""),"Departemen Arsitektur")</f>
        <v>Departemen Arsitektur</v>
      </c>
      <c r="R127" s="1" t="str">
        <f ca="1">IFERROR(__xludf.DUMMYFUNCTION("""COMPUTED_VALUE"""),"ALEXANDER DAUD")</f>
        <v>ALEXANDER DAUD</v>
      </c>
      <c r="S127" s="1" t="str">
        <f ca="1">IFERROR(__xludf.DUMMYFUNCTION("""COMPUTED_VALUE"""),"5013211067")</f>
        <v>5013211067</v>
      </c>
      <c r="T127" s="1" t="str">
        <f ca="1">IFERROR(__xludf.DUMMYFUNCTION("""COMPUTED_VALUE"""),"Departemen Arsitektur")</f>
        <v>Departemen Arsitektur</v>
      </c>
      <c r="U127" s="1" t="str">
        <f ca="1">IFERROR(__xludf.DUMMYFUNCTION("""COMPUTED_VALUE"""),"Okta Putra Setio Ardianto, S.T., M.T.")</f>
        <v>Okta Putra Setio Ardianto, S.T., M.T.</v>
      </c>
      <c r="V127" s="1" t="str">
        <f ca="1">IFERROR(__xludf.DUMMYFUNCTION("""COMPUTED_VALUE"""),"Dion Hayu Fandiantoro, S.T., M.Eng.")</f>
        <v>Dion Hayu Fandiantoro, S.T., M.Eng.</v>
      </c>
      <c r="W127" s="1"/>
      <c r="X127" s="1" t="str">
        <f ca="1">IFERROR(__xludf.DUMMYFUNCTION("""COMPUTED_VALUE"""),"Lolos")</f>
        <v>Lolos</v>
      </c>
      <c r="Y127" s="1"/>
      <c r="Z127" s="1"/>
      <c r="AA127" s="1"/>
    </row>
    <row r="128" spans="1:27">
      <c r="A128" s="1" t="s">
        <v>126</v>
      </c>
      <c r="B128" s="1">
        <f ca="1">IFERROR(__xludf.DUMMYFUNCTION("""COMPUTED_VALUE"""),3770)</f>
        <v>3770</v>
      </c>
      <c r="C128" s="1" t="str">
        <f ca="1">IFERROR(__xludf.DUMMYFUNCTION("""COMPUTED_VALUE"""),"PKM Gagasan Futuristik Konstruktif")</f>
        <v>PKM Gagasan Futuristik Konstruktif</v>
      </c>
      <c r="D128" s="1" t="str">
        <f ca="1">IFERROR(__xludf.DUMMYFUNCTION("""COMPUTED_VALUE"""),"Desain Hunian Cerdas Terintegrasi IoT sebagai Upaya Penanggulangan Dampak Asap Kebakaran Hutan di Wilayah Ibu Kota Negara (IKN)
")</f>
        <v xml:space="preserve">Desain Hunian Cerdas Terintegrasi IoT sebagai Upaya Penanggulangan Dampak Asap Kebakaran Hutan di Wilayah Ibu Kota Negara (IKN)
</v>
      </c>
      <c r="E128" s="1" t="str">
        <f ca="1">IFERROR(__xludf.DUMMYFUNCTION("""COMPUTED_VALUE"""),"FADILLA RATRI NURISHA")</f>
        <v>FADILLA RATRI NURISHA</v>
      </c>
      <c r="F128" s="1" t="str">
        <f ca="1">IFERROR(__xludf.DUMMYFUNCTION("""COMPUTED_VALUE"""),"5029201009")</f>
        <v>5029201009</v>
      </c>
      <c r="G128" s="1" t="str">
        <f ca="1">IFERROR(__xludf.DUMMYFUNCTION("""COMPUTED_VALUE"""),"Departemen Desain Interior")</f>
        <v>Departemen Desain Interior</v>
      </c>
      <c r="H128" s="1" t="str">
        <f ca="1">IFERROR(__xludf.DUMMYFUNCTION("""COMPUTED_VALUE"""),"Okta Putra Setio Ardianto, S.T., M.T.")</f>
        <v>Okta Putra Setio Ardianto, S.T., M.T.</v>
      </c>
      <c r="I128" s="1" t="str">
        <f ca="1">IFERROR(__xludf.DUMMYFUNCTION("""COMPUTED_VALUE"""),"Shafanisa Permata")</f>
        <v>Shafanisa Permata</v>
      </c>
      <c r="J128" s="1" t="str">
        <f ca="1">IFERROR(__xludf.DUMMYFUNCTION("""COMPUTED_VALUE"""),"08411940000006")</f>
        <v>08411940000006</v>
      </c>
      <c r="K128" s="1" t="str">
        <f ca="1">IFERROR(__xludf.DUMMYFUNCTION("""COMPUTED_VALUE"""),"Departemen Desain Interior")</f>
        <v>Departemen Desain Interior</v>
      </c>
      <c r="L128" s="1" t="str">
        <f ca="1">IFERROR(__xludf.DUMMYFUNCTION("""COMPUTED_VALUE"""),"NISRINA AKMIYATI")</f>
        <v>NISRINA AKMIYATI</v>
      </c>
      <c r="M128" s="1" t="str">
        <f ca="1">IFERROR(__xludf.DUMMYFUNCTION("""COMPUTED_VALUE"""),"5029201066")</f>
        <v>5029201066</v>
      </c>
      <c r="N128" s="1" t="str">
        <f ca="1">IFERROR(__xludf.DUMMYFUNCTION("""COMPUTED_VALUE"""),"Departemen Desain Interior")</f>
        <v>Departemen Desain Interior</v>
      </c>
      <c r="O128" s="1" t="str">
        <f ca="1">IFERROR(__xludf.DUMMYFUNCTION("""COMPUTED_VALUE"""),"DINIAR PUTRI")</f>
        <v>DINIAR PUTRI</v>
      </c>
      <c r="P128" s="1" t="str">
        <f ca="1">IFERROR(__xludf.DUMMYFUNCTION("""COMPUTED_VALUE"""),"5029201004")</f>
        <v>5029201004</v>
      </c>
      <c r="Q128" s="1" t="str">
        <f ca="1">IFERROR(__xludf.DUMMYFUNCTION("""COMPUTED_VALUE"""),"Departemen Desain Interior")</f>
        <v>Departemen Desain Interior</v>
      </c>
      <c r="R128" s="1" t="str">
        <f ca="1">IFERROR(__xludf.DUMMYFUNCTION("""COMPUTED_VALUE"""),"YUANITA HANA PERTIWI")</f>
        <v>YUANITA HANA PERTIWI</v>
      </c>
      <c r="S128" s="1" t="str">
        <f ca="1">IFERROR(__xludf.DUMMYFUNCTION("""COMPUTED_VALUE"""),"5029201008")</f>
        <v>5029201008</v>
      </c>
      <c r="T128" s="1" t="str">
        <f ca="1">IFERROR(__xludf.DUMMYFUNCTION("""COMPUTED_VALUE"""),"Departemen Desain Interior")</f>
        <v>Departemen Desain Interior</v>
      </c>
      <c r="U128" s="1" t="str">
        <f ca="1">IFERROR(__xludf.DUMMYFUNCTION("""COMPUTED_VALUE"""),"Dr. I Gusti Ngurah Satriyadi Hernanda, S.T., M.T.")</f>
        <v>Dr. I Gusti Ngurah Satriyadi Hernanda, S.T., M.T.</v>
      </c>
      <c r="V128" s="1" t="str">
        <f ca="1">IFERROR(__xludf.DUMMYFUNCTION("""COMPUTED_VALUE"""),"Dr.Eng. Yuda Apri Hermawan, S.T., M.T.")</f>
        <v>Dr.Eng. Yuda Apri Hermawan, S.T., M.T.</v>
      </c>
      <c r="W128" s="1"/>
      <c r="X128" s="1" t="str">
        <f ca="1">IFERROR(__xludf.DUMMYFUNCTION("""COMPUTED_VALUE"""),"Lolos")</f>
        <v>Lolos</v>
      </c>
      <c r="Y128" s="1"/>
      <c r="Z128" s="1"/>
      <c r="AA128" s="1"/>
    </row>
    <row r="129" spans="1:27">
      <c r="A129" s="1" t="s">
        <v>127</v>
      </c>
      <c r="B129" s="1">
        <f ca="1">IFERROR(__xludf.DUMMYFUNCTION("""COMPUTED_VALUE"""),3866)</f>
        <v>3866</v>
      </c>
      <c r="C129" s="1" t="str">
        <f ca="1">IFERROR(__xludf.DUMMYFUNCTION("""COMPUTED_VALUE"""),"PKM Gagasan Futuristik Konstruktif")</f>
        <v>PKM Gagasan Futuristik Konstruktif</v>
      </c>
      <c r="D129" s="1" t="str">
        <f ca="1">IFERROR(__xludf.DUMMYFUNCTION("""COMPUTED_VALUE"""),"Rancangan Sekolah Kebudayaan yang Interaktif Berbasis Teknologi sebagai Upaya Membawa Budaya Lokal ke Ranah Internasional")</f>
        <v>Rancangan Sekolah Kebudayaan yang Interaktif Berbasis Teknologi sebagai Upaya Membawa Budaya Lokal ke Ranah Internasional</v>
      </c>
      <c r="E129" s="1" t="str">
        <f ca="1">IFERROR(__xludf.DUMMYFUNCTION("""COMPUTED_VALUE"""),"SHEILA LITA")</f>
        <v>SHEILA LITA</v>
      </c>
      <c r="F129" s="1" t="str">
        <f ca="1">IFERROR(__xludf.DUMMYFUNCTION("""COMPUTED_VALUE"""),"08411940000056")</f>
        <v>08411940000056</v>
      </c>
      <c r="G129" s="1" t="str">
        <f ca="1">IFERROR(__xludf.DUMMYFUNCTION("""COMPUTED_VALUE"""),"Departemen Desain Interior")</f>
        <v>Departemen Desain Interior</v>
      </c>
      <c r="H129" s="1" t="str">
        <f ca="1">IFERROR(__xludf.DUMMYFUNCTION("""COMPUTED_VALUE"""),"Ir. Nanik Rachmaniyah, M.T.")</f>
        <v>Ir. Nanik Rachmaniyah, M.T.</v>
      </c>
      <c r="I129" s="1" t="str">
        <f ca="1">IFERROR(__xludf.DUMMYFUNCTION("""COMPUTED_VALUE"""),"NABILA AULIA SUSANTO")</f>
        <v>NABILA AULIA SUSANTO</v>
      </c>
      <c r="J129" s="1" t="str">
        <f ca="1">IFERROR(__xludf.DUMMYFUNCTION("""COMPUTED_VALUE"""),"08411940000036")</f>
        <v>08411940000036</v>
      </c>
      <c r="K129" s="1" t="str">
        <f ca="1">IFERROR(__xludf.DUMMYFUNCTION("""COMPUTED_VALUE"""),"Departemen Desain Interior")</f>
        <v>Departemen Desain Interior</v>
      </c>
      <c r="L129" s="1" t="str">
        <f ca="1">IFERROR(__xludf.DUMMYFUNCTION("""COMPUTED_VALUE"""),"Palupi Dwi Kuntari")</f>
        <v>Palupi Dwi Kuntari</v>
      </c>
      <c r="M129" s="1" t="str">
        <f ca="1">IFERROR(__xludf.DUMMYFUNCTION("""COMPUTED_VALUE"""),"08411940000016")</f>
        <v>08411940000016</v>
      </c>
      <c r="N129" s="1" t="str">
        <f ca="1">IFERROR(__xludf.DUMMYFUNCTION("""COMPUTED_VALUE"""),"Departemen Desain Interior")</f>
        <v>Departemen Desain Interior</v>
      </c>
      <c r="O129" s="1" t="str">
        <f ca="1">IFERROR(__xludf.DUMMYFUNCTION("""COMPUTED_VALUE"""),"Eleazer Nicholas")</f>
        <v>Eleazer Nicholas</v>
      </c>
      <c r="P129" s="1" t="str">
        <f ca="1">IFERROR(__xludf.DUMMYFUNCTION("""COMPUTED_VALUE"""),"08411940000015")</f>
        <v>08411940000015</v>
      </c>
      <c r="Q129" s="1" t="str">
        <f ca="1">IFERROR(__xludf.DUMMYFUNCTION("""COMPUTED_VALUE"""),"Departemen Desain Interior")</f>
        <v>Departemen Desain Interior</v>
      </c>
      <c r="R129" s="1" t="str">
        <f ca="1">IFERROR(__xludf.DUMMYFUNCTION("""COMPUTED_VALUE"""),"Ivana Lita")</f>
        <v>Ivana Lita</v>
      </c>
      <c r="S129" s="1" t="str">
        <f ca="1">IFERROR(__xludf.DUMMYFUNCTION("""COMPUTED_VALUE"""),"5026211058")</f>
        <v>5026211058</v>
      </c>
      <c r="T129" s="1" t="str">
        <f ca="1">IFERROR(__xludf.DUMMYFUNCTION("""COMPUTED_VALUE"""),"Departemen Sistem Informasi")</f>
        <v>Departemen Sistem Informasi</v>
      </c>
      <c r="U129" s="1" t="str">
        <f ca="1">IFERROR(__xludf.DUMMYFUNCTION("""COMPUTED_VALUE"""),"Dr. I Gusti Ngurah Satriyadi Hernanda, S.T., M.T.")</f>
        <v>Dr. I Gusti Ngurah Satriyadi Hernanda, S.T., M.T.</v>
      </c>
      <c r="V129" s="1" t="str">
        <f ca="1">IFERROR(__xludf.DUMMYFUNCTION("""COMPUTED_VALUE"""),"Fardilla Rizqiyah, ST, MT")</f>
        <v>Fardilla Rizqiyah, ST, MT</v>
      </c>
      <c r="W129" s="1"/>
      <c r="X129" s="1" t="str">
        <f ca="1">IFERROR(__xludf.DUMMYFUNCTION("""COMPUTED_VALUE"""),"Lolos")</f>
        <v>Lolos</v>
      </c>
      <c r="Y129" s="1"/>
      <c r="Z129" s="1"/>
      <c r="AA129" s="1"/>
    </row>
    <row r="130" spans="1:27">
      <c r="A130" s="1" t="s">
        <v>128</v>
      </c>
      <c r="B130" s="1">
        <f ca="1">IFERROR(__xludf.DUMMYFUNCTION("""COMPUTED_VALUE"""),2470)</f>
        <v>2470</v>
      </c>
      <c r="C130" s="1" t="str">
        <f ca="1">IFERROR(__xludf.DUMMYFUNCTION("""COMPUTED_VALUE"""),"PKM Gagasan Futuristik Konstruktif")</f>
        <v>PKM Gagasan Futuristik Konstruktif</v>
      </c>
      <c r="D130" s="1" t="str">
        <f ca="1">IFERROR(__xludf.DUMMYFUNCTION("""COMPUTED_VALUE"""),"Sistem Transportasi Berbasis Fuel Cell dan Hidrogen Generator di Ibu Kota Baru Indonesia Sebagai Perwujudan Net Zero Emission 2050")</f>
        <v>Sistem Transportasi Berbasis Fuel Cell dan Hidrogen Generator di Ibu Kota Baru Indonesia Sebagai Perwujudan Net Zero Emission 2050</v>
      </c>
      <c r="E130" s="1" t="str">
        <f ca="1">IFERROR(__xludf.DUMMYFUNCTION("""COMPUTED_VALUE"""),"Dhenie Prakash Prasetyo")</f>
        <v>Dhenie Prakash Prasetyo</v>
      </c>
      <c r="F130" s="1" t="str">
        <f ca="1">IFERROR(__xludf.DUMMYFUNCTION("""COMPUTED_VALUE"""),"07111940000063")</f>
        <v>07111940000063</v>
      </c>
      <c r="G130" s="1" t="str">
        <f ca="1">IFERROR(__xludf.DUMMYFUNCTION("""COMPUTED_VALUE"""),"Departemen Teknik Elektro")</f>
        <v>Departemen Teknik Elektro</v>
      </c>
      <c r="H130" s="1" t="str">
        <f ca="1">IFERROR(__xludf.DUMMYFUNCTION("""COMPUTED_VALUE"""),"Vita Lystianingrum Budiharto Putri, S.T., M.Sc., Ph.D.")</f>
        <v>Vita Lystianingrum Budiharto Putri, S.T., M.Sc., Ph.D.</v>
      </c>
      <c r="I130" s="1" t="str">
        <f ca="1">IFERROR(__xludf.DUMMYFUNCTION("""COMPUTED_VALUE"""),"DAFFA MUHAMMAD ADHA AR RAYAN")</f>
        <v>DAFFA MUHAMMAD ADHA AR RAYAN</v>
      </c>
      <c r="J130" s="1" t="str">
        <f ca="1">IFERROR(__xludf.DUMMYFUNCTION("""COMPUTED_VALUE"""),"5022201127")</f>
        <v>5022201127</v>
      </c>
      <c r="K130" s="1" t="str">
        <f ca="1">IFERROR(__xludf.DUMMYFUNCTION("""COMPUTED_VALUE"""),"Departemen Teknik Elektro")</f>
        <v>Departemen Teknik Elektro</v>
      </c>
      <c r="L130" s="1" t="str">
        <f ca="1">IFERROR(__xludf.DUMMYFUNCTION("""COMPUTED_VALUE"""),"ELYAN RIZQI DZAKIRI")</f>
        <v>ELYAN RIZQI DZAKIRI</v>
      </c>
      <c r="M130" s="1" t="str">
        <f ca="1">IFERROR(__xludf.DUMMYFUNCTION("""COMPUTED_VALUE"""),"5022201086")</f>
        <v>5022201086</v>
      </c>
      <c r="N130" s="1" t="str">
        <f ca="1">IFERROR(__xludf.DUMMYFUNCTION("""COMPUTED_VALUE"""),"Departemen Teknik Elektro")</f>
        <v>Departemen Teknik Elektro</v>
      </c>
      <c r="O130" s="1" t="str">
        <f ca="1">IFERROR(__xludf.DUMMYFUNCTION("""COMPUTED_VALUE"""),"INDRA AFNA ANUGRAH")</f>
        <v>INDRA AFNA ANUGRAH</v>
      </c>
      <c r="P130" s="1" t="str">
        <f ca="1">IFERROR(__xludf.DUMMYFUNCTION("""COMPUTED_VALUE"""),"07111940000202")</f>
        <v>07111940000202</v>
      </c>
      <c r="Q130" s="1" t="str">
        <f ca="1">IFERROR(__xludf.DUMMYFUNCTION("""COMPUTED_VALUE"""),"Departemen Teknik Elektro")</f>
        <v>Departemen Teknik Elektro</v>
      </c>
      <c r="R130" s="1" t="str">
        <f ca="1">IFERROR(__xludf.DUMMYFUNCTION("""COMPUTED_VALUE"""),"Linda Monica Hadi Kusuma")</f>
        <v>Linda Monica Hadi Kusuma</v>
      </c>
      <c r="S130" s="1" t="str">
        <f ca="1">IFERROR(__xludf.DUMMYFUNCTION("""COMPUTED_VALUE"""),"08311940000016")</f>
        <v>08311940000016</v>
      </c>
      <c r="T130" s="1" t="str">
        <f ca="1">IFERROR(__xludf.DUMMYFUNCTION("""COMPUTED_VALUE"""),"Departemen Desain Produk")</f>
        <v>Departemen Desain Produk</v>
      </c>
      <c r="U130" s="1" t="str">
        <f ca="1">IFERROR(__xludf.DUMMYFUNCTION("""COMPUTED_VALUE"""),"Putu Gde Ariastita, S.T., M.T.")</f>
        <v>Putu Gde Ariastita, S.T., M.T.</v>
      </c>
      <c r="V130" s="1" t="str">
        <f ca="1">IFERROR(__xludf.DUMMYFUNCTION("""COMPUTED_VALUE"""),"Fardilla Rizqiyah, ST, MT")</f>
        <v>Fardilla Rizqiyah, ST, MT</v>
      </c>
      <c r="W130" s="1"/>
      <c r="X130" s="1" t="str">
        <f ca="1">IFERROR(__xludf.DUMMYFUNCTION("""COMPUTED_VALUE"""),"Lolos")</f>
        <v>Lolos</v>
      </c>
      <c r="Y130" s="1"/>
      <c r="Z130" s="1"/>
      <c r="AA130" s="1"/>
    </row>
    <row r="131" spans="1:27">
      <c r="A131" s="1" t="s">
        <v>129</v>
      </c>
      <c r="B131" s="1">
        <f ca="1">IFERROR(__xludf.DUMMYFUNCTION("""COMPUTED_VALUE"""),4003)</f>
        <v>4003</v>
      </c>
      <c r="C131" s="1" t="str">
        <f ca="1">IFERROR(__xludf.DUMMYFUNCTION("""COMPUTED_VALUE"""),"PKM Gagasan Futuristik Konstruktif")</f>
        <v>PKM Gagasan Futuristik Konstruktif</v>
      </c>
      <c r="D131" s="1" t="str">
        <f ca="1">IFERROR(__xludf.DUMMYFUNCTION("""COMPUTED_VALUE"""),"Museum Edukasi Berbasis Interactive Digital Installation sebagai Upaya Edukasi Maritim untuk Indonesia Emas 2045")</f>
        <v>Museum Edukasi Berbasis Interactive Digital Installation sebagai Upaya Edukasi Maritim untuk Indonesia Emas 2045</v>
      </c>
      <c r="E131" s="1" t="str">
        <f ca="1">IFERROR(__xludf.DUMMYFUNCTION("""COMPUTED_VALUE"""),"PUTRI HERDA SALMAH SALSABILAH")</f>
        <v>PUTRI HERDA SALMAH SALSABILAH</v>
      </c>
      <c r="F131" s="1" t="str">
        <f ca="1">IFERROR(__xludf.DUMMYFUNCTION("""COMPUTED_VALUE"""),"08411940000030")</f>
        <v>08411940000030</v>
      </c>
      <c r="G131" s="1" t="str">
        <f ca="1">IFERROR(__xludf.DUMMYFUNCTION("""COMPUTED_VALUE"""),"Departemen Desain Interior")</f>
        <v>Departemen Desain Interior</v>
      </c>
      <c r="H131" s="1" t="str">
        <f ca="1">IFERROR(__xludf.DUMMYFUNCTION("""COMPUTED_VALUE"""),"Ir. Nanik Rachmaniyah, M.T.")</f>
        <v>Ir. Nanik Rachmaniyah, M.T.</v>
      </c>
      <c r="I131" s="1" t="str">
        <f ca="1">IFERROR(__xludf.DUMMYFUNCTION("""COMPUTED_VALUE"""),"ALVIONA VERNICA SHAF AKHDINA")</f>
        <v>ALVIONA VERNICA SHAF AKHDINA</v>
      </c>
      <c r="J131" s="1" t="str">
        <f ca="1">IFERROR(__xludf.DUMMYFUNCTION("""COMPUTED_VALUE"""),"08411940000031")</f>
        <v>08411940000031</v>
      </c>
      <c r="K131" s="1" t="str">
        <f ca="1">IFERROR(__xludf.DUMMYFUNCTION("""COMPUTED_VALUE"""),"Departemen Desain Interior")</f>
        <v>Departemen Desain Interior</v>
      </c>
      <c r="L131" s="1" t="str">
        <f ca="1">IFERROR(__xludf.DUMMYFUNCTION("""COMPUTED_VALUE"""),"INDAH AJENG WULANSARI")</f>
        <v>INDAH AJENG WULANSARI</v>
      </c>
      <c r="M131" s="1" t="str">
        <f ca="1">IFERROR(__xludf.DUMMYFUNCTION("""COMPUTED_VALUE"""),"08411940000037")</f>
        <v>08411940000037</v>
      </c>
      <c r="N131" s="1" t="str">
        <f ca="1">IFERROR(__xludf.DUMMYFUNCTION("""COMPUTED_VALUE"""),"Departemen Desain Interior")</f>
        <v>Departemen Desain Interior</v>
      </c>
      <c r="O131" s="1" t="str">
        <f ca="1">IFERROR(__xludf.DUMMYFUNCTION("""COMPUTED_VALUE"""),"RIFDAH AZIZAH SALSABILA")</f>
        <v>RIFDAH AZIZAH SALSABILA</v>
      </c>
      <c r="P131" s="1" t="str">
        <f ca="1">IFERROR(__xludf.DUMMYFUNCTION("""COMPUTED_VALUE"""),"08411940000042")</f>
        <v>08411940000042</v>
      </c>
      <c r="Q131" s="1" t="str">
        <f ca="1">IFERROR(__xludf.DUMMYFUNCTION("""COMPUTED_VALUE"""),"Departemen Desain Interior")</f>
        <v>Departemen Desain Interior</v>
      </c>
      <c r="R131" s="1" t="str">
        <f ca="1">IFERROR(__xludf.DUMMYFUNCTION("""COMPUTED_VALUE"""),"FERNALDY ATHALAIRD HAMSJAH")</f>
        <v>FERNALDY ATHALAIRD HAMSJAH</v>
      </c>
      <c r="S131" s="1" t="str">
        <f ca="1">IFERROR(__xludf.DUMMYFUNCTION("""COMPUTED_VALUE"""),"5013201056")</f>
        <v>5013201056</v>
      </c>
      <c r="T131" s="1" t="str">
        <f ca="1">IFERROR(__xludf.DUMMYFUNCTION("""COMPUTED_VALUE"""),"Departemen Arsitektur")</f>
        <v>Departemen Arsitektur</v>
      </c>
      <c r="U131" s="1" t="str">
        <f ca="1">IFERROR(__xludf.DUMMYFUNCTION("""COMPUTED_VALUE"""),"Dr. I Gusti Ngurah Satriyadi Hernanda, S.T., M.T.")</f>
        <v>Dr. I Gusti Ngurah Satriyadi Hernanda, S.T., M.T.</v>
      </c>
      <c r="V131" s="1" t="str">
        <f ca="1">IFERROR(__xludf.DUMMYFUNCTION("""COMPUTED_VALUE"""),"Daril Ridho Zuchrillah, S.T., M.T.")</f>
        <v>Daril Ridho Zuchrillah, S.T., M.T.</v>
      </c>
      <c r="W131" s="1"/>
      <c r="X131" s="1" t="str">
        <f ca="1">IFERROR(__xludf.DUMMYFUNCTION("""COMPUTED_VALUE"""),"Lolos")</f>
        <v>Lolos</v>
      </c>
      <c r="Y131" s="1"/>
      <c r="Z131" s="1"/>
      <c r="AA131" s="1"/>
    </row>
    <row r="132" spans="1:27">
      <c r="A132" s="1" t="s">
        <v>130</v>
      </c>
      <c r="B132" s="1">
        <f ca="1">IFERROR(__xludf.DUMMYFUNCTION("""COMPUTED_VALUE"""),2970)</f>
        <v>2970</v>
      </c>
      <c r="C132" s="1" t="str">
        <f ca="1">IFERROR(__xludf.DUMMYFUNCTION("""COMPUTED_VALUE"""),"PKM Gagasan Futuristik Konstruktif")</f>
        <v>PKM Gagasan Futuristik Konstruktif</v>
      </c>
      <c r="D132" s="1" t="str">
        <f ca="1">IFERROR(__xludf.DUMMYFUNCTION("""COMPUTED_VALUE"""),"Smart Residential Complex: Konsep Perumahan Mandiri Energi Pada Perkotaan NTT Berbasis Picohydro, Piezoelektrik, dan Solar Panel Sebagai Realisasi SDGS 2030")</f>
        <v>Smart Residential Complex: Konsep Perumahan Mandiri Energi Pada Perkotaan NTT Berbasis Picohydro, Piezoelektrik, dan Solar Panel Sebagai Realisasi SDGS 2030</v>
      </c>
      <c r="E132" s="1" t="str">
        <f ca="1">IFERROR(__xludf.DUMMYFUNCTION("""COMPUTED_VALUE"""),"RIZQULLAH IRWANTO")</f>
        <v>RIZQULLAH IRWANTO</v>
      </c>
      <c r="F132" s="1" t="str">
        <f ca="1">IFERROR(__xludf.DUMMYFUNCTION("""COMPUTED_VALUE"""),"5007201224")</f>
        <v>5007201224</v>
      </c>
      <c r="G132" s="1" t="str">
        <f ca="1">IFERROR(__xludf.DUMMYFUNCTION("""COMPUTED_VALUE"""),"Departemen Teknik Mesin")</f>
        <v>Departemen Teknik Mesin</v>
      </c>
      <c r="H132" s="1" t="str">
        <f ca="1">IFERROR(__xludf.DUMMYFUNCTION("""COMPUTED_VALUE"""),"Vivien Suphandani Djanali, ST., ME., PhD.")</f>
        <v>Vivien Suphandani Djanali, ST., ME., PhD.</v>
      </c>
      <c r="I132" s="1" t="str">
        <f ca="1">IFERROR(__xludf.DUMMYFUNCTION("""COMPUTED_VALUE"""),"EPINDONTA GINTING")</f>
        <v>EPINDONTA GINTING</v>
      </c>
      <c r="J132" s="1" t="str">
        <f ca="1">IFERROR(__xludf.DUMMYFUNCTION("""COMPUTED_VALUE"""),"5007201140")</f>
        <v>5007201140</v>
      </c>
      <c r="K132" s="1" t="str">
        <f ca="1">IFERROR(__xludf.DUMMYFUNCTION("""COMPUTED_VALUE"""),"Departemen Teknik Mesin")</f>
        <v>Departemen Teknik Mesin</v>
      </c>
      <c r="L132" s="1" t="str">
        <f ca="1">IFERROR(__xludf.DUMMYFUNCTION("""COMPUTED_VALUE"""),"ZARA ISMI NURAINI")</f>
        <v>ZARA ISMI NURAINI</v>
      </c>
      <c r="M132" s="1" t="str">
        <f ca="1">IFERROR(__xludf.DUMMYFUNCTION("""COMPUTED_VALUE"""),"5007201006")</f>
        <v>5007201006</v>
      </c>
      <c r="N132" s="1" t="str">
        <f ca="1">IFERROR(__xludf.DUMMYFUNCTION("""COMPUTED_VALUE"""),"Departemen Teknik Mesin")</f>
        <v>Departemen Teknik Mesin</v>
      </c>
      <c r="O132" s="1" t="str">
        <f ca="1">IFERROR(__xludf.DUMMYFUNCTION("""COMPUTED_VALUE"""),"FARHAN FADLURRAHMAN SUTRISNO")</f>
        <v>FARHAN FADLURRAHMAN SUTRISNO</v>
      </c>
      <c r="P132" s="1" t="str">
        <f ca="1">IFERROR(__xludf.DUMMYFUNCTION("""COMPUTED_VALUE"""),"5007201102")</f>
        <v>5007201102</v>
      </c>
      <c r="Q132" s="1" t="str">
        <f ca="1">IFERROR(__xludf.DUMMYFUNCTION("""COMPUTED_VALUE"""),"Departemen Teknik Mesin")</f>
        <v>Departemen Teknik Mesin</v>
      </c>
      <c r="R132" s="1"/>
      <c r="S132" s="1"/>
      <c r="T132" s="1"/>
      <c r="U132" s="1" t="str">
        <f ca="1">IFERROR(__xludf.DUMMYFUNCTION("""COMPUTED_VALUE"""),"Putu Gde Ariastita, S.T., M.T.")</f>
        <v>Putu Gde Ariastita, S.T., M.T.</v>
      </c>
      <c r="V132" s="1" t="str">
        <f ca="1">IFERROR(__xludf.DUMMYFUNCTION("""COMPUTED_VALUE"""),"Dion Hayu Fandiantoro, S.T., M.Eng.")</f>
        <v>Dion Hayu Fandiantoro, S.T., M.Eng.</v>
      </c>
      <c r="W132" s="1"/>
      <c r="X132" s="1" t="str">
        <f ca="1">IFERROR(__xludf.DUMMYFUNCTION("""COMPUTED_VALUE"""),"Lolos")</f>
        <v>Lolos</v>
      </c>
      <c r="Y132" s="1"/>
      <c r="Z132" s="1"/>
      <c r="AA132" s="1"/>
    </row>
    <row r="133" spans="1:27">
      <c r="A133" s="1" t="s">
        <v>131</v>
      </c>
      <c r="B133" s="1">
        <f ca="1">IFERROR(__xludf.DUMMYFUNCTION("""COMPUTED_VALUE"""),3771)</f>
        <v>3771</v>
      </c>
      <c r="C133" s="1" t="str">
        <f ca="1">IFERROR(__xludf.DUMMYFUNCTION("""COMPUTED_VALUE"""),"PKM Gagasan Futuristik Konstruktif")</f>
        <v>PKM Gagasan Futuristik Konstruktif</v>
      </c>
      <c r="D133" s="1" t="str">
        <f ca="1">IFERROR(__xludf.DUMMYFUNCTION("""COMPUTED_VALUE"""),"Hologramny : Karakter Virtual Berbasis Teknologi Hologram 3D Sebagai Inovasi Hunian Cerdas Untuk Media Terapi Penyembuhan Trauma Pasca Bencana
")</f>
        <v xml:space="preserve">Hologramny : Karakter Virtual Berbasis Teknologi Hologram 3D Sebagai Inovasi Hunian Cerdas Untuk Media Terapi Penyembuhan Trauma Pasca Bencana
</v>
      </c>
      <c r="E133" s="1" t="str">
        <f ca="1">IFERROR(__xludf.DUMMYFUNCTION("""COMPUTED_VALUE"""),"LUTFITA ASHRI AZAHRA")</f>
        <v>LUTFITA ASHRI AZAHRA</v>
      </c>
      <c r="F133" s="1" t="str">
        <f ca="1">IFERROR(__xludf.DUMMYFUNCTION("""COMPUTED_VALUE"""),"5029201003")</f>
        <v>5029201003</v>
      </c>
      <c r="G133" s="1" t="str">
        <f ca="1">IFERROR(__xludf.DUMMYFUNCTION("""COMPUTED_VALUE"""),"Departemen Desain Interior")</f>
        <v>Departemen Desain Interior</v>
      </c>
      <c r="H133" s="1" t="str">
        <f ca="1">IFERROR(__xludf.DUMMYFUNCTION("""COMPUTED_VALUE"""),"Dr. Ir. Susy Budi Astuti, M.T.")</f>
        <v>Dr. Ir. Susy Budi Astuti, M.T.</v>
      </c>
      <c r="I133" s="1" t="str">
        <f ca="1">IFERROR(__xludf.DUMMYFUNCTION("""COMPUTED_VALUE"""),"MARIA ANUGRAHANING KESUMA PUTRI")</f>
        <v>MARIA ANUGRAHANING KESUMA PUTRI</v>
      </c>
      <c r="J133" s="1" t="str">
        <f ca="1">IFERROR(__xludf.DUMMYFUNCTION("""COMPUTED_VALUE"""),"5029201027")</f>
        <v>5029201027</v>
      </c>
      <c r="K133" s="1" t="str">
        <f ca="1">IFERROR(__xludf.DUMMYFUNCTION("""COMPUTED_VALUE"""),"Departemen Desain Interior")</f>
        <v>Departemen Desain Interior</v>
      </c>
      <c r="L133" s="1" t="str">
        <f ca="1">IFERROR(__xludf.DUMMYFUNCTION("""COMPUTED_VALUE"""),"EVRYLIA ARDANA PUTRI PRAMESTI")</f>
        <v>EVRYLIA ARDANA PUTRI PRAMESTI</v>
      </c>
      <c r="M133" s="1" t="str">
        <f ca="1">IFERROR(__xludf.DUMMYFUNCTION("""COMPUTED_VALUE"""),"5029201080")</f>
        <v>5029201080</v>
      </c>
      <c r="N133" s="1" t="str">
        <f ca="1">IFERROR(__xludf.DUMMYFUNCTION("""COMPUTED_VALUE"""),"Departemen Desain Interior")</f>
        <v>Departemen Desain Interior</v>
      </c>
      <c r="O133" s="1" t="str">
        <f ca="1">IFERROR(__xludf.DUMMYFUNCTION("""COMPUTED_VALUE"""),"KAMILLA ZALFA SYAHPUTRI")</f>
        <v>KAMILLA ZALFA SYAHPUTRI</v>
      </c>
      <c r="P133" s="1" t="str">
        <f ca="1">IFERROR(__xludf.DUMMYFUNCTION("""COMPUTED_VALUE"""),"5029201006")</f>
        <v>5029201006</v>
      </c>
      <c r="Q133" s="1" t="str">
        <f ca="1">IFERROR(__xludf.DUMMYFUNCTION("""COMPUTED_VALUE"""),"Departemen Desain Interior")</f>
        <v>Departemen Desain Interior</v>
      </c>
      <c r="R133" s="1" t="str">
        <f ca="1">IFERROR(__xludf.DUMMYFUNCTION("""COMPUTED_VALUE"""),"Muh. Ichsan Alansyari Asran")</f>
        <v>Muh. Ichsan Alansyari Asran</v>
      </c>
      <c r="S133" s="1" t="str">
        <f ca="1">IFERROR(__xludf.DUMMYFUNCTION("""COMPUTED_VALUE"""),"08411940000009")</f>
        <v>08411940000009</v>
      </c>
      <c r="T133" s="1" t="str">
        <f ca="1">IFERROR(__xludf.DUMMYFUNCTION("""COMPUTED_VALUE"""),"Departemen Desain Interior")</f>
        <v>Departemen Desain Interior</v>
      </c>
      <c r="U133" s="1" t="str">
        <f ca="1">IFERROR(__xludf.DUMMYFUNCTION("""COMPUTED_VALUE"""),"Dr. I Gusti Ngurah Satriyadi Hernanda, S.T., M.T.")</f>
        <v>Dr. I Gusti Ngurah Satriyadi Hernanda, S.T., M.T.</v>
      </c>
      <c r="V133" s="1" t="str">
        <f ca="1">IFERROR(__xludf.DUMMYFUNCTION("""COMPUTED_VALUE"""),"Dr.Eng. Yuda Apri Hermawan, S.T., M.T.")</f>
        <v>Dr.Eng. Yuda Apri Hermawan, S.T., M.T.</v>
      </c>
      <c r="W133" s="1"/>
      <c r="X133" s="1" t="str">
        <f ca="1">IFERROR(__xludf.DUMMYFUNCTION("""COMPUTED_VALUE"""),"Lolos")</f>
        <v>Lolos</v>
      </c>
      <c r="Y133" s="1"/>
      <c r="Z133" s="1"/>
      <c r="AA133" s="1"/>
    </row>
    <row r="134" spans="1:27">
      <c r="A134" s="1" t="s">
        <v>132</v>
      </c>
      <c r="B134" s="1">
        <f ca="1">IFERROR(__xludf.DUMMYFUNCTION("""COMPUTED_VALUE"""),2861)</f>
        <v>2861</v>
      </c>
      <c r="C134" s="1" t="str">
        <f ca="1">IFERROR(__xludf.DUMMYFUNCTION("""COMPUTED_VALUE"""),"PKM Gagasan Futuristik Konstruktif")</f>
        <v>PKM Gagasan Futuristik Konstruktif</v>
      </c>
      <c r="D134" s="1" t="str">
        <f ca="1">IFERROR(__xludf.DUMMYFUNCTION("""COMPUTED_VALUE"""),"Sistem Produksi Energi Bersih Berbahan Dasar Limbah dan Emisi CO2 Kendaraan Bermotor pada Rest Area Masa Depan
")</f>
        <v xml:space="preserve">Sistem Produksi Energi Bersih Berbahan Dasar Limbah dan Emisi CO2 Kendaraan Bermotor pada Rest Area Masa Depan
</v>
      </c>
      <c r="E134" s="1" t="str">
        <f ca="1">IFERROR(__xludf.DUMMYFUNCTION("""COMPUTED_VALUE"""),"BAGUS NARENDRA")</f>
        <v>BAGUS NARENDRA</v>
      </c>
      <c r="F134" s="1" t="str">
        <f ca="1">IFERROR(__xludf.DUMMYFUNCTION("""COMPUTED_VALUE"""),"5014211007")</f>
        <v>5014211007</v>
      </c>
      <c r="G134" s="1" t="str">
        <f ca="1">IFERROR(__xludf.DUMMYFUNCTION("""COMPUTED_VALUE"""),"Departemen Teknik Lingkungan")</f>
        <v>Departemen Teknik Lingkungan</v>
      </c>
      <c r="H134" s="1" t="str">
        <f ca="1">IFERROR(__xludf.DUMMYFUNCTION("""COMPUTED_VALUE"""),"Alfan Purnomo, S.T., M.T.")</f>
        <v>Alfan Purnomo, S.T., M.T.</v>
      </c>
      <c r="I134" s="1" t="str">
        <f ca="1">IFERROR(__xludf.DUMMYFUNCTION("""COMPUTED_VALUE"""),"MUHAMMAD ALTHAF RYAN")</f>
        <v>MUHAMMAD ALTHAF RYAN</v>
      </c>
      <c r="J134" s="1" t="str">
        <f ca="1">IFERROR(__xludf.DUMMYFUNCTION("""COMPUTED_VALUE"""),"5014211076")</f>
        <v>5014211076</v>
      </c>
      <c r="K134" s="1" t="str">
        <f ca="1">IFERROR(__xludf.DUMMYFUNCTION("""COMPUTED_VALUE"""),"Departemen Teknik Lingkungan")</f>
        <v>Departemen Teknik Lingkungan</v>
      </c>
      <c r="L134" s="1" t="str">
        <f ca="1">IFERROR(__xludf.DUMMYFUNCTION("""COMPUTED_VALUE"""),"LAILYA SHIERLY R")</f>
        <v>LAILYA SHIERLY R</v>
      </c>
      <c r="M134" s="1" t="str">
        <f ca="1">IFERROR(__xludf.DUMMYFUNCTION("""COMPUTED_VALUE"""),"5014211049")</f>
        <v>5014211049</v>
      </c>
      <c r="N134" s="1" t="str">
        <f ca="1">IFERROR(__xludf.DUMMYFUNCTION("""COMPUTED_VALUE"""),"Departemen Teknik Lingkungan")</f>
        <v>Departemen Teknik Lingkungan</v>
      </c>
      <c r="O134" s="1" t="str">
        <f ca="1">IFERROR(__xludf.DUMMYFUNCTION("""COMPUTED_VALUE"""),"Adinda Putri R")</f>
        <v>Adinda Putri R</v>
      </c>
      <c r="P134" s="1" t="str">
        <f ca="1">IFERROR(__xludf.DUMMYFUNCTION("""COMPUTED_VALUE"""),"5014211108")</f>
        <v>5014211108</v>
      </c>
      <c r="Q134" s="1" t="str">
        <f ca="1">IFERROR(__xludf.DUMMYFUNCTION("""COMPUTED_VALUE"""),"Departemen Teknik Lingkungan")</f>
        <v>Departemen Teknik Lingkungan</v>
      </c>
      <c r="R134" s="1" t="str">
        <f ca="1">IFERROR(__xludf.DUMMYFUNCTION("""COMPUTED_VALUE"""),"INDRA CARLLISTYA PRAMADIO")</f>
        <v>INDRA CARLLISTYA PRAMADIO</v>
      </c>
      <c r="S134" s="1" t="str">
        <f ca="1">IFERROR(__xludf.DUMMYFUNCTION("""COMPUTED_VALUE"""),"02511940000087")</f>
        <v>02511940000087</v>
      </c>
      <c r="T134" s="1" t="str">
        <f ca="1">IFERROR(__xludf.DUMMYFUNCTION("""COMPUTED_VALUE"""),"Departemen Teknik Material dan Metalurgi")</f>
        <v>Departemen Teknik Material dan Metalurgi</v>
      </c>
      <c r="U134" s="1" t="str">
        <f ca="1">IFERROR(__xludf.DUMMYFUNCTION("""COMPUTED_VALUE"""),"Putu Gde Ariastita, S.T., M.T.")</f>
        <v>Putu Gde Ariastita, S.T., M.T.</v>
      </c>
      <c r="V134" s="1" t="str">
        <f ca="1">IFERROR(__xludf.DUMMYFUNCTION("""COMPUTED_VALUE"""),"Fardilla Rizqiyah, ST, MT")</f>
        <v>Fardilla Rizqiyah, ST, MT</v>
      </c>
      <c r="W134" s="1"/>
      <c r="X134" s="1" t="str">
        <f ca="1">IFERROR(__xludf.DUMMYFUNCTION("""COMPUTED_VALUE"""),"Lolos")</f>
        <v>Lolos</v>
      </c>
      <c r="Y134" s="1"/>
      <c r="Z134" s="1"/>
      <c r="AA134" s="1"/>
    </row>
    <row r="135" spans="1:27">
      <c r="A135" s="1" t="s">
        <v>133</v>
      </c>
      <c r="B135" s="1">
        <f ca="1">IFERROR(__xludf.DUMMYFUNCTION("""COMPUTED_VALUE"""),4105)</f>
        <v>4105</v>
      </c>
      <c r="C135" s="1" t="str">
        <f ca="1">IFERROR(__xludf.DUMMYFUNCTION("""COMPUTED_VALUE"""),"PKM Gagasan Futuristik Konstruktif")</f>
        <v>PKM Gagasan Futuristik Konstruktif</v>
      </c>
      <c r="D135" s="1" t="str">
        <f ca="1">IFERROR(__xludf.DUMMYFUNCTION("""COMPUTED_VALUE"""),"Motion Wayang bertema Paper Art untuk Kelestarian Budaya Indonesia")</f>
        <v>Motion Wayang bertema Paper Art untuk Kelestarian Budaya Indonesia</v>
      </c>
      <c r="E135" s="1" t="str">
        <f ca="1">IFERROR(__xludf.DUMMYFUNCTION("""COMPUTED_VALUE"""),"Natasya Candra Sinarta")</f>
        <v>Natasya Candra Sinarta</v>
      </c>
      <c r="F135" s="1" t="str">
        <f ca="1">IFERROR(__xludf.DUMMYFUNCTION("""COMPUTED_VALUE"""),"08411940000018")</f>
        <v>08411940000018</v>
      </c>
      <c r="G135" s="1" t="str">
        <f ca="1">IFERROR(__xludf.DUMMYFUNCTION("""COMPUTED_VALUE"""),"Departemen Desain Interior")</f>
        <v>Departemen Desain Interior</v>
      </c>
      <c r="H135" s="1" t="str">
        <f ca="1">IFERROR(__xludf.DUMMYFUNCTION("""COMPUTED_VALUE"""),"Ir. Budiono, M.Sn")</f>
        <v>Ir. Budiono, M.Sn</v>
      </c>
      <c r="I135" s="1" t="str">
        <f ca="1">IFERROR(__xludf.DUMMYFUNCTION("""COMPUTED_VALUE"""),"KHENSA NOEREN")</f>
        <v>KHENSA NOEREN</v>
      </c>
      <c r="J135" s="1" t="str">
        <f ca="1">IFERROR(__xludf.DUMMYFUNCTION("""COMPUTED_VALUE"""),"08411940000026")</f>
        <v>08411940000026</v>
      </c>
      <c r="K135" s="1" t="str">
        <f ca="1">IFERROR(__xludf.DUMMYFUNCTION("""COMPUTED_VALUE"""),"Departemen Desain Interior")</f>
        <v>Departemen Desain Interior</v>
      </c>
      <c r="L135" s="1" t="str">
        <f ca="1">IFERROR(__xludf.DUMMYFUNCTION("""COMPUTED_VALUE"""),"DIVA MEIDINA")</f>
        <v>DIVA MEIDINA</v>
      </c>
      <c r="M135" s="1" t="str">
        <f ca="1">IFERROR(__xludf.DUMMYFUNCTION("""COMPUTED_VALUE"""),"08411940000061")</f>
        <v>08411940000061</v>
      </c>
      <c r="N135" s="1" t="str">
        <f ca="1">IFERROR(__xludf.DUMMYFUNCTION("""COMPUTED_VALUE"""),"Departemen Desain Interior")</f>
        <v>Departemen Desain Interior</v>
      </c>
      <c r="O135" s="1" t="str">
        <f ca="1">IFERROR(__xludf.DUMMYFUNCTION("""COMPUTED_VALUE"""),"SANIA DURROTUZ ZAHIKOH")</f>
        <v>SANIA DURROTUZ ZAHIKOH</v>
      </c>
      <c r="P135" s="1" t="str">
        <f ca="1">IFERROR(__xludf.DUMMYFUNCTION("""COMPUTED_VALUE"""),"08411840000037")</f>
        <v>08411840000037</v>
      </c>
      <c r="Q135" s="1" t="str">
        <f ca="1">IFERROR(__xludf.DUMMYFUNCTION("""COMPUTED_VALUE"""),"Departemen Desain Interior")</f>
        <v>Departemen Desain Interior</v>
      </c>
      <c r="R135" s="1"/>
      <c r="S135" s="1"/>
      <c r="T135" s="1"/>
      <c r="U135" s="1" t="str">
        <f ca="1">IFERROR(__xludf.DUMMYFUNCTION("""COMPUTED_VALUE"""),"Dr. I Gusti Ngurah Satriyadi Hernanda, S.T., M.T.")</f>
        <v>Dr. I Gusti Ngurah Satriyadi Hernanda, S.T., M.T.</v>
      </c>
      <c r="V135" s="1" t="str">
        <f ca="1">IFERROR(__xludf.DUMMYFUNCTION("""COMPUTED_VALUE"""),"Dion Hayu Fandiantoro, S.T., M.Eng.")</f>
        <v>Dion Hayu Fandiantoro, S.T., M.Eng.</v>
      </c>
      <c r="W135" s="1"/>
      <c r="X135" s="1" t="str">
        <f ca="1">IFERROR(__xludf.DUMMYFUNCTION("""COMPUTED_VALUE"""),"Lolos")</f>
        <v>Lolos</v>
      </c>
      <c r="Y135" s="1"/>
      <c r="Z135" s="1"/>
      <c r="AA135" s="1"/>
    </row>
    <row r="136" spans="1:27">
      <c r="A136" s="1" t="s">
        <v>134</v>
      </c>
      <c r="B136" s="1">
        <f ca="1">IFERROR(__xludf.DUMMYFUNCTION("""COMPUTED_VALUE"""),3971)</f>
        <v>3971</v>
      </c>
      <c r="C136" s="1" t="str">
        <f ca="1">IFERROR(__xludf.DUMMYFUNCTION("""COMPUTED_VALUE"""),"PKM Gagasan Futuristik Konstruktif")</f>
        <v>PKM Gagasan Futuristik Konstruktif</v>
      </c>
      <c r="D136" s="1" t="str">
        <f ca="1">IFERROR(__xludf.DUMMYFUNCTION("""COMPUTED_VALUE"""),"Mewujudkan Kota Mandiri Energi dengan Pengelolaan Limbah Domestik Terintegrasi Menggunakan Sistem Pneumatik Berbasis Circular Economy Guna Mendukung Ketercapaian Sanitasi Layak")</f>
        <v>Mewujudkan Kota Mandiri Energi dengan Pengelolaan Limbah Domestik Terintegrasi Menggunakan Sistem Pneumatik Berbasis Circular Economy Guna Mendukung Ketercapaian Sanitasi Layak</v>
      </c>
      <c r="E136" s="1" t="str">
        <f ca="1">IFERROR(__xludf.DUMMYFUNCTION("""COMPUTED_VALUE"""),"Nur Aini Maulidia")</f>
        <v>Nur Aini Maulidia</v>
      </c>
      <c r="F136" s="1" t="str">
        <f ca="1">IFERROR(__xludf.DUMMYFUNCTION("""COMPUTED_VALUE"""),"03211940000020")</f>
        <v>03211940000020</v>
      </c>
      <c r="G136" s="1" t="str">
        <f ca="1">IFERROR(__xludf.DUMMYFUNCTION("""COMPUTED_VALUE"""),"Departemen Teknik Lingkungan")</f>
        <v>Departemen Teknik Lingkungan</v>
      </c>
      <c r="H136" s="1" t="str">
        <f ca="1">IFERROR(__xludf.DUMMYFUNCTION("""COMPUTED_VALUE"""),"Ainul Firdatun Nisaa, S.T., M.Sc.")</f>
        <v>Ainul Firdatun Nisaa, S.T., M.Sc.</v>
      </c>
      <c r="I136" s="1" t="str">
        <f ca="1">IFERROR(__xludf.DUMMYFUNCTION("""COMPUTED_VALUE"""),"Ririn Triyanita")</f>
        <v>Ririn Triyanita</v>
      </c>
      <c r="J136" s="1" t="str">
        <f ca="1">IFERROR(__xludf.DUMMYFUNCTION("""COMPUTED_VALUE"""),"03211840000025")</f>
        <v>03211840000025</v>
      </c>
      <c r="K136" s="1" t="str">
        <f ca="1">IFERROR(__xludf.DUMMYFUNCTION("""COMPUTED_VALUE"""),"Departemen Teknik Lingkungan")</f>
        <v>Departemen Teknik Lingkungan</v>
      </c>
      <c r="L136" s="1" t="str">
        <f ca="1">IFERROR(__xludf.DUMMYFUNCTION("""COMPUTED_VALUE"""),"Wahyu Agung Saputro")</f>
        <v>Wahyu Agung Saputro</v>
      </c>
      <c r="M136" s="1" t="str">
        <f ca="1">IFERROR(__xludf.DUMMYFUNCTION("""COMPUTED_VALUE"""),"03211840000036")</f>
        <v>03211840000036</v>
      </c>
      <c r="N136" s="1" t="str">
        <f ca="1">IFERROR(__xludf.DUMMYFUNCTION("""COMPUTED_VALUE"""),"Departemen Teknik Lingkungan")</f>
        <v>Departemen Teknik Lingkungan</v>
      </c>
      <c r="O136" s="1" t="str">
        <f ca="1">IFERROR(__xludf.DUMMYFUNCTION("""COMPUTED_VALUE"""),"Amalia Nur Azizah")</f>
        <v>Amalia Nur Azizah</v>
      </c>
      <c r="P136" s="1" t="str">
        <f ca="1">IFERROR(__xludf.DUMMYFUNCTION("""COMPUTED_VALUE"""),"03211940000006")</f>
        <v>03211940000006</v>
      </c>
      <c r="Q136" s="1" t="str">
        <f ca="1">IFERROR(__xludf.DUMMYFUNCTION("""COMPUTED_VALUE"""),"Departemen Teknik Lingkungan")</f>
        <v>Departemen Teknik Lingkungan</v>
      </c>
      <c r="R136" s="1" t="str">
        <f ca="1">IFERROR(__xludf.DUMMYFUNCTION("""COMPUTED_VALUE"""),"Wida Ayu Astari")</f>
        <v>Wida Ayu Astari</v>
      </c>
      <c r="S136" s="1" t="str">
        <f ca="1">IFERROR(__xludf.DUMMYFUNCTION("""COMPUTED_VALUE"""),"03211940000011")</f>
        <v>03211940000011</v>
      </c>
      <c r="T136" s="1" t="str">
        <f ca="1">IFERROR(__xludf.DUMMYFUNCTION("""COMPUTED_VALUE"""),"Departemen Teknik Lingkungan")</f>
        <v>Departemen Teknik Lingkungan</v>
      </c>
      <c r="U136" s="1" t="str">
        <f ca="1">IFERROR(__xludf.DUMMYFUNCTION("""COMPUTED_VALUE"""),"Okta Putra Setio Ardianto, S.T., M.T.")</f>
        <v>Okta Putra Setio Ardianto, S.T., M.T.</v>
      </c>
      <c r="V136" s="1" t="str">
        <f ca="1">IFERROR(__xludf.DUMMYFUNCTION("""COMPUTED_VALUE"""),"Fardilla Rizqiyah, ST, MT")</f>
        <v>Fardilla Rizqiyah, ST, MT</v>
      </c>
      <c r="W136" s="1"/>
      <c r="X136" s="1" t="str">
        <f ca="1">IFERROR(__xludf.DUMMYFUNCTION("""COMPUTED_VALUE"""),"Lolos")</f>
        <v>Lolos</v>
      </c>
      <c r="Y136" s="1"/>
      <c r="Z136" s="1"/>
      <c r="AA136" s="1"/>
    </row>
    <row r="137" spans="1:27">
      <c r="A137" s="1" t="s">
        <v>135</v>
      </c>
      <c r="B137" s="1">
        <f ca="1">IFERROR(__xludf.DUMMYFUNCTION("""COMPUTED_VALUE"""),3884)</f>
        <v>3884</v>
      </c>
      <c r="C137" s="1" t="str">
        <f ca="1">IFERROR(__xludf.DUMMYFUNCTION("""COMPUTED_VALUE"""),"PKM Gagasan Futuristik Konstruktif")</f>
        <v>PKM Gagasan Futuristik Konstruktif</v>
      </c>
      <c r="D137" s="1" t="str">
        <f ca="1">IFERROR(__xludf.DUMMYFUNCTION("""COMPUTED_VALUE"""),"“Hunian Cerdas untuk Keluarga Milenials Berkonsep Smart Eco Living pada Lahan Berkontur sebagai Upaya Siaga Bencana Tanah Longsor”")</f>
        <v>“Hunian Cerdas untuk Keluarga Milenials Berkonsep Smart Eco Living pada Lahan Berkontur sebagai Upaya Siaga Bencana Tanah Longsor”</v>
      </c>
      <c r="E137" s="1" t="str">
        <f ca="1">IFERROR(__xludf.DUMMYFUNCTION("""COMPUTED_VALUE"""),"HANY PATRICIA")</f>
        <v>HANY PATRICIA</v>
      </c>
      <c r="F137" s="1" t="str">
        <f ca="1">IFERROR(__xludf.DUMMYFUNCTION("""COMPUTED_VALUE"""),"5029201070")</f>
        <v>5029201070</v>
      </c>
      <c r="G137" s="1" t="str">
        <f ca="1">IFERROR(__xludf.DUMMYFUNCTION("""COMPUTED_VALUE"""),"Departemen Desain Interior")</f>
        <v>Departemen Desain Interior</v>
      </c>
      <c r="H137" s="1" t="str">
        <f ca="1">IFERROR(__xludf.DUMMYFUNCTION("""COMPUTED_VALUE"""),"Anggra Ayu Rucitra, S.T., M.MT")</f>
        <v>Anggra Ayu Rucitra, S.T., M.MT</v>
      </c>
      <c r="I137" s="1" t="str">
        <f ca="1">IFERROR(__xludf.DUMMYFUNCTION("""COMPUTED_VALUE"""),"GHINA DHIYA ARISTAWATI")</f>
        <v>GHINA DHIYA ARISTAWATI</v>
      </c>
      <c r="J137" s="1" t="str">
        <f ca="1">IFERROR(__xludf.DUMMYFUNCTION("""COMPUTED_VALUE"""),"5029201022")</f>
        <v>5029201022</v>
      </c>
      <c r="K137" s="1" t="str">
        <f ca="1">IFERROR(__xludf.DUMMYFUNCTION("""COMPUTED_VALUE"""),"Departemen Desain Interior")</f>
        <v>Departemen Desain Interior</v>
      </c>
      <c r="L137" s="1" t="str">
        <f ca="1">IFERROR(__xludf.DUMMYFUNCTION("""COMPUTED_VALUE"""),"SYARAFINA NURIN INARAH")</f>
        <v>SYARAFINA NURIN INARAH</v>
      </c>
      <c r="M137" s="1" t="str">
        <f ca="1">IFERROR(__xludf.DUMMYFUNCTION("""COMPUTED_VALUE"""),"5029201060")</f>
        <v>5029201060</v>
      </c>
      <c r="N137" s="1" t="str">
        <f ca="1">IFERROR(__xludf.DUMMYFUNCTION("""COMPUTED_VALUE"""),"Departemen Desain Interior")</f>
        <v>Departemen Desain Interior</v>
      </c>
      <c r="O137" s="1" t="str">
        <f ca="1">IFERROR(__xludf.DUMMYFUNCTION("""COMPUTED_VALUE"""),"KHAIRANI ZAKIYYAH DANUWIJAYA")</f>
        <v>KHAIRANI ZAKIYYAH DANUWIJAYA</v>
      </c>
      <c r="P137" s="1" t="str">
        <f ca="1">IFERROR(__xludf.DUMMYFUNCTION("""COMPUTED_VALUE"""),"5029201058")</f>
        <v>5029201058</v>
      </c>
      <c r="Q137" s="1" t="str">
        <f ca="1">IFERROR(__xludf.DUMMYFUNCTION("""COMPUTED_VALUE"""),"Departemen Desain Interior")</f>
        <v>Departemen Desain Interior</v>
      </c>
      <c r="R137" s="1" t="str">
        <f ca="1">IFERROR(__xludf.DUMMYFUNCTION("""COMPUTED_VALUE"""),"ALMIRA ZAHRA IVANA")</f>
        <v>ALMIRA ZAHRA IVANA</v>
      </c>
      <c r="S137" s="1" t="str">
        <f ca="1">IFERROR(__xludf.DUMMYFUNCTION("""COMPUTED_VALUE"""),"5031201089")</f>
        <v>5031201089</v>
      </c>
      <c r="T137" s="1" t="str">
        <f ca="1">IFERROR(__xludf.DUMMYFUNCTION("""COMPUTED_VALUE"""),"Departemen Manajemen Bisnis")</f>
        <v>Departemen Manajemen Bisnis</v>
      </c>
      <c r="U137" s="1" t="str">
        <f ca="1">IFERROR(__xludf.DUMMYFUNCTION("""COMPUTED_VALUE"""),"Dr. I Gusti Ngurah Satriyadi Hernanda, S.T., M.T.")</f>
        <v>Dr. I Gusti Ngurah Satriyadi Hernanda, S.T., M.T.</v>
      </c>
      <c r="V137" s="1" t="str">
        <f ca="1">IFERROR(__xludf.DUMMYFUNCTION("""COMPUTED_VALUE"""),"Fardilla Rizqiyah, ST, MT")</f>
        <v>Fardilla Rizqiyah, ST, MT</v>
      </c>
      <c r="W137" s="1"/>
      <c r="X137" s="1" t="str">
        <f ca="1">IFERROR(__xludf.DUMMYFUNCTION("""COMPUTED_VALUE"""),"Lolos")</f>
        <v>Lolos</v>
      </c>
      <c r="Y137" s="1"/>
      <c r="Z137" s="1"/>
      <c r="AA137" s="1"/>
    </row>
    <row r="138" spans="1:27">
      <c r="A138" s="1" t="s">
        <v>136</v>
      </c>
      <c r="B138" s="1">
        <f ca="1">IFERROR(__xludf.DUMMYFUNCTION("""COMPUTED_VALUE"""),3826)</f>
        <v>3826</v>
      </c>
      <c r="C138" s="1" t="str">
        <f ca="1">IFERROR(__xludf.DUMMYFUNCTION("""COMPUTED_VALUE"""),"PKM Gagasan Futuristik Konstruktif")</f>
        <v>PKM Gagasan Futuristik Konstruktif</v>
      </c>
      <c r="D138" s="1" t="str">
        <f ca="1">IFERROR(__xludf.DUMMYFUNCTION("""COMPUTED_VALUE"""),"Imun Testing Melalui Micro-Needle Extraction Patches Untuk
Penyakit Autoimmune")</f>
        <v>Imun Testing Melalui Micro-Needle Extraction Patches Untuk
Penyakit Autoimmune</v>
      </c>
      <c r="E138" s="1" t="str">
        <f ca="1">IFERROR(__xludf.DUMMYFUNCTION("""COMPUTED_VALUE"""),"Yasmin Nur Helisa")</f>
        <v>Yasmin Nur Helisa</v>
      </c>
      <c r="F138" s="1" t="str">
        <f ca="1">IFERROR(__xludf.DUMMYFUNCTION("""COMPUTED_VALUE"""),"5010211136")</f>
        <v>5010211136</v>
      </c>
      <c r="G138" s="1" t="str">
        <f ca="1">IFERROR(__xludf.DUMMYFUNCTION("""COMPUTED_VALUE"""),"Departemen Teknik Sistem dan Industri")</f>
        <v>Departemen Teknik Sistem dan Industri</v>
      </c>
      <c r="H138" s="1" t="str">
        <f ca="1">IFERROR(__xludf.DUMMYFUNCTION("""COMPUTED_VALUE"""),"Dr. Adithya Sudiarno, S.T., M.T.")</f>
        <v>Dr. Adithya Sudiarno, S.T., M.T.</v>
      </c>
      <c r="I138" s="1" t="str">
        <f ca="1">IFERROR(__xludf.DUMMYFUNCTION("""COMPUTED_VALUE"""),"HANIF ZAKY ANWAR")</f>
        <v>HANIF ZAKY ANWAR</v>
      </c>
      <c r="J138" s="1" t="str">
        <f ca="1">IFERROR(__xludf.DUMMYFUNCTION("""COMPUTED_VALUE"""),"5010211053")</f>
        <v>5010211053</v>
      </c>
      <c r="K138" s="1" t="str">
        <f ca="1">IFERROR(__xludf.DUMMYFUNCTION("""COMPUTED_VALUE"""),"Departemen Teknik Sistem dan Industri")</f>
        <v>Departemen Teknik Sistem dan Industri</v>
      </c>
      <c r="L138" s="1" t="str">
        <f ca="1">IFERROR(__xludf.DUMMYFUNCTION("""COMPUTED_VALUE"""),"M. ADITYA LAZUARDI")</f>
        <v>M. ADITYA LAZUARDI</v>
      </c>
      <c r="M138" s="1" t="str">
        <f ca="1">IFERROR(__xludf.DUMMYFUNCTION("""COMPUTED_VALUE"""),"5010211072")</f>
        <v>5010211072</v>
      </c>
      <c r="N138" s="1" t="str">
        <f ca="1">IFERROR(__xludf.DUMMYFUNCTION("""COMPUTED_VALUE"""),"Departemen Teknik Sistem dan Industri")</f>
        <v>Departemen Teknik Sistem dan Industri</v>
      </c>
      <c r="O138" s="1" t="str">
        <f ca="1">IFERROR(__xludf.DUMMYFUNCTION("""COMPUTED_VALUE"""),"CHANDRA ARYO WIBOWO")</f>
        <v>CHANDRA ARYO WIBOWO</v>
      </c>
      <c r="P138" s="1" t="str">
        <f ca="1">IFERROR(__xludf.DUMMYFUNCTION("""COMPUTED_VALUE"""),"5010211142")</f>
        <v>5010211142</v>
      </c>
      <c r="Q138" s="1" t="str">
        <f ca="1">IFERROR(__xludf.DUMMYFUNCTION("""COMPUTED_VALUE"""),"Departemen Teknik Sistem dan Industri")</f>
        <v>Departemen Teknik Sistem dan Industri</v>
      </c>
      <c r="R138" s="1" t="str">
        <f ca="1">IFERROR(__xludf.DUMMYFUNCTION("""COMPUTED_VALUE"""),"M  RIFAD FATURRAHMAN")</f>
        <v>M  RIFAD FATURRAHMAN</v>
      </c>
      <c r="S138" s="1" t="str">
        <f ca="1">IFERROR(__xludf.DUMMYFUNCTION("""COMPUTED_VALUE"""),"5022211043")</f>
        <v>5022211043</v>
      </c>
      <c r="T138" s="1" t="str">
        <f ca="1">IFERROR(__xludf.DUMMYFUNCTION("""COMPUTED_VALUE"""),"Departemen Teknik Elektro")</f>
        <v>Departemen Teknik Elektro</v>
      </c>
      <c r="U138" s="1" t="str">
        <f ca="1">IFERROR(__xludf.DUMMYFUNCTION("""COMPUTED_VALUE"""),"Putu Gde Ariastita, S.T., M.T.")</f>
        <v>Putu Gde Ariastita, S.T., M.T.</v>
      </c>
      <c r="V138" s="1" t="str">
        <f ca="1">IFERROR(__xludf.DUMMYFUNCTION("""COMPUTED_VALUE"""),"Nur Azizah, S.Si., M.Stat.")</f>
        <v>Nur Azizah, S.Si., M.Stat.</v>
      </c>
      <c r="W138" s="1"/>
      <c r="X138" s="1" t="str">
        <f ca="1">IFERROR(__xludf.DUMMYFUNCTION("""COMPUTED_VALUE"""),"Lolos")</f>
        <v>Lolos</v>
      </c>
      <c r="Y138" s="1"/>
      <c r="Z138" s="1"/>
      <c r="AA138" s="1"/>
    </row>
    <row r="139" spans="1:27">
      <c r="A139" s="1" t="s">
        <v>137</v>
      </c>
      <c r="B139" s="1">
        <f ca="1">IFERROR(__xludf.DUMMYFUNCTION("""COMPUTED_VALUE"""),3772)</f>
        <v>3772</v>
      </c>
      <c r="C139" s="1" t="str">
        <f ca="1">IFERROR(__xludf.DUMMYFUNCTION("""COMPUTED_VALUE"""),"PKM Gagasan Futuristik Konstruktif")</f>
        <v>PKM Gagasan Futuristik Konstruktif</v>
      </c>
      <c r="D139" s="1" t="str">
        <f ca="1">IFERROR(__xludf.DUMMYFUNCTION("""COMPUTED_VALUE"""),"Penggunaan Energi Listrik Ramah Lingkungan Dengan Pemanfaatan Limbah Pasca Covid dan Teknologi PLTSa Rumah Modern Ramah Penghuni Disabilitas")</f>
        <v>Penggunaan Energi Listrik Ramah Lingkungan Dengan Pemanfaatan Limbah Pasca Covid dan Teknologi PLTSa Rumah Modern Ramah Penghuni Disabilitas</v>
      </c>
      <c r="E139" s="1" t="str">
        <f ca="1">IFERROR(__xludf.DUMMYFUNCTION("""COMPUTED_VALUE"""),"MIRANDA SOPHIE SAPUTRA")</f>
        <v>MIRANDA SOPHIE SAPUTRA</v>
      </c>
      <c r="F139" s="1" t="str">
        <f ca="1">IFERROR(__xludf.DUMMYFUNCTION("""COMPUTED_VALUE"""),"5029201031")</f>
        <v>5029201031</v>
      </c>
      <c r="G139" s="1" t="str">
        <f ca="1">IFERROR(__xludf.DUMMYFUNCTION("""COMPUTED_VALUE"""),"Departemen Desain Interior")</f>
        <v>Departemen Desain Interior</v>
      </c>
      <c r="H139" s="1" t="str">
        <f ca="1">IFERROR(__xludf.DUMMYFUNCTION("""COMPUTED_VALUE"""),"Dr. Ir. Susy Budi Astuti, M.T.")</f>
        <v>Dr. Ir. Susy Budi Astuti, M.T.</v>
      </c>
      <c r="I139" s="1" t="str">
        <f ca="1">IFERROR(__xludf.DUMMYFUNCTION("""COMPUTED_VALUE"""),"ZAHRA AYUDHIA PAWESTRI")</f>
        <v>ZAHRA AYUDHIA PAWESTRI</v>
      </c>
      <c r="J139" s="1" t="str">
        <f ca="1">IFERROR(__xludf.DUMMYFUNCTION("""COMPUTED_VALUE"""),"5029201064")</f>
        <v>5029201064</v>
      </c>
      <c r="K139" s="1" t="str">
        <f ca="1">IFERROR(__xludf.DUMMYFUNCTION("""COMPUTED_VALUE"""),"Departemen Desain Interior")</f>
        <v>Departemen Desain Interior</v>
      </c>
      <c r="L139" s="1" t="str">
        <f ca="1">IFERROR(__xludf.DUMMYFUNCTION("""COMPUTED_VALUE"""),"KEUMALAHAYATI CAHYA ARIFAH")</f>
        <v>KEUMALAHAYATI CAHYA ARIFAH</v>
      </c>
      <c r="M139" s="1" t="str">
        <f ca="1">IFERROR(__xludf.DUMMYFUNCTION("""COMPUTED_VALUE"""),"5029201045")</f>
        <v>5029201045</v>
      </c>
      <c r="N139" s="1" t="str">
        <f ca="1">IFERROR(__xludf.DUMMYFUNCTION("""COMPUTED_VALUE"""),"Departemen Desain Interior")</f>
        <v>Departemen Desain Interior</v>
      </c>
      <c r="O139" s="1" t="str">
        <f ca="1">IFERROR(__xludf.DUMMYFUNCTION("""COMPUTED_VALUE"""),"NABIL ALWAN SETIAJI")</f>
        <v>NABIL ALWAN SETIAJI</v>
      </c>
      <c r="P139" s="1" t="str">
        <f ca="1">IFERROR(__xludf.DUMMYFUNCTION("""COMPUTED_VALUE"""),"5029201040")</f>
        <v>5029201040</v>
      </c>
      <c r="Q139" s="1" t="str">
        <f ca="1">IFERROR(__xludf.DUMMYFUNCTION("""COMPUTED_VALUE"""),"Departemen Desain Interior")</f>
        <v>Departemen Desain Interior</v>
      </c>
      <c r="R139" s="1" t="str">
        <f ca="1">IFERROR(__xludf.DUMMYFUNCTION("""COMPUTED_VALUE"""),"YOHANES ALEXANDER HAMONANGAN")</f>
        <v>YOHANES ALEXANDER HAMONANGAN</v>
      </c>
      <c r="S139" s="1" t="str">
        <f ca="1">IFERROR(__xludf.DUMMYFUNCTION("""COMPUTED_VALUE"""),"08411840000062")</f>
        <v>08411840000062</v>
      </c>
      <c r="T139" s="1" t="str">
        <f ca="1">IFERROR(__xludf.DUMMYFUNCTION("""COMPUTED_VALUE"""),"Departemen Desain Interior")</f>
        <v>Departemen Desain Interior</v>
      </c>
      <c r="U139" s="1" t="str">
        <f ca="1">IFERROR(__xludf.DUMMYFUNCTION("""COMPUTED_VALUE"""),"Dr. I Gusti Ngurah Satriyadi Hernanda, S.T., M.T.")</f>
        <v>Dr. I Gusti Ngurah Satriyadi Hernanda, S.T., M.T.</v>
      </c>
      <c r="V139" s="1" t="str">
        <f ca="1">IFERROR(__xludf.DUMMYFUNCTION("""COMPUTED_VALUE"""),"Dr.Eng. Yuda Apri Hermawan, S.T., M.T.")</f>
        <v>Dr.Eng. Yuda Apri Hermawan, S.T., M.T.</v>
      </c>
      <c r="W139" s="1"/>
      <c r="X139" s="1" t="str">
        <f ca="1">IFERROR(__xludf.DUMMYFUNCTION("""COMPUTED_VALUE"""),"Lolos")</f>
        <v>Lolos</v>
      </c>
      <c r="Y139" s="1"/>
      <c r="Z139" s="1"/>
      <c r="AA139" s="1"/>
    </row>
    <row r="140" spans="1:27">
      <c r="A140" s="1" t="s">
        <v>138</v>
      </c>
      <c r="B140" s="1">
        <f ca="1">IFERROR(__xludf.DUMMYFUNCTION("""COMPUTED_VALUE"""),3931)</f>
        <v>3931</v>
      </c>
      <c r="C140" s="1" t="str">
        <f ca="1">IFERROR(__xludf.DUMMYFUNCTION("""COMPUTED_VALUE"""),"PKM Gagasan Futuristik Konstruktif")</f>
        <v>PKM Gagasan Futuristik Konstruktif</v>
      </c>
      <c r="D140" s="1" t="str">
        <f ca="1">IFERROR(__xludf.DUMMYFUNCTION("""COMPUTED_VALUE"""),"“Smiley: Inovasi Portable Traditional Games Box dengan Desain Sci-Fi Futuristic untuk Pemulihan Psikis Anak Korban Bencana Alam“")</f>
        <v>“Smiley: Inovasi Portable Traditional Games Box dengan Desain Sci-Fi Futuristic untuk Pemulihan Psikis Anak Korban Bencana Alam“</v>
      </c>
      <c r="E140" s="1" t="str">
        <f ca="1">IFERROR(__xludf.DUMMYFUNCTION("""COMPUTED_VALUE"""),"ANGGIT KUSUMA LARAS ATIE")</f>
        <v>ANGGIT KUSUMA LARAS ATIE</v>
      </c>
      <c r="F140" s="1" t="str">
        <f ca="1">IFERROR(__xludf.DUMMYFUNCTION("""COMPUTED_VALUE"""),"5029201002")</f>
        <v>5029201002</v>
      </c>
      <c r="G140" s="1" t="str">
        <f ca="1">IFERROR(__xludf.DUMMYFUNCTION("""COMPUTED_VALUE"""),"Departemen Desain Interior")</f>
        <v>Departemen Desain Interior</v>
      </c>
      <c r="H140" s="1" t="str">
        <f ca="1">IFERROR(__xludf.DUMMYFUNCTION("""COMPUTED_VALUE"""),"Dr. Mahendra Wardhana, S.T., M.T.")</f>
        <v>Dr. Mahendra Wardhana, S.T., M.T.</v>
      </c>
      <c r="I140" s="1" t="str">
        <f ca="1">IFERROR(__xludf.DUMMYFUNCTION("""COMPUTED_VALUE"""),"DHINNY ERLYA PUTRI PRASTYAWAN")</f>
        <v>DHINNY ERLYA PUTRI PRASTYAWAN</v>
      </c>
      <c r="J140" s="1" t="str">
        <f ca="1">IFERROR(__xludf.DUMMYFUNCTION("""COMPUTED_VALUE"""),"5029201078")</f>
        <v>5029201078</v>
      </c>
      <c r="K140" s="1" t="str">
        <f ca="1">IFERROR(__xludf.DUMMYFUNCTION("""COMPUTED_VALUE"""),"Departemen Desain Interior")</f>
        <v>Departemen Desain Interior</v>
      </c>
      <c r="L140" s="1" t="str">
        <f ca="1">IFERROR(__xludf.DUMMYFUNCTION("""COMPUTED_VALUE"""),"KARISMA CANTIKA DEWI")</f>
        <v>KARISMA CANTIKA DEWI</v>
      </c>
      <c r="M140" s="1" t="str">
        <f ca="1">IFERROR(__xludf.DUMMYFUNCTION("""COMPUTED_VALUE"""),"5029201076")</f>
        <v>5029201076</v>
      </c>
      <c r="N140" s="1" t="str">
        <f ca="1">IFERROR(__xludf.DUMMYFUNCTION("""COMPUTED_VALUE"""),"Departemen Desain Interior")</f>
        <v>Departemen Desain Interior</v>
      </c>
      <c r="O140" s="1" t="str">
        <f ca="1">IFERROR(__xludf.DUMMYFUNCTION("""COMPUTED_VALUE"""),"NABILAH IZZATI JANNAH")</f>
        <v>NABILAH IZZATI JANNAH</v>
      </c>
      <c r="P140" s="1" t="str">
        <f ca="1">IFERROR(__xludf.DUMMYFUNCTION("""COMPUTED_VALUE"""),"5029201082")</f>
        <v>5029201082</v>
      </c>
      <c r="Q140" s="1" t="str">
        <f ca="1">IFERROR(__xludf.DUMMYFUNCTION("""COMPUTED_VALUE"""),"Departemen Desain Interior")</f>
        <v>Departemen Desain Interior</v>
      </c>
      <c r="R140" s="1" t="str">
        <f ca="1">IFERROR(__xludf.DUMMYFUNCTION("""COMPUTED_VALUE"""),"RACHELL DANIASMARTA")</f>
        <v>RACHELL DANIASMARTA</v>
      </c>
      <c r="S140" s="1" t="str">
        <f ca="1">IFERROR(__xludf.DUMMYFUNCTION("""COMPUTED_VALUE"""),"5028201021")</f>
        <v>5028201021</v>
      </c>
      <c r="T140" s="1" t="str">
        <f ca="1">IFERROR(__xludf.DUMMYFUNCTION("""COMPUTED_VALUE"""),"Departemen Desain Produk")</f>
        <v>Departemen Desain Produk</v>
      </c>
      <c r="U140" s="1" t="str">
        <f ca="1">IFERROR(__xludf.DUMMYFUNCTION("""COMPUTED_VALUE"""),"Dr. I Gusti Ngurah Satriyadi Hernanda, S.T., M.T.")</f>
        <v>Dr. I Gusti Ngurah Satriyadi Hernanda, S.T., M.T.</v>
      </c>
      <c r="V140" s="1" t="str">
        <f ca="1">IFERROR(__xludf.DUMMYFUNCTION("""COMPUTED_VALUE"""),"Fardilla Rizqiyah, ST, MT")</f>
        <v>Fardilla Rizqiyah, ST, MT</v>
      </c>
      <c r="W140" s="1"/>
      <c r="X140" s="1" t="str">
        <f ca="1">IFERROR(__xludf.DUMMYFUNCTION("""COMPUTED_VALUE"""),"Lolos")</f>
        <v>Lolos</v>
      </c>
      <c r="Y140" s="1"/>
      <c r="Z140" s="1"/>
      <c r="AA140" s="1"/>
    </row>
    <row r="141" spans="1:27">
      <c r="A141" s="1" t="s">
        <v>139</v>
      </c>
      <c r="B141" s="1">
        <f ca="1">IFERROR(__xludf.DUMMYFUNCTION("""COMPUTED_VALUE"""),3827)</f>
        <v>3827</v>
      </c>
      <c r="C141" s="1" t="str">
        <f ca="1">IFERROR(__xludf.DUMMYFUNCTION("""COMPUTED_VALUE"""),"PKM Gagasan Futuristik Konstruktif")</f>
        <v>PKM Gagasan Futuristik Konstruktif</v>
      </c>
      <c r="D141" s="1" t="str">
        <f ca="1">IFERROR(__xludf.DUMMYFUNCTION("""COMPUTED_VALUE"""),"Penerapan Arsitektur Bernafas sebagai Respon Pandemi Covid-19 pada Fasade Rumah Tinggal")</f>
        <v>Penerapan Arsitektur Bernafas sebagai Respon Pandemi Covid-19 pada Fasade Rumah Tinggal</v>
      </c>
      <c r="E141" s="1" t="str">
        <f ca="1">IFERROR(__xludf.DUMMYFUNCTION("""COMPUTED_VALUE"""),"Enfi Auliyatul Fauziah")</f>
        <v>Enfi Auliyatul Fauziah</v>
      </c>
      <c r="F141" s="1" t="str">
        <f ca="1">IFERROR(__xludf.DUMMYFUNCTION("""COMPUTED_VALUE"""),"08111940000025")</f>
        <v>08111940000025</v>
      </c>
      <c r="G141" s="1" t="str">
        <f ca="1">IFERROR(__xludf.DUMMYFUNCTION("""COMPUTED_VALUE"""),"Departemen Arsitektur")</f>
        <v>Departemen Arsitektur</v>
      </c>
      <c r="H141" s="1" t="str">
        <f ca="1">IFERROR(__xludf.DUMMYFUNCTION("""COMPUTED_VALUE"""),"Dr.Eng. Didit Novianto, S.T., M.Eng.")</f>
        <v>Dr.Eng. Didit Novianto, S.T., M.Eng.</v>
      </c>
      <c r="I141" s="1" t="str">
        <f ca="1">IFERROR(__xludf.DUMMYFUNCTION("""COMPUTED_VALUE"""),"DAFFA RAMADHAN ADIYATMA")</f>
        <v>DAFFA RAMADHAN ADIYATMA</v>
      </c>
      <c r="J141" s="1" t="str">
        <f ca="1">IFERROR(__xludf.DUMMYFUNCTION("""COMPUTED_VALUE"""),"08111940000089")</f>
        <v>08111940000089</v>
      </c>
      <c r="K141" s="1" t="str">
        <f ca="1">IFERROR(__xludf.DUMMYFUNCTION("""COMPUTED_VALUE"""),"Departemen Arsitektur")</f>
        <v>Departemen Arsitektur</v>
      </c>
      <c r="L141" s="1" t="str">
        <f ca="1">IFERROR(__xludf.DUMMYFUNCTION("""COMPUTED_VALUE"""),"SALSABILA KHOIRUNNISA")</f>
        <v>SALSABILA KHOIRUNNISA</v>
      </c>
      <c r="M141" s="1" t="str">
        <f ca="1">IFERROR(__xludf.DUMMYFUNCTION("""COMPUTED_VALUE"""),"08111940000068")</f>
        <v>08111940000068</v>
      </c>
      <c r="N141" s="1" t="str">
        <f ca="1">IFERROR(__xludf.DUMMYFUNCTION("""COMPUTED_VALUE"""),"Departemen Arsitektur")</f>
        <v>Departemen Arsitektur</v>
      </c>
      <c r="O141" s="1" t="str">
        <f ca="1">IFERROR(__xludf.DUMMYFUNCTION("""COMPUTED_VALUE"""),"ST. AHMAD ABDI RAJA SEMESTA ALAM")</f>
        <v>ST. AHMAD ABDI RAJA SEMESTA ALAM</v>
      </c>
      <c r="P141" s="1" t="str">
        <f ca="1">IFERROR(__xludf.DUMMYFUNCTION("""COMPUTED_VALUE"""),"03211940000070")</f>
        <v>03211940000070</v>
      </c>
      <c r="Q141" s="1" t="str">
        <f ca="1">IFERROR(__xludf.DUMMYFUNCTION("""COMPUTED_VALUE"""),"Departemen Teknik Lingkungan")</f>
        <v>Departemen Teknik Lingkungan</v>
      </c>
      <c r="R141" s="1"/>
      <c r="S141" s="1"/>
      <c r="T141" s="1"/>
      <c r="U141" s="1" t="str">
        <f ca="1">IFERROR(__xludf.DUMMYFUNCTION("""COMPUTED_VALUE"""),"Okta Putra Setio Ardianto, S.T., M.T.")</f>
        <v>Okta Putra Setio Ardianto, S.T., M.T.</v>
      </c>
      <c r="V141" s="1" t="str">
        <f ca="1">IFERROR(__xludf.DUMMYFUNCTION("""COMPUTED_VALUE"""),"Nur Azizah, S.Si., M.Stat.")</f>
        <v>Nur Azizah, S.Si., M.Stat.</v>
      </c>
      <c r="W141" s="1"/>
      <c r="X141" s="1" t="str">
        <f ca="1">IFERROR(__xludf.DUMMYFUNCTION("""COMPUTED_VALUE"""),"Lolos")</f>
        <v>Lolos</v>
      </c>
      <c r="Y141" s="1"/>
      <c r="Z141" s="1"/>
      <c r="AA141" s="1"/>
    </row>
    <row r="142" spans="1:27">
      <c r="A142" s="1" t="s">
        <v>140</v>
      </c>
      <c r="B142" s="1">
        <f ca="1">IFERROR(__xludf.DUMMYFUNCTION("""COMPUTED_VALUE"""),2594)</f>
        <v>2594</v>
      </c>
      <c r="C142" s="1" t="str">
        <f ca="1">IFERROR(__xludf.DUMMYFUNCTION("""COMPUTED_VALUE"""),"PKM Gagasan Futuristik Konstruktif")</f>
        <v>PKM Gagasan Futuristik Konstruktif</v>
      </c>
      <c r="D142" s="1" t="str">
        <f ca="1">IFERROR(__xludf.DUMMYFUNCTION("""COMPUTED_VALUE"""),"TARA: Teman Nusantara - Sistem Wisata Virtual Budaya Jawa Timur sebagai Sarana Promosi, Edukasi, sekaligus Pelestarian dalam Dunia Metaverse")</f>
        <v>TARA: Teman Nusantara - Sistem Wisata Virtual Budaya Jawa Timur sebagai Sarana Promosi, Edukasi, sekaligus Pelestarian dalam Dunia Metaverse</v>
      </c>
      <c r="E142" s="1" t="str">
        <f ca="1">IFERROR(__xludf.DUMMYFUNCTION("""COMPUTED_VALUE"""),"Yunida Arindy")</f>
        <v>Yunida Arindy</v>
      </c>
      <c r="F142" s="1" t="str">
        <f ca="1">IFERROR(__xludf.DUMMYFUNCTION("""COMPUTED_VALUE"""),"5031211057")</f>
        <v>5031211057</v>
      </c>
      <c r="G142" s="1" t="str">
        <f ca="1">IFERROR(__xludf.DUMMYFUNCTION("""COMPUTED_VALUE"""),"Departemen Manajemen Bisnis")</f>
        <v>Departemen Manajemen Bisnis</v>
      </c>
      <c r="H142" s="1" t="str">
        <f ca="1">IFERROR(__xludf.DUMMYFUNCTION("""COMPUTED_VALUE"""),"Mushonnifun Faiz Sugihartanto, S.T., M.Sc.")</f>
        <v>Mushonnifun Faiz Sugihartanto, S.T., M.Sc.</v>
      </c>
      <c r="I142" s="1" t="str">
        <f ca="1">IFERROR(__xludf.DUMMYFUNCTION("""COMPUTED_VALUE"""),"Jihan Fatimah")</f>
        <v>Jihan Fatimah</v>
      </c>
      <c r="J142" s="1" t="str">
        <f ca="1">IFERROR(__xludf.DUMMYFUNCTION("""COMPUTED_VALUE"""),"5031211019")</f>
        <v>5031211019</v>
      </c>
      <c r="K142" s="1" t="str">
        <f ca="1">IFERROR(__xludf.DUMMYFUNCTION("""COMPUTED_VALUE"""),"Departemen Manajemen Bisnis")</f>
        <v>Departemen Manajemen Bisnis</v>
      </c>
      <c r="L142" s="1" t="str">
        <f ca="1">IFERROR(__xludf.DUMMYFUNCTION("""COMPUTED_VALUE"""),"YUANA MAURA SYIFA`")</f>
        <v>YUANA MAURA SYIFA`</v>
      </c>
      <c r="M142" s="1" t="str">
        <f ca="1">IFERROR(__xludf.DUMMYFUNCTION("""COMPUTED_VALUE"""),"5028201011")</f>
        <v>5028201011</v>
      </c>
      <c r="N142" s="1" t="str">
        <f ca="1">IFERROR(__xludf.DUMMYFUNCTION("""COMPUTED_VALUE"""),"Departemen Desain Produk")</f>
        <v>Departemen Desain Produk</v>
      </c>
      <c r="O142" s="1"/>
      <c r="P142" s="1"/>
      <c r="Q142" s="1"/>
      <c r="R142" s="1"/>
      <c r="S142" s="1"/>
      <c r="T142" s="1"/>
      <c r="U142" s="1" t="str">
        <f ca="1">IFERROR(__xludf.DUMMYFUNCTION("""COMPUTED_VALUE"""),"Putu Gde Ariastita, S.T., M.T.")</f>
        <v>Putu Gde Ariastita, S.T., M.T.</v>
      </c>
      <c r="V142" s="1" t="str">
        <f ca="1">IFERROR(__xludf.DUMMYFUNCTION("""COMPUTED_VALUE"""),"Nur Azizah, S.Si., M.Stat.")</f>
        <v>Nur Azizah, S.Si., M.Stat.</v>
      </c>
      <c r="W142" s="1"/>
      <c r="X142" s="1" t="str">
        <f ca="1">IFERROR(__xludf.DUMMYFUNCTION("""COMPUTED_VALUE"""),"Lolos")</f>
        <v>Lolos</v>
      </c>
      <c r="Y142" s="1"/>
      <c r="Z142" s="1"/>
      <c r="AA142" s="1"/>
    </row>
    <row r="143" spans="1:27">
      <c r="A143" s="1" t="s">
        <v>13</v>
      </c>
      <c r="B143" s="1">
        <f ca="1">IFERROR(__xludf.DUMMYFUNCTION("""COMPUTED_VALUE"""),2281)</f>
        <v>2281</v>
      </c>
      <c r="C143" s="1" t="str">
        <f ca="1">IFERROR(__xludf.DUMMYFUNCTION("""COMPUTED_VALUE"""),"PKM Gagasan Futuristik Konstruktif")</f>
        <v>PKM Gagasan Futuristik Konstruktif</v>
      </c>
      <c r="D143" s="1" t="str">
        <f ca="1">IFERROR(__xludf.DUMMYFUNCTION("""COMPUTED_VALUE"""),"Integrasi Manajemen Sampah Kota dengan Karakterisasi Pemilahan Sampah")</f>
        <v>Integrasi Manajemen Sampah Kota dengan Karakterisasi Pemilahan Sampah</v>
      </c>
      <c r="E143" s="1" t="str">
        <f ca="1">IFERROR(__xludf.DUMMYFUNCTION("""COMPUTED_VALUE"""),"FIKRI NURHIDAYAT")</f>
        <v>FIKRI NURHIDAYAT</v>
      </c>
      <c r="F143" s="1" t="str">
        <f ca="1">IFERROR(__xludf.DUMMYFUNCTION("""COMPUTED_VALUE"""),"02311840000094")</f>
        <v>02311840000094</v>
      </c>
      <c r="G143" s="1" t="str">
        <f ca="1">IFERROR(__xludf.DUMMYFUNCTION("""COMPUTED_VALUE"""),"Departemen Teknik Fisika")</f>
        <v>Departemen Teknik Fisika</v>
      </c>
      <c r="H143" s="1" t="str">
        <f ca="1">IFERROR(__xludf.DUMMYFUNCTION("""COMPUTED_VALUE"""),"Dr.-Ing. Doty Dewi Risanti, S.T., M.T.")</f>
        <v>Dr.-Ing. Doty Dewi Risanti, S.T., M.T.</v>
      </c>
      <c r="I143" s="1" t="str">
        <f ca="1">IFERROR(__xludf.DUMMYFUNCTION("""COMPUTED_VALUE"""),"Surya Adikara Putra")</f>
        <v>Surya Adikara Putra</v>
      </c>
      <c r="J143" s="1" t="str">
        <f ca="1">IFERROR(__xludf.DUMMYFUNCTION("""COMPUTED_VALUE"""),"03211840000035")</f>
        <v>03211840000035</v>
      </c>
      <c r="K143" s="1" t="str">
        <f ca="1">IFERROR(__xludf.DUMMYFUNCTION("""COMPUTED_VALUE"""),"Departemen Teknik Lingkungan")</f>
        <v>Departemen Teknik Lingkungan</v>
      </c>
      <c r="L143" s="1" t="str">
        <f ca="1">IFERROR(__xludf.DUMMYFUNCTION("""COMPUTED_VALUE"""),"Mufti Hasan Al Banna")</f>
        <v>Mufti Hasan Al Banna</v>
      </c>
      <c r="M143" s="1" t="str">
        <f ca="1">IFERROR(__xludf.DUMMYFUNCTION("""COMPUTED_VALUE"""),"08111840000003")</f>
        <v>08111840000003</v>
      </c>
      <c r="N143" s="1" t="str">
        <f ca="1">IFERROR(__xludf.DUMMYFUNCTION("""COMPUTED_VALUE"""),"Departemen Arsitektur")</f>
        <v>Departemen Arsitektur</v>
      </c>
      <c r="O143" s="1" t="str">
        <f ca="1">IFERROR(__xludf.DUMMYFUNCTION("""COMPUTED_VALUE"""),"Fariz Risqi Maulana")</f>
        <v>Fariz Risqi Maulana</v>
      </c>
      <c r="P143" s="1" t="str">
        <f ca="1">IFERROR(__xludf.DUMMYFUNCTION("""COMPUTED_VALUE"""),"02311840000015")</f>
        <v>02311840000015</v>
      </c>
      <c r="Q143" s="1" t="str">
        <f ca="1">IFERROR(__xludf.DUMMYFUNCTION("""COMPUTED_VALUE"""),"Departemen Teknik Fisika")</f>
        <v>Departemen Teknik Fisika</v>
      </c>
      <c r="R143" s="1" t="str">
        <f ca="1">IFERROR(__xludf.DUMMYFUNCTION("""COMPUTED_VALUE"""),"FAUZAN RAFI ADIYATMA")</f>
        <v>FAUZAN RAFI ADIYATMA</v>
      </c>
      <c r="S143" s="1" t="str">
        <f ca="1">IFERROR(__xludf.DUMMYFUNCTION("""COMPUTED_VALUE"""),"5014201132")</f>
        <v>5014201132</v>
      </c>
      <c r="T143" s="1" t="str">
        <f ca="1">IFERROR(__xludf.DUMMYFUNCTION("""COMPUTED_VALUE"""),"Departemen Teknik Lingkungan")</f>
        <v>Departemen Teknik Lingkungan</v>
      </c>
      <c r="U143" s="1" t="str">
        <f ca="1">IFERROR(__xludf.DUMMYFUNCTION("""COMPUTED_VALUE"""),"Okta Putra Setio Ardianto, S.T., M.T.")</f>
        <v>Okta Putra Setio Ardianto, S.T., M.T.</v>
      </c>
      <c r="V143" s="1" t="str">
        <f ca="1">IFERROR(__xludf.DUMMYFUNCTION("""COMPUTED_VALUE"""),"Daril Ridho Zuchrillah, S.T., M.T.")</f>
        <v>Daril Ridho Zuchrillah, S.T., M.T.</v>
      </c>
      <c r="W143" s="1"/>
      <c r="X143" s="1" t="str">
        <f ca="1">IFERROR(__xludf.DUMMYFUNCTION("""COMPUTED_VALUE"""),"Lolos")</f>
        <v>Lolos</v>
      </c>
      <c r="Y143" s="1"/>
      <c r="Z143" s="1"/>
      <c r="AA143" s="1"/>
    </row>
    <row r="144" spans="1:27">
      <c r="A144" s="1" t="s">
        <v>141</v>
      </c>
      <c r="B144" s="1">
        <f ca="1">IFERROR(__xludf.DUMMYFUNCTION("""COMPUTED_VALUE"""),2180)</f>
        <v>2180</v>
      </c>
      <c r="C144" s="1" t="str">
        <f ca="1">IFERROR(__xludf.DUMMYFUNCTION("""COMPUTED_VALUE"""),"PKM Gagasan Futuristik Konstruktif")</f>
        <v>PKM Gagasan Futuristik Konstruktif</v>
      </c>
      <c r="D144" s="1" t="str">
        <f ca="1">IFERROR(__xludf.DUMMYFUNCTION("""COMPUTED_VALUE"""),"Inovasi Rumah 4 in 1 dengan Menggunakan Konstruksi Modular Panel, 
Ramah Gempa, Anti Banjir, dan Pemanfaatan Air Banjir
")</f>
        <v xml:space="preserve">Inovasi Rumah 4 in 1 dengan Menggunakan Konstruksi Modular Panel, 
Ramah Gempa, Anti Banjir, dan Pemanfaatan Air Banjir
</v>
      </c>
      <c r="E144" s="1" t="str">
        <f ca="1">IFERROR(__xludf.DUMMYFUNCTION("""COMPUTED_VALUE"""),"RAVEENA AISYAH VIRA")</f>
        <v>RAVEENA AISYAH VIRA</v>
      </c>
      <c r="F144" s="1" t="str">
        <f ca="1">IFERROR(__xludf.DUMMYFUNCTION("""COMPUTED_VALUE"""),"5012201092")</f>
        <v>5012201092</v>
      </c>
      <c r="G144" s="1" t="str">
        <f ca="1">IFERROR(__xludf.DUMMYFUNCTION("""COMPUTED_VALUE"""),"Departemen Teknik Sipil")</f>
        <v>Departemen Teknik Sipil</v>
      </c>
      <c r="H144" s="1" t="str">
        <f ca="1">IFERROR(__xludf.DUMMYFUNCTION("""COMPUTED_VALUE"""),"Prof. Tavio, S.T., M.T., Ph.D.")</f>
        <v>Prof. Tavio, S.T., M.T., Ph.D.</v>
      </c>
      <c r="I144" s="1" t="str">
        <f ca="1">IFERROR(__xludf.DUMMYFUNCTION("""COMPUTED_VALUE"""),"SEAN IVANDER SAHATA HUTAPEA")</f>
        <v>SEAN IVANDER SAHATA HUTAPEA</v>
      </c>
      <c r="J144" s="1" t="str">
        <f ca="1">IFERROR(__xludf.DUMMYFUNCTION("""COMPUTED_VALUE"""),"5012201088")</f>
        <v>5012201088</v>
      </c>
      <c r="K144" s="1" t="str">
        <f ca="1">IFERROR(__xludf.DUMMYFUNCTION("""COMPUTED_VALUE"""),"Departemen Teknik Sipil")</f>
        <v>Departemen Teknik Sipil</v>
      </c>
      <c r="L144" s="1" t="str">
        <f ca="1">IFERROR(__xludf.DUMMYFUNCTION("""COMPUTED_VALUE"""),"MUHAMMAD BURHANUDIN")</f>
        <v>MUHAMMAD BURHANUDIN</v>
      </c>
      <c r="M144" s="1" t="str">
        <f ca="1">IFERROR(__xludf.DUMMYFUNCTION("""COMPUTED_VALUE"""),"5012201008")</f>
        <v>5012201008</v>
      </c>
      <c r="N144" s="1" t="str">
        <f ca="1">IFERROR(__xludf.DUMMYFUNCTION("""COMPUTED_VALUE"""),"Departemen Teknik Sipil")</f>
        <v>Departemen Teknik Sipil</v>
      </c>
      <c r="O144" s="1" t="str">
        <f ca="1">IFERROR(__xludf.DUMMYFUNCTION("""COMPUTED_VALUE"""),"NIDA SALWANDARI")</f>
        <v>NIDA SALWANDARI</v>
      </c>
      <c r="P144" s="1" t="str">
        <f ca="1">IFERROR(__xludf.DUMMYFUNCTION("""COMPUTED_VALUE"""),"5012201073")</f>
        <v>5012201073</v>
      </c>
      <c r="Q144" s="1" t="str">
        <f ca="1">IFERROR(__xludf.DUMMYFUNCTION("""COMPUTED_VALUE"""),"Departemen Teknik Sipil")</f>
        <v>Departemen Teknik Sipil</v>
      </c>
      <c r="R144" s="1" t="str">
        <f ca="1">IFERROR(__xludf.DUMMYFUNCTION("""COMPUTED_VALUE"""),"SABRINA ATHAYA PUTRI")</f>
        <v>SABRINA ATHAYA PUTRI</v>
      </c>
      <c r="S144" s="1" t="str">
        <f ca="1">IFERROR(__xludf.DUMMYFUNCTION("""COMPUTED_VALUE"""),"5012201102")</f>
        <v>5012201102</v>
      </c>
      <c r="T144" s="1" t="str">
        <f ca="1">IFERROR(__xludf.DUMMYFUNCTION("""COMPUTED_VALUE"""),"Departemen Teknik Sipil")</f>
        <v>Departemen Teknik Sipil</v>
      </c>
      <c r="U144" s="1" t="str">
        <f ca="1">IFERROR(__xludf.DUMMYFUNCTION("""COMPUTED_VALUE"""),"Putu Gde Ariastita, S.T., M.T.")</f>
        <v>Putu Gde Ariastita, S.T., M.T.</v>
      </c>
      <c r="V144" s="1" t="str">
        <f ca="1">IFERROR(__xludf.DUMMYFUNCTION("""COMPUTED_VALUE"""),"Nur Azizah, S.Si., M.Stat.")</f>
        <v>Nur Azizah, S.Si., M.Stat.</v>
      </c>
      <c r="W144" s="1"/>
      <c r="X144" s="1" t="str">
        <f ca="1">IFERROR(__xludf.DUMMYFUNCTION("""COMPUTED_VALUE"""),"Lolos")</f>
        <v>Lolos</v>
      </c>
      <c r="Y144" s="1"/>
      <c r="Z144" s="1"/>
      <c r="AA144" s="1"/>
    </row>
    <row r="145" spans="1:27">
      <c r="A145" s="1" t="s">
        <v>142</v>
      </c>
      <c r="B145" s="1">
        <f ca="1">IFERROR(__xludf.DUMMYFUNCTION("""COMPUTED_VALUE"""),3812)</f>
        <v>3812</v>
      </c>
      <c r="C145" s="1" t="str">
        <f ca="1">IFERROR(__xludf.DUMMYFUNCTION("""COMPUTED_VALUE"""),"PKM Gagasan Futuristik Konstruktif")</f>
        <v>PKM Gagasan Futuristik Konstruktif</v>
      </c>
      <c r="D145" s="1" t="str">
        <f ca="1">IFERROR(__xludf.DUMMYFUNCTION("""COMPUTED_VALUE"""),"Rancang Bangun Live Translation Penolong Keterbatasan Komunikasi Bagi Penyandang Disabilitas Tuna Wicara Menggunakan Virtual Reality Berbasis 5G")</f>
        <v>Rancang Bangun Live Translation Penolong Keterbatasan Komunikasi Bagi Penyandang Disabilitas Tuna Wicara Menggunakan Virtual Reality Berbasis 5G</v>
      </c>
      <c r="E145" s="1" t="str">
        <f ca="1">IFERROR(__xludf.DUMMYFUNCTION("""COMPUTED_VALUE"""),"ANANTA AJI FARDANA")</f>
        <v>ANANTA AJI FARDANA</v>
      </c>
      <c r="F145" s="1" t="str">
        <f ca="1">IFERROR(__xludf.DUMMYFUNCTION("""COMPUTED_VALUE"""),"5022201240")</f>
        <v>5022201240</v>
      </c>
      <c r="G145" s="1" t="str">
        <f ca="1">IFERROR(__xludf.DUMMYFUNCTION("""COMPUTED_VALUE"""),"Departemen Teknik Elektro")</f>
        <v>Departemen Teknik Elektro</v>
      </c>
      <c r="H145" s="1" t="str">
        <f ca="1">IFERROR(__xludf.DUMMYFUNCTION("""COMPUTED_VALUE"""),"Prof. Ir. Gamantyo Hendrantoro, M.Eng., Ph.D.")</f>
        <v>Prof. Ir. Gamantyo Hendrantoro, M.Eng., Ph.D.</v>
      </c>
      <c r="I145" s="1" t="str">
        <f ca="1">IFERROR(__xludf.DUMMYFUNCTION("""COMPUTED_VALUE"""),"MUHAMMAD IDRIS ROMADLY")</f>
        <v>MUHAMMAD IDRIS ROMADLY</v>
      </c>
      <c r="J145" s="1" t="str">
        <f ca="1">IFERROR(__xludf.DUMMYFUNCTION("""COMPUTED_VALUE"""),"07111840000170")</f>
        <v>07111840000170</v>
      </c>
      <c r="K145" s="1" t="str">
        <f ca="1">IFERROR(__xludf.DUMMYFUNCTION("""COMPUTED_VALUE"""),"Departemen Teknik Elektro")</f>
        <v>Departemen Teknik Elektro</v>
      </c>
      <c r="L145" s="1" t="str">
        <f ca="1">IFERROR(__xludf.DUMMYFUNCTION("""COMPUTED_VALUE"""),"M. HUDA FATCHUR ROHMAN")</f>
        <v>M. HUDA FATCHUR ROHMAN</v>
      </c>
      <c r="M145" s="1" t="str">
        <f ca="1">IFERROR(__xludf.DUMMYFUNCTION("""COMPUTED_VALUE"""),"5022201045")</f>
        <v>5022201045</v>
      </c>
      <c r="N145" s="1" t="str">
        <f ca="1">IFERROR(__xludf.DUMMYFUNCTION("""COMPUTED_VALUE"""),"Departemen Teknik Elektro")</f>
        <v>Departemen Teknik Elektro</v>
      </c>
      <c r="O145" s="1" t="str">
        <f ca="1">IFERROR(__xludf.DUMMYFUNCTION("""COMPUTED_VALUE"""),"MUHAMMAD ROBICH MUMTAZY")</f>
        <v>MUHAMMAD ROBICH MUMTAZY</v>
      </c>
      <c r="P145" s="1" t="str">
        <f ca="1">IFERROR(__xludf.DUMMYFUNCTION("""COMPUTED_VALUE"""),"5022201233")</f>
        <v>5022201233</v>
      </c>
      <c r="Q145" s="1" t="str">
        <f ca="1">IFERROR(__xludf.DUMMYFUNCTION("""COMPUTED_VALUE"""),"Departemen Teknik Elektro")</f>
        <v>Departemen Teknik Elektro</v>
      </c>
      <c r="R145" s="1" t="str">
        <f ca="1">IFERROR(__xludf.DUMMYFUNCTION("""COMPUTED_VALUE"""),"CHOLID JUNOTO")</f>
        <v>CHOLID JUNOTO</v>
      </c>
      <c r="S145" s="1" t="str">
        <f ca="1">IFERROR(__xludf.DUMMYFUNCTION("""COMPUTED_VALUE"""),"5025201038")</f>
        <v>5025201038</v>
      </c>
      <c r="T145" s="1" t="str">
        <f ca="1">IFERROR(__xludf.DUMMYFUNCTION("""COMPUTED_VALUE"""),"Departemen Teknik Informatika")</f>
        <v>Departemen Teknik Informatika</v>
      </c>
      <c r="U145" s="1" t="str">
        <f ca="1">IFERROR(__xludf.DUMMYFUNCTION("""COMPUTED_VALUE"""),"Putu Gde Ariastita, S.T., M.T.")</f>
        <v>Putu Gde Ariastita, S.T., M.T.</v>
      </c>
      <c r="V145" s="1" t="str">
        <f ca="1">IFERROR(__xludf.DUMMYFUNCTION("""COMPUTED_VALUE"""),"Nur Azizah, S.Si., M.Stat.")</f>
        <v>Nur Azizah, S.Si., M.Stat.</v>
      </c>
      <c r="W145" s="1"/>
      <c r="X145" s="1" t="str">
        <f ca="1">IFERROR(__xludf.DUMMYFUNCTION("""COMPUTED_VALUE"""),"Karantina")</f>
        <v>Karantina</v>
      </c>
      <c r="Y145" s="1"/>
      <c r="Z145" s="1"/>
      <c r="AA145" s="1"/>
    </row>
    <row r="146" spans="1:27">
      <c r="A146" s="1" t="s">
        <v>143</v>
      </c>
      <c r="B146" s="1">
        <f ca="1">IFERROR(__xludf.DUMMYFUNCTION("""COMPUTED_VALUE"""),2292)</f>
        <v>2292</v>
      </c>
      <c r="C146" s="1" t="str">
        <f ca="1">IFERROR(__xludf.DUMMYFUNCTION("""COMPUTED_VALUE"""),"PKM Gagasan Futuristik Konstruktif")</f>
        <v>PKM Gagasan Futuristik Konstruktif</v>
      </c>
      <c r="D146" s="1" t="str">
        <f ca="1">IFERROR(__xludf.DUMMYFUNCTION("""COMPUTED_VALUE"""),"Smart Geothermal Greenhouse: Inovasi Teknologi berbasis Internet of Things Penunjang Ketahanan Pangan dan Pendayagunaan Energi Bersih")</f>
        <v>Smart Geothermal Greenhouse: Inovasi Teknologi berbasis Internet of Things Penunjang Ketahanan Pangan dan Pendayagunaan Energi Bersih</v>
      </c>
      <c r="E146" s="1" t="str">
        <f ca="1">IFERROR(__xludf.DUMMYFUNCTION("""COMPUTED_VALUE"""),"KAFA  `AISYANA  NI`MAH")</f>
        <v>KAFA  `AISYANA  NI`MAH</v>
      </c>
      <c r="F146" s="1" t="str">
        <f ca="1">IFERROR(__xludf.DUMMYFUNCTION("""COMPUTED_VALUE"""),"03411940000040")</f>
        <v>03411940000040</v>
      </c>
      <c r="G146" s="1" t="str">
        <f ca="1">IFERROR(__xludf.DUMMYFUNCTION("""COMPUTED_VALUE"""),"Departemen Teknik Geofisika")</f>
        <v>Departemen Teknik Geofisika</v>
      </c>
      <c r="H146" s="1" t="str">
        <f ca="1">IFERROR(__xludf.DUMMYFUNCTION("""COMPUTED_VALUE"""),"Juan Pandu Gya Nur Rochman, S.Si., M.T.")</f>
        <v>Juan Pandu Gya Nur Rochman, S.Si., M.T.</v>
      </c>
      <c r="I146" s="1" t="str">
        <f ca="1">IFERROR(__xludf.DUMMYFUNCTION("""COMPUTED_VALUE"""),"Khoirus Fauzi Rahmadhani")</f>
        <v>Khoirus Fauzi Rahmadhani</v>
      </c>
      <c r="J146" s="1" t="str">
        <f ca="1">IFERROR(__xludf.DUMMYFUNCTION("""COMPUTED_VALUE"""),"07111840000029")</f>
        <v>07111840000029</v>
      </c>
      <c r="K146" s="1" t="str">
        <f ca="1">IFERROR(__xludf.DUMMYFUNCTION("""COMPUTED_VALUE"""),"Departemen Teknik Elektro")</f>
        <v>Departemen Teknik Elektro</v>
      </c>
      <c r="L146" s="1" t="str">
        <f ca="1">IFERROR(__xludf.DUMMYFUNCTION("""COMPUTED_VALUE"""),"SALSABILA AIDA FITRIYA")</f>
        <v>SALSABILA AIDA FITRIYA</v>
      </c>
      <c r="M146" s="1" t="str">
        <f ca="1">IFERROR(__xludf.DUMMYFUNCTION("""COMPUTED_VALUE"""),"01311940000033")</f>
        <v>01311940000033</v>
      </c>
      <c r="N146" s="1" t="str">
        <f ca="1">IFERROR(__xludf.DUMMYFUNCTION("""COMPUTED_VALUE"""),"Departemen Biologi")</f>
        <v>Departemen Biologi</v>
      </c>
      <c r="O146" s="1" t="str">
        <f ca="1">IFERROR(__xludf.DUMMYFUNCTION("""COMPUTED_VALUE"""),"NUR ARIF ABADI")</f>
        <v>NUR ARIF ABADI</v>
      </c>
      <c r="P146" s="1" t="str">
        <f ca="1">IFERROR(__xludf.DUMMYFUNCTION("""COMPUTED_VALUE"""),"5013201021")</f>
        <v>5013201021</v>
      </c>
      <c r="Q146" s="1" t="str">
        <f ca="1">IFERROR(__xludf.DUMMYFUNCTION("""COMPUTED_VALUE"""),"Departemen Arsitektur")</f>
        <v>Departemen Arsitektur</v>
      </c>
      <c r="R146" s="1"/>
      <c r="S146" s="1"/>
      <c r="T146" s="1"/>
      <c r="U146" s="1" t="str">
        <f ca="1">IFERROR(__xludf.DUMMYFUNCTION("""COMPUTED_VALUE"""),"Okta Putra Setio Ardianto, S.T., M.T.")</f>
        <v>Okta Putra Setio Ardianto, S.T., M.T.</v>
      </c>
      <c r="V146" s="1" t="str">
        <f ca="1">IFERROR(__xludf.DUMMYFUNCTION("""COMPUTED_VALUE"""),"Dion Hayu Fandiantoro, S.T., M.Eng.")</f>
        <v>Dion Hayu Fandiantoro, S.T., M.Eng.</v>
      </c>
      <c r="W146" s="1"/>
      <c r="X146" s="1" t="str">
        <f ca="1">IFERROR(__xludf.DUMMYFUNCTION("""COMPUTED_VALUE"""),"Karantina")</f>
        <v>Karantina</v>
      </c>
      <c r="Y146" s="1"/>
      <c r="Z146" s="1"/>
      <c r="AA146" s="1"/>
    </row>
    <row r="147" spans="1:27">
      <c r="A147" s="1" t="s">
        <v>144</v>
      </c>
      <c r="B147" s="1">
        <f ca="1">IFERROR(__xludf.DUMMYFUNCTION("""COMPUTED_VALUE"""),4119)</f>
        <v>4119</v>
      </c>
      <c r="C147" s="1" t="str">
        <f ca="1">IFERROR(__xludf.DUMMYFUNCTION("""COMPUTED_VALUE"""),"PKM Gagasan Futuristik Konstruktif")</f>
        <v>PKM Gagasan Futuristik Konstruktif</v>
      </c>
      <c r="D147" s="1" t="str">
        <f ca="1">IFERROR(__xludf.DUMMYFUNCTION("""COMPUTED_VALUE"""),"Bird Paradise Resto sebagai Upaya untuk Melestarikan Burung-burung Endemik Indonesia yang Terancam Punah.")</f>
        <v>Bird Paradise Resto sebagai Upaya untuk Melestarikan Burung-burung Endemik Indonesia yang Terancam Punah.</v>
      </c>
      <c r="E147" s="1" t="str">
        <f ca="1">IFERROR(__xludf.DUMMYFUNCTION("""COMPUTED_VALUE"""),"DINDA TASYA RAMADANITA")</f>
        <v>DINDA TASYA RAMADANITA</v>
      </c>
      <c r="F147" s="1" t="str">
        <f ca="1">IFERROR(__xludf.DUMMYFUNCTION("""COMPUTED_VALUE"""),"08411940000032")</f>
        <v>08411940000032</v>
      </c>
      <c r="G147" s="1" t="str">
        <f ca="1">IFERROR(__xludf.DUMMYFUNCTION("""COMPUTED_VALUE"""),"Departemen Desain Interior")</f>
        <v>Departemen Desain Interior</v>
      </c>
      <c r="H147" s="1" t="str">
        <f ca="1">IFERROR(__xludf.DUMMYFUNCTION("""COMPUTED_VALUE"""),"Firman Hawari, S.Sn., M.Ds.")</f>
        <v>Firman Hawari, S.Sn., M.Ds.</v>
      </c>
      <c r="I147" s="1" t="str">
        <f ca="1">IFERROR(__xludf.DUMMYFUNCTION("""COMPUTED_VALUE"""),"MAHARANI NIRMALA SHAKTI MADYA JALA")</f>
        <v>MAHARANI NIRMALA SHAKTI MADYA JALA</v>
      </c>
      <c r="J147" s="1" t="str">
        <f ca="1">IFERROR(__xludf.DUMMYFUNCTION("""COMPUTED_VALUE"""),"08411940000035")</f>
        <v>08411940000035</v>
      </c>
      <c r="K147" s="1" t="str">
        <f ca="1">IFERROR(__xludf.DUMMYFUNCTION("""COMPUTED_VALUE"""),"Departemen Desain Interior")</f>
        <v>Departemen Desain Interior</v>
      </c>
      <c r="L147" s="1" t="str">
        <f ca="1">IFERROR(__xludf.DUMMYFUNCTION("""COMPUTED_VALUE"""),"NADA SALSABILA ALIFAH")</f>
        <v>NADA SALSABILA ALIFAH</v>
      </c>
      <c r="M147" s="1" t="str">
        <f ca="1">IFERROR(__xludf.DUMMYFUNCTION("""COMPUTED_VALUE"""),"08411940000058")</f>
        <v>08411940000058</v>
      </c>
      <c r="N147" s="1" t="str">
        <f ca="1">IFERROR(__xludf.DUMMYFUNCTION("""COMPUTED_VALUE"""),"Departemen Desain Interior")</f>
        <v>Departemen Desain Interior</v>
      </c>
      <c r="O147" s="1" t="str">
        <f ca="1">IFERROR(__xludf.DUMMYFUNCTION("""COMPUTED_VALUE"""),"Farah Firdausy Andanu")</f>
        <v>Farah Firdausy Andanu</v>
      </c>
      <c r="P147" s="1" t="str">
        <f ca="1">IFERROR(__xludf.DUMMYFUNCTION("""COMPUTED_VALUE"""),"08411940000002")</f>
        <v>08411940000002</v>
      </c>
      <c r="Q147" s="1" t="str">
        <f ca="1">IFERROR(__xludf.DUMMYFUNCTION("""COMPUTED_VALUE"""),"Departemen Desain Interior")</f>
        <v>Departemen Desain Interior</v>
      </c>
      <c r="R147" s="1" t="str">
        <f ca="1">IFERROR(__xludf.DUMMYFUNCTION("""COMPUTED_VALUE"""),"DINIAR PUTRI")</f>
        <v>DINIAR PUTRI</v>
      </c>
      <c r="S147" s="1" t="str">
        <f ca="1">IFERROR(__xludf.DUMMYFUNCTION("""COMPUTED_VALUE"""),"5029201004")</f>
        <v>5029201004</v>
      </c>
      <c r="T147" s="1" t="str">
        <f ca="1">IFERROR(__xludf.DUMMYFUNCTION("""COMPUTED_VALUE"""),"Departemen Desain Interior")</f>
        <v>Departemen Desain Interior</v>
      </c>
      <c r="U147" s="1" t="str">
        <f ca="1">IFERROR(__xludf.DUMMYFUNCTION("""COMPUTED_VALUE"""),"Putu Gde Ariastita, S.T., M.T.")</f>
        <v>Putu Gde Ariastita, S.T., M.T.</v>
      </c>
      <c r="V147" s="1" t="str">
        <f ca="1">IFERROR(__xludf.DUMMYFUNCTION("""COMPUTED_VALUE"""),"Nur Azizah, S.Si., M.Stat.")</f>
        <v>Nur Azizah, S.Si., M.Stat.</v>
      </c>
      <c r="W147" s="1"/>
      <c r="X147" s="1" t="str">
        <f ca="1">IFERROR(__xludf.DUMMYFUNCTION("""COMPUTED_VALUE"""),"Karantina")</f>
        <v>Karantina</v>
      </c>
      <c r="Y147" s="1"/>
      <c r="Z147" s="1"/>
      <c r="AA147" s="1"/>
    </row>
    <row r="148" spans="1:27">
      <c r="A148" s="1" t="s">
        <v>145</v>
      </c>
      <c r="B148" s="1">
        <f ca="1">IFERROR(__xludf.DUMMYFUNCTION("""COMPUTED_VALUE"""),3996)</f>
        <v>3996</v>
      </c>
      <c r="C148" s="1" t="str">
        <f ca="1">IFERROR(__xludf.DUMMYFUNCTION("""COMPUTED_VALUE"""),"PKM Gagasan Futuristik Konstruktif")</f>
        <v>PKM Gagasan Futuristik Konstruktif</v>
      </c>
      <c r="D148" s="1" t="str">
        <f ca="1">IFERROR(__xludf.DUMMYFUNCTION("""COMPUTED_VALUE"""),"Bangunan Publik Portable Ramah Pendidikan Anak yang Adaptif Sebagai Solusi Banjir Rob di Kota Pekalongan dalam Merespon Dampak Climate Change")</f>
        <v>Bangunan Publik Portable Ramah Pendidikan Anak yang Adaptif Sebagai Solusi Banjir Rob di Kota Pekalongan dalam Merespon Dampak Climate Change</v>
      </c>
      <c r="E148" s="1" t="str">
        <f ca="1">IFERROR(__xludf.DUMMYFUNCTION("""COMPUTED_VALUE"""),"FACHRYAN DWI SULISTYO")</f>
        <v>FACHRYAN DWI SULISTYO</v>
      </c>
      <c r="F148" s="1" t="str">
        <f ca="1">IFERROR(__xludf.DUMMYFUNCTION("""COMPUTED_VALUE"""),"5029201039")</f>
        <v>5029201039</v>
      </c>
      <c r="G148" s="1" t="str">
        <f ca="1">IFERROR(__xludf.DUMMYFUNCTION("""COMPUTED_VALUE"""),"Departemen Desain Interior")</f>
        <v>Departemen Desain Interior</v>
      </c>
      <c r="H148" s="1" t="str">
        <f ca="1">IFERROR(__xludf.DUMMYFUNCTION("""COMPUTED_VALUE"""),"Okta Putra Setio Ardianto, S.T., M.T.")</f>
        <v>Okta Putra Setio Ardianto, S.T., M.T.</v>
      </c>
      <c r="I148" s="1" t="str">
        <f ca="1">IFERROR(__xludf.DUMMYFUNCTION("""COMPUTED_VALUE"""),"RIZKI TANIA JULIANA DALIMUNTHE")</f>
        <v>RIZKI TANIA JULIANA DALIMUNTHE</v>
      </c>
      <c r="J148" s="1" t="str">
        <f ca="1">IFERROR(__xludf.DUMMYFUNCTION("""COMPUTED_VALUE"""),"5029201018")</f>
        <v>5029201018</v>
      </c>
      <c r="K148" s="1" t="str">
        <f ca="1">IFERROR(__xludf.DUMMYFUNCTION("""COMPUTED_VALUE"""),"Departemen Desain Interior")</f>
        <v>Departemen Desain Interior</v>
      </c>
      <c r="L148" s="1" t="str">
        <f ca="1">IFERROR(__xludf.DUMMYFUNCTION("""COMPUTED_VALUE"""),"GAMA GAUNG ABADI")</f>
        <v>GAMA GAUNG ABADI</v>
      </c>
      <c r="M148" s="1" t="str">
        <f ca="1">IFERROR(__xludf.DUMMYFUNCTION("""COMPUTED_VALUE"""),"5029201065")</f>
        <v>5029201065</v>
      </c>
      <c r="N148" s="1" t="str">
        <f ca="1">IFERROR(__xludf.DUMMYFUNCTION("""COMPUTED_VALUE"""),"Departemen Desain Interior")</f>
        <v>Departemen Desain Interior</v>
      </c>
      <c r="O148" s="1" t="str">
        <f ca="1">IFERROR(__xludf.DUMMYFUNCTION("""COMPUTED_VALUE"""),"NABILA LUISTINA AMANDA")</f>
        <v>NABILA LUISTINA AMANDA</v>
      </c>
      <c r="P148" s="1" t="str">
        <f ca="1">IFERROR(__xludf.DUMMYFUNCTION("""COMPUTED_VALUE"""),"5029201016")</f>
        <v>5029201016</v>
      </c>
      <c r="Q148" s="1" t="str">
        <f ca="1">IFERROR(__xludf.DUMMYFUNCTION("""COMPUTED_VALUE"""),"Departemen Desain Interior")</f>
        <v>Departemen Desain Interior</v>
      </c>
      <c r="R148" s="1" t="str">
        <f ca="1">IFERROR(__xludf.DUMMYFUNCTION("""COMPUTED_VALUE"""),"YANUAR IDHAM FARDHANI")</f>
        <v>YANUAR IDHAM FARDHANI</v>
      </c>
      <c r="S148" s="1" t="str">
        <f ca="1">IFERROR(__xludf.DUMMYFUNCTION("""COMPUTED_VALUE"""),"5028201010")</f>
        <v>5028201010</v>
      </c>
      <c r="T148" s="1" t="str">
        <f ca="1">IFERROR(__xludf.DUMMYFUNCTION("""COMPUTED_VALUE"""),"Departemen Desain Produk")</f>
        <v>Departemen Desain Produk</v>
      </c>
      <c r="U148" s="1" t="str">
        <f ca="1">IFERROR(__xludf.DUMMYFUNCTION("""COMPUTED_VALUE"""),"Dr. I Gusti Ngurah Satriyadi Hernanda, S.T., M.T.")</f>
        <v>Dr. I Gusti Ngurah Satriyadi Hernanda, S.T., M.T.</v>
      </c>
      <c r="V148" s="1" t="str">
        <f ca="1">IFERROR(__xludf.DUMMYFUNCTION("""COMPUTED_VALUE"""),"Fardilla Rizqiyah, ST, MT")</f>
        <v>Fardilla Rizqiyah, ST, MT</v>
      </c>
      <c r="W148" s="1"/>
      <c r="X148" s="1" t="str">
        <f ca="1">IFERROR(__xludf.DUMMYFUNCTION("""COMPUTED_VALUE"""),"Karantina")</f>
        <v>Karantina</v>
      </c>
      <c r="Y148" s="1"/>
      <c r="Z148" s="1"/>
      <c r="AA148" s="1"/>
    </row>
    <row r="149" spans="1:27">
      <c r="A149" s="1" t="s">
        <v>146</v>
      </c>
      <c r="B149" s="1">
        <f ca="1">IFERROR(__xludf.DUMMYFUNCTION("""COMPUTED_VALUE"""),3776)</f>
        <v>3776</v>
      </c>
      <c r="C149" s="1" t="str">
        <f ca="1">IFERROR(__xludf.DUMMYFUNCTION("""COMPUTED_VALUE"""),"PKM Gagasan Futuristik Konstruktif")</f>
        <v>PKM Gagasan Futuristik Konstruktif</v>
      </c>
      <c r="D149" s="1" t="str">
        <f ca="1">IFERROR(__xludf.DUMMYFUNCTION("""COMPUTED_VALUE"""),"Inovasi Micro-Bunker Ramah Lansia Untuk Hunian Tanggap Ancaman Letusan Gunung Merapi di Kabupaten Sleman")</f>
        <v>Inovasi Micro-Bunker Ramah Lansia Untuk Hunian Tanggap Ancaman Letusan Gunung Merapi di Kabupaten Sleman</v>
      </c>
      <c r="E149" s="1" t="str">
        <f ca="1">IFERROR(__xludf.DUMMYFUNCTION("""COMPUTED_VALUE"""),"ATTIRA DWISTHI UNTORO")</f>
        <v>ATTIRA DWISTHI UNTORO</v>
      </c>
      <c r="F149" s="1" t="str">
        <f ca="1">IFERROR(__xludf.DUMMYFUNCTION("""COMPUTED_VALUE"""),"5029201069")</f>
        <v>5029201069</v>
      </c>
      <c r="G149" s="1" t="str">
        <f ca="1">IFERROR(__xludf.DUMMYFUNCTION("""COMPUTED_VALUE"""),"Departemen Desain Interior")</f>
        <v>Departemen Desain Interior</v>
      </c>
      <c r="H149" s="1" t="str">
        <f ca="1">IFERROR(__xludf.DUMMYFUNCTION("""COMPUTED_VALUE"""),"Okta Putra Setio Ardianto, S.T., M.T.")</f>
        <v>Okta Putra Setio Ardianto, S.T., M.T.</v>
      </c>
      <c r="I149" s="1" t="str">
        <f ca="1">IFERROR(__xludf.DUMMYFUNCTION("""COMPUTED_VALUE"""),"EVAN FARREL THEODORE")</f>
        <v>EVAN FARREL THEODORE</v>
      </c>
      <c r="J149" s="1" t="str">
        <f ca="1">IFERROR(__xludf.DUMMYFUNCTION("""COMPUTED_VALUE"""),"5029201056")</f>
        <v>5029201056</v>
      </c>
      <c r="K149" s="1" t="str">
        <f ca="1">IFERROR(__xludf.DUMMYFUNCTION("""COMPUTED_VALUE"""),"Departemen Desain Interior")</f>
        <v>Departemen Desain Interior</v>
      </c>
      <c r="L149" s="1" t="str">
        <f ca="1">IFERROR(__xludf.DUMMYFUNCTION("""COMPUTED_VALUE"""),"YOSHIRO ILHAM AHMADI")</f>
        <v>YOSHIRO ILHAM AHMADI</v>
      </c>
      <c r="M149" s="1" t="str">
        <f ca="1">IFERROR(__xludf.DUMMYFUNCTION("""COMPUTED_VALUE"""),"5029201028")</f>
        <v>5029201028</v>
      </c>
      <c r="N149" s="1" t="str">
        <f ca="1">IFERROR(__xludf.DUMMYFUNCTION("""COMPUTED_VALUE"""),"Departemen Desain Interior")</f>
        <v>Departemen Desain Interior</v>
      </c>
      <c r="O149" s="1" t="str">
        <f ca="1">IFERROR(__xludf.DUMMYFUNCTION("""COMPUTED_VALUE"""),"MUHAMMAD RAIHAN MUSYARI SULIANTO")</f>
        <v>MUHAMMAD RAIHAN MUSYARI SULIANTO</v>
      </c>
      <c r="P149" s="1" t="str">
        <f ca="1">IFERROR(__xludf.DUMMYFUNCTION("""COMPUTED_VALUE"""),"5029201047")</f>
        <v>5029201047</v>
      </c>
      <c r="Q149" s="1" t="str">
        <f ca="1">IFERROR(__xludf.DUMMYFUNCTION("""COMPUTED_VALUE"""),"Departemen Desain Interior")</f>
        <v>Departemen Desain Interior</v>
      </c>
      <c r="R149" s="1" t="str">
        <f ca="1">IFERROR(__xludf.DUMMYFUNCTION("""COMPUTED_VALUE"""),"KUMARA RAFI ISANDHIA")</f>
        <v>KUMARA RAFI ISANDHIA</v>
      </c>
      <c r="S149" s="1" t="str">
        <f ca="1">IFERROR(__xludf.DUMMYFUNCTION("""COMPUTED_VALUE"""),"08411940000051")</f>
        <v>08411940000051</v>
      </c>
      <c r="T149" s="1" t="str">
        <f ca="1">IFERROR(__xludf.DUMMYFUNCTION("""COMPUTED_VALUE"""),"Departemen Desain Interior")</f>
        <v>Departemen Desain Interior</v>
      </c>
      <c r="U149" s="1" t="str">
        <f ca="1">IFERROR(__xludf.DUMMYFUNCTION("""COMPUTED_VALUE"""),"Dr. I Gusti Ngurah Satriyadi Hernanda, S.T., M.T.")</f>
        <v>Dr. I Gusti Ngurah Satriyadi Hernanda, S.T., M.T.</v>
      </c>
      <c r="V149" s="1" t="str">
        <f ca="1">IFERROR(__xludf.DUMMYFUNCTION("""COMPUTED_VALUE"""),"Putu Gde Ariastita, S.T., M.T.")</f>
        <v>Putu Gde Ariastita, S.T., M.T.</v>
      </c>
      <c r="W149" s="1"/>
      <c r="X149" s="1" t="str">
        <f ca="1">IFERROR(__xludf.DUMMYFUNCTION("""COMPUTED_VALUE"""),"Karantina")</f>
        <v>Karantina</v>
      </c>
      <c r="Y149" s="1"/>
      <c r="Z149" s="1"/>
      <c r="AA149" s="1"/>
    </row>
    <row r="150" spans="1:27">
      <c r="A150" s="1" t="s">
        <v>147</v>
      </c>
      <c r="B150" s="1">
        <f ca="1">IFERROR(__xludf.DUMMYFUNCTION("""COMPUTED_VALUE"""),3777)</f>
        <v>3777</v>
      </c>
      <c r="C150" s="1" t="str">
        <f ca="1">IFERROR(__xludf.DUMMYFUNCTION("""COMPUTED_VALUE"""),"PKM Gagasan Futuristik Konstruktif")</f>
        <v>PKM Gagasan Futuristik Konstruktif</v>
      </c>
      <c r="D150" s="1" t="str">
        <f ca="1">IFERROR(__xludf.DUMMYFUNCTION("""COMPUTED_VALUE"""),"Desain Hunian Komunal Cerdas Khusus Lansia Korban Letusan Gunung Berapi Berkonsep Memorial House")</f>
        <v>Desain Hunian Komunal Cerdas Khusus Lansia Korban Letusan Gunung Berapi Berkonsep Memorial House</v>
      </c>
      <c r="E150" s="1" t="str">
        <f ca="1">IFERROR(__xludf.DUMMYFUNCTION("""COMPUTED_VALUE"""),"AMIRAH RIZQI HANIFAH")</f>
        <v>AMIRAH RIZQI HANIFAH</v>
      </c>
      <c r="F150" s="1" t="str">
        <f ca="1">IFERROR(__xludf.DUMMYFUNCTION("""COMPUTED_VALUE"""),"5029201021")</f>
        <v>5029201021</v>
      </c>
      <c r="G150" s="1" t="str">
        <f ca="1">IFERROR(__xludf.DUMMYFUNCTION("""COMPUTED_VALUE"""),"Departemen Desain Interior")</f>
        <v>Departemen Desain Interior</v>
      </c>
      <c r="H150" s="1" t="str">
        <f ca="1">IFERROR(__xludf.DUMMYFUNCTION("""COMPUTED_VALUE"""),"Dr. Mahendra Wardhana, S.T., M.T.")</f>
        <v>Dr. Mahendra Wardhana, S.T., M.T.</v>
      </c>
      <c r="I150" s="1" t="str">
        <f ca="1">IFERROR(__xludf.DUMMYFUNCTION("""COMPUTED_VALUE"""),"RENY HERGAYATI KUSUMAWARDANI")</f>
        <v>RENY HERGAYATI KUSUMAWARDANI</v>
      </c>
      <c r="J150" s="1" t="str">
        <f ca="1">IFERROR(__xludf.DUMMYFUNCTION("""COMPUTED_VALUE"""),"5029201005")</f>
        <v>5029201005</v>
      </c>
      <c r="K150" s="1" t="str">
        <f ca="1">IFERROR(__xludf.DUMMYFUNCTION("""COMPUTED_VALUE"""),"Departemen Desain Interior")</f>
        <v>Departemen Desain Interior</v>
      </c>
      <c r="L150" s="1" t="str">
        <f ca="1">IFERROR(__xludf.DUMMYFUNCTION("""COMPUTED_VALUE"""),"ISNA ULY ALBAB")</f>
        <v>ISNA ULY ALBAB</v>
      </c>
      <c r="M150" s="1" t="str">
        <f ca="1">IFERROR(__xludf.DUMMYFUNCTION("""COMPUTED_VALUE"""),"5029201010")</f>
        <v>5029201010</v>
      </c>
      <c r="N150" s="1" t="str">
        <f ca="1">IFERROR(__xludf.DUMMYFUNCTION("""COMPUTED_VALUE"""),"Departemen Desain Interior")</f>
        <v>Departemen Desain Interior</v>
      </c>
      <c r="O150" s="1" t="str">
        <f ca="1">IFERROR(__xludf.DUMMYFUNCTION("""COMPUTED_VALUE"""),"MUHAMMAD FARIZ")</f>
        <v>MUHAMMAD FARIZ</v>
      </c>
      <c r="P150" s="1" t="str">
        <f ca="1">IFERROR(__xludf.DUMMYFUNCTION("""COMPUTED_VALUE"""),"5029201024")</f>
        <v>5029201024</v>
      </c>
      <c r="Q150" s="1" t="str">
        <f ca="1">IFERROR(__xludf.DUMMYFUNCTION("""COMPUTED_VALUE"""),"Departemen Desain Interior")</f>
        <v>Departemen Desain Interior</v>
      </c>
      <c r="R150" s="1" t="str">
        <f ca="1">IFERROR(__xludf.DUMMYFUNCTION("""COMPUTED_VALUE"""),"KANIA MUSTIKA ARIANA")</f>
        <v>KANIA MUSTIKA ARIANA</v>
      </c>
      <c r="S150" s="1" t="str">
        <f ca="1">IFERROR(__xludf.DUMMYFUNCTION("""COMPUTED_VALUE"""),"5013201086")</f>
        <v>5013201086</v>
      </c>
      <c r="T150" s="1" t="str">
        <f ca="1">IFERROR(__xludf.DUMMYFUNCTION("""COMPUTED_VALUE"""),"Departemen Arsitektur")</f>
        <v>Departemen Arsitektur</v>
      </c>
      <c r="U150" s="1" t="str">
        <f ca="1">IFERROR(__xludf.DUMMYFUNCTION("""COMPUTED_VALUE"""),"Dr. I Gusti Ngurah Satriyadi Hernanda, S.T., M.T.")</f>
        <v>Dr. I Gusti Ngurah Satriyadi Hernanda, S.T., M.T.</v>
      </c>
      <c r="V150" s="1" t="str">
        <f ca="1">IFERROR(__xludf.DUMMYFUNCTION("""COMPUTED_VALUE"""),"Putu Gde Ariastita, S.T., M.T.")</f>
        <v>Putu Gde Ariastita, S.T., M.T.</v>
      </c>
      <c r="W150" s="1"/>
      <c r="X150" s="1" t="str">
        <f ca="1">IFERROR(__xludf.DUMMYFUNCTION("""COMPUTED_VALUE"""),"Karantina")</f>
        <v>Karantina</v>
      </c>
      <c r="Y150" s="1"/>
      <c r="Z150" s="1"/>
      <c r="AA150" s="1"/>
    </row>
    <row r="151" spans="1:27">
      <c r="A151" s="1" t="s">
        <v>148</v>
      </c>
      <c r="B151" s="1">
        <f ca="1">IFERROR(__xludf.DUMMYFUNCTION("""COMPUTED_VALUE"""),2964)</f>
        <v>2964</v>
      </c>
      <c r="C151" s="1" t="str">
        <f ca="1">IFERROR(__xludf.DUMMYFUNCTION("""COMPUTED_VALUE"""),"PKM Gagasan Futuristik Konstruktif")</f>
        <v>PKM Gagasan Futuristik Konstruktif</v>
      </c>
      <c r="D151" s="1" t="str">
        <f ca="1">IFERROR(__xludf.DUMMYFUNCTION("""COMPUTED_VALUE"""),"Metatherapy : Tangan Prostetik Virtual yang Terintegrasi Metaverse Guna 
Merasakan Sensasi Tangan Asli dan Meningkatkan Efektifitas Rehabilitasi Pasien 
Pasca-Amputasi Upperlimb")</f>
        <v>Metatherapy : Tangan Prostetik Virtual yang Terintegrasi Metaverse Guna 
Merasakan Sensasi Tangan Asli dan Meningkatkan Efektifitas Rehabilitasi Pasien 
Pasca-Amputasi Upperlimb</v>
      </c>
      <c r="E151" s="1" t="str">
        <f ca="1">IFERROR(__xludf.DUMMYFUNCTION("""COMPUTED_VALUE"""),"EPINDONTA GINTING")</f>
        <v>EPINDONTA GINTING</v>
      </c>
      <c r="F151" s="1" t="str">
        <f ca="1">IFERROR(__xludf.DUMMYFUNCTION("""COMPUTED_VALUE"""),"5007201140")</f>
        <v>5007201140</v>
      </c>
      <c r="G151" s="1" t="str">
        <f ca="1">IFERROR(__xludf.DUMMYFUNCTION("""COMPUTED_VALUE"""),"Departemen Teknik Mesin")</f>
        <v>Departemen Teknik Mesin</v>
      </c>
      <c r="H151" s="1" t="str">
        <f ca="1">IFERROR(__xludf.DUMMYFUNCTION("""COMPUTED_VALUE"""),"Dr. Dhany Arifianto, S.T., M.Eng.")</f>
        <v>Dr. Dhany Arifianto, S.T., M.Eng.</v>
      </c>
      <c r="I151" s="1" t="str">
        <f ca="1">IFERROR(__xludf.DUMMYFUNCTION("""COMPUTED_VALUE"""),"Izzah Awwalin Khoirun Nisa")</f>
        <v>Izzah Awwalin Khoirun Nisa</v>
      </c>
      <c r="J151" s="1" t="str">
        <f ca="1">IFERROR(__xludf.DUMMYFUNCTION("""COMPUTED_VALUE"""),"07311940000023")</f>
        <v>07311940000023</v>
      </c>
      <c r="K151" s="1" t="str">
        <f ca="1">IFERROR(__xludf.DUMMYFUNCTION("""COMPUTED_VALUE"""),"Departemen Teknik Biomedik")</f>
        <v>Departemen Teknik Biomedik</v>
      </c>
      <c r="L151" s="1" t="str">
        <f ca="1">IFERROR(__xludf.DUMMYFUNCTION("""COMPUTED_VALUE"""),"GALIH SUKMA ADJIE")</f>
        <v>GALIH SUKMA ADJIE</v>
      </c>
      <c r="M151" s="1" t="str">
        <f ca="1">IFERROR(__xludf.DUMMYFUNCTION("""COMPUTED_VALUE"""),"10211910010007")</f>
        <v>10211910010007</v>
      </c>
      <c r="N151" s="1" t="str">
        <f ca="1">IFERROR(__xludf.DUMMYFUNCTION("""COMPUTED_VALUE"""),"Departemen Teknik Mesin Industri")</f>
        <v>Departemen Teknik Mesin Industri</v>
      </c>
      <c r="O151" s="1" t="str">
        <f ca="1">IFERROR(__xludf.DUMMYFUNCTION("""COMPUTED_VALUE"""),"RIZQULLAH IRWANTO")</f>
        <v>RIZQULLAH IRWANTO</v>
      </c>
      <c r="P151" s="1" t="str">
        <f ca="1">IFERROR(__xludf.DUMMYFUNCTION("""COMPUTED_VALUE"""),"5007201224")</f>
        <v>5007201224</v>
      </c>
      <c r="Q151" s="1" t="str">
        <f ca="1">IFERROR(__xludf.DUMMYFUNCTION("""COMPUTED_VALUE"""),"Departemen Teknik Mesin")</f>
        <v>Departemen Teknik Mesin</v>
      </c>
      <c r="R151" s="1" t="str">
        <f ca="1">IFERROR(__xludf.DUMMYFUNCTION("""COMPUTED_VALUE"""),"AKILA KUMALASARI")</f>
        <v>AKILA KUMALASARI</v>
      </c>
      <c r="S151" s="1" t="str">
        <f ca="1">IFERROR(__xludf.DUMMYFUNCTION("""COMPUTED_VALUE"""),"5028201004")</f>
        <v>5028201004</v>
      </c>
      <c r="T151" s="1" t="str">
        <f ca="1">IFERROR(__xludf.DUMMYFUNCTION("""COMPUTED_VALUE"""),"Departemen Desain Produk")</f>
        <v>Departemen Desain Produk</v>
      </c>
      <c r="U151" s="1" t="str">
        <f ca="1">IFERROR(__xludf.DUMMYFUNCTION("""COMPUTED_VALUE"""),"Putu Gde Ariastita, S.T., M.T.")</f>
        <v>Putu Gde Ariastita, S.T., M.T.</v>
      </c>
      <c r="V151" s="1" t="str">
        <f ca="1">IFERROR(__xludf.DUMMYFUNCTION("""COMPUTED_VALUE"""),"Dion Hayu Fandiantoro, S.T., M.Eng.")</f>
        <v>Dion Hayu Fandiantoro, S.T., M.Eng.</v>
      </c>
      <c r="W151" s="1"/>
      <c r="X151" s="1" t="str">
        <f ca="1">IFERROR(__xludf.DUMMYFUNCTION("""COMPUTED_VALUE"""),"Karantina")</f>
        <v>Karantina</v>
      </c>
      <c r="Y151" s="1"/>
      <c r="Z151" s="1"/>
      <c r="AA151" s="1"/>
    </row>
    <row r="152" spans="1:27">
      <c r="A152" s="1" t="s">
        <v>149</v>
      </c>
      <c r="B152" s="1">
        <f ca="1">IFERROR(__xludf.DUMMYFUNCTION("""COMPUTED_VALUE"""),4056)</f>
        <v>4056</v>
      </c>
      <c r="C152" s="1" t="str">
        <f ca="1">IFERROR(__xludf.DUMMYFUNCTION("""COMPUTED_VALUE"""),"PKM Gagasan Futuristik Konstruktif")</f>
        <v>PKM Gagasan Futuristik Konstruktif</v>
      </c>
      <c r="D152" s="1" t="str">
        <f ca="1">IFERROR(__xludf.DUMMYFUNCTION("""COMPUTED_VALUE"""),"INOVASI HUNIAN RAMAH TUNADAKSA BERKONSEP SPIDER TUNNEL DAN AUTOMATIC DOOR DENGAN SISTEM SENSOR GETARAN TERHADAP GEMPA
")</f>
        <v xml:space="preserve">INOVASI HUNIAN RAMAH TUNADAKSA BERKONSEP SPIDER TUNNEL DAN AUTOMATIC DOOR DENGAN SISTEM SENSOR GETARAN TERHADAP GEMPA
</v>
      </c>
      <c r="E152" s="1" t="str">
        <f ca="1">IFERROR(__xludf.DUMMYFUNCTION("""COMPUTED_VALUE"""),"RAVLY ADE WIDYADHANA")</f>
        <v>RAVLY ADE WIDYADHANA</v>
      </c>
      <c r="F152" s="1" t="str">
        <f ca="1">IFERROR(__xludf.DUMMYFUNCTION("""COMPUTED_VALUE"""),"5029201043")</f>
        <v>5029201043</v>
      </c>
      <c r="G152" s="1" t="str">
        <f ca="1">IFERROR(__xludf.DUMMYFUNCTION("""COMPUTED_VALUE"""),"Departemen Desain Interior")</f>
        <v>Departemen Desain Interior</v>
      </c>
      <c r="H152" s="1" t="str">
        <f ca="1">IFERROR(__xludf.DUMMYFUNCTION("""COMPUTED_VALUE"""),"Aria Weny Anggraita, ST, MMT")</f>
        <v>Aria Weny Anggraita, ST, MMT</v>
      </c>
      <c r="I152" s="1" t="str">
        <f ca="1">IFERROR(__xludf.DUMMYFUNCTION("""COMPUTED_VALUE"""),"RAYUNG AULIA YASMIN")</f>
        <v>RAYUNG AULIA YASMIN</v>
      </c>
      <c r="J152" s="1" t="str">
        <f ca="1">IFERROR(__xludf.DUMMYFUNCTION("""COMPUTED_VALUE"""),"5029201041")</f>
        <v>5029201041</v>
      </c>
      <c r="K152" s="1" t="str">
        <f ca="1">IFERROR(__xludf.DUMMYFUNCTION("""COMPUTED_VALUE"""),"Departemen Desain Interior")</f>
        <v>Departemen Desain Interior</v>
      </c>
      <c r="L152" s="1" t="str">
        <f ca="1">IFERROR(__xludf.DUMMYFUNCTION("""COMPUTED_VALUE"""),"NURHANIFAH PERMATA BESTARI")</f>
        <v>NURHANIFAH PERMATA BESTARI</v>
      </c>
      <c r="M152" s="1" t="str">
        <f ca="1">IFERROR(__xludf.DUMMYFUNCTION("""COMPUTED_VALUE"""),"08411940000052")</f>
        <v>08411940000052</v>
      </c>
      <c r="N152" s="1" t="str">
        <f ca="1">IFERROR(__xludf.DUMMYFUNCTION("""COMPUTED_VALUE"""),"Departemen Desain Interior")</f>
        <v>Departemen Desain Interior</v>
      </c>
      <c r="O152" s="1" t="str">
        <f ca="1">IFERROR(__xludf.DUMMYFUNCTION("""COMPUTED_VALUE"""),"FASTABIQ FATHMA ZULAYHA")</f>
        <v>FASTABIQ FATHMA ZULAYHA</v>
      </c>
      <c r="P152" s="1" t="str">
        <f ca="1">IFERROR(__xludf.DUMMYFUNCTION("""COMPUTED_VALUE"""),"5029201068")</f>
        <v>5029201068</v>
      </c>
      <c r="Q152" s="1" t="str">
        <f ca="1">IFERROR(__xludf.DUMMYFUNCTION("""COMPUTED_VALUE"""),"Departemen Desain Interior")</f>
        <v>Departemen Desain Interior</v>
      </c>
      <c r="R152" s="1" t="str">
        <f ca="1">IFERROR(__xludf.DUMMYFUNCTION("""COMPUTED_VALUE"""),"NUHA ABIYYU SILMINA")</f>
        <v>NUHA ABIYYU SILMINA</v>
      </c>
      <c r="S152" s="1" t="str">
        <f ca="1">IFERROR(__xludf.DUMMYFUNCTION("""COMPUTED_VALUE"""),"5029201015")</f>
        <v>5029201015</v>
      </c>
      <c r="T152" s="1" t="str">
        <f ca="1">IFERROR(__xludf.DUMMYFUNCTION("""COMPUTED_VALUE"""),"Departemen Desain Interior")</f>
        <v>Departemen Desain Interior</v>
      </c>
      <c r="U152" s="1" t="str">
        <f ca="1">IFERROR(__xludf.DUMMYFUNCTION("""COMPUTED_VALUE"""),"Putu Gde Ariastita, S.T., M.T.")</f>
        <v>Putu Gde Ariastita, S.T., M.T.</v>
      </c>
      <c r="V152" s="1" t="str">
        <f ca="1">IFERROR(__xludf.DUMMYFUNCTION("""COMPUTED_VALUE"""),"Nur Azizah, S.Si., M.Stat.")</f>
        <v>Nur Azizah, S.Si., M.Stat.</v>
      </c>
      <c r="W152" s="1"/>
      <c r="X152" s="1" t="str">
        <f ca="1">IFERROR(__xludf.DUMMYFUNCTION("""COMPUTED_VALUE"""),"Karantina")</f>
        <v>Karantina</v>
      </c>
      <c r="Y152" s="1"/>
      <c r="Z152" s="1"/>
      <c r="AA152" s="1"/>
    </row>
    <row r="153" spans="1:27">
      <c r="A153" s="1" t="s">
        <v>150</v>
      </c>
      <c r="B153" s="1">
        <f ca="1">IFERROR(__xludf.DUMMYFUNCTION("""COMPUTED_VALUE"""),2713)</f>
        <v>2713</v>
      </c>
      <c r="C153" s="1" t="str">
        <f ca="1">IFERROR(__xludf.DUMMYFUNCTION("""COMPUTED_VALUE"""),"PKM Gagasan Futuristik Konstruktif")</f>
        <v>PKM Gagasan Futuristik Konstruktif</v>
      </c>
      <c r="D153" s="1" t="str">
        <f ca="1">IFERROR(__xludf.DUMMYFUNCTION("""COMPUTED_VALUE"""),"Kantan-Way: Upaya Perlindungan Fauna Endemik Kalimantan
terhadap Ancaman Pembangunan Infrastruktur Transportasi Darat di
Wilayah IKN Baru")</f>
        <v>Kantan-Way: Upaya Perlindungan Fauna Endemik Kalimantan
terhadap Ancaman Pembangunan Infrastruktur Transportasi Darat di
Wilayah IKN Baru</v>
      </c>
      <c r="E153" s="1" t="str">
        <f ca="1">IFERROR(__xludf.DUMMYFUNCTION("""COMPUTED_VALUE"""),"Muhammad Farhan")</f>
        <v>Muhammad Farhan</v>
      </c>
      <c r="F153" s="1" t="str">
        <f ca="1">IFERROR(__xludf.DUMMYFUNCTION("""COMPUTED_VALUE"""),"5012201055")</f>
        <v>5012201055</v>
      </c>
      <c r="G153" s="1" t="str">
        <f ca="1">IFERROR(__xludf.DUMMYFUNCTION("""COMPUTED_VALUE"""),"Departemen Teknik Sipil")</f>
        <v>Departemen Teknik Sipil</v>
      </c>
      <c r="H153" s="1" t="str">
        <f ca="1">IFERROR(__xludf.DUMMYFUNCTION("""COMPUTED_VALUE"""),"Dr. Candra Irawan, S.T., M.T.")</f>
        <v>Dr. Candra Irawan, S.T., M.T.</v>
      </c>
      <c r="I153" s="1" t="str">
        <f ca="1">IFERROR(__xludf.DUMMYFUNCTION("""COMPUTED_VALUE"""),"MUHAMMAD FARHAN")</f>
        <v>MUHAMMAD FARHAN</v>
      </c>
      <c r="J153" s="1" t="str">
        <f ca="1">IFERROR(__xludf.DUMMYFUNCTION("""COMPUTED_VALUE"""),"5012201120")</f>
        <v>5012201120</v>
      </c>
      <c r="K153" s="1" t="str">
        <f ca="1">IFERROR(__xludf.DUMMYFUNCTION("""COMPUTED_VALUE"""),"Departemen Teknik Sipil")</f>
        <v>Departemen Teknik Sipil</v>
      </c>
      <c r="L153" s="1" t="str">
        <f ca="1">IFERROR(__xludf.DUMMYFUNCTION("""COMPUTED_VALUE"""),"RALIANSA SEIFAL HAMDANI")</f>
        <v>RALIANSA SEIFAL HAMDANI</v>
      </c>
      <c r="M153" s="1" t="str">
        <f ca="1">IFERROR(__xludf.DUMMYFUNCTION("""COMPUTED_VALUE"""),"5012201065")</f>
        <v>5012201065</v>
      </c>
      <c r="N153" s="1" t="str">
        <f ca="1">IFERROR(__xludf.DUMMYFUNCTION("""COMPUTED_VALUE"""),"Departemen Teknik Sipil")</f>
        <v>Departemen Teknik Sipil</v>
      </c>
      <c r="O153" s="1" t="str">
        <f ca="1">IFERROR(__xludf.DUMMYFUNCTION("""COMPUTED_VALUE"""),"MUHAMMAD ALFIYAN ZULFA")</f>
        <v>MUHAMMAD ALFIYAN ZULFA</v>
      </c>
      <c r="P153" s="1" t="str">
        <f ca="1">IFERROR(__xludf.DUMMYFUNCTION("""COMPUTED_VALUE"""),"5012201003")</f>
        <v>5012201003</v>
      </c>
      <c r="Q153" s="1" t="str">
        <f ca="1">IFERROR(__xludf.DUMMYFUNCTION("""COMPUTED_VALUE"""),"Departemen Teknik Sipil")</f>
        <v>Departemen Teknik Sipil</v>
      </c>
      <c r="R153" s="1"/>
      <c r="S153" s="1"/>
      <c r="T153" s="1"/>
      <c r="U153" s="1" t="str">
        <f ca="1">IFERROR(__xludf.DUMMYFUNCTION("""COMPUTED_VALUE"""),"Okta Putra Setio Ardianto, S.T., M.T.")</f>
        <v>Okta Putra Setio Ardianto, S.T., M.T.</v>
      </c>
      <c r="V153" s="1" t="str">
        <f ca="1">IFERROR(__xludf.DUMMYFUNCTION("""COMPUTED_VALUE"""),"Dion Hayu Fandiantoro, S.T., M.Eng.")</f>
        <v>Dion Hayu Fandiantoro, S.T., M.Eng.</v>
      </c>
      <c r="W153" s="1"/>
      <c r="X153" s="1" t="str">
        <f ca="1">IFERROR(__xludf.DUMMYFUNCTION("""COMPUTED_VALUE"""),"Karantina")</f>
        <v>Karantina</v>
      </c>
      <c r="Y153" s="1"/>
      <c r="Z153" s="1"/>
      <c r="AA153" s="1"/>
    </row>
    <row r="154" spans="1:27">
      <c r="A154" s="1" t="s">
        <v>151</v>
      </c>
      <c r="B154" s="1">
        <f ca="1">IFERROR(__xludf.DUMMYFUNCTION("""COMPUTED_VALUE"""),2413)</f>
        <v>2413</v>
      </c>
      <c r="C154" s="1" t="str">
        <f ca="1">IFERROR(__xludf.DUMMYFUNCTION("""COMPUTED_VALUE"""),"PKM Gagasan Futuristik Konstruktif")</f>
        <v>PKM Gagasan Futuristik Konstruktif</v>
      </c>
      <c r="D154" s="1" t="str">
        <f ca="1">IFERROR(__xludf.DUMMYFUNCTION("""COMPUTED_VALUE"""),"Medicine 3D Printing dengan Metode Fused Deposition Modelling (FDM) sebagai Solusi Efektif Produksi Obat  di Layanan Kesehatan Daerah 3T")</f>
        <v>Medicine 3D Printing dengan Metode Fused Deposition Modelling (FDM) sebagai Solusi Efektif Produksi Obat  di Layanan Kesehatan Daerah 3T</v>
      </c>
      <c r="E154" s="1" t="str">
        <f ca="1">IFERROR(__xludf.DUMMYFUNCTION("""COMPUTED_VALUE"""),"Rafi Fadhlurrohman")</f>
        <v>Rafi Fadhlurrohman</v>
      </c>
      <c r="F154" s="1" t="str">
        <f ca="1">IFERROR(__xludf.DUMMYFUNCTION("""COMPUTED_VALUE"""),"02111940000010")</f>
        <v>02111940000010</v>
      </c>
      <c r="G154" s="1" t="str">
        <f ca="1">IFERROR(__xludf.DUMMYFUNCTION("""COMPUTED_VALUE"""),"Departemen Teknik Mesin")</f>
        <v>Departemen Teknik Mesin</v>
      </c>
      <c r="H154" s="1" t="str">
        <f ca="1">IFERROR(__xludf.DUMMYFUNCTION("""COMPUTED_VALUE"""),"Dinny Harnany, S.T., M.Sc.")</f>
        <v>Dinny Harnany, S.T., M.Sc.</v>
      </c>
      <c r="I154" s="1" t="str">
        <f ca="1">IFERROR(__xludf.DUMMYFUNCTION("""COMPUTED_VALUE"""),"FAIZAL DIAN PRAMUDHITA")</f>
        <v>FAIZAL DIAN PRAMUDHITA</v>
      </c>
      <c r="J154" s="1" t="str">
        <f ca="1">IFERROR(__xludf.DUMMYFUNCTION("""COMPUTED_VALUE"""),"07111940000132")</f>
        <v>07111940000132</v>
      </c>
      <c r="K154" s="1" t="str">
        <f ca="1">IFERROR(__xludf.DUMMYFUNCTION("""COMPUTED_VALUE"""),"Departemen Teknik Elektro")</f>
        <v>Departemen Teknik Elektro</v>
      </c>
      <c r="L154" s="1" t="str">
        <f ca="1">IFERROR(__xludf.DUMMYFUNCTION("""COMPUTED_VALUE"""),"Dias Nur Arista")</f>
        <v>Dias Nur Arista</v>
      </c>
      <c r="M154" s="1" t="str">
        <f ca="1">IFERROR(__xludf.DUMMYFUNCTION("""COMPUTED_VALUE"""),"01211940000028")</f>
        <v>01211940000028</v>
      </c>
      <c r="N154" s="1" t="str">
        <f ca="1">IFERROR(__xludf.DUMMYFUNCTION("""COMPUTED_VALUE"""),"Departemen Kimia")</f>
        <v>Departemen Kimia</v>
      </c>
      <c r="O154" s="1" t="str">
        <f ca="1">IFERROR(__xludf.DUMMYFUNCTION("""COMPUTED_VALUE"""),"Fischa Indaya Bathari")</f>
        <v>Fischa Indaya Bathari</v>
      </c>
      <c r="P154" s="1" t="str">
        <f ca="1">IFERROR(__xludf.DUMMYFUNCTION("""COMPUTED_VALUE"""),"02511940000012")</f>
        <v>02511940000012</v>
      </c>
      <c r="Q154" s="1" t="str">
        <f ca="1">IFERROR(__xludf.DUMMYFUNCTION("""COMPUTED_VALUE"""),"Departemen Teknik Material dan Metalurgi")</f>
        <v>Departemen Teknik Material dan Metalurgi</v>
      </c>
      <c r="R154" s="1"/>
      <c r="S154" s="1"/>
      <c r="T154" s="1"/>
      <c r="U154" s="1" t="str">
        <f ca="1">IFERROR(__xludf.DUMMYFUNCTION("""COMPUTED_VALUE"""),"Okta Putra Setio Ardianto, S.T., M.T.")</f>
        <v>Okta Putra Setio Ardianto, S.T., M.T.</v>
      </c>
      <c r="V154" s="1" t="str">
        <f ca="1">IFERROR(__xludf.DUMMYFUNCTION("""COMPUTED_VALUE"""),"Dr.Eng. Yuda Apri Hermawan, S.T., M.T.")</f>
        <v>Dr.Eng. Yuda Apri Hermawan, S.T., M.T.</v>
      </c>
      <c r="W154" s="1"/>
      <c r="X154" s="1" t="str">
        <f ca="1">IFERROR(__xludf.DUMMYFUNCTION("""COMPUTED_VALUE"""),"Karantina")</f>
        <v>Karantina</v>
      </c>
      <c r="Y154" s="1"/>
      <c r="Z154" s="1"/>
      <c r="AA154" s="1"/>
    </row>
    <row r="155" spans="1:27">
      <c r="A155" s="1" t="s">
        <v>152</v>
      </c>
      <c r="B155" s="1">
        <f ca="1">IFERROR(__xludf.DUMMYFUNCTION("""COMPUTED_VALUE"""),3663)</f>
        <v>3663</v>
      </c>
      <c r="C155" s="1" t="str">
        <f ca="1">IFERROR(__xludf.DUMMYFUNCTION("""COMPUTED_VALUE"""),"PKM Gagasan Futuristik Konstruktif")</f>
        <v>PKM Gagasan Futuristik Konstruktif</v>
      </c>
      <c r="D155" s="1" t="str">
        <f ca="1">IFERROR(__xludf.DUMMYFUNCTION("""COMPUTED_VALUE"""),"Rekonstruksi Sejarah melalui Computer Generated Imagery untuk mendukung Metaverse berbasis Pendidikan")</f>
        <v>Rekonstruksi Sejarah melalui Computer Generated Imagery untuk mendukung Metaverse berbasis Pendidikan</v>
      </c>
      <c r="E155" s="1" t="str">
        <f ca="1">IFERROR(__xludf.DUMMYFUNCTION("""COMPUTED_VALUE"""),"NAJWA RANA ISWARI")</f>
        <v>NAJWA RANA ISWARI</v>
      </c>
      <c r="F155" s="1" t="str">
        <f ca="1">IFERROR(__xludf.DUMMYFUNCTION("""COMPUTED_VALUE"""),"5030211008")</f>
        <v>5030211008</v>
      </c>
      <c r="G155" s="1" t="str">
        <f ca="1">IFERROR(__xludf.DUMMYFUNCTION("""COMPUTED_VALUE"""),"Departemen Desain Komunikasi Visual")</f>
        <v>Departemen Desain Komunikasi Visual</v>
      </c>
      <c r="H155" s="1" t="str">
        <f ca="1">IFERROR(__xludf.DUMMYFUNCTION("""COMPUTED_VALUE"""),"Nugrahardi Ramadhani, SSn., MT")</f>
        <v>Nugrahardi Ramadhani, SSn., MT</v>
      </c>
      <c r="I155" s="1" t="str">
        <f ca="1">IFERROR(__xludf.DUMMYFUNCTION("""COMPUTED_VALUE"""),"AQILA RAMADHANI")</f>
        <v>AQILA RAMADHANI</v>
      </c>
      <c r="J155" s="1" t="str">
        <f ca="1">IFERROR(__xludf.DUMMYFUNCTION("""COMPUTED_VALUE"""),"5030211007")</f>
        <v>5030211007</v>
      </c>
      <c r="K155" s="1" t="str">
        <f ca="1">IFERROR(__xludf.DUMMYFUNCTION("""COMPUTED_VALUE"""),"Departemen Desain Komunikasi Visual")</f>
        <v>Departemen Desain Komunikasi Visual</v>
      </c>
      <c r="L155" s="1" t="str">
        <f ca="1">IFERROR(__xludf.DUMMYFUNCTION("""COMPUTED_VALUE"""),"Nadiah Syarifah Aini")</f>
        <v>Nadiah Syarifah Aini</v>
      </c>
      <c r="M155" s="1" t="str">
        <f ca="1">IFERROR(__xludf.DUMMYFUNCTION("""COMPUTED_VALUE"""),"5030211065")</f>
        <v>5030211065</v>
      </c>
      <c r="N155" s="1" t="str">
        <f ca="1">IFERROR(__xludf.DUMMYFUNCTION("""COMPUTED_VALUE"""),"Departemen Desain Komunikasi Visual")</f>
        <v>Departemen Desain Komunikasi Visual</v>
      </c>
      <c r="O155" s="1" t="str">
        <f ca="1">IFERROR(__xludf.DUMMYFUNCTION("""COMPUTED_VALUE"""),"Barra Mahmud Hamdan")</f>
        <v>Barra Mahmud Hamdan</v>
      </c>
      <c r="P155" s="1" t="str">
        <f ca="1">IFERROR(__xludf.DUMMYFUNCTION("""COMPUTED_VALUE"""),"5030211025")</f>
        <v>5030211025</v>
      </c>
      <c r="Q155" s="1" t="str">
        <f ca="1">IFERROR(__xludf.DUMMYFUNCTION("""COMPUTED_VALUE"""),"Departemen Desain Komunikasi Visual")</f>
        <v>Departemen Desain Komunikasi Visual</v>
      </c>
      <c r="R155" s="1"/>
      <c r="S155" s="1"/>
      <c r="T155" s="1"/>
      <c r="U155" s="1" t="str">
        <f ca="1">IFERROR(__xludf.DUMMYFUNCTION("""COMPUTED_VALUE"""),"Okta Putra Setio Ardianto, S.T., M.T.")</f>
        <v>Okta Putra Setio Ardianto, S.T., M.T.</v>
      </c>
      <c r="V155" s="1" t="str">
        <f ca="1">IFERROR(__xludf.DUMMYFUNCTION("""COMPUTED_VALUE"""),"Dion Hayu Fandiantoro, S.T., M.Eng.")</f>
        <v>Dion Hayu Fandiantoro, S.T., M.Eng.</v>
      </c>
      <c r="W155" s="1"/>
      <c r="X155" s="1" t="str">
        <f ca="1">IFERROR(__xludf.DUMMYFUNCTION("""COMPUTED_VALUE"""),"Karantina")</f>
        <v>Karantina</v>
      </c>
      <c r="Y155" s="1"/>
      <c r="Z155" s="1"/>
      <c r="AA155" s="1"/>
    </row>
    <row r="156" spans="1:27">
      <c r="A156" s="1" t="s">
        <v>153</v>
      </c>
      <c r="B156" s="1">
        <f ca="1">IFERROR(__xludf.DUMMYFUNCTION("""COMPUTED_VALUE"""),2796)</f>
        <v>2796</v>
      </c>
      <c r="C156" s="1" t="str">
        <f ca="1">IFERROR(__xludf.DUMMYFUNCTION("""COMPUTED_VALUE"""),"PKM Kewirausahaan")</f>
        <v>PKM Kewirausahaan</v>
      </c>
      <c r="D156" s="1" t="str">
        <f ca="1">IFERROR(__xludf.DUMMYFUNCTION("""COMPUTED_VALUE"""),"PLATFORM PENDAMPINGAN PERSIAPAN KOMPETISI SAINS NASIONAL (KSN) BERBASIS WEBSITE SEBAGAI UPAYA TALENT SCOUTING DAN PEMERATAAN AKSES PENDIDIKAN SISWA DI INDONESIA")</f>
        <v>PLATFORM PENDAMPINGAN PERSIAPAN KOMPETISI SAINS NASIONAL (KSN) BERBASIS WEBSITE SEBAGAI UPAYA TALENT SCOUTING DAN PEMERATAAN AKSES PENDIDIKAN SISWA DI INDONESIA</v>
      </c>
      <c r="E156" s="1" t="str">
        <f ca="1">IFERROR(__xludf.DUMMYFUNCTION("""COMPUTED_VALUE"""),"AHMAD ZAKY MUBAAROK ")</f>
        <v xml:space="preserve">AHMAD ZAKY MUBAAROK </v>
      </c>
      <c r="F156" s="1" t="str">
        <f ca="1">IFERROR(__xludf.DUMMYFUNCTION("""COMPUTED_VALUE"""),"5015211119")</f>
        <v>5015211119</v>
      </c>
      <c r="G156" s="1" t="str">
        <f ca="1">IFERROR(__xludf.DUMMYFUNCTION("""COMPUTED_VALUE"""),"Departemen Perencanaan Wilayah dan Kota")</f>
        <v>Departemen Perencanaan Wilayah dan Kota</v>
      </c>
      <c r="H156" s="1" t="str">
        <f ca="1">IFERROR(__xludf.DUMMYFUNCTION("""COMPUTED_VALUE"""),"Bahalwan Apriyansyah, S.T., MBA.")</f>
        <v>Bahalwan Apriyansyah, S.T., MBA.</v>
      </c>
      <c r="I156" s="1" t="str">
        <f ca="1">IFERROR(__xludf.DUMMYFUNCTION("""COMPUTED_VALUE"""),"Sulistya Indah Wahyuni")</f>
        <v>Sulistya Indah Wahyuni</v>
      </c>
      <c r="J156" s="1" t="str">
        <f ca="1">IFERROR(__xludf.DUMMYFUNCTION("""COMPUTED_VALUE"""),"09111940000033")</f>
        <v>09111940000033</v>
      </c>
      <c r="K156" s="1" t="str">
        <f ca="1">IFERROR(__xludf.DUMMYFUNCTION("""COMPUTED_VALUE"""),"Departemen Manajemen Bisnis")</f>
        <v>Departemen Manajemen Bisnis</v>
      </c>
      <c r="L156" s="1" t="str">
        <f ca="1">IFERROR(__xludf.DUMMYFUNCTION("""COMPUTED_VALUE"""),"MUHAMMAD RAFIF TRI R")</f>
        <v>MUHAMMAD RAFIF TRI R</v>
      </c>
      <c r="M156" s="1" t="str">
        <f ca="1">IFERROR(__xludf.DUMMYFUNCTION("""COMPUTED_VALUE"""),"5025211009")</f>
        <v>5025211009</v>
      </c>
      <c r="N156" s="1" t="str">
        <f ca="1">IFERROR(__xludf.DUMMYFUNCTION("""COMPUTED_VALUE"""),"Departemen Teknik Informatika")</f>
        <v>Departemen Teknik Informatika</v>
      </c>
      <c r="O156" s="1" t="str">
        <f ca="1">IFERROR(__xludf.DUMMYFUNCTION("""COMPUTED_VALUE"""),"SAHDA RANI SULAIMAN")</f>
        <v>SAHDA RANI SULAIMAN</v>
      </c>
      <c r="P156" s="1" t="str">
        <f ca="1">IFERROR(__xludf.DUMMYFUNCTION("""COMPUTED_VALUE"""),"5010211005")</f>
        <v>5010211005</v>
      </c>
      <c r="Q156" s="1" t="str">
        <f ca="1">IFERROR(__xludf.DUMMYFUNCTION("""COMPUTED_VALUE"""),"Departemen Teknik Sistem dan Industri")</f>
        <v>Departemen Teknik Sistem dan Industri</v>
      </c>
      <c r="R156" s="1" t="str">
        <f ca="1">IFERROR(__xludf.DUMMYFUNCTION("""COMPUTED_VALUE"""),"Aldo Athallah")</f>
        <v>Aldo Athallah</v>
      </c>
      <c r="S156" s="1" t="str">
        <f ca="1">IFERROR(__xludf.DUMMYFUNCTION("""COMPUTED_VALUE"""),"5030211001")</f>
        <v>5030211001</v>
      </c>
      <c r="T156" s="1" t="str">
        <f ca="1">IFERROR(__xludf.DUMMYFUNCTION("""COMPUTED_VALUE"""),"Departemen Desain Komunikasi Visual")</f>
        <v>Departemen Desain Komunikasi Visual</v>
      </c>
      <c r="U156" s="1" t="str">
        <f ca="1">IFERROR(__xludf.DUMMYFUNCTION("""COMPUTED_VALUE"""),"MY Alief Samboro, S.T., M.Ds.")</f>
        <v>MY Alief Samboro, S.T., M.Ds.</v>
      </c>
      <c r="V156" s="1" t="str">
        <f ca="1">IFERROR(__xludf.DUMMYFUNCTION("""COMPUTED_VALUE"""),"Atikah Aghdhi Pratiwi, S.T., M.T.")</f>
        <v>Atikah Aghdhi Pratiwi, S.T., M.T.</v>
      </c>
      <c r="W156" s="1"/>
      <c r="X156" s="1" t="str">
        <f ca="1">IFERROR(__xludf.DUMMYFUNCTION("""COMPUTED_VALUE"""),"Lolos")</f>
        <v>Lolos</v>
      </c>
      <c r="Y156" s="1"/>
      <c r="Z156" s="1"/>
      <c r="AA156" s="1"/>
    </row>
    <row r="157" spans="1:27">
      <c r="A157" s="1" t="s">
        <v>154</v>
      </c>
      <c r="B157" s="1">
        <f ca="1">IFERROR(__xludf.DUMMYFUNCTION("""COMPUTED_VALUE"""),3316)</f>
        <v>3316</v>
      </c>
      <c r="C157" s="1" t="str">
        <f ca="1">IFERROR(__xludf.DUMMYFUNCTION("""COMPUTED_VALUE"""),"PKM Kewirausahaan")</f>
        <v>PKM Kewirausahaan</v>
      </c>
      <c r="D157" s="1" t="str">
        <f ca="1">IFERROR(__xludf.DUMMYFUNCTION("""COMPUTED_VALUE"""),"Viral.in: Aplikasi Penyedia Layanan Jasa Marketing Bagi UMKM")</f>
        <v>Viral.in: Aplikasi Penyedia Layanan Jasa Marketing Bagi UMKM</v>
      </c>
      <c r="E157" s="1" t="str">
        <f ca="1">IFERROR(__xludf.DUMMYFUNCTION("""COMPUTED_VALUE"""),"SYNTHIA MARSITA RAHMA")</f>
        <v>SYNTHIA MARSITA RAHMA</v>
      </c>
      <c r="F157" s="1" t="str">
        <f ca="1">IFERROR(__xludf.DUMMYFUNCTION("""COMPUTED_VALUE"""),"5031201007")</f>
        <v>5031201007</v>
      </c>
      <c r="G157" s="1" t="str">
        <f ca="1">IFERROR(__xludf.DUMMYFUNCTION("""COMPUTED_VALUE"""),"Departemen Manajemen Bisnis")</f>
        <v>Departemen Manajemen Bisnis</v>
      </c>
      <c r="H157" s="1" t="str">
        <f ca="1">IFERROR(__xludf.DUMMYFUNCTION("""COMPUTED_VALUE"""),"Gita Widi Bhawika, S.ST., M.MT")</f>
        <v>Gita Widi Bhawika, S.ST., M.MT</v>
      </c>
      <c r="I157" s="1" t="str">
        <f ca="1">IFERROR(__xludf.DUMMYFUNCTION("""COMPUTED_VALUE"""),"LEONARDUS ARYA DEWANGGA")</f>
        <v>LEONARDUS ARYA DEWANGGA</v>
      </c>
      <c r="J157" s="1" t="str">
        <f ca="1">IFERROR(__xludf.DUMMYFUNCTION("""COMPUTED_VALUE"""),"5031201110")</f>
        <v>5031201110</v>
      </c>
      <c r="K157" s="1" t="str">
        <f ca="1">IFERROR(__xludf.DUMMYFUNCTION("""COMPUTED_VALUE"""),"Departemen Manajemen Bisnis")</f>
        <v>Departemen Manajemen Bisnis</v>
      </c>
      <c r="L157" s="1" t="str">
        <f ca="1">IFERROR(__xludf.DUMMYFUNCTION("""COMPUTED_VALUE"""),"ALYA KIRANA ADRIYANI")</f>
        <v>ALYA KIRANA ADRIYANI</v>
      </c>
      <c r="M157" s="1" t="str">
        <f ca="1">IFERROR(__xludf.DUMMYFUNCTION("""COMPUTED_VALUE"""),"5031201039")</f>
        <v>5031201039</v>
      </c>
      <c r="N157" s="1" t="str">
        <f ca="1">IFERROR(__xludf.DUMMYFUNCTION("""COMPUTED_VALUE"""),"Departemen Manajemen Bisnis")</f>
        <v>Departemen Manajemen Bisnis</v>
      </c>
      <c r="O157" s="1" t="str">
        <f ca="1">IFERROR(__xludf.DUMMYFUNCTION("""COMPUTED_VALUE"""),"MUHAMMAD IRVAN RIZQY")</f>
        <v>MUHAMMAD IRVAN RIZQY</v>
      </c>
      <c r="P157" s="1" t="str">
        <f ca="1">IFERROR(__xludf.DUMMYFUNCTION("""COMPUTED_VALUE"""),"5031201079")</f>
        <v>5031201079</v>
      </c>
      <c r="Q157" s="1" t="str">
        <f ca="1">IFERROR(__xludf.DUMMYFUNCTION("""COMPUTED_VALUE"""),"Departemen Manajemen Bisnis")</f>
        <v>Departemen Manajemen Bisnis</v>
      </c>
      <c r="R157" s="1" t="str">
        <f ca="1">IFERROR(__xludf.DUMMYFUNCTION("""COMPUTED_VALUE"""),"SYIFA` INDRIHARNI PUTRI")</f>
        <v>SYIFA` INDRIHARNI PUTRI</v>
      </c>
      <c r="S157" s="1" t="str">
        <f ca="1">IFERROR(__xludf.DUMMYFUNCTION("""COMPUTED_VALUE"""),"5031201071")</f>
        <v>5031201071</v>
      </c>
      <c r="T157" s="1" t="str">
        <f ca="1">IFERROR(__xludf.DUMMYFUNCTION("""COMPUTED_VALUE"""),"Departemen Manajemen Bisnis")</f>
        <v>Departemen Manajemen Bisnis</v>
      </c>
      <c r="U157" s="1" t="str">
        <f ca="1">IFERROR(__xludf.DUMMYFUNCTION("""COMPUTED_VALUE"""),"MY Alief Samboro, S.T., M.Ds.")</f>
        <v>MY Alief Samboro, S.T., M.Ds.</v>
      </c>
      <c r="V157" s="1" t="str">
        <f ca="1">IFERROR(__xludf.DUMMYFUNCTION("""COMPUTED_VALUE"""),"R.Eka Rizkiantono, S.Sn, M.Ds")</f>
        <v>R.Eka Rizkiantono, S.Sn, M.Ds</v>
      </c>
      <c r="W157" s="1"/>
      <c r="X157" s="1" t="str">
        <f ca="1">IFERROR(__xludf.DUMMYFUNCTION("""COMPUTED_VALUE"""),"Lolos")</f>
        <v>Lolos</v>
      </c>
      <c r="Y157" s="1"/>
      <c r="Z157" s="1"/>
      <c r="AA157" s="1"/>
    </row>
    <row r="158" spans="1:27">
      <c r="A158" s="1" t="s">
        <v>155</v>
      </c>
      <c r="B158" s="1">
        <f ca="1">IFERROR(__xludf.DUMMYFUNCTION("""COMPUTED_VALUE"""),3173)</f>
        <v>3173</v>
      </c>
      <c r="C158" s="1" t="str">
        <f ca="1">IFERROR(__xludf.DUMMYFUNCTION("""COMPUTED_VALUE"""),"PKM Kewirausahaan")</f>
        <v>PKM Kewirausahaan</v>
      </c>
      <c r="D158" s="1" t="str">
        <f ca="1">IFERROR(__xludf.DUMMYFUNCTION("""COMPUTED_VALUE"""),"Menty : Aplikasi Deteksi Dini Masalah Kesehatan Mental dan Chat Secara Anonim untuk Remaja")</f>
        <v>Menty : Aplikasi Deteksi Dini Masalah Kesehatan Mental dan Chat Secara Anonim untuk Remaja</v>
      </c>
      <c r="E158" s="1" t="str">
        <f ca="1">IFERROR(__xludf.DUMMYFUNCTION("""COMPUTED_VALUE"""),"ACHMAD AMIN FAIZAL")</f>
        <v>ACHMAD AMIN FAIZAL</v>
      </c>
      <c r="F158" s="1" t="str">
        <f ca="1">IFERROR(__xludf.DUMMYFUNCTION("""COMPUTED_VALUE"""),"5031201052")</f>
        <v>5031201052</v>
      </c>
      <c r="G158" s="1" t="str">
        <f ca="1">IFERROR(__xludf.DUMMYFUNCTION("""COMPUTED_VALUE"""),"Departemen Manajemen Bisnis")</f>
        <v>Departemen Manajemen Bisnis</v>
      </c>
      <c r="H158" s="1" t="str">
        <f ca="1">IFERROR(__xludf.DUMMYFUNCTION("""COMPUTED_VALUE"""),"Gita Widi Bhawika, S.ST., M.MT")</f>
        <v>Gita Widi Bhawika, S.ST., M.MT</v>
      </c>
      <c r="I158" s="1" t="str">
        <f ca="1">IFERROR(__xludf.DUMMYFUNCTION("""COMPUTED_VALUE"""),"RETNO PALUPI")</f>
        <v>RETNO PALUPI</v>
      </c>
      <c r="J158" s="1" t="str">
        <f ca="1">IFERROR(__xludf.DUMMYFUNCTION("""COMPUTED_VALUE"""),"5031201018")</f>
        <v>5031201018</v>
      </c>
      <c r="K158" s="1" t="str">
        <f ca="1">IFERROR(__xludf.DUMMYFUNCTION("""COMPUTED_VALUE"""),"Departemen Manajemen Bisnis")</f>
        <v>Departemen Manajemen Bisnis</v>
      </c>
      <c r="L158" s="1" t="str">
        <f ca="1">IFERROR(__xludf.DUMMYFUNCTION("""COMPUTED_VALUE"""),"AGIL BRIDGISTA MIESTI")</f>
        <v>AGIL BRIDGISTA MIESTI</v>
      </c>
      <c r="M158" s="1" t="str">
        <f ca="1">IFERROR(__xludf.DUMMYFUNCTION("""COMPUTED_VALUE"""),"5031201023")</f>
        <v>5031201023</v>
      </c>
      <c r="N158" s="1" t="str">
        <f ca="1">IFERROR(__xludf.DUMMYFUNCTION("""COMPUTED_VALUE"""),"Departemen Manajemen Bisnis")</f>
        <v>Departemen Manajemen Bisnis</v>
      </c>
      <c r="O158" s="1" t="str">
        <f ca="1">IFERROR(__xludf.DUMMYFUNCTION("""COMPUTED_VALUE"""),"NABILLA FEBYANTI")</f>
        <v>NABILLA FEBYANTI</v>
      </c>
      <c r="P158" s="1" t="str">
        <f ca="1">IFERROR(__xludf.DUMMYFUNCTION("""COMPUTED_VALUE"""),"5031201080")</f>
        <v>5031201080</v>
      </c>
      <c r="Q158" s="1" t="str">
        <f ca="1">IFERROR(__xludf.DUMMYFUNCTION("""COMPUTED_VALUE"""),"Departemen Manajemen Bisnis")</f>
        <v>Departemen Manajemen Bisnis</v>
      </c>
      <c r="R158" s="1" t="str">
        <f ca="1">IFERROR(__xludf.DUMMYFUNCTION("""COMPUTED_VALUE"""),"VANESSA GLORIA PRANASTUTI")</f>
        <v>VANESSA GLORIA PRANASTUTI</v>
      </c>
      <c r="S158" s="1" t="str">
        <f ca="1">IFERROR(__xludf.DUMMYFUNCTION("""COMPUTED_VALUE"""),"5031201104")</f>
        <v>5031201104</v>
      </c>
      <c r="T158" s="1" t="str">
        <f ca="1">IFERROR(__xludf.DUMMYFUNCTION("""COMPUTED_VALUE"""),"Departemen Manajemen Bisnis")</f>
        <v>Departemen Manajemen Bisnis</v>
      </c>
      <c r="U158" s="1" t="str">
        <f ca="1">IFERROR(__xludf.DUMMYFUNCTION("""COMPUTED_VALUE"""),"Drs. Bandung Arry Sanjoyo, Mi.Komp.")</f>
        <v>Drs. Bandung Arry Sanjoyo, Mi.Komp.</v>
      </c>
      <c r="V158" s="1" t="str">
        <f ca="1">IFERROR(__xludf.DUMMYFUNCTION("""COMPUTED_VALUE"""),"Moh. Singgih Purwanto, S.Si., M.T")</f>
        <v>Moh. Singgih Purwanto, S.Si., M.T</v>
      </c>
      <c r="W158" s="1"/>
      <c r="X158" s="1" t="str">
        <f ca="1">IFERROR(__xludf.DUMMYFUNCTION("""COMPUTED_VALUE"""),"Lolos")</f>
        <v>Lolos</v>
      </c>
      <c r="Y158" s="1"/>
      <c r="Z158" s="1"/>
      <c r="AA158" s="1"/>
    </row>
    <row r="159" spans="1:27">
      <c r="A159" s="1" t="s">
        <v>156</v>
      </c>
      <c r="B159" s="1">
        <f ca="1">IFERROR(__xludf.DUMMYFUNCTION("""COMPUTED_VALUE"""),2913)</f>
        <v>2913</v>
      </c>
      <c r="C159" s="1" t="str">
        <f ca="1">IFERROR(__xludf.DUMMYFUNCTION("""COMPUTED_VALUE"""),"PKM Kewirausahaan")</f>
        <v>PKM Kewirausahaan</v>
      </c>
      <c r="D159" s="1" t="str">
        <f ca="1">IFERROR(__xludf.DUMMYFUNCTION("""COMPUTED_VALUE"""),"APLIKASI SEW AND GO (APLIKASI LAYANAN JAHIT BERBASIS LOCATION BASED SERVICES DAN HOME BASED SERVICES)")</f>
        <v>APLIKASI SEW AND GO (APLIKASI LAYANAN JAHIT BERBASIS LOCATION BASED SERVICES DAN HOME BASED SERVICES)</v>
      </c>
      <c r="E159" s="1" t="str">
        <f ca="1">IFERROR(__xludf.DUMMYFUNCTION("""COMPUTED_VALUE"""),"GHEA WAHYU CHRISTIANTI")</f>
        <v>GHEA WAHYU CHRISTIANTI</v>
      </c>
      <c r="F159" s="1" t="str">
        <f ca="1">IFERROR(__xludf.DUMMYFUNCTION("""COMPUTED_VALUE"""),"5031201038")</f>
        <v>5031201038</v>
      </c>
      <c r="G159" s="1" t="str">
        <f ca="1">IFERROR(__xludf.DUMMYFUNCTION("""COMPUTED_VALUE"""),"Departemen Manajemen Bisnis")</f>
        <v>Departemen Manajemen Bisnis</v>
      </c>
      <c r="H159" s="1" t="str">
        <f ca="1">IFERROR(__xludf.DUMMYFUNCTION("""COMPUTED_VALUE"""),"Gita Widi Bhawika, S.ST., M.MT")</f>
        <v>Gita Widi Bhawika, S.ST., M.MT</v>
      </c>
      <c r="I159" s="1" t="str">
        <f ca="1">IFERROR(__xludf.DUMMYFUNCTION("""COMPUTED_VALUE"""),"CLARISA ARZETY SHAFA BINTORO ")</f>
        <v xml:space="preserve">CLARISA ARZETY SHAFA BINTORO </v>
      </c>
      <c r="J159" s="1" t="str">
        <f ca="1">IFERROR(__xludf.DUMMYFUNCTION("""COMPUTED_VALUE"""),"5031201054")</f>
        <v>5031201054</v>
      </c>
      <c r="K159" s="1" t="str">
        <f ca="1">IFERROR(__xludf.DUMMYFUNCTION("""COMPUTED_VALUE"""),"Departemen Manajemen Bisnis")</f>
        <v>Departemen Manajemen Bisnis</v>
      </c>
      <c r="L159" s="1" t="str">
        <f ca="1">IFERROR(__xludf.DUMMYFUNCTION("""COMPUTED_VALUE"""),"DAMAYANTI MAULIDIA")</f>
        <v>DAMAYANTI MAULIDIA</v>
      </c>
      <c r="M159" s="1" t="str">
        <f ca="1">IFERROR(__xludf.DUMMYFUNCTION("""COMPUTED_VALUE"""),"5031201085")</f>
        <v>5031201085</v>
      </c>
      <c r="N159" s="1" t="str">
        <f ca="1">IFERROR(__xludf.DUMMYFUNCTION("""COMPUTED_VALUE"""),"Departemen Manajemen Bisnis")</f>
        <v>Departemen Manajemen Bisnis</v>
      </c>
      <c r="O159" s="1" t="str">
        <f ca="1">IFERROR(__xludf.DUMMYFUNCTION("""COMPUTED_VALUE"""),"CRYSAN FEBRILIANT")</f>
        <v>CRYSAN FEBRILIANT</v>
      </c>
      <c r="P159" s="1" t="str">
        <f ca="1">IFERROR(__xludf.DUMMYFUNCTION("""COMPUTED_VALUE"""),"5031201109")</f>
        <v>5031201109</v>
      </c>
      <c r="Q159" s="1" t="str">
        <f ca="1">IFERROR(__xludf.DUMMYFUNCTION("""COMPUTED_VALUE"""),"Departemen Manajemen Bisnis")</f>
        <v>Departemen Manajemen Bisnis</v>
      </c>
      <c r="R159" s="1" t="str">
        <f ca="1">IFERROR(__xludf.DUMMYFUNCTION("""COMPUTED_VALUE"""),"CANTIKA YASMIN DWI PUTRANTI")</f>
        <v>CANTIKA YASMIN DWI PUTRANTI</v>
      </c>
      <c r="S159" s="1" t="str">
        <f ca="1">IFERROR(__xludf.DUMMYFUNCTION("""COMPUTED_VALUE"""),"5031201047")</f>
        <v>5031201047</v>
      </c>
      <c r="T159" s="1" t="str">
        <f ca="1">IFERROR(__xludf.DUMMYFUNCTION("""COMPUTED_VALUE"""),"Departemen Manajemen Bisnis")</f>
        <v>Departemen Manajemen Bisnis</v>
      </c>
      <c r="U159" s="1" t="str">
        <f ca="1">IFERROR(__xludf.DUMMYFUNCTION("""COMPUTED_VALUE"""),"MY Alief Samboro, S.T., M.Ds.")</f>
        <v>MY Alief Samboro, S.T., M.Ds.</v>
      </c>
      <c r="V159" s="1" t="str">
        <f ca="1">IFERROR(__xludf.DUMMYFUNCTION("""COMPUTED_VALUE"""),"R.Eka Rizkiantono, S.Sn, M.Ds")</f>
        <v>R.Eka Rizkiantono, S.Sn, M.Ds</v>
      </c>
      <c r="W159" s="1"/>
      <c r="X159" s="1" t="str">
        <f ca="1">IFERROR(__xludf.DUMMYFUNCTION("""COMPUTED_VALUE"""),"Lolos")</f>
        <v>Lolos</v>
      </c>
      <c r="Y159" s="1"/>
      <c r="Z159" s="1"/>
      <c r="AA159" s="1"/>
    </row>
    <row r="160" spans="1:27">
      <c r="A160" s="1" t="s">
        <v>157</v>
      </c>
      <c r="B160" s="1">
        <f ca="1">IFERROR(__xludf.DUMMYFUNCTION("""COMPUTED_VALUE"""),3142)</f>
        <v>3142</v>
      </c>
      <c r="C160" s="1" t="str">
        <f ca="1">IFERROR(__xludf.DUMMYFUNCTION("""COMPUTED_VALUE"""),"PKM Kewirausahaan")</f>
        <v>PKM Kewirausahaan</v>
      </c>
      <c r="D160" s="1" t="str">
        <f ca="1">IFERROR(__xludf.DUMMYFUNCTION("""COMPUTED_VALUE"""),"UCO BANK menggunakan Automatic Vending Machine untuk Meningkatkan Antusias Masyarakat dalam Menabung Minyak Jelantah
 ")</f>
        <v xml:space="preserve">UCO BANK menggunakan Automatic Vending Machine untuk Meningkatkan Antusias Masyarakat dalam Menabung Minyak Jelantah
 </v>
      </c>
      <c r="E160" s="1" t="str">
        <f ca="1">IFERROR(__xludf.DUMMYFUNCTION("""COMPUTED_VALUE"""),"AURA AGHARID PRITINA")</f>
        <v>AURA AGHARID PRITINA</v>
      </c>
      <c r="F160" s="1" t="str">
        <f ca="1">IFERROR(__xludf.DUMMYFUNCTION("""COMPUTED_VALUE"""),"02111940000116")</f>
        <v>02111940000116</v>
      </c>
      <c r="G160" s="1" t="str">
        <f ca="1">IFERROR(__xludf.DUMMYFUNCTION("""COMPUTED_VALUE"""),"Departemen Teknik Mesin")</f>
        <v>Departemen Teknik Mesin</v>
      </c>
      <c r="H160" s="1" t="str">
        <f ca="1">IFERROR(__xludf.DUMMYFUNCTION("""COMPUTED_VALUE"""),"Dr.Eng. Unggul Wasiwitono, S.T., M.Eng.Sc.")</f>
        <v>Dr.Eng. Unggul Wasiwitono, S.T., M.Eng.Sc.</v>
      </c>
      <c r="I160" s="1" t="str">
        <f ca="1">IFERROR(__xludf.DUMMYFUNCTION("""COMPUTED_VALUE"""),"Aditya Arief Rahman Putra")</f>
        <v>Aditya Arief Rahman Putra</v>
      </c>
      <c r="J160" s="1" t="str">
        <f ca="1">IFERROR(__xludf.DUMMYFUNCTION("""COMPUTED_VALUE"""),"02111840000051")</f>
        <v>02111840000051</v>
      </c>
      <c r="K160" s="1" t="str">
        <f ca="1">IFERROR(__xludf.DUMMYFUNCTION("""COMPUTED_VALUE"""),"Departemen Teknik Mesin")</f>
        <v>Departemen Teknik Mesin</v>
      </c>
      <c r="L160" s="1" t="str">
        <f ca="1">IFERROR(__xludf.DUMMYFUNCTION("""COMPUTED_VALUE"""),"TIARA ARDIANTI")</f>
        <v>TIARA ARDIANTI</v>
      </c>
      <c r="M160" s="1" t="str">
        <f ca="1">IFERROR(__xludf.DUMMYFUNCTION("""COMPUTED_VALUE"""),"01211940000082")</f>
        <v>01211940000082</v>
      </c>
      <c r="N160" s="1" t="str">
        <f ca="1">IFERROR(__xludf.DUMMYFUNCTION("""COMPUTED_VALUE"""),"Departemen Kimia")</f>
        <v>Departemen Kimia</v>
      </c>
      <c r="O160" s="1" t="str">
        <f ca="1">IFERROR(__xludf.DUMMYFUNCTION("""COMPUTED_VALUE"""),"Shinta Ayu Rizqi Habibah")</f>
        <v>Shinta Ayu Rizqi Habibah</v>
      </c>
      <c r="P160" s="1" t="str">
        <f ca="1">IFERROR(__xludf.DUMMYFUNCTION("""COMPUTED_VALUE"""),"02111940000017")</f>
        <v>02111940000017</v>
      </c>
      <c r="Q160" s="1" t="str">
        <f ca="1">IFERROR(__xludf.DUMMYFUNCTION("""COMPUTED_VALUE"""),"Departemen Teknik Mesin")</f>
        <v>Departemen Teknik Mesin</v>
      </c>
      <c r="R160" s="1"/>
      <c r="S160" s="1"/>
      <c r="T160" s="1"/>
      <c r="U160" s="1" t="str">
        <f ca="1">IFERROR(__xludf.DUMMYFUNCTION("""COMPUTED_VALUE"""),"Drs. Bandung Arry Sanjoyo, Mi.Komp.")</f>
        <v>Drs. Bandung Arry Sanjoyo, Mi.Komp.</v>
      </c>
      <c r="V160" s="1" t="str">
        <f ca="1">IFERROR(__xludf.DUMMYFUNCTION("""COMPUTED_VALUE"""),"Moh. Singgih Purwanto, S.Si., M.T")</f>
        <v>Moh. Singgih Purwanto, S.Si., M.T</v>
      </c>
      <c r="W160" s="1"/>
      <c r="X160" s="1" t="str">
        <f ca="1">IFERROR(__xludf.DUMMYFUNCTION("""COMPUTED_VALUE"""),"Lolos")</f>
        <v>Lolos</v>
      </c>
      <c r="Y160" s="1"/>
      <c r="Z160" s="1"/>
      <c r="AA160" s="1"/>
    </row>
    <row r="161" spans="1:27">
      <c r="A161" s="1" t="s">
        <v>158</v>
      </c>
      <c r="B161" s="1">
        <f ca="1">IFERROR(__xludf.DUMMYFUNCTION("""COMPUTED_VALUE"""),4164)</f>
        <v>4164</v>
      </c>
      <c r="C161" s="1" t="str">
        <f ca="1">IFERROR(__xludf.DUMMYFUNCTION("""COMPUTED_VALUE"""),"PKM Kewirausahaan")</f>
        <v>PKM Kewirausahaan</v>
      </c>
      <c r="D161" s="1" t="str">
        <f ca="1">IFERROR(__xludf.DUMMYFUNCTION("""COMPUTED_VALUE"""),"Platform Penyedia Data Supplier Ekspor Produk Komoditas Nonmanufaktur Bermodel Komunitas Bersistem Filter Machine Learning Guna Memudahkan Arus Suplai Ekspor Indonesia")</f>
        <v>Platform Penyedia Data Supplier Ekspor Produk Komoditas Nonmanufaktur Bermodel Komunitas Bersistem Filter Machine Learning Guna Memudahkan Arus Suplai Ekspor Indonesia</v>
      </c>
      <c r="E161" s="1" t="str">
        <f ca="1">IFERROR(__xludf.DUMMYFUNCTION("""COMPUTED_VALUE"""),"Pramudya Tiandana Wisnu Gautama")</f>
        <v>Pramudya Tiandana Wisnu Gautama</v>
      </c>
      <c r="F161" s="1" t="str">
        <f ca="1">IFERROR(__xludf.DUMMYFUNCTION("""COMPUTED_VALUE"""),"05111940000018")</f>
        <v>05111940000018</v>
      </c>
      <c r="G161" s="1" t="str">
        <f ca="1">IFERROR(__xludf.DUMMYFUNCTION("""COMPUTED_VALUE"""),"Departemen Teknik Informatika")</f>
        <v>Departemen Teknik Informatika</v>
      </c>
      <c r="H161" s="1"/>
      <c r="I161" s="1" t="str">
        <f ca="1">IFERROR(__xludf.DUMMYFUNCTION("""COMPUTED_VALUE"""),"RISFANALI RAJA")</f>
        <v>RISFANALI RAJA</v>
      </c>
      <c r="J161" s="1" t="str">
        <f ca="1">IFERROR(__xludf.DUMMYFUNCTION("""COMPUTED_VALUE"""),"02211940000102")</f>
        <v>02211940000102</v>
      </c>
      <c r="K161" s="1" t="str">
        <f ca="1">IFERROR(__xludf.DUMMYFUNCTION("""COMPUTED_VALUE"""),"Departemen Teknik Kimia")</f>
        <v>Departemen Teknik Kimia</v>
      </c>
      <c r="L161" s="1" t="str">
        <f ca="1">IFERROR(__xludf.DUMMYFUNCTION("""COMPUTED_VALUE"""),"DHANAR KURNIA RAMADHAN")</f>
        <v>DHANAR KURNIA RAMADHAN</v>
      </c>
      <c r="M161" s="1" t="str">
        <f ca="1">IFERROR(__xludf.DUMMYFUNCTION("""COMPUTED_VALUE"""),"02211940000133")</f>
        <v>02211940000133</v>
      </c>
      <c r="N161" s="1" t="str">
        <f ca="1">IFERROR(__xludf.DUMMYFUNCTION("""COMPUTED_VALUE"""),"Departemen Teknik Kimia")</f>
        <v>Departemen Teknik Kimia</v>
      </c>
      <c r="O161" s="1" t="str">
        <f ca="1">IFERROR(__xludf.DUMMYFUNCTION("""COMPUTED_VALUE"""),"Pramudya Riandana Bhayu Gautama")</f>
        <v>Pramudya Riandana Bhayu Gautama</v>
      </c>
      <c r="P161" s="1" t="str">
        <f ca="1">IFERROR(__xludf.DUMMYFUNCTION("""COMPUTED_VALUE"""),"02211940000041")</f>
        <v>02211940000041</v>
      </c>
      <c r="Q161" s="1" t="str">
        <f ca="1">IFERROR(__xludf.DUMMYFUNCTION("""COMPUTED_VALUE"""),"Departemen Teknik Kimia")</f>
        <v>Departemen Teknik Kimia</v>
      </c>
      <c r="R161" s="1"/>
      <c r="S161" s="1"/>
      <c r="T161" s="1"/>
      <c r="U161" s="1" t="str">
        <f ca="1">IFERROR(__xludf.DUMMYFUNCTION("""COMPUTED_VALUE"""),"Ahmad Fauzan Adziimaa, S.T., M.Sc.")</f>
        <v>Ahmad Fauzan Adziimaa, S.T., M.Sc.</v>
      </c>
      <c r="V161" s="1" t="str">
        <f ca="1">IFERROR(__xludf.DUMMYFUNCTION("""COMPUTED_VALUE"""),"Dr. Hendro Juwono, M.Si.")</f>
        <v>Dr. Hendro Juwono, M.Si.</v>
      </c>
      <c r="W161" s="1"/>
      <c r="X161" s="1" t="str">
        <f ca="1">IFERROR(__xludf.DUMMYFUNCTION("""COMPUTED_VALUE"""),"Lolos")</f>
        <v>Lolos</v>
      </c>
      <c r="Y161" s="1"/>
      <c r="Z161" s="1"/>
      <c r="AA161" s="1"/>
    </row>
    <row r="162" spans="1:27">
      <c r="A162" s="1" t="s">
        <v>159</v>
      </c>
      <c r="B162" s="1">
        <f ca="1">IFERROR(__xludf.DUMMYFUNCTION("""COMPUTED_VALUE"""),3281)</f>
        <v>3281</v>
      </c>
      <c r="C162" s="1" t="str">
        <f ca="1">IFERROR(__xludf.DUMMYFUNCTION("""COMPUTED_VALUE"""),"PKM Kewirausahaan")</f>
        <v>PKM Kewirausahaan</v>
      </c>
      <c r="D162" s="1" t="str">
        <f ca="1">IFERROR(__xludf.DUMMYFUNCTION("""COMPUTED_VALUE"""),"""SwastaMita"" Aplikasi Berbasis Android Guna Mempermudah Mobilitas Masyarakat dan Tourism Dalam Melakukan Pendakian di Indonesia Menggunakan Strategi Storynomics Tourism")</f>
        <v>"SwastaMita" Aplikasi Berbasis Android Guna Mempermudah Mobilitas Masyarakat dan Tourism Dalam Melakukan Pendakian di Indonesia Menggunakan Strategi Storynomics Tourism</v>
      </c>
      <c r="E162" s="1" t="str">
        <f ca="1">IFERROR(__xludf.DUMMYFUNCTION("""COMPUTED_VALUE"""),"FARHAN FADLURRAHMAN SUTRISNO")</f>
        <v>FARHAN FADLURRAHMAN SUTRISNO</v>
      </c>
      <c r="F162" s="1" t="str">
        <f ca="1">IFERROR(__xludf.DUMMYFUNCTION("""COMPUTED_VALUE"""),"5007201102")</f>
        <v>5007201102</v>
      </c>
      <c r="G162" s="1" t="str">
        <f ca="1">IFERROR(__xludf.DUMMYFUNCTION("""COMPUTED_VALUE"""),"Departemen Teknik Mesin")</f>
        <v>Departemen Teknik Mesin</v>
      </c>
      <c r="H162" s="1" t="str">
        <f ca="1">IFERROR(__xludf.DUMMYFUNCTION("""COMPUTED_VALUE"""),"Mohammad Khoirul Effendi, S.T., M.Sc.Eng., Ph.D.")</f>
        <v>Mohammad Khoirul Effendi, S.T., M.Sc.Eng., Ph.D.</v>
      </c>
      <c r="I162" s="1" t="str">
        <f ca="1">IFERROR(__xludf.DUMMYFUNCTION("""COMPUTED_VALUE"""),"Rizki Ashari")</f>
        <v>Rizki Ashari</v>
      </c>
      <c r="J162" s="1" t="str">
        <f ca="1">IFERROR(__xludf.DUMMYFUNCTION("""COMPUTED_VALUE"""),"5019211035")</f>
        <v>5019211035</v>
      </c>
      <c r="K162" s="1" t="str">
        <f ca="1">IFERROR(__xludf.DUMMYFUNCTION("""COMPUTED_VALUE"""),"Departemen Teknik Sistem Perkapalan")</f>
        <v>Departemen Teknik Sistem Perkapalan</v>
      </c>
      <c r="L162" s="1" t="str">
        <f ca="1">IFERROR(__xludf.DUMMYFUNCTION("""COMPUTED_VALUE"""),"TITANIA ASYIFA PUTRI")</f>
        <v>TITANIA ASYIFA PUTRI</v>
      </c>
      <c r="M162" s="1" t="str">
        <f ca="1">IFERROR(__xludf.DUMMYFUNCTION("""COMPUTED_VALUE"""),"5019211014")</f>
        <v>5019211014</v>
      </c>
      <c r="N162" s="1" t="str">
        <f ca="1">IFERROR(__xludf.DUMMYFUNCTION("""COMPUTED_VALUE"""),"Departemen Teknik Sistem Perkapalan")</f>
        <v>Departemen Teknik Sistem Perkapalan</v>
      </c>
      <c r="O162" s="1" t="str">
        <f ca="1">IFERROR(__xludf.DUMMYFUNCTION("""COMPUTED_VALUE"""),"MIFTHAKUL JANNAH ")</f>
        <v xml:space="preserve">MIFTHAKUL JANNAH </v>
      </c>
      <c r="P162" s="1" t="str">
        <f ca="1">IFERROR(__xludf.DUMMYFUNCTION("""COMPUTED_VALUE"""),"5001211044")</f>
        <v>5001211044</v>
      </c>
      <c r="Q162" s="1" t="str">
        <f ca="1">IFERROR(__xludf.DUMMYFUNCTION("""COMPUTED_VALUE"""),"Departemen Fisika")</f>
        <v>Departemen Fisika</v>
      </c>
      <c r="R162" s="1" t="str">
        <f ca="1">IFERROR(__xludf.DUMMYFUNCTION("""COMPUTED_VALUE"""),"Teten Rizwan")</f>
        <v>Teten Rizwan</v>
      </c>
      <c r="S162" s="1" t="str">
        <f ca="1">IFERROR(__xludf.DUMMYFUNCTION("""COMPUTED_VALUE"""),"5007211043")</f>
        <v>5007211043</v>
      </c>
      <c r="T162" s="1" t="str">
        <f ca="1">IFERROR(__xludf.DUMMYFUNCTION("""COMPUTED_VALUE"""),"Departemen Teknik Mesin")</f>
        <v>Departemen Teknik Mesin</v>
      </c>
      <c r="U162" s="1" t="str">
        <f ca="1">IFERROR(__xludf.DUMMYFUNCTION("""COMPUTED_VALUE"""),"Ahmad Fauzan Adziimaa, S.T., M.Sc.")</f>
        <v>Ahmad Fauzan Adziimaa, S.T., M.Sc.</v>
      </c>
      <c r="V162" s="1" t="str">
        <f ca="1">IFERROR(__xludf.DUMMYFUNCTION("""COMPUTED_VALUE"""),"Dr. Hendro Juwono, M.Si.")</f>
        <v>Dr. Hendro Juwono, M.Si.</v>
      </c>
      <c r="W162" s="1"/>
      <c r="X162" s="1" t="str">
        <f ca="1">IFERROR(__xludf.DUMMYFUNCTION("""COMPUTED_VALUE"""),"Lolos")</f>
        <v>Lolos</v>
      </c>
      <c r="Y162" s="1"/>
      <c r="Z162" s="1"/>
      <c r="AA162" s="1"/>
    </row>
    <row r="163" spans="1:27">
      <c r="A163" s="1" t="s">
        <v>160</v>
      </c>
      <c r="B163" s="1">
        <f ca="1">IFERROR(__xludf.DUMMYFUNCTION("""COMPUTED_VALUE"""),3606)</f>
        <v>3606</v>
      </c>
      <c r="C163" s="1" t="str">
        <f ca="1">IFERROR(__xludf.DUMMYFUNCTION("""COMPUTED_VALUE"""),"PKM Kewirausahaan")</f>
        <v>PKM Kewirausahaan</v>
      </c>
      <c r="D163" s="1" t="str">
        <f ca="1">IFERROR(__xludf.DUMMYFUNCTION("""COMPUTED_VALUE"""),"Layanan dan Produk Perlindungan Keamanan Barang Pribadi Berbasis IoT dengan Model Bisnis Manufaktur dan Recurring Revenue")</f>
        <v>Layanan dan Produk Perlindungan Keamanan Barang Pribadi Berbasis IoT dengan Model Bisnis Manufaktur dan Recurring Revenue</v>
      </c>
      <c r="E163" s="1" t="str">
        <f ca="1">IFERROR(__xludf.DUMMYFUNCTION("""COMPUTED_VALUE"""),"GHIFARY MUHAMMAD")</f>
        <v>GHIFARY MUHAMMAD</v>
      </c>
      <c r="F163" s="1" t="str">
        <f ca="1">IFERROR(__xludf.DUMMYFUNCTION("""COMPUTED_VALUE"""),"5026201156")</f>
        <v>5026201156</v>
      </c>
      <c r="G163" s="1" t="str">
        <f ca="1">IFERROR(__xludf.DUMMYFUNCTION("""COMPUTED_VALUE"""),"Departemen Sistem Informasi")</f>
        <v>Departemen Sistem Informasi</v>
      </c>
      <c r="H163" s="1" t="str">
        <f ca="1">IFERROR(__xludf.DUMMYFUNCTION("""COMPUTED_VALUE"""),"Ika Nurkasanah, S.Kom., M.Sc.")</f>
        <v>Ika Nurkasanah, S.Kom., M.Sc.</v>
      </c>
      <c r="I163" s="1" t="str">
        <f ca="1">IFERROR(__xludf.DUMMYFUNCTION("""COMPUTED_VALUE"""),"MUHAMMAD FARHAN RAHMANDIKA")</f>
        <v>MUHAMMAD FARHAN RAHMANDIKA</v>
      </c>
      <c r="J163" s="1" t="str">
        <f ca="1">IFERROR(__xludf.DUMMYFUNCTION("""COMPUTED_VALUE"""),"5026201111")</f>
        <v>5026201111</v>
      </c>
      <c r="K163" s="1" t="str">
        <f ca="1">IFERROR(__xludf.DUMMYFUNCTION("""COMPUTED_VALUE"""),"Departemen Sistem Informasi")</f>
        <v>Departemen Sistem Informasi</v>
      </c>
      <c r="L163" s="1" t="str">
        <f ca="1">IFERROR(__xludf.DUMMYFUNCTION("""COMPUTED_VALUE"""),"NUR MUHAMMAD AINUL YAQIN")</f>
        <v>NUR MUHAMMAD AINUL YAQIN</v>
      </c>
      <c r="M163" s="1" t="str">
        <f ca="1">IFERROR(__xludf.DUMMYFUNCTION("""COMPUTED_VALUE"""),"5025201011")</f>
        <v>5025201011</v>
      </c>
      <c r="N163" s="1" t="str">
        <f ca="1">IFERROR(__xludf.DUMMYFUNCTION("""COMPUTED_VALUE"""),"Departemen Teknik Informatika")</f>
        <v>Departemen Teknik Informatika</v>
      </c>
      <c r="O163" s="1" t="str">
        <f ca="1">IFERROR(__xludf.DUMMYFUNCTION("""COMPUTED_VALUE"""),"DEBORA SABRINA BR SILITONGA")</f>
        <v>DEBORA SABRINA BR SILITONGA</v>
      </c>
      <c r="P163" s="1" t="str">
        <f ca="1">IFERROR(__xludf.DUMMYFUNCTION("""COMPUTED_VALUE"""),"5006201108")</f>
        <v>5006201108</v>
      </c>
      <c r="Q163" s="1" t="str">
        <f ca="1">IFERROR(__xludf.DUMMYFUNCTION("""COMPUTED_VALUE"""),"Departemen Aktuaria")</f>
        <v>Departemen Aktuaria</v>
      </c>
      <c r="R163" s="1" t="str">
        <f ca="1">IFERROR(__xludf.DUMMYFUNCTION("""COMPUTED_VALUE"""),"FATHIMAH ISHMA HAMIDAH")</f>
        <v>FATHIMAH ISHMA HAMIDAH</v>
      </c>
      <c r="S163" s="1" t="str">
        <f ca="1">IFERROR(__xludf.DUMMYFUNCTION("""COMPUTED_VALUE"""),"5030201041")</f>
        <v>5030201041</v>
      </c>
      <c r="T163" s="1" t="str">
        <f ca="1">IFERROR(__xludf.DUMMYFUNCTION("""COMPUTED_VALUE"""),"Departemen Desain Komunikasi Visual")</f>
        <v>Departemen Desain Komunikasi Visual</v>
      </c>
      <c r="U163" s="1" t="str">
        <f ca="1">IFERROR(__xludf.DUMMYFUNCTION("""COMPUTED_VALUE"""),"Muchammad Nurif, S.E., M.T.")</f>
        <v>Muchammad Nurif, S.E., M.T.</v>
      </c>
      <c r="V163" s="1" t="str">
        <f ca="1">IFERROR(__xludf.DUMMYFUNCTION("""COMPUTED_VALUE"""),"Bahalwan Apriyansyah, S.T., MBA.")</f>
        <v>Bahalwan Apriyansyah, S.T., MBA.</v>
      </c>
      <c r="W163" s="1"/>
      <c r="X163" s="1" t="str">
        <f ca="1">IFERROR(__xludf.DUMMYFUNCTION("""COMPUTED_VALUE"""),"Lolos")</f>
        <v>Lolos</v>
      </c>
      <c r="Y163" s="1"/>
      <c r="Z163" s="1"/>
      <c r="AA163" s="1"/>
    </row>
    <row r="164" spans="1:27">
      <c r="A164" s="1" t="s">
        <v>161</v>
      </c>
      <c r="B164" s="1">
        <f ca="1">IFERROR(__xludf.DUMMYFUNCTION("""COMPUTED_VALUE"""),2339)</f>
        <v>2339</v>
      </c>
      <c r="C164" s="1" t="str">
        <f ca="1">IFERROR(__xludf.DUMMYFUNCTION("""COMPUTED_VALUE"""),"PKM Kewirausahaan")</f>
        <v>PKM Kewirausahaan</v>
      </c>
      <c r="D164" s="1" t="str">
        <f ca="1">IFERROR(__xludf.DUMMYFUNCTION("""COMPUTED_VALUE"""),"Aplikasi Cerdas Pengelolaan Sampah Berbasis Machine Learning dan Artificial intelligence untuk Meningkatkan Nilai dari Sampah Berdasarkan Ilmu Kimia")</f>
        <v>Aplikasi Cerdas Pengelolaan Sampah Berbasis Machine Learning dan Artificial intelligence untuk Meningkatkan Nilai dari Sampah Berdasarkan Ilmu Kimia</v>
      </c>
      <c r="E164" s="1" t="str">
        <f ca="1">IFERROR(__xludf.DUMMYFUNCTION("""COMPUTED_VALUE"""),"HANDI ARDIANSYAH")</f>
        <v>HANDI ARDIANSYAH</v>
      </c>
      <c r="F164" s="1" t="str">
        <f ca="1">IFERROR(__xludf.DUMMYFUNCTION("""COMPUTED_VALUE"""),"5004201156")</f>
        <v>5004201156</v>
      </c>
      <c r="G164" s="1" t="str">
        <f ca="1">IFERROR(__xludf.DUMMYFUNCTION("""COMPUTED_VALUE"""),"Departemen Kimia")</f>
        <v>Departemen Kimia</v>
      </c>
      <c r="H164" s="1" t="str">
        <f ca="1">IFERROR(__xludf.DUMMYFUNCTION("""COMPUTED_VALUE"""),"Dr. Triyanda Gunawan, S.Si.")</f>
        <v>Dr. Triyanda Gunawan, S.Si.</v>
      </c>
      <c r="I164" s="1" t="str">
        <f ca="1">IFERROR(__xludf.DUMMYFUNCTION("""COMPUTED_VALUE"""),"KAMYLA PUTRI")</f>
        <v>KAMYLA PUTRI</v>
      </c>
      <c r="J164" s="1" t="str">
        <f ca="1">IFERROR(__xludf.DUMMYFUNCTION("""COMPUTED_VALUE"""),"5004201077")</f>
        <v>5004201077</v>
      </c>
      <c r="K164" s="1" t="str">
        <f ca="1">IFERROR(__xludf.DUMMYFUNCTION("""COMPUTED_VALUE"""),"Departemen Kimia")</f>
        <v>Departemen Kimia</v>
      </c>
      <c r="L164" s="1" t="str">
        <f ca="1">IFERROR(__xludf.DUMMYFUNCTION("""COMPUTED_VALUE"""),"ALFIAN BAGUS SAIRINA")</f>
        <v>ALFIAN BAGUS SAIRINA</v>
      </c>
      <c r="M164" s="1" t="str">
        <f ca="1">IFERROR(__xludf.DUMMYFUNCTION("""COMPUTED_VALUE"""),"5004201100")</f>
        <v>5004201100</v>
      </c>
      <c r="N164" s="1" t="str">
        <f ca="1">IFERROR(__xludf.DUMMYFUNCTION("""COMPUTED_VALUE"""),"Departemen Kimia")</f>
        <v>Departemen Kimia</v>
      </c>
      <c r="O164" s="1" t="str">
        <f ca="1">IFERROR(__xludf.DUMMYFUNCTION("""COMPUTED_VALUE"""),"MOHAMAD NURIL FUADI")</f>
        <v>MOHAMAD NURIL FUADI</v>
      </c>
      <c r="P164" s="1" t="str">
        <f ca="1">IFERROR(__xludf.DUMMYFUNCTION("""COMPUTED_VALUE"""),"5004201070")</f>
        <v>5004201070</v>
      </c>
      <c r="Q164" s="1" t="str">
        <f ca="1">IFERROR(__xludf.DUMMYFUNCTION("""COMPUTED_VALUE"""),"Departemen Kimia")</f>
        <v>Departemen Kimia</v>
      </c>
      <c r="R164" s="1"/>
      <c r="S164" s="1"/>
      <c r="T164" s="1"/>
      <c r="U164" s="1" t="str">
        <f ca="1">IFERROR(__xludf.DUMMYFUNCTION("""COMPUTED_VALUE"""),"Drs. Bandung Arry Sanjoyo, Mi.Komp.")</f>
        <v>Drs. Bandung Arry Sanjoyo, Mi.Komp.</v>
      </c>
      <c r="V164" s="1" t="str">
        <f ca="1">IFERROR(__xludf.DUMMYFUNCTION("""COMPUTED_VALUE"""),"Wibawati, S.Si., M.Si")</f>
        <v>Wibawati, S.Si., M.Si</v>
      </c>
      <c r="W164" s="1"/>
      <c r="X164" s="1" t="str">
        <f ca="1">IFERROR(__xludf.DUMMYFUNCTION("""COMPUTED_VALUE"""),"Lolos")</f>
        <v>Lolos</v>
      </c>
      <c r="Y164" s="1"/>
      <c r="Z164" s="1"/>
      <c r="AA164" s="1"/>
    </row>
    <row r="165" spans="1:27">
      <c r="A165" s="1" t="s">
        <v>162</v>
      </c>
      <c r="B165" s="1">
        <f ca="1">IFERROR(__xludf.DUMMYFUNCTION("""COMPUTED_VALUE"""),3597)</f>
        <v>3597</v>
      </c>
      <c r="C165" s="1" t="str">
        <f ca="1">IFERROR(__xludf.DUMMYFUNCTION("""COMPUTED_VALUE"""),"PKM Kewirausahaan")</f>
        <v>PKM Kewirausahaan</v>
      </c>
      <c r="D165" s="1" t="str">
        <f ca="1">IFERROR(__xludf.DUMMYFUNCTION("""COMPUTED_VALUE"""),"MASAK.AN : Layanan Groceries Online Pedagang Sayur Keliling ")</f>
        <v xml:space="preserve">MASAK.AN : Layanan Groceries Online Pedagang Sayur Keliling </v>
      </c>
      <c r="E165" s="1" t="str">
        <f ca="1">IFERROR(__xludf.DUMMYFUNCTION("""COMPUTED_VALUE"""),"RINDY RAFIDA")</f>
        <v>RINDY RAFIDA</v>
      </c>
      <c r="F165" s="1" t="str">
        <f ca="1">IFERROR(__xludf.DUMMYFUNCTION("""COMPUTED_VALUE"""),"06211940000094")</f>
        <v>06211940000094</v>
      </c>
      <c r="G165" s="1" t="str">
        <f ca="1">IFERROR(__xludf.DUMMYFUNCTION("""COMPUTED_VALUE"""),"Departemen Statistika")</f>
        <v>Departemen Statistika</v>
      </c>
      <c r="H165" s="1" t="str">
        <f ca="1">IFERROR(__xludf.DUMMYFUNCTION("""COMPUTED_VALUE"""),"Dr. Dra. Kartika Fithriasari, M.Si.")</f>
        <v>Dr. Dra. Kartika Fithriasari, M.Si.</v>
      </c>
      <c r="I165" s="1" t="str">
        <f ca="1">IFERROR(__xludf.DUMMYFUNCTION("""COMPUTED_VALUE"""),"PUTRI NURDIANTI")</f>
        <v>PUTRI NURDIANTI</v>
      </c>
      <c r="J165" s="1" t="str">
        <f ca="1">IFERROR(__xludf.DUMMYFUNCTION("""COMPUTED_VALUE"""),"06211940000088")</f>
        <v>06211940000088</v>
      </c>
      <c r="K165" s="1" t="str">
        <f ca="1">IFERROR(__xludf.DUMMYFUNCTION("""COMPUTED_VALUE"""),"Departemen Statistika")</f>
        <v>Departemen Statistika</v>
      </c>
      <c r="L165" s="1" t="str">
        <f ca="1">IFERROR(__xludf.DUMMYFUNCTION("""COMPUTED_VALUE"""),"Zanzabila Rehanisya Firdhani")</f>
        <v>Zanzabila Rehanisya Firdhani</v>
      </c>
      <c r="M165" s="1" t="str">
        <f ca="1">IFERROR(__xludf.DUMMYFUNCTION("""COMPUTED_VALUE"""),"06211940000029")</f>
        <v>06211940000029</v>
      </c>
      <c r="N165" s="1" t="str">
        <f ca="1">IFERROR(__xludf.DUMMYFUNCTION("""COMPUTED_VALUE"""),"Departemen Statistika")</f>
        <v>Departemen Statistika</v>
      </c>
      <c r="O165" s="1" t="str">
        <f ca="1">IFERROR(__xludf.DUMMYFUNCTION("""COMPUTED_VALUE"""),"Kevina Windy Arlianni")</f>
        <v>Kevina Windy Arlianni</v>
      </c>
      <c r="P165" s="1" t="str">
        <f ca="1">IFERROR(__xludf.DUMMYFUNCTION("""COMPUTED_VALUE"""),"06211940000047")</f>
        <v>06211940000047</v>
      </c>
      <c r="Q165" s="1" t="str">
        <f ca="1">IFERROR(__xludf.DUMMYFUNCTION("""COMPUTED_VALUE"""),"Departemen Statistika")</f>
        <v>Departemen Statistika</v>
      </c>
      <c r="R165" s="1" t="str">
        <f ca="1">IFERROR(__xludf.DUMMYFUNCTION("""COMPUTED_VALUE"""),"MELLINA EKA FITRIANI")</f>
        <v>MELLINA EKA FITRIANI</v>
      </c>
      <c r="S165" s="1" t="str">
        <f ca="1">IFERROR(__xludf.DUMMYFUNCTION("""COMPUTED_VALUE"""),"06211940000099")</f>
        <v>06211940000099</v>
      </c>
      <c r="T165" s="1" t="str">
        <f ca="1">IFERROR(__xludf.DUMMYFUNCTION("""COMPUTED_VALUE"""),"Departemen Statistika")</f>
        <v>Departemen Statistika</v>
      </c>
      <c r="U165" s="1" t="str">
        <f ca="1">IFERROR(__xludf.DUMMYFUNCTION("""COMPUTED_VALUE"""),"Muchammad Nurif, S.E., M.T.")</f>
        <v>Muchammad Nurif, S.E., M.T.</v>
      </c>
      <c r="V165" s="1" t="str">
        <f ca="1">IFERROR(__xludf.DUMMYFUNCTION("""COMPUTED_VALUE"""),"Bahalwan Apriyansyah, S.T., MBA.")</f>
        <v>Bahalwan Apriyansyah, S.T., MBA.</v>
      </c>
      <c r="W165" s="1"/>
      <c r="X165" s="1" t="str">
        <f ca="1">IFERROR(__xludf.DUMMYFUNCTION("""COMPUTED_VALUE"""),"Lolos")</f>
        <v>Lolos</v>
      </c>
      <c r="Y165" s="1"/>
      <c r="Z165" s="1"/>
      <c r="AA165" s="1"/>
    </row>
    <row r="166" spans="1:27">
      <c r="A166" s="1" t="s">
        <v>163</v>
      </c>
      <c r="B166" s="1">
        <f ca="1">IFERROR(__xludf.DUMMYFUNCTION("""COMPUTED_VALUE"""),2407)</f>
        <v>2407</v>
      </c>
      <c r="C166" s="1" t="str">
        <f ca="1">IFERROR(__xludf.DUMMYFUNCTION("""COMPUTED_VALUE"""),"PKM Kewirausahaan")</f>
        <v>PKM Kewirausahaan</v>
      </c>
      <c r="D166" s="1" t="str">
        <f ca="1">IFERROR(__xludf.DUMMYFUNCTION("""COMPUTED_VALUE"""),"Jasa Cetak dan Produksi PCB Berbasis CNC dan Sablon Otomatis")</f>
        <v>Jasa Cetak dan Produksi PCB Berbasis CNC dan Sablon Otomatis</v>
      </c>
      <c r="E166" s="1" t="str">
        <f ca="1">IFERROR(__xludf.DUMMYFUNCTION("""COMPUTED_VALUE"""),"BRYAN IRVANDO FICHRY")</f>
        <v>BRYAN IRVANDO FICHRY</v>
      </c>
      <c r="F166" s="1" t="str">
        <f ca="1">IFERROR(__xludf.DUMMYFUNCTION("""COMPUTED_VALUE"""),"10511910000015")</f>
        <v>10511910000015</v>
      </c>
      <c r="G166" s="1" t="str">
        <f ca="1">IFERROR(__xludf.DUMMYFUNCTION("""COMPUTED_VALUE"""),"Departemen Teknik Instrumentasi")</f>
        <v>Departemen Teknik Instrumentasi</v>
      </c>
      <c r="H166" s="1" t="str">
        <f ca="1">IFERROR(__xludf.DUMMYFUNCTION("""COMPUTED_VALUE"""),"Safira Firdaus Mujiyanti, S.T., M.T.")</f>
        <v>Safira Firdaus Mujiyanti, S.T., M.T.</v>
      </c>
      <c r="I166" s="1" t="str">
        <f ca="1">IFERROR(__xludf.DUMMYFUNCTION("""COMPUTED_VALUE"""),"FRISKA APRILIA KUSUMA ")</f>
        <v xml:space="preserve">FRISKA APRILIA KUSUMA </v>
      </c>
      <c r="J166" s="1" t="str">
        <f ca="1">IFERROR(__xludf.DUMMYFUNCTION("""COMPUTED_VALUE"""),"10511910000055")</f>
        <v>10511910000055</v>
      </c>
      <c r="K166" s="1" t="str">
        <f ca="1">IFERROR(__xludf.DUMMYFUNCTION("""COMPUTED_VALUE"""),"Departemen Teknik Instrumentasi")</f>
        <v>Departemen Teknik Instrumentasi</v>
      </c>
      <c r="L166" s="1" t="str">
        <f ca="1">IFERROR(__xludf.DUMMYFUNCTION("""COMPUTED_VALUE"""),"DYAH AYU RETNO WINARNI WIDODO")</f>
        <v>DYAH AYU RETNO WINARNI WIDODO</v>
      </c>
      <c r="M166" s="1" t="str">
        <f ca="1">IFERROR(__xludf.DUMMYFUNCTION("""COMPUTED_VALUE"""),"10511910000053")</f>
        <v>10511910000053</v>
      </c>
      <c r="N166" s="1" t="str">
        <f ca="1">IFERROR(__xludf.DUMMYFUNCTION("""COMPUTED_VALUE"""),"Departemen Teknik Instrumentasi")</f>
        <v>Departemen Teknik Instrumentasi</v>
      </c>
      <c r="O166" s="1" t="str">
        <f ca="1">IFERROR(__xludf.DUMMYFUNCTION("""COMPUTED_VALUE"""),"FADHIL BARIQ SUKMAJATI")</f>
        <v>FADHIL BARIQ SUKMAJATI</v>
      </c>
      <c r="P166" s="1" t="str">
        <f ca="1">IFERROR(__xludf.DUMMYFUNCTION("""COMPUTED_VALUE"""),"5012201072")</f>
        <v>5012201072</v>
      </c>
      <c r="Q166" s="1" t="str">
        <f ca="1">IFERROR(__xludf.DUMMYFUNCTION("""COMPUTED_VALUE"""),"Departemen Teknik Sipil")</f>
        <v>Departemen Teknik Sipil</v>
      </c>
      <c r="R166" s="1"/>
      <c r="S166" s="1"/>
      <c r="T166" s="1"/>
      <c r="U166" s="1" t="str">
        <f ca="1">IFERROR(__xludf.DUMMYFUNCTION("""COMPUTED_VALUE"""),"Ahmad Fauzan Adziimaa, S.T., M.Sc.")</f>
        <v>Ahmad Fauzan Adziimaa, S.T., M.Sc.</v>
      </c>
      <c r="V166" s="1" t="str">
        <f ca="1">IFERROR(__xludf.DUMMYFUNCTION("""COMPUTED_VALUE"""),"Dr. Hendro Juwono, M.Si.")</f>
        <v>Dr. Hendro Juwono, M.Si.</v>
      </c>
      <c r="W166" s="1"/>
      <c r="X166" s="1" t="str">
        <f ca="1">IFERROR(__xludf.DUMMYFUNCTION("""COMPUTED_VALUE"""),"Lolos")</f>
        <v>Lolos</v>
      </c>
      <c r="Y166" s="1"/>
      <c r="Z166" s="1"/>
      <c r="AA166" s="1"/>
    </row>
    <row r="167" spans="1:27">
      <c r="A167" s="1" t="s">
        <v>164</v>
      </c>
      <c r="B167" s="1">
        <f ca="1">IFERROR(__xludf.DUMMYFUNCTION("""COMPUTED_VALUE"""),2618)</f>
        <v>2618</v>
      </c>
      <c r="C167" s="1" t="str">
        <f ca="1">IFERROR(__xludf.DUMMYFUNCTION("""COMPUTED_VALUE"""),"PKM Kewirausahaan")</f>
        <v>PKM Kewirausahaan</v>
      </c>
      <c r="D167" s="1" t="str">
        <f ca="1">IFERROR(__xludf.DUMMYFUNCTION("""COMPUTED_VALUE"""),"Thriftment: Implementasi Showrooming pada Aplikasi Perantara Penjualan Pakaian Bekas dengan Virtual Fitting")</f>
        <v>Thriftment: Implementasi Showrooming pada Aplikasi Perantara Penjualan Pakaian Bekas dengan Virtual Fitting</v>
      </c>
      <c r="E167" s="1" t="str">
        <f ca="1">IFERROR(__xludf.DUMMYFUNCTION("""COMPUTED_VALUE"""),"MUHAMMAD FIRMANSYAH PRAYOGI")</f>
        <v>MUHAMMAD FIRMANSYAH PRAYOGI</v>
      </c>
      <c r="F167" s="1" t="str">
        <f ca="1">IFERROR(__xludf.DUMMYFUNCTION("""COMPUTED_VALUE"""),"5031201014")</f>
        <v>5031201014</v>
      </c>
      <c r="G167" s="1" t="str">
        <f ca="1">IFERROR(__xludf.DUMMYFUNCTION("""COMPUTED_VALUE"""),"Departemen Manajemen Bisnis")</f>
        <v>Departemen Manajemen Bisnis</v>
      </c>
      <c r="H167" s="1" t="str">
        <f ca="1">IFERROR(__xludf.DUMMYFUNCTION("""COMPUTED_VALUE"""),"Lissa Rosdiana Noer, S.T., M.MT.")</f>
        <v>Lissa Rosdiana Noer, S.T., M.MT.</v>
      </c>
      <c r="I167" s="1" t="str">
        <f ca="1">IFERROR(__xludf.DUMMYFUNCTION("""COMPUTED_VALUE"""),"AULIA MAGISTRANI RUDEND")</f>
        <v>AULIA MAGISTRANI RUDEND</v>
      </c>
      <c r="J167" s="1" t="str">
        <f ca="1">IFERROR(__xludf.DUMMYFUNCTION("""COMPUTED_VALUE"""),"5031201002")</f>
        <v>5031201002</v>
      </c>
      <c r="K167" s="1" t="str">
        <f ca="1">IFERROR(__xludf.DUMMYFUNCTION("""COMPUTED_VALUE"""),"Departemen Manajemen Bisnis")</f>
        <v>Departemen Manajemen Bisnis</v>
      </c>
      <c r="L167" s="1" t="str">
        <f ca="1">IFERROR(__xludf.DUMMYFUNCTION("""COMPUTED_VALUE"""),"HALLERED VISTALICA DEWANTI MAHARANI")</f>
        <v>HALLERED VISTALICA DEWANTI MAHARANI</v>
      </c>
      <c r="M167" s="1" t="str">
        <f ca="1">IFERROR(__xludf.DUMMYFUNCTION("""COMPUTED_VALUE"""),"5031201046")</f>
        <v>5031201046</v>
      </c>
      <c r="N167" s="1" t="str">
        <f ca="1">IFERROR(__xludf.DUMMYFUNCTION("""COMPUTED_VALUE"""),"Departemen Manajemen Bisnis")</f>
        <v>Departemen Manajemen Bisnis</v>
      </c>
      <c r="O167" s="1" t="str">
        <f ca="1">IFERROR(__xludf.DUMMYFUNCTION("""COMPUTED_VALUE"""),"ALFANDI BAKTI NUGROHO")</f>
        <v>ALFANDI BAKTI NUGROHO</v>
      </c>
      <c r="P167" s="1" t="str">
        <f ca="1">IFERROR(__xludf.DUMMYFUNCTION("""COMPUTED_VALUE"""),"5031201065")</f>
        <v>5031201065</v>
      </c>
      <c r="Q167" s="1" t="str">
        <f ca="1">IFERROR(__xludf.DUMMYFUNCTION("""COMPUTED_VALUE"""),"Departemen Manajemen Bisnis")</f>
        <v>Departemen Manajemen Bisnis</v>
      </c>
      <c r="R167" s="1" t="str">
        <f ca="1">IFERROR(__xludf.DUMMYFUNCTION("""COMPUTED_VALUE"""),"ANINDYA KAHFI DARMAWAN")</f>
        <v>ANINDYA KAHFI DARMAWAN</v>
      </c>
      <c r="S167" s="1" t="str">
        <f ca="1">IFERROR(__xludf.DUMMYFUNCTION("""COMPUTED_VALUE"""),"5031201073")</f>
        <v>5031201073</v>
      </c>
      <c r="T167" s="1" t="str">
        <f ca="1">IFERROR(__xludf.DUMMYFUNCTION("""COMPUTED_VALUE"""),"Departemen Manajemen Bisnis")</f>
        <v>Departemen Manajemen Bisnis</v>
      </c>
      <c r="U167" s="1" t="str">
        <f ca="1">IFERROR(__xludf.DUMMYFUNCTION("""COMPUTED_VALUE"""),"Ahmad Fauzan Adziimaa, S.T., M.Sc.")</f>
        <v>Ahmad Fauzan Adziimaa, S.T., M.Sc.</v>
      </c>
      <c r="V167" s="1" t="str">
        <f ca="1">IFERROR(__xludf.DUMMYFUNCTION("""COMPUTED_VALUE"""),"Daril Ridho Zuchrillah, S.T., M.T.")</f>
        <v>Daril Ridho Zuchrillah, S.T., M.T.</v>
      </c>
      <c r="W167" s="1"/>
      <c r="X167" s="1" t="str">
        <f ca="1">IFERROR(__xludf.DUMMYFUNCTION("""COMPUTED_VALUE"""),"Lolos")</f>
        <v>Lolos</v>
      </c>
      <c r="Y167" s="1"/>
      <c r="Z167" s="1"/>
      <c r="AA167" s="1"/>
    </row>
    <row r="168" spans="1:27">
      <c r="A168" s="1" t="s">
        <v>165</v>
      </c>
      <c r="B168" s="1">
        <f ca="1">IFERROR(__xludf.DUMMYFUNCTION("""COMPUTED_VALUE"""),2143)</f>
        <v>2143</v>
      </c>
      <c r="C168" s="1" t="str">
        <f ca="1">IFERROR(__xludf.DUMMYFUNCTION("""COMPUTED_VALUE"""),"PKM Kewirausahaan")</f>
        <v>PKM Kewirausahaan</v>
      </c>
      <c r="D168" s="1" t="str">
        <f ca="1">IFERROR(__xludf.DUMMYFUNCTION("""COMPUTED_VALUE"""),"Magtras (Maggot Trash) Sebagai Inovasi Bisnis Pengelolaan Sampah Organik Berbasis Maggot BSF untuk tercapainya dunia dengan pembangunan berkelanjutan 2030")</f>
        <v>Magtras (Maggot Trash) Sebagai Inovasi Bisnis Pengelolaan Sampah Organik Berbasis Maggot BSF untuk tercapainya dunia dengan pembangunan berkelanjutan 2030</v>
      </c>
      <c r="E168" s="1" t="str">
        <f ca="1">IFERROR(__xludf.DUMMYFUNCTION("""COMPUTED_VALUE"""),"WAFIYUDDIN TSALATSYANTO")</f>
        <v>WAFIYUDDIN TSALATSYANTO</v>
      </c>
      <c r="F168" s="1" t="str">
        <f ca="1">IFERROR(__xludf.DUMMYFUNCTION("""COMPUTED_VALUE"""),"5020201073")</f>
        <v>5020201073</v>
      </c>
      <c r="G168" s="1" t="str">
        <f ca="1">IFERROR(__xludf.DUMMYFUNCTION("""COMPUTED_VALUE"""),"Departemen Teknik Kelautan")</f>
        <v>Departemen Teknik Kelautan</v>
      </c>
      <c r="H168" s="1" t="str">
        <f ca="1">IFERROR(__xludf.DUMMYFUNCTION("""COMPUTED_VALUE"""),"Wimala Lalitya Dhanistha, S.T., M.T.")</f>
        <v>Wimala Lalitya Dhanistha, S.T., M.T.</v>
      </c>
      <c r="I168" s="1" t="str">
        <f ca="1">IFERROR(__xludf.DUMMYFUNCTION("""COMPUTED_VALUE"""),"ANISSA FEBRIANTI")</f>
        <v>ANISSA FEBRIANTI</v>
      </c>
      <c r="J168" s="1" t="str">
        <f ca="1">IFERROR(__xludf.DUMMYFUNCTION("""COMPUTED_VALUE"""),"5005201001")</f>
        <v>5005201001</v>
      </c>
      <c r="K168" s="1" t="str">
        <f ca="1">IFERROR(__xludf.DUMMYFUNCTION("""COMPUTED_VALUE"""),"Departemen Biologi")</f>
        <v>Departemen Biologi</v>
      </c>
      <c r="L168" s="1" t="str">
        <f ca="1">IFERROR(__xludf.DUMMYFUNCTION("""COMPUTED_VALUE"""),"NUZULUL SYAQAWATI AZZAHRA")</f>
        <v>NUZULUL SYAQAWATI AZZAHRA</v>
      </c>
      <c r="M168" s="1" t="str">
        <f ca="1">IFERROR(__xludf.DUMMYFUNCTION("""COMPUTED_VALUE"""),"5009201150")</f>
        <v>5009201150</v>
      </c>
      <c r="N168" s="1" t="str">
        <f ca="1">IFERROR(__xludf.DUMMYFUNCTION("""COMPUTED_VALUE"""),"Departemen Teknik Fisika")</f>
        <v>Departemen Teknik Fisika</v>
      </c>
      <c r="O168" s="1" t="str">
        <f ca="1">IFERROR(__xludf.DUMMYFUNCTION("""COMPUTED_VALUE"""),"ADHITYA PRATAMA M.P")</f>
        <v>ADHITYA PRATAMA M.P</v>
      </c>
      <c r="P168" s="1" t="str">
        <f ca="1">IFERROR(__xludf.DUMMYFUNCTION("""COMPUTED_VALUE"""),"5026211037")</f>
        <v>5026211037</v>
      </c>
      <c r="Q168" s="1" t="str">
        <f ca="1">IFERROR(__xludf.DUMMYFUNCTION("""COMPUTED_VALUE"""),"Departemen Sistem Informasi")</f>
        <v>Departemen Sistem Informasi</v>
      </c>
      <c r="R168" s="1"/>
      <c r="S168" s="1"/>
      <c r="T168" s="1"/>
      <c r="U168" s="1" t="str">
        <f ca="1">IFERROR(__xludf.DUMMYFUNCTION("""COMPUTED_VALUE"""),"Gita Widi Bhawika, S.ST., M.MT")</f>
        <v>Gita Widi Bhawika, S.ST., M.MT</v>
      </c>
      <c r="V168" s="1" t="str">
        <f ca="1">IFERROR(__xludf.DUMMYFUNCTION("""COMPUTED_VALUE"""),"Daril Ridho Zuchrillah, S.T., M.T.")</f>
        <v>Daril Ridho Zuchrillah, S.T., M.T.</v>
      </c>
      <c r="W168" s="1"/>
      <c r="X168" s="1" t="str">
        <f ca="1">IFERROR(__xludf.DUMMYFUNCTION("""COMPUTED_VALUE"""),"Lolos")</f>
        <v>Lolos</v>
      </c>
      <c r="Y168" s="1"/>
      <c r="Z168" s="1"/>
      <c r="AA168" s="1"/>
    </row>
    <row r="169" spans="1:27">
      <c r="A169" s="1" t="s">
        <v>166</v>
      </c>
      <c r="B169" s="1">
        <f ca="1">IFERROR(__xludf.DUMMYFUNCTION("""COMPUTED_VALUE"""),2894)</f>
        <v>2894</v>
      </c>
      <c r="C169" s="1" t="str">
        <f ca="1">IFERROR(__xludf.DUMMYFUNCTION("""COMPUTED_VALUE"""),"PKM Kewirausahaan")</f>
        <v>PKM Kewirausahaan</v>
      </c>
      <c r="D169" s="1" t="str">
        <f ca="1">IFERROR(__xludf.DUMMYFUNCTION("""COMPUTED_VALUE"""),"PENGEMBANGAN APLIKASI GOFFICE SEBAGAI DIGITALISASI UMKM BISNIS FOTOKOPI DAN PERCETAKAN DI SURABAYA")</f>
        <v>PENGEMBANGAN APLIKASI GOFFICE SEBAGAI DIGITALISASI UMKM BISNIS FOTOKOPI DAN PERCETAKAN DI SURABAYA</v>
      </c>
      <c r="E169" s="1" t="str">
        <f ca="1">IFERROR(__xludf.DUMMYFUNCTION("""COMPUTED_VALUE"""),"ADIELLA FADIA ADITYA")</f>
        <v>ADIELLA FADIA ADITYA</v>
      </c>
      <c r="F169" s="1" t="str">
        <f ca="1">IFERROR(__xludf.DUMMYFUNCTION("""COMPUTED_VALUE"""),"5002201013")</f>
        <v>5002201013</v>
      </c>
      <c r="G169" s="1" t="str">
        <f ca="1">IFERROR(__xludf.DUMMYFUNCTION("""COMPUTED_VALUE"""),"Departemen Matematika")</f>
        <v>Departemen Matematika</v>
      </c>
      <c r="H169" s="1" t="str">
        <f ca="1">IFERROR(__xludf.DUMMYFUNCTION("""COMPUTED_VALUE"""),"Alvida Mustika Rukmi, S.Si, M.Si")</f>
        <v>Alvida Mustika Rukmi, S.Si, M.Si</v>
      </c>
      <c r="I169" s="1" t="str">
        <f ca="1">IFERROR(__xludf.DUMMYFUNCTION("""COMPUTED_VALUE"""),"NIDA ATUS SA`ADAH")</f>
        <v>NIDA ATUS SA`ADAH</v>
      </c>
      <c r="J169" s="1" t="str">
        <f ca="1">IFERROR(__xludf.DUMMYFUNCTION("""COMPUTED_VALUE"""),"5002201030")</f>
        <v>5002201030</v>
      </c>
      <c r="K169" s="1" t="str">
        <f ca="1">IFERROR(__xludf.DUMMYFUNCTION("""COMPUTED_VALUE"""),"Departemen Matematika")</f>
        <v>Departemen Matematika</v>
      </c>
      <c r="L169" s="1" t="str">
        <f ca="1">IFERROR(__xludf.DUMMYFUNCTION("""COMPUTED_VALUE"""),"DYAH AYU PUSPITA NINGRUM")</f>
        <v>DYAH AYU PUSPITA NINGRUM</v>
      </c>
      <c r="M169" s="1" t="str">
        <f ca="1">IFERROR(__xludf.DUMMYFUNCTION("""COMPUTED_VALUE"""),"5002201080")</f>
        <v>5002201080</v>
      </c>
      <c r="N169" s="1" t="str">
        <f ca="1">IFERROR(__xludf.DUMMYFUNCTION("""COMPUTED_VALUE"""),"Departemen Matematika")</f>
        <v>Departemen Matematika</v>
      </c>
      <c r="O169" s="1" t="str">
        <f ca="1">IFERROR(__xludf.DUMMYFUNCTION("""COMPUTED_VALUE"""),"ELA NUR AINI")</f>
        <v>ELA NUR AINI</v>
      </c>
      <c r="P169" s="1" t="str">
        <f ca="1">IFERROR(__xludf.DUMMYFUNCTION("""COMPUTED_VALUE"""),"5002201116")</f>
        <v>5002201116</v>
      </c>
      <c r="Q169" s="1" t="str">
        <f ca="1">IFERROR(__xludf.DUMMYFUNCTION("""COMPUTED_VALUE"""),"Departemen Matematika")</f>
        <v>Departemen Matematika</v>
      </c>
      <c r="R169" s="1" t="str">
        <f ca="1">IFERROR(__xludf.DUMMYFUNCTION("""COMPUTED_VALUE"""),"FACHRENDY ZULFIKAR ABDILLAH")</f>
        <v>FACHRENDY ZULFIKAR ABDILLAH</v>
      </c>
      <c r="S169" s="1" t="str">
        <f ca="1">IFERROR(__xludf.DUMMYFUNCTION("""COMPUTED_VALUE"""),"5025201018")</f>
        <v>5025201018</v>
      </c>
      <c r="T169" s="1" t="str">
        <f ca="1">IFERROR(__xludf.DUMMYFUNCTION("""COMPUTED_VALUE"""),"Departemen Teknik Informatika")</f>
        <v>Departemen Teknik Informatika</v>
      </c>
      <c r="U169" s="1" t="str">
        <f ca="1">IFERROR(__xludf.DUMMYFUNCTION("""COMPUTED_VALUE"""),"Gita Widi Bhawika, S.ST., M.MT")</f>
        <v>Gita Widi Bhawika, S.ST., M.MT</v>
      </c>
      <c r="V169" s="1" t="str">
        <f ca="1">IFERROR(__xludf.DUMMYFUNCTION("""COMPUTED_VALUE"""),"Sena Safarina , S.Si., M.Sc., D.Sc")</f>
        <v>Sena Safarina , S.Si., M.Sc., D.Sc</v>
      </c>
      <c r="W169" s="1"/>
      <c r="X169" s="1" t="str">
        <f ca="1">IFERROR(__xludf.DUMMYFUNCTION("""COMPUTED_VALUE"""),"Lolos")</f>
        <v>Lolos</v>
      </c>
      <c r="Y169" s="1"/>
      <c r="Z169" s="1"/>
      <c r="AA169" s="1"/>
    </row>
    <row r="170" spans="1:27">
      <c r="A170" s="1" t="s">
        <v>167</v>
      </c>
      <c r="B170" s="1">
        <f ca="1">IFERROR(__xludf.DUMMYFUNCTION("""COMPUTED_VALUE"""),4038)</f>
        <v>4038</v>
      </c>
      <c r="C170" s="1" t="str">
        <f ca="1">IFERROR(__xludf.DUMMYFUNCTION("""COMPUTED_VALUE"""),"PKM Kewirausahaan")</f>
        <v>PKM Kewirausahaan</v>
      </c>
      <c r="D170" s="1" t="str">
        <f ca="1">IFERROR(__xludf.DUMMYFUNCTION("""COMPUTED_VALUE"""),"Sima: SIMA : Menginang Kekinian untuk Menjaga Kesehatan Gigi di Era Modern")</f>
        <v>Sima: SIMA : Menginang Kekinian untuk Menjaga Kesehatan Gigi di Era Modern</v>
      </c>
      <c r="E170" s="1" t="str">
        <f ca="1">IFERROR(__xludf.DUMMYFUNCTION("""COMPUTED_VALUE"""),"Inez Nabila Yustisia")</f>
        <v>Inez Nabila Yustisia</v>
      </c>
      <c r="F170" s="1" t="str">
        <f ca="1">IFERROR(__xludf.DUMMYFUNCTION("""COMPUTED_VALUE"""),"5014211096")</f>
        <v>5014211096</v>
      </c>
      <c r="G170" s="1" t="str">
        <f ca="1">IFERROR(__xludf.DUMMYFUNCTION("""COMPUTED_VALUE"""),"Departemen Teknik Lingkungan")</f>
        <v>Departemen Teknik Lingkungan</v>
      </c>
      <c r="H170" s="1" t="str">
        <f ca="1">IFERROR(__xludf.DUMMYFUNCTION("""COMPUTED_VALUE"""),"Deqi Rizkivia Radita, S.T., M.Sc.")</f>
        <v>Deqi Rizkivia Radita, S.T., M.Sc.</v>
      </c>
      <c r="I170" s="1" t="str">
        <f ca="1">IFERROR(__xludf.DUMMYFUNCTION("""COMPUTED_VALUE"""),"Peter Manurung")</f>
        <v>Peter Manurung</v>
      </c>
      <c r="J170" s="1" t="str">
        <f ca="1">IFERROR(__xludf.DUMMYFUNCTION("""COMPUTED_VALUE"""),"5014211095")</f>
        <v>5014211095</v>
      </c>
      <c r="K170" s="1" t="str">
        <f ca="1">IFERROR(__xludf.DUMMYFUNCTION("""COMPUTED_VALUE"""),"Departemen Teknik Lingkungan")</f>
        <v>Departemen Teknik Lingkungan</v>
      </c>
      <c r="L170" s="1" t="str">
        <f ca="1">IFERROR(__xludf.DUMMYFUNCTION("""COMPUTED_VALUE"""),"Melati Nur Aini C.")</f>
        <v>Melati Nur Aini C.</v>
      </c>
      <c r="M170" s="1" t="str">
        <f ca="1">IFERROR(__xludf.DUMMYFUNCTION("""COMPUTED_VALUE"""),"5014211004")</f>
        <v>5014211004</v>
      </c>
      <c r="N170" s="1" t="str">
        <f ca="1">IFERROR(__xludf.DUMMYFUNCTION("""COMPUTED_VALUE"""),"Departemen Teknik Lingkungan")</f>
        <v>Departemen Teknik Lingkungan</v>
      </c>
      <c r="O170" s="1" t="str">
        <f ca="1">IFERROR(__xludf.DUMMYFUNCTION("""COMPUTED_VALUE"""),"AL FATIH FADHILAH JIHAN L")</f>
        <v>AL FATIH FADHILAH JIHAN L</v>
      </c>
      <c r="P170" s="1" t="str">
        <f ca="1">IFERROR(__xludf.DUMMYFUNCTION("""COMPUTED_VALUE"""),"03211940000108")</f>
        <v>03211940000108</v>
      </c>
      <c r="Q170" s="1" t="str">
        <f ca="1">IFERROR(__xludf.DUMMYFUNCTION("""COMPUTED_VALUE"""),"Departemen Teknik Lingkungan")</f>
        <v>Departemen Teknik Lingkungan</v>
      </c>
      <c r="R170" s="1"/>
      <c r="S170" s="1"/>
      <c r="T170" s="1"/>
      <c r="U170" s="1" t="str">
        <f ca="1">IFERROR(__xludf.DUMMYFUNCTION("""COMPUTED_VALUE"""),"Dr. Adithya Sudiarno, S.T., M.T.")</f>
        <v>Dr. Adithya Sudiarno, S.T., M.T.</v>
      </c>
      <c r="V170" s="1" t="str">
        <f ca="1">IFERROR(__xludf.DUMMYFUNCTION("""COMPUTED_VALUE"""),"Daril Ridho Zuchrillah, S.T., M.T.")</f>
        <v>Daril Ridho Zuchrillah, S.T., M.T.</v>
      </c>
      <c r="W170" s="1"/>
      <c r="X170" s="1" t="str">
        <f ca="1">IFERROR(__xludf.DUMMYFUNCTION("""COMPUTED_VALUE"""),"Lolos")</f>
        <v>Lolos</v>
      </c>
      <c r="Y170" s="1"/>
      <c r="Z170" s="1"/>
      <c r="AA170" s="1"/>
    </row>
    <row r="171" spans="1:27">
      <c r="A171" s="1" t="s">
        <v>168</v>
      </c>
      <c r="B171" s="1">
        <f ca="1">IFERROR(__xludf.DUMMYFUNCTION("""COMPUTED_VALUE"""),3815)</f>
        <v>3815</v>
      </c>
      <c r="C171" s="1" t="str">
        <f ca="1">IFERROR(__xludf.DUMMYFUNCTION("""COMPUTED_VALUE"""),"PKM Kewirausahaan")</f>
        <v>PKM Kewirausahaan</v>
      </c>
      <c r="D171" s="1" t="str">
        <f ca="1">IFERROR(__xludf.DUMMYFUNCTION("""COMPUTED_VALUE"""),"Verdant: Aplikasi Penyedia Jasa Layanan  Desain Taman Rumah Berbasis Teknologi 3d Modelling")</f>
        <v>Verdant: Aplikasi Penyedia Jasa Layanan  Desain Taman Rumah Berbasis Teknologi 3d Modelling</v>
      </c>
      <c r="E171" s="1" t="str">
        <f ca="1">IFERROR(__xludf.DUMMYFUNCTION("""COMPUTED_VALUE"""),"MUHAMMAD HANAN ADLI ")</f>
        <v xml:space="preserve">MUHAMMAD HANAN ADLI </v>
      </c>
      <c r="F171" s="1" t="str">
        <f ca="1">IFERROR(__xludf.DUMMYFUNCTION("""COMPUTED_VALUE"""),"5010211156")</f>
        <v>5010211156</v>
      </c>
      <c r="G171" s="1" t="str">
        <f ca="1">IFERROR(__xludf.DUMMYFUNCTION("""COMPUTED_VALUE"""),"Departemen Teknik Sistem dan Industri")</f>
        <v>Departemen Teknik Sistem dan Industri</v>
      </c>
      <c r="H171" s="1" t="str">
        <f ca="1">IFERROR(__xludf.DUMMYFUNCTION("""COMPUTED_VALUE"""),"Atikah Aghdhi Pratiwi, S.T., M.T.")</f>
        <v>Atikah Aghdhi Pratiwi, S.T., M.T.</v>
      </c>
      <c r="I171" s="1" t="str">
        <f ca="1">IFERROR(__xludf.DUMMYFUNCTION("""COMPUTED_VALUE"""),"FARAH AFADA ZAHRA")</f>
        <v>FARAH AFADA ZAHRA</v>
      </c>
      <c r="J171" s="1" t="str">
        <f ca="1">IFERROR(__xludf.DUMMYFUNCTION("""COMPUTED_VALUE"""),"5010211026")</f>
        <v>5010211026</v>
      </c>
      <c r="K171" s="1" t="str">
        <f ca="1">IFERROR(__xludf.DUMMYFUNCTION("""COMPUTED_VALUE"""),"Departemen Teknik Sistem dan Industri")</f>
        <v>Departemen Teknik Sistem dan Industri</v>
      </c>
      <c r="L171" s="1" t="str">
        <f ca="1">IFERROR(__xludf.DUMMYFUNCTION("""COMPUTED_VALUE"""),"M.Syamsuddin Hafizh")</f>
        <v>M.Syamsuddin Hafizh</v>
      </c>
      <c r="M171" s="1" t="str">
        <f ca="1">IFERROR(__xludf.DUMMYFUNCTION("""COMPUTED_VALUE"""),"5010211092")</f>
        <v>5010211092</v>
      </c>
      <c r="N171" s="1" t="str">
        <f ca="1">IFERROR(__xludf.DUMMYFUNCTION("""COMPUTED_VALUE"""),"Departemen Teknik Sistem dan Industri")</f>
        <v>Departemen Teknik Sistem dan Industri</v>
      </c>
      <c r="O171" s="1" t="str">
        <f ca="1">IFERROR(__xludf.DUMMYFUNCTION("""COMPUTED_VALUE"""),"Aldy Trilaksono")</f>
        <v>Aldy Trilaksono</v>
      </c>
      <c r="P171" s="1" t="str">
        <f ca="1">IFERROR(__xludf.DUMMYFUNCTION("""COMPUTED_VALUE"""),"5010211125")</f>
        <v>5010211125</v>
      </c>
      <c r="Q171" s="1" t="str">
        <f ca="1">IFERROR(__xludf.DUMMYFUNCTION("""COMPUTED_VALUE"""),"Departemen Teknik Sistem dan Industri")</f>
        <v>Departemen Teknik Sistem dan Industri</v>
      </c>
      <c r="R171" s="1" t="str">
        <f ca="1">IFERROR(__xludf.DUMMYFUNCTION("""COMPUTED_VALUE"""),"AULIA WINNY ZAFIRA ")</f>
        <v xml:space="preserve">AULIA WINNY ZAFIRA </v>
      </c>
      <c r="S171" s="1" t="str">
        <f ca="1">IFERROR(__xludf.DUMMYFUNCTION("""COMPUTED_VALUE"""),"5010211144")</f>
        <v>5010211144</v>
      </c>
      <c r="T171" s="1" t="str">
        <f ca="1">IFERROR(__xludf.DUMMYFUNCTION("""COMPUTED_VALUE"""),"Departemen Teknik Sistem dan Industri")</f>
        <v>Departemen Teknik Sistem dan Industri</v>
      </c>
      <c r="U171" s="1" t="str">
        <f ca="1">IFERROR(__xludf.DUMMYFUNCTION("""COMPUTED_VALUE"""),"Dr. Adithya Sudiarno, S.T., M.T.")</f>
        <v>Dr. Adithya Sudiarno, S.T., M.T.</v>
      </c>
      <c r="V171" s="1" t="str">
        <f ca="1">IFERROR(__xludf.DUMMYFUNCTION("""COMPUTED_VALUE"""),"Daril Ridho Zuchrillah, S.T., M.T.")</f>
        <v>Daril Ridho Zuchrillah, S.T., M.T.</v>
      </c>
      <c r="W171" s="1"/>
      <c r="X171" s="1" t="str">
        <f ca="1">IFERROR(__xludf.DUMMYFUNCTION("""COMPUTED_VALUE"""),"Lolos")</f>
        <v>Lolos</v>
      </c>
      <c r="Y171" s="1"/>
      <c r="Z171" s="1"/>
      <c r="AA171" s="1"/>
    </row>
    <row r="172" spans="1:27">
      <c r="A172" s="1" t="s">
        <v>169</v>
      </c>
      <c r="B172" s="1">
        <f ca="1">IFERROR(__xludf.DUMMYFUNCTION("""COMPUTED_VALUE"""),2065)</f>
        <v>2065</v>
      </c>
      <c r="C172" s="1" t="str">
        <f ca="1">IFERROR(__xludf.DUMMYFUNCTION("""COMPUTED_VALUE"""),"PKM Kewirausahaan")</f>
        <v>PKM Kewirausahaan</v>
      </c>
      <c r="D172" s="1" t="str">
        <f ca="1">IFERROR(__xludf.DUMMYFUNCTION("""COMPUTED_VALUE"""),"Inovasi Permainan Kartu Kuartet dengan Fitur Augmented Reality guna Membentuk Sikap Peduli Lingkungan bagi Anak-anak")</f>
        <v>Inovasi Permainan Kartu Kuartet dengan Fitur Augmented Reality guna Membentuk Sikap Peduli Lingkungan bagi Anak-anak</v>
      </c>
      <c r="E172" s="1" t="str">
        <f ca="1">IFERROR(__xludf.DUMMYFUNCTION("""COMPUTED_VALUE"""),"ZAKIYATUL ROFIKHOH")</f>
        <v>ZAKIYATUL ROFIKHOH</v>
      </c>
      <c r="F172" s="1" t="str">
        <f ca="1">IFERROR(__xludf.DUMMYFUNCTION("""COMPUTED_VALUE"""),"5014201003")</f>
        <v>5014201003</v>
      </c>
      <c r="G172" s="1" t="str">
        <f ca="1">IFERROR(__xludf.DUMMYFUNCTION("""COMPUTED_VALUE"""),"Departemen Teknik Lingkungan")</f>
        <v>Departemen Teknik Lingkungan</v>
      </c>
      <c r="H172" s="1" t="str">
        <f ca="1">IFERROR(__xludf.DUMMYFUNCTION("""COMPUTED_VALUE"""),"Ainul Firdatun Nisaa, S.T., M.Sc.")</f>
        <v>Ainul Firdatun Nisaa, S.T., M.Sc.</v>
      </c>
      <c r="I172" s="1" t="str">
        <f ca="1">IFERROR(__xludf.DUMMYFUNCTION("""COMPUTED_VALUE"""),"Aisyah Amalia")</f>
        <v>Aisyah Amalia</v>
      </c>
      <c r="J172" s="1" t="str">
        <f ca="1">IFERROR(__xludf.DUMMYFUNCTION("""COMPUTED_VALUE"""),"5014211018")</f>
        <v>5014211018</v>
      </c>
      <c r="K172" s="1" t="str">
        <f ca="1">IFERROR(__xludf.DUMMYFUNCTION("""COMPUTED_VALUE"""),"Departemen Teknik Lingkungan")</f>
        <v>Departemen Teknik Lingkungan</v>
      </c>
      <c r="L172" s="1" t="str">
        <f ca="1">IFERROR(__xludf.DUMMYFUNCTION("""COMPUTED_VALUE"""),"Heryanda Aqshadiova")</f>
        <v>Heryanda Aqshadiova</v>
      </c>
      <c r="M172" s="1" t="str">
        <f ca="1">IFERROR(__xludf.DUMMYFUNCTION("""COMPUTED_VALUE"""),"5014211055")</f>
        <v>5014211055</v>
      </c>
      <c r="N172" s="1" t="str">
        <f ca="1">IFERROR(__xludf.DUMMYFUNCTION("""COMPUTED_VALUE"""),"Departemen Teknik Lingkungan")</f>
        <v>Departemen Teknik Lingkungan</v>
      </c>
      <c r="O172" s="1" t="str">
        <f ca="1">IFERROR(__xludf.DUMMYFUNCTION("""COMPUTED_VALUE"""),"ZURAIDA NURSYAMSIYAH")</f>
        <v>ZURAIDA NURSYAMSIYAH</v>
      </c>
      <c r="P172" s="1" t="str">
        <f ca="1">IFERROR(__xludf.DUMMYFUNCTION("""COMPUTED_VALUE"""),"5014211051")</f>
        <v>5014211051</v>
      </c>
      <c r="Q172" s="1" t="str">
        <f ca="1">IFERROR(__xludf.DUMMYFUNCTION("""COMPUTED_VALUE"""),"Departemen Teknik Lingkungan")</f>
        <v>Departemen Teknik Lingkungan</v>
      </c>
      <c r="R172" s="1"/>
      <c r="S172" s="1"/>
      <c r="T172" s="1"/>
      <c r="U172" s="1" t="str">
        <f ca="1">IFERROR(__xludf.DUMMYFUNCTION("""COMPUTED_VALUE"""),"Muchammad Nurif, S.E., M.T.")</f>
        <v>Muchammad Nurif, S.E., M.T.</v>
      </c>
      <c r="V172" s="1" t="str">
        <f ca="1">IFERROR(__xludf.DUMMYFUNCTION("""COMPUTED_VALUE"""),"Bahalwan Apriyansyah, S.T., MBA.")</f>
        <v>Bahalwan Apriyansyah, S.T., MBA.</v>
      </c>
      <c r="W172" s="1"/>
      <c r="X172" s="1" t="str">
        <f ca="1">IFERROR(__xludf.DUMMYFUNCTION("""COMPUTED_VALUE"""),"Lolos")</f>
        <v>Lolos</v>
      </c>
      <c r="Y172" s="1"/>
      <c r="Z172" s="1"/>
      <c r="AA172" s="1"/>
    </row>
    <row r="173" spans="1:27">
      <c r="A173" s="1" t="s">
        <v>170</v>
      </c>
      <c r="B173" s="1">
        <f ca="1">IFERROR(__xludf.DUMMYFUNCTION("""COMPUTED_VALUE"""),2087)</f>
        <v>2087</v>
      </c>
      <c r="C173" s="1" t="str">
        <f ca="1">IFERROR(__xludf.DUMMYFUNCTION("""COMPUTED_VALUE"""),"PKM Kewirausahaan")</f>
        <v>PKM Kewirausahaan</v>
      </c>
      <c r="D173" s="1" t="str">
        <f ca="1">IFERROR(__xludf.DUMMYFUNCTION("""COMPUTED_VALUE"""),"NFT AVATAR PIXEL ART MAKER")</f>
        <v>NFT AVATAR PIXEL ART MAKER</v>
      </c>
      <c r="E173" s="1" t="str">
        <f ca="1">IFERROR(__xludf.DUMMYFUNCTION("""COMPUTED_VALUE"""),"PUTU NICOLAS DESPLAT")</f>
        <v>PUTU NICOLAS DESPLAT</v>
      </c>
      <c r="F173" s="1" t="str">
        <f ca="1">IFERROR(__xludf.DUMMYFUNCTION("""COMPUTED_VALUE"""),"5006211104")</f>
        <v>5006211104</v>
      </c>
      <c r="G173" s="1" t="str">
        <f ca="1">IFERROR(__xludf.DUMMYFUNCTION("""COMPUTED_VALUE"""),"Departemen Aktuaria")</f>
        <v>Departemen Aktuaria</v>
      </c>
      <c r="H173" s="1" t="str">
        <f ca="1">IFERROR(__xludf.DUMMYFUNCTION("""COMPUTED_VALUE"""),"Imam Safawi Ahmad, S.Si., M.Si.")</f>
        <v>Imam Safawi Ahmad, S.Si., M.Si.</v>
      </c>
      <c r="I173" s="1" t="str">
        <f ca="1">IFERROR(__xludf.DUMMYFUNCTION("""COMPUTED_VALUE"""),"M Fathi Farhat")</f>
        <v>M Fathi Farhat</v>
      </c>
      <c r="J173" s="1" t="str">
        <f ca="1">IFERROR(__xludf.DUMMYFUNCTION("""COMPUTED_VALUE"""),"5024211065")</f>
        <v>5024211065</v>
      </c>
      <c r="K173" s="1" t="str">
        <f ca="1">IFERROR(__xludf.DUMMYFUNCTION("""COMPUTED_VALUE"""),"Departemen Teknik Komputer")</f>
        <v>Departemen Teknik Komputer</v>
      </c>
      <c r="L173" s="1" t="str">
        <f ca="1">IFERROR(__xludf.DUMMYFUNCTION("""COMPUTED_VALUE"""),"JESSLYN")</f>
        <v>JESSLYN</v>
      </c>
      <c r="M173" s="1" t="str">
        <f ca="1">IFERROR(__xludf.DUMMYFUNCTION("""COMPUTED_VALUE"""),"5006211028")</f>
        <v>5006211028</v>
      </c>
      <c r="N173" s="1" t="str">
        <f ca="1">IFERROR(__xludf.DUMMYFUNCTION("""COMPUTED_VALUE"""),"Departemen Aktuaria")</f>
        <v>Departemen Aktuaria</v>
      </c>
      <c r="O173" s="1" t="str">
        <f ca="1">IFERROR(__xludf.DUMMYFUNCTION("""COMPUTED_VALUE"""),"Aprilita Nur Pamudji")</f>
        <v>Aprilita Nur Pamudji</v>
      </c>
      <c r="P173" s="1" t="str">
        <f ca="1">IFERROR(__xludf.DUMMYFUNCTION("""COMPUTED_VALUE"""),"5002211153")</f>
        <v>5002211153</v>
      </c>
      <c r="Q173" s="1" t="str">
        <f ca="1">IFERROR(__xludf.DUMMYFUNCTION("""COMPUTED_VALUE"""),"Departemen Matematika")</f>
        <v>Departemen Matematika</v>
      </c>
      <c r="R173" s="1" t="str">
        <f ca="1">IFERROR(__xludf.DUMMYFUNCTION("""COMPUTED_VALUE"""),"AVE GOMOS PARAPAT")</f>
        <v>AVE GOMOS PARAPAT</v>
      </c>
      <c r="S173" s="1" t="str">
        <f ca="1">IFERROR(__xludf.DUMMYFUNCTION("""COMPUTED_VALUE"""),"5006211095")</f>
        <v>5006211095</v>
      </c>
      <c r="T173" s="1" t="str">
        <f ca="1">IFERROR(__xludf.DUMMYFUNCTION("""COMPUTED_VALUE"""),"Departemen Aktuaria")</f>
        <v>Departemen Aktuaria</v>
      </c>
      <c r="U173" s="1" t="str">
        <f ca="1">IFERROR(__xludf.DUMMYFUNCTION("""COMPUTED_VALUE"""),"Muchammad Nurif, S.E., M.T.")</f>
        <v>Muchammad Nurif, S.E., M.T.</v>
      </c>
      <c r="V173" s="1" t="str">
        <f ca="1">IFERROR(__xludf.DUMMYFUNCTION("""COMPUTED_VALUE"""),"Bahalwan Apriyansyah, S.T., MBA.")</f>
        <v>Bahalwan Apriyansyah, S.T., MBA.</v>
      </c>
      <c r="W173" s="1"/>
      <c r="X173" s="1" t="str">
        <f ca="1">IFERROR(__xludf.DUMMYFUNCTION("""COMPUTED_VALUE"""),"Lolos")</f>
        <v>Lolos</v>
      </c>
      <c r="Y173" s="1"/>
      <c r="Z173" s="1"/>
      <c r="AA173" s="1"/>
    </row>
    <row r="174" spans="1:27">
      <c r="A174" s="1" t="s">
        <v>171</v>
      </c>
      <c r="B174" s="1">
        <f ca="1">IFERROR(__xludf.DUMMYFUNCTION("""COMPUTED_VALUE"""),3009)</f>
        <v>3009</v>
      </c>
      <c r="C174" s="1" t="str">
        <f ca="1">IFERROR(__xludf.DUMMYFUNCTION("""COMPUTED_VALUE"""),"PKM Kewirausahaan")</f>
        <v>PKM Kewirausahaan</v>
      </c>
      <c r="D174" s="1" t="str">
        <f ca="1">IFERROR(__xludf.DUMMYFUNCTION("""COMPUTED_VALUE"""),"Pengaplikasian Global Positioning System untuk Informasi Titik Kepadatan serta Kesediaan Tempat Umum Berbasis Realtime")</f>
        <v>Pengaplikasian Global Positioning System untuk Informasi Titik Kepadatan serta Kesediaan Tempat Umum Berbasis Realtime</v>
      </c>
      <c r="E174" s="1" t="str">
        <f ca="1">IFERROR(__xludf.DUMMYFUNCTION("""COMPUTED_VALUE"""),"GANDHES ALAMANDA")</f>
        <v>GANDHES ALAMANDA</v>
      </c>
      <c r="F174" s="1" t="str">
        <f ca="1">IFERROR(__xludf.DUMMYFUNCTION("""COMPUTED_VALUE"""),"5003211096")</f>
        <v>5003211096</v>
      </c>
      <c r="G174" s="1" t="str">
        <f ca="1">IFERROR(__xludf.DUMMYFUNCTION("""COMPUTED_VALUE"""),"Departemen Statistika")</f>
        <v>Departemen Statistika</v>
      </c>
      <c r="H174" s="1" t="str">
        <f ca="1">IFERROR(__xludf.DUMMYFUNCTION("""COMPUTED_VALUE"""),"Dr. Dra. Ismaini Zain, M.Si")</f>
        <v>Dr. Dra. Ismaini Zain, M.Si</v>
      </c>
      <c r="I174" s="1" t="str">
        <f ca="1">IFERROR(__xludf.DUMMYFUNCTION("""COMPUTED_VALUE"""),"DAFFA BAYU MAHENDRA")</f>
        <v>DAFFA BAYU MAHENDRA</v>
      </c>
      <c r="J174" s="1" t="str">
        <f ca="1">IFERROR(__xludf.DUMMYFUNCTION("""COMPUTED_VALUE"""),"5003211138")</f>
        <v>5003211138</v>
      </c>
      <c r="K174" s="1" t="str">
        <f ca="1">IFERROR(__xludf.DUMMYFUNCTION("""COMPUTED_VALUE"""),"Departemen Statistika")</f>
        <v>Departemen Statistika</v>
      </c>
      <c r="L174" s="1" t="str">
        <f ca="1">IFERROR(__xludf.DUMMYFUNCTION("""COMPUTED_VALUE"""),"VANISYA DEWIMARTA S.")</f>
        <v>VANISYA DEWIMARTA S.</v>
      </c>
      <c r="M174" s="1" t="str">
        <f ca="1">IFERROR(__xludf.DUMMYFUNCTION("""COMPUTED_VALUE"""),"5003211066")</f>
        <v>5003211066</v>
      </c>
      <c r="N174" s="1" t="str">
        <f ca="1">IFERROR(__xludf.DUMMYFUNCTION("""COMPUTED_VALUE"""),"Departemen Statistika")</f>
        <v>Departemen Statistika</v>
      </c>
      <c r="O174" s="1" t="str">
        <f ca="1">IFERROR(__xludf.DUMMYFUNCTION("""COMPUTED_VALUE"""),"KHALIDA AURORA A. P.")</f>
        <v>KHALIDA AURORA A. P.</v>
      </c>
      <c r="P174" s="1" t="str">
        <f ca="1">IFERROR(__xludf.DUMMYFUNCTION("""COMPUTED_VALUE"""),"5003211022")</f>
        <v>5003211022</v>
      </c>
      <c r="Q174" s="1" t="str">
        <f ca="1">IFERROR(__xludf.DUMMYFUNCTION("""COMPUTED_VALUE"""),"Departemen Statistika")</f>
        <v>Departemen Statistika</v>
      </c>
      <c r="R174" s="1" t="str">
        <f ca="1">IFERROR(__xludf.DUMMYFUNCTION("""COMPUTED_VALUE"""),"VIA AYU NURHALIZA")</f>
        <v>VIA AYU NURHALIZA</v>
      </c>
      <c r="S174" s="1" t="str">
        <f ca="1">IFERROR(__xludf.DUMMYFUNCTION("""COMPUTED_VALUE"""),"5010211001")</f>
        <v>5010211001</v>
      </c>
      <c r="T174" s="1" t="str">
        <f ca="1">IFERROR(__xludf.DUMMYFUNCTION("""COMPUTED_VALUE"""),"Departemen Teknik Sistem dan Industri")</f>
        <v>Departemen Teknik Sistem dan Industri</v>
      </c>
      <c r="U174" s="1" t="str">
        <f ca="1">IFERROR(__xludf.DUMMYFUNCTION("""COMPUTED_VALUE"""),"Drs. Bandung Arry Sanjoyo, Mi.Komp.")</f>
        <v>Drs. Bandung Arry Sanjoyo, Mi.Komp.</v>
      </c>
      <c r="V174" s="1" t="str">
        <f ca="1">IFERROR(__xludf.DUMMYFUNCTION("""COMPUTED_VALUE"""),"Wibawati, S.Si., M.Si")</f>
        <v>Wibawati, S.Si., M.Si</v>
      </c>
      <c r="W174" s="1"/>
      <c r="X174" s="1" t="str">
        <f ca="1">IFERROR(__xludf.DUMMYFUNCTION("""COMPUTED_VALUE"""),"Lolos")</f>
        <v>Lolos</v>
      </c>
      <c r="Y174" s="1"/>
      <c r="Z174" s="1"/>
      <c r="AA174" s="1"/>
    </row>
    <row r="175" spans="1:27">
      <c r="A175" s="1" t="s">
        <v>172</v>
      </c>
      <c r="B175" s="1">
        <f ca="1">IFERROR(__xludf.DUMMYFUNCTION("""COMPUTED_VALUE"""),3331)</f>
        <v>3331</v>
      </c>
      <c r="C175" s="1" t="str">
        <f ca="1">IFERROR(__xludf.DUMMYFUNCTION("""COMPUTED_VALUE"""),"PKM Kewirausahaan")</f>
        <v>PKM Kewirausahaan</v>
      </c>
      <c r="D175" s="1" t="str">
        <f ca="1">IFERROR(__xludf.DUMMYFUNCTION("""COMPUTED_VALUE"""),"Karuna: Re-Imagining Balinese Craft")</f>
        <v>Karuna: Re-Imagining Balinese Craft</v>
      </c>
      <c r="E175" s="1" t="str">
        <f ca="1">IFERROR(__xludf.DUMMYFUNCTION("""COMPUTED_VALUE"""),"PUTU AZMELLYA PUTRI SANJAYA")</f>
        <v>PUTU AZMELLYA PUTRI SANJAYA</v>
      </c>
      <c r="F175" s="1" t="str">
        <f ca="1">IFERROR(__xludf.DUMMYFUNCTION("""COMPUTED_VALUE"""),"5010201188")</f>
        <v>5010201188</v>
      </c>
      <c r="G175" s="1" t="str">
        <f ca="1">IFERROR(__xludf.DUMMYFUNCTION("""COMPUTED_VALUE"""),"Departemen Teknik Sistem dan Industri")</f>
        <v>Departemen Teknik Sistem dan Industri</v>
      </c>
      <c r="H175" s="1" t="str">
        <f ca="1">IFERROR(__xludf.DUMMYFUNCTION("""COMPUTED_VALUE"""),"Atikah Aghdhi Pratiwi, S.T., M.T.")</f>
        <v>Atikah Aghdhi Pratiwi, S.T., M.T.</v>
      </c>
      <c r="I175" s="1" t="str">
        <f ca="1">IFERROR(__xludf.DUMMYFUNCTION("""COMPUTED_VALUE"""),"NI LUH PUTU NADILA APRILIA EKA NATASA PUTRI")</f>
        <v>NI LUH PUTU NADILA APRILIA EKA NATASA PUTRI</v>
      </c>
      <c r="J175" s="1" t="str">
        <f ca="1">IFERROR(__xludf.DUMMYFUNCTION("""COMPUTED_VALUE"""),"5023201038")</f>
        <v>5023201038</v>
      </c>
      <c r="K175" s="1" t="str">
        <f ca="1">IFERROR(__xludf.DUMMYFUNCTION("""COMPUTED_VALUE"""),"Departemen Teknik Biomedik")</f>
        <v>Departemen Teknik Biomedik</v>
      </c>
      <c r="L175" s="1" t="str">
        <f ca="1">IFERROR(__xludf.DUMMYFUNCTION("""COMPUTED_VALUE"""),"I PUTU DEWANGGA BAYU MAHESA")</f>
        <v>I PUTU DEWANGGA BAYU MAHESA</v>
      </c>
      <c r="M175" s="1" t="str">
        <f ca="1">IFERROR(__xludf.DUMMYFUNCTION("""COMPUTED_VALUE"""),"5028201030")</f>
        <v>5028201030</v>
      </c>
      <c r="N175" s="1" t="str">
        <f ca="1">IFERROR(__xludf.DUMMYFUNCTION("""COMPUTED_VALUE"""),"Departemen Desain Produk")</f>
        <v>Departemen Desain Produk</v>
      </c>
      <c r="O175" s="1" t="str">
        <f ca="1">IFERROR(__xludf.DUMMYFUNCTION("""COMPUTED_VALUE"""),"GEDE FAJAR KANANDA A W")</f>
        <v>GEDE FAJAR KANANDA A W</v>
      </c>
      <c r="P175" s="1" t="str">
        <f ca="1">IFERROR(__xludf.DUMMYFUNCTION("""COMPUTED_VALUE"""),"5010201189")</f>
        <v>5010201189</v>
      </c>
      <c r="Q175" s="1" t="str">
        <f ca="1">IFERROR(__xludf.DUMMYFUNCTION("""COMPUTED_VALUE"""),"Departemen Teknik Sistem dan Industri")</f>
        <v>Departemen Teknik Sistem dan Industri</v>
      </c>
      <c r="R175" s="1" t="str">
        <f ca="1">IFERROR(__xludf.DUMMYFUNCTION("""COMPUTED_VALUE"""),"MADE ARVIN SIDDHAYANATRA")</f>
        <v>MADE ARVIN SIDDHAYANATRA</v>
      </c>
      <c r="S175" s="1" t="str">
        <f ca="1">IFERROR(__xludf.DUMMYFUNCTION("""COMPUTED_VALUE"""),"5010201044")</f>
        <v>5010201044</v>
      </c>
      <c r="T175" s="1" t="str">
        <f ca="1">IFERROR(__xludf.DUMMYFUNCTION("""COMPUTED_VALUE"""),"Departemen Teknik Sistem dan Industri")</f>
        <v>Departemen Teknik Sistem dan Industri</v>
      </c>
      <c r="U175" s="1" t="str">
        <f ca="1">IFERROR(__xludf.DUMMYFUNCTION("""COMPUTED_VALUE"""),"Gita Widi Bhawika, S.ST., M.MT")</f>
        <v>Gita Widi Bhawika, S.ST., M.MT</v>
      </c>
      <c r="V175" s="1" t="str">
        <f ca="1">IFERROR(__xludf.DUMMYFUNCTION("""COMPUTED_VALUE"""),"R.Eka Rizkiantono, S.Sn, M.Ds")</f>
        <v>R.Eka Rizkiantono, S.Sn, M.Ds</v>
      </c>
      <c r="W175" s="1"/>
      <c r="X175" s="1" t="str">
        <f ca="1">IFERROR(__xludf.DUMMYFUNCTION("""COMPUTED_VALUE"""),"Lolos")</f>
        <v>Lolos</v>
      </c>
      <c r="Y175" s="1"/>
      <c r="Z175" s="1"/>
      <c r="AA175" s="1"/>
    </row>
    <row r="176" spans="1:27">
      <c r="A176" s="1" t="s">
        <v>173</v>
      </c>
      <c r="B176" s="1">
        <f ca="1">IFERROR(__xludf.DUMMYFUNCTION("""COMPUTED_VALUE"""),2958)</f>
        <v>2958</v>
      </c>
      <c r="C176" s="1" t="str">
        <f ca="1">IFERROR(__xludf.DUMMYFUNCTION("""COMPUTED_VALUE"""),"PKM Kewirausahaan")</f>
        <v>PKM Kewirausahaan</v>
      </c>
      <c r="D176" s="1" t="str">
        <f ca="1">IFERROR(__xludf.DUMMYFUNCTION("""COMPUTED_VALUE"""),"KAYOE : Re-Inovasi Pasar Digital Industri Kerajinan Kayu dengan Augmented Reality")</f>
        <v>KAYOE : Re-Inovasi Pasar Digital Industri Kerajinan Kayu dengan Augmented Reality</v>
      </c>
      <c r="E176" s="1" t="str">
        <f ca="1">IFERROR(__xludf.DUMMYFUNCTION("""COMPUTED_VALUE"""),"YUNINDA NUR AINI")</f>
        <v>YUNINDA NUR AINI</v>
      </c>
      <c r="F176" s="1" t="str">
        <f ca="1">IFERROR(__xludf.DUMMYFUNCTION("""COMPUTED_VALUE"""),"5031211047")</f>
        <v>5031211047</v>
      </c>
      <c r="G176" s="1" t="str">
        <f ca="1">IFERROR(__xludf.DUMMYFUNCTION("""COMPUTED_VALUE"""),"Departemen Manajemen Bisnis")</f>
        <v>Departemen Manajemen Bisnis</v>
      </c>
      <c r="H176" s="1" t="str">
        <f ca="1">IFERROR(__xludf.DUMMYFUNCTION("""COMPUTED_VALUE"""),"Geodita Woro Bramanti, S.T., M.Eng.Sc.")</f>
        <v>Geodita Woro Bramanti, S.T., M.Eng.Sc.</v>
      </c>
      <c r="I176" s="1" t="str">
        <f ca="1">IFERROR(__xludf.DUMMYFUNCTION("""COMPUTED_VALUE"""),"Viony Febrianty")</f>
        <v>Viony Febrianty</v>
      </c>
      <c r="J176" s="1" t="str">
        <f ca="1">IFERROR(__xludf.DUMMYFUNCTION("""COMPUTED_VALUE"""),"5031211001")</f>
        <v>5031211001</v>
      </c>
      <c r="K176" s="1" t="str">
        <f ca="1">IFERROR(__xludf.DUMMYFUNCTION("""COMPUTED_VALUE"""),"Departemen Manajemen Bisnis")</f>
        <v>Departemen Manajemen Bisnis</v>
      </c>
      <c r="L176" s="1" t="str">
        <f ca="1">IFERROR(__xludf.DUMMYFUNCTION("""COMPUTED_VALUE"""),"RANIA JENANESWARI")</f>
        <v>RANIA JENANESWARI</v>
      </c>
      <c r="M176" s="1" t="str">
        <f ca="1">IFERROR(__xludf.DUMMYFUNCTION("""COMPUTED_VALUE"""),"5031211070")</f>
        <v>5031211070</v>
      </c>
      <c r="N176" s="1" t="str">
        <f ca="1">IFERROR(__xludf.DUMMYFUNCTION("""COMPUTED_VALUE"""),"Departemen Manajemen Bisnis")</f>
        <v>Departemen Manajemen Bisnis</v>
      </c>
      <c r="O176" s="1" t="str">
        <f ca="1">IFERROR(__xludf.DUMMYFUNCTION("""COMPUTED_VALUE"""),"RIZTA AMANDA MAHARAN")</f>
        <v>RIZTA AMANDA MAHARAN</v>
      </c>
      <c r="P176" s="1" t="str">
        <f ca="1">IFERROR(__xludf.DUMMYFUNCTION("""COMPUTED_VALUE"""),"5031211100")</f>
        <v>5031211100</v>
      </c>
      <c r="Q176" s="1" t="str">
        <f ca="1">IFERROR(__xludf.DUMMYFUNCTION("""COMPUTED_VALUE"""),"Departemen Manajemen Bisnis")</f>
        <v>Departemen Manajemen Bisnis</v>
      </c>
      <c r="R176" s="1"/>
      <c r="S176" s="1"/>
      <c r="T176" s="1"/>
      <c r="U176" s="1" t="str">
        <f ca="1">IFERROR(__xludf.DUMMYFUNCTION("""COMPUTED_VALUE"""),"Drs. Bandung Arry Sanjoyo, Mi.Komp.")</f>
        <v>Drs. Bandung Arry Sanjoyo, Mi.Komp.</v>
      </c>
      <c r="V176" s="1" t="str">
        <f ca="1">IFERROR(__xludf.DUMMYFUNCTION("""COMPUTED_VALUE"""),"Wibawati, S.Si., M.Si")</f>
        <v>Wibawati, S.Si., M.Si</v>
      </c>
      <c r="W176" s="1"/>
      <c r="X176" s="1" t="str">
        <f ca="1">IFERROR(__xludf.DUMMYFUNCTION("""COMPUTED_VALUE"""),"Lolos")</f>
        <v>Lolos</v>
      </c>
      <c r="Y176" s="1"/>
      <c r="Z176" s="1"/>
      <c r="AA176" s="1"/>
    </row>
    <row r="177" spans="1:27">
      <c r="A177" s="1" t="s">
        <v>174</v>
      </c>
      <c r="B177" s="1">
        <f ca="1">IFERROR(__xludf.DUMMYFUNCTION("""COMPUTED_VALUE"""),2654)</f>
        <v>2654</v>
      </c>
      <c r="C177" s="1" t="str">
        <f ca="1">IFERROR(__xludf.DUMMYFUNCTION("""COMPUTED_VALUE"""),"PKM Kewirausahaan")</f>
        <v>PKM Kewirausahaan</v>
      </c>
      <c r="D177" s="1" t="str">
        <f ca="1">IFERROR(__xludf.DUMMYFUNCTION("""COMPUTED_VALUE"""),"HUGME: Produk Penghangatan Terintegrasi Berbasis Solar Cell dan Termoelektrik Sebagai Upaya Mengurangi Risiko Hipotermia bagi para Pendaki
")</f>
        <v xml:space="preserve">HUGME: Produk Penghangatan Terintegrasi Berbasis Solar Cell dan Termoelektrik Sebagai Upaya Mengurangi Risiko Hipotermia bagi para Pendaki
</v>
      </c>
      <c r="E177" s="1" t="str">
        <f ca="1">IFERROR(__xludf.DUMMYFUNCTION("""COMPUTED_VALUE"""),"MOHAMMAD ARIYANSYAH")</f>
        <v>MOHAMMAD ARIYANSYAH</v>
      </c>
      <c r="F177" s="1" t="str">
        <f ca="1">IFERROR(__xludf.DUMMYFUNCTION("""COMPUTED_VALUE"""),"2040201130")</f>
        <v>2040201130</v>
      </c>
      <c r="G177" s="1" t="str">
        <f ca="1">IFERROR(__xludf.DUMMYFUNCTION("""COMPUTED_VALUE"""),"Departemen Teknik Elektro Otomasi")</f>
        <v>Departemen Teknik Elektro Otomasi</v>
      </c>
      <c r="H177" s="1" t="str">
        <f ca="1">IFERROR(__xludf.DUMMYFUNCTION("""COMPUTED_VALUE"""),"Fivitria Istiqomah, S.ST., M.Sc.")</f>
        <v>Fivitria Istiqomah, S.ST., M.Sc.</v>
      </c>
      <c r="I177" s="1" t="str">
        <f ca="1">IFERROR(__xludf.DUMMYFUNCTION("""COMPUTED_VALUE"""),"NURDIWANSYAH BAGUS WINATA")</f>
        <v>NURDIWANSYAH BAGUS WINATA</v>
      </c>
      <c r="J177" s="1" t="str">
        <f ca="1">IFERROR(__xludf.DUMMYFUNCTION("""COMPUTED_VALUE"""),"2040201128")</f>
        <v>2040201128</v>
      </c>
      <c r="K177" s="1" t="str">
        <f ca="1">IFERROR(__xludf.DUMMYFUNCTION("""COMPUTED_VALUE"""),"Departemen Teknik Elektro Otomasi")</f>
        <v>Departemen Teknik Elektro Otomasi</v>
      </c>
      <c r="L177" s="1" t="str">
        <f ca="1">IFERROR(__xludf.DUMMYFUNCTION("""COMPUTED_VALUE"""),"DAANI NAUVAL SUWITO")</f>
        <v>DAANI NAUVAL SUWITO</v>
      </c>
      <c r="M177" s="1" t="str">
        <f ca="1">IFERROR(__xludf.DUMMYFUNCTION("""COMPUTED_VALUE"""),"2040201120")</f>
        <v>2040201120</v>
      </c>
      <c r="N177" s="1" t="str">
        <f ca="1">IFERROR(__xludf.DUMMYFUNCTION("""COMPUTED_VALUE"""),"Departemen Teknik Elektro Otomasi")</f>
        <v>Departemen Teknik Elektro Otomasi</v>
      </c>
      <c r="O177" s="1" t="str">
        <f ca="1">IFERROR(__xludf.DUMMYFUNCTION("""COMPUTED_VALUE"""),"Aurora Octavian S.")</f>
        <v>Aurora Octavian S.</v>
      </c>
      <c r="P177" s="1" t="str">
        <f ca="1">IFERROR(__xludf.DUMMYFUNCTION("""COMPUTED_VALUE"""),"2039211026")</f>
        <v>2039211026</v>
      </c>
      <c r="Q177" s="1" t="str">
        <f ca="1">IFERROR(__xludf.DUMMYFUNCTION("""COMPUTED_VALUE"""),"Departemen Teknik Mesin Industri")</f>
        <v>Departemen Teknik Mesin Industri</v>
      </c>
      <c r="R177" s="1" t="str">
        <f ca="1">IFERROR(__xludf.DUMMYFUNCTION("""COMPUTED_VALUE"""),"M Akmal Nurfajri")</f>
        <v>M Akmal Nurfajri</v>
      </c>
      <c r="S177" s="1" t="str">
        <f ca="1">IFERROR(__xludf.DUMMYFUNCTION("""COMPUTED_VALUE"""),"2039211015")</f>
        <v>2039211015</v>
      </c>
      <c r="T177" s="1" t="str">
        <f ca="1">IFERROR(__xludf.DUMMYFUNCTION("""COMPUTED_VALUE"""),"Departemen Teknik Mesin Industri")</f>
        <v>Departemen Teknik Mesin Industri</v>
      </c>
      <c r="U177" s="1" t="str">
        <f ca="1">IFERROR(__xludf.DUMMYFUNCTION("""COMPUTED_VALUE"""),"Dr. Adithya Sudiarno, S.T., M.T.")</f>
        <v>Dr. Adithya Sudiarno, S.T., M.T.</v>
      </c>
      <c r="V177" s="1" t="str">
        <f ca="1">IFERROR(__xludf.DUMMYFUNCTION("""COMPUTED_VALUE"""),"Daril Ridho Zuchrillah, S.T., M.T.")</f>
        <v>Daril Ridho Zuchrillah, S.T., M.T.</v>
      </c>
      <c r="W177" s="1"/>
      <c r="X177" s="1" t="str">
        <f ca="1">IFERROR(__xludf.DUMMYFUNCTION("""COMPUTED_VALUE"""),"Lolos")</f>
        <v>Lolos</v>
      </c>
      <c r="Y177" s="1"/>
      <c r="Z177" s="1"/>
      <c r="AA177" s="1"/>
    </row>
    <row r="178" spans="1:27">
      <c r="A178" s="1" t="s">
        <v>175</v>
      </c>
      <c r="B178" s="1">
        <f ca="1">IFERROR(__xludf.DUMMYFUNCTION("""COMPUTED_VALUE"""),2520)</f>
        <v>2520</v>
      </c>
      <c r="C178" s="1" t="str">
        <f ca="1">IFERROR(__xludf.DUMMYFUNCTION("""COMPUTED_VALUE"""),"PKM Kewirausahaan")</f>
        <v>PKM Kewirausahaan</v>
      </c>
      <c r="D178" s="1" t="str">
        <f ca="1">IFERROR(__xludf.DUMMYFUNCTION("""COMPUTED_VALUE"""),"APLIKASI PESAN ANTAR PRE-PORTIONED INGREDIENTS “Recipé” SEBAGAI SARANA DALAM MEMBANTU MENYEDIAKAN BAHAN MASAKAN SEGAR SESUAI DENGAN MENU YANG DI PESAN")</f>
        <v>APLIKASI PESAN ANTAR PRE-PORTIONED INGREDIENTS “Recipé” SEBAGAI SARANA DALAM MEMBANTU MENYEDIAKAN BAHAN MASAKAN SEGAR SESUAI DENGAN MENU YANG DI PESAN</v>
      </c>
      <c r="E178" s="1" t="str">
        <f ca="1">IFERROR(__xludf.DUMMYFUNCTION("""COMPUTED_VALUE"""),"Yudhistira Budiarto")</f>
        <v>Yudhistira Budiarto</v>
      </c>
      <c r="F178" s="1" t="str">
        <f ca="1">IFERROR(__xludf.DUMMYFUNCTION("""COMPUTED_VALUE"""),"5006211107")</f>
        <v>5006211107</v>
      </c>
      <c r="G178" s="1" t="str">
        <f ca="1">IFERROR(__xludf.DUMMYFUNCTION("""COMPUTED_VALUE"""),"Departemen Aktuaria")</f>
        <v>Departemen Aktuaria</v>
      </c>
      <c r="H178" s="1" t="str">
        <f ca="1">IFERROR(__xludf.DUMMYFUNCTION("""COMPUTED_VALUE"""),"Galuh Oktavia Siswono, S.Si., M.Si., M.Act,Sc.")</f>
        <v>Galuh Oktavia Siswono, S.Si., M.Si., M.Act,Sc.</v>
      </c>
      <c r="I178" s="1" t="str">
        <f ca="1">IFERROR(__xludf.DUMMYFUNCTION("""COMPUTED_VALUE"""),"Jihan Ariqah Anisti")</f>
        <v>Jihan Ariqah Anisti</v>
      </c>
      <c r="J178" s="1" t="str">
        <f ca="1">IFERROR(__xludf.DUMMYFUNCTION("""COMPUTED_VALUE"""),"5006211093")</f>
        <v>5006211093</v>
      </c>
      <c r="K178" s="1" t="str">
        <f ca="1">IFERROR(__xludf.DUMMYFUNCTION("""COMPUTED_VALUE"""),"Departemen Aktuaria")</f>
        <v>Departemen Aktuaria</v>
      </c>
      <c r="L178" s="1" t="str">
        <f ca="1">IFERROR(__xludf.DUMMYFUNCTION("""COMPUTED_VALUE"""),"Ammar Mujiburrahman")</f>
        <v>Ammar Mujiburrahman</v>
      </c>
      <c r="M178" s="1" t="str">
        <f ca="1">IFERROR(__xludf.DUMMYFUNCTION("""COMPUTED_VALUE"""),"5006211079")</f>
        <v>5006211079</v>
      </c>
      <c r="N178" s="1" t="str">
        <f ca="1">IFERROR(__xludf.DUMMYFUNCTION("""COMPUTED_VALUE"""),"Departemen Aktuaria")</f>
        <v>Departemen Aktuaria</v>
      </c>
      <c r="O178" s="1" t="str">
        <f ca="1">IFERROR(__xludf.DUMMYFUNCTION("""COMPUTED_VALUE"""),"Maudy Sellany")</f>
        <v>Maudy Sellany</v>
      </c>
      <c r="P178" s="1" t="str">
        <f ca="1">IFERROR(__xludf.DUMMYFUNCTION("""COMPUTED_VALUE"""),"5029211072")</f>
        <v>5029211072</v>
      </c>
      <c r="Q178" s="1" t="str">
        <f ca="1">IFERROR(__xludf.DUMMYFUNCTION("""COMPUTED_VALUE"""),"Departemen Desain Interior")</f>
        <v>Departemen Desain Interior</v>
      </c>
      <c r="R178" s="1" t="str">
        <f ca="1">IFERROR(__xludf.DUMMYFUNCTION("""COMPUTED_VALUE"""),"Chantik Dailla")</f>
        <v>Chantik Dailla</v>
      </c>
      <c r="S178" s="1" t="str">
        <f ca="1">IFERROR(__xludf.DUMMYFUNCTION("""COMPUTED_VALUE"""),"5029211078")</f>
        <v>5029211078</v>
      </c>
      <c r="T178" s="1" t="str">
        <f ca="1">IFERROR(__xludf.DUMMYFUNCTION("""COMPUTED_VALUE"""),"Departemen Desain Interior")</f>
        <v>Departemen Desain Interior</v>
      </c>
      <c r="U178" s="1" t="str">
        <f ca="1">IFERROR(__xludf.DUMMYFUNCTION("""COMPUTED_VALUE"""),"Muchammad Nurif, S.E., M.T.")</f>
        <v>Muchammad Nurif, S.E., M.T.</v>
      </c>
      <c r="V178" s="1" t="str">
        <f ca="1">IFERROR(__xludf.DUMMYFUNCTION("""COMPUTED_VALUE"""),"Bahalwan Apriyansyah, S.T., MBA.")</f>
        <v>Bahalwan Apriyansyah, S.T., MBA.</v>
      </c>
      <c r="W178" s="1"/>
      <c r="X178" s="1" t="str">
        <f ca="1">IFERROR(__xludf.DUMMYFUNCTION("""COMPUTED_VALUE"""),"Lolos")</f>
        <v>Lolos</v>
      </c>
      <c r="Y178" s="1"/>
      <c r="Z178" s="1"/>
      <c r="AA178" s="1"/>
    </row>
    <row r="179" spans="1:27">
      <c r="A179" s="1" t="s">
        <v>176</v>
      </c>
      <c r="B179" s="1">
        <f ca="1">IFERROR(__xludf.DUMMYFUNCTION("""COMPUTED_VALUE"""),4057)</f>
        <v>4057</v>
      </c>
      <c r="C179" s="1" t="str">
        <f ca="1">IFERROR(__xludf.DUMMYFUNCTION("""COMPUTED_VALUE"""),"PKM Kewirausahaan")</f>
        <v>PKM Kewirausahaan</v>
      </c>
      <c r="D179" s="1" t="str">
        <f ca="1">IFERROR(__xludf.DUMMYFUNCTION("""COMPUTED_VALUE"""),"Platform Layanan Jasa Pekerja Kasar di Bidang Konstruksi Berbasis Digital Sebagai Upaya Meningkatkan Produktivitas dan Efisiensi Kerja")</f>
        <v>Platform Layanan Jasa Pekerja Kasar di Bidang Konstruksi Berbasis Digital Sebagai Upaya Meningkatkan Produktivitas dan Efisiensi Kerja</v>
      </c>
      <c r="E179" s="1" t="str">
        <f ca="1">IFERROR(__xludf.DUMMYFUNCTION("""COMPUTED_VALUE"""),"MUHAMMAD DZAKY KAMAL")</f>
        <v>MUHAMMAD DZAKY KAMAL</v>
      </c>
      <c r="F179" s="1" t="str">
        <f ca="1">IFERROR(__xludf.DUMMYFUNCTION("""COMPUTED_VALUE"""),"5022201103")</f>
        <v>5022201103</v>
      </c>
      <c r="G179" s="1" t="str">
        <f ca="1">IFERROR(__xludf.DUMMYFUNCTION("""COMPUTED_VALUE"""),"Departemen Teknik Elektro")</f>
        <v>Departemen Teknik Elektro</v>
      </c>
      <c r="H179" s="1" t="str">
        <f ca="1">IFERROR(__xludf.DUMMYFUNCTION("""COMPUTED_VALUE"""),"Dr.Eng. Rony Seto Wibowo, S.T., M.T.")</f>
        <v>Dr.Eng. Rony Seto Wibowo, S.T., M.T.</v>
      </c>
      <c r="I179" s="1" t="str">
        <f ca="1">IFERROR(__xludf.DUMMYFUNCTION("""COMPUTED_VALUE"""),"Muhamad Ilham Arif")</f>
        <v>Muhamad Ilham Arif</v>
      </c>
      <c r="J179" s="1" t="str">
        <f ca="1">IFERROR(__xludf.DUMMYFUNCTION("""COMPUTED_VALUE"""),"07111840000041")</f>
        <v>07111840000041</v>
      </c>
      <c r="K179" s="1" t="str">
        <f ca="1">IFERROR(__xludf.DUMMYFUNCTION("""COMPUTED_VALUE"""),"Departemen Teknik Elektro")</f>
        <v>Departemen Teknik Elektro</v>
      </c>
      <c r="L179" s="1" t="str">
        <f ca="1">IFERROR(__xludf.DUMMYFUNCTION("""COMPUTED_VALUE"""),"SHAFIRA CAHYASAKTI")</f>
        <v>SHAFIRA CAHYASAKTI</v>
      </c>
      <c r="M179" s="1" t="str">
        <f ca="1">IFERROR(__xludf.DUMMYFUNCTION("""COMPUTED_VALUE"""),"07111940000172")</f>
        <v>07111940000172</v>
      </c>
      <c r="N179" s="1" t="str">
        <f ca="1">IFERROR(__xludf.DUMMYFUNCTION("""COMPUTED_VALUE"""),"Departemen Teknik Elektro")</f>
        <v>Departemen Teknik Elektro</v>
      </c>
      <c r="O179" s="1" t="str">
        <f ca="1">IFERROR(__xludf.DUMMYFUNCTION("""COMPUTED_VALUE"""),"AULIA AMJAD LUTFI")</f>
        <v>AULIA AMJAD LUTFI</v>
      </c>
      <c r="P179" s="1" t="str">
        <f ca="1">IFERROR(__xludf.DUMMYFUNCTION("""COMPUTED_VALUE"""),"07111940000145")</f>
        <v>07111940000145</v>
      </c>
      <c r="Q179" s="1" t="str">
        <f ca="1">IFERROR(__xludf.DUMMYFUNCTION("""COMPUTED_VALUE"""),"Departemen Teknik Elektro")</f>
        <v>Departemen Teknik Elektro</v>
      </c>
      <c r="R179" s="1" t="str">
        <f ca="1">IFERROR(__xludf.DUMMYFUNCTION("""COMPUTED_VALUE"""),"HUSIN MUHAMMAD ASSEGAFF")</f>
        <v>HUSIN MUHAMMAD ASSEGAFF</v>
      </c>
      <c r="S179" s="1" t="str">
        <f ca="1">IFERROR(__xludf.DUMMYFUNCTION("""COMPUTED_VALUE"""),"05111940000127")</f>
        <v>05111940000127</v>
      </c>
      <c r="T179" s="1" t="str">
        <f ca="1">IFERROR(__xludf.DUMMYFUNCTION("""COMPUTED_VALUE"""),"Departemen Teknik Informatika")</f>
        <v>Departemen Teknik Informatika</v>
      </c>
      <c r="U179" s="1" t="str">
        <f ca="1">IFERROR(__xludf.DUMMYFUNCTION("""COMPUTED_VALUE"""),"Dr. Adithya Sudiarno, S.T., M.T.")</f>
        <v>Dr. Adithya Sudiarno, S.T., M.T.</v>
      </c>
      <c r="V179" s="1" t="str">
        <f ca="1">IFERROR(__xludf.DUMMYFUNCTION("""COMPUTED_VALUE"""),"Daril Ridho Zuchrillah, S.T., M.T.")</f>
        <v>Daril Ridho Zuchrillah, S.T., M.T.</v>
      </c>
      <c r="W179" s="1"/>
      <c r="X179" s="1" t="str">
        <f ca="1">IFERROR(__xludf.DUMMYFUNCTION("""COMPUTED_VALUE"""),"Lolos")</f>
        <v>Lolos</v>
      </c>
      <c r="Y179" s="1"/>
      <c r="Z179" s="1"/>
      <c r="AA179" s="1"/>
    </row>
    <row r="180" spans="1:27">
      <c r="A180" s="1" t="s">
        <v>177</v>
      </c>
      <c r="B180" s="1">
        <f ca="1">IFERROR(__xludf.DUMMYFUNCTION("""COMPUTED_VALUE"""),3838)</f>
        <v>3838</v>
      </c>
      <c r="C180" s="1" t="str">
        <f ca="1">IFERROR(__xludf.DUMMYFUNCTION("""COMPUTED_VALUE"""),"PKM Kewirausahaan")</f>
        <v>PKM Kewirausahaan</v>
      </c>
      <c r="D180" s="1" t="str">
        <f ca="1">IFERROR(__xludf.DUMMYFUNCTION("""COMPUTED_VALUE"""),"E-Rubbish : Aplikasi Penghubung antara Penghasil dengan Pengelola Sampah untuk Melakukan Transaksi dan Penukaran Sampah secara Online")</f>
        <v>E-Rubbish : Aplikasi Penghubung antara Penghasil dengan Pengelola Sampah untuk Melakukan Transaksi dan Penukaran Sampah secara Online</v>
      </c>
      <c r="E180" s="1" t="str">
        <f ca="1">IFERROR(__xludf.DUMMYFUNCTION("""COMPUTED_VALUE"""),"VANISSA FARHANIA HARTONO PUTRI")</f>
        <v>VANISSA FARHANIA HARTONO PUTRI</v>
      </c>
      <c r="F180" s="1" t="str">
        <f ca="1">IFERROR(__xludf.DUMMYFUNCTION("""COMPUTED_VALUE"""),"5031201082")</f>
        <v>5031201082</v>
      </c>
      <c r="G180" s="1" t="str">
        <f ca="1">IFERROR(__xludf.DUMMYFUNCTION("""COMPUTED_VALUE"""),"Departemen Manajemen Bisnis")</f>
        <v>Departemen Manajemen Bisnis</v>
      </c>
      <c r="H180" s="1" t="str">
        <f ca="1">IFERROR(__xludf.DUMMYFUNCTION("""COMPUTED_VALUE"""),"Gita Widi Bhawika, S.ST., M.MT")</f>
        <v>Gita Widi Bhawika, S.ST., M.MT</v>
      </c>
      <c r="I180" s="1" t="str">
        <f ca="1">IFERROR(__xludf.DUMMYFUNCTION("""COMPUTED_VALUE"""),"NORMAN DEWANTARA")</f>
        <v>NORMAN DEWANTARA</v>
      </c>
      <c r="J180" s="1" t="str">
        <f ca="1">IFERROR(__xludf.DUMMYFUNCTION("""COMPUTED_VALUE"""),"5031201032")</f>
        <v>5031201032</v>
      </c>
      <c r="K180" s="1" t="str">
        <f ca="1">IFERROR(__xludf.DUMMYFUNCTION("""COMPUTED_VALUE"""),"Departemen Manajemen Bisnis")</f>
        <v>Departemen Manajemen Bisnis</v>
      </c>
      <c r="L180" s="1" t="str">
        <f ca="1">IFERROR(__xludf.DUMMYFUNCTION("""COMPUTED_VALUE"""),"ASTRA SAVERO QOMARA")</f>
        <v>ASTRA SAVERO QOMARA</v>
      </c>
      <c r="M180" s="1" t="str">
        <f ca="1">IFERROR(__xludf.DUMMYFUNCTION("""COMPUTED_VALUE"""),"5031201010")</f>
        <v>5031201010</v>
      </c>
      <c r="N180" s="1" t="str">
        <f ca="1">IFERROR(__xludf.DUMMYFUNCTION("""COMPUTED_VALUE"""),"Departemen Manajemen Bisnis")</f>
        <v>Departemen Manajemen Bisnis</v>
      </c>
      <c r="O180" s="1" t="str">
        <f ca="1">IFERROR(__xludf.DUMMYFUNCTION("""COMPUTED_VALUE"""),"SYNTIA NUR WIJAYANTI")</f>
        <v>SYNTIA NUR WIJAYANTI</v>
      </c>
      <c r="P180" s="1" t="str">
        <f ca="1">IFERROR(__xludf.DUMMYFUNCTION("""COMPUTED_VALUE"""),"5031201004")</f>
        <v>5031201004</v>
      </c>
      <c r="Q180" s="1" t="str">
        <f ca="1">IFERROR(__xludf.DUMMYFUNCTION("""COMPUTED_VALUE"""),"Departemen Manajemen Bisnis")</f>
        <v>Departemen Manajemen Bisnis</v>
      </c>
      <c r="R180" s="1" t="str">
        <f ca="1">IFERROR(__xludf.DUMMYFUNCTION("""COMPUTED_VALUE"""),"ZEYD FAHDILLAH EL QUDS")</f>
        <v>ZEYD FAHDILLAH EL QUDS</v>
      </c>
      <c r="S180" s="1" t="str">
        <f ca="1">IFERROR(__xludf.DUMMYFUNCTION("""COMPUTED_VALUE"""),"5031201042")</f>
        <v>5031201042</v>
      </c>
      <c r="T180" s="1" t="str">
        <f ca="1">IFERROR(__xludf.DUMMYFUNCTION("""COMPUTED_VALUE"""),"Departemen Manajemen Bisnis")</f>
        <v>Departemen Manajemen Bisnis</v>
      </c>
      <c r="U180" s="1" t="str">
        <f ca="1">IFERROR(__xludf.DUMMYFUNCTION("""COMPUTED_VALUE"""),"MY Alief Samboro, S.T., M.Ds.")</f>
        <v>MY Alief Samboro, S.T., M.Ds.</v>
      </c>
      <c r="V180" s="1" t="str">
        <f ca="1">IFERROR(__xludf.DUMMYFUNCTION("""COMPUTED_VALUE"""),"Atikah Aghdhi Pratiwi, S.T., M.T.")</f>
        <v>Atikah Aghdhi Pratiwi, S.T., M.T.</v>
      </c>
      <c r="W180" s="1"/>
      <c r="X180" s="1" t="str">
        <f ca="1">IFERROR(__xludf.DUMMYFUNCTION("""COMPUTED_VALUE"""),"Lolos")</f>
        <v>Lolos</v>
      </c>
      <c r="Y180" s="1"/>
      <c r="Z180" s="1"/>
      <c r="AA180" s="1"/>
    </row>
    <row r="181" spans="1:27">
      <c r="A181" s="1" t="s">
        <v>178</v>
      </c>
      <c r="B181" s="1">
        <f ca="1">IFERROR(__xludf.DUMMYFUNCTION("""COMPUTED_VALUE"""),4022)</f>
        <v>4022</v>
      </c>
      <c r="C181" s="1" t="str">
        <f ca="1">IFERROR(__xludf.DUMMYFUNCTION("""COMPUTED_VALUE"""),"PKM Kewirausahaan")</f>
        <v>PKM Kewirausahaan</v>
      </c>
      <c r="D181" s="1" t="str">
        <f ca="1">IFERROR(__xludf.DUMMYFUNCTION("""COMPUTED_VALUE"""),"MODIFIKASI CUSTOM MOTOR (MONIX) SEBAGAI INOVASI PEMANFAATAN SPARE PART MOTOR BEKAS MENJADI SEPEDA MOTOR UNIK
")</f>
        <v xml:space="preserve">MODIFIKASI CUSTOM MOTOR (MONIX) SEBAGAI INOVASI PEMANFAATAN SPARE PART MOTOR BEKAS MENJADI SEPEDA MOTOR UNIK
</v>
      </c>
      <c r="E181" s="1" t="str">
        <f ca="1">IFERROR(__xludf.DUMMYFUNCTION("""COMPUTED_VALUE"""),"FILMORE JOVIAN")</f>
        <v>FILMORE JOVIAN</v>
      </c>
      <c r="F181" s="1" t="str">
        <f ca="1">IFERROR(__xludf.DUMMYFUNCTION("""COMPUTED_VALUE"""),"5007201091")</f>
        <v>5007201091</v>
      </c>
      <c r="G181" s="1" t="str">
        <f ca="1">IFERROR(__xludf.DUMMYFUNCTION("""COMPUTED_VALUE"""),"Departemen Teknik Mesin")</f>
        <v>Departemen Teknik Mesin</v>
      </c>
      <c r="H181" s="1" t="str">
        <f ca="1">IFERROR(__xludf.DUMMYFUNCTION("""COMPUTED_VALUE"""),"Ir. Julendra Bambang Ariatedja, M.T.")</f>
        <v>Ir. Julendra Bambang Ariatedja, M.T.</v>
      </c>
      <c r="I181" s="1" t="str">
        <f ca="1">IFERROR(__xludf.DUMMYFUNCTION("""COMPUTED_VALUE"""),"AGUSTINA MISEL FORTUNA")</f>
        <v>AGUSTINA MISEL FORTUNA</v>
      </c>
      <c r="J181" s="1" t="str">
        <f ca="1">IFERROR(__xludf.DUMMYFUNCTION("""COMPUTED_VALUE"""),"5007201025")</f>
        <v>5007201025</v>
      </c>
      <c r="K181" s="1" t="str">
        <f ca="1">IFERROR(__xludf.DUMMYFUNCTION("""COMPUTED_VALUE"""),"Departemen Teknik Mesin")</f>
        <v>Departemen Teknik Mesin</v>
      </c>
      <c r="L181" s="1" t="str">
        <f ca="1">IFERROR(__xludf.DUMMYFUNCTION("""COMPUTED_VALUE"""),"ALFIAN ASYAM NUR AFNAN")</f>
        <v>ALFIAN ASYAM NUR AFNAN</v>
      </c>
      <c r="M181" s="1" t="str">
        <f ca="1">IFERROR(__xludf.DUMMYFUNCTION("""COMPUTED_VALUE"""),"5007201241")</f>
        <v>5007201241</v>
      </c>
      <c r="N181" s="1" t="str">
        <f ca="1">IFERROR(__xludf.DUMMYFUNCTION("""COMPUTED_VALUE"""),"Departemen Teknik Mesin")</f>
        <v>Departemen Teknik Mesin</v>
      </c>
      <c r="O181" s="1" t="str">
        <f ca="1">IFERROR(__xludf.DUMMYFUNCTION("""COMPUTED_VALUE"""),"GANANG ISMAIL")</f>
        <v>GANANG ISMAIL</v>
      </c>
      <c r="P181" s="1" t="str">
        <f ca="1">IFERROR(__xludf.DUMMYFUNCTION("""COMPUTED_VALUE"""),"5007201087")</f>
        <v>5007201087</v>
      </c>
      <c r="Q181" s="1" t="str">
        <f ca="1">IFERROR(__xludf.DUMMYFUNCTION("""COMPUTED_VALUE"""),"Departemen Teknik Mesin")</f>
        <v>Departemen Teknik Mesin</v>
      </c>
      <c r="R181" s="1" t="str">
        <f ca="1">IFERROR(__xludf.DUMMYFUNCTION("""COMPUTED_VALUE"""),"WINANDRA FAJAR AL HAKIM")</f>
        <v>WINANDRA FAJAR AL HAKIM</v>
      </c>
      <c r="S181" s="1" t="str">
        <f ca="1">IFERROR(__xludf.DUMMYFUNCTION("""COMPUTED_VALUE"""),"5007201062")</f>
        <v>5007201062</v>
      </c>
      <c r="T181" s="1" t="str">
        <f ca="1">IFERROR(__xludf.DUMMYFUNCTION("""COMPUTED_VALUE"""),"Departemen Teknik Mesin")</f>
        <v>Departemen Teknik Mesin</v>
      </c>
      <c r="U181" s="1" t="str">
        <f ca="1">IFERROR(__xludf.DUMMYFUNCTION("""COMPUTED_VALUE"""),"Drs. Bandung Arry Sanjoyo, Mi.Komp.")</f>
        <v>Drs. Bandung Arry Sanjoyo, Mi.Komp.</v>
      </c>
      <c r="V181" s="1" t="str">
        <f ca="1">IFERROR(__xludf.DUMMYFUNCTION("""COMPUTED_VALUE"""),"Moh. Singgih Purwanto, S.Si., M.T")</f>
        <v>Moh. Singgih Purwanto, S.Si., M.T</v>
      </c>
      <c r="W181" s="1"/>
      <c r="X181" s="1" t="str">
        <f ca="1">IFERROR(__xludf.DUMMYFUNCTION("""COMPUTED_VALUE"""),"Lolos")</f>
        <v>Lolos</v>
      </c>
      <c r="Y181" s="1"/>
      <c r="Z181" s="1"/>
      <c r="AA181" s="1"/>
    </row>
    <row r="182" spans="1:27">
      <c r="A182" s="1" t="s">
        <v>179</v>
      </c>
      <c r="B182" s="1">
        <f ca="1">IFERROR(__xludf.DUMMYFUNCTION("""COMPUTED_VALUE"""),2124)</f>
        <v>2124</v>
      </c>
      <c r="C182" s="1" t="str">
        <f ca="1">IFERROR(__xludf.DUMMYFUNCTION("""COMPUTED_VALUE"""),"PKM Kewirausahaan")</f>
        <v>PKM Kewirausahaan</v>
      </c>
      <c r="D182" s="1" t="str">
        <f ca="1">IFERROR(__xludf.DUMMYFUNCTION("""COMPUTED_VALUE"""),"LEE MIN TUS: Lilin Aromaterapi 2-in-1 berbahan Mentha spicata dan Eucalyptus urophylla sebagai  Olfactory Training Pengidap Anosmia")</f>
        <v>LEE MIN TUS: Lilin Aromaterapi 2-in-1 berbahan Mentha spicata dan Eucalyptus urophylla sebagai  Olfactory Training Pengidap Anosmia</v>
      </c>
      <c r="E182" s="1" t="str">
        <f ca="1">IFERROR(__xludf.DUMMYFUNCTION("""COMPUTED_VALUE"""),"Josephine Kezia H")</f>
        <v>Josephine Kezia H</v>
      </c>
      <c r="F182" s="1" t="str">
        <f ca="1">IFERROR(__xludf.DUMMYFUNCTION("""COMPUTED_VALUE"""),"5010211067")</f>
        <v>5010211067</v>
      </c>
      <c r="G182" s="1" t="str">
        <f ca="1">IFERROR(__xludf.DUMMYFUNCTION("""COMPUTED_VALUE"""),"Departemen Teknik Sistem dan Industri")</f>
        <v>Departemen Teknik Sistem dan Industri</v>
      </c>
      <c r="H182" s="1" t="str">
        <f ca="1">IFERROR(__xludf.DUMMYFUNCTION("""COMPUTED_VALUE"""),"Dody Hartanto, S.T., M.T.")</f>
        <v>Dody Hartanto, S.T., M.T.</v>
      </c>
      <c r="I182" s="1" t="str">
        <f ca="1">IFERROR(__xludf.DUMMYFUNCTION("""COMPUTED_VALUE"""),"Gelar Wiscahyo")</f>
        <v>Gelar Wiscahyo</v>
      </c>
      <c r="J182" s="1" t="str">
        <f ca="1">IFERROR(__xludf.DUMMYFUNCTION("""COMPUTED_VALUE"""),"5010211020")</f>
        <v>5010211020</v>
      </c>
      <c r="K182" s="1" t="str">
        <f ca="1">IFERROR(__xludf.DUMMYFUNCTION("""COMPUTED_VALUE"""),"Departemen Teknik Sistem dan Industri")</f>
        <v>Departemen Teknik Sistem dan Industri</v>
      </c>
      <c r="L182" s="1" t="str">
        <f ca="1">IFERROR(__xludf.DUMMYFUNCTION("""COMPUTED_VALUE"""),"Febryan Abimanyu S.R")</f>
        <v>Febryan Abimanyu S.R</v>
      </c>
      <c r="M182" s="1" t="str">
        <f ca="1">IFERROR(__xludf.DUMMYFUNCTION("""COMPUTED_VALUE"""),"5010211111")</f>
        <v>5010211111</v>
      </c>
      <c r="N182" s="1" t="str">
        <f ca="1">IFERROR(__xludf.DUMMYFUNCTION("""COMPUTED_VALUE"""),"Departemen Teknik Sistem dan Industri")</f>
        <v>Departemen Teknik Sistem dan Industri</v>
      </c>
      <c r="O182" s="1" t="str">
        <f ca="1">IFERROR(__xludf.DUMMYFUNCTION("""COMPUTED_VALUE"""),"Aisyah")</f>
        <v>Aisyah</v>
      </c>
      <c r="P182" s="1" t="str">
        <f ca="1">IFERROR(__xludf.DUMMYFUNCTION("""COMPUTED_VALUE"""),"5010211129")</f>
        <v>5010211129</v>
      </c>
      <c r="Q182" s="1" t="str">
        <f ca="1">IFERROR(__xludf.DUMMYFUNCTION("""COMPUTED_VALUE"""),"Departemen Teknik Sistem dan Industri")</f>
        <v>Departemen Teknik Sistem dan Industri</v>
      </c>
      <c r="R182" s="1" t="str">
        <f ca="1">IFERROR(__xludf.DUMMYFUNCTION("""COMPUTED_VALUE"""),"KEVIN PUTRA H")</f>
        <v>KEVIN PUTRA H</v>
      </c>
      <c r="S182" s="1" t="str">
        <f ca="1">IFERROR(__xludf.DUMMYFUNCTION("""COMPUTED_VALUE"""),"5010211104")</f>
        <v>5010211104</v>
      </c>
      <c r="T182" s="1" t="str">
        <f ca="1">IFERROR(__xludf.DUMMYFUNCTION("""COMPUTED_VALUE"""),"Departemen Teknik Sistem dan Industri")</f>
        <v>Departemen Teknik Sistem dan Industri</v>
      </c>
      <c r="U182" s="1" t="str">
        <f ca="1">IFERROR(__xludf.DUMMYFUNCTION("""COMPUTED_VALUE"""),"Gita Widi Bhawika, S.ST., M.MT")</f>
        <v>Gita Widi Bhawika, S.ST., M.MT</v>
      </c>
      <c r="V182" s="1" t="str">
        <f ca="1">IFERROR(__xludf.DUMMYFUNCTION("""COMPUTED_VALUE"""),"Daril Ridho Zuchrillah, S.T., M.T.")</f>
        <v>Daril Ridho Zuchrillah, S.T., M.T.</v>
      </c>
      <c r="W182" s="1"/>
      <c r="X182" s="1" t="str">
        <f ca="1">IFERROR(__xludf.DUMMYFUNCTION("""COMPUTED_VALUE"""),"Lolos")</f>
        <v>Lolos</v>
      </c>
      <c r="Y182" s="1"/>
      <c r="Z182" s="1"/>
      <c r="AA182" s="1"/>
    </row>
    <row r="183" spans="1:27">
      <c r="A183" s="1" t="s">
        <v>180</v>
      </c>
      <c r="B183" s="1">
        <f ca="1">IFERROR(__xludf.DUMMYFUNCTION("""COMPUTED_VALUE"""),3938)</f>
        <v>3938</v>
      </c>
      <c r="C183" s="1" t="str">
        <f ca="1">IFERROR(__xludf.DUMMYFUNCTION("""COMPUTED_VALUE"""),"PKM Kewirausahaan")</f>
        <v>PKM Kewirausahaan</v>
      </c>
      <c r="D183" s="1" t="str">
        <f ca="1">IFERROR(__xludf.DUMMYFUNCTION("""COMPUTED_VALUE"""),"LACACARE: ESSENCE ORGANIK DENGAN BAHAN AKTIF UTAMA KROKOT (Portulaca oleracea) SEBAGAI PRODUK SKINCARE YANG RAMAH LINGKUNGAN BERBASIS ZERO WASTE")</f>
        <v>LACACARE: ESSENCE ORGANIK DENGAN BAHAN AKTIF UTAMA KROKOT (Portulaca oleracea) SEBAGAI PRODUK SKINCARE YANG RAMAH LINGKUNGAN BERBASIS ZERO WASTE</v>
      </c>
      <c r="E183" s="1" t="str">
        <f ca="1">IFERROR(__xludf.DUMMYFUNCTION("""COMPUTED_VALUE"""),"CHANDRA ARYO WIBOWO")</f>
        <v>CHANDRA ARYO WIBOWO</v>
      </c>
      <c r="F183" s="1" t="str">
        <f ca="1">IFERROR(__xludf.DUMMYFUNCTION("""COMPUTED_VALUE"""),"5010211142")</f>
        <v>5010211142</v>
      </c>
      <c r="G183" s="1" t="str">
        <f ca="1">IFERROR(__xludf.DUMMYFUNCTION("""COMPUTED_VALUE"""),"Departemen Teknik Sistem dan Industri")</f>
        <v>Departemen Teknik Sistem dan Industri</v>
      </c>
      <c r="H183" s="1" t="str">
        <f ca="1">IFERROR(__xludf.DUMMYFUNCTION("""COMPUTED_VALUE"""),"Maratus Sholihah, S.T., M.T.")</f>
        <v>Maratus Sholihah, S.T., M.T.</v>
      </c>
      <c r="I183" s="1" t="str">
        <f ca="1">IFERROR(__xludf.DUMMYFUNCTION("""COMPUTED_VALUE"""),"SAHDA RANI SULAIMAN")</f>
        <v>SAHDA RANI SULAIMAN</v>
      </c>
      <c r="J183" s="1" t="str">
        <f ca="1">IFERROR(__xludf.DUMMYFUNCTION("""COMPUTED_VALUE"""),"5010211005")</f>
        <v>5010211005</v>
      </c>
      <c r="K183" s="1" t="str">
        <f ca="1">IFERROR(__xludf.DUMMYFUNCTION("""COMPUTED_VALUE"""),"Departemen Teknik Sistem dan Industri")</f>
        <v>Departemen Teknik Sistem dan Industri</v>
      </c>
      <c r="L183" s="1" t="str">
        <f ca="1">IFERROR(__xludf.DUMMYFUNCTION("""COMPUTED_VALUE"""),"Dira Eka Putri S.")</f>
        <v>Dira Eka Putri S.</v>
      </c>
      <c r="M183" s="1" t="str">
        <f ca="1">IFERROR(__xludf.DUMMYFUNCTION("""COMPUTED_VALUE"""),"5010211098")</f>
        <v>5010211098</v>
      </c>
      <c r="N183" s="1" t="str">
        <f ca="1">IFERROR(__xludf.DUMMYFUNCTION("""COMPUTED_VALUE"""),"Departemen Teknik Sistem dan Industri")</f>
        <v>Departemen Teknik Sistem dan Industri</v>
      </c>
      <c r="O183" s="1" t="str">
        <f ca="1">IFERROR(__xludf.DUMMYFUNCTION("""COMPUTED_VALUE"""),"ADINDA PUTRI ADJI")</f>
        <v>ADINDA PUTRI ADJI</v>
      </c>
      <c r="P183" s="1" t="str">
        <f ca="1">IFERROR(__xludf.DUMMYFUNCTION("""COMPUTED_VALUE"""),"5008201166")</f>
        <v>5008201166</v>
      </c>
      <c r="Q183" s="1" t="str">
        <f ca="1">IFERROR(__xludf.DUMMYFUNCTION("""COMPUTED_VALUE"""),"Departemen Teknik Kimia")</f>
        <v>Departemen Teknik Kimia</v>
      </c>
      <c r="R183" s="1" t="str">
        <f ca="1">IFERROR(__xludf.DUMMYFUNCTION("""COMPUTED_VALUE"""),"AVICENNA SYEH B. L")</f>
        <v>AVICENNA SYEH B. L</v>
      </c>
      <c r="S183" s="1" t="str">
        <f ca="1">IFERROR(__xludf.DUMMYFUNCTION("""COMPUTED_VALUE"""),"5026211015")</f>
        <v>5026211015</v>
      </c>
      <c r="T183" s="1" t="str">
        <f ca="1">IFERROR(__xludf.DUMMYFUNCTION("""COMPUTED_VALUE"""),"Departemen Sistem Informasi")</f>
        <v>Departemen Sistem Informasi</v>
      </c>
      <c r="U183" s="1" t="str">
        <f ca="1">IFERROR(__xludf.DUMMYFUNCTION("""COMPUTED_VALUE"""),"Drs. Bandung Arry Sanjoyo, Mi.Komp.")</f>
        <v>Drs. Bandung Arry Sanjoyo, Mi.Komp.</v>
      </c>
      <c r="V183" s="1" t="str">
        <f ca="1">IFERROR(__xludf.DUMMYFUNCTION("""COMPUTED_VALUE"""),"Wibawati, S.Si., M.Si")</f>
        <v>Wibawati, S.Si., M.Si</v>
      </c>
      <c r="W183" s="1"/>
      <c r="X183" s="1" t="str">
        <f ca="1">IFERROR(__xludf.DUMMYFUNCTION("""COMPUTED_VALUE"""),"Lolos")</f>
        <v>Lolos</v>
      </c>
      <c r="Y183" s="1"/>
      <c r="Z183" s="1"/>
      <c r="AA183" s="1"/>
    </row>
    <row r="184" spans="1:27">
      <c r="A184" s="1" t="s">
        <v>181</v>
      </c>
      <c r="B184" s="1">
        <f ca="1">IFERROR(__xludf.DUMMYFUNCTION("""COMPUTED_VALUE"""),2062)</f>
        <v>2062</v>
      </c>
      <c r="C184" s="1" t="str">
        <f ca="1">IFERROR(__xludf.DUMMYFUNCTION("""COMPUTED_VALUE"""),"PKM Kewirausahaan")</f>
        <v>PKM Kewirausahaan</v>
      </c>
      <c r="D184" s="1" t="str">
        <f ca="1">IFERROR(__xludf.DUMMYFUNCTION("""COMPUTED_VALUE"""),"APERTA: Platform Layanan Jasa Pekerja Rumah Tangga Bebasis Aplikasi Sebagai Inovasi untuk Memudahkan Mencari Pekerja Rumah Tangga di Indonesia")</f>
        <v>APERTA: Platform Layanan Jasa Pekerja Rumah Tangga Bebasis Aplikasi Sebagai Inovasi untuk Memudahkan Mencari Pekerja Rumah Tangga di Indonesia</v>
      </c>
      <c r="E184" s="1" t="str">
        <f ca="1">IFERROR(__xludf.DUMMYFUNCTION("""COMPUTED_VALUE"""),"MOCHAMAD HIFNI HAFSYIN HAMID")</f>
        <v>MOCHAMAD HIFNI HAFSYIN HAMID</v>
      </c>
      <c r="F184" s="1" t="str">
        <f ca="1">IFERROR(__xludf.DUMMYFUNCTION("""COMPUTED_VALUE"""),"2039201088")</f>
        <v>2039201088</v>
      </c>
      <c r="G184" s="1" t="str">
        <f ca="1">IFERROR(__xludf.DUMMYFUNCTION("""COMPUTED_VALUE"""),"Departemen Teknik Mesin Industri")</f>
        <v>Departemen Teknik Mesin Industri</v>
      </c>
      <c r="H184" s="1" t="str">
        <f ca="1">IFERROR(__xludf.DUMMYFUNCTION("""COMPUTED_VALUE"""),"Mashuri, S.Si., M.T.")</f>
        <v>Mashuri, S.Si., M.T.</v>
      </c>
      <c r="I184" s="1" t="str">
        <f ca="1">IFERROR(__xludf.DUMMYFUNCTION("""COMPUTED_VALUE"""),"HANIF ARIF")</f>
        <v>HANIF ARIF</v>
      </c>
      <c r="J184" s="1" t="str">
        <f ca="1">IFERROR(__xludf.DUMMYFUNCTION("""COMPUTED_VALUE"""),"2039201062")</f>
        <v>2039201062</v>
      </c>
      <c r="K184" s="1" t="str">
        <f ca="1">IFERROR(__xludf.DUMMYFUNCTION("""COMPUTED_VALUE"""),"Departemen Teknik Mesin Industri")</f>
        <v>Departemen Teknik Mesin Industri</v>
      </c>
      <c r="L184" s="1" t="str">
        <f ca="1">IFERROR(__xludf.DUMMYFUNCTION("""COMPUTED_VALUE"""),"YOSEF KAREL SURYAPRABHA")</f>
        <v>YOSEF KAREL SURYAPRABHA</v>
      </c>
      <c r="M184" s="1" t="str">
        <f ca="1">IFERROR(__xludf.DUMMYFUNCTION("""COMPUTED_VALUE"""),"2043201051")</f>
        <v>2043201051</v>
      </c>
      <c r="N184" s="1" t="str">
        <f ca="1">IFERROR(__xludf.DUMMYFUNCTION("""COMPUTED_VALUE"""),"Departemen Statistika Bisnis")</f>
        <v>Departemen Statistika Bisnis</v>
      </c>
      <c r="O184" s="1" t="str">
        <f ca="1">IFERROR(__xludf.DUMMYFUNCTION("""COMPUTED_VALUE"""),"BAYU LIANO LEADER H.")</f>
        <v>BAYU LIANO LEADER H.</v>
      </c>
      <c r="P184" s="1" t="str">
        <f ca="1">IFERROR(__xludf.DUMMYFUNCTION("""COMPUTED_VALUE"""),"5026211098")</f>
        <v>5026211098</v>
      </c>
      <c r="Q184" s="1" t="str">
        <f ca="1">IFERROR(__xludf.DUMMYFUNCTION("""COMPUTED_VALUE"""),"Departemen Sistem Informasi")</f>
        <v>Departemen Sistem Informasi</v>
      </c>
      <c r="R184" s="1" t="str">
        <f ca="1">IFERROR(__xludf.DUMMYFUNCTION("""COMPUTED_VALUE"""),"BERNANDIEN RANTI E")</f>
        <v>BERNANDIEN RANTI E</v>
      </c>
      <c r="S184" s="1" t="str">
        <f ca="1">IFERROR(__xludf.DUMMYFUNCTION("""COMPUTED_VALUE"""),"5028211029")</f>
        <v>5028211029</v>
      </c>
      <c r="T184" s="1" t="str">
        <f ca="1">IFERROR(__xludf.DUMMYFUNCTION("""COMPUTED_VALUE"""),"Departemen Desain Produk")</f>
        <v>Departemen Desain Produk</v>
      </c>
      <c r="U184" s="1" t="str">
        <f ca="1">IFERROR(__xludf.DUMMYFUNCTION("""COMPUTED_VALUE"""),"Muchammad Nurif, S.E., M.T.")</f>
        <v>Muchammad Nurif, S.E., M.T.</v>
      </c>
      <c r="V184" s="1" t="str">
        <f ca="1">IFERROR(__xludf.DUMMYFUNCTION("""COMPUTED_VALUE"""),"Bahalwan Apriyansyah, S.T., MBA.")</f>
        <v>Bahalwan Apriyansyah, S.T., MBA.</v>
      </c>
      <c r="W184" s="1"/>
      <c r="X184" s="1" t="str">
        <f ca="1">IFERROR(__xludf.DUMMYFUNCTION("""COMPUTED_VALUE"""),"Lolos")</f>
        <v>Lolos</v>
      </c>
      <c r="Y184" s="1"/>
      <c r="Z184" s="1"/>
      <c r="AA184" s="1"/>
    </row>
    <row r="185" spans="1:27">
      <c r="A185" s="1" t="s">
        <v>182</v>
      </c>
      <c r="B185" s="1">
        <f ca="1">IFERROR(__xludf.DUMMYFUNCTION("""COMPUTED_VALUE"""),3252)</f>
        <v>3252</v>
      </c>
      <c r="C185" s="1" t="str">
        <f ca="1">IFERROR(__xludf.DUMMYFUNCTION("""COMPUTED_VALUE"""),"PKM Kewirausahaan")</f>
        <v>PKM Kewirausahaan</v>
      </c>
      <c r="D185" s="1" t="str">
        <f ca="1">IFERROR(__xludf.DUMMYFUNCTION("""COMPUTED_VALUE"""),"Pendayagunaan Limbah Daun Jati untuk Batik Ecoprint pada Produk Apparel sebagai Upaya Pelestarian Lingkungan")</f>
        <v>Pendayagunaan Limbah Daun Jati untuk Batik Ecoprint pada Produk Apparel sebagai Upaya Pelestarian Lingkungan</v>
      </c>
      <c r="E185" s="1" t="str">
        <f ca="1">IFERROR(__xludf.DUMMYFUNCTION("""COMPUTED_VALUE"""),"ERMI KUSHERAWATI")</f>
        <v>ERMI KUSHERAWATI</v>
      </c>
      <c r="F185" s="1" t="str">
        <f ca="1">IFERROR(__xludf.DUMMYFUNCTION("""COMPUTED_VALUE"""),"5010201038")</f>
        <v>5010201038</v>
      </c>
      <c r="G185" s="1" t="str">
        <f ca="1">IFERROR(__xludf.DUMMYFUNCTION("""COMPUTED_VALUE"""),"Departemen Teknik Sistem dan Industri")</f>
        <v>Departemen Teknik Sistem dan Industri</v>
      </c>
      <c r="H185" s="1" t="str">
        <f ca="1">IFERROR(__xludf.DUMMYFUNCTION("""COMPUTED_VALUE"""),"Ratna Sari Dewi, S.T., M.T., Ph.D.")</f>
        <v>Ratna Sari Dewi, S.T., M.T., Ph.D.</v>
      </c>
      <c r="I185" s="1" t="str">
        <f ca="1">IFERROR(__xludf.DUMMYFUNCTION("""COMPUTED_VALUE"""),"MEGA RATNASARI")</f>
        <v>MEGA RATNASARI</v>
      </c>
      <c r="J185" s="1" t="str">
        <f ca="1">IFERROR(__xludf.DUMMYFUNCTION("""COMPUTED_VALUE"""),"5010201028")</f>
        <v>5010201028</v>
      </c>
      <c r="K185" s="1" t="str">
        <f ca="1">IFERROR(__xludf.DUMMYFUNCTION("""COMPUTED_VALUE"""),"Departemen Teknik Sistem dan Industri")</f>
        <v>Departemen Teknik Sistem dan Industri</v>
      </c>
      <c r="L185" s="1" t="str">
        <f ca="1">IFERROR(__xludf.DUMMYFUNCTION("""COMPUTED_VALUE"""),"AINNI NURFAIZAH")</f>
        <v>AINNI NURFAIZAH</v>
      </c>
      <c r="M185" s="1" t="str">
        <f ca="1">IFERROR(__xludf.DUMMYFUNCTION("""COMPUTED_VALUE"""),"5010201036")</f>
        <v>5010201036</v>
      </c>
      <c r="N185" s="1" t="str">
        <f ca="1">IFERROR(__xludf.DUMMYFUNCTION("""COMPUTED_VALUE"""),"Departemen Teknik Sistem dan Industri")</f>
        <v>Departemen Teknik Sistem dan Industri</v>
      </c>
      <c r="O185" s="1" t="str">
        <f ca="1">IFERROR(__xludf.DUMMYFUNCTION("""COMPUTED_VALUE"""),"PRIESTA MAYESTIKA KARUNIA DEVI")</f>
        <v>PRIESTA MAYESTIKA KARUNIA DEVI</v>
      </c>
      <c r="P185" s="1" t="str">
        <f ca="1">IFERROR(__xludf.DUMMYFUNCTION("""COMPUTED_VALUE"""),"5010201032")</f>
        <v>5010201032</v>
      </c>
      <c r="Q185" s="1" t="str">
        <f ca="1">IFERROR(__xludf.DUMMYFUNCTION("""COMPUTED_VALUE"""),"Departemen Teknik Sistem dan Industri")</f>
        <v>Departemen Teknik Sistem dan Industri</v>
      </c>
      <c r="R185" s="1"/>
      <c r="S185" s="1"/>
      <c r="T185" s="1"/>
      <c r="U185" s="1" t="str">
        <f ca="1">IFERROR(__xludf.DUMMYFUNCTION("""COMPUTED_VALUE"""),"Ahmad Fauzan Adziimaa, S.T., M.Sc.")</f>
        <v>Ahmad Fauzan Adziimaa, S.T., M.Sc.</v>
      </c>
      <c r="V185" s="1" t="str">
        <f ca="1">IFERROR(__xludf.DUMMYFUNCTION("""COMPUTED_VALUE"""),"Dr. Hendro Juwono, M.Si.")</f>
        <v>Dr. Hendro Juwono, M.Si.</v>
      </c>
      <c r="W185" s="1"/>
      <c r="X185" s="1" t="str">
        <f ca="1">IFERROR(__xludf.DUMMYFUNCTION("""COMPUTED_VALUE"""),"Lolos")</f>
        <v>Lolos</v>
      </c>
      <c r="Y185" s="1"/>
      <c r="Z185" s="1"/>
      <c r="AA185" s="1"/>
    </row>
    <row r="186" spans="1:27">
      <c r="A186" s="1" t="s">
        <v>183</v>
      </c>
      <c r="B186" s="1">
        <f ca="1">IFERROR(__xludf.DUMMYFUNCTION("""COMPUTED_VALUE"""),2104)</f>
        <v>2104</v>
      </c>
      <c r="C186" s="1" t="str">
        <f ca="1">IFERROR(__xludf.DUMMYFUNCTION("""COMPUTED_VALUE"""),"PKM Kewirausahaan")</f>
        <v>PKM Kewirausahaan</v>
      </c>
      <c r="D186" s="1" t="str">
        <f ca="1">IFERROR(__xludf.DUMMYFUNCTION("""COMPUTED_VALUE"""),"""ATAP.IN"" Aplikasi Konsultasi Penjualan bagi Semua Kalangan Bisnis dan UMKM")</f>
        <v>"ATAP.IN" Aplikasi Konsultasi Penjualan bagi Semua Kalangan Bisnis dan UMKM</v>
      </c>
      <c r="E186" s="1" t="str">
        <f ca="1">IFERROR(__xludf.DUMMYFUNCTION("""COMPUTED_VALUE"""),"MUHAMMAD FA`IZ ISMAIL")</f>
        <v>MUHAMMAD FA`IZ ISMAIL</v>
      </c>
      <c r="F186" s="1" t="str">
        <f ca="1">IFERROR(__xludf.DUMMYFUNCTION("""COMPUTED_VALUE"""),"5003201055")</f>
        <v>5003201055</v>
      </c>
      <c r="G186" s="1" t="str">
        <f ca="1">IFERROR(__xludf.DUMMYFUNCTION("""COMPUTED_VALUE"""),"Departemen Statistika")</f>
        <v>Departemen Statistika</v>
      </c>
      <c r="H186" s="1" t="str">
        <f ca="1">IFERROR(__xludf.DUMMYFUNCTION("""COMPUTED_VALUE"""),"Dr. Dra. Kartika Fithriasari, M.Si.")</f>
        <v>Dr. Dra. Kartika Fithriasari, M.Si.</v>
      </c>
      <c r="I186" s="1" t="str">
        <f ca="1">IFERROR(__xludf.DUMMYFUNCTION("""COMPUTED_VALUE"""),"ANNISA NATHANIA EKA GUSTHA")</f>
        <v>ANNISA NATHANIA EKA GUSTHA</v>
      </c>
      <c r="J186" s="1" t="str">
        <f ca="1">IFERROR(__xludf.DUMMYFUNCTION("""COMPUTED_VALUE"""),"5003201056")</f>
        <v>5003201056</v>
      </c>
      <c r="K186" s="1" t="str">
        <f ca="1">IFERROR(__xludf.DUMMYFUNCTION("""COMPUTED_VALUE"""),"Departemen Statistika")</f>
        <v>Departemen Statistika</v>
      </c>
      <c r="L186" s="1" t="str">
        <f ca="1">IFERROR(__xludf.DUMMYFUNCTION("""COMPUTED_VALUE"""),"AXEL JONATHAN TANTOWI")</f>
        <v>AXEL JONATHAN TANTOWI</v>
      </c>
      <c r="M186" s="1" t="str">
        <f ca="1">IFERROR(__xludf.DUMMYFUNCTION("""COMPUTED_VALUE"""),"5003201138")</f>
        <v>5003201138</v>
      </c>
      <c r="N186" s="1" t="str">
        <f ca="1">IFERROR(__xludf.DUMMYFUNCTION("""COMPUTED_VALUE"""),"Departemen Statistika")</f>
        <v>Departemen Statistika</v>
      </c>
      <c r="O186" s="1" t="str">
        <f ca="1">IFERROR(__xludf.DUMMYFUNCTION("""COMPUTED_VALUE"""),"DARREN KANG WAN CHEE")</f>
        <v>DARREN KANG WAN CHEE</v>
      </c>
      <c r="P186" s="1" t="str">
        <f ca="1">IFERROR(__xludf.DUMMYFUNCTION("""COMPUTED_VALUE"""),"5003201184")</f>
        <v>5003201184</v>
      </c>
      <c r="Q186" s="1" t="str">
        <f ca="1">IFERROR(__xludf.DUMMYFUNCTION("""COMPUTED_VALUE"""),"Departemen Statistika")</f>
        <v>Departemen Statistika</v>
      </c>
      <c r="R186" s="1" t="str">
        <f ca="1">IFERROR(__xludf.DUMMYFUNCTION("""COMPUTED_VALUE"""),"RAHMA  ZIDNY TAQIYA")</f>
        <v>RAHMA  ZIDNY TAQIYA</v>
      </c>
      <c r="S186" s="1" t="str">
        <f ca="1">IFERROR(__xludf.DUMMYFUNCTION("""COMPUTED_VALUE"""),"5003201104")</f>
        <v>5003201104</v>
      </c>
      <c r="T186" s="1" t="str">
        <f ca="1">IFERROR(__xludf.DUMMYFUNCTION("""COMPUTED_VALUE"""),"Departemen Statistika")</f>
        <v>Departemen Statistika</v>
      </c>
      <c r="U186" s="1" t="str">
        <f ca="1">IFERROR(__xludf.DUMMYFUNCTION("""COMPUTED_VALUE"""),"Drs. Bandung Arry Sanjoyo, Mi.Komp.")</f>
        <v>Drs. Bandung Arry Sanjoyo, Mi.Komp.</v>
      </c>
      <c r="V186" s="1" t="str">
        <f ca="1">IFERROR(__xludf.DUMMYFUNCTION("""COMPUTED_VALUE"""),"Wibawati, S.Si., M.Si")</f>
        <v>Wibawati, S.Si., M.Si</v>
      </c>
      <c r="W186" s="1"/>
      <c r="X186" s="1" t="str">
        <f ca="1">IFERROR(__xludf.DUMMYFUNCTION("""COMPUTED_VALUE"""),"Lolos")</f>
        <v>Lolos</v>
      </c>
      <c r="Y186" s="1"/>
      <c r="Z186" s="1"/>
      <c r="AA186" s="1"/>
    </row>
    <row r="187" spans="1:27">
      <c r="A187" s="1" t="s">
        <v>184</v>
      </c>
      <c r="B187" s="1">
        <f ca="1">IFERROR(__xludf.DUMMYFUNCTION("""COMPUTED_VALUE"""),2513)</f>
        <v>2513</v>
      </c>
      <c r="C187" s="1" t="str">
        <f ca="1">IFERROR(__xludf.DUMMYFUNCTION("""COMPUTED_VALUE"""),"PKM Kewirausahaan")</f>
        <v>PKM Kewirausahaan</v>
      </c>
      <c r="D187" s="1" t="str">
        <f ca="1">IFERROR(__xludf.DUMMYFUNCTION("""COMPUTED_VALUE"""),"N’GRESIK-AJE : Platform penyedia layanan kebersihan dengan berbagai fasilitas untuk mempermudah gerakan hidup bersih")</f>
        <v>N’GRESIK-AJE : Platform penyedia layanan kebersihan dengan berbagai fasilitas untuk mempermudah gerakan hidup bersih</v>
      </c>
      <c r="E187" s="1" t="str">
        <f ca="1">IFERROR(__xludf.DUMMYFUNCTION("""COMPUTED_VALUE"""),"Gloria Marstella Aru")</f>
        <v>Gloria Marstella Aru</v>
      </c>
      <c r="F187" s="1" t="str">
        <f ca="1">IFERROR(__xludf.DUMMYFUNCTION("""COMPUTED_VALUE"""),"2039211061")</f>
        <v>2039211061</v>
      </c>
      <c r="G187" s="1" t="str">
        <f ca="1">IFERROR(__xludf.DUMMYFUNCTION("""COMPUTED_VALUE"""),"Departemen Teknik Mesin Industri")</f>
        <v>Departemen Teknik Mesin Industri</v>
      </c>
      <c r="H187" s="1" t="str">
        <f ca="1">IFERROR(__xludf.DUMMYFUNCTION("""COMPUTED_VALUE"""),"Rivai Wardhani, S.T., M.Sc.")</f>
        <v>Rivai Wardhani, S.T., M.Sc.</v>
      </c>
      <c r="I187" s="1" t="str">
        <f ca="1">IFERROR(__xludf.DUMMYFUNCTION("""COMPUTED_VALUE"""),"AINI IZHA NABIGHAH R")</f>
        <v>AINI IZHA NABIGHAH R</v>
      </c>
      <c r="J187" s="1" t="str">
        <f ca="1">IFERROR(__xludf.DUMMYFUNCTION("""COMPUTED_VALUE"""),"2039211053")</f>
        <v>2039211053</v>
      </c>
      <c r="K187" s="1" t="str">
        <f ca="1">IFERROR(__xludf.DUMMYFUNCTION("""COMPUTED_VALUE"""),"Departemen Teknik Mesin Industri")</f>
        <v>Departemen Teknik Mesin Industri</v>
      </c>
      <c r="L187" s="1" t="str">
        <f ca="1">IFERROR(__xludf.DUMMYFUNCTION("""COMPUTED_VALUE"""),"CARRISA IRMALIA")</f>
        <v>CARRISA IRMALIA</v>
      </c>
      <c r="M187" s="1" t="str">
        <f ca="1">IFERROR(__xludf.DUMMYFUNCTION("""COMPUTED_VALUE"""),"2039211065")</f>
        <v>2039211065</v>
      </c>
      <c r="N187" s="1" t="str">
        <f ca="1">IFERROR(__xludf.DUMMYFUNCTION("""COMPUTED_VALUE"""),"Departemen Teknik Mesin Industri")</f>
        <v>Departemen Teknik Mesin Industri</v>
      </c>
      <c r="O187" s="1" t="str">
        <f ca="1">IFERROR(__xludf.DUMMYFUNCTION("""COMPUTED_VALUE"""),"ASYIFA DARIN ASLA")</f>
        <v>ASYIFA DARIN ASLA</v>
      </c>
      <c r="P187" s="1" t="str">
        <f ca="1">IFERROR(__xludf.DUMMYFUNCTION("""COMPUTED_VALUE"""),"10211910000039")</f>
        <v>10211910000039</v>
      </c>
      <c r="Q187" s="1" t="str">
        <f ca="1">IFERROR(__xludf.DUMMYFUNCTION("""COMPUTED_VALUE"""),"Departemen Teknik Mesin Industri")</f>
        <v>Departemen Teknik Mesin Industri</v>
      </c>
      <c r="R187" s="1"/>
      <c r="S187" s="1"/>
      <c r="T187" s="1"/>
      <c r="U187" s="1" t="str">
        <f ca="1">IFERROR(__xludf.DUMMYFUNCTION("""COMPUTED_VALUE"""),"Muchammad Nurif, S.E., M.T.")</f>
        <v>Muchammad Nurif, S.E., M.T.</v>
      </c>
      <c r="V187" s="1" t="str">
        <f ca="1">IFERROR(__xludf.DUMMYFUNCTION("""COMPUTED_VALUE"""),"Bahalwan Apriyansyah, S.T., MBA.")</f>
        <v>Bahalwan Apriyansyah, S.T., MBA.</v>
      </c>
      <c r="W187" s="1"/>
      <c r="X187" s="1" t="str">
        <f ca="1">IFERROR(__xludf.DUMMYFUNCTION("""COMPUTED_VALUE"""),"Lolos")</f>
        <v>Lolos</v>
      </c>
      <c r="Y187" s="1"/>
      <c r="Z187" s="1"/>
      <c r="AA187" s="1"/>
    </row>
    <row r="188" spans="1:27">
      <c r="A188" s="1" t="s">
        <v>185</v>
      </c>
      <c r="B188" s="1">
        <f ca="1">IFERROR(__xludf.DUMMYFUNCTION("""COMPUTED_VALUE"""),2782)</f>
        <v>2782</v>
      </c>
      <c r="C188" s="1" t="str">
        <f ca="1">IFERROR(__xludf.DUMMYFUNCTION("""COMPUTED_VALUE"""),"PKM Kewirausahaan")</f>
        <v>PKM Kewirausahaan</v>
      </c>
      <c r="D188" s="1" t="str">
        <f ca="1">IFERROR(__xludf.DUMMYFUNCTION("""COMPUTED_VALUE"""),"Bubble Wrap Eco-Friendly Sebagai Upaya Pengurangan 
Sampah Plastik Akibat Meningkatnya Aktivitas Jual Beli Online")</f>
        <v>Bubble Wrap Eco-Friendly Sebagai Upaya Pengurangan 
Sampah Plastik Akibat Meningkatnya Aktivitas Jual Beli Online</v>
      </c>
      <c r="E188" s="1" t="str">
        <f ca="1">IFERROR(__xludf.DUMMYFUNCTION("""COMPUTED_VALUE"""),"SARLA INTAN CAHYANI")</f>
        <v>SARLA INTAN CAHYANI</v>
      </c>
      <c r="F188" s="1" t="str">
        <f ca="1">IFERROR(__xludf.DUMMYFUNCTION("""COMPUTED_VALUE"""),"5014211011")</f>
        <v>5014211011</v>
      </c>
      <c r="G188" s="1" t="str">
        <f ca="1">IFERROR(__xludf.DUMMYFUNCTION("""COMPUTED_VALUE"""),"Departemen Teknik Lingkungan")</f>
        <v>Departemen Teknik Lingkungan</v>
      </c>
      <c r="H188" s="1" t="str">
        <f ca="1">IFERROR(__xludf.DUMMYFUNCTION("""COMPUTED_VALUE"""),"Deqi Rizkivia Radita, S.T., M.Sc.")</f>
        <v>Deqi Rizkivia Radita, S.T., M.Sc.</v>
      </c>
      <c r="I188" s="1" t="str">
        <f ca="1">IFERROR(__xludf.DUMMYFUNCTION("""COMPUTED_VALUE"""),"Fatimah Az Zahra")</f>
        <v>Fatimah Az Zahra</v>
      </c>
      <c r="J188" s="1" t="str">
        <f ca="1">IFERROR(__xludf.DUMMYFUNCTION("""COMPUTED_VALUE"""),"5014211019")</f>
        <v>5014211019</v>
      </c>
      <c r="K188" s="1" t="str">
        <f ca="1">IFERROR(__xludf.DUMMYFUNCTION("""COMPUTED_VALUE"""),"Departemen Teknik Lingkungan")</f>
        <v>Departemen Teknik Lingkungan</v>
      </c>
      <c r="L188" s="1" t="str">
        <f ca="1">IFERROR(__xludf.DUMMYFUNCTION("""COMPUTED_VALUE"""),"Lailatus Sa'diyah")</f>
        <v>Lailatus Sa'diyah</v>
      </c>
      <c r="M188" s="1" t="str">
        <f ca="1">IFERROR(__xludf.DUMMYFUNCTION("""COMPUTED_VALUE"""),"5014211020")</f>
        <v>5014211020</v>
      </c>
      <c r="N188" s="1" t="str">
        <f ca="1">IFERROR(__xludf.DUMMYFUNCTION("""COMPUTED_VALUE"""),"Departemen Teknik Lingkungan")</f>
        <v>Departemen Teknik Lingkungan</v>
      </c>
      <c r="O188" s="1" t="str">
        <f ca="1">IFERROR(__xludf.DUMMYFUNCTION("""COMPUTED_VALUE"""),"Danny Wibowo")</f>
        <v>Danny Wibowo</v>
      </c>
      <c r="P188" s="1" t="str">
        <f ca="1">IFERROR(__xludf.DUMMYFUNCTION("""COMPUTED_VALUE"""),"5008211119")</f>
        <v>5008211119</v>
      </c>
      <c r="Q188" s="1" t="str">
        <f ca="1">IFERROR(__xludf.DUMMYFUNCTION("""COMPUTED_VALUE"""),"Departemen Teknik Kimia")</f>
        <v>Departemen Teknik Kimia</v>
      </c>
      <c r="R188" s="1" t="str">
        <f ca="1">IFERROR(__xludf.DUMMYFUNCTION("""COMPUTED_VALUE"""),"WISNU WARDANA ALFIANTO")</f>
        <v>WISNU WARDANA ALFIANTO</v>
      </c>
      <c r="S188" s="1" t="str">
        <f ca="1">IFERROR(__xludf.DUMMYFUNCTION("""COMPUTED_VALUE"""),"5014201020")</f>
        <v>5014201020</v>
      </c>
      <c r="T188" s="1" t="str">
        <f ca="1">IFERROR(__xludf.DUMMYFUNCTION("""COMPUTED_VALUE"""),"Departemen Teknik Lingkungan")</f>
        <v>Departemen Teknik Lingkungan</v>
      </c>
      <c r="U188" s="1" t="str">
        <f ca="1">IFERROR(__xludf.DUMMYFUNCTION("""COMPUTED_VALUE"""),"Gita Widi Bhawika, S.ST., M.MT")</f>
        <v>Gita Widi Bhawika, S.ST., M.MT</v>
      </c>
      <c r="V188" s="1" t="str">
        <f ca="1">IFERROR(__xludf.DUMMYFUNCTION("""COMPUTED_VALUE"""),"R.Eka Rizkiantono, S.Sn, M.Ds")</f>
        <v>R.Eka Rizkiantono, S.Sn, M.Ds</v>
      </c>
      <c r="W188" s="1"/>
      <c r="X188" s="1" t="str">
        <f ca="1">IFERROR(__xludf.DUMMYFUNCTION("""COMPUTED_VALUE"""),"Lolos")</f>
        <v>Lolos</v>
      </c>
      <c r="Y188" s="1"/>
      <c r="Z188" s="1"/>
      <c r="AA188" s="1"/>
    </row>
    <row r="189" spans="1:27">
      <c r="A189" s="1" t="s">
        <v>186</v>
      </c>
      <c r="B189" s="1">
        <f ca="1">IFERROR(__xludf.DUMMYFUNCTION("""COMPUTED_VALUE"""),2362)</f>
        <v>2362</v>
      </c>
      <c r="C189" s="1" t="str">
        <f ca="1">IFERROR(__xludf.DUMMYFUNCTION("""COMPUTED_VALUE"""),"PKM Kewirausahaan")</f>
        <v>PKM Kewirausahaan</v>
      </c>
      <c r="D189" s="1" t="str">
        <f ca="1">IFERROR(__xludf.DUMMYFUNCTION("""COMPUTED_VALUE"""),"eFSun : Lotion Tabir Surya dari Kulit Pisang Raja sebagai Upaya Pemanfaatan Sampah Organik menjadi Barang dengan Nilai Jual Tinggi
")</f>
        <v xml:space="preserve">eFSun : Lotion Tabir Surya dari Kulit Pisang Raja sebagai Upaya Pemanfaatan Sampah Organik menjadi Barang dengan Nilai Jual Tinggi
</v>
      </c>
      <c r="E189" s="1" t="str">
        <f ca="1">IFERROR(__xludf.DUMMYFUNCTION("""COMPUTED_VALUE"""),"Nur Azmina Aisyah")</f>
        <v>Nur Azmina Aisyah</v>
      </c>
      <c r="F189" s="1" t="str">
        <f ca="1">IFERROR(__xludf.DUMMYFUNCTION("""COMPUTED_VALUE"""),"5005211071")</f>
        <v>5005211071</v>
      </c>
      <c r="G189" s="1" t="str">
        <f ca="1">IFERROR(__xludf.DUMMYFUNCTION("""COMPUTED_VALUE"""),"Departemen Biologi")</f>
        <v>Departemen Biologi</v>
      </c>
      <c r="H189" s="1" t="str">
        <f ca="1">IFERROR(__xludf.DUMMYFUNCTION("""COMPUTED_VALUE"""),"Kristanti Indah Purwani, S.Si., M.Si.")</f>
        <v>Kristanti Indah Purwani, S.Si., M.Si.</v>
      </c>
      <c r="I189" s="1" t="str">
        <f ca="1">IFERROR(__xludf.DUMMYFUNCTION("""COMPUTED_VALUE"""),"ABRILA DELITA P. S")</f>
        <v>ABRILA DELITA P. S</v>
      </c>
      <c r="J189" s="1" t="str">
        <f ca="1">IFERROR(__xludf.DUMMYFUNCTION("""COMPUTED_VALUE"""),"5005211097")</f>
        <v>5005211097</v>
      </c>
      <c r="K189" s="1" t="str">
        <f ca="1">IFERROR(__xludf.DUMMYFUNCTION("""COMPUTED_VALUE"""),"Departemen Biologi")</f>
        <v>Departemen Biologi</v>
      </c>
      <c r="L189" s="1" t="str">
        <f ca="1">IFERROR(__xludf.DUMMYFUNCTION("""COMPUTED_VALUE"""),"AINI NUR HAMIDAH")</f>
        <v>AINI NUR HAMIDAH</v>
      </c>
      <c r="M189" s="1" t="str">
        <f ca="1">IFERROR(__xludf.DUMMYFUNCTION("""COMPUTED_VALUE"""),"5005201056")</f>
        <v>5005201056</v>
      </c>
      <c r="N189" s="1" t="str">
        <f ca="1">IFERROR(__xludf.DUMMYFUNCTION("""COMPUTED_VALUE"""),"Departemen Biologi")</f>
        <v>Departemen Biologi</v>
      </c>
      <c r="O189" s="1" t="str">
        <f ca="1">IFERROR(__xludf.DUMMYFUNCTION("""COMPUTED_VALUE"""),"VERANITA APRILIA")</f>
        <v>VERANITA APRILIA</v>
      </c>
      <c r="P189" s="1" t="str">
        <f ca="1">IFERROR(__xludf.DUMMYFUNCTION("""COMPUTED_VALUE"""),"5005201053")</f>
        <v>5005201053</v>
      </c>
      <c r="Q189" s="1" t="str">
        <f ca="1">IFERROR(__xludf.DUMMYFUNCTION("""COMPUTED_VALUE"""),"Departemen Biologi")</f>
        <v>Departemen Biologi</v>
      </c>
      <c r="R189" s="1"/>
      <c r="S189" s="1"/>
      <c r="T189" s="1"/>
      <c r="U189" s="1" t="str">
        <f ca="1">IFERROR(__xludf.DUMMYFUNCTION("""COMPUTED_VALUE"""),"Drs. Bandung Arry Sanjoyo, Mi.Komp.")</f>
        <v>Drs. Bandung Arry Sanjoyo, Mi.Komp.</v>
      </c>
      <c r="V189" s="1" t="str">
        <f ca="1">IFERROR(__xludf.DUMMYFUNCTION("""COMPUTED_VALUE"""),"Lienggar Rahadiantino, S.E., M.Sc")</f>
        <v>Lienggar Rahadiantino, S.E., M.Sc</v>
      </c>
      <c r="W189" s="1"/>
      <c r="X189" s="1" t="str">
        <f ca="1">IFERROR(__xludf.DUMMYFUNCTION("""COMPUTED_VALUE"""),"Lolos")</f>
        <v>Lolos</v>
      </c>
      <c r="Y189" s="1"/>
      <c r="Z189" s="1"/>
      <c r="AA189" s="1"/>
    </row>
    <row r="190" spans="1:27">
      <c r="A190" s="1" t="s">
        <v>187</v>
      </c>
      <c r="B190" s="1">
        <f ca="1">IFERROR(__xludf.DUMMYFUNCTION("""COMPUTED_VALUE"""),2439)</f>
        <v>2439</v>
      </c>
      <c r="C190" s="1" t="str">
        <f ca="1">IFERROR(__xludf.DUMMYFUNCTION("""COMPUTED_VALUE"""),"PKM Kewirausahaan")</f>
        <v>PKM Kewirausahaan</v>
      </c>
      <c r="D190" s="1" t="str">
        <f ca="1">IFERROR(__xludf.DUMMYFUNCTION("""COMPUTED_VALUE"""),"Sabun Mandi Berbahan Dasar Minyak Jelantah Untuk Mengurangi Limbah Minyak Jelantah")</f>
        <v>Sabun Mandi Berbahan Dasar Minyak Jelantah Untuk Mengurangi Limbah Minyak Jelantah</v>
      </c>
      <c r="E190" s="1" t="str">
        <f ca="1">IFERROR(__xludf.DUMMYFUNCTION("""COMPUTED_VALUE"""),"Firzan Aulia Pasya")</f>
        <v>Firzan Aulia Pasya</v>
      </c>
      <c r="F190" s="1" t="str">
        <f ca="1">IFERROR(__xludf.DUMMYFUNCTION("""COMPUTED_VALUE"""),"5006211003")</f>
        <v>5006211003</v>
      </c>
      <c r="G190" s="1" t="str">
        <f ca="1">IFERROR(__xludf.DUMMYFUNCTION("""COMPUTED_VALUE"""),"Departemen Aktuaria")</f>
        <v>Departemen Aktuaria</v>
      </c>
      <c r="H190" s="1" t="str">
        <f ca="1">IFERROR(__xludf.DUMMYFUNCTION("""COMPUTED_VALUE"""),"Dr. Drs. Soehardjoepri, M.Si.")</f>
        <v>Dr. Drs. Soehardjoepri, M.Si.</v>
      </c>
      <c r="I190" s="1" t="str">
        <f ca="1">IFERROR(__xludf.DUMMYFUNCTION("""COMPUTED_VALUE"""),"Fauzan Dwi Asyiraf")</f>
        <v>Fauzan Dwi Asyiraf</v>
      </c>
      <c r="J190" s="1" t="str">
        <f ca="1">IFERROR(__xludf.DUMMYFUNCTION("""COMPUTED_VALUE"""),"5006211018")</f>
        <v>5006211018</v>
      </c>
      <c r="K190" s="1" t="str">
        <f ca="1">IFERROR(__xludf.DUMMYFUNCTION("""COMPUTED_VALUE"""),"Departemen Aktuaria")</f>
        <v>Departemen Aktuaria</v>
      </c>
      <c r="L190" s="1" t="str">
        <f ca="1">IFERROR(__xludf.DUMMYFUNCTION("""COMPUTED_VALUE"""),"REVY CHRYASTO")</f>
        <v>REVY CHRYASTO</v>
      </c>
      <c r="M190" s="1" t="str">
        <f ca="1">IFERROR(__xludf.DUMMYFUNCTION("""COMPUTED_VALUE"""),"5006211030")</f>
        <v>5006211030</v>
      </c>
      <c r="N190" s="1" t="str">
        <f ca="1">IFERROR(__xludf.DUMMYFUNCTION("""COMPUTED_VALUE"""),"Departemen Aktuaria")</f>
        <v>Departemen Aktuaria</v>
      </c>
      <c r="O190" s="1"/>
      <c r="P190" s="1"/>
      <c r="Q190" s="1"/>
      <c r="R190" s="1"/>
      <c r="S190" s="1"/>
      <c r="T190" s="1"/>
      <c r="U190" s="1" t="str">
        <f ca="1">IFERROR(__xludf.DUMMYFUNCTION("""COMPUTED_VALUE"""),"Gita Widi Bhawika, S.ST., M.MT")</f>
        <v>Gita Widi Bhawika, S.ST., M.MT</v>
      </c>
      <c r="V190" s="1" t="str">
        <f ca="1">IFERROR(__xludf.DUMMYFUNCTION("""COMPUTED_VALUE"""),"Atikah Aghdhi Pratiwi, S.T., M.T.")</f>
        <v>Atikah Aghdhi Pratiwi, S.T., M.T.</v>
      </c>
      <c r="W190" s="1"/>
      <c r="X190" s="1" t="str">
        <f ca="1">IFERROR(__xludf.DUMMYFUNCTION("""COMPUTED_VALUE"""),"Lolos")</f>
        <v>Lolos</v>
      </c>
      <c r="Y190" s="1"/>
      <c r="Z190" s="1"/>
      <c r="AA190" s="1"/>
    </row>
    <row r="191" spans="1:27">
      <c r="A191" s="1" t="s">
        <v>188</v>
      </c>
      <c r="B191" s="1">
        <f ca="1">IFERROR(__xludf.DUMMYFUNCTION("""COMPUTED_VALUE"""),3909)</f>
        <v>3909</v>
      </c>
      <c r="C191" s="1" t="str">
        <f ca="1">IFERROR(__xludf.DUMMYFUNCTION("""COMPUTED_VALUE"""),"PKM Kewirausahaan")</f>
        <v>PKM Kewirausahaan</v>
      </c>
      <c r="D191" s="1" t="str">
        <f ca="1">IFERROR(__xludf.DUMMYFUNCTION("""COMPUTED_VALUE"""),"Inovasi Spray Antinyamuk Multifungsi Ramah Lingkungan dari Limbah Kulit Pisang Kepok dalam Upaya Pencegahan Kasus Demam Berdarah")</f>
        <v>Inovasi Spray Antinyamuk Multifungsi Ramah Lingkungan dari Limbah Kulit Pisang Kepok dalam Upaya Pencegahan Kasus Demam Berdarah</v>
      </c>
      <c r="E191" s="1" t="str">
        <f ca="1">IFERROR(__xludf.DUMMYFUNCTION("""COMPUTED_VALUE"""),"MUZAKI KURNIANTO")</f>
        <v>MUZAKI KURNIANTO</v>
      </c>
      <c r="F191" s="1" t="str">
        <f ca="1">IFERROR(__xludf.DUMMYFUNCTION("""COMPUTED_VALUE"""),"5014201079")</f>
        <v>5014201079</v>
      </c>
      <c r="G191" s="1" t="str">
        <f ca="1">IFERROR(__xludf.DUMMYFUNCTION("""COMPUTED_VALUE"""),"Departemen Teknik Lingkungan")</f>
        <v>Departemen Teknik Lingkungan</v>
      </c>
      <c r="H191" s="1" t="str">
        <f ca="1">IFERROR(__xludf.DUMMYFUNCTION("""COMPUTED_VALUE"""),"Prof. Dr. Dra Fahimah Martak, M.Si")</f>
        <v>Prof. Dr. Dra Fahimah Martak, M.Si</v>
      </c>
      <c r="I191" s="1" t="str">
        <f ca="1">IFERROR(__xludf.DUMMYFUNCTION("""COMPUTED_VALUE"""),"LULU RIZKY AVRILLIA")</f>
        <v>LULU RIZKY AVRILLIA</v>
      </c>
      <c r="J191" s="1" t="str">
        <f ca="1">IFERROR(__xludf.DUMMYFUNCTION("""COMPUTED_VALUE"""),"5014201091")</f>
        <v>5014201091</v>
      </c>
      <c r="K191" s="1" t="str">
        <f ca="1">IFERROR(__xludf.DUMMYFUNCTION("""COMPUTED_VALUE"""),"Departemen Teknik Lingkungan")</f>
        <v>Departemen Teknik Lingkungan</v>
      </c>
      <c r="L191" s="1" t="str">
        <f ca="1">IFERROR(__xludf.DUMMYFUNCTION("""COMPUTED_VALUE"""),"ADITA AYU ANGGRAINI")</f>
        <v>ADITA AYU ANGGRAINI</v>
      </c>
      <c r="M191" s="1" t="str">
        <f ca="1">IFERROR(__xludf.DUMMYFUNCTION("""COMPUTED_VALUE"""),"5014201080")</f>
        <v>5014201080</v>
      </c>
      <c r="N191" s="1" t="str">
        <f ca="1">IFERROR(__xludf.DUMMYFUNCTION("""COMPUTED_VALUE"""),"Departemen Teknik Lingkungan")</f>
        <v>Departemen Teknik Lingkungan</v>
      </c>
      <c r="O191" s="1" t="str">
        <f ca="1">IFERROR(__xludf.DUMMYFUNCTION("""COMPUTED_VALUE"""),"RECA ARDIYANTI RAHMAN")</f>
        <v>RECA ARDIYANTI RAHMAN</v>
      </c>
      <c r="P191" s="1" t="str">
        <f ca="1">IFERROR(__xludf.DUMMYFUNCTION("""COMPUTED_VALUE"""),"5004201097")</f>
        <v>5004201097</v>
      </c>
      <c r="Q191" s="1" t="str">
        <f ca="1">IFERROR(__xludf.DUMMYFUNCTION("""COMPUTED_VALUE"""),"Departemen Kimia")</f>
        <v>Departemen Kimia</v>
      </c>
      <c r="R191" s="1" t="str">
        <f ca="1">IFERROR(__xludf.DUMMYFUNCTION("""COMPUTED_VALUE"""),"Shafa Fauziyah Fatin")</f>
        <v>Shafa Fauziyah Fatin</v>
      </c>
      <c r="S191" s="1" t="str">
        <f ca="1">IFERROR(__xludf.DUMMYFUNCTION("""COMPUTED_VALUE"""),"02411940000044")</f>
        <v>02411940000044</v>
      </c>
      <c r="T191" s="1" t="str">
        <f ca="1">IFERROR(__xludf.DUMMYFUNCTION("""COMPUTED_VALUE"""),"Departemen Teknik Sistem dan Industri")</f>
        <v>Departemen Teknik Sistem dan Industri</v>
      </c>
      <c r="U191" s="1" t="str">
        <f ca="1">IFERROR(__xludf.DUMMYFUNCTION("""COMPUTED_VALUE"""),"Dr. Dhany Arifianto, S.T., M.Eng.")</f>
        <v>Dr. Dhany Arifianto, S.T., M.Eng.</v>
      </c>
      <c r="V191" s="1" t="str">
        <f ca="1">IFERROR(__xludf.DUMMYFUNCTION("""COMPUTED_VALUE"""),"Ir. Agus Surono, M.T.")</f>
        <v>Ir. Agus Surono, M.T.</v>
      </c>
      <c r="W191" s="1"/>
      <c r="X191" s="1" t="str">
        <f ca="1">IFERROR(__xludf.DUMMYFUNCTION("""COMPUTED_VALUE"""),"Lolos")</f>
        <v>Lolos</v>
      </c>
      <c r="Y191" s="1"/>
      <c r="Z191" s="1"/>
      <c r="AA191" s="1"/>
    </row>
    <row r="192" spans="1:27">
      <c r="A192" s="1" t="s">
        <v>189</v>
      </c>
      <c r="B192" s="1">
        <f ca="1">IFERROR(__xludf.DUMMYFUNCTION("""COMPUTED_VALUE"""),2982)</f>
        <v>2982</v>
      </c>
      <c r="C192" s="1" t="str">
        <f ca="1">IFERROR(__xludf.DUMMYFUNCTION("""COMPUTED_VALUE"""),"PKM Kewirausahaan")</f>
        <v>PKM Kewirausahaan</v>
      </c>
      <c r="D192" s="1" t="str">
        <f ca="1">IFERROR(__xludf.DUMMYFUNCTION("""COMPUTED_VALUE"""),"Tani Pintar: Aplikasi Digital Petani Sebagai Langkah Awal Pendigitalisasian dan Upaya Memberdayakan Petani di Indonesia Guna Mewujudkan Swasembada Pangan Nasional")</f>
        <v>Tani Pintar: Aplikasi Digital Petani Sebagai Langkah Awal Pendigitalisasian dan Upaya Memberdayakan Petani di Indonesia Guna Mewujudkan Swasembada Pangan Nasional</v>
      </c>
      <c r="E192" s="1" t="str">
        <f ca="1">IFERROR(__xludf.DUMMYFUNCTION("""COMPUTED_VALUE"""),"MUHAMMAD RAIHAN RAMADHAN")</f>
        <v>MUHAMMAD RAIHAN RAMADHAN</v>
      </c>
      <c r="F192" s="1" t="str">
        <f ca="1">IFERROR(__xludf.DUMMYFUNCTION("""COMPUTED_VALUE"""),"5022201069")</f>
        <v>5022201069</v>
      </c>
      <c r="G192" s="1" t="str">
        <f ca="1">IFERROR(__xludf.DUMMYFUNCTION("""COMPUTED_VALUE"""),"Departemen Teknik Elektro")</f>
        <v>Departemen Teknik Elektro</v>
      </c>
      <c r="H192" s="1" t="str">
        <f ca="1">IFERROR(__xludf.DUMMYFUNCTION("""COMPUTED_VALUE"""),"Dr. I Gusti Ngurah Satriyadi Hernanda, S.T., M.T.")</f>
        <v>Dr. I Gusti Ngurah Satriyadi Hernanda, S.T., M.T.</v>
      </c>
      <c r="I192" s="1" t="str">
        <f ca="1">IFERROR(__xludf.DUMMYFUNCTION("""COMPUTED_VALUE"""),"Iswatun Khasanah")</f>
        <v>Iswatun Khasanah</v>
      </c>
      <c r="J192" s="1" t="str">
        <f ca="1">IFERROR(__xludf.DUMMYFUNCTION("""COMPUTED_VALUE"""),"09111940000028")</f>
        <v>09111940000028</v>
      </c>
      <c r="K192" s="1" t="str">
        <f ca="1">IFERROR(__xludf.DUMMYFUNCTION("""COMPUTED_VALUE"""),"Departemen Manajemen Bisnis")</f>
        <v>Departemen Manajemen Bisnis</v>
      </c>
      <c r="L192" s="1" t="str">
        <f ca="1">IFERROR(__xludf.DUMMYFUNCTION("""COMPUTED_VALUE"""),"Dian Nur Faizzah")</f>
        <v>Dian Nur Faizzah</v>
      </c>
      <c r="M192" s="1" t="str">
        <f ca="1">IFERROR(__xludf.DUMMYFUNCTION("""COMPUTED_VALUE"""),"07111940000066")</f>
        <v>07111940000066</v>
      </c>
      <c r="N192" s="1" t="str">
        <f ca="1">IFERROR(__xludf.DUMMYFUNCTION("""COMPUTED_VALUE"""),"Departemen Teknik Elektro")</f>
        <v>Departemen Teknik Elektro</v>
      </c>
      <c r="O192" s="1" t="str">
        <f ca="1">IFERROR(__xludf.DUMMYFUNCTION("""COMPUTED_VALUE"""),"Amanda Roosyida")</f>
        <v>Amanda Roosyida</v>
      </c>
      <c r="P192" s="1" t="str">
        <f ca="1">IFERROR(__xludf.DUMMYFUNCTION("""COMPUTED_VALUE"""),"07111940000041")</f>
        <v>07111940000041</v>
      </c>
      <c r="Q192" s="1" t="str">
        <f ca="1">IFERROR(__xludf.DUMMYFUNCTION("""COMPUTED_VALUE"""),"Departemen Teknik Elektro")</f>
        <v>Departemen Teknik Elektro</v>
      </c>
      <c r="R192" s="1" t="str">
        <f ca="1">IFERROR(__xludf.DUMMYFUNCTION("""COMPUTED_VALUE"""),"MUHAMMAD RAYHAN RAFY")</f>
        <v>MUHAMMAD RAYHAN RAFY</v>
      </c>
      <c r="S192" s="1" t="str">
        <f ca="1">IFERROR(__xludf.DUMMYFUNCTION("""COMPUTED_VALUE"""),"5022201179")</f>
        <v>5022201179</v>
      </c>
      <c r="T192" s="1" t="str">
        <f ca="1">IFERROR(__xludf.DUMMYFUNCTION("""COMPUTED_VALUE"""),"Departemen Teknik Elektro")</f>
        <v>Departemen Teknik Elektro</v>
      </c>
      <c r="U192" s="1" t="str">
        <f ca="1">IFERROR(__xludf.DUMMYFUNCTION("""COMPUTED_VALUE"""),"Drs. Bandung Arry Sanjoyo, Mi.Komp.")</f>
        <v>Drs. Bandung Arry Sanjoyo, Mi.Komp.</v>
      </c>
      <c r="V192" s="1" t="str">
        <f ca="1">IFERROR(__xludf.DUMMYFUNCTION("""COMPUTED_VALUE"""),"Wibawati, S.Si., M.Si")</f>
        <v>Wibawati, S.Si., M.Si</v>
      </c>
      <c r="W192" s="1"/>
      <c r="X192" s="1" t="str">
        <f ca="1">IFERROR(__xludf.DUMMYFUNCTION("""COMPUTED_VALUE"""),"Lolos")</f>
        <v>Lolos</v>
      </c>
      <c r="Y192" s="1"/>
      <c r="Z192" s="1"/>
      <c r="AA192" s="1"/>
    </row>
    <row r="193" spans="1:27">
      <c r="A193" s="1" t="s">
        <v>190</v>
      </c>
      <c r="B193" s="1">
        <f ca="1">IFERROR(__xludf.DUMMYFUNCTION("""COMPUTED_VALUE"""),2858)</f>
        <v>2858</v>
      </c>
      <c r="C193" s="1" t="str">
        <f ca="1">IFERROR(__xludf.DUMMYFUNCTION("""COMPUTED_VALUE"""),"PKM Kewirausahaan")</f>
        <v>PKM Kewirausahaan</v>
      </c>
      <c r="D193" s="1" t="str">
        <f ca="1">IFERROR(__xludf.DUMMYFUNCTION("""COMPUTED_VALUE"""),"SCAMUN : Scent Therapy Jahe (Zinger Officinale) dengan Timun (Cucuvis Sativus) Berbasis Herbal Electric Lamp (Hetric Lamp) Ramah Lingkungan")</f>
        <v>SCAMUN : Scent Therapy Jahe (Zinger Officinale) dengan Timun (Cucuvis Sativus) Berbasis Herbal Electric Lamp (Hetric Lamp) Ramah Lingkungan</v>
      </c>
      <c r="E193" s="1" t="str">
        <f ca="1">IFERROR(__xludf.DUMMYFUNCTION("""COMPUTED_VALUE"""),"PUTRI HERLIANI NABILLA")</f>
        <v>PUTRI HERLIANI NABILLA</v>
      </c>
      <c r="F193" s="1" t="str">
        <f ca="1">IFERROR(__xludf.DUMMYFUNCTION("""COMPUTED_VALUE"""),"5003201014")</f>
        <v>5003201014</v>
      </c>
      <c r="G193" s="1" t="str">
        <f ca="1">IFERROR(__xludf.DUMMYFUNCTION("""COMPUTED_VALUE"""),"Departemen Statistika")</f>
        <v>Departemen Statistika</v>
      </c>
      <c r="H193" s="1" t="str">
        <f ca="1">IFERROR(__xludf.DUMMYFUNCTION("""COMPUTED_VALUE"""),"Dr. Achmad Choiruddin, S.Si., M.Sc.")</f>
        <v>Dr. Achmad Choiruddin, S.Si., M.Sc.</v>
      </c>
      <c r="I193" s="1" t="str">
        <f ca="1">IFERROR(__xludf.DUMMYFUNCTION("""COMPUTED_VALUE"""),"NADIA NADHIRA")</f>
        <v>NADIA NADHIRA</v>
      </c>
      <c r="J193" s="1" t="str">
        <f ca="1">IFERROR(__xludf.DUMMYFUNCTION("""COMPUTED_VALUE"""),"5003201113")</f>
        <v>5003201113</v>
      </c>
      <c r="K193" s="1" t="str">
        <f ca="1">IFERROR(__xludf.DUMMYFUNCTION("""COMPUTED_VALUE"""),"Departemen Statistika")</f>
        <v>Departemen Statistika</v>
      </c>
      <c r="L193" s="1" t="str">
        <f ca="1">IFERROR(__xludf.DUMMYFUNCTION("""COMPUTED_VALUE"""),"ALGIO WIJAYA ARTHA")</f>
        <v>ALGIO WIJAYA ARTHA</v>
      </c>
      <c r="M193" s="1" t="str">
        <f ca="1">IFERROR(__xludf.DUMMYFUNCTION("""COMPUTED_VALUE"""),"5003201081")</f>
        <v>5003201081</v>
      </c>
      <c r="N193" s="1" t="str">
        <f ca="1">IFERROR(__xludf.DUMMYFUNCTION("""COMPUTED_VALUE"""),"Departemen Statistika")</f>
        <v>Departemen Statistika</v>
      </c>
      <c r="O193" s="1" t="str">
        <f ca="1">IFERROR(__xludf.DUMMYFUNCTION("""COMPUTED_VALUE"""),"ESTER HOTMARIA")</f>
        <v>ESTER HOTMARIA</v>
      </c>
      <c r="P193" s="1" t="str">
        <f ca="1">IFERROR(__xludf.DUMMYFUNCTION("""COMPUTED_VALUE"""),"5017201062")</f>
        <v>5017201062</v>
      </c>
      <c r="Q193" s="1" t="str">
        <f ca="1">IFERROR(__xludf.DUMMYFUNCTION("""COMPUTED_VALUE"""),"Departemen Teknik Geofisika")</f>
        <v>Departemen Teknik Geofisika</v>
      </c>
      <c r="R193" s="1"/>
      <c r="S193" s="1"/>
      <c r="T193" s="1"/>
      <c r="U193" s="1" t="str">
        <f ca="1">IFERROR(__xludf.DUMMYFUNCTION("""COMPUTED_VALUE"""),"Drs. Bandung Arry Sanjoyo, Mi.Komp.")</f>
        <v>Drs. Bandung Arry Sanjoyo, Mi.Komp.</v>
      </c>
      <c r="V193" s="1" t="str">
        <f ca="1">IFERROR(__xludf.DUMMYFUNCTION("""COMPUTED_VALUE"""),"Wibawati, S.Si., M.Si")</f>
        <v>Wibawati, S.Si., M.Si</v>
      </c>
      <c r="W193" s="1"/>
      <c r="X193" s="1" t="str">
        <f ca="1">IFERROR(__xludf.DUMMYFUNCTION("""COMPUTED_VALUE"""),"Lolos")</f>
        <v>Lolos</v>
      </c>
      <c r="Y193" s="1"/>
      <c r="Z193" s="1"/>
      <c r="AA193" s="1"/>
    </row>
    <row r="194" spans="1:27">
      <c r="A194" s="1" t="s">
        <v>191</v>
      </c>
      <c r="B194" s="1">
        <f ca="1">IFERROR(__xludf.DUMMYFUNCTION("""COMPUTED_VALUE"""),2581)</f>
        <v>2581</v>
      </c>
      <c r="C194" s="1" t="str">
        <f ca="1">IFERROR(__xludf.DUMMYFUNCTION("""COMPUTED_VALUE"""),"PKM Kewirausahaan")</f>
        <v>PKM Kewirausahaan</v>
      </c>
      <c r="D194" s="1" t="str">
        <f ca="1">IFERROR(__xludf.DUMMYFUNCTION("""COMPUTED_VALUE"""),"INOVASI HAND SANITIZER ANTI ALKOHOL DENGAN MEMANFAATKAN EKSTRAK DAUN OCIMUM BASILICUM (KEMANGI) YANG HIDUP DI SEKITAR SEBAGAI UPAYA MENJAGA LINGKUNGAN")</f>
        <v>INOVASI HAND SANITIZER ANTI ALKOHOL DENGAN MEMANFAATKAN EKSTRAK DAUN OCIMUM BASILICUM (KEMANGI) YANG HIDUP DI SEKITAR SEBAGAI UPAYA MENJAGA LINGKUNGAN</v>
      </c>
      <c r="E194" s="1" t="str">
        <f ca="1">IFERROR(__xludf.DUMMYFUNCTION("""COMPUTED_VALUE"""),"KADEK IMELDA ANINDRA")</f>
        <v>KADEK IMELDA ANINDRA</v>
      </c>
      <c r="F194" s="1" t="str">
        <f ca="1">IFERROR(__xludf.DUMMYFUNCTION("""COMPUTED_VALUE"""),"5006211010")</f>
        <v>5006211010</v>
      </c>
      <c r="G194" s="1" t="str">
        <f ca="1">IFERROR(__xludf.DUMMYFUNCTION("""COMPUTED_VALUE"""),"Departemen Aktuaria")</f>
        <v>Departemen Aktuaria</v>
      </c>
      <c r="H194" s="1" t="str">
        <f ca="1">IFERROR(__xludf.DUMMYFUNCTION("""COMPUTED_VALUE"""),"Galuh Oktavia Siswono, S.Si., M.Si., M.Act,Sc.")</f>
        <v>Galuh Oktavia Siswono, S.Si., M.Si., M.Act,Sc.</v>
      </c>
      <c r="I194" s="1" t="str">
        <f ca="1">IFERROR(__xludf.DUMMYFUNCTION("""COMPUTED_VALUE"""),"Sandrina Mutiara Z")</f>
        <v>Sandrina Mutiara Z</v>
      </c>
      <c r="J194" s="1" t="str">
        <f ca="1">IFERROR(__xludf.DUMMYFUNCTION("""COMPUTED_VALUE"""),"5006211019")</f>
        <v>5006211019</v>
      </c>
      <c r="K194" s="1" t="str">
        <f ca="1">IFERROR(__xludf.DUMMYFUNCTION("""COMPUTED_VALUE"""),"Departemen Aktuaria")</f>
        <v>Departemen Aktuaria</v>
      </c>
      <c r="L194" s="1" t="str">
        <f ca="1">IFERROR(__xludf.DUMMYFUNCTION("""COMPUTED_VALUE"""),"WIENDU ANDARU P.")</f>
        <v>WIENDU ANDARU P.</v>
      </c>
      <c r="M194" s="1" t="str">
        <f ca="1">IFERROR(__xludf.DUMMYFUNCTION("""COMPUTED_VALUE"""),"5006211035")</f>
        <v>5006211035</v>
      </c>
      <c r="N194" s="1" t="str">
        <f ca="1">IFERROR(__xludf.DUMMYFUNCTION("""COMPUTED_VALUE"""),"Departemen Aktuaria")</f>
        <v>Departemen Aktuaria</v>
      </c>
      <c r="O194" s="1" t="str">
        <f ca="1">IFERROR(__xludf.DUMMYFUNCTION("""COMPUTED_VALUE"""),"Della Ardhelya")</f>
        <v>Della Ardhelya</v>
      </c>
      <c r="P194" s="1" t="str">
        <f ca="1">IFERROR(__xludf.DUMMYFUNCTION("""COMPUTED_VALUE"""),"5006211044")</f>
        <v>5006211044</v>
      </c>
      <c r="Q194" s="1" t="str">
        <f ca="1">IFERROR(__xludf.DUMMYFUNCTION("""COMPUTED_VALUE"""),"Departemen Aktuaria")</f>
        <v>Departemen Aktuaria</v>
      </c>
      <c r="R194" s="1" t="str">
        <f ca="1">IFERROR(__xludf.DUMMYFUNCTION("""COMPUTED_VALUE"""),"Najwa Adenaneer")</f>
        <v>Najwa Adenaneer</v>
      </c>
      <c r="S194" s="1" t="str">
        <f ca="1">IFERROR(__xludf.DUMMYFUNCTION("""COMPUTED_VALUE"""),"5002211028")</f>
        <v>5002211028</v>
      </c>
      <c r="T194" s="1" t="str">
        <f ca="1">IFERROR(__xludf.DUMMYFUNCTION("""COMPUTED_VALUE"""),"Departemen Matematika")</f>
        <v>Departemen Matematika</v>
      </c>
      <c r="U194" s="1" t="str">
        <f ca="1">IFERROR(__xludf.DUMMYFUNCTION("""COMPUTED_VALUE"""),"MY Alief Samboro, S.T., M.Ds.")</f>
        <v>MY Alief Samboro, S.T., M.Ds.</v>
      </c>
      <c r="V194" s="1" t="str">
        <f ca="1">IFERROR(__xludf.DUMMYFUNCTION("""COMPUTED_VALUE"""),"Mahardika F. Rois, S.T, M.T")</f>
        <v>Mahardika F. Rois, S.T, M.T</v>
      </c>
      <c r="W194" s="1"/>
      <c r="X194" s="1" t="str">
        <f ca="1">IFERROR(__xludf.DUMMYFUNCTION("""COMPUTED_VALUE"""),"Lolos")</f>
        <v>Lolos</v>
      </c>
      <c r="Y194" s="1"/>
      <c r="Z194" s="1"/>
      <c r="AA194" s="1"/>
    </row>
    <row r="195" spans="1:27">
      <c r="A195" s="1" t="s">
        <v>192</v>
      </c>
      <c r="B195" s="1">
        <f ca="1">IFERROR(__xludf.DUMMYFUNCTION("""COMPUTED_VALUE"""),2340)</f>
        <v>2340</v>
      </c>
      <c r="C195" s="1" t="str">
        <f ca="1">IFERROR(__xludf.DUMMYFUNCTION("""COMPUTED_VALUE"""),"PKM Kewirausahaan")</f>
        <v>PKM Kewirausahaan</v>
      </c>
      <c r="D195" s="1" t="str">
        <f ca="1">IFERROR(__xludf.DUMMYFUNCTION("""COMPUTED_VALUE"""),"PinPin : Platform Sertifikasi Legalitas Lengkap untuk Usaha Mikro Kecil Menengah (UMKM) sebagai Penunjang Value pada Produk
")</f>
        <v xml:space="preserve">PinPin : Platform Sertifikasi Legalitas Lengkap untuk Usaha Mikro Kecil Menengah (UMKM) sebagai Penunjang Value pada Produk
</v>
      </c>
      <c r="E195" s="1" t="str">
        <f ca="1">IFERROR(__xludf.DUMMYFUNCTION("""COMPUTED_VALUE"""),"ERLANGGA AJI E. J.")</f>
        <v>ERLANGGA AJI E. J.</v>
      </c>
      <c r="F195" s="1" t="str">
        <f ca="1">IFERROR(__xludf.DUMMYFUNCTION("""COMPUTED_VALUE"""),"5031211075")</f>
        <v>5031211075</v>
      </c>
      <c r="G195" s="1" t="str">
        <f ca="1">IFERROR(__xludf.DUMMYFUNCTION("""COMPUTED_VALUE"""),"Departemen Manajemen Bisnis")</f>
        <v>Departemen Manajemen Bisnis</v>
      </c>
      <c r="H195" s="1" t="str">
        <f ca="1">IFERROR(__xludf.DUMMYFUNCTION("""COMPUTED_VALUE"""),"Ni Gusti Made Rai, S.Psi., M.Psi.")</f>
        <v>Ni Gusti Made Rai, S.Psi., M.Psi.</v>
      </c>
      <c r="I195" s="1" t="str">
        <f ca="1">IFERROR(__xludf.DUMMYFUNCTION("""COMPUTED_VALUE"""),"LAILATUL HIDAYATI")</f>
        <v>LAILATUL HIDAYATI</v>
      </c>
      <c r="J195" s="1" t="str">
        <f ca="1">IFERROR(__xludf.DUMMYFUNCTION("""COMPUTED_VALUE"""),"5031211027")</f>
        <v>5031211027</v>
      </c>
      <c r="K195" s="1" t="str">
        <f ca="1">IFERROR(__xludf.DUMMYFUNCTION("""COMPUTED_VALUE"""),"Departemen Manajemen Bisnis")</f>
        <v>Departemen Manajemen Bisnis</v>
      </c>
      <c r="L195" s="1" t="str">
        <f ca="1">IFERROR(__xludf.DUMMYFUNCTION("""COMPUTED_VALUE"""),"Abelia Erika P.M.")</f>
        <v>Abelia Erika P.M.</v>
      </c>
      <c r="M195" s="1" t="str">
        <f ca="1">IFERROR(__xludf.DUMMYFUNCTION("""COMPUTED_VALUE"""),"5031211055")</f>
        <v>5031211055</v>
      </c>
      <c r="N195" s="1" t="str">
        <f ca="1">IFERROR(__xludf.DUMMYFUNCTION("""COMPUTED_VALUE"""),"Departemen Manajemen Bisnis")</f>
        <v>Departemen Manajemen Bisnis</v>
      </c>
      <c r="O195" s="1" t="str">
        <f ca="1">IFERROR(__xludf.DUMMYFUNCTION("""COMPUTED_VALUE"""),"RAHMA MARETA P.")</f>
        <v>RAHMA MARETA P.</v>
      </c>
      <c r="P195" s="1" t="str">
        <f ca="1">IFERROR(__xludf.DUMMYFUNCTION("""COMPUTED_VALUE"""),"5031211048")</f>
        <v>5031211048</v>
      </c>
      <c r="Q195" s="1" t="str">
        <f ca="1">IFERROR(__xludf.DUMMYFUNCTION("""COMPUTED_VALUE"""),"Departemen Manajemen Bisnis")</f>
        <v>Departemen Manajemen Bisnis</v>
      </c>
      <c r="R195" s="1" t="str">
        <f ca="1">IFERROR(__xludf.DUMMYFUNCTION("""COMPUTED_VALUE"""),"RAFI MUBAROK A.")</f>
        <v>RAFI MUBAROK A.</v>
      </c>
      <c r="S195" s="1" t="str">
        <f ca="1">IFERROR(__xludf.DUMMYFUNCTION("""COMPUTED_VALUE"""),"5031211024")</f>
        <v>5031211024</v>
      </c>
      <c r="T195" s="1" t="str">
        <f ca="1">IFERROR(__xludf.DUMMYFUNCTION("""COMPUTED_VALUE"""),"Departemen Manajemen Bisnis")</f>
        <v>Departemen Manajemen Bisnis</v>
      </c>
      <c r="U195" s="1" t="str">
        <f ca="1">IFERROR(__xludf.DUMMYFUNCTION("""COMPUTED_VALUE"""),"Drs. Bandung Arry Sanjoyo, Mi.Komp.")</f>
        <v>Drs. Bandung Arry Sanjoyo, Mi.Komp.</v>
      </c>
      <c r="V195" s="1" t="str">
        <f ca="1">IFERROR(__xludf.DUMMYFUNCTION("""COMPUTED_VALUE"""),"Wibawati, S.Si., M.Si")</f>
        <v>Wibawati, S.Si., M.Si</v>
      </c>
      <c r="W195" s="1"/>
      <c r="X195" s="1" t="str">
        <f ca="1">IFERROR(__xludf.DUMMYFUNCTION("""COMPUTED_VALUE"""),"Lolos")</f>
        <v>Lolos</v>
      </c>
      <c r="Y195" s="1"/>
      <c r="Z195" s="1"/>
      <c r="AA195" s="1"/>
    </row>
    <row r="196" spans="1:27">
      <c r="A196" s="1" t="s">
        <v>193</v>
      </c>
      <c r="B196" s="1">
        <f ca="1">IFERROR(__xludf.DUMMYFUNCTION("""COMPUTED_VALUE"""),2262)</f>
        <v>2262</v>
      </c>
      <c r="C196" s="1" t="str">
        <f ca="1">IFERROR(__xludf.DUMMYFUNCTION("""COMPUTED_VALUE"""),"PKM Kewirausahaan")</f>
        <v>PKM Kewirausahaan</v>
      </c>
      <c r="D196" s="1" t="str">
        <f ca="1">IFERROR(__xludf.DUMMYFUNCTION("""COMPUTED_VALUE"""),"Inovasi Papan Permainan Monopoli Sebagai Media Pengenalan Kebudayaan Indonesia dan Peluang Bisnis di Era Digital")</f>
        <v>Inovasi Papan Permainan Monopoli Sebagai Media Pengenalan Kebudayaan Indonesia dan Peluang Bisnis di Era Digital</v>
      </c>
      <c r="E196" s="1" t="str">
        <f ca="1">IFERROR(__xludf.DUMMYFUNCTION("""COMPUTED_VALUE"""),"Latifatul Fajriyah")</f>
        <v>Latifatul Fajriyah</v>
      </c>
      <c r="F196" s="1" t="str">
        <f ca="1">IFERROR(__xludf.DUMMYFUNCTION("""COMPUTED_VALUE"""),"02311940000054")</f>
        <v>02311940000054</v>
      </c>
      <c r="G196" s="1" t="str">
        <f ca="1">IFERROR(__xludf.DUMMYFUNCTION("""COMPUTED_VALUE"""),"Departemen Teknik Fisika")</f>
        <v>Departemen Teknik Fisika</v>
      </c>
      <c r="H196" s="1" t="str">
        <f ca="1">IFERROR(__xludf.DUMMYFUNCTION("""COMPUTED_VALUE"""),"Dyah Sawitri, S.T., M.T.")</f>
        <v>Dyah Sawitri, S.T., M.T.</v>
      </c>
      <c r="I196" s="1" t="str">
        <f ca="1">IFERROR(__xludf.DUMMYFUNCTION("""COMPUTED_VALUE"""),"Intan Mey Setyaningrum")</f>
        <v>Intan Mey Setyaningrum</v>
      </c>
      <c r="J196" s="1" t="str">
        <f ca="1">IFERROR(__xludf.DUMMYFUNCTION("""COMPUTED_VALUE"""),"02311940000045")</f>
        <v>02311940000045</v>
      </c>
      <c r="K196" s="1" t="str">
        <f ca="1">IFERROR(__xludf.DUMMYFUNCTION("""COMPUTED_VALUE"""),"Departemen Teknik Fisika")</f>
        <v>Departemen Teknik Fisika</v>
      </c>
      <c r="L196" s="1" t="str">
        <f ca="1">IFERROR(__xludf.DUMMYFUNCTION("""COMPUTED_VALUE"""),"Fadhila Rosyidatul `arifah")</f>
        <v>Fadhila Rosyidatul `arifah</v>
      </c>
      <c r="M196" s="1" t="str">
        <f ca="1">IFERROR(__xludf.DUMMYFUNCTION("""COMPUTED_VALUE"""),"02511940000045")</f>
        <v>02511940000045</v>
      </c>
      <c r="N196" s="1" t="str">
        <f ca="1">IFERROR(__xludf.DUMMYFUNCTION("""COMPUTED_VALUE"""),"Departemen Teknik Material dan Metalurgi")</f>
        <v>Departemen Teknik Material dan Metalurgi</v>
      </c>
      <c r="O196" s="1"/>
      <c r="P196" s="1"/>
      <c r="Q196" s="1"/>
      <c r="R196" s="1"/>
      <c r="S196" s="1"/>
      <c r="T196" s="1"/>
      <c r="U196" s="1" t="str">
        <f ca="1">IFERROR(__xludf.DUMMYFUNCTION("""COMPUTED_VALUE"""),"Gita Widi Bhawika, S.ST., M.MT")</f>
        <v>Gita Widi Bhawika, S.ST., M.MT</v>
      </c>
      <c r="V196" s="1" t="str">
        <f ca="1">IFERROR(__xludf.DUMMYFUNCTION("""COMPUTED_VALUE"""),"R.Eka Rizkiantono, S.Sn, M.Ds")</f>
        <v>R.Eka Rizkiantono, S.Sn, M.Ds</v>
      </c>
      <c r="W196" s="1"/>
      <c r="X196" s="1" t="str">
        <f ca="1">IFERROR(__xludf.DUMMYFUNCTION("""COMPUTED_VALUE"""),"Lolos")</f>
        <v>Lolos</v>
      </c>
      <c r="Y196" s="1"/>
      <c r="Z196" s="1"/>
      <c r="AA196" s="1"/>
    </row>
    <row r="197" spans="1:27">
      <c r="A197" s="1" t="s">
        <v>194</v>
      </c>
      <c r="B197" s="1">
        <f ca="1">IFERROR(__xludf.DUMMYFUNCTION("""COMPUTED_VALUE"""),2098)</f>
        <v>2098</v>
      </c>
      <c r="C197" s="1" t="str">
        <f ca="1">IFERROR(__xludf.DUMMYFUNCTION("""COMPUTED_VALUE"""),"PKM Kewirausahaan")</f>
        <v>PKM Kewirausahaan</v>
      </c>
      <c r="D197" s="1" t="str">
        <f ca="1">IFERROR(__xludf.DUMMYFUNCTION("""COMPUTED_VALUE"""),"Platform Konsultasi dengan Aktuaris Berbasis Online Sebagai Penghubung Antara Pihak Umum dan Aktuaris Publik")</f>
        <v>Platform Konsultasi dengan Aktuaris Berbasis Online Sebagai Penghubung Antara Pihak Umum dan Aktuaris Publik</v>
      </c>
      <c r="E197" s="1" t="str">
        <f ca="1">IFERROR(__xludf.DUMMYFUNCTION("""COMPUTED_VALUE"""),"SETYA INDRA PRIBADI")</f>
        <v>SETYA INDRA PRIBADI</v>
      </c>
      <c r="F197" s="1" t="str">
        <f ca="1">IFERROR(__xludf.DUMMYFUNCTION("""COMPUTED_VALUE"""),"5006211081")</f>
        <v>5006211081</v>
      </c>
      <c r="G197" s="1" t="str">
        <f ca="1">IFERROR(__xludf.DUMMYFUNCTION("""COMPUTED_VALUE"""),"Departemen Aktuaria")</f>
        <v>Departemen Aktuaria</v>
      </c>
      <c r="H197" s="1" t="str">
        <f ca="1">IFERROR(__xludf.DUMMYFUNCTION("""COMPUTED_VALUE"""),"R. Mohamad Atok, S.Si, M.Si, Ph.D")</f>
        <v>R. Mohamad Atok, S.Si, M.Si, Ph.D</v>
      </c>
      <c r="I197" s="1" t="str">
        <f ca="1">IFERROR(__xludf.DUMMYFUNCTION("""COMPUTED_VALUE"""),"M RAFLI DWI SUTRISNO")</f>
        <v>M RAFLI DWI SUTRISNO</v>
      </c>
      <c r="J197" s="1" t="str">
        <f ca="1">IFERROR(__xludf.DUMMYFUNCTION("""COMPUTED_VALUE"""),"5006211080")</f>
        <v>5006211080</v>
      </c>
      <c r="K197" s="1" t="str">
        <f ca="1">IFERROR(__xludf.DUMMYFUNCTION("""COMPUTED_VALUE"""),"Departemen Aktuaria")</f>
        <v>Departemen Aktuaria</v>
      </c>
      <c r="L197" s="1" t="str">
        <f ca="1">IFERROR(__xludf.DUMMYFUNCTION("""COMPUTED_VALUE"""),"Moch Abdul Rozak")</f>
        <v>Moch Abdul Rozak</v>
      </c>
      <c r="M197" s="1" t="str">
        <f ca="1">IFERROR(__xludf.DUMMYFUNCTION("""COMPUTED_VALUE"""),"5006211063")</f>
        <v>5006211063</v>
      </c>
      <c r="N197" s="1" t="str">
        <f ca="1">IFERROR(__xludf.DUMMYFUNCTION("""COMPUTED_VALUE"""),"Departemen Aktuaria")</f>
        <v>Departemen Aktuaria</v>
      </c>
      <c r="O197" s="1" t="str">
        <f ca="1">IFERROR(__xludf.DUMMYFUNCTION("""COMPUTED_VALUE"""),"Sherennisa Adira")</f>
        <v>Sherennisa Adira</v>
      </c>
      <c r="P197" s="1" t="str">
        <f ca="1">IFERROR(__xludf.DUMMYFUNCTION("""COMPUTED_VALUE"""),"5028211033")</f>
        <v>5028211033</v>
      </c>
      <c r="Q197" s="1" t="str">
        <f ca="1">IFERROR(__xludf.DUMMYFUNCTION("""COMPUTED_VALUE"""),"Departemen Desain Produk")</f>
        <v>Departemen Desain Produk</v>
      </c>
      <c r="R197" s="1" t="str">
        <f ca="1">IFERROR(__xludf.DUMMYFUNCTION("""COMPUTED_VALUE"""),"Ridho Bagus Dwi Y")</f>
        <v>Ridho Bagus Dwi Y</v>
      </c>
      <c r="S197" s="1" t="str">
        <f ca="1">IFERROR(__xludf.DUMMYFUNCTION("""COMPUTED_VALUE"""),"5028211036")</f>
        <v>5028211036</v>
      </c>
      <c r="T197" s="1" t="str">
        <f ca="1">IFERROR(__xludf.DUMMYFUNCTION("""COMPUTED_VALUE"""),"Departemen Desain Produk")</f>
        <v>Departemen Desain Produk</v>
      </c>
      <c r="U197" s="1" t="str">
        <f ca="1">IFERROR(__xludf.DUMMYFUNCTION("""COMPUTED_VALUE"""),"Drs. Bandung Arry Sanjoyo, Mi.Komp.")</f>
        <v>Drs. Bandung Arry Sanjoyo, Mi.Komp.</v>
      </c>
      <c r="V197" s="1" t="str">
        <f ca="1">IFERROR(__xludf.DUMMYFUNCTION("""COMPUTED_VALUE"""),"Wibawati, S.Si., M.Si")</f>
        <v>Wibawati, S.Si., M.Si</v>
      </c>
      <c r="W197" s="1"/>
      <c r="X197" s="1" t="str">
        <f ca="1">IFERROR(__xludf.DUMMYFUNCTION("""COMPUTED_VALUE"""),"Lolos")</f>
        <v>Lolos</v>
      </c>
      <c r="Y197" s="1"/>
      <c r="Z197" s="1"/>
      <c r="AA197" s="1"/>
    </row>
    <row r="198" spans="1:27">
      <c r="A198" s="1" t="s">
        <v>195</v>
      </c>
      <c r="B198" s="1">
        <f ca="1">IFERROR(__xludf.DUMMYFUNCTION("""COMPUTED_VALUE"""),3966)</f>
        <v>3966</v>
      </c>
      <c r="C198" s="1" t="str">
        <f ca="1">IFERROR(__xludf.DUMMYFUNCTION("""COMPUTED_VALUE"""),"PKM Kewirausahaan")</f>
        <v>PKM Kewirausahaan</v>
      </c>
      <c r="D198" s="1" t="str">
        <f ca="1">IFERROR(__xludf.DUMMYFUNCTION("""COMPUTED_VALUE"""),"SOYDOTZ: SEDOTAN ECO-FRIENDLY BERBAHAN GELATIN NABATI GUNA MENEKAN PLASTIC WASTE")</f>
        <v>SOYDOTZ: SEDOTAN ECO-FRIENDLY BERBAHAN GELATIN NABATI GUNA MENEKAN PLASTIC WASTE</v>
      </c>
      <c r="E198" s="1" t="str">
        <f ca="1">IFERROR(__xludf.DUMMYFUNCTION("""COMPUTED_VALUE"""),"Fairuz Zalfa Ardani")</f>
        <v>Fairuz Zalfa Ardani</v>
      </c>
      <c r="F198" s="1" t="str">
        <f ca="1">IFERROR(__xludf.DUMMYFUNCTION("""COMPUTED_VALUE"""),"5014211087")</f>
        <v>5014211087</v>
      </c>
      <c r="G198" s="1" t="str">
        <f ca="1">IFERROR(__xludf.DUMMYFUNCTION("""COMPUTED_VALUE"""),"Departemen Teknik Lingkungan")</f>
        <v>Departemen Teknik Lingkungan</v>
      </c>
      <c r="H198" s="1" t="str">
        <f ca="1">IFERROR(__xludf.DUMMYFUNCTION("""COMPUTED_VALUE"""),"Deqi Rizkivia Radita, S.T., M.Sc.")</f>
        <v>Deqi Rizkivia Radita, S.T., M.Sc.</v>
      </c>
      <c r="I198" s="1" t="str">
        <f ca="1">IFERROR(__xludf.DUMMYFUNCTION("""COMPUTED_VALUE"""),"HAFIDA TSANI NOERADINDA")</f>
        <v>HAFIDA TSANI NOERADINDA</v>
      </c>
      <c r="J198" s="1" t="str">
        <f ca="1">IFERROR(__xludf.DUMMYFUNCTION("""COMPUTED_VALUE"""),"03211940000055")</f>
        <v>03211940000055</v>
      </c>
      <c r="K198" s="1" t="str">
        <f ca="1">IFERROR(__xludf.DUMMYFUNCTION("""COMPUTED_VALUE"""),"Departemen Teknik Lingkungan")</f>
        <v>Departemen Teknik Lingkungan</v>
      </c>
      <c r="L198" s="1" t="str">
        <f ca="1">IFERROR(__xludf.DUMMYFUNCTION("""COMPUTED_VALUE"""),"M. Hammam Andare Y")</f>
        <v>M. Hammam Andare Y</v>
      </c>
      <c r="M198" s="1" t="str">
        <f ca="1">IFERROR(__xludf.DUMMYFUNCTION("""COMPUTED_VALUE"""),"5014211104")</f>
        <v>5014211104</v>
      </c>
      <c r="N198" s="1" t="str">
        <f ca="1">IFERROR(__xludf.DUMMYFUNCTION("""COMPUTED_VALUE"""),"Departemen Teknik Lingkungan")</f>
        <v>Departemen Teknik Lingkungan</v>
      </c>
      <c r="O198" s="1" t="str">
        <f ca="1">IFERROR(__xludf.DUMMYFUNCTION("""COMPUTED_VALUE"""),"ABDILLAH AZHAM")</f>
        <v>ABDILLAH AZHAM</v>
      </c>
      <c r="P198" s="1" t="str">
        <f ca="1">IFERROR(__xludf.DUMMYFUNCTION("""COMPUTED_VALUE"""),"5014211017")</f>
        <v>5014211017</v>
      </c>
      <c r="Q198" s="1" t="str">
        <f ca="1">IFERROR(__xludf.DUMMYFUNCTION("""COMPUTED_VALUE"""),"Departemen Teknik Lingkungan")</f>
        <v>Departemen Teknik Lingkungan</v>
      </c>
      <c r="R198" s="1" t="str">
        <f ca="1">IFERROR(__xludf.DUMMYFUNCTION("""COMPUTED_VALUE"""),"AHMAD TSAQIB")</f>
        <v>AHMAD TSAQIB</v>
      </c>
      <c r="S198" s="1" t="str">
        <f ca="1">IFERROR(__xludf.DUMMYFUNCTION("""COMPUTED_VALUE"""),"5014211074")</f>
        <v>5014211074</v>
      </c>
      <c r="T198" s="1" t="str">
        <f ca="1">IFERROR(__xludf.DUMMYFUNCTION("""COMPUTED_VALUE"""),"Departemen Teknik Lingkungan")</f>
        <v>Departemen Teknik Lingkungan</v>
      </c>
      <c r="U198" s="1" t="str">
        <f ca="1">IFERROR(__xludf.DUMMYFUNCTION("""COMPUTED_VALUE"""),"Drs. Bandung Arry Sanjoyo, Mi.Komp.")</f>
        <v>Drs. Bandung Arry Sanjoyo, Mi.Komp.</v>
      </c>
      <c r="V198" s="1" t="str">
        <f ca="1">IFERROR(__xludf.DUMMYFUNCTION("""COMPUTED_VALUE"""),"Moh. Singgih Purwanto, S.Si., M.T")</f>
        <v>Moh. Singgih Purwanto, S.Si., M.T</v>
      </c>
      <c r="W198" s="1"/>
      <c r="X198" s="1" t="str">
        <f ca="1">IFERROR(__xludf.DUMMYFUNCTION("""COMPUTED_VALUE"""),"Lolos")</f>
        <v>Lolos</v>
      </c>
      <c r="Y198" s="1"/>
      <c r="Z198" s="1"/>
      <c r="AA198" s="1"/>
    </row>
    <row r="199" spans="1:27">
      <c r="A199" s="1" t="s">
        <v>196</v>
      </c>
      <c r="B199" s="1">
        <f ca="1">IFERROR(__xludf.DUMMYFUNCTION("""COMPUTED_VALUE"""),2667)</f>
        <v>2667</v>
      </c>
      <c r="C199" s="1" t="str">
        <f ca="1">IFERROR(__xludf.DUMMYFUNCTION("""COMPUTED_VALUE"""),"PKM Kewirausahaan")</f>
        <v>PKM Kewirausahaan</v>
      </c>
      <c r="D199" s="1" t="str">
        <f ca="1">IFERROR(__xludf.DUMMYFUNCTION("""COMPUTED_VALUE"""),"Neutra: Spray Penghilang Bau dengan Pengharum Berbahan Organik")</f>
        <v>Neutra: Spray Penghilang Bau dengan Pengharum Berbahan Organik</v>
      </c>
      <c r="E199" s="1" t="str">
        <f ca="1">IFERROR(__xludf.DUMMYFUNCTION("""COMPUTED_VALUE"""),"TAKHA CAMILLA AISHA AUDYARAHMA")</f>
        <v>TAKHA CAMILLA AISHA AUDYARAHMA</v>
      </c>
      <c r="F199" s="1" t="str">
        <f ca="1">IFERROR(__xludf.DUMMYFUNCTION("""COMPUTED_VALUE"""),"5031201074")</f>
        <v>5031201074</v>
      </c>
      <c r="G199" s="1" t="str">
        <f ca="1">IFERROR(__xludf.DUMMYFUNCTION("""COMPUTED_VALUE"""),"Departemen Manajemen Bisnis")</f>
        <v>Departemen Manajemen Bisnis</v>
      </c>
      <c r="H199" s="1" t="str">
        <f ca="1">IFERROR(__xludf.DUMMYFUNCTION("""COMPUTED_VALUE"""),"Gita Widi Bhawika, S.ST., M.MT")</f>
        <v>Gita Widi Bhawika, S.ST., M.MT</v>
      </c>
      <c r="I199" s="1" t="str">
        <f ca="1">IFERROR(__xludf.DUMMYFUNCTION("""COMPUTED_VALUE"""),"ADITYA FAJAR RAMADHAN")</f>
        <v>ADITYA FAJAR RAMADHAN</v>
      </c>
      <c r="J199" s="1" t="str">
        <f ca="1">IFERROR(__xludf.DUMMYFUNCTION("""COMPUTED_VALUE"""),"5031201031")</f>
        <v>5031201031</v>
      </c>
      <c r="K199" s="1" t="str">
        <f ca="1">IFERROR(__xludf.DUMMYFUNCTION("""COMPUTED_VALUE"""),"Departemen Manajemen Bisnis")</f>
        <v>Departemen Manajemen Bisnis</v>
      </c>
      <c r="L199" s="1" t="str">
        <f ca="1">IFERROR(__xludf.DUMMYFUNCTION("""COMPUTED_VALUE"""),"REGITA BRITTANICA PUTRI TRISTANTI")</f>
        <v>REGITA BRITTANICA PUTRI TRISTANTI</v>
      </c>
      <c r="M199" s="1" t="str">
        <f ca="1">IFERROR(__xludf.DUMMYFUNCTION("""COMPUTED_VALUE"""),"5031201053")</f>
        <v>5031201053</v>
      </c>
      <c r="N199" s="1" t="str">
        <f ca="1">IFERROR(__xludf.DUMMYFUNCTION("""COMPUTED_VALUE"""),"Departemen Manajemen Bisnis")</f>
        <v>Departemen Manajemen Bisnis</v>
      </c>
      <c r="O199" s="1" t="str">
        <f ca="1">IFERROR(__xludf.DUMMYFUNCTION("""COMPUTED_VALUE"""),"RIYAN DIPAWAN")</f>
        <v>RIYAN DIPAWAN</v>
      </c>
      <c r="P199" s="1" t="str">
        <f ca="1">IFERROR(__xludf.DUMMYFUNCTION("""COMPUTED_VALUE"""),"5031201070")</f>
        <v>5031201070</v>
      </c>
      <c r="Q199" s="1" t="str">
        <f ca="1">IFERROR(__xludf.DUMMYFUNCTION("""COMPUTED_VALUE"""),"Departemen Manajemen Bisnis")</f>
        <v>Departemen Manajemen Bisnis</v>
      </c>
      <c r="R199" s="1" t="str">
        <f ca="1">IFERROR(__xludf.DUMMYFUNCTION("""COMPUTED_VALUE"""),"PANDYA AHMADI FAISAL")</f>
        <v>PANDYA AHMADI FAISAL</v>
      </c>
      <c r="S199" s="1" t="str">
        <f ca="1">IFERROR(__xludf.DUMMYFUNCTION("""COMPUTED_VALUE"""),"5031201090")</f>
        <v>5031201090</v>
      </c>
      <c r="T199" s="1" t="str">
        <f ca="1">IFERROR(__xludf.DUMMYFUNCTION("""COMPUTED_VALUE"""),"Departemen Manajemen Bisnis")</f>
        <v>Departemen Manajemen Bisnis</v>
      </c>
      <c r="U199" s="1" t="str">
        <f ca="1">IFERROR(__xludf.DUMMYFUNCTION("""COMPUTED_VALUE"""),"Dr. Adithya Sudiarno, S.T., M.T.")</f>
        <v>Dr. Adithya Sudiarno, S.T., M.T.</v>
      </c>
      <c r="V199" s="1" t="str">
        <f ca="1">IFERROR(__xludf.DUMMYFUNCTION("""COMPUTED_VALUE"""),"Daril Ridho Zuchrillah, S.T., M.T.")</f>
        <v>Daril Ridho Zuchrillah, S.T., M.T.</v>
      </c>
      <c r="W199" s="1"/>
      <c r="X199" s="1" t="str">
        <f ca="1">IFERROR(__xludf.DUMMYFUNCTION("""COMPUTED_VALUE"""),"Lolos")</f>
        <v>Lolos</v>
      </c>
      <c r="Y199" s="1"/>
      <c r="Z199" s="1"/>
      <c r="AA199" s="1"/>
    </row>
    <row r="200" spans="1:27">
      <c r="A200" s="1" t="s">
        <v>197</v>
      </c>
      <c r="B200" s="1">
        <f ca="1">IFERROR(__xludf.DUMMYFUNCTION("""COMPUTED_VALUE"""),2267)</f>
        <v>2267</v>
      </c>
      <c r="C200" s="1" t="str">
        <f ca="1">IFERROR(__xludf.DUMMYFUNCTION("""COMPUTED_VALUE"""),"PKM Kewirausahaan")</f>
        <v>PKM Kewirausahaan</v>
      </c>
      <c r="D200" s="1" t="str">
        <f ca="1">IFERROR(__xludf.DUMMYFUNCTION("""COMPUTED_VALUE"""),"Scholar.sip : Aplikasi Penyedia Informasi dan Bimbingan Beasiswa sebagai Upaya Meningkatkan Tingkat Pendidikan dan Ilmu Pengetahuan di Indonesia")</f>
        <v>Scholar.sip : Aplikasi Penyedia Informasi dan Bimbingan Beasiswa sebagai Upaya Meningkatkan Tingkat Pendidikan dan Ilmu Pengetahuan di Indonesia</v>
      </c>
      <c r="E200" s="1" t="str">
        <f ca="1">IFERROR(__xludf.DUMMYFUNCTION("""COMPUTED_VALUE"""),"SYABELLA RACHMADIAOCTA TATAKSMARA")</f>
        <v>SYABELLA RACHMADIAOCTA TATAKSMARA</v>
      </c>
      <c r="F200" s="1" t="str">
        <f ca="1">IFERROR(__xludf.DUMMYFUNCTION("""COMPUTED_VALUE"""),"5031201003")</f>
        <v>5031201003</v>
      </c>
      <c r="G200" s="1" t="str">
        <f ca="1">IFERROR(__xludf.DUMMYFUNCTION("""COMPUTED_VALUE"""),"Departemen Manajemen Bisnis")</f>
        <v>Departemen Manajemen Bisnis</v>
      </c>
      <c r="H200" s="1" t="str">
        <f ca="1">IFERROR(__xludf.DUMMYFUNCTION("""COMPUTED_VALUE"""),"Gita Widi Bhawika, S.ST., M.MT")</f>
        <v>Gita Widi Bhawika, S.ST., M.MT</v>
      </c>
      <c r="I200" s="1" t="str">
        <f ca="1">IFERROR(__xludf.DUMMYFUNCTION("""COMPUTED_VALUE"""),"NATHANIEL")</f>
        <v>NATHANIEL</v>
      </c>
      <c r="J200" s="1" t="str">
        <f ca="1">IFERROR(__xludf.DUMMYFUNCTION("""COMPUTED_VALUE"""),"5031201062")</f>
        <v>5031201062</v>
      </c>
      <c r="K200" s="1" t="str">
        <f ca="1">IFERROR(__xludf.DUMMYFUNCTION("""COMPUTED_VALUE"""),"Departemen Manajemen Bisnis")</f>
        <v>Departemen Manajemen Bisnis</v>
      </c>
      <c r="L200" s="1" t="str">
        <f ca="1">IFERROR(__xludf.DUMMYFUNCTION("""COMPUTED_VALUE"""),"WAHYU ATILLA KUSUMA WARDHANA")</f>
        <v>WAHYU ATILLA KUSUMA WARDHANA</v>
      </c>
      <c r="M200" s="1" t="str">
        <f ca="1">IFERROR(__xludf.DUMMYFUNCTION("""COMPUTED_VALUE"""),"5031201045")</f>
        <v>5031201045</v>
      </c>
      <c r="N200" s="1" t="str">
        <f ca="1">IFERROR(__xludf.DUMMYFUNCTION("""COMPUTED_VALUE"""),"Departemen Manajemen Bisnis")</f>
        <v>Departemen Manajemen Bisnis</v>
      </c>
      <c r="O200" s="1" t="str">
        <f ca="1">IFERROR(__xludf.DUMMYFUNCTION("""COMPUTED_VALUE"""),"AZRA ZETA FITRI LUDYTA")</f>
        <v>AZRA ZETA FITRI LUDYTA</v>
      </c>
      <c r="P200" s="1" t="str">
        <f ca="1">IFERROR(__xludf.DUMMYFUNCTION("""COMPUTED_VALUE"""),"5031201044")</f>
        <v>5031201044</v>
      </c>
      <c r="Q200" s="1" t="str">
        <f ca="1">IFERROR(__xludf.DUMMYFUNCTION("""COMPUTED_VALUE"""),"Departemen Manajemen Bisnis")</f>
        <v>Departemen Manajemen Bisnis</v>
      </c>
      <c r="R200" s="1" t="str">
        <f ca="1">IFERROR(__xludf.DUMMYFUNCTION("""COMPUTED_VALUE"""),"JOSEPH GRACIANO KISWORO")</f>
        <v>JOSEPH GRACIANO KISWORO</v>
      </c>
      <c r="S200" s="1" t="str">
        <f ca="1">IFERROR(__xludf.DUMMYFUNCTION("""COMPUTED_VALUE"""),"5031201048")</f>
        <v>5031201048</v>
      </c>
      <c r="T200" s="1" t="str">
        <f ca="1">IFERROR(__xludf.DUMMYFUNCTION("""COMPUTED_VALUE"""),"Departemen Manajemen Bisnis")</f>
        <v>Departemen Manajemen Bisnis</v>
      </c>
      <c r="U200" s="1" t="str">
        <f ca="1">IFERROR(__xludf.DUMMYFUNCTION("""COMPUTED_VALUE"""),"MY Alief Samboro, S.T., M.Ds.")</f>
        <v>MY Alief Samboro, S.T., M.Ds.</v>
      </c>
      <c r="V200" s="1" t="str">
        <f ca="1">IFERROR(__xludf.DUMMYFUNCTION("""COMPUTED_VALUE"""),"R.Eka Rizkiantono, S.Sn, M.Ds")</f>
        <v>R.Eka Rizkiantono, S.Sn, M.Ds</v>
      </c>
      <c r="W200" s="1"/>
      <c r="X200" s="1" t="str">
        <f ca="1">IFERROR(__xludf.DUMMYFUNCTION("""COMPUTED_VALUE"""),"Lolos")</f>
        <v>Lolos</v>
      </c>
      <c r="Y200" s="1"/>
      <c r="Z200" s="1"/>
      <c r="AA200" s="1"/>
    </row>
    <row r="201" spans="1:27">
      <c r="A201" s="1" t="s">
        <v>198</v>
      </c>
      <c r="B201" s="1">
        <f ca="1">IFERROR(__xludf.DUMMYFUNCTION("""COMPUTED_VALUE"""),3628)</f>
        <v>3628</v>
      </c>
      <c r="C201" s="1" t="str">
        <f ca="1">IFERROR(__xludf.DUMMYFUNCTION("""COMPUTED_VALUE"""),"PKM Kewirausahaan")</f>
        <v>PKM Kewirausahaan</v>
      </c>
      <c r="D201" s="1" t="str">
        <f ca="1">IFERROR(__xludf.DUMMYFUNCTION("""COMPUTED_VALUE"""),"PLATFORM KURSUS ONLINE BERBASIS HARD SKILL ALL-IN-ONE SEBAGAI UPAYA MENINGKATKAN KEMANDIRIAN BERWIRAUSAHA DI INDONESIA")</f>
        <v>PLATFORM KURSUS ONLINE BERBASIS HARD SKILL ALL-IN-ONE SEBAGAI UPAYA MENINGKATKAN KEMANDIRIAN BERWIRAUSAHA DI INDONESIA</v>
      </c>
      <c r="E201" s="1" t="str">
        <f ca="1">IFERROR(__xludf.DUMMYFUNCTION("""COMPUTED_VALUE"""),"DIMAS HAQQI WIRATAMA")</f>
        <v>DIMAS HAQQI WIRATAMA</v>
      </c>
      <c r="F201" s="1" t="str">
        <f ca="1">IFERROR(__xludf.DUMMYFUNCTION("""COMPUTED_VALUE"""),"02111840000067")</f>
        <v>02111840000067</v>
      </c>
      <c r="G201" s="1" t="str">
        <f ca="1">IFERROR(__xludf.DUMMYFUNCTION("""COMPUTED_VALUE"""),"Departemen Teknik Mesin")</f>
        <v>Departemen Teknik Mesin</v>
      </c>
      <c r="H201" s="1" t="str">
        <f ca="1">IFERROR(__xludf.DUMMYFUNCTION("""COMPUTED_VALUE"""),"Mohammad Khoirul Effendi, S.T., M.Sc.Eng., Ph.D.")</f>
        <v>Mohammad Khoirul Effendi, S.T., M.Sc.Eng., Ph.D.</v>
      </c>
      <c r="I201" s="1" t="str">
        <f ca="1">IFERROR(__xludf.DUMMYFUNCTION("""COMPUTED_VALUE"""),"IMADUDDIN HANIF")</f>
        <v>IMADUDDIN HANIF</v>
      </c>
      <c r="J201" s="1" t="str">
        <f ca="1">IFERROR(__xludf.DUMMYFUNCTION("""COMPUTED_VALUE"""),"02111840000091")</f>
        <v>02111840000091</v>
      </c>
      <c r="K201" s="1" t="str">
        <f ca="1">IFERROR(__xludf.DUMMYFUNCTION("""COMPUTED_VALUE"""),"Departemen Teknik Mesin")</f>
        <v>Departemen Teknik Mesin</v>
      </c>
      <c r="L201" s="1" t="str">
        <f ca="1">IFERROR(__xludf.DUMMYFUNCTION("""COMPUTED_VALUE"""),"MUHAMMAD RIZKI EZEDDIN")</f>
        <v>MUHAMMAD RIZKI EZEDDIN</v>
      </c>
      <c r="M201" s="1" t="str">
        <f ca="1">IFERROR(__xludf.DUMMYFUNCTION("""COMPUTED_VALUE"""),"02111840000149")</f>
        <v>02111840000149</v>
      </c>
      <c r="N201" s="1" t="str">
        <f ca="1">IFERROR(__xludf.DUMMYFUNCTION("""COMPUTED_VALUE"""),"Departemen Teknik Mesin")</f>
        <v>Departemen Teknik Mesin</v>
      </c>
      <c r="O201" s="1" t="str">
        <f ca="1">IFERROR(__xludf.DUMMYFUNCTION("""COMPUTED_VALUE"""),"DATA SYAHRU RAMADHAN")</f>
        <v>DATA SYAHRU RAMADHAN</v>
      </c>
      <c r="P201" s="1" t="str">
        <f ca="1">IFERROR(__xludf.DUMMYFUNCTION("""COMPUTED_VALUE"""),"02111840000160")</f>
        <v>02111840000160</v>
      </c>
      <c r="Q201" s="1" t="str">
        <f ca="1">IFERROR(__xludf.DUMMYFUNCTION("""COMPUTED_VALUE"""),"Departemen Teknik Mesin")</f>
        <v>Departemen Teknik Mesin</v>
      </c>
      <c r="R201" s="1"/>
      <c r="S201" s="1"/>
      <c r="T201" s="1"/>
      <c r="U201" s="1" t="str">
        <f ca="1">IFERROR(__xludf.DUMMYFUNCTION("""COMPUTED_VALUE"""),"Muchammad Nurif, S.E., M.T.")</f>
        <v>Muchammad Nurif, S.E., M.T.</v>
      </c>
      <c r="V201" s="1" t="str">
        <f ca="1">IFERROR(__xludf.DUMMYFUNCTION("""COMPUTED_VALUE"""),"Bahalwan Apriyansyah, S.T., MBA.")</f>
        <v>Bahalwan Apriyansyah, S.T., MBA.</v>
      </c>
      <c r="W201" s="1"/>
      <c r="X201" s="1" t="str">
        <f ca="1">IFERROR(__xludf.DUMMYFUNCTION("""COMPUTED_VALUE"""),"Lolos")</f>
        <v>Lolos</v>
      </c>
      <c r="Y201" s="1"/>
      <c r="Z201" s="1"/>
      <c r="AA201" s="1"/>
    </row>
    <row r="202" spans="1:27">
      <c r="A202" s="1" t="s">
        <v>199</v>
      </c>
      <c r="B202" s="1">
        <f ca="1">IFERROR(__xludf.DUMMYFUNCTION("""COMPUTED_VALUE"""),2561)</f>
        <v>2561</v>
      </c>
      <c r="C202" s="1" t="str">
        <f ca="1">IFERROR(__xludf.DUMMYFUNCTION("""COMPUTED_VALUE"""),"PKM Kewirausahaan")</f>
        <v>PKM Kewirausahaan</v>
      </c>
      <c r="D202" s="1" t="str">
        <f ca="1">IFERROR(__xludf.DUMMYFUNCTION("""COMPUTED_VALUE"""),"Flabellifer Wrap sebagai Pengganti Bubble Wrap yang Ramah Lingkungan")</f>
        <v>Flabellifer Wrap sebagai Pengganti Bubble Wrap yang Ramah Lingkungan</v>
      </c>
      <c r="E202" s="1" t="str">
        <f ca="1">IFERROR(__xludf.DUMMYFUNCTION("""COMPUTED_VALUE"""),"ALTA SALSABELLA MAHARANI")</f>
        <v>ALTA SALSABELLA MAHARANI</v>
      </c>
      <c r="F202" s="1" t="str">
        <f ca="1">IFERROR(__xludf.DUMMYFUNCTION("""COMPUTED_VALUE"""),"5002201117")</f>
        <v>5002201117</v>
      </c>
      <c r="G202" s="1" t="str">
        <f ca="1">IFERROR(__xludf.DUMMYFUNCTION("""COMPUTED_VALUE"""),"Departemen Matematika")</f>
        <v>Departemen Matematika</v>
      </c>
      <c r="H202" s="1" t="str">
        <f ca="1">IFERROR(__xludf.DUMMYFUNCTION("""COMPUTED_VALUE"""),"Dr. Tahiyatul Asfihani, S.Si., M.Si.")</f>
        <v>Dr. Tahiyatul Asfihani, S.Si., M.Si.</v>
      </c>
      <c r="I202" s="1" t="str">
        <f ca="1">IFERROR(__xludf.DUMMYFUNCTION("""COMPUTED_VALUE"""),"ROSA KARUNIA")</f>
        <v>ROSA KARUNIA</v>
      </c>
      <c r="J202" s="1" t="str">
        <f ca="1">IFERROR(__xludf.DUMMYFUNCTION("""COMPUTED_VALUE"""),"5002201113")</f>
        <v>5002201113</v>
      </c>
      <c r="K202" s="1" t="str">
        <f ca="1">IFERROR(__xludf.DUMMYFUNCTION("""COMPUTED_VALUE"""),"Departemen Matematika")</f>
        <v>Departemen Matematika</v>
      </c>
      <c r="L202" s="1" t="str">
        <f ca="1">IFERROR(__xludf.DUMMYFUNCTION("""COMPUTED_VALUE"""),"BALQIS AMIRAH AZ-ZAHRAH")</f>
        <v>BALQIS AMIRAH AZ-ZAHRAH</v>
      </c>
      <c r="M202" s="1" t="str">
        <f ca="1">IFERROR(__xludf.DUMMYFUNCTION("""COMPUTED_VALUE"""),"5002201088")</f>
        <v>5002201088</v>
      </c>
      <c r="N202" s="1" t="str">
        <f ca="1">IFERROR(__xludf.DUMMYFUNCTION("""COMPUTED_VALUE"""),"Departemen Matematika")</f>
        <v>Departemen Matematika</v>
      </c>
      <c r="O202" s="1" t="str">
        <f ca="1">IFERROR(__xludf.DUMMYFUNCTION("""COMPUTED_VALUE"""),"JUWITA ARDIYANTI PURWIRAHAYU")</f>
        <v>JUWITA ARDIYANTI PURWIRAHAYU</v>
      </c>
      <c r="P202" s="1" t="str">
        <f ca="1">IFERROR(__xludf.DUMMYFUNCTION("""COMPUTED_VALUE"""),"5002201047")</f>
        <v>5002201047</v>
      </c>
      <c r="Q202" s="1" t="str">
        <f ca="1">IFERROR(__xludf.DUMMYFUNCTION("""COMPUTED_VALUE"""),"Departemen Matematika")</f>
        <v>Departemen Matematika</v>
      </c>
      <c r="R202" s="1" t="str">
        <f ca="1">IFERROR(__xludf.DUMMYFUNCTION("""COMPUTED_VALUE"""),"ZAHROTUN ISNAINI ROFI A")</f>
        <v>ZAHROTUN ISNAINI ROFI A</v>
      </c>
      <c r="S202" s="1" t="str">
        <f ca="1">IFERROR(__xludf.DUMMYFUNCTION("""COMPUTED_VALUE"""),"5002201019")</f>
        <v>5002201019</v>
      </c>
      <c r="T202" s="1" t="str">
        <f ca="1">IFERROR(__xludf.DUMMYFUNCTION("""COMPUTED_VALUE"""),"Departemen Matematika")</f>
        <v>Departemen Matematika</v>
      </c>
      <c r="U202" s="1" t="str">
        <f ca="1">IFERROR(__xludf.DUMMYFUNCTION("""COMPUTED_VALUE"""),"MY Alief Samboro, S.T., M.Ds.")</f>
        <v>MY Alief Samboro, S.T., M.Ds.</v>
      </c>
      <c r="V202" s="1" t="str">
        <f ca="1">IFERROR(__xludf.DUMMYFUNCTION("""COMPUTED_VALUE"""),"Atikah Aghdhi Pratiwi, S.T., M.T.")</f>
        <v>Atikah Aghdhi Pratiwi, S.T., M.T.</v>
      </c>
      <c r="W202" s="1"/>
      <c r="X202" s="1" t="str">
        <f ca="1">IFERROR(__xludf.DUMMYFUNCTION("""COMPUTED_VALUE"""),"Lolos")</f>
        <v>Lolos</v>
      </c>
      <c r="Y202" s="1"/>
      <c r="Z202" s="1"/>
      <c r="AA202" s="1"/>
    </row>
    <row r="203" spans="1:27">
      <c r="A203" s="1" t="s">
        <v>200</v>
      </c>
      <c r="B203" s="1">
        <f ca="1">IFERROR(__xludf.DUMMYFUNCTION("""COMPUTED_VALUE"""),3624)</f>
        <v>3624</v>
      </c>
      <c r="C203" s="1" t="str">
        <f ca="1">IFERROR(__xludf.DUMMYFUNCTION("""COMPUTED_VALUE"""),"PKM Kewirausahaan")</f>
        <v>PKM Kewirausahaan</v>
      </c>
      <c r="D203" s="1" t="str">
        <f ca="1">IFERROR(__xludf.DUMMYFUNCTION("""COMPUTED_VALUE"""),"Foodio - Platform Informasi Kuliner Berbasis Komunitas Sebagai Upaya Meningkatkan Eksposur Usaha Kuliner")</f>
        <v>Foodio - Platform Informasi Kuliner Berbasis Komunitas Sebagai Upaya Meningkatkan Eksposur Usaha Kuliner</v>
      </c>
      <c r="E203" s="1" t="str">
        <f ca="1">IFERROR(__xludf.DUMMYFUNCTION("""COMPUTED_VALUE"""),"AKHMAD THORIQ AFIF")</f>
        <v>AKHMAD THORIQ AFIF</v>
      </c>
      <c r="F203" s="1" t="str">
        <f ca="1">IFERROR(__xludf.DUMMYFUNCTION("""COMPUTED_VALUE"""),"5024201028")</f>
        <v>5024201028</v>
      </c>
      <c r="G203" s="1" t="str">
        <f ca="1">IFERROR(__xludf.DUMMYFUNCTION("""COMPUTED_VALUE"""),"Departemen Teknik Komputer")</f>
        <v>Departemen Teknik Komputer</v>
      </c>
      <c r="H203" s="1" t="str">
        <f ca="1">IFERROR(__xludf.DUMMYFUNCTION("""COMPUTED_VALUE"""),"Arief Kurniawan, S.T., M.T.")</f>
        <v>Arief Kurniawan, S.T., M.T.</v>
      </c>
      <c r="I203" s="1" t="str">
        <f ca="1">IFERROR(__xludf.DUMMYFUNCTION("""COMPUTED_VALUE"""),"RAMADHANA RIZQY ARIFIN")</f>
        <v>RAMADHANA RIZQY ARIFIN</v>
      </c>
      <c r="J203" s="1" t="str">
        <f ca="1">IFERROR(__xludf.DUMMYFUNCTION("""COMPUTED_VALUE"""),"5026201133")</f>
        <v>5026201133</v>
      </c>
      <c r="K203" s="1" t="str">
        <f ca="1">IFERROR(__xludf.DUMMYFUNCTION("""COMPUTED_VALUE"""),"Departemen Sistem Informasi")</f>
        <v>Departemen Sistem Informasi</v>
      </c>
      <c r="L203" s="1" t="str">
        <f ca="1">IFERROR(__xludf.DUMMYFUNCTION("""COMPUTED_VALUE"""),"MUHAMMAD LUKMANUL HAKIM")</f>
        <v>MUHAMMAD LUKMANUL HAKIM</v>
      </c>
      <c r="M203" s="1" t="str">
        <f ca="1">IFERROR(__xludf.DUMMYFUNCTION("""COMPUTED_VALUE"""),"5022201237")</f>
        <v>5022201237</v>
      </c>
      <c r="N203" s="1" t="str">
        <f ca="1">IFERROR(__xludf.DUMMYFUNCTION("""COMPUTED_VALUE"""),"Departemen Teknik Elektro")</f>
        <v>Departemen Teknik Elektro</v>
      </c>
      <c r="O203" s="1" t="str">
        <f ca="1">IFERROR(__xludf.DUMMYFUNCTION("""COMPUTED_VALUE"""),"GILANG MAULANA")</f>
        <v>GILANG MAULANA</v>
      </c>
      <c r="P203" s="1" t="str">
        <f ca="1">IFERROR(__xludf.DUMMYFUNCTION("""COMPUTED_VALUE"""),"5024201034")</f>
        <v>5024201034</v>
      </c>
      <c r="Q203" s="1" t="str">
        <f ca="1">IFERROR(__xludf.DUMMYFUNCTION("""COMPUTED_VALUE"""),"Departemen Teknik Komputer")</f>
        <v>Departemen Teknik Komputer</v>
      </c>
      <c r="R203" s="1"/>
      <c r="S203" s="1"/>
      <c r="T203" s="1"/>
      <c r="U203" s="1" t="str">
        <f ca="1">IFERROR(__xludf.DUMMYFUNCTION("""COMPUTED_VALUE"""),"Muchammad Nurif, S.E., M.T.")</f>
        <v>Muchammad Nurif, S.E., M.T.</v>
      </c>
      <c r="V203" s="1" t="str">
        <f ca="1">IFERROR(__xludf.DUMMYFUNCTION("""COMPUTED_VALUE"""),"Bahalwan Apriyansyah, S.T., MBA.")</f>
        <v>Bahalwan Apriyansyah, S.T., MBA.</v>
      </c>
      <c r="W203" s="1"/>
      <c r="X203" s="1" t="str">
        <f ca="1">IFERROR(__xludf.DUMMYFUNCTION("""COMPUTED_VALUE"""),"Lolos")</f>
        <v>Lolos</v>
      </c>
      <c r="Y203" s="1"/>
      <c r="Z203" s="1"/>
      <c r="AA203" s="1"/>
    </row>
    <row r="204" spans="1:27">
      <c r="A204" s="1" t="s">
        <v>201</v>
      </c>
      <c r="B204" s="1">
        <f ca="1">IFERROR(__xludf.DUMMYFUNCTION("""COMPUTED_VALUE"""),2910)</f>
        <v>2910</v>
      </c>
      <c r="C204" s="1" t="str">
        <f ca="1">IFERROR(__xludf.DUMMYFUNCTION("""COMPUTED_VALUE"""),"PKM Kewirausahaan")</f>
        <v>PKM Kewirausahaan</v>
      </c>
      <c r="D204" s="1" t="str">
        <f ca="1">IFERROR(__xludf.DUMMYFUNCTION("""COMPUTED_VALUE"""),"BUANG.IN : Aplikasi Pengelola Sampah")</f>
        <v>BUANG.IN : Aplikasi Pengelola Sampah</v>
      </c>
      <c r="E204" s="1" t="str">
        <f ca="1">IFERROR(__xludf.DUMMYFUNCTION("""COMPUTED_VALUE"""),"IKA FAIQOTUL HIMMA")</f>
        <v>IKA FAIQOTUL HIMMA</v>
      </c>
      <c r="F204" s="1" t="str">
        <f ca="1">IFERROR(__xludf.DUMMYFUNCTION("""COMPUTED_VALUE"""),"5031201037")</f>
        <v>5031201037</v>
      </c>
      <c r="G204" s="1" t="str">
        <f ca="1">IFERROR(__xludf.DUMMYFUNCTION("""COMPUTED_VALUE"""),"Departemen Manajemen Bisnis")</f>
        <v>Departemen Manajemen Bisnis</v>
      </c>
      <c r="H204" s="1" t="str">
        <f ca="1">IFERROR(__xludf.DUMMYFUNCTION("""COMPUTED_VALUE"""),"Gita Widi Bhawika, S.ST., M.MT")</f>
        <v>Gita Widi Bhawika, S.ST., M.MT</v>
      </c>
      <c r="I204" s="1" t="str">
        <f ca="1">IFERROR(__xludf.DUMMYFUNCTION("""COMPUTED_VALUE"""),"PUTRI SALSABILA RAHMA PRAWESTI")</f>
        <v>PUTRI SALSABILA RAHMA PRAWESTI</v>
      </c>
      <c r="J204" s="1" t="str">
        <f ca="1">IFERROR(__xludf.DUMMYFUNCTION("""COMPUTED_VALUE"""),"5031201043")</f>
        <v>5031201043</v>
      </c>
      <c r="K204" s="1" t="str">
        <f ca="1">IFERROR(__xludf.DUMMYFUNCTION("""COMPUTED_VALUE"""),"Departemen Manajemen Bisnis")</f>
        <v>Departemen Manajemen Bisnis</v>
      </c>
      <c r="L204" s="1" t="str">
        <f ca="1">IFERROR(__xludf.DUMMYFUNCTION("""COMPUTED_VALUE"""),"AZAHRA AYUNINGTYAS")</f>
        <v>AZAHRA AYUNINGTYAS</v>
      </c>
      <c r="M204" s="1" t="str">
        <f ca="1">IFERROR(__xludf.DUMMYFUNCTION("""COMPUTED_VALUE"""),"5031201049")</f>
        <v>5031201049</v>
      </c>
      <c r="N204" s="1" t="str">
        <f ca="1">IFERROR(__xludf.DUMMYFUNCTION("""COMPUTED_VALUE"""),"Departemen Manajemen Bisnis")</f>
        <v>Departemen Manajemen Bisnis</v>
      </c>
      <c r="O204" s="1" t="str">
        <f ca="1">IFERROR(__xludf.DUMMYFUNCTION("""COMPUTED_VALUE"""),"REGITA BRITTANICA PUTRI TRISTANTI")</f>
        <v>REGITA BRITTANICA PUTRI TRISTANTI</v>
      </c>
      <c r="P204" s="1" t="str">
        <f ca="1">IFERROR(__xludf.DUMMYFUNCTION("""COMPUTED_VALUE"""),"5031201053")</f>
        <v>5031201053</v>
      </c>
      <c r="Q204" s="1" t="str">
        <f ca="1">IFERROR(__xludf.DUMMYFUNCTION("""COMPUTED_VALUE"""),"Departemen Manajemen Bisnis")</f>
        <v>Departemen Manajemen Bisnis</v>
      </c>
      <c r="R204" s="1" t="str">
        <f ca="1">IFERROR(__xludf.DUMMYFUNCTION("""COMPUTED_VALUE"""),"EVANIA APRILIANI")</f>
        <v>EVANIA APRILIANI</v>
      </c>
      <c r="S204" s="1" t="str">
        <f ca="1">IFERROR(__xludf.DUMMYFUNCTION("""COMPUTED_VALUE"""),"5031201057")</f>
        <v>5031201057</v>
      </c>
      <c r="T204" s="1" t="str">
        <f ca="1">IFERROR(__xludf.DUMMYFUNCTION("""COMPUTED_VALUE"""),"Departemen Manajemen Bisnis")</f>
        <v>Departemen Manajemen Bisnis</v>
      </c>
      <c r="U204" s="1" t="str">
        <f ca="1">IFERROR(__xludf.DUMMYFUNCTION("""COMPUTED_VALUE"""),"MY Alief Samboro, S.T., M.Ds.")</f>
        <v>MY Alief Samboro, S.T., M.Ds.</v>
      </c>
      <c r="V204" s="1" t="str">
        <f ca="1">IFERROR(__xludf.DUMMYFUNCTION("""COMPUTED_VALUE"""),"Sena Safarina , S.Si., M.Sc., D.Sc")</f>
        <v>Sena Safarina , S.Si., M.Sc., D.Sc</v>
      </c>
      <c r="W204" s="1"/>
      <c r="X204" s="1" t="str">
        <f ca="1">IFERROR(__xludf.DUMMYFUNCTION("""COMPUTED_VALUE"""),"Lolos")</f>
        <v>Lolos</v>
      </c>
      <c r="Y204" s="1"/>
      <c r="Z204" s="1"/>
      <c r="AA204" s="1"/>
    </row>
    <row r="205" spans="1:27">
      <c r="A205" s="1" t="s">
        <v>202</v>
      </c>
      <c r="B205" s="1">
        <f ca="1">IFERROR(__xludf.DUMMYFUNCTION("""COMPUTED_VALUE"""),2510)</f>
        <v>2510</v>
      </c>
      <c r="C205" s="1" t="str">
        <f ca="1">IFERROR(__xludf.DUMMYFUNCTION("""COMPUTED_VALUE"""),"PKM Kewirausahaan")</f>
        <v>PKM Kewirausahaan</v>
      </c>
      <c r="D205" s="1" t="str">
        <f ca="1">IFERROR(__xludf.DUMMYFUNCTION("""COMPUTED_VALUE"""),"Rancang : Platform Marketplace Penyedia Jasa Arsitek sebagai Solusi Meningkatkan Kesejahteraan Bidang Ekonomi Kreatif pada UMKM Arsitektur")</f>
        <v>Rancang : Platform Marketplace Penyedia Jasa Arsitek sebagai Solusi Meningkatkan Kesejahteraan Bidang Ekonomi Kreatif pada UMKM Arsitektur</v>
      </c>
      <c r="E205" s="1" t="str">
        <f ca="1">IFERROR(__xludf.DUMMYFUNCTION("""COMPUTED_VALUE"""),"Yosen Andrea R")</f>
        <v>Yosen Andrea R</v>
      </c>
      <c r="F205" s="1" t="str">
        <f ca="1">IFERROR(__xludf.DUMMYFUNCTION("""COMPUTED_VALUE"""),"5013211085")</f>
        <v>5013211085</v>
      </c>
      <c r="G205" s="1" t="str">
        <f ca="1">IFERROR(__xludf.DUMMYFUNCTION("""COMPUTED_VALUE"""),"Departemen Arsitektur")</f>
        <v>Departemen Arsitektur</v>
      </c>
      <c r="H205" s="1" t="str">
        <f ca="1">IFERROR(__xludf.DUMMYFUNCTION("""COMPUTED_VALUE"""),"Andre Parvian Aristio, S.Kom., M.Sc.")</f>
        <v>Andre Parvian Aristio, S.Kom., M.Sc.</v>
      </c>
      <c r="I205" s="1" t="str">
        <f ca="1">IFERROR(__xludf.DUMMYFUNCTION("""COMPUTED_VALUE"""),"NYOMAN RICHARDO J D")</f>
        <v>NYOMAN RICHARDO J D</v>
      </c>
      <c r="J205" s="1" t="str">
        <f ca="1">IFERROR(__xludf.DUMMYFUNCTION("""COMPUTED_VALUE"""),"5026211031")</f>
        <v>5026211031</v>
      </c>
      <c r="K205" s="1" t="str">
        <f ca="1">IFERROR(__xludf.DUMMYFUNCTION("""COMPUTED_VALUE"""),"Departemen Sistem Informasi")</f>
        <v>Departemen Sistem Informasi</v>
      </c>
      <c r="L205" s="1" t="str">
        <f ca="1">IFERROR(__xludf.DUMMYFUNCTION("""COMPUTED_VALUE"""),"ILHAM WIRADARMA")</f>
        <v>ILHAM WIRADARMA</v>
      </c>
      <c r="M205" s="1" t="str">
        <f ca="1">IFERROR(__xludf.DUMMYFUNCTION("""COMPUTED_VALUE"""),"5009211099")</f>
        <v>5009211099</v>
      </c>
      <c r="N205" s="1" t="str">
        <f ca="1">IFERROR(__xludf.DUMMYFUNCTION("""COMPUTED_VALUE"""),"Departemen Teknik Fisika")</f>
        <v>Departemen Teknik Fisika</v>
      </c>
      <c r="O205" s="1"/>
      <c r="P205" s="1"/>
      <c r="Q205" s="1"/>
      <c r="R205" s="1"/>
      <c r="S205" s="1"/>
      <c r="T205" s="1"/>
      <c r="U205" s="1" t="str">
        <f ca="1">IFERROR(__xludf.DUMMYFUNCTION("""COMPUTED_VALUE"""),"MY Alief Samboro, S.T., M.Ds.")</f>
        <v>MY Alief Samboro, S.T., M.Ds.</v>
      </c>
      <c r="V205" s="1" t="str">
        <f ca="1">IFERROR(__xludf.DUMMYFUNCTION("""COMPUTED_VALUE"""),"Atikah Aghdhi Pratiwi, S.T., M.T.")</f>
        <v>Atikah Aghdhi Pratiwi, S.T., M.T.</v>
      </c>
      <c r="W205" s="1"/>
      <c r="X205" s="1" t="str">
        <f ca="1">IFERROR(__xludf.DUMMYFUNCTION("""COMPUTED_VALUE"""),"Lolos")</f>
        <v>Lolos</v>
      </c>
      <c r="Y205" s="1"/>
      <c r="Z205" s="1"/>
      <c r="AA205" s="1"/>
    </row>
    <row r="206" spans="1:27">
      <c r="A206" s="1" t="s">
        <v>203</v>
      </c>
      <c r="B206" s="1">
        <f ca="1">IFERROR(__xludf.DUMMYFUNCTION("""COMPUTED_VALUE"""),2737)</f>
        <v>2737</v>
      </c>
      <c r="C206" s="1" t="str">
        <f ca="1">IFERROR(__xludf.DUMMYFUNCTION("""COMPUTED_VALUE"""),"PKM Kewirausahaan")</f>
        <v>PKM Kewirausahaan</v>
      </c>
      <c r="D206" s="1" t="str">
        <f ca="1">IFERROR(__xludf.DUMMYFUNCTION("""COMPUTED_VALUE"""),"Waste 4 Life: Platform Pengelola Sampah Produk Kecantikan dan Perawatan Tubuh sebagai Sarana Ide Bisnis Berkelanjutan dalam Menghadapi Sciety 5.0")</f>
        <v>Waste 4 Life: Platform Pengelola Sampah Produk Kecantikan dan Perawatan Tubuh sebagai Sarana Ide Bisnis Berkelanjutan dalam Menghadapi Sciety 5.0</v>
      </c>
      <c r="E206" s="1" t="str">
        <f ca="1">IFERROR(__xludf.DUMMYFUNCTION("""COMPUTED_VALUE"""),"AJENG DINI MAYAIKA")</f>
        <v>AJENG DINI MAYAIKA</v>
      </c>
      <c r="F206" s="1" t="str">
        <f ca="1">IFERROR(__xludf.DUMMYFUNCTION("""COMPUTED_VALUE"""),"5011201003")</f>
        <v>5011201003</v>
      </c>
      <c r="G206" s="1" t="str">
        <f ca="1">IFERROR(__xludf.DUMMYFUNCTION("""COMPUTED_VALUE"""),"Departemen Teknik Material dan Metalurgi")</f>
        <v>Departemen Teknik Material dan Metalurgi</v>
      </c>
      <c r="H206" s="1" t="str">
        <f ca="1">IFERROR(__xludf.DUMMYFUNCTION("""COMPUTED_VALUE"""),"Rizky Januar Akbar, S.Kom., M.Eng.")</f>
        <v>Rizky Januar Akbar, S.Kom., M.Eng.</v>
      </c>
      <c r="I206" s="1" t="str">
        <f ca="1">IFERROR(__xludf.DUMMYFUNCTION("""COMPUTED_VALUE"""),"KHARIZA AZMI ALFAJIRA HISYAM")</f>
        <v>KHARIZA AZMI ALFAJIRA HISYAM</v>
      </c>
      <c r="J206" s="1" t="str">
        <f ca="1">IFERROR(__xludf.DUMMYFUNCTION("""COMPUTED_VALUE"""),"5025201044")</f>
        <v>5025201044</v>
      </c>
      <c r="K206" s="1" t="str">
        <f ca="1">IFERROR(__xludf.DUMMYFUNCTION("""COMPUTED_VALUE"""),"Departemen Teknik Informatika")</f>
        <v>Departemen Teknik Informatika</v>
      </c>
      <c r="L206" s="1" t="str">
        <f ca="1">IFERROR(__xludf.DUMMYFUNCTION("""COMPUTED_VALUE"""),"AULIA VITA JANATI")</f>
        <v>AULIA VITA JANATI</v>
      </c>
      <c r="M206" s="1" t="str">
        <f ca="1">IFERROR(__xludf.DUMMYFUNCTION("""COMPUTED_VALUE"""),"2035201090")</f>
        <v>2035201090</v>
      </c>
      <c r="N206" s="1" t="str">
        <f ca="1">IFERROR(__xludf.DUMMYFUNCTION("""COMPUTED_VALUE"""),"Departemen Teknik Infrastruktur Sipil")</f>
        <v>Departemen Teknik Infrastruktur Sipil</v>
      </c>
      <c r="O206" s="1" t="str">
        <f ca="1">IFERROR(__xludf.DUMMYFUNCTION("""COMPUTED_VALUE"""),"AINUN NIF`AN")</f>
        <v>AINUN NIF`AN</v>
      </c>
      <c r="P206" s="1" t="str">
        <f ca="1">IFERROR(__xludf.DUMMYFUNCTION("""COMPUTED_VALUE"""),"5011201057")</f>
        <v>5011201057</v>
      </c>
      <c r="Q206" s="1" t="str">
        <f ca="1">IFERROR(__xludf.DUMMYFUNCTION("""COMPUTED_VALUE"""),"Departemen Teknik Material dan Metalurgi")</f>
        <v>Departemen Teknik Material dan Metalurgi</v>
      </c>
      <c r="R206" s="1" t="str">
        <f ca="1">IFERROR(__xludf.DUMMYFUNCTION("""COMPUTED_VALUE"""),"SUHDI ARIFIN")</f>
        <v>SUHDI ARIFIN</v>
      </c>
      <c r="S206" s="1" t="str">
        <f ca="1">IFERROR(__xludf.DUMMYFUNCTION("""COMPUTED_VALUE"""),"2038201079")</f>
        <v>2038201079</v>
      </c>
      <c r="T206" s="1" t="str">
        <f ca="1">IFERROR(__xludf.DUMMYFUNCTION("""COMPUTED_VALUE"""),"Departemen Teknik Mesin Industri")</f>
        <v>Departemen Teknik Mesin Industri</v>
      </c>
      <c r="U206" s="1" t="str">
        <f ca="1">IFERROR(__xludf.DUMMYFUNCTION("""COMPUTED_VALUE"""),"Ahmad Fauzan Adziimaa, S.T., M.Sc.")</f>
        <v>Ahmad Fauzan Adziimaa, S.T., M.Sc.</v>
      </c>
      <c r="V206" s="1" t="str">
        <f ca="1">IFERROR(__xludf.DUMMYFUNCTION("""COMPUTED_VALUE"""),"Sena Safarina , S.Si., M.Sc., D.Sc")</f>
        <v>Sena Safarina , S.Si., M.Sc., D.Sc</v>
      </c>
      <c r="W206" s="1"/>
      <c r="X206" s="1" t="str">
        <f ca="1">IFERROR(__xludf.DUMMYFUNCTION("""COMPUTED_VALUE"""),"Lolos")</f>
        <v>Lolos</v>
      </c>
      <c r="Y206" s="1"/>
      <c r="Z206" s="1"/>
      <c r="AA206" s="1"/>
    </row>
    <row r="207" spans="1:27">
      <c r="A207" s="1" t="s">
        <v>204</v>
      </c>
      <c r="B207" s="1">
        <f ca="1">IFERROR(__xludf.DUMMYFUNCTION("""COMPUTED_VALUE"""),2083)</f>
        <v>2083</v>
      </c>
      <c r="C207" s="1" t="str">
        <f ca="1">IFERROR(__xludf.DUMMYFUNCTION("""COMPUTED_VALUE"""),"PKM Kewirausahaan")</f>
        <v>PKM Kewirausahaan</v>
      </c>
      <c r="D207" s="1" t="str">
        <f ca="1">IFERROR(__xludf.DUMMYFUNCTION("""COMPUTED_VALUE"""),"GATOM, Platform Marketplace Jasa Terpercaya
Bagi Masyarakat Indonesia")</f>
        <v>GATOM, Platform Marketplace Jasa Terpercaya
Bagi Masyarakat Indonesia</v>
      </c>
      <c r="E207" s="1" t="str">
        <f ca="1">IFERROR(__xludf.DUMMYFUNCTION("""COMPUTED_VALUE"""),"G. I. Osvaldo K.")</f>
        <v>G. I. Osvaldo K.</v>
      </c>
      <c r="F207" s="1" t="str">
        <f ca="1">IFERROR(__xludf.DUMMYFUNCTION("""COMPUTED_VALUE"""),"5025211135")</f>
        <v>5025211135</v>
      </c>
      <c r="G207" s="1" t="str">
        <f ca="1">IFERROR(__xludf.DUMMYFUNCTION("""COMPUTED_VALUE"""),"Departemen Teknik Informatika")</f>
        <v>Departemen Teknik Informatika</v>
      </c>
      <c r="H207" s="1" t="str">
        <f ca="1">IFERROR(__xludf.DUMMYFUNCTION("""COMPUTED_VALUE"""),"Hadziq Fabroyir, S.Kom., Ph.D.")</f>
        <v>Hadziq Fabroyir, S.Kom., Ph.D.</v>
      </c>
      <c r="I207" s="1" t="str">
        <f ca="1">IFERROR(__xludf.DUMMYFUNCTION("""COMPUTED_VALUE"""),"Akmal Sulthon F.")</f>
        <v>Akmal Sulthon F.</v>
      </c>
      <c r="J207" s="1" t="str">
        <f ca="1">IFERROR(__xludf.DUMMYFUNCTION("""COMPUTED_VALUE"""),"5025211047")</f>
        <v>5025211047</v>
      </c>
      <c r="K207" s="1" t="str">
        <f ca="1">IFERROR(__xludf.DUMMYFUNCTION("""COMPUTED_VALUE"""),"Departemen Teknik Informatika")</f>
        <v>Departemen Teknik Informatika</v>
      </c>
      <c r="L207" s="1" t="str">
        <f ca="1">IFERROR(__xludf.DUMMYFUNCTION("""COMPUTED_VALUE"""),"Darren Prasetya")</f>
        <v>Darren Prasetya</v>
      </c>
      <c r="M207" s="1" t="str">
        <f ca="1">IFERROR(__xludf.DUMMYFUNCTION("""COMPUTED_VALUE"""),"5025211162")</f>
        <v>5025211162</v>
      </c>
      <c r="N207" s="1" t="str">
        <f ca="1">IFERROR(__xludf.DUMMYFUNCTION("""COMPUTED_VALUE"""),"Departemen Teknik Informatika")</f>
        <v>Departemen Teknik Informatika</v>
      </c>
      <c r="O207" s="1" t="str">
        <f ca="1">IFERROR(__xludf.DUMMYFUNCTION("""COMPUTED_VALUE"""),"ALFA FAKHRUR RIZAL Z")</f>
        <v>ALFA FAKHRUR RIZAL Z</v>
      </c>
      <c r="P207" s="1" t="str">
        <f ca="1">IFERROR(__xludf.DUMMYFUNCTION("""COMPUTED_VALUE"""),"5025211214")</f>
        <v>5025211214</v>
      </c>
      <c r="Q207" s="1" t="str">
        <f ca="1">IFERROR(__xludf.DUMMYFUNCTION("""COMPUTED_VALUE"""),"Departemen Teknik Informatika")</f>
        <v>Departemen Teknik Informatika</v>
      </c>
      <c r="R207" s="1" t="str">
        <f ca="1">IFERROR(__xludf.DUMMYFUNCTION("""COMPUTED_VALUE"""),"M. NAUFAL. B")</f>
        <v>M. NAUFAL. B</v>
      </c>
      <c r="S207" s="1" t="str">
        <f ca="1">IFERROR(__xludf.DUMMYFUNCTION("""COMPUTED_VALUE"""),"5025211240")</f>
        <v>5025211240</v>
      </c>
      <c r="T207" s="1" t="str">
        <f ca="1">IFERROR(__xludf.DUMMYFUNCTION("""COMPUTED_VALUE"""),"Departemen Teknik Informatika")</f>
        <v>Departemen Teknik Informatika</v>
      </c>
      <c r="U207" s="1" t="str">
        <f ca="1">IFERROR(__xludf.DUMMYFUNCTION("""COMPUTED_VALUE"""),"Muchammad Nurif, S.E., M.T.")</f>
        <v>Muchammad Nurif, S.E., M.T.</v>
      </c>
      <c r="V207" s="1" t="str">
        <f ca="1">IFERROR(__xludf.DUMMYFUNCTION("""COMPUTED_VALUE"""),"Bahalwan Apriyansyah, S.T., MBA.")</f>
        <v>Bahalwan Apriyansyah, S.T., MBA.</v>
      </c>
      <c r="W207" s="1"/>
      <c r="X207" s="1" t="str">
        <f ca="1">IFERROR(__xludf.DUMMYFUNCTION("""COMPUTED_VALUE"""),"Lolos")</f>
        <v>Lolos</v>
      </c>
      <c r="Y207" s="1"/>
      <c r="Z207" s="1"/>
      <c r="AA207" s="1"/>
    </row>
    <row r="208" spans="1:27">
      <c r="A208" s="1" t="s">
        <v>205</v>
      </c>
      <c r="B208" s="1">
        <f ca="1">IFERROR(__xludf.DUMMYFUNCTION("""COMPUTED_VALUE"""),3968)</f>
        <v>3968</v>
      </c>
      <c r="C208" s="1" t="str">
        <f ca="1">IFERROR(__xludf.DUMMYFUNCTION("""COMPUTED_VALUE"""),"PKM Kewirausahaan")</f>
        <v>PKM Kewirausahaan</v>
      </c>
      <c r="D208" s="1" t="str">
        <f ca="1">IFERROR(__xludf.DUMMYFUNCTION("""COMPUTED_VALUE"""),"Fit4U: Layanan Outfit Matchmaker dalam Menemukan Outfit sesuai Kondisi Pilihan User")</f>
        <v>Fit4U: Layanan Outfit Matchmaker dalam Menemukan Outfit sesuai Kondisi Pilihan User</v>
      </c>
      <c r="E208" s="1" t="str">
        <f ca="1">IFERROR(__xludf.DUMMYFUNCTION("""COMPUTED_VALUE"""),"RINDU MAHARANI JALIL")</f>
        <v>RINDU MAHARANI JALIL</v>
      </c>
      <c r="F208" s="1" t="str">
        <f ca="1">IFERROR(__xludf.DUMMYFUNCTION("""COMPUTED_VALUE"""),"5031201061")</f>
        <v>5031201061</v>
      </c>
      <c r="G208" s="1" t="str">
        <f ca="1">IFERROR(__xludf.DUMMYFUNCTION("""COMPUTED_VALUE"""),"Departemen Manajemen Bisnis")</f>
        <v>Departemen Manajemen Bisnis</v>
      </c>
      <c r="H208" s="1" t="str">
        <f ca="1">IFERROR(__xludf.DUMMYFUNCTION("""COMPUTED_VALUE"""),"Gita Widi Bhawika, S.ST., M.MT")</f>
        <v>Gita Widi Bhawika, S.ST., M.MT</v>
      </c>
      <c r="I208" s="1" t="str">
        <f ca="1">IFERROR(__xludf.DUMMYFUNCTION("""COMPUTED_VALUE"""),"AINUN NURKHOFIFAH")</f>
        <v>AINUN NURKHOFIFAH</v>
      </c>
      <c r="J208" s="1" t="str">
        <f ca="1">IFERROR(__xludf.DUMMYFUNCTION("""COMPUTED_VALUE"""),"5031201060")</f>
        <v>5031201060</v>
      </c>
      <c r="K208" s="1" t="str">
        <f ca="1">IFERROR(__xludf.DUMMYFUNCTION("""COMPUTED_VALUE"""),"Departemen Manajemen Bisnis")</f>
        <v>Departemen Manajemen Bisnis</v>
      </c>
      <c r="L208" s="1" t="str">
        <f ca="1">IFERROR(__xludf.DUMMYFUNCTION("""COMPUTED_VALUE"""),"ATIKA NUR ROYYANAH")</f>
        <v>ATIKA NUR ROYYANAH</v>
      </c>
      <c r="M208" s="1" t="str">
        <f ca="1">IFERROR(__xludf.DUMMYFUNCTION("""COMPUTED_VALUE"""),"5003201140")</f>
        <v>5003201140</v>
      </c>
      <c r="N208" s="1" t="str">
        <f ca="1">IFERROR(__xludf.DUMMYFUNCTION("""COMPUTED_VALUE"""),"Departemen Statistika")</f>
        <v>Departemen Statistika</v>
      </c>
      <c r="O208" s="1" t="str">
        <f ca="1">IFERROR(__xludf.DUMMYFUNCTION("""COMPUTED_VALUE"""),"SULTHAN RAFI DZULFIKAR")</f>
        <v>SULTHAN RAFI DZULFIKAR</v>
      </c>
      <c r="P208" s="1" t="str">
        <f ca="1">IFERROR(__xludf.DUMMYFUNCTION("""COMPUTED_VALUE"""),"5011201027")</f>
        <v>5011201027</v>
      </c>
      <c r="Q208" s="1" t="str">
        <f ca="1">IFERROR(__xludf.DUMMYFUNCTION("""COMPUTED_VALUE"""),"Departemen Teknik Material dan Metalurgi")</f>
        <v>Departemen Teknik Material dan Metalurgi</v>
      </c>
      <c r="R208" s="1" t="str">
        <f ca="1">IFERROR(__xludf.DUMMYFUNCTION("""COMPUTED_VALUE"""),"ARIS PRAMANA")</f>
        <v>ARIS PRAMANA</v>
      </c>
      <c r="S208" s="1" t="str">
        <f ca="1">IFERROR(__xludf.DUMMYFUNCTION("""COMPUTED_VALUE"""),"5016201059")</f>
        <v>5016201059</v>
      </c>
      <c r="T208" s="1" t="str">
        <f ca="1">IFERROR(__xludf.DUMMYFUNCTION("""COMPUTED_VALUE"""),"Departemen Teknik Geomatika")</f>
        <v>Departemen Teknik Geomatika</v>
      </c>
      <c r="U208" s="1" t="str">
        <f ca="1">IFERROR(__xludf.DUMMYFUNCTION("""COMPUTED_VALUE"""),"Drs. Bandung Arry Sanjoyo, Mi.Komp.")</f>
        <v>Drs. Bandung Arry Sanjoyo, Mi.Komp.</v>
      </c>
      <c r="V208" s="1" t="str">
        <f ca="1">IFERROR(__xludf.DUMMYFUNCTION("""COMPUTED_VALUE"""),"Moh. Singgih Purwanto, S.Si., M.T")</f>
        <v>Moh. Singgih Purwanto, S.Si., M.T</v>
      </c>
      <c r="W208" s="1"/>
      <c r="X208" s="1" t="str">
        <f ca="1">IFERROR(__xludf.DUMMYFUNCTION("""COMPUTED_VALUE"""),"Lolos")</f>
        <v>Lolos</v>
      </c>
      <c r="Y208" s="1"/>
      <c r="Z208" s="1"/>
      <c r="AA208" s="1"/>
    </row>
    <row r="209" spans="1:27">
      <c r="A209" s="1" t="s">
        <v>206</v>
      </c>
      <c r="B209" s="1">
        <f ca="1">IFERROR(__xludf.DUMMYFUNCTION("""COMPUTED_VALUE"""),2945)</f>
        <v>2945</v>
      </c>
      <c r="C209" s="1" t="str">
        <f ca="1">IFERROR(__xludf.DUMMYFUNCTION("""COMPUTED_VALUE"""),"PKM Kewirausahaan")</f>
        <v>PKM Kewirausahaan</v>
      </c>
      <c r="D209" s="1" t="str">
        <f ca="1">IFERROR(__xludf.DUMMYFUNCTION("""COMPUTED_VALUE"""),"“FOREVER YOUTH”
MEMBANTU MENGATASI PERMASALAHAN SAMPAH PLASTIK DENGAN
MENDAUR ULANG LIMBAH PLASTIK MENJADI AKSESORIS")</f>
        <v>“FOREVER YOUTH”
MEMBANTU MENGATASI PERMASALAHAN SAMPAH PLASTIK DENGAN
MENDAUR ULANG LIMBAH PLASTIK MENJADI AKSESORIS</v>
      </c>
      <c r="E209" s="1" t="str">
        <f ca="1">IFERROR(__xludf.DUMMYFUNCTION("""COMPUTED_VALUE"""),"Bika Ludzna U.M")</f>
        <v>Bika Ludzna U.M</v>
      </c>
      <c r="F209" s="1" t="str">
        <f ca="1">IFERROR(__xludf.DUMMYFUNCTION("""COMPUTED_VALUE"""),"5029211035")</f>
        <v>5029211035</v>
      </c>
      <c r="G209" s="1" t="str">
        <f ca="1">IFERROR(__xludf.DUMMYFUNCTION("""COMPUTED_VALUE"""),"Departemen Desain Interior")</f>
        <v>Departemen Desain Interior</v>
      </c>
      <c r="H209" s="1" t="str">
        <f ca="1">IFERROR(__xludf.DUMMYFUNCTION("""COMPUTED_VALUE"""),"Aria Weny Anggraita, ST, MMT")</f>
        <v>Aria Weny Anggraita, ST, MMT</v>
      </c>
      <c r="I209" s="1" t="str">
        <f ca="1">IFERROR(__xludf.DUMMYFUNCTION("""COMPUTED_VALUE"""),"Rosika Yunivia")</f>
        <v>Rosika Yunivia</v>
      </c>
      <c r="J209" s="1" t="str">
        <f ca="1">IFERROR(__xludf.DUMMYFUNCTION("""COMPUTED_VALUE"""),"5029211059")</f>
        <v>5029211059</v>
      </c>
      <c r="K209" s="1" t="str">
        <f ca="1">IFERROR(__xludf.DUMMYFUNCTION("""COMPUTED_VALUE"""),"Departemen Desain Interior")</f>
        <v>Departemen Desain Interior</v>
      </c>
      <c r="L209" s="1" t="str">
        <f ca="1">IFERROR(__xludf.DUMMYFUNCTION("""COMPUTED_VALUE"""),"AMALI PUTRI R")</f>
        <v>AMALI PUTRI R</v>
      </c>
      <c r="M209" s="1" t="str">
        <f ca="1">IFERROR(__xludf.DUMMYFUNCTION("""COMPUTED_VALUE"""),"5029211085")</f>
        <v>5029211085</v>
      </c>
      <c r="N209" s="1" t="str">
        <f ca="1">IFERROR(__xludf.DUMMYFUNCTION("""COMPUTED_VALUE"""),"Departemen Desain Interior")</f>
        <v>Departemen Desain Interior</v>
      </c>
      <c r="O209" s="1" t="str">
        <f ca="1">IFERROR(__xludf.DUMMYFUNCTION("""COMPUTED_VALUE"""),"NADIA SALSABILLA")</f>
        <v>NADIA SALSABILLA</v>
      </c>
      <c r="P209" s="1" t="str">
        <f ca="1">IFERROR(__xludf.DUMMYFUNCTION("""COMPUTED_VALUE"""),"5007201188")</f>
        <v>5007201188</v>
      </c>
      <c r="Q209" s="1" t="str">
        <f ca="1">IFERROR(__xludf.DUMMYFUNCTION("""COMPUTED_VALUE"""),"Departemen Teknik Mesin")</f>
        <v>Departemen Teknik Mesin</v>
      </c>
      <c r="R209" s="1"/>
      <c r="S209" s="1"/>
      <c r="T209" s="1"/>
      <c r="U209" s="1" t="str">
        <f ca="1">IFERROR(__xludf.DUMMYFUNCTION("""COMPUTED_VALUE"""),"Drs. Bandung Arry Sanjoyo, Mi.Komp.")</f>
        <v>Drs. Bandung Arry Sanjoyo, Mi.Komp.</v>
      </c>
      <c r="V209" s="1" t="str">
        <f ca="1">IFERROR(__xludf.DUMMYFUNCTION("""COMPUTED_VALUE"""),"Moh. Singgih Purwanto, S.Si., M.T")</f>
        <v>Moh. Singgih Purwanto, S.Si., M.T</v>
      </c>
      <c r="W209" s="1"/>
      <c r="X209" s="1" t="str">
        <f ca="1">IFERROR(__xludf.DUMMYFUNCTION("""COMPUTED_VALUE"""),"Lolos")</f>
        <v>Lolos</v>
      </c>
      <c r="Y209" s="1"/>
      <c r="Z209" s="1"/>
      <c r="AA209" s="1"/>
    </row>
    <row r="210" spans="1:27">
      <c r="A210" s="1" t="s">
        <v>207</v>
      </c>
      <c r="B210" s="1">
        <f ca="1">IFERROR(__xludf.DUMMYFUNCTION("""COMPUTED_VALUE"""),2634)</f>
        <v>2634</v>
      </c>
      <c r="C210" s="1" t="str">
        <f ca="1">IFERROR(__xludf.DUMMYFUNCTION("""COMPUTED_VALUE"""),"PKM Kewirausahaan")</f>
        <v>PKM Kewirausahaan</v>
      </c>
      <c r="D210" s="1" t="str">
        <f ca="1">IFERROR(__xludf.DUMMYFUNCTION("""COMPUTED_VALUE"""),"FinanZity: Aplikasi Manajemen Keuangan Keluarga Multifungsional Berbasis Artificial Intelligence")</f>
        <v>FinanZity: Aplikasi Manajemen Keuangan Keluarga Multifungsional Berbasis Artificial Intelligence</v>
      </c>
      <c r="E210" s="1" t="str">
        <f ca="1">IFERROR(__xludf.DUMMYFUNCTION("""COMPUTED_VALUE"""),"Nur Sabrina Mumtaz")</f>
        <v>Nur Sabrina Mumtaz</v>
      </c>
      <c r="F210" s="1" t="str">
        <f ca="1">IFERROR(__xludf.DUMMYFUNCTION("""COMPUTED_VALUE"""),"5010211133")</f>
        <v>5010211133</v>
      </c>
      <c r="G210" s="1" t="str">
        <f ca="1">IFERROR(__xludf.DUMMYFUNCTION("""COMPUTED_VALUE"""),"Departemen Teknik Sistem dan Industri")</f>
        <v>Departemen Teknik Sistem dan Industri</v>
      </c>
      <c r="H210" s="1" t="str">
        <f ca="1">IFERROR(__xludf.DUMMYFUNCTION("""COMPUTED_VALUE"""),"Atikah Aghdhi Pratiwi, S.T., M.T.")</f>
        <v>Atikah Aghdhi Pratiwi, S.T., M.T.</v>
      </c>
      <c r="I210" s="1" t="str">
        <f ca="1">IFERROR(__xludf.DUMMYFUNCTION("""COMPUTED_VALUE"""),"Adam Malik Shidqi")</f>
        <v>Adam Malik Shidqi</v>
      </c>
      <c r="J210" s="1" t="str">
        <f ca="1">IFERROR(__xludf.DUMMYFUNCTION("""COMPUTED_VALUE"""),"5007211196")</f>
        <v>5007211196</v>
      </c>
      <c r="K210" s="1" t="str">
        <f ca="1">IFERROR(__xludf.DUMMYFUNCTION("""COMPUTED_VALUE"""),"Departemen Teknik Mesin")</f>
        <v>Departemen Teknik Mesin</v>
      </c>
      <c r="L210" s="1" t="str">
        <f ca="1">IFERROR(__xludf.DUMMYFUNCTION("""COMPUTED_VALUE"""),"GRACETRIANA SURVINTA")</f>
        <v>GRACETRIANA SURVINTA</v>
      </c>
      <c r="M210" s="1" t="str">
        <f ca="1">IFERROR(__xludf.DUMMYFUNCTION("""COMPUTED_VALUE"""),"5025211199")</f>
        <v>5025211199</v>
      </c>
      <c r="N210" s="1" t="str">
        <f ca="1">IFERROR(__xludf.DUMMYFUNCTION("""COMPUTED_VALUE"""),"Departemen Teknik Informatika")</f>
        <v>Departemen Teknik Informatika</v>
      </c>
      <c r="O210" s="1" t="str">
        <f ca="1">IFERROR(__xludf.DUMMYFUNCTION("""COMPUTED_VALUE"""),"Farhaan Athallah A")</f>
        <v>Farhaan Athallah A</v>
      </c>
      <c r="P210" s="1" t="str">
        <f ca="1">IFERROR(__xludf.DUMMYFUNCTION("""COMPUTED_VALUE"""),"5010211117")</f>
        <v>5010211117</v>
      </c>
      <c r="Q210" s="1" t="str">
        <f ca="1">IFERROR(__xludf.DUMMYFUNCTION("""COMPUTED_VALUE"""),"Departemen Teknik Sistem dan Industri")</f>
        <v>Departemen Teknik Sistem dan Industri</v>
      </c>
      <c r="R210" s="1" t="str">
        <f ca="1">IFERROR(__xludf.DUMMYFUNCTION("""COMPUTED_VALUE"""),"Feryani Azzahra")</f>
        <v>Feryani Azzahra</v>
      </c>
      <c r="S210" s="1" t="str">
        <f ca="1">IFERROR(__xludf.DUMMYFUNCTION("""COMPUTED_VALUE"""),"5010211046")</f>
        <v>5010211046</v>
      </c>
      <c r="T210" s="1" t="str">
        <f ca="1">IFERROR(__xludf.DUMMYFUNCTION("""COMPUTED_VALUE"""),"Departemen Teknik Sistem dan Industri")</f>
        <v>Departemen Teknik Sistem dan Industri</v>
      </c>
      <c r="U210" s="1" t="str">
        <f ca="1">IFERROR(__xludf.DUMMYFUNCTION("""COMPUTED_VALUE"""),"Dr. Adithya Sudiarno, S.T., M.T.")</f>
        <v>Dr. Adithya Sudiarno, S.T., M.T.</v>
      </c>
      <c r="V210" s="1" t="str">
        <f ca="1">IFERROR(__xludf.DUMMYFUNCTION("""COMPUTED_VALUE"""),"Daril Ridho Zuchrillah, S.T., M.T.")</f>
        <v>Daril Ridho Zuchrillah, S.T., M.T.</v>
      </c>
      <c r="W210" s="1"/>
      <c r="X210" s="1" t="str">
        <f ca="1">IFERROR(__xludf.DUMMYFUNCTION("""COMPUTED_VALUE"""),"Lolos")</f>
        <v>Lolos</v>
      </c>
      <c r="Y210" s="1"/>
      <c r="Z210" s="1"/>
      <c r="AA210" s="1"/>
    </row>
    <row r="211" spans="1:27">
      <c r="A211" s="1" t="s">
        <v>208</v>
      </c>
      <c r="B211" s="1">
        <f ca="1">IFERROR(__xludf.DUMMYFUNCTION("""COMPUTED_VALUE"""),3361)</f>
        <v>3361</v>
      </c>
      <c r="C211" s="1" t="str">
        <f ca="1">IFERROR(__xludf.DUMMYFUNCTION("""COMPUTED_VALUE"""),"PKM Kewirausahaan")</f>
        <v>PKM Kewirausahaan</v>
      </c>
      <c r="D211" s="1" t="str">
        <f ca="1">IFERROR(__xludf.DUMMYFUNCTION("""COMPUTED_VALUE"""),"MENSTABILKAN LABA PENJUALAN DAN PERLUASAN PASAR MELON DENGAN BERBASIS APLIKASI ""MARMEL""")</f>
        <v>MENSTABILKAN LABA PENJUALAN DAN PERLUASAN PASAR MELON DENGAN BERBASIS APLIKASI "MARMEL"</v>
      </c>
      <c r="E211" s="1" t="str">
        <f ca="1">IFERROR(__xludf.DUMMYFUNCTION("""COMPUTED_VALUE"""),"MEIRISSA MAHARANI")</f>
        <v>MEIRISSA MAHARANI</v>
      </c>
      <c r="F211" s="1" t="str">
        <f ca="1">IFERROR(__xludf.DUMMYFUNCTION("""COMPUTED_VALUE"""),"5033201069")</f>
        <v>5033201069</v>
      </c>
      <c r="G211" s="1" t="str">
        <f ca="1">IFERROR(__xludf.DUMMYFUNCTION("""COMPUTED_VALUE"""),"Departemen Studi Pembangunan")</f>
        <v>Departemen Studi Pembangunan</v>
      </c>
      <c r="H211" s="1" t="str">
        <f ca="1">IFERROR(__xludf.DUMMYFUNCTION("""COMPUTED_VALUE"""),"Lienggar Rahadiantino, S.E., M.Sc")</f>
        <v>Lienggar Rahadiantino, S.E., M.Sc</v>
      </c>
      <c r="I211" s="1" t="str">
        <f ca="1">IFERROR(__xludf.DUMMYFUNCTION("""COMPUTED_VALUE"""),"DHOFIROTUN NADIFAH")</f>
        <v>DHOFIROTUN NADIFAH</v>
      </c>
      <c r="J211" s="1" t="str">
        <f ca="1">IFERROR(__xludf.DUMMYFUNCTION("""COMPUTED_VALUE"""),"5033201017")</f>
        <v>5033201017</v>
      </c>
      <c r="K211" s="1" t="str">
        <f ca="1">IFERROR(__xludf.DUMMYFUNCTION("""COMPUTED_VALUE"""),"Departemen Studi Pembangunan")</f>
        <v>Departemen Studi Pembangunan</v>
      </c>
      <c r="L211" s="1" t="str">
        <f ca="1">IFERROR(__xludf.DUMMYFUNCTION("""COMPUTED_VALUE"""),"NADYA ANDINI")</f>
        <v>NADYA ANDINI</v>
      </c>
      <c r="M211" s="1" t="str">
        <f ca="1">IFERROR(__xludf.DUMMYFUNCTION("""COMPUTED_VALUE"""),"5033201071")</f>
        <v>5033201071</v>
      </c>
      <c r="N211" s="1" t="str">
        <f ca="1">IFERROR(__xludf.DUMMYFUNCTION("""COMPUTED_VALUE"""),"Departemen Studi Pembangunan")</f>
        <v>Departemen Studi Pembangunan</v>
      </c>
      <c r="O211" s="1" t="str">
        <f ca="1">IFERROR(__xludf.DUMMYFUNCTION("""COMPUTED_VALUE"""),"SILMA YOSIHRA ASHARI")</f>
        <v>SILMA YOSIHRA ASHARI</v>
      </c>
      <c r="P211" s="1" t="str">
        <f ca="1">IFERROR(__xludf.DUMMYFUNCTION("""COMPUTED_VALUE"""),"5033201029")</f>
        <v>5033201029</v>
      </c>
      <c r="Q211" s="1" t="str">
        <f ca="1">IFERROR(__xludf.DUMMYFUNCTION("""COMPUTED_VALUE"""),"Departemen Studi Pembangunan")</f>
        <v>Departemen Studi Pembangunan</v>
      </c>
      <c r="R211" s="1" t="str">
        <f ca="1">IFERROR(__xludf.DUMMYFUNCTION("""COMPUTED_VALUE"""),"Muhammad Sulthon Nashir")</f>
        <v>Muhammad Sulthon Nashir</v>
      </c>
      <c r="S211" s="1" t="str">
        <f ca="1">IFERROR(__xludf.DUMMYFUNCTION("""COMPUTED_VALUE"""),"05311840000011")</f>
        <v>05311840000011</v>
      </c>
      <c r="T211" s="1" t="str">
        <f ca="1">IFERROR(__xludf.DUMMYFUNCTION("""COMPUTED_VALUE"""),"Departemen Teknologi Informasi")</f>
        <v>Departemen Teknologi Informasi</v>
      </c>
      <c r="U211" s="1" t="str">
        <f ca="1">IFERROR(__xludf.DUMMYFUNCTION("""COMPUTED_VALUE"""),"Gita Widi Bhawika, S.ST., M.MT")</f>
        <v>Gita Widi Bhawika, S.ST., M.MT</v>
      </c>
      <c r="V211" s="1" t="str">
        <f ca="1">IFERROR(__xludf.DUMMYFUNCTION("""COMPUTED_VALUE"""),"R.Eka Rizkiantono, S.Sn, M.Ds")</f>
        <v>R.Eka Rizkiantono, S.Sn, M.Ds</v>
      </c>
      <c r="W211" s="1"/>
      <c r="X211" s="1" t="str">
        <f ca="1">IFERROR(__xludf.DUMMYFUNCTION("""COMPUTED_VALUE"""),"Lolos")</f>
        <v>Lolos</v>
      </c>
      <c r="Y211" s="1"/>
      <c r="Z211" s="1"/>
      <c r="AA211" s="1"/>
    </row>
    <row r="212" spans="1:27">
      <c r="A212" s="1" t="s">
        <v>209</v>
      </c>
      <c r="B212" s="1">
        <f ca="1">IFERROR(__xludf.DUMMYFUNCTION("""COMPUTED_VALUE"""),3412)</f>
        <v>3412</v>
      </c>
      <c r="C212" s="1" t="str">
        <f ca="1">IFERROR(__xludf.DUMMYFUNCTION("""COMPUTED_VALUE"""),"PKM Kewirausahaan")</f>
        <v>PKM Kewirausahaan</v>
      </c>
      <c r="D212" s="1" t="str">
        <f ca="1">IFERROR(__xludf.DUMMYFUNCTION("""COMPUTED_VALUE"""),"ReBrand : Marketplace Jasa Branding Guna Meningkatkan Brand Image Produk UMKM di Mata Masyarakat pada Era Digital")</f>
        <v>ReBrand : Marketplace Jasa Branding Guna Meningkatkan Brand Image Produk UMKM di Mata Masyarakat pada Era Digital</v>
      </c>
      <c r="E212" s="1" t="str">
        <f ca="1">IFERROR(__xludf.DUMMYFUNCTION("""COMPUTED_VALUE"""),"DEVI NOVITA SARI")</f>
        <v>DEVI NOVITA SARI</v>
      </c>
      <c r="F212" s="1" t="str">
        <f ca="1">IFERROR(__xludf.DUMMYFUNCTION("""COMPUTED_VALUE"""),"5003201066")</f>
        <v>5003201066</v>
      </c>
      <c r="G212" s="1" t="str">
        <f ca="1">IFERROR(__xludf.DUMMYFUNCTION("""COMPUTED_VALUE"""),"Departemen Statistika")</f>
        <v>Departemen Statistika</v>
      </c>
      <c r="H212" s="1" t="str">
        <f ca="1">IFERROR(__xludf.DUMMYFUNCTION("""COMPUTED_VALUE"""),"Dr. Dra. Ismaini Zain, M.Si")</f>
        <v>Dr. Dra. Ismaini Zain, M.Si</v>
      </c>
      <c r="I212" s="1" t="str">
        <f ca="1">IFERROR(__xludf.DUMMYFUNCTION("""COMPUTED_VALUE"""),"SYAFA AULIA IBNATIA")</f>
        <v>SYAFA AULIA IBNATIA</v>
      </c>
      <c r="J212" s="1" t="str">
        <f ca="1">IFERROR(__xludf.DUMMYFUNCTION("""COMPUTED_VALUE"""),"5003201067")</f>
        <v>5003201067</v>
      </c>
      <c r="K212" s="1" t="str">
        <f ca="1">IFERROR(__xludf.DUMMYFUNCTION("""COMPUTED_VALUE"""),"Departemen Statistika")</f>
        <v>Departemen Statistika</v>
      </c>
      <c r="L212" s="1" t="str">
        <f ca="1">IFERROR(__xludf.DUMMYFUNCTION("""COMPUTED_VALUE"""),"KOMANG AMELIA KOMALA DEWI")</f>
        <v>KOMANG AMELIA KOMALA DEWI</v>
      </c>
      <c r="M212" s="1" t="str">
        <f ca="1">IFERROR(__xludf.DUMMYFUNCTION("""COMPUTED_VALUE"""),"5003201157")</f>
        <v>5003201157</v>
      </c>
      <c r="N212" s="1" t="str">
        <f ca="1">IFERROR(__xludf.DUMMYFUNCTION("""COMPUTED_VALUE"""),"Departemen Statistika")</f>
        <v>Departemen Statistika</v>
      </c>
      <c r="O212" s="1" t="str">
        <f ca="1">IFERROR(__xludf.DUMMYFUNCTION("""COMPUTED_VALUE"""),"ANAK AGUNG YATESTHA PARWATA")</f>
        <v>ANAK AGUNG YATESTHA PARWATA</v>
      </c>
      <c r="P212" s="1" t="str">
        <f ca="1">IFERROR(__xludf.DUMMYFUNCTION("""COMPUTED_VALUE"""),"5025201234")</f>
        <v>5025201234</v>
      </c>
      <c r="Q212" s="1" t="str">
        <f ca="1">IFERROR(__xludf.DUMMYFUNCTION("""COMPUTED_VALUE"""),"Departemen Teknik Informatika")</f>
        <v>Departemen Teknik Informatika</v>
      </c>
      <c r="R212" s="1" t="str">
        <f ca="1">IFERROR(__xludf.DUMMYFUNCTION("""COMPUTED_VALUE"""),"AYU ANGGRAENI")</f>
        <v>AYU ANGGRAENI</v>
      </c>
      <c r="S212" s="1" t="str">
        <f ca="1">IFERROR(__xludf.DUMMYFUNCTION("""COMPUTED_VALUE"""),"5003211053")</f>
        <v>5003211053</v>
      </c>
      <c r="T212" s="1" t="str">
        <f ca="1">IFERROR(__xludf.DUMMYFUNCTION("""COMPUTED_VALUE"""),"Departemen Statistika")</f>
        <v>Departemen Statistika</v>
      </c>
      <c r="U212" s="1" t="str">
        <f ca="1">IFERROR(__xludf.DUMMYFUNCTION("""COMPUTED_VALUE"""),"Ahmad Fauzan Adziimaa, S.T., M.Sc.")</f>
        <v>Ahmad Fauzan Adziimaa, S.T., M.Sc.</v>
      </c>
      <c r="V212" s="1" t="str">
        <f ca="1">IFERROR(__xludf.DUMMYFUNCTION("""COMPUTED_VALUE"""),"Mahardika F. Rois, S.T, M.T")</f>
        <v>Mahardika F. Rois, S.T, M.T</v>
      </c>
      <c r="W212" s="1"/>
      <c r="X212" s="1" t="str">
        <f ca="1">IFERROR(__xludf.DUMMYFUNCTION("""COMPUTED_VALUE"""),"Lolos")</f>
        <v>Lolos</v>
      </c>
      <c r="Y212" s="1"/>
      <c r="Z212" s="1"/>
      <c r="AA212" s="1"/>
    </row>
    <row r="213" spans="1:27">
      <c r="A213" s="1" t="s">
        <v>210</v>
      </c>
      <c r="B213" s="1">
        <f ca="1">IFERROR(__xludf.DUMMYFUNCTION("""COMPUTED_VALUE"""),4157)</f>
        <v>4157</v>
      </c>
      <c r="C213" s="1" t="str">
        <f ca="1">IFERROR(__xludf.DUMMYFUNCTION("""COMPUTED_VALUE"""),"PKM Kewirausahaan")</f>
        <v>PKM Kewirausahaan</v>
      </c>
      <c r="D213" s="1" t="str">
        <f ca="1">IFERROR(__xludf.DUMMYFUNCTION("""COMPUTED_VALUE"""),"Platform Jual Beli Barang Bekas Online Berbasis Aplkasi Bekas Laku sebagai Upaya Menjaga Lingkungan dan Pencegahan Limbah")</f>
        <v>Platform Jual Beli Barang Bekas Online Berbasis Aplkasi Bekas Laku sebagai Upaya Menjaga Lingkungan dan Pencegahan Limbah</v>
      </c>
      <c r="E213" s="1" t="str">
        <f ca="1">IFERROR(__xludf.DUMMYFUNCTION("""COMPUTED_VALUE"""),"Hanisa Rahmawati B")</f>
        <v>Hanisa Rahmawati B</v>
      </c>
      <c r="F213" s="1" t="str">
        <f ca="1">IFERROR(__xludf.DUMMYFUNCTION("""COMPUTED_VALUE"""),"2043211005")</f>
        <v>2043211005</v>
      </c>
      <c r="G213" s="1" t="str">
        <f ca="1">IFERROR(__xludf.DUMMYFUNCTION("""COMPUTED_VALUE"""),"Departemen Statistika Bisnis")</f>
        <v>Departemen Statistika Bisnis</v>
      </c>
      <c r="H213" s="1" t="str">
        <f ca="1">IFERROR(__xludf.DUMMYFUNCTION("""COMPUTED_VALUE"""),"Nur Azizah, S.Si., M.Stat.")</f>
        <v>Nur Azizah, S.Si., M.Stat.</v>
      </c>
      <c r="I213" s="1" t="str">
        <f ca="1">IFERROR(__xludf.DUMMYFUNCTION("""COMPUTED_VALUE"""),"Nabila Salma K.A ")</f>
        <v xml:space="preserve">Nabila Salma K.A </v>
      </c>
      <c r="J213" s="1" t="str">
        <f ca="1">IFERROR(__xludf.DUMMYFUNCTION("""COMPUTED_VALUE"""),"2043211062")</f>
        <v>2043211062</v>
      </c>
      <c r="K213" s="1" t="str">
        <f ca="1">IFERROR(__xludf.DUMMYFUNCTION("""COMPUTED_VALUE"""),"Departemen Statistika Bisnis")</f>
        <v>Departemen Statistika Bisnis</v>
      </c>
      <c r="L213" s="1" t="str">
        <f ca="1">IFERROR(__xludf.DUMMYFUNCTION("""COMPUTED_VALUE"""),"Synta Salsabila S")</f>
        <v>Synta Salsabila S</v>
      </c>
      <c r="M213" s="1" t="str">
        <f ca="1">IFERROR(__xludf.DUMMYFUNCTION("""COMPUTED_VALUE"""),"2043211011")</f>
        <v>2043211011</v>
      </c>
      <c r="N213" s="1" t="str">
        <f ca="1">IFERROR(__xludf.DUMMYFUNCTION("""COMPUTED_VALUE"""),"Departemen Statistika Bisnis")</f>
        <v>Departemen Statistika Bisnis</v>
      </c>
      <c r="O213" s="1" t="str">
        <f ca="1">IFERROR(__xludf.DUMMYFUNCTION("""COMPUTED_VALUE"""),"TITANIA ULA S")</f>
        <v>TITANIA ULA S</v>
      </c>
      <c r="P213" s="1" t="str">
        <f ca="1">IFERROR(__xludf.DUMMYFUNCTION("""COMPUTED_VALUE"""),"2043211042")</f>
        <v>2043211042</v>
      </c>
      <c r="Q213" s="1" t="str">
        <f ca="1">IFERROR(__xludf.DUMMYFUNCTION("""COMPUTED_VALUE"""),"Departemen Statistika Bisnis")</f>
        <v>Departemen Statistika Bisnis</v>
      </c>
      <c r="R213" s="1"/>
      <c r="S213" s="1"/>
      <c r="T213" s="1"/>
      <c r="U213" s="1" t="str">
        <f ca="1">IFERROR(__xludf.DUMMYFUNCTION("""COMPUTED_VALUE"""),"Ahmad Fauzan Adziimaa, S.T., M.Sc.")</f>
        <v>Ahmad Fauzan Adziimaa, S.T., M.Sc.</v>
      </c>
      <c r="V213" s="1" t="str">
        <f ca="1">IFERROR(__xludf.DUMMYFUNCTION("""COMPUTED_VALUE"""),"Dr. Afan Hamzah, S.T.")</f>
        <v>Dr. Afan Hamzah, S.T.</v>
      </c>
      <c r="W213" s="1"/>
      <c r="X213" s="1" t="str">
        <f ca="1">IFERROR(__xludf.DUMMYFUNCTION("""COMPUTED_VALUE"""),"Lolos")</f>
        <v>Lolos</v>
      </c>
      <c r="Y213" s="1"/>
      <c r="Z213" s="1"/>
      <c r="AA213" s="1"/>
    </row>
    <row r="214" spans="1:27">
      <c r="A214" s="1" t="s">
        <v>211</v>
      </c>
      <c r="B214" s="1">
        <f ca="1">IFERROR(__xludf.DUMMYFUNCTION("""COMPUTED_VALUE"""),3618)</f>
        <v>3618</v>
      </c>
      <c r="C214" s="1" t="str">
        <f ca="1">IFERROR(__xludf.DUMMYFUNCTION("""COMPUTED_VALUE"""),"PKM Kewirausahaan")</f>
        <v>PKM Kewirausahaan</v>
      </c>
      <c r="D214" s="1" t="str">
        <f ca="1">IFERROR(__xludf.DUMMYFUNCTION("""COMPUTED_VALUE"""),"TEMANKU: PLATFORM PENYEDIA INFORMASI SKINCARE DI
INDONESIA")</f>
        <v>TEMANKU: PLATFORM PENYEDIA INFORMASI SKINCARE DI
INDONESIA</v>
      </c>
      <c r="E214" s="1" t="str">
        <f ca="1">IFERROR(__xludf.DUMMYFUNCTION("""COMPUTED_VALUE"""),"AULIA MUHAMMAD")</f>
        <v>AULIA MUHAMMAD</v>
      </c>
      <c r="F214" s="1" t="str">
        <f ca="1">IFERROR(__xludf.DUMMYFUNCTION("""COMPUTED_VALUE"""),"5031201036")</f>
        <v>5031201036</v>
      </c>
      <c r="G214" s="1" t="str">
        <f ca="1">IFERROR(__xludf.DUMMYFUNCTION("""COMPUTED_VALUE"""),"Departemen Manajemen Bisnis")</f>
        <v>Departemen Manajemen Bisnis</v>
      </c>
      <c r="H214" s="1" t="str">
        <f ca="1">IFERROR(__xludf.DUMMYFUNCTION("""COMPUTED_VALUE"""),"Gita Widi Bhawika, S.ST., M.MT")</f>
        <v>Gita Widi Bhawika, S.ST., M.MT</v>
      </c>
      <c r="I214" s="1" t="str">
        <f ca="1">IFERROR(__xludf.DUMMYFUNCTION("""COMPUTED_VALUE"""),"PRABASWORO SUBYAKTA CAHYONO PUTRA")</f>
        <v>PRABASWORO SUBYAKTA CAHYONO PUTRA</v>
      </c>
      <c r="J214" s="1" t="str">
        <f ca="1">IFERROR(__xludf.DUMMYFUNCTION("""COMPUTED_VALUE"""),"5031201064")</f>
        <v>5031201064</v>
      </c>
      <c r="K214" s="1" t="str">
        <f ca="1">IFERROR(__xludf.DUMMYFUNCTION("""COMPUTED_VALUE"""),"Departemen Manajemen Bisnis")</f>
        <v>Departemen Manajemen Bisnis</v>
      </c>
      <c r="L214" s="1" t="str">
        <f ca="1">IFERROR(__xludf.DUMMYFUNCTION("""COMPUTED_VALUE"""),"ALIF NURFITRIANI")</f>
        <v>ALIF NURFITRIANI</v>
      </c>
      <c r="M214" s="1" t="str">
        <f ca="1">IFERROR(__xludf.DUMMYFUNCTION("""COMPUTED_VALUE"""),"09111940000051")</f>
        <v>09111940000051</v>
      </c>
      <c r="N214" s="1" t="str">
        <f ca="1">IFERROR(__xludf.DUMMYFUNCTION("""COMPUTED_VALUE"""),"Departemen Manajemen Bisnis")</f>
        <v>Departemen Manajemen Bisnis</v>
      </c>
      <c r="O214" s="1" t="str">
        <f ca="1">IFERROR(__xludf.DUMMYFUNCTION("""COMPUTED_VALUE"""),"FAUZIAH IZZATUN NISAA`")</f>
        <v>FAUZIAH IZZATUN NISAA`</v>
      </c>
      <c r="P214" s="1" t="str">
        <f ca="1">IFERROR(__xludf.DUMMYFUNCTION("""COMPUTED_VALUE"""),"5031201021")</f>
        <v>5031201021</v>
      </c>
      <c r="Q214" s="1" t="str">
        <f ca="1">IFERROR(__xludf.DUMMYFUNCTION("""COMPUTED_VALUE"""),"Departemen Manajemen Bisnis")</f>
        <v>Departemen Manajemen Bisnis</v>
      </c>
      <c r="R214" s="1" t="str">
        <f ca="1">IFERROR(__xludf.DUMMYFUNCTION("""COMPUTED_VALUE"""),"VINA JANUAR NUR AZFAWATI")</f>
        <v>VINA JANUAR NUR AZFAWATI</v>
      </c>
      <c r="S214" s="1" t="str">
        <f ca="1">IFERROR(__xludf.DUMMYFUNCTION("""COMPUTED_VALUE"""),"5031201020")</f>
        <v>5031201020</v>
      </c>
      <c r="T214" s="1" t="str">
        <f ca="1">IFERROR(__xludf.DUMMYFUNCTION("""COMPUTED_VALUE"""),"Departemen Manajemen Bisnis")</f>
        <v>Departemen Manajemen Bisnis</v>
      </c>
      <c r="U214" s="1" t="str">
        <f ca="1">IFERROR(__xludf.DUMMYFUNCTION("""COMPUTED_VALUE"""),"Ahmad Fauzan Adziimaa, S.T., M.Sc.")</f>
        <v>Ahmad Fauzan Adziimaa, S.T., M.Sc.</v>
      </c>
      <c r="V214" s="1" t="str">
        <f ca="1">IFERROR(__xludf.DUMMYFUNCTION("""COMPUTED_VALUE"""),"Daril Ridho Zuchrillah, S.T., M.T.")</f>
        <v>Daril Ridho Zuchrillah, S.T., M.T.</v>
      </c>
      <c r="W214" s="1"/>
      <c r="X214" s="1" t="str">
        <f ca="1">IFERROR(__xludf.DUMMYFUNCTION("""COMPUTED_VALUE"""),"Lolos")</f>
        <v>Lolos</v>
      </c>
      <c r="Y214" s="1"/>
      <c r="Z214" s="1"/>
      <c r="AA214" s="1"/>
    </row>
    <row r="215" spans="1:27">
      <c r="A215" s="1" t="s">
        <v>212</v>
      </c>
      <c r="B215" s="1">
        <f ca="1">IFERROR(__xludf.DUMMYFUNCTION("""COMPUTED_VALUE"""),2542)</f>
        <v>2542</v>
      </c>
      <c r="C215" s="1" t="str">
        <f ca="1">IFERROR(__xludf.DUMMYFUNCTION("""COMPUTED_VALUE"""),"PKM Kewirausahaan")</f>
        <v>PKM Kewirausahaan</v>
      </c>
      <c r="D215" s="1" t="str">
        <f ca="1">IFERROR(__xludf.DUMMYFUNCTION("""COMPUTED_VALUE"""),"Penyediaan Jasa Make Up Artist Melalui Aplikasi Dengan Fitur Masa Kini MUA.ID")</f>
        <v>Penyediaan Jasa Make Up Artist Melalui Aplikasi Dengan Fitur Masa Kini MUA.ID</v>
      </c>
      <c r="E215" s="1" t="str">
        <f ca="1">IFERROR(__xludf.DUMMYFUNCTION("""COMPUTED_VALUE"""),"Syahrindra Rif'at N")</f>
        <v>Syahrindra Rif'at N</v>
      </c>
      <c r="F215" s="1" t="str">
        <f ca="1">IFERROR(__xludf.DUMMYFUNCTION("""COMPUTED_VALUE"""),"5016211079")</f>
        <v>5016211079</v>
      </c>
      <c r="G215" s="1" t="str">
        <f ca="1">IFERROR(__xludf.DUMMYFUNCTION("""COMPUTED_VALUE"""),"Departemen Teknik Geomatika")</f>
        <v>Departemen Teknik Geomatika</v>
      </c>
      <c r="H215" s="1" t="str">
        <f ca="1">IFERROR(__xludf.DUMMYFUNCTION("""COMPUTED_VALUE"""),"Yanto Budisusanto, S.T., M.Eng.")</f>
        <v>Yanto Budisusanto, S.T., M.Eng.</v>
      </c>
      <c r="I215" s="1" t="str">
        <f ca="1">IFERROR(__xludf.DUMMYFUNCTION("""COMPUTED_VALUE"""),"TSALAIS NAFI'ATUS Z")</f>
        <v>TSALAIS NAFI'ATUS Z</v>
      </c>
      <c r="J215" s="1" t="str">
        <f ca="1">IFERROR(__xludf.DUMMYFUNCTION("""COMPUTED_VALUE"""),"5016211041")</f>
        <v>5016211041</v>
      </c>
      <c r="K215" s="1" t="str">
        <f ca="1">IFERROR(__xludf.DUMMYFUNCTION("""COMPUTED_VALUE"""),"Departemen Teknik Geomatika")</f>
        <v>Departemen Teknik Geomatika</v>
      </c>
      <c r="L215" s="1" t="str">
        <f ca="1">IFERROR(__xludf.DUMMYFUNCTION("""COMPUTED_VALUE"""),"SITI MUSYAFA'ATUL NU")</f>
        <v>SITI MUSYAFA'ATUL NU</v>
      </c>
      <c r="M215" s="1" t="str">
        <f ca="1">IFERROR(__xludf.DUMMYFUNCTION("""COMPUTED_VALUE"""),"5016211074")</f>
        <v>5016211074</v>
      </c>
      <c r="N215" s="1" t="str">
        <f ca="1">IFERROR(__xludf.DUMMYFUNCTION("""COMPUTED_VALUE"""),"Departemen Teknik Geomatika")</f>
        <v>Departemen Teknik Geomatika</v>
      </c>
      <c r="O215" s="1" t="str">
        <f ca="1">IFERROR(__xludf.DUMMYFUNCTION("""COMPUTED_VALUE"""),"NABILA AUGESITA P. V")</f>
        <v>NABILA AUGESITA P. V</v>
      </c>
      <c r="P215" s="1" t="str">
        <f ca="1">IFERROR(__xludf.DUMMYFUNCTION("""COMPUTED_VALUE"""),"5016211047")</f>
        <v>5016211047</v>
      </c>
      <c r="Q215" s="1" t="str">
        <f ca="1">IFERROR(__xludf.DUMMYFUNCTION("""COMPUTED_VALUE"""),"Departemen Teknik Geomatika")</f>
        <v>Departemen Teknik Geomatika</v>
      </c>
      <c r="R215" s="1" t="str">
        <f ca="1">IFERROR(__xludf.DUMMYFUNCTION("""COMPUTED_VALUE"""),"FAIRUUZ NURDIAZ AMAANULLAH")</f>
        <v>FAIRUUZ NURDIAZ AMAANULLAH</v>
      </c>
      <c r="S215" s="1" t="str">
        <f ca="1">IFERROR(__xludf.DUMMYFUNCTION("""COMPUTED_VALUE"""),"5002201042")</f>
        <v>5002201042</v>
      </c>
      <c r="T215" s="1" t="str">
        <f ca="1">IFERROR(__xludf.DUMMYFUNCTION("""COMPUTED_VALUE"""),"Departemen Matematika")</f>
        <v>Departemen Matematika</v>
      </c>
      <c r="U215" s="1" t="str">
        <f ca="1">IFERROR(__xludf.DUMMYFUNCTION("""COMPUTED_VALUE"""),"MY Alief Samboro, S.T., M.Ds.")</f>
        <v>MY Alief Samboro, S.T., M.Ds.</v>
      </c>
      <c r="V215" s="1" t="str">
        <f ca="1">IFERROR(__xludf.DUMMYFUNCTION("""COMPUTED_VALUE"""),"Atikah Aghdhi Pratiwi, S.T., M.T.")</f>
        <v>Atikah Aghdhi Pratiwi, S.T., M.T.</v>
      </c>
      <c r="W215" s="1"/>
      <c r="X215" s="1" t="str">
        <f ca="1">IFERROR(__xludf.DUMMYFUNCTION("""COMPUTED_VALUE"""),"Lolos")</f>
        <v>Lolos</v>
      </c>
      <c r="Y215" s="1"/>
      <c r="Z215" s="1"/>
      <c r="AA215" s="1"/>
    </row>
    <row r="216" spans="1:27">
      <c r="A216" s="1" t="s">
        <v>213</v>
      </c>
      <c r="B216" s="1">
        <f ca="1">IFERROR(__xludf.DUMMYFUNCTION("""COMPUTED_VALUE"""),3376)</f>
        <v>3376</v>
      </c>
      <c r="C216" s="1" t="str">
        <f ca="1">IFERROR(__xludf.DUMMYFUNCTION("""COMPUTED_VALUE"""),"PKM Kewirausahaan")</f>
        <v>PKM Kewirausahaan</v>
      </c>
      <c r="D216" s="1" t="str">
        <f ca="1">IFERROR(__xludf.DUMMYFUNCTION("""COMPUTED_VALUE"""),"ARCHITECT AI : Memanfaatkan Kemajuan Teknologi di Era Modern untuk Masa Depan Mendesain Bangunan")</f>
        <v>ARCHITECT AI : Memanfaatkan Kemajuan Teknologi di Era Modern untuk Masa Depan Mendesain Bangunan</v>
      </c>
      <c r="E216" s="1" t="str">
        <f ca="1">IFERROR(__xludf.DUMMYFUNCTION("""COMPUTED_VALUE"""),"Aisya Maura")</f>
        <v>Aisya Maura</v>
      </c>
      <c r="F216" s="1" t="str">
        <f ca="1">IFERROR(__xludf.DUMMYFUNCTION("""COMPUTED_VALUE"""),"5013211103")</f>
        <v>5013211103</v>
      </c>
      <c r="G216" s="1" t="str">
        <f ca="1">IFERROR(__xludf.DUMMYFUNCTION("""COMPUTED_VALUE"""),"Departemen Arsitektur")</f>
        <v>Departemen Arsitektur</v>
      </c>
      <c r="H216" s="1" t="str">
        <f ca="1">IFERROR(__xludf.DUMMYFUNCTION("""COMPUTED_VALUE"""),"Nurfahmi M, S.T., M.Ars.")</f>
        <v>Nurfahmi M, S.T., M.Ars.</v>
      </c>
      <c r="I216" s="1" t="str">
        <f ca="1">IFERROR(__xludf.DUMMYFUNCTION("""COMPUTED_VALUE"""),"Yahya Ibrahim")</f>
        <v>Yahya Ibrahim</v>
      </c>
      <c r="J216" s="1" t="str">
        <f ca="1">IFERROR(__xludf.DUMMYFUNCTION("""COMPUTED_VALUE"""),"5013211132")</f>
        <v>5013211132</v>
      </c>
      <c r="K216" s="1" t="str">
        <f ca="1">IFERROR(__xludf.DUMMYFUNCTION("""COMPUTED_VALUE"""),"Departemen Arsitektur")</f>
        <v>Departemen Arsitektur</v>
      </c>
      <c r="L216" s="1" t="str">
        <f ca="1">IFERROR(__xludf.DUMMYFUNCTION("""COMPUTED_VALUE"""),"FIRDA DWI HERIYANTO")</f>
        <v>FIRDA DWI HERIYANTO</v>
      </c>
      <c r="M216" s="1" t="str">
        <f ca="1">IFERROR(__xludf.DUMMYFUNCTION("""COMPUTED_VALUE"""),"5013211033")</f>
        <v>5013211033</v>
      </c>
      <c r="N216" s="1" t="str">
        <f ca="1">IFERROR(__xludf.DUMMYFUNCTION("""COMPUTED_VALUE"""),"Departemen Arsitektur")</f>
        <v>Departemen Arsitektur</v>
      </c>
      <c r="O216" s="1" t="str">
        <f ca="1">IFERROR(__xludf.DUMMYFUNCTION("""COMPUTED_VALUE"""),"Calvin Edsadya P. W.")</f>
        <v>Calvin Edsadya P. W.</v>
      </c>
      <c r="P216" s="1" t="str">
        <f ca="1">IFERROR(__xludf.DUMMYFUNCTION("""COMPUTED_VALUE"""),"5013211126")</f>
        <v>5013211126</v>
      </c>
      <c r="Q216" s="1" t="str">
        <f ca="1">IFERROR(__xludf.DUMMYFUNCTION("""COMPUTED_VALUE"""),"Departemen Arsitektur")</f>
        <v>Departemen Arsitektur</v>
      </c>
      <c r="R216" s="1" t="str">
        <f ca="1">IFERROR(__xludf.DUMMYFUNCTION("""COMPUTED_VALUE"""),"Nicholas Arie")</f>
        <v>Nicholas Arie</v>
      </c>
      <c r="S216" s="1" t="str">
        <f ca="1">IFERROR(__xludf.DUMMYFUNCTION("""COMPUTED_VALUE"""),"5013211135")</f>
        <v>5013211135</v>
      </c>
      <c r="T216" s="1" t="str">
        <f ca="1">IFERROR(__xludf.DUMMYFUNCTION("""COMPUTED_VALUE"""),"Departemen Arsitektur")</f>
        <v>Departemen Arsitektur</v>
      </c>
      <c r="U216" s="1" t="str">
        <f ca="1">IFERROR(__xludf.DUMMYFUNCTION("""COMPUTED_VALUE"""),"Gita Widi Bhawika, S.ST., M.MT")</f>
        <v>Gita Widi Bhawika, S.ST., M.MT</v>
      </c>
      <c r="V216" s="1" t="str">
        <f ca="1">IFERROR(__xludf.DUMMYFUNCTION("""COMPUTED_VALUE"""),"R.Eka Rizkiantono, S.Sn, M.Ds")</f>
        <v>R.Eka Rizkiantono, S.Sn, M.Ds</v>
      </c>
      <c r="W216" s="1"/>
      <c r="X216" s="1" t="str">
        <f ca="1">IFERROR(__xludf.DUMMYFUNCTION("""COMPUTED_VALUE"""),"Lolos")</f>
        <v>Lolos</v>
      </c>
      <c r="Y216" s="1"/>
      <c r="Z216" s="1"/>
      <c r="AA216" s="1"/>
    </row>
    <row r="217" spans="1:27">
      <c r="A217" s="1" t="s">
        <v>214</v>
      </c>
      <c r="B217" s="1">
        <f ca="1">IFERROR(__xludf.DUMMYFUNCTION("""COMPUTED_VALUE"""),3583)</f>
        <v>3583</v>
      </c>
      <c r="C217" s="1" t="str">
        <f ca="1">IFERROR(__xludf.DUMMYFUNCTION("""COMPUTED_VALUE"""),"PKM Kewirausahaan")</f>
        <v>PKM Kewirausahaan</v>
      </c>
      <c r="D217" s="1" t="str">
        <f ca="1">IFERROR(__xludf.DUMMYFUNCTION("""COMPUTED_VALUE"""),"BIG VALUE IN TINY “MOUTHWASH IN PILL FORM”")</f>
        <v>BIG VALUE IN TINY “MOUTHWASH IN PILL FORM”</v>
      </c>
      <c r="E217" s="1" t="str">
        <f ca="1">IFERROR(__xludf.DUMMYFUNCTION("""COMPUTED_VALUE"""),"Azriel Akbar M")</f>
        <v>Azriel Akbar M</v>
      </c>
      <c r="F217" s="1" t="str">
        <f ca="1">IFERROR(__xludf.DUMMYFUNCTION("""COMPUTED_VALUE"""),"2038211049")</f>
        <v>2038211049</v>
      </c>
      <c r="G217" s="1" t="str">
        <f ca="1">IFERROR(__xludf.DUMMYFUNCTION("""COMPUTED_VALUE"""),"Departemen Teknik Mesin Industri")</f>
        <v>Departemen Teknik Mesin Industri</v>
      </c>
      <c r="H217" s="1" t="str">
        <f ca="1">IFERROR(__xludf.DUMMYFUNCTION("""COMPUTED_VALUE"""),"Rivai Wardhani, S.T., M.Sc.")</f>
        <v>Rivai Wardhani, S.T., M.Sc.</v>
      </c>
      <c r="I217" s="1" t="str">
        <f ca="1">IFERROR(__xludf.DUMMYFUNCTION("""COMPUTED_VALUE"""),"BERLIAN PUTRI FAHMIL")</f>
        <v>BERLIAN PUTRI FAHMIL</v>
      </c>
      <c r="J217" s="1" t="str">
        <f ca="1">IFERROR(__xludf.DUMMYFUNCTION("""COMPUTED_VALUE"""),"2039211064")</f>
        <v>2039211064</v>
      </c>
      <c r="K217" s="1" t="str">
        <f ca="1">IFERROR(__xludf.DUMMYFUNCTION("""COMPUTED_VALUE"""),"Departemen Teknik Mesin Industri")</f>
        <v>Departemen Teknik Mesin Industri</v>
      </c>
      <c r="L217" s="1" t="str">
        <f ca="1">IFERROR(__xludf.DUMMYFUNCTION("""COMPUTED_VALUE"""),"Hafizh Naufal A")</f>
        <v>Hafizh Naufal A</v>
      </c>
      <c r="M217" s="1" t="str">
        <f ca="1">IFERROR(__xludf.DUMMYFUNCTION("""COMPUTED_VALUE"""),"2038211066")</f>
        <v>2038211066</v>
      </c>
      <c r="N217" s="1" t="str">
        <f ca="1">IFERROR(__xludf.DUMMYFUNCTION("""COMPUTED_VALUE"""),"Departemen Teknik Mesin Industri")</f>
        <v>Departemen Teknik Mesin Industri</v>
      </c>
      <c r="O217" s="1" t="str">
        <f ca="1">IFERROR(__xludf.DUMMYFUNCTION("""COMPUTED_VALUE"""),"RIZKI FAIZAL ALAM")</f>
        <v>RIZKI FAIZAL ALAM</v>
      </c>
      <c r="P217" s="1" t="str">
        <f ca="1">IFERROR(__xludf.DUMMYFUNCTION("""COMPUTED_VALUE"""),"2039201054")</f>
        <v>2039201054</v>
      </c>
      <c r="Q217" s="1" t="str">
        <f ca="1">IFERROR(__xludf.DUMMYFUNCTION("""COMPUTED_VALUE"""),"Departemen Teknik Mesin Industri")</f>
        <v>Departemen Teknik Mesin Industri</v>
      </c>
      <c r="R217" s="1" t="str">
        <f ca="1">IFERROR(__xludf.DUMMYFUNCTION("""COMPUTED_VALUE"""),"MAULIDIAH ANDINI")</f>
        <v>MAULIDIAH ANDINI</v>
      </c>
      <c r="S217" s="1" t="str">
        <f ca="1">IFERROR(__xludf.DUMMYFUNCTION("""COMPUTED_VALUE"""),"2038201074")</f>
        <v>2038201074</v>
      </c>
      <c r="T217" s="1" t="str">
        <f ca="1">IFERROR(__xludf.DUMMYFUNCTION("""COMPUTED_VALUE"""),"Departemen Teknik Mesin Industri")</f>
        <v>Departemen Teknik Mesin Industri</v>
      </c>
      <c r="U217" s="1" t="str">
        <f ca="1">IFERROR(__xludf.DUMMYFUNCTION("""COMPUTED_VALUE"""),"Muchammad Nurif, S.E., M.T.")</f>
        <v>Muchammad Nurif, S.E., M.T.</v>
      </c>
      <c r="V217" s="1" t="str">
        <f ca="1">IFERROR(__xludf.DUMMYFUNCTION("""COMPUTED_VALUE"""),"Bahalwan Apriyansyah, S.T., MBA.")</f>
        <v>Bahalwan Apriyansyah, S.T., MBA.</v>
      </c>
      <c r="W217" s="1"/>
      <c r="X217" s="1" t="str">
        <f ca="1">IFERROR(__xludf.DUMMYFUNCTION("""COMPUTED_VALUE"""),"Lolos")</f>
        <v>Lolos</v>
      </c>
      <c r="Y217" s="1"/>
      <c r="Z217" s="1"/>
      <c r="AA217" s="1"/>
    </row>
    <row r="218" spans="1:27">
      <c r="A218" s="1" t="s">
        <v>215</v>
      </c>
      <c r="B218" s="1">
        <f ca="1">IFERROR(__xludf.DUMMYFUNCTION("""COMPUTED_VALUE"""),3341)</f>
        <v>3341</v>
      </c>
      <c r="C218" s="1" t="str">
        <f ca="1">IFERROR(__xludf.DUMMYFUNCTION("""COMPUTED_VALUE"""),"PKM Kewirausahaan")</f>
        <v>PKM Kewirausahaan</v>
      </c>
      <c r="D218" s="1" t="str">
        <f ca="1">IFERROR(__xludf.DUMMYFUNCTION("""COMPUTED_VALUE"""),"TikarKu")</f>
        <v>TikarKu</v>
      </c>
      <c r="E218" s="1" t="str">
        <f ca="1">IFERROR(__xludf.DUMMYFUNCTION("""COMPUTED_VALUE"""),"MUHAMMAD NAJA AT-THARIQ")</f>
        <v>MUHAMMAD NAJA AT-THARIQ</v>
      </c>
      <c r="F218" s="1" t="str">
        <f ca="1">IFERROR(__xludf.DUMMYFUNCTION("""COMPUTED_VALUE"""),"5031201001")</f>
        <v>5031201001</v>
      </c>
      <c r="G218" s="1" t="str">
        <f ca="1">IFERROR(__xludf.DUMMYFUNCTION("""COMPUTED_VALUE"""),"Departemen Manajemen Bisnis")</f>
        <v>Departemen Manajemen Bisnis</v>
      </c>
      <c r="H218" s="1" t="str">
        <f ca="1">IFERROR(__xludf.DUMMYFUNCTION("""COMPUTED_VALUE"""),"Bahalwan Apriyansyah, S.T., MBA.")</f>
        <v>Bahalwan Apriyansyah, S.T., MBA.</v>
      </c>
      <c r="I218" s="1" t="str">
        <f ca="1">IFERROR(__xludf.DUMMYFUNCTION("""COMPUTED_VALUE"""),"PUTU AYU ELINA PRIYANKA")</f>
        <v>PUTU AYU ELINA PRIYANKA</v>
      </c>
      <c r="J218" s="1" t="str">
        <f ca="1">IFERROR(__xludf.DUMMYFUNCTION("""COMPUTED_VALUE"""),"5031201066")</f>
        <v>5031201066</v>
      </c>
      <c r="K218" s="1" t="str">
        <f ca="1">IFERROR(__xludf.DUMMYFUNCTION("""COMPUTED_VALUE"""),"Departemen Manajemen Bisnis")</f>
        <v>Departemen Manajemen Bisnis</v>
      </c>
      <c r="L218" s="1" t="str">
        <f ca="1">IFERROR(__xludf.DUMMYFUNCTION("""COMPUTED_VALUE"""),"SALSABILLA PERMATA PUTRI")</f>
        <v>SALSABILLA PERMATA PUTRI</v>
      </c>
      <c r="M218" s="1" t="str">
        <f ca="1">IFERROR(__xludf.DUMMYFUNCTION("""COMPUTED_VALUE"""),"5031201011")</f>
        <v>5031201011</v>
      </c>
      <c r="N218" s="1" t="str">
        <f ca="1">IFERROR(__xludf.DUMMYFUNCTION("""COMPUTED_VALUE"""),"Departemen Manajemen Bisnis")</f>
        <v>Departemen Manajemen Bisnis</v>
      </c>
      <c r="O218" s="1" t="str">
        <f ca="1">IFERROR(__xludf.DUMMYFUNCTION("""COMPUTED_VALUE"""),"FARIDZ IZZA ROSADI")</f>
        <v>FARIDZ IZZA ROSADI</v>
      </c>
      <c r="P218" s="1" t="str">
        <f ca="1">IFERROR(__xludf.DUMMYFUNCTION("""COMPUTED_VALUE"""),"5031201077")</f>
        <v>5031201077</v>
      </c>
      <c r="Q218" s="1" t="str">
        <f ca="1">IFERROR(__xludf.DUMMYFUNCTION("""COMPUTED_VALUE"""),"Departemen Manajemen Bisnis")</f>
        <v>Departemen Manajemen Bisnis</v>
      </c>
      <c r="R218" s="1" t="str">
        <f ca="1">IFERROR(__xludf.DUMMYFUNCTION("""COMPUTED_VALUE"""),"IBRAHIM AL GHULAMAN ZAKIYYA")</f>
        <v>IBRAHIM AL GHULAMAN ZAKIYYA</v>
      </c>
      <c r="S218" s="1" t="str">
        <f ca="1">IFERROR(__xludf.DUMMYFUNCTION("""COMPUTED_VALUE"""),"5031201083")</f>
        <v>5031201083</v>
      </c>
      <c r="T218" s="1" t="str">
        <f ca="1">IFERROR(__xludf.DUMMYFUNCTION("""COMPUTED_VALUE"""),"Departemen Manajemen Bisnis")</f>
        <v>Departemen Manajemen Bisnis</v>
      </c>
      <c r="U218" s="1" t="str">
        <f ca="1">IFERROR(__xludf.DUMMYFUNCTION("""COMPUTED_VALUE"""),"MY Alief Samboro, S.T., M.Ds.")</f>
        <v>MY Alief Samboro, S.T., M.Ds.</v>
      </c>
      <c r="V218" s="1" t="str">
        <f ca="1">IFERROR(__xludf.DUMMYFUNCTION("""COMPUTED_VALUE"""),"R.Eka Rizkiantono, S.Sn, M.Ds")</f>
        <v>R.Eka Rizkiantono, S.Sn, M.Ds</v>
      </c>
      <c r="W218" s="1"/>
      <c r="X218" s="1" t="str">
        <f ca="1">IFERROR(__xludf.DUMMYFUNCTION("""COMPUTED_VALUE"""),"Lolos")</f>
        <v>Lolos</v>
      </c>
      <c r="Y218" s="1"/>
      <c r="Z218" s="1"/>
      <c r="AA218" s="1"/>
    </row>
    <row r="219" spans="1:27">
      <c r="A219" s="1" t="s">
        <v>216</v>
      </c>
      <c r="B219" s="1">
        <f ca="1">IFERROR(__xludf.DUMMYFUNCTION("""COMPUTED_VALUE"""),3003)</f>
        <v>3003</v>
      </c>
      <c r="C219" s="1" t="str">
        <f ca="1">IFERROR(__xludf.DUMMYFUNCTION("""COMPUTED_VALUE"""),"PKM Kewirausahaan")</f>
        <v>PKM Kewirausahaan</v>
      </c>
      <c r="D219" s="1" t="str">
        <f ca="1">IFERROR(__xludf.DUMMYFUNCTION("""COMPUTED_VALUE"""),"AcaraLancar: Marketplace Penyedia Jasa Kebutuhan Acara Berbasis Artificial Intelligence Sebagai Upaya Pemulihan Ekonomi Penyedia Jasa Kebutuhan Acara yang Terdampak Pandemi")</f>
        <v>AcaraLancar: Marketplace Penyedia Jasa Kebutuhan Acara Berbasis Artificial Intelligence Sebagai Upaya Pemulihan Ekonomi Penyedia Jasa Kebutuhan Acara yang Terdampak Pandemi</v>
      </c>
      <c r="E219" s="1" t="str">
        <f ca="1">IFERROR(__xludf.DUMMYFUNCTION("""COMPUTED_VALUE"""),"DAFA RIFQI FIRDIANTO")</f>
        <v>DAFA RIFQI FIRDIANTO</v>
      </c>
      <c r="F219" s="1" t="str">
        <f ca="1">IFERROR(__xludf.DUMMYFUNCTION("""COMPUTED_VALUE"""),"2043211060")</f>
        <v>2043211060</v>
      </c>
      <c r="G219" s="1" t="str">
        <f ca="1">IFERROR(__xludf.DUMMYFUNCTION("""COMPUTED_VALUE"""),"Departemen Statistika Bisnis")</f>
        <v>Departemen Statistika Bisnis</v>
      </c>
      <c r="H219" s="1" t="str">
        <f ca="1">IFERROR(__xludf.DUMMYFUNCTION("""COMPUTED_VALUE"""),"Siska Arifiani, S.Kom., M.Kom.")</f>
        <v>Siska Arifiani, S.Kom., M.Kom.</v>
      </c>
      <c r="I219" s="1" t="str">
        <f ca="1">IFERROR(__xludf.DUMMYFUNCTION("""COMPUTED_VALUE"""),"Aulia Zahra Rahmah")</f>
        <v>Aulia Zahra Rahmah</v>
      </c>
      <c r="J219" s="1" t="str">
        <f ca="1">IFERROR(__xludf.DUMMYFUNCTION("""COMPUTED_VALUE"""),"2043211089")</f>
        <v>2043211089</v>
      </c>
      <c r="K219" s="1" t="str">
        <f ca="1">IFERROR(__xludf.DUMMYFUNCTION("""COMPUTED_VALUE"""),"Departemen Statistika Bisnis")</f>
        <v>Departemen Statistika Bisnis</v>
      </c>
      <c r="L219" s="1" t="str">
        <f ca="1">IFERROR(__xludf.DUMMYFUNCTION("""COMPUTED_VALUE"""),"AMALIA ARINAL HAQ")</f>
        <v>AMALIA ARINAL HAQ</v>
      </c>
      <c r="M219" s="1" t="str">
        <f ca="1">IFERROR(__xludf.DUMMYFUNCTION("""COMPUTED_VALUE"""),"2043211061")</f>
        <v>2043211061</v>
      </c>
      <c r="N219" s="1" t="str">
        <f ca="1">IFERROR(__xludf.DUMMYFUNCTION("""COMPUTED_VALUE"""),"Departemen Statistika Bisnis")</f>
        <v>Departemen Statistika Bisnis</v>
      </c>
      <c r="O219" s="1" t="str">
        <f ca="1">IFERROR(__xludf.DUMMYFUNCTION("""COMPUTED_VALUE"""),"BENEDICTUS BIMO CAHYO WICAKSONO")</f>
        <v>BENEDICTUS BIMO CAHYO WICAKSONO</v>
      </c>
      <c r="P219" s="1" t="str">
        <f ca="1">IFERROR(__xludf.DUMMYFUNCTION("""COMPUTED_VALUE"""),"5025201097")</f>
        <v>5025201097</v>
      </c>
      <c r="Q219" s="1" t="str">
        <f ca="1">IFERROR(__xludf.DUMMYFUNCTION("""COMPUTED_VALUE"""),"Departemen Teknik Informatika")</f>
        <v>Departemen Teknik Informatika</v>
      </c>
      <c r="R219" s="1" t="str">
        <f ca="1">IFERROR(__xludf.DUMMYFUNCTION("""COMPUTED_VALUE"""),"FIAN AWAMIRY MAULANA")</f>
        <v>FIAN AWAMIRY MAULANA</v>
      </c>
      <c r="S219" s="1" t="str">
        <f ca="1">IFERROR(__xludf.DUMMYFUNCTION("""COMPUTED_VALUE"""),"5025201035")</f>
        <v>5025201035</v>
      </c>
      <c r="T219" s="1" t="str">
        <f ca="1">IFERROR(__xludf.DUMMYFUNCTION("""COMPUTED_VALUE"""),"Departemen Teknik Informatika")</f>
        <v>Departemen Teknik Informatika</v>
      </c>
      <c r="U219" s="1" t="str">
        <f ca="1">IFERROR(__xludf.DUMMYFUNCTION("""COMPUTED_VALUE"""),"Drs. Bandung Arry Sanjoyo, Mi.Komp.")</f>
        <v>Drs. Bandung Arry Sanjoyo, Mi.Komp.</v>
      </c>
      <c r="V219" s="1" t="str">
        <f ca="1">IFERROR(__xludf.DUMMYFUNCTION("""COMPUTED_VALUE"""),"Wibawati, S.Si., M.Si")</f>
        <v>Wibawati, S.Si., M.Si</v>
      </c>
      <c r="W219" s="1"/>
      <c r="X219" s="1" t="str">
        <f ca="1">IFERROR(__xludf.DUMMYFUNCTION("""COMPUTED_VALUE"""),"Lolos")</f>
        <v>Lolos</v>
      </c>
      <c r="Y219" s="1"/>
      <c r="Z219" s="1"/>
      <c r="AA219" s="1"/>
    </row>
    <row r="220" spans="1:27">
      <c r="A220" s="1" t="s">
        <v>217</v>
      </c>
      <c r="B220" s="1">
        <f ca="1">IFERROR(__xludf.DUMMYFUNCTION("""COMPUTED_VALUE"""),2877)</f>
        <v>2877</v>
      </c>
      <c r="C220" s="1" t="str">
        <f ca="1">IFERROR(__xludf.DUMMYFUNCTION("""COMPUTED_VALUE"""),"PKM Kewirausahaan")</f>
        <v>PKM Kewirausahaan</v>
      </c>
      <c r="D220" s="1" t="str">
        <f ca="1">IFERROR(__xludf.DUMMYFUNCTION("""COMPUTED_VALUE"""),"Jasa Teknisi Freelance Berbasis Aplikasi Guna Meningkatkan Digitalisasi Di Indonesia")</f>
        <v>Jasa Teknisi Freelance Berbasis Aplikasi Guna Meningkatkan Digitalisasi Di Indonesia</v>
      </c>
      <c r="E220" s="1" t="str">
        <f ca="1">IFERROR(__xludf.DUMMYFUNCTION("""COMPUTED_VALUE"""),"GILANG ARDIANSYAH")</f>
        <v>GILANG ARDIANSYAH</v>
      </c>
      <c r="F220" s="1" t="str">
        <f ca="1">IFERROR(__xludf.DUMMYFUNCTION("""COMPUTED_VALUE"""),"10511910000001")</f>
        <v>10511910000001</v>
      </c>
      <c r="G220" s="1" t="str">
        <f ca="1">IFERROR(__xludf.DUMMYFUNCTION("""COMPUTED_VALUE"""),"Departemen Teknik Instrumentasi")</f>
        <v>Departemen Teknik Instrumentasi</v>
      </c>
      <c r="H220" s="1" t="str">
        <f ca="1">IFERROR(__xludf.DUMMYFUNCTION("""COMPUTED_VALUE"""),"Safira Firdaus Mujiyanti, S.T., M.T.")</f>
        <v>Safira Firdaus Mujiyanti, S.T., M.T.</v>
      </c>
      <c r="I220" s="1" t="str">
        <f ca="1">IFERROR(__xludf.DUMMYFUNCTION("""COMPUTED_VALUE"""),"ANNISA DYAH CAHYANING NUGRAHA")</f>
        <v>ANNISA DYAH CAHYANING NUGRAHA</v>
      </c>
      <c r="J220" s="1" t="str">
        <f ca="1">IFERROR(__xludf.DUMMYFUNCTION("""COMPUTED_VALUE"""),"10511910000027")</f>
        <v>10511910000027</v>
      </c>
      <c r="K220" s="1" t="str">
        <f ca="1">IFERROR(__xludf.DUMMYFUNCTION("""COMPUTED_VALUE"""),"Departemen Teknik Instrumentasi")</f>
        <v>Departemen Teknik Instrumentasi</v>
      </c>
      <c r="L220" s="1" t="str">
        <f ca="1">IFERROR(__xludf.DUMMYFUNCTION("""COMPUTED_VALUE"""),"DEVI RORO SAFITRI")</f>
        <v>DEVI RORO SAFITRI</v>
      </c>
      <c r="M220" s="1" t="str">
        <f ca="1">IFERROR(__xludf.DUMMYFUNCTION("""COMPUTED_VALUE"""),"10511910000049")</f>
        <v>10511910000049</v>
      </c>
      <c r="N220" s="1" t="str">
        <f ca="1">IFERROR(__xludf.DUMMYFUNCTION("""COMPUTED_VALUE"""),"Departemen Teknik Instrumentasi")</f>
        <v>Departemen Teknik Instrumentasi</v>
      </c>
      <c r="O220" s="1" t="str">
        <f ca="1">IFERROR(__xludf.DUMMYFUNCTION("""COMPUTED_VALUE"""),"DYAH AYU RETNO WINARNI WIDODO")</f>
        <v>DYAH AYU RETNO WINARNI WIDODO</v>
      </c>
      <c r="P220" s="1" t="str">
        <f ca="1">IFERROR(__xludf.DUMMYFUNCTION("""COMPUTED_VALUE"""),"10511910000053")</f>
        <v>10511910000053</v>
      </c>
      <c r="Q220" s="1" t="str">
        <f ca="1">IFERROR(__xludf.DUMMYFUNCTION("""COMPUTED_VALUE"""),"Departemen Teknik Instrumentasi")</f>
        <v>Departemen Teknik Instrumentasi</v>
      </c>
      <c r="R220" s="1"/>
      <c r="S220" s="1"/>
      <c r="T220" s="1"/>
      <c r="U220" s="1" t="str">
        <f ca="1">IFERROR(__xludf.DUMMYFUNCTION("""COMPUTED_VALUE"""),"Drs. Bandung Arry Sanjoyo, Mi.Komp.")</f>
        <v>Drs. Bandung Arry Sanjoyo, Mi.Komp.</v>
      </c>
      <c r="V220" s="1" t="str">
        <f ca="1">IFERROR(__xludf.DUMMYFUNCTION("""COMPUTED_VALUE"""),"Wibawati, S.Si., M.Si")</f>
        <v>Wibawati, S.Si., M.Si</v>
      </c>
      <c r="W220" s="1"/>
      <c r="X220" s="1" t="str">
        <f ca="1">IFERROR(__xludf.DUMMYFUNCTION("""COMPUTED_VALUE"""),"Karantina")</f>
        <v>Karantina</v>
      </c>
      <c r="Y220" s="1"/>
      <c r="Z220" s="1"/>
      <c r="AA220" s="1"/>
    </row>
    <row r="221" spans="1:27">
      <c r="A221" s="1" t="s">
        <v>218</v>
      </c>
      <c r="B221" s="1">
        <f ca="1">IFERROR(__xludf.DUMMYFUNCTION("""COMPUTED_VALUE"""),2680)</f>
        <v>2680</v>
      </c>
      <c r="C221" s="1" t="str">
        <f ca="1">IFERROR(__xludf.DUMMYFUNCTION("""COMPUTED_VALUE"""),"PKM Kewirausahaan")</f>
        <v>PKM Kewirausahaan</v>
      </c>
      <c r="D221" s="1" t="str">
        <f ca="1">IFERROR(__xludf.DUMMYFUNCTION("""COMPUTED_VALUE"""),"Mindsight : Platform layanan psikologi online dan Pengembangan diri
")</f>
        <v xml:space="preserve">Mindsight : Platform layanan psikologi online dan Pengembangan diri
</v>
      </c>
      <c r="E221" s="1" t="str">
        <f ca="1">IFERROR(__xludf.DUMMYFUNCTION("""COMPUTED_VALUE"""),"YANUAR SYAEFULLOH")</f>
        <v>YANUAR SYAEFULLOH</v>
      </c>
      <c r="F221" s="1" t="str">
        <f ca="1">IFERROR(__xludf.DUMMYFUNCTION("""COMPUTED_VALUE"""),"5014201078")</f>
        <v>5014201078</v>
      </c>
      <c r="G221" s="1" t="str">
        <f ca="1">IFERROR(__xludf.DUMMYFUNCTION("""COMPUTED_VALUE"""),"Departemen Teknik Lingkungan")</f>
        <v>Departemen Teknik Lingkungan</v>
      </c>
      <c r="H221" s="1" t="str">
        <f ca="1">IFERROR(__xludf.DUMMYFUNCTION("""COMPUTED_VALUE"""),"Ainul Firdatun Nisaa, S.T., M.Sc.")</f>
        <v>Ainul Firdatun Nisaa, S.T., M.Sc.</v>
      </c>
      <c r="I221" s="1" t="str">
        <f ca="1">IFERROR(__xludf.DUMMYFUNCTION("""COMPUTED_VALUE"""),"DEBORA SABRINA BR SILITONGA")</f>
        <v>DEBORA SABRINA BR SILITONGA</v>
      </c>
      <c r="J221" s="1" t="str">
        <f ca="1">IFERROR(__xludf.DUMMYFUNCTION("""COMPUTED_VALUE"""),"5006201108")</f>
        <v>5006201108</v>
      </c>
      <c r="K221" s="1" t="str">
        <f ca="1">IFERROR(__xludf.DUMMYFUNCTION("""COMPUTED_VALUE"""),"Departemen Aktuaria")</f>
        <v>Departemen Aktuaria</v>
      </c>
      <c r="L221" s="1" t="str">
        <f ca="1">IFERROR(__xludf.DUMMYFUNCTION("""COMPUTED_VALUE"""),"PUTRI REGINA SUHARTONO")</f>
        <v>PUTRI REGINA SUHARTONO</v>
      </c>
      <c r="M221" s="1" t="str">
        <f ca="1">IFERROR(__xludf.DUMMYFUNCTION("""COMPUTED_VALUE"""),"5006201009")</f>
        <v>5006201009</v>
      </c>
      <c r="N221" s="1" t="str">
        <f ca="1">IFERROR(__xludf.DUMMYFUNCTION("""COMPUTED_VALUE"""),"Departemen Aktuaria")</f>
        <v>Departemen Aktuaria</v>
      </c>
      <c r="O221" s="1" t="str">
        <f ca="1">IFERROR(__xludf.DUMMYFUNCTION("""COMPUTED_VALUE"""),"NADIA DEVI PANCARANTI")</f>
        <v>NADIA DEVI PANCARANTI</v>
      </c>
      <c r="P221" s="1" t="str">
        <f ca="1">IFERROR(__xludf.DUMMYFUNCTION("""COMPUTED_VALUE"""),"5013201014")</f>
        <v>5013201014</v>
      </c>
      <c r="Q221" s="1" t="str">
        <f ca="1">IFERROR(__xludf.DUMMYFUNCTION("""COMPUTED_VALUE"""),"Departemen Arsitektur")</f>
        <v>Departemen Arsitektur</v>
      </c>
      <c r="R221" s="1" t="str">
        <f ca="1">IFERROR(__xludf.DUMMYFUNCTION("""COMPUTED_VALUE"""),"SINGGIH ARDIANSYAH")</f>
        <v>SINGGIH ARDIANSYAH</v>
      </c>
      <c r="S221" s="1" t="str">
        <f ca="1">IFERROR(__xludf.DUMMYFUNCTION("""COMPUTED_VALUE"""),"5024201015")</f>
        <v>5024201015</v>
      </c>
      <c r="T221" s="1" t="str">
        <f ca="1">IFERROR(__xludf.DUMMYFUNCTION("""COMPUTED_VALUE"""),"Departemen Teknik Komputer")</f>
        <v>Departemen Teknik Komputer</v>
      </c>
      <c r="U221" s="1" t="str">
        <f ca="1">IFERROR(__xludf.DUMMYFUNCTION("""COMPUTED_VALUE"""),"Dr. Adithya Sudiarno, S.T., M.T.")</f>
        <v>Dr. Adithya Sudiarno, S.T., M.T.</v>
      </c>
      <c r="V221" s="1" t="str">
        <f ca="1">IFERROR(__xludf.DUMMYFUNCTION("""COMPUTED_VALUE"""),"Bahalwan Apriyansyah, S.T., MBA.")</f>
        <v>Bahalwan Apriyansyah, S.T., MBA.</v>
      </c>
      <c r="W221" s="1"/>
      <c r="X221" s="1" t="str">
        <f ca="1">IFERROR(__xludf.DUMMYFUNCTION("""COMPUTED_VALUE"""),"Karantina")</f>
        <v>Karantina</v>
      </c>
      <c r="Y221" s="1"/>
      <c r="Z221" s="1"/>
      <c r="AA221" s="1"/>
    </row>
    <row r="222" spans="1:27">
      <c r="A222" s="1" t="s">
        <v>219</v>
      </c>
      <c r="B222" s="1">
        <f ca="1">IFERROR(__xludf.DUMMYFUNCTION("""COMPUTED_VALUE"""),2208)</f>
        <v>2208</v>
      </c>
      <c r="C222" s="1" t="str">
        <f ca="1">IFERROR(__xludf.DUMMYFUNCTION("""COMPUTED_VALUE"""),"PKM Kewirausahaan")</f>
        <v>PKM Kewirausahaan</v>
      </c>
      <c r="D222" s="1" t="str">
        <f ca="1">IFERROR(__xludf.DUMMYFUNCTION("""COMPUTED_VALUE"""),"Aplikasi Digital Peternak Dengan Layanan 4E (Educate, E-Consul, E-Market, E-Investor) Sebagai Upaya Memberdayakan Peternak Indonesia Guna Mewujudkan Swasembada Daging Nasional.")</f>
        <v>Aplikasi Digital Peternak Dengan Layanan 4E (Educate, E-Consul, E-Market, E-Investor) Sebagai Upaya Memberdayakan Peternak Indonesia Guna Mewujudkan Swasembada Daging Nasional.</v>
      </c>
      <c r="E222" s="1" t="str">
        <f ca="1">IFERROR(__xludf.DUMMYFUNCTION("""COMPUTED_VALUE"""),"Iswatun Khasanah")</f>
        <v>Iswatun Khasanah</v>
      </c>
      <c r="F222" s="1" t="str">
        <f ca="1">IFERROR(__xludf.DUMMYFUNCTION("""COMPUTED_VALUE"""),"09111940000028")</f>
        <v>09111940000028</v>
      </c>
      <c r="G222" s="1" t="str">
        <f ca="1">IFERROR(__xludf.DUMMYFUNCTION("""COMPUTED_VALUE"""),"Departemen Manajemen Bisnis")</f>
        <v>Departemen Manajemen Bisnis</v>
      </c>
      <c r="H222" s="1" t="str">
        <f ca="1">IFERROR(__xludf.DUMMYFUNCTION("""COMPUTED_VALUE"""),"Bahalwan Apriyansyah, S.T., MBA.")</f>
        <v>Bahalwan Apriyansyah, S.T., MBA.</v>
      </c>
      <c r="I222" s="1" t="str">
        <f ca="1">IFERROR(__xludf.DUMMYFUNCTION("""COMPUTED_VALUE"""),"Dian Nur Faizzah")</f>
        <v>Dian Nur Faizzah</v>
      </c>
      <c r="J222" s="1" t="str">
        <f ca="1">IFERROR(__xludf.DUMMYFUNCTION("""COMPUTED_VALUE"""),"07111940000066")</f>
        <v>07111940000066</v>
      </c>
      <c r="K222" s="1" t="str">
        <f ca="1">IFERROR(__xludf.DUMMYFUNCTION("""COMPUTED_VALUE"""),"Departemen Teknik Elektro")</f>
        <v>Departemen Teknik Elektro</v>
      </c>
      <c r="L222" s="1" t="str">
        <f ca="1">IFERROR(__xludf.DUMMYFUNCTION("""COMPUTED_VALUE"""),"Widya Inayatul Luthfiyah")</f>
        <v>Widya Inayatul Luthfiyah</v>
      </c>
      <c r="M222" s="1" t="str">
        <f ca="1">IFERROR(__xludf.DUMMYFUNCTION("""COMPUTED_VALUE"""),"05311940000010")</f>
        <v>05311940000010</v>
      </c>
      <c r="N222" s="1" t="str">
        <f ca="1">IFERROR(__xludf.DUMMYFUNCTION("""COMPUTED_VALUE"""),"Departemen Teknologi Informasi")</f>
        <v>Departemen Teknologi Informasi</v>
      </c>
      <c r="O222" s="1" t="str">
        <f ca="1">IFERROR(__xludf.DUMMYFUNCTION("""COMPUTED_VALUE"""),"Cory Rafsyanyani")</f>
        <v>Cory Rafsyanyani</v>
      </c>
      <c r="P222" s="1" t="str">
        <f ca="1">IFERROR(__xludf.DUMMYFUNCTION("""COMPUTED_VALUE"""),"01311940000006")</f>
        <v>01311940000006</v>
      </c>
      <c r="Q222" s="1" t="str">
        <f ca="1">IFERROR(__xludf.DUMMYFUNCTION("""COMPUTED_VALUE"""),"Departemen Biologi")</f>
        <v>Departemen Biologi</v>
      </c>
      <c r="R222" s="1" t="str">
        <f ca="1">IFERROR(__xludf.DUMMYFUNCTION("""COMPUTED_VALUE"""),"EFRA SARIYUNARDI")</f>
        <v>EFRA SARIYUNARDI</v>
      </c>
      <c r="S222" s="1" t="str">
        <f ca="1">IFERROR(__xludf.DUMMYFUNCTION("""COMPUTED_VALUE"""),"5008201145")</f>
        <v>5008201145</v>
      </c>
      <c r="T222" s="1" t="str">
        <f ca="1">IFERROR(__xludf.DUMMYFUNCTION("""COMPUTED_VALUE"""),"Departemen Teknik Kimia")</f>
        <v>Departemen Teknik Kimia</v>
      </c>
      <c r="U222" s="1" t="str">
        <f ca="1">IFERROR(__xludf.DUMMYFUNCTION("""COMPUTED_VALUE"""),"MY Alief Samboro, S.T., M.Ds.")</f>
        <v>MY Alief Samboro, S.T., M.Ds.</v>
      </c>
      <c r="V222" s="1" t="str">
        <f ca="1">IFERROR(__xludf.DUMMYFUNCTION("""COMPUTED_VALUE"""),"Mahardika F. Rois, S.T, M.T")</f>
        <v>Mahardika F. Rois, S.T, M.T</v>
      </c>
      <c r="W222" s="1"/>
      <c r="X222" s="1" t="str">
        <f ca="1">IFERROR(__xludf.DUMMYFUNCTION("""COMPUTED_VALUE"""),"Karantina")</f>
        <v>Karantina</v>
      </c>
      <c r="Y222" s="1"/>
      <c r="Z222" s="1"/>
      <c r="AA222" s="1"/>
    </row>
    <row r="223" spans="1:27">
      <c r="A223" s="1" t="s">
        <v>220</v>
      </c>
      <c r="B223" s="1">
        <f ca="1">IFERROR(__xludf.DUMMYFUNCTION("""COMPUTED_VALUE"""),3959)</f>
        <v>3959</v>
      </c>
      <c r="C223" s="1" t="str">
        <f ca="1">IFERROR(__xludf.DUMMYFUNCTION("""COMPUTED_VALUE"""),"PKM Kewirausahaan")</f>
        <v>PKM Kewirausahaan</v>
      </c>
      <c r="D223" s="1" t="str">
        <f ca="1">IFERROR(__xludf.DUMMYFUNCTION("""COMPUTED_VALUE"""),"Inovasi pembuatan hand sanitizer dari gel lidah buaya (aloe vera) dan jeruk nipis (citrus x aurantiifolia)")</f>
        <v>Inovasi pembuatan hand sanitizer dari gel lidah buaya (aloe vera) dan jeruk nipis (citrus x aurantiifolia)</v>
      </c>
      <c r="E223" s="1" t="str">
        <f ca="1">IFERROR(__xludf.DUMMYFUNCTION("""COMPUTED_VALUE"""),"RHEINA NURHALIZA")</f>
        <v>RHEINA NURHALIZA</v>
      </c>
      <c r="F223" s="1" t="str">
        <f ca="1">IFERROR(__xludf.DUMMYFUNCTION("""COMPUTED_VALUE"""),"5005211100")</f>
        <v>5005211100</v>
      </c>
      <c r="G223" s="1" t="str">
        <f ca="1">IFERROR(__xludf.DUMMYFUNCTION("""COMPUTED_VALUE"""),"Departemen Biologi")</f>
        <v>Departemen Biologi</v>
      </c>
      <c r="H223" s="1" t="str">
        <f ca="1">IFERROR(__xludf.DUMMYFUNCTION("""COMPUTED_VALUE"""),"Kristanti Indah Purwani, S.Si., M.Si.")</f>
        <v>Kristanti Indah Purwani, S.Si., M.Si.</v>
      </c>
      <c r="I223" s="1" t="str">
        <f ca="1">IFERROR(__xludf.DUMMYFUNCTION("""COMPUTED_VALUE"""),"GHAMMA GHOIZANI IZAS")</f>
        <v>GHAMMA GHOIZANI IZAS</v>
      </c>
      <c r="J223" s="1" t="str">
        <f ca="1">IFERROR(__xludf.DUMMYFUNCTION("""COMPUTED_VALUE"""),"5005211103")</f>
        <v>5005211103</v>
      </c>
      <c r="K223" s="1" t="str">
        <f ca="1">IFERROR(__xludf.DUMMYFUNCTION("""COMPUTED_VALUE"""),"Departemen Biologi")</f>
        <v>Departemen Biologi</v>
      </c>
      <c r="L223" s="1" t="str">
        <f ca="1">IFERROR(__xludf.DUMMYFUNCTION("""COMPUTED_VALUE"""),"MARIFA NISA AZZAHRO")</f>
        <v>MARIFA NISA AZZAHRO</v>
      </c>
      <c r="M223" s="1" t="str">
        <f ca="1">IFERROR(__xludf.DUMMYFUNCTION("""COMPUTED_VALUE"""),"5005211057")</f>
        <v>5005211057</v>
      </c>
      <c r="N223" s="1" t="str">
        <f ca="1">IFERROR(__xludf.DUMMYFUNCTION("""COMPUTED_VALUE"""),"Departemen Biologi")</f>
        <v>Departemen Biologi</v>
      </c>
      <c r="O223" s="1" t="str">
        <f ca="1">IFERROR(__xludf.DUMMYFUNCTION("""COMPUTED_VALUE"""),"Nanda Putri Siyami")</f>
        <v>Nanda Putri Siyami</v>
      </c>
      <c r="P223" s="1" t="str">
        <f ca="1">IFERROR(__xludf.DUMMYFUNCTION("""COMPUTED_VALUE"""),"2036211048")</f>
        <v>2036211048</v>
      </c>
      <c r="Q223" s="1" t="str">
        <f ca="1">IFERROR(__xludf.DUMMYFUNCTION("""COMPUTED_VALUE"""),"Departemen Teknik Infrastruktur Sipil")</f>
        <v>Departemen Teknik Infrastruktur Sipil</v>
      </c>
      <c r="R223" s="1" t="str">
        <f ca="1">IFERROR(__xludf.DUMMYFUNCTION("""COMPUTED_VALUE"""),"M. RIZKI AKBAR")</f>
        <v>M. RIZKI AKBAR</v>
      </c>
      <c r="S223" s="1" t="str">
        <f ca="1">IFERROR(__xludf.DUMMYFUNCTION("""COMPUTED_VALUE"""),"5009211128")</f>
        <v>5009211128</v>
      </c>
      <c r="T223" s="1" t="str">
        <f ca="1">IFERROR(__xludf.DUMMYFUNCTION("""COMPUTED_VALUE"""),"Departemen Teknik Fisika")</f>
        <v>Departemen Teknik Fisika</v>
      </c>
      <c r="U223" s="1" t="str">
        <f ca="1">IFERROR(__xludf.DUMMYFUNCTION("""COMPUTED_VALUE"""),"Drs. Bandung Arry Sanjoyo, Mi.Komp.")</f>
        <v>Drs. Bandung Arry Sanjoyo, Mi.Komp.</v>
      </c>
      <c r="V223" s="1" t="str">
        <f ca="1">IFERROR(__xludf.DUMMYFUNCTION("""COMPUTED_VALUE"""),"Moh. Singgih Purwanto, S.Si., M.T")</f>
        <v>Moh. Singgih Purwanto, S.Si., M.T</v>
      </c>
      <c r="W223" s="1"/>
      <c r="X223" s="1" t="str">
        <f ca="1">IFERROR(__xludf.DUMMYFUNCTION("""COMPUTED_VALUE"""),"Karantina")</f>
        <v>Karantina</v>
      </c>
      <c r="Y223" s="1"/>
      <c r="Z223" s="1"/>
      <c r="AA223" s="1"/>
    </row>
    <row r="224" spans="1:27">
      <c r="A224" s="1" t="s">
        <v>221</v>
      </c>
      <c r="B224" s="1">
        <f ca="1">IFERROR(__xludf.DUMMYFUNCTION("""COMPUTED_VALUE"""),3033)</f>
        <v>3033</v>
      </c>
      <c r="C224" s="1" t="str">
        <f ca="1">IFERROR(__xludf.DUMMYFUNCTION("""COMPUTED_VALUE"""),"PKM Kewirausahaan")</f>
        <v>PKM Kewirausahaan</v>
      </c>
      <c r="D224" s="1" t="str">
        <f ca="1">IFERROR(__xludf.DUMMYFUNCTION("""COMPUTED_VALUE"""),"""Infacare : Inovasi Bisnis Digital Sebagai One Stop Solution Permasalahan Stunting di Indonesia """)</f>
        <v>"Infacare : Inovasi Bisnis Digital Sebagai One Stop Solution Permasalahan Stunting di Indonesia "</v>
      </c>
      <c r="E224" s="1" t="str">
        <f ca="1">IFERROR(__xludf.DUMMYFUNCTION("""COMPUTED_VALUE"""),"Nabil Tsabitul Azmi")</f>
        <v>Nabil Tsabitul Azmi</v>
      </c>
      <c r="F224" s="1" t="str">
        <f ca="1">IFERROR(__xludf.DUMMYFUNCTION("""COMPUTED_VALUE"""),"5010211007")</f>
        <v>5010211007</v>
      </c>
      <c r="G224" s="1" t="str">
        <f ca="1">IFERROR(__xludf.DUMMYFUNCTION("""COMPUTED_VALUE"""),"Departemen Teknik Sistem dan Industri")</f>
        <v>Departemen Teknik Sistem dan Industri</v>
      </c>
      <c r="H224" s="1" t="str">
        <f ca="1">IFERROR(__xludf.DUMMYFUNCTION("""COMPUTED_VALUE"""),"Atikah Aghdhi Pratiwi, S.T., M.T.")</f>
        <v>Atikah Aghdhi Pratiwi, S.T., M.T.</v>
      </c>
      <c r="I224" s="1" t="str">
        <f ca="1">IFERROR(__xludf.DUMMYFUNCTION("""COMPUTED_VALUE"""),"Adi Wira Pratama")</f>
        <v>Adi Wira Pratama</v>
      </c>
      <c r="J224" s="1" t="str">
        <f ca="1">IFERROR(__xludf.DUMMYFUNCTION("""COMPUTED_VALUE"""),"5010211058")</f>
        <v>5010211058</v>
      </c>
      <c r="K224" s="1" t="str">
        <f ca="1">IFERROR(__xludf.DUMMYFUNCTION("""COMPUTED_VALUE"""),"Departemen Teknik Sistem dan Industri")</f>
        <v>Departemen Teknik Sistem dan Industri</v>
      </c>
      <c r="L224" s="1" t="str">
        <f ca="1">IFERROR(__xludf.DUMMYFUNCTION("""COMPUTED_VALUE"""),"Irvan Suryo Negoro")</f>
        <v>Irvan Suryo Negoro</v>
      </c>
      <c r="M224" s="1" t="str">
        <f ca="1">IFERROR(__xludf.DUMMYFUNCTION("""COMPUTED_VALUE"""),"5010211052")</f>
        <v>5010211052</v>
      </c>
      <c r="N224" s="1" t="str">
        <f ca="1">IFERROR(__xludf.DUMMYFUNCTION("""COMPUTED_VALUE"""),"Departemen Teknik Sistem dan Industri")</f>
        <v>Departemen Teknik Sistem dan Industri</v>
      </c>
      <c r="O224" s="1" t="str">
        <f ca="1">IFERROR(__xludf.DUMMYFUNCTION("""COMPUTED_VALUE"""),"Salsabila Putri N")</f>
        <v>Salsabila Putri N</v>
      </c>
      <c r="P224" s="1" t="str">
        <f ca="1">IFERROR(__xludf.DUMMYFUNCTION("""COMPUTED_VALUE"""),"5010211151")</f>
        <v>5010211151</v>
      </c>
      <c r="Q224" s="1" t="str">
        <f ca="1">IFERROR(__xludf.DUMMYFUNCTION("""COMPUTED_VALUE"""),"Departemen Teknik Sistem dan Industri")</f>
        <v>Departemen Teknik Sistem dan Industri</v>
      </c>
      <c r="R224" s="1"/>
      <c r="S224" s="1"/>
      <c r="T224" s="1"/>
      <c r="U224" s="1" t="str">
        <f ca="1">IFERROR(__xludf.DUMMYFUNCTION("""COMPUTED_VALUE"""),"Drs. Bandung Arry Sanjoyo, Mi.Komp.")</f>
        <v>Drs. Bandung Arry Sanjoyo, Mi.Komp.</v>
      </c>
      <c r="V224" s="1" t="str">
        <f ca="1">IFERROR(__xludf.DUMMYFUNCTION("""COMPUTED_VALUE"""),"Wibawati, S.Si., M.Si")</f>
        <v>Wibawati, S.Si., M.Si</v>
      </c>
      <c r="W224" s="1"/>
      <c r="X224" s="1" t="str">
        <f ca="1">IFERROR(__xludf.DUMMYFUNCTION("""COMPUTED_VALUE"""),"Karantina")</f>
        <v>Karantina</v>
      </c>
      <c r="Y224" s="1"/>
      <c r="Z224" s="1"/>
      <c r="AA224" s="1"/>
    </row>
    <row r="225" spans="1:27">
      <c r="A225" s="1" t="s">
        <v>222</v>
      </c>
      <c r="B225" s="1">
        <f ca="1">IFERROR(__xludf.DUMMYFUNCTION("""COMPUTED_VALUE"""),3765)</f>
        <v>3765</v>
      </c>
      <c r="C225" s="1" t="str">
        <f ca="1">IFERROR(__xludf.DUMMYFUNCTION("""COMPUTED_VALUE"""),"PKM Karya Inovatif")</f>
        <v>PKM Karya Inovatif</v>
      </c>
      <c r="D225" s="1" t="str">
        <f ca="1">IFERROR(__xludf.DUMMYFUNCTION("""COMPUTED_VALUE"""),"RENEW TECH ALAT DEWATERING BERBASIS MIKROKONTROLER, ARTIFICIAL INTELLIGENCE, DAN FUZZY LOGIC SEBAGAI SOLUSI PENINGKATAN MUTU MADU")</f>
        <v>RENEW TECH ALAT DEWATERING BERBASIS MIKROKONTROLER, ARTIFICIAL INTELLIGENCE, DAN FUZZY LOGIC SEBAGAI SOLUSI PENINGKATAN MUTU MADU</v>
      </c>
      <c r="E225" s="1" t="str">
        <f ca="1">IFERROR(__xludf.DUMMYFUNCTION("""COMPUTED_VALUE"""),"RAFIF WIRARESWARA")</f>
        <v>RAFIF WIRARESWARA</v>
      </c>
      <c r="F225" s="1" t="str">
        <f ca="1">IFERROR(__xludf.DUMMYFUNCTION("""COMPUTED_VALUE"""),"02111940000207")</f>
        <v>02111940000207</v>
      </c>
      <c r="G225" s="1" t="str">
        <f ca="1">IFERROR(__xludf.DUMMYFUNCTION("""COMPUTED_VALUE"""),"Departemen Teknik Mesin")</f>
        <v>Departemen Teknik Mesin</v>
      </c>
      <c r="H225" s="1" t="str">
        <f ca="1">IFERROR(__xludf.DUMMYFUNCTION("""COMPUTED_VALUE"""),"Mohammad Khoirul Effendi, S.T., M.Sc.Eng., Ph.D.")</f>
        <v>Mohammad Khoirul Effendi, S.T., M.Sc.Eng., Ph.D.</v>
      </c>
      <c r="I225" s="1" t="str">
        <f ca="1">IFERROR(__xludf.DUMMYFUNCTION("""COMPUTED_VALUE"""),"Muhammad Syarif Hidayatullah")</f>
        <v>Muhammad Syarif Hidayatullah</v>
      </c>
      <c r="J225" s="1" t="str">
        <f ca="1">IFERROR(__xludf.DUMMYFUNCTION("""COMPUTED_VALUE"""),"02111840000057")</f>
        <v>02111840000057</v>
      </c>
      <c r="K225" s="1" t="str">
        <f ca="1">IFERROR(__xludf.DUMMYFUNCTION("""COMPUTED_VALUE"""),"Departemen Teknik Mesin")</f>
        <v>Departemen Teknik Mesin</v>
      </c>
      <c r="L225" s="1" t="str">
        <f ca="1">IFERROR(__xludf.DUMMYFUNCTION("""COMPUTED_VALUE"""),"Indira Yudha Wisnubaskara")</f>
        <v>Indira Yudha Wisnubaskara</v>
      </c>
      <c r="M225" s="1" t="str">
        <f ca="1">IFERROR(__xludf.DUMMYFUNCTION("""COMPUTED_VALUE"""),"02111940000057")</f>
        <v>02111940000057</v>
      </c>
      <c r="N225" s="1" t="str">
        <f ca="1">IFERROR(__xludf.DUMMYFUNCTION("""COMPUTED_VALUE"""),"Departemen Teknik Mesin")</f>
        <v>Departemen Teknik Mesin</v>
      </c>
      <c r="O225" s="1" t="str">
        <f ca="1">IFERROR(__xludf.DUMMYFUNCTION("""COMPUTED_VALUE"""),"MUHAMMAD FAUZAN")</f>
        <v>MUHAMMAD FAUZAN</v>
      </c>
      <c r="P225" s="1" t="str">
        <f ca="1">IFERROR(__xludf.DUMMYFUNCTION("""COMPUTED_VALUE"""),"02111940000160")</f>
        <v>02111940000160</v>
      </c>
      <c r="Q225" s="1" t="str">
        <f ca="1">IFERROR(__xludf.DUMMYFUNCTION("""COMPUTED_VALUE"""),"Departemen Teknik Mesin")</f>
        <v>Departemen Teknik Mesin</v>
      </c>
      <c r="R225" s="1" t="str">
        <f ca="1">IFERROR(__xludf.DUMMYFUNCTION("""COMPUTED_VALUE"""),"Fadl Sadiq Darwis")</f>
        <v>Fadl Sadiq Darwis</v>
      </c>
      <c r="S225" s="1" t="str">
        <f ca="1">IFERROR(__xludf.DUMMYFUNCTION("""COMPUTED_VALUE"""),"02111940000027")</f>
        <v>02111940000027</v>
      </c>
      <c r="T225" s="1" t="str">
        <f ca="1">IFERROR(__xludf.DUMMYFUNCTION("""COMPUTED_VALUE"""),"Departemen Teknik Mesin")</f>
        <v>Departemen Teknik Mesin</v>
      </c>
      <c r="U225" s="1" t="str">
        <f ca="1">IFERROR(__xludf.DUMMYFUNCTION("""COMPUTED_VALUE"""),"Andre Parvian Aristio, S.Kom., M.Sc.")</f>
        <v>Andre Parvian Aristio, S.Kom., M.Sc.</v>
      </c>
      <c r="V225" s="1" t="str">
        <f ca="1">IFERROR(__xludf.DUMMYFUNCTION("""COMPUTED_VALUE"""),"Azzah Dyah Pramata, S.T., M.T., M.Eng., Ph.D.")</f>
        <v>Azzah Dyah Pramata, S.T., M.T., M.Eng., Ph.D.</v>
      </c>
      <c r="W225" s="1" t="str">
        <f ca="1">IFERROR(__xludf.DUMMYFUNCTION("""COMPUTED_VALUE"""),"Arief Abdurrakhman, S.T., M.T.")</f>
        <v>Arief Abdurrakhman, S.T., M.T.</v>
      </c>
      <c r="X225" s="1" t="str">
        <f ca="1">IFERROR(__xludf.DUMMYFUNCTION("""COMPUTED_VALUE"""),"Lolos")</f>
        <v>Lolos</v>
      </c>
      <c r="Y225" s="1"/>
      <c r="Z225" s="1"/>
      <c r="AA225" s="1"/>
    </row>
    <row r="226" spans="1:27">
      <c r="A226" s="1" t="s">
        <v>223</v>
      </c>
      <c r="B226" s="1">
        <f ca="1">IFERROR(__xludf.DUMMYFUNCTION("""COMPUTED_VALUE"""),3045)</f>
        <v>3045</v>
      </c>
      <c r="C226" s="1" t="str">
        <f ca="1">IFERROR(__xludf.DUMMYFUNCTION("""COMPUTED_VALUE"""),"PKM Karya Inovatif")</f>
        <v>PKM Karya Inovatif</v>
      </c>
      <c r="D226" s="1" t="str">
        <f ca="1">IFERROR(__xludf.DUMMYFUNCTION("""COMPUTED_VALUE"""),"Key-Box : Sistem Kotak Penerima Paket Terintegrasi IoT dan Security System dalam Mendukung Smart Home")</f>
        <v>Key-Box : Sistem Kotak Penerima Paket Terintegrasi IoT dan Security System dalam Mendukung Smart Home</v>
      </c>
      <c r="E226" s="1" t="str">
        <f ca="1">IFERROR(__xludf.DUMMYFUNCTION("""COMPUTED_VALUE"""),"Mochammad Dwi Putra Sufandi")</f>
        <v>Mochammad Dwi Putra Sufandi</v>
      </c>
      <c r="F226" s="1" t="str">
        <f ca="1">IFERROR(__xludf.DUMMYFUNCTION("""COMPUTED_VALUE"""),"01111940000021")</f>
        <v>01111940000021</v>
      </c>
      <c r="G226" s="1" t="str">
        <f ca="1">IFERROR(__xludf.DUMMYFUNCTION("""COMPUTED_VALUE"""),"Departemen Fisika")</f>
        <v>Departemen Fisika</v>
      </c>
      <c r="H226" s="1" t="str">
        <f ca="1">IFERROR(__xludf.DUMMYFUNCTION("""COMPUTED_VALUE"""),"Dr. Suyatno, S.Si., M.Si.")</f>
        <v>Dr. Suyatno, S.Si., M.Si.</v>
      </c>
      <c r="I226" s="1" t="str">
        <f ca="1">IFERROR(__xludf.DUMMYFUNCTION("""COMPUTED_VALUE"""),"TEGUH M. WAHYU AKBAR")</f>
        <v>TEGUH M. WAHYU AKBAR</v>
      </c>
      <c r="J226" s="1" t="str">
        <f ca="1">IFERROR(__xludf.DUMMYFUNCTION("""COMPUTED_VALUE"""),"01111940000072")</f>
        <v>01111940000072</v>
      </c>
      <c r="K226" s="1" t="str">
        <f ca="1">IFERROR(__xludf.DUMMYFUNCTION("""COMPUTED_VALUE"""),"Departemen Fisika")</f>
        <v>Departemen Fisika</v>
      </c>
      <c r="L226" s="1" t="str">
        <f ca="1">IFERROR(__xludf.DUMMYFUNCTION("""COMPUTED_VALUE"""),"MOKHAMMAD MEHDI AL MAHDANI")</f>
        <v>MOKHAMMAD MEHDI AL MAHDANI</v>
      </c>
      <c r="M226" s="1" t="str">
        <f ca="1">IFERROR(__xludf.DUMMYFUNCTION("""COMPUTED_VALUE"""),"01111940000057")</f>
        <v>01111940000057</v>
      </c>
      <c r="N226" s="1" t="str">
        <f ca="1">IFERROR(__xludf.DUMMYFUNCTION("""COMPUTED_VALUE"""),"Departemen Fisika")</f>
        <v>Departemen Fisika</v>
      </c>
      <c r="O226" s="1" t="str">
        <f ca="1">IFERROR(__xludf.DUMMYFUNCTION("""COMPUTED_VALUE"""),"AHMAD REYHAN ABDILLAH")</f>
        <v>AHMAD REYHAN ABDILLAH</v>
      </c>
      <c r="P226" s="1" t="str">
        <f ca="1">IFERROR(__xludf.DUMMYFUNCTION("""COMPUTED_VALUE"""),"06211940000095")</f>
        <v>06211940000095</v>
      </c>
      <c r="Q226" s="1" t="str">
        <f ca="1">IFERROR(__xludf.DUMMYFUNCTION("""COMPUTED_VALUE"""),"Departemen Statistika")</f>
        <v>Departemen Statistika</v>
      </c>
      <c r="R226" s="1" t="str">
        <f ca="1">IFERROR(__xludf.DUMMYFUNCTION("""COMPUTED_VALUE"""),"DWI ARI SETIAWAN")</f>
        <v>DWI ARI SETIAWAN</v>
      </c>
      <c r="S226" s="1" t="str">
        <f ca="1">IFERROR(__xludf.DUMMYFUNCTION("""COMPUTED_VALUE"""),"07211940000036")</f>
        <v>07211940000036</v>
      </c>
      <c r="T226" s="1" t="str">
        <f ca="1">IFERROR(__xludf.DUMMYFUNCTION("""COMPUTED_VALUE"""),"Departemen Teknik Komputer")</f>
        <v>Departemen Teknik Komputer</v>
      </c>
      <c r="U226" s="1" t="str">
        <f ca="1">IFERROR(__xludf.DUMMYFUNCTION("""COMPUTED_VALUE"""),"Andre Parvian Aristio, S.Kom., M.Sc.")</f>
        <v>Andre Parvian Aristio, S.Kom., M.Sc.</v>
      </c>
      <c r="V226" s="1" t="str">
        <f ca="1">IFERROR(__xludf.DUMMYFUNCTION("""COMPUTED_VALUE"""),"Azzah Dyah Pramata, S.T., M.T., M.Eng., Ph.D.")</f>
        <v>Azzah Dyah Pramata, S.T., M.T., M.Eng., Ph.D.</v>
      </c>
      <c r="W226" s="1" t="str">
        <f ca="1">IFERROR(__xludf.DUMMYFUNCTION("""COMPUTED_VALUE"""),"Arief Abdurrakhman, S.T., M.T.")</f>
        <v>Arief Abdurrakhman, S.T., M.T.</v>
      </c>
      <c r="X226" s="1" t="str">
        <f ca="1">IFERROR(__xludf.DUMMYFUNCTION("""COMPUTED_VALUE"""),"Lolos")</f>
        <v>Lolos</v>
      </c>
      <c r="Y226" s="1"/>
      <c r="Z226" s="1"/>
      <c r="AA226" s="1"/>
    </row>
    <row r="227" spans="1:27">
      <c r="A227" s="1" t="s">
        <v>224</v>
      </c>
      <c r="B227" s="1">
        <f ca="1">IFERROR(__xludf.DUMMYFUNCTION("""COMPUTED_VALUE"""),2066)</f>
        <v>2066</v>
      </c>
      <c r="C227" s="1" t="str">
        <f ca="1">IFERROR(__xludf.DUMMYFUNCTION("""COMPUTED_VALUE"""),"PKM Karya Inovatif")</f>
        <v>PKM Karya Inovatif</v>
      </c>
      <c r="D227" s="1" t="str">
        <f ca="1">IFERROR(__xludf.DUMMYFUNCTION("""COMPUTED_VALUE"""),"
Monitoring Kondisi Dasar Waduk Menggunakan Remotely Operated Vehicle Sebagai Upaya Pemeliharaan Infrastruktur di Indonesia")</f>
        <v xml:space="preserve">
Monitoring Kondisi Dasar Waduk Menggunakan Remotely Operated Vehicle Sebagai Upaya Pemeliharaan Infrastruktur di Indonesia</v>
      </c>
      <c r="E227" s="1" t="str">
        <f ca="1">IFERROR(__xludf.DUMMYFUNCTION("""COMPUTED_VALUE"""),"ANDREAS PRATAMA PUTRA")</f>
        <v>ANDREAS PRATAMA PUTRA</v>
      </c>
      <c r="F227" s="1" t="str">
        <f ca="1">IFERROR(__xludf.DUMMYFUNCTION("""COMPUTED_VALUE"""),"10511910000033")</f>
        <v>10511910000033</v>
      </c>
      <c r="G227" s="1" t="str">
        <f ca="1">IFERROR(__xludf.DUMMYFUNCTION("""COMPUTED_VALUE"""),"Departemen Teknik Instrumentasi")</f>
        <v>Departemen Teknik Instrumentasi</v>
      </c>
      <c r="H227" s="1" t="str">
        <f ca="1">IFERROR(__xludf.DUMMYFUNCTION("""COMPUTED_VALUE"""),"Murry Raditya, S.T., M.T.")</f>
        <v>Murry Raditya, S.T., M.T.</v>
      </c>
      <c r="I227" s="1" t="str">
        <f ca="1">IFERROR(__xludf.DUMMYFUNCTION("""COMPUTED_VALUE"""),"HALEN DINATA ATMAJA")</f>
        <v>HALEN DINATA ATMAJA</v>
      </c>
      <c r="J227" s="1" t="str">
        <f ca="1">IFERROR(__xludf.DUMMYFUNCTION("""COMPUTED_VALUE"""),"10511910000003")</f>
        <v>10511910000003</v>
      </c>
      <c r="K227" s="1" t="str">
        <f ca="1">IFERROR(__xludf.DUMMYFUNCTION("""COMPUTED_VALUE"""),"Departemen Teknik Instrumentasi")</f>
        <v>Departemen Teknik Instrumentasi</v>
      </c>
      <c r="L227" s="1" t="str">
        <f ca="1">IFERROR(__xludf.DUMMYFUNCTION("""COMPUTED_VALUE"""),"DEWI SUGIHARTI NINGRUM")</f>
        <v>DEWI SUGIHARTI NINGRUM</v>
      </c>
      <c r="M227" s="1" t="str">
        <f ca="1">IFERROR(__xludf.DUMMYFUNCTION("""COMPUTED_VALUE"""),"10511810000085")</f>
        <v>10511810000085</v>
      </c>
      <c r="N227" s="1" t="str">
        <f ca="1">IFERROR(__xludf.DUMMYFUNCTION("""COMPUTED_VALUE"""),"Departemen Teknik Instrumentasi")</f>
        <v>Departemen Teknik Instrumentasi</v>
      </c>
      <c r="O227" s="1" t="str">
        <f ca="1">IFERROR(__xludf.DUMMYFUNCTION("""COMPUTED_VALUE"""),"DAIKICHI ALIF NURFIRMANSYA")</f>
        <v>DAIKICHI ALIF NURFIRMANSYA</v>
      </c>
      <c r="P227" s="1" t="str">
        <f ca="1">IFERROR(__xludf.DUMMYFUNCTION("""COMPUTED_VALUE"""),"10511810000076")</f>
        <v>10511810000076</v>
      </c>
      <c r="Q227" s="1" t="str">
        <f ca="1">IFERROR(__xludf.DUMMYFUNCTION("""COMPUTED_VALUE"""),"Departemen Teknik Instrumentasi")</f>
        <v>Departemen Teknik Instrumentasi</v>
      </c>
      <c r="R227" s="1" t="str">
        <f ca="1">IFERROR(__xludf.DUMMYFUNCTION("""COMPUTED_VALUE"""),"DEWI CINDY KARTIKASARI")</f>
        <v>DEWI CINDY KARTIKASARI</v>
      </c>
      <c r="S227" s="1" t="str">
        <f ca="1">IFERROR(__xludf.DUMMYFUNCTION("""COMPUTED_VALUE"""),"10511910000036")</f>
        <v>10511910000036</v>
      </c>
      <c r="T227" s="1" t="str">
        <f ca="1">IFERROR(__xludf.DUMMYFUNCTION("""COMPUTED_VALUE"""),"Departemen Teknik Instrumentasi")</f>
        <v>Departemen Teknik Instrumentasi</v>
      </c>
      <c r="U227" s="1" t="str">
        <f ca="1">IFERROR(__xludf.DUMMYFUNCTION("""COMPUTED_VALUE"""),"Andre Parvian Aristio, S.Kom., M.Sc.")</f>
        <v>Andre Parvian Aristio, S.Kom., M.Sc.</v>
      </c>
      <c r="V227" s="1" t="str">
        <f ca="1">IFERROR(__xludf.DUMMYFUNCTION("""COMPUTED_VALUE"""),"Azzah Dyah Pramata, S.T., M.T., M.Eng., Ph.D.")</f>
        <v>Azzah Dyah Pramata, S.T., M.T., M.Eng., Ph.D.</v>
      </c>
      <c r="W227" s="1" t="str">
        <f ca="1">IFERROR(__xludf.DUMMYFUNCTION("""COMPUTED_VALUE"""),"Arief Abdurrakhman, S.T., M.T.")</f>
        <v>Arief Abdurrakhman, S.T., M.T.</v>
      </c>
      <c r="X227" s="1" t="str">
        <f ca="1">IFERROR(__xludf.DUMMYFUNCTION("""COMPUTED_VALUE"""),"Lolos")</f>
        <v>Lolos</v>
      </c>
      <c r="Y227" s="1"/>
      <c r="Z227" s="1"/>
      <c r="AA227" s="1"/>
    </row>
    <row r="228" spans="1:27">
      <c r="A228" s="1" t="s">
        <v>225</v>
      </c>
      <c r="B228" s="1">
        <f ca="1">IFERROR(__xludf.DUMMYFUNCTION("""COMPUTED_VALUE"""),3471)</f>
        <v>3471</v>
      </c>
      <c r="C228" s="1" t="str">
        <f ca="1">IFERROR(__xludf.DUMMYFUNCTION("""COMPUTED_VALUE"""),"PKM Karya Inovatif")</f>
        <v>PKM Karya Inovatif</v>
      </c>
      <c r="D228" s="1" t="str">
        <f ca="1">IFERROR(__xludf.DUMMYFUNCTION("""COMPUTED_VALUE"""),"Perangkap Cerdas Bemisia Tabaci Dilengkapi Sistem Keamanan Pencurian Berbasis Photovoltaic dan IoT Sebagai Solusi Hama Persawahan")</f>
        <v>Perangkap Cerdas Bemisia Tabaci Dilengkapi Sistem Keamanan Pencurian Berbasis Photovoltaic dan IoT Sebagai Solusi Hama Persawahan</v>
      </c>
      <c r="E228" s="1" t="str">
        <f ca="1">IFERROR(__xludf.DUMMYFUNCTION("""COMPUTED_VALUE"""),"IRGA MERDIANSYAH")</f>
        <v>IRGA MERDIANSYAH</v>
      </c>
      <c r="F228" s="1" t="str">
        <f ca="1">IFERROR(__xludf.DUMMYFUNCTION("""COMPUTED_VALUE"""),"2042201081")</f>
        <v>2042201081</v>
      </c>
      <c r="G228" s="1" t="str">
        <f ca="1">IFERROR(__xludf.DUMMYFUNCTION("""COMPUTED_VALUE"""),"Departemen Teknik Instrumentasi")</f>
        <v>Departemen Teknik Instrumentasi</v>
      </c>
      <c r="H228" s="1" t="str">
        <f ca="1">IFERROR(__xludf.DUMMYFUNCTION("""COMPUTED_VALUE"""),"Brian Raafi'u, S.ST., M.T.")</f>
        <v>Brian Raafi'u, S.ST., M.T.</v>
      </c>
      <c r="I228" s="1" t="str">
        <f ca="1">IFERROR(__xludf.DUMMYFUNCTION("""COMPUTED_VALUE"""),"MOHAMMAD JAILANI")</f>
        <v>MOHAMMAD JAILANI</v>
      </c>
      <c r="J228" s="1" t="str">
        <f ca="1">IFERROR(__xludf.DUMMYFUNCTION("""COMPUTED_VALUE"""),"10511810000077")</f>
        <v>10511810000077</v>
      </c>
      <c r="K228" s="1" t="str">
        <f ca="1">IFERROR(__xludf.DUMMYFUNCTION("""COMPUTED_VALUE"""),"Departemen Teknik Instrumentasi")</f>
        <v>Departemen Teknik Instrumentasi</v>
      </c>
      <c r="L228" s="1" t="str">
        <f ca="1">IFERROR(__xludf.DUMMYFUNCTION("""COMPUTED_VALUE"""),"RAFLY ZAKA RULLOH")</f>
        <v>RAFLY ZAKA RULLOH</v>
      </c>
      <c r="M228" s="1" t="str">
        <f ca="1">IFERROR(__xludf.DUMMYFUNCTION("""COMPUTED_VALUE"""),"2042201087")</f>
        <v>2042201087</v>
      </c>
      <c r="N228" s="1" t="str">
        <f ca="1">IFERROR(__xludf.DUMMYFUNCTION("""COMPUTED_VALUE"""),"Departemen Teknik Instrumentasi")</f>
        <v>Departemen Teknik Instrumentasi</v>
      </c>
      <c r="O228" s="1" t="str">
        <f ca="1">IFERROR(__xludf.DUMMYFUNCTION("""COMPUTED_VALUE"""),"AISYIAH ANJELLICA NURRUL IZZA`")</f>
        <v>AISYIAH ANJELLICA NURRUL IZZA`</v>
      </c>
      <c r="P228" s="1" t="str">
        <f ca="1">IFERROR(__xludf.DUMMYFUNCTION("""COMPUTED_VALUE"""),"2042201006")</f>
        <v>2042201006</v>
      </c>
      <c r="Q228" s="1" t="str">
        <f ca="1">IFERROR(__xludf.DUMMYFUNCTION("""COMPUTED_VALUE"""),"Departemen Teknik Instrumentasi")</f>
        <v>Departemen Teknik Instrumentasi</v>
      </c>
      <c r="R228" s="1" t="str">
        <f ca="1">IFERROR(__xludf.DUMMYFUNCTION("""COMPUTED_VALUE"""),"NABIILAH A TJANDRA")</f>
        <v>NABIILAH A TJANDRA</v>
      </c>
      <c r="S228" s="1" t="str">
        <f ca="1">IFERROR(__xludf.DUMMYFUNCTION("""COMPUTED_VALUE"""),"2042211001")</f>
        <v>2042211001</v>
      </c>
      <c r="T228" s="1" t="str">
        <f ca="1">IFERROR(__xludf.DUMMYFUNCTION("""COMPUTED_VALUE"""),"Departemen Teknik Instrumentasi")</f>
        <v>Departemen Teknik Instrumentasi</v>
      </c>
      <c r="U228" s="1" t="str">
        <f ca="1">IFERROR(__xludf.DUMMYFUNCTION("""COMPUTED_VALUE"""),"Andre Parvian Aristio, S.Kom., M.Sc.")</f>
        <v>Andre Parvian Aristio, S.Kom., M.Sc.</v>
      </c>
      <c r="V228" s="1" t="str">
        <f ca="1">IFERROR(__xludf.DUMMYFUNCTION("""COMPUTED_VALUE"""),"Azzah Dyah Pramata, S.T., M.T., M.Eng., Ph.D.")</f>
        <v>Azzah Dyah Pramata, S.T., M.T., M.Eng., Ph.D.</v>
      </c>
      <c r="W228" s="1" t="str">
        <f ca="1">IFERROR(__xludf.DUMMYFUNCTION("""COMPUTED_VALUE"""),"Arief Abdurrakhman, S.T., M.T.")</f>
        <v>Arief Abdurrakhman, S.T., M.T.</v>
      </c>
      <c r="X228" s="1" t="str">
        <f ca="1">IFERROR(__xludf.DUMMYFUNCTION("""COMPUTED_VALUE"""),"Lolos")</f>
        <v>Lolos</v>
      </c>
      <c r="Y228" s="1"/>
      <c r="Z228" s="1"/>
      <c r="AA228" s="1"/>
    </row>
    <row r="229" spans="1:27">
      <c r="A229" s="1" t="s">
        <v>226</v>
      </c>
      <c r="B229" s="1">
        <f ca="1">IFERROR(__xludf.DUMMYFUNCTION("""COMPUTED_VALUE"""),2921)</f>
        <v>2921</v>
      </c>
      <c r="C229" s="1" t="str">
        <f ca="1">IFERROR(__xludf.DUMMYFUNCTION("""COMPUTED_VALUE"""),"PKM Karya Inovatif")</f>
        <v>PKM Karya Inovatif</v>
      </c>
      <c r="D229" s="1" t="str">
        <f ca="1">IFERROR(__xludf.DUMMYFUNCTION("""COMPUTED_VALUE"""),"Rekayasa Feedstock Metal Injection Moulding Berbahan Biodegradable Metal untuk Implant Tulang")</f>
        <v>Rekayasa Feedstock Metal Injection Moulding Berbahan Biodegradable Metal untuk Implant Tulang</v>
      </c>
      <c r="E229" s="1" t="str">
        <f ca="1">IFERROR(__xludf.DUMMYFUNCTION("""COMPUTED_VALUE"""),"HENGGAR PANGGALIH")</f>
        <v>HENGGAR PANGGALIH</v>
      </c>
      <c r="F229" s="1" t="str">
        <f ca="1">IFERROR(__xludf.DUMMYFUNCTION("""COMPUTED_VALUE"""),"5011201055")</f>
        <v>5011201055</v>
      </c>
      <c r="G229" s="1" t="str">
        <f ca="1">IFERROR(__xludf.DUMMYFUNCTION("""COMPUTED_VALUE"""),"Departemen Teknik Material dan Metalurgi")</f>
        <v>Departemen Teknik Material dan Metalurgi</v>
      </c>
      <c r="H229" s="1" t="str">
        <f ca="1">IFERROR(__xludf.DUMMYFUNCTION("""COMPUTED_VALUE"""),"Dr. Widyastuti, S.Si., M.Si.")</f>
        <v>Dr. Widyastuti, S.Si., M.Si.</v>
      </c>
      <c r="I229" s="1" t="str">
        <f ca="1">IFERROR(__xludf.DUMMYFUNCTION("""COMPUTED_VALUE"""),"ASTI ISTIQOMAH")</f>
        <v>ASTI ISTIQOMAH</v>
      </c>
      <c r="J229" s="1" t="str">
        <f ca="1">IFERROR(__xludf.DUMMYFUNCTION("""COMPUTED_VALUE"""),"5011201039")</f>
        <v>5011201039</v>
      </c>
      <c r="K229" s="1" t="str">
        <f ca="1">IFERROR(__xludf.DUMMYFUNCTION("""COMPUTED_VALUE"""),"Departemen Teknik Material dan Metalurgi")</f>
        <v>Departemen Teknik Material dan Metalurgi</v>
      </c>
      <c r="L229" s="1" t="str">
        <f ca="1">IFERROR(__xludf.DUMMYFUNCTION("""COMPUTED_VALUE"""),"INDRAWAN AZIZ")</f>
        <v>INDRAWAN AZIZ</v>
      </c>
      <c r="M229" s="1" t="str">
        <f ca="1">IFERROR(__xludf.DUMMYFUNCTION("""COMPUTED_VALUE"""),"5011201047")</f>
        <v>5011201047</v>
      </c>
      <c r="N229" s="1" t="str">
        <f ca="1">IFERROR(__xludf.DUMMYFUNCTION("""COMPUTED_VALUE"""),"Departemen Teknik Material dan Metalurgi")</f>
        <v>Departemen Teknik Material dan Metalurgi</v>
      </c>
      <c r="O229" s="1" t="str">
        <f ca="1">IFERROR(__xludf.DUMMYFUNCTION("""COMPUTED_VALUE"""),"DIAZ GIAN CLARESTA")</f>
        <v>DIAZ GIAN CLARESTA</v>
      </c>
      <c r="P229" s="1" t="str">
        <f ca="1">IFERROR(__xludf.DUMMYFUNCTION("""COMPUTED_VALUE"""),"5011201029")</f>
        <v>5011201029</v>
      </c>
      <c r="Q229" s="1" t="str">
        <f ca="1">IFERROR(__xludf.DUMMYFUNCTION("""COMPUTED_VALUE"""),"Departemen Teknik Material dan Metalurgi")</f>
        <v>Departemen Teknik Material dan Metalurgi</v>
      </c>
      <c r="R229" s="1" t="str">
        <f ca="1">IFERROR(__xludf.DUMMYFUNCTION("""COMPUTED_VALUE"""),"DINDA AMELIA N")</f>
        <v>DINDA AMELIA N</v>
      </c>
      <c r="S229" s="1" t="str">
        <f ca="1">IFERROR(__xludf.DUMMYFUNCTION("""COMPUTED_VALUE"""),"5008211070")</f>
        <v>5008211070</v>
      </c>
      <c r="T229" s="1" t="str">
        <f ca="1">IFERROR(__xludf.DUMMYFUNCTION("""COMPUTED_VALUE"""),"Departemen Teknik Kimia")</f>
        <v>Departemen Teknik Kimia</v>
      </c>
      <c r="U229" s="1" t="str">
        <f ca="1">IFERROR(__xludf.DUMMYFUNCTION("""COMPUTED_VALUE"""),"Andre Parvian Aristio, S.Kom., M.Sc.")</f>
        <v>Andre Parvian Aristio, S.Kom., M.Sc.</v>
      </c>
      <c r="V229" s="1" t="str">
        <f ca="1">IFERROR(__xludf.DUMMYFUNCTION("""COMPUTED_VALUE"""),"Azzah Dyah Pramata, S.T., M.T., M.Eng., Ph.D.")</f>
        <v>Azzah Dyah Pramata, S.T., M.T., M.Eng., Ph.D.</v>
      </c>
      <c r="W229" s="1" t="str">
        <f ca="1">IFERROR(__xludf.DUMMYFUNCTION("""COMPUTED_VALUE"""),"Arief Abdurrakhman, S.T., M.T.")</f>
        <v>Arief Abdurrakhman, S.T., M.T.</v>
      </c>
      <c r="X229" s="1" t="str">
        <f ca="1">IFERROR(__xludf.DUMMYFUNCTION("""COMPUTED_VALUE"""),"Lolos")</f>
        <v>Lolos</v>
      </c>
      <c r="Y229" s="1"/>
      <c r="Z229" s="1"/>
      <c r="AA229" s="1"/>
    </row>
    <row r="230" spans="1:27">
      <c r="A230" s="1" t="s">
        <v>227</v>
      </c>
      <c r="B230" s="1">
        <f ca="1">IFERROR(__xludf.DUMMYFUNCTION("""COMPUTED_VALUE"""),2300)</f>
        <v>2300</v>
      </c>
      <c r="C230" s="1" t="str">
        <f ca="1">IFERROR(__xludf.DUMMYFUNCTION("""COMPUTED_VALUE"""),"PKM Karya Inovatif")</f>
        <v>PKM Karya Inovatif</v>
      </c>
      <c r="D230" s="1" t="str">
        <f ca="1">IFERROR(__xludf.DUMMYFUNCTION("""COMPUTED_VALUE"""),"Inovasi Mesin Pengupas Kulit Bawang Otomatis Berbasis PLC Guna Meningkatkan Produktivitas UMKM Bawang Merah")</f>
        <v>Inovasi Mesin Pengupas Kulit Bawang Otomatis Berbasis PLC Guna Meningkatkan Produktivitas UMKM Bawang Merah</v>
      </c>
      <c r="E230" s="1" t="str">
        <f ca="1">IFERROR(__xludf.DUMMYFUNCTION("""COMPUTED_VALUE"""),"BINTANG KALAHARI")</f>
        <v>BINTANG KALAHARI</v>
      </c>
      <c r="F230" s="1" t="str">
        <f ca="1">IFERROR(__xludf.DUMMYFUNCTION("""COMPUTED_VALUE"""),"10511910000058")</f>
        <v>10511910000058</v>
      </c>
      <c r="G230" s="1" t="str">
        <f ca="1">IFERROR(__xludf.DUMMYFUNCTION("""COMPUTED_VALUE"""),"Departemen Teknik Instrumentasi")</f>
        <v>Departemen Teknik Instrumentasi</v>
      </c>
      <c r="H230" s="1" t="str">
        <f ca="1">IFERROR(__xludf.DUMMYFUNCTION("""COMPUTED_VALUE"""),"Murry Raditya, S.T., M.T.")</f>
        <v>Murry Raditya, S.T., M.T.</v>
      </c>
      <c r="I230" s="1" t="str">
        <f ca="1">IFERROR(__xludf.DUMMYFUNCTION("""COMPUTED_VALUE"""),"PANDU GALIH SAPUTRO")</f>
        <v>PANDU GALIH SAPUTRO</v>
      </c>
      <c r="J230" s="1" t="str">
        <f ca="1">IFERROR(__xludf.DUMMYFUNCTION("""COMPUTED_VALUE"""),"10511910000030")</f>
        <v>10511910000030</v>
      </c>
      <c r="K230" s="1" t="str">
        <f ca="1">IFERROR(__xludf.DUMMYFUNCTION("""COMPUTED_VALUE"""),"Departemen Teknik Instrumentasi")</f>
        <v>Departemen Teknik Instrumentasi</v>
      </c>
      <c r="L230" s="1" t="str">
        <f ca="1">IFERROR(__xludf.DUMMYFUNCTION("""COMPUTED_VALUE"""),"MOH TAUFIQURROUF")</f>
        <v>MOH TAUFIQURROUF</v>
      </c>
      <c r="M230" s="1" t="str">
        <f ca="1">IFERROR(__xludf.DUMMYFUNCTION("""COMPUTED_VALUE"""),"10511910000039")</f>
        <v>10511910000039</v>
      </c>
      <c r="N230" s="1" t="str">
        <f ca="1">IFERROR(__xludf.DUMMYFUNCTION("""COMPUTED_VALUE"""),"Departemen Teknik Instrumentasi")</f>
        <v>Departemen Teknik Instrumentasi</v>
      </c>
      <c r="O230" s="1" t="str">
        <f ca="1">IFERROR(__xludf.DUMMYFUNCTION("""COMPUTED_VALUE"""),"GILANG ARDIANSYAH")</f>
        <v>GILANG ARDIANSYAH</v>
      </c>
      <c r="P230" s="1" t="str">
        <f ca="1">IFERROR(__xludf.DUMMYFUNCTION("""COMPUTED_VALUE"""),"10511910000001")</f>
        <v>10511910000001</v>
      </c>
      <c r="Q230" s="1" t="str">
        <f ca="1">IFERROR(__xludf.DUMMYFUNCTION("""COMPUTED_VALUE"""),"Departemen Teknik Instrumentasi")</f>
        <v>Departemen Teknik Instrumentasi</v>
      </c>
      <c r="R230" s="1" t="str">
        <f ca="1">IFERROR(__xludf.DUMMYFUNCTION("""COMPUTED_VALUE"""),"MUHAMMAD ZHARFAN MULAWA")</f>
        <v>MUHAMMAD ZHARFAN MULAWA</v>
      </c>
      <c r="S230" s="1" t="str">
        <f ca="1">IFERROR(__xludf.DUMMYFUNCTION("""COMPUTED_VALUE"""),"10511910000060")</f>
        <v>10511910000060</v>
      </c>
      <c r="T230" s="1" t="str">
        <f ca="1">IFERROR(__xludf.DUMMYFUNCTION("""COMPUTED_VALUE"""),"Departemen Teknik Instrumentasi")</f>
        <v>Departemen Teknik Instrumentasi</v>
      </c>
      <c r="U230" s="1" t="str">
        <f ca="1">IFERROR(__xludf.DUMMYFUNCTION("""COMPUTED_VALUE"""),"Andre Parvian Aristio, S.Kom., M.Sc.")</f>
        <v>Andre Parvian Aristio, S.Kom., M.Sc.</v>
      </c>
      <c r="V230" s="1" t="str">
        <f ca="1">IFERROR(__xludf.DUMMYFUNCTION("""COMPUTED_VALUE"""),"Azzah Dyah Pramata, S.T., M.T., M.Eng., Ph.D.")</f>
        <v>Azzah Dyah Pramata, S.T., M.T., M.Eng., Ph.D.</v>
      </c>
      <c r="W230" s="1" t="str">
        <f ca="1">IFERROR(__xludf.DUMMYFUNCTION("""COMPUTED_VALUE"""),"Arief Abdurrakhman, S.T., M.T.")</f>
        <v>Arief Abdurrakhman, S.T., M.T.</v>
      </c>
      <c r="X230" s="1" t="str">
        <f ca="1">IFERROR(__xludf.DUMMYFUNCTION("""COMPUTED_VALUE"""),"Lolos")</f>
        <v>Lolos</v>
      </c>
      <c r="Y230" s="1"/>
      <c r="Z230" s="1"/>
      <c r="AA230" s="1"/>
    </row>
    <row r="231" spans="1:27">
      <c r="A231" s="1" t="s">
        <v>228</v>
      </c>
      <c r="B231" s="1">
        <f ca="1">IFERROR(__xludf.DUMMYFUNCTION("""COMPUTED_VALUE"""),3984)</f>
        <v>3984</v>
      </c>
      <c r="C231" s="1" t="str">
        <f ca="1">IFERROR(__xludf.DUMMYFUNCTION("""COMPUTED_VALUE"""),"PKM Karya Inovatif")</f>
        <v>PKM Karya Inovatif</v>
      </c>
      <c r="D231" s="1" t="str">
        <f ca="1">IFERROR(__xludf.DUMMYFUNCTION("""COMPUTED_VALUE"""),"Helm Safety Dilengkapi Airbag Guna Meminimalisir Head Injuries Pada Pekerja Kontruksi")</f>
        <v>Helm Safety Dilengkapi Airbag Guna Meminimalisir Head Injuries Pada Pekerja Kontruksi</v>
      </c>
      <c r="E231" s="1" t="str">
        <f ca="1">IFERROR(__xludf.DUMMYFUNCTION("""COMPUTED_VALUE"""),"HANSEL PINGGALA MAHESWARA")</f>
        <v>HANSEL PINGGALA MAHESWARA</v>
      </c>
      <c r="F231" s="1" t="str">
        <f ca="1">IFERROR(__xludf.DUMMYFUNCTION("""COMPUTED_VALUE"""),"2042201110")</f>
        <v>2042201110</v>
      </c>
      <c r="G231" s="1" t="str">
        <f ca="1">IFERROR(__xludf.DUMMYFUNCTION("""COMPUTED_VALUE"""),"Departemen Teknik Instrumentasi")</f>
        <v>Departemen Teknik Instrumentasi</v>
      </c>
      <c r="H231" s="1" t="str">
        <f ca="1">IFERROR(__xludf.DUMMYFUNCTION("""COMPUTED_VALUE"""),"Sefi Novendra Patrialova, S.Si., M.T")</f>
        <v>Sefi Novendra Patrialova, S.Si., M.T</v>
      </c>
      <c r="I231" s="1" t="str">
        <f ca="1">IFERROR(__xludf.DUMMYFUNCTION("""COMPUTED_VALUE"""),"IRGA MERDIANSYAH")</f>
        <v>IRGA MERDIANSYAH</v>
      </c>
      <c r="J231" s="1" t="str">
        <f ca="1">IFERROR(__xludf.DUMMYFUNCTION("""COMPUTED_VALUE"""),"2042201081")</f>
        <v>2042201081</v>
      </c>
      <c r="K231" s="1" t="str">
        <f ca="1">IFERROR(__xludf.DUMMYFUNCTION("""COMPUTED_VALUE"""),"Departemen Teknik Instrumentasi")</f>
        <v>Departemen Teknik Instrumentasi</v>
      </c>
      <c r="L231" s="1" t="str">
        <f ca="1">IFERROR(__xludf.DUMMYFUNCTION("""COMPUTED_VALUE"""),"YAHYA NUR ROHMAN")</f>
        <v>YAHYA NUR ROHMAN</v>
      </c>
      <c r="M231" s="1" t="str">
        <f ca="1">IFERROR(__xludf.DUMMYFUNCTION("""COMPUTED_VALUE"""),"2042201093")</f>
        <v>2042201093</v>
      </c>
      <c r="N231" s="1" t="str">
        <f ca="1">IFERROR(__xludf.DUMMYFUNCTION("""COMPUTED_VALUE"""),"Departemen Teknik Instrumentasi")</f>
        <v>Departemen Teknik Instrumentasi</v>
      </c>
      <c r="O231" s="1" t="str">
        <f ca="1">IFERROR(__xludf.DUMMYFUNCTION("""COMPUTED_VALUE"""),"TIFFANY RACHMANIA DARMAWAN")</f>
        <v>TIFFANY RACHMANIA DARMAWAN</v>
      </c>
      <c r="P231" s="1" t="str">
        <f ca="1">IFERROR(__xludf.DUMMYFUNCTION("""COMPUTED_VALUE"""),"2042201012")</f>
        <v>2042201012</v>
      </c>
      <c r="Q231" s="1" t="str">
        <f ca="1">IFERROR(__xludf.DUMMYFUNCTION("""COMPUTED_VALUE"""),"Departemen Teknik Instrumentasi")</f>
        <v>Departemen Teknik Instrumentasi</v>
      </c>
      <c r="R231" s="1" t="str">
        <f ca="1">IFERROR(__xludf.DUMMYFUNCTION("""COMPUTED_VALUE"""),"TRIYANTO JIWANDONO ")</f>
        <v xml:space="preserve">TRIYANTO JIWANDONO </v>
      </c>
      <c r="S231" s="1" t="str">
        <f ca="1">IFERROR(__xludf.DUMMYFUNCTION("""COMPUTED_VALUE"""),"2039201081")</f>
        <v>2039201081</v>
      </c>
      <c r="T231" s="1" t="str">
        <f ca="1">IFERROR(__xludf.DUMMYFUNCTION("""COMPUTED_VALUE"""),"Departemen Teknik Mesin Industri")</f>
        <v>Departemen Teknik Mesin Industri</v>
      </c>
      <c r="U231" s="1" t="str">
        <f ca="1">IFERROR(__xludf.DUMMYFUNCTION("""COMPUTED_VALUE"""),"Andre Parvian Aristio, S.Kom., M.Sc.")</f>
        <v>Andre Parvian Aristio, S.Kom., M.Sc.</v>
      </c>
      <c r="V231" s="1" t="str">
        <f ca="1">IFERROR(__xludf.DUMMYFUNCTION("""COMPUTED_VALUE"""),"Azzah Dyah Pramata, S.T., M.T., M.Eng., Ph.D.")</f>
        <v>Azzah Dyah Pramata, S.T., M.T., M.Eng., Ph.D.</v>
      </c>
      <c r="W231" s="1" t="str">
        <f ca="1">IFERROR(__xludf.DUMMYFUNCTION("""COMPUTED_VALUE"""),"Arief Abdurrakhman, S.T., M.T.")</f>
        <v>Arief Abdurrakhman, S.T., M.T.</v>
      </c>
      <c r="X231" s="1" t="str">
        <f ca="1">IFERROR(__xludf.DUMMYFUNCTION("""COMPUTED_VALUE"""),"Lolos")</f>
        <v>Lolos</v>
      </c>
      <c r="Y231" s="1"/>
      <c r="Z231" s="1"/>
      <c r="AA231" s="1"/>
    </row>
    <row r="232" spans="1:27">
      <c r="A232" s="1" t="s">
        <v>229</v>
      </c>
      <c r="B232" s="1">
        <f ca="1">IFERROR(__xludf.DUMMYFUNCTION("""COMPUTED_VALUE"""),3480)</f>
        <v>3480</v>
      </c>
      <c r="C232" s="1" t="str">
        <f ca="1">IFERROR(__xludf.DUMMYFUNCTION("""COMPUTED_VALUE"""),"PKM Karya Inovatif")</f>
        <v>PKM Karya Inovatif</v>
      </c>
      <c r="D232" s="1" t="str">
        <f ca="1">IFERROR(__xludf.DUMMYFUNCTION("""COMPUTED_VALUE"""),"Deteksi Kekeruhan Air pada Budidaya Perikanan Air Tawar Berbasis Internet of Things Sebagai Solusi Alternatif Sensor Kekeruhan di Kalangan Pembudidaya")</f>
        <v>Deteksi Kekeruhan Air pada Budidaya Perikanan Air Tawar Berbasis Internet of Things Sebagai Solusi Alternatif Sensor Kekeruhan di Kalangan Pembudidaya</v>
      </c>
      <c r="E232" s="1" t="str">
        <f ca="1">IFERROR(__xludf.DUMMYFUNCTION("""COMPUTED_VALUE"""),"HALEN DINATA ATMAJA")</f>
        <v>HALEN DINATA ATMAJA</v>
      </c>
      <c r="F232" s="1" t="str">
        <f ca="1">IFERROR(__xludf.DUMMYFUNCTION("""COMPUTED_VALUE"""),"10511910000003")</f>
        <v>10511910000003</v>
      </c>
      <c r="G232" s="1" t="str">
        <f ca="1">IFERROR(__xludf.DUMMYFUNCTION("""COMPUTED_VALUE"""),"Departemen Teknik Instrumentasi")</f>
        <v>Departemen Teknik Instrumentasi</v>
      </c>
      <c r="H232" s="1" t="str">
        <f ca="1">IFERROR(__xludf.DUMMYFUNCTION("""COMPUTED_VALUE"""),"Ahmad Fauzan Adziimaa, S.T., M.Sc.")</f>
        <v>Ahmad Fauzan Adziimaa, S.T., M.Sc.</v>
      </c>
      <c r="I232" s="1" t="str">
        <f ca="1">IFERROR(__xludf.DUMMYFUNCTION("""COMPUTED_VALUE"""),"DEWI SUGIHARTI NINGRUM")</f>
        <v>DEWI SUGIHARTI NINGRUM</v>
      </c>
      <c r="J232" s="1" t="str">
        <f ca="1">IFERROR(__xludf.DUMMYFUNCTION("""COMPUTED_VALUE"""),"10511810000085")</f>
        <v>10511810000085</v>
      </c>
      <c r="K232" s="1" t="str">
        <f ca="1">IFERROR(__xludf.DUMMYFUNCTION("""COMPUTED_VALUE"""),"Departemen Teknik Instrumentasi")</f>
        <v>Departemen Teknik Instrumentasi</v>
      </c>
      <c r="L232" s="1" t="str">
        <f ca="1">IFERROR(__xludf.DUMMYFUNCTION("""COMPUTED_VALUE"""),"YENI DWI CAHYANI")</f>
        <v>YENI DWI CAHYANI</v>
      </c>
      <c r="M232" s="1" t="str">
        <f ca="1">IFERROR(__xludf.DUMMYFUNCTION("""COMPUTED_VALUE"""),"10511810000084")</f>
        <v>10511810000084</v>
      </c>
      <c r="N232" s="1" t="str">
        <f ca="1">IFERROR(__xludf.DUMMYFUNCTION("""COMPUTED_VALUE"""),"Departemen Teknik Instrumentasi")</f>
        <v>Departemen Teknik Instrumentasi</v>
      </c>
      <c r="O232" s="1" t="str">
        <f ca="1">IFERROR(__xludf.DUMMYFUNCTION("""COMPUTED_VALUE"""),"ANDREAS PRATAMA PUTRA")</f>
        <v>ANDREAS PRATAMA PUTRA</v>
      </c>
      <c r="P232" s="1" t="str">
        <f ca="1">IFERROR(__xludf.DUMMYFUNCTION("""COMPUTED_VALUE"""),"10511910000033")</f>
        <v>10511910000033</v>
      </c>
      <c r="Q232" s="1" t="str">
        <f ca="1">IFERROR(__xludf.DUMMYFUNCTION("""COMPUTED_VALUE"""),"Departemen Teknik Instrumentasi")</f>
        <v>Departemen Teknik Instrumentasi</v>
      </c>
      <c r="R232" s="1" t="str">
        <f ca="1">IFERROR(__xludf.DUMMYFUNCTION("""COMPUTED_VALUE"""),"Alifia Nihayatul Safitri")</f>
        <v>Alifia Nihayatul Safitri</v>
      </c>
      <c r="S232" s="1" t="str">
        <f ca="1">IFERROR(__xludf.DUMMYFUNCTION("""COMPUTED_VALUE"""),"08511940000002")</f>
        <v>08511940000002</v>
      </c>
      <c r="T232" s="1" t="str">
        <f ca="1">IFERROR(__xludf.DUMMYFUNCTION("""COMPUTED_VALUE"""),"Departemen Desain Komunikasi Visual")</f>
        <v>Departemen Desain Komunikasi Visual</v>
      </c>
      <c r="U232" s="1" t="str">
        <f ca="1">IFERROR(__xludf.DUMMYFUNCTION("""COMPUTED_VALUE"""),"Andre Parvian Aristio, S.Kom., M.Sc.")</f>
        <v>Andre Parvian Aristio, S.Kom., M.Sc.</v>
      </c>
      <c r="V232" s="1" t="str">
        <f ca="1">IFERROR(__xludf.DUMMYFUNCTION("""COMPUTED_VALUE"""),"Azzah Dyah Pramata, S.T., M.T., M.Eng., Ph.D.")</f>
        <v>Azzah Dyah Pramata, S.T., M.T., M.Eng., Ph.D.</v>
      </c>
      <c r="W232" s="1" t="str">
        <f ca="1">IFERROR(__xludf.DUMMYFUNCTION("""COMPUTED_VALUE"""),"Arief Abdurrakhman, S.T., M.T.")</f>
        <v>Arief Abdurrakhman, S.T., M.T.</v>
      </c>
      <c r="X232" s="1" t="str">
        <f ca="1">IFERROR(__xludf.DUMMYFUNCTION("""COMPUTED_VALUE"""),"Lolos")</f>
        <v>Lolos</v>
      </c>
      <c r="Y232" s="1"/>
      <c r="Z232" s="1"/>
      <c r="AA232" s="1"/>
    </row>
    <row r="233" spans="1:27">
      <c r="A233" s="1" t="s">
        <v>230</v>
      </c>
      <c r="B233" s="1">
        <f ca="1">IFERROR(__xludf.DUMMYFUNCTION("""COMPUTED_VALUE"""),2025)</f>
        <v>2025</v>
      </c>
      <c r="C233" s="1" t="str">
        <f ca="1">IFERROR(__xludf.DUMMYFUNCTION("""COMPUTED_VALUE"""),"PKM Karya Inovatif")</f>
        <v>PKM Karya Inovatif</v>
      </c>
      <c r="D233" s="1" t="str">
        <f ca="1">IFERROR(__xludf.DUMMYFUNCTION("""COMPUTED_VALUE"""),"Reverse Vending Machine Berbasis Deep Learning Object Detection untuk Penukaran Tiket Transportasi Bus yang Efektif")</f>
        <v>Reverse Vending Machine Berbasis Deep Learning Object Detection untuk Penukaran Tiket Transportasi Bus yang Efektif</v>
      </c>
      <c r="E233" s="1" t="str">
        <f ca="1">IFERROR(__xludf.DUMMYFUNCTION("""COMPUTED_VALUE"""),"MUHAMMAD AINUL YAQIN")</f>
        <v>MUHAMMAD AINUL YAQIN</v>
      </c>
      <c r="F233" s="1" t="str">
        <f ca="1">IFERROR(__xludf.DUMMYFUNCTION("""COMPUTED_VALUE"""),"02311940000070")</f>
        <v>02311940000070</v>
      </c>
      <c r="G233" s="1" t="str">
        <f ca="1">IFERROR(__xludf.DUMMYFUNCTION("""COMPUTED_VALUE"""),"Departemen Teknik Fisika")</f>
        <v>Departemen Teknik Fisika</v>
      </c>
      <c r="H233" s="1" t="str">
        <f ca="1">IFERROR(__xludf.DUMMYFUNCTION("""COMPUTED_VALUE"""),"Dr. Bambang Lelono Widjiantoro, S.T., M.T.")</f>
        <v>Dr. Bambang Lelono Widjiantoro, S.T., M.T.</v>
      </c>
      <c r="I233" s="1" t="str">
        <f ca="1">IFERROR(__xludf.DUMMYFUNCTION("""COMPUTED_VALUE"""),"Novandion Rafly Kurniawan")</f>
        <v>Novandion Rafly Kurniawan</v>
      </c>
      <c r="J233" s="1" t="str">
        <f ca="1">IFERROR(__xludf.DUMMYFUNCTION("""COMPUTED_VALUE"""),"02311940000010")</f>
        <v>02311940000010</v>
      </c>
      <c r="K233" s="1" t="str">
        <f ca="1">IFERROR(__xludf.DUMMYFUNCTION("""COMPUTED_VALUE"""),"Departemen Teknik Fisika")</f>
        <v>Departemen Teknik Fisika</v>
      </c>
      <c r="L233" s="1" t="str">
        <f ca="1">IFERROR(__xludf.DUMMYFUNCTION("""COMPUTED_VALUE"""),"Muhammad Arifianto")</f>
        <v>Muhammad Arifianto</v>
      </c>
      <c r="M233" s="1" t="str">
        <f ca="1">IFERROR(__xludf.DUMMYFUNCTION("""COMPUTED_VALUE"""),"02311940000026")</f>
        <v>02311940000026</v>
      </c>
      <c r="N233" s="1" t="str">
        <f ca="1">IFERROR(__xludf.DUMMYFUNCTION("""COMPUTED_VALUE"""),"Departemen Teknik Fisika")</f>
        <v>Departemen Teknik Fisika</v>
      </c>
      <c r="O233" s="1" t="str">
        <f ca="1">IFERROR(__xludf.DUMMYFUNCTION("""COMPUTED_VALUE"""),"Latifatul Fajriyah")</f>
        <v>Latifatul Fajriyah</v>
      </c>
      <c r="P233" s="1" t="str">
        <f ca="1">IFERROR(__xludf.DUMMYFUNCTION("""COMPUTED_VALUE"""),"02311940000054")</f>
        <v>02311940000054</v>
      </c>
      <c r="Q233" s="1" t="str">
        <f ca="1">IFERROR(__xludf.DUMMYFUNCTION("""COMPUTED_VALUE"""),"Departemen Teknik Fisika")</f>
        <v>Departemen Teknik Fisika</v>
      </c>
      <c r="R233" s="1" t="str">
        <f ca="1">IFERROR(__xludf.DUMMYFUNCTION("""COMPUTED_VALUE"""),"RATNA DIAN NABILA")</f>
        <v>RATNA DIAN NABILA</v>
      </c>
      <c r="S233" s="1" t="str">
        <f ca="1">IFERROR(__xludf.DUMMYFUNCTION("""COMPUTED_VALUE"""),"02311940000074")</f>
        <v>02311940000074</v>
      </c>
      <c r="T233" s="1" t="str">
        <f ca="1">IFERROR(__xludf.DUMMYFUNCTION("""COMPUTED_VALUE"""),"Departemen Teknik Fisika")</f>
        <v>Departemen Teknik Fisika</v>
      </c>
      <c r="U233" s="1" t="str">
        <f ca="1">IFERROR(__xludf.DUMMYFUNCTION("""COMPUTED_VALUE"""),"Mohammad Khoirul Effendi, S.T., M.Sc.Eng., Ph.D.")</f>
        <v>Mohammad Khoirul Effendi, S.T., M.Sc.Eng., Ph.D.</v>
      </c>
      <c r="V233" s="1" t="str">
        <f ca="1">IFERROR(__xludf.DUMMYFUNCTION("""COMPUTED_VALUE"""),"Azzah Dyah Pramata, S.T., M.T., M.Eng., Ph.D.")</f>
        <v>Azzah Dyah Pramata, S.T., M.T., M.Eng., Ph.D.</v>
      </c>
      <c r="W233" s="1" t="str">
        <f ca="1">IFERROR(__xludf.DUMMYFUNCTION("""COMPUTED_VALUE"""),"Arief Abdurrakhman, S.T., M.T.")</f>
        <v>Arief Abdurrakhman, S.T., M.T.</v>
      </c>
      <c r="X233" s="1" t="str">
        <f ca="1">IFERROR(__xludf.DUMMYFUNCTION("""COMPUTED_VALUE"""),"Lolos")</f>
        <v>Lolos</v>
      </c>
      <c r="Y233" s="1"/>
      <c r="Z233" s="1"/>
      <c r="AA233" s="1"/>
    </row>
    <row r="234" spans="1:27">
      <c r="A234" s="1" t="s">
        <v>231</v>
      </c>
      <c r="B234" s="1">
        <f ca="1">IFERROR(__xludf.DUMMYFUNCTION("""COMPUTED_VALUE"""),2038)</f>
        <v>2038</v>
      </c>
      <c r="C234" s="1" t="str">
        <f ca="1">IFERROR(__xludf.DUMMYFUNCTION("""COMPUTED_VALUE"""),"PKM Karya Inovatif")</f>
        <v>PKM Karya Inovatif</v>
      </c>
      <c r="D234" s="1" t="str">
        <f ca="1">IFERROR(__xludf.DUMMYFUNCTION("""COMPUTED_VALUE"""),"Inovasi Mesin Pengolah Umbi Porang Otomatis Berbasis 
Kontrol Elektrik Guna Meningkatkan Produktivitas Petani 
Lokal")</f>
        <v>Inovasi Mesin Pengolah Umbi Porang Otomatis Berbasis 
Kontrol Elektrik Guna Meningkatkan Produktivitas Petani 
Lokal</v>
      </c>
      <c r="E234" s="1" t="str">
        <f ca="1">IFERROR(__xludf.DUMMYFUNCTION("""COMPUTED_VALUE"""),"BENI PUTRA KURNIAWAN")</f>
        <v>BENI PUTRA KURNIAWAN</v>
      </c>
      <c r="F234" s="1" t="str">
        <f ca="1">IFERROR(__xludf.DUMMYFUNCTION("""COMPUTED_VALUE"""),"10311910000063")</f>
        <v>10311910000063</v>
      </c>
      <c r="G234" s="1" t="str">
        <f ca="1">IFERROR(__xludf.DUMMYFUNCTION("""COMPUTED_VALUE"""),"Departemen Teknik Elektro Otomasi")</f>
        <v>Departemen Teknik Elektro Otomasi</v>
      </c>
      <c r="H234" s="1" t="str">
        <f ca="1">IFERROR(__xludf.DUMMYFUNCTION("""COMPUTED_VALUE"""),"Lucky Putri Rahayu, S.Si., M.Si.")</f>
        <v>Lucky Putri Rahayu, S.Si., M.Si.</v>
      </c>
      <c r="I234" s="1" t="str">
        <f ca="1">IFERROR(__xludf.DUMMYFUNCTION("""COMPUTED_VALUE"""),"FEPITA KONIAH")</f>
        <v>FEPITA KONIAH</v>
      </c>
      <c r="J234" s="1" t="str">
        <f ca="1">IFERROR(__xludf.DUMMYFUNCTION("""COMPUTED_VALUE"""),"2040211075")</f>
        <v>2040211075</v>
      </c>
      <c r="K234" s="1" t="str">
        <f ca="1">IFERROR(__xludf.DUMMYFUNCTION("""COMPUTED_VALUE"""),"Departemen Teknik Elektro Otomasi")</f>
        <v>Departemen Teknik Elektro Otomasi</v>
      </c>
      <c r="L234" s="1" t="str">
        <f ca="1">IFERROR(__xludf.DUMMYFUNCTION("""COMPUTED_VALUE"""),"ANISA SUTIFANY ANGGI")</f>
        <v>ANISA SUTIFANY ANGGI</v>
      </c>
      <c r="M234" s="1" t="str">
        <f ca="1">IFERROR(__xludf.DUMMYFUNCTION("""COMPUTED_VALUE"""),"2040211065")</f>
        <v>2040211065</v>
      </c>
      <c r="N234" s="1" t="str">
        <f ca="1">IFERROR(__xludf.DUMMYFUNCTION("""COMPUTED_VALUE"""),"Departemen Teknik Elektro Otomasi")</f>
        <v>Departemen Teknik Elektro Otomasi</v>
      </c>
      <c r="O234" s="1" t="str">
        <f ca="1">IFERROR(__xludf.DUMMYFUNCTION("""COMPUTED_VALUE"""),"FIRMAN MAULANA SAPUTRA")</f>
        <v>FIRMAN MAULANA SAPUTRA</v>
      </c>
      <c r="P234" s="1" t="str">
        <f ca="1">IFERROR(__xludf.DUMMYFUNCTION("""COMPUTED_VALUE"""),"2035201001")</f>
        <v>2035201001</v>
      </c>
      <c r="Q234" s="1" t="str">
        <f ca="1">IFERROR(__xludf.DUMMYFUNCTION("""COMPUTED_VALUE"""),"Departemen Teknik Infrastruktur Sipil")</f>
        <v>Departemen Teknik Infrastruktur Sipil</v>
      </c>
      <c r="R234" s="1" t="str">
        <f ca="1">IFERROR(__xludf.DUMMYFUNCTION("""COMPUTED_VALUE"""),"AMIR ZUFAR ALFIKRI")</f>
        <v>AMIR ZUFAR ALFIKRI</v>
      </c>
      <c r="S234" s="1" t="str">
        <f ca="1">IFERROR(__xludf.DUMMYFUNCTION("""COMPUTED_VALUE"""),"2040211041")</f>
        <v>2040211041</v>
      </c>
      <c r="T234" s="1" t="str">
        <f ca="1">IFERROR(__xludf.DUMMYFUNCTION("""COMPUTED_VALUE"""),"Departemen Teknik Elektro Otomasi")</f>
        <v>Departemen Teknik Elektro Otomasi</v>
      </c>
      <c r="U234" s="1" t="str">
        <f ca="1">IFERROR(__xludf.DUMMYFUNCTION("""COMPUTED_VALUE"""),"Andre Parvian Aristio, S.Kom., M.Sc.")</f>
        <v>Andre Parvian Aristio, S.Kom., M.Sc.</v>
      </c>
      <c r="V234" s="1" t="str">
        <f ca="1">IFERROR(__xludf.DUMMYFUNCTION("""COMPUTED_VALUE"""),"Azzah Dyah Pramata, S.T., M.T., M.Eng., Ph.D.")</f>
        <v>Azzah Dyah Pramata, S.T., M.T., M.Eng., Ph.D.</v>
      </c>
      <c r="W234" s="1" t="str">
        <f ca="1">IFERROR(__xludf.DUMMYFUNCTION("""COMPUTED_VALUE"""),"Arief Abdurrakhman, S.T., M.T.")</f>
        <v>Arief Abdurrakhman, S.T., M.T.</v>
      </c>
      <c r="X234" s="1" t="str">
        <f ca="1">IFERROR(__xludf.DUMMYFUNCTION("""COMPUTED_VALUE"""),"Lolos")</f>
        <v>Lolos</v>
      </c>
      <c r="Y234" s="1"/>
      <c r="Z234" s="1"/>
      <c r="AA234" s="1"/>
    </row>
    <row r="235" spans="1:27">
      <c r="A235" s="1" t="s">
        <v>232</v>
      </c>
      <c r="B235" s="1">
        <f ca="1">IFERROR(__xludf.DUMMYFUNCTION("""COMPUTED_VALUE"""),3660)</f>
        <v>3660</v>
      </c>
      <c r="C235" s="1" t="str">
        <f ca="1">IFERROR(__xludf.DUMMYFUNCTION("""COMPUTED_VALUE"""),"PKM Karya Inovatif")</f>
        <v>PKM Karya Inovatif</v>
      </c>
      <c r="D235" s="1" t="str">
        <f ca="1">IFERROR(__xludf.DUMMYFUNCTION("""COMPUTED_VALUE"""),"Inovasi Mesin Pengering Daun Tembakau Otomatis Menggunakan Pengolahan Citra Digital Untuk Solusi Petani Tembakau")</f>
        <v>Inovasi Mesin Pengering Daun Tembakau Otomatis Menggunakan Pengolahan Citra Digital Untuk Solusi Petani Tembakau</v>
      </c>
      <c r="E235" s="1" t="str">
        <f ca="1">IFERROR(__xludf.DUMMYFUNCTION("""COMPUTED_VALUE"""),"MUHAMMAD ALI YAFI")</f>
        <v>MUHAMMAD ALI YAFI</v>
      </c>
      <c r="F235" s="1" t="str">
        <f ca="1">IFERROR(__xludf.DUMMYFUNCTION("""COMPUTED_VALUE"""),"2040201107")</f>
        <v>2040201107</v>
      </c>
      <c r="G235" s="1" t="str">
        <f ca="1">IFERROR(__xludf.DUMMYFUNCTION("""COMPUTED_VALUE"""),"Departemen Teknik Elektro Otomasi")</f>
        <v>Departemen Teknik Elektro Otomasi</v>
      </c>
      <c r="H235" s="1" t="str">
        <f ca="1">IFERROR(__xludf.DUMMYFUNCTION("""COMPUTED_VALUE"""),"Joko Priambodo, S.T., M.T.")</f>
        <v>Joko Priambodo, S.T., M.T.</v>
      </c>
      <c r="I235" s="1" t="str">
        <f ca="1">IFERROR(__xludf.DUMMYFUNCTION("""COMPUTED_VALUE"""),"RAFI RAMADANI")</f>
        <v>RAFI RAMADANI</v>
      </c>
      <c r="J235" s="1" t="str">
        <f ca="1">IFERROR(__xludf.DUMMYFUNCTION("""COMPUTED_VALUE"""),"2040201076")</f>
        <v>2040201076</v>
      </c>
      <c r="K235" s="1" t="str">
        <f ca="1">IFERROR(__xludf.DUMMYFUNCTION("""COMPUTED_VALUE"""),"Departemen Teknik Elektro Otomasi")</f>
        <v>Departemen Teknik Elektro Otomasi</v>
      </c>
      <c r="L235" s="1" t="str">
        <f ca="1">IFERROR(__xludf.DUMMYFUNCTION("""COMPUTED_VALUE"""),"FIRMAN MAULANA DWI SYAHPUTRA")</f>
        <v>FIRMAN MAULANA DWI SYAHPUTRA</v>
      </c>
      <c r="M235" s="1" t="str">
        <f ca="1">IFERROR(__xludf.DUMMYFUNCTION("""COMPUTED_VALUE"""),"2040201008")</f>
        <v>2040201008</v>
      </c>
      <c r="N235" s="1" t="str">
        <f ca="1">IFERROR(__xludf.DUMMYFUNCTION("""COMPUTED_VALUE"""),"Departemen Teknik Elektro Otomasi")</f>
        <v>Departemen Teknik Elektro Otomasi</v>
      </c>
      <c r="O235" s="1" t="str">
        <f ca="1">IFERROR(__xludf.DUMMYFUNCTION("""COMPUTED_VALUE"""),"KURNIAWAN DWI Y")</f>
        <v>KURNIAWAN DWI Y</v>
      </c>
      <c r="P235" s="1" t="str">
        <f ca="1">IFERROR(__xludf.DUMMYFUNCTION("""COMPUTED_VALUE"""),"2040211067")</f>
        <v>2040211067</v>
      </c>
      <c r="Q235" s="1" t="str">
        <f ca="1">IFERROR(__xludf.DUMMYFUNCTION("""COMPUTED_VALUE"""),"Departemen Teknik Elektro Otomasi")</f>
        <v>Departemen Teknik Elektro Otomasi</v>
      </c>
      <c r="R235" s="1" t="str">
        <f ca="1">IFERROR(__xludf.DUMMYFUNCTION("""COMPUTED_VALUE"""),"PANDU DINATA ALAMIRI")</f>
        <v>PANDU DINATA ALAMIRI</v>
      </c>
      <c r="S235" s="1" t="str">
        <f ca="1">IFERROR(__xludf.DUMMYFUNCTION("""COMPUTED_VALUE"""),"10311810000003")</f>
        <v>10311810000003</v>
      </c>
      <c r="T235" s="1" t="str">
        <f ca="1">IFERROR(__xludf.DUMMYFUNCTION("""COMPUTED_VALUE"""),"Departemen Teknik Elektro Otomasi")</f>
        <v>Departemen Teknik Elektro Otomasi</v>
      </c>
      <c r="U235" s="1" t="str">
        <f ca="1">IFERROR(__xludf.DUMMYFUNCTION("""COMPUTED_VALUE"""),"Andre Parvian Aristio, S.Kom., M.Sc.")</f>
        <v>Andre Parvian Aristio, S.Kom., M.Sc.</v>
      </c>
      <c r="V235" s="1" t="str">
        <f ca="1">IFERROR(__xludf.DUMMYFUNCTION("""COMPUTED_VALUE"""),"Azzah Dyah Pramata, S.T., M.T., M.Eng., Ph.D.")</f>
        <v>Azzah Dyah Pramata, S.T., M.T., M.Eng., Ph.D.</v>
      </c>
      <c r="W235" s="1" t="str">
        <f ca="1">IFERROR(__xludf.DUMMYFUNCTION("""COMPUTED_VALUE"""),"Arief Abdurrakhman, S.T., M.T.")</f>
        <v>Arief Abdurrakhman, S.T., M.T.</v>
      </c>
      <c r="X235" s="1" t="str">
        <f ca="1">IFERROR(__xludf.DUMMYFUNCTION("""COMPUTED_VALUE"""),"Lolos")</f>
        <v>Lolos</v>
      </c>
      <c r="Y235" s="1"/>
      <c r="Z235" s="1"/>
      <c r="AA235" s="1"/>
    </row>
    <row r="236" spans="1:27">
      <c r="A236" s="1" t="s">
        <v>233</v>
      </c>
      <c r="B236" s="1">
        <f ca="1">IFERROR(__xludf.DUMMYFUNCTION("""COMPUTED_VALUE"""),3393)</f>
        <v>3393</v>
      </c>
      <c r="C236" s="1" t="str">
        <f ca="1">IFERROR(__xludf.DUMMYFUNCTION("""COMPUTED_VALUE"""),"PKM Karya Inovatif")</f>
        <v>PKM Karya Inovatif</v>
      </c>
      <c r="D236" s="1" t="str">
        <f ca="1">IFERROR(__xludf.DUMMYFUNCTION("""COMPUTED_VALUE"""),"Inovasi Mesin Pencuci Guna Mereduksi Asam Oksalat dan Pembersihan pada Umbi Porang")</f>
        <v>Inovasi Mesin Pencuci Guna Mereduksi Asam Oksalat dan Pembersihan pada Umbi Porang</v>
      </c>
      <c r="E236" s="1" t="str">
        <f ca="1">IFERROR(__xludf.DUMMYFUNCTION("""COMPUTED_VALUE"""),"FIKRI AZRUR ARIF MAULANA")</f>
        <v>FIKRI AZRUR ARIF MAULANA</v>
      </c>
      <c r="F236" s="1" t="str">
        <f ca="1">IFERROR(__xludf.DUMMYFUNCTION("""COMPUTED_VALUE"""),"10211810013017")</f>
        <v>10211810013017</v>
      </c>
      <c r="G236" s="1" t="str">
        <f ca="1">IFERROR(__xludf.DUMMYFUNCTION("""COMPUTED_VALUE"""),"Departemen Teknik Mesin Industri")</f>
        <v>Departemen Teknik Mesin Industri</v>
      </c>
      <c r="H236" s="1" t="str">
        <f ca="1">IFERROR(__xludf.DUMMYFUNCTION("""COMPUTED_VALUE"""),"Dedy Zulhidayat Noor, S.T., M.T., Ph.D.")</f>
        <v>Dedy Zulhidayat Noor, S.T., M.T., Ph.D.</v>
      </c>
      <c r="I236" s="1" t="str">
        <f ca="1">IFERROR(__xludf.DUMMYFUNCTION("""COMPUTED_VALUE"""),"HANIF AKMAL ARSYI")</f>
        <v>HANIF AKMAL ARSYI</v>
      </c>
      <c r="J236" s="1" t="str">
        <f ca="1">IFERROR(__xludf.DUMMYFUNCTION("""COMPUTED_VALUE"""),"10211810013025")</f>
        <v>10211810013025</v>
      </c>
      <c r="K236" s="1" t="str">
        <f ca="1">IFERROR(__xludf.DUMMYFUNCTION("""COMPUTED_VALUE"""),"Departemen Teknik Mesin Industri")</f>
        <v>Departemen Teknik Mesin Industri</v>
      </c>
      <c r="L236" s="1" t="str">
        <f ca="1">IFERROR(__xludf.DUMMYFUNCTION("""COMPUTED_VALUE"""),"DICKY INDRA ALVIAN")</f>
        <v>DICKY INDRA ALVIAN</v>
      </c>
      <c r="M236" s="1" t="str">
        <f ca="1">IFERROR(__xludf.DUMMYFUNCTION("""COMPUTED_VALUE"""),"10211810013012")</f>
        <v>10211810013012</v>
      </c>
      <c r="N236" s="1" t="str">
        <f ca="1">IFERROR(__xludf.DUMMYFUNCTION("""COMPUTED_VALUE"""),"Departemen Teknik Mesin Industri")</f>
        <v>Departemen Teknik Mesin Industri</v>
      </c>
      <c r="O236" s="1" t="str">
        <f ca="1">IFERROR(__xludf.DUMMYFUNCTION("""COMPUTED_VALUE"""),"HERLINA RISKA NADIAR PUTRI")</f>
        <v>HERLINA RISKA NADIAR PUTRI</v>
      </c>
      <c r="P236" s="1" t="str">
        <f ca="1">IFERROR(__xludf.DUMMYFUNCTION("""COMPUTED_VALUE"""),"10211810013021")</f>
        <v>10211810013021</v>
      </c>
      <c r="Q236" s="1" t="str">
        <f ca="1">IFERROR(__xludf.DUMMYFUNCTION("""COMPUTED_VALUE"""),"Departemen Teknik Mesin Industri")</f>
        <v>Departemen Teknik Mesin Industri</v>
      </c>
      <c r="R236" s="1"/>
      <c r="S236" s="1"/>
      <c r="T236" s="1"/>
      <c r="U236" s="1" t="str">
        <f ca="1">IFERROR(__xludf.DUMMYFUNCTION("""COMPUTED_VALUE"""),"Andre Parvian Aristio, S.Kom., M.Sc.")</f>
        <v>Andre Parvian Aristio, S.Kom., M.Sc.</v>
      </c>
      <c r="V236" s="1" t="str">
        <f ca="1">IFERROR(__xludf.DUMMYFUNCTION("""COMPUTED_VALUE"""),"Azzah Dyah Pramata, S.T., M.T., M.Eng., Ph.D.")</f>
        <v>Azzah Dyah Pramata, S.T., M.T., M.Eng., Ph.D.</v>
      </c>
      <c r="W236" s="1" t="str">
        <f ca="1">IFERROR(__xludf.DUMMYFUNCTION("""COMPUTED_VALUE"""),"Arief Abdurrakhman, S.T., M.T.")</f>
        <v>Arief Abdurrakhman, S.T., M.T.</v>
      </c>
      <c r="X236" s="1" t="str">
        <f ca="1">IFERROR(__xludf.DUMMYFUNCTION("""COMPUTED_VALUE"""),"Lolos")</f>
        <v>Lolos</v>
      </c>
      <c r="Y236" s="1"/>
      <c r="Z236" s="1"/>
      <c r="AA236" s="1"/>
    </row>
    <row r="237" spans="1:27">
      <c r="A237" s="1" t="s">
        <v>234</v>
      </c>
      <c r="B237" s="1">
        <f ca="1">IFERROR(__xludf.DUMMYFUNCTION("""COMPUTED_VALUE"""),2607)</f>
        <v>2607</v>
      </c>
      <c r="C237" s="1" t="str">
        <f ca="1">IFERROR(__xludf.DUMMYFUNCTION("""COMPUTED_VALUE"""),"PKM Karya Inovatif")</f>
        <v>PKM Karya Inovatif</v>
      </c>
      <c r="D237" s="1" t="str">
        <f ca="1">IFERROR(__xludf.DUMMYFUNCTION("""COMPUTED_VALUE"""),"Inovasi mesin kristalisasi serbuk dengan metode double jacket")</f>
        <v>Inovasi mesin kristalisasi serbuk dengan metode double jacket</v>
      </c>
      <c r="E237" s="1" t="str">
        <f ca="1">IFERROR(__xludf.DUMMYFUNCTION("""COMPUTED_VALUE"""),"ZULFA VIKRIANDY")</f>
        <v>ZULFA VIKRIANDY</v>
      </c>
      <c r="F237" s="1" t="str">
        <f ca="1">IFERROR(__xludf.DUMMYFUNCTION("""COMPUTED_VALUE"""),"10211810013004")</f>
        <v>10211810013004</v>
      </c>
      <c r="G237" s="1" t="str">
        <f ca="1">IFERROR(__xludf.DUMMYFUNCTION("""COMPUTED_VALUE"""),"Departemen Teknik Mesin Industri")</f>
        <v>Departemen Teknik Mesin Industri</v>
      </c>
      <c r="H237" s="1" t="str">
        <f ca="1">IFERROR(__xludf.DUMMYFUNCTION("""COMPUTED_VALUE"""),"Ir. Nur Husodo, M.S")</f>
        <v>Ir. Nur Husodo, M.S</v>
      </c>
      <c r="I237" s="1" t="str">
        <f ca="1">IFERROR(__xludf.DUMMYFUNCTION("""COMPUTED_VALUE"""),"SYECH MAULANA MALIK")</f>
        <v>SYECH MAULANA MALIK</v>
      </c>
      <c r="J237" s="1" t="str">
        <f ca="1">IFERROR(__xludf.DUMMYFUNCTION("""COMPUTED_VALUE"""),"10211810003008")</f>
        <v>10211810003008</v>
      </c>
      <c r="K237" s="1" t="str">
        <f ca="1">IFERROR(__xludf.DUMMYFUNCTION("""COMPUTED_VALUE"""),"Departemen Teknik Mesin Industri")</f>
        <v>Departemen Teknik Mesin Industri</v>
      </c>
      <c r="L237" s="1" t="str">
        <f ca="1">IFERROR(__xludf.DUMMYFUNCTION("""COMPUTED_VALUE"""),"Dhimas Khamim Eka Putra")</f>
        <v>Dhimas Khamim Eka Putra</v>
      </c>
      <c r="M237" s="1" t="str">
        <f ca="1">IFERROR(__xludf.DUMMYFUNCTION("""COMPUTED_VALUE"""),"07111840000064")</f>
        <v>07111840000064</v>
      </c>
      <c r="N237" s="1" t="str">
        <f ca="1">IFERROR(__xludf.DUMMYFUNCTION("""COMPUTED_VALUE"""),"Departemen Teknik Elektro")</f>
        <v>Departemen Teknik Elektro</v>
      </c>
      <c r="O237" s="1" t="str">
        <f ca="1">IFERROR(__xludf.DUMMYFUNCTION("""COMPUTED_VALUE"""),"YOLANDA PUTRI RAHAYU")</f>
        <v>YOLANDA PUTRI RAHAYU</v>
      </c>
      <c r="P237" s="1" t="str">
        <f ca="1">IFERROR(__xludf.DUMMYFUNCTION("""COMPUTED_VALUE"""),"10311910000008")</f>
        <v>10311910000008</v>
      </c>
      <c r="Q237" s="1" t="str">
        <f ca="1">IFERROR(__xludf.DUMMYFUNCTION("""COMPUTED_VALUE"""),"Departemen Teknik Elektro Otomasi")</f>
        <v>Departemen Teknik Elektro Otomasi</v>
      </c>
      <c r="R237" s="1" t="str">
        <f ca="1">IFERROR(__xludf.DUMMYFUNCTION("""COMPUTED_VALUE"""),"FATIMA AZ ZAHRA")</f>
        <v>FATIMA AZ ZAHRA</v>
      </c>
      <c r="S237" s="1" t="str">
        <f ca="1">IFERROR(__xludf.DUMMYFUNCTION("""COMPUTED_VALUE"""),"10411910000006")</f>
        <v>10411910000006</v>
      </c>
      <c r="T237" s="1" t="str">
        <f ca="1">IFERROR(__xludf.DUMMYFUNCTION("""COMPUTED_VALUE"""),"Departemen Teknik Kimia Industri")</f>
        <v>Departemen Teknik Kimia Industri</v>
      </c>
      <c r="U237" s="1" t="str">
        <f ca="1">IFERROR(__xludf.DUMMYFUNCTION("""COMPUTED_VALUE"""),"Andre Parvian Aristio, S.Kom., M.Sc.")</f>
        <v>Andre Parvian Aristio, S.Kom., M.Sc.</v>
      </c>
      <c r="V237" s="1" t="str">
        <f ca="1">IFERROR(__xludf.DUMMYFUNCTION("""COMPUTED_VALUE"""),"Azzah Dyah Pramata, S.T., M.T., M.Eng., Ph.D.")</f>
        <v>Azzah Dyah Pramata, S.T., M.T., M.Eng., Ph.D.</v>
      </c>
      <c r="W237" s="1" t="str">
        <f ca="1">IFERROR(__xludf.DUMMYFUNCTION("""COMPUTED_VALUE"""),"Arief Abdurrakhman, S.T., M.T.")</f>
        <v>Arief Abdurrakhman, S.T., M.T.</v>
      </c>
      <c r="X237" s="1" t="str">
        <f ca="1">IFERROR(__xludf.DUMMYFUNCTION("""COMPUTED_VALUE"""),"Lolos")</f>
        <v>Lolos</v>
      </c>
      <c r="Y237" s="1"/>
      <c r="Z237" s="1"/>
      <c r="AA237" s="1"/>
    </row>
    <row r="238" spans="1:27">
      <c r="A238" s="1" t="s">
        <v>235</v>
      </c>
      <c r="B238" s="1">
        <f ca="1">IFERROR(__xludf.DUMMYFUNCTION("""COMPUTED_VALUE"""),3499)</f>
        <v>3499</v>
      </c>
      <c r="C238" s="1" t="str">
        <f ca="1">IFERROR(__xludf.DUMMYFUNCTION("""COMPUTED_VALUE"""),"PKM Karya Inovatif")</f>
        <v>PKM Karya Inovatif</v>
      </c>
      <c r="D238" s="1" t="str">
        <f ca="1">IFERROR(__xludf.DUMMYFUNCTION("""COMPUTED_VALUE"""),"Garbage Disposal Sebagai Pembangkit Listrik Alternatif Tenaga Sampah (PLTSa) Berskala Rumah Tangga yang Efisien dan Terjangkau ")</f>
        <v xml:space="preserve">Garbage Disposal Sebagai Pembangkit Listrik Alternatif Tenaga Sampah (PLTSa) Berskala Rumah Tangga yang Efisien dan Terjangkau </v>
      </c>
      <c r="E238" s="1" t="str">
        <f ca="1">IFERROR(__xludf.DUMMYFUNCTION("""COMPUTED_VALUE"""),"RADHWA RASHEESA")</f>
        <v>RADHWA RASHEESA</v>
      </c>
      <c r="F238" s="1" t="str">
        <f ca="1">IFERROR(__xludf.DUMMYFUNCTION("""COMPUTED_VALUE"""),"5022201140")</f>
        <v>5022201140</v>
      </c>
      <c r="G238" s="1" t="str">
        <f ca="1">IFERROR(__xludf.DUMMYFUNCTION("""COMPUTED_VALUE"""),"Departemen Teknik Elektro")</f>
        <v>Departemen Teknik Elektro</v>
      </c>
      <c r="H238" s="1" t="str">
        <f ca="1">IFERROR(__xludf.DUMMYFUNCTION("""COMPUTED_VALUE"""),"Dr. I Gusti Ngurah Satriyadi Hernanda, S.T., M.T.")</f>
        <v>Dr. I Gusti Ngurah Satriyadi Hernanda, S.T., M.T.</v>
      </c>
      <c r="I238" s="1" t="str">
        <f ca="1">IFERROR(__xludf.DUMMYFUNCTION("""COMPUTED_VALUE"""),"SELVIANA P")</f>
        <v>SELVIANA P</v>
      </c>
      <c r="J238" s="1" t="str">
        <f ca="1">IFERROR(__xludf.DUMMYFUNCTION("""COMPUTED_VALUE"""),"2043211068")</f>
        <v>2043211068</v>
      </c>
      <c r="K238" s="1" t="str">
        <f ca="1">IFERROR(__xludf.DUMMYFUNCTION("""COMPUTED_VALUE"""),"Departemen Statistika Bisnis")</f>
        <v>Departemen Statistika Bisnis</v>
      </c>
      <c r="L238" s="1" t="str">
        <f ca="1">IFERROR(__xludf.DUMMYFUNCTION("""COMPUTED_VALUE"""),"DZIKRA ARRAHMAN")</f>
        <v>DZIKRA ARRAHMAN</v>
      </c>
      <c r="M238" s="1" t="str">
        <f ca="1">IFERROR(__xludf.DUMMYFUNCTION("""COMPUTED_VALUE"""),"5007201145")</f>
        <v>5007201145</v>
      </c>
      <c r="N238" s="1" t="str">
        <f ca="1">IFERROR(__xludf.DUMMYFUNCTION("""COMPUTED_VALUE"""),"Departemen Teknik Mesin")</f>
        <v>Departemen Teknik Mesin</v>
      </c>
      <c r="O238" s="1" t="str">
        <f ca="1">IFERROR(__xludf.DUMMYFUNCTION("""COMPUTED_VALUE"""),"Febriyati")</f>
        <v>Febriyati</v>
      </c>
      <c r="P238" s="1" t="str">
        <f ca="1">IFERROR(__xludf.DUMMYFUNCTION("""COMPUTED_VALUE"""),"2041211012")</f>
        <v>2041211012</v>
      </c>
      <c r="Q238" s="1" t="str">
        <f ca="1">IFERROR(__xludf.DUMMYFUNCTION("""COMPUTED_VALUE"""),"Departemen Teknik Kimia Industri")</f>
        <v>Departemen Teknik Kimia Industri</v>
      </c>
      <c r="R238" s="1" t="str">
        <f ca="1">IFERROR(__xludf.DUMMYFUNCTION("""COMPUTED_VALUE"""),"Safira Firdaus P")</f>
        <v>Safira Firdaus P</v>
      </c>
      <c r="S238" s="1" t="str">
        <f ca="1">IFERROR(__xludf.DUMMYFUNCTION("""COMPUTED_VALUE"""),"2041211031")</f>
        <v>2041211031</v>
      </c>
      <c r="T238" s="1" t="str">
        <f ca="1">IFERROR(__xludf.DUMMYFUNCTION("""COMPUTED_VALUE"""),"Departemen Teknik Kimia Industri")</f>
        <v>Departemen Teknik Kimia Industri</v>
      </c>
      <c r="U238" s="1" t="str">
        <f ca="1">IFERROR(__xludf.DUMMYFUNCTION("""COMPUTED_VALUE"""),"Andre Parvian Aristio, S.Kom., M.Sc.")</f>
        <v>Andre Parvian Aristio, S.Kom., M.Sc.</v>
      </c>
      <c r="V238" s="1" t="str">
        <f ca="1">IFERROR(__xludf.DUMMYFUNCTION("""COMPUTED_VALUE"""),"Azzah Dyah Pramata, S.T., M.T., M.Eng., Ph.D.")</f>
        <v>Azzah Dyah Pramata, S.T., M.T., M.Eng., Ph.D.</v>
      </c>
      <c r="W238" s="1" t="str">
        <f ca="1">IFERROR(__xludf.DUMMYFUNCTION("""COMPUTED_VALUE"""),"Arief Abdurrakhman, S.T., M.T.")</f>
        <v>Arief Abdurrakhman, S.T., M.T.</v>
      </c>
      <c r="X238" s="1" t="str">
        <f ca="1">IFERROR(__xludf.DUMMYFUNCTION("""COMPUTED_VALUE"""),"Lolos")</f>
        <v>Lolos</v>
      </c>
      <c r="Y238" s="1"/>
      <c r="Z238" s="1"/>
      <c r="AA238" s="1"/>
    </row>
    <row r="239" spans="1:27">
      <c r="A239" s="1" t="s">
        <v>236</v>
      </c>
      <c r="B239" s="1">
        <f ca="1">IFERROR(__xludf.DUMMYFUNCTION("""COMPUTED_VALUE"""),3794)</f>
        <v>3794</v>
      </c>
      <c r="C239" s="1" t="str">
        <f ca="1">IFERROR(__xludf.DUMMYFUNCTION("""COMPUTED_VALUE"""),"PKM Karya Inovatif")</f>
        <v>PKM Karya Inovatif</v>
      </c>
      <c r="D239" s="1" t="str">
        <f ca="1">IFERROR(__xludf.DUMMYFUNCTION("""COMPUTED_VALUE"""),"(PETE TORAP) Pengecat Tembok Otomatis Berbasis PLC")</f>
        <v>(PETE TORAP) Pengecat Tembok Otomatis Berbasis PLC</v>
      </c>
      <c r="E239" s="1" t="str">
        <f ca="1">IFERROR(__xludf.DUMMYFUNCTION("""COMPUTED_VALUE"""),"IRFAN HAMZAH FANSYURI")</f>
        <v>IRFAN HAMZAH FANSYURI</v>
      </c>
      <c r="F239" s="1" t="str">
        <f ca="1">IFERROR(__xludf.DUMMYFUNCTION("""COMPUTED_VALUE"""),"10311910000055")</f>
        <v>10311910000055</v>
      </c>
      <c r="G239" s="1" t="str">
        <f ca="1">IFERROR(__xludf.DUMMYFUNCTION("""COMPUTED_VALUE"""),"Departemen Teknik Elektro Otomasi")</f>
        <v>Departemen Teknik Elektro Otomasi</v>
      </c>
      <c r="H239" s="1" t="str">
        <f ca="1">IFERROR(__xludf.DUMMYFUNCTION("""COMPUTED_VALUE"""),"Dr.Eng. Imam Wahyudi Farid, S.T., M.T.")</f>
        <v>Dr.Eng. Imam Wahyudi Farid, S.T., M.T.</v>
      </c>
      <c r="I239" s="1" t="str">
        <f ca="1">IFERROR(__xludf.DUMMYFUNCTION("""COMPUTED_VALUE"""),"MUKHAMMAD LIZAM SYIHABUDDIN")</f>
        <v>MUKHAMMAD LIZAM SYIHABUDDIN</v>
      </c>
      <c r="J239" s="1" t="str">
        <f ca="1">IFERROR(__xludf.DUMMYFUNCTION("""COMPUTED_VALUE"""),"10311910000020")</f>
        <v>10311910000020</v>
      </c>
      <c r="K239" s="1" t="str">
        <f ca="1">IFERROR(__xludf.DUMMYFUNCTION("""COMPUTED_VALUE"""),"Departemen Teknik Elektro Otomasi")</f>
        <v>Departemen Teknik Elektro Otomasi</v>
      </c>
      <c r="L239" s="1" t="str">
        <f ca="1">IFERROR(__xludf.DUMMYFUNCTION("""COMPUTED_VALUE"""),"DEWI CANTIKA HERFIEDA")</f>
        <v>DEWI CANTIKA HERFIEDA</v>
      </c>
      <c r="M239" s="1" t="str">
        <f ca="1">IFERROR(__xludf.DUMMYFUNCTION("""COMPUTED_VALUE"""),"2040201083")</f>
        <v>2040201083</v>
      </c>
      <c r="N239" s="1" t="str">
        <f ca="1">IFERROR(__xludf.DUMMYFUNCTION("""COMPUTED_VALUE"""),"Departemen Teknik Elektro Otomasi")</f>
        <v>Departemen Teknik Elektro Otomasi</v>
      </c>
      <c r="O239" s="1"/>
      <c r="P239" s="1"/>
      <c r="Q239" s="1"/>
      <c r="R239" s="1"/>
      <c r="S239" s="1"/>
      <c r="T239" s="1"/>
      <c r="U239" s="1" t="str">
        <f ca="1">IFERROR(__xludf.DUMMYFUNCTION("""COMPUTED_VALUE"""),"Andre Parvian Aristio, S.Kom., M.Sc.")</f>
        <v>Andre Parvian Aristio, S.Kom., M.Sc.</v>
      </c>
      <c r="V239" s="1" t="str">
        <f ca="1">IFERROR(__xludf.DUMMYFUNCTION("""COMPUTED_VALUE"""),"Azzah Dyah Pramata, S.T., M.T., M.Eng., Ph.D.")</f>
        <v>Azzah Dyah Pramata, S.T., M.T., M.Eng., Ph.D.</v>
      </c>
      <c r="W239" s="1" t="str">
        <f ca="1">IFERROR(__xludf.DUMMYFUNCTION("""COMPUTED_VALUE"""),"Arief Abdurrakhman, S.T., M.T.")</f>
        <v>Arief Abdurrakhman, S.T., M.T.</v>
      </c>
      <c r="X239" s="1" t="str">
        <f ca="1">IFERROR(__xludf.DUMMYFUNCTION("""COMPUTED_VALUE"""),"Lolos")</f>
        <v>Lolos</v>
      </c>
      <c r="Y239" s="1"/>
      <c r="Z239" s="1"/>
      <c r="AA239" s="1"/>
    </row>
    <row r="240" spans="1:27">
      <c r="A240" s="1" t="s">
        <v>237</v>
      </c>
      <c r="B240" s="1">
        <f ca="1">IFERROR(__xludf.DUMMYFUNCTION("""COMPUTED_VALUE"""),2259)</f>
        <v>2259</v>
      </c>
      <c r="C240" s="1" t="str">
        <f ca="1">IFERROR(__xludf.DUMMYFUNCTION("""COMPUTED_VALUE"""),"PKM Karya Inovatif")</f>
        <v>PKM Karya Inovatif</v>
      </c>
      <c r="D240" s="1" t="str">
        <f ca="1">IFERROR(__xludf.DUMMYFUNCTION("""COMPUTED_VALUE"""),"PEMANFAATAN TEKNOLOGI DALAM PEMBUATAN MIE UNTUK MENINGKATKAN PRODUKTIVITAS KERJA UMKM DENGAN SISTEM PENGGILING OTOMATIS
")</f>
        <v xml:space="preserve">PEMANFAATAN TEKNOLOGI DALAM PEMBUATAN MIE UNTUK MENINGKATKAN PRODUKTIVITAS KERJA UMKM DENGAN SISTEM PENGGILING OTOMATIS
</v>
      </c>
      <c r="E240" s="1" t="str">
        <f ca="1">IFERROR(__xludf.DUMMYFUNCTION("""COMPUTED_VALUE"""),"ROSYIDATUL MUNAWAROH")</f>
        <v>ROSYIDATUL MUNAWAROH</v>
      </c>
      <c r="F240" s="1" t="str">
        <f ca="1">IFERROR(__xludf.DUMMYFUNCTION("""COMPUTED_VALUE"""),"2042201118")</f>
        <v>2042201118</v>
      </c>
      <c r="G240" s="1" t="str">
        <f ca="1">IFERROR(__xludf.DUMMYFUNCTION("""COMPUTED_VALUE"""),"Departemen Teknik Instrumentasi")</f>
        <v>Departemen Teknik Instrumentasi</v>
      </c>
      <c r="H240" s="1" t="str">
        <f ca="1">IFERROR(__xludf.DUMMYFUNCTION("""COMPUTED_VALUE"""),"Murry Raditya, S.T., M.T.")</f>
        <v>Murry Raditya, S.T., M.T.</v>
      </c>
      <c r="I240" s="1" t="str">
        <f ca="1">IFERROR(__xludf.DUMMYFUNCTION("""COMPUTED_VALUE"""),"Kholid Najih A")</f>
        <v>Kholid Najih A</v>
      </c>
      <c r="J240" s="1" t="str">
        <f ca="1">IFERROR(__xludf.DUMMYFUNCTION("""COMPUTED_VALUE"""),"2039211001")</f>
        <v>2039211001</v>
      </c>
      <c r="K240" s="1" t="str">
        <f ca="1">IFERROR(__xludf.DUMMYFUNCTION("""COMPUTED_VALUE"""),"Departemen Teknik Mesin Industri")</f>
        <v>Departemen Teknik Mesin Industri</v>
      </c>
      <c r="L240" s="1" t="str">
        <f ca="1">IFERROR(__xludf.DUMMYFUNCTION("""COMPUTED_VALUE"""),"RHOHIK MUNTHOHA")</f>
        <v>RHOHIK MUNTHOHA</v>
      </c>
      <c r="M240" s="1" t="str">
        <f ca="1">IFERROR(__xludf.DUMMYFUNCTION("""COMPUTED_VALUE"""),"2038211017")</f>
        <v>2038211017</v>
      </c>
      <c r="N240" s="1" t="str">
        <f ca="1">IFERROR(__xludf.DUMMYFUNCTION("""COMPUTED_VALUE"""),"Departemen Teknik Mesin Industri")</f>
        <v>Departemen Teknik Mesin Industri</v>
      </c>
      <c r="O240" s="1" t="str">
        <f ca="1">IFERROR(__xludf.DUMMYFUNCTION("""COMPUTED_VALUE"""),"VERESA EKA CAHAYA")</f>
        <v>VERESA EKA CAHAYA</v>
      </c>
      <c r="P240" s="1" t="str">
        <f ca="1">IFERROR(__xludf.DUMMYFUNCTION("""COMPUTED_VALUE"""),"2039211010")</f>
        <v>2039211010</v>
      </c>
      <c r="Q240" s="1" t="str">
        <f ca="1">IFERROR(__xludf.DUMMYFUNCTION("""COMPUTED_VALUE"""),"Departemen Teknik Mesin Industri")</f>
        <v>Departemen Teknik Mesin Industri</v>
      </c>
      <c r="R240" s="1" t="str">
        <f ca="1">IFERROR(__xludf.DUMMYFUNCTION("""COMPUTED_VALUE"""),"KHAIRUNNISA HANDAYAN")</f>
        <v>KHAIRUNNISA HANDAYAN</v>
      </c>
      <c r="S240" s="1" t="str">
        <f ca="1">IFERROR(__xludf.DUMMYFUNCTION("""COMPUTED_VALUE"""),"2039211067")</f>
        <v>2039211067</v>
      </c>
      <c r="T240" s="1" t="str">
        <f ca="1">IFERROR(__xludf.DUMMYFUNCTION("""COMPUTED_VALUE"""),"Departemen Teknik Mesin Industri")</f>
        <v>Departemen Teknik Mesin Industri</v>
      </c>
      <c r="U240" s="1" t="str">
        <f ca="1">IFERROR(__xludf.DUMMYFUNCTION("""COMPUTED_VALUE"""),"Andre Parvian Aristio, S.Kom., M.Sc.")</f>
        <v>Andre Parvian Aristio, S.Kom., M.Sc.</v>
      </c>
      <c r="V240" s="1" t="str">
        <f ca="1">IFERROR(__xludf.DUMMYFUNCTION("""COMPUTED_VALUE"""),"Azzah Dyah Pramata, S.T., M.T., M.Eng., Ph.D.")</f>
        <v>Azzah Dyah Pramata, S.T., M.T., M.Eng., Ph.D.</v>
      </c>
      <c r="W240" s="1" t="str">
        <f ca="1">IFERROR(__xludf.DUMMYFUNCTION("""COMPUTED_VALUE"""),"Arief Abdurrakhman, S.T., M.T.")</f>
        <v>Arief Abdurrakhman, S.T., M.T.</v>
      </c>
      <c r="X240" s="1" t="str">
        <f ca="1">IFERROR(__xludf.DUMMYFUNCTION("""COMPUTED_VALUE"""),"Lolos")</f>
        <v>Lolos</v>
      </c>
      <c r="Y240" s="1"/>
      <c r="Z240" s="1"/>
      <c r="AA240" s="1"/>
    </row>
    <row r="241" spans="1:27">
      <c r="A241" s="1" t="s">
        <v>238</v>
      </c>
      <c r="B241" s="1">
        <f ca="1">IFERROR(__xludf.DUMMYFUNCTION("""COMPUTED_VALUE"""),2768)</f>
        <v>2768</v>
      </c>
      <c r="C241" s="1" t="str">
        <f ca="1">IFERROR(__xludf.DUMMYFUNCTION("""COMPUTED_VALUE"""),"PKM Karya Inovatif")</f>
        <v>PKM Karya Inovatif</v>
      </c>
      <c r="D241" s="1" t="str">
        <f ca="1">IFERROR(__xludf.DUMMYFUNCTION("""COMPUTED_VALUE"""),"SOLARITREE: Pohon dan Taman Energi Untuk Membangun Semangat Transisi Energi Terbarukan di Indonesia 2045")</f>
        <v>SOLARITREE: Pohon dan Taman Energi Untuk Membangun Semangat Transisi Energi Terbarukan di Indonesia 2045</v>
      </c>
      <c r="E241" s="1" t="str">
        <f ca="1">IFERROR(__xludf.DUMMYFUNCTION("""COMPUTED_VALUE"""),"MUHAMMAD FARID ASYAM")</f>
        <v>MUHAMMAD FARID ASYAM</v>
      </c>
      <c r="F241" s="1" t="str">
        <f ca="1">IFERROR(__xludf.DUMMYFUNCTION("""COMPUTED_VALUE"""),"5007201059")</f>
        <v>5007201059</v>
      </c>
      <c r="G241" s="1" t="str">
        <f ca="1">IFERROR(__xludf.DUMMYFUNCTION("""COMPUTED_VALUE"""),"Departemen Teknik Mesin")</f>
        <v>Departemen Teknik Mesin</v>
      </c>
      <c r="H241" s="1" t="str">
        <f ca="1">IFERROR(__xludf.DUMMYFUNCTION("""COMPUTED_VALUE"""),"Alief Wikarta, ST., MSc.Eng. Ph.D")</f>
        <v>Alief Wikarta, ST., MSc.Eng. Ph.D</v>
      </c>
      <c r="I241" s="1" t="str">
        <f ca="1">IFERROR(__xludf.DUMMYFUNCTION("""COMPUTED_VALUE"""),"EKA MAYA EVITASARI")</f>
        <v>EKA MAYA EVITASARI</v>
      </c>
      <c r="J241" s="1" t="str">
        <f ca="1">IFERROR(__xludf.DUMMYFUNCTION("""COMPUTED_VALUE"""),"5007201040")</f>
        <v>5007201040</v>
      </c>
      <c r="K241" s="1" t="str">
        <f ca="1">IFERROR(__xludf.DUMMYFUNCTION("""COMPUTED_VALUE"""),"Departemen Teknik Mesin")</f>
        <v>Departemen Teknik Mesin</v>
      </c>
      <c r="L241" s="1" t="str">
        <f ca="1">IFERROR(__xludf.DUMMYFUNCTION("""COMPUTED_VALUE"""),"ZAVIER SHELLANANDA AIRLANGGA WIWAHA")</f>
        <v>ZAVIER SHELLANANDA AIRLANGGA WIWAHA</v>
      </c>
      <c r="M241" s="1" t="str">
        <f ca="1">IFERROR(__xludf.DUMMYFUNCTION("""COMPUTED_VALUE"""),"5007201193")</f>
        <v>5007201193</v>
      </c>
      <c r="N241" s="1" t="str">
        <f ca="1">IFERROR(__xludf.DUMMYFUNCTION("""COMPUTED_VALUE"""),"Departemen Teknik Mesin")</f>
        <v>Departemen Teknik Mesin</v>
      </c>
      <c r="O241" s="1" t="str">
        <f ca="1">IFERROR(__xludf.DUMMYFUNCTION("""COMPUTED_VALUE"""),"EPINDONTA GINTING")</f>
        <v>EPINDONTA GINTING</v>
      </c>
      <c r="P241" s="1" t="str">
        <f ca="1">IFERROR(__xludf.DUMMYFUNCTION("""COMPUTED_VALUE"""),"5007201140")</f>
        <v>5007201140</v>
      </c>
      <c r="Q241" s="1" t="str">
        <f ca="1">IFERROR(__xludf.DUMMYFUNCTION("""COMPUTED_VALUE"""),"Departemen Teknik Mesin")</f>
        <v>Departemen Teknik Mesin</v>
      </c>
      <c r="R241" s="1" t="str">
        <f ca="1">IFERROR(__xludf.DUMMYFUNCTION("""COMPUTED_VALUE"""),"MUHAMMAD ZAKI")</f>
        <v>MUHAMMAD ZAKI</v>
      </c>
      <c r="S241" s="1" t="str">
        <f ca="1">IFERROR(__xludf.DUMMYFUNCTION("""COMPUTED_VALUE"""),"5013201004")</f>
        <v>5013201004</v>
      </c>
      <c r="T241" s="1" t="str">
        <f ca="1">IFERROR(__xludf.DUMMYFUNCTION("""COMPUTED_VALUE"""),"Departemen Arsitektur")</f>
        <v>Departemen Arsitektur</v>
      </c>
      <c r="U241" s="1" t="str">
        <f ca="1">IFERROR(__xludf.DUMMYFUNCTION("""COMPUTED_VALUE"""),"Andre Parvian Aristio, S.Kom., M.Sc.")</f>
        <v>Andre Parvian Aristio, S.Kom., M.Sc.</v>
      </c>
      <c r="V241" s="1" t="str">
        <f ca="1">IFERROR(__xludf.DUMMYFUNCTION("""COMPUTED_VALUE"""),"Azzah Dyah Pramata, S.T., M.T., M.Eng., Ph.D.")</f>
        <v>Azzah Dyah Pramata, S.T., M.T., M.Eng., Ph.D.</v>
      </c>
      <c r="W241" s="1" t="str">
        <f ca="1">IFERROR(__xludf.DUMMYFUNCTION("""COMPUTED_VALUE"""),"Arief Abdurrakhman, S.T., M.T.")</f>
        <v>Arief Abdurrakhman, S.T., M.T.</v>
      </c>
      <c r="X241" s="1" t="str">
        <f ca="1">IFERROR(__xludf.DUMMYFUNCTION("""COMPUTED_VALUE"""),"Lolos")</f>
        <v>Lolos</v>
      </c>
      <c r="Y241" s="1"/>
      <c r="Z241" s="1"/>
      <c r="AA241" s="1"/>
    </row>
    <row r="242" spans="1:27">
      <c r="A242" s="1" t="s">
        <v>239</v>
      </c>
      <c r="B242" s="1">
        <f ca="1">IFERROR(__xludf.DUMMYFUNCTION("""COMPUTED_VALUE"""),3406)</f>
        <v>3406</v>
      </c>
      <c r="C242" s="1" t="str">
        <f ca="1">IFERROR(__xludf.DUMMYFUNCTION("""COMPUTED_VALUE"""),"PKM Karya Inovatif")</f>
        <v>PKM Karya Inovatif</v>
      </c>
      <c r="D242" s="1" t="str">
        <f ca="1">IFERROR(__xludf.DUMMYFUNCTION("""COMPUTED_VALUE"""),"Penerapan Filter Air Rumahan Dalam Kolam Budidaya Ikan")</f>
        <v>Penerapan Filter Air Rumahan Dalam Kolam Budidaya Ikan</v>
      </c>
      <c r="E242" s="1" t="str">
        <f ca="1">IFERROR(__xludf.DUMMYFUNCTION("""COMPUTED_VALUE"""),"BARIQ WAHYU WIDIANSYAH")</f>
        <v>BARIQ WAHYU WIDIANSYAH</v>
      </c>
      <c r="F242" s="1" t="str">
        <f ca="1">IFERROR(__xludf.DUMMYFUNCTION("""COMPUTED_VALUE"""),"5010201168")</f>
        <v>5010201168</v>
      </c>
      <c r="G242" s="1" t="str">
        <f ca="1">IFERROR(__xludf.DUMMYFUNCTION("""COMPUTED_VALUE"""),"Departemen Teknik Sistem dan Industri")</f>
        <v>Departemen Teknik Sistem dan Industri</v>
      </c>
      <c r="H242" s="1" t="str">
        <f ca="1">IFERROR(__xludf.DUMMYFUNCTION("""COMPUTED_VALUE"""),"Dr. Ir. Mokh Suef, M.Sc (Eng)")</f>
        <v>Dr. Ir. Mokh Suef, M.Sc (Eng)</v>
      </c>
      <c r="I242" s="1" t="str">
        <f ca="1">IFERROR(__xludf.DUMMYFUNCTION("""COMPUTED_VALUE"""),"NADYA AYU PINASTHIKA")</f>
        <v>NADYA AYU PINASTHIKA</v>
      </c>
      <c r="J242" s="1" t="str">
        <f ca="1">IFERROR(__xludf.DUMMYFUNCTION("""COMPUTED_VALUE"""),"5010201064")</f>
        <v>5010201064</v>
      </c>
      <c r="K242" s="1" t="str">
        <f ca="1">IFERROR(__xludf.DUMMYFUNCTION("""COMPUTED_VALUE"""),"Departemen Teknik Sistem dan Industri")</f>
        <v>Departemen Teknik Sistem dan Industri</v>
      </c>
      <c r="L242" s="1" t="str">
        <f ca="1">IFERROR(__xludf.DUMMYFUNCTION("""COMPUTED_VALUE"""),"Salsabila Putri N")</f>
        <v>Salsabila Putri N</v>
      </c>
      <c r="M242" s="1" t="str">
        <f ca="1">IFERROR(__xludf.DUMMYFUNCTION("""COMPUTED_VALUE"""),"5010211151")</f>
        <v>5010211151</v>
      </c>
      <c r="N242" s="1" t="str">
        <f ca="1">IFERROR(__xludf.DUMMYFUNCTION("""COMPUTED_VALUE"""),"Departemen Teknik Sistem dan Industri")</f>
        <v>Departemen Teknik Sistem dan Industri</v>
      </c>
      <c r="O242" s="1" t="str">
        <f ca="1">IFERROR(__xludf.DUMMYFUNCTION("""COMPUTED_VALUE"""),"Calista Rindy T. A.")</f>
        <v>Calista Rindy T. A.</v>
      </c>
      <c r="P242" s="1" t="str">
        <f ca="1">IFERROR(__xludf.DUMMYFUNCTION("""COMPUTED_VALUE"""),"5010211022")</f>
        <v>5010211022</v>
      </c>
      <c r="Q242" s="1" t="str">
        <f ca="1">IFERROR(__xludf.DUMMYFUNCTION("""COMPUTED_VALUE"""),"Departemen Teknik Sistem dan Industri")</f>
        <v>Departemen Teknik Sistem dan Industri</v>
      </c>
      <c r="R242" s="1"/>
      <c r="S242" s="1"/>
      <c r="T242" s="1"/>
      <c r="U242" s="1" t="str">
        <f ca="1">IFERROR(__xludf.DUMMYFUNCTION("""COMPUTED_VALUE"""),"Andre Parvian Aristio, S.Kom., M.Sc.")</f>
        <v>Andre Parvian Aristio, S.Kom., M.Sc.</v>
      </c>
      <c r="V242" s="1" t="str">
        <f ca="1">IFERROR(__xludf.DUMMYFUNCTION("""COMPUTED_VALUE"""),"Azzah Dyah Pramata, S.T., M.T., M.Eng., Ph.D.")</f>
        <v>Azzah Dyah Pramata, S.T., M.T., M.Eng., Ph.D.</v>
      </c>
      <c r="W242" s="1" t="str">
        <f ca="1">IFERROR(__xludf.DUMMYFUNCTION("""COMPUTED_VALUE"""),"Arief Abdurrakhman, S.T., M.T.")</f>
        <v>Arief Abdurrakhman, S.T., M.T.</v>
      </c>
      <c r="X242" s="1" t="str">
        <f ca="1">IFERROR(__xludf.DUMMYFUNCTION("""COMPUTED_VALUE"""),"Lolos")</f>
        <v>Lolos</v>
      </c>
      <c r="Y242" s="1"/>
      <c r="Z242" s="1"/>
      <c r="AA242" s="1"/>
    </row>
    <row r="243" spans="1:27">
      <c r="A243" s="1" t="s">
        <v>240</v>
      </c>
      <c r="B243" s="1">
        <f ca="1">IFERROR(__xludf.DUMMYFUNCTION("""COMPUTED_VALUE"""),2115)</f>
        <v>2115</v>
      </c>
      <c r="C243" s="1" t="str">
        <f ca="1">IFERROR(__xludf.DUMMYFUNCTION("""COMPUTED_VALUE"""),"PKM Karya Inovatif")</f>
        <v>PKM Karya Inovatif</v>
      </c>
      <c r="D243" s="1" t="str">
        <f ca="1">IFERROR(__xludf.DUMMYFUNCTION("""COMPUTED_VALUE"""),"Pembuatan Situs Donasi Barang Bekas Berbasis Web-service untuk Memfasilitasi Distribusi Barang antara Donatur dengan Penerima")</f>
        <v>Pembuatan Situs Donasi Barang Bekas Berbasis Web-service untuk Memfasilitasi Distribusi Barang antara Donatur dengan Penerima</v>
      </c>
      <c r="E243" s="1" t="str">
        <f ca="1">IFERROR(__xludf.DUMMYFUNCTION("""COMPUTED_VALUE"""),"TEGAR GANANG SATRIO PRIAMBODO")</f>
        <v>TEGAR GANANG SATRIO PRIAMBODO</v>
      </c>
      <c r="F243" s="1" t="str">
        <f ca="1">IFERROR(__xludf.DUMMYFUNCTION("""COMPUTED_VALUE"""),"5025201002")</f>
        <v>5025201002</v>
      </c>
      <c r="G243" s="1" t="str">
        <f ca="1">IFERROR(__xludf.DUMMYFUNCTION("""COMPUTED_VALUE"""),"Departemen Teknik Informatika")</f>
        <v>Departemen Teknik Informatika</v>
      </c>
      <c r="H243" s="1" t="str">
        <f ca="1">IFERROR(__xludf.DUMMYFUNCTION("""COMPUTED_VALUE"""),"Dr.Eng. Chastine Fatichah, S.Kom., M.Kom.")</f>
        <v>Dr.Eng. Chastine Fatichah, S.Kom., M.Kom.</v>
      </c>
      <c r="I243" s="1" t="str">
        <f ca="1">IFERROR(__xludf.DUMMYFUNCTION("""COMPUTED_VALUE"""),"MOHAMAD KHOLID BUGHOWI")</f>
        <v>MOHAMAD KHOLID BUGHOWI</v>
      </c>
      <c r="J243" s="1" t="str">
        <f ca="1">IFERROR(__xludf.DUMMYFUNCTION("""COMPUTED_VALUE"""),"5025201253")</f>
        <v>5025201253</v>
      </c>
      <c r="K243" s="1" t="str">
        <f ca="1">IFERROR(__xludf.DUMMYFUNCTION("""COMPUTED_VALUE"""),"Departemen Teknik Informatika")</f>
        <v>Departemen Teknik Informatika</v>
      </c>
      <c r="L243" s="1" t="str">
        <f ca="1">IFERROR(__xludf.DUMMYFUNCTION("""COMPUTED_VALUE"""),"AIFFAH KIYSA WAAFI")</f>
        <v>AIFFAH KIYSA WAAFI</v>
      </c>
      <c r="M243" s="1" t="str">
        <f ca="1">IFERROR(__xludf.DUMMYFUNCTION("""COMPUTED_VALUE"""),"5025201202")</f>
        <v>5025201202</v>
      </c>
      <c r="N243" s="1" t="str">
        <f ca="1">IFERROR(__xludf.DUMMYFUNCTION("""COMPUTED_VALUE"""),"Departemen Teknik Informatika")</f>
        <v>Departemen Teknik Informatika</v>
      </c>
      <c r="O243" s="1" t="str">
        <f ca="1">IFERROR(__xludf.DUMMYFUNCTION("""COMPUTED_VALUE"""),"LUTHFIYYAH HANIFAH AMARI")</f>
        <v>LUTHFIYYAH HANIFAH AMARI</v>
      </c>
      <c r="P243" s="1" t="str">
        <f ca="1">IFERROR(__xludf.DUMMYFUNCTION("""COMPUTED_VALUE"""),"5025201090")</f>
        <v>5025201090</v>
      </c>
      <c r="Q243" s="1" t="str">
        <f ca="1">IFERROR(__xludf.DUMMYFUNCTION("""COMPUTED_VALUE"""),"Departemen Teknik Informatika")</f>
        <v>Departemen Teknik Informatika</v>
      </c>
      <c r="R243" s="1" t="str">
        <f ca="1">IFERROR(__xludf.DUMMYFUNCTION("""COMPUTED_VALUE"""),"RAFI KURNIA SUJIWANA")</f>
        <v>RAFI KURNIA SUJIWANA</v>
      </c>
      <c r="S243" s="1" t="str">
        <f ca="1">IFERROR(__xludf.DUMMYFUNCTION("""COMPUTED_VALUE"""),"5026211034")</f>
        <v>5026211034</v>
      </c>
      <c r="T243" s="1" t="str">
        <f ca="1">IFERROR(__xludf.DUMMYFUNCTION("""COMPUTED_VALUE"""),"Departemen Sistem Informasi")</f>
        <v>Departemen Sistem Informasi</v>
      </c>
      <c r="U243" s="1" t="str">
        <f ca="1">IFERROR(__xludf.DUMMYFUNCTION("""COMPUTED_VALUE"""),"Mohammad Khoirul Effendi, S.T., M.Sc.Eng., Ph.D.")</f>
        <v>Mohammad Khoirul Effendi, S.T., M.Sc.Eng., Ph.D.</v>
      </c>
      <c r="V243" s="1" t="str">
        <f ca="1">IFERROR(__xludf.DUMMYFUNCTION("""COMPUTED_VALUE"""),"Azzah Dyah Pramata, S.T., M.T., M.Eng., Ph.D.")</f>
        <v>Azzah Dyah Pramata, S.T., M.T., M.Eng., Ph.D.</v>
      </c>
      <c r="W243" s="1" t="str">
        <f ca="1">IFERROR(__xludf.DUMMYFUNCTION("""COMPUTED_VALUE"""),"Arief Abdurrakhman, S.T., M.T.")</f>
        <v>Arief Abdurrakhman, S.T., M.T.</v>
      </c>
      <c r="X243" s="1" t="str">
        <f ca="1">IFERROR(__xludf.DUMMYFUNCTION("""COMPUTED_VALUE"""),"Lolos")</f>
        <v>Lolos</v>
      </c>
      <c r="Y243" s="1"/>
      <c r="Z243" s="1"/>
      <c r="AA243" s="1"/>
    </row>
    <row r="244" spans="1:27">
      <c r="A244" s="1" t="s">
        <v>241</v>
      </c>
      <c r="B244" s="1">
        <f ca="1">IFERROR(__xludf.DUMMYFUNCTION("""COMPUTED_VALUE"""),2419)</f>
        <v>2419</v>
      </c>
      <c r="C244" s="1" t="str">
        <f ca="1">IFERROR(__xludf.DUMMYFUNCTION("""COMPUTED_VALUE"""),"PKM Karya Inovatif")</f>
        <v>PKM Karya Inovatif</v>
      </c>
      <c r="D244" s="1" t="str">
        <f ca="1">IFERROR(__xludf.DUMMYFUNCTION("""COMPUTED_VALUE"""),"Alat Pemantau Kualitas Udara untuk Mitigasi Kegagalan Teknologi di Kawasan Industri Gresik berbasis Aplikasi.")</f>
        <v>Alat Pemantau Kualitas Udara untuk Mitigasi Kegagalan Teknologi di Kawasan Industri Gresik berbasis Aplikasi.</v>
      </c>
      <c r="E244" s="1" t="str">
        <f ca="1">IFERROR(__xludf.DUMMYFUNCTION("""COMPUTED_VALUE"""),"MUHAMMAD ZANUAR")</f>
        <v>MUHAMMAD ZANUAR</v>
      </c>
      <c r="F244" s="1" t="str">
        <f ca="1">IFERROR(__xludf.DUMMYFUNCTION("""COMPUTED_VALUE"""),"2042201088")</f>
        <v>2042201088</v>
      </c>
      <c r="G244" s="1" t="str">
        <f ca="1">IFERROR(__xludf.DUMMYFUNCTION("""COMPUTED_VALUE"""),"Departemen Teknik Instrumentasi")</f>
        <v>Departemen Teknik Instrumentasi</v>
      </c>
      <c r="H244" s="1" t="str">
        <f ca="1">IFERROR(__xludf.DUMMYFUNCTION("""COMPUTED_VALUE"""),"Ahmad Fauzan Adziimaa, S.T., M.Sc.")</f>
        <v>Ahmad Fauzan Adziimaa, S.T., M.Sc.</v>
      </c>
      <c r="I244" s="1" t="str">
        <f ca="1">IFERROR(__xludf.DUMMYFUNCTION("""COMPUTED_VALUE"""),"ERVIN DARMAWAN")</f>
        <v>ERVIN DARMAWAN</v>
      </c>
      <c r="J244" s="1" t="str">
        <f ca="1">IFERROR(__xludf.DUMMYFUNCTION("""COMPUTED_VALUE"""),"10511910000026")</f>
        <v>10511910000026</v>
      </c>
      <c r="K244" s="1" t="str">
        <f ca="1">IFERROR(__xludf.DUMMYFUNCTION("""COMPUTED_VALUE"""),"Departemen Teknik Instrumentasi")</f>
        <v>Departemen Teknik Instrumentasi</v>
      </c>
      <c r="L244" s="1" t="str">
        <f ca="1">IFERROR(__xludf.DUMMYFUNCTION("""COMPUTED_VALUE"""),"PUTRI SITTI NAIMA ")</f>
        <v xml:space="preserve">PUTRI SITTI NAIMA </v>
      </c>
      <c r="M244" s="1" t="str">
        <f ca="1">IFERROR(__xludf.DUMMYFUNCTION("""COMPUTED_VALUE"""),"2035201059")</f>
        <v>2035201059</v>
      </c>
      <c r="N244" s="1" t="str">
        <f ca="1">IFERROR(__xludf.DUMMYFUNCTION("""COMPUTED_VALUE"""),"Departemen Teknik Infrastruktur Sipil")</f>
        <v>Departemen Teknik Infrastruktur Sipil</v>
      </c>
      <c r="O244" s="1" t="str">
        <f ca="1">IFERROR(__xludf.DUMMYFUNCTION("""COMPUTED_VALUE"""),"FIRSTAMA PANDUWINATA IFTIAWAN")</f>
        <v>FIRSTAMA PANDUWINATA IFTIAWAN</v>
      </c>
      <c r="P244" s="1" t="str">
        <f ca="1">IFERROR(__xludf.DUMMYFUNCTION("""COMPUTED_VALUE"""),"2035201068")</f>
        <v>2035201068</v>
      </c>
      <c r="Q244" s="1" t="str">
        <f ca="1">IFERROR(__xludf.DUMMYFUNCTION("""COMPUTED_VALUE"""),"Departemen Teknik Infrastruktur Sipil")</f>
        <v>Departemen Teknik Infrastruktur Sipil</v>
      </c>
      <c r="R244" s="1"/>
      <c r="S244" s="1"/>
      <c r="T244" s="1"/>
      <c r="U244" s="1" t="str">
        <f ca="1">IFERROR(__xludf.DUMMYFUNCTION("""COMPUTED_VALUE"""),"Andre Parvian Aristio, S.Kom., M.Sc.")</f>
        <v>Andre Parvian Aristio, S.Kom., M.Sc.</v>
      </c>
      <c r="V244" s="1" t="str">
        <f ca="1">IFERROR(__xludf.DUMMYFUNCTION("""COMPUTED_VALUE"""),"Azzah Dyah Pramata, S.T., M.T., M.Eng., Ph.D.")</f>
        <v>Azzah Dyah Pramata, S.T., M.T., M.Eng., Ph.D.</v>
      </c>
      <c r="W244" s="1" t="str">
        <f ca="1">IFERROR(__xludf.DUMMYFUNCTION("""COMPUTED_VALUE"""),"Arief Abdurrakhman, S.T., M.T.")</f>
        <v>Arief Abdurrakhman, S.T., M.T.</v>
      </c>
      <c r="X244" s="1" t="str">
        <f ca="1">IFERROR(__xludf.DUMMYFUNCTION("""COMPUTED_VALUE"""),"Lolos")</f>
        <v>Lolos</v>
      </c>
      <c r="Y244" s="1"/>
      <c r="Z244" s="1"/>
      <c r="AA244" s="1"/>
    </row>
    <row r="245" spans="1:27">
      <c r="A245" s="1" t="s">
        <v>233</v>
      </c>
      <c r="B245" s="1">
        <f ca="1">IFERROR(__xludf.DUMMYFUNCTION("""COMPUTED_VALUE"""),3172)</f>
        <v>3172</v>
      </c>
      <c r="C245" s="1" t="str">
        <f ca="1">IFERROR(__xludf.DUMMYFUNCTION("""COMPUTED_VALUE"""),"PKM Karya Inovatif")</f>
        <v>PKM Karya Inovatif</v>
      </c>
      <c r="D245" s="1" t="str">
        <f ca="1">IFERROR(__xludf.DUMMYFUNCTION("""COMPUTED_VALUE"""),"Inovasi mesin PPO 222  ( Pageantry and Parer Onion) secara otomatis guna mempermudah proses perajangan serta pemisahan kulit bawang")</f>
        <v>Inovasi mesin PPO 222  ( Pageantry and Parer Onion) secara otomatis guna mempermudah proses perajangan serta pemisahan kulit bawang</v>
      </c>
      <c r="E245" s="1" t="str">
        <f ca="1">IFERROR(__xludf.DUMMYFUNCTION("""COMPUTED_VALUE"""),"FIKRI AZRUR ARIF MAULANA")</f>
        <v>FIKRI AZRUR ARIF MAULANA</v>
      </c>
      <c r="F245" s="1" t="str">
        <f ca="1">IFERROR(__xludf.DUMMYFUNCTION("""COMPUTED_VALUE"""),"10211810013017")</f>
        <v>10211810013017</v>
      </c>
      <c r="G245" s="1" t="str">
        <f ca="1">IFERROR(__xludf.DUMMYFUNCTION("""COMPUTED_VALUE"""),"Departemen Teknik Mesin Industri")</f>
        <v>Departemen Teknik Mesin Industri</v>
      </c>
      <c r="H245" s="1" t="str">
        <f ca="1">IFERROR(__xludf.DUMMYFUNCTION("""COMPUTED_VALUE"""),"Dedy Zulhidayat Noor, S.T., M.T., Ph.D.")</f>
        <v>Dedy Zulhidayat Noor, S.T., M.T., Ph.D.</v>
      </c>
      <c r="I245" s="1" t="str">
        <f ca="1">IFERROR(__xludf.DUMMYFUNCTION("""COMPUTED_VALUE"""),"DICKY INDRA ALVIAN")</f>
        <v>DICKY INDRA ALVIAN</v>
      </c>
      <c r="J245" s="1" t="str">
        <f ca="1">IFERROR(__xludf.DUMMYFUNCTION("""COMPUTED_VALUE"""),"10211810013012")</f>
        <v>10211810013012</v>
      </c>
      <c r="K245" s="1" t="str">
        <f ca="1">IFERROR(__xludf.DUMMYFUNCTION("""COMPUTED_VALUE"""),"Departemen Teknik Mesin Industri")</f>
        <v>Departemen Teknik Mesin Industri</v>
      </c>
      <c r="L245" s="1" t="str">
        <f ca="1">IFERROR(__xludf.DUMMYFUNCTION("""COMPUTED_VALUE"""),"HANIF AKMAL ARSYI")</f>
        <v>HANIF AKMAL ARSYI</v>
      </c>
      <c r="M245" s="1" t="str">
        <f ca="1">IFERROR(__xludf.DUMMYFUNCTION("""COMPUTED_VALUE"""),"10211810013025")</f>
        <v>10211810013025</v>
      </c>
      <c r="N245" s="1" t="str">
        <f ca="1">IFERROR(__xludf.DUMMYFUNCTION("""COMPUTED_VALUE"""),"Departemen Teknik Mesin Industri")</f>
        <v>Departemen Teknik Mesin Industri</v>
      </c>
      <c r="O245" s="1" t="str">
        <f ca="1">IFERROR(__xludf.DUMMYFUNCTION("""COMPUTED_VALUE"""),"HERLINA RISKA NADIAR PUTRI")</f>
        <v>HERLINA RISKA NADIAR PUTRI</v>
      </c>
      <c r="P245" s="1" t="str">
        <f ca="1">IFERROR(__xludf.DUMMYFUNCTION("""COMPUTED_VALUE"""),"10211810013021")</f>
        <v>10211810013021</v>
      </c>
      <c r="Q245" s="1" t="str">
        <f ca="1">IFERROR(__xludf.DUMMYFUNCTION("""COMPUTED_VALUE"""),"Departemen Teknik Mesin Industri")</f>
        <v>Departemen Teknik Mesin Industri</v>
      </c>
      <c r="R245" s="1"/>
      <c r="S245" s="1"/>
      <c r="T245" s="1"/>
      <c r="U245" s="1" t="str">
        <f ca="1">IFERROR(__xludf.DUMMYFUNCTION("""COMPUTED_VALUE"""),"Andre Parvian Aristio, S.Kom., M.Sc.")</f>
        <v>Andre Parvian Aristio, S.Kom., M.Sc.</v>
      </c>
      <c r="V245" s="1" t="str">
        <f ca="1">IFERROR(__xludf.DUMMYFUNCTION("""COMPUTED_VALUE"""),"Azzah Dyah Pramata, S.T., M.T., M.Eng., Ph.D.")</f>
        <v>Azzah Dyah Pramata, S.T., M.T., M.Eng., Ph.D.</v>
      </c>
      <c r="W245" s="1" t="str">
        <f ca="1">IFERROR(__xludf.DUMMYFUNCTION("""COMPUTED_VALUE"""),"Arief Abdurrakhman, S.T., M.T.")</f>
        <v>Arief Abdurrakhman, S.T., M.T.</v>
      </c>
      <c r="X245" s="1" t="str">
        <f ca="1">IFERROR(__xludf.DUMMYFUNCTION("""COMPUTED_VALUE"""),"Lolos")</f>
        <v>Lolos</v>
      </c>
      <c r="Y245" s="1"/>
      <c r="Z245" s="1"/>
      <c r="AA245" s="1"/>
    </row>
    <row r="246" spans="1:27">
      <c r="A246" s="1" t="s">
        <v>242</v>
      </c>
      <c r="B246" s="1">
        <f ca="1">IFERROR(__xludf.DUMMYFUNCTION("""COMPUTED_VALUE"""),3304)</f>
        <v>3304</v>
      </c>
      <c r="C246" s="1" t="str">
        <f ca="1">IFERROR(__xludf.DUMMYFUNCTION("""COMPUTED_VALUE"""),"PKM Karya Inovatif")</f>
        <v>PKM Karya Inovatif</v>
      </c>
      <c r="D246" s="1" t="str">
        <f ca="1">IFERROR(__xludf.DUMMYFUNCTION("""COMPUTED_VALUE"""),"Cyclone Separator untuk Pemisah Biji dan Kulit sorgum")</f>
        <v>Cyclone Separator untuk Pemisah Biji dan Kulit sorgum</v>
      </c>
      <c r="E246" s="1" t="str">
        <f ca="1">IFERROR(__xludf.DUMMYFUNCTION("""COMPUTED_VALUE"""),"HANIF AKMAL ARSYI")</f>
        <v>HANIF AKMAL ARSYI</v>
      </c>
      <c r="F246" s="1" t="str">
        <f ca="1">IFERROR(__xludf.DUMMYFUNCTION("""COMPUTED_VALUE"""),"10211810013025")</f>
        <v>10211810013025</v>
      </c>
      <c r="G246" s="1" t="str">
        <f ca="1">IFERROR(__xludf.DUMMYFUNCTION("""COMPUTED_VALUE"""),"Departemen Teknik Mesin Industri")</f>
        <v>Departemen Teknik Mesin Industri</v>
      </c>
      <c r="H246" s="1" t="str">
        <f ca="1">IFERROR(__xludf.DUMMYFUNCTION("""COMPUTED_VALUE"""),"Dedy Zulhidayat Noor, S.T., M.T., Ph.D.")</f>
        <v>Dedy Zulhidayat Noor, S.T., M.T., Ph.D.</v>
      </c>
      <c r="I246" s="1" t="str">
        <f ca="1">IFERROR(__xludf.DUMMYFUNCTION("""COMPUTED_VALUE"""),"FIKRI AZRUR ARIF MAULANA")</f>
        <v>FIKRI AZRUR ARIF MAULANA</v>
      </c>
      <c r="J246" s="1" t="str">
        <f ca="1">IFERROR(__xludf.DUMMYFUNCTION("""COMPUTED_VALUE"""),"10211810013017")</f>
        <v>10211810013017</v>
      </c>
      <c r="K246" s="1" t="str">
        <f ca="1">IFERROR(__xludf.DUMMYFUNCTION("""COMPUTED_VALUE"""),"Departemen Teknik Mesin Industri")</f>
        <v>Departemen Teknik Mesin Industri</v>
      </c>
      <c r="L246" s="1" t="str">
        <f ca="1">IFERROR(__xludf.DUMMYFUNCTION("""COMPUTED_VALUE"""),"DICKY INDRA ALVIAN")</f>
        <v>DICKY INDRA ALVIAN</v>
      </c>
      <c r="M246" s="1" t="str">
        <f ca="1">IFERROR(__xludf.DUMMYFUNCTION("""COMPUTED_VALUE"""),"10211810013012")</f>
        <v>10211810013012</v>
      </c>
      <c r="N246" s="1" t="str">
        <f ca="1">IFERROR(__xludf.DUMMYFUNCTION("""COMPUTED_VALUE"""),"Departemen Teknik Mesin Industri")</f>
        <v>Departemen Teknik Mesin Industri</v>
      </c>
      <c r="O246" s="1" t="str">
        <f ca="1">IFERROR(__xludf.DUMMYFUNCTION("""COMPUTED_VALUE"""),"HERLINA RISKA NADIAR PUTRI")</f>
        <v>HERLINA RISKA NADIAR PUTRI</v>
      </c>
      <c r="P246" s="1" t="str">
        <f ca="1">IFERROR(__xludf.DUMMYFUNCTION("""COMPUTED_VALUE"""),"10211810013021")</f>
        <v>10211810013021</v>
      </c>
      <c r="Q246" s="1" t="str">
        <f ca="1">IFERROR(__xludf.DUMMYFUNCTION("""COMPUTED_VALUE"""),"Departemen Teknik Mesin Industri")</f>
        <v>Departemen Teknik Mesin Industri</v>
      </c>
      <c r="R246" s="1"/>
      <c r="S246" s="1"/>
      <c r="T246" s="1"/>
      <c r="U246" s="1" t="str">
        <f ca="1">IFERROR(__xludf.DUMMYFUNCTION("""COMPUTED_VALUE"""),"Andre Parvian Aristio, S.Kom., M.Sc.")</f>
        <v>Andre Parvian Aristio, S.Kom., M.Sc.</v>
      </c>
      <c r="V246" s="1" t="str">
        <f ca="1">IFERROR(__xludf.DUMMYFUNCTION("""COMPUTED_VALUE"""),"Azzah Dyah Pramata, S.T., M.T., M.Eng., Ph.D.")</f>
        <v>Azzah Dyah Pramata, S.T., M.T., M.Eng., Ph.D.</v>
      </c>
      <c r="W246" s="1" t="str">
        <f ca="1">IFERROR(__xludf.DUMMYFUNCTION("""COMPUTED_VALUE"""),"Arief Abdurrakhman, S.T., M.T.")</f>
        <v>Arief Abdurrakhman, S.T., M.T.</v>
      </c>
      <c r="X246" s="1" t="str">
        <f ca="1">IFERROR(__xludf.DUMMYFUNCTION("""COMPUTED_VALUE"""),"Lolos")</f>
        <v>Lolos</v>
      </c>
      <c r="Y246" s="1"/>
      <c r="Z246" s="1"/>
      <c r="AA246" s="1"/>
    </row>
    <row r="247" spans="1:27">
      <c r="A247" s="1" t="s">
        <v>243</v>
      </c>
      <c r="B247" s="1">
        <f ca="1">IFERROR(__xludf.DUMMYFUNCTION("""COMPUTED_VALUE"""),2231)</f>
        <v>2231</v>
      </c>
      <c r="C247" s="1" t="str">
        <f ca="1">IFERROR(__xludf.DUMMYFUNCTION("""COMPUTED_VALUE"""),"PKM Karya Inovatif")</f>
        <v>PKM Karya Inovatif</v>
      </c>
      <c r="D247" s="1" t="str">
        <f ca="1">IFERROR(__xludf.DUMMYFUNCTION("""COMPUTED_VALUE"""),"TRACO: Sistem Pengumpulan Sampah Berbasis Reverse Vending Machine
")</f>
        <v xml:space="preserve">TRACO: Sistem Pengumpulan Sampah Berbasis Reverse Vending Machine
</v>
      </c>
      <c r="E247" s="1" t="str">
        <f ca="1">IFERROR(__xludf.DUMMYFUNCTION("""COMPUTED_VALUE"""),"Titus Patrick L. S")</f>
        <v>Titus Patrick L. S</v>
      </c>
      <c r="F247" s="1" t="str">
        <f ca="1">IFERROR(__xludf.DUMMYFUNCTION("""COMPUTED_VALUE"""),"5026211027")</f>
        <v>5026211027</v>
      </c>
      <c r="G247" s="1" t="str">
        <f ca="1">IFERROR(__xludf.DUMMYFUNCTION("""COMPUTED_VALUE"""),"Departemen Sistem Informasi")</f>
        <v>Departemen Sistem Informasi</v>
      </c>
      <c r="H247" s="1" t="str">
        <f ca="1">IFERROR(__xludf.DUMMYFUNCTION("""COMPUTED_VALUE"""),"Nisfu Asrul Sani, S.Kom., M.Sc.")</f>
        <v>Nisfu Asrul Sani, S.Kom., M.Sc.</v>
      </c>
      <c r="I247" s="1" t="str">
        <f ca="1">IFERROR(__xludf.DUMMYFUNCTION("""COMPUTED_VALUE"""),"JENIFER VICTORIA J A")</f>
        <v>JENIFER VICTORIA J A</v>
      </c>
      <c r="J247" s="1" t="str">
        <f ca="1">IFERROR(__xludf.DUMMYFUNCTION("""COMPUTED_VALUE"""),"5026211068")</f>
        <v>5026211068</v>
      </c>
      <c r="K247" s="1" t="str">
        <f ca="1">IFERROR(__xludf.DUMMYFUNCTION("""COMPUTED_VALUE"""),"Departemen Sistem Informasi")</f>
        <v>Departemen Sistem Informasi</v>
      </c>
      <c r="L247" s="1" t="str">
        <f ca="1">IFERROR(__xludf.DUMMYFUNCTION("""COMPUTED_VALUE"""),"Melatie Raghyl Putri")</f>
        <v>Melatie Raghyl Putri</v>
      </c>
      <c r="M247" s="1" t="str">
        <f ca="1">IFERROR(__xludf.DUMMYFUNCTION("""COMPUTED_VALUE"""),"5026211017")</f>
        <v>5026211017</v>
      </c>
      <c r="N247" s="1" t="str">
        <f ca="1">IFERROR(__xludf.DUMMYFUNCTION("""COMPUTED_VALUE"""),"Departemen Sistem Informasi")</f>
        <v>Departemen Sistem Informasi</v>
      </c>
      <c r="O247" s="1" t="str">
        <f ca="1">IFERROR(__xludf.DUMMYFUNCTION("""COMPUTED_VALUE"""),"NABILAH AZHARUDIN")</f>
        <v>NABILAH AZHARUDIN</v>
      </c>
      <c r="P247" s="1" t="str">
        <f ca="1">IFERROR(__xludf.DUMMYFUNCTION("""COMPUTED_VALUE"""),"5003211093")</f>
        <v>5003211093</v>
      </c>
      <c r="Q247" s="1" t="str">
        <f ca="1">IFERROR(__xludf.DUMMYFUNCTION("""COMPUTED_VALUE"""),"Departemen Statistika")</f>
        <v>Departemen Statistika</v>
      </c>
      <c r="R247" s="1" t="str">
        <f ca="1">IFERROR(__xludf.DUMMYFUNCTION("""COMPUTED_VALUE"""),"Campin Waladsae A")</f>
        <v>Campin Waladsae A</v>
      </c>
      <c r="S247" s="1" t="str">
        <f ca="1">IFERROR(__xludf.DUMMYFUNCTION("""COMPUTED_VALUE"""),"5026211050")</f>
        <v>5026211050</v>
      </c>
      <c r="T247" s="1" t="str">
        <f ca="1">IFERROR(__xludf.DUMMYFUNCTION("""COMPUTED_VALUE"""),"Departemen Sistem Informasi")</f>
        <v>Departemen Sistem Informasi</v>
      </c>
      <c r="U247" s="1" t="str">
        <f ca="1">IFERROR(__xludf.DUMMYFUNCTION("""COMPUTED_VALUE"""),"Mohammad Khoirul Effendi, S.T., M.Sc.Eng., Ph.D.")</f>
        <v>Mohammad Khoirul Effendi, S.T., M.Sc.Eng., Ph.D.</v>
      </c>
      <c r="V247" s="1" t="str">
        <f ca="1">IFERROR(__xludf.DUMMYFUNCTION("""COMPUTED_VALUE"""),"Azzah Dyah Pramata, S.T., M.T., M.Eng., Ph.D.")</f>
        <v>Azzah Dyah Pramata, S.T., M.T., M.Eng., Ph.D.</v>
      </c>
      <c r="W247" s="1" t="str">
        <f ca="1">IFERROR(__xludf.DUMMYFUNCTION("""COMPUTED_VALUE"""),"Arief Abdurrakhman, S.T., M.T.")</f>
        <v>Arief Abdurrakhman, S.T., M.T.</v>
      </c>
      <c r="X247" s="1" t="str">
        <f ca="1">IFERROR(__xludf.DUMMYFUNCTION("""COMPUTED_VALUE"""),"Karantina")</f>
        <v>Karantina</v>
      </c>
      <c r="Y247" s="1"/>
      <c r="Z247" s="1"/>
      <c r="AA247" s="1"/>
    </row>
    <row r="248" spans="1:27">
      <c r="A248" s="1" t="s">
        <v>244</v>
      </c>
      <c r="B248" s="1">
        <f ca="1">IFERROR(__xludf.DUMMYFUNCTION("""COMPUTED_VALUE"""),3649)</f>
        <v>3649</v>
      </c>
      <c r="C248" s="1" t="str">
        <f ca="1">IFERROR(__xludf.DUMMYFUNCTION("""COMPUTED_VALUE"""),"PKM Karya Inovatif")</f>
        <v>PKM Karya Inovatif</v>
      </c>
      <c r="D248" s="1" t="str">
        <f ca="1">IFERROR(__xludf.DUMMYFUNCTION("""COMPUTED_VALUE"""),"Aplikasi Jejaring PKM Mahasiswa Dengan Fitur Profile Matching untuk Mendapatkan Komposisi Tim PKM Ideal")</f>
        <v>Aplikasi Jejaring PKM Mahasiswa Dengan Fitur Profile Matching untuk Mendapatkan Komposisi Tim PKM Ideal</v>
      </c>
      <c r="E248" s="1" t="str">
        <f ca="1">IFERROR(__xludf.DUMMYFUNCTION("""COMPUTED_VALUE"""),"Mohammad Yusqi Shoubil Haq")</f>
        <v>Mohammad Yusqi Shoubil Haq</v>
      </c>
      <c r="F248" s="1" t="str">
        <f ca="1">IFERROR(__xludf.DUMMYFUNCTION("""COMPUTED_VALUE"""),"04211941000012")</f>
        <v>04211941000012</v>
      </c>
      <c r="G248" s="1" t="str">
        <f ca="1">IFERROR(__xludf.DUMMYFUNCTION("""COMPUTED_VALUE"""),"Departemen Teknik Sistem Perkapalan")</f>
        <v>Departemen Teknik Sistem Perkapalan</v>
      </c>
      <c r="H248" s="1" t="str">
        <f ca="1">IFERROR(__xludf.DUMMYFUNCTION("""COMPUTED_VALUE"""),"Sunarsih, S.T., M.Eng., Ph.D.")</f>
        <v>Sunarsih, S.T., M.Eng., Ph.D.</v>
      </c>
      <c r="I248" s="1" t="str">
        <f ca="1">IFERROR(__xludf.DUMMYFUNCTION("""COMPUTED_VALUE"""),"RAMADHAN SANYOTO SUGIHARSO W")</f>
        <v>RAMADHAN SANYOTO SUGIHARSO W</v>
      </c>
      <c r="J248" s="1" t="str">
        <f ca="1">IFERROR(__xludf.DUMMYFUNCTION("""COMPUTED_VALUE"""),"07211940000058")</f>
        <v>07211940000058</v>
      </c>
      <c r="K248" s="1" t="str">
        <f ca="1">IFERROR(__xludf.DUMMYFUNCTION("""COMPUTED_VALUE"""),"Departemen Teknik Komputer")</f>
        <v>Departemen Teknik Komputer</v>
      </c>
      <c r="L248" s="1" t="str">
        <f ca="1">IFERROR(__xludf.DUMMYFUNCTION("""COMPUTED_VALUE"""),"MOHAMAD KHOLID BUGHOWI")</f>
        <v>MOHAMAD KHOLID BUGHOWI</v>
      </c>
      <c r="M248" s="1" t="str">
        <f ca="1">IFERROR(__xludf.DUMMYFUNCTION("""COMPUTED_VALUE"""),"5025201253")</f>
        <v>5025201253</v>
      </c>
      <c r="N248" s="1" t="str">
        <f ca="1">IFERROR(__xludf.DUMMYFUNCTION("""COMPUTED_VALUE"""),"Departemen Teknik Informatika")</f>
        <v>Departemen Teknik Informatika</v>
      </c>
      <c r="O248" s="1" t="str">
        <f ca="1">IFERROR(__xludf.DUMMYFUNCTION("""COMPUTED_VALUE"""),"ADENISSA SALSABILA")</f>
        <v>ADENISSA SALSABILA</v>
      </c>
      <c r="P248" s="1" t="str">
        <f ca="1">IFERROR(__xludf.DUMMYFUNCTION("""COMPUTED_VALUE"""),"5030211066")</f>
        <v>5030211066</v>
      </c>
      <c r="Q248" s="1" t="str">
        <f ca="1">IFERROR(__xludf.DUMMYFUNCTION("""COMPUTED_VALUE"""),"Departemen Desain Komunikasi Visual")</f>
        <v>Departemen Desain Komunikasi Visual</v>
      </c>
      <c r="R248" s="1" t="str">
        <f ca="1">IFERROR(__xludf.DUMMYFUNCTION("""COMPUTED_VALUE"""),"HANIFAH INAYAH")</f>
        <v>HANIFAH INAYAH</v>
      </c>
      <c r="S248" s="1" t="str">
        <f ca="1">IFERROR(__xludf.DUMMYFUNCTION("""COMPUTED_VALUE"""),"2043201064")</f>
        <v>2043201064</v>
      </c>
      <c r="T248" s="1" t="str">
        <f ca="1">IFERROR(__xludf.DUMMYFUNCTION("""COMPUTED_VALUE"""),"Departemen Statistika Bisnis")</f>
        <v>Departemen Statistika Bisnis</v>
      </c>
      <c r="U248" s="1" t="str">
        <f ca="1">IFERROR(__xludf.DUMMYFUNCTION("""COMPUTED_VALUE"""),"Andre Parvian Aristio, S.Kom., M.Sc.")</f>
        <v>Andre Parvian Aristio, S.Kom., M.Sc.</v>
      </c>
      <c r="V248" s="1" t="str">
        <f ca="1">IFERROR(__xludf.DUMMYFUNCTION("""COMPUTED_VALUE"""),"Azzah Dyah Pramata, S.T., M.T., M.Eng., Ph.D.")</f>
        <v>Azzah Dyah Pramata, S.T., M.T., M.Eng., Ph.D.</v>
      </c>
      <c r="W248" s="1" t="str">
        <f ca="1">IFERROR(__xludf.DUMMYFUNCTION("""COMPUTED_VALUE"""),"Arief Abdurrakhman, S.T., M.T.")</f>
        <v>Arief Abdurrakhman, S.T., M.T.</v>
      </c>
      <c r="X248" s="1" t="str">
        <f ca="1">IFERROR(__xludf.DUMMYFUNCTION("""COMPUTED_VALUE"""),"Karantina")</f>
        <v>Karantina</v>
      </c>
      <c r="Y248" s="1"/>
      <c r="Z248" s="1"/>
      <c r="AA248" s="1"/>
    </row>
    <row r="249" spans="1:27">
      <c r="A249" s="1" t="s">
        <v>245</v>
      </c>
      <c r="B249" s="1">
        <f ca="1">IFERROR(__xludf.DUMMYFUNCTION("""COMPUTED_VALUE"""),4106)</f>
        <v>4106</v>
      </c>
      <c r="C249" s="1" t="str">
        <f ca="1">IFERROR(__xludf.DUMMYFUNCTION("""COMPUTED_VALUE"""),"PKM Karya Inovatif")</f>
        <v>PKM Karya Inovatif</v>
      </c>
      <c r="D249" s="1" t="str">
        <f ca="1">IFERROR(__xludf.DUMMYFUNCTION("""COMPUTED_VALUE"""),"SISTEM PERINGATAN UNTUK MEMINIMALISIR KERUGIAN YANG DISEBABKAN OLEH BANJIR ")</f>
        <v xml:space="preserve">SISTEM PERINGATAN UNTUK MEMINIMALISIR KERUGIAN YANG DISEBABKAN OLEH BANJIR </v>
      </c>
      <c r="E249" s="1" t="str">
        <f ca="1">IFERROR(__xludf.DUMMYFUNCTION("""COMPUTED_VALUE"""),"FALIH MUSYAFFA' F.")</f>
        <v>FALIH MUSYAFFA' F.</v>
      </c>
      <c r="F249" s="1" t="str">
        <f ca="1">IFERROR(__xludf.DUMMYFUNCTION("""COMPUTED_VALUE"""),"2040211078")</f>
        <v>2040211078</v>
      </c>
      <c r="G249" s="1" t="str">
        <f ca="1">IFERROR(__xludf.DUMMYFUNCTION("""COMPUTED_VALUE"""),"Departemen Teknik Elektro Otomasi")</f>
        <v>Departemen Teknik Elektro Otomasi</v>
      </c>
      <c r="H249" s="1" t="str">
        <f ca="1">IFERROR(__xludf.DUMMYFUNCTION("""COMPUTED_VALUE"""),"Fauzi Imaduddin Adhim, S.ST., M.T.")</f>
        <v>Fauzi Imaduddin Adhim, S.ST., M.T.</v>
      </c>
      <c r="I249" s="1" t="str">
        <f ca="1">IFERROR(__xludf.DUMMYFUNCTION("""COMPUTED_VALUE"""),"ACHMAD NIZAR KAMAL ZAWAWI")</f>
        <v>ACHMAD NIZAR KAMAL ZAWAWI</v>
      </c>
      <c r="J249" s="1" t="str">
        <f ca="1">IFERROR(__xludf.DUMMYFUNCTION("""COMPUTED_VALUE"""),"2040201041")</f>
        <v>2040201041</v>
      </c>
      <c r="K249" s="1" t="str">
        <f ca="1">IFERROR(__xludf.DUMMYFUNCTION("""COMPUTED_VALUE"""),"Departemen Teknik Elektro Otomasi")</f>
        <v>Departemen Teknik Elektro Otomasi</v>
      </c>
      <c r="L249" s="1" t="str">
        <f ca="1">IFERROR(__xludf.DUMMYFUNCTION("""COMPUTED_VALUE"""),"GALANG ARTHA NUGRAHA")</f>
        <v>GALANG ARTHA NUGRAHA</v>
      </c>
      <c r="M249" s="1" t="str">
        <f ca="1">IFERROR(__xludf.DUMMYFUNCTION("""COMPUTED_VALUE"""),"2040201082")</f>
        <v>2040201082</v>
      </c>
      <c r="N249" s="1" t="str">
        <f ca="1">IFERROR(__xludf.DUMMYFUNCTION("""COMPUTED_VALUE"""),"Departemen Teknik Elektro Otomasi")</f>
        <v>Departemen Teknik Elektro Otomasi</v>
      </c>
      <c r="O249" s="1" t="str">
        <f ca="1">IFERROR(__xludf.DUMMYFUNCTION("""COMPUTED_VALUE"""),"Harris Fikri Satria ")</f>
        <v xml:space="preserve">Harris Fikri Satria </v>
      </c>
      <c r="P249" s="1" t="str">
        <f ca="1">IFERROR(__xludf.DUMMYFUNCTION("""COMPUTED_VALUE"""),"2040211009")</f>
        <v>2040211009</v>
      </c>
      <c r="Q249" s="1" t="str">
        <f ca="1">IFERROR(__xludf.DUMMYFUNCTION("""COMPUTED_VALUE"""),"Departemen Teknik Elektro Otomasi")</f>
        <v>Departemen Teknik Elektro Otomasi</v>
      </c>
      <c r="R249" s="1" t="str">
        <f ca="1">IFERROR(__xludf.DUMMYFUNCTION("""COMPUTED_VALUE"""),"fawaz abdussyakur")</f>
        <v>fawaz abdussyakur</v>
      </c>
      <c r="S249" s="1" t="str">
        <f ca="1">IFERROR(__xludf.DUMMYFUNCTION("""COMPUTED_VALUE"""),"2040211121")</f>
        <v>2040211121</v>
      </c>
      <c r="T249" s="1" t="str">
        <f ca="1">IFERROR(__xludf.DUMMYFUNCTION("""COMPUTED_VALUE"""),"Departemen Teknik Elektro Otomasi")</f>
        <v>Departemen Teknik Elektro Otomasi</v>
      </c>
      <c r="U249" s="1" t="str">
        <f ca="1">IFERROR(__xludf.DUMMYFUNCTION("""COMPUTED_VALUE"""),"Andre Parvian Aristio, S.Kom., M.Sc.")</f>
        <v>Andre Parvian Aristio, S.Kom., M.Sc.</v>
      </c>
      <c r="V249" s="1" t="str">
        <f ca="1">IFERROR(__xludf.DUMMYFUNCTION("""COMPUTED_VALUE"""),"Azzah Dyah Pramata, S.T., M.T., M.Eng., Ph.D.")</f>
        <v>Azzah Dyah Pramata, S.T., M.T., M.Eng., Ph.D.</v>
      </c>
      <c r="W249" s="1" t="str">
        <f ca="1">IFERROR(__xludf.DUMMYFUNCTION("""COMPUTED_VALUE"""),"Arief Abdurrakhman, S.T., M.T.")</f>
        <v>Arief Abdurrakhman, S.T., M.T.</v>
      </c>
      <c r="X249" s="1" t="str">
        <f ca="1">IFERROR(__xludf.DUMMYFUNCTION("""COMPUTED_VALUE"""),"Karantina")</f>
        <v>Karantina</v>
      </c>
      <c r="Y249" s="1"/>
      <c r="Z249" s="1"/>
      <c r="AA249" s="1"/>
    </row>
    <row r="250" spans="1:27">
      <c r="A250" s="1" t="s">
        <v>246</v>
      </c>
      <c r="B250" s="1">
        <f ca="1">IFERROR(__xludf.DUMMYFUNCTION("""COMPUTED_VALUE"""),2935)</f>
        <v>2935</v>
      </c>
      <c r="C250" s="1" t="str">
        <f ca="1">IFERROR(__xludf.DUMMYFUNCTION("""COMPUTED_VALUE"""),"PKM Karsa Cipta")</f>
        <v>PKM Karsa Cipta</v>
      </c>
      <c r="D250" s="1" t="str">
        <f ca="1">IFERROR(__xludf.DUMMYFUNCTION("""COMPUTED_VALUE"""),"Disaster Management (DIS-Ma) : Aplikasi Manajemen Kebencanaan yang Terintregasi dengan Data Akurat Secara Real-time untuk Pemetaan Bantuan Logistik dan Relawan")</f>
        <v>Disaster Management (DIS-Ma) : Aplikasi Manajemen Kebencanaan yang Terintregasi dengan Data Akurat Secara Real-time untuk Pemetaan Bantuan Logistik dan Relawan</v>
      </c>
      <c r="E250" s="1" t="str">
        <f ca="1">IFERROR(__xludf.DUMMYFUNCTION("""COMPUTED_VALUE"""),"QOIS AL HAQQI")</f>
        <v>QOIS AL HAQQI</v>
      </c>
      <c r="F250" s="1" t="str">
        <f ca="1">IFERROR(__xludf.DUMMYFUNCTION("""COMPUTED_VALUE"""),"5012201018")</f>
        <v>5012201018</v>
      </c>
      <c r="G250" s="1" t="str">
        <f ca="1">IFERROR(__xludf.DUMMYFUNCTION("""COMPUTED_VALUE"""),"Departemen Teknik Sipil")</f>
        <v>Departemen Teknik Sipil</v>
      </c>
      <c r="H250" s="1" t="str">
        <f ca="1">IFERROR(__xludf.DUMMYFUNCTION("""COMPUTED_VALUE"""),"Dr. Rarasmaya Indraswari, S.Kom.")</f>
        <v>Dr. Rarasmaya Indraswari, S.Kom.</v>
      </c>
      <c r="I250" s="1" t="str">
        <f ca="1">IFERROR(__xludf.DUMMYFUNCTION("""COMPUTED_VALUE"""),"Lacsita Devi Oktaviana")</f>
        <v>Lacsita Devi Oktaviana</v>
      </c>
      <c r="J250" s="1" t="str">
        <f ca="1">IFERROR(__xludf.DUMMYFUNCTION("""COMPUTED_VALUE"""),"05211940000028")</f>
        <v>05211940000028</v>
      </c>
      <c r="K250" s="1" t="str">
        <f ca="1">IFERROR(__xludf.DUMMYFUNCTION("""COMPUTED_VALUE"""),"Departemen Sistem Informasi")</f>
        <v>Departemen Sistem Informasi</v>
      </c>
      <c r="L250" s="1" t="str">
        <f ca="1">IFERROR(__xludf.DUMMYFUNCTION("""COMPUTED_VALUE"""),"DANYA PUTRI ALIFA")</f>
        <v>DANYA PUTRI ALIFA</v>
      </c>
      <c r="M250" s="1" t="str">
        <f ca="1">IFERROR(__xludf.DUMMYFUNCTION("""COMPUTED_VALUE"""),"5015201008")</f>
        <v>5015201008</v>
      </c>
      <c r="N250" s="1" t="str">
        <f ca="1">IFERROR(__xludf.DUMMYFUNCTION("""COMPUTED_VALUE"""),"Departemen Perencanaan Wilayah dan Kota")</f>
        <v>Departemen Perencanaan Wilayah dan Kota</v>
      </c>
      <c r="O250" s="1" t="str">
        <f ca="1">IFERROR(__xludf.DUMMYFUNCTION("""COMPUTED_VALUE"""),"AINUN NIF`AN")</f>
        <v>AINUN NIF`AN</v>
      </c>
      <c r="P250" s="1" t="str">
        <f ca="1">IFERROR(__xludf.DUMMYFUNCTION("""COMPUTED_VALUE"""),"5011201057")</f>
        <v>5011201057</v>
      </c>
      <c r="Q250" s="1" t="str">
        <f ca="1">IFERROR(__xludf.DUMMYFUNCTION("""COMPUTED_VALUE"""),"Departemen Teknik Material dan Metalurgi")</f>
        <v>Departemen Teknik Material dan Metalurgi</v>
      </c>
      <c r="R250" s="1" t="str">
        <f ca="1">IFERROR(__xludf.DUMMYFUNCTION("""COMPUTED_VALUE"""),"RIFNA MAYRAPUTRI PITALOKA")</f>
        <v>RIFNA MAYRAPUTRI PITALOKA</v>
      </c>
      <c r="S250" s="1" t="str">
        <f ca="1">IFERROR(__xludf.DUMMYFUNCTION("""COMPUTED_VALUE"""),"2040201105")</f>
        <v>2040201105</v>
      </c>
      <c r="T250" s="1" t="str">
        <f ca="1">IFERROR(__xludf.DUMMYFUNCTION("""COMPUTED_VALUE"""),"Departemen Teknik Elektro Otomasi")</f>
        <v>Departemen Teknik Elektro Otomasi</v>
      </c>
      <c r="U250" s="1" t="str">
        <f ca="1">IFERROR(__xludf.DUMMYFUNCTION("""COMPUTED_VALUE"""),"Eko Agus Suprayitno, S.Si., M.T.")</f>
        <v>Eko Agus Suprayitno, S.Si., M.T.</v>
      </c>
      <c r="V250" s="1" t="str">
        <f ca="1">IFERROR(__xludf.DUMMYFUNCTION("""COMPUTED_VALUE"""),"Dr. Eng. Hosta Ardhyananta, S.T., M.Sc.")</f>
        <v>Dr. Eng. Hosta Ardhyananta, S.T., M.Sc.</v>
      </c>
      <c r="W250" s="1"/>
      <c r="X250" s="1" t="str">
        <f ca="1">IFERROR(__xludf.DUMMYFUNCTION("""COMPUTED_VALUE"""),"Lolos")</f>
        <v>Lolos</v>
      </c>
      <c r="Y250" s="1"/>
      <c r="Z250" s="1"/>
      <c r="AA250" s="1"/>
    </row>
    <row r="251" spans="1:27">
      <c r="A251" s="1" t="s">
        <v>247</v>
      </c>
      <c r="B251" s="1">
        <f ca="1">IFERROR(__xludf.DUMMYFUNCTION("""COMPUTED_VALUE"""),3749)</f>
        <v>3749</v>
      </c>
      <c r="C251" s="1" t="str">
        <f ca="1">IFERROR(__xludf.DUMMYFUNCTION("""COMPUTED_VALUE"""),"PKM Karsa Cipta")</f>
        <v>PKM Karsa Cipta</v>
      </c>
      <c r="D251" s="1" t="str">
        <f ca="1">IFERROR(__xludf.DUMMYFUNCTION("""COMPUTED_VALUE"""),"Alat Penyaring Air Tercemar Mikroplastik Berbasis Acoustophoretic Force Menggunakan BAW (Bulk Acoustic Wave) Dengan Saluran Cascade")</f>
        <v>Alat Penyaring Air Tercemar Mikroplastik Berbasis Acoustophoretic Force Menggunakan BAW (Bulk Acoustic Wave) Dengan Saluran Cascade</v>
      </c>
      <c r="E251" s="1" t="str">
        <f ca="1">IFERROR(__xludf.DUMMYFUNCTION("""COMPUTED_VALUE"""),"DIAN PERMANA")</f>
        <v>DIAN PERMANA</v>
      </c>
      <c r="F251" s="1" t="str">
        <f ca="1">IFERROR(__xludf.DUMMYFUNCTION("""COMPUTED_VALUE"""),"02311840000076")</f>
        <v>02311840000076</v>
      </c>
      <c r="G251" s="1" t="str">
        <f ca="1">IFERROR(__xludf.DUMMYFUNCTION("""COMPUTED_VALUE"""),"Departemen Teknik Fisika")</f>
        <v>Departemen Teknik Fisika</v>
      </c>
      <c r="H251" s="1" t="str">
        <f ca="1">IFERROR(__xludf.DUMMYFUNCTION("""COMPUTED_VALUE"""),"Dr. Dhany Arifianto, S.T., M.Eng.")</f>
        <v>Dr. Dhany Arifianto, S.T., M.Eng.</v>
      </c>
      <c r="I251" s="1" t="str">
        <f ca="1">IFERROR(__xludf.DUMMYFUNCTION("""COMPUTED_VALUE"""),"BERLIANA NUR INDAH SARI")</f>
        <v>BERLIANA NUR INDAH SARI</v>
      </c>
      <c r="J251" s="1" t="str">
        <f ca="1">IFERROR(__xludf.DUMMYFUNCTION("""COMPUTED_VALUE"""),"02311840000099")</f>
        <v>02311840000099</v>
      </c>
      <c r="K251" s="1" t="str">
        <f ca="1">IFERROR(__xludf.DUMMYFUNCTION("""COMPUTED_VALUE"""),"Departemen Teknik Fisika")</f>
        <v>Departemen Teknik Fisika</v>
      </c>
      <c r="L251" s="1" t="str">
        <f ca="1">IFERROR(__xludf.DUMMYFUNCTION("""COMPUTED_VALUE"""),"Laila Sifha Urrohma")</f>
        <v>Laila Sifha Urrohma</v>
      </c>
      <c r="M251" s="1" t="str">
        <f ca="1">IFERROR(__xludf.DUMMYFUNCTION("""COMPUTED_VALUE"""),"02311940000046")</f>
        <v>02311940000046</v>
      </c>
      <c r="N251" s="1" t="str">
        <f ca="1">IFERROR(__xludf.DUMMYFUNCTION("""COMPUTED_VALUE"""),"Departemen Teknik Fisika")</f>
        <v>Departemen Teknik Fisika</v>
      </c>
      <c r="O251" s="1" t="str">
        <f ca="1">IFERROR(__xludf.DUMMYFUNCTION("""COMPUTED_VALUE"""),"RICKO SUPRIYANTO")</f>
        <v>RICKO SUPRIYANTO</v>
      </c>
      <c r="P251" s="1" t="str">
        <f ca="1">IFERROR(__xludf.DUMMYFUNCTION("""COMPUTED_VALUE"""),"02311940000104")</f>
        <v>02311940000104</v>
      </c>
      <c r="Q251" s="1" t="str">
        <f ca="1">IFERROR(__xludf.DUMMYFUNCTION("""COMPUTED_VALUE"""),"Departemen Teknik Fisika")</f>
        <v>Departemen Teknik Fisika</v>
      </c>
      <c r="R251" s="1" t="str">
        <f ca="1">IFERROR(__xludf.DUMMYFUNCTION("""COMPUTED_VALUE"""),"APRIANTO DWI PRASETYO")</f>
        <v>APRIANTO DWI PRASETYO</v>
      </c>
      <c r="S251" s="1" t="str">
        <f ca="1">IFERROR(__xludf.DUMMYFUNCTION("""COMPUTED_VALUE"""),"02311840000097")</f>
        <v>02311840000097</v>
      </c>
      <c r="T251" s="1" t="str">
        <f ca="1">IFERROR(__xludf.DUMMYFUNCTION("""COMPUTED_VALUE"""),"Departemen Teknik Fisika")</f>
        <v>Departemen Teknik Fisika</v>
      </c>
      <c r="U251" s="1" t="str">
        <f ca="1">IFERROR(__xludf.DUMMYFUNCTION("""COMPUTED_VALUE"""),"Detak Yan Pratama, S.T., M.Sc.")</f>
        <v>Detak Yan Pratama, S.T., M.Sc.</v>
      </c>
      <c r="V251" s="1" t="str">
        <f ca="1">IFERROR(__xludf.DUMMYFUNCTION("""COMPUTED_VALUE"""),"Mahardika F. Rois, S.T, M.T")</f>
        <v>Mahardika F. Rois, S.T, M.T</v>
      </c>
      <c r="W251" s="1"/>
      <c r="X251" s="1" t="str">
        <f ca="1">IFERROR(__xludf.DUMMYFUNCTION("""COMPUTED_VALUE"""),"Lolos")</f>
        <v>Lolos</v>
      </c>
      <c r="Y251" s="1"/>
      <c r="Z251" s="1"/>
      <c r="AA251" s="1"/>
    </row>
    <row r="252" spans="1:27">
      <c r="A252" s="1" t="s">
        <v>248</v>
      </c>
      <c r="B252" s="1">
        <f ca="1">IFERROR(__xludf.DUMMYFUNCTION("""COMPUTED_VALUE"""),2254)</f>
        <v>2254</v>
      </c>
      <c r="C252" s="1" t="str">
        <f ca="1">IFERROR(__xludf.DUMMYFUNCTION("""COMPUTED_VALUE"""),"PKM Karsa Cipta")</f>
        <v>PKM Karsa Cipta</v>
      </c>
      <c r="D252" s="1" t="str">
        <f ca="1">IFERROR(__xludf.DUMMYFUNCTION("""COMPUTED_VALUE"""),"AUV Pendeteksi Fouling pada Lambung Kapal Berbasis Computer Vision Guna Mengurangi Risiko Kecelakaan Pada Pembersihan Kapal")</f>
        <v>AUV Pendeteksi Fouling pada Lambung Kapal Berbasis Computer Vision Guna Mengurangi Risiko Kecelakaan Pada Pembersihan Kapal</v>
      </c>
      <c r="E252" s="1" t="str">
        <f ca="1">IFERROR(__xludf.DUMMYFUNCTION("""COMPUTED_VALUE"""),"Muhammad Ikhsan Suryadarma")</f>
        <v>Muhammad Ikhsan Suryadarma</v>
      </c>
      <c r="F252" s="1" t="str">
        <f ca="1">IFERROR(__xludf.DUMMYFUNCTION("""COMPUTED_VALUE"""),"04111940000010")</f>
        <v>04111940000010</v>
      </c>
      <c r="G252" s="1" t="str">
        <f ca="1">IFERROR(__xludf.DUMMYFUNCTION("""COMPUTED_VALUE"""),"Departemen Teknik Perkapalan")</f>
        <v>Departemen Teknik Perkapalan</v>
      </c>
      <c r="H252" s="1" t="str">
        <f ca="1">IFERROR(__xludf.DUMMYFUNCTION("""COMPUTED_VALUE"""),"Rudy Dikairono, ST., M.T.")</f>
        <v>Rudy Dikairono, ST., M.T.</v>
      </c>
      <c r="I252" s="1" t="str">
        <f ca="1">IFERROR(__xludf.DUMMYFUNCTION("""COMPUTED_VALUE"""),"FAIRUZ FIRJATULLAH")</f>
        <v>FAIRUZ FIRJATULLAH</v>
      </c>
      <c r="J252" s="1" t="str">
        <f ca="1">IFERROR(__xludf.DUMMYFUNCTION("""COMPUTED_VALUE"""),"07111840000121")</f>
        <v>07111840000121</v>
      </c>
      <c r="K252" s="1" t="str">
        <f ca="1">IFERROR(__xludf.DUMMYFUNCTION("""COMPUTED_VALUE"""),"Departemen Teknik Elektro")</f>
        <v>Departemen Teknik Elektro</v>
      </c>
      <c r="L252" s="1" t="str">
        <f ca="1">IFERROR(__xludf.DUMMYFUNCTION("""COMPUTED_VALUE"""),"MUHAMMAD IHSAN PAMUNGKAS")</f>
        <v>MUHAMMAD IHSAN PAMUNGKAS</v>
      </c>
      <c r="M252" s="1" t="str">
        <f ca="1">IFERROR(__xludf.DUMMYFUNCTION("""COMPUTED_VALUE"""),"07311940000041")</f>
        <v>07311940000041</v>
      </c>
      <c r="N252" s="1" t="str">
        <f ca="1">IFERROR(__xludf.DUMMYFUNCTION("""COMPUTED_VALUE"""),"Departemen Teknik Biomedik")</f>
        <v>Departemen Teknik Biomedik</v>
      </c>
      <c r="O252" s="1" t="str">
        <f ca="1">IFERROR(__xludf.DUMMYFUNCTION("""COMPUTED_VALUE"""),"ASRAF ARIFIANSYAH")</f>
        <v>ASRAF ARIFIANSYAH</v>
      </c>
      <c r="P252" s="1" t="str">
        <f ca="1">IFERROR(__xludf.DUMMYFUNCTION("""COMPUTED_VALUE"""),"04311940000044")</f>
        <v>04311940000044</v>
      </c>
      <c r="Q252" s="1" t="str">
        <f ca="1">IFERROR(__xludf.DUMMYFUNCTION("""COMPUTED_VALUE"""),"Departemen Teknik Kelautan")</f>
        <v>Departemen Teknik Kelautan</v>
      </c>
      <c r="R252" s="1" t="str">
        <f ca="1">IFERROR(__xludf.DUMMYFUNCTION("""COMPUTED_VALUE"""),"Nafila Cahya Andanis")</f>
        <v>Nafila Cahya Andanis</v>
      </c>
      <c r="S252" s="1" t="str">
        <f ca="1">IFERROR(__xludf.DUMMYFUNCTION("""COMPUTED_VALUE"""),"07311940000020")</f>
        <v>07311940000020</v>
      </c>
      <c r="T252" s="1" t="str">
        <f ca="1">IFERROR(__xludf.DUMMYFUNCTION("""COMPUTED_VALUE"""),"Departemen Teknik Biomedik")</f>
        <v>Departemen Teknik Biomedik</v>
      </c>
      <c r="U252" s="1" t="str">
        <f ca="1">IFERROR(__xludf.DUMMYFUNCTION("""COMPUTED_VALUE"""),"Sefi Novendra Patrialova, S.Si., M.T")</f>
        <v>Sefi Novendra Patrialova, S.Si., M.T</v>
      </c>
      <c r="V252" s="1" t="str">
        <f ca="1">IFERROR(__xludf.DUMMYFUNCTION("""COMPUTED_VALUE"""),"Yasmin Zainul Mochtar, S.T., M.A.")</f>
        <v>Yasmin Zainul Mochtar, S.T., M.A.</v>
      </c>
      <c r="W252" s="1"/>
      <c r="X252" s="1" t="str">
        <f ca="1">IFERROR(__xludf.DUMMYFUNCTION("""COMPUTED_VALUE"""),"Lolos")</f>
        <v>Lolos</v>
      </c>
      <c r="Y252" s="1"/>
      <c r="Z252" s="1"/>
      <c r="AA252" s="1"/>
    </row>
    <row r="253" spans="1:27">
      <c r="A253" s="1" t="s">
        <v>27</v>
      </c>
      <c r="B253" s="1">
        <f ca="1">IFERROR(__xludf.DUMMYFUNCTION("""COMPUTED_VALUE"""),2483)</f>
        <v>2483</v>
      </c>
      <c r="C253" s="1" t="str">
        <f ca="1">IFERROR(__xludf.DUMMYFUNCTION("""COMPUTED_VALUE"""),"PKM Karsa Cipta")</f>
        <v>PKM Karsa Cipta</v>
      </c>
      <c r="D253" s="1" t="str">
        <f ca="1">IFERROR(__xludf.DUMMYFUNCTION("""COMPUTED_VALUE"""),"Spektrometer Pentakromatik dengan Jaringan Syaraf Tiruan untuk Identifikasi Polutan Organik dan Anorganik dalam Air Limbah Industri")</f>
        <v>Spektrometer Pentakromatik dengan Jaringan Syaraf Tiruan untuk Identifikasi Polutan Organik dan Anorganik dalam Air Limbah Industri</v>
      </c>
      <c r="E253" s="1" t="str">
        <f ca="1">IFERROR(__xludf.DUMMYFUNCTION("""COMPUTED_VALUE"""),"Charisa Virga Muliyono")</f>
        <v>Charisa Virga Muliyono</v>
      </c>
      <c r="F253" s="1" t="str">
        <f ca="1">IFERROR(__xludf.DUMMYFUNCTION("""COMPUTED_VALUE"""),"02311840000008")</f>
        <v>02311840000008</v>
      </c>
      <c r="G253" s="1" t="str">
        <f ca="1">IFERROR(__xludf.DUMMYFUNCTION("""COMPUTED_VALUE"""),"Departemen Teknik Fisika")</f>
        <v>Departemen Teknik Fisika</v>
      </c>
      <c r="H253" s="1" t="str">
        <f ca="1">IFERROR(__xludf.DUMMYFUNCTION("""COMPUTED_VALUE"""),"Dr.rer.nat Ruri Agung Wahyuono, S.T., M.T.")</f>
        <v>Dr.rer.nat Ruri Agung Wahyuono, S.T., M.T.</v>
      </c>
      <c r="I253" s="1" t="str">
        <f ca="1">IFERROR(__xludf.DUMMYFUNCTION("""COMPUTED_VALUE"""),"RIHIN NUR IKHWAN")</f>
        <v>RIHIN NUR IKHWAN</v>
      </c>
      <c r="J253" s="1" t="str">
        <f ca="1">IFERROR(__xludf.DUMMYFUNCTION("""COMPUTED_VALUE"""),"02311840000081")</f>
        <v>02311840000081</v>
      </c>
      <c r="K253" s="1" t="str">
        <f ca="1">IFERROR(__xludf.DUMMYFUNCTION("""COMPUTED_VALUE"""),"Departemen Teknik Fisika")</f>
        <v>Departemen Teknik Fisika</v>
      </c>
      <c r="L253" s="1" t="str">
        <f ca="1">IFERROR(__xludf.DUMMYFUNCTION("""COMPUTED_VALUE"""),"Arda Fridua Putra")</f>
        <v>Arda Fridua Putra</v>
      </c>
      <c r="M253" s="1" t="str">
        <f ca="1">IFERROR(__xludf.DUMMYFUNCTION("""COMPUTED_VALUE"""),"02311940000028")</f>
        <v>02311940000028</v>
      </c>
      <c r="N253" s="1" t="str">
        <f ca="1">IFERROR(__xludf.DUMMYFUNCTION("""COMPUTED_VALUE"""),"Departemen Teknik Fisika")</f>
        <v>Departemen Teknik Fisika</v>
      </c>
      <c r="O253" s="1" t="str">
        <f ca="1">IFERROR(__xludf.DUMMYFUNCTION("""COMPUTED_VALUE"""),"SAFRI AULIA RUSDI")</f>
        <v>SAFRI AULIA RUSDI</v>
      </c>
      <c r="P253" s="1" t="str">
        <f ca="1">IFERROR(__xludf.DUMMYFUNCTION("""COMPUTED_VALUE"""),"02311940000072")</f>
        <v>02311940000072</v>
      </c>
      <c r="Q253" s="1" t="str">
        <f ca="1">IFERROR(__xludf.DUMMYFUNCTION("""COMPUTED_VALUE"""),"Departemen Teknik Fisika")</f>
        <v>Departemen Teknik Fisika</v>
      </c>
      <c r="R253" s="1"/>
      <c r="S253" s="1"/>
      <c r="T253" s="1"/>
      <c r="U253" s="1" t="str">
        <f ca="1">IFERROR(__xludf.DUMMYFUNCTION("""COMPUTED_VALUE"""),"Sefi Novendra Patrialova, S.Si., M.T")</f>
        <v>Sefi Novendra Patrialova, S.Si., M.T</v>
      </c>
      <c r="V253" s="1" t="str">
        <f ca="1">IFERROR(__xludf.DUMMYFUNCTION("""COMPUTED_VALUE"""),"Yasmin Zainul Mochtar, S.T., M.A.")</f>
        <v>Yasmin Zainul Mochtar, S.T., M.A.</v>
      </c>
      <c r="W253" s="1"/>
      <c r="X253" s="1" t="str">
        <f ca="1">IFERROR(__xludf.DUMMYFUNCTION("""COMPUTED_VALUE"""),"Lolos")</f>
        <v>Lolos</v>
      </c>
      <c r="Y253" s="1"/>
      <c r="Z253" s="1"/>
      <c r="AA253" s="1"/>
    </row>
    <row r="254" spans="1:27">
      <c r="A254" s="1" t="s">
        <v>249</v>
      </c>
      <c r="B254" s="1">
        <f ca="1">IFERROR(__xludf.DUMMYFUNCTION("""COMPUTED_VALUE"""),2255)</f>
        <v>2255</v>
      </c>
      <c r="C254" s="1" t="str">
        <f ca="1">IFERROR(__xludf.DUMMYFUNCTION("""COMPUTED_VALUE"""),"PKM Karsa Cipta")</f>
        <v>PKM Karsa Cipta</v>
      </c>
      <c r="D254" s="1" t="str">
        <f ca="1">IFERROR(__xludf.DUMMYFUNCTION("""COMPUTED_VALUE"""),"Inovasi Alat Terapi dan Diagnosis Penderita Peripheral Artery Disease Menggunakan Metode Resonant Frequency Berbasis IoT")</f>
        <v>Inovasi Alat Terapi dan Diagnosis Penderita Peripheral Artery Disease Menggunakan Metode Resonant Frequency Berbasis IoT</v>
      </c>
      <c r="E254" s="1" t="str">
        <f ca="1">IFERROR(__xludf.DUMMYFUNCTION("""COMPUTED_VALUE"""),"Fadhilah Syifa Harnadi Putri")</f>
        <v>Fadhilah Syifa Harnadi Putri</v>
      </c>
      <c r="F254" s="1" t="str">
        <f ca="1">IFERROR(__xludf.DUMMYFUNCTION("""COMPUTED_VALUE"""),"01111940000010")</f>
        <v>01111940000010</v>
      </c>
      <c r="G254" s="1" t="str">
        <f ca="1">IFERROR(__xludf.DUMMYFUNCTION("""COMPUTED_VALUE"""),"Departemen Fisika")</f>
        <v>Departemen Fisika</v>
      </c>
      <c r="H254" s="1" t="str">
        <f ca="1">IFERROR(__xludf.DUMMYFUNCTION("""COMPUTED_VALUE"""),"Endarko, M.Si., Ph.D.")</f>
        <v>Endarko, M.Si., Ph.D.</v>
      </c>
      <c r="I254" s="1" t="str">
        <f ca="1">IFERROR(__xludf.DUMMYFUNCTION("""COMPUTED_VALUE"""),"ELLIYIN BERYL AURELLIA")</f>
        <v>ELLIYIN BERYL AURELLIA</v>
      </c>
      <c r="J254" s="1" t="str">
        <f ca="1">IFERROR(__xludf.DUMMYFUNCTION("""COMPUTED_VALUE"""),"01111940000037")</f>
        <v>01111940000037</v>
      </c>
      <c r="K254" s="1" t="str">
        <f ca="1">IFERROR(__xludf.DUMMYFUNCTION("""COMPUTED_VALUE"""),"Departemen Fisika")</f>
        <v>Departemen Fisika</v>
      </c>
      <c r="L254" s="1" t="str">
        <f ca="1">IFERROR(__xludf.DUMMYFUNCTION("""COMPUTED_VALUE"""),"MOHAMMAD FERDIYANZAH")</f>
        <v>MOHAMMAD FERDIYANZAH</v>
      </c>
      <c r="M254" s="1" t="str">
        <f ca="1">IFERROR(__xludf.DUMMYFUNCTION("""COMPUTED_VALUE"""),"01111940000069")</f>
        <v>01111940000069</v>
      </c>
      <c r="N254" s="1" t="str">
        <f ca="1">IFERROR(__xludf.DUMMYFUNCTION("""COMPUTED_VALUE"""),"Departemen Fisika")</f>
        <v>Departemen Fisika</v>
      </c>
      <c r="O254" s="1" t="str">
        <f ca="1">IFERROR(__xludf.DUMMYFUNCTION("""COMPUTED_VALUE"""),"KHOOLISH ELDINAR MURFID")</f>
        <v>KHOOLISH ELDINAR MURFID</v>
      </c>
      <c r="P254" s="1" t="str">
        <f ca="1">IFERROR(__xludf.DUMMYFUNCTION("""COMPUTED_VALUE"""),"01111940000058")</f>
        <v>01111940000058</v>
      </c>
      <c r="Q254" s="1" t="str">
        <f ca="1">IFERROR(__xludf.DUMMYFUNCTION("""COMPUTED_VALUE"""),"Departemen Fisika")</f>
        <v>Departemen Fisika</v>
      </c>
      <c r="R254" s="1" t="str">
        <f ca="1">IFERROR(__xludf.DUMMYFUNCTION("""COMPUTED_VALUE"""),"YUDISTIRA KAHAR")</f>
        <v>YUDISTIRA KAHAR</v>
      </c>
      <c r="S254" s="1" t="str">
        <f ca="1">IFERROR(__xludf.DUMMYFUNCTION("""COMPUTED_VALUE"""),"5007211105")</f>
        <v>5007211105</v>
      </c>
      <c r="T254" s="1" t="str">
        <f ca="1">IFERROR(__xludf.DUMMYFUNCTION("""COMPUTED_VALUE"""),"Departemen Teknik Mesin")</f>
        <v>Departemen Teknik Mesin</v>
      </c>
      <c r="U254" s="1" t="str">
        <f ca="1">IFERROR(__xludf.DUMMYFUNCTION("""COMPUTED_VALUE"""),"Sefi Novendra Patrialova, S.Si., M.T")</f>
        <v>Sefi Novendra Patrialova, S.Si., M.T</v>
      </c>
      <c r="V254" s="1" t="str">
        <f ca="1">IFERROR(__xludf.DUMMYFUNCTION("""COMPUTED_VALUE"""),"Yasmin Zainul Mochtar, S.T., M.A.")</f>
        <v>Yasmin Zainul Mochtar, S.T., M.A.</v>
      </c>
      <c r="W254" s="1"/>
      <c r="X254" s="1" t="str">
        <f ca="1">IFERROR(__xludf.DUMMYFUNCTION("""COMPUTED_VALUE"""),"Lolos")</f>
        <v>Lolos</v>
      </c>
      <c r="Y254" s="1"/>
      <c r="Z254" s="1"/>
      <c r="AA254" s="1"/>
    </row>
    <row r="255" spans="1:27">
      <c r="A255" s="1" t="s">
        <v>250</v>
      </c>
      <c r="B255" s="1">
        <f ca="1">IFERROR(__xludf.DUMMYFUNCTION("""COMPUTED_VALUE"""),2474)</f>
        <v>2474</v>
      </c>
      <c r="C255" s="1" t="str">
        <f ca="1">IFERROR(__xludf.DUMMYFUNCTION("""COMPUTED_VALUE"""),"PKM Karsa Cipta")</f>
        <v>PKM Karsa Cipta</v>
      </c>
      <c r="D255" s="1" t="str">
        <f ca="1">IFERROR(__xludf.DUMMYFUNCTION("""COMPUTED_VALUE"""),"MINI REAKTOR BIOGAS BERBASIS INTERNET OF THINGS DENGAN SISTEM PEMURNIAN UNTUK MENINGKATKAN KUALITAS BAHAN BAKAR PENGGANTI LPG")</f>
        <v>MINI REAKTOR BIOGAS BERBASIS INTERNET OF THINGS DENGAN SISTEM PEMURNIAN UNTUK MENINGKATKAN KUALITAS BAHAN BAKAR PENGGANTI LPG</v>
      </c>
      <c r="E255" s="1" t="str">
        <f ca="1">IFERROR(__xludf.DUMMYFUNCTION("""COMPUTED_VALUE"""),"DEWI SUGIHARTI NINGRUM")</f>
        <v>DEWI SUGIHARTI NINGRUM</v>
      </c>
      <c r="F255" s="1" t="str">
        <f ca="1">IFERROR(__xludf.DUMMYFUNCTION("""COMPUTED_VALUE"""),"10511810000085")</f>
        <v>10511810000085</v>
      </c>
      <c r="G255" s="1" t="str">
        <f ca="1">IFERROR(__xludf.DUMMYFUNCTION("""COMPUTED_VALUE"""),"Departemen Teknik Instrumentasi")</f>
        <v>Departemen Teknik Instrumentasi</v>
      </c>
      <c r="H255" s="1" t="str">
        <f ca="1">IFERROR(__xludf.DUMMYFUNCTION("""COMPUTED_VALUE"""),"Ahmad Fauzan Adziimaa, S.T., M.Sc.")</f>
        <v>Ahmad Fauzan Adziimaa, S.T., M.Sc.</v>
      </c>
      <c r="I255" s="1" t="str">
        <f ca="1">IFERROR(__xludf.DUMMYFUNCTION("""COMPUTED_VALUE"""),"ANDREAS PRATAMA PUTRA")</f>
        <v>ANDREAS PRATAMA PUTRA</v>
      </c>
      <c r="J255" s="1" t="str">
        <f ca="1">IFERROR(__xludf.DUMMYFUNCTION("""COMPUTED_VALUE"""),"10511910000033")</f>
        <v>10511910000033</v>
      </c>
      <c r="K255" s="1" t="str">
        <f ca="1">IFERROR(__xludf.DUMMYFUNCTION("""COMPUTED_VALUE"""),"Departemen Teknik Instrumentasi")</f>
        <v>Departemen Teknik Instrumentasi</v>
      </c>
      <c r="L255" s="1" t="str">
        <f ca="1">IFERROR(__xludf.DUMMYFUNCTION("""COMPUTED_VALUE"""),"HALEN DINATA ATMAJA")</f>
        <v>HALEN DINATA ATMAJA</v>
      </c>
      <c r="M255" s="1" t="str">
        <f ca="1">IFERROR(__xludf.DUMMYFUNCTION("""COMPUTED_VALUE"""),"10511910000003")</f>
        <v>10511910000003</v>
      </c>
      <c r="N255" s="1" t="str">
        <f ca="1">IFERROR(__xludf.DUMMYFUNCTION("""COMPUTED_VALUE"""),"Departemen Teknik Instrumentasi")</f>
        <v>Departemen Teknik Instrumentasi</v>
      </c>
      <c r="O255" s="1" t="str">
        <f ca="1">IFERROR(__xludf.DUMMYFUNCTION("""COMPUTED_VALUE"""),"SERLI DWI RAHAYU")</f>
        <v>SERLI DWI RAHAYU</v>
      </c>
      <c r="P255" s="1" t="str">
        <f ca="1">IFERROR(__xludf.DUMMYFUNCTION("""COMPUTED_VALUE"""),"10411810000086")</f>
        <v>10411810000086</v>
      </c>
      <c r="Q255" s="1" t="str">
        <f ca="1">IFERROR(__xludf.DUMMYFUNCTION("""COMPUTED_VALUE"""),"Departemen Teknik Kimia Industri")</f>
        <v>Departemen Teknik Kimia Industri</v>
      </c>
      <c r="R255" s="1" t="str">
        <f ca="1">IFERROR(__xludf.DUMMYFUNCTION("""COMPUTED_VALUE"""),"TRI NANDA APRIANSYAH")</f>
        <v>TRI NANDA APRIANSYAH</v>
      </c>
      <c r="S255" s="1" t="str">
        <f ca="1">IFERROR(__xludf.DUMMYFUNCTION("""COMPUTED_VALUE"""),"10511910000006")</f>
        <v>10511910000006</v>
      </c>
      <c r="T255" s="1" t="str">
        <f ca="1">IFERROR(__xludf.DUMMYFUNCTION("""COMPUTED_VALUE"""),"Departemen Teknik Instrumentasi")</f>
        <v>Departemen Teknik Instrumentasi</v>
      </c>
      <c r="U255" s="1" t="str">
        <f ca="1">IFERROR(__xludf.DUMMYFUNCTION("""COMPUTED_VALUE"""),"Yudha Prasetyawan, S.T., M.Eng.")</f>
        <v>Yudha Prasetyawan, S.T., M.Eng.</v>
      </c>
      <c r="V255" s="1" t="str">
        <f ca="1">IFERROR(__xludf.DUMMYFUNCTION("""COMPUTED_VALUE"""),"Yasmin Zainul Mochtar, S.T., M.A.")</f>
        <v>Yasmin Zainul Mochtar, S.T., M.A.</v>
      </c>
      <c r="W255" s="1"/>
      <c r="X255" s="1" t="str">
        <f ca="1">IFERROR(__xludf.DUMMYFUNCTION("""COMPUTED_VALUE"""),"Lolos")</f>
        <v>Lolos</v>
      </c>
      <c r="Y255" s="1"/>
      <c r="Z255" s="1"/>
      <c r="AA255" s="1"/>
    </row>
    <row r="256" spans="1:27">
      <c r="A256" s="1" t="s">
        <v>251</v>
      </c>
      <c r="B256" s="1">
        <f ca="1">IFERROR(__xludf.DUMMYFUNCTION("""COMPUTED_VALUE"""),2465)</f>
        <v>2465</v>
      </c>
      <c r="C256" s="1" t="str">
        <f ca="1">IFERROR(__xludf.DUMMYFUNCTION("""COMPUTED_VALUE"""),"PKM Karsa Cipta")</f>
        <v>PKM Karsa Cipta</v>
      </c>
      <c r="D256" s="1" t="str">
        <f ca="1">IFERROR(__xludf.DUMMYFUNCTION("""COMPUTED_VALUE"""),"Inovasi Pencegahan serta Penanganan Stress Berdasarkan Fisiologis dan Psikologis Menggunakan fuzzy logic Terintegrasi Internet of Things Guna Meningkatkan Produktivitas Pekerja")</f>
        <v>Inovasi Pencegahan serta Penanganan Stress Berdasarkan Fisiologis dan Psikologis Menggunakan fuzzy logic Terintegrasi Internet of Things Guna Meningkatkan Produktivitas Pekerja</v>
      </c>
      <c r="E256" s="1" t="str">
        <f ca="1">IFERROR(__xludf.DUMMYFUNCTION("""COMPUTED_VALUE"""),"MEILYSA KURNIA SARI")</f>
        <v>MEILYSA KURNIA SARI</v>
      </c>
      <c r="F256" s="1" t="str">
        <f ca="1">IFERROR(__xludf.DUMMYFUNCTION("""COMPUTED_VALUE"""),"5001201006")</f>
        <v>5001201006</v>
      </c>
      <c r="G256" s="1" t="str">
        <f ca="1">IFERROR(__xludf.DUMMYFUNCTION("""COMPUTED_VALUE"""),"Departemen Fisika")</f>
        <v>Departemen Fisika</v>
      </c>
      <c r="H256" s="1" t="str">
        <f ca="1">IFERROR(__xludf.DUMMYFUNCTION("""COMPUTED_VALUE"""),"Muhammad Arief Bustomi, S.Si., M.Si")</f>
        <v>Muhammad Arief Bustomi, S.Si., M.Si</v>
      </c>
      <c r="I256" s="1" t="str">
        <f ca="1">IFERROR(__xludf.DUMMYFUNCTION("""COMPUTED_VALUE"""),"ARUM SETYOWATI")</f>
        <v>ARUM SETYOWATI</v>
      </c>
      <c r="J256" s="1" t="str">
        <f ca="1">IFERROR(__xludf.DUMMYFUNCTION("""COMPUTED_VALUE"""),"5001201004")</f>
        <v>5001201004</v>
      </c>
      <c r="K256" s="1" t="str">
        <f ca="1">IFERROR(__xludf.DUMMYFUNCTION("""COMPUTED_VALUE"""),"Departemen Fisika")</f>
        <v>Departemen Fisika</v>
      </c>
      <c r="L256" s="1" t="str">
        <f ca="1">IFERROR(__xludf.DUMMYFUNCTION("""COMPUTED_VALUE"""),"MIFTACHUL LUTFIAH")</f>
        <v>MIFTACHUL LUTFIAH</v>
      </c>
      <c r="M256" s="1" t="str">
        <f ca="1">IFERROR(__xludf.DUMMYFUNCTION("""COMPUTED_VALUE"""),"5001201009")</f>
        <v>5001201009</v>
      </c>
      <c r="N256" s="1" t="str">
        <f ca="1">IFERROR(__xludf.DUMMYFUNCTION("""COMPUTED_VALUE"""),"Departemen Fisika")</f>
        <v>Departemen Fisika</v>
      </c>
      <c r="O256" s="1" t="str">
        <f ca="1">IFERROR(__xludf.DUMMYFUNCTION("""COMPUTED_VALUE"""),"ZUFAR AMAANATURRAAFI")</f>
        <v>ZUFAR AMAANATURRAAFI</v>
      </c>
      <c r="P256" s="1" t="str">
        <f ca="1">IFERROR(__xludf.DUMMYFUNCTION("""COMPUTED_VALUE"""),"5001201045")</f>
        <v>5001201045</v>
      </c>
      <c r="Q256" s="1" t="str">
        <f ca="1">IFERROR(__xludf.DUMMYFUNCTION("""COMPUTED_VALUE"""),"Departemen Fisika")</f>
        <v>Departemen Fisika</v>
      </c>
      <c r="R256" s="1"/>
      <c r="S256" s="1"/>
      <c r="T256" s="1"/>
      <c r="U256" s="1" t="str">
        <f ca="1">IFERROR(__xludf.DUMMYFUNCTION("""COMPUTED_VALUE"""),"Sefi Novendra Patrialova, S.Si., M.T")</f>
        <v>Sefi Novendra Patrialova, S.Si., M.T</v>
      </c>
      <c r="V256" s="1" t="str">
        <f ca="1">IFERROR(__xludf.DUMMYFUNCTION("""COMPUTED_VALUE"""),"Yasmin Zainul Mochtar, S.T., M.A.")</f>
        <v>Yasmin Zainul Mochtar, S.T., M.A.</v>
      </c>
      <c r="W256" s="1"/>
      <c r="X256" s="1" t="str">
        <f ca="1">IFERROR(__xludf.DUMMYFUNCTION("""COMPUTED_VALUE"""),"Lolos")</f>
        <v>Lolos</v>
      </c>
      <c r="Y256" s="1"/>
      <c r="Z256" s="1"/>
      <c r="AA256" s="1"/>
    </row>
    <row r="257" spans="1:27">
      <c r="A257" s="1" t="s">
        <v>252</v>
      </c>
      <c r="B257" s="1">
        <f ca="1">IFERROR(__xludf.DUMMYFUNCTION("""COMPUTED_VALUE"""),2690)</f>
        <v>2690</v>
      </c>
      <c r="C257" s="1" t="str">
        <f ca="1">IFERROR(__xludf.DUMMYFUNCTION("""COMPUTED_VALUE"""),"PKM Karsa Cipta")</f>
        <v>PKM Karsa Cipta</v>
      </c>
      <c r="D257" s="1" t="str">
        <f ca="1">IFERROR(__xludf.DUMMYFUNCTION("""COMPUTED_VALUE"""),"Smart Used Cooking Oil Vending Machine Untuk Meningkatkan Antusiasme Masyarakat Dalam Menabung Minyak Jelantah")</f>
        <v>Smart Used Cooking Oil Vending Machine Untuk Meningkatkan Antusiasme Masyarakat Dalam Menabung Minyak Jelantah</v>
      </c>
      <c r="E257" s="1" t="str">
        <f ca="1">IFERROR(__xludf.DUMMYFUNCTION("""COMPUTED_VALUE"""),"ANDIKA MANDALA PUTRA")</f>
        <v>ANDIKA MANDALA PUTRA</v>
      </c>
      <c r="F257" s="1" t="str">
        <f ca="1">IFERROR(__xludf.DUMMYFUNCTION("""COMPUTED_VALUE"""),"02111940000093")</f>
        <v>02111940000093</v>
      </c>
      <c r="G257" s="1" t="str">
        <f ca="1">IFERROR(__xludf.DUMMYFUNCTION("""COMPUTED_VALUE"""),"Departemen Teknik Mesin")</f>
        <v>Departemen Teknik Mesin</v>
      </c>
      <c r="H257" s="1" t="str">
        <f ca="1">IFERROR(__xludf.DUMMYFUNCTION("""COMPUTED_VALUE"""),"Dr.Eng. Unggul Wasiwitono, S.T., M.Eng.Sc.")</f>
        <v>Dr.Eng. Unggul Wasiwitono, S.T., M.Eng.Sc.</v>
      </c>
      <c r="I257" s="1" t="str">
        <f ca="1">IFERROR(__xludf.DUMMYFUNCTION("""COMPUTED_VALUE"""),"Aditya Arief Rahman Putra")</f>
        <v>Aditya Arief Rahman Putra</v>
      </c>
      <c r="J257" s="1" t="str">
        <f ca="1">IFERROR(__xludf.DUMMYFUNCTION("""COMPUTED_VALUE"""),"02111840000051")</f>
        <v>02111840000051</v>
      </c>
      <c r="K257" s="1" t="str">
        <f ca="1">IFERROR(__xludf.DUMMYFUNCTION("""COMPUTED_VALUE"""),"Departemen Teknik Mesin")</f>
        <v>Departemen Teknik Mesin</v>
      </c>
      <c r="L257" s="1" t="str">
        <f ca="1">IFERROR(__xludf.DUMMYFUNCTION("""COMPUTED_VALUE"""),"HALEN DINATA ATMAJA")</f>
        <v>HALEN DINATA ATMAJA</v>
      </c>
      <c r="M257" s="1" t="str">
        <f ca="1">IFERROR(__xludf.DUMMYFUNCTION("""COMPUTED_VALUE"""),"10511910000003")</f>
        <v>10511910000003</v>
      </c>
      <c r="N257" s="1" t="str">
        <f ca="1">IFERROR(__xludf.DUMMYFUNCTION("""COMPUTED_VALUE"""),"Departemen Teknik Instrumentasi")</f>
        <v>Departemen Teknik Instrumentasi</v>
      </c>
      <c r="O257" s="1" t="str">
        <f ca="1">IFERROR(__xludf.DUMMYFUNCTION("""COMPUTED_VALUE"""),"ANDREAS PRATAMA PUTRA")</f>
        <v>ANDREAS PRATAMA PUTRA</v>
      </c>
      <c r="P257" s="1" t="str">
        <f ca="1">IFERROR(__xludf.DUMMYFUNCTION("""COMPUTED_VALUE"""),"10511910000033")</f>
        <v>10511910000033</v>
      </c>
      <c r="Q257" s="1" t="str">
        <f ca="1">IFERROR(__xludf.DUMMYFUNCTION("""COMPUTED_VALUE"""),"Departemen Teknik Instrumentasi")</f>
        <v>Departemen Teknik Instrumentasi</v>
      </c>
      <c r="R257" s="1"/>
      <c r="S257" s="1"/>
      <c r="T257" s="1"/>
      <c r="U257" s="1" t="str">
        <f ca="1">IFERROR(__xludf.DUMMYFUNCTION("""COMPUTED_VALUE"""),"Eko Agus Suprayitno, S.Si., M.T.")</f>
        <v>Eko Agus Suprayitno, S.Si., M.T.</v>
      </c>
      <c r="V257" s="1" t="str">
        <f ca="1">IFERROR(__xludf.DUMMYFUNCTION("""COMPUTED_VALUE"""),"Dr. Eng. Hosta Ardhyananta, S.T., M.Sc.")</f>
        <v>Dr. Eng. Hosta Ardhyananta, S.T., M.Sc.</v>
      </c>
      <c r="W257" s="1"/>
      <c r="X257" s="1" t="str">
        <f ca="1">IFERROR(__xludf.DUMMYFUNCTION("""COMPUTED_VALUE"""),"Lolos")</f>
        <v>Lolos</v>
      </c>
      <c r="Y257" s="1"/>
      <c r="Z257" s="1"/>
      <c r="AA257" s="1"/>
    </row>
    <row r="258" spans="1:27">
      <c r="A258" s="1" t="s">
        <v>253</v>
      </c>
      <c r="B258" s="1">
        <f ca="1">IFERROR(__xludf.DUMMYFUNCTION("""COMPUTED_VALUE"""),2219)</f>
        <v>2219</v>
      </c>
      <c r="C258" s="1" t="str">
        <f ca="1">IFERROR(__xludf.DUMMYFUNCTION("""COMPUTED_VALUE"""),"PKM Karsa Cipta")</f>
        <v>PKM Karsa Cipta</v>
      </c>
      <c r="D258" s="1" t="str">
        <f ca="1">IFERROR(__xludf.DUMMYFUNCTION("""COMPUTED_VALUE"""),"Detektor Hemoglobin Non-Invasif Berbasis IoT dan Machine Learning Untuk Memprediksi Waktu Tranfusi Darah Bagi Penderita Systemic Lupus Erythematosus")</f>
        <v>Detektor Hemoglobin Non-Invasif Berbasis IoT dan Machine Learning Untuk Memprediksi Waktu Tranfusi Darah Bagi Penderita Systemic Lupus Erythematosus</v>
      </c>
      <c r="E258" s="1" t="str">
        <f ca="1">IFERROR(__xludf.DUMMYFUNCTION("""COMPUTED_VALUE"""),"M. Taufiqul Huda")</f>
        <v>M. Taufiqul Huda</v>
      </c>
      <c r="F258" s="1" t="str">
        <f ca="1">IFERROR(__xludf.DUMMYFUNCTION("""COMPUTED_VALUE"""),"5022211007")</f>
        <v>5022211007</v>
      </c>
      <c r="G258" s="1" t="str">
        <f ca="1">IFERROR(__xludf.DUMMYFUNCTION("""COMPUTED_VALUE"""),"Departemen Teknik Elektro")</f>
        <v>Departemen Teknik Elektro</v>
      </c>
      <c r="H258" s="1" t="str">
        <f ca="1">IFERROR(__xludf.DUMMYFUNCTION("""COMPUTED_VALUE"""),"Eko Agus Suprayitno, S.Si., M.T.")</f>
        <v>Eko Agus Suprayitno, S.Si., M.T.</v>
      </c>
      <c r="I258" s="1" t="str">
        <f ca="1">IFERROR(__xludf.DUMMYFUNCTION("""COMPUTED_VALUE"""),"AHMAD JABAR ILMI")</f>
        <v>AHMAD JABAR ILMI</v>
      </c>
      <c r="J258" s="1" t="str">
        <f ca="1">IFERROR(__xludf.DUMMYFUNCTION("""COMPUTED_VALUE"""),"5022211038")</f>
        <v>5022211038</v>
      </c>
      <c r="K258" s="1" t="str">
        <f ca="1">IFERROR(__xludf.DUMMYFUNCTION("""COMPUTED_VALUE"""),"Departemen Teknik Elektro")</f>
        <v>Departemen Teknik Elektro</v>
      </c>
      <c r="L258" s="1" t="str">
        <f ca="1">IFERROR(__xludf.DUMMYFUNCTION("""COMPUTED_VALUE"""),"ALFAUZI SATRIO WICAKSONO")</f>
        <v>ALFAUZI SATRIO WICAKSONO</v>
      </c>
      <c r="M258" s="1" t="str">
        <f ca="1">IFERROR(__xludf.DUMMYFUNCTION("""COMPUTED_VALUE"""),"5005201021")</f>
        <v>5005201021</v>
      </c>
      <c r="N258" s="1" t="str">
        <f ca="1">IFERROR(__xludf.DUMMYFUNCTION("""COMPUTED_VALUE"""),"Departemen Biologi")</f>
        <v>Departemen Biologi</v>
      </c>
      <c r="O258" s="1" t="str">
        <f ca="1">IFERROR(__xludf.DUMMYFUNCTION("""COMPUTED_VALUE"""),"ENRICO GABRIEL IH")</f>
        <v>ENRICO GABRIEL IH</v>
      </c>
      <c r="P258" s="1" t="str">
        <f ca="1">IFERROR(__xludf.DUMMYFUNCTION("""COMPUTED_VALUE"""),"5009211022")</f>
        <v>5009211022</v>
      </c>
      <c r="Q258" s="1" t="str">
        <f ca="1">IFERROR(__xludf.DUMMYFUNCTION("""COMPUTED_VALUE"""),"Departemen Teknik Fisika")</f>
        <v>Departemen Teknik Fisika</v>
      </c>
      <c r="R258" s="1" t="str">
        <f ca="1">IFERROR(__xludf.DUMMYFUNCTION("""COMPUTED_VALUE"""),"SHAUMA AULYA ZAHRA")</f>
        <v>SHAUMA AULYA ZAHRA</v>
      </c>
      <c r="S258" s="1" t="str">
        <f ca="1">IFERROR(__xludf.DUMMYFUNCTION("""COMPUTED_VALUE"""),"5015211027")</f>
        <v>5015211027</v>
      </c>
      <c r="T258" s="1" t="str">
        <f ca="1">IFERROR(__xludf.DUMMYFUNCTION("""COMPUTED_VALUE"""),"Departemen Perencanaan Wilayah dan Kota")</f>
        <v>Departemen Perencanaan Wilayah dan Kota</v>
      </c>
      <c r="U258" s="1" t="str">
        <f ca="1">IFERROR(__xludf.DUMMYFUNCTION("""COMPUTED_VALUE"""),"Sefi Novendra Patrialova, S.Si., M.T")</f>
        <v>Sefi Novendra Patrialova, S.Si., M.T</v>
      </c>
      <c r="V258" s="1" t="str">
        <f ca="1">IFERROR(__xludf.DUMMYFUNCTION("""COMPUTED_VALUE"""),"Dr. Ir. Purwadi Agus Darwito, M.Sc.")</f>
        <v>Dr. Ir. Purwadi Agus Darwito, M.Sc.</v>
      </c>
      <c r="W258" s="1"/>
      <c r="X258" s="1" t="str">
        <f ca="1">IFERROR(__xludf.DUMMYFUNCTION("""COMPUTED_VALUE"""),"Lolos")</f>
        <v>Lolos</v>
      </c>
      <c r="Y258" s="1"/>
      <c r="Z258" s="1"/>
      <c r="AA258" s="1"/>
    </row>
    <row r="259" spans="1:27">
      <c r="A259" s="1" t="s">
        <v>254</v>
      </c>
      <c r="B259" s="1">
        <f ca="1">IFERROR(__xludf.DUMMYFUNCTION("""COMPUTED_VALUE"""),2160)</f>
        <v>2160</v>
      </c>
      <c r="C259" s="1" t="str">
        <f ca="1">IFERROR(__xludf.DUMMYFUNCTION("""COMPUTED_VALUE"""),"PKM Karsa Cipta")</f>
        <v>PKM Karsa Cipta</v>
      </c>
      <c r="D259" s="1" t="str">
        <f ca="1">IFERROR(__xludf.DUMMYFUNCTION("""COMPUTED_VALUE"""),"Sistem Pendeteksi Kesalahan Servis Bulutangkis (Service Fault) pada Aspek Ketinggian Servis Berbasis Visi Komputer
")</f>
        <v xml:space="preserve">Sistem Pendeteksi Kesalahan Servis Bulutangkis (Service Fault) pada Aspek Ketinggian Servis Berbasis Visi Komputer
</v>
      </c>
      <c r="E259" s="1" t="str">
        <f ca="1">IFERROR(__xludf.DUMMYFUNCTION("""COMPUTED_VALUE"""),"MUHAMMAD FADLAN AKBAR")</f>
        <v>MUHAMMAD FADLAN AKBAR</v>
      </c>
      <c r="F259" s="1" t="str">
        <f ca="1">IFERROR(__xludf.DUMMYFUNCTION("""COMPUTED_VALUE"""),"5022201171")</f>
        <v>5022201171</v>
      </c>
      <c r="G259" s="1" t="str">
        <f ca="1">IFERROR(__xludf.DUMMYFUNCTION("""COMPUTED_VALUE"""),"Departemen Teknik Elektro")</f>
        <v>Departemen Teknik Elektro</v>
      </c>
      <c r="H259" s="1" t="str">
        <f ca="1">IFERROR(__xludf.DUMMYFUNCTION("""COMPUTED_VALUE"""),"Dr. Ir. Hendra Kusuma, M.Eng.Sc.")</f>
        <v>Dr. Ir. Hendra Kusuma, M.Eng.Sc.</v>
      </c>
      <c r="I259" s="1" t="str">
        <f ca="1">IFERROR(__xludf.DUMMYFUNCTION("""COMPUTED_VALUE"""),"ILHAM WAHYU EKO PRASETYO")</f>
        <v>ILHAM WAHYU EKO PRASETYO</v>
      </c>
      <c r="J259" s="1" t="str">
        <f ca="1">IFERROR(__xludf.DUMMYFUNCTION("""COMPUTED_VALUE"""),"5022201041")</f>
        <v>5022201041</v>
      </c>
      <c r="K259" s="1" t="str">
        <f ca="1">IFERROR(__xludf.DUMMYFUNCTION("""COMPUTED_VALUE"""),"Departemen Teknik Elektro")</f>
        <v>Departemen Teknik Elektro</v>
      </c>
      <c r="L259" s="1" t="str">
        <f ca="1">IFERROR(__xludf.DUMMYFUNCTION("""COMPUTED_VALUE"""),"HANIF REZA WIBOWO")</f>
        <v>HANIF REZA WIBOWO</v>
      </c>
      <c r="M259" s="1" t="str">
        <f ca="1">IFERROR(__xludf.DUMMYFUNCTION("""COMPUTED_VALUE"""),"5022201190")</f>
        <v>5022201190</v>
      </c>
      <c r="N259" s="1" t="str">
        <f ca="1">IFERROR(__xludf.DUMMYFUNCTION("""COMPUTED_VALUE"""),"Departemen Teknik Elektro")</f>
        <v>Departemen Teknik Elektro</v>
      </c>
      <c r="O259" s="1" t="str">
        <f ca="1">IFERROR(__xludf.DUMMYFUNCTION("""COMPUTED_VALUE"""),"NURUL SOFIA DEWI")</f>
        <v>NURUL SOFIA DEWI</v>
      </c>
      <c r="P259" s="1" t="str">
        <f ca="1">IFERROR(__xludf.DUMMYFUNCTION("""COMPUTED_VALUE"""),"5022201251")</f>
        <v>5022201251</v>
      </c>
      <c r="Q259" s="1" t="str">
        <f ca="1">IFERROR(__xludf.DUMMYFUNCTION("""COMPUTED_VALUE"""),"Departemen Teknik Elektro")</f>
        <v>Departemen Teknik Elektro</v>
      </c>
      <c r="R259" s="1" t="str">
        <f ca="1">IFERROR(__xludf.DUMMYFUNCTION("""COMPUTED_VALUE"""),"CHERISH GLOBAL ETNIC")</f>
        <v>CHERISH GLOBAL ETNIC</v>
      </c>
      <c r="S259" s="1" t="str">
        <f ca="1">IFERROR(__xludf.DUMMYFUNCTION("""COMPUTED_VALUE"""),"5008211073")</f>
        <v>5008211073</v>
      </c>
      <c r="T259" s="1" t="str">
        <f ca="1">IFERROR(__xludf.DUMMYFUNCTION("""COMPUTED_VALUE"""),"Departemen Teknik Kimia")</f>
        <v>Departemen Teknik Kimia</v>
      </c>
      <c r="U259" s="1" t="str">
        <f ca="1">IFERROR(__xludf.DUMMYFUNCTION("""COMPUTED_VALUE"""),"Sefi Novendra Patrialova, S.Si., M.T")</f>
        <v>Sefi Novendra Patrialova, S.Si., M.T</v>
      </c>
      <c r="V259" s="1" t="str">
        <f ca="1">IFERROR(__xludf.DUMMYFUNCTION("""COMPUTED_VALUE"""),"Dr. Ir. Purwadi Agus Darwito, M.Sc.")</f>
        <v>Dr. Ir. Purwadi Agus Darwito, M.Sc.</v>
      </c>
      <c r="W259" s="1"/>
      <c r="X259" s="1" t="str">
        <f ca="1">IFERROR(__xludf.DUMMYFUNCTION("""COMPUTED_VALUE"""),"Lolos")</f>
        <v>Lolos</v>
      </c>
      <c r="Y259" s="1"/>
      <c r="Z259" s="1"/>
      <c r="AA259" s="1"/>
    </row>
    <row r="260" spans="1:27">
      <c r="A260" s="1" t="s">
        <v>255</v>
      </c>
      <c r="B260" s="1">
        <f ca="1">IFERROR(__xludf.DUMMYFUNCTION("""COMPUTED_VALUE"""),3208)</f>
        <v>3208</v>
      </c>
      <c r="C260" s="1" t="str">
        <f ca="1">IFERROR(__xludf.DUMMYFUNCTION("""COMPUTED_VALUE"""),"PKM Karsa Cipta")</f>
        <v>PKM Karsa Cipta</v>
      </c>
      <c r="D260" s="1" t="str">
        <f ca="1">IFERROR(__xludf.DUMMYFUNCTION("""COMPUTED_VALUE"""),"EscapeAR: Pemanfaatan Teknologi Location-Based Augmented Reality dan Artificial Intelligence dalam Evakuasi Bencana Kebakaran")</f>
        <v>EscapeAR: Pemanfaatan Teknologi Location-Based Augmented Reality dan Artificial Intelligence dalam Evakuasi Bencana Kebakaran</v>
      </c>
      <c r="E260" s="1" t="str">
        <f ca="1">IFERROR(__xludf.DUMMYFUNCTION("""COMPUTED_VALUE"""),"ANDREW EGBERT WIRYAWAN")</f>
        <v>ANDREW EGBERT WIRYAWAN</v>
      </c>
      <c r="F260" s="1" t="str">
        <f ca="1">IFERROR(__xludf.DUMMYFUNCTION("""COMPUTED_VALUE"""),"03311942000003")</f>
        <v>03311942000003</v>
      </c>
      <c r="G260" s="1" t="str">
        <f ca="1">IFERROR(__xludf.DUMMYFUNCTION("""COMPUTED_VALUE"""),"Departemen Teknik Geomatika")</f>
        <v>Departemen Teknik Geomatika</v>
      </c>
      <c r="H260" s="1" t="str">
        <f ca="1">IFERROR(__xludf.DUMMYFUNCTION("""COMPUTED_VALUE"""),"Dr. Filsa Bioresita, S.T., M.T.")</f>
        <v>Dr. Filsa Bioresita, S.T., M.T.</v>
      </c>
      <c r="I260" s="1" t="str">
        <f ca="1">IFERROR(__xludf.DUMMYFUNCTION("""COMPUTED_VALUE"""),"RAUL JAVIER DE YONG")</f>
        <v>RAUL JAVIER DE YONG</v>
      </c>
      <c r="J260" s="1" t="str">
        <f ca="1">IFERROR(__xludf.DUMMYFUNCTION("""COMPUTED_VALUE"""),"03311942000005")</f>
        <v>03311942000005</v>
      </c>
      <c r="K260" s="1" t="str">
        <f ca="1">IFERROR(__xludf.DUMMYFUNCTION("""COMPUTED_VALUE"""),"Departemen Teknik Geomatika")</f>
        <v>Departemen Teknik Geomatika</v>
      </c>
      <c r="L260" s="1" t="str">
        <f ca="1">IFERROR(__xludf.DUMMYFUNCTION("""COMPUTED_VALUE"""),"AKMAL ZAKI ASMARA")</f>
        <v>AKMAL ZAKI ASMARA</v>
      </c>
      <c r="M260" s="1" t="str">
        <f ca="1">IFERROR(__xludf.DUMMYFUNCTION("""COMPUTED_VALUE"""),"05111940000154")</f>
        <v>05111940000154</v>
      </c>
      <c r="N260" s="1" t="str">
        <f ca="1">IFERROR(__xludf.DUMMYFUNCTION("""COMPUTED_VALUE"""),"Departemen Teknik Informatika")</f>
        <v>Departemen Teknik Informatika</v>
      </c>
      <c r="O260" s="1" t="str">
        <f ca="1">IFERROR(__xludf.DUMMYFUNCTION("""COMPUTED_VALUE"""),"Alvina Viasty")</f>
        <v>Alvina Viasty</v>
      </c>
      <c r="P260" s="1" t="str">
        <f ca="1">IFERROR(__xludf.DUMMYFUNCTION("""COMPUTED_VALUE"""),"5016211007")</f>
        <v>5016211007</v>
      </c>
      <c r="Q260" s="1" t="str">
        <f ca="1">IFERROR(__xludf.DUMMYFUNCTION("""COMPUTED_VALUE"""),"Departemen Teknik Geomatika")</f>
        <v>Departemen Teknik Geomatika</v>
      </c>
      <c r="R260" s="1" t="str">
        <f ca="1">IFERROR(__xludf.DUMMYFUNCTION("""COMPUTED_VALUE"""),"Ivan Muhammad Nizar")</f>
        <v>Ivan Muhammad Nizar</v>
      </c>
      <c r="S260" s="1" t="str">
        <f ca="1">IFERROR(__xludf.DUMMYFUNCTION("""COMPUTED_VALUE"""),"05111940000052")</f>
        <v>05111940000052</v>
      </c>
      <c r="T260" s="1" t="str">
        <f ca="1">IFERROR(__xludf.DUMMYFUNCTION("""COMPUTED_VALUE"""),"Departemen Teknik Informatika")</f>
        <v>Departemen Teknik Informatika</v>
      </c>
      <c r="U260" s="1" t="str">
        <f ca="1">IFERROR(__xludf.DUMMYFUNCTION("""COMPUTED_VALUE"""),"Sefi Novendra Patrialova, S.Si., M.T")</f>
        <v>Sefi Novendra Patrialova, S.Si., M.T</v>
      </c>
      <c r="V260" s="1" t="str">
        <f ca="1">IFERROR(__xludf.DUMMYFUNCTION("""COMPUTED_VALUE"""),"Dr.-Ing. Doty Dewi Risanti, S.T., M.T.")</f>
        <v>Dr.-Ing. Doty Dewi Risanti, S.T., M.T.</v>
      </c>
      <c r="W260" s="1"/>
      <c r="X260" s="1" t="str">
        <f ca="1">IFERROR(__xludf.DUMMYFUNCTION("""COMPUTED_VALUE"""),"Lolos")</f>
        <v>Lolos</v>
      </c>
      <c r="Y260" s="1"/>
      <c r="Z260" s="1"/>
      <c r="AA260" s="1"/>
    </row>
    <row r="261" spans="1:27">
      <c r="A261" s="1" t="s">
        <v>256</v>
      </c>
      <c r="B261" s="1">
        <f ca="1">IFERROR(__xludf.DUMMYFUNCTION("""COMPUTED_VALUE"""),2909)</f>
        <v>2909</v>
      </c>
      <c r="C261" s="1" t="str">
        <f ca="1">IFERROR(__xludf.DUMMYFUNCTION("""COMPUTED_VALUE"""),"PKM Karsa Cipta")</f>
        <v>PKM Karsa Cipta</v>
      </c>
      <c r="D261" s="1" t="str">
        <f ca="1">IFERROR(__xludf.DUMMYFUNCTION("""COMPUTED_VALUE"""),"Prediksi Pelarian Termal pada Battery Pack Mobil Listrik dengan Sistem Akuisisi Data Berbasis Machine Learning sebagai Upaya Peningkatan Keamanan Berkendara")</f>
        <v>Prediksi Pelarian Termal pada Battery Pack Mobil Listrik dengan Sistem Akuisisi Data Berbasis Machine Learning sebagai Upaya Peningkatan Keamanan Berkendara</v>
      </c>
      <c r="E261" s="1" t="str">
        <f ca="1">IFERROR(__xludf.DUMMYFUNCTION("""COMPUTED_VALUE"""),"MUHAMMAD RAYHAN RAFY")</f>
        <v>MUHAMMAD RAYHAN RAFY</v>
      </c>
      <c r="F261" s="1" t="str">
        <f ca="1">IFERROR(__xludf.DUMMYFUNCTION("""COMPUTED_VALUE"""),"5022201179")</f>
        <v>5022201179</v>
      </c>
      <c r="G261" s="1" t="str">
        <f ca="1">IFERROR(__xludf.DUMMYFUNCTION("""COMPUTED_VALUE"""),"Departemen Teknik Elektro")</f>
        <v>Departemen Teknik Elektro</v>
      </c>
      <c r="H261" s="1" t="str">
        <f ca="1">IFERROR(__xludf.DUMMYFUNCTION("""COMPUTED_VALUE"""),"Dr. Ir. Purwadi Agus Darwito, M.Sc.")</f>
        <v>Dr. Ir. Purwadi Agus Darwito, M.Sc.</v>
      </c>
      <c r="I261" s="1" t="str">
        <f ca="1">IFERROR(__xludf.DUMMYFUNCTION("""COMPUTED_VALUE"""),"MUHAMMAD FARIS ZUHAIRI")</f>
        <v>MUHAMMAD FARIS ZUHAIRI</v>
      </c>
      <c r="J261" s="1" t="str">
        <f ca="1">IFERROR(__xludf.DUMMYFUNCTION("""COMPUTED_VALUE"""),"07111940000164")</f>
        <v>07111940000164</v>
      </c>
      <c r="K261" s="1" t="str">
        <f ca="1">IFERROR(__xludf.DUMMYFUNCTION("""COMPUTED_VALUE"""),"Departemen Teknik Elektro")</f>
        <v>Departemen Teknik Elektro</v>
      </c>
      <c r="L261" s="1" t="str">
        <f ca="1">IFERROR(__xludf.DUMMYFUNCTION("""COMPUTED_VALUE"""),"ARIEL JONATHAN")</f>
        <v>ARIEL JONATHAN</v>
      </c>
      <c r="M261" s="1" t="str">
        <f ca="1">IFERROR(__xludf.DUMMYFUNCTION("""COMPUTED_VALUE"""),"5022201112")</f>
        <v>5022201112</v>
      </c>
      <c r="N261" s="1" t="str">
        <f ca="1">IFERROR(__xludf.DUMMYFUNCTION("""COMPUTED_VALUE"""),"Departemen Teknik Elektro")</f>
        <v>Departemen Teknik Elektro</v>
      </c>
      <c r="O261" s="1" t="str">
        <f ca="1">IFERROR(__xludf.DUMMYFUNCTION("""COMPUTED_VALUE"""),"FRECIA ELRIVIA MARDIANTO")</f>
        <v>FRECIA ELRIVIA MARDIANTO</v>
      </c>
      <c r="P261" s="1" t="str">
        <f ca="1">IFERROR(__xludf.DUMMYFUNCTION("""COMPUTED_VALUE"""),"5009201134")</f>
        <v>5009201134</v>
      </c>
      <c r="Q261" s="1" t="str">
        <f ca="1">IFERROR(__xludf.DUMMYFUNCTION("""COMPUTED_VALUE"""),"Departemen Teknik Fisika")</f>
        <v>Departemen Teknik Fisika</v>
      </c>
      <c r="R261" s="1" t="str">
        <f ca="1">IFERROR(__xludf.DUMMYFUNCTION("""COMPUTED_VALUE"""),"Novandion Rafly Kurniawan")</f>
        <v>Novandion Rafly Kurniawan</v>
      </c>
      <c r="S261" s="1" t="str">
        <f ca="1">IFERROR(__xludf.DUMMYFUNCTION("""COMPUTED_VALUE"""),"02311940000010")</f>
        <v>02311940000010</v>
      </c>
      <c r="T261" s="1" t="str">
        <f ca="1">IFERROR(__xludf.DUMMYFUNCTION("""COMPUTED_VALUE"""),"Departemen Teknik Fisika")</f>
        <v>Departemen Teknik Fisika</v>
      </c>
      <c r="U261" s="1" t="str">
        <f ca="1">IFERROR(__xludf.DUMMYFUNCTION("""COMPUTED_VALUE"""),"Eko Agus Suprayitno, S.Si., M.T.")</f>
        <v>Eko Agus Suprayitno, S.Si., M.T.</v>
      </c>
      <c r="V261" s="1" t="str">
        <f ca="1">IFERROR(__xludf.DUMMYFUNCTION("""COMPUTED_VALUE"""),"Mahardika F. Rois, S.T, M.T")</f>
        <v>Mahardika F. Rois, S.T, M.T</v>
      </c>
      <c r="W261" s="1"/>
      <c r="X261" s="1" t="str">
        <f ca="1">IFERROR(__xludf.DUMMYFUNCTION("""COMPUTED_VALUE"""),"Lolos")</f>
        <v>Lolos</v>
      </c>
      <c r="Y261" s="1"/>
      <c r="Z261" s="1"/>
      <c r="AA261" s="1"/>
    </row>
    <row r="262" spans="1:27">
      <c r="A262" s="1" t="s">
        <v>257</v>
      </c>
      <c r="B262" s="1">
        <f ca="1">IFERROR(__xludf.DUMMYFUNCTION("""COMPUTED_VALUE"""),2585)</f>
        <v>2585</v>
      </c>
      <c r="C262" s="1" t="str">
        <f ca="1">IFERROR(__xludf.DUMMYFUNCTION("""COMPUTED_VALUE"""),"PKM Karsa Cipta")</f>
        <v>PKM Karsa Cipta</v>
      </c>
      <c r="D262" s="1" t="str">
        <f ca="1">IFERROR(__xludf.DUMMYFUNCTION("""COMPUTED_VALUE"""),"Penggunaan Unmanned Ground Vehicle dengan Double-Sided Fertilizer Sprayer untuk Meningkatkan Efektivitas Pemupukan Pada Perkebunan")</f>
        <v>Penggunaan Unmanned Ground Vehicle dengan Double-Sided Fertilizer Sprayer untuk Meningkatkan Efektivitas Pemupukan Pada Perkebunan</v>
      </c>
      <c r="E262" s="1" t="str">
        <f ca="1">IFERROR(__xludf.DUMMYFUNCTION("""COMPUTED_VALUE"""),"KAFKA KORDOVA LUQMAN")</f>
        <v>KAFKA KORDOVA LUQMAN</v>
      </c>
      <c r="F262" s="1" t="str">
        <f ca="1">IFERROR(__xludf.DUMMYFUNCTION("""COMPUTED_VALUE"""),"02111940000098")</f>
        <v>02111940000098</v>
      </c>
      <c r="G262" s="1" t="str">
        <f ca="1">IFERROR(__xludf.DUMMYFUNCTION("""COMPUTED_VALUE"""),"Departemen Teknik Mesin")</f>
        <v>Departemen Teknik Mesin</v>
      </c>
      <c r="H262" s="1" t="str">
        <f ca="1">IFERROR(__xludf.DUMMYFUNCTION("""COMPUTED_VALUE"""),"Dr.Eng. Unggul Wasiwitono, S.T., M.Eng.Sc.")</f>
        <v>Dr.Eng. Unggul Wasiwitono, S.T., M.Eng.Sc.</v>
      </c>
      <c r="I262" s="1" t="str">
        <f ca="1">IFERROR(__xludf.DUMMYFUNCTION("""COMPUTED_VALUE"""),"ABELOVSKY EMMANUEL G GINTING")</f>
        <v>ABELOVSKY EMMANUEL G GINTING</v>
      </c>
      <c r="J262" s="1" t="str">
        <f ca="1">IFERROR(__xludf.DUMMYFUNCTION("""COMPUTED_VALUE"""),"02111940000109")</f>
        <v>02111940000109</v>
      </c>
      <c r="K262" s="1" t="str">
        <f ca="1">IFERROR(__xludf.DUMMYFUNCTION("""COMPUTED_VALUE"""),"Departemen Teknik Mesin")</f>
        <v>Departemen Teknik Mesin</v>
      </c>
      <c r="L262" s="1" t="str">
        <f ca="1">IFERROR(__xludf.DUMMYFUNCTION("""COMPUTED_VALUE"""),"M. FACHRI SALIM")</f>
        <v>M. FACHRI SALIM</v>
      </c>
      <c r="M262" s="1" t="str">
        <f ca="1">IFERROR(__xludf.DUMMYFUNCTION("""COMPUTED_VALUE"""),"02111940000101")</f>
        <v>02111940000101</v>
      </c>
      <c r="N262" s="1" t="str">
        <f ca="1">IFERROR(__xludf.DUMMYFUNCTION("""COMPUTED_VALUE"""),"Departemen Teknik Mesin")</f>
        <v>Departemen Teknik Mesin</v>
      </c>
      <c r="O262" s="1" t="str">
        <f ca="1">IFERROR(__xludf.DUMMYFUNCTION("""COMPUTED_VALUE"""),"ARNO IRSYAADY RACHMAN")</f>
        <v>ARNO IRSYAADY RACHMAN</v>
      </c>
      <c r="P262" s="1" t="str">
        <f ca="1">IFERROR(__xludf.DUMMYFUNCTION("""COMPUTED_VALUE"""),"02111940000069")</f>
        <v>02111940000069</v>
      </c>
      <c r="Q262" s="1" t="str">
        <f ca="1">IFERROR(__xludf.DUMMYFUNCTION("""COMPUTED_VALUE"""),"Departemen Teknik Mesin")</f>
        <v>Departemen Teknik Mesin</v>
      </c>
      <c r="R262" s="1" t="str">
        <f ca="1">IFERROR(__xludf.DUMMYFUNCTION("""COMPUTED_VALUE"""),"Muhammad Rizki Maulana")</f>
        <v>Muhammad Rizki Maulana</v>
      </c>
      <c r="S262" s="1" t="str">
        <f ca="1">IFERROR(__xludf.DUMMYFUNCTION("""COMPUTED_VALUE"""),"02111940000042")</f>
        <v>02111940000042</v>
      </c>
      <c r="T262" s="1" t="str">
        <f ca="1">IFERROR(__xludf.DUMMYFUNCTION("""COMPUTED_VALUE"""),"Departemen Teknik Mesin")</f>
        <v>Departemen Teknik Mesin</v>
      </c>
      <c r="U262" s="1" t="str">
        <f ca="1">IFERROR(__xludf.DUMMYFUNCTION("""COMPUTED_VALUE"""),"Sefi Novendra Patrialova, S.Si., M.T")</f>
        <v>Sefi Novendra Patrialova, S.Si., M.T</v>
      </c>
      <c r="V262" s="1" t="str">
        <f ca="1">IFERROR(__xludf.DUMMYFUNCTION("""COMPUTED_VALUE"""),"Safira Firdaus Mujiyanti, S.T., M.T.")</f>
        <v>Safira Firdaus Mujiyanti, S.T., M.T.</v>
      </c>
      <c r="W262" s="1"/>
      <c r="X262" s="1" t="str">
        <f ca="1">IFERROR(__xludf.DUMMYFUNCTION("""COMPUTED_VALUE"""),"Lolos")</f>
        <v>Lolos</v>
      </c>
      <c r="Y262" s="1"/>
      <c r="Z262" s="1"/>
      <c r="AA262" s="1"/>
    </row>
    <row r="263" spans="1:27">
      <c r="A263" s="1" t="s">
        <v>258</v>
      </c>
      <c r="B263" s="1">
        <f ca="1">IFERROR(__xludf.DUMMYFUNCTION("""COMPUTED_VALUE"""),3375)</f>
        <v>3375</v>
      </c>
      <c r="C263" s="1" t="str">
        <f ca="1">IFERROR(__xludf.DUMMYFUNCTION("""COMPUTED_VALUE"""),"PKM Karsa Cipta")</f>
        <v>PKM Karsa Cipta</v>
      </c>
      <c r="D263" s="1" t="str">
        <f ca="1">IFERROR(__xludf.DUMMYFUNCTION("""COMPUTED_VALUE"""),"MEDICAL BED CASE BERBASIS IoT UNTUK PENANGANAN PENDERITA AEROSOL-TRANSMISSIBLE DISEASES PASCA PANDEMI
")</f>
        <v xml:space="preserve">MEDICAL BED CASE BERBASIS IoT UNTUK PENANGANAN PENDERITA AEROSOL-TRANSMISSIBLE DISEASES PASCA PANDEMI
</v>
      </c>
      <c r="E263" s="1" t="str">
        <f ca="1">IFERROR(__xludf.DUMMYFUNCTION("""COMPUTED_VALUE"""),"LINTANG NUR AZZIZAH")</f>
        <v>LINTANG NUR AZZIZAH</v>
      </c>
      <c r="F263" s="1" t="str">
        <f ca="1">IFERROR(__xludf.DUMMYFUNCTION("""COMPUTED_VALUE"""),"5029211024")</f>
        <v>5029211024</v>
      </c>
      <c r="G263" s="1" t="str">
        <f ca="1">IFERROR(__xludf.DUMMYFUNCTION("""COMPUTED_VALUE"""),"Departemen Desain Interior")</f>
        <v>Departemen Desain Interior</v>
      </c>
      <c r="H263" s="1" t="str">
        <f ca="1">IFERROR(__xludf.DUMMYFUNCTION("""COMPUTED_VALUE"""),"Okta Putra Setio Ardianto, S.T., M.T.")</f>
        <v>Okta Putra Setio Ardianto, S.T., M.T.</v>
      </c>
      <c r="I263" s="1" t="str">
        <f ca="1">IFERROR(__xludf.DUMMYFUNCTION("""COMPUTED_VALUE"""),"Givano K R Nugroho")</f>
        <v>Givano K R Nugroho</v>
      </c>
      <c r="J263" s="1" t="str">
        <f ca="1">IFERROR(__xludf.DUMMYFUNCTION("""COMPUTED_VALUE"""),"5029211056")</f>
        <v>5029211056</v>
      </c>
      <c r="K263" s="1" t="str">
        <f ca="1">IFERROR(__xludf.DUMMYFUNCTION("""COMPUTED_VALUE"""),"Departemen Desain Interior")</f>
        <v>Departemen Desain Interior</v>
      </c>
      <c r="L263" s="1" t="str">
        <f ca="1">IFERROR(__xludf.DUMMYFUNCTION("""COMPUTED_VALUE"""),"ROBI`ATUL ALIYAH")</f>
        <v>ROBI`ATUL ALIYAH</v>
      </c>
      <c r="M263" s="1" t="str">
        <f ca="1">IFERROR(__xludf.DUMMYFUNCTION("""COMPUTED_VALUE"""),"5029211016")</f>
        <v>5029211016</v>
      </c>
      <c r="N263" s="1" t="str">
        <f ca="1">IFERROR(__xludf.DUMMYFUNCTION("""COMPUTED_VALUE"""),"Departemen Desain Interior")</f>
        <v>Departemen Desain Interior</v>
      </c>
      <c r="O263" s="1" t="str">
        <f ca="1">IFERROR(__xludf.DUMMYFUNCTION("""COMPUTED_VALUE"""),"RIMA AMALIA")</f>
        <v>RIMA AMALIA</v>
      </c>
      <c r="P263" s="1" t="str">
        <f ca="1">IFERROR(__xludf.DUMMYFUNCTION("""COMPUTED_VALUE"""),"5023201005")</f>
        <v>5023201005</v>
      </c>
      <c r="Q263" s="1" t="str">
        <f ca="1">IFERROR(__xludf.DUMMYFUNCTION("""COMPUTED_VALUE"""),"Departemen Teknik Biomedik")</f>
        <v>Departemen Teknik Biomedik</v>
      </c>
      <c r="R263" s="1" t="str">
        <f ca="1">IFERROR(__xludf.DUMMYFUNCTION("""COMPUTED_VALUE"""),"BERNADUS DANIEL SASMITO ATMODIHARJO")</f>
        <v>BERNADUS DANIEL SASMITO ATMODIHARJO</v>
      </c>
      <c r="S263" s="1" t="str">
        <f ca="1">IFERROR(__xludf.DUMMYFUNCTION("""COMPUTED_VALUE"""),"5022201204")</f>
        <v>5022201204</v>
      </c>
      <c r="T263" s="1" t="str">
        <f ca="1">IFERROR(__xludf.DUMMYFUNCTION("""COMPUTED_VALUE"""),"Departemen Teknik Elektro")</f>
        <v>Departemen Teknik Elektro</v>
      </c>
      <c r="U263" s="1" t="str">
        <f ca="1">IFERROR(__xludf.DUMMYFUNCTION("""COMPUTED_VALUE"""),"Sefi Novendra Patrialova, S.Si., M.T")</f>
        <v>Sefi Novendra Patrialova, S.Si., M.T</v>
      </c>
      <c r="V263" s="1" t="str">
        <f ca="1">IFERROR(__xludf.DUMMYFUNCTION("""COMPUTED_VALUE"""),"Indra Ranu Kusuma, S.T., M.Sc.")</f>
        <v>Indra Ranu Kusuma, S.T., M.Sc.</v>
      </c>
      <c r="W263" s="1"/>
      <c r="X263" s="1" t="str">
        <f ca="1">IFERROR(__xludf.DUMMYFUNCTION("""COMPUTED_VALUE"""),"Lolos")</f>
        <v>Lolos</v>
      </c>
      <c r="Y263" s="1"/>
      <c r="Z263" s="1"/>
      <c r="AA263" s="1"/>
    </row>
    <row r="264" spans="1:27">
      <c r="A264" s="1" t="s">
        <v>259</v>
      </c>
      <c r="B264" s="1">
        <f ca="1">IFERROR(__xludf.DUMMYFUNCTION("""COMPUTED_VALUE"""),2577)</f>
        <v>2577</v>
      </c>
      <c r="C264" s="1" t="str">
        <f ca="1">IFERROR(__xludf.DUMMYFUNCTION("""COMPUTED_VALUE"""),"PKM Karsa Cipta")</f>
        <v>PKM Karsa Cipta</v>
      </c>
      <c r="D264" s="1" t="str">
        <f ca="1">IFERROR(__xludf.DUMMYFUNCTION("""COMPUTED_VALUE"""),"Alat Pemantau dan Pengendali Listrik untuk Konsumen Tegangan Rendah Berbasis Interner of Things")</f>
        <v>Alat Pemantau dan Pengendali Listrik untuk Konsumen Tegangan Rendah Berbasis Interner of Things</v>
      </c>
      <c r="E264" s="1" t="str">
        <f ca="1">IFERROR(__xludf.DUMMYFUNCTION("""COMPUTED_VALUE"""),"Mohamad Angga Faurahmansyah")</f>
        <v>Mohamad Angga Faurahmansyah</v>
      </c>
      <c r="F264" s="1" t="str">
        <f ca="1">IFERROR(__xludf.DUMMYFUNCTION("""COMPUTED_VALUE"""),"07111940000058")</f>
        <v>07111940000058</v>
      </c>
      <c r="G264" s="1" t="str">
        <f ca="1">IFERROR(__xludf.DUMMYFUNCTION("""COMPUTED_VALUE"""),"Departemen Teknik Elektro")</f>
        <v>Departemen Teknik Elektro</v>
      </c>
      <c r="H264" s="1" t="str">
        <f ca="1">IFERROR(__xludf.DUMMYFUNCTION("""COMPUTED_VALUE"""),"Feby Agung Pamuji, S.T., M.T., Ph.D.")</f>
        <v>Feby Agung Pamuji, S.T., M.T., Ph.D.</v>
      </c>
      <c r="I264" s="1" t="str">
        <f ca="1">IFERROR(__xludf.DUMMYFUNCTION("""COMPUTED_VALUE"""),"Akhmad Farid Rosyidi")</f>
        <v>Akhmad Farid Rosyidi</v>
      </c>
      <c r="J264" s="1" t="str">
        <f ca="1">IFERROR(__xludf.DUMMYFUNCTION("""COMPUTED_VALUE"""),"07111940000065")</f>
        <v>07111940000065</v>
      </c>
      <c r="K264" s="1" t="str">
        <f ca="1">IFERROR(__xludf.DUMMYFUNCTION("""COMPUTED_VALUE"""),"Departemen Teknik Elektro")</f>
        <v>Departemen Teknik Elektro</v>
      </c>
      <c r="L264" s="1" t="str">
        <f ca="1">IFERROR(__xludf.DUMMYFUNCTION("""COMPUTED_VALUE"""),"ZAHRA SYIFA` MASITHOH")</f>
        <v>ZAHRA SYIFA` MASITHOH</v>
      </c>
      <c r="M264" s="1" t="str">
        <f ca="1">IFERROR(__xludf.DUMMYFUNCTION("""COMPUTED_VALUE"""),"5022201008")</f>
        <v>5022201008</v>
      </c>
      <c r="N264" s="1" t="str">
        <f ca="1">IFERROR(__xludf.DUMMYFUNCTION("""COMPUTED_VALUE"""),"Departemen Teknik Elektro")</f>
        <v>Departemen Teknik Elektro</v>
      </c>
      <c r="O264" s="1" t="str">
        <f ca="1">IFERROR(__xludf.DUMMYFUNCTION("""COMPUTED_VALUE"""),"RENO DARIN KHALIFAH PANARUNG")</f>
        <v>RENO DARIN KHALIFAH PANARUNG</v>
      </c>
      <c r="P264" s="1" t="str">
        <f ca="1">IFERROR(__xludf.DUMMYFUNCTION("""COMPUTED_VALUE"""),"07111940000156")</f>
        <v>07111940000156</v>
      </c>
      <c r="Q264" s="1" t="str">
        <f ca="1">IFERROR(__xludf.DUMMYFUNCTION("""COMPUTED_VALUE"""),"Departemen Teknik Elektro")</f>
        <v>Departemen Teknik Elektro</v>
      </c>
      <c r="R264" s="1" t="str">
        <f ca="1">IFERROR(__xludf.DUMMYFUNCTION("""COMPUTED_VALUE"""),"WAHYU FEBIANTO")</f>
        <v>WAHYU FEBIANTO</v>
      </c>
      <c r="S264" s="1" t="str">
        <f ca="1">IFERROR(__xludf.DUMMYFUNCTION("""COMPUTED_VALUE"""),"5022201177")</f>
        <v>5022201177</v>
      </c>
      <c r="T264" s="1" t="str">
        <f ca="1">IFERROR(__xludf.DUMMYFUNCTION("""COMPUTED_VALUE"""),"Departemen Teknik Elektro")</f>
        <v>Departemen Teknik Elektro</v>
      </c>
      <c r="U264" s="1" t="str">
        <f ca="1">IFERROR(__xludf.DUMMYFUNCTION("""COMPUTED_VALUE"""),"Sefi Novendra Patrialova, S.Si., M.T")</f>
        <v>Sefi Novendra Patrialova, S.Si., M.T</v>
      </c>
      <c r="V264" s="1" t="str">
        <f ca="1">IFERROR(__xludf.DUMMYFUNCTION("""COMPUTED_VALUE"""),"Safira Firdaus Mujiyanti, S.T., M.T.")</f>
        <v>Safira Firdaus Mujiyanti, S.T., M.T.</v>
      </c>
      <c r="W264" s="1"/>
      <c r="X264" s="1" t="str">
        <f ca="1">IFERROR(__xludf.DUMMYFUNCTION("""COMPUTED_VALUE"""),"Lolos")</f>
        <v>Lolos</v>
      </c>
      <c r="Y264" s="1"/>
      <c r="Z264" s="1"/>
      <c r="AA264" s="1"/>
    </row>
    <row r="265" spans="1:27">
      <c r="A265" s="1" t="s">
        <v>260</v>
      </c>
      <c r="B265" s="1">
        <f ca="1">IFERROR(__xludf.DUMMYFUNCTION("""COMPUTED_VALUE"""),3428)</f>
        <v>3428</v>
      </c>
      <c r="C265" s="1" t="str">
        <f ca="1">IFERROR(__xludf.DUMMYFUNCTION("""COMPUTED_VALUE"""),"PKM Karsa Cipta")</f>
        <v>PKM Karsa Cipta</v>
      </c>
      <c r="D265" s="1" t="str">
        <f ca="1">IFERROR(__xludf.DUMMYFUNCTION("""COMPUTED_VALUE"""),"Pembuatan Prototype Alat Spray Dryer Dengan Menggunakan Electrostatic Precipitator Sebagai Penangkap Partikel")</f>
        <v>Pembuatan Prototype Alat Spray Dryer Dengan Menggunakan Electrostatic Precipitator Sebagai Penangkap Partikel</v>
      </c>
      <c r="E265" s="1" t="str">
        <f ca="1">IFERROR(__xludf.DUMMYFUNCTION("""COMPUTED_VALUE"""),"FARHAN FIRMANSYAH")</f>
        <v>FARHAN FIRMANSYAH</v>
      </c>
      <c r="F265" s="1" t="str">
        <f ca="1">IFERROR(__xludf.DUMMYFUNCTION("""COMPUTED_VALUE"""),"10411810000076")</f>
        <v>10411810000076</v>
      </c>
      <c r="G265" s="1" t="str">
        <f ca="1">IFERROR(__xludf.DUMMYFUNCTION("""COMPUTED_VALUE"""),"Departemen Teknik Kimia Industri")</f>
        <v>Departemen Teknik Kimia Industri</v>
      </c>
      <c r="H265" s="1" t="str">
        <f ca="1">IFERROR(__xludf.DUMMYFUNCTION("""COMPUTED_VALUE"""),"Dr. Lailatul Qomariyah, S.T.")</f>
        <v>Dr. Lailatul Qomariyah, S.T.</v>
      </c>
      <c r="I265" s="1" t="str">
        <f ca="1">IFERROR(__xludf.DUMMYFUNCTION("""COMPUTED_VALUE"""),"LAILATUL ALAWIYAH")</f>
        <v>LAILATUL ALAWIYAH</v>
      </c>
      <c r="J265" s="1" t="str">
        <f ca="1">IFERROR(__xludf.DUMMYFUNCTION("""COMPUTED_VALUE"""),"10411810000054")</f>
        <v>10411810000054</v>
      </c>
      <c r="K265" s="1" t="str">
        <f ca="1">IFERROR(__xludf.DUMMYFUNCTION("""COMPUTED_VALUE"""),"Departemen Teknik Kimia Industri")</f>
        <v>Departemen Teknik Kimia Industri</v>
      </c>
      <c r="L265" s="1" t="str">
        <f ca="1">IFERROR(__xludf.DUMMYFUNCTION("""COMPUTED_VALUE"""),"CEFIRO MARTHA YUDHISTIRA")</f>
        <v>CEFIRO MARTHA YUDHISTIRA</v>
      </c>
      <c r="M265" s="1" t="str">
        <f ca="1">IFERROR(__xludf.DUMMYFUNCTION("""COMPUTED_VALUE"""),"10411910000034")</f>
        <v>10411910000034</v>
      </c>
      <c r="N265" s="1" t="str">
        <f ca="1">IFERROR(__xludf.DUMMYFUNCTION("""COMPUTED_VALUE"""),"Departemen Teknik Kimia Industri")</f>
        <v>Departemen Teknik Kimia Industri</v>
      </c>
      <c r="O265" s="1" t="str">
        <f ca="1">IFERROR(__xludf.DUMMYFUNCTION("""COMPUTED_VALUE"""),"WINDY ANAPUTRI")</f>
        <v>WINDY ANAPUTRI</v>
      </c>
      <c r="P265" s="1" t="str">
        <f ca="1">IFERROR(__xludf.DUMMYFUNCTION("""COMPUTED_VALUE"""),"10411910000055")</f>
        <v>10411910000055</v>
      </c>
      <c r="Q265" s="1" t="str">
        <f ca="1">IFERROR(__xludf.DUMMYFUNCTION("""COMPUTED_VALUE"""),"Departemen Teknik Kimia Industri")</f>
        <v>Departemen Teknik Kimia Industri</v>
      </c>
      <c r="R265" s="1"/>
      <c r="S265" s="1"/>
      <c r="T265" s="1"/>
      <c r="U265" s="1" t="str">
        <f ca="1">IFERROR(__xludf.DUMMYFUNCTION("""COMPUTED_VALUE"""),"Yudha Prasetyawan, S.T., M.Eng.")</f>
        <v>Yudha Prasetyawan, S.T., M.Eng.</v>
      </c>
      <c r="V265" s="1" t="str">
        <f ca="1">IFERROR(__xludf.DUMMYFUNCTION("""COMPUTED_VALUE"""),"Detak Yan Pratama, S.T., M.Sc.")</f>
        <v>Detak Yan Pratama, S.T., M.Sc.</v>
      </c>
      <c r="W265" s="1"/>
      <c r="X265" s="1" t="str">
        <f ca="1">IFERROR(__xludf.DUMMYFUNCTION("""COMPUTED_VALUE"""),"Lolos")</f>
        <v>Lolos</v>
      </c>
      <c r="Y265" s="1"/>
      <c r="Z265" s="1"/>
      <c r="AA265" s="1"/>
    </row>
    <row r="266" spans="1:27">
      <c r="A266" s="1" t="s">
        <v>261</v>
      </c>
      <c r="B266" s="1">
        <f ca="1">IFERROR(__xludf.DUMMYFUNCTION("""COMPUTED_VALUE"""),2367)</f>
        <v>2367</v>
      </c>
      <c r="C266" s="1" t="str">
        <f ca="1">IFERROR(__xludf.DUMMYFUNCTION("""COMPUTED_VALUE"""),"PKM Karsa Cipta")</f>
        <v>PKM Karsa Cipta</v>
      </c>
      <c r="D266" s="1" t="str">
        <f ca="1">IFERROR(__xludf.DUMMYFUNCTION("""COMPUTED_VALUE"""),"Pembuatan Suture Anchor dari Biokompatibel HAp Berbahan Dasar Keong Sawah (P.Ampullacea) Sebagai Solusi Cedera Robekan Otot Supraspinatus Pada Rotator Cuff")</f>
        <v>Pembuatan Suture Anchor dari Biokompatibel HAp Berbahan Dasar Keong Sawah (P.Ampullacea) Sebagai Solusi Cedera Robekan Otot Supraspinatus Pada Rotator Cuff</v>
      </c>
      <c r="E266" s="1" t="str">
        <f ca="1">IFERROR(__xludf.DUMMYFUNCTION("""COMPUTED_VALUE"""),"BASKORO DAVID BERLIAN")</f>
        <v>BASKORO DAVID BERLIAN</v>
      </c>
      <c r="F266" s="1" t="str">
        <f ca="1">IFERROR(__xludf.DUMMYFUNCTION("""COMPUTED_VALUE"""),"10411910000013")</f>
        <v>10411910000013</v>
      </c>
      <c r="G266" s="1" t="str">
        <f ca="1">IFERROR(__xludf.DUMMYFUNCTION("""COMPUTED_VALUE"""),"Departemen Teknik Kimia Industri")</f>
        <v>Departemen Teknik Kimia Industri</v>
      </c>
      <c r="H266" s="1" t="str">
        <f ca="1">IFERROR(__xludf.DUMMYFUNCTION("""COMPUTED_VALUE"""),"Dr. Eng. Achmad Dwitama Karisma, S.T., M.T.")</f>
        <v>Dr. Eng. Achmad Dwitama Karisma, S.T., M.T.</v>
      </c>
      <c r="I266" s="1" t="str">
        <f ca="1">IFERROR(__xludf.DUMMYFUNCTION("""COMPUTED_VALUE"""),"TESA ULIMA ZHAFIRA")</f>
        <v>TESA ULIMA ZHAFIRA</v>
      </c>
      <c r="J266" s="1" t="str">
        <f ca="1">IFERROR(__xludf.DUMMYFUNCTION("""COMPUTED_VALUE"""),"10411910000023")</f>
        <v>10411910000023</v>
      </c>
      <c r="K266" s="1" t="str">
        <f ca="1">IFERROR(__xludf.DUMMYFUNCTION("""COMPUTED_VALUE"""),"Departemen Teknik Kimia Industri")</f>
        <v>Departemen Teknik Kimia Industri</v>
      </c>
      <c r="L266" s="1" t="str">
        <f ca="1">IFERROR(__xludf.DUMMYFUNCTION("""COMPUTED_VALUE"""),"MUHAMMAD ALVIN HIDAYATULLAH")</f>
        <v>MUHAMMAD ALVIN HIDAYATULLAH</v>
      </c>
      <c r="M266" s="1" t="str">
        <f ca="1">IFERROR(__xludf.DUMMYFUNCTION("""COMPUTED_VALUE"""),"10411810000027")</f>
        <v>10411810000027</v>
      </c>
      <c r="N266" s="1" t="str">
        <f ca="1">IFERROR(__xludf.DUMMYFUNCTION("""COMPUTED_VALUE"""),"Departemen Teknik Kimia Industri")</f>
        <v>Departemen Teknik Kimia Industri</v>
      </c>
      <c r="O266" s="1" t="str">
        <f ca="1">IFERROR(__xludf.DUMMYFUNCTION("""COMPUTED_VALUE"""),"ANNISA ALIFIA RAHMAH")</f>
        <v>ANNISA ALIFIA RAHMAH</v>
      </c>
      <c r="P266" s="1" t="str">
        <f ca="1">IFERROR(__xludf.DUMMYFUNCTION("""COMPUTED_VALUE"""),"10411810000023")</f>
        <v>10411810000023</v>
      </c>
      <c r="Q266" s="1" t="str">
        <f ca="1">IFERROR(__xludf.DUMMYFUNCTION("""COMPUTED_VALUE"""),"Departemen Teknik Kimia Industri")</f>
        <v>Departemen Teknik Kimia Industri</v>
      </c>
      <c r="R266" s="1" t="str">
        <f ca="1">IFERROR(__xludf.DUMMYFUNCTION("""COMPUTED_VALUE"""),"SILMA ELVARETTA ASKA")</f>
        <v>SILMA ELVARETTA ASKA</v>
      </c>
      <c r="S266" s="1" t="str">
        <f ca="1">IFERROR(__xludf.DUMMYFUNCTION("""COMPUTED_VALUE"""),"2041201001")</f>
        <v>2041201001</v>
      </c>
      <c r="T266" s="1" t="str">
        <f ca="1">IFERROR(__xludf.DUMMYFUNCTION("""COMPUTED_VALUE"""),"Departemen Teknik Kimia Industri")</f>
        <v>Departemen Teknik Kimia Industri</v>
      </c>
      <c r="U266" s="1" t="str">
        <f ca="1">IFERROR(__xludf.DUMMYFUNCTION("""COMPUTED_VALUE"""),"Yudha Prasetyawan, S.T., M.Eng.")</f>
        <v>Yudha Prasetyawan, S.T., M.Eng.</v>
      </c>
      <c r="V266" s="1" t="str">
        <f ca="1">IFERROR(__xludf.DUMMYFUNCTION("""COMPUTED_VALUE"""),"Putu Gde Ariastita, S.T., M.T.")</f>
        <v>Putu Gde Ariastita, S.T., M.T.</v>
      </c>
      <c r="W266" s="1"/>
      <c r="X266" s="1" t="str">
        <f ca="1">IFERROR(__xludf.DUMMYFUNCTION("""COMPUTED_VALUE"""),"Lolos")</f>
        <v>Lolos</v>
      </c>
      <c r="Y266" s="1"/>
      <c r="Z266" s="1"/>
      <c r="AA266" s="1"/>
    </row>
    <row r="267" spans="1:27">
      <c r="A267" s="1" t="s">
        <v>262</v>
      </c>
      <c r="B267" s="1">
        <f ca="1">IFERROR(__xludf.DUMMYFUNCTION("""COMPUTED_VALUE"""),3167)</f>
        <v>3167</v>
      </c>
      <c r="C267" s="1" t="str">
        <f ca="1">IFERROR(__xludf.DUMMYFUNCTION("""COMPUTED_VALUE"""),"PKM Karsa Cipta")</f>
        <v>PKM Karsa Cipta</v>
      </c>
      <c r="D267" s="1" t="str">
        <f ca="1">IFERROR(__xludf.DUMMYFUNCTION("""COMPUTED_VALUE"""),"Optimalisasi Pertumbuhan Kepiting Bakau Skala Budidaya di Lahan Perkotaan dengan Metode Vertical Crab House Berbasis Internet of Things")</f>
        <v>Optimalisasi Pertumbuhan Kepiting Bakau Skala Budidaya di Lahan Perkotaan dengan Metode Vertical Crab House Berbasis Internet of Things</v>
      </c>
      <c r="E267" s="1" t="str">
        <f ca="1">IFERROR(__xludf.DUMMYFUNCTION("""COMPUTED_VALUE"""),"MUHAMMAD AQSHAL PUTRA PRATAMA")</f>
        <v>MUHAMMAD AQSHAL PUTRA PRATAMA</v>
      </c>
      <c r="F267" s="1" t="str">
        <f ca="1">IFERROR(__xludf.DUMMYFUNCTION("""COMPUTED_VALUE"""),"5018201088")</f>
        <v>5018201088</v>
      </c>
      <c r="G267" s="1" t="str">
        <f ca="1">IFERROR(__xludf.DUMMYFUNCTION("""COMPUTED_VALUE"""),"Departemen Teknik Perkapalan")</f>
        <v>Departemen Teknik Perkapalan</v>
      </c>
      <c r="H267" s="1" t="str">
        <f ca="1">IFERROR(__xludf.DUMMYFUNCTION("""COMPUTED_VALUE"""),"Safira Firdaus Mujiyanti, S.T., M.T.")</f>
        <v>Safira Firdaus Mujiyanti, S.T., M.T.</v>
      </c>
      <c r="I267" s="1" t="str">
        <f ca="1">IFERROR(__xludf.DUMMYFUNCTION("""COMPUTED_VALUE"""),"MUHAMMAD AKMAL RISHWANDA")</f>
        <v>MUHAMMAD AKMAL RISHWANDA</v>
      </c>
      <c r="J267" s="1" t="str">
        <f ca="1">IFERROR(__xludf.DUMMYFUNCTION("""COMPUTED_VALUE"""),"5025201143")</f>
        <v>5025201143</v>
      </c>
      <c r="K267" s="1" t="str">
        <f ca="1">IFERROR(__xludf.DUMMYFUNCTION("""COMPUTED_VALUE"""),"Departemen Teknik Informatika")</f>
        <v>Departemen Teknik Informatika</v>
      </c>
      <c r="L267" s="1" t="str">
        <f ca="1">IFERROR(__xludf.DUMMYFUNCTION("""COMPUTED_VALUE"""),"JAMALUDDIN HAKIM")</f>
        <v>JAMALUDDIN HAKIM</v>
      </c>
      <c r="M267" s="1" t="str">
        <f ca="1">IFERROR(__xludf.DUMMYFUNCTION("""COMPUTED_VALUE"""),"10511810000061")</f>
        <v>10511810000061</v>
      </c>
      <c r="N267" s="1" t="str">
        <f ca="1">IFERROR(__xludf.DUMMYFUNCTION("""COMPUTED_VALUE"""),"Departemen Teknik Instrumentasi")</f>
        <v>Departemen Teknik Instrumentasi</v>
      </c>
      <c r="O267" s="1" t="str">
        <f ca="1">IFERROR(__xludf.DUMMYFUNCTION("""COMPUTED_VALUE"""),"RAJENDRA LOKESWARA")</f>
        <v>RAJENDRA LOKESWARA</v>
      </c>
      <c r="P267" s="1" t="str">
        <f ca="1">IFERROR(__xludf.DUMMYFUNCTION("""COMPUTED_VALUE"""),"2042201047")</f>
        <v>2042201047</v>
      </c>
      <c r="Q267" s="1" t="str">
        <f ca="1">IFERROR(__xludf.DUMMYFUNCTION("""COMPUTED_VALUE"""),"Departemen Teknik Instrumentasi")</f>
        <v>Departemen Teknik Instrumentasi</v>
      </c>
      <c r="R267" s="1" t="str">
        <f ca="1">IFERROR(__xludf.DUMMYFUNCTION("""COMPUTED_VALUE"""),"TIFFANY RACHMANIA DARMAWAN")</f>
        <v>TIFFANY RACHMANIA DARMAWAN</v>
      </c>
      <c r="S267" s="1" t="str">
        <f ca="1">IFERROR(__xludf.DUMMYFUNCTION("""COMPUTED_VALUE"""),"2042201012")</f>
        <v>2042201012</v>
      </c>
      <c r="T267" s="1" t="str">
        <f ca="1">IFERROR(__xludf.DUMMYFUNCTION("""COMPUTED_VALUE"""),"Departemen Teknik Instrumentasi")</f>
        <v>Departemen Teknik Instrumentasi</v>
      </c>
      <c r="U267" s="1" t="str">
        <f ca="1">IFERROR(__xludf.DUMMYFUNCTION("""COMPUTED_VALUE"""),"Eko Agus Suprayitno, S.Si., M.T.")</f>
        <v>Eko Agus Suprayitno, S.Si., M.T.</v>
      </c>
      <c r="V267" s="1" t="str">
        <f ca="1">IFERROR(__xludf.DUMMYFUNCTION("""COMPUTED_VALUE"""),"Arief Abdurrakhman, S.T., M.T.")</f>
        <v>Arief Abdurrakhman, S.T., M.T.</v>
      </c>
      <c r="W267" s="1"/>
      <c r="X267" s="1" t="str">
        <f ca="1">IFERROR(__xludf.DUMMYFUNCTION("""COMPUTED_VALUE"""),"Lolos")</f>
        <v>Lolos</v>
      </c>
      <c r="Y267" s="1"/>
      <c r="Z267" s="1"/>
      <c r="AA267" s="1"/>
    </row>
    <row r="268" spans="1:27">
      <c r="A268" s="1" t="s">
        <v>263</v>
      </c>
      <c r="B268" s="1">
        <f ca="1">IFERROR(__xludf.DUMMYFUNCTION("""COMPUTED_VALUE"""),2461)</f>
        <v>2461</v>
      </c>
      <c r="C268" s="1" t="str">
        <f ca="1">IFERROR(__xludf.DUMMYFUNCTION("""COMPUTED_VALUE"""),"PKM Karsa Cipta")</f>
        <v>PKM Karsa Cipta</v>
      </c>
      <c r="D268" s="1" t="str">
        <f ca="1">IFERROR(__xludf.DUMMYFUNCTION("""COMPUTED_VALUE"""),"Sistem Akusisi Data Berbasis Wireless Untuk Evaluasi Efek Panas Hidrasi Beton Pada Umur Awal")</f>
        <v>Sistem Akusisi Data Berbasis Wireless Untuk Evaluasi Efek Panas Hidrasi Beton Pada Umur Awal</v>
      </c>
      <c r="E268" s="1" t="str">
        <f ca="1">IFERROR(__xludf.DUMMYFUNCTION("""COMPUTED_VALUE"""),"Ahmad Dzikrullah Akbar")</f>
        <v>Ahmad Dzikrullah Akbar</v>
      </c>
      <c r="F268" s="1" t="str">
        <f ca="1">IFERROR(__xludf.DUMMYFUNCTION("""COMPUTED_VALUE"""),"03111940000005")</f>
        <v>03111940000005</v>
      </c>
      <c r="G268" s="1" t="str">
        <f ca="1">IFERROR(__xludf.DUMMYFUNCTION("""COMPUTED_VALUE"""),"Departemen Teknik Sipil")</f>
        <v>Departemen Teknik Sipil</v>
      </c>
      <c r="H268" s="1" t="str">
        <f ca="1">IFERROR(__xludf.DUMMYFUNCTION("""COMPUTED_VALUE"""),"Ir. Faimun, M.Sc.,Ph.D")</f>
        <v>Ir. Faimun, M.Sc.,Ph.D</v>
      </c>
      <c r="I268" s="1" t="str">
        <f ca="1">IFERROR(__xludf.DUMMYFUNCTION("""COMPUTED_VALUE"""),"MUHAMMAD FARIS ZUHAIRI")</f>
        <v>MUHAMMAD FARIS ZUHAIRI</v>
      </c>
      <c r="J268" s="1" t="str">
        <f ca="1">IFERROR(__xludf.DUMMYFUNCTION("""COMPUTED_VALUE"""),"07111940000164")</f>
        <v>07111940000164</v>
      </c>
      <c r="K268" s="1" t="str">
        <f ca="1">IFERROR(__xludf.DUMMYFUNCTION("""COMPUTED_VALUE"""),"Departemen Teknik Elektro")</f>
        <v>Departemen Teknik Elektro</v>
      </c>
      <c r="L268" s="1" t="str">
        <f ca="1">IFERROR(__xludf.DUMMYFUNCTION("""COMPUTED_VALUE"""),"Hakhi Gya Yektianto")</f>
        <v>Hakhi Gya Yektianto</v>
      </c>
      <c r="M268" s="1" t="str">
        <f ca="1">IFERROR(__xludf.DUMMYFUNCTION("""COMPUTED_VALUE"""),"07111940000022")</f>
        <v>07111940000022</v>
      </c>
      <c r="N268" s="1" t="str">
        <f ca="1">IFERROR(__xludf.DUMMYFUNCTION("""COMPUTED_VALUE"""),"Departemen Teknik Elektro")</f>
        <v>Departemen Teknik Elektro</v>
      </c>
      <c r="O268" s="1" t="str">
        <f ca="1">IFERROR(__xludf.DUMMYFUNCTION("""COMPUTED_VALUE"""),"MUHAMMAD ALFIYAN ZULFA")</f>
        <v>MUHAMMAD ALFIYAN ZULFA</v>
      </c>
      <c r="P268" s="1" t="str">
        <f ca="1">IFERROR(__xludf.DUMMYFUNCTION("""COMPUTED_VALUE"""),"5012201003")</f>
        <v>5012201003</v>
      </c>
      <c r="Q268" s="1" t="str">
        <f ca="1">IFERROR(__xludf.DUMMYFUNCTION("""COMPUTED_VALUE"""),"Departemen Teknik Sipil")</f>
        <v>Departemen Teknik Sipil</v>
      </c>
      <c r="R268" s="1"/>
      <c r="S268" s="1"/>
      <c r="T268" s="1"/>
      <c r="U268" s="1" t="str">
        <f ca="1">IFERROR(__xludf.DUMMYFUNCTION("""COMPUTED_VALUE"""),"Sefi Novendra Patrialova, S.Si., M.T")</f>
        <v>Sefi Novendra Patrialova, S.Si., M.T</v>
      </c>
      <c r="V268" s="1" t="str">
        <f ca="1">IFERROR(__xludf.DUMMYFUNCTION("""COMPUTED_VALUE"""),"Yasmin Zainul Mochtar, S.T., M.A.")</f>
        <v>Yasmin Zainul Mochtar, S.T., M.A.</v>
      </c>
      <c r="W268" s="1"/>
      <c r="X268" s="1" t="str">
        <f ca="1">IFERROR(__xludf.DUMMYFUNCTION("""COMPUTED_VALUE"""),"Lolos")</f>
        <v>Lolos</v>
      </c>
      <c r="Y268" s="1"/>
      <c r="Z268" s="1"/>
      <c r="AA268" s="1"/>
    </row>
    <row r="269" spans="1:27">
      <c r="A269" s="1" t="s">
        <v>264</v>
      </c>
      <c r="B269" s="1">
        <f ca="1">IFERROR(__xludf.DUMMYFUNCTION("""COMPUTED_VALUE"""),3127)</f>
        <v>3127</v>
      </c>
      <c r="C269" s="1" t="str">
        <f ca="1">IFERROR(__xludf.DUMMYFUNCTION("""COMPUTED_VALUE"""),"PKM Karsa Cipta")</f>
        <v>PKM Karsa Cipta</v>
      </c>
      <c r="D269" s="1" t="str">
        <f ca="1">IFERROR(__xludf.DUMMYFUNCTION("""COMPUTED_VALUE"""),"i-Greenfizer: Mesin Pengolah Sampah Organik dan Penyemprotan Pupuk Organik Cair Otomatis Terintegrasi dengan IoT Berbasis Aplikasi")</f>
        <v>i-Greenfizer: Mesin Pengolah Sampah Organik dan Penyemprotan Pupuk Organik Cair Otomatis Terintegrasi dengan IoT Berbasis Aplikasi</v>
      </c>
      <c r="E269" s="1" t="str">
        <f ca="1">IFERROR(__xludf.DUMMYFUNCTION("""COMPUTED_VALUE"""),"MADE ARVIN SIDDHAYANATRA")</f>
        <v>MADE ARVIN SIDDHAYANATRA</v>
      </c>
      <c r="F269" s="1" t="str">
        <f ca="1">IFERROR(__xludf.DUMMYFUNCTION("""COMPUTED_VALUE"""),"5010201044")</f>
        <v>5010201044</v>
      </c>
      <c r="G269" s="1" t="str">
        <f ca="1">IFERROR(__xludf.DUMMYFUNCTION("""COMPUTED_VALUE"""),"Departemen Teknik Sistem dan Industri")</f>
        <v>Departemen Teknik Sistem dan Industri</v>
      </c>
      <c r="H269" s="1" t="str">
        <f ca="1">IFERROR(__xludf.DUMMYFUNCTION("""COMPUTED_VALUE"""),"Prof. Ir. Moses Laksono Singgih, M.Sc., Ph.D.")</f>
        <v>Prof. Ir. Moses Laksono Singgih, M.Sc., Ph.D.</v>
      </c>
      <c r="I269" s="1" t="str">
        <f ca="1">IFERROR(__xludf.DUMMYFUNCTION("""COMPUTED_VALUE"""),"PUTI ANDINI")</f>
        <v>PUTI ANDINI</v>
      </c>
      <c r="J269" s="1" t="str">
        <f ca="1">IFERROR(__xludf.DUMMYFUNCTION("""COMPUTED_VALUE"""),"5010201073")</f>
        <v>5010201073</v>
      </c>
      <c r="K269" s="1" t="str">
        <f ca="1">IFERROR(__xludf.DUMMYFUNCTION("""COMPUTED_VALUE"""),"Departemen Teknik Sistem dan Industri")</f>
        <v>Departemen Teknik Sistem dan Industri</v>
      </c>
      <c r="L269" s="1" t="str">
        <f ca="1">IFERROR(__xludf.DUMMYFUNCTION("""COMPUTED_VALUE"""),"Alfiyan Rizki Maulidan")</f>
        <v>Alfiyan Rizki Maulidan</v>
      </c>
      <c r="M269" s="1" t="str">
        <f ca="1">IFERROR(__xludf.DUMMYFUNCTION("""COMPUTED_VALUE"""),"02411940000018")</f>
        <v>02411940000018</v>
      </c>
      <c r="N269" s="1" t="str">
        <f ca="1">IFERROR(__xludf.DUMMYFUNCTION("""COMPUTED_VALUE"""),"Departemen Teknik Sistem dan Industri")</f>
        <v>Departemen Teknik Sistem dan Industri</v>
      </c>
      <c r="O269" s="1" t="str">
        <f ca="1">IFERROR(__xludf.DUMMYFUNCTION("""COMPUTED_VALUE"""),"M MUZAKI ZHAFRAN")</f>
        <v>M MUZAKI ZHAFRAN</v>
      </c>
      <c r="P269" s="1" t="str">
        <f ca="1">IFERROR(__xludf.DUMMYFUNCTION("""COMPUTED_VALUE"""),"5010211037")</f>
        <v>5010211037</v>
      </c>
      <c r="Q269" s="1" t="str">
        <f ca="1">IFERROR(__xludf.DUMMYFUNCTION("""COMPUTED_VALUE"""),"Departemen Teknik Sistem dan Industri")</f>
        <v>Departemen Teknik Sistem dan Industri</v>
      </c>
      <c r="R269" s="1" t="str">
        <f ca="1">IFERROR(__xludf.DUMMYFUNCTION("""COMPUTED_VALUE"""),"Maulana Noor Faiq")</f>
        <v>Maulana Noor Faiq</v>
      </c>
      <c r="S269" s="1" t="str">
        <f ca="1">IFERROR(__xludf.DUMMYFUNCTION("""COMPUTED_VALUE"""),"5010211124")</f>
        <v>5010211124</v>
      </c>
      <c r="T269" s="1" t="str">
        <f ca="1">IFERROR(__xludf.DUMMYFUNCTION("""COMPUTED_VALUE"""),"Departemen Teknik Sistem dan Industri")</f>
        <v>Departemen Teknik Sistem dan Industri</v>
      </c>
      <c r="U269" s="1" t="str">
        <f ca="1">IFERROR(__xludf.DUMMYFUNCTION("""COMPUTED_VALUE"""),"Sefi Novendra Patrialova, S.Si., M.T")</f>
        <v>Sefi Novendra Patrialova, S.Si., M.T</v>
      </c>
      <c r="V269" s="1" t="str">
        <f ca="1">IFERROR(__xludf.DUMMYFUNCTION("""COMPUTED_VALUE"""),"Safira Firdaus Mujiyanti, S.T., M.T.")</f>
        <v>Safira Firdaus Mujiyanti, S.T., M.T.</v>
      </c>
      <c r="W269" s="1"/>
      <c r="X269" s="1" t="str">
        <f ca="1">IFERROR(__xludf.DUMMYFUNCTION("""COMPUTED_VALUE"""),"Lolos")</f>
        <v>Lolos</v>
      </c>
      <c r="Y269" s="1"/>
      <c r="Z269" s="1"/>
      <c r="AA269" s="1"/>
    </row>
    <row r="270" spans="1:27">
      <c r="A270" s="1" t="s">
        <v>265</v>
      </c>
      <c r="B270" s="1">
        <f ca="1">IFERROR(__xludf.DUMMYFUNCTION("""COMPUTED_VALUE"""),3248)</f>
        <v>3248</v>
      </c>
      <c r="C270" s="1" t="str">
        <f ca="1">IFERROR(__xludf.DUMMYFUNCTION("""COMPUTED_VALUE"""),"PKM Karsa Cipta")</f>
        <v>PKM Karsa Cipta</v>
      </c>
      <c r="D270" s="1" t="str">
        <f ca="1">IFERROR(__xludf.DUMMYFUNCTION("""COMPUTED_VALUE"""),"UVMASK SEBAGAI PEMBASMI AMPUH VIRUS COVID - 19 BERBAHAN COPPER")</f>
        <v>UVMASK SEBAGAI PEMBASMI AMPUH VIRUS COVID - 19 BERBAHAN COPPER</v>
      </c>
      <c r="E270" s="1" t="str">
        <f ca="1">IFERROR(__xludf.DUMMYFUNCTION("""COMPUTED_VALUE"""),"EVALDO YUDHISTIRA PRAYOGA")</f>
        <v>EVALDO YUDHISTIRA PRAYOGA</v>
      </c>
      <c r="F270" s="1" t="str">
        <f ca="1">IFERROR(__xludf.DUMMYFUNCTION("""COMPUTED_VALUE"""),"5007201095")</f>
        <v>5007201095</v>
      </c>
      <c r="G270" s="1" t="str">
        <f ca="1">IFERROR(__xludf.DUMMYFUNCTION("""COMPUTED_VALUE"""),"Departemen Teknik Mesin")</f>
        <v>Departemen Teknik Mesin</v>
      </c>
      <c r="H270" s="1" t="str">
        <f ca="1">IFERROR(__xludf.DUMMYFUNCTION("""COMPUTED_VALUE"""),"Fahmi Mubarok, S.T., M.Sc., Ph.D.")</f>
        <v>Fahmi Mubarok, S.T., M.Sc., Ph.D.</v>
      </c>
      <c r="I270" s="1" t="str">
        <f ca="1">IFERROR(__xludf.DUMMYFUNCTION("""COMPUTED_VALUE"""),"MUHAMMAD RENDY VALENTINO SYAHRIAL JUNIOR")</f>
        <v>MUHAMMAD RENDY VALENTINO SYAHRIAL JUNIOR</v>
      </c>
      <c r="J270" s="1" t="str">
        <f ca="1">IFERROR(__xludf.DUMMYFUNCTION("""COMPUTED_VALUE"""),"5007201187")</f>
        <v>5007201187</v>
      </c>
      <c r="K270" s="1" t="str">
        <f ca="1">IFERROR(__xludf.DUMMYFUNCTION("""COMPUTED_VALUE"""),"Departemen Teknik Mesin")</f>
        <v>Departemen Teknik Mesin</v>
      </c>
      <c r="L270" s="1" t="str">
        <f ca="1">IFERROR(__xludf.DUMMYFUNCTION("""COMPUTED_VALUE"""),"YOGA FIRNANDA")</f>
        <v>YOGA FIRNANDA</v>
      </c>
      <c r="M270" s="1" t="str">
        <f ca="1">IFERROR(__xludf.DUMMYFUNCTION("""COMPUTED_VALUE"""),"5007201050")</f>
        <v>5007201050</v>
      </c>
      <c r="N270" s="1" t="str">
        <f ca="1">IFERROR(__xludf.DUMMYFUNCTION("""COMPUTED_VALUE"""),"Departemen Teknik Mesin")</f>
        <v>Departemen Teknik Mesin</v>
      </c>
      <c r="O270" s="1" t="str">
        <f ca="1">IFERROR(__xludf.DUMMYFUNCTION("""COMPUTED_VALUE"""),"DAVID FERNANDO")</f>
        <v>DAVID FERNANDO</v>
      </c>
      <c r="P270" s="1" t="str">
        <f ca="1">IFERROR(__xludf.DUMMYFUNCTION("""COMPUTED_VALUE"""),"5007201205")</f>
        <v>5007201205</v>
      </c>
      <c r="Q270" s="1" t="str">
        <f ca="1">IFERROR(__xludf.DUMMYFUNCTION("""COMPUTED_VALUE"""),"Departemen Teknik Mesin")</f>
        <v>Departemen Teknik Mesin</v>
      </c>
      <c r="R270" s="1" t="str">
        <f ca="1">IFERROR(__xludf.DUMMYFUNCTION("""COMPUTED_VALUE"""),"MUHAMMAD ALIF KHADAFFI")</f>
        <v>MUHAMMAD ALIF KHADAFFI</v>
      </c>
      <c r="S270" s="1" t="str">
        <f ca="1">IFERROR(__xludf.DUMMYFUNCTION("""COMPUTED_VALUE"""),"5007201214")</f>
        <v>5007201214</v>
      </c>
      <c r="T270" s="1" t="str">
        <f ca="1">IFERROR(__xludf.DUMMYFUNCTION("""COMPUTED_VALUE"""),"Departemen Teknik Mesin")</f>
        <v>Departemen Teknik Mesin</v>
      </c>
      <c r="U270" s="1" t="str">
        <f ca="1">IFERROR(__xludf.DUMMYFUNCTION("""COMPUTED_VALUE"""),"Mohammad Khoirul Effendi, S.T., M.Sc.Eng., Ph.D.")</f>
        <v>Mohammad Khoirul Effendi, S.T., M.Sc.Eng., Ph.D.</v>
      </c>
      <c r="V270" s="1" t="str">
        <f ca="1">IFERROR(__xludf.DUMMYFUNCTION("""COMPUTED_VALUE"""),"Dr. Dendy Satrio, S.ST.")</f>
        <v>Dr. Dendy Satrio, S.ST.</v>
      </c>
      <c r="W270" s="1"/>
      <c r="X270" s="1" t="str">
        <f ca="1">IFERROR(__xludf.DUMMYFUNCTION("""COMPUTED_VALUE"""),"Lolos")</f>
        <v>Lolos</v>
      </c>
      <c r="Y270" s="1"/>
      <c r="Z270" s="1"/>
      <c r="AA270" s="1"/>
    </row>
    <row r="271" spans="1:27">
      <c r="A271" s="1" t="s">
        <v>266</v>
      </c>
      <c r="B271" s="1">
        <f ca="1">IFERROR(__xludf.DUMMYFUNCTION("""COMPUTED_VALUE"""),2519)</f>
        <v>2519</v>
      </c>
      <c r="C271" s="1" t="str">
        <f ca="1">IFERROR(__xludf.DUMMYFUNCTION("""COMPUTED_VALUE"""),"PKM Karsa Cipta")</f>
        <v>PKM Karsa Cipta</v>
      </c>
      <c r="D271" s="1" t="str">
        <f ca="1">IFERROR(__xludf.DUMMYFUNCTION("""COMPUTED_VALUE"""),"Sistem Pemungutan Digital Berbasis Internet of Things dengan Visi Komputer sebagai Pembaca Surat Suara untuk Percepatan Informasi Hasil Penghitungan Pemilu")</f>
        <v>Sistem Pemungutan Digital Berbasis Internet of Things dengan Visi Komputer sebagai Pembaca Surat Suara untuk Percepatan Informasi Hasil Penghitungan Pemilu</v>
      </c>
      <c r="E271" s="1" t="str">
        <f ca="1">IFERROR(__xludf.DUMMYFUNCTION("""COMPUTED_VALUE"""),"ELSHE ERVIANA ANGELY")</f>
        <v>ELSHE ERVIANA ANGELY</v>
      </c>
      <c r="F271" s="1" t="str">
        <f ca="1">IFERROR(__xludf.DUMMYFUNCTION("""COMPUTED_VALUE"""),"5025201050")</f>
        <v>5025201050</v>
      </c>
      <c r="G271" s="1" t="str">
        <f ca="1">IFERROR(__xludf.DUMMYFUNCTION("""COMPUTED_VALUE"""),"Departemen Teknik Informatika")</f>
        <v>Departemen Teknik Informatika</v>
      </c>
      <c r="H271" s="1" t="str">
        <f ca="1">IFERROR(__xludf.DUMMYFUNCTION("""COMPUTED_VALUE"""),"Dr. Ir. Hendra Kusuma, M.Eng.Sc.")</f>
        <v>Dr. Ir. Hendra Kusuma, M.Eng.Sc.</v>
      </c>
      <c r="I271" s="1" t="str">
        <f ca="1">IFERROR(__xludf.DUMMYFUNCTION("""COMPUTED_VALUE"""),"Pramudya Tiandana Wisnu Gautama")</f>
        <v>Pramudya Tiandana Wisnu Gautama</v>
      </c>
      <c r="J271" s="1" t="str">
        <f ca="1">IFERROR(__xludf.DUMMYFUNCTION("""COMPUTED_VALUE"""),"05111940000018")</f>
        <v>05111940000018</v>
      </c>
      <c r="K271" s="1" t="str">
        <f ca="1">IFERROR(__xludf.DUMMYFUNCTION("""COMPUTED_VALUE"""),"Departemen Teknik Informatika")</f>
        <v>Departemen Teknik Informatika</v>
      </c>
      <c r="L271" s="1" t="str">
        <f ca="1">IFERROR(__xludf.DUMMYFUNCTION("""COMPUTED_VALUE"""),"RAHMAT MUNIR HASAN")</f>
        <v>RAHMAT MUNIR HASAN</v>
      </c>
      <c r="M271" s="1" t="str">
        <f ca="1">IFERROR(__xludf.DUMMYFUNCTION("""COMPUTED_VALUE"""),"07111942000009")</f>
        <v>07111942000009</v>
      </c>
      <c r="N271" s="1" t="str">
        <f ca="1">IFERROR(__xludf.DUMMYFUNCTION("""COMPUTED_VALUE"""),"Departemen Teknik Elektro")</f>
        <v>Departemen Teknik Elektro</v>
      </c>
      <c r="O271" s="1" t="str">
        <f ca="1">IFERROR(__xludf.DUMMYFUNCTION("""COMPUTED_VALUE"""),"NOVA AULIYARUL FAIZAH")</f>
        <v>NOVA AULIYARUL FAIZAH</v>
      </c>
      <c r="P271" s="1" t="str">
        <f ca="1">IFERROR(__xludf.DUMMYFUNCTION("""COMPUTED_VALUE"""),"2040201020")</f>
        <v>2040201020</v>
      </c>
      <c r="Q271" s="1" t="str">
        <f ca="1">IFERROR(__xludf.DUMMYFUNCTION("""COMPUTED_VALUE"""),"Departemen Teknik Elektro Otomasi")</f>
        <v>Departemen Teknik Elektro Otomasi</v>
      </c>
      <c r="R271" s="1" t="str">
        <f ca="1">IFERROR(__xludf.DUMMYFUNCTION("""COMPUTED_VALUE"""),"MUHAMMAD AFDAL ABDALLAH")</f>
        <v>MUHAMMAD AFDAL ABDALLAH</v>
      </c>
      <c r="S271" s="1" t="str">
        <f ca="1">IFERROR(__xludf.DUMMYFUNCTION("""COMPUTED_VALUE"""),"5025201163")</f>
        <v>5025201163</v>
      </c>
      <c r="T271" s="1" t="str">
        <f ca="1">IFERROR(__xludf.DUMMYFUNCTION("""COMPUTED_VALUE"""),"Departemen Teknik Informatika")</f>
        <v>Departemen Teknik Informatika</v>
      </c>
      <c r="U271" s="1" t="str">
        <f ca="1">IFERROR(__xludf.DUMMYFUNCTION("""COMPUTED_VALUE"""),"Ika Nurkasanah, S.Kom., M.Sc.")</f>
        <v>Ika Nurkasanah, S.Kom., M.Sc.</v>
      </c>
      <c r="V271" s="1" t="str">
        <f ca="1">IFERROR(__xludf.DUMMYFUNCTION("""COMPUTED_VALUE"""),"Rudy Dikairono, ST., M.T.")</f>
        <v>Rudy Dikairono, ST., M.T.</v>
      </c>
      <c r="W271" s="1"/>
      <c r="X271" s="1" t="str">
        <f ca="1">IFERROR(__xludf.DUMMYFUNCTION("""COMPUTED_VALUE"""),"Lolos")</f>
        <v>Lolos</v>
      </c>
      <c r="Y271" s="1"/>
      <c r="Z271" s="1"/>
      <c r="AA271" s="1"/>
    </row>
    <row r="272" spans="1:27">
      <c r="A272" s="1" t="s">
        <v>267</v>
      </c>
      <c r="B272" s="1">
        <f ca="1">IFERROR(__xludf.DUMMYFUNCTION("""COMPUTED_VALUE"""),2119)</f>
        <v>2119</v>
      </c>
      <c r="C272" s="1" t="str">
        <f ca="1">IFERROR(__xludf.DUMMYFUNCTION("""COMPUTED_VALUE"""),"PKM Karsa Cipta")</f>
        <v>PKM Karsa Cipta</v>
      </c>
      <c r="D272" s="1" t="str">
        <f ca="1">IFERROR(__xludf.DUMMYFUNCTION("""COMPUTED_VALUE"""),"Hand Exoskeleton Glove dengan Voice Control untuk Rehabilitasi Pasien Spinal Cord Injury")</f>
        <v>Hand Exoskeleton Glove dengan Voice Control untuk Rehabilitasi Pasien Spinal Cord Injury</v>
      </c>
      <c r="E272" s="1" t="str">
        <f ca="1">IFERROR(__xludf.DUMMYFUNCTION("""COMPUTED_VALUE"""),"Nur Azizah")</f>
        <v>Nur Azizah</v>
      </c>
      <c r="F272" s="1" t="str">
        <f ca="1">IFERROR(__xludf.DUMMYFUNCTION("""COMPUTED_VALUE"""),"07311940000022")</f>
        <v>07311940000022</v>
      </c>
      <c r="G272" s="1" t="str">
        <f ca="1">IFERROR(__xludf.DUMMYFUNCTION("""COMPUTED_VALUE"""),"Departemen Teknik Biomedik")</f>
        <v>Departemen Teknik Biomedik</v>
      </c>
      <c r="H272" s="1" t="str">
        <f ca="1">IFERROR(__xludf.DUMMYFUNCTION("""COMPUTED_VALUE"""),"Eko Agus Suprayitno, S.Si., M.T.")</f>
        <v>Eko Agus Suprayitno, S.Si., M.T.</v>
      </c>
      <c r="I272" s="1" t="str">
        <f ca="1">IFERROR(__xludf.DUMMYFUNCTION("""COMPUTED_VALUE"""),"Aditya Wardianto")</f>
        <v>Aditya Wardianto</v>
      </c>
      <c r="J272" s="1" t="str">
        <f ca="1">IFERROR(__xludf.DUMMYFUNCTION("""COMPUTED_VALUE"""),"07311940000001")</f>
        <v>07311940000001</v>
      </c>
      <c r="K272" s="1" t="str">
        <f ca="1">IFERROR(__xludf.DUMMYFUNCTION("""COMPUTED_VALUE"""),"Departemen Teknik Biomedik")</f>
        <v>Departemen Teknik Biomedik</v>
      </c>
      <c r="L272" s="1" t="str">
        <f ca="1">IFERROR(__xludf.DUMMYFUNCTION("""COMPUTED_VALUE"""),"Alifia Nihayatul Safitri")</f>
        <v>Alifia Nihayatul Safitri</v>
      </c>
      <c r="M272" s="1" t="str">
        <f ca="1">IFERROR(__xludf.DUMMYFUNCTION("""COMPUTED_VALUE"""),"08511940000002")</f>
        <v>08511940000002</v>
      </c>
      <c r="N272" s="1" t="str">
        <f ca="1">IFERROR(__xludf.DUMMYFUNCTION("""COMPUTED_VALUE"""),"Departemen Desain Komunikasi Visual")</f>
        <v>Departemen Desain Komunikasi Visual</v>
      </c>
      <c r="O272" s="1" t="str">
        <f ca="1">IFERROR(__xludf.DUMMYFUNCTION("""COMPUTED_VALUE"""),"RIMA AMALIA")</f>
        <v>RIMA AMALIA</v>
      </c>
      <c r="P272" s="1" t="str">
        <f ca="1">IFERROR(__xludf.DUMMYFUNCTION("""COMPUTED_VALUE"""),"5023201005")</f>
        <v>5023201005</v>
      </c>
      <c r="Q272" s="1" t="str">
        <f ca="1">IFERROR(__xludf.DUMMYFUNCTION("""COMPUTED_VALUE"""),"Departemen Teknik Biomedik")</f>
        <v>Departemen Teknik Biomedik</v>
      </c>
      <c r="R272" s="1"/>
      <c r="S272" s="1"/>
      <c r="T272" s="1"/>
      <c r="U272" s="1" t="str">
        <f ca="1">IFERROR(__xludf.DUMMYFUNCTION("""COMPUTED_VALUE"""),"Sefi Novendra Patrialova, S.Si., M.T")</f>
        <v>Sefi Novendra Patrialova, S.Si., M.T</v>
      </c>
      <c r="V272" s="1" t="str">
        <f ca="1">IFERROR(__xludf.DUMMYFUNCTION("""COMPUTED_VALUE"""),"Mahardika F. Rois, S.T, M.T")</f>
        <v>Mahardika F. Rois, S.T, M.T</v>
      </c>
      <c r="W272" s="1"/>
      <c r="X272" s="1" t="str">
        <f ca="1">IFERROR(__xludf.DUMMYFUNCTION("""COMPUTED_VALUE"""),"Lolos")</f>
        <v>Lolos</v>
      </c>
      <c r="Y272" s="1"/>
      <c r="Z272" s="1"/>
      <c r="AA272" s="1"/>
    </row>
    <row r="273" spans="1:27">
      <c r="A273" s="1" t="s">
        <v>268</v>
      </c>
      <c r="B273" s="1">
        <f ca="1">IFERROR(__xludf.DUMMYFUNCTION("""COMPUTED_VALUE"""),3936)</f>
        <v>3936</v>
      </c>
      <c r="C273" s="1" t="str">
        <f ca="1">IFERROR(__xludf.DUMMYFUNCTION("""COMPUTED_VALUE"""),"PKM Karsa Cipta")</f>
        <v>PKM Karsa Cipta</v>
      </c>
      <c r="D273" s="1" t="str">
        <f ca="1">IFERROR(__xludf.DUMMYFUNCTION("""COMPUTED_VALUE"""),"Shape Of Voice Aplikasi Penerjemah Bahasa Isyarat Berbasis Deep Learning untuk Mempermudah Komunikasi Penyandang Bisu Tuli dengan Masyarakat Umum")</f>
        <v>Shape Of Voice Aplikasi Penerjemah Bahasa Isyarat Berbasis Deep Learning untuk Mempermudah Komunikasi Penyandang Bisu Tuli dengan Masyarakat Umum</v>
      </c>
      <c r="E273" s="1" t="str">
        <f ca="1">IFERROR(__xludf.DUMMYFUNCTION("""COMPUTED_VALUE"""),"AHMAD AHLUL HIKAM")</f>
        <v>AHMAD AHLUL HIKAM</v>
      </c>
      <c r="F273" s="1" t="str">
        <f ca="1">IFERROR(__xludf.DUMMYFUNCTION("""COMPUTED_VALUE"""),"5022211104")</f>
        <v>5022211104</v>
      </c>
      <c r="G273" s="1" t="str">
        <f ca="1">IFERROR(__xludf.DUMMYFUNCTION("""COMPUTED_VALUE"""),"Departemen Teknik Elektro")</f>
        <v>Departemen Teknik Elektro</v>
      </c>
      <c r="H273" s="1" t="str">
        <f ca="1">IFERROR(__xludf.DUMMYFUNCTION("""COMPUTED_VALUE"""),"Dr. Dra. Kartika Fithriasari, M.Si.")</f>
        <v>Dr. Dra. Kartika Fithriasari, M.Si.</v>
      </c>
      <c r="I273" s="1" t="str">
        <f ca="1">IFERROR(__xludf.DUMMYFUNCTION("""COMPUTED_VALUE"""),"Hernanda Aldian Syah")</f>
        <v>Hernanda Aldian Syah</v>
      </c>
      <c r="J273" s="1" t="str">
        <f ca="1">IFERROR(__xludf.DUMMYFUNCTION("""COMPUTED_VALUE"""),"5008211069")</f>
        <v>5008211069</v>
      </c>
      <c r="K273" s="1" t="str">
        <f ca="1">IFERROR(__xludf.DUMMYFUNCTION("""COMPUTED_VALUE"""),"Departemen Teknik Kimia")</f>
        <v>Departemen Teknik Kimia</v>
      </c>
      <c r="L273" s="1" t="str">
        <f ca="1">IFERROR(__xludf.DUMMYFUNCTION("""COMPUTED_VALUE"""),"DEYYANA AULIA HAKIM")</f>
        <v>DEYYANA AULIA HAKIM</v>
      </c>
      <c r="M273" s="1" t="str">
        <f ca="1">IFERROR(__xludf.DUMMYFUNCTION("""COMPUTED_VALUE"""),"5003201052")</f>
        <v>5003201052</v>
      </c>
      <c r="N273" s="1" t="str">
        <f ca="1">IFERROR(__xludf.DUMMYFUNCTION("""COMPUTED_VALUE"""),"Departemen Statistika")</f>
        <v>Departemen Statistika</v>
      </c>
      <c r="O273" s="1" t="str">
        <f ca="1">IFERROR(__xludf.DUMMYFUNCTION("""COMPUTED_VALUE"""),"Fakhri Syifaulhaq")</f>
        <v>Fakhri Syifaulhaq</v>
      </c>
      <c r="P273" s="1" t="str">
        <f ca="1">IFERROR(__xludf.DUMMYFUNCTION("""COMPUTED_VALUE"""),"2041211065")</f>
        <v>2041211065</v>
      </c>
      <c r="Q273" s="1" t="str">
        <f ca="1">IFERROR(__xludf.DUMMYFUNCTION("""COMPUTED_VALUE"""),"Departemen Teknik Kimia Industri")</f>
        <v>Departemen Teknik Kimia Industri</v>
      </c>
      <c r="R273" s="1"/>
      <c r="S273" s="1"/>
      <c r="T273" s="1"/>
      <c r="U273" s="1" t="str">
        <f ca="1">IFERROR(__xludf.DUMMYFUNCTION("""COMPUTED_VALUE"""),"Sefi Novendra Patrialova, S.Si., M.T")</f>
        <v>Sefi Novendra Patrialova, S.Si., M.T</v>
      </c>
      <c r="V273" s="1" t="str">
        <f ca="1">IFERROR(__xludf.DUMMYFUNCTION("""COMPUTED_VALUE"""),"Putu Gde Ariastita, S.T., M.T.")</f>
        <v>Putu Gde Ariastita, S.T., M.T.</v>
      </c>
      <c r="W273" s="1"/>
      <c r="X273" s="1" t="str">
        <f ca="1">IFERROR(__xludf.DUMMYFUNCTION("""COMPUTED_VALUE"""),"Lolos")</f>
        <v>Lolos</v>
      </c>
      <c r="Y273" s="1"/>
      <c r="Z273" s="1"/>
      <c r="AA273" s="1"/>
    </row>
    <row r="274" spans="1:27">
      <c r="A274" s="1" t="s">
        <v>269</v>
      </c>
      <c r="B274" s="1">
        <f ca="1">IFERROR(__xludf.DUMMYFUNCTION("""COMPUTED_VALUE"""),2986)</f>
        <v>2986</v>
      </c>
      <c r="C274" s="1" t="str">
        <f ca="1">IFERROR(__xludf.DUMMYFUNCTION("""COMPUTED_VALUE"""),"PKM Karsa Cipta")</f>
        <v>PKM Karsa Cipta</v>
      </c>
      <c r="D274" s="1" t="str">
        <f ca="1">IFERROR(__xludf.DUMMYFUNCTION("""COMPUTED_VALUE"""),"A-MPLANG MAKER: ALAT PEMBUAT DAN PEMOTONG ADONAN KERUPUK AMPLANG OTOMATIS GUNA MENINGKATKAN EFEKTIVITAS PROSES PRODUKSI ")</f>
        <v xml:space="preserve">A-MPLANG MAKER: ALAT PEMBUAT DAN PEMOTONG ADONAN KERUPUK AMPLANG OTOMATIS GUNA MENINGKATKAN EFEKTIVITAS PROSES PRODUKSI </v>
      </c>
      <c r="E274" s="1" t="str">
        <f ca="1">IFERROR(__xludf.DUMMYFUNCTION("""COMPUTED_VALUE"""),"ALTHOF AKHMADI")</f>
        <v>ALTHOF AKHMADI</v>
      </c>
      <c r="F274" s="1" t="str">
        <f ca="1">IFERROR(__xludf.DUMMYFUNCTION("""COMPUTED_VALUE"""),"5010201110")</f>
        <v>5010201110</v>
      </c>
      <c r="G274" s="1" t="str">
        <f ca="1">IFERROR(__xludf.DUMMYFUNCTION("""COMPUTED_VALUE"""),"Departemen Teknik Sistem dan Industri")</f>
        <v>Departemen Teknik Sistem dan Industri</v>
      </c>
      <c r="H274" s="1" t="str">
        <f ca="1">IFERROR(__xludf.DUMMYFUNCTION("""COMPUTED_VALUE"""),"Nani Kurniati, S.T., M.T., Ph.D.")</f>
        <v>Nani Kurniati, S.T., M.T., Ph.D.</v>
      </c>
      <c r="I274" s="1" t="str">
        <f ca="1">IFERROR(__xludf.DUMMYFUNCTION("""COMPUTED_VALUE"""),"SALSA ULYANI RUKANDA PUTRI")</f>
        <v>SALSA ULYANI RUKANDA PUTRI</v>
      </c>
      <c r="J274" s="1" t="str">
        <f ca="1">IFERROR(__xludf.DUMMYFUNCTION("""COMPUTED_VALUE"""),"5010201121")</f>
        <v>5010201121</v>
      </c>
      <c r="K274" s="1" t="str">
        <f ca="1">IFERROR(__xludf.DUMMYFUNCTION("""COMPUTED_VALUE"""),"Departemen Teknik Sistem dan Industri")</f>
        <v>Departemen Teknik Sistem dan Industri</v>
      </c>
      <c r="L274" s="1" t="str">
        <f ca="1">IFERROR(__xludf.DUMMYFUNCTION("""COMPUTED_VALUE"""),"MONIKA AMELIA ROSALIN")</f>
        <v>MONIKA AMELIA ROSALIN</v>
      </c>
      <c r="M274" s="1" t="str">
        <f ca="1">IFERROR(__xludf.DUMMYFUNCTION("""COMPUTED_VALUE"""),"5010201092")</f>
        <v>5010201092</v>
      </c>
      <c r="N274" s="1" t="str">
        <f ca="1">IFERROR(__xludf.DUMMYFUNCTION("""COMPUTED_VALUE"""),"Departemen Teknik Sistem dan Industri")</f>
        <v>Departemen Teknik Sistem dan Industri</v>
      </c>
      <c r="O274" s="1" t="str">
        <f ca="1">IFERROR(__xludf.DUMMYFUNCTION("""COMPUTED_VALUE"""),"ALLVAR I M ARFIPUTRA")</f>
        <v>ALLVAR I M ARFIPUTRA</v>
      </c>
      <c r="P274" s="1" t="str">
        <f ca="1">IFERROR(__xludf.DUMMYFUNCTION("""COMPUTED_VALUE"""),"5010211135")</f>
        <v>5010211135</v>
      </c>
      <c r="Q274" s="1" t="str">
        <f ca="1">IFERROR(__xludf.DUMMYFUNCTION("""COMPUTED_VALUE"""),"Departemen Teknik Sistem dan Industri")</f>
        <v>Departemen Teknik Sistem dan Industri</v>
      </c>
      <c r="R274" s="1" t="str">
        <f ca="1">IFERROR(__xludf.DUMMYFUNCTION("""COMPUTED_VALUE"""),"ANABELLA RIZKIANI H")</f>
        <v>ANABELLA RIZKIANI H</v>
      </c>
      <c r="S274" s="1" t="str">
        <f ca="1">IFERROR(__xludf.DUMMYFUNCTION("""COMPUTED_VALUE"""),"5010211162")</f>
        <v>5010211162</v>
      </c>
      <c r="T274" s="1" t="str">
        <f ca="1">IFERROR(__xludf.DUMMYFUNCTION("""COMPUTED_VALUE"""),"Departemen Teknik Sistem dan Industri")</f>
        <v>Departemen Teknik Sistem dan Industri</v>
      </c>
      <c r="U274" s="1" t="str">
        <f ca="1">IFERROR(__xludf.DUMMYFUNCTION("""COMPUTED_VALUE"""),"Eko Agus Suprayitno, S.Si., M.T.")</f>
        <v>Eko Agus Suprayitno, S.Si., M.T.</v>
      </c>
      <c r="V274" s="1" t="str">
        <f ca="1">IFERROR(__xludf.DUMMYFUNCTION("""COMPUTED_VALUE"""),"Dr. Eng. Hosta Ardhyananta, S.T., M.Sc.")</f>
        <v>Dr. Eng. Hosta Ardhyananta, S.T., M.Sc.</v>
      </c>
      <c r="W274" s="1"/>
      <c r="X274" s="1" t="str">
        <f ca="1">IFERROR(__xludf.DUMMYFUNCTION("""COMPUTED_VALUE"""),"Lolos")</f>
        <v>Lolos</v>
      </c>
      <c r="Y274" s="1"/>
      <c r="Z274" s="1"/>
      <c r="AA274" s="1"/>
    </row>
    <row r="275" spans="1:27">
      <c r="A275" s="1" t="s">
        <v>270</v>
      </c>
      <c r="B275" s="1">
        <f ca="1">IFERROR(__xludf.DUMMYFUNCTION("""COMPUTED_VALUE"""),4156)</f>
        <v>4156</v>
      </c>
      <c r="C275" s="1" t="str">
        <f ca="1">IFERROR(__xludf.DUMMYFUNCTION("""COMPUTED_VALUE"""),"PKM Karsa Cipta")</f>
        <v>PKM Karsa Cipta</v>
      </c>
      <c r="D275" s="1" t="str">
        <f ca="1">IFERROR(__xludf.DUMMYFUNCTION("""COMPUTED_VALUE"""),"Modifikasi dan Implementasi Algoritma A star dalam Penentuan Rute Pelayaran Berbasis Aplikasi untuk Kemajuan Teknologi Kapal Otonom di Indonesia")</f>
        <v>Modifikasi dan Implementasi Algoritma A star dalam Penentuan Rute Pelayaran Berbasis Aplikasi untuk Kemajuan Teknologi Kapal Otonom di Indonesia</v>
      </c>
      <c r="E275" s="1" t="str">
        <f ca="1">IFERROR(__xludf.DUMMYFUNCTION("""COMPUTED_VALUE"""),"ROGANDA DIMAS ARIZA SIHOMBING")</f>
        <v>ROGANDA DIMAS ARIZA SIHOMBING</v>
      </c>
      <c r="F275" s="1" t="str">
        <f ca="1">IFERROR(__xludf.DUMMYFUNCTION("""COMPUTED_VALUE"""),"04211840000093")</f>
        <v>04211840000093</v>
      </c>
      <c r="G275" s="1" t="str">
        <f ca="1">IFERROR(__xludf.DUMMYFUNCTION("""COMPUTED_VALUE"""),"Departemen Teknik Sistem Perkapalan")</f>
        <v>Departemen Teknik Sistem Perkapalan</v>
      </c>
      <c r="H275" s="1" t="str">
        <f ca="1">IFERROR(__xludf.DUMMYFUNCTION("""COMPUTED_VALUE"""),"Indra Ranu Kusuma, S.T., M.Sc.")</f>
        <v>Indra Ranu Kusuma, S.T., M.Sc.</v>
      </c>
      <c r="I275" s="1" t="str">
        <f ca="1">IFERROR(__xludf.DUMMYFUNCTION("""COMPUTED_VALUE"""),"GOKLAS VALENTINO HENOCH")</f>
        <v>GOKLAS VALENTINO HENOCH</v>
      </c>
      <c r="J275" s="1" t="str">
        <f ca="1">IFERROR(__xludf.DUMMYFUNCTION("""COMPUTED_VALUE"""),"04211940000115")</f>
        <v>04211940000115</v>
      </c>
      <c r="K275" s="1" t="str">
        <f ca="1">IFERROR(__xludf.DUMMYFUNCTION("""COMPUTED_VALUE"""),"Departemen Teknik Sistem Perkapalan")</f>
        <v>Departemen Teknik Sistem Perkapalan</v>
      </c>
      <c r="L275" s="1" t="str">
        <f ca="1">IFERROR(__xludf.DUMMYFUNCTION("""COMPUTED_VALUE"""),"DANIEL")</f>
        <v>DANIEL</v>
      </c>
      <c r="M275" s="1" t="str">
        <f ca="1">IFERROR(__xludf.DUMMYFUNCTION("""COMPUTED_VALUE"""),"04211840000106")</f>
        <v>04211840000106</v>
      </c>
      <c r="N275" s="1" t="str">
        <f ca="1">IFERROR(__xludf.DUMMYFUNCTION("""COMPUTED_VALUE"""),"Departemen Teknik Sistem Perkapalan")</f>
        <v>Departemen Teknik Sistem Perkapalan</v>
      </c>
      <c r="O275" s="1"/>
      <c r="P275" s="1"/>
      <c r="Q275" s="1"/>
      <c r="R275" s="1"/>
      <c r="S275" s="1"/>
      <c r="T275" s="1"/>
      <c r="U275" s="1" t="str">
        <f ca="1">IFERROR(__xludf.DUMMYFUNCTION("""COMPUTED_VALUE"""),"Mohammad Khoirul Effendi, S.T., M.Sc.Eng., Ph.D.")</f>
        <v>Mohammad Khoirul Effendi, S.T., M.Sc.Eng., Ph.D.</v>
      </c>
      <c r="V275" s="1" t="str">
        <f ca="1">IFERROR(__xludf.DUMMYFUNCTION("""COMPUTED_VALUE"""),"Azzah Dyah Pramata, S.T., M.T., M.Eng., Ph.D.")</f>
        <v>Azzah Dyah Pramata, S.T., M.T., M.Eng., Ph.D.</v>
      </c>
      <c r="W275" s="1"/>
      <c r="X275" s="1" t="str">
        <f ca="1">IFERROR(__xludf.DUMMYFUNCTION("""COMPUTED_VALUE"""),"Lolos")</f>
        <v>Lolos</v>
      </c>
      <c r="Y275" s="1"/>
      <c r="Z275" s="1"/>
      <c r="AA275" s="1"/>
    </row>
    <row r="276" spans="1:27">
      <c r="A276" s="1" t="s">
        <v>271</v>
      </c>
      <c r="B276" s="1">
        <f ca="1">IFERROR(__xludf.DUMMYFUNCTION("""COMPUTED_VALUE"""),3271)</f>
        <v>3271</v>
      </c>
      <c r="C276" s="1" t="str">
        <f ca="1">IFERROR(__xludf.DUMMYFUNCTION("""COMPUTED_VALUE"""),"PKM Karsa Cipta")</f>
        <v>PKM Karsa Cipta</v>
      </c>
      <c r="D276" s="1" t="str">
        <f ca="1">IFERROR(__xludf.DUMMYFUNCTION("""COMPUTED_VALUE"""),"EyesMap: Navigation System with Augmented Reality and IoT Technology")</f>
        <v>EyesMap: Navigation System with Augmented Reality and IoT Technology</v>
      </c>
      <c r="E276" s="1" t="str">
        <f ca="1">IFERROR(__xludf.DUMMYFUNCTION("""COMPUTED_VALUE"""),"NAUFAL JODY MANRA")</f>
        <v>NAUFAL JODY MANRA</v>
      </c>
      <c r="F276" s="1" t="str">
        <f ca="1">IFERROR(__xludf.DUMMYFUNCTION("""COMPUTED_VALUE"""),"07311940000028")</f>
        <v>07311940000028</v>
      </c>
      <c r="G276" s="1" t="str">
        <f ca="1">IFERROR(__xludf.DUMMYFUNCTION("""COMPUTED_VALUE"""),"Departemen Teknik Biomedik")</f>
        <v>Departemen Teknik Biomedik</v>
      </c>
      <c r="H276" s="1" t="str">
        <f ca="1">IFERROR(__xludf.DUMMYFUNCTION("""COMPUTED_VALUE"""),"Muhammad Hilman Fatoni, S.T., M.T.")</f>
        <v>Muhammad Hilman Fatoni, S.T., M.T.</v>
      </c>
      <c r="I276" s="1" t="str">
        <f ca="1">IFERROR(__xludf.DUMMYFUNCTION("""COMPUTED_VALUE"""),"LIEYANTO SIM")</f>
        <v>LIEYANTO SIM</v>
      </c>
      <c r="J276" s="1" t="str">
        <f ca="1">IFERROR(__xludf.DUMMYFUNCTION("""COMPUTED_VALUE"""),"07311940000029")</f>
        <v>07311940000029</v>
      </c>
      <c r="K276" s="1" t="str">
        <f ca="1">IFERROR(__xludf.DUMMYFUNCTION("""COMPUTED_VALUE"""),"Departemen Teknik Biomedik")</f>
        <v>Departemen Teknik Biomedik</v>
      </c>
      <c r="L276" s="1" t="str">
        <f ca="1">IFERROR(__xludf.DUMMYFUNCTION("""COMPUTED_VALUE"""),"VANIA HUWAIDA PUTRI")</f>
        <v>VANIA HUWAIDA PUTRI</v>
      </c>
      <c r="M276" s="1" t="str">
        <f ca="1">IFERROR(__xludf.DUMMYFUNCTION("""COMPUTED_VALUE"""),"07111942000005")</f>
        <v>07111942000005</v>
      </c>
      <c r="N276" s="1" t="str">
        <f ca="1">IFERROR(__xludf.DUMMYFUNCTION("""COMPUTED_VALUE"""),"Departemen Teknik Elektro")</f>
        <v>Departemen Teknik Elektro</v>
      </c>
      <c r="O276" s="1" t="str">
        <f ca="1">IFERROR(__xludf.DUMMYFUNCTION("""COMPUTED_VALUE"""),"AFDUL ROHMAT")</f>
        <v>AFDUL ROHMAT</v>
      </c>
      <c r="P276" s="1" t="str">
        <f ca="1">IFERROR(__xludf.DUMMYFUNCTION("""COMPUTED_VALUE"""),"5023201015")</f>
        <v>5023201015</v>
      </c>
      <c r="Q276" s="1" t="str">
        <f ca="1">IFERROR(__xludf.DUMMYFUNCTION("""COMPUTED_VALUE"""),"Departemen Teknik Biomedik")</f>
        <v>Departemen Teknik Biomedik</v>
      </c>
      <c r="R276" s="1" t="str">
        <f ca="1">IFERROR(__xludf.DUMMYFUNCTION("""COMPUTED_VALUE"""),"FARAH RISHA FADHILAH")</f>
        <v>FARAH RISHA FADHILAH</v>
      </c>
      <c r="S276" s="1" t="str">
        <f ca="1">IFERROR(__xludf.DUMMYFUNCTION("""COMPUTED_VALUE"""),"07311940000039")</f>
        <v>07311940000039</v>
      </c>
      <c r="T276" s="1" t="str">
        <f ca="1">IFERROR(__xludf.DUMMYFUNCTION("""COMPUTED_VALUE"""),"Departemen Teknik Biomedik")</f>
        <v>Departemen Teknik Biomedik</v>
      </c>
      <c r="U276" s="1" t="str">
        <f ca="1">IFERROR(__xludf.DUMMYFUNCTION("""COMPUTED_VALUE"""),"Mohammad Khoirul Effendi, S.T., M.Sc.Eng., Ph.D.")</f>
        <v>Mohammad Khoirul Effendi, S.T., M.Sc.Eng., Ph.D.</v>
      </c>
      <c r="V276" s="1" t="str">
        <f ca="1">IFERROR(__xludf.DUMMYFUNCTION("""COMPUTED_VALUE"""),"Dr. Dendy Satrio, S.ST.")</f>
        <v>Dr. Dendy Satrio, S.ST.</v>
      </c>
      <c r="W276" s="1"/>
      <c r="X276" s="1" t="str">
        <f ca="1">IFERROR(__xludf.DUMMYFUNCTION("""COMPUTED_VALUE"""),"Lolos")</f>
        <v>Lolos</v>
      </c>
      <c r="Y276" s="1"/>
      <c r="Z276" s="1"/>
      <c r="AA276" s="1"/>
    </row>
    <row r="277" spans="1:27">
      <c r="A277" s="1" t="s">
        <v>272</v>
      </c>
      <c r="B277" s="1">
        <f ca="1">IFERROR(__xludf.DUMMYFUNCTION("""COMPUTED_VALUE"""),2030)</f>
        <v>2030</v>
      </c>
      <c r="C277" s="1" t="str">
        <f ca="1">IFERROR(__xludf.DUMMYFUNCTION("""COMPUTED_VALUE"""),"PKM Karsa Cipta")</f>
        <v>PKM Karsa Cipta</v>
      </c>
      <c r="D277" s="1" t="str">
        <f ca="1">IFERROR(__xludf.DUMMYFUNCTION("""COMPUTED_VALUE"""),"SandBox : Inovasi Pengolah Limbah Kaca Menjadi Pasir Layak Guna Sebagai Solusi Permasalahan Abrasi Pantai
")</f>
        <v xml:space="preserve">SandBox : Inovasi Pengolah Limbah Kaca Menjadi Pasir Layak Guna Sebagai Solusi Permasalahan Abrasi Pantai
</v>
      </c>
      <c r="E277" s="1" t="str">
        <f ca="1">IFERROR(__xludf.DUMMYFUNCTION("""COMPUTED_VALUE"""),"Rafiarian")</f>
        <v>Rafiarian</v>
      </c>
      <c r="F277" s="1" t="str">
        <f ca="1">IFERROR(__xludf.DUMMYFUNCTION("""COMPUTED_VALUE"""),"5026211177")</f>
        <v>5026211177</v>
      </c>
      <c r="G277" s="1" t="str">
        <f ca="1">IFERROR(__xludf.DUMMYFUNCTION("""COMPUTED_VALUE"""),"Departemen Sistem Informasi")</f>
        <v>Departemen Sistem Informasi</v>
      </c>
      <c r="H277" s="1" t="str">
        <f ca="1">IFERROR(__xludf.DUMMYFUNCTION("""COMPUTED_VALUE"""),"Dr. Rarasmaya Indraswari, S.Kom.")</f>
        <v>Dr. Rarasmaya Indraswari, S.Kom.</v>
      </c>
      <c r="I277" s="1" t="str">
        <f ca="1">IFERROR(__xludf.DUMMYFUNCTION("""COMPUTED_VALUE"""),"RIBKA DEVINA MARGARE")</f>
        <v>RIBKA DEVINA MARGARE</v>
      </c>
      <c r="J277" s="1" t="str">
        <f ca="1">IFERROR(__xludf.DUMMYFUNCTION("""COMPUTED_VALUE"""),"5026211082")</f>
        <v>5026211082</v>
      </c>
      <c r="K277" s="1" t="str">
        <f ca="1">IFERROR(__xludf.DUMMYFUNCTION("""COMPUTED_VALUE"""),"Departemen Sistem Informasi")</f>
        <v>Departemen Sistem Informasi</v>
      </c>
      <c r="L277" s="1" t="str">
        <f ca="1">IFERROR(__xludf.DUMMYFUNCTION("""COMPUTED_VALUE"""),"Naila Hanif R")</f>
        <v>Naila Hanif R</v>
      </c>
      <c r="M277" s="1" t="str">
        <f ca="1">IFERROR(__xludf.DUMMYFUNCTION("""COMPUTED_VALUE"""),"5026211022")</f>
        <v>5026211022</v>
      </c>
      <c r="N277" s="1" t="str">
        <f ca="1">IFERROR(__xludf.DUMMYFUNCTION("""COMPUTED_VALUE"""),"Departemen Sistem Informasi")</f>
        <v>Departemen Sistem Informasi</v>
      </c>
      <c r="O277" s="1" t="str">
        <f ca="1">IFERROR(__xludf.DUMMYFUNCTION("""COMPUTED_VALUE"""),"Syifa Mumtaz")</f>
        <v>Syifa Mumtaz</v>
      </c>
      <c r="P277" s="1" t="str">
        <f ca="1">IFERROR(__xludf.DUMMYFUNCTION("""COMPUTED_VALUE"""),"5026211157")</f>
        <v>5026211157</v>
      </c>
      <c r="Q277" s="1" t="str">
        <f ca="1">IFERROR(__xludf.DUMMYFUNCTION("""COMPUTED_VALUE"""),"Departemen Sistem Informasi")</f>
        <v>Departemen Sistem Informasi</v>
      </c>
      <c r="R277" s="1" t="str">
        <f ca="1">IFERROR(__xludf.DUMMYFUNCTION("""COMPUTED_VALUE"""),"Reyhan Dzaki A")</f>
        <v>Reyhan Dzaki A</v>
      </c>
      <c r="S277" s="1" t="str">
        <f ca="1">IFERROR(__xludf.DUMMYFUNCTION("""COMPUTED_VALUE"""),"5026211065")</f>
        <v>5026211065</v>
      </c>
      <c r="T277" s="1" t="str">
        <f ca="1">IFERROR(__xludf.DUMMYFUNCTION("""COMPUTED_VALUE"""),"Departemen Sistem Informasi")</f>
        <v>Departemen Sistem Informasi</v>
      </c>
      <c r="U277" s="1" t="str">
        <f ca="1">IFERROR(__xludf.DUMMYFUNCTION("""COMPUTED_VALUE"""),"Dr.Eng. Chastine Fatichah, S.Kom., M.Kom.")</f>
        <v>Dr.Eng. Chastine Fatichah, S.Kom., M.Kom.</v>
      </c>
      <c r="V277" s="1" t="str">
        <f ca="1">IFERROR(__xludf.DUMMYFUNCTION("""COMPUTED_VALUE"""),"Rudy Dikairono, ST., M.T.")</f>
        <v>Rudy Dikairono, ST., M.T.</v>
      </c>
      <c r="W277" s="1"/>
      <c r="X277" s="1" t="str">
        <f ca="1">IFERROR(__xludf.DUMMYFUNCTION("""COMPUTED_VALUE"""),"Lolos")</f>
        <v>Lolos</v>
      </c>
      <c r="Y277" s="1"/>
      <c r="Z277" s="1"/>
      <c r="AA277" s="1"/>
    </row>
    <row r="278" spans="1:27">
      <c r="A278" s="1" t="s">
        <v>273</v>
      </c>
      <c r="B278" s="1">
        <f ca="1">IFERROR(__xludf.DUMMYFUNCTION("""COMPUTED_VALUE"""),4002)</f>
        <v>4002</v>
      </c>
      <c r="C278" s="1" t="str">
        <f ca="1">IFERROR(__xludf.DUMMYFUNCTION("""COMPUTED_VALUE"""),"PKM Karsa Cipta")</f>
        <v>PKM Karsa Cipta</v>
      </c>
      <c r="D278" s="1" t="str">
        <f ca="1">IFERROR(__xludf.DUMMYFUNCTION("""COMPUTED_VALUE"""),"Omnidirectional Propulsion System for Smart Lifebuoys")</f>
        <v>Omnidirectional Propulsion System for Smart Lifebuoys</v>
      </c>
      <c r="E278" s="1" t="str">
        <f ca="1">IFERROR(__xludf.DUMMYFUNCTION("""COMPUTED_VALUE"""),"ZUFAR IRVING HARIS")</f>
        <v>ZUFAR IRVING HARIS</v>
      </c>
      <c r="F278" s="1" t="str">
        <f ca="1">IFERROR(__xludf.DUMMYFUNCTION("""COMPUTED_VALUE"""),"04111940000061")</f>
        <v>04111940000061</v>
      </c>
      <c r="G278" s="1" t="str">
        <f ca="1">IFERROR(__xludf.DUMMYFUNCTION("""COMPUTED_VALUE"""),"Departemen Teknik Perkapalan")</f>
        <v>Departemen Teknik Perkapalan</v>
      </c>
      <c r="H278" s="1" t="str">
        <f ca="1">IFERROR(__xludf.DUMMYFUNCTION("""COMPUTED_VALUE"""),"Danu Utama, S.T., M.T.")</f>
        <v>Danu Utama, S.T., M.T.</v>
      </c>
      <c r="I278" s="1" t="str">
        <f ca="1">IFERROR(__xludf.DUMMYFUNCTION("""COMPUTED_VALUE"""),"DIO MUKTI WIBOWO KUSNO PUTRA")</f>
        <v>DIO MUKTI WIBOWO KUSNO PUTRA</v>
      </c>
      <c r="J278" s="1" t="str">
        <f ca="1">IFERROR(__xludf.DUMMYFUNCTION("""COMPUTED_VALUE"""),"04111940000058")</f>
        <v>04111940000058</v>
      </c>
      <c r="K278" s="1" t="str">
        <f ca="1">IFERROR(__xludf.DUMMYFUNCTION("""COMPUTED_VALUE"""),"Departemen Teknik Perkapalan")</f>
        <v>Departemen Teknik Perkapalan</v>
      </c>
      <c r="L278" s="1" t="str">
        <f ca="1">IFERROR(__xludf.DUMMYFUNCTION("""COMPUTED_VALUE"""),"MUHAMMAD FALIVAN GANEFIANSYAH MURDIYANTONO")</f>
        <v>MUHAMMAD FALIVAN GANEFIANSYAH MURDIYANTONO</v>
      </c>
      <c r="M278" s="1" t="str">
        <f ca="1">IFERROR(__xludf.DUMMYFUNCTION("""COMPUTED_VALUE"""),"04111940000041")</f>
        <v>04111940000041</v>
      </c>
      <c r="N278" s="1" t="str">
        <f ca="1">IFERROR(__xludf.DUMMYFUNCTION("""COMPUTED_VALUE"""),"Departemen Teknik Perkapalan")</f>
        <v>Departemen Teknik Perkapalan</v>
      </c>
      <c r="O278" s="1" t="str">
        <f ca="1">IFERROR(__xludf.DUMMYFUNCTION("""COMPUTED_VALUE"""),"NATHANIEL RICHARD RUPANG LIMBONG")</f>
        <v>NATHANIEL RICHARD RUPANG LIMBONG</v>
      </c>
      <c r="P278" s="1" t="str">
        <f ca="1">IFERROR(__xludf.DUMMYFUNCTION("""COMPUTED_VALUE"""),"04111940000059")</f>
        <v>04111940000059</v>
      </c>
      <c r="Q278" s="1" t="str">
        <f ca="1">IFERROR(__xludf.DUMMYFUNCTION("""COMPUTED_VALUE"""),"Departemen Teknik Perkapalan")</f>
        <v>Departemen Teknik Perkapalan</v>
      </c>
      <c r="R278" s="1"/>
      <c r="S278" s="1"/>
      <c r="T278" s="1"/>
      <c r="U278" s="1" t="str">
        <f ca="1">IFERROR(__xludf.DUMMYFUNCTION("""COMPUTED_VALUE"""),"Sefi Novendra Patrialova, S.Si., M.T")</f>
        <v>Sefi Novendra Patrialova, S.Si., M.T</v>
      </c>
      <c r="V278" s="1" t="str">
        <f ca="1">IFERROR(__xludf.DUMMYFUNCTION("""COMPUTED_VALUE"""),"Safira Firdaus Mujiyanti, S.T., M.T.")</f>
        <v>Safira Firdaus Mujiyanti, S.T., M.T.</v>
      </c>
      <c r="W278" s="1"/>
      <c r="X278" s="1" t="str">
        <f ca="1">IFERROR(__xludf.DUMMYFUNCTION("""COMPUTED_VALUE"""),"Lolos")</f>
        <v>Lolos</v>
      </c>
      <c r="Y278" s="1"/>
      <c r="Z278" s="1"/>
      <c r="AA278" s="1"/>
    </row>
    <row r="279" spans="1:27">
      <c r="A279" s="1" t="s">
        <v>274</v>
      </c>
      <c r="B279" s="1">
        <f ca="1">IFERROR(__xludf.DUMMYFUNCTION("""COMPUTED_VALUE"""),2178)</f>
        <v>2178</v>
      </c>
      <c r="C279" s="1" t="str">
        <f ca="1">IFERROR(__xludf.DUMMYFUNCTION("""COMPUTED_VALUE"""),"PKM Karsa Cipta")</f>
        <v>PKM Karsa Cipta</v>
      </c>
      <c r="D279" s="1" t="str">
        <f ca="1">IFERROR(__xludf.DUMMYFUNCTION("""COMPUTED_VALUE"""),"Sistem Pengukuran Neurotransmitter dengan Kertas Mikrofluida Multipleks untuk Deteksi Dini Gangguan Neurologis")</f>
        <v>Sistem Pengukuran Neurotransmitter dengan Kertas Mikrofluida Multipleks untuk Deteksi Dini Gangguan Neurologis</v>
      </c>
      <c r="E279" s="1" t="str">
        <f ca="1">IFERROR(__xludf.DUMMYFUNCTION("""COMPUTED_VALUE"""),"JOVIN")</f>
        <v>JOVIN</v>
      </c>
      <c r="F279" s="1" t="str">
        <f ca="1">IFERROR(__xludf.DUMMYFUNCTION("""COMPUTED_VALUE"""),"02311840000091")</f>
        <v>02311840000091</v>
      </c>
      <c r="G279" s="1" t="str">
        <f ca="1">IFERROR(__xludf.DUMMYFUNCTION("""COMPUTED_VALUE"""),"Departemen Teknik Fisika")</f>
        <v>Departemen Teknik Fisika</v>
      </c>
      <c r="H279" s="1" t="str">
        <f ca="1">IFERROR(__xludf.DUMMYFUNCTION("""COMPUTED_VALUE"""),"Dr.rer.nat Ruri Agung Wahyuono, S.T., M.T.")</f>
        <v>Dr.rer.nat Ruri Agung Wahyuono, S.T., M.T.</v>
      </c>
      <c r="I279" s="1" t="str">
        <f ca="1">IFERROR(__xludf.DUMMYFUNCTION("""COMPUTED_VALUE"""),"IGNACIUS GILBERT CHANO")</f>
        <v>IGNACIUS GILBERT CHANO</v>
      </c>
      <c r="J279" s="1" t="str">
        <f ca="1">IFERROR(__xludf.DUMMYFUNCTION("""COMPUTED_VALUE"""),"02311840000051")</f>
        <v>02311840000051</v>
      </c>
      <c r="K279" s="1" t="str">
        <f ca="1">IFERROR(__xludf.DUMMYFUNCTION("""COMPUTED_VALUE"""),"Departemen Teknik Fisika")</f>
        <v>Departemen Teknik Fisika</v>
      </c>
      <c r="L279" s="1" t="str">
        <f ca="1">IFERROR(__xludf.DUMMYFUNCTION("""COMPUTED_VALUE"""),"ERVINA NUR AZIZAH")</f>
        <v>ERVINA NUR AZIZAH</v>
      </c>
      <c r="M279" s="1" t="str">
        <f ca="1">IFERROR(__xludf.DUMMYFUNCTION("""COMPUTED_VALUE"""),"02311942000004")</f>
        <v>02311942000004</v>
      </c>
      <c r="N279" s="1" t="str">
        <f ca="1">IFERROR(__xludf.DUMMYFUNCTION("""COMPUTED_VALUE"""),"Departemen Teknik Fisika")</f>
        <v>Departemen Teknik Fisika</v>
      </c>
      <c r="O279" s="1" t="str">
        <f ca="1">IFERROR(__xludf.DUMMYFUNCTION("""COMPUTED_VALUE"""),"A.A.Gde Yogi Pramana")</f>
        <v>A.A.Gde Yogi Pramana</v>
      </c>
      <c r="P279" s="1" t="str">
        <f ca="1">IFERROR(__xludf.DUMMYFUNCTION("""COMPUTED_VALUE"""),"5009211160")</f>
        <v>5009211160</v>
      </c>
      <c r="Q279" s="1" t="str">
        <f ca="1">IFERROR(__xludf.DUMMYFUNCTION("""COMPUTED_VALUE"""),"Departemen Teknik Fisika")</f>
        <v>Departemen Teknik Fisika</v>
      </c>
      <c r="R279" s="1"/>
      <c r="S279" s="1"/>
      <c r="T279" s="1"/>
      <c r="U279" s="1" t="str">
        <f ca="1">IFERROR(__xludf.DUMMYFUNCTION("""COMPUTED_VALUE"""),"Ir. Josaphat Pramudijanto, M.Eng.")</f>
        <v>Ir. Josaphat Pramudijanto, M.Eng.</v>
      </c>
      <c r="V279" s="1" t="str">
        <f ca="1">IFERROR(__xludf.DUMMYFUNCTION("""COMPUTED_VALUE"""),"Dr. Ir. Purwadi Agus Darwito, M.Sc.")</f>
        <v>Dr. Ir. Purwadi Agus Darwito, M.Sc.</v>
      </c>
      <c r="W279" s="1"/>
      <c r="X279" s="1" t="str">
        <f ca="1">IFERROR(__xludf.DUMMYFUNCTION("""COMPUTED_VALUE"""),"Lolos")</f>
        <v>Lolos</v>
      </c>
      <c r="Y279" s="1"/>
      <c r="Z279" s="1"/>
      <c r="AA279" s="1"/>
    </row>
    <row r="280" spans="1:27">
      <c r="A280" s="1" t="s">
        <v>275</v>
      </c>
      <c r="B280" s="1">
        <f ca="1">IFERROR(__xludf.DUMMYFUNCTION("""COMPUTED_VALUE"""),3882)</f>
        <v>3882</v>
      </c>
      <c r="C280" s="1" t="str">
        <f ca="1">IFERROR(__xludf.DUMMYFUNCTION("""COMPUTED_VALUE"""),"PKM Karsa Cipta")</f>
        <v>PKM Karsa Cipta</v>
      </c>
      <c r="D280" s="1" t="str">
        <f ca="1">IFERROR(__xludf.DUMMYFUNCTION("""COMPUTED_VALUE"""),"Sepatu Penghasil Listrik Berbasis Piezoelektrik Guna Memenuhi Kebutuhan Energi Listrik Saat Pendakian dan Membantu Proses Pencarian Pendaki yang Hilang")</f>
        <v>Sepatu Penghasil Listrik Berbasis Piezoelektrik Guna Memenuhi Kebutuhan Energi Listrik Saat Pendakian dan Membantu Proses Pencarian Pendaki yang Hilang</v>
      </c>
      <c r="E280" s="1" t="str">
        <f ca="1">IFERROR(__xludf.DUMMYFUNCTION("""COMPUTED_VALUE"""),"EKO BAGUS YANUAR")</f>
        <v>EKO BAGUS YANUAR</v>
      </c>
      <c r="F280" s="1" t="str">
        <f ca="1">IFERROR(__xludf.DUMMYFUNCTION("""COMPUTED_VALUE"""),"07111940000074")</f>
        <v>07111940000074</v>
      </c>
      <c r="G280" s="1" t="str">
        <f ca="1">IFERROR(__xludf.DUMMYFUNCTION("""COMPUTED_VALUE"""),"Departemen Teknik Elektro")</f>
        <v>Departemen Teknik Elektro</v>
      </c>
      <c r="H280" s="1" t="str">
        <f ca="1">IFERROR(__xludf.DUMMYFUNCTION("""COMPUTED_VALUE"""),"Vita Lystianingrum Budiharto Putri, S.T., M.Sc., Ph.D.")</f>
        <v>Vita Lystianingrum Budiharto Putri, S.T., M.Sc., Ph.D.</v>
      </c>
      <c r="I280" s="1" t="str">
        <f ca="1">IFERROR(__xludf.DUMMYFUNCTION("""COMPUTED_VALUE"""),"Ardhia Agustian")</f>
        <v>Ardhia Agustian</v>
      </c>
      <c r="J280" s="1" t="str">
        <f ca="1">IFERROR(__xludf.DUMMYFUNCTION("""COMPUTED_VALUE"""),"07111940000059")</f>
        <v>07111940000059</v>
      </c>
      <c r="K280" s="1" t="str">
        <f ca="1">IFERROR(__xludf.DUMMYFUNCTION("""COMPUTED_VALUE"""),"Departemen Teknik Elektro")</f>
        <v>Departemen Teknik Elektro</v>
      </c>
      <c r="L280" s="1" t="str">
        <f ca="1">IFERROR(__xludf.DUMMYFUNCTION("""COMPUTED_VALUE"""),"FIRMAN MUCHAMAD KHOIRUDIN")</f>
        <v>FIRMAN MUCHAMAD KHOIRUDIN</v>
      </c>
      <c r="M280" s="1" t="str">
        <f ca="1">IFERROR(__xludf.DUMMYFUNCTION("""COMPUTED_VALUE"""),"07111940000144")</f>
        <v>07111940000144</v>
      </c>
      <c r="N280" s="1" t="str">
        <f ca="1">IFERROR(__xludf.DUMMYFUNCTION("""COMPUTED_VALUE"""),"Departemen Teknik Elektro")</f>
        <v>Departemen Teknik Elektro</v>
      </c>
      <c r="O280" s="1" t="str">
        <f ca="1">IFERROR(__xludf.DUMMYFUNCTION("""COMPUTED_VALUE"""),"MAHARDIKA RENDRA IRWANTO")</f>
        <v>MAHARDIKA RENDRA IRWANTO</v>
      </c>
      <c r="P280" s="1" t="str">
        <f ca="1">IFERROR(__xludf.DUMMYFUNCTION("""COMPUTED_VALUE"""),"5022201050")</f>
        <v>5022201050</v>
      </c>
      <c r="Q280" s="1" t="str">
        <f ca="1">IFERROR(__xludf.DUMMYFUNCTION("""COMPUTED_VALUE"""),"Departemen Teknik Elektro")</f>
        <v>Departemen Teknik Elektro</v>
      </c>
      <c r="R280" s="1" t="str">
        <f ca="1">IFERROR(__xludf.DUMMYFUNCTION("""COMPUTED_VALUE"""),"LUSI AMELIA")</f>
        <v>LUSI AMELIA</v>
      </c>
      <c r="S280" s="1" t="str">
        <f ca="1">IFERROR(__xludf.DUMMYFUNCTION("""COMPUTED_VALUE"""),"5022201172")</f>
        <v>5022201172</v>
      </c>
      <c r="T280" s="1" t="str">
        <f ca="1">IFERROR(__xludf.DUMMYFUNCTION("""COMPUTED_VALUE"""),"Departemen Teknik Elektro")</f>
        <v>Departemen Teknik Elektro</v>
      </c>
      <c r="U280" s="1" t="str">
        <f ca="1">IFERROR(__xludf.DUMMYFUNCTION("""COMPUTED_VALUE"""),"Sefi Novendra Patrialova, S.Si., M.T")</f>
        <v>Sefi Novendra Patrialova, S.Si., M.T</v>
      </c>
      <c r="V280" s="1" t="str">
        <f ca="1">IFERROR(__xludf.DUMMYFUNCTION("""COMPUTED_VALUE"""),"Yasmin Zainul Mochtar, S.T., M.A.")</f>
        <v>Yasmin Zainul Mochtar, S.T., M.A.</v>
      </c>
      <c r="W280" s="1"/>
      <c r="X280" s="1" t="str">
        <f ca="1">IFERROR(__xludf.DUMMYFUNCTION("""COMPUTED_VALUE"""),"Lolos")</f>
        <v>Lolos</v>
      </c>
      <c r="Y280" s="1"/>
      <c r="Z280" s="1"/>
      <c r="AA280" s="1"/>
    </row>
    <row r="281" spans="1:27">
      <c r="A281" s="1" t="s">
        <v>276</v>
      </c>
      <c r="B281" s="1">
        <f ca="1">IFERROR(__xludf.DUMMYFUNCTION("""COMPUTED_VALUE"""),3294)</f>
        <v>3294</v>
      </c>
      <c r="C281" s="1" t="str">
        <f ca="1">IFERROR(__xludf.DUMMYFUNCTION("""COMPUTED_VALUE"""),"PKM Karsa Cipta")</f>
        <v>PKM Karsa Cipta</v>
      </c>
      <c r="D281" s="1" t="str">
        <f ca="1">IFERROR(__xludf.DUMMYFUNCTION("""COMPUTED_VALUE"""),"RANCANG BANGUN SISTEMMONITORING DAN KONTROL TEMPERATUR MAGGOT BSF BERBASIS THERMAL CAMERA DENGAN METODEKONTROL PID")</f>
        <v>RANCANG BANGUN SISTEMMONITORING DAN KONTROL TEMPERATUR MAGGOT BSF BERBASIS THERMAL CAMERA DENGAN METODEKONTROL PID</v>
      </c>
      <c r="E281" s="1" t="str">
        <f ca="1">IFERROR(__xludf.DUMMYFUNCTION("""COMPUTED_VALUE"""),"MEILAILLATUL ROHMAH")</f>
        <v>MEILAILLATUL ROHMAH</v>
      </c>
      <c r="F281" s="1" t="str">
        <f ca="1">IFERROR(__xludf.DUMMYFUNCTION("""COMPUTED_VALUE"""),"10511810000001")</f>
        <v>10511810000001</v>
      </c>
      <c r="G281" s="1" t="str">
        <f ca="1">IFERROR(__xludf.DUMMYFUNCTION("""COMPUTED_VALUE"""),"Departemen Teknik Instrumentasi")</f>
        <v>Departemen Teknik Instrumentasi</v>
      </c>
      <c r="H281" s="1" t="str">
        <f ca="1">IFERROR(__xludf.DUMMYFUNCTION("""COMPUTED_VALUE"""),"Arief Abdurrakhman, S.T., M.T.")</f>
        <v>Arief Abdurrakhman, S.T., M.T.</v>
      </c>
      <c r="I281" s="1" t="str">
        <f ca="1">IFERROR(__xludf.DUMMYFUNCTION("""COMPUTED_VALUE"""),"GITA MARCELLA KHOIRUN NISSA")</f>
        <v>GITA MARCELLA KHOIRUN NISSA</v>
      </c>
      <c r="J281" s="1" t="str">
        <f ca="1">IFERROR(__xludf.DUMMYFUNCTION("""COMPUTED_VALUE"""),"10511810000038")</f>
        <v>10511810000038</v>
      </c>
      <c r="K281" s="1" t="str">
        <f ca="1">IFERROR(__xludf.DUMMYFUNCTION("""COMPUTED_VALUE"""),"Departemen Teknik Instrumentasi")</f>
        <v>Departemen Teknik Instrumentasi</v>
      </c>
      <c r="L281" s="1" t="str">
        <f ca="1">IFERROR(__xludf.DUMMYFUNCTION("""COMPUTED_VALUE"""),"EGIK ARDIATMAJAYA")</f>
        <v>EGIK ARDIATMAJAYA</v>
      </c>
      <c r="M281" s="1" t="str">
        <f ca="1">IFERROR(__xludf.DUMMYFUNCTION("""COMPUTED_VALUE"""),"10511810000041")</f>
        <v>10511810000041</v>
      </c>
      <c r="N281" s="1" t="str">
        <f ca="1">IFERROR(__xludf.DUMMYFUNCTION("""COMPUTED_VALUE"""),"Departemen Teknik Instrumentasi")</f>
        <v>Departemen Teknik Instrumentasi</v>
      </c>
      <c r="O281" s="1" t="str">
        <f ca="1">IFERROR(__xludf.DUMMYFUNCTION("""COMPUTED_VALUE"""),"WAHYU NUR HANDAYANI")</f>
        <v>WAHYU NUR HANDAYANI</v>
      </c>
      <c r="P281" s="1" t="str">
        <f ca="1">IFERROR(__xludf.DUMMYFUNCTION("""COMPUTED_VALUE"""),"10511810000031")</f>
        <v>10511810000031</v>
      </c>
      <c r="Q281" s="1" t="str">
        <f ca="1">IFERROR(__xludf.DUMMYFUNCTION("""COMPUTED_VALUE"""),"Departemen Teknik Instrumentasi")</f>
        <v>Departemen Teknik Instrumentasi</v>
      </c>
      <c r="R281" s="1" t="str">
        <f ca="1">IFERROR(__xludf.DUMMYFUNCTION("""COMPUTED_VALUE"""),"TRI NOVANTO PUTRO SOEHANDOKO")</f>
        <v>TRI NOVANTO PUTRO SOEHANDOKO</v>
      </c>
      <c r="S281" s="1" t="str">
        <f ca="1">IFERROR(__xludf.DUMMYFUNCTION("""COMPUTED_VALUE"""),"10511910000054")</f>
        <v>10511910000054</v>
      </c>
      <c r="T281" s="1" t="str">
        <f ca="1">IFERROR(__xludf.DUMMYFUNCTION("""COMPUTED_VALUE"""),"Departemen Teknik Instrumentasi")</f>
        <v>Departemen Teknik Instrumentasi</v>
      </c>
      <c r="U281" s="1" t="str">
        <f ca="1">IFERROR(__xludf.DUMMYFUNCTION("""COMPUTED_VALUE"""),"Mohammad Khoirul Effendi, S.T., M.Sc.Eng., Ph.D.")</f>
        <v>Mohammad Khoirul Effendi, S.T., M.Sc.Eng., Ph.D.</v>
      </c>
      <c r="V281" s="1" t="str">
        <f ca="1">IFERROR(__xludf.DUMMYFUNCTION("""COMPUTED_VALUE"""),"Dr. Dendy Satrio, S.ST.")</f>
        <v>Dr. Dendy Satrio, S.ST.</v>
      </c>
      <c r="W281" s="1"/>
      <c r="X281" s="1" t="str">
        <f ca="1">IFERROR(__xludf.DUMMYFUNCTION("""COMPUTED_VALUE"""),"Lolos")</f>
        <v>Lolos</v>
      </c>
      <c r="Y281" s="1"/>
      <c r="Z281" s="1"/>
      <c r="AA281" s="1"/>
    </row>
    <row r="282" spans="1:27">
      <c r="A282" s="1" t="s">
        <v>277</v>
      </c>
      <c r="B282" s="1">
        <f ca="1">IFERROR(__xludf.DUMMYFUNCTION("""COMPUTED_VALUE"""),2395)</f>
        <v>2395</v>
      </c>
      <c r="C282" s="1" t="str">
        <f ca="1">IFERROR(__xludf.DUMMYFUNCTION("""COMPUTED_VALUE"""),"PKM Karsa Cipta")</f>
        <v>PKM Karsa Cipta</v>
      </c>
      <c r="D282" s="1" t="str">
        <f ca="1">IFERROR(__xludf.DUMMYFUNCTION("""COMPUTED_VALUE"""),"Platform WebGIS untuk Optimalisasi Pemanfaatan EBT di Indonesia")</f>
        <v>Platform WebGIS untuk Optimalisasi Pemanfaatan EBT di Indonesia</v>
      </c>
      <c r="E282" s="1" t="str">
        <f ca="1">IFERROR(__xludf.DUMMYFUNCTION("""COMPUTED_VALUE"""),"MUHAMMAD ALVIN ALI FIKRI")</f>
        <v>MUHAMMAD ALVIN ALI FIKRI</v>
      </c>
      <c r="F282" s="1" t="str">
        <f ca="1">IFERROR(__xludf.DUMMYFUNCTION("""COMPUTED_VALUE"""),"03311940000060")</f>
        <v>03311940000060</v>
      </c>
      <c r="G282" s="1" t="str">
        <f ca="1">IFERROR(__xludf.DUMMYFUNCTION("""COMPUTED_VALUE"""),"Departemen Teknik Geomatika")</f>
        <v>Departemen Teknik Geomatika</v>
      </c>
      <c r="H282" s="1" t="str">
        <f ca="1">IFERROR(__xludf.DUMMYFUNCTION("""COMPUTED_VALUE"""),"Nurwatik, S.T., M.Sc.")</f>
        <v>Nurwatik, S.T., M.Sc.</v>
      </c>
      <c r="I282" s="1" t="str">
        <f ca="1">IFERROR(__xludf.DUMMYFUNCTION("""COMPUTED_VALUE"""),"RIZKA AMELIA DWI SAFIRA")</f>
        <v>RIZKA AMELIA DWI SAFIRA</v>
      </c>
      <c r="J282" s="1" t="str">
        <f ca="1">IFERROR(__xludf.DUMMYFUNCTION("""COMPUTED_VALUE"""),"03311940000044")</f>
        <v>03311940000044</v>
      </c>
      <c r="K282" s="1" t="str">
        <f ca="1">IFERROR(__xludf.DUMMYFUNCTION("""COMPUTED_VALUE"""),"Departemen Teknik Geomatika")</f>
        <v>Departemen Teknik Geomatika</v>
      </c>
      <c r="L282" s="1" t="str">
        <f ca="1">IFERROR(__xludf.DUMMYFUNCTION("""COMPUTED_VALUE"""),"DUWI RANI MEILINA")</f>
        <v>DUWI RANI MEILINA</v>
      </c>
      <c r="M282" s="1" t="str">
        <f ca="1">IFERROR(__xludf.DUMMYFUNCTION("""COMPUTED_VALUE"""),"5016201025")</f>
        <v>5016201025</v>
      </c>
      <c r="N282" s="1" t="str">
        <f ca="1">IFERROR(__xludf.DUMMYFUNCTION("""COMPUTED_VALUE"""),"Departemen Teknik Geomatika")</f>
        <v>Departemen Teknik Geomatika</v>
      </c>
      <c r="O282" s="1" t="str">
        <f ca="1">IFERROR(__xludf.DUMMYFUNCTION("""COMPUTED_VALUE"""),"ABDURRAHMAN FAUZAN FIRMANSYAH")</f>
        <v>ABDURRAHMAN FAUZAN FIRMANSYAH</v>
      </c>
      <c r="P282" s="1" t="str">
        <f ca="1">IFERROR(__xludf.DUMMYFUNCTION("""COMPUTED_VALUE"""),"05111940000231")</f>
        <v>05111940000231</v>
      </c>
      <c r="Q282" s="1" t="str">
        <f ca="1">IFERROR(__xludf.DUMMYFUNCTION("""COMPUTED_VALUE"""),"Departemen Teknik Informatika")</f>
        <v>Departemen Teknik Informatika</v>
      </c>
      <c r="R282" s="1"/>
      <c r="S282" s="1"/>
      <c r="T282" s="1"/>
      <c r="U282" s="1" t="str">
        <f ca="1">IFERROR(__xludf.DUMMYFUNCTION("""COMPUTED_VALUE"""),"Mohammad Khoirul Effendi, S.T., M.Sc.Eng., Ph.D.")</f>
        <v>Mohammad Khoirul Effendi, S.T., M.Sc.Eng., Ph.D.</v>
      </c>
      <c r="V282" s="1" t="str">
        <f ca="1">IFERROR(__xludf.DUMMYFUNCTION("""COMPUTED_VALUE"""),"Azzah Dyah Pramata, S.T., M.T., M.Eng., Ph.D.")</f>
        <v>Azzah Dyah Pramata, S.T., M.T., M.Eng., Ph.D.</v>
      </c>
      <c r="W282" s="1"/>
      <c r="X282" s="1" t="str">
        <f ca="1">IFERROR(__xludf.DUMMYFUNCTION("""COMPUTED_VALUE"""),"Lolos")</f>
        <v>Lolos</v>
      </c>
      <c r="Y282" s="1"/>
      <c r="Z282" s="1"/>
      <c r="AA282" s="1"/>
    </row>
    <row r="283" spans="1:27">
      <c r="A283" s="1" t="s">
        <v>278</v>
      </c>
      <c r="B283" s="1">
        <f ca="1">IFERROR(__xludf.DUMMYFUNCTION("""COMPUTED_VALUE"""),2346)</f>
        <v>2346</v>
      </c>
      <c r="C283" s="1" t="str">
        <f ca="1">IFERROR(__xludf.DUMMYFUNCTION("""COMPUTED_VALUE"""),"PKM Karsa Cipta")</f>
        <v>PKM Karsa Cipta</v>
      </c>
      <c r="D283" s="1" t="str">
        <f ca="1">IFERROR(__xludf.DUMMYFUNCTION("""COMPUTED_VALUE"""),"Remotely Operated Vehicle Untuk Inspeksi Budidaya Ikan Lepas Pantai")</f>
        <v>Remotely Operated Vehicle Untuk Inspeksi Budidaya Ikan Lepas Pantai</v>
      </c>
      <c r="E283" s="1" t="str">
        <f ca="1">IFERROR(__xludf.DUMMYFUNCTION("""COMPUTED_VALUE"""),"BAGAS ABIYU PUTRA")</f>
        <v>BAGAS ABIYU PUTRA</v>
      </c>
      <c r="F283" s="1" t="str">
        <f ca="1">IFERROR(__xludf.DUMMYFUNCTION("""COMPUTED_VALUE"""),"10311910000039")</f>
        <v>10311910000039</v>
      </c>
      <c r="G283" s="1" t="str">
        <f ca="1">IFERROR(__xludf.DUMMYFUNCTION("""COMPUTED_VALUE"""),"Departemen Teknik Elektro Otomasi")</f>
        <v>Departemen Teknik Elektro Otomasi</v>
      </c>
      <c r="H283" s="1" t="str">
        <f ca="1">IFERROR(__xludf.DUMMYFUNCTION("""COMPUTED_VALUE"""),"Rudy Dikairono, ST., M.T.")</f>
        <v>Rudy Dikairono, ST., M.T.</v>
      </c>
      <c r="I283" s="1" t="str">
        <f ca="1">IFERROR(__xludf.DUMMYFUNCTION("""COMPUTED_VALUE"""),"MOHAMMAD FADHIL RASYIDIN PARINDURI")</f>
        <v>MOHAMMAD FADHIL RASYIDIN PARINDURI</v>
      </c>
      <c r="J283" s="1" t="str">
        <f ca="1">IFERROR(__xludf.DUMMYFUNCTION("""COMPUTED_VALUE"""),"5025201131")</f>
        <v>5025201131</v>
      </c>
      <c r="K283" s="1" t="str">
        <f ca="1">IFERROR(__xludf.DUMMYFUNCTION("""COMPUTED_VALUE"""),"Departemen Teknik Informatika")</f>
        <v>Departemen Teknik Informatika</v>
      </c>
      <c r="L283" s="1" t="str">
        <f ca="1">IFERROR(__xludf.DUMMYFUNCTION("""COMPUTED_VALUE"""),"Ardhia Agustian")</f>
        <v>Ardhia Agustian</v>
      </c>
      <c r="M283" s="1" t="str">
        <f ca="1">IFERROR(__xludf.DUMMYFUNCTION("""COMPUTED_VALUE"""),"07111940000059")</f>
        <v>07111940000059</v>
      </c>
      <c r="N283" s="1" t="str">
        <f ca="1">IFERROR(__xludf.DUMMYFUNCTION("""COMPUTED_VALUE"""),"Departemen Teknik Elektro")</f>
        <v>Departemen Teknik Elektro</v>
      </c>
      <c r="O283" s="1" t="str">
        <f ca="1">IFERROR(__xludf.DUMMYFUNCTION("""COMPUTED_VALUE"""),"FARAH NABILA BUDIAYIN")</f>
        <v>FARAH NABILA BUDIAYIN</v>
      </c>
      <c r="P283" s="1" t="str">
        <f ca="1">IFERROR(__xludf.DUMMYFUNCTION("""COMPUTED_VALUE"""),"5005201029")</f>
        <v>5005201029</v>
      </c>
      <c r="Q283" s="1" t="str">
        <f ca="1">IFERROR(__xludf.DUMMYFUNCTION("""COMPUTED_VALUE"""),"Departemen Biologi")</f>
        <v>Departemen Biologi</v>
      </c>
      <c r="R283" s="1" t="str">
        <f ca="1">IFERROR(__xludf.DUMMYFUNCTION("""COMPUTED_VALUE"""),"MOHAMMAD DIMAS HILAL AKBAR")</f>
        <v>MOHAMMAD DIMAS HILAL AKBAR</v>
      </c>
      <c r="S283" s="1" t="str">
        <f ca="1">IFERROR(__xludf.DUMMYFUNCTION("""COMPUTED_VALUE"""),"2038201082")</f>
        <v>2038201082</v>
      </c>
      <c r="T283" s="1" t="str">
        <f ca="1">IFERROR(__xludf.DUMMYFUNCTION("""COMPUTED_VALUE"""),"Departemen Teknik Mesin Industri")</f>
        <v>Departemen Teknik Mesin Industri</v>
      </c>
      <c r="U283" s="1" t="str">
        <f ca="1">IFERROR(__xludf.DUMMYFUNCTION("""COMPUTED_VALUE"""),"Yudha Prasetyawan, S.T., M.Eng.")</f>
        <v>Yudha Prasetyawan, S.T., M.Eng.</v>
      </c>
      <c r="V283" s="1" t="str">
        <f ca="1">IFERROR(__xludf.DUMMYFUNCTION("""COMPUTED_VALUE"""),"Putu Gde Ariastita, S.T., M.T.")</f>
        <v>Putu Gde Ariastita, S.T., M.T.</v>
      </c>
      <c r="W283" s="1"/>
      <c r="X283" s="1" t="str">
        <f ca="1">IFERROR(__xludf.DUMMYFUNCTION("""COMPUTED_VALUE"""),"Lolos")</f>
        <v>Lolos</v>
      </c>
      <c r="Y283" s="1"/>
      <c r="Z283" s="1"/>
      <c r="AA283" s="1"/>
    </row>
    <row r="284" spans="1:27">
      <c r="A284" s="1" t="s">
        <v>279</v>
      </c>
      <c r="B284" s="1">
        <f ca="1">IFERROR(__xludf.DUMMYFUNCTION("""COMPUTED_VALUE"""),4107)</f>
        <v>4107</v>
      </c>
      <c r="C284" s="1" t="str">
        <f ca="1">IFERROR(__xludf.DUMMYFUNCTION("""COMPUTED_VALUE"""),"PKM Karsa Cipta")</f>
        <v>PKM Karsa Cipta</v>
      </c>
      <c r="D284" s="1" t="str">
        <f ca="1">IFERROR(__xludf.DUMMYFUNCTION("""COMPUTED_VALUE"""),"Rancang bangun Virtual Lab :(SIPENING) Simulator Pengukuran dan Warning System Berbasis Suara dan Getaran dengan Antar Muka Web")</f>
        <v>Rancang bangun Virtual Lab :(SIPENING) Simulator Pengukuran dan Warning System Berbasis Suara dan Getaran dengan Antar Muka Web</v>
      </c>
      <c r="E284" s="1" t="str">
        <f ca="1">IFERROR(__xludf.DUMMYFUNCTION("""COMPUTED_VALUE"""),"RACHMAD SULISTYO ADI")</f>
        <v>RACHMAD SULISTYO ADI</v>
      </c>
      <c r="F284" s="1" t="str">
        <f ca="1">IFERROR(__xludf.DUMMYFUNCTION("""COMPUTED_VALUE"""),"10511810000009")</f>
        <v>10511810000009</v>
      </c>
      <c r="G284" s="1" t="str">
        <f ca="1">IFERROR(__xludf.DUMMYFUNCTION("""COMPUTED_VALUE"""),"Departemen Teknik Instrumentasi")</f>
        <v>Departemen Teknik Instrumentasi</v>
      </c>
      <c r="H284" s="1" t="str">
        <f ca="1">IFERROR(__xludf.DUMMYFUNCTION("""COMPUTED_VALUE"""),"Ahmad Fauzan Adziimaa, S.T., M.Sc.")</f>
        <v>Ahmad Fauzan Adziimaa, S.T., M.Sc.</v>
      </c>
      <c r="I284" s="1" t="str">
        <f ca="1">IFERROR(__xludf.DUMMYFUNCTION("""COMPUTED_VALUE"""),"Muh Rafie Syabani")</f>
        <v>Muh Rafie Syabani</v>
      </c>
      <c r="J284" s="1" t="str">
        <f ca="1">IFERROR(__xludf.DUMMYFUNCTION("""COMPUTED_VALUE"""),"2042211033")</f>
        <v>2042211033</v>
      </c>
      <c r="K284" s="1" t="str">
        <f ca="1">IFERROR(__xludf.DUMMYFUNCTION("""COMPUTED_VALUE"""),"Departemen Teknik Instrumentasi")</f>
        <v>Departemen Teknik Instrumentasi</v>
      </c>
      <c r="L284" s="1" t="str">
        <f ca="1">IFERROR(__xludf.DUMMYFUNCTION("""COMPUTED_VALUE"""),"Pramuditya A.S.F")</f>
        <v>Pramuditya A.S.F</v>
      </c>
      <c r="M284" s="1" t="str">
        <f ca="1">IFERROR(__xludf.DUMMYFUNCTION("""COMPUTED_VALUE"""),"2042211057")</f>
        <v>2042211057</v>
      </c>
      <c r="N284" s="1" t="str">
        <f ca="1">IFERROR(__xludf.DUMMYFUNCTION("""COMPUTED_VALUE"""),"Departemen Teknik Instrumentasi")</f>
        <v>Departemen Teknik Instrumentasi</v>
      </c>
      <c r="O284" s="1" t="str">
        <f ca="1">IFERROR(__xludf.DUMMYFUNCTION("""COMPUTED_VALUE"""),"Yasmin Nur Shabrina")</f>
        <v>Yasmin Nur Shabrina</v>
      </c>
      <c r="P284" s="1" t="str">
        <f ca="1">IFERROR(__xludf.DUMMYFUNCTION("""COMPUTED_VALUE"""),"2042211044")</f>
        <v>2042211044</v>
      </c>
      <c r="Q284" s="1" t="str">
        <f ca="1">IFERROR(__xludf.DUMMYFUNCTION("""COMPUTED_VALUE"""),"Departemen Teknik Instrumentasi")</f>
        <v>Departemen Teknik Instrumentasi</v>
      </c>
      <c r="R284" s="1" t="str">
        <f ca="1">IFERROR(__xludf.DUMMYFUNCTION("""COMPUTED_VALUE"""),"NABILLA SUKMA RAGANI")</f>
        <v>NABILLA SUKMA RAGANI</v>
      </c>
      <c r="S284" s="1" t="str">
        <f ca="1">IFERROR(__xludf.DUMMYFUNCTION("""COMPUTED_VALUE"""),"2042211082")</f>
        <v>2042211082</v>
      </c>
      <c r="T284" s="1" t="str">
        <f ca="1">IFERROR(__xludf.DUMMYFUNCTION("""COMPUTED_VALUE"""),"Departemen Teknik Instrumentasi")</f>
        <v>Departemen Teknik Instrumentasi</v>
      </c>
      <c r="U284" s="1" t="str">
        <f ca="1">IFERROR(__xludf.DUMMYFUNCTION("""COMPUTED_VALUE"""),"Yudha Prasetyawan, S.T., M.Eng.")</f>
        <v>Yudha Prasetyawan, S.T., M.Eng.</v>
      </c>
      <c r="V284" s="1" t="str">
        <f ca="1">IFERROR(__xludf.DUMMYFUNCTION("""COMPUTED_VALUE"""),"Detak Yan Pratama, S.T., M.Sc.")</f>
        <v>Detak Yan Pratama, S.T., M.Sc.</v>
      </c>
      <c r="W284" s="1"/>
      <c r="X284" s="1" t="str">
        <f ca="1">IFERROR(__xludf.DUMMYFUNCTION("""COMPUTED_VALUE"""),"Lolos")</f>
        <v>Lolos</v>
      </c>
      <c r="Y284" s="1"/>
      <c r="Z284" s="1"/>
      <c r="AA284" s="1"/>
    </row>
    <row r="285" spans="1:27">
      <c r="A285" s="1" t="s">
        <v>280</v>
      </c>
      <c r="B285" s="1">
        <f ca="1">IFERROR(__xludf.DUMMYFUNCTION("""COMPUTED_VALUE"""),4092)</f>
        <v>4092</v>
      </c>
      <c r="C285" s="1" t="str">
        <f ca="1">IFERROR(__xludf.DUMMYFUNCTION("""COMPUTED_VALUE"""),"PKM Karsa Cipta")</f>
        <v>PKM Karsa Cipta</v>
      </c>
      <c r="D285" s="1" t="str">
        <f ca="1">IFERROR(__xludf.DUMMYFUNCTION("""COMPUTED_VALUE"""),"Penerangan jembatan dari Energi Getaran dan Solar Cell")</f>
        <v>Penerangan jembatan dari Energi Getaran dan Solar Cell</v>
      </c>
      <c r="E285" s="1" t="str">
        <f ca="1">IFERROR(__xludf.DUMMYFUNCTION("""COMPUTED_VALUE"""),"DHAFIN ZHARFAN")</f>
        <v>DHAFIN ZHARFAN</v>
      </c>
      <c r="F285" s="1" t="str">
        <f ca="1">IFERROR(__xludf.DUMMYFUNCTION("""COMPUTED_VALUE"""),"5012201075")</f>
        <v>5012201075</v>
      </c>
      <c r="G285" s="1" t="str">
        <f ca="1">IFERROR(__xludf.DUMMYFUNCTION("""COMPUTED_VALUE"""),"Departemen Teknik Sipil")</f>
        <v>Departemen Teknik Sipil</v>
      </c>
      <c r="H285" s="1" t="str">
        <f ca="1">IFERROR(__xludf.DUMMYFUNCTION("""COMPUTED_VALUE"""),"Ir. Faimun, M.Sc.,Ph.D")</f>
        <v>Ir. Faimun, M.Sc.,Ph.D</v>
      </c>
      <c r="I285" s="1" t="str">
        <f ca="1">IFERROR(__xludf.DUMMYFUNCTION("""COMPUTED_VALUE"""),"MUHAMMAD RAIHAN FAHROZI")</f>
        <v>MUHAMMAD RAIHAN FAHROZI</v>
      </c>
      <c r="J285" s="1" t="str">
        <f ca="1">IFERROR(__xludf.DUMMYFUNCTION("""COMPUTED_VALUE"""),"5012201078")</f>
        <v>5012201078</v>
      </c>
      <c r="K285" s="1" t="str">
        <f ca="1">IFERROR(__xludf.DUMMYFUNCTION("""COMPUTED_VALUE"""),"Departemen Teknik Sipil")</f>
        <v>Departemen Teknik Sipil</v>
      </c>
      <c r="L285" s="1" t="str">
        <f ca="1">IFERROR(__xludf.DUMMYFUNCTION("""COMPUTED_VALUE"""),"FAUZALDI DASMAN")</f>
        <v>FAUZALDI DASMAN</v>
      </c>
      <c r="M285" s="1" t="str">
        <f ca="1">IFERROR(__xludf.DUMMYFUNCTION("""COMPUTED_VALUE"""),"5012201074")</f>
        <v>5012201074</v>
      </c>
      <c r="N285" s="1" t="str">
        <f ca="1">IFERROR(__xludf.DUMMYFUNCTION("""COMPUTED_VALUE"""),"Departemen Teknik Sipil")</f>
        <v>Departemen Teknik Sipil</v>
      </c>
      <c r="O285" s="1" t="str">
        <f ca="1">IFERROR(__xludf.DUMMYFUNCTION("""COMPUTED_VALUE"""),"NADIRA SALSABILA")</f>
        <v>NADIRA SALSABILA</v>
      </c>
      <c r="P285" s="1" t="str">
        <f ca="1">IFERROR(__xludf.DUMMYFUNCTION("""COMPUTED_VALUE"""),"5007201119")</f>
        <v>5007201119</v>
      </c>
      <c r="Q285" s="1" t="str">
        <f ca="1">IFERROR(__xludf.DUMMYFUNCTION("""COMPUTED_VALUE"""),"Departemen Teknik Mesin")</f>
        <v>Departemen Teknik Mesin</v>
      </c>
      <c r="R285" s="1" t="str">
        <f ca="1">IFERROR(__xludf.DUMMYFUNCTION("""COMPUTED_VALUE"""),"SANDRINA BINTANG NATALIA")</f>
        <v>SANDRINA BINTANG NATALIA</v>
      </c>
      <c r="S285" s="1" t="str">
        <f ca="1">IFERROR(__xludf.DUMMYFUNCTION("""COMPUTED_VALUE"""),"5007201077")</f>
        <v>5007201077</v>
      </c>
      <c r="T285" s="1" t="str">
        <f ca="1">IFERROR(__xludf.DUMMYFUNCTION("""COMPUTED_VALUE"""),"Departemen Teknik Mesin")</f>
        <v>Departemen Teknik Mesin</v>
      </c>
      <c r="U285" s="1" t="str">
        <f ca="1">IFERROR(__xludf.DUMMYFUNCTION("""COMPUTED_VALUE"""),"Dr. Dhany Arifianto, S.T., M.Eng.")</f>
        <v>Dr. Dhany Arifianto, S.T., M.Eng.</v>
      </c>
      <c r="V285" s="1" t="str">
        <f ca="1">IFERROR(__xludf.DUMMYFUNCTION("""COMPUTED_VALUE"""),"Detak Yan Pratama, S.T., M.Sc.")</f>
        <v>Detak Yan Pratama, S.T., M.Sc.</v>
      </c>
      <c r="W285" s="1"/>
      <c r="X285" s="1" t="str">
        <f ca="1">IFERROR(__xludf.DUMMYFUNCTION("""COMPUTED_VALUE"""),"Lolos")</f>
        <v>Lolos</v>
      </c>
      <c r="Y285" s="1"/>
      <c r="Z285" s="1"/>
      <c r="AA285" s="1"/>
    </row>
    <row r="286" spans="1:27">
      <c r="A286" s="1" t="s">
        <v>281</v>
      </c>
      <c r="B286" s="1">
        <f ca="1">IFERROR(__xludf.DUMMYFUNCTION("""COMPUTED_VALUE"""),3769)</f>
        <v>3769</v>
      </c>
      <c r="C286" s="1" t="str">
        <f ca="1">IFERROR(__xludf.DUMMYFUNCTION("""COMPUTED_VALUE"""),"PKM Karsa Cipta")</f>
        <v>PKM Karsa Cipta</v>
      </c>
      <c r="D286" s="1" t="str">
        <f ca="1">IFERROR(__xludf.DUMMYFUNCTION("""COMPUTED_VALUE"""),"Pembuatan Jaring ikan biodegredable berbasis pati (starch)")</f>
        <v>Pembuatan Jaring ikan biodegredable berbasis pati (starch)</v>
      </c>
      <c r="E286" s="1" t="str">
        <f ca="1">IFERROR(__xludf.DUMMYFUNCTION("""COMPUTED_VALUE"""),"AFRIZAL ROZI AFANDY")</f>
        <v>AFRIZAL ROZI AFANDY</v>
      </c>
      <c r="F286" s="1" t="str">
        <f ca="1">IFERROR(__xludf.DUMMYFUNCTION("""COMPUTED_VALUE"""),"10411810000059")</f>
        <v>10411810000059</v>
      </c>
      <c r="G286" s="1" t="str">
        <f ca="1">IFERROR(__xludf.DUMMYFUNCTION("""COMPUTED_VALUE"""),"Departemen Teknik Kimia Industri")</f>
        <v>Departemen Teknik Kimia Industri</v>
      </c>
      <c r="H286" s="1" t="str">
        <f ca="1">IFERROR(__xludf.DUMMYFUNCTION("""COMPUTED_VALUE"""),"Warlinda Eka Triastuti, S.Si., M.T.")</f>
        <v>Warlinda Eka Triastuti, S.Si., M.T.</v>
      </c>
      <c r="I286" s="1" t="str">
        <f ca="1">IFERROR(__xludf.DUMMYFUNCTION("""COMPUTED_VALUE"""),"UKA NAWANTI ISLAMIYAH")</f>
        <v>UKA NAWANTI ISLAMIYAH</v>
      </c>
      <c r="J286" s="1" t="str">
        <f ca="1">IFERROR(__xludf.DUMMYFUNCTION("""COMPUTED_VALUE"""),"10411810000041")</f>
        <v>10411810000041</v>
      </c>
      <c r="K286" s="1" t="str">
        <f ca="1">IFERROR(__xludf.DUMMYFUNCTION("""COMPUTED_VALUE"""),"Departemen Teknik Kimia Industri")</f>
        <v>Departemen Teknik Kimia Industri</v>
      </c>
      <c r="L286" s="1" t="str">
        <f ca="1">IFERROR(__xludf.DUMMYFUNCTION("""COMPUTED_VALUE"""),"TISNULIAH MUYASSAROH ")</f>
        <v xml:space="preserve">TISNULIAH MUYASSAROH </v>
      </c>
      <c r="M286" s="1" t="str">
        <f ca="1">IFERROR(__xludf.DUMMYFUNCTION("""COMPUTED_VALUE"""),"10411910000061")</f>
        <v>10411910000061</v>
      </c>
      <c r="N286" s="1" t="str">
        <f ca="1">IFERROR(__xludf.DUMMYFUNCTION("""COMPUTED_VALUE"""),"Departemen Teknik Kimia Industri")</f>
        <v>Departemen Teknik Kimia Industri</v>
      </c>
      <c r="O286" s="1" t="str">
        <f ca="1">IFERROR(__xludf.DUMMYFUNCTION("""COMPUTED_VALUE"""),"SUARDHANA BAWAFI")</f>
        <v>SUARDHANA BAWAFI</v>
      </c>
      <c r="P286" s="1" t="str">
        <f ca="1">IFERROR(__xludf.DUMMYFUNCTION("""COMPUTED_VALUE"""),"10411910000001")</f>
        <v>10411910000001</v>
      </c>
      <c r="Q286" s="1" t="str">
        <f ca="1">IFERROR(__xludf.DUMMYFUNCTION("""COMPUTED_VALUE"""),"Departemen Teknik Kimia Industri")</f>
        <v>Departemen Teknik Kimia Industri</v>
      </c>
      <c r="R286" s="1" t="str">
        <f ca="1">IFERROR(__xludf.DUMMYFUNCTION("""COMPUTED_VALUE"""),"ANDI SETYO BEKTI")</f>
        <v>ANDI SETYO BEKTI</v>
      </c>
      <c r="S286" s="1" t="str">
        <f ca="1">IFERROR(__xludf.DUMMYFUNCTION("""COMPUTED_VALUE"""),"2041201015")</f>
        <v>2041201015</v>
      </c>
      <c r="T286" s="1" t="str">
        <f ca="1">IFERROR(__xludf.DUMMYFUNCTION("""COMPUTED_VALUE"""),"Departemen Teknik Kimia Industri")</f>
        <v>Departemen Teknik Kimia Industri</v>
      </c>
      <c r="U286" s="1" t="str">
        <f ca="1">IFERROR(__xludf.DUMMYFUNCTION("""COMPUTED_VALUE"""),"Mohammad Khoirul Effendi, S.T., M.Sc.Eng., Ph.D.")</f>
        <v>Mohammad Khoirul Effendi, S.T., M.Sc.Eng., Ph.D.</v>
      </c>
      <c r="V286" s="1" t="str">
        <f ca="1">IFERROR(__xludf.DUMMYFUNCTION("""COMPUTED_VALUE"""),"Azzah Dyah Pramata, S.T., M.T., M.Eng., Ph.D.")</f>
        <v>Azzah Dyah Pramata, S.T., M.T., M.Eng., Ph.D.</v>
      </c>
      <c r="W286" s="1"/>
      <c r="X286" s="1" t="str">
        <f ca="1">IFERROR(__xludf.DUMMYFUNCTION("""COMPUTED_VALUE"""),"Lolos")</f>
        <v>Lolos</v>
      </c>
      <c r="Y286" s="1"/>
      <c r="Z286" s="1"/>
      <c r="AA286" s="1"/>
    </row>
    <row r="287" spans="1:27">
      <c r="A287" s="1" t="s">
        <v>282</v>
      </c>
      <c r="B287" s="1">
        <f ca="1">IFERROR(__xludf.DUMMYFUNCTION("""COMPUTED_VALUE"""),3385)</f>
        <v>3385</v>
      </c>
      <c r="C287" s="1" t="str">
        <f ca="1">IFERROR(__xludf.DUMMYFUNCTION("""COMPUTED_VALUE"""),"PKM Karsa Cipta")</f>
        <v>PKM Karsa Cipta</v>
      </c>
      <c r="D287" s="1" t="str">
        <f ca="1">IFERROR(__xludf.DUMMYFUNCTION("""COMPUTED_VALUE"""),"IoT-Integrated Waste Gathering Aquadrone (ITERATION)")</f>
        <v>IoT-Integrated Waste Gathering Aquadrone (ITERATION)</v>
      </c>
      <c r="E287" s="1" t="str">
        <f ca="1">IFERROR(__xludf.DUMMYFUNCTION("""COMPUTED_VALUE"""),"INGGITA NIRMALA PUTRI WARDHANA")</f>
        <v>INGGITA NIRMALA PUTRI WARDHANA</v>
      </c>
      <c r="F287" s="1" t="str">
        <f ca="1">IFERROR(__xludf.DUMMYFUNCTION("""COMPUTED_VALUE"""),"5010201010")</f>
        <v>5010201010</v>
      </c>
      <c r="G287" s="1" t="str">
        <f ca="1">IFERROR(__xludf.DUMMYFUNCTION("""COMPUTED_VALUE"""),"Departemen Teknik Sistem dan Industri")</f>
        <v>Departemen Teknik Sistem dan Industri</v>
      </c>
      <c r="H287" s="1" t="str">
        <f ca="1">IFERROR(__xludf.DUMMYFUNCTION("""COMPUTED_VALUE"""),"Rindi Kusumawardani, S.Si., M.Sc.")</f>
        <v>Rindi Kusumawardani, S.Si., M.Sc.</v>
      </c>
      <c r="I287" s="1" t="str">
        <f ca="1">IFERROR(__xludf.DUMMYFUNCTION("""COMPUTED_VALUE"""),"INASTIKA NABILAH")</f>
        <v>INASTIKA NABILAH</v>
      </c>
      <c r="J287" s="1" t="str">
        <f ca="1">IFERROR(__xludf.DUMMYFUNCTION("""COMPUTED_VALUE"""),"5010201158")</f>
        <v>5010201158</v>
      </c>
      <c r="K287" s="1" t="str">
        <f ca="1">IFERROR(__xludf.DUMMYFUNCTION("""COMPUTED_VALUE"""),"Departemen Teknik Sistem dan Industri")</f>
        <v>Departemen Teknik Sistem dan Industri</v>
      </c>
      <c r="L287" s="1" t="str">
        <f ca="1">IFERROR(__xludf.DUMMYFUNCTION("""COMPUTED_VALUE"""),"INDRA MAULANA MAHENDRA")</f>
        <v>INDRA MAULANA MAHENDRA</v>
      </c>
      <c r="M287" s="1" t="str">
        <f ca="1">IFERROR(__xludf.DUMMYFUNCTION("""COMPUTED_VALUE"""),"5010201059")</f>
        <v>5010201059</v>
      </c>
      <c r="N287" s="1" t="str">
        <f ca="1">IFERROR(__xludf.DUMMYFUNCTION("""COMPUTED_VALUE"""),"Departemen Teknik Sistem dan Industri")</f>
        <v>Departemen Teknik Sistem dan Industri</v>
      </c>
      <c r="O287" s="1" t="str">
        <f ca="1">IFERROR(__xludf.DUMMYFUNCTION("""COMPUTED_VALUE"""),"INGGRID H")</f>
        <v>INGGRID H</v>
      </c>
      <c r="P287" s="1" t="str">
        <f ca="1">IFERROR(__xludf.DUMMYFUNCTION("""COMPUTED_VALUE"""),"5010211039")</f>
        <v>5010211039</v>
      </c>
      <c r="Q287" s="1" t="str">
        <f ca="1">IFERROR(__xludf.DUMMYFUNCTION("""COMPUTED_VALUE"""),"Departemen Teknik Sistem dan Industri")</f>
        <v>Departemen Teknik Sistem dan Industri</v>
      </c>
      <c r="R287" s="1" t="str">
        <f ca="1">IFERROR(__xludf.DUMMYFUNCTION("""COMPUTED_VALUE"""),"Rizki Puspitasari")</f>
        <v>Rizki Puspitasari</v>
      </c>
      <c r="S287" s="1" t="str">
        <f ca="1">IFERROR(__xludf.DUMMYFUNCTION("""COMPUTED_VALUE"""),"5010211008")</f>
        <v>5010211008</v>
      </c>
      <c r="T287" s="1" t="str">
        <f ca="1">IFERROR(__xludf.DUMMYFUNCTION("""COMPUTED_VALUE"""),"Departemen Teknik Sistem dan Industri")</f>
        <v>Departemen Teknik Sistem dan Industri</v>
      </c>
      <c r="U287" s="1" t="str">
        <f ca="1">IFERROR(__xludf.DUMMYFUNCTION("""COMPUTED_VALUE"""),"Sefi Novendra Patrialova, S.Si., M.T")</f>
        <v>Sefi Novendra Patrialova, S.Si., M.T</v>
      </c>
      <c r="V287" s="1" t="str">
        <f ca="1">IFERROR(__xludf.DUMMYFUNCTION("""COMPUTED_VALUE"""),"Indra Ranu Kusuma, S.T., M.Sc.")</f>
        <v>Indra Ranu Kusuma, S.T., M.Sc.</v>
      </c>
      <c r="W287" s="1"/>
      <c r="X287" s="1" t="str">
        <f ca="1">IFERROR(__xludf.DUMMYFUNCTION("""COMPUTED_VALUE"""),"Lolos")</f>
        <v>Lolos</v>
      </c>
      <c r="Y287" s="1"/>
      <c r="Z287" s="1"/>
      <c r="AA287" s="1"/>
    </row>
    <row r="288" spans="1:27">
      <c r="A288" s="1" t="s">
        <v>283</v>
      </c>
      <c r="B288" s="1">
        <f ca="1">IFERROR(__xludf.DUMMYFUNCTION("""COMPUTED_VALUE"""),2872)</f>
        <v>2872</v>
      </c>
      <c r="C288" s="1" t="str">
        <f ca="1">IFERROR(__xludf.DUMMYFUNCTION("""COMPUTED_VALUE"""),"PKM Karsa Cipta")</f>
        <v>PKM Karsa Cipta</v>
      </c>
      <c r="D288" s="1" t="str">
        <f ca="1">IFERROR(__xludf.DUMMYFUNCTION("""COMPUTED_VALUE"""),"Inovasi Pemanen Energi Listrik Portabel Berbasis Hybrid System Savonius Wind Turbine dan Solar Panel Sebagai Solusi Listrik di Gili Raja")</f>
        <v>Inovasi Pemanen Energi Listrik Portabel Berbasis Hybrid System Savonius Wind Turbine dan Solar Panel Sebagai Solusi Listrik di Gili Raja</v>
      </c>
      <c r="E288" s="1" t="str">
        <f ca="1">IFERROR(__xludf.DUMMYFUNCTION("""COMPUTED_VALUE"""),"DAULIKA SARASVATI")</f>
        <v>DAULIKA SARASVATI</v>
      </c>
      <c r="F288" s="1" t="str">
        <f ca="1">IFERROR(__xludf.DUMMYFUNCTION("""COMPUTED_VALUE"""),"5007201001")</f>
        <v>5007201001</v>
      </c>
      <c r="G288" s="1" t="str">
        <f ca="1">IFERROR(__xludf.DUMMYFUNCTION("""COMPUTED_VALUE"""),"Departemen Teknik Mesin")</f>
        <v>Departemen Teknik Mesin</v>
      </c>
      <c r="H288" s="1" t="str">
        <f ca="1">IFERROR(__xludf.DUMMYFUNCTION("""COMPUTED_VALUE"""),"Prof. Dr. Ir. Tri Yogi Yuwono, DEA.")</f>
        <v>Prof. Dr. Ir. Tri Yogi Yuwono, DEA.</v>
      </c>
      <c r="I288" s="1" t="str">
        <f ca="1">IFERROR(__xludf.DUMMYFUNCTION("""COMPUTED_VALUE"""),"ALDI SEPTIANTO NUGROHO")</f>
        <v>ALDI SEPTIANTO NUGROHO</v>
      </c>
      <c r="J288" s="1" t="str">
        <f ca="1">IFERROR(__xludf.DUMMYFUNCTION("""COMPUTED_VALUE"""),"5007201016")</f>
        <v>5007201016</v>
      </c>
      <c r="K288" s="1" t="str">
        <f ca="1">IFERROR(__xludf.DUMMYFUNCTION("""COMPUTED_VALUE"""),"Departemen Teknik Mesin")</f>
        <v>Departemen Teknik Mesin</v>
      </c>
      <c r="L288" s="1" t="str">
        <f ca="1">IFERROR(__xludf.DUMMYFUNCTION("""COMPUTED_VALUE"""),"TSANI PUTRI SHAFA SALSABILA")</f>
        <v>TSANI PUTRI SHAFA SALSABILA</v>
      </c>
      <c r="M288" s="1" t="str">
        <f ca="1">IFERROR(__xludf.DUMMYFUNCTION("""COMPUTED_VALUE"""),"5007201017")</f>
        <v>5007201017</v>
      </c>
      <c r="N288" s="1" t="str">
        <f ca="1">IFERROR(__xludf.DUMMYFUNCTION("""COMPUTED_VALUE"""),"Departemen Teknik Mesin")</f>
        <v>Departemen Teknik Mesin</v>
      </c>
      <c r="O288" s="1" t="str">
        <f ca="1">IFERROR(__xludf.DUMMYFUNCTION("""COMPUTED_VALUE"""),"HABIB ALI MUCHSIN FAIDZIN")</f>
        <v>HABIB ALI MUCHSIN FAIDZIN</v>
      </c>
      <c r="P288" s="1" t="str">
        <f ca="1">IFERROR(__xludf.DUMMYFUNCTION("""COMPUTED_VALUE"""),"5007201029")</f>
        <v>5007201029</v>
      </c>
      <c r="Q288" s="1" t="str">
        <f ca="1">IFERROR(__xludf.DUMMYFUNCTION("""COMPUTED_VALUE"""),"Departemen Teknik Mesin")</f>
        <v>Departemen Teknik Mesin</v>
      </c>
      <c r="R288" s="1"/>
      <c r="S288" s="1"/>
      <c r="T288" s="1"/>
      <c r="U288" s="1" t="str">
        <f ca="1">IFERROR(__xludf.DUMMYFUNCTION("""COMPUTED_VALUE"""),"Ir. Josaphat Pramudijanto, M.Eng.")</f>
        <v>Ir. Josaphat Pramudijanto, M.Eng.</v>
      </c>
      <c r="V288" s="1" t="str">
        <f ca="1">IFERROR(__xludf.DUMMYFUNCTION("""COMPUTED_VALUE"""),"Dr. Suyatno, S.Si., M.Si.")</f>
        <v>Dr. Suyatno, S.Si., M.Si.</v>
      </c>
      <c r="W288" s="1"/>
      <c r="X288" s="1" t="str">
        <f ca="1">IFERROR(__xludf.DUMMYFUNCTION("""COMPUTED_VALUE"""),"Lolos")</f>
        <v>Lolos</v>
      </c>
      <c r="Y288" s="1"/>
      <c r="Z288" s="1"/>
      <c r="AA288" s="1"/>
    </row>
    <row r="289" spans="1:27">
      <c r="A289" s="1" t="s">
        <v>284</v>
      </c>
      <c r="B289" s="1">
        <f ca="1">IFERROR(__xludf.DUMMYFUNCTION("""COMPUTED_VALUE"""),2382)</f>
        <v>2382</v>
      </c>
      <c r="C289" s="1" t="str">
        <f ca="1">IFERROR(__xludf.DUMMYFUNCTION("""COMPUTED_VALUE"""),"PKM Karsa Cipta")</f>
        <v>PKM Karsa Cipta</v>
      </c>
      <c r="D289" s="1" t="str">
        <f ca="1">IFERROR(__xludf.DUMMYFUNCTION("""COMPUTED_VALUE"""),"SISTEM KONTROL DAN MONITORING INTENSITAS CAHAYA DALAM PHOTOSYNTHETICALLY ACTIVE RADIATION PADA SMART FARMING BERBASIS IOT GUNA MEMBANTU PERTUMBUHAN TANAMAN")</f>
        <v>SISTEM KONTROL DAN MONITORING INTENSITAS CAHAYA DALAM PHOTOSYNTHETICALLY ACTIVE RADIATION PADA SMART FARMING BERBASIS IOT GUNA MEMBANTU PERTUMBUHAN TANAMAN</v>
      </c>
      <c r="E289" s="1" t="str">
        <f ca="1">IFERROR(__xludf.DUMMYFUNCTION("""COMPUTED_VALUE"""),"GITA MARCELLA KHOIRUN NISSA")</f>
        <v>GITA MARCELLA KHOIRUN NISSA</v>
      </c>
      <c r="F289" s="1" t="str">
        <f ca="1">IFERROR(__xludf.DUMMYFUNCTION("""COMPUTED_VALUE"""),"10511810000038")</f>
        <v>10511810000038</v>
      </c>
      <c r="G289" s="1" t="str">
        <f ca="1">IFERROR(__xludf.DUMMYFUNCTION("""COMPUTED_VALUE"""),"Departemen Teknik Instrumentasi")</f>
        <v>Departemen Teknik Instrumentasi</v>
      </c>
      <c r="H289" s="1" t="str">
        <f ca="1">IFERROR(__xludf.DUMMYFUNCTION("""COMPUTED_VALUE"""),"Sefi Novendra Patrialova, S.Si., M.T")</f>
        <v>Sefi Novendra Patrialova, S.Si., M.T</v>
      </c>
      <c r="I289" s="1" t="str">
        <f ca="1">IFERROR(__xludf.DUMMYFUNCTION("""COMPUTED_VALUE"""),"DION PRATAMA DANENDRA")</f>
        <v>DION PRATAMA DANENDRA</v>
      </c>
      <c r="J289" s="1" t="str">
        <f ca="1">IFERROR(__xludf.DUMMYFUNCTION("""COMPUTED_VALUE"""),"10511910000065")</f>
        <v>10511910000065</v>
      </c>
      <c r="K289" s="1" t="str">
        <f ca="1">IFERROR(__xludf.DUMMYFUNCTION("""COMPUTED_VALUE"""),"Departemen Teknik Instrumentasi")</f>
        <v>Departemen Teknik Instrumentasi</v>
      </c>
      <c r="L289" s="1" t="str">
        <f ca="1">IFERROR(__xludf.DUMMYFUNCTION("""COMPUTED_VALUE"""),"MOCHAMMAD NIZAR")</f>
        <v>MOCHAMMAD NIZAR</v>
      </c>
      <c r="M289" s="1" t="str">
        <f ca="1">IFERROR(__xludf.DUMMYFUNCTION("""COMPUTED_VALUE"""),"10511910000061")</f>
        <v>10511910000061</v>
      </c>
      <c r="N289" s="1" t="str">
        <f ca="1">IFERROR(__xludf.DUMMYFUNCTION("""COMPUTED_VALUE"""),"Departemen Teknik Instrumentasi")</f>
        <v>Departemen Teknik Instrumentasi</v>
      </c>
      <c r="O289" s="1" t="str">
        <f ca="1">IFERROR(__xludf.DUMMYFUNCTION("""COMPUTED_VALUE"""),"MOCH FIKRI ROMADHON")</f>
        <v>MOCH FIKRI ROMADHON</v>
      </c>
      <c r="P289" s="1" t="str">
        <f ca="1">IFERROR(__xludf.DUMMYFUNCTION("""COMPUTED_VALUE"""),"10511910000005")</f>
        <v>10511910000005</v>
      </c>
      <c r="Q289" s="1" t="str">
        <f ca="1">IFERROR(__xludf.DUMMYFUNCTION("""COMPUTED_VALUE"""),"Departemen Teknik Instrumentasi")</f>
        <v>Departemen Teknik Instrumentasi</v>
      </c>
      <c r="R289" s="1" t="str">
        <f ca="1">IFERROR(__xludf.DUMMYFUNCTION("""COMPUTED_VALUE"""),"KRIS SAMUDRA")</f>
        <v>KRIS SAMUDRA</v>
      </c>
      <c r="S289" s="1" t="str">
        <f ca="1">IFERROR(__xludf.DUMMYFUNCTION("""COMPUTED_VALUE"""),"2042201111")</f>
        <v>2042201111</v>
      </c>
      <c r="T289" s="1" t="str">
        <f ca="1">IFERROR(__xludf.DUMMYFUNCTION("""COMPUTED_VALUE"""),"Departemen Teknik Instrumentasi")</f>
        <v>Departemen Teknik Instrumentasi</v>
      </c>
      <c r="U289" s="1" t="str">
        <f ca="1">IFERROR(__xludf.DUMMYFUNCTION("""COMPUTED_VALUE"""),"Yudha Prasetyawan, S.T., M.Eng.")</f>
        <v>Yudha Prasetyawan, S.T., M.Eng.</v>
      </c>
      <c r="V289" s="1" t="str">
        <f ca="1">IFERROR(__xludf.DUMMYFUNCTION("""COMPUTED_VALUE"""),"Putu Gde Ariastita, S.T., M.T.")</f>
        <v>Putu Gde Ariastita, S.T., M.T.</v>
      </c>
      <c r="W289" s="1"/>
      <c r="X289" s="1" t="str">
        <f ca="1">IFERROR(__xludf.DUMMYFUNCTION("""COMPUTED_VALUE"""),"Lolos")</f>
        <v>Lolos</v>
      </c>
      <c r="Y289" s="1"/>
      <c r="Z289" s="1"/>
      <c r="AA289" s="1"/>
    </row>
    <row r="290" spans="1:27">
      <c r="A290" s="1" t="s">
        <v>285</v>
      </c>
      <c r="B290" s="1">
        <f ca="1">IFERROR(__xludf.DUMMYFUNCTION("""COMPUTED_VALUE"""),3124)</f>
        <v>3124</v>
      </c>
      <c r="C290" s="1" t="str">
        <f ca="1">IFERROR(__xludf.DUMMYFUNCTION("""COMPUTED_VALUE"""),"PKM Karsa Cipta")</f>
        <v>PKM Karsa Cipta</v>
      </c>
      <c r="D290" s="1" t="str">
        <f ca="1">IFERROR(__xludf.DUMMYFUNCTION("""COMPUTED_VALUE"""),"Robot Penyelamat Pemadam Kebakaran Tanpa Air sebagai Solusi Penyelamatan Cepat di Pemukiman Padat Penduduk")</f>
        <v>Robot Penyelamat Pemadam Kebakaran Tanpa Air sebagai Solusi Penyelamatan Cepat di Pemukiman Padat Penduduk</v>
      </c>
      <c r="E290" s="1" t="str">
        <f ca="1">IFERROR(__xludf.DUMMYFUNCTION("""COMPUTED_VALUE"""),"PRAYOGO BUDIMAN")</f>
        <v>PRAYOGO BUDIMAN</v>
      </c>
      <c r="F290" s="1" t="str">
        <f ca="1">IFERROR(__xludf.DUMMYFUNCTION("""COMPUTED_VALUE"""),"10511910000035")</f>
        <v>10511910000035</v>
      </c>
      <c r="G290" s="1" t="str">
        <f ca="1">IFERROR(__xludf.DUMMYFUNCTION("""COMPUTED_VALUE"""),"Departemen Teknik Instrumentasi")</f>
        <v>Departemen Teknik Instrumentasi</v>
      </c>
      <c r="H290" s="1" t="str">
        <f ca="1">IFERROR(__xludf.DUMMYFUNCTION("""COMPUTED_VALUE"""),"Sefi Novendra Patrialova, S.Si., M.T")</f>
        <v>Sefi Novendra Patrialova, S.Si., M.T</v>
      </c>
      <c r="I290" s="1" t="str">
        <f ca="1">IFERROR(__xludf.DUMMYFUNCTION("""COMPUTED_VALUE"""),"DIANA FITRIANI MUSTOFA")</f>
        <v>DIANA FITRIANI MUSTOFA</v>
      </c>
      <c r="J290" s="1" t="str">
        <f ca="1">IFERROR(__xludf.DUMMYFUNCTION("""COMPUTED_VALUE"""),"2042201033")</f>
        <v>2042201033</v>
      </c>
      <c r="K290" s="1" t="str">
        <f ca="1">IFERROR(__xludf.DUMMYFUNCTION("""COMPUTED_VALUE"""),"Departemen Teknik Instrumentasi")</f>
        <v>Departemen Teknik Instrumentasi</v>
      </c>
      <c r="L290" s="1" t="str">
        <f ca="1">IFERROR(__xludf.DUMMYFUNCTION("""COMPUTED_VALUE"""),"BRAHIM MAULANA WAHYUDI")</f>
        <v>BRAHIM MAULANA WAHYUDI</v>
      </c>
      <c r="M290" s="1" t="str">
        <f ca="1">IFERROR(__xludf.DUMMYFUNCTION("""COMPUTED_VALUE"""),"10511810000008")</f>
        <v>10511810000008</v>
      </c>
      <c r="N290" s="1" t="str">
        <f ca="1">IFERROR(__xludf.DUMMYFUNCTION("""COMPUTED_VALUE"""),"Departemen Teknik Instrumentasi")</f>
        <v>Departemen Teknik Instrumentasi</v>
      </c>
      <c r="O290" s="1" t="str">
        <f ca="1">IFERROR(__xludf.DUMMYFUNCTION("""COMPUTED_VALUE"""),"YENI DWI CAHYANI")</f>
        <v>YENI DWI CAHYANI</v>
      </c>
      <c r="P290" s="1" t="str">
        <f ca="1">IFERROR(__xludf.DUMMYFUNCTION("""COMPUTED_VALUE"""),"10511810000084")</f>
        <v>10511810000084</v>
      </c>
      <c r="Q290" s="1" t="str">
        <f ca="1">IFERROR(__xludf.DUMMYFUNCTION("""COMPUTED_VALUE"""),"Departemen Teknik Instrumentasi")</f>
        <v>Departemen Teknik Instrumentasi</v>
      </c>
      <c r="R290" s="1" t="str">
        <f ca="1">IFERROR(__xludf.DUMMYFUNCTION("""COMPUTED_VALUE"""),"MUHAMMAD ZANUAR")</f>
        <v>MUHAMMAD ZANUAR</v>
      </c>
      <c r="S290" s="1" t="str">
        <f ca="1">IFERROR(__xludf.DUMMYFUNCTION("""COMPUTED_VALUE"""),"2042201088")</f>
        <v>2042201088</v>
      </c>
      <c r="T290" s="1" t="str">
        <f ca="1">IFERROR(__xludf.DUMMYFUNCTION("""COMPUTED_VALUE"""),"Departemen Teknik Instrumentasi")</f>
        <v>Departemen Teknik Instrumentasi</v>
      </c>
      <c r="U290" s="1" t="str">
        <f ca="1">IFERROR(__xludf.DUMMYFUNCTION("""COMPUTED_VALUE"""),"Yudha Prasetyawan, S.T., M.Eng.")</f>
        <v>Yudha Prasetyawan, S.T., M.Eng.</v>
      </c>
      <c r="V290" s="1" t="str">
        <f ca="1">IFERROR(__xludf.DUMMYFUNCTION("""COMPUTED_VALUE"""),"Ciptian Weried Priananda, S.ST., M.T.")</f>
        <v>Ciptian Weried Priananda, S.ST., M.T.</v>
      </c>
      <c r="W290" s="1"/>
      <c r="X290" s="1" t="str">
        <f ca="1">IFERROR(__xludf.DUMMYFUNCTION("""COMPUTED_VALUE"""),"Lolos")</f>
        <v>Lolos</v>
      </c>
      <c r="Y290" s="1"/>
      <c r="Z290" s="1"/>
      <c r="AA290" s="1"/>
    </row>
    <row r="291" spans="1:27">
      <c r="A291" s="1" t="s">
        <v>286</v>
      </c>
      <c r="B291" s="1">
        <f ca="1">IFERROR(__xludf.DUMMYFUNCTION("""COMPUTED_VALUE"""),2792)</f>
        <v>2792</v>
      </c>
      <c r="C291" s="1" t="str">
        <f ca="1">IFERROR(__xludf.DUMMYFUNCTION("""COMPUTED_VALUE"""),"PKM Karsa Cipta")</f>
        <v>PKM Karsa Cipta</v>
      </c>
      <c r="D291" s="1" t="str">
        <f ca="1">IFERROR(__xludf.DUMMYFUNCTION("""COMPUTED_VALUE"""),"Aplikasi Virtual Assistant Pemeriksaan MMSE dalam Mengukur Tingkat Kognitif pada Penyandang Demensia Alzheimer ")</f>
        <v xml:space="preserve">Aplikasi Virtual Assistant Pemeriksaan MMSE dalam Mengukur Tingkat Kognitif pada Penyandang Demensia Alzheimer </v>
      </c>
      <c r="E291" s="1" t="str">
        <f ca="1">IFERROR(__xludf.DUMMYFUNCTION("""COMPUTED_VALUE"""),"EKA YOFA PRASETYO")</f>
        <v>EKA YOFA PRASETYO</v>
      </c>
      <c r="F291" s="1" t="str">
        <f ca="1">IFERROR(__xludf.DUMMYFUNCTION("""COMPUTED_VALUE"""),"5009211041")</f>
        <v>5009211041</v>
      </c>
      <c r="G291" s="1" t="str">
        <f ca="1">IFERROR(__xludf.DUMMYFUNCTION("""COMPUTED_VALUE"""),"Departemen Teknik Fisika")</f>
        <v>Departemen Teknik Fisika</v>
      </c>
      <c r="H291" s="1" t="str">
        <f ca="1">IFERROR(__xludf.DUMMYFUNCTION("""COMPUTED_VALUE"""),"Dyah Sawitri, S.T., M.T.")</f>
        <v>Dyah Sawitri, S.T., M.T.</v>
      </c>
      <c r="I291" s="1" t="str">
        <f ca="1">IFERROR(__xludf.DUMMYFUNCTION("""COMPUTED_VALUE"""),"EKA PRATIWI ARIYANTI")</f>
        <v>EKA PRATIWI ARIYANTI</v>
      </c>
      <c r="J291" s="1" t="str">
        <f ca="1">IFERROR(__xludf.DUMMYFUNCTION("""COMPUTED_VALUE"""),"5009201161")</f>
        <v>5009201161</v>
      </c>
      <c r="K291" s="1" t="str">
        <f ca="1">IFERROR(__xludf.DUMMYFUNCTION("""COMPUTED_VALUE"""),"Departemen Teknik Fisika")</f>
        <v>Departemen Teknik Fisika</v>
      </c>
      <c r="L291" s="1" t="str">
        <f ca="1">IFERROR(__xludf.DUMMYFUNCTION("""COMPUTED_VALUE"""),"Muhammad Febriansyah")</f>
        <v>Muhammad Febriansyah</v>
      </c>
      <c r="M291" s="1" t="str">
        <f ca="1">IFERROR(__xludf.DUMMYFUNCTION("""COMPUTED_VALUE"""),"5025211164")</f>
        <v>5025211164</v>
      </c>
      <c r="N291" s="1" t="str">
        <f ca="1">IFERROR(__xludf.DUMMYFUNCTION("""COMPUTED_VALUE"""),"Departemen Teknik Informatika")</f>
        <v>Departemen Teknik Informatika</v>
      </c>
      <c r="O291" s="1" t="str">
        <f ca="1">IFERROR(__xludf.DUMMYFUNCTION("""COMPUTED_VALUE"""),"Arif Noor Rochman")</f>
        <v>Arif Noor Rochman</v>
      </c>
      <c r="P291" s="1" t="str">
        <f ca="1">IFERROR(__xludf.DUMMYFUNCTION("""COMPUTED_VALUE"""),"5009211088")</f>
        <v>5009211088</v>
      </c>
      <c r="Q291" s="1" t="str">
        <f ca="1">IFERROR(__xludf.DUMMYFUNCTION("""COMPUTED_VALUE"""),"Departemen Teknik Fisika")</f>
        <v>Departemen Teknik Fisika</v>
      </c>
      <c r="R291" s="1"/>
      <c r="S291" s="1"/>
      <c r="T291" s="1"/>
      <c r="U291" s="1" t="str">
        <f ca="1">IFERROR(__xludf.DUMMYFUNCTION("""COMPUTED_VALUE"""),"Ir. Josaphat Pramudijanto, M.Eng.")</f>
        <v>Ir. Josaphat Pramudijanto, M.Eng.</v>
      </c>
      <c r="V291" s="1" t="str">
        <f ca="1">IFERROR(__xludf.DUMMYFUNCTION("""COMPUTED_VALUE"""),"Dr. Suyatno, S.Si., M.Si.")</f>
        <v>Dr. Suyatno, S.Si., M.Si.</v>
      </c>
      <c r="W291" s="1"/>
      <c r="X291" s="1" t="str">
        <f ca="1">IFERROR(__xludf.DUMMYFUNCTION("""COMPUTED_VALUE"""),"Lolos")</f>
        <v>Lolos</v>
      </c>
      <c r="Y291" s="1"/>
      <c r="Z291" s="1"/>
      <c r="AA291" s="1"/>
    </row>
    <row r="292" spans="1:27">
      <c r="A292" s="1" t="s">
        <v>287</v>
      </c>
      <c r="B292" s="1">
        <f ca="1">IFERROR(__xludf.DUMMYFUNCTION("""COMPUTED_VALUE"""),2134)</f>
        <v>2134</v>
      </c>
      <c r="C292" s="1" t="str">
        <f ca="1">IFERROR(__xludf.DUMMYFUNCTION("""COMPUTED_VALUE"""),"PKM Karsa Cipta")</f>
        <v>PKM Karsa Cipta</v>
      </c>
      <c r="D292" s="1" t="str">
        <f ca="1">IFERROR(__xludf.DUMMYFUNCTION("""COMPUTED_VALUE"""),"Sistem Rekomendasi Aman Perjalanan di Era New Normal berdasarkan Reproduction Number of SIR Model dan Rute Terpendek Algoritma Dijkstra")</f>
        <v>Sistem Rekomendasi Aman Perjalanan di Era New Normal berdasarkan Reproduction Number of SIR Model dan Rute Terpendek Algoritma Dijkstra</v>
      </c>
      <c r="E292" s="1" t="str">
        <f ca="1">IFERROR(__xludf.DUMMYFUNCTION("""COMPUTED_VALUE"""),"IMROATUS SHOLIHAH")</f>
        <v>IMROATUS SHOLIHAH</v>
      </c>
      <c r="F292" s="1" t="str">
        <f ca="1">IFERROR(__xludf.DUMMYFUNCTION("""COMPUTED_VALUE"""),"06111940000075")</f>
        <v>06111940000075</v>
      </c>
      <c r="G292" s="1" t="str">
        <f ca="1">IFERROR(__xludf.DUMMYFUNCTION("""COMPUTED_VALUE"""),"Departemen Matematika")</f>
        <v>Departemen Matematika</v>
      </c>
      <c r="H292" s="1" t="str">
        <f ca="1">IFERROR(__xludf.DUMMYFUNCTION("""COMPUTED_VALUE"""),"Dr. Dieky Adzkiya, S.Si., M.Si.")</f>
        <v>Dr. Dieky Adzkiya, S.Si., M.Si.</v>
      </c>
      <c r="I292" s="1" t="str">
        <f ca="1">IFERROR(__xludf.DUMMYFUNCTION("""COMPUTED_VALUE"""),"AWWALIYAH NUR FADHILAH")</f>
        <v>AWWALIYAH NUR FADHILAH</v>
      </c>
      <c r="J292" s="1" t="str">
        <f ca="1">IFERROR(__xludf.DUMMYFUNCTION("""COMPUTED_VALUE"""),"06111940000050")</f>
        <v>06111940000050</v>
      </c>
      <c r="K292" s="1" t="str">
        <f ca="1">IFERROR(__xludf.DUMMYFUNCTION("""COMPUTED_VALUE"""),"Departemen Matematika")</f>
        <v>Departemen Matematika</v>
      </c>
      <c r="L292" s="1" t="str">
        <f ca="1">IFERROR(__xludf.DUMMYFUNCTION("""COMPUTED_VALUE"""),"BRAMANTYA WAHYU NUGROHO")</f>
        <v>BRAMANTYA WAHYU NUGROHO</v>
      </c>
      <c r="M292" s="1" t="str">
        <f ca="1">IFERROR(__xludf.DUMMYFUNCTION("""COMPUTED_VALUE"""),"06111940000083")</f>
        <v>06111940000083</v>
      </c>
      <c r="N292" s="1" t="str">
        <f ca="1">IFERROR(__xludf.DUMMYFUNCTION("""COMPUTED_VALUE"""),"Departemen Matematika")</f>
        <v>Departemen Matematika</v>
      </c>
      <c r="O292" s="1" t="str">
        <f ca="1">IFERROR(__xludf.DUMMYFUNCTION("""COMPUTED_VALUE"""),"I GUSTI AGUNG VIVEKANANDA")</f>
        <v>I GUSTI AGUNG VIVEKANANDA</v>
      </c>
      <c r="P292" s="1" t="str">
        <f ca="1">IFERROR(__xludf.DUMMYFUNCTION("""COMPUTED_VALUE"""),"06111940000111")</f>
        <v>06111940000111</v>
      </c>
      <c r="Q292" s="1" t="str">
        <f ca="1">IFERROR(__xludf.DUMMYFUNCTION("""COMPUTED_VALUE"""),"Departemen Matematika")</f>
        <v>Departemen Matematika</v>
      </c>
      <c r="R292" s="1" t="str">
        <f ca="1">IFERROR(__xludf.DUMMYFUNCTION("""COMPUTED_VALUE"""),"EDO PRIYO UTOMO PUTRO MUJIONO")</f>
        <v>EDO PRIYO UTOMO PUTRO MUJIONO</v>
      </c>
      <c r="S292" s="1" t="str">
        <f ca="1">IFERROR(__xludf.DUMMYFUNCTION("""COMPUTED_VALUE"""),"5002201017")</f>
        <v>5002201017</v>
      </c>
      <c r="T292" s="1" t="str">
        <f ca="1">IFERROR(__xludf.DUMMYFUNCTION("""COMPUTED_VALUE"""),"Departemen Matematika")</f>
        <v>Departemen Matematika</v>
      </c>
      <c r="U292" s="1" t="str">
        <f ca="1">IFERROR(__xludf.DUMMYFUNCTION("""COMPUTED_VALUE"""),"Ika Nurkasanah, S.Kom., M.Sc.")</f>
        <v>Ika Nurkasanah, S.Kom., M.Sc.</v>
      </c>
      <c r="V292" s="1" t="str">
        <f ca="1">IFERROR(__xludf.DUMMYFUNCTION("""COMPUTED_VALUE"""),"Dr. Ir. Purwadi Agus Darwito, M.Sc.")</f>
        <v>Dr. Ir. Purwadi Agus Darwito, M.Sc.</v>
      </c>
      <c r="W292" s="1"/>
      <c r="X292" s="1" t="str">
        <f ca="1">IFERROR(__xludf.DUMMYFUNCTION("""COMPUTED_VALUE"""),"Lolos")</f>
        <v>Lolos</v>
      </c>
      <c r="Y292" s="1"/>
      <c r="Z292" s="1"/>
      <c r="AA292" s="1"/>
    </row>
    <row r="293" spans="1:27">
      <c r="A293" s="1" t="s">
        <v>288</v>
      </c>
      <c r="B293" s="1">
        <f ca="1">IFERROR(__xludf.DUMMYFUNCTION("""COMPUTED_VALUE"""),3190)</f>
        <v>3190</v>
      </c>
      <c r="C293" s="1" t="str">
        <f ca="1">IFERROR(__xludf.DUMMYFUNCTION("""COMPUTED_VALUE"""),"PKM Karsa Cipta")</f>
        <v>PKM Karsa Cipta</v>
      </c>
      <c r="D293" s="1" t="str">
        <f ca="1">IFERROR(__xludf.DUMMYFUNCTION("""COMPUTED_VALUE"""),"PETROB (PET hasil Recycle sebagai cOncrete Binder) : Perekat Beton Polimer Berbahan Recycled PET Hasil Daur Ulang Botol Plastik")</f>
        <v>PETROB (PET hasil Recycle sebagai cOncrete Binder) : Perekat Beton Polimer Berbahan Recycled PET Hasil Daur Ulang Botol Plastik</v>
      </c>
      <c r="E293" s="1" t="str">
        <f ca="1">IFERROR(__xludf.DUMMYFUNCTION("""COMPUTED_VALUE"""),"M. MIFTAKHUL FIRDAUS")</f>
        <v>M. MIFTAKHUL FIRDAUS</v>
      </c>
      <c r="F293" s="1" t="str">
        <f ca="1">IFERROR(__xludf.DUMMYFUNCTION("""COMPUTED_VALUE"""),"5012211108")</f>
        <v>5012211108</v>
      </c>
      <c r="G293" s="1" t="str">
        <f ca="1">IFERROR(__xludf.DUMMYFUNCTION("""COMPUTED_VALUE"""),"Departemen Teknik Sipil")</f>
        <v>Departemen Teknik Sipil</v>
      </c>
      <c r="H293" s="1" t="str">
        <f ca="1">IFERROR(__xludf.DUMMYFUNCTION("""COMPUTED_VALUE"""),"Dr.Eng. Januarti Jaya Ekaputri, S.T., M.T.")</f>
        <v>Dr.Eng. Januarti Jaya Ekaputri, S.T., M.T.</v>
      </c>
      <c r="I293" s="1" t="str">
        <f ca="1">IFERROR(__xludf.DUMMYFUNCTION("""COMPUTED_VALUE"""),"Aldi Wildan Hakim")</f>
        <v>Aldi Wildan Hakim</v>
      </c>
      <c r="J293" s="1" t="str">
        <f ca="1">IFERROR(__xludf.DUMMYFUNCTION("""COMPUTED_VALUE"""),"5012211084")</f>
        <v>5012211084</v>
      </c>
      <c r="K293" s="1" t="str">
        <f ca="1">IFERROR(__xludf.DUMMYFUNCTION("""COMPUTED_VALUE"""),"Departemen Teknik Sipil")</f>
        <v>Departemen Teknik Sipil</v>
      </c>
      <c r="L293" s="1" t="str">
        <f ca="1">IFERROR(__xludf.DUMMYFUNCTION("""COMPUTED_VALUE"""),"SAMUEL PRAYDITIA MESSAKH")</f>
        <v>SAMUEL PRAYDITIA MESSAKH</v>
      </c>
      <c r="M293" s="1" t="str">
        <f ca="1">IFERROR(__xludf.DUMMYFUNCTION("""COMPUTED_VALUE"""),"5012201087")</f>
        <v>5012201087</v>
      </c>
      <c r="N293" s="1" t="str">
        <f ca="1">IFERROR(__xludf.DUMMYFUNCTION("""COMPUTED_VALUE"""),"Departemen Teknik Sipil")</f>
        <v>Departemen Teknik Sipil</v>
      </c>
      <c r="O293" s="1" t="str">
        <f ca="1">IFERROR(__xludf.DUMMYFUNCTION("""COMPUTED_VALUE"""),"NI MADE CISTA S. D.")</f>
        <v>NI MADE CISTA S. D.</v>
      </c>
      <c r="P293" s="1" t="str">
        <f ca="1">IFERROR(__xludf.DUMMYFUNCTION("""COMPUTED_VALUE"""),"5012211103")</f>
        <v>5012211103</v>
      </c>
      <c r="Q293" s="1" t="str">
        <f ca="1">IFERROR(__xludf.DUMMYFUNCTION("""COMPUTED_VALUE"""),"Departemen Teknik Sipil")</f>
        <v>Departemen Teknik Sipil</v>
      </c>
      <c r="R293" s="1" t="str">
        <f ca="1">IFERROR(__xludf.DUMMYFUNCTION("""COMPUTED_VALUE"""),"RAFLI NUR MUHAMAD")</f>
        <v>RAFLI NUR MUHAMAD</v>
      </c>
      <c r="S293" s="1" t="str">
        <f ca="1">IFERROR(__xludf.DUMMYFUNCTION("""COMPUTED_VALUE"""),"5012211090")</f>
        <v>5012211090</v>
      </c>
      <c r="T293" s="1" t="str">
        <f ca="1">IFERROR(__xludf.DUMMYFUNCTION("""COMPUTED_VALUE"""),"Departemen Teknik Sipil")</f>
        <v>Departemen Teknik Sipil</v>
      </c>
      <c r="U293" s="1" t="str">
        <f ca="1">IFERROR(__xludf.DUMMYFUNCTION("""COMPUTED_VALUE"""),"Eko Agus Suprayitno, S.Si., M.T.")</f>
        <v>Eko Agus Suprayitno, S.Si., M.T.</v>
      </c>
      <c r="V293" s="1" t="str">
        <f ca="1">IFERROR(__xludf.DUMMYFUNCTION("""COMPUTED_VALUE"""),"Arief Abdurrakhman, S.T., M.T.")</f>
        <v>Arief Abdurrakhman, S.T., M.T.</v>
      </c>
      <c r="W293" s="1"/>
      <c r="X293" s="1" t="str">
        <f ca="1">IFERROR(__xludf.DUMMYFUNCTION("""COMPUTED_VALUE"""),"Lolos")</f>
        <v>Lolos</v>
      </c>
      <c r="Y293" s="1"/>
      <c r="Z293" s="1"/>
      <c r="AA293" s="1"/>
    </row>
    <row r="294" spans="1:27">
      <c r="A294" s="1" t="s">
        <v>289</v>
      </c>
      <c r="B294" s="1">
        <f ca="1">IFERROR(__xludf.DUMMYFUNCTION("""COMPUTED_VALUE"""),2811)</f>
        <v>2811</v>
      </c>
      <c r="C294" s="1" t="str">
        <f ca="1">IFERROR(__xludf.DUMMYFUNCTION("""COMPUTED_VALUE"""),"PKM Karsa Cipta")</f>
        <v>PKM Karsa Cipta</v>
      </c>
      <c r="D294" s="1" t="str">
        <f ca="1">IFERROR(__xludf.DUMMYFUNCTION("""COMPUTED_VALUE"""),"Deteksi Penyakit Blight Pada Tanaman Jagung Dengan Mengunakan Image Processing dan Convolutional Neural Network (CNN)")</f>
        <v>Deteksi Penyakit Blight Pada Tanaman Jagung Dengan Mengunakan Image Processing dan Convolutional Neural Network (CNN)</v>
      </c>
      <c r="E294" s="1" t="str">
        <f ca="1">IFERROR(__xludf.DUMMYFUNCTION("""COMPUTED_VALUE"""),"HAFIZ SALAM")</f>
        <v>HAFIZ SALAM</v>
      </c>
      <c r="F294" s="1" t="str">
        <f ca="1">IFERROR(__xludf.DUMMYFUNCTION("""COMPUTED_VALUE"""),"02311840000080")</f>
        <v>02311840000080</v>
      </c>
      <c r="G294" s="1" t="str">
        <f ca="1">IFERROR(__xludf.DUMMYFUNCTION("""COMPUTED_VALUE"""),"Departemen Teknik Fisika")</f>
        <v>Departemen Teknik Fisika</v>
      </c>
      <c r="H294" s="1" t="str">
        <f ca="1">IFERROR(__xludf.DUMMYFUNCTION("""COMPUTED_VALUE"""),"Detak Yan Pratama, S.T., M.Sc.")</f>
        <v>Detak Yan Pratama, S.T., M.Sc.</v>
      </c>
      <c r="I294" s="1" t="str">
        <f ca="1">IFERROR(__xludf.DUMMYFUNCTION("""COMPUTED_VALUE"""),"MOCHAMAD HELMI ZUKHRUF")</f>
        <v>MOCHAMAD HELMI ZUKHRUF</v>
      </c>
      <c r="J294" s="1" t="str">
        <f ca="1">IFERROR(__xludf.DUMMYFUNCTION("""COMPUTED_VALUE"""),"5009201024")</f>
        <v>5009201024</v>
      </c>
      <c r="K294" s="1" t="str">
        <f ca="1">IFERROR(__xludf.DUMMYFUNCTION("""COMPUTED_VALUE"""),"Departemen Teknik Fisika")</f>
        <v>Departemen Teknik Fisika</v>
      </c>
      <c r="L294" s="1" t="str">
        <f ca="1">IFERROR(__xludf.DUMMYFUNCTION("""COMPUTED_VALUE"""),"SHIRLY MAULIDINA")</f>
        <v>SHIRLY MAULIDINA</v>
      </c>
      <c r="M294" s="1" t="str">
        <f ca="1">IFERROR(__xludf.DUMMYFUNCTION("""COMPUTED_VALUE"""),"5009201155")</f>
        <v>5009201155</v>
      </c>
      <c r="N294" s="1" t="str">
        <f ca="1">IFERROR(__xludf.DUMMYFUNCTION("""COMPUTED_VALUE"""),"Departemen Teknik Fisika")</f>
        <v>Departemen Teknik Fisika</v>
      </c>
      <c r="O294" s="1" t="str">
        <f ca="1">IFERROR(__xludf.DUMMYFUNCTION("""COMPUTED_VALUE"""),"ATRAS YONDA FARIZI")</f>
        <v>ATRAS YONDA FARIZI</v>
      </c>
      <c r="P294" s="1" t="str">
        <f ca="1">IFERROR(__xludf.DUMMYFUNCTION("""COMPUTED_VALUE"""),"5009201127")</f>
        <v>5009201127</v>
      </c>
      <c r="Q294" s="1" t="str">
        <f ca="1">IFERROR(__xludf.DUMMYFUNCTION("""COMPUTED_VALUE"""),"Departemen Teknik Fisika")</f>
        <v>Departemen Teknik Fisika</v>
      </c>
      <c r="R294" s="1" t="str">
        <f ca="1">IFERROR(__xludf.DUMMYFUNCTION("""COMPUTED_VALUE"""),"AHMAD DZULFIKAR U.")</f>
        <v>AHMAD DZULFIKAR U.</v>
      </c>
      <c r="S294" s="1" t="str">
        <f ca="1">IFERROR(__xludf.DUMMYFUNCTION("""COMPUTED_VALUE"""),"5009211105")</f>
        <v>5009211105</v>
      </c>
      <c r="T294" s="1" t="str">
        <f ca="1">IFERROR(__xludf.DUMMYFUNCTION("""COMPUTED_VALUE"""),"Departemen Teknik Fisika")</f>
        <v>Departemen Teknik Fisika</v>
      </c>
      <c r="U294" s="1" t="str">
        <f ca="1">IFERROR(__xludf.DUMMYFUNCTION("""COMPUTED_VALUE"""),"Sefi Novendra Patrialova, S.Si., M.T")</f>
        <v>Sefi Novendra Patrialova, S.Si., M.T</v>
      </c>
      <c r="V294" s="1" t="str">
        <f ca="1">IFERROR(__xludf.DUMMYFUNCTION("""COMPUTED_VALUE"""),"Dr. Suyatno, S.Si., M.Si.")</f>
        <v>Dr. Suyatno, S.Si., M.Si.</v>
      </c>
      <c r="W294" s="1"/>
      <c r="X294" s="1" t="str">
        <f ca="1">IFERROR(__xludf.DUMMYFUNCTION("""COMPUTED_VALUE"""),"Lolos")</f>
        <v>Lolos</v>
      </c>
      <c r="Y294" s="1"/>
      <c r="Z294" s="1"/>
      <c r="AA294" s="1"/>
    </row>
    <row r="295" spans="1:27">
      <c r="A295" s="1" t="s">
        <v>290</v>
      </c>
      <c r="B295" s="1">
        <f ca="1">IFERROR(__xludf.DUMMYFUNCTION("""COMPUTED_VALUE"""),3616)</f>
        <v>3616</v>
      </c>
      <c r="C295" s="1" t="str">
        <f ca="1">IFERROR(__xludf.DUMMYFUNCTION("""COMPUTED_VALUE"""),"PKM Karsa Cipta")</f>
        <v>PKM Karsa Cipta</v>
      </c>
      <c r="D295" s="1" t="str">
        <f ca="1">IFERROR(__xludf.DUMMYFUNCTION("""COMPUTED_VALUE"""),"Sistem Deteksi Rem Blong dengan Smart-Sensor Multifungsi pada Kendaraan Berat")</f>
        <v>Sistem Deteksi Rem Blong dengan Smart-Sensor Multifungsi pada Kendaraan Berat</v>
      </c>
      <c r="E295" s="1" t="str">
        <f ca="1">IFERROR(__xludf.DUMMYFUNCTION("""COMPUTED_VALUE"""),"Radix Kautsar Ramadhan")</f>
        <v>Radix Kautsar Ramadhan</v>
      </c>
      <c r="F295" s="1" t="str">
        <f ca="1">IFERROR(__xludf.DUMMYFUNCTION("""COMPUTED_VALUE"""),"02111940000050")</f>
        <v>02111940000050</v>
      </c>
      <c r="G295" s="1" t="str">
        <f ca="1">IFERROR(__xludf.DUMMYFUNCTION("""COMPUTED_VALUE"""),"Departemen Teknik Mesin")</f>
        <v>Departemen Teknik Mesin</v>
      </c>
      <c r="H295" s="1" t="str">
        <f ca="1">IFERROR(__xludf.DUMMYFUNCTION("""COMPUTED_VALUE"""),"Achmad Syaifudin, S.T., M.Eng., Ph.D.")</f>
        <v>Achmad Syaifudin, S.T., M.Eng., Ph.D.</v>
      </c>
      <c r="I295" s="1" t="str">
        <f ca="1">IFERROR(__xludf.DUMMYFUNCTION("""COMPUTED_VALUE"""),"Shofiyah Nabilla Safitri")</f>
        <v>Shofiyah Nabilla Safitri</v>
      </c>
      <c r="J295" s="1" t="str">
        <f ca="1">IFERROR(__xludf.DUMMYFUNCTION("""COMPUTED_VALUE"""),"02111940000052")</f>
        <v>02111940000052</v>
      </c>
      <c r="K295" s="1" t="str">
        <f ca="1">IFERROR(__xludf.DUMMYFUNCTION("""COMPUTED_VALUE"""),"Departemen Teknik Mesin")</f>
        <v>Departemen Teknik Mesin</v>
      </c>
      <c r="L295" s="1" t="str">
        <f ca="1">IFERROR(__xludf.DUMMYFUNCTION("""COMPUTED_VALUE"""),"Indira Yudha Wisnubaskara")</f>
        <v>Indira Yudha Wisnubaskara</v>
      </c>
      <c r="M295" s="1" t="str">
        <f ca="1">IFERROR(__xludf.DUMMYFUNCTION("""COMPUTED_VALUE"""),"02111940000057")</f>
        <v>02111940000057</v>
      </c>
      <c r="N295" s="1" t="str">
        <f ca="1">IFERROR(__xludf.DUMMYFUNCTION("""COMPUTED_VALUE"""),"Departemen Teknik Mesin")</f>
        <v>Departemen Teknik Mesin</v>
      </c>
      <c r="O295" s="1" t="str">
        <f ca="1">IFERROR(__xludf.DUMMYFUNCTION("""COMPUTED_VALUE"""),"Dzulfikar Adnan")</f>
        <v>Dzulfikar Adnan</v>
      </c>
      <c r="P295" s="1" t="str">
        <f ca="1">IFERROR(__xludf.DUMMYFUNCTION("""COMPUTED_VALUE"""),"5007211147")</f>
        <v>5007211147</v>
      </c>
      <c r="Q295" s="1" t="str">
        <f ca="1">IFERROR(__xludf.DUMMYFUNCTION("""COMPUTED_VALUE"""),"Departemen Teknik Mesin")</f>
        <v>Departemen Teknik Mesin</v>
      </c>
      <c r="R295" s="1" t="str">
        <f ca="1">IFERROR(__xludf.DUMMYFUNCTION("""COMPUTED_VALUE"""),"M JOHANIF AFKAR")</f>
        <v>M JOHANIF AFKAR</v>
      </c>
      <c r="S295" s="1" t="str">
        <f ca="1">IFERROR(__xludf.DUMMYFUNCTION("""COMPUTED_VALUE"""),"5007211054")</f>
        <v>5007211054</v>
      </c>
      <c r="T295" s="1" t="str">
        <f ca="1">IFERROR(__xludf.DUMMYFUNCTION("""COMPUTED_VALUE"""),"Departemen Teknik Mesin")</f>
        <v>Departemen Teknik Mesin</v>
      </c>
      <c r="U295" s="1" t="str">
        <f ca="1">IFERROR(__xludf.DUMMYFUNCTION("""COMPUTED_VALUE"""),"Dr.Eng. Chastine Fatichah, S.Kom., M.Kom.")</f>
        <v>Dr.Eng. Chastine Fatichah, S.Kom., M.Kom.</v>
      </c>
      <c r="V295" s="1" t="str">
        <f ca="1">IFERROR(__xludf.DUMMYFUNCTION("""COMPUTED_VALUE"""),"Rudy Dikairono, ST., M.T.")</f>
        <v>Rudy Dikairono, ST., M.T.</v>
      </c>
      <c r="W295" s="1"/>
      <c r="X295" s="1" t="str">
        <f ca="1">IFERROR(__xludf.DUMMYFUNCTION("""COMPUTED_VALUE"""),"Lolos")</f>
        <v>Lolos</v>
      </c>
      <c r="Y295" s="1"/>
      <c r="Z295" s="1"/>
      <c r="AA295" s="1"/>
    </row>
    <row r="296" spans="1:27">
      <c r="A296" s="1" t="s">
        <v>291</v>
      </c>
      <c r="B296" s="1">
        <f ca="1">IFERROR(__xludf.DUMMYFUNCTION("""COMPUTED_VALUE"""),2999)</f>
        <v>2999</v>
      </c>
      <c r="C296" s="1" t="str">
        <f ca="1">IFERROR(__xludf.DUMMYFUNCTION("""COMPUTED_VALUE"""),"PKM Karsa Cipta")</f>
        <v>PKM Karsa Cipta</v>
      </c>
      <c r="D296" s="1" t="str">
        <f ca="1">IFERROR(__xludf.DUMMYFUNCTION("""COMPUTED_VALUE"""),"Optimalisasi Pengendalian Kualitas Produk Tempe Melalui Inspeksi Berat Guna Meningkatkan Konsistensi dengan Sistem Karakuri 
")</f>
        <v xml:space="preserve">Optimalisasi Pengendalian Kualitas Produk Tempe Melalui Inspeksi Berat Guna Meningkatkan Konsistensi dengan Sistem Karakuri 
</v>
      </c>
      <c r="E296" s="1" t="str">
        <f ca="1">IFERROR(__xludf.DUMMYFUNCTION("""COMPUTED_VALUE"""),"ALDO APRINO")</f>
        <v>ALDO APRINO</v>
      </c>
      <c r="F296" s="1" t="str">
        <f ca="1">IFERROR(__xludf.DUMMYFUNCTION("""COMPUTED_VALUE"""),"5010201118")</f>
        <v>5010201118</v>
      </c>
      <c r="G296" s="1" t="str">
        <f ca="1">IFERROR(__xludf.DUMMYFUNCTION("""COMPUTED_VALUE"""),"Departemen Teknik Sistem dan Industri")</f>
        <v>Departemen Teknik Sistem dan Industri</v>
      </c>
      <c r="H296" s="1" t="str">
        <f ca="1">IFERROR(__xludf.DUMMYFUNCTION("""COMPUTED_VALUE"""),"H.Ir. Hari Supriyanto, MSIE.")</f>
        <v>H.Ir. Hari Supriyanto, MSIE.</v>
      </c>
      <c r="I296" s="1" t="str">
        <f ca="1">IFERROR(__xludf.DUMMYFUNCTION("""COMPUTED_VALUE"""),"VINCENT NATHANAEL SUTEJA")</f>
        <v>VINCENT NATHANAEL SUTEJA</v>
      </c>
      <c r="J296" s="1" t="str">
        <f ca="1">IFERROR(__xludf.DUMMYFUNCTION("""COMPUTED_VALUE"""),"5010201176")</f>
        <v>5010201176</v>
      </c>
      <c r="K296" s="1" t="str">
        <f ca="1">IFERROR(__xludf.DUMMYFUNCTION("""COMPUTED_VALUE"""),"Departemen Teknik Sistem dan Industri")</f>
        <v>Departemen Teknik Sistem dan Industri</v>
      </c>
      <c r="L296" s="1" t="str">
        <f ca="1">IFERROR(__xludf.DUMMYFUNCTION("""COMPUTED_VALUE"""),"NABIL SALMAA HAFIDL")</f>
        <v>NABIL SALMAA HAFIDL</v>
      </c>
      <c r="M296" s="1" t="str">
        <f ca="1">IFERROR(__xludf.DUMMYFUNCTION("""COMPUTED_VALUE"""),"5010201156")</f>
        <v>5010201156</v>
      </c>
      <c r="N296" s="1" t="str">
        <f ca="1">IFERROR(__xludf.DUMMYFUNCTION("""COMPUTED_VALUE"""),"Departemen Teknik Sistem dan Industri")</f>
        <v>Departemen Teknik Sistem dan Industri</v>
      </c>
      <c r="O296" s="1" t="str">
        <f ca="1">IFERROR(__xludf.DUMMYFUNCTION("""COMPUTED_VALUE"""),"MUHAMMAD WIBI M")</f>
        <v>MUHAMMAD WIBI M</v>
      </c>
      <c r="P296" s="1" t="str">
        <f ca="1">IFERROR(__xludf.DUMMYFUNCTION("""COMPUTED_VALUE"""),"5010211153")</f>
        <v>5010211153</v>
      </c>
      <c r="Q296" s="1" t="str">
        <f ca="1">IFERROR(__xludf.DUMMYFUNCTION("""COMPUTED_VALUE"""),"Departemen Teknik Sistem dan Industri")</f>
        <v>Departemen Teknik Sistem dan Industri</v>
      </c>
      <c r="R296" s="1" t="str">
        <f ca="1">IFERROR(__xludf.DUMMYFUNCTION("""COMPUTED_VALUE"""),"FANZA AUDIARY PUTRI")</f>
        <v>FANZA AUDIARY PUTRI</v>
      </c>
      <c r="S296" s="1" t="str">
        <f ca="1">IFERROR(__xludf.DUMMYFUNCTION("""COMPUTED_VALUE"""),"5010211023")</f>
        <v>5010211023</v>
      </c>
      <c r="T296" s="1" t="str">
        <f ca="1">IFERROR(__xludf.DUMMYFUNCTION("""COMPUTED_VALUE"""),"Departemen Teknik Sistem dan Industri")</f>
        <v>Departemen Teknik Sistem dan Industri</v>
      </c>
      <c r="U296" s="1" t="str">
        <f ca="1">IFERROR(__xludf.DUMMYFUNCTION("""COMPUTED_VALUE"""),"Eko Agus Suprayitno, S.Si., M.T.")</f>
        <v>Eko Agus Suprayitno, S.Si., M.T.</v>
      </c>
      <c r="V296" s="1" t="str">
        <f ca="1">IFERROR(__xludf.DUMMYFUNCTION("""COMPUTED_VALUE"""),"Dr. Eng. Hosta Ardhyananta, S.T., M.Sc.")</f>
        <v>Dr. Eng. Hosta Ardhyananta, S.T., M.Sc.</v>
      </c>
      <c r="W296" s="1"/>
      <c r="X296" s="1" t="str">
        <f ca="1">IFERROR(__xludf.DUMMYFUNCTION("""COMPUTED_VALUE"""),"Lolos")</f>
        <v>Lolos</v>
      </c>
      <c r="Y296" s="1"/>
      <c r="Z296" s="1"/>
      <c r="AA296" s="1"/>
    </row>
    <row r="297" spans="1:27">
      <c r="A297" s="1" t="s">
        <v>292</v>
      </c>
      <c r="B297" s="1">
        <f ca="1">IFERROR(__xludf.DUMMYFUNCTION("""COMPUTED_VALUE"""),3261)</f>
        <v>3261</v>
      </c>
      <c r="C297" s="1" t="str">
        <f ca="1">IFERROR(__xludf.DUMMYFUNCTION("""COMPUTED_VALUE"""),"PKM Karsa Cipta")</f>
        <v>PKM Karsa Cipta</v>
      </c>
      <c r="D297" s="1" t="str">
        <f ca="1">IFERROR(__xludf.DUMMYFUNCTION("""COMPUTED_VALUE"""),"Automatic Planter (ATER): Solusi Penanaman Padi Efektif")</f>
        <v>Automatic Planter (ATER): Solusi Penanaman Padi Efektif</v>
      </c>
      <c r="E297" s="1" t="str">
        <f ca="1">IFERROR(__xludf.DUMMYFUNCTION("""COMPUTED_VALUE"""),"Edgar R Pradipta")</f>
        <v>Edgar R Pradipta</v>
      </c>
      <c r="F297" s="1" t="str">
        <f ca="1">IFERROR(__xludf.DUMMYFUNCTION("""COMPUTED_VALUE"""),"02111940000044")</f>
        <v>02111940000044</v>
      </c>
      <c r="G297" s="1" t="str">
        <f ca="1">IFERROR(__xludf.DUMMYFUNCTION("""COMPUTED_VALUE"""),"Departemen Teknik Mesin")</f>
        <v>Departemen Teknik Mesin</v>
      </c>
      <c r="H297" s="1" t="str">
        <f ca="1">IFERROR(__xludf.DUMMYFUNCTION("""COMPUTED_VALUE"""),"Ir. Sampurno, M.T.")</f>
        <v>Ir. Sampurno, M.T.</v>
      </c>
      <c r="I297" s="1" t="str">
        <f ca="1">IFERROR(__xludf.DUMMYFUNCTION("""COMPUTED_VALUE"""),"YUSUF OKTAVIAN HADI")</f>
        <v>YUSUF OKTAVIAN HADI</v>
      </c>
      <c r="J297" s="1" t="str">
        <f ca="1">IFERROR(__xludf.DUMMYFUNCTION("""COMPUTED_VALUE"""),"02111940000068")</f>
        <v>02111940000068</v>
      </c>
      <c r="K297" s="1" t="str">
        <f ca="1">IFERROR(__xludf.DUMMYFUNCTION("""COMPUTED_VALUE"""),"Departemen Teknik Mesin")</f>
        <v>Departemen Teknik Mesin</v>
      </c>
      <c r="L297" s="1" t="str">
        <f ca="1">IFERROR(__xludf.DUMMYFUNCTION("""COMPUTED_VALUE"""),"HILMI ALFARUQY")</f>
        <v>HILMI ALFARUQY</v>
      </c>
      <c r="M297" s="1" t="str">
        <f ca="1">IFERROR(__xludf.DUMMYFUNCTION("""COMPUTED_VALUE"""),"02111940000075")</f>
        <v>02111940000075</v>
      </c>
      <c r="N297" s="1" t="str">
        <f ca="1">IFERROR(__xludf.DUMMYFUNCTION("""COMPUTED_VALUE"""),"Departemen Teknik Mesin")</f>
        <v>Departemen Teknik Mesin</v>
      </c>
      <c r="O297" s="1" t="str">
        <f ca="1">IFERROR(__xludf.DUMMYFUNCTION("""COMPUTED_VALUE"""),"ANDHIKA PRASETYA RAMADHANI")</f>
        <v>ANDHIKA PRASETYA RAMADHANI</v>
      </c>
      <c r="P297" s="1" t="str">
        <f ca="1">IFERROR(__xludf.DUMMYFUNCTION("""COMPUTED_VALUE"""),"02111940000089")</f>
        <v>02111940000089</v>
      </c>
      <c r="Q297" s="1" t="str">
        <f ca="1">IFERROR(__xludf.DUMMYFUNCTION("""COMPUTED_VALUE"""),"Departemen Teknik Mesin")</f>
        <v>Departemen Teknik Mesin</v>
      </c>
      <c r="R297" s="1" t="str">
        <f ca="1">IFERROR(__xludf.DUMMYFUNCTION("""COMPUTED_VALUE"""),"FAIZ TARUNA ADINATA")</f>
        <v>FAIZ TARUNA ADINATA</v>
      </c>
      <c r="S297" s="1" t="str">
        <f ca="1">IFERROR(__xludf.DUMMYFUNCTION("""COMPUTED_VALUE"""),"02111940000135")</f>
        <v>02111940000135</v>
      </c>
      <c r="T297" s="1" t="str">
        <f ca="1">IFERROR(__xludf.DUMMYFUNCTION("""COMPUTED_VALUE"""),"Departemen Teknik Mesin")</f>
        <v>Departemen Teknik Mesin</v>
      </c>
      <c r="U297" s="1" t="str">
        <f ca="1">IFERROR(__xludf.DUMMYFUNCTION("""COMPUTED_VALUE"""),"Mohammad Khoirul Effendi, S.T., M.Sc.Eng., Ph.D.")</f>
        <v>Mohammad Khoirul Effendi, S.T., M.Sc.Eng., Ph.D.</v>
      </c>
      <c r="V297" s="1" t="str">
        <f ca="1">IFERROR(__xludf.DUMMYFUNCTION("""COMPUTED_VALUE"""),"Dr. Dendy Satrio, S.ST.")</f>
        <v>Dr. Dendy Satrio, S.ST.</v>
      </c>
      <c r="W297" s="1"/>
      <c r="X297" s="1" t="str">
        <f ca="1">IFERROR(__xludf.DUMMYFUNCTION("""COMPUTED_VALUE"""),"Lolos")</f>
        <v>Lolos</v>
      </c>
      <c r="Y297" s="1"/>
      <c r="Z297" s="1"/>
      <c r="AA297" s="1"/>
    </row>
    <row r="298" spans="1:27">
      <c r="A298" s="1" t="s">
        <v>293</v>
      </c>
      <c r="B298" s="1">
        <f ca="1">IFERROR(__xludf.DUMMYFUNCTION("""COMPUTED_VALUE"""),2897)</f>
        <v>2897</v>
      </c>
      <c r="C298" s="1" t="str">
        <f ca="1">IFERROR(__xludf.DUMMYFUNCTION("""COMPUTED_VALUE"""),"PKM Karsa Cipta")</f>
        <v>PKM Karsa Cipta</v>
      </c>
      <c r="D298" s="1" t="str">
        <f ca="1">IFERROR(__xludf.DUMMYFUNCTION("""COMPUTED_VALUE"""),"Alat Monitoring Kualitas Udara dan Pengubah Udara Menjadi Air Otomatis Berbasis Arduino Sebagai Solusi Kekurangan Air Bersih saat Musim Kemarau")</f>
        <v>Alat Monitoring Kualitas Udara dan Pengubah Udara Menjadi Air Otomatis Berbasis Arduino Sebagai Solusi Kekurangan Air Bersih saat Musim Kemarau</v>
      </c>
      <c r="E298" s="1" t="str">
        <f ca="1">IFERROR(__xludf.DUMMYFUNCTION("""COMPUTED_VALUE"""),"MUHAMMAD ARIF BILLAH")</f>
        <v>MUHAMMAD ARIF BILLAH</v>
      </c>
      <c r="F298" s="1" t="str">
        <f ca="1">IFERROR(__xludf.DUMMYFUNCTION("""COMPUTED_VALUE"""),"2036201079")</f>
        <v>2036201079</v>
      </c>
      <c r="G298" s="1" t="str">
        <f ca="1">IFERROR(__xludf.DUMMYFUNCTION("""COMPUTED_VALUE"""),"Departemen Teknik Infrastruktur Sipil")</f>
        <v>Departemen Teknik Infrastruktur Sipil</v>
      </c>
      <c r="H298" s="1" t="str">
        <f ca="1">IFERROR(__xludf.DUMMYFUNCTION("""COMPUTED_VALUE"""),"Aan Fauzi, S.T., M.T.")</f>
        <v>Aan Fauzi, S.T., M.T.</v>
      </c>
      <c r="I298" s="1" t="str">
        <f ca="1">IFERROR(__xludf.DUMMYFUNCTION("""COMPUTED_VALUE"""),"MUHAMMAD DHAFFA FIRMANSYAH")</f>
        <v>MUHAMMAD DHAFFA FIRMANSYAH</v>
      </c>
      <c r="J298" s="1" t="str">
        <f ca="1">IFERROR(__xludf.DUMMYFUNCTION("""COMPUTED_VALUE"""),"2036201056")</f>
        <v>2036201056</v>
      </c>
      <c r="K298" s="1" t="str">
        <f ca="1">IFERROR(__xludf.DUMMYFUNCTION("""COMPUTED_VALUE"""),"Departemen Teknik Infrastruktur Sipil")</f>
        <v>Departemen Teknik Infrastruktur Sipil</v>
      </c>
      <c r="L298" s="1" t="str">
        <f ca="1">IFERROR(__xludf.DUMMYFUNCTION("""COMPUTED_VALUE"""),"ALFIAN SAMUDRA .P")</f>
        <v>ALFIAN SAMUDRA .P</v>
      </c>
      <c r="M298" s="1" t="str">
        <f ca="1">IFERROR(__xludf.DUMMYFUNCTION("""COMPUTED_VALUE"""),"2040211003")</f>
        <v>2040211003</v>
      </c>
      <c r="N298" s="1" t="str">
        <f ca="1">IFERROR(__xludf.DUMMYFUNCTION("""COMPUTED_VALUE"""),"Departemen Teknik Elektro Otomasi")</f>
        <v>Departemen Teknik Elektro Otomasi</v>
      </c>
      <c r="O298" s="1" t="str">
        <f ca="1">IFERROR(__xludf.DUMMYFUNCTION("""COMPUTED_VALUE"""),"PRADNYA PARAMITHA")</f>
        <v>PRADNYA PARAMITHA</v>
      </c>
      <c r="P298" s="1" t="str">
        <f ca="1">IFERROR(__xludf.DUMMYFUNCTION("""COMPUTED_VALUE"""),"2041201096")</f>
        <v>2041201096</v>
      </c>
      <c r="Q298" s="1" t="str">
        <f ca="1">IFERROR(__xludf.DUMMYFUNCTION("""COMPUTED_VALUE"""),"Departemen Teknik Kimia Industri")</f>
        <v>Departemen Teknik Kimia Industri</v>
      </c>
      <c r="R298" s="1" t="str">
        <f ca="1">IFERROR(__xludf.DUMMYFUNCTION("""COMPUTED_VALUE"""),"TIO ANDRE KURNIAWAN")</f>
        <v>TIO ANDRE KURNIAWAN</v>
      </c>
      <c r="S298" s="1" t="str">
        <f ca="1">IFERROR(__xludf.DUMMYFUNCTION("""COMPUTED_VALUE"""),"2041201085")</f>
        <v>2041201085</v>
      </c>
      <c r="T298" s="1" t="str">
        <f ca="1">IFERROR(__xludf.DUMMYFUNCTION("""COMPUTED_VALUE"""),"Departemen Teknik Kimia Industri")</f>
        <v>Departemen Teknik Kimia Industri</v>
      </c>
      <c r="U298" s="1" t="str">
        <f ca="1">IFERROR(__xludf.DUMMYFUNCTION("""COMPUTED_VALUE"""),"Ir. Josaphat Pramudijanto, M.Eng.")</f>
        <v>Ir. Josaphat Pramudijanto, M.Eng.</v>
      </c>
      <c r="V298" s="1" t="str">
        <f ca="1">IFERROR(__xludf.DUMMYFUNCTION("""COMPUTED_VALUE"""),"Dr. Suyatno, S.Si., M.Si.")</f>
        <v>Dr. Suyatno, S.Si., M.Si.</v>
      </c>
      <c r="W298" s="1"/>
      <c r="X298" s="1" t="str">
        <f ca="1">IFERROR(__xludf.DUMMYFUNCTION("""COMPUTED_VALUE"""),"Lolos")</f>
        <v>Lolos</v>
      </c>
      <c r="Y298" s="1"/>
      <c r="Z298" s="1"/>
      <c r="AA298" s="1"/>
    </row>
    <row r="299" spans="1:27">
      <c r="A299" s="1" t="s">
        <v>294</v>
      </c>
      <c r="B299" s="1">
        <f ca="1">IFERROR(__xludf.DUMMYFUNCTION("""COMPUTED_VALUE"""),2075)</f>
        <v>2075</v>
      </c>
      <c r="C299" s="1" t="str">
        <f ca="1">IFERROR(__xludf.DUMMYFUNCTION("""COMPUTED_VALUE"""),"PKM Karsa Cipta")</f>
        <v>PKM Karsa Cipta</v>
      </c>
      <c r="D299" s="1" t="str">
        <f ca="1">IFERROR(__xludf.DUMMYFUNCTION("""COMPUTED_VALUE"""),"SIKABAYAN (SISTEM KEAMANAN BAGI NELAYAN)
SEBAGAI INOVASI TEKNOLOGI BERBASIS INFORMASI GEOGRAFIS GUNA OPTIMALISASI PENYELAMATAN KAPAL
")</f>
        <v xml:space="preserve">SIKABAYAN (SISTEM KEAMANAN BAGI NELAYAN)
SEBAGAI INOVASI TEKNOLOGI BERBASIS INFORMASI GEOGRAFIS GUNA OPTIMALISASI PENYELAMATAN KAPAL
</v>
      </c>
      <c r="E299" s="1" t="str">
        <f ca="1">IFERROR(__xludf.DUMMYFUNCTION("""COMPUTED_VALUE"""),"RIZKY FAUZI")</f>
        <v>RIZKY FAUZI</v>
      </c>
      <c r="F299" s="1" t="str">
        <f ca="1">IFERROR(__xludf.DUMMYFUNCTION("""COMPUTED_VALUE"""),"2042201015")</f>
        <v>2042201015</v>
      </c>
      <c r="G299" s="1" t="str">
        <f ca="1">IFERROR(__xludf.DUMMYFUNCTION("""COMPUTED_VALUE"""),"Departemen Teknik Instrumentasi")</f>
        <v>Departemen Teknik Instrumentasi</v>
      </c>
      <c r="H299" s="1" t="str">
        <f ca="1">IFERROR(__xludf.DUMMYFUNCTION("""COMPUTED_VALUE"""),"Sefi Novendra Patrialova, S.Si., M.T")</f>
        <v>Sefi Novendra Patrialova, S.Si., M.T</v>
      </c>
      <c r="I299" s="1" t="str">
        <f ca="1">IFERROR(__xludf.DUMMYFUNCTION("""COMPUTED_VALUE"""),"KRIS SAMUDRA")</f>
        <v>KRIS SAMUDRA</v>
      </c>
      <c r="J299" s="1" t="str">
        <f ca="1">IFERROR(__xludf.DUMMYFUNCTION("""COMPUTED_VALUE"""),"2042201111")</f>
        <v>2042201111</v>
      </c>
      <c r="K299" s="1" t="str">
        <f ca="1">IFERROR(__xludf.DUMMYFUNCTION("""COMPUTED_VALUE"""),"Departemen Teknik Instrumentasi")</f>
        <v>Departemen Teknik Instrumentasi</v>
      </c>
      <c r="L299" s="1" t="str">
        <f ca="1">IFERROR(__xludf.DUMMYFUNCTION("""COMPUTED_VALUE"""),"AGUNG WIJANARKO")</f>
        <v>AGUNG WIJANARKO</v>
      </c>
      <c r="M299" s="1" t="str">
        <f ca="1">IFERROR(__xludf.DUMMYFUNCTION("""COMPUTED_VALUE"""),"2042201003")</f>
        <v>2042201003</v>
      </c>
      <c r="N299" s="1" t="str">
        <f ca="1">IFERROR(__xludf.DUMMYFUNCTION("""COMPUTED_VALUE"""),"Departemen Teknik Instrumentasi")</f>
        <v>Departemen Teknik Instrumentasi</v>
      </c>
      <c r="O299" s="1" t="str">
        <f ca="1">IFERROR(__xludf.DUMMYFUNCTION("""COMPUTED_VALUE"""),"HISYAM NUR ALFATH")</f>
        <v>HISYAM NUR ALFATH</v>
      </c>
      <c r="P299" s="1" t="str">
        <f ca="1">IFERROR(__xludf.DUMMYFUNCTION("""COMPUTED_VALUE"""),"2042201023")</f>
        <v>2042201023</v>
      </c>
      <c r="Q299" s="1" t="str">
        <f ca="1">IFERROR(__xludf.DUMMYFUNCTION("""COMPUTED_VALUE"""),"Departemen Teknik Instrumentasi")</f>
        <v>Departemen Teknik Instrumentasi</v>
      </c>
      <c r="R299" s="1" t="str">
        <f ca="1">IFERROR(__xludf.DUMMYFUNCTION("""COMPUTED_VALUE"""),"RAJENDRA LOKESWARA")</f>
        <v>RAJENDRA LOKESWARA</v>
      </c>
      <c r="S299" s="1" t="str">
        <f ca="1">IFERROR(__xludf.DUMMYFUNCTION("""COMPUTED_VALUE"""),"2042201047")</f>
        <v>2042201047</v>
      </c>
      <c r="T299" s="1" t="str">
        <f ca="1">IFERROR(__xludf.DUMMYFUNCTION("""COMPUTED_VALUE"""),"Departemen Teknik Instrumentasi")</f>
        <v>Departemen Teknik Instrumentasi</v>
      </c>
      <c r="U299" s="1" t="str">
        <f ca="1">IFERROR(__xludf.DUMMYFUNCTION("""COMPUTED_VALUE"""),"Mohammad Khoirul Effendi, S.T., M.Sc.Eng., Ph.D.")</f>
        <v>Mohammad Khoirul Effendi, S.T., M.Sc.Eng., Ph.D.</v>
      </c>
      <c r="V299" s="1" t="str">
        <f ca="1">IFERROR(__xludf.DUMMYFUNCTION("""COMPUTED_VALUE"""),"Rudy Dikairono, ST., M.T.")</f>
        <v>Rudy Dikairono, ST., M.T.</v>
      </c>
      <c r="W299" s="1"/>
      <c r="X299" s="1" t="str">
        <f ca="1">IFERROR(__xludf.DUMMYFUNCTION("""COMPUTED_VALUE"""),"Lolos")</f>
        <v>Lolos</v>
      </c>
      <c r="Y299" s="1"/>
      <c r="Z299" s="1"/>
      <c r="AA299" s="1"/>
    </row>
    <row r="300" spans="1:27">
      <c r="A300" s="1" t="s">
        <v>295</v>
      </c>
      <c r="B300" s="1">
        <f ca="1">IFERROR(__xludf.DUMMYFUNCTION("""COMPUTED_VALUE"""),3946)</f>
        <v>3946</v>
      </c>
      <c r="C300" s="1" t="str">
        <f ca="1">IFERROR(__xludf.DUMMYFUNCTION("""COMPUTED_VALUE"""),"PKM Karsa Cipta")</f>
        <v>PKM Karsa Cipta</v>
      </c>
      <c r="D300" s="1" t="str">
        <f ca="1">IFERROR(__xludf.DUMMYFUNCTION("""COMPUTED_VALUE"""),"WESOR sebagai Alat Pensortir Sampah Plastik Komprehensif Memanfaatkan Sensor TCS230 dan Image Processing")</f>
        <v>WESOR sebagai Alat Pensortir Sampah Plastik Komprehensif Memanfaatkan Sensor TCS230 dan Image Processing</v>
      </c>
      <c r="E300" s="1" t="str">
        <f ca="1">IFERROR(__xludf.DUMMYFUNCTION("""COMPUTED_VALUE"""),"GEDE FAJAR KANANDA A W")</f>
        <v>GEDE FAJAR KANANDA A W</v>
      </c>
      <c r="F300" s="1" t="str">
        <f ca="1">IFERROR(__xludf.DUMMYFUNCTION("""COMPUTED_VALUE"""),"5010201189")</f>
        <v>5010201189</v>
      </c>
      <c r="G300" s="1" t="str">
        <f ca="1">IFERROR(__xludf.DUMMYFUNCTION("""COMPUTED_VALUE"""),"Departemen Teknik Sistem dan Industri")</f>
        <v>Departemen Teknik Sistem dan Industri</v>
      </c>
      <c r="H300" s="1" t="str">
        <f ca="1">IFERROR(__xludf.DUMMYFUNCTION("""COMPUTED_VALUE"""),"Nani Kurniati, S.T., M.T., Ph.D.")</f>
        <v>Nani Kurniati, S.T., M.T., Ph.D.</v>
      </c>
      <c r="I300" s="1" t="str">
        <f ca="1">IFERROR(__xludf.DUMMYFUNCTION("""COMPUTED_VALUE"""),"LALU YUSUF HAIDAR")</f>
        <v>LALU YUSUF HAIDAR</v>
      </c>
      <c r="J300" s="1" t="str">
        <f ca="1">IFERROR(__xludf.DUMMYFUNCTION("""COMPUTED_VALUE"""),"5010201018")</f>
        <v>5010201018</v>
      </c>
      <c r="K300" s="1" t="str">
        <f ca="1">IFERROR(__xludf.DUMMYFUNCTION("""COMPUTED_VALUE"""),"Departemen Teknik Sistem dan Industri")</f>
        <v>Departemen Teknik Sistem dan Industri</v>
      </c>
      <c r="L300" s="1" t="str">
        <f ca="1">IFERROR(__xludf.DUMMYFUNCTION("""COMPUTED_VALUE"""),"AULIA RISMAWATI")</f>
        <v>AULIA RISMAWATI</v>
      </c>
      <c r="M300" s="1" t="str">
        <f ca="1">IFERROR(__xludf.DUMMYFUNCTION("""COMPUTED_VALUE"""),"5010201027")</f>
        <v>5010201027</v>
      </c>
      <c r="N300" s="1" t="str">
        <f ca="1">IFERROR(__xludf.DUMMYFUNCTION("""COMPUTED_VALUE"""),"Departemen Teknik Sistem dan Industri")</f>
        <v>Departemen Teknik Sistem dan Industri</v>
      </c>
      <c r="O300" s="1" t="str">
        <f ca="1">IFERROR(__xludf.DUMMYFUNCTION("""COMPUTED_VALUE"""),"RIZTYA ZAHRA A")</f>
        <v>RIZTYA ZAHRA A</v>
      </c>
      <c r="P300" s="1" t="str">
        <f ca="1">IFERROR(__xludf.DUMMYFUNCTION("""COMPUTED_VALUE"""),"5010211082")</f>
        <v>5010211082</v>
      </c>
      <c r="Q300" s="1" t="str">
        <f ca="1">IFERROR(__xludf.DUMMYFUNCTION("""COMPUTED_VALUE"""),"Departemen Teknik Sistem dan Industri")</f>
        <v>Departemen Teknik Sistem dan Industri</v>
      </c>
      <c r="R300" s="1" t="str">
        <f ca="1">IFERROR(__xludf.DUMMYFUNCTION("""COMPUTED_VALUE"""),"MUHAMMAD HANAN ADLI ")</f>
        <v xml:space="preserve">MUHAMMAD HANAN ADLI </v>
      </c>
      <c r="S300" s="1" t="str">
        <f ca="1">IFERROR(__xludf.DUMMYFUNCTION("""COMPUTED_VALUE"""),"5010211156")</f>
        <v>5010211156</v>
      </c>
      <c r="T300" s="1" t="str">
        <f ca="1">IFERROR(__xludf.DUMMYFUNCTION("""COMPUTED_VALUE"""),"Departemen Teknik Sistem dan Industri")</f>
        <v>Departemen Teknik Sistem dan Industri</v>
      </c>
      <c r="U300" s="1" t="str">
        <f ca="1">IFERROR(__xludf.DUMMYFUNCTION("""COMPUTED_VALUE"""),"Ervin Nurhayati, S.T., M.T., Ph.D.")</f>
        <v>Ervin Nurhayati, S.T., M.T., Ph.D.</v>
      </c>
      <c r="V300" s="1" t="str">
        <f ca="1">IFERROR(__xludf.DUMMYFUNCTION("""COMPUTED_VALUE"""),"Putu Gde Ariastita, S.T., M.T.")</f>
        <v>Putu Gde Ariastita, S.T., M.T.</v>
      </c>
      <c r="W300" s="1"/>
      <c r="X300" s="1" t="str">
        <f ca="1">IFERROR(__xludf.DUMMYFUNCTION("""COMPUTED_VALUE"""),"Lolos")</f>
        <v>Lolos</v>
      </c>
      <c r="Y300" s="1"/>
      <c r="Z300" s="1"/>
      <c r="AA300" s="1"/>
    </row>
    <row r="301" spans="1:27">
      <c r="A301" s="1" t="s">
        <v>296</v>
      </c>
      <c r="B301" s="1">
        <f ca="1">IFERROR(__xludf.DUMMYFUNCTION("""COMPUTED_VALUE"""),2454)</f>
        <v>2454</v>
      </c>
      <c r="C301" s="1" t="str">
        <f ca="1">IFERROR(__xludf.DUMMYFUNCTION("""COMPUTED_VALUE"""),"PKM Karsa Cipta")</f>
        <v>PKM Karsa Cipta</v>
      </c>
      <c r="D301" s="1" t="str">
        <f ca="1">IFERROR(__xludf.DUMMYFUNCTION("""COMPUTED_VALUE"""),"RANCANG BANGUN SISTEM PENGENDALIAN pH PADA TANGKI PENCAMPURAN BERBASIS INTERNET OF THINGS (IOT) UNTUK MENDUKUNG PRAKTIKUM INSTRUMENTASI DAN PENGENDALIAN PROSES")</f>
        <v>RANCANG BANGUN SISTEM PENGENDALIAN pH PADA TANGKI PENCAMPURAN BERBASIS INTERNET OF THINGS (IOT) UNTUK MENDUKUNG PRAKTIKUM INSTRUMENTASI DAN PENGENDALIAN PROSES</v>
      </c>
      <c r="E301" s="1" t="str">
        <f ca="1">IFERROR(__xludf.DUMMYFUNCTION("""COMPUTED_VALUE"""),"ANNISA DHEA WIDYANTI")</f>
        <v>ANNISA DHEA WIDYANTI</v>
      </c>
      <c r="F301" s="1" t="str">
        <f ca="1">IFERROR(__xludf.DUMMYFUNCTION("""COMPUTED_VALUE"""),"10411810000044")</f>
        <v>10411810000044</v>
      </c>
      <c r="G301" s="1" t="str">
        <f ca="1">IFERROR(__xludf.DUMMYFUNCTION("""COMPUTED_VALUE"""),"Departemen Teknik Kimia Industri")</f>
        <v>Departemen Teknik Kimia Industri</v>
      </c>
      <c r="H301" s="1" t="str">
        <f ca="1">IFERROR(__xludf.DUMMYFUNCTION("""COMPUTED_VALUE"""),"Daril Ridho Zuchrillah, S.T., M.T.")</f>
        <v>Daril Ridho Zuchrillah, S.T., M.T.</v>
      </c>
      <c r="I301" s="1" t="str">
        <f ca="1">IFERROR(__xludf.DUMMYFUNCTION("""COMPUTED_VALUE"""),"HALIMATUS SYADIAH")</f>
        <v>HALIMATUS SYADIAH</v>
      </c>
      <c r="J301" s="1" t="str">
        <f ca="1">IFERROR(__xludf.DUMMYFUNCTION("""COMPUTED_VALUE"""),"10411810000042")</f>
        <v>10411810000042</v>
      </c>
      <c r="K301" s="1" t="str">
        <f ca="1">IFERROR(__xludf.DUMMYFUNCTION("""COMPUTED_VALUE"""),"Departemen Teknik Kimia Industri")</f>
        <v>Departemen Teknik Kimia Industri</v>
      </c>
      <c r="L301" s="1" t="str">
        <f ca="1">IFERROR(__xludf.DUMMYFUNCTION("""COMPUTED_VALUE"""),"QURIN LAILI SOLIKHATIN ")</f>
        <v xml:space="preserve">QURIN LAILI SOLIKHATIN </v>
      </c>
      <c r="M301" s="1" t="str">
        <f ca="1">IFERROR(__xludf.DUMMYFUNCTION("""COMPUTED_VALUE"""),"10411910000040")</f>
        <v>10411910000040</v>
      </c>
      <c r="N301" s="1" t="str">
        <f ca="1">IFERROR(__xludf.DUMMYFUNCTION("""COMPUTED_VALUE"""),"Departemen Teknik Kimia Industri")</f>
        <v>Departemen Teknik Kimia Industri</v>
      </c>
      <c r="O301" s="1" t="str">
        <f ca="1">IFERROR(__xludf.DUMMYFUNCTION("""COMPUTED_VALUE"""),"ARWINATA DHIYAA RAMADHAN")</f>
        <v>ARWINATA DHIYAA RAMADHAN</v>
      </c>
      <c r="P301" s="1" t="str">
        <f ca="1">IFERROR(__xludf.DUMMYFUNCTION("""COMPUTED_VALUE"""),"10411910000035")</f>
        <v>10411910000035</v>
      </c>
      <c r="Q301" s="1" t="str">
        <f ca="1">IFERROR(__xludf.DUMMYFUNCTION("""COMPUTED_VALUE"""),"Departemen Teknik Kimia Industri")</f>
        <v>Departemen Teknik Kimia Industri</v>
      </c>
      <c r="R301" s="1"/>
      <c r="S301" s="1"/>
      <c r="T301" s="1"/>
      <c r="U301" s="1" t="str">
        <f ca="1">IFERROR(__xludf.DUMMYFUNCTION("""COMPUTED_VALUE"""),"Sefi Novendra Patrialova, S.Si., M.T")</f>
        <v>Sefi Novendra Patrialova, S.Si., M.T</v>
      </c>
      <c r="V301" s="1" t="str">
        <f ca="1">IFERROR(__xludf.DUMMYFUNCTION("""COMPUTED_VALUE"""),"Yasmin Zainul Mochtar, S.T., M.A.")</f>
        <v>Yasmin Zainul Mochtar, S.T., M.A.</v>
      </c>
      <c r="W301" s="1"/>
      <c r="X301" s="1" t="str">
        <f ca="1">IFERROR(__xludf.DUMMYFUNCTION("""COMPUTED_VALUE"""),"Lolos")</f>
        <v>Lolos</v>
      </c>
      <c r="Y301" s="1"/>
      <c r="Z301" s="1"/>
      <c r="AA301" s="1"/>
    </row>
    <row r="302" spans="1:27">
      <c r="A302" s="1" t="s">
        <v>297</v>
      </c>
      <c r="B302" s="1">
        <f ca="1">IFERROR(__xludf.DUMMYFUNCTION("""COMPUTED_VALUE"""),2571)</f>
        <v>2571</v>
      </c>
      <c r="C302" s="1" t="str">
        <f ca="1">IFERROR(__xludf.DUMMYFUNCTION("""COMPUTED_VALUE"""),"PKM Karsa Cipta")</f>
        <v>PKM Karsa Cipta</v>
      </c>
      <c r="D302" s="1" t="str">
        <f ca="1">IFERROR(__xludf.DUMMYFUNCTION("""COMPUTED_VALUE"""),"Pembangkit Listrik portable Bermedia Alat Olahraga dengan Tenaga Manusia untuk Membangkitkan Listrik")</f>
        <v>Pembangkit Listrik portable Bermedia Alat Olahraga dengan Tenaga Manusia untuk Membangkitkan Listrik</v>
      </c>
      <c r="E302" s="1" t="str">
        <f ca="1">IFERROR(__xludf.DUMMYFUNCTION("""COMPUTED_VALUE"""),"ARIEL KEVIN SAMUEL HAMONANGAN HUTABARAT")</f>
        <v>ARIEL KEVIN SAMUEL HAMONANGAN HUTABARAT</v>
      </c>
      <c r="F302" s="1" t="str">
        <f ca="1">IFERROR(__xludf.DUMMYFUNCTION("""COMPUTED_VALUE"""),"07111940000101")</f>
        <v>07111940000101</v>
      </c>
      <c r="G302" s="1" t="str">
        <f ca="1">IFERROR(__xludf.DUMMYFUNCTION("""COMPUTED_VALUE"""),"Departemen Teknik Elektro")</f>
        <v>Departemen Teknik Elektro</v>
      </c>
      <c r="H302" s="1" t="str">
        <f ca="1">IFERROR(__xludf.DUMMYFUNCTION("""COMPUTED_VALUE"""),"Dimas Anton Asfani, S.T., M.T., Ph.D.")</f>
        <v>Dimas Anton Asfani, S.T., M.T., Ph.D.</v>
      </c>
      <c r="I302" s="1" t="str">
        <f ca="1">IFERROR(__xludf.DUMMYFUNCTION("""COMPUTED_VALUE"""),"BAGUS SEPTIANTO")</f>
        <v>BAGUS SEPTIANTO</v>
      </c>
      <c r="J302" s="1" t="str">
        <f ca="1">IFERROR(__xludf.DUMMYFUNCTION("""COMPUTED_VALUE"""),"07111940000081")</f>
        <v>07111940000081</v>
      </c>
      <c r="K302" s="1" t="str">
        <f ca="1">IFERROR(__xludf.DUMMYFUNCTION("""COMPUTED_VALUE"""),"Departemen Teknik Elektro")</f>
        <v>Departemen Teknik Elektro</v>
      </c>
      <c r="L302" s="1" t="str">
        <f ca="1">IFERROR(__xludf.DUMMYFUNCTION("""COMPUTED_VALUE"""),"ACHMAD DJOHAN PRAYOGI")</f>
        <v>ACHMAD DJOHAN PRAYOGI</v>
      </c>
      <c r="M302" s="1" t="str">
        <f ca="1">IFERROR(__xludf.DUMMYFUNCTION("""COMPUTED_VALUE"""),"07111940000153")</f>
        <v>07111940000153</v>
      </c>
      <c r="N302" s="1" t="str">
        <f ca="1">IFERROR(__xludf.DUMMYFUNCTION("""COMPUTED_VALUE"""),"Departemen Teknik Elektro")</f>
        <v>Departemen Teknik Elektro</v>
      </c>
      <c r="O302" s="1" t="str">
        <f ca="1">IFERROR(__xludf.DUMMYFUNCTION("""COMPUTED_VALUE"""),"Kurniawan Satriyo Aji")</f>
        <v>Kurniawan Satriyo Aji</v>
      </c>
      <c r="P302" s="1" t="str">
        <f ca="1">IFERROR(__xludf.DUMMYFUNCTION("""COMPUTED_VALUE"""),"07111940000010")</f>
        <v>07111940000010</v>
      </c>
      <c r="Q302" s="1" t="str">
        <f ca="1">IFERROR(__xludf.DUMMYFUNCTION("""COMPUTED_VALUE"""),"Departemen Teknik Elektro")</f>
        <v>Departemen Teknik Elektro</v>
      </c>
      <c r="R302" s="1" t="str">
        <f ca="1">IFERROR(__xludf.DUMMYFUNCTION("""COMPUTED_VALUE"""),"MUHAMMAD LUJJAINI DANI")</f>
        <v>MUHAMMAD LUJJAINI DANI</v>
      </c>
      <c r="S302" s="1" t="str">
        <f ca="1">IFERROR(__xludf.DUMMYFUNCTION("""COMPUTED_VALUE"""),"07111940000135")</f>
        <v>07111940000135</v>
      </c>
      <c r="T302" s="1" t="str">
        <f ca="1">IFERROR(__xludf.DUMMYFUNCTION("""COMPUTED_VALUE"""),"Departemen Teknik Elektro")</f>
        <v>Departemen Teknik Elektro</v>
      </c>
      <c r="U302" s="1" t="str">
        <f ca="1">IFERROR(__xludf.DUMMYFUNCTION("""COMPUTED_VALUE"""),"Sefi Novendra Patrialova, S.Si., M.T")</f>
        <v>Sefi Novendra Patrialova, S.Si., M.T</v>
      </c>
      <c r="V302" s="1" t="str">
        <f ca="1">IFERROR(__xludf.DUMMYFUNCTION("""COMPUTED_VALUE"""),"Safira Firdaus Mujiyanti, S.T., M.T.")</f>
        <v>Safira Firdaus Mujiyanti, S.T., M.T.</v>
      </c>
      <c r="W302" s="1"/>
      <c r="X302" s="1" t="str">
        <f ca="1">IFERROR(__xludf.DUMMYFUNCTION("""COMPUTED_VALUE"""),"Lolos")</f>
        <v>Lolos</v>
      </c>
      <c r="Y302" s="1"/>
      <c r="Z302" s="1"/>
      <c r="AA302" s="1"/>
    </row>
    <row r="303" spans="1:27">
      <c r="A303" s="1" t="s">
        <v>298</v>
      </c>
      <c r="B303" s="1">
        <f ca="1">IFERROR(__xludf.DUMMYFUNCTION("""COMPUTED_VALUE"""),3396)</f>
        <v>3396</v>
      </c>
      <c r="C303" s="1" t="str">
        <f ca="1">IFERROR(__xludf.DUMMYFUNCTION("""COMPUTED_VALUE"""),"PKM Karsa Cipta")</f>
        <v>PKM Karsa Cipta</v>
      </c>
      <c r="D303" s="1" t="str">
        <f ca="1">IFERROR(__xludf.DUMMYFUNCTION("""COMPUTED_VALUE"""),"OTOSLICE (Automatic Slicer) : Pemotong Otomatis dengan Prinsip Karakuri Guna Meningkatkan Efisiensi Proses Memasak
")</f>
        <v xml:space="preserve">OTOSLICE (Automatic Slicer) : Pemotong Otomatis dengan Prinsip Karakuri Guna Meningkatkan Efisiensi Proses Memasak
</v>
      </c>
      <c r="E303" s="1" t="str">
        <f ca="1">IFERROR(__xludf.DUMMYFUNCTION("""COMPUTED_VALUE"""),"ACHMAD  SYAMSURI")</f>
        <v>ACHMAD  SYAMSURI</v>
      </c>
      <c r="F303" s="1" t="str">
        <f ca="1">IFERROR(__xludf.DUMMYFUNCTION("""COMPUTED_VALUE"""),"5010201179")</f>
        <v>5010201179</v>
      </c>
      <c r="G303" s="1" t="str">
        <f ca="1">IFERROR(__xludf.DUMMYFUNCTION("""COMPUTED_VALUE"""),"Departemen Teknik Sistem dan Industri")</f>
        <v>Departemen Teknik Sistem dan Industri</v>
      </c>
      <c r="H303" s="1" t="str">
        <f ca="1">IFERROR(__xludf.DUMMYFUNCTION("""COMPUTED_VALUE"""),"Putu Dana Karningsih, S.T., M.Eng.Sc., Ph.D.")</f>
        <v>Putu Dana Karningsih, S.T., M.Eng.Sc., Ph.D.</v>
      </c>
      <c r="I303" s="1" t="str">
        <f ca="1">IFERROR(__xludf.DUMMYFUNCTION("""COMPUTED_VALUE"""),"NISHRINA AGUSTIN")</f>
        <v>NISHRINA AGUSTIN</v>
      </c>
      <c r="J303" s="1" t="str">
        <f ca="1">IFERROR(__xludf.DUMMYFUNCTION("""COMPUTED_VALUE"""),"5010201015")</f>
        <v>5010201015</v>
      </c>
      <c r="K303" s="1" t="str">
        <f ca="1">IFERROR(__xludf.DUMMYFUNCTION("""COMPUTED_VALUE"""),"Departemen Teknik Sistem dan Industri")</f>
        <v>Departemen Teknik Sistem dan Industri</v>
      </c>
      <c r="L303" s="1" t="str">
        <f ca="1">IFERROR(__xludf.DUMMYFUNCTION("""COMPUTED_VALUE"""),"Khansa Az-Zahra")</f>
        <v>Khansa Az-Zahra</v>
      </c>
      <c r="M303" s="1" t="str">
        <f ca="1">IFERROR(__xludf.DUMMYFUNCTION("""COMPUTED_VALUE"""),"5010211029")</f>
        <v>5010211029</v>
      </c>
      <c r="N303" s="1" t="str">
        <f ca="1">IFERROR(__xludf.DUMMYFUNCTION("""COMPUTED_VALUE"""),"Departemen Teknik Sistem dan Industri")</f>
        <v>Departemen Teknik Sistem dan Industri</v>
      </c>
      <c r="O303" s="1" t="str">
        <f ca="1">IFERROR(__xludf.DUMMYFUNCTION("""COMPUTED_VALUE"""),"Rahfi Abdul Qodhar")</f>
        <v>Rahfi Abdul Qodhar</v>
      </c>
      <c r="P303" s="1" t="str">
        <f ca="1">IFERROR(__xludf.DUMMYFUNCTION("""COMPUTED_VALUE"""),"5010211032")</f>
        <v>5010211032</v>
      </c>
      <c r="Q303" s="1" t="str">
        <f ca="1">IFERROR(__xludf.DUMMYFUNCTION("""COMPUTED_VALUE"""),"Departemen Teknik Sistem dan Industri")</f>
        <v>Departemen Teknik Sistem dan Industri</v>
      </c>
      <c r="R303" s="1"/>
      <c r="S303" s="1"/>
      <c r="T303" s="1"/>
      <c r="U303" s="1" t="str">
        <f ca="1">IFERROR(__xludf.DUMMYFUNCTION("""COMPUTED_VALUE"""),"Sefi Novendra Patrialova, S.Si., M.T")</f>
        <v>Sefi Novendra Patrialova, S.Si., M.T</v>
      </c>
      <c r="V303" s="1" t="str">
        <f ca="1">IFERROR(__xludf.DUMMYFUNCTION("""COMPUTED_VALUE"""),"Yasmin Zainul Mochtar, S.T., M.A.")</f>
        <v>Yasmin Zainul Mochtar, S.T., M.A.</v>
      </c>
      <c r="W303" s="1"/>
      <c r="X303" s="1" t="str">
        <f ca="1">IFERROR(__xludf.DUMMYFUNCTION("""COMPUTED_VALUE"""),"Lolos")</f>
        <v>Lolos</v>
      </c>
      <c r="Y303" s="1"/>
      <c r="Z303" s="1"/>
      <c r="AA303" s="1"/>
    </row>
    <row r="304" spans="1:27">
      <c r="A304" s="1" t="s">
        <v>299</v>
      </c>
      <c r="B304" s="1">
        <f ca="1">IFERROR(__xludf.DUMMYFUNCTION("""COMPUTED_VALUE"""),2535)</f>
        <v>2535</v>
      </c>
      <c r="C304" s="1" t="str">
        <f ca="1">IFERROR(__xludf.DUMMYFUNCTION("""COMPUTED_VALUE"""),"PKM Karsa Cipta")</f>
        <v>PKM Karsa Cipta</v>
      </c>
      <c r="D304" s="1" t="str">
        <f ca="1">IFERROR(__xludf.DUMMYFUNCTION("""COMPUTED_VALUE"""),"Pemanfaatan Karakuri Pada Proses Plorodan untuk Meningkatkan Efisiensi dan Efektifitas Produksi Kain Batik")</f>
        <v>Pemanfaatan Karakuri Pada Proses Plorodan untuk Meningkatkan Efisiensi dan Efektifitas Produksi Kain Batik</v>
      </c>
      <c r="E304" s="1" t="str">
        <f ca="1">IFERROR(__xludf.DUMMYFUNCTION("""COMPUTED_VALUE"""),"KAMILA NUR ROSYA")</f>
        <v>KAMILA NUR ROSYA</v>
      </c>
      <c r="F304" s="1" t="str">
        <f ca="1">IFERROR(__xludf.DUMMYFUNCTION("""COMPUTED_VALUE"""),"5010201075")</f>
        <v>5010201075</v>
      </c>
      <c r="G304" s="1" t="str">
        <f ca="1">IFERROR(__xludf.DUMMYFUNCTION("""COMPUTED_VALUE"""),"Departemen Teknik Sistem dan Industri")</f>
        <v>Departemen Teknik Sistem dan Industri</v>
      </c>
      <c r="H304" s="1" t="str">
        <f ca="1">IFERROR(__xludf.DUMMYFUNCTION("""COMPUTED_VALUE"""),"H.Ir. Hari Supriyanto, MSIE.")</f>
        <v>H.Ir. Hari Supriyanto, MSIE.</v>
      </c>
      <c r="I304" s="1" t="str">
        <f ca="1">IFERROR(__xludf.DUMMYFUNCTION("""COMPUTED_VALUE"""),"SITI AISYAH NOR HALISA")</f>
        <v>SITI AISYAH NOR HALISA</v>
      </c>
      <c r="J304" s="1" t="str">
        <f ca="1">IFERROR(__xludf.DUMMYFUNCTION("""COMPUTED_VALUE"""),"5010201006")</f>
        <v>5010201006</v>
      </c>
      <c r="K304" s="1" t="str">
        <f ca="1">IFERROR(__xludf.DUMMYFUNCTION("""COMPUTED_VALUE"""),"Departemen Teknik Sistem dan Industri")</f>
        <v>Departemen Teknik Sistem dan Industri</v>
      </c>
      <c r="L304" s="1" t="str">
        <f ca="1">IFERROR(__xludf.DUMMYFUNCTION("""COMPUTED_VALUE"""),"NAUFFAL SYAHNEZHA THALIB")</f>
        <v>NAUFFAL SYAHNEZHA THALIB</v>
      </c>
      <c r="M304" s="1" t="str">
        <f ca="1">IFERROR(__xludf.DUMMYFUNCTION("""COMPUTED_VALUE"""),"5010201060")</f>
        <v>5010201060</v>
      </c>
      <c r="N304" s="1" t="str">
        <f ca="1">IFERROR(__xludf.DUMMYFUNCTION("""COMPUTED_VALUE"""),"Departemen Teknik Sistem dan Industri")</f>
        <v>Departemen Teknik Sistem dan Industri</v>
      </c>
      <c r="O304" s="1" t="str">
        <f ca="1">IFERROR(__xludf.DUMMYFUNCTION("""COMPUTED_VALUE"""),"Nabila Amanda F")</f>
        <v>Nabila Amanda F</v>
      </c>
      <c r="P304" s="1" t="str">
        <f ca="1">IFERROR(__xludf.DUMMYFUNCTION("""COMPUTED_VALUE"""),"5010211009")</f>
        <v>5010211009</v>
      </c>
      <c r="Q304" s="1" t="str">
        <f ca="1">IFERROR(__xludf.DUMMYFUNCTION("""COMPUTED_VALUE"""),"Departemen Teknik Sistem dan Industri")</f>
        <v>Departemen Teknik Sistem dan Industri</v>
      </c>
      <c r="R304" s="1" t="str">
        <f ca="1">IFERROR(__xludf.DUMMYFUNCTION("""COMPUTED_VALUE"""),"ROSSA TRIANA E")</f>
        <v>ROSSA TRIANA E</v>
      </c>
      <c r="S304" s="1" t="str">
        <f ca="1">IFERROR(__xludf.DUMMYFUNCTION("""COMPUTED_VALUE"""),"5010211083")</f>
        <v>5010211083</v>
      </c>
      <c r="T304" s="1" t="str">
        <f ca="1">IFERROR(__xludf.DUMMYFUNCTION("""COMPUTED_VALUE"""),"Departemen Teknik Sistem dan Industri")</f>
        <v>Departemen Teknik Sistem dan Industri</v>
      </c>
      <c r="U304" s="1" t="str">
        <f ca="1">IFERROR(__xludf.DUMMYFUNCTION("""COMPUTED_VALUE"""),"Sefi Novendra Patrialova, S.Si., M.T")</f>
        <v>Sefi Novendra Patrialova, S.Si., M.T</v>
      </c>
      <c r="V304" s="1" t="str">
        <f ca="1">IFERROR(__xludf.DUMMYFUNCTION("""COMPUTED_VALUE"""),"Yasmin Zainul Mochtar, S.T., M.A.")</f>
        <v>Yasmin Zainul Mochtar, S.T., M.A.</v>
      </c>
      <c r="W304" s="1"/>
      <c r="X304" s="1" t="str">
        <f ca="1">IFERROR(__xludf.DUMMYFUNCTION("""COMPUTED_VALUE"""),"Lolos")</f>
        <v>Lolos</v>
      </c>
      <c r="Y304" s="1"/>
      <c r="Z304" s="1"/>
      <c r="AA304" s="1"/>
    </row>
    <row r="305" spans="1:27">
      <c r="A305" s="1" t="s">
        <v>300</v>
      </c>
      <c r="B305" s="1">
        <f ca="1">IFERROR(__xludf.DUMMYFUNCTION("""COMPUTED_VALUE"""),3699)</f>
        <v>3699</v>
      </c>
      <c r="C305" s="1" t="str">
        <f ca="1">IFERROR(__xludf.DUMMYFUNCTION("""COMPUTED_VALUE"""),"PKM Karsa Cipta")</f>
        <v>PKM Karsa Cipta</v>
      </c>
      <c r="D305" s="1" t="str">
        <f ca="1">IFERROR(__xludf.DUMMYFUNCTION("""COMPUTED_VALUE"""),"Sistem Monitoring Lokasi dan Kondisi Berbasis LoRa dan GPS Guna Mengurangi Risiko Kecelakaan pada Pendaki Gunung")</f>
        <v>Sistem Monitoring Lokasi dan Kondisi Berbasis LoRa dan GPS Guna Mengurangi Risiko Kecelakaan pada Pendaki Gunung</v>
      </c>
      <c r="E305" s="1" t="str">
        <f ca="1">IFERROR(__xludf.DUMMYFUNCTION("""COMPUTED_VALUE"""),"ANDRY PRASETYO")</f>
        <v>ANDRY PRASETYO</v>
      </c>
      <c r="F305" s="1" t="str">
        <f ca="1">IFERROR(__xludf.DUMMYFUNCTION("""COMPUTED_VALUE"""),"5001201036")</f>
        <v>5001201036</v>
      </c>
      <c r="G305" s="1" t="str">
        <f ca="1">IFERROR(__xludf.DUMMYFUNCTION("""COMPUTED_VALUE"""),"Departemen Fisika")</f>
        <v>Departemen Fisika</v>
      </c>
      <c r="H305" s="1" t="str">
        <f ca="1">IFERROR(__xludf.DUMMYFUNCTION("""COMPUTED_VALUE"""),"Drs. Bachtera Indarto, M.Si.")</f>
        <v>Drs. Bachtera Indarto, M.Si.</v>
      </c>
      <c r="I305" s="1" t="str">
        <f ca="1">IFERROR(__xludf.DUMMYFUNCTION("""COMPUTED_VALUE"""),"CINDI DWI PRAMUDITA")</f>
        <v>CINDI DWI PRAMUDITA</v>
      </c>
      <c r="J305" s="1" t="str">
        <f ca="1">IFERROR(__xludf.DUMMYFUNCTION("""COMPUTED_VALUE"""),"5025201042")</f>
        <v>5025201042</v>
      </c>
      <c r="K305" s="1" t="str">
        <f ca="1">IFERROR(__xludf.DUMMYFUNCTION("""COMPUTED_VALUE"""),"Departemen Teknik Informatika")</f>
        <v>Departemen Teknik Informatika</v>
      </c>
      <c r="L305" s="1" t="str">
        <f ca="1">IFERROR(__xludf.DUMMYFUNCTION("""COMPUTED_VALUE"""),"AULIA AMJAD LUTFI")</f>
        <v>AULIA AMJAD LUTFI</v>
      </c>
      <c r="M305" s="1" t="str">
        <f ca="1">IFERROR(__xludf.DUMMYFUNCTION("""COMPUTED_VALUE"""),"07111940000145")</f>
        <v>07111940000145</v>
      </c>
      <c r="N305" s="1" t="str">
        <f ca="1">IFERROR(__xludf.DUMMYFUNCTION("""COMPUTED_VALUE"""),"Departemen Teknik Elektro")</f>
        <v>Departemen Teknik Elektro</v>
      </c>
      <c r="O305" s="1" t="str">
        <f ca="1">IFERROR(__xludf.DUMMYFUNCTION("""COMPUTED_VALUE"""),"ARNOLD SIDIPRASETIJA")</f>
        <v>ARNOLD SIDIPRASETIJA</v>
      </c>
      <c r="P305" s="1" t="str">
        <f ca="1">IFERROR(__xludf.DUMMYFUNCTION("""COMPUTED_VALUE"""),"07211940000035")</f>
        <v>07211940000035</v>
      </c>
      <c r="Q305" s="1" t="str">
        <f ca="1">IFERROR(__xludf.DUMMYFUNCTION("""COMPUTED_VALUE"""),"Departemen Teknik Komputer")</f>
        <v>Departemen Teknik Komputer</v>
      </c>
      <c r="R305" s="1" t="str">
        <f ca="1">IFERROR(__xludf.DUMMYFUNCTION("""COMPUTED_VALUE"""),"NATHANAEL HUTAMA HARSONO")</f>
        <v>NATHANAEL HUTAMA HARSONO</v>
      </c>
      <c r="S305" s="1" t="str">
        <f ca="1">IFERROR(__xludf.DUMMYFUNCTION("""COMPUTED_VALUE"""),"07211940000044")</f>
        <v>07211940000044</v>
      </c>
      <c r="T305" s="1" t="str">
        <f ca="1">IFERROR(__xludf.DUMMYFUNCTION("""COMPUTED_VALUE"""),"Departemen Teknik Komputer")</f>
        <v>Departemen Teknik Komputer</v>
      </c>
      <c r="U305" s="1" t="str">
        <f ca="1">IFERROR(__xludf.DUMMYFUNCTION("""COMPUTED_VALUE"""),"Ervin Nurhayati, S.T., M.T., Ph.D.")</f>
        <v>Ervin Nurhayati, S.T., M.T., Ph.D.</v>
      </c>
      <c r="V305" s="1" t="str">
        <f ca="1">IFERROR(__xludf.DUMMYFUNCTION("""COMPUTED_VALUE"""),"Mahardika F. Rois, S.T, M.T")</f>
        <v>Mahardika F. Rois, S.T, M.T</v>
      </c>
      <c r="W305" s="1"/>
      <c r="X305" s="1" t="str">
        <f ca="1">IFERROR(__xludf.DUMMYFUNCTION("""COMPUTED_VALUE"""),"Lolos")</f>
        <v>Lolos</v>
      </c>
      <c r="Y305" s="1"/>
      <c r="Z305" s="1"/>
      <c r="AA305" s="1"/>
    </row>
    <row r="306" spans="1:27">
      <c r="A306" s="1" t="s">
        <v>301</v>
      </c>
      <c r="B306" s="1">
        <f ca="1">IFERROR(__xludf.DUMMYFUNCTION("""COMPUTED_VALUE"""),4067)</f>
        <v>4067</v>
      </c>
      <c r="C306" s="1" t="str">
        <f ca="1">IFERROR(__xludf.DUMMYFUNCTION("""COMPUTED_VALUE"""),"PKM Karsa Cipta")</f>
        <v>PKM Karsa Cipta</v>
      </c>
      <c r="D306" s="1" t="str">
        <f ca="1">IFERROR(__xludf.DUMMYFUNCTION("""COMPUTED_VALUE"""),"CLEAN.TECH: Alat Pemisah Microplastics dalam Air Berbasis IoT dengan Metode Ferrofluids Magnetic sebagai Penanggulangan Water Pollution")</f>
        <v>CLEAN.TECH: Alat Pemisah Microplastics dalam Air Berbasis IoT dengan Metode Ferrofluids Magnetic sebagai Penanggulangan Water Pollution</v>
      </c>
      <c r="E306" s="1" t="str">
        <f ca="1">IFERROR(__xludf.DUMMYFUNCTION("""COMPUTED_VALUE"""),"GRACIELLA DEVI A.")</f>
        <v>GRACIELLA DEVI A.</v>
      </c>
      <c r="F306" s="1" t="str">
        <f ca="1">IFERROR(__xludf.DUMMYFUNCTION("""COMPUTED_VALUE"""),"5008211016")</f>
        <v>5008211016</v>
      </c>
      <c r="G306" s="1" t="str">
        <f ca="1">IFERROR(__xludf.DUMMYFUNCTION("""COMPUTED_VALUE"""),"Departemen Teknik Kimia")</f>
        <v>Departemen Teknik Kimia</v>
      </c>
      <c r="H306" s="1" t="str">
        <f ca="1">IFERROR(__xludf.DUMMYFUNCTION("""COMPUTED_VALUE"""),"Dr. Yeni Rahmawati, S.T., M.T.")</f>
        <v>Dr. Yeni Rahmawati, S.T., M.T.</v>
      </c>
      <c r="I306" s="1" t="str">
        <f ca="1">IFERROR(__xludf.DUMMYFUNCTION("""COMPUTED_VALUE"""),"Dhiya Rafidah P.")</f>
        <v>Dhiya Rafidah P.</v>
      </c>
      <c r="J306" s="1" t="str">
        <f ca="1">IFERROR(__xludf.DUMMYFUNCTION("""COMPUTED_VALUE"""),"5008211106")</f>
        <v>5008211106</v>
      </c>
      <c r="K306" s="1" t="str">
        <f ca="1">IFERROR(__xludf.DUMMYFUNCTION("""COMPUTED_VALUE"""),"Departemen Teknik Kimia")</f>
        <v>Departemen Teknik Kimia</v>
      </c>
      <c r="L306" s="1" t="str">
        <f ca="1">IFERROR(__xludf.DUMMYFUNCTION("""COMPUTED_VALUE"""),"ZAHRANI R S")</f>
        <v>ZAHRANI R S</v>
      </c>
      <c r="M306" s="1" t="str">
        <f ca="1">IFERROR(__xludf.DUMMYFUNCTION("""COMPUTED_VALUE"""),"5008211013")</f>
        <v>5008211013</v>
      </c>
      <c r="N306" s="1" t="str">
        <f ca="1">IFERROR(__xludf.DUMMYFUNCTION("""COMPUTED_VALUE"""),"Departemen Teknik Kimia")</f>
        <v>Departemen Teknik Kimia</v>
      </c>
      <c r="O306" s="1" t="str">
        <f ca="1">IFERROR(__xludf.DUMMYFUNCTION("""COMPUTED_VALUE"""),"FINDA SETYACAHYANI P")</f>
        <v>FINDA SETYACAHYANI P</v>
      </c>
      <c r="P306" s="1" t="str">
        <f ca="1">IFERROR(__xludf.DUMMYFUNCTION("""COMPUTED_VALUE"""),"5008211035")</f>
        <v>5008211035</v>
      </c>
      <c r="Q306" s="1" t="str">
        <f ca="1">IFERROR(__xludf.DUMMYFUNCTION("""COMPUTED_VALUE"""),"Departemen Teknik Kimia")</f>
        <v>Departemen Teknik Kimia</v>
      </c>
      <c r="R306" s="1" t="str">
        <f ca="1">IFERROR(__xludf.DUMMYFUNCTION("""COMPUTED_VALUE"""),"Nisrina Arifatul H.")</f>
        <v>Nisrina Arifatul H.</v>
      </c>
      <c r="S306" s="1" t="str">
        <f ca="1">IFERROR(__xludf.DUMMYFUNCTION("""COMPUTED_VALUE"""),"5004211091")</f>
        <v>5004211091</v>
      </c>
      <c r="T306" s="1" t="str">
        <f ca="1">IFERROR(__xludf.DUMMYFUNCTION("""COMPUTED_VALUE"""),"Departemen Kimia")</f>
        <v>Departemen Kimia</v>
      </c>
      <c r="U306" s="1" t="str">
        <f ca="1">IFERROR(__xludf.DUMMYFUNCTION("""COMPUTED_VALUE"""),"Dr.Eng. Chastine Fatichah, S.Kom., M.Kom.")</f>
        <v>Dr.Eng. Chastine Fatichah, S.Kom., M.Kom.</v>
      </c>
      <c r="V306" s="1" t="str">
        <f ca="1">IFERROR(__xludf.DUMMYFUNCTION("""COMPUTED_VALUE"""),"Dr.-Ing. Doty Dewi Risanti, S.T., M.T.")</f>
        <v>Dr.-Ing. Doty Dewi Risanti, S.T., M.T.</v>
      </c>
      <c r="W306" s="1"/>
      <c r="X306" s="1" t="str">
        <f ca="1">IFERROR(__xludf.DUMMYFUNCTION("""COMPUTED_VALUE"""),"Lolos")</f>
        <v>Lolos</v>
      </c>
      <c r="Y306" s="1"/>
      <c r="Z306" s="1"/>
      <c r="AA306" s="1"/>
    </row>
    <row r="307" spans="1:27">
      <c r="A307" s="1" t="s">
        <v>302</v>
      </c>
      <c r="B307" s="1">
        <f ca="1">IFERROR(__xludf.DUMMYFUNCTION("""COMPUTED_VALUE"""),3394)</f>
        <v>3394</v>
      </c>
      <c r="C307" s="1" t="str">
        <f ca="1">IFERROR(__xludf.DUMMYFUNCTION("""COMPUTED_VALUE"""),"PKM Karsa Cipta")</f>
        <v>PKM Karsa Cipta</v>
      </c>
      <c r="D307" s="1" t="str">
        <f ca="1">IFERROR(__xludf.DUMMYFUNCTION("""COMPUTED_VALUE"""),"Penerapan THC (Tofu Hidrolic Cutter) sebagai upaya peningkatan efisiensi proses produksi tahu 
")</f>
        <v xml:space="preserve">Penerapan THC (Tofu Hidrolic Cutter) sebagai upaya peningkatan efisiensi proses produksi tahu 
</v>
      </c>
      <c r="E307" s="1" t="str">
        <f ca="1">IFERROR(__xludf.DUMMYFUNCTION("""COMPUTED_VALUE"""),"BESTIN YAP FORTUNA")</f>
        <v>BESTIN YAP FORTUNA</v>
      </c>
      <c r="F307" s="1" t="str">
        <f ca="1">IFERROR(__xludf.DUMMYFUNCTION("""COMPUTED_VALUE"""),"5010201138")</f>
        <v>5010201138</v>
      </c>
      <c r="G307" s="1" t="str">
        <f ca="1">IFERROR(__xludf.DUMMYFUNCTION("""COMPUTED_VALUE"""),"Departemen Teknik Sistem dan Industri")</f>
        <v>Departemen Teknik Sistem dan Industri</v>
      </c>
      <c r="H307" s="1" t="str">
        <f ca="1">IFERROR(__xludf.DUMMYFUNCTION("""COMPUTED_VALUE"""),"Nani Kurniati, S.T., M.T., Ph.D.")</f>
        <v>Nani Kurniati, S.T., M.T., Ph.D.</v>
      </c>
      <c r="I307" s="1" t="str">
        <f ca="1">IFERROR(__xludf.DUMMYFUNCTION("""COMPUTED_VALUE"""),"ANNISA KAMILIA FITRI KADIR")</f>
        <v>ANNISA KAMILIA FITRI KADIR</v>
      </c>
      <c r="J307" s="1" t="str">
        <f ca="1">IFERROR(__xludf.DUMMYFUNCTION("""COMPUTED_VALUE"""),"5010201190")</f>
        <v>5010201190</v>
      </c>
      <c r="K307" s="1" t="str">
        <f ca="1">IFERROR(__xludf.DUMMYFUNCTION("""COMPUTED_VALUE"""),"Departemen Teknik Sistem dan Industri")</f>
        <v>Departemen Teknik Sistem dan Industri</v>
      </c>
      <c r="L307" s="1" t="str">
        <f ca="1">IFERROR(__xludf.DUMMYFUNCTION("""COMPUTED_VALUE"""),"RICARDO AXEL BAGUS PRATAMA")</f>
        <v>RICARDO AXEL BAGUS PRATAMA</v>
      </c>
      <c r="M307" s="1" t="str">
        <f ca="1">IFERROR(__xludf.DUMMYFUNCTION("""COMPUTED_VALUE"""),"5010201155")</f>
        <v>5010201155</v>
      </c>
      <c r="N307" s="1" t="str">
        <f ca="1">IFERROR(__xludf.DUMMYFUNCTION("""COMPUTED_VALUE"""),"Departemen Teknik Sistem dan Industri")</f>
        <v>Departemen Teknik Sistem dan Industri</v>
      </c>
      <c r="O307" s="1" t="str">
        <f ca="1">IFERROR(__xludf.DUMMYFUNCTION("""COMPUTED_VALUE"""),"SALWA NATASYA F.")</f>
        <v>SALWA NATASYA F.</v>
      </c>
      <c r="P307" s="1" t="str">
        <f ca="1">IFERROR(__xludf.DUMMYFUNCTION("""COMPUTED_VALUE"""),"5010211024")</f>
        <v>5010211024</v>
      </c>
      <c r="Q307" s="1" t="str">
        <f ca="1">IFERROR(__xludf.DUMMYFUNCTION("""COMPUTED_VALUE"""),"Departemen Teknik Sistem dan Industri")</f>
        <v>Departemen Teknik Sistem dan Industri</v>
      </c>
      <c r="R307" s="1" t="str">
        <f ca="1">IFERROR(__xludf.DUMMYFUNCTION("""COMPUTED_VALUE"""),"Erlangga D. Ajiutama")</f>
        <v>Erlangga D. Ajiutama</v>
      </c>
      <c r="S307" s="1" t="str">
        <f ca="1">IFERROR(__xludf.DUMMYFUNCTION("""COMPUTED_VALUE"""),"5010211154")</f>
        <v>5010211154</v>
      </c>
      <c r="T307" s="1" t="str">
        <f ca="1">IFERROR(__xludf.DUMMYFUNCTION("""COMPUTED_VALUE"""),"Departemen Teknik Sistem dan Industri")</f>
        <v>Departemen Teknik Sistem dan Industri</v>
      </c>
      <c r="U307" s="1" t="str">
        <f ca="1">IFERROR(__xludf.DUMMYFUNCTION("""COMPUTED_VALUE"""),"Sefi Novendra Patrialova, S.Si., M.T")</f>
        <v>Sefi Novendra Patrialova, S.Si., M.T</v>
      </c>
      <c r="V307" s="1" t="str">
        <f ca="1">IFERROR(__xludf.DUMMYFUNCTION("""COMPUTED_VALUE"""),"Yasmin Zainul Mochtar, S.T., M.A.")</f>
        <v>Yasmin Zainul Mochtar, S.T., M.A.</v>
      </c>
      <c r="W307" s="1"/>
      <c r="X307" s="1" t="str">
        <f ca="1">IFERROR(__xludf.DUMMYFUNCTION("""COMPUTED_VALUE"""),"Lolos")</f>
        <v>Lolos</v>
      </c>
      <c r="Y307" s="1"/>
      <c r="Z307" s="1"/>
      <c r="AA307" s="1"/>
    </row>
    <row r="308" spans="1:27">
      <c r="A308" s="1" t="s">
        <v>303</v>
      </c>
      <c r="B308" s="1">
        <f ca="1">IFERROR(__xludf.DUMMYFUNCTION("""COMPUTED_VALUE"""),3107)</f>
        <v>3107</v>
      </c>
      <c r="C308" s="1" t="str">
        <f ca="1">IFERROR(__xludf.DUMMYFUNCTION("""COMPUTED_VALUE"""),"PKM Karsa Cipta")</f>
        <v>PKM Karsa Cipta</v>
      </c>
      <c r="D308" s="1" t="str">
        <f ca="1">IFERROR(__xludf.DUMMYFUNCTION("""COMPUTED_VALUE"""),"Rancang Bangun Tangan Prostetik Dengan Feedback Suhu Guna Merasakan Sensasi Tangan Asli Bagi Pasien Amputasi Upperlimb Menggunakan Metode Pattern Recognition")</f>
        <v>Rancang Bangun Tangan Prostetik Dengan Feedback Suhu Guna Merasakan Sensasi Tangan Asli Bagi Pasien Amputasi Upperlimb Menggunakan Metode Pattern Recognition</v>
      </c>
      <c r="E308" s="1" t="str">
        <f ca="1">IFERROR(__xludf.DUMMYFUNCTION("""COMPUTED_VALUE"""),"Izzah Awwalin Khoirun Nisa")</f>
        <v>Izzah Awwalin Khoirun Nisa</v>
      </c>
      <c r="F308" s="1" t="str">
        <f ca="1">IFERROR(__xludf.DUMMYFUNCTION("""COMPUTED_VALUE"""),"07311940000023")</f>
        <v>07311940000023</v>
      </c>
      <c r="G308" s="1" t="str">
        <f ca="1">IFERROR(__xludf.DUMMYFUNCTION("""COMPUTED_VALUE"""),"Departemen Teknik Biomedik")</f>
        <v>Departemen Teknik Biomedik</v>
      </c>
      <c r="H308" s="1" t="str">
        <f ca="1">IFERROR(__xludf.DUMMYFUNCTION("""COMPUTED_VALUE"""),"Eko Agus Suprayitno, S.Si., M.T.")</f>
        <v>Eko Agus Suprayitno, S.Si., M.T.</v>
      </c>
      <c r="I308" s="1" t="str">
        <f ca="1">IFERROR(__xludf.DUMMYFUNCTION("""COMPUTED_VALUE"""),"Ardhika Maulidani")</f>
        <v>Ardhika Maulidani</v>
      </c>
      <c r="J308" s="1" t="str">
        <f ca="1">IFERROR(__xludf.DUMMYFUNCTION("""COMPUTED_VALUE"""),"07111940000032")</f>
        <v>07111940000032</v>
      </c>
      <c r="K308" s="1" t="str">
        <f ca="1">IFERROR(__xludf.DUMMYFUNCTION("""COMPUTED_VALUE"""),"Departemen Teknik Elektro")</f>
        <v>Departemen Teknik Elektro</v>
      </c>
      <c r="L308" s="1" t="str">
        <f ca="1">IFERROR(__xludf.DUMMYFUNCTION("""COMPUTED_VALUE"""),"AKILA KUMALASARI")</f>
        <v>AKILA KUMALASARI</v>
      </c>
      <c r="M308" s="1" t="str">
        <f ca="1">IFERROR(__xludf.DUMMYFUNCTION("""COMPUTED_VALUE"""),"5028201004")</f>
        <v>5028201004</v>
      </c>
      <c r="N308" s="1" t="str">
        <f ca="1">IFERROR(__xludf.DUMMYFUNCTION("""COMPUTED_VALUE"""),"Departemen Desain Produk")</f>
        <v>Departemen Desain Produk</v>
      </c>
      <c r="O308" s="1"/>
      <c r="P308" s="1"/>
      <c r="Q308" s="1"/>
      <c r="R308" s="1"/>
      <c r="S308" s="1"/>
      <c r="T308" s="1"/>
      <c r="U308" s="1" t="str">
        <f ca="1">IFERROR(__xludf.DUMMYFUNCTION("""COMPUTED_VALUE"""),"Endarko, M.Si., Ph.D.")</f>
        <v>Endarko, M.Si., Ph.D.</v>
      </c>
      <c r="V308" s="1" t="str">
        <f ca="1">IFERROR(__xludf.DUMMYFUNCTION("""COMPUTED_VALUE"""),"Dr. Dendy Satrio, S.ST.")</f>
        <v>Dr. Dendy Satrio, S.ST.</v>
      </c>
      <c r="W308" s="1"/>
      <c r="X308" s="1" t="str">
        <f ca="1">IFERROR(__xludf.DUMMYFUNCTION("""COMPUTED_VALUE"""),"Lolos")</f>
        <v>Lolos</v>
      </c>
      <c r="Y308" s="1"/>
      <c r="Z308" s="1"/>
      <c r="AA308" s="1"/>
    </row>
    <row r="309" spans="1:27">
      <c r="A309" s="1" t="s">
        <v>304</v>
      </c>
      <c r="B309" s="1">
        <f ca="1">IFERROR(__xludf.DUMMYFUNCTION("""COMPUTED_VALUE"""),3760)</f>
        <v>3760</v>
      </c>
      <c r="C309" s="1" t="str">
        <f ca="1">IFERROR(__xludf.DUMMYFUNCTION("""COMPUTED_VALUE"""),"PKM Karsa Cipta")</f>
        <v>PKM Karsa Cipta</v>
      </c>
      <c r="D309" s="1" t="str">
        <f ca="1">IFERROR(__xludf.DUMMYFUNCTION("""COMPUTED_VALUE"""),"Smart Jacket Berbasis Mikrokontroler yang Terkoneksi dengan IoT sebagai Piranti Safety Hiking untuk Mengurangi Resiko Pendaki Hilang dan Ancaman Hipotermia")</f>
        <v>Smart Jacket Berbasis Mikrokontroler yang Terkoneksi dengan IoT sebagai Piranti Safety Hiking untuk Mengurangi Resiko Pendaki Hilang dan Ancaman Hipotermia</v>
      </c>
      <c r="E309" s="1" t="str">
        <f ca="1">IFERROR(__xludf.DUMMYFUNCTION("""COMPUTED_VALUE"""),"CHERISH GLOBAL ETNIC")</f>
        <v>CHERISH GLOBAL ETNIC</v>
      </c>
      <c r="F309" s="1" t="str">
        <f ca="1">IFERROR(__xludf.DUMMYFUNCTION("""COMPUTED_VALUE"""),"5008211073")</f>
        <v>5008211073</v>
      </c>
      <c r="G309" s="1" t="str">
        <f ca="1">IFERROR(__xludf.DUMMYFUNCTION("""COMPUTED_VALUE"""),"Departemen Teknik Kimia")</f>
        <v>Departemen Teknik Kimia</v>
      </c>
      <c r="H309" s="1" t="str">
        <f ca="1">IFERROR(__xludf.DUMMYFUNCTION("""COMPUTED_VALUE"""),"Dr. Adithya Sudiarno, S.T., M.T.")</f>
        <v>Dr. Adithya Sudiarno, S.T., M.T.</v>
      </c>
      <c r="I309" s="1" t="str">
        <f ca="1">IFERROR(__xludf.DUMMYFUNCTION("""COMPUTED_VALUE"""),"Nabil Tsabitul Azmi")</f>
        <v>Nabil Tsabitul Azmi</v>
      </c>
      <c r="J309" s="1" t="str">
        <f ca="1">IFERROR(__xludf.DUMMYFUNCTION("""COMPUTED_VALUE"""),"5010211007")</f>
        <v>5010211007</v>
      </c>
      <c r="K309" s="1" t="str">
        <f ca="1">IFERROR(__xludf.DUMMYFUNCTION("""COMPUTED_VALUE"""),"Departemen Teknik Sistem dan Industri")</f>
        <v>Departemen Teknik Sistem dan Industri</v>
      </c>
      <c r="L309" s="1" t="str">
        <f ca="1">IFERROR(__xludf.DUMMYFUNCTION("""COMPUTED_VALUE"""),"ALFIAN SAMUDRA .P")</f>
        <v>ALFIAN SAMUDRA .P</v>
      </c>
      <c r="M309" s="1" t="str">
        <f ca="1">IFERROR(__xludf.DUMMYFUNCTION("""COMPUTED_VALUE"""),"2040211003")</f>
        <v>2040211003</v>
      </c>
      <c r="N309" s="1" t="str">
        <f ca="1">IFERROR(__xludf.DUMMYFUNCTION("""COMPUTED_VALUE"""),"Departemen Teknik Elektro Otomasi")</f>
        <v>Departemen Teknik Elektro Otomasi</v>
      </c>
      <c r="O309" s="1"/>
      <c r="P309" s="1"/>
      <c r="Q309" s="1"/>
      <c r="R309" s="1"/>
      <c r="S309" s="1"/>
      <c r="T309" s="1"/>
      <c r="U309" s="1" t="str">
        <f ca="1">IFERROR(__xludf.DUMMYFUNCTION("""COMPUTED_VALUE"""),"Mohammad Khoirul Effendi, S.T., M.Sc.Eng., Ph.D.")</f>
        <v>Mohammad Khoirul Effendi, S.T., M.Sc.Eng., Ph.D.</v>
      </c>
      <c r="V309" s="1" t="str">
        <f ca="1">IFERROR(__xludf.DUMMYFUNCTION("""COMPUTED_VALUE"""),"Azzah Dyah Pramata, S.T., M.T., M.Eng., Ph.D.")</f>
        <v>Azzah Dyah Pramata, S.T., M.T., M.Eng., Ph.D.</v>
      </c>
      <c r="W309" s="1"/>
      <c r="X309" s="1" t="str">
        <f ca="1">IFERROR(__xludf.DUMMYFUNCTION("""COMPUTED_VALUE"""),"Lolos")</f>
        <v>Lolos</v>
      </c>
      <c r="Y309" s="1"/>
      <c r="Z309" s="1"/>
      <c r="AA309" s="1"/>
    </row>
    <row r="310" spans="1:27">
      <c r="A310" s="1" t="s">
        <v>305</v>
      </c>
      <c r="B310" s="1">
        <f ca="1">IFERROR(__xludf.DUMMYFUNCTION("""COMPUTED_VALUE"""),3289)</f>
        <v>3289</v>
      </c>
      <c r="C310" s="1" t="str">
        <f ca="1">IFERROR(__xludf.DUMMYFUNCTION("""COMPUTED_VALUE"""),"PKM Karsa Cipta")</f>
        <v>PKM Karsa Cipta</v>
      </c>
      <c r="D310" s="1" t="str">
        <f ca="1">IFERROR(__xludf.DUMMYFUNCTION("""COMPUTED_VALUE"""),"Pemanfaatan Thermalwaste Menggunakan NiTinol Heat Engine Sebagai Pembangkit Listrik Berkonsep Renewable Energy Pada Kawasan Sumber Air Panas")</f>
        <v>Pemanfaatan Thermalwaste Menggunakan NiTinol Heat Engine Sebagai Pembangkit Listrik Berkonsep Renewable Energy Pada Kawasan Sumber Air Panas</v>
      </c>
      <c r="E310" s="1" t="str">
        <f ca="1">IFERROR(__xludf.DUMMYFUNCTION("""COMPUTED_VALUE"""),"IZZAN WIDAD")</f>
        <v>IZZAN WIDAD</v>
      </c>
      <c r="F310" s="1" t="str">
        <f ca="1">IFERROR(__xludf.DUMMYFUNCTION("""COMPUTED_VALUE"""),"5011201103")</f>
        <v>5011201103</v>
      </c>
      <c r="G310" s="1" t="str">
        <f ca="1">IFERROR(__xludf.DUMMYFUNCTION("""COMPUTED_VALUE"""),"Departemen Teknik Material dan Metalurgi")</f>
        <v>Departemen Teknik Material dan Metalurgi</v>
      </c>
      <c r="H310" s="1" t="str">
        <f ca="1">IFERROR(__xludf.DUMMYFUNCTION("""COMPUTED_VALUE"""),"Dr. Widyastuti, S.Si., M.Si.")</f>
        <v>Dr. Widyastuti, S.Si., M.Si.</v>
      </c>
      <c r="I310" s="1" t="str">
        <f ca="1">IFERROR(__xludf.DUMMYFUNCTION("""COMPUTED_VALUE"""),"Paundra Rizky Pratama")</f>
        <v>Paundra Rizky Pratama</v>
      </c>
      <c r="J310" s="1" t="str">
        <f ca="1">IFERROR(__xludf.DUMMYFUNCTION("""COMPUTED_VALUE"""),"02511940000021")</f>
        <v>02511940000021</v>
      </c>
      <c r="K310" s="1" t="str">
        <f ca="1">IFERROR(__xludf.DUMMYFUNCTION("""COMPUTED_VALUE"""),"Departemen Teknik Material dan Metalurgi")</f>
        <v>Departemen Teknik Material dan Metalurgi</v>
      </c>
      <c r="L310" s="1" t="str">
        <f ca="1">IFERROR(__xludf.DUMMYFUNCTION("""COMPUTED_VALUE"""),"ZAHRANDIKA HUMAAHIRA")</f>
        <v>ZAHRANDIKA HUMAAHIRA</v>
      </c>
      <c r="M310" s="1" t="str">
        <f ca="1">IFERROR(__xludf.DUMMYFUNCTION("""COMPUTED_VALUE"""),"5011201113")</f>
        <v>5011201113</v>
      </c>
      <c r="N310" s="1" t="str">
        <f ca="1">IFERROR(__xludf.DUMMYFUNCTION("""COMPUTED_VALUE"""),"Departemen Teknik Material dan Metalurgi")</f>
        <v>Departemen Teknik Material dan Metalurgi</v>
      </c>
      <c r="O310" s="1"/>
      <c r="P310" s="1"/>
      <c r="Q310" s="1"/>
      <c r="R310" s="1"/>
      <c r="S310" s="1"/>
      <c r="T310" s="1"/>
      <c r="U310" s="1" t="str">
        <f ca="1">IFERROR(__xludf.DUMMYFUNCTION("""COMPUTED_VALUE"""),"Mohammad Khoirul Effendi, S.T., M.Sc.Eng., Ph.D.")</f>
        <v>Mohammad Khoirul Effendi, S.T., M.Sc.Eng., Ph.D.</v>
      </c>
      <c r="V310" s="1" t="str">
        <f ca="1">IFERROR(__xludf.DUMMYFUNCTION("""COMPUTED_VALUE"""),"Dr. Dendy Satrio, S.ST.")</f>
        <v>Dr. Dendy Satrio, S.ST.</v>
      </c>
      <c r="W310" s="1"/>
      <c r="X310" s="1" t="str">
        <f ca="1">IFERROR(__xludf.DUMMYFUNCTION("""COMPUTED_VALUE"""),"Lolos")</f>
        <v>Lolos</v>
      </c>
      <c r="Y310" s="1"/>
      <c r="Z310" s="1"/>
      <c r="AA310" s="1"/>
    </row>
    <row r="311" spans="1:27">
      <c r="A311" s="1" t="s">
        <v>306</v>
      </c>
      <c r="B311" s="1">
        <f ca="1">IFERROR(__xludf.DUMMYFUNCTION("""COMPUTED_VALUE"""),3415)</f>
        <v>3415</v>
      </c>
      <c r="C311" s="1" t="str">
        <f ca="1">IFERROR(__xludf.DUMMYFUNCTION("""COMPUTED_VALUE"""),"PKM Karsa Cipta")</f>
        <v>PKM Karsa Cipta</v>
      </c>
      <c r="D311" s="1" t="str">
        <f ca="1">IFERROR(__xludf.DUMMYFUNCTION("""COMPUTED_VALUE"""),"Alat Pendeteksi Kecocokan Lokasi dan Waktu Tanam Menggunakan Metode Geofisika  dengan Memanfaatkan Sensor MEMS dan Modul GPS")</f>
        <v>Alat Pendeteksi Kecocokan Lokasi dan Waktu Tanam Menggunakan Metode Geofisika  dengan Memanfaatkan Sensor MEMS dan Modul GPS</v>
      </c>
      <c r="E311" s="1" t="str">
        <f ca="1">IFERROR(__xludf.DUMMYFUNCTION("""COMPUTED_VALUE"""),"Galdino Nugraha")</f>
        <v>Galdino Nugraha</v>
      </c>
      <c r="F311" s="1" t="str">
        <f ca="1">IFERROR(__xludf.DUMMYFUNCTION("""COMPUTED_VALUE"""),"5017211069")</f>
        <v>5017211069</v>
      </c>
      <c r="G311" s="1" t="str">
        <f ca="1">IFERROR(__xludf.DUMMYFUNCTION("""COMPUTED_VALUE"""),"Departemen Teknik Geofisika")</f>
        <v>Departemen Teknik Geofisika</v>
      </c>
      <c r="H311" s="1"/>
      <c r="I311" s="1" t="str">
        <f ca="1">IFERROR(__xludf.DUMMYFUNCTION("""COMPUTED_VALUE"""),"MUHAMMAD ILHAN BAIHAQI")</f>
        <v>MUHAMMAD ILHAN BAIHAQI</v>
      </c>
      <c r="J311" s="1" t="str">
        <f ca="1">IFERROR(__xludf.DUMMYFUNCTION("""COMPUTED_VALUE"""),"5017201029")</f>
        <v>5017201029</v>
      </c>
      <c r="K311" s="1" t="str">
        <f ca="1">IFERROR(__xludf.DUMMYFUNCTION("""COMPUTED_VALUE"""),"Departemen Teknik Geofisika")</f>
        <v>Departemen Teknik Geofisika</v>
      </c>
      <c r="L311" s="1" t="str">
        <f ca="1">IFERROR(__xludf.DUMMYFUNCTION("""COMPUTED_VALUE"""),"ESTER HOTMARIA")</f>
        <v>ESTER HOTMARIA</v>
      </c>
      <c r="M311" s="1" t="str">
        <f ca="1">IFERROR(__xludf.DUMMYFUNCTION("""COMPUTED_VALUE"""),"5017201062")</f>
        <v>5017201062</v>
      </c>
      <c r="N311" s="1" t="str">
        <f ca="1">IFERROR(__xludf.DUMMYFUNCTION("""COMPUTED_VALUE"""),"Departemen Teknik Geofisika")</f>
        <v>Departemen Teknik Geofisika</v>
      </c>
      <c r="O311" s="1" t="str">
        <f ca="1">IFERROR(__xludf.DUMMYFUNCTION("""COMPUTED_VALUE"""),"Alief Izzul Haq M.")</f>
        <v>Alief Izzul Haq M.</v>
      </c>
      <c r="P311" s="1" t="str">
        <f ca="1">IFERROR(__xludf.DUMMYFUNCTION("""COMPUTED_VALUE"""),"5017211058")</f>
        <v>5017211058</v>
      </c>
      <c r="Q311" s="1" t="str">
        <f ca="1">IFERROR(__xludf.DUMMYFUNCTION("""COMPUTED_VALUE"""),"Departemen Teknik Geofisika")</f>
        <v>Departemen Teknik Geofisika</v>
      </c>
      <c r="R311" s="1" t="str">
        <f ca="1">IFERROR(__xludf.DUMMYFUNCTION("""COMPUTED_VALUE"""),"Kyla Sheryl")</f>
        <v>Kyla Sheryl</v>
      </c>
      <c r="S311" s="1" t="str">
        <f ca="1">IFERROR(__xludf.DUMMYFUNCTION("""COMPUTED_VALUE"""),"5017211078")</f>
        <v>5017211078</v>
      </c>
      <c r="T311" s="1" t="str">
        <f ca="1">IFERROR(__xludf.DUMMYFUNCTION("""COMPUTED_VALUE"""),"Departemen Teknik Geofisika")</f>
        <v>Departemen Teknik Geofisika</v>
      </c>
      <c r="U311" s="1" t="str">
        <f ca="1">IFERROR(__xludf.DUMMYFUNCTION("""COMPUTED_VALUE"""),"Mohammad Khoirul Effendi, S.T., M.Sc.Eng., Ph.D.")</f>
        <v>Mohammad Khoirul Effendi, S.T., M.Sc.Eng., Ph.D.</v>
      </c>
      <c r="V311" s="1" t="str">
        <f ca="1">IFERROR(__xludf.DUMMYFUNCTION("""COMPUTED_VALUE"""),"Dr. Dendy Satrio, S.ST.")</f>
        <v>Dr. Dendy Satrio, S.ST.</v>
      </c>
      <c r="W311" s="1"/>
      <c r="X311" s="1" t="str">
        <f ca="1">IFERROR(__xludf.DUMMYFUNCTION("""COMPUTED_VALUE"""),"Lolos")</f>
        <v>Lolos</v>
      </c>
      <c r="Y311" s="1"/>
      <c r="Z311" s="1"/>
      <c r="AA311" s="1"/>
    </row>
    <row r="312" spans="1:27">
      <c r="A312" s="1" t="s">
        <v>307</v>
      </c>
      <c r="B312" s="1">
        <f ca="1">IFERROR(__xludf.DUMMYFUNCTION("""COMPUTED_VALUE"""),2426)</f>
        <v>2426</v>
      </c>
      <c r="C312" s="1" t="str">
        <f ca="1">IFERROR(__xludf.DUMMYFUNCTION("""COMPUTED_VALUE"""),"PKM Karsa Cipta")</f>
        <v>PKM Karsa Cipta</v>
      </c>
      <c r="D312" s="1" t="str">
        <f ca="1">IFERROR(__xludf.DUMMYFUNCTION("""COMPUTED_VALUE"""),"PEKODOL: Kamera Pendeteksi Kendaraan Over Dimension And Over Loading Menggunakan Artificial Intelligance  ")</f>
        <v xml:space="preserve">PEKODOL: Kamera Pendeteksi Kendaraan Over Dimension And Over Loading Menggunakan Artificial Intelligance  </v>
      </c>
      <c r="E312" s="1" t="str">
        <f ca="1">IFERROR(__xludf.DUMMYFUNCTION("""COMPUTED_VALUE"""),"AHMAD HAMAYAN NABIH")</f>
        <v>AHMAD HAMAYAN NABIH</v>
      </c>
      <c r="F312" s="1" t="str">
        <f ca="1">IFERROR(__xludf.DUMMYFUNCTION("""COMPUTED_VALUE"""),"5024201014")</f>
        <v>5024201014</v>
      </c>
      <c r="G312" s="1" t="str">
        <f ca="1">IFERROR(__xludf.DUMMYFUNCTION("""COMPUTED_VALUE"""),"Departemen Teknik Komputer")</f>
        <v>Departemen Teknik Komputer</v>
      </c>
      <c r="H312" s="1" t="str">
        <f ca="1">IFERROR(__xludf.DUMMYFUNCTION("""COMPUTED_VALUE"""),"Reza Fuad Rachmadi, S.T., M.T., Ph.D.")</f>
        <v>Reza Fuad Rachmadi, S.T., M.T., Ph.D.</v>
      </c>
      <c r="I312" s="1" t="str">
        <f ca="1">IFERROR(__xludf.DUMMYFUNCTION("""COMPUTED_VALUE"""),"I PUTU KRISNA ERLANGGA")</f>
        <v>I PUTU KRISNA ERLANGGA</v>
      </c>
      <c r="J312" s="1" t="str">
        <f ca="1">IFERROR(__xludf.DUMMYFUNCTION("""COMPUTED_VALUE"""),"5024201055")</f>
        <v>5024201055</v>
      </c>
      <c r="K312" s="1" t="str">
        <f ca="1">IFERROR(__xludf.DUMMYFUNCTION("""COMPUTED_VALUE"""),"Departemen Teknik Komputer")</f>
        <v>Departemen Teknik Komputer</v>
      </c>
      <c r="L312" s="1" t="str">
        <f ca="1">IFERROR(__xludf.DUMMYFUNCTION("""COMPUTED_VALUE"""),"MOH. IQBAL FATCHUROZI")</f>
        <v>MOH. IQBAL FATCHUROZI</v>
      </c>
      <c r="M312" s="1" t="str">
        <f ca="1">IFERROR(__xludf.DUMMYFUNCTION("""COMPUTED_VALUE"""),"5024201009")</f>
        <v>5024201009</v>
      </c>
      <c r="N312" s="1" t="str">
        <f ca="1">IFERROR(__xludf.DUMMYFUNCTION("""COMPUTED_VALUE"""),"Departemen Teknik Komputer")</f>
        <v>Departemen Teknik Komputer</v>
      </c>
      <c r="O312" s="1" t="str">
        <f ca="1">IFERROR(__xludf.DUMMYFUNCTION("""COMPUTED_VALUE"""),"ARYA ABDUL AZIS")</f>
        <v>ARYA ABDUL AZIS</v>
      </c>
      <c r="P312" s="1" t="str">
        <f ca="1">IFERROR(__xludf.DUMMYFUNCTION("""COMPUTED_VALUE"""),"5024201069")</f>
        <v>5024201069</v>
      </c>
      <c r="Q312" s="1" t="str">
        <f ca="1">IFERROR(__xludf.DUMMYFUNCTION("""COMPUTED_VALUE"""),"Departemen Teknik Komputer")</f>
        <v>Departemen Teknik Komputer</v>
      </c>
      <c r="R312" s="1" t="str">
        <f ca="1">IFERROR(__xludf.DUMMYFUNCTION("""COMPUTED_VALUE"""),"DZAKY HANIF ARJUNA")</f>
        <v>DZAKY HANIF ARJUNA</v>
      </c>
      <c r="S312" s="1" t="str">
        <f ca="1">IFERROR(__xludf.DUMMYFUNCTION("""COMPUTED_VALUE"""),"5024201078")</f>
        <v>5024201078</v>
      </c>
      <c r="T312" s="1" t="str">
        <f ca="1">IFERROR(__xludf.DUMMYFUNCTION("""COMPUTED_VALUE"""),"Departemen Teknik Komputer")</f>
        <v>Departemen Teknik Komputer</v>
      </c>
      <c r="U312" s="1" t="str">
        <f ca="1">IFERROR(__xludf.DUMMYFUNCTION("""COMPUTED_VALUE"""),"Mohammad Khoirul Effendi, S.T., M.Sc.Eng., Ph.D.")</f>
        <v>Mohammad Khoirul Effendi, S.T., M.Sc.Eng., Ph.D.</v>
      </c>
      <c r="V312" s="1" t="str">
        <f ca="1">IFERROR(__xludf.DUMMYFUNCTION("""COMPUTED_VALUE"""),"Azzah Dyah Pramata, S.T., M.T., M.Eng., Ph.D.")</f>
        <v>Azzah Dyah Pramata, S.T., M.T., M.Eng., Ph.D.</v>
      </c>
      <c r="W312" s="1"/>
      <c r="X312" s="1" t="str">
        <f ca="1">IFERROR(__xludf.DUMMYFUNCTION("""COMPUTED_VALUE"""),"Lolos")</f>
        <v>Lolos</v>
      </c>
      <c r="Y312" s="1"/>
      <c r="Z312" s="1"/>
      <c r="AA312" s="1"/>
    </row>
    <row r="313" spans="1:27">
      <c r="A313" s="1" t="s">
        <v>308</v>
      </c>
      <c r="B313" s="1">
        <f ca="1">IFERROR(__xludf.DUMMYFUNCTION("""COMPUTED_VALUE"""),2263)</f>
        <v>2263</v>
      </c>
      <c r="C313" s="1" t="str">
        <f ca="1">IFERROR(__xludf.DUMMYFUNCTION("""COMPUTED_VALUE"""),"PKM Karsa Cipta")</f>
        <v>PKM Karsa Cipta</v>
      </c>
      <c r="D313" s="1" t="str">
        <f ca="1">IFERROR(__xludf.DUMMYFUNCTION("""COMPUTED_VALUE"""),"Petobar-C  : Pedestrian Automatic Barrier Controlled Crossing Dilengkapi Fitur Penghitung Durasi Palang Untuk Pejalan Kaki")</f>
        <v>Petobar-C  : Pedestrian Automatic Barrier Controlled Crossing Dilengkapi Fitur Penghitung Durasi Palang Untuk Pejalan Kaki</v>
      </c>
      <c r="E313" s="1" t="str">
        <f ca="1">IFERROR(__xludf.DUMMYFUNCTION("""COMPUTED_VALUE"""),"FAIZAL GILANG MARETA")</f>
        <v>FAIZAL GILANG MARETA</v>
      </c>
      <c r="F313" s="1" t="str">
        <f ca="1">IFERROR(__xludf.DUMMYFUNCTION("""COMPUTED_VALUE"""),"2040201098")</f>
        <v>2040201098</v>
      </c>
      <c r="G313" s="1" t="str">
        <f ca="1">IFERROR(__xludf.DUMMYFUNCTION("""COMPUTED_VALUE"""),"Departemen Teknik Elektro Otomasi")</f>
        <v>Departemen Teknik Elektro Otomasi</v>
      </c>
      <c r="H313" s="1" t="str">
        <f ca="1">IFERROR(__xludf.DUMMYFUNCTION("""COMPUTED_VALUE"""),"Ir. Joko Susila, MT.")</f>
        <v>Ir. Joko Susila, MT.</v>
      </c>
      <c r="I313" s="1" t="str">
        <f ca="1">IFERROR(__xludf.DUMMYFUNCTION("""COMPUTED_VALUE"""),"Ilham Akbar R.")</f>
        <v>Ilham Akbar R.</v>
      </c>
      <c r="J313" s="1" t="str">
        <f ca="1">IFERROR(__xludf.DUMMYFUNCTION("""COMPUTED_VALUE"""),"2040211055")</f>
        <v>2040211055</v>
      </c>
      <c r="K313" s="1" t="str">
        <f ca="1">IFERROR(__xludf.DUMMYFUNCTION("""COMPUTED_VALUE"""),"Departemen Teknik Elektro Otomasi")</f>
        <v>Departemen Teknik Elektro Otomasi</v>
      </c>
      <c r="L313" s="1" t="str">
        <f ca="1">IFERROR(__xludf.DUMMYFUNCTION("""COMPUTED_VALUE"""),"MOCHAMAD FAKHRI ANDIAN")</f>
        <v>MOCHAMAD FAKHRI ANDIAN</v>
      </c>
      <c r="M313" s="1" t="str">
        <f ca="1">IFERROR(__xludf.DUMMYFUNCTION("""COMPUTED_VALUE"""),"2040201074")</f>
        <v>2040201074</v>
      </c>
      <c r="N313" s="1" t="str">
        <f ca="1">IFERROR(__xludf.DUMMYFUNCTION("""COMPUTED_VALUE"""),"Departemen Teknik Elektro Otomasi")</f>
        <v>Departemen Teknik Elektro Otomasi</v>
      </c>
      <c r="O313" s="1" t="str">
        <f ca="1">IFERROR(__xludf.DUMMYFUNCTION("""COMPUTED_VALUE"""),"MUHAMMAD RAKHA B")</f>
        <v>MUHAMMAD RAKHA B</v>
      </c>
      <c r="P313" s="1" t="str">
        <f ca="1">IFERROR(__xludf.DUMMYFUNCTION("""COMPUTED_VALUE"""),"2040211085")</f>
        <v>2040211085</v>
      </c>
      <c r="Q313" s="1" t="str">
        <f ca="1">IFERROR(__xludf.DUMMYFUNCTION("""COMPUTED_VALUE"""),"Departemen Teknik Elektro Otomasi")</f>
        <v>Departemen Teknik Elektro Otomasi</v>
      </c>
      <c r="R313" s="1" t="str">
        <f ca="1">IFERROR(__xludf.DUMMYFUNCTION("""COMPUTED_VALUE"""),"I MD RICKY SUDARNATA")</f>
        <v>I MD RICKY SUDARNATA</v>
      </c>
      <c r="S313" s="1" t="str">
        <f ca="1">IFERROR(__xludf.DUMMYFUNCTION("""COMPUTED_VALUE"""),"2040211030")</f>
        <v>2040211030</v>
      </c>
      <c r="T313" s="1" t="str">
        <f ca="1">IFERROR(__xludf.DUMMYFUNCTION("""COMPUTED_VALUE"""),"Departemen Teknik Elektro Otomasi")</f>
        <v>Departemen Teknik Elektro Otomasi</v>
      </c>
      <c r="U313" s="1" t="str">
        <f ca="1">IFERROR(__xludf.DUMMYFUNCTION("""COMPUTED_VALUE"""),"Sefi Novendra Patrialova, S.Si., M.T")</f>
        <v>Sefi Novendra Patrialova, S.Si., M.T</v>
      </c>
      <c r="V313" s="1" t="str">
        <f ca="1">IFERROR(__xludf.DUMMYFUNCTION("""COMPUTED_VALUE"""),"Yasmin Zainul Mochtar, S.T., M.A.")</f>
        <v>Yasmin Zainul Mochtar, S.T., M.A.</v>
      </c>
      <c r="W313" s="1"/>
      <c r="X313" s="1" t="str">
        <f ca="1">IFERROR(__xludf.DUMMYFUNCTION("""COMPUTED_VALUE"""),"Lolos")</f>
        <v>Lolos</v>
      </c>
      <c r="Y313" s="1"/>
      <c r="Z313" s="1"/>
      <c r="AA313" s="1"/>
    </row>
    <row r="314" spans="1:27">
      <c r="A314" s="1" t="s">
        <v>309</v>
      </c>
      <c r="B314" s="1">
        <f ca="1">IFERROR(__xludf.DUMMYFUNCTION("""COMPUTED_VALUE"""),2045)</f>
        <v>2045</v>
      </c>
      <c r="C314" s="1" t="str">
        <f ca="1">IFERROR(__xludf.DUMMYFUNCTION("""COMPUTED_VALUE"""),"PKM Karsa Cipta")</f>
        <v>PKM Karsa Cipta</v>
      </c>
      <c r="D314" s="1" t="str">
        <f ca="1">IFERROR(__xludf.DUMMYFUNCTION("""COMPUTED_VALUE"""),"NonCor : Non-Invasive Cholesterol Detector yang Bekerja Secara Real Time dengan Memanfaatkan Serapan Sinar Near Infra Red (NIR)")</f>
        <v>NonCor : Non-Invasive Cholesterol Detector yang Bekerja Secara Real Time dengan Memanfaatkan Serapan Sinar Near Infra Red (NIR)</v>
      </c>
      <c r="E314" s="1" t="str">
        <f ca="1">IFERROR(__xludf.DUMMYFUNCTION("""COMPUTED_VALUE"""),"Nafila Cahya Andanis")</f>
        <v>Nafila Cahya Andanis</v>
      </c>
      <c r="F314" s="1" t="str">
        <f ca="1">IFERROR(__xludf.DUMMYFUNCTION("""COMPUTED_VALUE"""),"07311940000020")</f>
        <v>07311940000020</v>
      </c>
      <c r="G314" s="1" t="str">
        <f ca="1">IFERROR(__xludf.DUMMYFUNCTION("""COMPUTED_VALUE"""),"Departemen Teknik Biomedik")</f>
        <v>Departemen Teknik Biomedik</v>
      </c>
      <c r="H314" s="1" t="str">
        <f ca="1">IFERROR(__xludf.DUMMYFUNCTION("""COMPUTED_VALUE"""),"Eko Agus Suprayitno, S.Si., M.T.")</f>
        <v>Eko Agus Suprayitno, S.Si., M.T.</v>
      </c>
      <c r="I314" s="1" t="str">
        <f ca="1">IFERROR(__xludf.DUMMYFUNCTION("""COMPUTED_VALUE"""),"FARAH RISHA FADHILAH")</f>
        <v>FARAH RISHA FADHILAH</v>
      </c>
      <c r="J314" s="1" t="str">
        <f ca="1">IFERROR(__xludf.DUMMYFUNCTION("""COMPUTED_VALUE"""),"07311940000039")</f>
        <v>07311940000039</v>
      </c>
      <c r="K314" s="1" t="str">
        <f ca="1">IFERROR(__xludf.DUMMYFUNCTION("""COMPUTED_VALUE"""),"Departemen Teknik Biomedik")</f>
        <v>Departemen Teknik Biomedik</v>
      </c>
      <c r="L314" s="1" t="str">
        <f ca="1">IFERROR(__xludf.DUMMYFUNCTION("""COMPUTED_VALUE"""),"MUHAMMAD IHSAN PAMUNGKAS")</f>
        <v>MUHAMMAD IHSAN PAMUNGKAS</v>
      </c>
      <c r="M314" s="1" t="str">
        <f ca="1">IFERROR(__xludf.DUMMYFUNCTION("""COMPUTED_VALUE"""),"07311940000041")</f>
        <v>07311940000041</v>
      </c>
      <c r="N314" s="1" t="str">
        <f ca="1">IFERROR(__xludf.DUMMYFUNCTION("""COMPUTED_VALUE"""),"Departemen Teknik Biomedik")</f>
        <v>Departemen Teknik Biomedik</v>
      </c>
      <c r="O314" s="1" t="str">
        <f ca="1">IFERROR(__xludf.DUMMYFUNCTION("""COMPUTED_VALUE"""),"Francesco Sudibyo")</f>
        <v>Francesco Sudibyo</v>
      </c>
      <c r="P314" s="1" t="str">
        <f ca="1">IFERROR(__xludf.DUMMYFUNCTION("""COMPUTED_VALUE"""),"07311940000007")</f>
        <v>07311940000007</v>
      </c>
      <c r="Q314" s="1" t="str">
        <f ca="1">IFERROR(__xludf.DUMMYFUNCTION("""COMPUTED_VALUE"""),"Departemen Teknik Biomedik")</f>
        <v>Departemen Teknik Biomedik</v>
      </c>
      <c r="R314" s="1" t="str">
        <f ca="1">IFERROR(__xludf.DUMMYFUNCTION("""COMPUTED_VALUE"""),"Nur Azizah")</f>
        <v>Nur Azizah</v>
      </c>
      <c r="S314" s="1" t="str">
        <f ca="1">IFERROR(__xludf.DUMMYFUNCTION("""COMPUTED_VALUE"""),"07311940000022")</f>
        <v>07311940000022</v>
      </c>
      <c r="T314" s="1" t="str">
        <f ca="1">IFERROR(__xludf.DUMMYFUNCTION("""COMPUTED_VALUE"""),"Departemen Teknik Biomedik")</f>
        <v>Departemen Teknik Biomedik</v>
      </c>
      <c r="U314" s="1" t="str">
        <f ca="1">IFERROR(__xludf.DUMMYFUNCTION("""COMPUTED_VALUE"""),"Dr.Eng. Chastine Fatichah, S.Kom., M.Kom.")</f>
        <v>Dr.Eng. Chastine Fatichah, S.Kom., M.Kom.</v>
      </c>
      <c r="V314" s="1" t="str">
        <f ca="1">IFERROR(__xludf.DUMMYFUNCTION("""COMPUTED_VALUE"""),"Rudy Dikairono, ST., M.T.")</f>
        <v>Rudy Dikairono, ST., M.T.</v>
      </c>
      <c r="W314" s="1"/>
      <c r="X314" s="1" t="str">
        <f ca="1">IFERROR(__xludf.DUMMYFUNCTION("""COMPUTED_VALUE"""),"Lolos")</f>
        <v>Lolos</v>
      </c>
      <c r="Y314" s="1"/>
      <c r="Z314" s="1"/>
      <c r="AA314" s="1"/>
    </row>
    <row r="315" spans="1:27">
      <c r="A315" s="1" t="s">
        <v>310</v>
      </c>
      <c r="B315" s="1">
        <f ca="1">IFERROR(__xludf.DUMMYFUNCTION("""COMPUTED_VALUE"""),3383)</f>
        <v>3383</v>
      </c>
      <c r="C315" s="1" t="str">
        <f ca="1">IFERROR(__xludf.DUMMYFUNCTION("""COMPUTED_VALUE"""),"PKM Karsa Cipta")</f>
        <v>PKM Karsa Cipta</v>
      </c>
      <c r="D315" s="1" t="str">
        <f ca="1">IFERROR(__xludf.DUMMYFUNCTION("""COMPUTED_VALUE"""),"Eca: Early Career Platform dalam Bentuk Smart e-Learning dan Recruiting sebagai Pijakan Awal Mahasiswa dan Pelajar SMA/sederajat sebagai IT Developer")</f>
        <v>Eca: Early Career Platform dalam Bentuk Smart e-Learning dan Recruiting sebagai Pijakan Awal Mahasiswa dan Pelajar SMA/sederajat sebagai IT Developer</v>
      </c>
      <c r="E315" s="1" t="str">
        <f ca="1">IFERROR(__xludf.DUMMYFUNCTION("""COMPUTED_VALUE"""),"NUR MUHAMMAD AINUL YAQIN")</f>
        <v>NUR MUHAMMAD AINUL YAQIN</v>
      </c>
      <c r="F315" s="1" t="str">
        <f ca="1">IFERROR(__xludf.DUMMYFUNCTION("""COMPUTED_VALUE"""),"5025201011")</f>
        <v>5025201011</v>
      </c>
      <c r="G315" s="1" t="str">
        <f ca="1">IFERROR(__xludf.DUMMYFUNCTION("""COMPUTED_VALUE"""),"Departemen Teknik Informatika")</f>
        <v>Departemen Teknik Informatika</v>
      </c>
      <c r="H315" s="1" t="str">
        <f ca="1">IFERROR(__xludf.DUMMYFUNCTION("""COMPUTED_VALUE"""),"Agus Budi Raharjo, S.Kom., M.Kom., Ph.D.")</f>
        <v>Agus Budi Raharjo, S.Kom., M.Kom., Ph.D.</v>
      </c>
      <c r="I315" s="1" t="str">
        <f ca="1">IFERROR(__xludf.DUMMYFUNCTION("""COMPUTED_VALUE"""),"BARHAN AKMAL FALAHUDIN")</f>
        <v>BARHAN AKMAL FALAHUDIN</v>
      </c>
      <c r="J315" s="1" t="str">
        <f ca="1">IFERROR(__xludf.DUMMYFUNCTION("""COMPUTED_VALUE"""),"5025201008")</f>
        <v>5025201008</v>
      </c>
      <c r="K315" s="1" t="str">
        <f ca="1">IFERROR(__xludf.DUMMYFUNCTION("""COMPUTED_VALUE"""),"Departemen Teknik Informatika")</f>
        <v>Departemen Teknik Informatika</v>
      </c>
      <c r="L315" s="1" t="str">
        <f ca="1">IFERROR(__xludf.DUMMYFUNCTION("""COMPUTED_VALUE"""),"MONICA NARDA DAVITA")</f>
        <v>MONICA NARDA DAVITA</v>
      </c>
      <c r="M315" s="1" t="str">
        <f ca="1">IFERROR(__xludf.DUMMYFUNCTION("""COMPUTED_VALUE"""),"5025201009")</f>
        <v>5025201009</v>
      </c>
      <c r="N315" s="1" t="str">
        <f ca="1">IFERROR(__xludf.DUMMYFUNCTION("""COMPUTED_VALUE"""),"Departemen Teknik Informatika")</f>
        <v>Departemen Teknik Informatika</v>
      </c>
      <c r="O315" s="1" t="str">
        <f ca="1">IFERROR(__xludf.DUMMYFUNCTION("""COMPUTED_VALUE"""),"NAZHIFAH ELQOLBY")</f>
        <v>NAZHIFAH ELQOLBY</v>
      </c>
      <c r="P315" s="1" t="str">
        <f ca="1">IFERROR(__xludf.DUMMYFUNCTION("""COMPUTED_VALUE"""),"5025201156")</f>
        <v>5025201156</v>
      </c>
      <c r="Q315" s="1" t="str">
        <f ca="1">IFERROR(__xludf.DUMMYFUNCTION("""COMPUTED_VALUE"""),"Departemen Teknik Informatika")</f>
        <v>Departemen Teknik Informatika</v>
      </c>
      <c r="R315" s="1"/>
      <c r="S315" s="1"/>
      <c r="T315" s="1"/>
      <c r="U315" s="1" t="str">
        <f ca="1">IFERROR(__xludf.DUMMYFUNCTION("""COMPUTED_VALUE"""),"Sefi Novendra Patrialova, S.Si., M.T")</f>
        <v>Sefi Novendra Patrialova, S.Si., M.T</v>
      </c>
      <c r="V315" s="1" t="str">
        <f ca="1">IFERROR(__xludf.DUMMYFUNCTION("""COMPUTED_VALUE"""),"Indra Ranu Kusuma, S.T., M.Sc.")</f>
        <v>Indra Ranu Kusuma, S.T., M.Sc.</v>
      </c>
      <c r="W315" s="1"/>
      <c r="X315" s="1" t="str">
        <f ca="1">IFERROR(__xludf.DUMMYFUNCTION("""COMPUTED_VALUE"""),"Lolos")</f>
        <v>Lolos</v>
      </c>
      <c r="Y315" s="1"/>
      <c r="Z315" s="1"/>
      <c r="AA315" s="1"/>
    </row>
    <row r="316" spans="1:27">
      <c r="A316" s="1" t="s">
        <v>311</v>
      </c>
      <c r="B316" s="1">
        <f ca="1">IFERROR(__xludf.DUMMYFUNCTION("""COMPUTED_VALUE"""),2039)</f>
        <v>2039</v>
      </c>
      <c r="C316" s="1" t="str">
        <f ca="1">IFERROR(__xludf.DUMMYFUNCTION("""COMPUTED_VALUE"""),"PKM Karsa Cipta")</f>
        <v>PKM Karsa Cipta</v>
      </c>
      <c r="D316" s="1" t="str">
        <f ca="1">IFERROR(__xludf.DUMMYFUNCTION("""COMPUTED_VALUE"""),"PERANCANGAN TONGKAT PUTIH DENGAN TEKNOLOGI SENSOR ULTRASONIK DAN ARTIFICAL INTELLIGENCE UNTUK MEMPERMUDAH AKTIVITAS PENYANDANG TUNA NETRA")</f>
        <v>PERANCANGAN TONGKAT PUTIH DENGAN TEKNOLOGI SENSOR ULTRASONIK DAN ARTIFICAL INTELLIGENCE UNTUK MEMPERMUDAH AKTIVITAS PENYANDANG TUNA NETRA</v>
      </c>
      <c r="E316" s="1" t="str">
        <f ca="1">IFERROR(__xludf.DUMMYFUNCTION("""COMPUTED_VALUE"""),"AHMAD AZZAM BABGEI")</f>
        <v>AHMAD AZZAM BABGEI</v>
      </c>
      <c r="F316" s="1" t="str">
        <f ca="1">IFERROR(__xludf.DUMMYFUNCTION("""COMPUTED_VALUE"""),"5004211017")</f>
        <v>5004211017</v>
      </c>
      <c r="G316" s="1" t="str">
        <f ca="1">IFERROR(__xludf.DUMMYFUNCTION("""COMPUTED_VALUE"""),"Departemen Kimia")</f>
        <v>Departemen Kimia</v>
      </c>
      <c r="H316" s="1" t="str">
        <f ca="1">IFERROR(__xludf.DUMMYFUNCTION("""COMPUTED_VALUE"""),"Atar Fuady Babgei, S.T., M.Sc.")</f>
        <v>Atar Fuady Babgei, S.T., M.Sc.</v>
      </c>
      <c r="I316" s="1" t="str">
        <f ca="1">IFERROR(__xludf.DUMMYFUNCTION("""COMPUTED_VALUE"""),"JEAN FITRIANI ROSHUN")</f>
        <v>JEAN FITRIANI ROSHUN</v>
      </c>
      <c r="J316" s="1" t="str">
        <f ca="1">IFERROR(__xludf.DUMMYFUNCTION("""COMPUTED_VALUE"""),"5004211079")</f>
        <v>5004211079</v>
      </c>
      <c r="K316" s="1" t="str">
        <f ca="1">IFERROR(__xludf.DUMMYFUNCTION("""COMPUTED_VALUE"""),"Departemen Kimia")</f>
        <v>Departemen Kimia</v>
      </c>
      <c r="L316" s="1" t="str">
        <f ca="1">IFERROR(__xludf.DUMMYFUNCTION("""COMPUTED_VALUE"""),"Tsania Alfiina F")</f>
        <v>Tsania Alfiina F</v>
      </c>
      <c r="M316" s="1" t="str">
        <f ca="1">IFERROR(__xludf.DUMMYFUNCTION("""COMPUTED_VALUE"""),"5004211011")</f>
        <v>5004211011</v>
      </c>
      <c r="N316" s="1" t="str">
        <f ca="1">IFERROR(__xludf.DUMMYFUNCTION("""COMPUTED_VALUE"""),"Departemen Kimia")</f>
        <v>Departemen Kimia</v>
      </c>
      <c r="O316" s="1" t="str">
        <f ca="1">IFERROR(__xludf.DUMMYFUNCTION("""COMPUTED_VALUE"""),"Chrisdevotia Kayla")</f>
        <v>Chrisdevotia Kayla</v>
      </c>
      <c r="P316" s="1" t="str">
        <f ca="1">IFERROR(__xludf.DUMMYFUNCTION("""COMPUTED_VALUE"""),"5004211136")</f>
        <v>5004211136</v>
      </c>
      <c r="Q316" s="1" t="str">
        <f ca="1">IFERROR(__xludf.DUMMYFUNCTION("""COMPUTED_VALUE"""),"Departemen Kimia")</f>
        <v>Departemen Kimia</v>
      </c>
      <c r="R316" s="1" t="str">
        <f ca="1">IFERROR(__xludf.DUMMYFUNCTION("""COMPUTED_VALUE"""),"NABIL BACHMID")</f>
        <v>NABIL BACHMID</v>
      </c>
      <c r="S316" s="1" t="str">
        <f ca="1">IFERROR(__xludf.DUMMYFUNCTION("""COMPUTED_VALUE"""),"07111940000114")</f>
        <v>07111940000114</v>
      </c>
      <c r="T316" s="1" t="str">
        <f ca="1">IFERROR(__xludf.DUMMYFUNCTION("""COMPUTED_VALUE"""),"Departemen Teknik Elektro")</f>
        <v>Departemen Teknik Elektro</v>
      </c>
      <c r="U316" s="1" t="str">
        <f ca="1">IFERROR(__xludf.DUMMYFUNCTION("""COMPUTED_VALUE"""),"Dr.Eng. Chastine Fatichah, S.Kom., M.Kom.")</f>
        <v>Dr.Eng. Chastine Fatichah, S.Kom., M.Kom.</v>
      </c>
      <c r="V316" s="1" t="str">
        <f ca="1">IFERROR(__xludf.DUMMYFUNCTION("""COMPUTED_VALUE"""),"Rudy Dikairono, ST., M.T.")</f>
        <v>Rudy Dikairono, ST., M.T.</v>
      </c>
      <c r="W316" s="1"/>
      <c r="X316" s="1" t="str">
        <f ca="1">IFERROR(__xludf.DUMMYFUNCTION("""COMPUTED_VALUE"""),"Lolos")</f>
        <v>Lolos</v>
      </c>
      <c r="Y316" s="1"/>
      <c r="Z316" s="1"/>
      <c r="AA316" s="1"/>
    </row>
    <row r="317" spans="1:27">
      <c r="A317" s="1" t="s">
        <v>312</v>
      </c>
      <c r="B317" s="1">
        <f ca="1">IFERROR(__xludf.DUMMYFUNCTION("""COMPUTED_VALUE"""),3402)</f>
        <v>3402</v>
      </c>
      <c r="C317" s="1" t="str">
        <f ca="1">IFERROR(__xludf.DUMMYFUNCTION("""COMPUTED_VALUE"""),"PKM Karsa Cipta")</f>
        <v>PKM Karsa Cipta</v>
      </c>
      <c r="D317" s="1" t="str">
        <f ca="1">IFERROR(__xludf.DUMMYFUNCTION("""COMPUTED_VALUE"""),"Rancang Bangun Simulator Pengukur Jarak Berbasis Sensor Ultrasonik dan Infraded Berbasis Iot")</f>
        <v>Rancang Bangun Simulator Pengukur Jarak Berbasis Sensor Ultrasonik dan Infraded Berbasis Iot</v>
      </c>
      <c r="E317" s="1" t="str">
        <f ca="1">IFERROR(__xludf.DUMMYFUNCTION("""COMPUTED_VALUE"""),"ALFIANUDIN ACHMAD FIRDAUS A")</f>
        <v>ALFIANUDIN ACHMAD FIRDAUS A</v>
      </c>
      <c r="F317" s="1" t="str">
        <f ca="1">IFERROR(__xludf.DUMMYFUNCTION("""COMPUTED_VALUE"""),"10511910000063")</f>
        <v>10511910000063</v>
      </c>
      <c r="G317" s="1" t="str">
        <f ca="1">IFERROR(__xludf.DUMMYFUNCTION("""COMPUTED_VALUE"""),"Departemen Teknik Instrumentasi")</f>
        <v>Departemen Teknik Instrumentasi</v>
      </c>
      <c r="H317" s="1" t="str">
        <f ca="1">IFERROR(__xludf.DUMMYFUNCTION("""COMPUTED_VALUE"""),"Ahmad Fauzan Adziimaa, S.T., M.Sc.")</f>
        <v>Ahmad Fauzan Adziimaa, S.T., M.Sc.</v>
      </c>
      <c r="I317" s="1" t="str">
        <f ca="1">IFERROR(__xludf.DUMMYFUNCTION("""COMPUTED_VALUE"""),"MUHAMMAD DAVA SURYA PERDANA")</f>
        <v>MUHAMMAD DAVA SURYA PERDANA</v>
      </c>
      <c r="J317" s="1" t="str">
        <f ca="1">IFERROR(__xludf.DUMMYFUNCTION("""COMPUTED_VALUE"""),"10511810000034")</f>
        <v>10511810000034</v>
      </c>
      <c r="K317" s="1" t="str">
        <f ca="1">IFERROR(__xludf.DUMMYFUNCTION("""COMPUTED_VALUE"""),"Departemen Teknik Instrumentasi")</f>
        <v>Departemen Teknik Instrumentasi</v>
      </c>
      <c r="L317" s="1" t="str">
        <f ca="1">IFERROR(__xludf.DUMMYFUNCTION("""COMPUTED_VALUE"""),"MEIDIKA ILHAMI ADITIA")</f>
        <v>MEIDIKA ILHAMI ADITIA</v>
      </c>
      <c r="M317" s="1" t="str">
        <f ca="1">IFERROR(__xludf.DUMMYFUNCTION("""COMPUTED_VALUE"""),"10511910000075")</f>
        <v>10511910000075</v>
      </c>
      <c r="N317" s="1" t="str">
        <f ca="1">IFERROR(__xludf.DUMMYFUNCTION("""COMPUTED_VALUE"""),"Departemen Teknik Instrumentasi")</f>
        <v>Departemen Teknik Instrumentasi</v>
      </c>
      <c r="O317" s="1" t="str">
        <f ca="1">IFERROR(__xludf.DUMMYFUNCTION("""COMPUTED_VALUE"""),"TAHTA ANUGRAH WIBOWO")</f>
        <v>TAHTA ANUGRAH WIBOWO</v>
      </c>
      <c r="P317" s="1" t="str">
        <f ca="1">IFERROR(__xludf.DUMMYFUNCTION("""COMPUTED_VALUE"""),"10511810000029")</f>
        <v>10511810000029</v>
      </c>
      <c r="Q317" s="1" t="str">
        <f ca="1">IFERROR(__xludf.DUMMYFUNCTION("""COMPUTED_VALUE"""),"Departemen Teknik Instrumentasi")</f>
        <v>Departemen Teknik Instrumentasi</v>
      </c>
      <c r="R317" s="1" t="str">
        <f ca="1">IFERROR(__xludf.DUMMYFUNCTION("""COMPUTED_VALUE"""),"BRAMASTA GHOZI ABYRAHMAN")</f>
        <v>BRAMASTA GHOZI ABYRAHMAN</v>
      </c>
      <c r="S317" s="1" t="str">
        <f ca="1">IFERROR(__xludf.DUMMYFUNCTION("""COMPUTED_VALUE"""),"10511810000002")</f>
        <v>10511810000002</v>
      </c>
      <c r="T317" s="1" t="str">
        <f ca="1">IFERROR(__xludf.DUMMYFUNCTION("""COMPUTED_VALUE"""),"Departemen Teknik Instrumentasi")</f>
        <v>Departemen Teknik Instrumentasi</v>
      </c>
      <c r="U317" s="1" t="str">
        <f ca="1">IFERROR(__xludf.DUMMYFUNCTION("""COMPUTED_VALUE"""),"Yudha Prasetyawan, S.T., M.Eng.")</f>
        <v>Yudha Prasetyawan, S.T., M.Eng.</v>
      </c>
      <c r="V317" s="1" t="str">
        <f ca="1">IFERROR(__xludf.DUMMYFUNCTION("""COMPUTED_VALUE"""),"Yasmin Zainul Mochtar, S.T., M.A.")</f>
        <v>Yasmin Zainul Mochtar, S.T., M.A.</v>
      </c>
      <c r="W317" s="1"/>
      <c r="X317" s="1" t="str">
        <f ca="1">IFERROR(__xludf.DUMMYFUNCTION("""COMPUTED_VALUE"""),"Lolos")</f>
        <v>Lolos</v>
      </c>
      <c r="Y317" s="1"/>
      <c r="Z317" s="1"/>
      <c r="AA317" s="1"/>
    </row>
    <row r="318" spans="1:27">
      <c r="A318" s="1" t="s">
        <v>313</v>
      </c>
      <c r="B318" s="1">
        <f ca="1">IFERROR(__xludf.DUMMYFUNCTION("""COMPUTED_VALUE"""),2149)</f>
        <v>2149</v>
      </c>
      <c r="C318" s="1" t="str">
        <f ca="1">IFERROR(__xludf.DUMMYFUNCTION("""COMPUTED_VALUE"""),"PKM Karsa Cipta")</f>
        <v>PKM Karsa Cipta</v>
      </c>
      <c r="D318" s="1" t="str">
        <f ca="1">IFERROR(__xludf.DUMMYFUNCTION("""COMPUTED_VALUE"""),"Sarung Tangan Konversi Gerakan Sistem Isyarat Bahasa Indonesia ke Suara
Berbasis Flex Sensor untuk Penyandang Disabilitas Tunawicara")</f>
        <v>Sarung Tangan Konversi Gerakan Sistem Isyarat Bahasa Indonesia ke Suara
Berbasis Flex Sensor untuk Penyandang Disabilitas Tunawicara</v>
      </c>
      <c r="E318" s="1" t="str">
        <f ca="1">IFERROR(__xludf.DUMMYFUNCTION("""COMPUTED_VALUE"""),"Ambar Retnoningsih")</f>
        <v>Ambar Retnoningsih</v>
      </c>
      <c r="F318" s="1" t="str">
        <f ca="1">IFERROR(__xludf.DUMMYFUNCTION("""COMPUTED_VALUE"""),"07311940000013")</f>
        <v>07311940000013</v>
      </c>
      <c r="G318" s="1" t="str">
        <f ca="1">IFERROR(__xludf.DUMMYFUNCTION("""COMPUTED_VALUE"""),"Departemen Teknik Biomedik")</f>
        <v>Departemen Teknik Biomedik</v>
      </c>
      <c r="H318" s="1" t="str">
        <f ca="1">IFERROR(__xludf.DUMMYFUNCTION("""COMPUTED_VALUE"""),"Muhammad Hilman Fatoni, S.T., M.T.")</f>
        <v>Muhammad Hilman Fatoni, S.T., M.T.</v>
      </c>
      <c r="I318" s="1" t="str">
        <f ca="1">IFERROR(__xludf.DUMMYFUNCTION("""COMPUTED_VALUE"""),"Huda Hafizah")</f>
        <v>Huda Hafizah</v>
      </c>
      <c r="J318" s="1" t="str">
        <f ca="1">IFERROR(__xludf.DUMMYFUNCTION("""COMPUTED_VALUE"""),"07311940000005")</f>
        <v>07311940000005</v>
      </c>
      <c r="K318" s="1" t="str">
        <f ca="1">IFERROR(__xludf.DUMMYFUNCTION("""COMPUTED_VALUE"""),"Departemen Teknik Biomedik")</f>
        <v>Departemen Teknik Biomedik</v>
      </c>
      <c r="L318" s="1" t="str">
        <f ca="1">IFERROR(__xludf.DUMMYFUNCTION("""COMPUTED_VALUE"""),"Wike Septiani")</f>
        <v>Wike Septiani</v>
      </c>
      <c r="M318" s="1" t="str">
        <f ca="1">IFERROR(__xludf.DUMMYFUNCTION("""COMPUTED_VALUE"""),"07311940000017")</f>
        <v>07311940000017</v>
      </c>
      <c r="N318" s="1" t="str">
        <f ca="1">IFERROR(__xludf.DUMMYFUNCTION("""COMPUTED_VALUE"""),"Departemen Teknik Biomedik")</f>
        <v>Departemen Teknik Biomedik</v>
      </c>
      <c r="O318" s="1" t="str">
        <f ca="1">IFERROR(__xludf.DUMMYFUNCTION("""COMPUTED_VALUE"""),"GHINA BASATIN URFI")</f>
        <v>GHINA BASATIN URFI</v>
      </c>
      <c r="P318" s="1" t="str">
        <f ca="1">IFERROR(__xludf.DUMMYFUNCTION("""COMPUTED_VALUE"""),"07311940000055")</f>
        <v>07311940000055</v>
      </c>
      <c r="Q318" s="1" t="str">
        <f ca="1">IFERROR(__xludf.DUMMYFUNCTION("""COMPUTED_VALUE"""),"Departemen Teknik Biomedik")</f>
        <v>Departemen Teknik Biomedik</v>
      </c>
      <c r="R318" s="1"/>
      <c r="S318" s="1"/>
      <c r="T318" s="1"/>
      <c r="U318" s="1" t="str">
        <f ca="1">IFERROR(__xludf.DUMMYFUNCTION("""COMPUTED_VALUE"""),"Ir. Josaphat Pramudijanto, M.Eng.")</f>
        <v>Ir. Josaphat Pramudijanto, M.Eng.</v>
      </c>
      <c r="V318" s="1" t="str">
        <f ca="1">IFERROR(__xludf.DUMMYFUNCTION("""COMPUTED_VALUE"""),"Dr. Ir. Purwadi Agus Darwito, M.Sc.")</f>
        <v>Dr. Ir. Purwadi Agus Darwito, M.Sc.</v>
      </c>
      <c r="W318" s="1"/>
      <c r="X318" s="1" t="str">
        <f ca="1">IFERROR(__xludf.DUMMYFUNCTION("""COMPUTED_VALUE"""),"Lolos")</f>
        <v>Lolos</v>
      </c>
      <c r="Y318" s="1"/>
      <c r="Z318" s="1"/>
      <c r="AA318" s="1"/>
    </row>
    <row r="319" spans="1:27">
      <c r="A319" s="1" t="s">
        <v>314</v>
      </c>
      <c r="B319" s="1">
        <f ca="1">IFERROR(__xludf.DUMMYFUNCTION("""COMPUTED_VALUE"""),4052)</f>
        <v>4052</v>
      </c>
      <c r="C319" s="1" t="str">
        <f ca="1">IFERROR(__xludf.DUMMYFUNCTION("""COMPUTED_VALUE"""),"PKM Karsa Cipta")</f>
        <v>PKM Karsa Cipta</v>
      </c>
      <c r="D319" s="1" t="str">
        <f ca="1">IFERROR(__xludf.DUMMYFUNCTION("""COMPUTED_VALUE"""),"LifeSavings Drone")</f>
        <v>LifeSavings Drone</v>
      </c>
      <c r="E319" s="1" t="str">
        <f ca="1">IFERROR(__xludf.DUMMYFUNCTION("""COMPUTED_VALUE"""),"DYLAN KAISAR HASYA")</f>
        <v>DYLAN KAISAR HASYA</v>
      </c>
      <c r="F319" s="1" t="str">
        <f ca="1">IFERROR(__xludf.DUMMYFUNCTION("""COMPUTED_VALUE"""),"5026211131")</f>
        <v>5026211131</v>
      </c>
      <c r="G319" s="1" t="str">
        <f ca="1">IFERROR(__xludf.DUMMYFUNCTION("""COMPUTED_VALUE"""),"Departemen Sistem Informasi")</f>
        <v>Departemen Sistem Informasi</v>
      </c>
      <c r="H319" s="1" t="str">
        <f ca="1">IFERROR(__xludf.DUMMYFUNCTION("""COMPUTED_VALUE"""),"Dr. Rarasmaya Indraswari, S.Kom.")</f>
        <v>Dr. Rarasmaya Indraswari, S.Kom.</v>
      </c>
      <c r="I319" s="1" t="str">
        <f ca="1">IFERROR(__xludf.DUMMYFUNCTION("""COMPUTED_VALUE"""),"Moch. Farid T.")</f>
        <v>Moch. Farid T.</v>
      </c>
      <c r="J319" s="1" t="str">
        <f ca="1">IFERROR(__xludf.DUMMYFUNCTION("""COMPUTED_VALUE"""),"5020211049")</f>
        <v>5020211049</v>
      </c>
      <c r="K319" s="1" t="str">
        <f ca="1">IFERROR(__xludf.DUMMYFUNCTION("""COMPUTED_VALUE"""),"Departemen Teknik Kelautan")</f>
        <v>Departemen Teknik Kelautan</v>
      </c>
      <c r="L319" s="1" t="str">
        <f ca="1">IFERROR(__xludf.DUMMYFUNCTION("""COMPUTED_VALUE"""),"Alya Putri Salma")</f>
        <v>Alya Putri Salma</v>
      </c>
      <c r="M319" s="1" t="str">
        <f ca="1">IFERROR(__xludf.DUMMYFUNCTION("""COMPUTED_VALUE"""),"5025211174")</f>
        <v>5025211174</v>
      </c>
      <c r="N319" s="1" t="str">
        <f ca="1">IFERROR(__xludf.DUMMYFUNCTION("""COMPUTED_VALUE"""),"Departemen Teknik Informatika")</f>
        <v>Departemen Teknik Informatika</v>
      </c>
      <c r="O319" s="1" t="str">
        <f ca="1">IFERROR(__xludf.DUMMYFUNCTION("""COMPUTED_VALUE"""),"Kanitha Aqila S.")</f>
        <v>Kanitha Aqila S.</v>
      </c>
      <c r="P319" s="1" t="str">
        <f ca="1">IFERROR(__xludf.DUMMYFUNCTION("""COMPUTED_VALUE"""),"5030211051")</f>
        <v>5030211051</v>
      </c>
      <c r="Q319" s="1" t="str">
        <f ca="1">IFERROR(__xludf.DUMMYFUNCTION("""COMPUTED_VALUE"""),"Departemen Desain Komunikasi Visual")</f>
        <v>Departemen Desain Komunikasi Visual</v>
      </c>
      <c r="R319" s="1"/>
      <c r="S319" s="1"/>
      <c r="T319" s="1"/>
      <c r="U319" s="1" t="str">
        <f ca="1">IFERROR(__xludf.DUMMYFUNCTION("""COMPUTED_VALUE"""),"Yudha Prasetyawan, S.T., M.Eng.")</f>
        <v>Yudha Prasetyawan, S.T., M.Eng.</v>
      </c>
      <c r="V319" s="1" t="str">
        <f ca="1">IFERROR(__xludf.DUMMYFUNCTION("""COMPUTED_VALUE"""),"Dr. Eng. Hosta Ardhyananta, S.T., M.Sc.")</f>
        <v>Dr. Eng. Hosta Ardhyananta, S.T., M.Sc.</v>
      </c>
      <c r="W319" s="1"/>
      <c r="X319" s="1" t="str">
        <f ca="1">IFERROR(__xludf.DUMMYFUNCTION("""COMPUTED_VALUE"""),"Lolos")</f>
        <v>Lolos</v>
      </c>
      <c r="Y319" s="1"/>
      <c r="Z319" s="1"/>
      <c r="AA319" s="1"/>
    </row>
    <row r="320" spans="1:27">
      <c r="A320" s="1" t="s">
        <v>315</v>
      </c>
      <c r="B320" s="1">
        <f ca="1">IFERROR(__xludf.DUMMYFUNCTION("""COMPUTED_VALUE"""),3935)</f>
        <v>3935</v>
      </c>
      <c r="C320" s="1" t="str">
        <f ca="1">IFERROR(__xludf.DUMMYFUNCTION("""COMPUTED_VALUE"""),"PKM Karsa Cipta")</f>
        <v>PKM Karsa Cipta</v>
      </c>
      <c r="D320" s="1" t="str">
        <f ca="1">IFERROR(__xludf.DUMMYFUNCTION("""COMPUTED_VALUE"""),"Alat Sortir Ikan Automatis Berbasis Computer Vision yang Terintegrasi secara Internet of Things")</f>
        <v>Alat Sortir Ikan Automatis Berbasis Computer Vision yang Terintegrasi secara Internet of Things</v>
      </c>
      <c r="E320" s="1" t="str">
        <f ca="1">IFERROR(__xludf.DUMMYFUNCTION("""COMPUTED_VALUE"""),"Delfiando Sutiasa")</f>
        <v>Delfiando Sutiasa</v>
      </c>
      <c r="F320" s="1" t="str">
        <f ca="1">IFERROR(__xludf.DUMMYFUNCTION("""COMPUTED_VALUE"""),"02111840000014")</f>
        <v>02111840000014</v>
      </c>
      <c r="G320" s="1" t="str">
        <f ca="1">IFERROR(__xludf.DUMMYFUNCTION("""COMPUTED_VALUE"""),"Departemen Teknik Mesin")</f>
        <v>Departemen Teknik Mesin</v>
      </c>
      <c r="H320" s="1" t="str">
        <f ca="1">IFERROR(__xludf.DUMMYFUNCTION("""COMPUTED_VALUE"""),"Ir. Julendra Bambang Ariatedja, M.T.")</f>
        <v>Ir. Julendra Bambang Ariatedja, M.T.</v>
      </c>
      <c r="I320" s="1" t="str">
        <f ca="1">IFERROR(__xludf.DUMMYFUNCTION("""COMPUTED_VALUE"""),"Dhau Fara Shabira")</f>
        <v>Dhau Fara Shabira</v>
      </c>
      <c r="J320" s="1" t="str">
        <f ca="1">IFERROR(__xludf.DUMMYFUNCTION("""COMPUTED_VALUE"""),"02111840000016")</f>
        <v>02111840000016</v>
      </c>
      <c r="K320" s="1" t="str">
        <f ca="1">IFERROR(__xludf.DUMMYFUNCTION("""COMPUTED_VALUE"""),"Departemen Teknik Mesin")</f>
        <v>Departemen Teknik Mesin</v>
      </c>
      <c r="L320" s="1" t="str">
        <f ca="1">IFERROR(__xludf.DUMMYFUNCTION("""COMPUTED_VALUE"""),"ADI WICAKSANA")</f>
        <v>ADI WICAKSANA</v>
      </c>
      <c r="M320" s="1" t="str">
        <f ca="1">IFERROR(__xludf.DUMMYFUNCTION("""COMPUTED_VALUE"""),"02111940000084")</f>
        <v>02111940000084</v>
      </c>
      <c r="N320" s="1" t="str">
        <f ca="1">IFERROR(__xludf.DUMMYFUNCTION("""COMPUTED_VALUE"""),"Departemen Teknik Mesin")</f>
        <v>Departemen Teknik Mesin</v>
      </c>
      <c r="O320" s="1"/>
      <c r="P320" s="1"/>
      <c r="Q320" s="1"/>
      <c r="R320" s="1"/>
      <c r="S320" s="1"/>
      <c r="T320" s="1"/>
      <c r="U320" s="1" t="str">
        <f ca="1">IFERROR(__xludf.DUMMYFUNCTION("""COMPUTED_VALUE"""),"Sefi Novendra Patrialova, S.Si., M.T")</f>
        <v>Sefi Novendra Patrialova, S.Si., M.T</v>
      </c>
      <c r="V320" s="1" t="str">
        <f ca="1">IFERROR(__xludf.DUMMYFUNCTION("""COMPUTED_VALUE"""),"Mahardika F. Rois, S.T, M.T")</f>
        <v>Mahardika F. Rois, S.T, M.T</v>
      </c>
      <c r="W320" s="1"/>
      <c r="X320" s="1" t="str">
        <f ca="1">IFERROR(__xludf.DUMMYFUNCTION("""COMPUTED_VALUE"""),"Lolos")</f>
        <v>Lolos</v>
      </c>
      <c r="Y320" s="1"/>
      <c r="Z320" s="1"/>
      <c r="AA320" s="1"/>
    </row>
    <row r="321" spans="1:27">
      <c r="A321" s="1" t="s">
        <v>316</v>
      </c>
      <c r="B321" s="1">
        <f ca="1">IFERROR(__xludf.DUMMYFUNCTION("""COMPUTED_VALUE"""),2559)</f>
        <v>2559</v>
      </c>
      <c r="C321" s="1" t="str">
        <f ca="1">IFERROR(__xludf.DUMMYFUNCTION("""COMPUTED_VALUE"""),"PKM Karsa Cipta")</f>
        <v>PKM Karsa Cipta</v>
      </c>
      <c r="D321" s="1" t="str">
        <f ca="1">IFERROR(__xludf.DUMMYFUNCTION("""COMPUTED_VALUE"""),"Automatic Water Treatment sebagai Sistem Monitoring dan Controlling Parameter Air pada Budidaya Udang Vannamei Berbasis IoT dengan Tenaga Surya")</f>
        <v>Automatic Water Treatment sebagai Sistem Monitoring dan Controlling Parameter Air pada Budidaya Udang Vannamei Berbasis IoT dengan Tenaga Surya</v>
      </c>
      <c r="E321" s="1" t="str">
        <f ca="1">IFERROR(__xludf.DUMMYFUNCTION("""COMPUTED_VALUE"""),"MUHAMMAD FARIS ZUHAIRI")</f>
        <v>MUHAMMAD FARIS ZUHAIRI</v>
      </c>
      <c r="F321" s="1" t="str">
        <f ca="1">IFERROR(__xludf.DUMMYFUNCTION("""COMPUTED_VALUE"""),"07111940000164")</f>
        <v>07111940000164</v>
      </c>
      <c r="G321" s="1" t="str">
        <f ca="1">IFERROR(__xludf.DUMMYFUNCTION("""COMPUTED_VALUE"""),"Departemen Teknik Elektro")</f>
        <v>Departemen Teknik Elektro</v>
      </c>
      <c r="H321" s="1" t="str">
        <f ca="1">IFERROR(__xludf.DUMMYFUNCTION("""COMPUTED_VALUE"""),"Eka Iskandar, S.T., M.T.")</f>
        <v>Eka Iskandar, S.T., M.T.</v>
      </c>
      <c r="I321" s="1" t="str">
        <f ca="1">IFERROR(__xludf.DUMMYFUNCTION("""COMPUTED_VALUE"""),"Hakhi Gya Yektianto")</f>
        <v>Hakhi Gya Yektianto</v>
      </c>
      <c r="J321" s="1" t="str">
        <f ca="1">IFERROR(__xludf.DUMMYFUNCTION("""COMPUTED_VALUE"""),"07111940000022")</f>
        <v>07111940000022</v>
      </c>
      <c r="K321" s="1" t="str">
        <f ca="1">IFERROR(__xludf.DUMMYFUNCTION("""COMPUTED_VALUE"""),"Departemen Teknik Elektro")</f>
        <v>Departemen Teknik Elektro</v>
      </c>
      <c r="L321" s="1" t="str">
        <f ca="1">IFERROR(__xludf.DUMMYFUNCTION("""COMPUTED_VALUE"""),"MUHAMMAD ALFIYAN ZULFA")</f>
        <v>MUHAMMAD ALFIYAN ZULFA</v>
      </c>
      <c r="M321" s="1" t="str">
        <f ca="1">IFERROR(__xludf.DUMMYFUNCTION("""COMPUTED_VALUE"""),"5012201003")</f>
        <v>5012201003</v>
      </c>
      <c r="N321" s="1" t="str">
        <f ca="1">IFERROR(__xludf.DUMMYFUNCTION("""COMPUTED_VALUE"""),"Departemen Teknik Sipil")</f>
        <v>Departemen Teknik Sipil</v>
      </c>
      <c r="O321" s="1" t="str">
        <f ca="1">IFERROR(__xludf.DUMMYFUNCTION("""COMPUTED_VALUE"""),"DANIAL FARROS MAULANA")</f>
        <v>DANIAL FARROS MAULANA</v>
      </c>
      <c r="P321" s="1" t="str">
        <f ca="1">IFERROR(__xludf.DUMMYFUNCTION("""COMPUTED_VALUE"""),"5025201004")</f>
        <v>5025201004</v>
      </c>
      <c r="Q321" s="1" t="str">
        <f ca="1">IFERROR(__xludf.DUMMYFUNCTION("""COMPUTED_VALUE"""),"Departemen Teknik Informatika")</f>
        <v>Departemen Teknik Informatika</v>
      </c>
      <c r="R321" s="1"/>
      <c r="S321" s="1"/>
      <c r="T321" s="1"/>
      <c r="U321" s="1" t="str">
        <f ca="1">IFERROR(__xludf.DUMMYFUNCTION("""COMPUTED_VALUE"""),"Sefi Novendra Patrialova, S.Si., M.T")</f>
        <v>Sefi Novendra Patrialova, S.Si., M.T</v>
      </c>
      <c r="V321" s="1" t="str">
        <f ca="1">IFERROR(__xludf.DUMMYFUNCTION("""COMPUTED_VALUE"""),"Safira Firdaus Mujiyanti, S.T., M.T.")</f>
        <v>Safira Firdaus Mujiyanti, S.T., M.T.</v>
      </c>
      <c r="W321" s="1"/>
      <c r="X321" s="1" t="str">
        <f ca="1">IFERROR(__xludf.DUMMYFUNCTION("""COMPUTED_VALUE"""),"Lolos")</f>
        <v>Lolos</v>
      </c>
      <c r="Y321" s="1"/>
      <c r="Z321" s="1"/>
      <c r="AA321" s="1"/>
    </row>
    <row r="322" spans="1:27">
      <c r="A322" s="1" t="s">
        <v>317</v>
      </c>
      <c r="B322" s="1">
        <f ca="1">IFERROR(__xludf.DUMMYFUNCTION("""COMPUTED_VALUE"""),3291)</f>
        <v>3291</v>
      </c>
      <c r="C322" s="1" t="str">
        <f ca="1">IFERROR(__xludf.DUMMYFUNCTION("""COMPUTED_VALUE"""),"PKM Karsa Cipta")</f>
        <v>PKM Karsa Cipta</v>
      </c>
      <c r="D322" s="1" t="str">
        <f ca="1">IFERROR(__xludf.DUMMYFUNCTION("""COMPUTED_VALUE"""),"PROSPER.IN: ASURANSI RASIO KERENTANAN BURUH BERBASIS MACHINE LEARNING DATA ANALYZE SEBAGAI AKSELERATOR PEMULIHAN EKONOMI PASCA COVID-19 SEGMEN INDUSTRI PADAT KARYA")</f>
        <v>PROSPER.IN: ASURANSI RASIO KERENTANAN BURUH BERBASIS MACHINE LEARNING DATA ANALYZE SEBAGAI AKSELERATOR PEMULIHAN EKONOMI PASCA COVID-19 SEGMEN INDUSTRI PADAT KARYA</v>
      </c>
      <c r="E322" s="1" t="str">
        <f ca="1">IFERROR(__xludf.DUMMYFUNCTION("""COMPUTED_VALUE"""),"ALI ADAM AMBURASI")</f>
        <v>ALI ADAM AMBURASI</v>
      </c>
      <c r="F322" s="1" t="str">
        <f ca="1">IFERROR(__xludf.DUMMYFUNCTION("""COMPUTED_VALUE"""),"5006201014")</f>
        <v>5006201014</v>
      </c>
      <c r="G322" s="1" t="str">
        <f ca="1">IFERROR(__xludf.DUMMYFUNCTION("""COMPUTED_VALUE"""),"Departemen Aktuaria")</f>
        <v>Departemen Aktuaria</v>
      </c>
      <c r="H322" s="1" t="str">
        <f ca="1">IFERROR(__xludf.DUMMYFUNCTION("""COMPUTED_VALUE"""),"Galuh Oktavia Siswono, S.Si., M.Si., M.Act,Sc.")</f>
        <v>Galuh Oktavia Siswono, S.Si., M.Si., M.Act,Sc.</v>
      </c>
      <c r="I322" s="1" t="str">
        <f ca="1">IFERROR(__xludf.DUMMYFUNCTION("""COMPUTED_VALUE"""),"ARDI LUKMAN HAKIM")</f>
        <v>ARDI LUKMAN HAKIM</v>
      </c>
      <c r="J322" s="1" t="str">
        <f ca="1">IFERROR(__xludf.DUMMYFUNCTION("""COMPUTED_VALUE"""),"5004201040")</f>
        <v>5004201040</v>
      </c>
      <c r="K322" s="1" t="str">
        <f ca="1">IFERROR(__xludf.DUMMYFUNCTION("""COMPUTED_VALUE"""),"Departemen Kimia")</f>
        <v>Departemen Kimia</v>
      </c>
      <c r="L322" s="1" t="str">
        <f ca="1">IFERROR(__xludf.DUMMYFUNCTION("""COMPUTED_VALUE"""),"BAYU SAPUTRA")</f>
        <v>BAYU SAPUTRA</v>
      </c>
      <c r="M322" s="1" t="str">
        <f ca="1">IFERROR(__xludf.DUMMYFUNCTION("""COMPUTED_VALUE"""),"5016201067")</f>
        <v>5016201067</v>
      </c>
      <c r="N322" s="1" t="str">
        <f ca="1">IFERROR(__xludf.DUMMYFUNCTION("""COMPUTED_VALUE"""),"Departemen Teknik Geomatika")</f>
        <v>Departemen Teknik Geomatika</v>
      </c>
      <c r="O322" s="1" t="str">
        <f ca="1">IFERROR(__xludf.DUMMYFUNCTION("""COMPUTED_VALUE"""),"CHRISTIAN VIERI HALIM")</f>
        <v>CHRISTIAN VIERI HALIM</v>
      </c>
      <c r="P322" s="1" t="str">
        <f ca="1">IFERROR(__xludf.DUMMYFUNCTION("""COMPUTED_VALUE"""),"5009201123")</f>
        <v>5009201123</v>
      </c>
      <c r="Q322" s="1" t="str">
        <f ca="1">IFERROR(__xludf.DUMMYFUNCTION("""COMPUTED_VALUE"""),"Departemen Teknik Fisika")</f>
        <v>Departemen Teknik Fisika</v>
      </c>
      <c r="R322" s="1"/>
      <c r="S322" s="1"/>
      <c r="T322" s="1"/>
      <c r="U322" s="1" t="str">
        <f ca="1">IFERROR(__xludf.DUMMYFUNCTION("""COMPUTED_VALUE"""),"Mohammad Khoirul Effendi, S.T., M.Sc.Eng., Ph.D.")</f>
        <v>Mohammad Khoirul Effendi, S.T., M.Sc.Eng., Ph.D.</v>
      </c>
      <c r="V322" s="1" t="str">
        <f ca="1">IFERROR(__xludf.DUMMYFUNCTION("""COMPUTED_VALUE"""),"Dr. Dendy Satrio, S.ST.")</f>
        <v>Dr. Dendy Satrio, S.ST.</v>
      </c>
      <c r="W322" s="1"/>
      <c r="X322" s="1" t="str">
        <f ca="1">IFERROR(__xludf.DUMMYFUNCTION("""COMPUTED_VALUE"""),"Lolos")</f>
        <v>Lolos</v>
      </c>
      <c r="Y322" s="1"/>
      <c r="Z322" s="1"/>
      <c r="AA322" s="1"/>
    </row>
    <row r="323" spans="1:27">
      <c r="A323" s="1" t="s">
        <v>318</v>
      </c>
      <c r="B323" s="1">
        <f ca="1">IFERROR(__xludf.DUMMYFUNCTION("""COMPUTED_VALUE"""),2422)</f>
        <v>2422</v>
      </c>
      <c r="C323" s="1" t="str">
        <f ca="1">IFERROR(__xludf.DUMMYFUNCTION("""COMPUTED_VALUE"""),"PKM Karsa Cipta")</f>
        <v>PKM Karsa Cipta</v>
      </c>
      <c r="D323" s="1" t="str">
        <f ca="1">IFERROR(__xludf.DUMMYFUNCTION("""COMPUTED_VALUE"""),"HearMe: Aplikasi Mobile sebagai Media Pembelajaran Anak dengan Gangguan Bicara Berbasis Voice Recognition
")</f>
        <v xml:space="preserve">HearMe: Aplikasi Mobile sebagai Media Pembelajaran Anak dengan Gangguan Bicara Berbasis Voice Recognition
</v>
      </c>
      <c r="E323" s="1" t="str">
        <f ca="1">IFERROR(__xludf.DUMMYFUNCTION("""COMPUTED_VALUE"""),"VASYA MAHARANI PUTRI")</f>
        <v>VASYA MAHARANI PUTRI</v>
      </c>
      <c r="F323" s="1" t="str">
        <f ca="1">IFERROR(__xludf.DUMMYFUNCTION("""COMPUTED_VALUE"""),"5023211033")</f>
        <v>5023211033</v>
      </c>
      <c r="G323" s="1" t="str">
        <f ca="1">IFERROR(__xludf.DUMMYFUNCTION("""COMPUTED_VALUE"""),"Departemen Teknik Biomedik")</f>
        <v>Departemen Teknik Biomedik</v>
      </c>
      <c r="H323" s="1" t="str">
        <f ca="1">IFERROR(__xludf.DUMMYFUNCTION("""COMPUTED_VALUE"""),"Ir. Josaphat Pramudijanto, M.Eng.")</f>
        <v>Ir. Josaphat Pramudijanto, M.Eng.</v>
      </c>
      <c r="I323" s="1" t="str">
        <f ca="1">IFERROR(__xludf.DUMMYFUNCTION("""COMPUTED_VALUE"""),"Firza Aji Zunaarta")</f>
        <v>Firza Aji Zunaarta</v>
      </c>
      <c r="J323" s="1" t="str">
        <f ca="1">IFERROR(__xludf.DUMMYFUNCTION("""COMPUTED_VALUE"""),"5023211002")</f>
        <v>5023211002</v>
      </c>
      <c r="K323" s="1" t="str">
        <f ca="1">IFERROR(__xludf.DUMMYFUNCTION("""COMPUTED_VALUE"""),"Departemen Teknik Biomedik")</f>
        <v>Departemen Teknik Biomedik</v>
      </c>
      <c r="L323" s="1" t="str">
        <f ca="1">IFERROR(__xludf.DUMMYFUNCTION("""COMPUTED_VALUE"""),"RIHHADATUL AISY N")</f>
        <v>RIHHADATUL AISY N</v>
      </c>
      <c r="M323" s="1" t="str">
        <f ca="1">IFERROR(__xludf.DUMMYFUNCTION("""COMPUTED_VALUE"""),"5023211020")</f>
        <v>5023211020</v>
      </c>
      <c r="N323" s="1" t="str">
        <f ca="1">IFERROR(__xludf.DUMMYFUNCTION("""COMPUTED_VALUE"""),"Departemen Teknik Biomedik")</f>
        <v>Departemen Teknik Biomedik</v>
      </c>
      <c r="O323" s="1" t="str">
        <f ca="1">IFERROR(__xludf.DUMMYFUNCTION("""COMPUTED_VALUE"""),"Bahari Noor Hidayat")</f>
        <v>Bahari Noor Hidayat</v>
      </c>
      <c r="P323" s="1" t="str">
        <f ca="1">IFERROR(__xludf.DUMMYFUNCTION("""COMPUTED_VALUE"""),"5023211018")</f>
        <v>5023211018</v>
      </c>
      <c r="Q323" s="1" t="str">
        <f ca="1">IFERROR(__xludf.DUMMYFUNCTION("""COMPUTED_VALUE"""),"Departemen Teknik Biomedik")</f>
        <v>Departemen Teknik Biomedik</v>
      </c>
      <c r="R323" s="1" t="str">
        <f ca="1">IFERROR(__xludf.DUMMYFUNCTION("""COMPUTED_VALUE"""),"ARFI RAUSHANI FIKRA")</f>
        <v>ARFI RAUSHANI FIKRA</v>
      </c>
      <c r="S323" s="1" t="str">
        <f ca="1">IFERROR(__xludf.DUMMYFUNCTION("""COMPUTED_VALUE"""),"5025211084")</f>
        <v>5025211084</v>
      </c>
      <c r="T323" s="1" t="str">
        <f ca="1">IFERROR(__xludf.DUMMYFUNCTION("""COMPUTED_VALUE"""),"Departemen Teknik Informatika")</f>
        <v>Departemen Teknik Informatika</v>
      </c>
      <c r="U323" s="1" t="str">
        <f ca="1">IFERROR(__xludf.DUMMYFUNCTION("""COMPUTED_VALUE"""),"Mohammad Khoirul Effendi, S.T., M.Sc.Eng., Ph.D.")</f>
        <v>Mohammad Khoirul Effendi, S.T., M.Sc.Eng., Ph.D.</v>
      </c>
      <c r="V323" s="1" t="str">
        <f ca="1">IFERROR(__xludf.DUMMYFUNCTION("""COMPUTED_VALUE"""),"Azzah Dyah Pramata, S.T., M.T., M.Eng., Ph.D.")</f>
        <v>Azzah Dyah Pramata, S.T., M.T., M.Eng., Ph.D.</v>
      </c>
      <c r="W323" s="1"/>
      <c r="X323" s="1" t="str">
        <f ca="1">IFERROR(__xludf.DUMMYFUNCTION("""COMPUTED_VALUE"""),"Lolos")</f>
        <v>Lolos</v>
      </c>
      <c r="Y323" s="1"/>
      <c r="Z323" s="1"/>
      <c r="AA323" s="1"/>
    </row>
    <row r="324" spans="1:27">
      <c r="A324" s="1" t="s">
        <v>319</v>
      </c>
      <c r="B324" s="1">
        <f ca="1">IFERROR(__xludf.DUMMYFUNCTION("""COMPUTED_VALUE"""),2089)</f>
        <v>2089</v>
      </c>
      <c r="C324" s="1" t="str">
        <f ca="1">IFERROR(__xludf.DUMMYFUNCTION("""COMPUTED_VALUE"""),"PKM Karsa Cipta")</f>
        <v>PKM Karsa Cipta</v>
      </c>
      <c r="D324" s="1" t="str">
        <f ca="1">IFERROR(__xludf.DUMMYFUNCTION("""COMPUTED_VALUE"""),"SISTEM PENDETEKSI KECURANGAN PESERTA UJIAN ONLINE BERBASIS KECERDASAN BUATAN ")</f>
        <v xml:space="preserve">SISTEM PENDETEKSI KECURANGAN PESERTA UJIAN ONLINE BERBASIS KECERDASAN BUATAN </v>
      </c>
      <c r="E324" s="1" t="str">
        <f ca="1">IFERROR(__xludf.DUMMYFUNCTION("""COMPUTED_VALUE"""),"DANENDRA CLEVERO ANANDA")</f>
        <v>DANENDRA CLEVERO ANANDA</v>
      </c>
      <c r="F324" s="1" t="str">
        <f ca="1">IFERROR(__xludf.DUMMYFUNCTION("""COMPUTED_VALUE"""),"5022201123")</f>
        <v>5022201123</v>
      </c>
      <c r="G324" s="1" t="str">
        <f ca="1">IFERROR(__xludf.DUMMYFUNCTION("""COMPUTED_VALUE"""),"Departemen Teknik Elektro")</f>
        <v>Departemen Teknik Elektro</v>
      </c>
      <c r="H324" s="1" t="str">
        <f ca="1">IFERROR(__xludf.DUMMYFUNCTION("""COMPUTED_VALUE"""),"Dr. Ir. Hendra Kusuma, M.Eng.Sc.")</f>
        <v>Dr. Ir. Hendra Kusuma, M.Eng.Sc.</v>
      </c>
      <c r="I324" s="1" t="str">
        <f ca="1">IFERROR(__xludf.DUMMYFUNCTION("""COMPUTED_VALUE"""),"ZUFAR BAGAS PRASETYO         ")</f>
        <v xml:space="preserve">ZUFAR BAGAS PRASETYO         </v>
      </c>
      <c r="J324" s="1" t="str">
        <f ca="1">IFERROR(__xludf.DUMMYFUNCTION("""COMPUTED_VALUE"""),"5022201209")</f>
        <v>5022201209</v>
      </c>
      <c r="K324" s="1" t="str">
        <f ca="1">IFERROR(__xludf.DUMMYFUNCTION("""COMPUTED_VALUE"""),"Departemen Teknik Elektro")</f>
        <v>Departemen Teknik Elektro</v>
      </c>
      <c r="L324" s="1" t="str">
        <f ca="1">IFERROR(__xludf.DUMMYFUNCTION("""COMPUTED_VALUE"""),"Joanna Darmawan")</f>
        <v>Joanna Darmawan</v>
      </c>
      <c r="M324" s="1" t="str">
        <f ca="1">IFERROR(__xludf.DUMMYFUNCTION("""COMPUTED_VALUE"""),"5022211214")</f>
        <v>5022211214</v>
      </c>
      <c r="N324" s="1" t="str">
        <f ca="1">IFERROR(__xludf.DUMMYFUNCTION("""COMPUTED_VALUE"""),"Departemen Teknik Elektro")</f>
        <v>Departemen Teknik Elektro</v>
      </c>
      <c r="O324" s="1" t="str">
        <f ca="1">IFERROR(__xludf.DUMMYFUNCTION("""COMPUTED_VALUE"""),"MARSHA MAFISA YASDANIAR")</f>
        <v>MARSHA MAFISA YASDANIAR</v>
      </c>
      <c r="P324" s="1" t="str">
        <f ca="1">IFERROR(__xludf.DUMMYFUNCTION("""COMPUTED_VALUE"""),"5030201075")</f>
        <v>5030201075</v>
      </c>
      <c r="Q324" s="1" t="str">
        <f ca="1">IFERROR(__xludf.DUMMYFUNCTION("""COMPUTED_VALUE"""),"Departemen Desain Komunikasi Visual")</f>
        <v>Departemen Desain Komunikasi Visual</v>
      </c>
      <c r="R324" s="1"/>
      <c r="S324" s="1"/>
      <c r="T324" s="1"/>
      <c r="U324" s="1" t="str">
        <f ca="1">IFERROR(__xludf.DUMMYFUNCTION("""COMPUTED_VALUE"""),"Mohammad Khoirul Effendi, S.T., M.Sc.Eng., Ph.D.")</f>
        <v>Mohammad Khoirul Effendi, S.T., M.Sc.Eng., Ph.D.</v>
      </c>
      <c r="V324" s="1" t="str">
        <f ca="1">IFERROR(__xludf.DUMMYFUNCTION("""COMPUTED_VALUE"""),"Rudy Dikairono, ST., M.T.")</f>
        <v>Rudy Dikairono, ST., M.T.</v>
      </c>
      <c r="W324" s="1"/>
      <c r="X324" s="1" t="str">
        <f ca="1">IFERROR(__xludf.DUMMYFUNCTION("""COMPUTED_VALUE"""),"Lolos")</f>
        <v>Lolos</v>
      </c>
      <c r="Y324" s="1"/>
      <c r="Z324" s="1"/>
      <c r="AA324" s="1"/>
    </row>
    <row r="325" spans="1:27">
      <c r="A325" s="1" t="s">
        <v>320</v>
      </c>
      <c r="B325" s="1">
        <f ca="1">IFERROR(__xludf.DUMMYFUNCTION("""COMPUTED_VALUE"""),3010)</f>
        <v>3010</v>
      </c>
      <c r="C325" s="1" t="str">
        <f ca="1">IFERROR(__xludf.DUMMYFUNCTION("""COMPUTED_VALUE"""),"PKM Karsa Cipta")</f>
        <v>PKM Karsa Cipta</v>
      </c>
      <c r="D325" s="1" t="str">
        <f ca="1">IFERROR(__xludf.DUMMYFUNCTION("""COMPUTED_VALUE"""),"Platform Wajib Literasi Sebagai Smart Presence di Sekolah Guna Meningkatkan Minat Baca di Indonesia")</f>
        <v>Platform Wajib Literasi Sebagai Smart Presence di Sekolah Guna Meningkatkan Minat Baca di Indonesia</v>
      </c>
      <c r="E325" s="1" t="str">
        <f ca="1">IFERROR(__xludf.DUMMYFUNCTION("""COMPUTED_VALUE"""),"IDA BAGUS KADE RAINATA PUTRA WIBAWA")</f>
        <v>IDA BAGUS KADE RAINATA PUTRA WIBAWA</v>
      </c>
      <c r="F325" s="1" t="str">
        <f ca="1">IFERROR(__xludf.DUMMYFUNCTION("""COMPUTED_VALUE"""),"5025201235")</f>
        <v>5025201235</v>
      </c>
      <c r="G325" s="1" t="str">
        <f ca="1">IFERROR(__xludf.DUMMYFUNCTION("""COMPUTED_VALUE"""),"Departemen Teknik Informatika")</f>
        <v>Departemen Teknik Informatika</v>
      </c>
      <c r="H325" s="1" t="str">
        <f ca="1">IFERROR(__xludf.DUMMYFUNCTION("""COMPUTED_VALUE"""),"Dini Adni Navastara, S.Kom., M.Sc.")</f>
        <v>Dini Adni Navastara, S.Kom., M.Sc.</v>
      </c>
      <c r="I325" s="1" t="str">
        <f ca="1">IFERROR(__xludf.DUMMYFUNCTION("""COMPUTED_VALUE"""),"CINDI DWI PRAMUDITA")</f>
        <v>CINDI DWI PRAMUDITA</v>
      </c>
      <c r="J325" s="1" t="str">
        <f ca="1">IFERROR(__xludf.DUMMYFUNCTION("""COMPUTED_VALUE"""),"5025201042")</f>
        <v>5025201042</v>
      </c>
      <c r="K325" s="1" t="str">
        <f ca="1">IFERROR(__xludf.DUMMYFUNCTION("""COMPUTED_VALUE"""),"Departemen Teknik Informatika")</f>
        <v>Departemen Teknik Informatika</v>
      </c>
      <c r="L325" s="1" t="str">
        <f ca="1">IFERROR(__xludf.DUMMYFUNCTION("""COMPUTED_VALUE"""),"MOHAMMAD FIRMAN FARDIANSYAH")</f>
        <v>MOHAMMAD FIRMAN FARDIANSYAH</v>
      </c>
      <c r="M325" s="1" t="str">
        <f ca="1">IFERROR(__xludf.DUMMYFUNCTION("""COMPUTED_VALUE"""),"5025201109")</f>
        <v>5025201109</v>
      </c>
      <c r="N325" s="1" t="str">
        <f ca="1">IFERROR(__xludf.DUMMYFUNCTION("""COMPUTED_VALUE"""),"Departemen Teknik Informatika")</f>
        <v>Departemen Teknik Informatika</v>
      </c>
      <c r="O325" s="1" t="str">
        <f ca="1">IFERROR(__xludf.DUMMYFUNCTION("""COMPUTED_VALUE"""),"ANDRY PRASETYO")</f>
        <v>ANDRY PRASETYO</v>
      </c>
      <c r="P325" s="1" t="str">
        <f ca="1">IFERROR(__xludf.DUMMYFUNCTION("""COMPUTED_VALUE"""),"5001201036")</f>
        <v>5001201036</v>
      </c>
      <c r="Q325" s="1" t="str">
        <f ca="1">IFERROR(__xludf.DUMMYFUNCTION("""COMPUTED_VALUE"""),"Departemen Fisika")</f>
        <v>Departemen Fisika</v>
      </c>
      <c r="R325" s="1" t="str">
        <f ca="1">IFERROR(__xludf.DUMMYFUNCTION("""COMPUTED_VALUE"""),"DOANDA DRESTA RAHMA")</f>
        <v>DOANDA DRESTA RAHMA</v>
      </c>
      <c r="S325" s="1" t="str">
        <f ca="1">IFERROR(__xludf.DUMMYFUNCTION("""COMPUTED_VALUE"""),"5025201049")</f>
        <v>5025201049</v>
      </c>
      <c r="T325" s="1" t="str">
        <f ca="1">IFERROR(__xludf.DUMMYFUNCTION("""COMPUTED_VALUE"""),"Departemen Teknik Informatika")</f>
        <v>Departemen Teknik Informatika</v>
      </c>
      <c r="U325" s="1" t="str">
        <f ca="1">IFERROR(__xludf.DUMMYFUNCTION("""COMPUTED_VALUE"""),"Eko Agus Suprayitno, S.Si., M.T.")</f>
        <v>Eko Agus Suprayitno, S.Si., M.T.</v>
      </c>
      <c r="V325" s="1" t="str">
        <f ca="1">IFERROR(__xludf.DUMMYFUNCTION("""COMPUTED_VALUE"""),"Dr. Eng. Hosta Ardhyananta, S.T., M.Sc.")</f>
        <v>Dr. Eng. Hosta Ardhyananta, S.T., M.Sc.</v>
      </c>
      <c r="W325" s="1"/>
      <c r="X325" s="1" t="str">
        <f ca="1">IFERROR(__xludf.DUMMYFUNCTION("""COMPUTED_VALUE"""),"Lolos")</f>
        <v>Lolos</v>
      </c>
      <c r="Y325" s="1"/>
      <c r="Z325" s="1"/>
      <c r="AA325" s="1"/>
    </row>
    <row r="326" spans="1:27">
      <c r="A326" s="1" t="s">
        <v>321</v>
      </c>
      <c r="B326" s="1">
        <f ca="1">IFERROR(__xludf.DUMMYFUNCTION("""COMPUTED_VALUE"""),2379)</f>
        <v>2379</v>
      </c>
      <c r="C326" s="1" t="str">
        <f ca="1">IFERROR(__xludf.DUMMYFUNCTION("""COMPUTED_VALUE"""),"PKM Karsa Cipta")</f>
        <v>PKM Karsa Cipta</v>
      </c>
      <c r="D326" s="1" t="str">
        <f ca="1">IFERROR(__xludf.DUMMYFUNCTION("""COMPUTED_VALUE"""),"Emergency Alarm for Cardiovascular Disease")</f>
        <v>Emergency Alarm for Cardiovascular Disease</v>
      </c>
      <c r="E326" s="1" t="str">
        <f ca="1">IFERROR(__xludf.DUMMYFUNCTION("""COMPUTED_VALUE"""),"NISMAT HAJJIM APB")</f>
        <v>NISMAT HAJJIM APB</v>
      </c>
      <c r="F326" s="1" t="str">
        <f ca="1">IFERROR(__xludf.DUMMYFUNCTION("""COMPUTED_VALUE"""),"5023211001")</f>
        <v>5023211001</v>
      </c>
      <c r="G326" s="1" t="str">
        <f ca="1">IFERROR(__xludf.DUMMYFUNCTION("""COMPUTED_VALUE"""),"Departemen Teknik Biomedik")</f>
        <v>Departemen Teknik Biomedik</v>
      </c>
      <c r="H326" s="1" t="str">
        <f ca="1">IFERROR(__xludf.DUMMYFUNCTION("""COMPUTED_VALUE"""),"Ir. Josaphat Pramudijanto, M.Eng.")</f>
        <v>Ir. Josaphat Pramudijanto, M.Eng.</v>
      </c>
      <c r="I326" s="1" t="str">
        <f ca="1">IFERROR(__xludf.DUMMYFUNCTION("""COMPUTED_VALUE"""),"Aldo Pranata")</f>
        <v>Aldo Pranata</v>
      </c>
      <c r="J326" s="1" t="str">
        <f ca="1">IFERROR(__xludf.DUMMYFUNCTION("""COMPUTED_VALUE"""),"5023211019")</f>
        <v>5023211019</v>
      </c>
      <c r="K326" s="1" t="str">
        <f ca="1">IFERROR(__xludf.DUMMYFUNCTION("""COMPUTED_VALUE"""),"Departemen Teknik Biomedik")</f>
        <v>Departemen Teknik Biomedik</v>
      </c>
      <c r="L326" s="1" t="str">
        <f ca="1">IFERROR(__xludf.DUMMYFUNCTION("""COMPUTED_VALUE"""),"HILLDA TIARA N ")</f>
        <v xml:space="preserve">HILLDA TIARA N </v>
      </c>
      <c r="M326" s="1" t="str">
        <f ca="1">IFERROR(__xludf.DUMMYFUNCTION("""COMPUTED_VALUE"""),"5023211010")</f>
        <v>5023211010</v>
      </c>
      <c r="N326" s="1" t="str">
        <f ca="1">IFERROR(__xludf.DUMMYFUNCTION("""COMPUTED_VALUE"""),"Departemen Teknik Biomedik")</f>
        <v>Departemen Teknik Biomedik</v>
      </c>
      <c r="O326" s="1" t="str">
        <f ca="1">IFERROR(__xludf.DUMMYFUNCTION("""COMPUTED_VALUE"""),"Darwin Miqailla")</f>
        <v>Darwin Miqailla</v>
      </c>
      <c r="P326" s="1" t="str">
        <f ca="1">IFERROR(__xludf.DUMMYFUNCTION("""COMPUTED_VALUE"""),"5046211028")</f>
        <v>5046211028</v>
      </c>
      <c r="Q326" s="1" t="str">
        <f ca="1">IFERROR(__xludf.DUMMYFUNCTION("""COMPUTED_VALUE"""),"Departemen Teknik Lepas Pantai")</f>
        <v>Departemen Teknik Lepas Pantai</v>
      </c>
      <c r="R326" s="1"/>
      <c r="S326" s="1"/>
      <c r="T326" s="1"/>
      <c r="U326" s="1" t="str">
        <f ca="1">IFERROR(__xludf.DUMMYFUNCTION("""COMPUTED_VALUE"""),"Yudha Prasetyawan, S.T., M.Eng.")</f>
        <v>Yudha Prasetyawan, S.T., M.Eng.</v>
      </c>
      <c r="V326" s="1" t="str">
        <f ca="1">IFERROR(__xludf.DUMMYFUNCTION("""COMPUTED_VALUE"""),"Putu Gde Ariastita, S.T., M.T.")</f>
        <v>Putu Gde Ariastita, S.T., M.T.</v>
      </c>
      <c r="W326" s="1"/>
      <c r="X326" s="1" t="str">
        <f ca="1">IFERROR(__xludf.DUMMYFUNCTION("""COMPUTED_VALUE"""),"Lolos")</f>
        <v>Lolos</v>
      </c>
      <c r="Y326" s="1"/>
      <c r="Z326" s="1"/>
      <c r="AA326" s="1"/>
    </row>
    <row r="327" spans="1:27">
      <c r="A327" s="1" t="s">
        <v>322</v>
      </c>
      <c r="B327" s="1">
        <f ca="1">IFERROR(__xludf.DUMMYFUNCTION("""COMPUTED_VALUE"""),2136)</f>
        <v>2136</v>
      </c>
      <c r="C327" s="1" t="str">
        <f ca="1">IFERROR(__xludf.DUMMYFUNCTION("""COMPUTED_VALUE"""),"PKM Karsa Cipta")</f>
        <v>PKM Karsa Cipta</v>
      </c>
      <c r="D327" s="1" t="str">
        <f ca="1">IFERROR(__xludf.DUMMYFUNCTION("""COMPUTED_VALUE"""),"Functional Electrical Stimulation Cycling Treatment Berbasis Game NonImmersive Virtual Reality untuk Meningkatkan Fungsi Motorik Kaki Pada Anak dengan Cerebral Palsy")</f>
        <v>Functional Electrical Stimulation Cycling Treatment Berbasis Game NonImmersive Virtual Reality untuk Meningkatkan Fungsi Motorik Kaki Pada Anak dengan Cerebral Palsy</v>
      </c>
      <c r="E327" s="1" t="str">
        <f ca="1">IFERROR(__xludf.DUMMYFUNCTION("""COMPUTED_VALUE"""),"Huda Hafizah")</f>
        <v>Huda Hafizah</v>
      </c>
      <c r="F327" s="1" t="str">
        <f ca="1">IFERROR(__xludf.DUMMYFUNCTION("""COMPUTED_VALUE"""),"07311940000005")</f>
        <v>07311940000005</v>
      </c>
      <c r="G327" s="1" t="str">
        <f ca="1">IFERROR(__xludf.DUMMYFUNCTION("""COMPUTED_VALUE"""),"Departemen Teknik Biomedik")</f>
        <v>Departemen Teknik Biomedik</v>
      </c>
      <c r="H327" s="1" t="str">
        <f ca="1">IFERROR(__xludf.DUMMYFUNCTION("""COMPUTED_VALUE"""),"Achmad Arifin, S.T., M.Eng., Ph.D.")</f>
        <v>Achmad Arifin, S.T., M.Eng., Ph.D.</v>
      </c>
      <c r="I327" s="1" t="str">
        <f ca="1">IFERROR(__xludf.DUMMYFUNCTION("""COMPUTED_VALUE"""),"Wike Septiani")</f>
        <v>Wike Septiani</v>
      </c>
      <c r="J327" s="1" t="str">
        <f ca="1">IFERROR(__xludf.DUMMYFUNCTION("""COMPUTED_VALUE"""),"07311940000017")</f>
        <v>07311940000017</v>
      </c>
      <c r="K327" s="1" t="str">
        <f ca="1">IFERROR(__xludf.DUMMYFUNCTION("""COMPUTED_VALUE"""),"Departemen Teknik Biomedik")</f>
        <v>Departemen Teknik Biomedik</v>
      </c>
      <c r="L327" s="1" t="str">
        <f ca="1">IFERROR(__xludf.DUMMYFUNCTION("""COMPUTED_VALUE"""),"Ambar Retnoningsih")</f>
        <v>Ambar Retnoningsih</v>
      </c>
      <c r="M327" s="1" t="str">
        <f ca="1">IFERROR(__xludf.DUMMYFUNCTION("""COMPUTED_VALUE"""),"07311940000013")</f>
        <v>07311940000013</v>
      </c>
      <c r="N327" s="1" t="str">
        <f ca="1">IFERROR(__xludf.DUMMYFUNCTION("""COMPUTED_VALUE"""),"Departemen Teknik Biomedik")</f>
        <v>Departemen Teknik Biomedik</v>
      </c>
      <c r="O327" s="1" t="str">
        <f ca="1">IFERROR(__xludf.DUMMYFUNCTION("""COMPUTED_VALUE"""),"GHINA BASATIN URFI")</f>
        <v>GHINA BASATIN URFI</v>
      </c>
      <c r="P327" s="1" t="str">
        <f ca="1">IFERROR(__xludf.DUMMYFUNCTION("""COMPUTED_VALUE"""),"07311940000055")</f>
        <v>07311940000055</v>
      </c>
      <c r="Q327" s="1" t="str">
        <f ca="1">IFERROR(__xludf.DUMMYFUNCTION("""COMPUTED_VALUE"""),"Departemen Teknik Biomedik")</f>
        <v>Departemen Teknik Biomedik</v>
      </c>
      <c r="R327" s="1"/>
      <c r="S327" s="1"/>
      <c r="T327" s="1"/>
      <c r="U327" s="1" t="str">
        <f ca="1">IFERROR(__xludf.DUMMYFUNCTION("""COMPUTED_VALUE"""),"Ika Nurkasanah, S.Kom., M.Sc.")</f>
        <v>Ika Nurkasanah, S.Kom., M.Sc.</v>
      </c>
      <c r="V327" s="1" t="str">
        <f ca="1">IFERROR(__xludf.DUMMYFUNCTION("""COMPUTED_VALUE"""),"Dr. Ir. Purwadi Agus Darwito, M.Sc.")</f>
        <v>Dr. Ir. Purwadi Agus Darwito, M.Sc.</v>
      </c>
      <c r="W327" s="1"/>
      <c r="X327" s="1" t="str">
        <f ca="1">IFERROR(__xludf.DUMMYFUNCTION("""COMPUTED_VALUE"""),"Lolos")</f>
        <v>Lolos</v>
      </c>
      <c r="Y327" s="1"/>
      <c r="Z327" s="1"/>
      <c r="AA327" s="1"/>
    </row>
    <row r="328" spans="1:27">
      <c r="A328" s="1" t="s">
        <v>323</v>
      </c>
      <c r="B328" s="1">
        <f ca="1">IFERROR(__xludf.DUMMYFUNCTION("""COMPUTED_VALUE"""),2602)</f>
        <v>2602</v>
      </c>
      <c r="C328" s="1" t="str">
        <f ca="1">IFERROR(__xludf.DUMMYFUNCTION("""COMPUTED_VALUE"""),"PKM Karsa Cipta")</f>
        <v>PKM Karsa Cipta</v>
      </c>
      <c r="D328" s="1" t="str">
        <f ca="1">IFERROR(__xludf.DUMMYFUNCTION("""COMPUTED_VALUE"""),"Smart Life Jacket dengan Pemanas dan Global Positioning System di Perairan")</f>
        <v>Smart Life Jacket dengan Pemanas dan Global Positioning System di Perairan</v>
      </c>
      <c r="E328" s="1" t="str">
        <f ca="1">IFERROR(__xludf.DUMMYFUNCTION("""COMPUTED_VALUE"""),"MOCHAMMAD FADHEL FIRNANDA")</f>
        <v>MOCHAMMAD FADHEL FIRNANDA</v>
      </c>
      <c r="F328" s="1" t="str">
        <f ca="1">IFERROR(__xludf.DUMMYFUNCTION("""COMPUTED_VALUE"""),"02111940000143")</f>
        <v>02111940000143</v>
      </c>
      <c r="G328" s="1" t="str">
        <f ca="1">IFERROR(__xludf.DUMMYFUNCTION("""COMPUTED_VALUE"""),"Departemen Teknik Mesin")</f>
        <v>Departemen Teknik Mesin</v>
      </c>
      <c r="H328" s="1" t="str">
        <f ca="1">IFERROR(__xludf.DUMMYFUNCTION("""COMPUTED_VALUE"""),"Alief Wikarta, ST., MSc.Eng. Ph.D")</f>
        <v>Alief Wikarta, ST., MSc.Eng. Ph.D</v>
      </c>
      <c r="I328" s="1" t="str">
        <f ca="1">IFERROR(__xludf.DUMMYFUNCTION("""COMPUTED_VALUE"""),"Muhammad Fauzan Alfito")</f>
        <v>Muhammad Fauzan Alfito</v>
      </c>
      <c r="J328" s="1" t="str">
        <f ca="1">IFERROR(__xludf.DUMMYFUNCTION("""COMPUTED_VALUE"""),"02111940000013")</f>
        <v>02111940000013</v>
      </c>
      <c r="K328" s="1" t="str">
        <f ca="1">IFERROR(__xludf.DUMMYFUNCTION("""COMPUTED_VALUE"""),"Departemen Teknik Mesin")</f>
        <v>Departemen Teknik Mesin</v>
      </c>
      <c r="L328" s="1" t="str">
        <f ca="1">IFERROR(__xludf.DUMMYFUNCTION("""COMPUTED_VALUE"""),"VIVI BELLA CALLISTA")</f>
        <v>VIVI BELLA CALLISTA</v>
      </c>
      <c r="M328" s="1" t="str">
        <f ca="1">IFERROR(__xludf.DUMMYFUNCTION("""COMPUTED_VALUE"""),"02111940000074")</f>
        <v>02111940000074</v>
      </c>
      <c r="N328" s="1" t="str">
        <f ca="1">IFERROR(__xludf.DUMMYFUNCTION("""COMPUTED_VALUE"""),"Departemen Teknik Mesin")</f>
        <v>Departemen Teknik Mesin</v>
      </c>
      <c r="O328" s="1" t="str">
        <f ca="1">IFERROR(__xludf.DUMMYFUNCTION("""COMPUTED_VALUE"""),"ANJELITA ROSA PUTRI")</f>
        <v>ANJELITA ROSA PUTRI</v>
      </c>
      <c r="P328" s="1" t="str">
        <f ca="1">IFERROR(__xludf.DUMMYFUNCTION("""COMPUTED_VALUE"""),"02311940000076")</f>
        <v>02311940000076</v>
      </c>
      <c r="Q328" s="1" t="str">
        <f ca="1">IFERROR(__xludf.DUMMYFUNCTION("""COMPUTED_VALUE"""),"Departemen Teknik Fisika")</f>
        <v>Departemen Teknik Fisika</v>
      </c>
      <c r="R328" s="1"/>
      <c r="S328" s="1"/>
      <c r="T328" s="1"/>
      <c r="U328" s="1" t="str">
        <f ca="1">IFERROR(__xludf.DUMMYFUNCTION("""COMPUTED_VALUE"""),"Ika Nurkasanah, S.Kom., M.Sc.")</f>
        <v>Ika Nurkasanah, S.Kom., M.Sc.</v>
      </c>
      <c r="V328" s="1" t="str">
        <f ca="1">IFERROR(__xludf.DUMMYFUNCTION("""COMPUTED_VALUE"""),"Dr. Ir. Purwadi Agus Darwito, M.Sc.")</f>
        <v>Dr. Ir. Purwadi Agus Darwito, M.Sc.</v>
      </c>
      <c r="W328" s="1"/>
      <c r="X328" s="1" t="str">
        <f ca="1">IFERROR(__xludf.DUMMYFUNCTION("""COMPUTED_VALUE"""),"Lolos")</f>
        <v>Lolos</v>
      </c>
      <c r="Y328" s="1"/>
      <c r="Z328" s="1"/>
      <c r="AA328" s="1"/>
    </row>
    <row r="329" spans="1:27">
      <c r="A329" s="1" t="s">
        <v>324</v>
      </c>
      <c r="B329" s="1">
        <f ca="1">IFERROR(__xludf.DUMMYFUNCTION("""COMPUTED_VALUE"""),2212)</f>
        <v>2212</v>
      </c>
      <c r="C329" s="1" t="str">
        <f ca="1">IFERROR(__xludf.DUMMYFUNCTION("""COMPUTED_VALUE"""),"PKM Karsa Cipta")</f>
        <v>PKM Karsa Cipta</v>
      </c>
      <c r="D329" s="1" t="str">
        <f ca="1">IFERROR(__xludf.DUMMYFUNCTION("""COMPUTED_VALUE"""),"Otomatisasi Skoring Kalsium Arteri Koroner Berbasis CNN untuk Deteksi Dini Penyakit Arteri Koroner")</f>
        <v>Otomatisasi Skoring Kalsium Arteri Koroner Berbasis CNN untuk Deteksi Dini Penyakit Arteri Koroner</v>
      </c>
      <c r="E329" s="1" t="str">
        <f ca="1">IFERROR(__xludf.DUMMYFUNCTION("""COMPUTED_VALUE"""),"Aditya Wardianto")</f>
        <v>Aditya Wardianto</v>
      </c>
      <c r="F329" s="1" t="str">
        <f ca="1">IFERROR(__xludf.DUMMYFUNCTION("""COMPUTED_VALUE"""),"07311940000001")</f>
        <v>07311940000001</v>
      </c>
      <c r="G329" s="1" t="str">
        <f ca="1">IFERROR(__xludf.DUMMYFUNCTION("""COMPUTED_VALUE"""),"Departemen Teknik Biomedik")</f>
        <v>Departemen Teknik Biomedik</v>
      </c>
      <c r="H329" s="1" t="str">
        <f ca="1">IFERROR(__xludf.DUMMYFUNCTION("""COMPUTED_VALUE"""),"Nada Fitrieyatul Hikmah, S.T., M.T.")</f>
        <v>Nada Fitrieyatul Hikmah, S.T., M.T.</v>
      </c>
      <c r="I329" s="1" t="str">
        <f ca="1">IFERROR(__xludf.DUMMYFUNCTION("""COMPUTED_VALUE"""),"Nur Azizah")</f>
        <v>Nur Azizah</v>
      </c>
      <c r="J329" s="1" t="str">
        <f ca="1">IFERROR(__xludf.DUMMYFUNCTION("""COMPUTED_VALUE"""),"07311940000022")</f>
        <v>07311940000022</v>
      </c>
      <c r="K329" s="1" t="str">
        <f ca="1">IFERROR(__xludf.DUMMYFUNCTION("""COMPUTED_VALUE"""),"Departemen Teknik Biomedik")</f>
        <v>Departemen Teknik Biomedik</v>
      </c>
      <c r="L329" s="1" t="str">
        <f ca="1">IFERROR(__xludf.DUMMYFUNCTION("""COMPUTED_VALUE"""),"SALSABIELA KHAIRUNNISA SIREGAR")</f>
        <v>SALSABIELA KHAIRUNNISA SIREGAR</v>
      </c>
      <c r="M329" s="1" t="str">
        <f ca="1">IFERROR(__xludf.DUMMYFUNCTION("""COMPUTED_VALUE"""),"5023201020")</f>
        <v>5023201020</v>
      </c>
      <c r="N329" s="1" t="str">
        <f ca="1">IFERROR(__xludf.DUMMYFUNCTION("""COMPUTED_VALUE"""),"Departemen Teknik Biomedik")</f>
        <v>Departemen Teknik Biomedik</v>
      </c>
      <c r="O329" s="1" t="str">
        <f ca="1">IFERROR(__xludf.DUMMYFUNCTION("""COMPUTED_VALUE"""),"MUHAMMAD THORIQ AFIF RAMADHAN")</f>
        <v>MUHAMMAD THORIQ AFIF RAMADHAN</v>
      </c>
      <c r="P329" s="1" t="str">
        <f ca="1">IFERROR(__xludf.DUMMYFUNCTION("""COMPUTED_VALUE"""),"5023201004")</f>
        <v>5023201004</v>
      </c>
      <c r="Q329" s="1" t="str">
        <f ca="1">IFERROR(__xludf.DUMMYFUNCTION("""COMPUTED_VALUE"""),"Departemen Teknik Biomedik")</f>
        <v>Departemen Teknik Biomedik</v>
      </c>
      <c r="R329" s="1" t="str">
        <f ca="1">IFERROR(__xludf.DUMMYFUNCTION("""COMPUTED_VALUE"""),"INDAH NABILA RACHMAH")</f>
        <v>INDAH NABILA RACHMAH</v>
      </c>
      <c r="S329" s="1" t="str">
        <f ca="1">IFERROR(__xludf.DUMMYFUNCTION("""COMPUTED_VALUE"""),"5023201003")</f>
        <v>5023201003</v>
      </c>
      <c r="T329" s="1" t="str">
        <f ca="1">IFERROR(__xludf.DUMMYFUNCTION("""COMPUTED_VALUE"""),"Departemen Teknik Biomedik")</f>
        <v>Departemen Teknik Biomedik</v>
      </c>
      <c r="U329" s="1" t="str">
        <f ca="1">IFERROR(__xludf.DUMMYFUNCTION("""COMPUTED_VALUE"""),"Ika Nurkasanah, S.Kom., M.Sc.")</f>
        <v>Ika Nurkasanah, S.Kom., M.Sc.</v>
      </c>
      <c r="V329" s="1" t="str">
        <f ca="1">IFERROR(__xludf.DUMMYFUNCTION("""COMPUTED_VALUE"""),"Dr. Ir. Purwadi Agus Darwito, M.Sc.")</f>
        <v>Dr. Ir. Purwadi Agus Darwito, M.Sc.</v>
      </c>
      <c r="W329" s="1"/>
      <c r="X329" s="1" t="str">
        <f ca="1">IFERROR(__xludf.DUMMYFUNCTION("""COMPUTED_VALUE"""),"Lolos")</f>
        <v>Lolos</v>
      </c>
      <c r="Y329" s="1"/>
      <c r="Z329" s="1"/>
      <c r="AA329" s="1"/>
    </row>
    <row r="330" spans="1:27">
      <c r="A330" s="1" t="s">
        <v>325</v>
      </c>
      <c r="B330" s="1">
        <f ca="1">IFERROR(__xludf.DUMMYFUNCTION("""COMPUTED_VALUE"""),2132)</f>
        <v>2132</v>
      </c>
      <c r="C330" s="1" t="str">
        <f ca="1">IFERROR(__xludf.DUMMYFUNCTION("""COMPUTED_VALUE"""),"PKM Karsa Cipta")</f>
        <v>PKM Karsa Cipta</v>
      </c>
      <c r="D330" s="1" t="str">
        <f ca="1">IFERROR(__xludf.DUMMYFUNCTION("""COMPUTED_VALUE"""),"ASCO : Inovasi Teknologi Analisis Performa Pemain Futsal Berbasis Kecerdasan Buatan")</f>
        <v>ASCO : Inovasi Teknologi Analisis Performa Pemain Futsal Berbasis Kecerdasan Buatan</v>
      </c>
      <c r="E330" s="1" t="str">
        <f ca="1">IFERROR(__xludf.DUMMYFUNCTION("""COMPUTED_VALUE"""),"HAFIZ ZAIN FAHRIZAL")</f>
        <v>HAFIZ ZAIN FAHRIZAL</v>
      </c>
      <c r="F330" s="1" t="str">
        <f ca="1">IFERROR(__xludf.DUMMYFUNCTION("""COMPUTED_VALUE"""),"5022201040")</f>
        <v>5022201040</v>
      </c>
      <c r="G330" s="1" t="str">
        <f ca="1">IFERROR(__xludf.DUMMYFUNCTION("""COMPUTED_VALUE"""),"Departemen Teknik Elektro")</f>
        <v>Departemen Teknik Elektro</v>
      </c>
      <c r="H330" s="1" t="str">
        <f ca="1">IFERROR(__xludf.DUMMYFUNCTION("""COMPUTED_VALUE"""),"Rudy Dikairono, ST., M.T.")</f>
        <v>Rudy Dikairono, ST., M.T.</v>
      </c>
      <c r="I330" s="1" t="str">
        <f ca="1">IFERROR(__xludf.DUMMYFUNCTION("""COMPUTED_VALUE"""),"DANENDRA CLEVERO ANANDA")</f>
        <v>DANENDRA CLEVERO ANANDA</v>
      </c>
      <c r="J330" s="1" t="str">
        <f ca="1">IFERROR(__xludf.DUMMYFUNCTION("""COMPUTED_VALUE"""),"5022201123")</f>
        <v>5022201123</v>
      </c>
      <c r="K330" s="1" t="str">
        <f ca="1">IFERROR(__xludf.DUMMYFUNCTION("""COMPUTED_VALUE"""),"Departemen Teknik Elektro")</f>
        <v>Departemen Teknik Elektro</v>
      </c>
      <c r="L330" s="1" t="str">
        <f ca="1">IFERROR(__xludf.DUMMYFUNCTION("""COMPUTED_VALUE"""),"AHMAD JAWHARI FAUZI")</f>
        <v>AHMAD JAWHARI FAUZI</v>
      </c>
      <c r="M330" s="1" t="str">
        <f ca="1">IFERROR(__xludf.DUMMYFUNCTION("""COMPUTED_VALUE"""),"5018201113")</f>
        <v>5018201113</v>
      </c>
      <c r="N330" s="1" t="str">
        <f ca="1">IFERROR(__xludf.DUMMYFUNCTION("""COMPUTED_VALUE"""),"Departemen Teknik Perkapalan")</f>
        <v>Departemen Teknik Perkapalan</v>
      </c>
      <c r="O330" s="1" t="str">
        <f ca="1">IFERROR(__xludf.DUMMYFUNCTION("""COMPUTED_VALUE"""),"SYAEFULLAH NURRAHMAN")</f>
        <v>SYAEFULLAH NURRAHMAN</v>
      </c>
      <c r="P330" s="1" t="str">
        <f ca="1">IFERROR(__xludf.DUMMYFUNCTION("""COMPUTED_VALUE"""),"5030201004")</f>
        <v>5030201004</v>
      </c>
      <c r="Q330" s="1" t="str">
        <f ca="1">IFERROR(__xludf.DUMMYFUNCTION("""COMPUTED_VALUE"""),"Departemen Desain Komunikasi Visual")</f>
        <v>Departemen Desain Komunikasi Visual</v>
      </c>
      <c r="R330" s="1" t="str">
        <f ca="1">IFERROR(__xludf.DUMMYFUNCTION("""COMPUTED_VALUE"""),"HANIF ARIQ WIBOWO")</f>
        <v>HANIF ARIQ WIBOWO</v>
      </c>
      <c r="S330" s="1" t="str">
        <f ca="1">IFERROR(__xludf.DUMMYFUNCTION("""COMPUTED_VALUE"""),"5009201012")</f>
        <v>5009201012</v>
      </c>
      <c r="T330" s="1" t="str">
        <f ca="1">IFERROR(__xludf.DUMMYFUNCTION("""COMPUTED_VALUE"""),"Departemen Teknik Fisika")</f>
        <v>Departemen Teknik Fisika</v>
      </c>
      <c r="U330" s="1" t="str">
        <f ca="1">IFERROR(__xludf.DUMMYFUNCTION("""COMPUTED_VALUE"""),"Ika Nurkasanah, S.Kom., M.Sc.")</f>
        <v>Ika Nurkasanah, S.Kom., M.Sc.</v>
      </c>
      <c r="V330" s="1" t="str">
        <f ca="1">IFERROR(__xludf.DUMMYFUNCTION("""COMPUTED_VALUE"""),"Dr. Ir. Purwadi Agus Darwito, M.Sc.")</f>
        <v>Dr. Ir. Purwadi Agus Darwito, M.Sc.</v>
      </c>
      <c r="W330" s="1"/>
      <c r="X330" s="1" t="str">
        <f ca="1">IFERROR(__xludf.DUMMYFUNCTION("""COMPUTED_VALUE"""),"Lolos")</f>
        <v>Lolos</v>
      </c>
      <c r="Y330" s="1"/>
      <c r="Z330" s="1"/>
      <c r="AA330" s="1"/>
    </row>
    <row r="331" spans="1:27">
      <c r="A331" s="1" t="s">
        <v>326</v>
      </c>
      <c r="B331" s="1">
        <f ca="1">IFERROR(__xludf.DUMMYFUNCTION("""COMPUTED_VALUE"""),2947)</f>
        <v>2947</v>
      </c>
      <c r="C331" s="1" t="str">
        <f ca="1">IFERROR(__xludf.DUMMYFUNCTION("""COMPUTED_VALUE"""),"PKM Karsa Cipta")</f>
        <v>PKM Karsa Cipta</v>
      </c>
      <c r="D331" s="1" t="str">
        <f ca="1">IFERROR(__xludf.DUMMYFUNCTION("""COMPUTED_VALUE"""),"Smart Tracker-Stick sebagai pelacak barang dan aplikasi serbaguna untuk Traveller")</f>
        <v>Smart Tracker-Stick sebagai pelacak barang dan aplikasi serbaguna untuk Traveller</v>
      </c>
      <c r="E331" s="1" t="str">
        <f ca="1">IFERROR(__xludf.DUMMYFUNCTION("""COMPUTED_VALUE"""),"Dinda Apriliyani F.")</f>
        <v>Dinda Apriliyani F.</v>
      </c>
      <c r="F331" s="1" t="str">
        <f ca="1">IFERROR(__xludf.DUMMYFUNCTION("""COMPUTED_VALUE"""),"2043211056")</f>
        <v>2043211056</v>
      </c>
      <c r="G331" s="1" t="str">
        <f ca="1">IFERROR(__xludf.DUMMYFUNCTION("""COMPUTED_VALUE"""),"Departemen Statistika Bisnis")</f>
        <v>Departemen Statistika Bisnis</v>
      </c>
      <c r="H331" s="1" t="str">
        <f ca="1">IFERROR(__xludf.DUMMYFUNCTION("""COMPUTED_VALUE"""),"Dr.Eng. Chastine Fatichah, S.Kom., M.Kom.")</f>
        <v>Dr.Eng. Chastine Fatichah, S.Kom., M.Kom.</v>
      </c>
      <c r="I331" s="1" t="str">
        <f ca="1">IFERROR(__xludf.DUMMYFUNCTION("""COMPUTED_VALUE"""),"Shabrina Siti Amalin")</f>
        <v>Shabrina Siti Amalin</v>
      </c>
      <c r="J331" s="1" t="str">
        <f ca="1">IFERROR(__xludf.DUMMYFUNCTION("""COMPUTED_VALUE"""),"2043211045")</f>
        <v>2043211045</v>
      </c>
      <c r="K331" s="1" t="str">
        <f ca="1">IFERROR(__xludf.DUMMYFUNCTION("""COMPUTED_VALUE"""),"Departemen Statistika Bisnis")</f>
        <v>Departemen Statistika Bisnis</v>
      </c>
      <c r="L331" s="1" t="str">
        <f ca="1">IFERROR(__xludf.DUMMYFUNCTION("""COMPUTED_VALUE"""),"Syarif Fakhrul Falah")</f>
        <v>Syarif Fakhrul Falah</v>
      </c>
      <c r="M331" s="1" t="str">
        <f ca="1">IFERROR(__xludf.DUMMYFUNCTION("""COMPUTED_VALUE"""),"2043211040")</f>
        <v>2043211040</v>
      </c>
      <c r="N331" s="1" t="str">
        <f ca="1">IFERROR(__xludf.DUMMYFUNCTION("""COMPUTED_VALUE"""),"Departemen Statistika Bisnis")</f>
        <v>Departemen Statistika Bisnis</v>
      </c>
      <c r="O331" s="1" t="str">
        <f ca="1">IFERROR(__xludf.DUMMYFUNCTION("""COMPUTED_VALUE"""),"JAYANTI TOTTI ANDHINA")</f>
        <v>JAYANTI TOTTI ANDHINA</v>
      </c>
      <c r="P331" s="1" t="str">
        <f ca="1">IFERROR(__xludf.DUMMYFUNCTION("""COMPUTED_VALUE"""),"5025201037")</f>
        <v>5025201037</v>
      </c>
      <c r="Q331" s="1" t="str">
        <f ca="1">IFERROR(__xludf.DUMMYFUNCTION("""COMPUTED_VALUE"""),"Departemen Teknik Informatika")</f>
        <v>Departemen Teknik Informatika</v>
      </c>
      <c r="R331" s="1" t="str">
        <f ca="1">IFERROR(__xludf.DUMMYFUNCTION("""COMPUTED_VALUE"""),"PUTU RAVINDRA WIGUNA")</f>
        <v>PUTU RAVINDRA WIGUNA</v>
      </c>
      <c r="S331" s="1" t="str">
        <f ca="1">IFERROR(__xludf.DUMMYFUNCTION("""COMPUTED_VALUE"""),"5025201237")</f>
        <v>5025201237</v>
      </c>
      <c r="T331" s="1" t="str">
        <f ca="1">IFERROR(__xludf.DUMMYFUNCTION("""COMPUTED_VALUE"""),"Departemen Teknik Informatika")</f>
        <v>Departemen Teknik Informatika</v>
      </c>
      <c r="U331" s="1" t="str">
        <f ca="1">IFERROR(__xludf.DUMMYFUNCTION("""COMPUTED_VALUE"""),"Eko Agus Suprayitno, S.Si., M.T.")</f>
        <v>Eko Agus Suprayitno, S.Si., M.T.</v>
      </c>
      <c r="V331" s="1" t="str">
        <f ca="1">IFERROR(__xludf.DUMMYFUNCTION("""COMPUTED_VALUE"""),"Dr. Eng. Hosta Ardhyananta, S.T., M.Sc.")</f>
        <v>Dr. Eng. Hosta Ardhyananta, S.T., M.Sc.</v>
      </c>
      <c r="W331" s="1"/>
      <c r="X331" s="1" t="str">
        <f ca="1">IFERROR(__xludf.DUMMYFUNCTION("""COMPUTED_VALUE"""),"Lolos")</f>
        <v>Lolos</v>
      </c>
      <c r="Y331" s="1"/>
      <c r="Z331" s="1"/>
      <c r="AA331" s="1"/>
    </row>
    <row r="332" spans="1:27">
      <c r="A332" s="1" t="s">
        <v>327</v>
      </c>
      <c r="B332" s="1">
        <f ca="1">IFERROR(__xludf.DUMMYFUNCTION("""COMPUTED_VALUE"""),2619)</f>
        <v>2619</v>
      </c>
      <c r="C332" s="1" t="str">
        <f ca="1">IFERROR(__xludf.DUMMYFUNCTION("""COMPUTED_VALUE"""),"PKM Karsa Cipta")</f>
        <v>PKM Karsa Cipta</v>
      </c>
      <c r="D332" s="1" t="str">
        <f ca="1">IFERROR(__xludf.DUMMYFUNCTION("""COMPUTED_VALUE"""),"Sistem Pembangkit Hybrid PV dan Turbin Savonius Terintergrasi IoT di Ibu Kota Baru Sebagai Solusi Mewujudkan Indonesia Mandiri Energi.")</f>
        <v>Sistem Pembangkit Hybrid PV dan Turbin Savonius Terintergrasi IoT di Ibu Kota Baru Sebagai Solusi Mewujudkan Indonesia Mandiri Energi.</v>
      </c>
      <c r="E332" s="1" t="str">
        <f ca="1">IFERROR(__xludf.DUMMYFUNCTION("""COMPUTED_VALUE"""),"CHINDY PRILYA FERMANSYAH")</f>
        <v>CHINDY PRILYA FERMANSYAH</v>
      </c>
      <c r="F332" s="1" t="str">
        <f ca="1">IFERROR(__xludf.DUMMYFUNCTION("""COMPUTED_VALUE"""),"07111940000177")</f>
        <v>07111940000177</v>
      </c>
      <c r="G332" s="1" t="str">
        <f ca="1">IFERROR(__xludf.DUMMYFUNCTION("""COMPUTED_VALUE"""),"Departemen Teknik Elektro")</f>
        <v>Departemen Teknik Elektro</v>
      </c>
      <c r="H332" s="1" t="str">
        <f ca="1">IFERROR(__xludf.DUMMYFUNCTION("""COMPUTED_VALUE"""),"Dr.Eng. Ardyono Priyadi, S.T., M.Eng.")</f>
        <v>Dr.Eng. Ardyono Priyadi, S.T., M.Eng.</v>
      </c>
      <c r="I332" s="1" t="str">
        <f ca="1">IFERROR(__xludf.DUMMYFUNCTION("""COMPUTED_VALUE"""),"BAIQ GALUH WIDYA PERMATASARI")</f>
        <v>BAIQ GALUH WIDYA PERMATASARI</v>
      </c>
      <c r="J332" s="1" t="str">
        <f ca="1">IFERROR(__xludf.DUMMYFUNCTION("""COMPUTED_VALUE"""),"5022201138")</f>
        <v>5022201138</v>
      </c>
      <c r="K332" s="1" t="str">
        <f ca="1">IFERROR(__xludf.DUMMYFUNCTION("""COMPUTED_VALUE"""),"Departemen Teknik Elektro")</f>
        <v>Departemen Teknik Elektro</v>
      </c>
      <c r="L332" s="1" t="str">
        <f ca="1">IFERROR(__xludf.DUMMYFUNCTION("""COMPUTED_VALUE"""),"Aprilia Eka Rahayu")</f>
        <v>Aprilia Eka Rahayu</v>
      </c>
      <c r="M332" s="1" t="str">
        <f ca="1">IFERROR(__xludf.DUMMYFUNCTION("""COMPUTED_VALUE"""),"08311940000005")</f>
        <v>08311940000005</v>
      </c>
      <c r="N332" s="1" t="str">
        <f ca="1">IFERROR(__xludf.DUMMYFUNCTION("""COMPUTED_VALUE"""),"Departemen Desain Produk")</f>
        <v>Departemen Desain Produk</v>
      </c>
      <c r="O332" s="1" t="str">
        <f ca="1">IFERROR(__xludf.DUMMYFUNCTION("""COMPUTED_VALUE"""),"NOVA AULIYARUL FAIZAH")</f>
        <v>NOVA AULIYARUL FAIZAH</v>
      </c>
      <c r="P332" s="1" t="str">
        <f ca="1">IFERROR(__xludf.DUMMYFUNCTION("""COMPUTED_VALUE"""),"2040201020")</f>
        <v>2040201020</v>
      </c>
      <c r="Q332" s="1" t="str">
        <f ca="1">IFERROR(__xludf.DUMMYFUNCTION("""COMPUTED_VALUE"""),"Departemen Teknik Elektro Otomasi")</f>
        <v>Departemen Teknik Elektro Otomasi</v>
      </c>
      <c r="R332" s="1"/>
      <c r="S332" s="1"/>
      <c r="T332" s="1"/>
      <c r="U332" s="1" t="str">
        <f ca="1">IFERROR(__xludf.DUMMYFUNCTION("""COMPUTED_VALUE"""),"Ika Nurkasanah, S.Kom., M.Sc.")</f>
        <v>Ika Nurkasanah, S.Kom., M.Sc.</v>
      </c>
      <c r="V332" s="1" t="str">
        <f ca="1">IFERROR(__xludf.DUMMYFUNCTION("""COMPUTED_VALUE"""),"Dr. Ir. Purwadi Agus Darwito, M.Sc.")</f>
        <v>Dr. Ir. Purwadi Agus Darwito, M.Sc.</v>
      </c>
      <c r="W332" s="1"/>
      <c r="X332" s="1" t="str">
        <f ca="1">IFERROR(__xludf.DUMMYFUNCTION("""COMPUTED_VALUE"""),"Lolos")</f>
        <v>Lolos</v>
      </c>
      <c r="Y332" s="1"/>
      <c r="Z332" s="1"/>
      <c r="AA332" s="1"/>
    </row>
    <row r="333" spans="1:27">
      <c r="A333" s="1" t="s">
        <v>328</v>
      </c>
      <c r="B333" s="1">
        <f ca="1">IFERROR(__xludf.DUMMYFUNCTION("""COMPUTED_VALUE"""),2609)</f>
        <v>2609</v>
      </c>
      <c r="C333" s="1" t="str">
        <f ca="1">IFERROR(__xludf.DUMMYFUNCTION("""COMPUTED_VALUE"""),"PKM Karsa Cipta")</f>
        <v>PKM Karsa Cipta</v>
      </c>
      <c r="D333" s="1" t="str">
        <f ca="1">IFERROR(__xludf.DUMMYFUNCTION("""COMPUTED_VALUE"""),"Automatic Vertical Farming Berbasis IoT Guna Menanggulangi Permasalahan Kurangnya Lahan Berkebun pada Wilayah Perkotaan")</f>
        <v>Automatic Vertical Farming Berbasis IoT Guna Menanggulangi Permasalahan Kurangnya Lahan Berkebun pada Wilayah Perkotaan</v>
      </c>
      <c r="E333" s="1" t="str">
        <f ca="1">IFERROR(__xludf.DUMMYFUNCTION("""COMPUTED_VALUE"""),"SYACHRILO AMAR MA`RUF")</f>
        <v>SYACHRILO AMAR MA`RUF</v>
      </c>
      <c r="F333" s="1" t="str">
        <f ca="1">IFERROR(__xludf.DUMMYFUNCTION("""COMPUTED_VALUE"""),"2042201046")</f>
        <v>2042201046</v>
      </c>
      <c r="G333" s="1" t="str">
        <f ca="1">IFERROR(__xludf.DUMMYFUNCTION("""COMPUTED_VALUE"""),"Departemen Teknik Instrumentasi")</f>
        <v>Departemen Teknik Instrumentasi</v>
      </c>
      <c r="H333" s="1" t="str">
        <f ca="1">IFERROR(__xludf.DUMMYFUNCTION("""COMPUTED_VALUE"""),"I Putu Eka Widya Pratama, S.Si., M.Sc.RWTH.")</f>
        <v>I Putu Eka Widya Pratama, S.Si., M.Sc.RWTH.</v>
      </c>
      <c r="I333" s="1" t="str">
        <f ca="1">IFERROR(__xludf.DUMMYFUNCTION("""COMPUTED_VALUE"""),"REMELIA NOVENDHITA ERNAWAN")</f>
        <v>REMELIA NOVENDHITA ERNAWAN</v>
      </c>
      <c r="J333" s="1" t="str">
        <f ca="1">IFERROR(__xludf.DUMMYFUNCTION("""COMPUTED_VALUE"""),"2042201028")</f>
        <v>2042201028</v>
      </c>
      <c r="K333" s="1" t="str">
        <f ca="1">IFERROR(__xludf.DUMMYFUNCTION("""COMPUTED_VALUE"""),"Departemen Teknik Instrumentasi")</f>
        <v>Departemen Teknik Instrumentasi</v>
      </c>
      <c r="L333" s="1" t="str">
        <f ca="1">IFERROR(__xludf.DUMMYFUNCTION("""COMPUTED_VALUE"""),"BRELLYAN FLORENTYNA SUSANTO")</f>
        <v>BRELLYAN FLORENTYNA SUSANTO</v>
      </c>
      <c r="M333" s="1" t="str">
        <f ca="1">IFERROR(__xludf.DUMMYFUNCTION("""COMPUTED_VALUE"""),"2042201002")</f>
        <v>2042201002</v>
      </c>
      <c r="N333" s="1" t="str">
        <f ca="1">IFERROR(__xludf.DUMMYFUNCTION("""COMPUTED_VALUE"""),"Departemen Teknik Instrumentasi")</f>
        <v>Departemen Teknik Instrumentasi</v>
      </c>
      <c r="O333" s="1" t="str">
        <f ca="1">IFERROR(__xludf.DUMMYFUNCTION("""COMPUTED_VALUE"""),"ANIS MAHMUDA CHAFSAH")</f>
        <v>ANIS MAHMUDA CHAFSAH</v>
      </c>
      <c r="P333" s="1" t="str">
        <f ca="1">IFERROR(__xludf.DUMMYFUNCTION("""COMPUTED_VALUE"""),"2042201078")</f>
        <v>2042201078</v>
      </c>
      <c r="Q333" s="1" t="str">
        <f ca="1">IFERROR(__xludf.DUMMYFUNCTION("""COMPUTED_VALUE"""),"Departemen Teknik Instrumentasi")</f>
        <v>Departemen Teknik Instrumentasi</v>
      </c>
      <c r="R333" s="1" t="str">
        <f ca="1">IFERROR(__xludf.DUMMYFUNCTION("""COMPUTED_VALUE"""),"SULTHON SIDIQ WICAKSANA")</f>
        <v>SULTHON SIDIQ WICAKSANA</v>
      </c>
      <c r="S333" s="1" t="str">
        <f ca="1">IFERROR(__xludf.DUMMYFUNCTION("""COMPUTED_VALUE"""),"10511910000002")</f>
        <v>10511910000002</v>
      </c>
      <c r="T333" s="1" t="str">
        <f ca="1">IFERROR(__xludf.DUMMYFUNCTION("""COMPUTED_VALUE"""),"Departemen Teknik Instrumentasi")</f>
        <v>Departemen Teknik Instrumentasi</v>
      </c>
      <c r="U333" s="1" t="str">
        <f ca="1">IFERROR(__xludf.DUMMYFUNCTION("""COMPUTED_VALUE"""),"Ika Nurkasanah, S.Kom., M.Sc.")</f>
        <v>Ika Nurkasanah, S.Kom., M.Sc.</v>
      </c>
      <c r="V333" s="1" t="str">
        <f ca="1">IFERROR(__xludf.DUMMYFUNCTION("""COMPUTED_VALUE"""),"Dr. Ir. Purwadi Agus Darwito, M.Sc.")</f>
        <v>Dr. Ir. Purwadi Agus Darwito, M.Sc.</v>
      </c>
      <c r="W333" s="1"/>
      <c r="X333" s="1" t="str">
        <f ca="1">IFERROR(__xludf.DUMMYFUNCTION("""COMPUTED_VALUE"""),"Lolos")</f>
        <v>Lolos</v>
      </c>
      <c r="Y333" s="1"/>
      <c r="Z333" s="1"/>
      <c r="AA333" s="1"/>
    </row>
    <row r="334" spans="1:27">
      <c r="A334" s="1" t="s">
        <v>329</v>
      </c>
      <c r="B334" s="1">
        <f ca="1">IFERROR(__xludf.DUMMYFUNCTION("""COMPUTED_VALUE"""),2603)</f>
        <v>2603</v>
      </c>
      <c r="C334" s="1" t="str">
        <f ca="1">IFERROR(__xludf.DUMMYFUNCTION("""COMPUTED_VALUE"""),"PKM Karsa Cipta")</f>
        <v>PKM Karsa Cipta</v>
      </c>
      <c r="D334" s="1" t="str">
        <f ca="1">IFERROR(__xludf.DUMMYFUNCTION("""COMPUTED_VALUE"""),"RANCANG BANGUN HONEY EXTRACTOR YANG LEBIH ERGONOMI DENGAN MEMPERHATIKAN WAKTU DAN RESIKO DALAM PROSES PEMERASAN MADU")</f>
        <v>RANCANG BANGUN HONEY EXTRACTOR YANG LEBIH ERGONOMI DENGAN MEMPERHATIKAN WAKTU DAN RESIKO DALAM PROSES PEMERASAN MADU</v>
      </c>
      <c r="E334" s="1" t="str">
        <f ca="1">IFERROR(__xludf.DUMMYFUNCTION("""COMPUTED_VALUE"""),"FARIZA HASNA MAHDIYAH")</f>
        <v>FARIZA HASNA MAHDIYAH</v>
      </c>
      <c r="F334" s="1" t="str">
        <f ca="1">IFERROR(__xludf.DUMMYFUNCTION("""COMPUTED_VALUE"""),"2042201030")</f>
        <v>2042201030</v>
      </c>
      <c r="G334" s="1" t="str">
        <f ca="1">IFERROR(__xludf.DUMMYFUNCTION("""COMPUTED_VALUE"""),"Departemen Teknik Instrumentasi")</f>
        <v>Departemen Teknik Instrumentasi</v>
      </c>
      <c r="H334" s="1" t="str">
        <f ca="1">IFERROR(__xludf.DUMMYFUNCTION("""COMPUTED_VALUE"""),"Dwi Nur Fitriyanah, S.ST., M.T.")</f>
        <v>Dwi Nur Fitriyanah, S.ST., M.T.</v>
      </c>
      <c r="I334" s="1" t="str">
        <f ca="1">IFERROR(__xludf.DUMMYFUNCTION("""COMPUTED_VALUE"""),"Rahadiyan Rachmadi")</f>
        <v>Rahadiyan Rachmadi</v>
      </c>
      <c r="J334" s="1" t="str">
        <f ca="1">IFERROR(__xludf.DUMMYFUNCTION("""COMPUTED_VALUE"""),"2042211037")</f>
        <v>2042211037</v>
      </c>
      <c r="K334" s="1" t="str">
        <f ca="1">IFERROR(__xludf.DUMMYFUNCTION("""COMPUTED_VALUE"""),"Departemen Teknik Instrumentasi")</f>
        <v>Departemen Teknik Instrumentasi</v>
      </c>
      <c r="L334" s="1" t="str">
        <f ca="1">IFERROR(__xludf.DUMMYFUNCTION("""COMPUTED_VALUE"""),"Naufal Daffa Pradana")</f>
        <v>Naufal Daffa Pradana</v>
      </c>
      <c r="M334" s="1" t="str">
        <f ca="1">IFERROR(__xludf.DUMMYFUNCTION("""COMPUTED_VALUE"""),"2042211023")</f>
        <v>2042211023</v>
      </c>
      <c r="N334" s="1" t="str">
        <f ca="1">IFERROR(__xludf.DUMMYFUNCTION("""COMPUTED_VALUE"""),"Departemen Teknik Instrumentasi")</f>
        <v>Departemen Teknik Instrumentasi</v>
      </c>
      <c r="O334" s="1" t="str">
        <f ca="1">IFERROR(__xludf.DUMMYFUNCTION("""COMPUTED_VALUE"""),"NOVAL AJI NUFRIZAL")</f>
        <v>NOVAL AJI NUFRIZAL</v>
      </c>
      <c r="P334" s="1" t="str">
        <f ca="1">IFERROR(__xludf.DUMMYFUNCTION("""COMPUTED_VALUE"""),"2042211011")</f>
        <v>2042211011</v>
      </c>
      <c r="Q334" s="1" t="str">
        <f ca="1">IFERROR(__xludf.DUMMYFUNCTION("""COMPUTED_VALUE"""),"Departemen Teknik Instrumentasi")</f>
        <v>Departemen Teknik Instrumentasi</v>
      </c>
      <c r="R334" s="1" t="str">
        <f ca="1">IFERROR(__xludf.DUMMYFUNCTION("""COMPUTED_VALUE"""),"PUTRI MIKHA PONDAAG")</f>
        <v>PUTRI MIKHA PONDAAG</v>
      </c>
      <c r="S334" s="1" t="str">
        <f ca="1">IFERROR(__xludf.DUMMYFUNCTION("""COMPUTED_VALUE"""),"2042211004")</f>
        <v>2042211004</v>
      </c>
      <c r="T334" s="1" t="str">
        <f ca="1">IFERROR(__xludf.DUMMYFUNCTION("""COMPUTED_VALUE"""),"Departemen Teknik Instrumentasi")</f>
        <v>Departemen Teknik Instrumentasi</v>
      </c>
      <c r="U334" s="1" t="str">
        <f ca="1">IFERROR(__xludf.DUMMYFUNCTION("""COMPUTED_VALUE"""),"Ika Nurkasanah, S.Kom., M.Sc.")</f>
        <v>Ika Nurkasanah, S.Kom., M.Sc.</v>
      </c>
      <c r="V334" s="1" t="str">
        <f ca="1">IFERROR(__xludf.DUMMYFUNCTION("""COMPUTED_VALUE"""),"Dr. Ir. Purwadi Agus Darwito, M.Sc.")</f>
        <v>Dr. Ir. Purwadi Agus Darwito, M.Sc.</v>
      </c>
      <c r="W334" s="1"/>
      <c r="X334" s="1" t="str">
        <f ca="1">IFERROR(__xludf.DUMMYFUNCTION("""COMPUTED_VALUE"""),"Lolos")</f>
        <v>Lolos</v>
      </c>
      <c r="Y334" s="1"/>
      <c r="Z334" s="1"/>
      <c r="AA334" s="1"/>
    </row>
    <row r="335" spans="1:27">
      <c r="A335" s="1" t="s">
        <v>330</v>
      </c>
      <c r="B335" s="1">
        <f ca="1">IFERROR(__xludf.DUMMYFUNCTION("""COMPUTED_VALUE"""),2625)</f>
        <v>2625</v>
      </c>
      <c r="C335" s="1" t="str">
        <f ca="1">IFERROR(__xludf.DUMMYFUNCTION("""COMPUTED_VALUE"""),"PKM Karsa Cipta")</f>
        <v>PKM Karsa Cipta</v>
      </c>
      <c r="D335" s="1" t="str">
        <f ca="1">IFERROR(__xludf.DUMMYFUNCTION("""COMPUTED_VALUE"""),"Pengolahan Limbah Cair Rumah Potong Ayam  dengan Sistem Biofilter Aerob Menggunakan Media Polyethylene Terephthalate ")</f>
        <v xml:space="preserve">Pengolahan Limbah Cair Rumah Potong Ayam  dengan Sistem Biofilter Aerob Menggunakan Media Polyethylene Terephthalate </v>
      </c>
      <c r="E335" s="1" t="str">
        <f ca="1">IFERROR(__xludf.DUMMYFUNCTION("""COMPUTED_VALUE"""),"SHIDDIQAH FATIMAH SHALEH")</f>
        <v>SHIDDIQAH FATIMAH SHALEH</v>
      </c>
      <c r="F335" s="1" t="str">
        <f ca="1">IFERROR(__xludf.DUMMYFUNCTION("""COMPUTED_VALUE"""),"10411810000082")</f>
        <v>10411810000082</v>
      </c>
      <c r="G335" s="1" t="str">
        <f ca="1">IFERROR(__xludf.DUMMYFUNCTION("""COMPUTED_VALUE"""),"Departemen Teknik Kimia Industri")</f>
        <v>Departemen Teknik Kimia Industri</v>
      </c>
      <c r="H335" s="1" t="str">
        <f ca="1">IFERROR(__xludf.DUMMYFUNCTION("""COMPUTED_VALUE"""),"Ir. Agus Surono, M.T.")</f>
        <v>Ir. Agus Surono, M.T.</v>
      </c>
      <c r="I335" s="1" t="str">
        <f ca="1">IFERROR(__xludf.DUMMYFUNCTION("""COMPUTED_VALUE"""),"AHMAD KAFIL LUKMANI")</f>
        <v>AHMAD KAFIL LUKMANI</v>
      </c>
      <c r="J335" s="1" t="str">
        <f ca="1">IFERROR(__xludf.DUMMYFUNCTION("""COMPUTED_VALUE"""),"10411810000056")</f>
        <v>10411810000056</v>
      </c>
      <c r="K335" s="1" t="str">
        <f ca="1">IFERROR(__xludf.DUMMYFUNCTION("""COMPUTED_VALUE"""),"Departemen Teknik Kimia Industri")</f>
        <v>Departemen Teknik Kimia Industri</v>
      </c>
      <c r="L335" s="1" t="str">
        <f ca="1">IFERROR(__xludf.DUMMYFUNCTION("""COMPUTED_VALUE"""),"AIGAH AMEILIA MANULLANG")</f>
        <v>AIGAH AMEILIA MANULLANG</v>
      </c>
      <c r="M335" s="1" t="str">
        <f ca="1">IFERROR(__xludf.DUMMYFUNCTION("""COMPUTED_VALUE"""),"10411910000031")</f>
        <v>10411910000031</v>
      </c>
      <c r="N335" s="1" t="str">
        <f ca="1">IFERROR(__xludf.DUMMYFUNCTION("""COMPUTED_VALUE"""),"Departemen Teknik Kimia Industri")</f>
        <v>Departemen Teknik Kimia Industri</v>
      </c>
      <c r="O335" s="1" t="str">
        <f ca="1">IFERROR(__xludf.DUMMYFUNCTION("""COMPUTED_VALUE"""),"AHMAD DWI ARGA")</f>
        <v>AHMAD DWI ARGA</v>
      </c>
      <c r="P335" s="1" t="str">
        <f ca="1">IFERROR(__xludf.DUMMYFUNCTION("""COMPUTED_VALUE"""),"10411910000005")</f>
        <v>10411910000005</v>
      </c>
      <c r="Q335" s="1" t="str">
        <f ca="1">IFERROR(__xludf.DUMMYFUNCTION("""COMPUTED_VALUE"""),"Departemen Teknik Kimia Industri")</f>
        <v>Departemen Teknik Kimia Industri</v>
      </c>
      <c r="R335" s="1"/>
      <c r="S335" s="1"/>
      <c r="T335" s="1"/>
      <c r="U335" s="1" t="str">
        <f ca="1">IFERROR(__xludf.DUMMYFUNCTION("""COMPUTED_VALUE"""),"Ika Nurkasanah, S.Kom., M.Sc.")</f>
        <v>Ika Nurkasanah, S.Kom., M.Sc.</v>
      </c>
      <c r="V335" s="1" t="str">
        <f ca="1">IFERROR(__xludf.DUMMYFUNCTION("""COMPUTED_VALUE"""),"Dr. Ir. Purwadi Agus Darwito, M.Sc.")</f>
        <v>Dr. Ir. Purwadi Agus Darwito, M.Sc.</v>
      </c>
      <c r="W335" s="1"/>
      <c r="X335" s="1" t="str">
        <f ca="1">IFERROR(__xludf.DUMMYFUNCTION("""COMPUTED_VALUE"""),"Lolos")</f>
        <v>Lolos</v>
      </c>
      <c r="Y335" s="1"/>
      <c r="Z335" s="1"/>
      <c r="AA335" s="1"/>
    </row>
    <row r="336" spans="1:27">
      <c r="A336" s="1" t="s">
        <v>331</v>
      </c>
      <c r="B336" s="1">
        <f ca="1">IFERROR(__xludf.DUMMYFUNCTION("""COMPUTED_VALUE"""),2978)</f>
        <v>2978</v>
      </c>
      <c r="C336" s="1" t="str">
        <f ca="1">IFERROR(__xludf.DUMMYFUNCTION("""COMPUTED_VALUE"""),"PKM Karsa Cipta")</f>
        <v>PKM Karsa Cipta</v>
      </c>
      <c r="D336" s="1" t="str">
        <f ca="1">IFERROR(__xludf.DUMMYFUNCTION("""COMPUTED_VALUE"""),"Smart Rescue System berbasis transmisi radio 433 mhz guna mempercepat upaya penyelamatan korban kecelakaan laut")</f>
        <v>Smart Rescue System berbasis transmisi radio 433 mhz guna mempercepat upaya penyelamatan korban kecelakaan laut</v>
      </c>
      <c r="E336" s="1" t="str">
        <f ca="1">IFERROR(__xludf.DUMMYFUNCTION("""COMPUTED_VALUE"""),"Agus Darmawan")</f>
        <v>Agus Darmawan</v>
      </c>
      <c r="F336" s="1" t="str">
        <f ca="1">IFERROR(__xludf.DUMMYFUNCTION("""COMPUTED_VALUE"""),"5024211070")</f>
        <v>5024211070</v>
      </c>
      <c r="G336" s="1" t="str">
        <f ca="1">IFERROR(__xludf.DUMMYFUNCTION("""COMPUTED_VALUE"""),"Departemen Teknik Komputer")</f>
        <v>Departemen Teknik Komputer</v>
      </c>
      <c r="H336" s="1"/>
      <c r="I336" s="1" t="str">
        <f ca="1">IFERROR(__xludf.DUMMYFUNCTION("""COMPUTED_VALUE"""),"I PUTU DEVA FEBRIANA")</f>
        <v>I PUTU DEVA FEBRIANA</v>
      </c>
      <c r="J336" s="1" t="str">
        <f ca="1">IFERROR(__xludf.DUMMYFUNCTION("""COMPUTED_VALUE"""),"5024211016")</f>
        <v>5024211016</v>
      </c>
      <c r="K336" s="1" t="str">
        <f ca="1">IFERROR(__xludf.DUMMYFUNCTION("""COMPUTED_VALUE"""),"Departemen Teknik Komputer")</f>
        <v>Departemen Teknik Komputer</v>
      </c>
      <c r="L336" s="1" t="str">
        <f ca="1">IFERROR(__xludf.DUMMYFUNCTION("""COMPUTED_VALUE"""),"I.B. PUTU DHARMA K.")</f>
        <v>I.B. PUTU DHARMA K.</v>
      </c>
      <c r="M336" s="1" t="str">
        <f ca="1">IFERROR(__xludf.DUMMYFUNCTION("""COMPUTED_VALUE"""),"5024211068")</f>
        <v>5024211068</v>
      </c>
      <c r="N336" s="1" t="str">
        <f ca="1">IFERROR(__xludf.DUMMYFUNCTION("""COMPUTED_VALUE"""),"Departemen Teknik Komputer")</f>
        <v>Departemen Teknik Komputer</v>
      </c>
      <c r="O336" s="1"/>
      <c r="P336" s="1"/>
      <c r="Q336" s="1"/>
      <c r="R336" s="1"/>
      <c r="S336" s="1"/>
      <c r="T336" s="1"/>
      <c r="U336" s="1" t="str">
        <f ca="1">IFERROR(__xludf.DUMMYFUNCTION("""COMPUTED_VALUE"""),"Eko Agus Suprayitno, S.Si., M.T.")</f>
        <v>Eko Agus Suprayitno, S.Si., M.T.</v>
      </c>
      <c r="V336" s="1" t="str">
        <f ca="1">IFERROR(__xludf.DUMMYFUNCTION("""COMPUTED_VALUE"""),"Dr. Eng. Hosta Ardhyananta, S.T., M.Sc.")</f>
        <v>Dr. Eng. Hosta Ardhyananta, S.T., M.Sc.</v>
      </c>
      <c r="W336" s="1"/>
      <c r="X336" s="1" t="str">
        <f ca="1">IFERROR(__xludf.DUMMYFUNCTION("""COMPUTED_VALUE"""),"Lolos")</f>
        <v>Lolos</v>
      </c>
      <c r="Y336" s="1"/>
      <c r="Z336" s="1"/>
      <c r="AA336" s="1"/>
    </row>
    <row r="337" spans="1:27">
      <c r="A337" s="1" t="s">
        <v>332</v>
      </c>
      <c r="B337" s="1">
        <f ca="1">IFERROR(__xludf.DUMMYFUNCTION("""COMPUTED_VALUE"""),2979)</f>
        <v>2979</v>
      </c>
      <c r="C337" s="1" t="str">
        <f ca="1">IFERROR(__xludf.DUMMYFUNCTION("""COMPUTED_VALUE"""),"PKM Karsa Cipta")</f>
        <v>PKM Karsa Cipta</v>
      </c>
      <c r="D337" s="1" t="str">
        <f ca="1">IFERROR(__xludf.DUMMYFUNCTION("""COMPUTED_VALUE"""),"Sistem Kontrol dan Monitoring Pemupukan Tanaman Berbasis IoT")</f>
        <v>Sistem Kontrol dan Monitoring Pemupukan Tanaman Berbasis IoT</v>
      </c>
      <c r="E337" s="1" t="str">
        <f ca="1">IFERROR(__xludf.DUMMYFUNCTION("""COMPUTED_VALUE"""),"JALU VEDA")</f>
        <v>JALU VEDA</v>
      </c>
      <c r="F337" s="1" t="str">
        <f ca="1">IFERROR(__xludf.DUMMYFUNCTION("""COMPUTED_VALUE"""),"07111840000134")</f>
        <v>07111840000134</v>
      </c>
      <c r="G337" s="1" t="str">
        <f ca="1">IFERROR(__xludf.DUMMYFUNCTION("""COMPUTED_VALUE"""),"Departemen Teknik Elektro")</f>
        <v>Departemen Teknik Elektro</v>
      </c>
      <c r="H337" s="1" t="str">
        <f ca="1">IFERROR(__xludf.DUMMYFUNCTION("""COMPUTED_VALUE"""),"Dr. Muhammad Rivai, ST.,MT.")</f>
        <v>Dr. Muhammad Rivai, ST.,MT.</v>
      </c>
      <c r="I337" s="1" t="str">
        <f ca="1">IFERROR(__xludf.DUMMYFUNCTION("""COMPUTED_VALUE"""),"RAHMAT MUNIR HASAN")</f>
        <v>RAHMAT MUNIR HASAN</v>
      </c>
      <c r="J337" s="1" t="str">
        <f ca="1">IFERROR(__xludf.DUMMYFUNCTION("""COMPUTED_VALUE"""),"07111942000009")</f>
        <v>07111942000009</v>
      </c>
      <c r="K337" s="1" t="str">
        <f ca="1">IFERROR(__xludf.DUMMYFUNCTION("""COMPUTED_VALUE"""),"Departemen Teknik Elektro")</f>
        <v>Departemen Teknik Elektro</v>
      </c>
      <c r="L337" s="1" t="str">
        <f ca="1">IFERROR(__xludf.DUMMYFUNCTION("""COMPUTED_VALUE"""),"ERTANSA RAFIF RIANTO")</f>
        <v>ERTANSA RAFIF RIANTO</v>
      </c>
      <c r="M337" s="1" t="str">
        <f ca="1">IFERROR(__xludf.DUMMYFUNCTION("""COMPUTED_VALUE"""),"07111942000006")</f>
        <v>07111942000006</v>
      </c>
      <c r="N337" s="1" t="str">
        <f ca="1">IFERROR(__xludf.DUMMYFUNCTION("""COMPUTED_VALUE"""),"Departemen Teknik Elektro")</f>
        <v>Departemen Teknik Elektro</v>
      </c>
      <c r="O337" s="1" t="str">
        <f ca="1">IFERROR(__xludf.DUMMYFUNCTION("""COMPUTED_VALUE"""),"ZAUQY AFFAN RAFF")</f>
        <v>ZAUQY AFFAN RAFF</v>
      </c>
      <c r="P337" s="1" t="str">
        <f ca="1">IFERROR(__xludf.DUMMYFUNCTION("""COMPUTED_VALUE"""),"07111942000010")</f>
        <v>07111942000010</v>
      </c>
      <c r="Q337" s="1" t="str">
        <f ca="1">IFERROR(__xludf.DUMMYFUNCTION("""COMPUTED_VALUE"""),"Departemen Teknik Elektro")</f>
        <v>Departemen Teknik Elektro</v>
      </c>
      <c r="R337" s="1"/>
      <c r="S337" s="1"/>
      <c r="T337" s="1"/>
      <c r="U337" s="1" t="str">
        <f ca="1">IFERROR(__xludf.DUMMYFUNCTION("""COMPUTED_VALUE"""),"Eko Agus Suprayitno, S.Si., M.T.")</f>
        <v>Eko Agus Suprayitno, S.Si., M.T.</v>
      </c>
      <c r="V337" s="1" t="str">
        <f ca="1">IFERROR(__xludf.DUMMYFUNCTION("""COMPUTED_VALUE"""),"Dr. Eng. Hosta Ardhyananta, S.T., M.Sc.")</f>
        <v>Dr. Eng. Hosta Ardhyananta, S.T., M.Sc.</v>
      </c>
      <c r="W337" s="1"/>
      <c r="X337" s="1" t="str">
        <f ca="1">IFERROR(__xludf.DUMMYFUNCTION("""COMPUTED_VALUE"""),"Lolos")</f>
        <v>Lolos</v>
      </c>
      <c r="Y337" s="1"/>
      <c r="Z337" s="1"/>
      <c r="AA337" s="1"/>
    </row>
    <row r="338" spans="1:27">
      <c r="A338" s="1" t="s">
        <v>333</v>
      </c>
      <c r="B338" s="1">
        <f ca="1">IFERROR(__xludf.DUMMYFUNCTION("""COMPUTED_VALUE"""),2129)</f>
        <v>2129</v>
      </c>
      <c r="C338" s="1" t="str">
        <f ca="1">IFERROR(__xludf.DUMMYFUNCTION("""COMPUTED_VALUE"""),"PKM Karsa Cipta")</f>
        <v>PKM Karsa Cipta</v>
      </c>
      <c r="D338" s="1" t="str">
        <f ca="1">IFERROR(__xludf.DUMMYFUNCTION("""COMPUTED_VALUE"""),"Deteksi Kantuk pada Pengemudi Menggunakan Image Processing berdasarkan Kedipan Mata, Ukuran Pupil, dan Detak Jantung")</f>
        <v>Deteksi Kantuk pada Pengemudi Menggunakan Image Processing berdasarkan Kedipan Mata, Ukuran Pupil, dan Detak Jantung</v>
      </c>
      <c r="E338" s="1" t="str">
        <f ca="1">IFERROR(__xludf.DUMMYFUNCTION("""COMPUTED_VALUE"""),"LIEYANTO SIM")</f>
        <v>LIEYANTO SIM</v>
      </c>
      <c r="F338" s="1" t="str">
        <f ca="1">IFERROR(__xludf.DUMMYFUNCTION("""COMPUTED_VALUE"""),"07311940000029")</f>
        <v>07311940000029</v>
      </c>
      <c r="G338" s="1" t="str">
        <f ca="1">IFERROR(__xludf.DUMMYFUNCTION("""COMPUTED_VALUE"""),"Departemen Teknik Biomedik")</f>
        <v>Departemen Teknik Biomedik</v>
      </c>
      <c r="H338" s="1" t="str">
        <f ca="1">IFERROR(__xludf.DUMMYFUNCTION("""COMPUTED_VALUE"""),"Nada Fitrieyatul Hikmah, S.T., M.T.")</f>
        <v>Nada Fitrieyatul Hikmah, S.T., M.T.</v>
      </c>
      <c r="I338" s="1" t="str">
        <f ca="1">IFERROR(__xludf.DUMMYFUNCTION("""COMPUTED_VALUE"""),"FARAH RISHA FADHILAH")</f>
        <v>FARAH RISHA FADHILAH</v>
      </c>
      <c r="J338" s="1" t="str">
        <f ca="1">IFERROR(__xludf.DUMMYFUNCTION("""COMPUTED_VALUE"""),"07311940000039")</f>
        <v>07311940000039</v>
      </c>
      <c r="K338" s="1" t="str">
        <f ca="1">IFERROR(__xludf.DUMMYFUNCTION("""COMPUTED_VALUE"""),"Departemen Teknik Biomedik")</f>
        <v>Departemen Teknik Biomedik</v>
      </c>
      <c r="L338" s="1" t="str">
        <f ca="1">IFERROR(__xludf.DUMMYFUNCTION("""COMPUTED_VALUE"""),"Nur Azizah")</f>
        <v>Nur Azizah</v>
      </c>
      <c r="M338" s="1" t="str">
        <f ca="1">IFERROR(__xludf.DUMMYFUNCTION("""COMPUTED_VALUE"""),"07311940000022")</f>
        <v>07311940000022</v>
      </c>
      <c r="N338" s="1" t="str">
        <f ca="1">IFERROR(__xludf.DUMMYFUNCTION("""COMPUTED_VALUE"""),"Departemen Teknik Biomedik")</f>
        <v>Departemen Teknik Biomedik</v>
      </c>
      <c r="O338" s="1" t="str">
        <f ca="1">IFERROR(__xludf.DUMMYFUNCTION("""COMPUTED_VALUE"""),"Francesco Sudibyo")</f>
        <v>Francesco Sudibyo</v>
      </c>
      <c r="P338" s="1" t="str">
        <f ca="1">IFERROR(__xludf.DUMMYFUNCTION("""COMPUTED_VALUE"""),"07311940000007")</f>
        <v>07311940000007</v>
      </c>
      <c r="Q338" s="1" t="str">
        <f ca="1">IFERROR(__xludf.DUMMYFUNCTION("""COMPUTED_VALUE"""),"Departemen Teknik Biomedik")</f>
        <v>Departemen Teknik Biomedik</v>
      </c>
      <c r="R338" s="1"/>
      <c r="S338" s="1"/>
      <c r="T338" s="1"/>
      <c r="U338" s="1" t="str">
        <f ca="1">IFERROR(__xludf.DUMMYFUNCTION("""COMPUTED_VALUE"""),"Ika Nurkasanah, S.Kom., M.Sc.")</f>
        <v>Ika Nurkasanah, S.Kom., M.Sc.</v>
      </c>
      <c r="V338" s="1" t="str">
        <f ca="1">IFERROR(__xludf.DUMMYFUNCTION("""COMPUTED_VALUE"""),"Dr. Ir. Purwadi Agus Darwito, M.Sc.")</f>
        <v>Dr. Ir. Purwadi Agus Darwito, M.Sc.</v>
      </c>
      <c r="W338" s="1"/>
      <c r="X338" s="1" t="str">
        <f ca="1">IFERROR(__xludf.DUMMYFUNCTION("""COMPUTED_VALUE"""),"Lolos")</f>
        <v>Lolos</v>
      </c>
      <c r="Y338" s="1"/>
      <c r="Z338" s="1"/>
      <c r="AA338" s="1"/>
    </row>
    <row r="339" spans="1:27">
      <c r="A339" s="1" t="s">
        <v>334</v>
      </c>
      <c r="B339" s="1">
        <f ca="1">IFERROR(__xludf.DUMMYFUNCTION("""COMPUTED_VALUE"""),2192)</f>
        <v>2192</v>
      </c>
      <c r="C339" s="1" t="str">
        <f ca="1">IFERROR(__xludf.DUMMYFUNCTION("""COMPUTED_VALUE"""),"PKM Karsa Cipta")</f>
        <v>PKM Karsa Cipta</v>
      </c>
      <c r="D339" s="1" t="str">
        <f ca="1">IFERROR(__xludf.DUMMYFUNCTION("""COMPUTED_VALUE"""),"GoDonor: Aplikasi Tautan untuk Mempermudah Koneksi Antara Pendonor dengan Pencari Donor Agar Memperoleh Donor Organ yang Kompatibel")</f>
        <v>GoDonor: Aplikasi Tautan untuk Mempermudah Koneksi Antara Pendonor dengan Pencari Donor Agar Memperoleh Donor Organ yang Kompatibel</v>
      </c>
      <c r="E339" s="1" t="str">
        <f ca="1">IFERROR(__xludf.DUMMYFUNCTION("""COMPUTED_VALUE"""),"Isnuansa Maharani ")</f>
        <v xml:space="preserve">Isnuansa Maharani </v>
      </c>
      <c r="F339" s="1" t="str">
        <f ca="1">IFERROR(__xludf.DUMMYFUNCTION("""COMPUTED_VALUE"""),"5022211030")</f>
        <v>5022211030</v>
      </c>
      <c r="G339" s="1" t="str">
        <f ca="1">IFERROR(__xludf.DUMMYFUNCTION("""COMPUTED_VALUE"""),"Departemen Teknik Elektro")</f>
        <v>Departemen Teknik Elektro</v>
      </c>
      <c r="H339" s="1" t="str">
        <f ca="1">IFERROR(__xludf.DUMMYFUNCTION("""COMPUTED_VALUE"""),"Dr. I Gusti Ngurah Satriyadi Hernanda, S.T., M.T.")</f>
        <v>Dr. I Gusti Ngurah Satriyadi Hernanda, S.T., M.T.</v>
      </c>
      <c r="I339" s="1" t="str">
        <f ca="1">IFERROR(__xludf.DUMMYFUNCTION("""COMPUTED_VALUE"""),"ANINDYA CLARASANTY")</f>
        <v>ANINDYA CLARASANTY</v>
      </c>
      <c r="J339" s="1" t="str">
        <f ca="1">IFERROR(__xludf.DUMMYFUNCTION("""COMPUTED_VALUE"""),"5023211005")</f>
        <v>5023211005</v>
      </c>
      <c r="K339" s="1" t="str">
        <f ca="1">IFERROR(__xludf.DUMMYFUNCTION("""COMPUTED_VALUE"""),"Departemen Teknik Biomedik")</f>
        <v>Departemen Teknik Biomedik</v>
      </c>
      <c r="L339" s="1" t="str">
        <f ca="1">IFERROR(__xludf.DUMMYFUNCTION("""COMPUTED_VALUE"""),"CANYA FREYA LARASATI")</f>
        <v>CANYA FREYA LARASATI</v>
      </c>
      <c r="M339" s="1" t="str">
        <f ca="1">IFERROR(__xludf.DUMMYFUNCTION("""COMPUTED_VALUE"""),"5022211073")</f>
        <v>5022211073</v>
      </c>
      <c r="N339" s="1" t="str">
        <f ca="1">IFERROR(__xludf.DUMMYFUNCTION("""COMPUTED_VALUE"""),"Departemen Teknik Elektro")</f>
        <v>Departemen Teknik Elektro</v>
      </c>
      <c r="O339" s="1" t="str">
        <f ca="1">IFERROR(__xludf.DUMMYFUNCTION("""COMPUTED_VALUE"""),"RADITYA EKA PUTRA")</f>
        <v>RADITYA EKA PUTRA</v>
      </c>
      <c r="P339" s="1" t="str">
        <f ca="1">IFERROR(__xludf.DUMMYFUNCTION("""COMPUTED_VALUE"""),"5022211071")</f>
        <v>5022211071</v>
      </c>
      <c r="Q339" s="1" t="str">
        <f ca="1">IFERROR(__xludf.DUMMYFUNCTION("""COMPUTED_VALUE"""),"Departemen Teknik Elektro")</f>
        <v>Departemen Teknik Elektro</v>
      </c>
      <c r="R339" s="1" t="str">
        <f ca="1">IFERROR(__xludf.DUMMYFUNCTION("""COMPUTED_VALUE"""),"MU'AFA ALI SYAKIR")</f>
        <v>MU'AFA ALI SYAKIR</v>
      </c>
      <c r="S339" s="1" t="str">
        <f ca="1">IFERROR(__xludf.DUMMYFUNCTION("""COMPUTED_VALUE"""),"5023211023")</f>
        <v>5023211023</v>
      </c>
      <c r="T339" s="1" t="str">
        <f ca="1">IFERROR(__xludf.DUMMYFUNCTION("""COMPUTED_VALUE"""),"Departemen Teknik Biomedik")</f>
        <v>Departemen Teknik Biomedik</v>
      </c>
      <c r="U339" s="1" t="str">
        <f ca="1">IFERROR(__xludf.DUMMYFUNCTION("""COMPUTED_VALUE"""),"Sefi Novendra Patrialova, S.Si., M.T")</f>
        <v>Sefi Novendra Patrialova, S.Si., M.T</v>
      </c>
      <c r="V339" s="1" t="str">
        <f ca="1">IFERROR(__xludf.DUMMYFUNCTION("""COMPUTED_VALUE"""),"Dr. Suyatno, S.Si., M.Si.")</f>
        <v>Dr. Suyatno, S.Si., M.Si.</v>
      </c>
      <c r="W339" s="1"/>
      <c r="X339" s="1" t="str">
        <f ca="1">IFERROR(__xludf.DUMMYFUNCTION("""COMPUTED_VALUE"""),"Karantina")</f>
        <v>Karantina</v>
      </c>
      <c r="Y339" s="1"/>
      <c r="Z339" s="1"/>
      <c r="AA339" s="1"/>
    </row>
    <row r="340" spans="1:27">
      <c r="A340" s="1" t="s">
        <v>335</v>
      </c>
      <c r="B340" s="1">
        <f ca="1">IFERROR(__xludf.DUMMYFUNCTION("""COMPUTED_VALUE"""),3698)</f>
        <v>3698</v>
      </c>
      <c r="C340" s="1" t="str">
        <f ca="1">IFERROR(__xludf.DUMMYFUNCTION("""COMPUTED_VALUE"""),"PKM Karsa Cipta")</f>
        <v>PKM Karsa Cipta</v>
      </c>
      <c r="D340" s="1" t="str">
        <f ca="1">IFERROR(__xludf.DUMMYFUNCTION("""COMPUTED_VALUE"""),"Perancangan Hybrid Constructed Wetland sebagai Prototipe Instalasi Pengolahan Air Limbah Industri Batik di Kabupaten Sidoarjo")</f>
        <v>Perancangan Hybrid Constructed Wetland sebagai Prototipe Instalasi Pengolahan Air Limbah Industri Batik di Kabupaten Sidoarjo</v>
      </c>
      <c r="E340" s="1" t="str">
        <f ca="1">IFERROR(__xludf.DUMMYFUNCTION("""COMPUTED_VALUE"""),"SITI ALICIA ANARA")</f>
        <v>SITI ALICIA ANARA</v>
      </c>
      <c r="F340" s="1" t="str">
        <f ca="1">IFERROR(__xludf.DUMMYFUNCTION("""COMPUTED_VALUE"""),"10411910000033")</f>
        <v>10411910000033</v>
      </c>
      <c r="G340" s="1" t="str">
        <f ca="1">IFERROR(__xludf.DUMMYFUNCTION("""COMPUTED_VALUE"""),"Departemen Teknik Kimia Industri")</f>
        <v>Departemen Teknik Kimia Industri</v>
      </c>
      <c r="H340" s="1" t="str">
        <f ca="1">IFERROR(__xludf.DUMMYFUNCTION("""COMPUTED_VALUE"""),"Prof. Dr. Ir. Soeprijanto, M.Sc.")</f>
        <v>Prof. Dr. Ir. Soeprijanto, M.Sc.</v>
      </c>
      <c r="I340" s="1" t="str">
        <f ca="1">IFERROR(__xludf.DUMMYFUNCTION("""COMPUTED_VALUE"""),"AHMAD RIFKY AZIS")</f>
        <v>AHMAD RIFKY AZIS</v>
      </c>
      <c r="J340" s="1" t="str">
        <f ca="1">IFERROR(__xludf.DUMMYFUNCTION("""COMPUTED_VALUE"""),"10411910000047")</f>
        <v>10411910000047</v>
      </c>
      <c r="K340" s="1" t="str">
        <f ca="1">IFERROR(__xludf.DUMMYFUNCTION("""COMPUTED_VALUE"""),"Departemen Teknik Kimia Industri")</f>
        <v>Departemen Teknik Kimia Industri</v>
      </c>
      <c r="L340" s="1" t="str">
        <f ca="1">IFERROR(__xludf.DUMMYFUNCTION("""COMPUTED_VALUE"""),"HAYKAL NUR FAJRI RAMADHAN")</f>
        <v>HAYKAL NUR FAJRI RAMADHAN</v>
      </c>
      <c r="M340" s="1" t="str">
        <f ca="1">IFERROR(__xludf.DUMMYFUNCTION("""COMPUTED_VALUE"""),"2041201050")</f>
        <v>2041201050</v>
      </c>
      <c r="N340" s="1" t="str">
        <f ca="1">IFERROR(__xludf.DUMMYFUNCTION("""COMPUTED_VALUE"""),"Departemen Teknik Kimia Industri")</f>
        <v>Departemen Teknik Kimia Industri</v>
      </c>
      <c r="O340" s="1" t="str">
        <f ca="1">IFERROR(__xludf.DUMMYFUNCTION("""COMPUTED_VALUE"""),"AURINATI SALSABILA")</f>
        <v>AURINATI SALSABILA</v>
      </c>
      <c r="P340" s="1" t="str">
        <f ca="1">IFERROR(__xludf.DUMMYFUNCTION("""COMPUTED_VALUE"""),"2041201055")</f>
        <v>2041201055</v>
      </c>
      <c r="Q340" s="1" t="str">
        <f ca="1">IFERROR(__xludf.DUMMYFUNCTION("""COMPUTED_VALUE"""),"Departemen Teknik Kimia Industri")</f>
        <v>Departemen Teknik Kimia Industri</v>
      </c>
      <c r="R340" s="1" t="str">
        <f ca="1">IFERROR(__xludf.DUMMYFUNCTION("""COMPUTED_VALUE"""),"AZEVA HAQQI PRADIAR")</f>
        <v>AZEVA HAQQI PRADIAR</v>
      </c>
      <c r="S340" s="1" t="str">
        <f ca="1">IFERROR(__xludf.DUMMYFUNCTION("""COMPUTED_VALUE"""),"2041201034")</f>
        <v>2041201034</v>
      </c>
      <c r="T340" s="1" t="str">
        <f ca="1">IFERROR(__xludf.DUMMYFUNCTION("""COMPUTED_VALUE"""),"Departemen Teknik Kimia Industri")</f>
        <v>Departemen Teknik Kimia Industri</v>
      </c>
      <c r="U340" s="1" t="str">
        <f ca="1">IFERROR(__xludf.DUMMYFUNCTION("""COMPUTED_VALUE"""),"Ervin Nurhayati, S.T., M.T., Ph.D.")</f>
        <v>Ervin Nurhayati, S.T., M.T., Ph.D.</v>
      </c>
      <c r="V340" s="1" t="str">
        <f ca="1">IFERROR(__xludf.DUMMYFUNCTION("""COMPUTED_VALUE"""),"Mahardika F. Rois, S.T, M.T")</f>
        <v>Mahardika F. Rois, S.T, M.T</v>
      </c>
      <c r="W340" s="1"/>
      <c r="X340" s="1" t="str">
        <f ca="1">IFERROR(__xludf.DUMMYFUNCTION("""COMPUTED_VALUE"""),"Karantina")</f>
        <v>Karantina</v>
      </c>
      <c r="Y340" s="1"/>
      <c r="Z340" s="1"/>
      <c r="AA340" s="1"/>
    </row>
    <row r="341" spans="1:27">
      <c r="A341" s="1" t="s">
        <v>336</v>
      </c>
      <c r="B341" s="1">
        <f ca="1">IFERROR(__xludf.DUMMYFUNCTION("""COMPUTED_VALUE"""),2799)</f>
        <v>2799</v>
      </c>
      <c r="C341" s="1" t="str">
        <f ca="1">IFERROR(__xludf.DUMMYFUNCTION("""COMPUTED_VALUE"""),"PKM Karsa Cipta")</f>
        <v>PKM Karsa Cipta</v>
      </c>
      <c r="D341" s="1" t="str">
        <f ca="1">IFERROR(__xludf.DUMMYFUNCTION("""COMPUTED_VALUE"""),"Alat Pemantau dan Perencana Penggunaan Energi PLTS On-Grid Berbasis IoT")</f>
        <v>Alat Pemantau dan Perencana Penggunaan Energi PLTS On-Grid Berbasis IoT</v>
      </c>
      <c r="E341" s="1" t="str">
        <f ca="1">IFERROR(__xludf.DUMMYFUNCTION("""COMPUTED_VALUE"""),"AYU NUR LESTARI")</f>
        <v>AYU NUR LESTARI</v>
      </c>
      <c r="F341" s="1" t="str">
        <f ca="1">IFERROR(__xludf.DUMMYFUNCTION("""COMPUTED_VALUE"""),"10511910000034")</f>
        <v>10511910000034</v>
      </c>
      <c r="G341" s="1" t="str">
        <f ca="1">IFERROR(__xludf.DUMMYFUNCTION("""COMPUTED_VALUE"""),"Departemen Teknik Instrumentasi")</f>
        <v>Departemen Teknik Instrumentasi</v>
      </c>
      <c r="H341" s="1" t="str">
        <f ca="1">IFERROR(__xludf.DUMMYFUNCTION("""COMPUTED_VALUE"""),"Brian Raafi'u, S.ST., M.T.")</f>
        <v>Brian Raafi'u, S.ST., M.T.</v>
      </c>
      <c r="I341" s="1" t="str">
        <f ca="1">IFERROR(__xludf.DUMMYFUNCTION("""COMPUTED_VALUE"""),"NANAK CITO TETUKO")</f>
        <v>NANAK CITO TETUKO</v>
      </c>
      <c r="J341" s="1" t="str">
        <f ca="1">IFERROR(__xludf.DUMMYFUNCTION("""COMPUTED_VALUE"""),"10511810000087")</f>
        <v>10511810000087</v>
      </c>
      <c r="K341" s="1" t="str">
        <f ca="1">IFERROR(__xludf.DUMMYFUNCTION("""COMPUTED_VALUE"""),"Departemen Teknik Instrumentasi")</f>
        <v>Departemen Teknik Instrumentasi</v>
      </c>
      <c r="L341" s="1" t="str">
        <f ca="1">IFERROR(__xludf.DUMMYFUNCTION("""COMPUTED_VALUE"""),"HAMDAN NUR PRAKOSA")</f>
        <v>HAMDAN NUR PRAKOSA</v>
      </c>
      <c r="M341" s="1" t="str">
        <f ca="1">IFERROR(__xludf.DUMMYFUNCTION("""COMPUTED_VALUE"""),"10211910000033")</f>
        <v>10211910000033</v>
      </c>
      <c r="N341" s="1" t="str">
        <f ca="1">IFERROR(__xludf.DUMMYFUNCTION("""COMPUTED_VALUE"""),"Departemen Teknik Mesin Industri")</f>
        <v>Departemen Teknik Mesin Industri</v>
      </c>
      <c r="O341" s="1" t="str">
        <f ca="1">IFERROR(__xludf.DUMMYFUNCTION("""COMPUTED_VALUE"""),"FARHAN IZZUDDIN PRASETYO")</f>
        <v>FARHAN IZZUDDIN PRASETYO</v>
      </c>
      <c r="P341" s="1" t="str">
        <f ca="1">IFERROR(__xludf.DUMMYFUNCTION("""COMPUTED_VALUE"""),"10311910000023")</f>
        <v>10311910000023</v>
      </c>
      <c r="Q341" s="1" t="str">
        <f ca="1">IFERROR(__xludf.DUMMYFUNCTION("""COMPUTED_VALUE"""),"Departemen Teknik Elektro Otomasi")</f>
        <v>Departemen Teknik Elektro Otomasi</v>
      </c>
      <c r="R341" s="1" t="str">
        <f ca="1">IFERROR(__xludf.DUMMYFUNCTION("""COMPUTED_VALUE"""),"DZULKIEF PRAKOSO R.")</f>
        <v>DZULKIEF PRAKOSO R.</v>
      </c>
      <c r="S341" s="1" t="str">
        <f ca="1">IFERROR(__xludf.DUMMYFUNCTION("""COMPUTED_VALUE"""),"2042211025")</f>
        <v>2042211025</v>
      </c>
      <c r="T341" s="1" t="str">
        <f ca="1">IFERROR(__xludf.DUMMYFUNCTION("""COMPUTED_VALUE"""),"Departemen Teknik Instrumentasi")</f>
        <v>Departemen Teknik Instrumentasi</v>
      </c>
      <c r="U341" s="1" t="str">
        <f ca="1">IFERROR(__xludf.DUMMYFUNCTION("""COMPUTED_VALUE"""),"Ir. Josaphat Pramudijanto, M.Eng.")</f>
        <v>Ir. Josaphat Pramudijanto, M.Eng.</v>
      </c>
      <c r="V341" s="1" t="str">
        <f ca="1">IFERROR(__xludf.DUMMYFUNCTION("""COMPUTED_VALUE"""),"Dr. Suyatno, S.Si., M.Si.")</f>
        <v>Dr. Suyatno, S.Si., M.Si.</v>
      </c>
      <c r="W341" s="1"/>
      <c r="X341" s="1" t="str">
        <f ca="1">IFERROR(__xludf.DUMMYFUNCTION("""COMPUTED_VALUE"""),"Karantina")</f>
        <v>Karantina</v>
      </c>
      <c r="Y341" s="1"/>
      <c r="Z341" s="1"/>
      <c r="AA341" s="1"/>
    </row>
    <row r="342" spans="1:27">
      <c r="A342" s="1" t="s">
        <v>337</v>
      </c>
      <c r="B342" s="1">
        <f ca="1">IFERROR(__xludf.DUMMYFUNCTION("""COMPUTED_VALUE"""),2664)</f>
        <v>2664</v>
      </c>
      <c r="C342" s="1" t="str">
        <f ca="1">IFERROR(__xludf.DUMMYFUNCTION("""COMPUTED_VALUE"""),"PKM Karsa Cipta")</f>
        <v>PKM Karsa Cipta</v>
      </c>
      <c r="D342" s="1" t="str">
        <f ca="1">IFERROR(__xludf.DUMMYFUNCTION("""COMPUTED_VALUE"""),"TURBIDITY AND SEA WATER PH MONITORING SYSTEM BASED ON INTERNET OF THINGS (IOT)")</f>
        <v>TURBIDITY AND SEA WATER PH MONITORING SYSTEM BASED ON INTERNET OF THINGS (IOT)</v>
      </c>
      <c r="E342" s="1" t="str">
        <f ca="1">IFERROR(__xludf.DUMMYFUNCTION("""COMPUTED_VALUE"""),"BAGUS DWI CAHYO NUGROHO")</f>
        <v>BAGUS DWI CAHYO NUGROHO</v>
      </c>
      <c r="F342" s="1" t="str">
        <f ca="1">IFERROR(__xludf.DUMMYFUNCTION("""COMPUTED_VALUE"""),"2042201095")</f>
        <v>2042201095</v>
      </c>
      <c r="G342" s="1" t="str">
        <f ca="1">IFERROR(__xludf.DUMMYFUNCTION("""COMPUTED_VALUE"""),"Departemen Teknik Instrumentasi")</f>
        <v>Departemen Teknik Instrumentasi</v>
      </c>
      <c r="H342" s="1" t="str">
        <f ca="1">IFERROR(__xludf.DUMMYFUNCTION("""COMPUTED_VALUE"""),"Dwi Nur Fitriyanah, S.ST., M.T.")</f>
        <v>Dwi Nur Fitriyanah, S.ST., M.T.</v>
      </c>
      <c r="I342" s="1" t="str">
        <f ca="1">IFERROR(__xludf.DUMMYFUNCTION("""COMPUTED_VALUE"""),"ANIS MAHMUDA CHAFSAH")</f>
        <v>ANIS MAHMUDA CHAFSAH</v>
      </c>
      <c r="J342" s="1" t="str">
        <f ca="1">IFERROR(__xludf.DUMMYFUNCTION("""COMPUTED_VALUE"""),"2042201078")</f>
        <v>2042201078</v>
      </c>
      <c r="K342" s="1" t="str">
        <f ca="1">IFERROR(__xludf.DUMMYFUNCTION("""COMPUTED_VALUE"""),"Departemen Teknik Instrumentasi")</f>
        <v>Departemen Teknik Instrumentasi</v>
      </c>
      <c r="L342" s="1" t="str">
        <f ca="1">IFERROR(__xludf.DUMMYFUNCTION("""COMPUTED_VALUE"""),"ARYA WISNU TEGUH PRIBADI")</f>
        <v>ARYA WISNU TEGUH PRIBADI</v>
      </c>
      <c r="M342" s="1" t="str">
        <f ca="1">IFERROR(__xludf.DUMMYFUNCTION("""COMPUTED_VALUE"""),"2042201080")</f>
        <v>2042201080</v>
      </c>
      <c r="N342" s="1" t="str">
        <f ca="1">IFERROR(__xludf.DUMMYFUNCTION("""COMPUTED_VALUE"""),"Departemen Teknik Instrumentasi")</f>
        <v>Departemen Teknik Instrumentasi</v>
      </c>
      <c r="O342" s="1" t="str">
        <f ca="1">IFERROR(__xludf.DUMMYFUNCTION("""COMPUTED_VALUE"""),"YAHYA NUR ROHMAN")</f>
        <v>YAHYA NUR ROHMAN</v>
      </c>
      <c r="P342" s="1" t="str">
        <f ca="1">IFERROR(__xludf.DUMMYFUNCTION("""COMPUTED_VALUE"""),"2042201093")</f>
        <v>2042201093</v>
      </c>
      <c r="Q342" s="1" t="str">
        <f ca="1">IFERROR(__xludf.DUMMYFUNCTION("""COMPUTED_VALUE"""),"Departemen Teknik Instrumentasi")</f>
        <v>Departemen Teknik Instrumentasi</v>
      </c>
      <c r="R342" s="1" t="str">
        <f ca="1">IFERROR(__xludf.DUMMYFUNCTION("""COMPUTED_VALUE"""),"ACHMAD RAFSIE PRANATA")</f>
        <v>ACHMAD RAFSIE PRANATA</v>
      </c>
      <c r="S342" s="1" t="str">
        <f ca="1">IFERROR(__xludf.DUMMYFUNCTION("""COMPUTED_VALUE"""),"2042201115")</f>
        <v>2042201115</v>
      </c>
      <c r="T342" s="1" t="str">
        <f ca="1">IFERROR(__xludf.DUMMYFUNCTION("""COMPUTED_VALUE"""),"Departemen Teknik Instrumentasi")</f>
        <v>Departemen Teknik Instrumentasi</v>
      </c>
      <c r="U342" s="1" t="str">
        <f ca="1">IFERROR(__xludf.DUMMYFUNCTION("""COMPUTED_VALUE"""),"Dr.Eng. Chastine Fatichah, S.Kom., M.Kom.")</f>
        <v>Dr.Eng. Chastine Fatichah, S.Kom., M.Kom.</v>
      </c>
      <c r="V342" s="1" t="str">
        <f ca="1">IFERROR(__xludf.DUMMYFUNCTION("""COMPUTED_VALUE"""),"Rudy Dikairono, ST., M.T.")</f>
        <v>Rudy Dikairono, ST., M.T.</v>
      </c>
      <c r="W342" s="1"/>
      <c r="X342" s="1" t="str">
        <f ca="1">IFERROR(__xludf.DUMMYFUNCTION("""COMPUTED_VALUE"""),"Karantina")</f>
        <v>Karantina</v>
      </c>
      <c r="Y342" s="1"/>
      <c r="Z342" s="1"/>
      <c r="AA342" s="1"/>
    </row>
    <row r="343" spans="1:27">
      <c r="A343" s="1" t="s">
        <v>338</v>
      </c>
      <c r="B343" s="1">
        <f ca="1">IFERROR(__xludf.DUMMYFUNCTION("""COMPUTED_VALUE"""),2873)</f>
        <v>2873</v>
      </c>
      <c r="C343" s="1" t="str">
        <f ca="1">IFERROR(__xludf.DUMMYFUNCTION("""COMPUTED_VALUE"""),"PKM Karsa Cipta")</f>
        <v>PKM Karsa Cipta</v>
      </c>
      <c r="D343" s="1" t="str">
        <f ca="1">IFERROR(__xludf.DUMMYFUNCTION("""COMPUTED_VALUE"""),"BRAFER (Brake Failure Detector Combined with Thermal Resistor Sensor): Detektor Kegagalan Rem Berbasis IoT Terintegrasi dengan Sensor Thermal Resistor")</f>
        <v>BRAFER (Brake Failure Detector Combined with Thermal Resistor Sensor): Detektor Kegagalan Rem Berbasis IoT Terintegrasi dengan Sensor Thermal Resistor</v>
      </c>
      <c r="E343" s="1" t="str">
        <f ca="1">IFERROR(__xludf.DUMMYFUNCTION("""COMPUTED_VALUE"""),"Fadiya Nurazizah")</f>
        <v>Fadiya Nurazizah</v>
      </c>
      <c r="F343" s="1" t="str">
        <f ca="1">IFERROR(__xludf.DUMMYFUNCTION("""COMPUTED_VALUE"""),"5010211100")</f>
        <v>5010211100</v>
      </c>
      <c r="G343" s="1" t="str">
        <f ca="1">IFERROR(__xludf.DUMMYFUNCTION("""COMPUTED_VALUE"""),"Departemen Teknik Sistem dan Industri")</f>
        <v>Departemen Teknik Sistem dan Industri</v>
      </c>
      <c r="H343" s="1" t="str">
        <f ca="1">IFERROR(__xludf.DUMMYFUNCTION("""COMPUTED_VALUE"""),"Rindi Kusumawardani, S.Si., M.Sc.")</f>
        <v>Rindi Kusumawardani, S.Si., M.Sc.</v>
      </c>
      <c r="I343" s="1" t="str">
        <f ca="1">IFERROR(__xludf.DUMMYFUNCTION("""COMPUTED_VALUE"""),"Haura Hanjrah P")</f>
        <v>Haura Hanjrah P</v>
      </c>
      <c r="J343" s="1" t="str">
        <f ca="1">IFERROR(__xludf.DUMMYFUNCTION("""COMPUTED_VALUE"""),"5010211157")</f>
        <v>5010211157</v>
      </c>
      <c r="K343" s="1" t="str">
        <f ca="1">IFERROR(__xludf.DUMMYFUNCTION("""COMPUTED_VALUE"""),"Departemen Teknik Sistem dan Industri")</f>
        <v>Departemen Teknik Sistem dan Industri</v>
      </c>
      <c r="L343" s="1" t="str">
        <f ca="1">IFERROR(__xludf.DUMMYFUNCTION("""COMPUTED_VALUE"""),"M Luthfi Affandy")</f>
        <v>M Luthfi Affandy</v>
      </c>
      <c r="M343" s="1" t="str">
        <f ca="1">IFERROR(__xludf.DUMMYFUNCTION("""COMPUTED_VALUE"""),"5010211011")</f>
        <v>5010211011</v>
      </c>
      <c r="N343" s="1" t="str">
        <f ca="1">IFERROR(__xludf.DUMMYFUNCTION("""COMPUTED_VALUE"""),"Departemen Teknik Sistem dan Industri")</f>
        <v>Departemen Teknik Sistem dan Industri</v>
      </c>
      <c r="O343" s="1" t="str">
        <f ca="1">IFERROR(__xludf.DUMMYFUNCTION("""COMPUTED_VALUE"""),"M Surya Mahardika")</f>
        <v>M Surya Mahardika</v>
      </c>
      <c r="P343" s="1" t="str">
        <f ca="1">IFERROR(__xludf.DUMMYFUNCTION("""COMPUTED_VALUE"""),"5010211102")</f>
        <v>5010211102</v>
      </c>
      <c r="Q343" s="1" t="str">
        <f ca="1">IFERROR(__xludf.DUMMYFUNCTION("""COMPUTED_VALUE"""),"Departemen Teknik Sistem dan Industri")</f>
        <v>Departemen Teknik Sistem dan Industri</v>
      </c>
      <c r="R343" s="1" t="str">
        <f ca="1">IFERROR(__xludf.DUMMYFUNCTION("""COMPUTED_VALUE"""),"MUHAMMAD WIBI M")</f>
        <v>MUHAMMAD WIBI M</v>
      </c>
      <c r="S343" s="1" t="str">
        <f ca="1">IFERROR(__xludf.DUMMYFUNCTION("""COMPUTED_VALUE"""),"5010211153")</f>
        <v>5010211153</v>
      </c>
      <c r="T343" s="1" t="str">
        <f ca="1">IFERROR(__xludf.DUMMYFUNCTION("""COMPUTED_VALUE"""),"Departemen Teknik Sistem dan Industri")</f>
        <v>Departemen Teknik Sistem dan Industri</v>
      </c>
      <c r="U343" s="1" t="str">
        <f ca="1">IFERROR(__xludf.DUMMYFUNCTION("""COMPUTED_VALUE"""),"Ir. Josaphat Pramudijanto, M.Eng.")</f>
        <v>Ir. Josaphat Pramudijanto, M.Eng.</v>
      </c>
      <c r="V343" s="1" t="str">
        <f ca="1">IFERROR(__xludf.DUMMYFUNCTION("""COMPUTED_VALUE"""),"Dr. Suyatno, S.Si., M.Si.")</f>
        <v>Dr. Suyatno, S.Si., M.Si.</v>
      </c>
      <c r="W343" s="1"/>
      <c r="X343" s="1" t="str">
        <f ca="1">IFERROR(__xludf.DUMMYFUNCTION("""COMPUTED_VALUE"""),"Karantina")</f>
        <v>Karantina</v>
      </c>
      <c r="Y343" s="1"/>
      <c r="Z343" s="1"/>
      <c r="AA343" s="1"/>
    </row>
    <row r="344" spans="1:27">
      <c r="A344" s="1" t="s">
        <v>339</v>
      </c>
      <c r="B344" s="1">
        <f ca="1">IFERROR(__xludf.DUMMYFUNCTION("""COMPUTED_VALUE"""),2023)</f>
        <v>2023</v>
      </c>
      <c r="C344" s="1" t="str">
        <f ca="1">IFERROR(__xludf.DUMMYFUNCTION("""COMPUTED_VALUE"""),"PKM Karsa Cipta")</f>
        <v>PKM Karsa Cipta</v>
      </c>
      <c r="D344" s="1" t="str">
        <f ca="1">IFERROR(__xludf.DUMMYFUNCTION("""COMPUTED_VALUE"""),"GotBills : Aplikasi Pencatat Keuangan Masa Kini")</f>
        <v>GotBills : Aplikasi Pencatat Keuangan Masa Kini</v>
      </c>
      <c r="E344" s="1" t="str">
        <f ca="1">IFERROR(__xludf.DUMMYFUNCTION("""COMPUTED_VALUE"""),"ARYADUTA PUTRA PERKASA")</f>
        <v>ARYADUTA PUTRA PERKASA</v>
      </c>
      <c r="F344" s="1" t="str">
        <f ca="1">IFERROR(__xludf.DUMMYFUNCTION("""COMPUTED_VALUE"""),"5024201077")</f>
        <v>5024201077</v>
      </c>
      <c r="G344" s="1" t="str">
        <f ca="1">IFERROR(__xludf.DUMMYFUNCTION("""COMPUTED_VALUE"""),"Departemen Teknik Komputer")</f>
        <v>Departemen Teknik Komputer</v>
      </c>
      <c r="H344" s="1" t="str">
        <f ca="1">IFERROR(__xludf.DUMMYFUNCTION("""COMPUTED_VALUE"""),"Dion Hayu Fandiantoro, S.T., M.Eng.")</f>
        <v>Dion Hayu Fandiantoro, S.T., M.Eng.</v>
      </c>
      <c r="I344" s="1" t="str">
        <f ca="1">IFERROR(__xludf.DUMMYFUNCTION("""COMPUTED_VALUE"""),"RAFI ARYA SATYAJI")</f>
        <v>RAFI ARYA SATYAJI</v>
      </c>
      <c r="J344" s="1" t="str">
        <f ca="1">IFERROR(__xludf.DUMMYFUNCTION("""COMPUTED_VALUE"""),"5024201050")</f>
        <v>5024201050</v>
      </c>
      <c r="K344" s="1" t="str">
        <f ca="1">IFERROR(__xludf.DUMMYFUNCTION("""COMPUTED_VALUE"""),"Departemen Teknik Komputer")</f>
        <v>Departemen Teknik Komputer</v>
      </c>
      <c r="L344" s="1" t="str">
        <f ca="1">IFERROR(__xludf.DUMMYFUNCTION("""COMPUTED_VALUE"""),"DESRINA FITHRIYAH HASYIM")</f>
        <v>DESRINA FITHRIYAH HASYIM</v>
      </c>
      <c r="M344" s="1" t="str">
        <f ca="1">IFERROR(__xludf.DUMMYFUNCTION("""COMPUTED_VALUE"""),"5024201002")</f>
        <v>5024201002</v>
      </c>
      <c r="N344" s="1" t="str">
        <f ca="1">IFERROR(__xludf.DUMMYFUNCTION("""COMPUTED_VALUE"""),"Departemen Teknik Komputer")</f>
        <v>Departemen Teknik Komputer</v>
      </c>
      <c r="O344" s="1" t="str">
        <f ca="1">IFERROR(__xludf.DUMMYFUNCTION("""COMPUTED_VALUE"""),"FALIH BUDIMAN BARUNA")</f>
        <v>FALIH BUDIMAN BARUNA</v>
      </c>
      <c r="P344" s="1" t="str">
        <f ca="1">IFERROR(__xludf.DUMMYFUNCTION("""COMPUTED_VALUE"""),"5024201045")</f>
        <v>5024201045</v>
      </c>
      <c r="Q344" s="1" t="str">
        <f ca="1">IFERROR(__xludf.DUMMYFUNCTION("""COMPUTED_VALUE"""),"Departemen Teknik Komputer")</f>
        <v>Departemen Teknik Komputer</v>
      </c>
      <c r="R344" s="1" t="str">
        <f ca="1">IFERROR(__xludf.DUMMYFUNCTION("""COMPUTED_VALUE"""),"NOVRIYANTO PUTRA SATIR")</f>
        <v>NOVRIYANTO PUTRA SATIR</v>
      </c>
      <c r="S344" s="1" t="str">
        <f ca="1">IFERROR(__xludf.DUMMYFUNCTION("""COMPUTED_VALUE"""),"5024201001")</f>
        <v>5024201001</v>
      </c>
      <c r="T344" s="1" t="str">
        <f ca="1">IFERROR(__xludf.DUMMYFUNCTION("""COMPUTED_VALUE"""),"Departemen Teknik Komputer")</f>
        <v>Departemen Teknik Komputer</v>
      </c>
      <c r="U344" s="1" t="str">
        <f ca="1">IFERROR(__xludf.DUMMYFUNCTION("""COMPUTED_VALUE"""),"Dr.Eng. Chastine Fatichah, S.Kom., M.Kom.")</f>
        <v>Dr.Eng. Chastine Fatichah, S.Kom., M.Kom.</v>
      </c>
      <c r="V344" s="1" t="str">
        <f ca="1">IFERROR(__xludf.DUMMYFUNCTION("""COMPUTED_VALUE"""),"Rudy Dikairono, ST., M.T.")</f>
        <v>Rudy Dikairono, ST., M.T.</v>
      </c>
      <c r="W344" s="1"/>
      <c r="X344" s="1" t="str">
        <f ca="1">IFERROR(__xludf.DUMMYFUNCTION("""COMPUTED_VALUE"""),"Karantina")</f>
        <v>Karantina</v>
      </c>
      <c r="Y344" s="1"/>
      <c r="Z344" s="1"/>
      <c r="AA344" s="1"/>
    </row>
    <row r="345" spans="1:27">
      <c r="A345" s="1" t="s">
        <v>340</v>
      </c>
      <c r="B345" s="1">
        <f ca="1">IFERROR(__xludf.DUMMYFUNCTION("""COMPUTED_VALUE"""),4115)</f>
        <v>4115</v>
      </c>
      <c r="C345" s="1" t="str">
        <f ca="1">IFERROR(__xludf.DUMMYFUNCTION("""COMPUTED_VALUE"""),"PKM Karsa Cipta")</f>
        <v>PKM Karsa Cipta</v>
      </c>
      <c r="D345" s="1" t="str">
        <f ca="1">IFERROR(__xludf.DUMMYFUNCTION("""COMPUTED_VALUE"""),"Pemadam Otomatis Untuk Kebakaran Lahan Gambut Dengan Memanfaatkan Sistem Monitoring")</f>
        <v>Pemadam Otomatis Untuk Kebakaran Lahan Gambut Dengan Memanfaatkan Sistem Monitoring</v>
      </c>
      <c r="E345" s="1" t="str">
        <f ca="1">IFERROR(__xludf.DUMMYFUNCTION("""COMPUTED_VALUE"""),"TRISYA NAURA BAHARUDDIN")</f>
        <v>TRISYA NAURA BAHARUDDIN</v>
      </c>
      <c r="F345" s="1" t="str">
        <f ca="1">IFERROR(__xludf.DUMMYFUNCTION("""COMPUTED_VALUE"""),"2042201045")</f>
        <v>2042201045</v>
      </c>
      <c r="G345" s="1" t="str">
        <f ca="1">IFERROR(__xludf.DUMMYFUNCTION("""COMPUTED_VALUE"""),"Departemen Teknik Instrumentasi")</f>
        <v>Departemen Teknik Instrumentasi</v>
      </c>
      <c r="H345" s="1" t="str">
        <f ca="1">IFERROR(__xludf.DUMMYFUNCTION("""COMPUTED_VALUE"""),"Arief Abdurrakhman, S.T., M.T.")</f>
        <v>Arief Abdurrakhman, S.T., M.T.</v>
      </c>
      <c r="I345" s="1" t="str">
        <f ca="1">IFERROR(__xludf.DUMMYFUNCTION("""COMPUTED_VALUE"""),"INDRI LESTARI")</f>
        <v>INDRI LESTARI</v>
      </c>
      <c r="J345" s="1" t="str">
        <f ca="1">IFERROR(__xludf.DUMMYFUNCTION("""COMPUTED_VALUE"""),"2042201130")</f>
        <v>2042201130</v>
      </c>
      <c r="K345" s="1" t="str">
        <f ca="1">IFERROR(__xludf.DUMMYFUNCTION("""COMPUTED_VALUE"""),"Departemen Teknik Instrumentasi")</f>
        <v>Departemen Teknik Instrumentasi</v>
      </c>
      <c r="L345" s="1" t="str">
        <f ca="1">IFERROR(__xludf.DUMMYFUNCTION("""COMPUTED_VALUE"""),"SYIFA FRIDA K")</f>
        <v>SYIFA FRIDA K</v>
      </c>
      <c r="M345" s="1" t="str">
        <f ca="1">IFERROR(__xludf.DUMMYFUNCTION("""COMPUTED_VALUE"""),"2042211117")</f>
        <v>2042211117</v>
      </c>
      <c r="N345" s="1" t="str">
        <f ca="1">IFERROR(__xludf.DUMMYFUNCTION("""COMPUTED_VALUE"""),"Departemen Teknik Instrumentasi")</f>
        <v>Departemen Teknik Instrumentasi</v>
      </c>
      <c r="O345" s="1" t="str">
        <f ca="1">IFERROR(__xludf.DUMMYFUNCTION("""COMPUTED_VALUE"""),"Azhar Reza")</f>
        <v>Azhar Reza</v>
      </c>
      <c r="P345" s="1" t="str">
        <f ca="1">IFERROR(__xludf.DUMMYFUNCTION("""COMPUTED_VALUE"""),"2042211109")</f>
        <v>2042211109</v>
      </c>
      <c r="Q345" s="1" t="str">
        <f ca="1">IFERROR(__xludf.DUMMYFUNCTION("""COMPUTED_VALUE"""),"Departemen Teknik Instrumentasi")</f>
        <v>Departemen Teknik Instrumentasi</v>
      </c>
      <c r="R345" s="1" t="str">
        <f ca="1">IFERROR(__xludf.DUMMYFUNCTION("""COMPUTED_VALUE"""),"RASYID ILHAM PRAMUDY")</f>
        <v>RASYID ILHAM PRAMUDY</v>
      </c>
      <c r="S345" s="1" t="str">
        <f ca="1">IFERROR(__xludf.DUMMYFUNCTION("""COMPUTED_VALUE"""),"2042211111")</f>
        <v>2042211111</v>
      </c>
      <c r="T345" s="1" t="str">
        <f ca="1">IFERROR(__xludf.DUMMYFUNCTION("""COMPUTED_VALUE"""),"Departemen Teknik Instrumentasi")</f>
        <v>Departemen Teknik Instrumentasi</v>
      </c>
      <c r="U345" s="1" t="str">
        <f ca="1">IFERROR(__xludf.DUMMYFUNCTION("""COMPUTED_VALUE"""),"Yudha Prasetyawan, S.T., M.Eng.")</f>
        <v>Yudha Prasetyawan, S.T., M.Eng.</v>
      </c>
      <c r="V345" s="1" t="str">
        <f ca="1">IFERROR(__xludf.DUMMYFUNCTION("""COMPUTED_VALUE"""),"Detak Yan Pratama, S.T., M.Sc.")</f>
        <v>Detak Yan Pratama, S.T., M.Sc.</v>
      </c>
      <c r="W345" s="1"/>
      <c r="X345" s="1" t="str">
        <f ca="1">IFERROR(__xludf.DUMMYFUNCTION("""COMPUTED_VALUE"""),"Karantina")</f>
        <v>Karantina</v>
      </c>
      <c r="Y345" s="1"/>
      <c r="Z345" s="1"/>
      <c r="AA345" s="1"/>
    </row>
    <row r="346" spans="1:27">
      <c r="A346" s="1" t="s">
        <v>341</v>
      </c>
      <c r="B346" s="1">
        <f ca="1">IFERROR(__xludf.DUMMYFUNCTION("""COMPUTED_VALUE"""),3731)</f>
        <v>3731</v>
      </c>
      <c r="C346" s="1" t="str">
        <f ca="1">IFERROR(__xludf.DUMMYFUNCTION("""COMPUTED_VALUE"""),"PKM Karsa Cipta")</f>
        <v>PKM Karsa Cipta</v>
      </c>
      <c r="D346" s="1" t="str">
        <f ca="1">IFERROR(__xludf.DUMMYFUNCTION("""COMPUTED_VALUE"""),"Alat Ukur Desibel Suara Berbasis Internet of Thing Guna Mempermudah Proses Audit Kebisingan")</f>
        <v>Alat Ukur Desibel Suara Berbasis Internet of Thing Guna Mempermudah Proses Audit Kebisingan</v>
      </c>
      <c r="E346" s="1" t="str">
        <f ca="1">IFERROR(__xludf.DUMMYFUNCTION("""COMPUTED_VALUE"""),"HAMZAH NUR AZZAM")</f>
        <v>HAMZAH NUR AZZAM</v>
      </c>
      <c r="F346" s="1" t="str">
        <f ca="1">IFERROR(__xludf.DUMMYFUNCTION("""COMPUTED_VALUE"""),"07111942000012")</f>
        <v>07111942000012</v>
      </c>
      <c r="G346" s="1" t="str">
        <f ca="1">IFERROR(__xludf.DUMMYFUNCTION("""COMPUTED_VALUE"""),"Departemen Teknik Elektro")</f>
        <v>Departemen Teknik Elektro</v>
      </c>
      <c r="H346" s="1" t="str">
        <f ca="1">IFERROR(__xludf.DUMMYFUNCTION("""COMPUTED_VALUE"""),"Eka Iskandar, S.T., M.T.")</f>
        <v>Eka Iskandar, S.T., M.T.</v>
      </c>
      <c r="I346" s="1" t="str">
        <f ca="1">IFERROR(__xludf.DUMMYFUNCTION("""COMPUTED_VALUE"""),"SAID RAFIF RAMADHAN")</f>
        <v>SAID RAFIF RAMADHAN</v>
      </c>
      <c r="J346" s="1" t="str">
        <f ca="1">IFERROR(__xludf.DUMMYFUNCTION("""COMPUTED_VALUE"""),"07111942000011")</f>
        <v>07111942000011</v>
      </c>
      <c r="K346" s="1" t="str">
        <f ca="1">IFERROR(__xludf.DUMMYFUNCTION("""COMPUTED_VALUE"""),"Departemen Teknik Elektro")</f>
        <v>Departemen Teknik Elektro</v>
      </c>
      <c r="L346" s="1" t="str">
        <f ca="1">IFERROR(__xludf.DUMMYFUNCTION("""COMPUTED_VALUE"""),"AQIL RABBANI NURHADI")</f>
        <v>AQIL RABBANI NURHADI</v>
      </c>
      <c r="M346" s="1" t="str">
        <f ca="1">IFERROR(__xludf.DUMMYFUNCTION("""COMPUTED_VALUE"""),"07111942000007")</f>
        <v>07111942000007</v>
      </c>
      <c r="N346" s="1" t="str">
        <f ca="1">IFERROR(__xludf.DUMMYFUNCTION("""COMPUTED_VALUE"""),"Departemen Teknik Elektro")</f>
        <v>Departemen Teknik Elektro</v>
      </c>
      <c r="O346" s="1" t="str">
        <f ca="1">IFERROR(__xludf.DUMMYFUNCTION("""COMPUTED_VALUE"""),"MOCHAMAD RAFIF FIRDIANSYAH")</f>
        <v>MOCHAMAD RAFIF FIRDIANSYAH</v>
      </c>
      <c r="P346" s="1" t="str">
        <f ca="1">IFERROR(__xludf.DUMMYFUNCTION("""COMPUTED_VALUE"""),"07111942000013")</f>
        <v>07111942000013</v>
      </c>
      <c r="Q346" s="1" t="str">
        <f ca="1">IFERROR(__xludf.DUMMYFUNCTION("""COMPUTED_VALUE"""),"Departemen Teknik Elektro")</f>
        <v>Departemen Teknik Elektro</v>
      </c>
      <c r="R346" s="1" t="str">
        <f ca="1">IFERROR(__xludf.DUMMYFUNCTION("""COMPUTED_VALUE"""),"IDHA NURMALITA SARI")</f>
        <v>IDHA NURMALITA SARI</v>
      </c>
      <c r="S346" s="1" t="str">
        <f ca="1">IFERROR(__xludf.DUMMYFUNCTION("""COMPUTED_VALUE"""),"10511910000051")</f>
        <v>10511910000051</v>
      </c>
      <c r="T346" s="1" t="str">
        <f ca="1">IFERROR(__xludf.DUMMYFUNCTION("""COMPUTED_VALUE"""),"Departemen Teknik Instrumentasi")</f>
        <v>Departemen Teknik Instrumentasi</v>
      </c>
      <c r="U346" s="1" t="str">
        <f ca="1">IFERROR(__xludf.DUMMYFUNCTION("""COMPUTED_VALUE"""),"Detak Yan Pratama, S.T., M.Sc.")</f>
        <v>Detak Yan Pratama, S.T., M.Sc.</v>
      </c>
      <c r="V346" s="1" t="str">
        <f ca="1">IFERROR(__xludf.DUMMYFUNCTION("""COMPUTED_VALUE"""),"Mahardika F. Rois, S.T, M.T")</f>
        <v>Mahardika F. Rois, S.T, M.T</v>
      </c>
      <c r="W346" s="1"/>
      <c r="X346" s="1" t="str">
        <f ca="1">IFERROR(__xludf.DUMMYFUNCTION("""COMPUTED_VALUE"""),"Karantina")</f>
        <v>Karantina</v>
      </c>
      <c r="Y346" s="1"/>
      <c r="Z346" s="1"/>
      <c r="AA346" s="1"/>
    </row>
    <row r="347" spans="1:27">
      <c r="A347" s="1" t="s">
        <v>342</v>
      </c>
      <c r="B347" s="1">
        <f ca="1">IFERROR(__xludf.DUMMYFUNCTION("""COMPUTED_VALUE"""),3355)</f>
        <v>3355</v>
      </c>
      <c r="C347" s="1" t="str">
        <f ca="1">IFERROR(__xludf.DUMMYFUNCTION("""COMPUTED_VALUE"""),"PKM Karsa Cipta")</f>
        <v>PKM Karsa Cipta</v>
      </c>
      <c r="D347" s="1" t="str">
        <f ca="1">IFERROR(__xludf.DUMMYFUNCTION("""COMPUTED_VALUE"""),"Perancangan Alat Sterilisasi Makanan FOODER: Anti Pathogen Food Heater")</f>
        <v>Perancangan Alat Sterilisasi Makanan FOODER: Anti Pathogen Food Heater</v>
      </c>
      <c r="E347" s="1" t="str">
        <f ca="1">IFERROR(__xludf.DUMMYFUNCTION("""COMPUTED_VALUE"""),"AHMAD RIFA`I FADHILA")</f>
        <v>AHMAD RIFA`I FADHILA</v>
      </c>
      <c r="F347" s="1" t="str">
        <f ca="1">IFERROR(__xludf.DUMMYFUNCTION("""COMPUTED_VALUE"""),"5010201184")</f>
        <v>5010201184</v>
      </c>
      <c r="G347" s="1" t="str">
        <f ca="1">IFERROR(__xludf.DUMMYFUNCTION("""COMPUTED_VALUE"""),"Departemen Teknik Sistem dan Industri")</f>
        <v>Departemen Teknik Sistem dan Industri</v>
      </c>
      <c r="H347" s="1" t="str">
        <f ca="1">IFERROR(__xludf.DUMMYFUNCTION("""COMPUTED_VALUE"""),"Dr. Ir. Mokh Suef, M.Sc (Eng)")</f>
        <v>Dr. Ir. Mokh Suef, M.Sc (Eng)</v>
      </c>
      <c r="I347" s="1" t="str">
        <f ca="1">IFERROR(__xludf.DUMMYFUNCTION("""COMPUTED_VALUE"""),"AMINA JASMINE CAHYANINGRATRI")</f>
        <v>AMINA JASMINE CAHYANINGRATRI</v>
      </c>
      <c r="J347" s="1" t="str">
        <f ca="1">IFERROR(__xludf.DUMMYFUNCTION("""COMPUTED_VALUE"""),"5010201061")</f>
        <v>5010201061</v>
      </c>
      <c r="K347" s="1" t="str">
        <f ca="1">IFERROR(__xludf.DUMMYFUNCTION("""COMPUTED_VALUE"""),"Departemen Teknik Sistem dan Industri")</f>
        <v>Departemen Teknik Sistem dan Industri</v>
      </c>
      <c r="L347" s="1" t="str">
        <f ca="1">IFERROR(__xludf.DUMMYFUNCTION("""COMPUTED_VALUE"""),"Febryan Abimanyu S.R")</f>
        <v>Febryan Abimanyu S.R</v>
      </c>
      <c r="M347" s="1" t="str">
        <f ca="1">IFERROR(__xludf.DUMMYFUNCTION("""COMPUTED_VALUE"""),"5010211111")</f>
        <v>5010211111</v>
      </c>
      <c r="N347" s="1" t="str">
        <f ca="1">IFERROR(__xludf.DUMMYFUNCTION("""COMPUTED_VALUE"""),"Departemen Teknik Sistem dan Industri")</f>
        <v>Departemen Teknik Sistem dan Industri</v>
      </c>
      <c r="O347" s="1" t="str">
        <f ca="1">IFERROR(__xludf.DUMMYFUNCTION("""COMPUTED_VALUE"""),"DIANDRA SHAFIRA P.")</f>
        <v>DIANDRA SHAFIRA P.</v>
      </c>
      <c r="P347" s="1" t="str">
        <f ca="1">IFERROR(__xludf.DUMMYFUNCTION("""COMPUTED_VALUE"""),"5010211073")</f>
        <v>5010211073</v>
      </c>
      <c r="Q347" s="1" t="str">
        <f ca="1">IFERROR(__xludf.DUMMYFUNCTION("""COMPUTED_VALUE"""),"Departemen Teknik Sistem dan Industri")</f>
        <v>Departemen Teknik Sistem dan Industri</v>
      </c>
      <c r="R347" s="1"/>
      <c r="S347" s="1"/>
      <c r="T347" s="1"/>
      <c r="U347" s="1" t="str">
        <f ca="1">IFERROR(__xludf.DUMMYFUNCTION("""COMPUTED_VALUE"""),"Ir. Josaphat Pramudijanto, M.Eng.")</f>
        <v>Ir. Josaphat Pramudijanto, M.Eng.</v>
      </c>
      <c r="V347" s="1" t="str">
        <f ca="1">IFERROR(__xludf.DUMMYFUNCTION("""COMPUTED_VALUE"""),"Indra Ranu Kusuma, S.T., M.Sc.")</f>
        <v>Indra Ranu Kusuma, S.T., M.Sc.</v>
      </c>
      <c r="W347" s="1"/>
      <c r="X347" s="1" t="str">
        <f ca="1">IFERROR(__xludf.DUMMYFUNCTION("""COMPUTED_VALUE"""),"Karantina")</f>
        <v>Karantina</v>
      </c>
      <c r="Y347" s="1"/>
      <c r="Z347" s="1"/>
      <c r="AA347" s="1"/>
    </row>
    <row r="348" spans="1:27">
      <c r="A348" s="1" t="s">
        <v>343</v>
      </c>
      <c r="B348" s="1">
        <f ca="1">IFERROR(__xludf.DUMMYFUNCTION("""COMPUTED_VALUE"""),3801)</f>
        <v>3801</v>
      </c>
      <c r="C348" s="1" t="str">
        <f ca="1">IFERROR(__xludf.DUMMYFUNCTION("""COMPUTED_VALUE"""),"PKM Karsa Cipta")</f>
        <v>PKM Karsa Cipta</v>
      </c>
      <c r="D348" s="1" t="str">
        <f ca="1">IFERROR(__xludf.DUMMYFUNCTION("""COMPUTED_VALUE"""),"Sistem Berbasis Audio Detector dan Computer Vision pada Autonomous Unmanned Aerial Vehicle untuk Respon Cepat Pencarian Pendaki yang Hilang
")</f>
        <v xml:space="preserve">Sistem Berbasis Audio Detector dan Computer Vision pada Autonomous Unmanned Aerial Vehicle untuk Respon Cepat Pencarian Pendaki yang Hilang
</v>
      </c>
      <c r="E348" s="1" t="str">
        <f ca="1">IFERROR(__xludf.DUMMYFUNCTION("""COMPUTED_VALUE"""),"JUNDI ABDILLAH MUNDZIR")</f>
        <v>JUNDI ABDILLAH MUNDZIR</v>
      </c>
      <c r="F348" s="1" t="str">
        <f ca="1">IFERROR(__xludf.DUMMYFUNCTION("""COMPUTED_VALUE"""),"5022201207")</f>
        <v>5022201207</v>
      </c>
      <c r="G348" s="1" t="str">
        <f ca="1">IFERROR(__xludf.DUMMYFUNCTION("""COMPUTED_VALUE"""),"Departemen Teknik Elektro")</f>
        <v>Departemen Teknik Elektro</v>
      </c>
      <c r="H348" s="1" t="str">
        <f ca="1">IFERROR(__xludf.DUMMYFUNCTION("""COMPUTED_VALUE"""),"Dr. Ir. Wirawan, DEA.")</f>
        <v>Dr. Ir. Wirawan, DEA.</v>
      </c>
      <c r="I348" s="1" t="str">
        <f ca="1">IFERROR(__xludf.DUMMYFUNCTION("""COMPUTED_VALUE"""),"RIZA DWI FEBRI SAPUTRA")</f>
        <v>RIZA DWI FEBRI SAPUTRA</v>
      </c>
      <c r="J348" s="1" t="str">
        <f ca="1">IFERROR(__xludf.DUMMYFUNCTION("""COMPUTED_VALUE"""),"5022201198")</f>
        <v>5022201198</v>
      </c>
      <c r="K348" s="1" t="str">
        <f ca="1">IFERROR(__xludf.DUMMYFUNCTION("""COMPUTED_VALUE"""),"Departemen Teknik Elektro")</f>
        <v>Departemen Teknik Elektro</v>
      </c>
      <c r="L348" s="1" t="str">
        <f ca="1">IFERROR(__xludf.DUMMYFUNCTION("""COMPUTED_VALUE"""),"AGUNG HANDAYANTO")</f>
        <v>AGUNG HANDAYANTO</v>
      </c>
      <c r="M348" s="1" t="str">
        <f ca="1">IFERROR(__xludf.DUMMYFUNCTION("""COMPUTED_VALUE"""),"5022201219")</f>
        <v>5022201219</v>
      </c>
      <c r="N348" s="1" t="str">
        <f ca="1">IFERROR(__xludf.DUMMYFUNCTION("""COMPUTED_VALUE"""),"Departemen Teknik Elektro")</f>
        <v>Departemen Teknik Elektro</v>
      </c>
      <c r="O348" s="1" t="str">
        <f ca="1">IFERROR(__xludf.DUMMYFUNCTION("""COMPUTED_VALUE"""),"VEDA ADHYASTA")</f>
        <v>VEDA ADHYASTA</v>
      </c>
      <c r="P348" s="1" t="str">
        <f ca="1">IFERROR(__xludf.DUMMYFUNCTION("""COMPUTED_VALUE"""),"5022201076")</f>
        <v>5022201076</v>
      </c>
      <c r="Q348" s="1" t="str">
        <f ca="1">IFERROR(__xludf.DUMMYFUNCTION("""COMPUTED_VALUE"""),"Departemen Teknik Elektro")</f>
        <v>Departemen Teknik Elektro</v>
      </c>
      <c r="R348" s="1" t="str">
        <f ca="1">IFERROR(__xludf.DUMMYFUNCTION("""COMPUTED_VALUE"""),"MUHAMMAD RIZKI AIRLANGGA DJOJONEGORO")</f>
        <v>MUHAMMAD RIZKI AIRLANGGA DJOJONEGORO</v>
      </c>
      <c r="S348" s="1" t="str">
        <f ca="1">IFERROR(__xludf.DUMMYFUNCTION("""COMPUTED_VALUE"""),"5022201214")</f>
        <v>5022201214</v>
      </c>
      <c r="T348" s="1" t="str">
        <f ca="1">IFERROR(__xludf.DUMMYFUNCTION("""COMPUTED_VALUE"""),"Departemen Teknik Elektro")</f>
        <v>Departemen Teknik Elektro</v>
      </c>
      <c r="U348" s="1" t="str">
        <f ca="1">IFERROR(__xludf.DUMMYFUNCTION("""COMPUTED_VALUE"""),"Mohammad Khoirul Effendi, S.T., M.Sc.Eng., Ph.D.")</f>
        <v>Mohammad Khoirul Effendi, S.T., M.Sc.Eng., Ph.D.</v>
      </c>
      <c r="V348" s="1" t="str">
        <f ca="1">IFERROR(__xludf.DUMMYFUNCTION("""COMPUTED_VALUE"""),"Azzah Dyah Pramata, S.T., M.T., M.Eng., Ph.D.")</f>
        <v>Azzah Dyah Pramata, S.T., M.T., M.Eng., Ph.D.</v>
      </c>
      <c r="W348" s="1"/>
      <c r="X348" s="1" t="str">
        <f ca="1">IFERROR(__xludf.DUMMYFUNCTION("""COMPUTED_VALUE"""),"Karantina")</f>
        <v>Karantina</v>
      </c>
      <c r="Y348" s="1"/>
      <c r="Z348" s="1"/>
      <c r="AA348" s="1"/>
    </row>
    <row r="349" spans="1:27">
      <c r="A349" s="1" t="s">
        <v>344</v>
      </c>
      <c r="B349" s="1">
        <f ca="1">IFERROR(__xludf.DUMMYFUNCTION("""COMPUTED_VALUE"""),3668)</f>
        <v>3668</v>
      </c>
      <c r="C349" s="1" t="str">
        <f ca="1">IFERROR(__xludf.DUMMYFUNCTION("""COMPUTED_VALUE"""),"PKM Karsa Cipta")</f>
        <v>PKM Karsa Cipta</v>
      </c>
      <c r="D349" s="1" t="str">
        <f ca="1">IFERROR(__xludf.DUMMYFUNCTION("""COMPUTED_VALUE"""),"Sistem Monitoring dan Otomasi Limbah Lele Berbasis IoT Untuk Pemberisihan Kolam Lele Terintegrasi Panel Surya")</f>
        <v>Sistem Monitoring dan Otomasi Limbah Lele Berbasis IoT Untuk Pemberisihan Kolam Lele Terintegrasi Panel Surya</v>
      </c>
      <c r="E349" s="1" t="str">
        <f ca="1">IFERROR(__xludf.DUMMYFUNCTION("""COMPUTED_VALUE"""),"ZUFAR AMAANATURRAAFI")</f>
        <v>ZUFAR AMAANATURRAAFI</v>
      </c>
      <c r="F349" s="1" t="str">
        <f ca="1">IFERROR(__xludf.DUMMYFUNCTION("""COMPUTED_VALUE"""),"5001201045")</f>
        <v>5001201045</v>
      </c>
      <c r="G349" s="1" t="str">
        <f ca="1">IFERROR(__xludf.DUMMYFUNCTION("""COMPUTED_VALUE"""),"Departemen Fisika")</f>
        <v>Departemen Fisika</v>
      </c>
      <c r="H349" s="1"/>
      <c r="I349" s="1" t="str">
        <f ca="1">IFERROR(__xludf.DUMMYFUNCTION("""COMPUTED_VALUE"""),"ANNISA SOFIA AFIFAH")</f>
        <v>ANNISA SOFIA AFIFAH</v>
      </c>
      <c r="J349" s="1" t="str">
        <f ca="1">IFERROR(__xludf.DUMMYFUNCTION("""COMPUTED_VALUE"""),"5014201120")</f>
        <v>5014201120</v>
      </c>
      <c r="K349" s="1" t="str">
        <f ca="1">IFERROR(__xludf.DUMMYFUNCTION("""COMPUTED_VALUE"""),"Departemen Teknik Lingkungan")</f>
        <v>Departemen Teknik Lingkungan</v>
      </c>
      <c r="L349" s="1" t="str">
        <f ca="1">IFERROR(__xludf.DUMMYFUNCTION("""COMPUTED_VALUE"""),"MOCHAMAD HELMI ZUKHRUF")</f>
        <v>MOCHAMAD HELMI ZUKHRUF</v>
      </c>
      <c r="M349" s="1" t="str">
        <f ca="1">IFERROR(__xludf.DUMMYFUNCTION("""COMPUTED_VALUE"""),"5009201024")</f>
        <v>5009201024</v>
      </c>
      <c r="N349" s="1" t="str">
        <f ca="1">IFERROR(__xludf.DUMMYFUNCTION("""COMPUTED_VALUE"""),"Departemen Teknik Fisika")</f>
        <v>Departemen Teknik Fisika</v>
      </c>
      <c r="O349" s="1"/>
      <c r="P349" s="1"/>
      <c r="Q349" s="1"/>
      <c r="R349" s="1"/>
      <c r="S349" s="1"/>
      <c r="T349" s="1"/>
      <c r="U349" s="1" t="str">
        <f ca="1">IFERROR(__xludf.DUMMYFUNCTION("""COMPUTED_VALUE"""),"Mohammad Khoirul Effendi, S.T., M.Sc.Eng., Ph.D.")</f>
        <v>Mohammad Khoirul Effendi, S.T., M.Sc.Eng., Ph.D.</v>
      </c>
      <c r="V349" s="1" t="str">
        <f ca="1">IFERROR(__xludf.DUMMYFUNCTION("""COMPUTED_VALUE"""),"Siska Arifiani, S.Kom., M.Kom.")</f>
        <v>Siska Arifiani, S.Kom., M.Kom.</v>
      </c>
      <c r="W349" s="1"/>
      <c r="X349" s="1" t="str">
        <f ca="1">IFERROR(__xludf.DUMMYFUNCTION("""COMPUTED_VALUE"""),"Karantina")</f>
        <v>Karantina</v>
      </c>
      <c r="Y349" s="1"/>
      <c r="Z349" s="1"/>
      <c r="AA349" s="1"/>
    </row>
    <row r="350" spans="1:27">
      <c r="A350" s="1" t="s">
        <v>345</v>
      </c>
      <c r="B350" s="1">
        <f ca="1">IFERROR(__xludf.DUMMYFUNCTION("""COMPUTED_VALUE"""),3221)</f>
        <v>3221</v>
      </c>
      <c r="C350" s="1" t="str">
        <f ca="1">IFERROR(__xludf.DUMMYFUNCTION("""COMPUTED_VALUE"""),"PKM Karsa Cipta")</f>
        <v>PKM Karsa Cipta</v>
      </c>
      <c r="D350" s="1" t="str">
        <f ca="1">IFERROR(__xludf.DUMMYFUNCTION("""COMPUTED_VALUE"""),"Konveyor Disinfeksi dengan Memanfaatkan Teknologi Sinar Ultraviolet sebagai Solusi untuk Mencegah Penyebaran Kasus Covid-19 dari Pelaku Perjalanan")</f>
        <v>Konveyor Disinfeksi dengan Memanfaatkan Teknologi Sinar Ultraviolet sebagai Solusi untuk Mencegah Penyebaran Kasus Covid-19 dari Pelaku Perjalanan</v>
      </c>
      <c r="E350" s="1" t="str">
        <f ca="1">IFERROR(__xludf.DUMMYFUNCTION("""COMPUTED_VALUE"""),"SYAHRUL MAULANA WIJAYA")</f>
        <v>SYAHRUL MAULANA WIJAYA</v>
      </c>
      <c r="F350" s="1" t="str">
        <f ca="1">IFERROR(__xludf.DUMMYFUNCTION("""COMPUTED_VALUE"""),"5022201230")</f>
        <v>5022201230</v>
      </c>
      <c r="G350" s="1" t="str">
        <f ca="1">IFERROR(__xludf.DUMMYFUNCTION("""COMPUTED_VALUE"""),"Departemen Teknik Elektro")</f>
        <v>Departemen Teknik Elektro</v>
      </c>
      <c r="H350" s="1" t="str">
        <f ca="1">IFERROR(__xludf.DUMMYFUNCTION("""COMPUTED_VALUE"""),"Dr. Ir. Hendra Kusuma, M.Eng.Sc.")</f>
        <v>Dr. Ir. Hendra Kusuma, M.Eng.Sc.</v>
      </c>
      <c r="I350" s="1" t="str">
        <f ca="1">IFERROR(__xludf.DUMMYFUNCTION("""COMPUTED_VALUE"""),"FARHAN AULIA AZKA")</f>
        <v>FARHAN AULIA AZKA</v>
      </c>
      <c r="J350" s="1" t="str">
        <f ca="1">IFERROR(__xludf.DUMMYFUNCTION("""COMPUTED_VALUE"""),"5022201002")</f>
        <v>5022201002</v>
      </c>
      <c r="K350" s="1" t="str">
        <f ca="1">IFERROR(__xludf.DUMMYFUNCTION("""COMPUTED_VALUE"""),"Departemen Teknik Elektro")</f>
        <v>Departemen Teknik Elektro</v>
      </c>
      <c r="L350" s="1" t="str">
        <f ca="1">IFERROR(__xludf.DUMMYFUNCTION("""COMPUTED_VALUE"""),"MOCHAMMAD NAUFAL HAKIM")</f>
        <v>MOCHAMMAD NAUFAL HAKIM</v>
      </c>
      <c r="M350" s="1" t="str">
        <f ca="1">IFERROR(__xludf.DUMMYFUNCTION("""COMPUTED_VALUE"""),"5022201131")</f>
        <v>5022201131</v>
      </c>
      <c r="N350" s="1" t="str">
        <f ca="1">IFERROR(__xludf.DUMMYFUNCTION("""COMPUTED_VALUE"""),"Departemen Teknik Elektro")</f>
        <v>Departemen Teknik Elektro</v>
      </c>
      <c r="O350" s="1" t="str">
        <f ca="1">IFERROR(__xludf.DUMMYFUNCTION("""COMPUTED_VALUE"""),"WAHYU SHOLEH PRIANANDA")</f>
        <v>WAHYU SHOLEH PRIANANDA</v>
      </c>
      <c r="P350" s="1" t="str">
        <f ca="1">IFERROR(__xludf.DUMMYFUNCTION("""COMPUTED_VALUE"""),"5022201018")</f>
        <v>5022201018</v>
      </c>
      <c r="Q350" s="1" t="str">
        <f ca="1">IFERROR(__xludf.DUMMYFUNCTION("""COMPUTED_VALUE"""),"Departemen Teknik Elektro")</f>
        <v>Departemen Teknik Elektro</v>
      </c>
      <c r="R350" s="1" t="str">
        <f ca="1">IFERROR(__xludf.DUMMYFUNCTION("""COMPUTED_VALUE"""),"MUHAMMAD RIZKI AIRLANGGA DJOJONEGORO")</f>
        <v>MUHAMMAD RIZKI AIRLANGGA DJOJONEGORO</v>
      </c>
      <c r="S350" s="1" t="str">
        <f ca="1">IFERROR(__xludf.DUMMYFUNCTION("""COMPUTED_VALUE"""),"5022201214")</f>
        <v>5022201214</v>
      </c>
      <c r="T350" s="1" t="str">
        <f ca="1">IFERROR(__xludf.DUMMYFUNCTION("""COMPUTED_VALUE"""),"Departemen Teknik Elektro")</f>
        <v>Departemen Teknik Elektro</v>
      </c>
      <c r="U350" s="1" t="str">
        <f ca="1">IFERROR(__xludf.DUMMYFUNCTION("""COMPUTED_VALUE"""),"Mohammad Khoirul Effendi, S.T., M.Sc.Eng., Ph.D.")</f>
        <v>Mohammad Khoirul Effendi, S.T., M.Sc.Eng., Ph.D.</v>
      </c>
      <c r="V350" s="1" t="str">
        <f ca="1">IFERROR(__xludf.DUMMYFUNCTION("""COMPUTED_VALUE"""),"Dr. Dendy Satrio, S.ST.")</f>
        <v>Dr. Dendy Satrio, S.ST.</v>
      </c>
      <c r="W350" s="1"/>
      <c r="X350" s="1" t="str">
        <f ca="1">IFERROR(__xludf.DUMMYFUNCTION("""COMPUTED_VALUE"""),"Karantina")</f>
        <v>Karantina</v>
      </c>
      <c r="Y350" s="1"/>
      <c r="Z350" s="1"/>
      <c r="AA350" s="1"/>
    </row>
    <row r="351" spans="1:27">
      <c r="A351" s="1" t="s">
        <v>346</v>
      </c>
      <c r="B351" s="1">
        <f ca="1">IFERROR(__xludf.DUMMYFUNCTION("""COMPUTED_VALUE"""),4149)</f>
        <v>4149</v>
      </c>
      <c r="C351" s="1" t="str">
        <f ca="1">IFERROR(__xludf.DUMMYFUNCTION("""COMPUTED_VALUE"""),"PKM Karsa Cipta")</f>
        <v>PKM Karsa Cipta</v>
      </c>
      <c r="D351" s="1" t="str">
        <f ca="1">IFERROR(__xludf.DUMMYFUNCTION("""COMPUTED_VALUE"""),"Aplikasi Trace Real-time Berbasis Time Travel Prediction pada User Status Positif Covid – 19  di Lingkungan Sekolah dan Instansi")</f>
        <v>Aplikasi Trace Real-time Berbasis Time Travel Prediction pada User Status Positif Covid – 19  di Lingkungan Sekolah dan Instansi</v>
      </c>
      <c r="E351" s="1" t="str">
        <f ca="1">IFERROR(__xludf.DUMMYFUNCTION("""COMPUTED_VALUE"""),"NABIHA RASSYA ISLAMI SATRIO PUTRI")</f>
        <v>NABIHA RASSYA ISLAMI SATRIO PUTRI</v>
      </c>
      <c r="F351" s="1" t="str">
        <f ca="1">IFERROR(__xludf.DUMMYFUNCTION("""COMPUTED_VALUE"""),"5001201033")</f>
        <v>5001201033</v>
      </c>
      <c r="G351" s="1" t="str">
        <f ca="1">IFERROR(__xludf.DUMMYFUNCTION("""COMPUTED_VALUE"""),"Departemen Fisika")</f>
        <v>Departemen Fisika</v>
      </c>
      <c r="H351" s="1" t="str">
        <f ca="1">IFERROR(__xludf.DUMMYFUNCTION("""COMPUTED_VALUE"""),"Drs. Bachtera Indarto, M.Si.")</f>
        <v>Drs. Bachtera Indarto, M.Si.</v>
      </c>
      <c r="I351" s="1" t="str">
        <f ca="1">IFERROR(__xludf.DUMMYFUNCTION("""COMPUTED_VALUE"""),"ZUFAR AMAANATURRAAFI")</f>
        <v>ZUFAR AMAANATURRAAFI</v>
      </c>
      <c r="J351" s="1" t="str">
        <f ca="1">IFERROR(__xludf.DUMMYFUNCTION("""COMPUTED_VALUE"""),"5001201045")</f>
        <v>5001201045</v>
      </c>
      <c r="K351" s="1" t="str">
        <f ca="1">IFERROR(__xludf.DUMMYFUNCTION("""COMPUTED_VALUE"""),"Departemen Fisika")</f>
        <v>Departemen Fisika</v>
      </c>
      <c r="L351" s="1" t="str">
        <f ca="1">IFERROR(__xludf.DUMMYFUNCTION("""COMPUTED_VALUE"""),"ROIHANA AMINI")</f>
        <v>ROIHANA AMINI</v>
      </c>
      <c r="M351" s="1" t="str">
        <f ca="1">IFERROR(__xludf.DUMMYFUNCTION("""COMPUTED_VALUE"""),"5001201059")</f>
        <v>5001201059</v>
      </c>
      <c r="N351" s="1" t="str">
        <f ca="1">IFERROR(__xludf.DUMMYFUNCTION("""COMPUTED_VALUE"""),"Departemen Fisika")</f>
        <v>Departemen Fisika</v>
      </c>
      <c r="O351" s="1"/>
      <c r="P351" s="1"/>
      <c r="Q351" s="1"/>
      <c r="R351" s="1"/>
      <c r="S351" s="1"/>
      <c r="T351" s="1"/>
      <c r="U351" s="1" t="str">
        <f ca="1">IFERROR(__xludf.DUMMYFUNCTION("""COMPUTED_VALUE"""),"Ir. Josaphat Pramudijanto, M.Eng.")</f>
        <v>Ir. Josaphat Pramudijanto, M.Eng.</v>
      </c>
      <c r="V351" s="1" t="str">
        <f ca="1">IFERROR(__xludf.DUMMYFUNCTION("""COMPUTED_VALUE"""),"Ciptian Weried Priananda, S.ST., M.T.")</f>
        <v>Ciptian Weried Priananda, S.ST., M.T.</v>
      </c>
      <c r="W351" s="1"/>
      <c r="X351" s="1" t="str">
        <f ca="1">IFERROR(__xludf.DUMMYFUNCTION("""COMPUTED_VALUE"""),"Karantina")</f>
        <v>Karantina</v>
      </c>
      <c r="Y351" s="1"/>
      <c r="Z351" s="1"/>
      <c r="AA351" s="1"/>
    </row>
    <row r="352" spans="1:27">
      <c r="A352" s="1" t="s">
        <v>347</v>
      </c>
      <c r="B352" s="1">
        <f ca="1">IFERROR(__xludf.DUMMYFUNCTION("""COMPUTED_VALUE"""),3644)</f>
        <v>3644</v>
      </c>
      <c r="C352" s="1" t="str">
        <f ca="1">IFERROR(__xludf.DUMMYFUNCTION("""COMPUTED_VALUE"""),"PKM Riset Sosial Humaniora")</f>
        <v>PKM Riset Sosial Humaniora</v>
      </c>
      <c r="D352" s="1" t="str">
        <f ca="1">IFERROR(__xludf.DUMMYFUNCTION("""COMPUTED_VALUE"""),"Pendekatan Complete Street Sebagai Basis Pengembangan Koridor Ruas Jalan MERR, Surabaya yang Aman Dan Ramah Pengguna
")</f>
        <v xml:space="preserve">Pendekatan Complete Street Sebagai Basis Pengembangan Koridor Ruas Jalan MERR, Surabaya yang Aman Dan Ramah Pengguna
</v>
      </c>
      <c r="E352" s="1" t="str">
        <f ca="1">IFERROR(__xludf.DUMMYFUNCTION("""COMPUTED_VALUE"""),"TAQY SATRIAJI SANTOSO")</f>
        <v>TAQY SATRIAJI SANTOSO</v>
      </c>
      <c r="F352" s="1" t="str">
        <f ca="1">IFERROR(__xludf.DUMMYFUNCTION("""COMPUTED_VALUE"""),"08211840000054")</f>
        <v>08211840000054</v>
      </c>
      <c r="G352" s="1" t="str">
        <f ca="1">IFERROR(__xludf.DUMMYFUNCTION("""COMPUTED_VALUE"""),"Departemen Perencanaan Wilayah dan Kota")</f>
        <v>Departemen Perencanaan Wilayah dan Kota</v>
      </c>
      <c r="H352" s="1" t="str">
        <f ca="1">IFERROR(__xludf.DUMMYFUNCTION("""COMPUTED_VALUE"""),"Ketut Dewi Martha Erli Handayeni, ST, MT")</f>
        <v>Ketut Dewi Martha Erli Handayeni, ST, MT</v>
      </c>
      <c r="I352" s="1" t="str">
        <f ca="1">IFERROR(__xludf.DUMMYFUNCTION("""COMPUTED_VALUE"""),"ZETLIN OKTAVIA LYDIA LIMBU")</f>
        <v>ZETLIN OKTAVIA LYDIA LIMBU</v>
      </c>
      <c r="J352" s="1" t="str">
        <f ca="1">IFERROR(__xludf.DUMMYFUNCTION("""COMPUTED_VALUE"""),"08211940000087")</f>
        <v>08211940000087</v>
      </c>
      <c r="K352" s="1" t="str">
        <f ca="1">IFERROR(__xludf.DUMMYFUNCTION("""COMPUTED_VALUE"""),"Departemen Perencanaan Wilayah dan Kota")</f>
        <v>Departemen Perencanaan Wilayah dan Kota</v>
      </c>
      <c r="L352" s="1" t="str">
        <f ca="1">IFERROR(__xludf.DUMMYFUNCTION("""COMPUTED_VALUE"""),"DIAS NURKHOTIMAH.H.")</f>
        <v>DIAS NURKHOTIMAH.H.</v>
      </c>
      <c r="M352" s="1" t="str">
        <f ca="1">IFERROR(__xludf.DUMMYFUNCTION("""COMPUTED_VALUE"""),"5015211043")</f>
        <v>5015211043</v>
      </c>
      <c r="N352" s="1" t="str">
        <f ca="1">IFERROR(__xludf.DUMMYFUNCTION("""COMPUTED_VALUE"""),"Departemen Perencanaan Wilayah dan Kota")</f>
        <v>Departemen Perencanaan Wilayah dan Kota</v>
      </c>
      <c r="O352" s="1" t="str">
        <f ca="1">IFERROR(__xludf.DUMMYFUNCTION("""COMPUTED_VALUE"""),"NADHIRA AMANDA MAHESWARI")</f>
        <v>NADHIRA AMANDA MAHESWARI</v>
      </c>
      <c r="P352" s="1" t="str">
        <f ca="1">IFERROR(__xludf.DUMMYFUNCTION("""COMPUTED_VALUE"""),"08211840000080")</f>
        <v>08211840000080</v>
      </c>
      <c r="Q352" s="1" t="str">
        <f ca="1">IFERROR(__xludf.DUMMYFUNCTION("""COMPUTED_VALUE"""),"Departemen Perencanaan Wilayah dan Kota")</f>
        <v>Departemen Perencanaan Wilayah dan Kota</v>
      </c>
      <c r="R352" s="1"/>
      <c r="S352" s="1"/>
      <c r="T352" s="1"/>
      <c r="U352" s="1" t="str">
        <f ca="1">IFERROR(__xludf.DUMMYFUNCTION("""COMPUTED_VALUE"""),"Mochamad Yusuf, S.T., M.Sc.")</f>
        <v>Mochamad Yusuf, S.T., M.Sc.</v>
      </c>
      <c r="V352" s="1" t="str">
        <f ca="1">IFERROR(__xludf.DUMMYFUNCTION("""COMPUTED_VALUE"""),"Galuh Oktavia Siswono, S.Si., M.Si., M.Act,Sc.")</f>
        <v>Galuh Oktavia Siswono, S.Si., M.Si., M.Act,Sc.</v>
      </c>
      <c r="W352" s="1"/>
      <c r="X352" s="1" t="str">
        <f ca="1">IFERROR(__xludf.DUMMYFUNCTION("""COMPUTED_VALUE"""),"Lolos")</f>
        <v>Lolos</v>
      </c>
      <c r="Y352" s="1"/>
      <c r="Z352" s="1"/>
      <c r="AA352" s="1"/>
    </row>
    <row r="353" spans="1:27">
      <c r="A353" s="1" t="s">
        <v>348</v>
      </c>
      <c r="B353" s="1">
        <f ca="1">IFERROR(__xludf.DUMMYFUNCTION("""COMPUTED_VALUE"""),2397)</f>
        <v>2397</v>
      </c>
      <c r="C353" s="1" t="str">
        <f ca="1">IFERROR(__xludf.DUMMYFUNCTION("""COMPUTED_VALUE"""),"PKM Riset Sosial Humaniora")</f>
        <v>PKM Riset Sosial Humaniora</v>
      </c>
      <c r="D353" s="1" t="str">
        <f ca="1">IFERROR(__xludf.DUMMYFUNCTION("""COMPUTED_VALUE"""),"Strategi Peningkatan Literasi Keuangan Guna Mewujudkan Generasi Z di Kota Surabaya yang Melek Finansial")</f>
        <v>Strategi Peningkatan Literasi Keuangan Guna Mewujudkan Generasi Z di Kota Surabaya yang Melek Finansial</v>
      </c>
      <c r="E353" s="1" t="str">
        <f ca="1">IFERROR(__xludf.DUMMYFUNCTION("""COMPUTED_VALUE"""),"PUTRI REGINA SUHARTONO")</f>
        <v>PUTRI REGINA SUHARTONO</v>
      </c>
      <c r="F353" s="1" t="str">
        <f ca="1">IFERROR(__xludf.DUMMYFUNCTION("""COMPUTED_VALUE"""),"5006201009")</f>
        <v>5006201009</v>
      </c>
      <c r="G353" s="1" t="str">
        <f ca="1">IFERROR(__xludf.DUMMYFUNCTION("""COMPUTED_VALUE"""),"Departemen Aktuaria")</f>
        <v>Departemen Aktuaria</v>
      </c>
      <c r="H353" s="1" t="str">
        <f ca="1">IFERROR(__xludf.DUMMYFUNCTION("""COMPUTED_VALUE"""),"Ulil 'Azmi, S.Si., M.Si.")</f>
        <v>Ulil 'Azmi, S.Si., M.Si.</v>
      </c>
      <c r="I353" s="1" t="str">
        <f ca="1">IFERROR(__xludf.DUMMYFUNCTION("""COMPUTED_VALUE"""),"MUHAMMAD ZIDAN FEBRIANSYAH")</f>
        <v>MUHAMMAD ZIDAN FEBRIANSYAH</v>
      </c>
      <c r="J353" s="1" t="str">
        <f ca="1">IFERROR(__xludf.DUMMYFUNCTION("""COMPUTED_VALUE"""),"5006201044")</f>
        <v>5006201044</v>
      </c>
      <c r="K353" s="1" t="str">
        <f ca="1">IFERROR(__xludf.DUMMYFUNCTION("""COMPUTED_VALUE"""),"Departemen Aktuaria")</f>
        <v>Departemen Aktuaria</v>
      </c>
      <c r="L353" s="1" t="str">
        <f ca="1">IFERROR(__xludf.DUMMYFUNCTION("""COMPUTED_VALUE"""),"KARINA RAHMALIA")</f>
        <v>KARINA RAHMALIA</v>
      </c>
      <c r="M353" s="1" t="str">
        <f ca="1">IFERROR(__xludf.DUMMYFUNCTION("""COMPUTED_VALUE"""),"5006201077")</f>
        <v>5006201077</v>
      </c>
      <c r="N353" s="1" t="str">
        <f ca="1">IFERROR(__xludf.DUMMYFUNCTION("""COMPUTED_VALUE"""),"Departemen Aktuaria")</f>
        <v>Departemen Aktuaria</v>
      </c>
      <c r="O353" s="1" t="str">
        <f ca="1">IFERROR(__xludf.DUMMYFUNCTION("""COMPUTED_VALUE"""),"MOH. IQBAL FATCHUROZI")</f>
        <v>MOH. IQBAL FATCHUROZI</v>
      </c>
      <c r="P353" s="1" t="str">
        <f ca="1">IFERROR(__xludf.DUMMYFUNCTION("""COMPUTED_VALUE"""),"5024201009")</f>
        <v>5024201009</v>
      </c>
      <c r="Q353" s="1" t="str">
        <f ca="1">IFERROR(__xludf.DUMMYFUNCTION("""COMPUTED_VALUE"""),"Departemen Teknik Komputer")</f>
        <v>Departemen Teknik Komputer</v>
      </c>
      <c r="R353" s="1"/>
      <c r="S353" s="1"/>
      <c r="T353" s="1"/>
      <c r="U353" s="1" t="str">
        <f ca="1">IFERROR(__xludf.DUMMYFUNCTION("""COMPUTED_VALUE"""),"Muchammad Nurif, S.E., M.T.")</f>
        <v>Muchammad Nurif, S.E., M.T.</v>
      </c>
      <c r="V353" s="1" t="str">
        <f ca="1">IFERROR(__xludf.DUMMYFUNCTION("""COMPUTED_VALUE"""),"Deqi Rizkivia Radita, S.T., M.Sc.")</f>
        <v>Deqi Rizkivia Radita, S.T., M.Sc.</v>
      </c>
      <c r="W353" s="1"/>
      <c r="X353" s="1" t="str">
        <f ca="1">IFERROR(__xludf.DUMMYFUNCTION("""COMPUTED_VALUE"""),"Lolos")</f>
        <v>Lolos</v>
      </c>
      <c r="Y353" s="1"/>
      <c r="Z353" s="1"/>
      <c r="AA353" s="1"/>
    </row>
    <row r="354" spans="1:27">
      <c r="A354" s="1" t="s">
        <v>35</v>
      </c>
      <c r="B354" s="1">
        <f ca="1">IFERROR(__xludf.DUMMYFUNCTION("""COMPUTED_VALUE"""),3425)</f>
        <v>3425</v>
      </c>
      <c r="C354" s="1" t="str">
        <f ca="1">IFERROR(__xludf.DUMMYFUNCTION("""COMPUTED_VALUE"""),"PKM Riset Sosial Humaniora")</f>
        <v>PKM Riset Sosial Humaniora</v>
      </c>
      <c r="D354" s="1" t="str">
        <f ca="1">IFERROR(__xludf.DUMMYFUNCTION("""COMPUTED_VALUE"""),"Menelisik Sensibilitas Kultur Adat Suku Tengger dan Potensinya sebagai Pengembangan Cultural-Healing Tourism")</f>
        <v>Menelisik Sensibilitas Kultur Adat Suku Tengger dan Potensinya sebagai Pengembangan Cultural-Healing Tourism</v>
      </c>
      <c r="E354" s="1" t="str">
        <f ca="1">IFERROR(__xludf.DUMMYFUNCTION("""COMPUTED_VALUE"""),"Mukhammad Akbar Makhbubi")</f>
        <v>Mukhammad Akbar Makhbubi</v>
      </c>
      <c r="F354" s="1" t="str">
        <f ca="1">IFERROR(__xludf.DUMMYFUNCTION("""COMPUTED_VALUE"""),"08211940000021")</f>
        <v>08211940000021</v>
      </c>
      <c r="G354" s="1" t="str">
        <f ca="1">IFERROR(__xludf.DUMMYFUNCTION("""COMPUTED_VALUE"""),"Departemen Perencanaan Wilayah dan Kota")</f>
        <v>Departemen Perencanaan Wilayah dan Kota</v>
      </c>
      <c r="H354" s="1" t="str">
        <f ca="1">IFERROR(__xludf.DUMMYFUNCTION("""COMPUTED_VALUE"""),"Arwi Yudhi Koswara, S.T., M.T.")</f>
        <v>Arwi Yudhi Koswara, S.T., M.T.</v>
      </c>
      <c r="I354" s="1" t="str">
        <f ca="1">IFERROR(__xludf.DUMMYFUNCTION("""COMPUTED_VALUE"""),"Sukma Dyah Aini")</f>
        <v>Sukma Dyah Aini</v>
      </c>
      <c r="J354" s="1" t="str">
        <f ca="1">IFERROR(__xludf.DUMMYFUNCTION("""COMPUTED_VALUE"""),"08211840000003")</f>
        <v>08211840000003</v>
      </c>
      <c r="K354" s="1" t="str">
        <f ca="1">IFERROR(__xludf.DUMMYFUNCTION("""COMPUTED_VALUE"""),"Departemen Perencanaan Wilayah dan Kota")</f>
        <v>Departemen Perencanaan Wilayah dan Kota</v>
      </c>
      <c r="L354" s="1" t="str">
        <f ca="1">IFERROR(__xludf.DUMMYFUNCTION("""COMPUTED_VALUE"""),"Shinta Ulwiya")</f>
        <v>Shinta Ulwiya</v>
      </c>
      <c r="M354" s="1" t="str">
        <f ca="1">IFERROR(__xludf.DUMMYFUNCTION("""COMPUTED_VALUE"""),"08211940000014")</f>
        <v>08211940000014</v>
      </c>
      <c r="N354" s="1" t="str">
        <f ca="1">IFERROR(__xludf.DUMMYFUNCTION("""COMPUTED_VALUE"""),"Departemen Perencanaan Wilayah dan Kota")</f>
        <v>Departemen Perencanaan Wilayah dan Kota</v>
      </c>
      <c r="O354" s="1" t="str">
        <f ca="1">IFERROR(__xludf.DUMMYFUNCTION("""COMPUTED_VALUE"""),"TIARA HIKMATA BILLAH")</f>
        <v>TIARA HIKMATA BILLAH</v>
      </c>
      <c r="P354" s="1" t="str">
        <f ca="1">IFERROR(__xludf.DUMMYFUNCTION("""COMPUTED_VALUE"""),"08211940000054")</f>
        <v>08211940000054</v>
      </c>
      <c r="Q354" s="1" t="str">
        <f ca="1">IFERROR(__xludf.DUMMYFUNCTION("""COMPUTED_VALUE"""),"Departemen Perencanaan Wilayah dan Kota")</f>
        <v>Departemen Perencanaan Wilayah dan Kota</v>
      </c>
      <c r="R354" s="1" t="str">
        <f ca="1">IFERROR(__xludf.DUMMYFUNCTION("""COMPUTED_VALUE"""),"DAKSA LINTANG SATYAWADI")</f>
        <v>DAKSA LINTANG SATYAWADI</v>
      </c>
      <c r="S354" s="1" t="str">
        <f ca="1">IFERROR(__xludf.DUMMYFUNCTION("""COMPUTED_VALUE"""),"5015201093")</f>
        <v>5015201093</v>
      </c>
      <c r="T354" s="1" t="str">
        <f ca="1">IFERROR(__xludf.DUMMYFUNCTION("""COMPUTED_VALUE"""),"Departemen Perencanaan Wilayah dan Kota")</f>
        <v>Departemen Perencanaan Wilayah dan Kota</v>
      </c>
      <c r="U354" s="1" t="str">
        <f ca="1">IFERROR(__xludf.DUMMYFUNCTION("""COMPUTED_VALUE"""),"Welly Herumurti, S.T., M.Sc.")</f>
        <v>Welly Herumurti, S.T., M.Sc.</v>
      </c>
      <c r="V354" s="1" t="str">
        <f ca="1">IFERROR(__xludf.DUMMYFUNCTION("""COMPUTED_VALUE"""),"Mukhammad Muryono, S.Si., M.Si., Ph.D.")</f>
        <v>Mukhammad Muryono, S.Si., M.Si., Ph.D.</v>
      </c>
      <c r="W354" s="1" t="str">
        <f ca="1">IFERROR(__xludf.DUMMYFUNCTION("""COMPUTED_VALUE"""),"Putu Gde Ariastita, S.T., M.T.")</f>
        <v>Putu Gde Ariastita, S.T., M.T.</v>
      </c>
      <c r="X354" s="1" t="str">
        <f ca="1">IFERROR(__xludf.DUMMYFUNCTION("""COMPUTED_VALUE"""),"Lolos")</f>
        <v>Lolos</v>
      </c>
      <c r="Y354" s="1"/>
      <c r="Z354" s="1"/>
      <c r="AA354" s="1"/>
    </row>
    <row r="355" spans="1:27">
      <c r="A355" s="1" t="s">
        <v>349</v>
      </c>
      <c r="B355" s="1">
        <f ca="1">IFERROR(__xludf.DUMMYFUNCTION("""COMPUTED_VALUE"""),2159)</f>
        <v>2159</v>
      </c>
      <c r="C355" s="1" t="str">
        <f ca="1">IFERROR(__xludf.DUMMYFUNCTION("""COMPUTED_VALUE"""),"PKM Riset Sosial Humaniora")</f>
        <v>PKM Riset Sosial Humaniora</v>
      </c>
      <c r="D355" s="1" t="str">
        <f ca="1">IFERROR(__xludf.DUMMYFUNCTION("""COMPUTED_VALUE"""),"Kajian Etnomatematika dan Etimologi Angka-Angka pada Bahasa Jawa")</f>
        <v>Kajian Etnomatematika dan Etimologi Angka-Angka pada Bahasa Jawa</v>
      </c>
      <c r="E355" s="1" t="str">
        <f ca="1">IFERROR(__xludf.DUMMYFUNCTION("""COMPUTED_VALUE"""),"LAYLATUS SYARIFAH")</f>
        <v>LAYLATUS SYARIFAH</v>
      </c>
      <c r="F355" s="1" t="str">
        <f ca="1">IFERROR(__xludf.DUMMYFUNCTION("""COMPUTED_VALUE"""),"5002201034")</f>
        <v>5002201034</v>
      </c>
      <c r="G355" s="1" t="str">
        <f ca="1">IFERROR(__xludf.DUMMYFUNCTION("""COMPUTED_VALUE"""),"Departemen Matematika")</f>
        <v>Departemen Matematika</v>
      </c>
      <c r="H355" s="1" t="str">
        <f ca="1">IFERROR(__xludf.DUMMYFUNCTION("""COMPUTED_VALUE"""),"Muhammad Syifaul Mufid, S.Si.,M.Si")</f>
        <v>Muhammad Syifaul Mufid, S.Si.,M.Si</v>
      </c>
      <c r="I355" s="1" t="str">
        <f ca="1">IFERROR(__xludf.DUMMYFUNCTION("""COMPUTED_VALUE"""),"AISYAH FITRI")</f>
        <v>AISYAH FITRI</v>
      </c>
      <c r="J355" s="1" t="str">
        <f ca="1">IFERROR(__xludf.DUMMYFUNCTION("""COMPUTED_VALUE"""),"5002201004")</f>
        <v>5002201004</v>
      </c>
      <c r="K355" s="1" t="str">
        <f ca="1">IFERROR(__xludf.DUMMYFUNCTION("""COMPUTED_VALUE"""),"Departemen Matematika")</f>
        <v>Departemen Matematika</v>
      </c>
      <c r="L355" s="1" t="str">
        <f ca="1">IFERROR(__xludf.DUMMYFUNCTION("""COMPUTED_VALUE"""),"SALSABILA MAULIDA RAHMA")</f>
        <v>SALSABILA MAULIDA RAHMA</v>
      </c>
      <c r="M355" s="1" t="str">
        <f ca="1">IFERROR(__xludf.DUMMYFUNCTION("""COMPUTED_VALUE"""),"5002201024")</f>
        <v>5002201024</v>
      </c>
      <c r="N355" s="1" t="str">
        <f ca="1">IFERROR(__xludf.DUMMYFUNCTION("""COMPUTED_VALUE"""),"Departemen Matematika")</f>
        <v>Departemen Matematika</v>
      </c>
      <c r="O355" s="1" t="str">
        <f ca="1">IFERROR(__xludf.DUMMYFUNCTION("""COMPUTED_VALUE"""),"Henita Awalul M")</f>
        <v>Henita Awalul M</v>
      </c>
      <c r="P355" s="1" t="str">
        <f ca="1">IFERROR(__xludf.DUMMYFUNCTION("""COMPUTED_VALUE"""),"5005211021")</f>
        <v>5005211021</v>
      </c>
      <c r="Q355" s="1" t="str">
        <f ca="1">IFERROR(__xludf.DUMMYFUNCTION("""COMPUTED_VALUE"""),"Departemen Biologi")</f>
        <v>Departemen Biologi</v>
      </c>
      <c r="R355" s="1" t="str">
        <f ca="1">IFERROR(__xludf.DUMMYFUNCTION("""COMPUTED_VALUE"""),"FAIRUUZ NURDIAZ AMAANULLAH")</f>
        <v>FAIRUUZ NURDIAZ AMAANULLAH</v>
      </c>
      <c r="S355" s="1" t="str">
        <f ca="1">IFERROR(__xludf.DUMMYFUNCTION("""COMPUTED_VALUE"""),"5002201042")</f>
        <v>5002201042</v>
      </c>
      <c r="T355" s="1" t="str">
        <f ca="1">IFERROR(__xludf.DUMMYFUNCTION("""COMPUTED_VALUE"""),"Departemen Matematika")</f>
        <v>Departemen Matematika</v>
      </c>
      <c r="U355" s="1" t="str">
        <f ca="1">IFERROR(__xludf.DUMMYFUNCTION("""COMPUTED_VALUE"""),"Dr. Soedarso, S.S., M.Hum.")</f>
        <v>Dr. Soedarso, S.S., M.Hum.</v>
      </c>
      <c r="V355" s="1" t="str">
        <f ca="1">IFERROR(__xludf.DUMMYFUNCTION("""COMPUTED_VALUE"""),"Mukti Ratna Dewi, S.Si., M.Sc.")</f>
        <v>Mukti Ratna Dewi, S.Si., M.Sc.</v>
      </c>
      <c r="W355" s="1" t="str">
        <f ca="1">IFERROR(__xludf.DUMMYFUNCTION("""COMPUTED_VALUE"""),"Putu Gde Ariastita, S.T., M.T.")</f>
        <v>Putu Gde Ariastita, S.T., M.T.</v>
      </c>
      <c r="X355" s="1" t="str">
        <f ca="1">IFERROR(__xludf.DUMMYFUNCTION("""COMPUTED_VALUE"""),"Lolos")</f>
        <v>Lolos</v>
      </c>
      <c r="Y355" s="1"/>
      <c r="Z355" s="1"/>
      <c r="AA355" s="1"/>
    </row>
    <row r="356" spans="1:27">
      <c r="A356" s="1" t="s">
        <v>350</v>
      </c>
      <c r="B356" s="1">
        <f ca="1">IFERROR(__xludf.DUMMYFUNCTION("""COMPUTED_VALUE"""),3589)</f>
        <v>3589</v>
      </c>
      <c r="C356" s="1" t="str">
        <f ca="1">IFERROR(__xludf.DUMMYFUNCTION("""COMPUTED_VALUE"""),"PKM Riset Sosial Humaniora")</f>
        <v>PKM Riset Sosial Humaniora</v>
      </c>
      <c r="D356" s="1" t="str">
        <f ca="1">IFERROR(__xludf.DUMMYFUNCTION("""COMPUTED_VALUE"""),"KARAKTERISASI INDEKS KEBAHAGIAAN KABUPATEN/KOTA DI PROVINSI JAWA TIMUR PADA MASA PANDEMI COVID-19 MENGGUNAKAN PEMODELAN REGRESI NONPARAMETRIK SPLINE TRUNCATED")</f>
        <v>KARAKTERISASI INDEKS KEBAHAGIAAN KABUPATEN/KOTA DI PROVINSI JAWA TIMUR PADA MASA PANDEMI COVID-19 MENGGUNAKAN PEMODELAN REGRESI NONPARAMETRIK SPLINE TRUNCATED</v>
      </c>
      <c r="E356" s="1" t="str">
        <f ca="1">IFERROR(__xludf.DUMMYFUNCTION("""COMPUTED_VALUE"""),"ADINDA ALIFIA YUMNA")</f>
        <v>ADINDA ALIFIA YUMNA</v>
      </c>
      <c r="F356" s="1" t="str">
        <f ca="1">IFERROR(__xludf.DUMMYFUNCTION("""COMPUTED_VALUE"""),"5003201053")</f>
        <v>5003201053</v>
      </c>
      <c r="G356" s="1" t="str">
        <f ca="1">IFERROR(__xludf.DUMMYFUNCTION("""COMPUTED_VALUE"""),"Departemen Statistika")</f>
        <v>Departemen Statistika</v>
      </c>
      <c r="H356" s="1" t="str">
        <f ca="1">IFERROR(__xludf.DUMMYFUNCTION("""COMPUTED_VALUE"""),"Prof. Dr. Drs.  I Nyoman Budiantara, M.Si")</f>
        <v>Prof. Dr. Drs.  I Nyoman Budiantara, M.Si</v>
      </c>
      <c r="I356" s="1" t="str">
        <f ca="1">IFERROR(__xludf.DUMMYFUNCTION("""COMPUTED_VALUE"""),"PUTRI EMILIA AGUSTIN")</f>
        <v>PUTRI EMILIA AGUSTIN</v>
      </c>
      <c r="J356" s="1" t="str">
        <f ca="1">IFERROR(__xludf.DUMMYFUNCTION("""COMPUTED_VALUE"""),"5003201051")</f>
        <v>5003201051</v>
      </c>
      <c r="K356" s="1" t="str">
        <f ca="1">IFERROR(__xludf.DUMMYFUNCTION("""COMPUTED_VALUE"""),"Departemen Statistika")</f>
        <v>Departemen Statistika</v>
      </c>
      <c r="L356" s="1" t="str">
        <f ca="1">IFERROR(__xludf.DUMMYFUNCTION("""COMPUTED_VALUE"""),"LIMAS CAHYANING AZ ZAHRAWAANI")</f>
        <v>LIMAS CAHYANING AZ ZAHRAWAANI</v>
      </c>
      <c r="M356" s="1" t="str">
        <f ca="1">IFERROR(__xludf.DUMMYFUNCTION("""COMPUTED_VALUE"""),"5003201062")</f>
        <v>5003201062</v>
      </c>
      <c r="N356" s="1" t="str">
        <f ca="1">IFERROR(__xludf.DUMMYFUNCTION("""COMPUTED_VALUE"""),"Departemen Statistika")</f>
        <v>Departemen Statistika</v>
      </c>
      <c r="O356" s="1" t="str">
        <f ca="1">IFERROR(__xludf.DUMMYFUNCTION("""COMPUTED_VALUE"""),"Bagas Mujaddid A")</f>
        <v>Bagas Mujaddid A</v>
      </c>
      <c r="P356" s="1" t="str">
        <f ca="1">IFERROR(__xludf.DUMMYFUNCTION("""COMPUTED_VALUE"""),"5003211048")</f>
        <v>5003211048</v>
      </c>
      <c r="Q356" s="1" t="str">
        <f ca="1">IFERROR(__xludf.DUMMYFUNCTION("""COMPUTED_VALUE"""),"Departemen Statistika")</f>
        <v>Departemen Statistika</v>
      </c>
      <c r="R356" s="1" t="str">
        <f ca="1">IFERROR(__xludf.DUMMYFUNCTION("""COMPUTED_VALUE"""),"Isyqi Putri Navisah")</f>
        <v>Isyqi Putri Navisah</v>
      </c>
      <c r="S356" s="1" t="str">
        <f ca="1">IFERROR(__xludf.DUMMYFUNCTION("""COMPUTED_VALUE"""),"5003211128")</f>
        <v>5003211128</v>
      </c>
      <c r="T356" s="1" t="str">
        <f ca="1">IFERROR(__xludf.DUMMYFUNCTION("""COMPUTED_VALUE"""),"Departemen Statistika")</f>
        <v>Departemen Statistika</v>
      </c>
      <c r="U356" s="1" t="str">
        <f ca="1">IFERROR(__xludf.DUMMYFUNCTION("""COMPUTED_VALUE"""),"Mochamad Yusuf, S.T., M.Sc.")</f>
        <v>Mochamad Yusuf, S.T., M.Sc.</v>
      </c>
      <c r="V356" s="1" t="str">
        <f ca="1">IFERROR(__xludf.DUMMYFUNCTION("""COMPUTED_VALUE"""),"Bahalwan Apriyansyah, S.T., MBA.")</f>
        <v>Bahalwan Apriyansyah, S.T., MBA.</v>
      </c>
      <c r="W356" s="1"/>
      <c r="X356" s="1" t="str">
        <f ca="1">IFERROR(__xludf.DUMMYFUNCTION("""COMPUTED_VALUE"""),"Lolos")</f>
        <v>Lolos</v>
      </c>
      <c r="Y356" s="1"/>
      <c r="Z356" s="1"/>
      <c r="AA356" s="1"/>
    </row>
    <row r="357" spans="1:27">
      <c r="A357" s="1" t="s">
        <v>351</v>
      </c>
      <c r="B357" s="1">
        <f ca="1">IFERROR(__xludf.DUMMYFUNCTION("""COMPUTED_VALUE"""),3845)</f>
        <v>3845</v>
      </c>
      <c r="C357" s="1" t="str">
        <f ca="1">IFERROR(__xludf.DUMMYFUNCTION("""COMPUTED_VALUE"""),"PKM Riset Sosial Humaniora")</f>
        <v>PKM Riset Sosial Humaniora</v>
      </c>
      <c r="D357" s="1" t="str">
        <f ca="1">IFERROR(__xludf.DUMMYFUNCTION("""COMPUTED_VALUE"""),"Analisis Pengaruh Intensitas Penggunaan Instagram Terhadap Gangguan Instagramxiety Pada Mahasiswa di Surabaya")</f>
        <v>Analisis Pengaruh Intensitas Penggunaan Instagram Terhadap Gangguan Instagramxiety Pada Mahasiswa di Surabaya</v>
      </c>
      <c r="E357" s="1" t="str">
        <f ca="1">IFERROR(__xludf.DUMMYFUNCTION("""COMPUTED_VALUE"""),"AULIA NAILUL FITHRIA")</f>
        <v>AULIA NAILUL FITHRIA</v>
      </c>
      <c r="F357" s="1" t="str">
        <f ca="1">IFERROR(__xludf.DUMMYFUNCTION("""COMPUTED_VALUE"""),"5003201065")</f>
        <v>5003201065</v>
      </c>
      <c r="G357" s="1" t="str">
        <f ca="1">IFERROR(__xludf.DUMMYFUNCTION("""COMPUTED_VALUE"""),"Departemen Statistika")</f>
        <v>Departemen Statistika</v>
      </c>
      <c r="H357" s="1" t="str">
        <f ca="1">IFERROR(__xludf.DUMMYFUNCTION("""COMPUTED_VALUE"""),"Dr. Dra. Kartika Fithriasari, M.Si.")</f>
        <v>Dr. Dra. Kartika Fithriasari, M.Si.</v>
      </c>
      <c r="I357" s="1" t="str">
        <f ca="1">IFERROR(__xludf.DUMMYFUNCTION("""COMPUTED_VALUE"""),"AMANDA UTAMI")</f>
        <v>AMANDA UTAMI</v>
      </c>
      <c r="J357" s="1" t="str">
        <f ca="1">IFERROR(__xludf.DUMMYFUNCTION("""COMPUTED_VALUE"""),"5003201026")</f>
        <v>5003201026</v>
      </c>
      <c r="K357" s="1" t="str">
        <f ca="1">IFERROR(__xludf.DUMMYFUNCTION("""COMPUTED_VALUE"""),"Departemen Statistika")</f>
        <v>Departemen Statistika</v>
      </c>
      <c r="L357" s="1" t="str">
        <f ca="1">IFERROR(__xludf.DUMMYFUNCTION("""COMPUTED_VALUE"""),"ANNISA KHOIRINA")</f>
        <v>ANNISA KHOIRINA</v>
      </c>
      <c r="M357" s="1" t="str">
        <f ca="1">IFERROR(__xludf.DUMMYFUNCTION("""COMPUTED_VALUE"""),"5003201018")</f>
        <v>5003201018</v>
      </c>
      <c r="N357" s="1" t="str">
        <f ca="1">IFERROR(__xludf.DUMMYFUNCTION("""COMPUTED_VALUE"""),"Departemen Statistika")</f>
        <v>Departemen Statistika</v>
      </c>
      <c r="O357" s="1" t="str">
        <f ca="1">IFERROR(__xludf.DUMMYFUNCTION("""COMPUTED_VALUE"""),"NIKEN MAULITA")</f>
        <v>NIKEN MAULITA</v>
      </c>
      <c r="P357" s="1" t="str">
        <f ca="1">IFERROR(__xludf.DUMMYFUNCTION("""COMPUTED_VALUE"""),"5003201034")</f>
        <v>5003201034</v>
      </c>
      <c r="Q357" s="1" t="str">
        <f ca="1">IFERROR(__xludf.DUMMYFUNCTION("""COMPUTED_VALUE"""),"Departemen Statistika")</f>
        <v>Departemen Statistika</v>
      </c>
      <c r="R357" s="1" t="str">
        <f ca="1">IFERROR(__xludf.DUMMYFUNCTION("""COMPUTED_VALUE"""),"PENTA MURDIYANI")</f>
        <v>PENTA MURDIYANI</v>
      </c>
      <c r="S357" s="1" t="str">
        <f ca="1">IFERROR(__xludf.DUMMYFUNCTION("""COMPUTED_VALUE"""),"5003201082")</f>
        <v>5003201082</v>
      </c>
      <c r="T357" s="1" t="str">
        <f ca="1">IFERROR(__xludf.DUMMYFUNCTION("""COMPUTED_VALUE"""),"Departemen Statistika")</f>
        <v>Departemen Statistika</v>
      </c>
      <c r="U357" s="1" t="str">
        <f ca="1">IFERROR(__xludf.DUMMYFUNCTION("""COMPUTED_VALUE"""),"Dr. Soedarso, S.S., M.Hum.")</f>
        <v>Dr. Soedarso, S.S., M.Hum.</v>
      </c>
      <c r="V357" s="1" t="str">
        <f ca="1">IFERROR(__xludf.DUMMYFUNCTION("""COMPUTED_VALUE"""),"Mukti Ratna Dewi, S.Si., M.Sc.")</f>
        <v>Mukti Ratna Dewi, S.Si., M.Sc.</v>
      </c>
      <c r="W357" s="1"/>
      <c r="X357" s="1" t="str">
        <f ca="1">IFERROR(__xludf.DUMMYFUNCTION("""COMPUTED_VALUE"""),"Lolos")</f>
        <v>Lolos</v>
      </c>
      <c r="Y357" s="1"/>
      <c r="Z357" s="1"/>
      <c r="AA357" s="1"/>
    </row>
    <row r="358" spans="1:27">
      <c r="A358" s="1" t="s">
        <v>352</v>
      </c>
      <c r="B358" s="1">
        <f ca="1">IFERROR(__xludf.DUMMYFUNCTION("""COMPUTED_VALUE"""),2035)</f>
        <v>2035</v>
      </c>
      <c r="C358" s="1" t="str">
        <f ca="1">IFERROR(__xludf.DUMMYFUNCTION("""COMPUTED_VALUE"""),"PKM Riset Sosial Humaniora")</f>
        <v>PKM Riset Sosial Humaniora</v>
      </c>
      <c r="D358" s="1" t="str">
        <f ca="1">IFERROR(__xludf.DUMMYFUNCTION("""COMPUTED_VALUE"""),"PENILAIAN EFEKTIVITAS FUNGSI ALUN-ALUN AREK LANCOR SEBAGAI RUANG TERBUKA PUBLIK DENGAN PENDEKATAN SUSTAINABLE URBAN LANDSCAPE")</f>
        <v>PENILAIAN EFEKTIVITAS FUNGSI ALUN-ALUN AREK LANCOR SEBAGAI RUANG TERBUKA PUBLIK DENGAN PENDEKATAN SUSTAINABLE URBAN LANDSCAPE</v>
      </c>
      <c r="E358" s="1" t="str">
        <f ca="1">IFERROR(__xludf.DUMMYFUNCTION("""COMPUTED_VALUE"""),"Djamiatur Riskiyah")</f>
        <v>Djamiatur Riskiyah</v>
      </c>
      <c r="F358" s="1" t="str">
        <f ca="1">IFERROR(__xludf.DUMMYFUNCTION("""COMPUTED_VALUE"""),"08211840000031")</f>
        <v>08211840000031</v>
      </c>
      <c r="G358" s="1" t="str">
        <f ca="1">IFERROR(__xludf.DUMMYFUNCTION("""COMPUTED_VALUE"""),"Departemen Perencanaan Wilayah dan Kota")</f>
        <v>Departemen Perencanaan Wilayah dan Kota</v>
      </c>
      <c r="H358" s="1" t="str">
        <f ca="1">IFERROR(__xludf.DUMMYFUNCTION("""COMPUTED_VALUE"""),"Mochamad Yusuf, S.T., M.Sc.")</f>
        <v>Mochamad Yusuf, S.T., M.Sc.</v>
      </c>
      <c r="I358" s="1" t="str">
        <f ca="1">IFERROR(__xludf.DUMMYFUNCTION("""COMPUTED_VALUE"""),"Gita Rama Mahardhika")</f>
        <v>Gita Rama Mahardhika</v>
      </c>
      <c r="J358" s="1" t="str">
        <f ca="1">IFERROR(__xludf.DUMMYFUNCTION("""COMPUTED_VALUE"""),"08211840000015")</f>
        <v>08211840000015</v>
      </c>
      <c r="K358" s="1" t="str">
        <f ca="1">IFERROR(__xludf.DUMMYFUNCTION("""COMPUTED_VALUE"""),"Departemen Perencanaan Wilayah dan Kota")</f>
        <v>Departemen Perencanaan Wilayah dan Kota</v>
      </c>
      <c r="L358" s="1" t="str">
        <f ca="1">IFERROR(__xludf.DUMMYFUNCTION("""COMPUTED_VALUE"""),"Zahratun Nisa")</f>
        <v>Zahratun Nisa</v>
      </c>
      <c r="M358" s="1" t="str">
        <f ca="1">IFERROR(__xludf.DUMMYFUNCTION("""COMPUTED_VALUE"""),"08211940000030")</f>
        <v>08211940000030</v>
      </c>
      <c r="N358" s="1" t="str">
        <f ca="1">IFERROR(__xludf.DUMMYFUNCTION("""COMPUTED_VALUE"""),"Departemen Perencanaan Wilayah dan Kota")</f>
        <v>Departemen Perencanaan Wilayah dan Kota</v>
      </c>
      <c r="O358" s="1" t="str">
        <f ca="1">IFERROR(__xludf.DUMMYFUNCTION("""COMPUTED_VALUE"""),"OKI CAHYA SAPUTRA")</f>
        <v>OKI CAHYA SAPUTRA</v>
      </c>
      <c r="P358" s="1" t="str">
        <f ca="1">IFERROR(__xludf.DUMMYFUNCTION("""COMPUTED_VALUE"""),"5015211078")</f>
        <v>5015211078</v>
      </c>
      <c r="Q358" s="1" t="str">
        <f ca="1">IFERROR(__xludf.DUMMYFUNCTION("""COMPUTED_VALUE"""),"Departemen Perencanaan Wilayah dan Kota")</f>
        <v>Departemen Perencanaan Wilayah dan Kota</v>
      </c>
      <c r="R358" s="1" t="str">
        <f ca="1">IFERROR(__xludf.DUMMYFUNCTION("""COMPUTED_VALUE"""),"FELIA IZZATI W.")</f>
        <v>FELIA IZZATI W.</v>
      </c>
      <c r="S358" s="1" t="str">
        <f ca="1">IFERROR(__xludf.DUMMYFUNCTION("""COMPUTED_VALUE"""),"5015211142")</f>
        <v>5015211142</v>
      </c>
      <c r="T358" s="1" t="str">
        <f ca="1">IFERROR(__xludf.DUMMYFUNCTION("""COMPUTED_VALUE"""),"Departemen Perencanaan Wilayah dan Kota")</f>
        <v>Departemen Perencanaan Wilayah dan Kota</v>
      </c>
      <c r="U358" s="1" t="str">
        <f ca="1">IFERROR(__xludf.DUMMYFUNCTION("""COMPUTED_VALUE"""),"Mochamad Yusuf, S.T., M.Sc.")</f>
        <v>Mochamad Yusuf, S.T., M.Sc.</v>
      </c>
      <c r="V358" s="1" t="str">
        <f ca="1">IFERROR(__xludf.DUMMYFUNCTION("""COMPUTED_VALUE"""),"Galuh Oktavia Siswono, S.Si., M.Si., M.Act,Sc.")</f>
        <v>Galuh Oktavia Siswono, S.Si., M.Si., M.Act,Sc.</v>
      </c>
      <c r="W358" s="1"/>
      <c r="X358" s="1" t="str">
        <f ca="1">IFERROR(__xludf.DUMMYFUNCTION("""COMPUTED_VALUE"""),"Lolos")</f>
        <v>Lolos</v>
      </c>
      <c r="Y358" s="1"/>
      <c r="Z358" s="1"/>
      <c r="AA358" s="1"/>
    </row>
    <row r="359" spans="1:27">
      <c r="A359" s="1" t="s">
        <v>353</v>
      </c>
      <c r="B359" s="1">
        <f ca="1">IFERROR(__xludf.DUMMYFUNCTION("""COMPUTED_VALUE"""),2096)</f>
        <v>2096</v>
      </c>
      <c r="C359" s="1" t="str">
        <f ca="1">IFERROR(__xludf.DUMMYFUNCTION("""COMPUTED_VALUE"""),"PKM Riset Sosial Humaniora")</f>
        <v>PKM Riset Sosial Humaniora</v>
      </c>
      <c r="D359" s="1" t="str">
        <f ca="1">IFERROR(__xludf.DUMMYFUNCTION("""COMPUTED_VALUE"""),"Perubahan Metode Pembelajaran Daring Menjadi Metode Pembelajaran Luring dan Pengaruhnya terhadap Pemahaman Materi Akademik Siswa Sekolah Dasar
")</f>
        <v xml:space="preserve">Perubahan Metode Pembelajaran Daring Menjadi Metode Pembelajaran Luring dan Pengaruhnya terhadap Pemahaman Materi Akademik Siswa Sekolah Dasar
</v>
      </c>
      <c r="E359" s="1" t="str">
        <f ca="1">IFERROR(__xludf.DUMMYFUNCTION("""COMPUTED_VALUE"""),"Moch. Januar Akbar")</f>
        <v>Moch. Januar Akbar</v>
      </c>
      <c r="F359" s="1" t="str">
        <f ca="1">IFERROR(__xludf.DUMMYFUNCTION("""COMPUTED_VALUE"""),"5003211073")</f>
        <v>5003211073</v>
      </c>
      <c r="G359" s="1" t="str">
        <f ca="1">IFERROR(__xludf.DUMMYFUNCTION("""COMPUTED_VALUE"""),"Departemen Statistika")</f>
        <v>Departemen Statistika</v>
      </c>
      <c r="H359" s="1" t="str">
        <f ca="1">IFERROR(__xludf.DUMMYFUNCTION("""COMPUTED_VALUE"""),"Dr. Dra. Agnes Tuti Rumiati, M.Sc.")</f>
        <v>Dr. Dra. Agnes Tuti Rumiati, M.Sc.</v>
      </c>
      <c r="I359" s="1" t="str">
        <f ca="1">IFERROR(__xludf.DUMMYFUNCTION("""COMPUTED_VALUE"""),"Rangga Prima Pratama")</f>
        <v>Rangga Prima Pratama</v>
      </c>
      <c r="J359" s="1" t="str">
        <f ca="1">IFERROR(__xludf.DUMMYFUNCTION("""COMPUTED_VALUE"""),"5008211074")</f>
        <v>5008211074</v>
      </c>
      <c r="K359" s="1" t="str">
        <f ca="1">IFERROR(__xludf.DUMMYFUNCTION("""COMPUTED_VALUE"""),"Departemen Teknik Kimia")</f>
        <v>Departemen Teknik Kimia</v>
      </c>
      <c r="L359" s="1" t="str">
        <f ca="1">IFERROR(__xludf.DUMMYFUNCTION("""COMPUTED_VALUE"""),"ISTAFADA FAISYA P")</f>
        <v>ISTAFADA FAISYA P</v>
      </c>
      <c r="M359" s="1" t="str">
        <f ca="1">IFERROR(__xludf.DUMMYFUNCTION("""COMPUTED_VALUE"""),"5003211084")</f>
        <v>5003211084</v>
      </c>
      <c r="N359" s="1" t="str">
        <f ca="1">IFERROR(__xludf.DUMMYFUNCTION("""COMPUTED_VALUE"""),"Departemen Statistika")</f>
        <v>Departemen Statistika</v>
      </c>
      <c r="O359" s="1" t="str">
        <f ca="1">IFERROR(__xludf.DUMMYFUNCTION("""COMPUTED_VALUE"""),"M. Rafiudin Ruslan")</f>
        <v>M. Rafiudin Ruslan</v>
      </c>
      <c r="P359" s="1" t="str">
        <f ca="1">IFERROR(__xludf.DUMMYFUNCTION("""COMPUTED_VALUE"""),"5003211154")</f>
        <v>5003211154</v>
      </c>
      <c r="Q359" s="1" t="str">
        <f ca="1">IFERROR(__xludf.DUMMYFUNCTION("""COMPUTED_VALUE"""),"Departemen Statistika")</f>
        <v>Departemen Statistika</v>
      </c>
      <c r="R359" s="1"/>
      <c r="S359" s="1"/>
      <c r="T359" s="1"/>
      <c r="U359" s="1" t="str">
        <f ca="1">IFERROR(__xludf.DUMMYFUNCTION("""COMPUTED_VALUE"""),"Welly Herumurti, S.T., M.Sc.")</f>
        <v>Welly Herumurti, S.T., M.Sc.</v>
      </c>
      <c r="V359" s="1" t="str">
        <f ca="1">IFERROR(__xludf.DUMMYFUNCTION("""COMPUTED_VALUE"""),"Mukhammad Muryono, S.Si., M.Si., Ph.D.")</f>
        <v>Mukhammad Muryono, S.Si., M.Si., Ph.D.</v>
      </c>
      <c r="W359" s="1" t="str">
        <f ca="1">IFERROR(__xludf.DUMMYFUNCTION("""COMPUTED_VALUE"""),"Putu Gde Ariastita, S.T., M.T.")</f>
        <v>Putu Gde Ariastita, S.T., M.T.</v>
      </c>
      <c r="X359" s="1" t="str">
        <f ca="1">IFERROR(__xludf.DUMMYFUNCTION("""COMPUTED_VALUE"""),"Lolos")</f>
        <v>Lolos</v>
      </c>
      <c r="Y359" s="1"/>
      <c r="Z359" s="1"/>
      <c r="AA359" s="1"/>
    </row>
    <row r="360" spans="1:27">
      <c r="A360" s="1" t="s">
        <v>354</v>
      </c>
      <c r="B360" s="1">
        <f ca="1">IFERROR(__xludf.DUMMYFUNCTION("""COMPUTED_VALUE"""),3910)</f>
        <v>3910</v>
      </c>
      <c r="C360" s="1" t="str">
        <f ca="1">IFERROR(__xludf.DUMMYFUNCTION("""COMPUTED_VALUE"""),"PKM Riset Sosial Humaniora")</f>
        <v>PKM Riset Sosial Humaniora</v>
      </c>
      <c r="D360" s="1" t="str">
        <f ca="1">IFERROR(__xludf.DUMMYFUNCTION("""COMPUTED_VALUE"""),"Smart Tourism Village: Strategi Pengembangan Desa Wisata Kreatif Kenep")</f>
        <v>Smart Tourism Village: Strategi Pengembangan Desa Wisata Kreatif Kenep</v>
      </c>
      <c r="E360" s="1" t="str">
        <f ca="1">IFERROR(__xludf.DUMMYFUNCTION("""COMPUTED_VALUE"""),"AMRIH EKA PRATIWI")</f>
        <v>AMRIH EKA PRATIWI</v>
      </c>
      <c r="F360" s="1" t="str">
        <f ca="1">IFERROR(__xludf.DUMMYFUNCTION("""COMPUTED_VALUE"""),"08211840000081")</f>
        <v>08211840000081</v>
      </c>
      <c r="G360" s="1" t="str">
        <f ca="1">IFERROR(__xludf.DUMMYFUNCTION("""COMPUTED_VALUE"""),"Departemen Perencanaan Wilayah dan Kota")</f>
        <v>Departemen Perencanaan Wilayah dan Kota</v>
      </c>
      <c r="H360" s="1" t="str">
        <f ca="1">IFERROR(__xludf.DUMMYFUNCTION("""COMPUTED_VALUE"""),"Hertiari Idajati, S.T., M.Sc.")</f>
        <v>Hertiari Idajati, S.T., M.Sc.</v>
      </c>
      <c r="I360" s="1" t="str">
        <f ca="1">IFERROR(__xludf.DUMMYFUNCTION("""COMPUTED_VALUE"""),"Caesaryo Arif Wibowo")</f>
        <v>Caesaryo Arif Wibowo</v>
      </c>
      <c r="J360" s="1" t="str">
        <f ca="1">IFERROR(__xludf.DUMMYFUNCTION("""COMPUTED_VALUE"""),"08211940000026")</f>
        <v>08211940000026</v>
      </c>
      <c r="K360" s="1" t="str">
        <f ca="1">IFERROR(__xludf.DUMMYFUNCTION("""COMPUTED_VALUE"""),"Departemen Perencanaan Wilayah dan Kota")</f>
        <v>Departemen Perencanaan Wilayah dan Kota</v>
      </c>
      <c r="L360" s="1" t="str">
        <f ca="1">IFERROR(__xludf.DUMMYFUNCTION("""COMPUTED_VALUE"""),"Ariq Ridhwan Arya Putra")</f>
        <v>Ariq Ridhwan Arya Putra</v>
      </c>
      <c r="M360" s="1" t="str">
        <f ca="1">IFERROR(__xludf.DUMMYFUNCTION("""COMPUTED_VALUE"""),"08211940000011")</f>
        <v>08211940000011</v>
      </c>
      <c r="N360" s="1" t="str">
        <f ca="1">IFERROR(__xludf.DUMMYFUNCTION("""COMPUTED_VALUE"""),"Departemen Perencanaan Wilayah dan Kota")</f>
        <v>Departemen Perencanaan Wilayah dan Kota</v>
      </c>
      <c r="O360" s="1" t="str">
        <f ca="1">IFERROR(__xludf.DUMMYFUNCTION("""COMPUTED_VALUE"""),"Dimas Wahyu Aji Prathama")</f>
        <v>Dimas Wahyu Aji Prathama</v>
      </c>
      <c r="P360" s="1" t="str">
        <f ca="1">IFERROR(__xludf.DUMMYFUNCTION("""COMPUTED_VALUE"""),"08211940000020")</f>
        <v>08211940000020</v>
      </c>
      <c r="Q360" s="1" t="str">
        <f ca="1">IFERROR(__xludf.DUMMYFUNCTION("""COMPUTED_VALUE"""),"Departemen Perencanaan Wilayah dan Kota")</f>
        <v>Departemen Perencanaan Wilayah dan Kota</v>
      </c>
      <c r="R360" s="1" t="str">
        <f ca="1">IFERROR(__xludf.DUMMYFUNCTION("""COMPUTED_VALUE"""),"Nur Zahro Charissa Rahma")</f>
        <v>Nur Zahro Charissa Rahma</v>
      </c>
      <c r="S360" s="1" t="str">
        <f ca="1">IFERROR(__xludf.DUMMYFUNCTION("""COMPUTED_VALUE"""),"08211940000012")</f>
        <v>08211940000012</v>
      </c>
      <c r="T360" s="1" t="str">
        <f ca="1">IFERROR(__xludf.DUMMYFUNCTION("""COMPUTED_VALUE"""),"Departemen Perencanaan Wilayah dan Kota")</f>
        <v>Departemen Perencanaan Wilayah dan Kota</v>
      </c>
      <c r="U360" s="1" t="str">
        <f ca="1">IFERROR(__xludf.DUMMYFUNCTION("""COMPUTED_VALUE"""),"Muchammad Nurif, S.E., M.T.")</f>
        <v>Muchammad Nurif, S.E., M.T.</v>
      </c>
      <c r="V360" s="1" t="str">
        <f ca="1">IFERROR(__xludf.DUMMYFUNCTION("""COMPUTED_VALUE"""),"Deqi Rizkivia Radita, S.T., M.Sc.")</f>
        <v>Deqi Rizkivia Radita, S.T., M.Sc.</v>
      </c>
      <c r="W360" s="1"/>
      <c r="X360" s="1" t="str">
        <f ca="1">IFERROR(__xludf.DUMMYFUNCTION("""COMPUTED_VALUE"""),"Lolos")</f>
        <v>Lolos</v>
      </c>
      <c r="Y360" s="1"/>
      <c r="Z360" s="1"/>
      <c r="AA360" s="1"/>
    </row>
    <row r="361" spans="1:27">
      <c r="A361" s="1" t="s">
        <v>355</v>
      </c>
      <c r="B361" s="1">
        <f ca="1">IFERROR(__xludf.DUMMYFUNCTION("""COMPUTED_VALUE"""),2959)</f>
        <v>2959</v>
      </c>
      <c r="C361" s="1" t="str">
        <f ca="1">IFERROR(__xludf.DUMMYFUNCTION("""COMPUTED_VALUE"""),"PKM Riset Sosial Humaniora")</f>
        <v>PKM Riset Sosial Humaniora</v>
      </c>
      <c r="D361" s="1" t="str">
        <f ca="1">IFERROR(__xludf.DUMMYFUNCTION("""COMPUTED_VALUE"""),"Pandemi Covid-19 Mereda, Bagaimana Pengaruhnya terhadap Pendapatan UMKM di Surabaya? Strategi Pemulihan Kondisi Ekonomi UMKM Pasca Pandemi")</f>
        <v>Pandemi Covid-19 Mereda, Bagaimana Pengaruhnya terhadap Pendapatan UMKM di Surabaya? Strategi Pemulihan Kondisi Ekonomi UMKM Pasca Pandemi</v>
      </c>
      <c r="E361" s="1" t="str">
        <f ca="1">IFERROR(__xludf.DUMMYFUNCTION("""COMPUTED_VALUE"""),"EIRENE CHRISTINA SELLYRA")</f>
        <v>EIRENE CHRISTINA SELLYRA</v>
      </c>
      <c r="F361" s="1" t="str">
        <f ca="1">IFERROR(__xludf.DUMMYFUNCTION("""COMPUTED_VALUE"""),"5003201069")</f>
        <v>5003201069</v>
      </c>
      <c r="G361" s="1" t="str">
        <f ca="1">IFERROR(__xludf.DUMMYFUNCTION("""COMPUTED_VALUE"""),"Departemen Statistika")</f>
        <v>Departemen Statistika</v>
      </c>
      <c r="H361" s="1" t="str">
        <f ca="1">IFERROR(__xludf.DUMMYFUNCTION("""COMPUTED_VALUE"""),"Dr. Dra. Ismaini Zain, M.Si")</f>
        <v>Dr. Dra. Ismaini Zain, M.Si</v>
      </c>
      <c r="I361" s="1" t="str">
        <f ca="1">IFERROR(__xludf.DUMMYFUNCTION("""COMPUTED_VALUE"""),"YUSRON ARDIYANTO KHANSA")</f>
        <v>YUSRON ARDIYANTO KHANSA</v>
      </c>
      <c r="J361" s="1" t="str">
        <f ca="1">IFERROR(__xludf.DUMMYFUNCTION("""COMPUTED_VALUE"""),"5003201007")</f>
        <v>5003201007</v>
      </c>
      <c r="K361" s="1" t="str">
        <f ca="1">IFERROR(__xludf.DUMMYFUNCTION("""COMPUTED_VALUE"""),"Departemen Statistika")</f>
        <v>Departemen Statistika</v>
      </c>
      <c r="L361" s="1" t="str">
        <f ca="1">IFERROR(__xludf.DUMMYFUNCTION("""COMPUTED_VALUE"""),"PRIMA ARI WIBOWO")</f>
        <v>PRIMA ARI WIBOWO</v>
      </c>
      <c r="M361" s="1" t="str">
        <f ca="1">IFERROR(__xludf.DUMMYFUNCTION("""COMPUTED_VALUE"""),"5003201087")</f>
        <v>5003201087</v>
      </c>
      <c r="N361" s="1" t="str">
        <f ca="1">IFERROR(__xludf.DUMMYFUNCTION("""COMPUTED_VALUE"""),"Departemen Statistika")</f>
        <v>Departemen Statistika</v>
      </c>
      <c r="O361" s="1" t="str">
        <f ca="1">IFERROR(__xludf.DUMMYFUNCTION("""COMPUTED_VALUE"""),"AQSHAL MAULANA HAFIZ ARDIANTHA")</f>
        <v>AQSHAL MAULANA HAFIZ ARDIANTHA</v>
      </c>
      <c r="P361" s="1" t="str">
        <f ca="1">IFERROR(__xludf.DUMMYFUNCTION("""COMPUTED_VALUE"""),"5003201085")</f>
        <v>5003201085</v>
      </c>
      <c r="Q361" s="1" t="str">
        <f ca="1">IFERROR(__xludf.DUMMYFUNCTION("""COMPUTED_VALUE"""),"Departemen Statistika")</f>
        <v>Departemen Statistika</v>
      </c>
      <c r="R361" s="1" t="str">
        <f ca="1">IFERROR(__xludf.DUMMYFUNCTION("""COMPUTED_VALUE"""),"Adristy Rizki")</f>
        <v>Adristy Rizki</v>
      </c>
      <c r="S361" s="1" t="str">
        <f ca="1">IFERROR(__xludf.DUMMYFUNCTION("""COMPUTED_VALUE"""),"5003211082")</f>
        <v>5003211082</v>
      </c>
      <c r="T361" s="1" t="str">
        <f ca="1">IFERROR(__xludf.DUMMYFUNCTION("""COMPUTED_VALUE"""),"Departemen Statistika")</f>
        <v>Departemen Statistika</v>
      </c>
      <c r="U361" s="1" t="str">
        <f ca="1">IFERROR(__xludf.DUMMYFUNCTION("""COMPUTED_VALUE"""),"Welly Herumurti, S.T., M.Sc.")</f>
        <v>Welly Herumurti, S.T., M.Sc.</v>
      </c>
      <c r="V361" s="1" t="str">
        <f ca="1">IFERROR(__xludf.DUMMYFUNCTION("""COMPUTED_VALUE"""),"Mukhammad Muryono, S.Si., M.Si., Ph.D.")</f>
        <v>Mukhammad Muryono, S.Si., M.Si., Ph.D.</v>
      </c>
      <c r="W361" s="1"/>
      <c r="X361" s="1" t="str">
        <f ca="1">IFERROR(__xludf.DUMMYFUNCTION("""COMPUTED_VALUE"""),"Lolos")</f>
        <v>Lolos</v>
      </c>
      <c r="Y361" s="1"/>
      <c r="Z361" s="1"/>
      <c r="AA361" s="1"/>
    </row>
    <row r="362" spans="1:27">
      <c r="A362" s="1" t="s">
        <v>356</v>
      </c>
      <c r="B362" s="1">
        <f ca="1">IFERROR(__xludf.DUMMYFUNCTION("""COMPUTED_VALUE"""),3005)</f>
        <v>3005</v>
      </c>
      <c r="C362" s="1" t="str">
        <f ca="1">IFERROR(__xludf.DUMMYFUNCTION("""COMPUTED_VALUE"""),"PKM Riset Sosial Humaniora")</f>
        <v>PKM Riset Sosial Humaniora</v>
      </c>
      <c r="D362" s="1" t="str">
        <f ca="1">IFERROR(__xludf.DUMMYFUNCTION("""COMPUTED_VALUE"""),"Upaya Pengembangan Kawasan Heritage dengan Mempertimbangkan Nilai Visibilitas dan Kualitas Kota Pasuruan")</f>
        <v>Upaya Pengembangan Kawasan Heritage dengan Mempertimbangkan Nilai Visibilitas dan Kualitas Kota Pasuruan</v>
      </c>
      <c r="E362" s="1" t="str">
        <f ca="1">IFERROR(__xludf.DUMMYFUNCTION("""COMPUTED_VALUE"""),"Sukma Dyah Aini")</f>
        <v>Sukma Dyah Aini</v>
      </c>
      <c r="F362" s="1" t="str">
        <f ca="1">IFERROR(__xludf.DUMMYFUNCTION("""COMPUTED_VALUE"""),"08211840000003")</f>
        <v>08211840000003</v>
      </c>
      <c r="G362" s="1" t="str">
        <f ca="1">IFERROR(__xludf.DUMMYFUNCTION("""COMPUTED_VALUE"""),"Departemen Perencanaan Wilayah dan Kota")</f>
        <v>Departemen Perencanaan Wilayah dan Kota</v>
      </c>
      <c r="H362" s="1" t="str">
        <f ca="1">IFERROR(__xludf.DUMMYFUNCTION("""COMPUTED_VALUE"""),"Mochamad Yusuf, S.T., M.Sc.")</f>
        <v>Mochamad Yusuf, S.T., M.Sc.</v>
      </c>
      <c r="I362" s="1" t="str">
        <f ca="1">IFERROR(__xludf.DUMMYFUNCTION("""COMPUTED_VALUE"""),"Yanwa Evia Java Mauludya")</f>
        <v>Yanwa Evia Java Mauludya</v>
      </c>
      <c r="J362" s="1" t="str">
        <f ca="1">IFERROR(__xludf.DUMMYFUNCTION("""COMPUTED_VALUE"""),"08211940000015")</f>
        <v>08211940000015</v>
      </c>
      <c r="K362" s="1" t="str">
        <f ca="1">IFERROR(__xludf.DUMMYFUNCTION("""COMPUTED_VALUE"""),"Departemen Perencanaan Wilayah dan Kota")</f>
        <v>Departemen Perencanaan Wilayah dan Kota</v>
      </c>
      <c r="L362" s="1" t="str">
        <f ca="1">IFERROR(__xludf.DUMMYFUNCTION("""COMPUTED_VALUE"""),"ANNISA FADHILLAH ASHARI")</f>
        <v>ANNISA FADHILLAH ASHARI</v>
      </c>
      <c r="M362" s="1" t="str">
        <f ca="1">IFERROR(__xludf.DUMMYFUNCTION("""COMPUTED_VALUE"""),"5015201032")</f>
        <v>5015201032</v>
      </c>
      <c r="N362" s="1" t="str">
        <f ca="1">IFERROR(__xludf.DUMMYFUNCTION("""COMPUTED_VALUE"""),"Departemen Perencanaan Wilayah dan Kota")</f>
        <v>Departemen Perencanaan Wilayah dan Kota</v>
      </c>
      <c r="O362" s="1" t="str">
        <f ca="1">IFERROR(__xludf.DUMMYFUNCTION("""COMPUTED_VALUE"""),"SIGAP PRABAWA ")</f>
        <v xml:space="preserve">SIGAP PRABAWA </v>
      </c>
      <c r="P362" s="1" t="str">
        <f ca="1">IFERROR(__xludf.DUMMYFUNCTION("""COMPUTED_VALUE"""),"5015211009")</f>
        <v>5015211009</v>
      </c>
      <c r="Q362" s="1" t="str">
        <f ca="1">IFERROR(__xludf.DUMMYFUNCTION("""COMPUTED_VALUE"""),"Departemen Perencanaan Wilayah dan Kota")</f>
        <v>Departemen Perencanaan Wilayah dan Kota</v>
      </c>
      <c r="R362" s="1" t="str">
        <f ca="1">IFERROR(__xludf.DUMMYFUNCTION("""COMPUTED_VALUE"""),"RENDRA ALFITO DMAYO")</f>
        <v>RENDRA ALFITO DMAYO</v>
      </c>
      <c r="S362" s="1" t="str">
        <f ca="1">IFERROR(__xludf.DUMMYFUNCTION("""COMPUTED_VALUE"""),"5015211069")</f>
        <v>5015211069</v>
      </c>
      <c r="T362" s="1" t="str">
        <f ca="1">IFERROR(__xludf.DUMMYFUNCTION("""COMPUTED_VALUE"""),"Departemen Perencanaan Wilayah dan Kota")</f>
        <v>Departemen Perencanaan Wilayah dan Kota</v>
      </c>
      <c r="U362" s="1" t="str">
        <f ca="1">IFERROR(__xludf.DUMMYFUNCTION("""COMPUTED_VALUE"""),"Welly Herumurti, S.T., M.Sc.")</f>
        <v>Welly Herumurti, S.T., M.Sc.</v>
      </c>
      <c r="V362" s="1" t="str">
        <f ca="1">IFERROR(__xludf.DUMMYFUNCTION("""COMPUTED_VALUE"""),"Mukhammad Muryono, S.Si., M.Si., Ph.D.")</f>
        <v>Mukhammad Muryono, S.Si., M.Si., Ph.D.</v>
      </c>
      <c r="W362" s="1" t="str">
        <f ca="1">IFERROR(__xludf.DUMMYFUNCTION("""COMPUTED_VALUE"""),"Putu Gde Ariastita, S.T., M.T.")</f>
        <v>Putu Gde Ariastita, S.T., M.T.</v>
      </c>
      <c r="X362" s="1" t="str">
        <f ca="1">IFERROR(__xludf.DUMMYFUNCTION("""COMPUTED_VALUE"""),"Lolos")</f>
        <v>Lolos</v>
      </c>
      <c r="Y362" s="1"/>
      <c r="Z362" s="1"/>
      <c r="AA362" s="1"/>
    </row>
    <row r="363" spans="1:27">
      <c r="A363" s="1" t="s">
        <v>357</v>
      </c>
      <c r="B363" s="1">
        <f ca="1">IFERROR(__xludf.DUMMYFUNCTION("""COMPUTED_VALUE"""),3094)</f>
        <v>3094</v>
      </c>
      <c r="C363" s="1" t="str">
        <f ca="1">IFERROR(__xludf.DUMMYFUNCTION("""COMPUTED_VALUE"""),"PKM Riset Sosial Humaniora")</f>
        <v>PKM Riset Sosial Humaniora</v>
      </c>
      <c r="D363" s="1" t="str">
        <f ca="1">IFERROR(__xludf.DUMMYFUNCTION("""COMPUTED_VALUE"""),"Penilaian Kesesuaian Fungsi Estetika, Ekologi, dan Filosofi Ruang Terbuka Hijau di Kawasan Inti Kraton Yogyakarta")</f>
        <v>Penilaian Kesesuaian Fungsi Estetika, Ekologi, dan Filosofi Ruang Terbuka Hijau di Kawasan Inti Kraton Yogyakarta</v>
      </c>
      <c r="E363" s="1" t="str">
        <f ca="1">IFERROR(__xludf.DUMMYFUNCTION("""COMPUTED_VALUE"""),"SAFIRA SALSABILA")</f>
        <v>SAFIRA SALSABILA</v>
      </c>
      <c r="F363" s="1" t="str">
        <f ca="1">IFERROR(__xludf.DUMMYFUNCTION("""COMPUTED_VALUE"""),"08211840000096")</f>
        <v>08211840000096</v>
      </c>
      <c r="G363" s="1" t="str">
        <f ca="1">IFERROR(__xludf.DUMMYFUNCTION("""COMPUTED_VALUE"""),"Departemen Perencanaan Wilayah dan Kota")</f>
        <v>Departemen Perencanaan Wilayah dan Kota</v>
      </c>
      <c r="H363" s="1" t="str">
        <f ca="1">IFERROR(__xludf.DUMMYFUNCTION("""COMPUTED_VALUE"""),"Ardy Maulidy Navastara, S.T., M.T.")</f>
        <v>Ardy Maulidy Navastara, S.T., M.T.</v>
      </c>
      <c r="I363" s="1" t="str">
        <f ca="1">IFERROR(__xludf.DUMMYFUNCTION("""COMPUTED_VALUE"""),"MARIA JESSICKA BAHAT")</f>
        <v>MARIA JESSICKA BAHAT</v>
      </c>
      <c r="J363" s="1" t="str">
        <f ca="1">IFERROR(__xludf.DUMMYFUNCTION("""COMPUTED_VALUE"""),"08211840000100")</f>
        <v>08211840000100</v>
      </c>
      <c r="K363" s="1" t="str">
        <f ca="1">IFERROR(__xludf.DUMMYFUNCTION("""COMPUTED_VALUE"""),"Departemen Perencanaan Wilayah dan Kota")</f>
        <v>Departemen Perencanaan Wilayah dan Kota</v>
      </c>
      <c r="L363" s="1" t="str">
        <f ca="1">IFERROR(__xludf.DUMMYFUNCTION("""COMPUTED_VALUE"""),"FANNISA AMARA WAHYU")</f>
        <v>FANNISA AMARA WAHYU</v>
      </c>
      <c r="M363" s="1" t="str">
        <f ca="1">IFERROR(__xludf.DUMMYFUNCTION("""COMPUTED_VALUE"""),"08211940000086")</f>
        <v>08211940000086</v>
      </c>
      <c r="N363" s="1" t="str">
        <f ca="1">IFERROR(__xludf.DUMMYFUNCTION("""COMPUTED_VALUE"""),"Departemen Perencanaan Wilayah dan Kota")</f>
        <v>Departemen Perencanaan Wilayah dan Kota</v>
      </c>
      <c r="O363" s="1" t="str">
        <f ca="1">IFERROR(__xludf.DUMMYFUNCTION("""COMPUTED_VALUE"""),"FATIKHA RAHMA PRAMADYA PUTRI")</f>
        <v>FATIKHA RAHMA PRAMADYA PUTRI</v>
      </c>
      <c r="P363" s="1" t="str">
        <f ca="1">IFERROR(__xludf.DUMMYFUNCTION("""COMPUTED_VALUE"""),"08211940000076")</f>
        <v>08211940000076</v>
      </c>
      <c r="Q363" s="1" t="str">
        <f ca="1">IFERROR(__xludf.DUMMYFUNCTION("""COMPUTED_VALUE"""),"Departemen Perencanaan Wilayah dan Kota")</f>
        <v>Departemen Perencanaan Wilayah dan Kota</v>
      </c>
      <c r="R363" s="1" t="str">
        <f ca="1">IFERROR(__xludf.DUMMYFUNCTION("""COMPUTED_VALUE"""),"INDRI GRATIA SIMANJUNTAK")</f>
        <v>INDRI GRATIA SIMANJUNTAK</v>
      </c>
      <c r="S363" s="1" t="str">
        <f ca="1">IFERROR(__xludf.DUMMYFUNCTION("""COMPUTED_VALUE"""),"08211940000100")</f>
        <v>08211940000100</v>
      </c>
      <c r="T363" s="1" t="str">
        <f ca="1">IFERROR(__xludf.DUMMYFUNCTION("""COMPUTED_VALUE"""),"Departemen Perencanaan Wilayah dan Kota")</f>
        <v>Departemen Perencanaan Wilayah dan Kota</v>
      </c>
      <c r="U363" s="1" t="str">
        <f ca="1">IFERROR(__xludf.DUMMYFUNCTION("""COMPUTED_VALUE"""),"Muchammad Nurif, S.E., M.T.")</f>
        <v>Muchammad Nurif, S.E., M.T.</v>
      </c>
      <c r="V363" s="1" t="str">
        <f ca="1">IFERROR(__xludf.DUMMYFUNCTION("""COMPUTED_VALUE"""),"Deqi Rizkivia Radita, S.T., M.Sc.")</f>
        <v>Deqi Rizkivia Radita, S.T., M.Sc.</v>
      </c>
      <c r="W363" s="1" t="str">
        <f ca="1">IFERROR(__xludf.DUMMYFUNCTION("""COMPUTED_VALUE"""),"Putu Gde Ariastita, S.T., M.T.")</f>
        <v>Putu Gde Ariastita, S.T., M.T.</v>
      </c>
      <c r="X363" s="1" t="str">
        <f ca="1">IFERROR(__xludf.DUMMYFUNCTION("""COMPUTED_VALUE"""),"Lolos")</f>
        <v>Lolos</v>
      </c>
      <c r="Y363" s="1"/>
      <c r="Z363" s="1"/>
      <c r="AA363" s="1"/>
    </row>
    <row r="364" spans="1:27">
      <c r="A364" s="1" t="s">
        <v>358</v>
      </c>
      <c r="B364" s="1">
        <f ca="1">IFERROR(__xludf.DUMMYFUNCTION("""COMPUTED_VALUE"""),2406)</f>
        <v>2406</v>
      </c>
      <c r="C364" s="1" t="str">
        <f ca="1">IFERROR(__xludf.DUMMYFUNCTION("""COMPUTED_VALUE"""),"PKM Riset Sosial Humaniora")</f>
        <v>PKM Riset Sosial Humaniora</v>
      </c>
      <c r="D364" s="1" t="str">
        <f ca="1">IFERROR(__xludf.DUMMYFUNCTION("""COMPUTED_VALUE"""),"Strategi Peningkatan Kualitas Koridor Jalan Kembang Jepun berdasarkan Persepsi Masyarakat")</f>
        <v>Strategi Peningkatan Kualitas Koridor Jalan Kembang Jepun berdasarkan Persepsi Masyarakat</v>
      </c>
      <c r="E364" s="1" t="str">
        <f ca="1">IFERROR(__xludf.DUMMYFUNCTION("""COMPUTED_VALUE"""),"Aliya Ulil Faddila")</f>
        <v>Aliya Ulil Faddila</v>
      </c>
      <c r="F364" s="1" t="str">
        <f ca="1">IFERROR(__xludf.DUMMYFUNCTION("""COMPUTED_VALUE"""),"08211840000011")</f>
        <v>08211840000011</v>
      </c>
      <c r="G364" s="1" t="str">
        <f ca="1">IFERROR(__xludf.DUMMYFUNCTION("""COMPUTED_VALUE"""),"Departemen Perencanaan Wilayah dan Kota")</f>
        <v>Departemen Perencanaan Wilayah dan Kota</v>
      </c>
      <c r="H364" s="1" t="str">
        <f ca="1">IFERROR(__xludf.DUMMYFUNCTION("""COMPUTED_VALUE"""),"Mochamad Yusuf, S.T., M.Sc.")</f>
        <v>Mochamad Yusuf, S.T., M.Sc.</v>
      </c>
      <c r="I364" s="1" t="str">
        <f ca="1">IFERROR(__xludf.DUMMYFUNCTION("""COMPUTED_VALUE"""),"Khafizh Salsabila Widya")</f>
        <v>Khafizh Salsabila Widya</v>
      </c>
      <c r="J364" s="1" t="str">
        <f ca="1">IFERROR(__xludf.DUMMYFUNCTION("""COMPUTED_VALUE"""),"08211940000007")</f>
        <v>08211940000007</v>
      </c>
      <c r="K364" s="1" t="str">
        <f ca="1">IFERROR(__xludf.DUMMYFUNCTION("""COMPUTED_VALUE"""),"Departemen Perencanaan Wilayah dan Kota")</f>
        <v>Departemen Perencanaan Wilayah dan Kota</v>
      </c>
      <c r="L364" s="1" t="str">
        <f ca="1">IFERROR(__xludf.DUMMYFUNCTION("""COMPUTED_VALUE"""),"REYNALDI ZUAN FELIX SIHOTANG")</f>
        <v>REYNALDI ZUAN FELIX SIHOTANG</v>
      </c>
      <c r="M364" s="1" t="str">
        <f ca="1">IFERROR(__xludf.DUMMYFUNCTION("""COMPUTED_VALUE"""),"5015201076")</f>
        <v>5015201076</v>
      </c>
      <c r="N364" s="1" t="str">
        <f ca="1">IFERROR(__xludf.DUMMYFUNCTION("""COMPUTED_VALUE"""),"Departemen Perencanaan Wilayah dan Kota")</f>
        <v>Departemen Perencanaan Wilayah dan Kota</v>
      </c>
      <c r="O364" s="1" t="str">
        <f ca="1">IFERROR(__xludf.DUMMYFUNCTION("""COMPUTED_VALUE"""),"Pindi Dea Juanita")</f>
        <v>Pindi Dea Juanita</v>
      </c>
      <c r="P364" s="1" t="str">
        <f ca="1">IFERROR(__xludf.DUMMYFUNCTION("""COMPUTED_VALUE"""),"5015211010")</f>
        <v>5015211010</v>
      </c>
      <c r="Q364" s="1" t="str">
        <f ca="1">IFERROR(__xludf.DUMMYFUNCTION("""COMPUTED_VALUE"""),"Departemen Perencanaan Wilayah dan Kota")</f>
        <v>Departemen Perencanaan Wilayah dan Kota</v>
      </c>
      <c r="R364" s="1" t="str">
        <f ca="1">IFERROR(__xludf.DUMMYFUNCTION("""COMPUTED_VALUE"""),"AZIZAH")</f>
        <v>AZIZAH</v>
      </c>
      <c r="S364" s="1" t="str">
        <f ca="1">IFERROR(__xludf.DUMMYFUNCTION("""COMPUTED_VALUE"""),"5015211029")</f>
        <v>5015211029</v>
      </c>
      <c r="T364" s="1" t="str">
        <f ca="1">IFERROR(__xludf.DUMMYFUNCTION("""COMPUTED_VALUE"""),"Departemen Perencanaan Wilayah dan Kota")</f>
        <v>Departemen Perencanaan Wilayah dan Kota</v>
      </c>
      <c r="U364" s="1" t="str">
        <f ca="1">IFERROR(__xludf.DUMMYFUNCTION("""COMPUTED_VALUE"""),"Muchammad Nurif, S.E., M.T.")</f>
        <v>Muchammad Nurif, S.E., M.T.</v>
      </c>
      <c r="V364" s="1" t="str">
        <f ca="1">IFERROR(__xludf.DUMMYFUNCTION("""COMPUTED_VALUE"""),"Deqi Rizkivia Radita, S.T., M.Sc.")</f>
        <v>Deqi Rizkivia Radita, S.T., M.Sc.</v>
      </c>
      <c r="W364" s="1"/>
      <c r="X364" s="1" t="str">
        <f ca="1">IFERROR(__xludf.DUMMYFUNCTION("""COMPUTED_VALUE"""),"Lolos")</f>
        <v>Lolos</v>
      </c>
      <c r="Y364" s="1"/>
      <c r="Z364" s="1"/>
      <c r="AA364" s="1"/>
    </row>
    <row r="365" spans="1:27">
      <c r="A365" s="1" t="s">
        <v>359</v>
      </c>
      <c r="B365" s="1">
        <f ca="1">IFERROR(__xludf.DUMMYFUNCTION("""COMPUTED_VALUE"""),3540)</f>
        <v>3540</v>
      </c>
      <c r="C365" s="1" t="str">
        <f ca="1">IFERROR(__xludf.DUMMYFUNCTION("""COMPUTED_VALUE"""),"PKM Riset Sosial Humaniora")</f>
        <v>PKM Riset Sosial Humaniora</v>
      </c>
      <c r="D365" s="1" t="str">
        <f ca="1">IFERROR(__xludf.DUMMYFUNCTION("""COMPUTED_VALUE"""),"Potensi Implementasi Konsep Compact City pada Kecamatan Waru Kabupaten Sidoarjo Berdasarkan Preferensi Stakeholder Kunci")</f>
        <v>Potensi Implementasi Konsep Compact City pada Kecamatan Waru Kabupaten Sidoarjo Berdasarkan Preferensi Stakeholder Kunci</v>
      </c>
      <c r="E365" s="1" t="str">
        <f ca="1">IFERROR(__xludf.DUMMYFUNCTION("""COMPUTED_VALUE"""),"ALIF PRANADETHA")</f>
        <v>ALIF PRANADETHA</v>
      </c>
      <c r="F365" s="1" t="str">
        <f ca="1">IFERROR(__xludf.DUMMYFUNCTION("""COMPUTED_VALUE"""),"08211840000086")</f>
        <v>08211840000086</v>
      </c>
      <c r="G365" s="1" t="str">
        <f ca="1">IFERROR(__xludf.DUMMYFUNCTION("""COMPUTED_VALUE"""),"Departemen Perencanaan Wilayah dan Kota")</f>
        <v>Departemen Perencanaan Wilayah dan Kota</v>
      </c>
      <c r="H365" s="1" t="str">
        <f ca="1">IFERROR(__xludf.DUMMYFUNCTION("""COMPUTED_VALUE"""),"Mochamad Yusuf, S.T., M.Sc.")</f>
        <v>Mochamad Yusuf, S.T., M.Sc.</v>
      </c>
      <c r="I365" s="1" t="str">
        <f ca="1">IFERROR(__xludf.DUMMYFUNCTION("""COMPUTED_VALUE"""),"RISVI SURYA NOVIYANTO")</f>
        <v>RISVI SURYA NOVIYANTO</v>
      </c>
      <c r="J365" s="1" t="str">
        <f ca="1">IFERROR(__xludf.DUMMYFUNCTION("""COMPUTED_VALUE"""),"08211840000069")</f>
        <v>08211840000069</v>
      </c>
      <c r="K365" s="1" t="str">
        <f ca="1">IFERROR(__xludf.DUMMYFUNCTION("""COMPUTED_VALUE"""),"Departemen Perencanaan Wilayah dan Kota")</f>
        <v>Departemen Perencanaan Wilayah dan Kota</v>
      </c>
      <c r="L365" s="1" t="str">
        <f ca="1">IFERROR(__xludf.DUMMYFUNCTION("""COMPUTED_VALUE"""),"NADYA MAURENA WAFIYANTI")</f>
        <v>NADYA MAURENA WAFIYANTI</v>
      </c>
      <c r="M365" s="1" t="str">
        <f ca="1">IFERROR(__xludf.DUMMYFUNCTION("""COMPUTED_VALUE"""),"08211840000089")</f>
        <v>08211840000089</v>
      </c>
      <c r="N365" s="1" t="str">
        <f ca="1">IFERROR(__xludf.DUMMYFUNCTION("""COMPUTED_VALUE"""),"Departemen Perencanaan Wilayah dan Kota")</f>
        <v>Departemen Perencanaan Wilayah dan Kota</v>
      </c>
      <c r="O365" s="1" t="str">
        <f ca="1">IFERROR(__xludf.DUMMYFUNCTION("""COMPUTED_VALUE"""),"AYUNINGTYAS HEMA PINASTHIKA")</f>
        <v>AYUNINGTYAS HEMA PINASTHIKA</v>
      </c>
      <c r="P365" s="1" t="str">
        <f ca="1">IFERROR(__xludf.DUMMYFUNCTION("""COMPUTED_VALUE"""),"08211840000044")</f>
        <v>08211840000044</v>
      </c>
      <c r="Q365" s="1" t="str">
        <f ca="1">IFERROR(__xludf.DUMMYFUNCTION("""COMPUTED_VALUE"""),"Departemen Perencanaan Wilayah dan Kota")</f>
        <v>Departemen Perencanaan Wilayah dan Kota</v>
      </c>
      <c r="R365" s="1" t="str">
        <f ca="1">IFERROR(__xludf.DUMMYFUNCTION("""COMPUTED_VALUE"""),"MUHAMMAD FAIS YUSRON")</f>
        <v>MUHAMMAD FAIS YUSRON</v>
      </c>
      <c r="S365" s="1" t="str">
        <f ca="1">IFERROR(__xludf.DUMMYFUNCTION("""COMPUTED_VALUE"""),"08211840000067")</f>
        <v>08211840000067</v>
      </c>
      <c r="T365" s="1" t="str">
        <f ca="1">IFERROR(__xludf.DUMMYFUNCTION("""COMPUTED_VALUE"""),"Departemen Perencanaan Wilayah dan Kota")</f>
        <v>Departemen Perencanaan Wilayah dan Kota</v>
      </c>
      <c r="U365" s="1" t="str">
        <f ca="1">IFERROR(__xludf.DUMMYFUNCTION("""COMPUTED_VALUE"""),"Muchammad Nurif, S.E., M.T.")</f>
        <v>Muchammad Nurif, S.E., M.T.</v>
      </c>
      <c r="V365" s="1" t="str">
        <f ca="1">IFERROR(__xludf.DUMMYFUNCTION("""COMPUTED_VALUE"""),"Mukhammad Muryono, S.Si., M.Si., Ph.D.")</f>
        <v>Mukhammad Muryono, S.Si., M.Si., Ph.D.</v>
      </c>
      <c r="W365" s="1"/>
      <c r="X365" s="1" t="str">
        <f ca="1">IFERROR(__xludf.DUMMYFUNCTION("""COMPUTED_VALUE"""),"Lolos")</f>
        <v>Lolos</v>
      </c>
      <c r="Y365" s="1"/>
      <c r="Z365" s="1"/>
      <c r="AA365" s="1"/>
    </row>
    <row r="366" spans="1:27">
      <c r="A366" s="1" t="s">
        <v>360</v>
      </c>
      <c r="B366" s="1">
        <f ca="1">IFERROR(__xludf.DUMMYFUNCTION("""COMPUTED_VALUE"""),2166)</f>
        <v>2166</v>
      </c>
      <c r="C366" s="1" t="str">
        <f ca="1">IFERROR(__xludf.DUMMYFUNCTION("""COMPUTED_VALUE"""),"PKM Riset Sosial Humaniora")</f>
        <v>PKM Riset Sosial Humaniora</v>
      </c>
      <c r="D366" s="1" t="str">
        <f ca="1">IFERROR(__xludf.DUMMYFUNCTION("""COMPUTED_VALUE"""),"Zonasi Tata Ruang Terintegrasi melalui Pendekatan Telapak Ekologis dan Expert Judgment untuk Menjaga Keseimbangan Daya Dukung Lingkungan di Kabupaten Lamongan
")</f>
        <v xml:space="preserve">Zonasi Tata Ruang Terintegrasi melalui Pendekatan Telapak Ekologis dan Expert Judgment untuk Menjaga Keseimbangan Daya Dukung Lingkungan di Kabupaten Lamongan
</v>
      </c>
      <c r="E366" s="1" t="str">
        <f ca="1">IFERROR(__xludf.DUMMYFUNCTION("""COMPUTED_VALUE"""),"Alfian Mahfudin")</f>
        <v>Alfian Mahfudin</v>
      </c>
      <c r="F366" s="1" t="str">
        <f ca="1">IFERROR(__xludf.DUMMYFUNCTION("""COMPUTED_VALUE"""),"08211840000010")</f>
        <v>08211840000010</v>
      </c>
      <c r="G366" s="1" t="str">
        <f ca="1">IFERROR(__xludf.DUMMYFUNCTION("""COMPUTED_VALUE"""),"Departemen Perencanaan Wilayah dan Kota")</f>
        <v>Departemen Perencanaan Wilayah dan Kota</v>
      </c>
      <c r="H366" s="1" t="str">
        <f ca="1">IFERROR(__xludf.DUMMYFUNCTION("""COMPUTED_VALUE"""),"Ummi Fadlilah Kurniawati, ST, M.Sc")</f>
        <v>Ummi Fadlilah Kurniawati, ST, M.Sc</v>
      </c>
      <c r="I366" s="1" t="str">
        <f ca="1">IFERROR(__xludf.DUMMYFUNCTION("""COMPUTED_VALUE"""),"Ayunda Rahmawati")</f>
        <v>Ayunda Rahmawati</v>
      </c>
      <c r="J366" s="1" t="str">
        <f ca="1">IFERROR(__xludf.DUMMYFUNCTION("""COMPUTED_VALUE"""),"08211940000028")</f>
        <v>08211940000028</v>
      </c>
      <c r="K366" s="1" t="str">
        <f ca="1">IFERROR(__xludf.DUMMYFUNCTION("""COMPUTED_VALUE"""),"Departemen Perencanaan Wilayah dan Kota")</f>
        <v>Departemen Perencanaan Wilayah dan Kota</v>
      </c>
      <c r="L366" s="1" t="str">
        <f ca="1">IFERROR(__xludf.DUMMYFUNCTION("""COMPUTED_VALUE"""),"Muhammad Dzulhimam Bilhaq")</f>
        <v>Muhammad Dzulhimam Bilhaq</v>
      </c>
      <c r="M366" s="1" t="str">
        <f ca="1">IFERROR(__xludf.DUMMYFUNCTION("""COMPUTED_VALUE"""),"08211940000010")</f>
        <v>08211940000010</v>
      </c>
      <c r="N366" s="1" t="str">
        <f ca="1">IFERROR(__xludf.DUMMYFUNCTION("""COMPUTED_VALUE"""),"Departemen Perencanaan Wilayah dan Kota")</f>
        <v>Departemen Perencanaan Wilayah dan Kota</v>
      </c>
      <c r="O366" s="1" t="str">
        <f ca="1">IFERROR(__xludf.DUMMYFUNCTION("""COMPUTED_VALUE"""),"DIVA NABILLA LEVIANY")</f>
        <v>DIVA NABILLA LEVIANY</v>
      </c>
      <c r="P366" s="1" t="str">
        <f ca="1">IFERROR(__xludf.DUMMYFUNCTION("""COMPUTED_VALUE"""),"5015201077")</f>
        <v>5015201077</v>
      </c>
      <c r="Q366" s="1" t="str">
        <f ca="1">IFERROR(__xludf.DUMMYFUNCTION("""COMPUTED_VALUE"""),"Departemen Perencanaan Wilayah dan Kota")</f>
        <v>Departemen Perencanaan Wilayah dan Kota</v>
      </c>
      <c r="R366" s="1" t="str">
        <f ca="1">IFERROR(__xludf.DUMMYFUNCTION("""COMPUTED_VALUE"""),"ANGELINA PUTRI DELIN")</f>
        <v>ANGELINA PUTRI DELIN</v>
      </c>
      <c r="S366" s="1" t="str">
        <f ca="1">IFERROR(__xludf.DUMMYFUNCTION("""COMPUTED_VALUE"""),"5015201070")</f>
        <v>5015201070</v>
      </c>
      <c r="T366" s="1" t="str">
        <f ca="1">IFERROR(__xludf.DUMMYFUNCTION("""COMPUTED_VALUE"""),"Departemen Perencanaan Wilayah dan Kota")</f>
        <v>Departemen Perencanaan Wilayah dan Kota</v>
      </c>
      <c r="U366" s="1" t="str">
        <f ca="1">IFERROR(__xludf.DUMMYFUNCTION("""COMPUTED_VALUE"""),"Dr. Soedarso, S.S., M.Hum.")</f>
        <v>Dr. Soedarso, S.S., M.Hum.</v>
      </c>
      <c r="V366" s="1" t="str">
        <f ca="1">IFERROR(__xludf.DUMMYFUNCTION("""COMPUTED_VALUE"""),"Adi Suryani, S.S., M.ED(LM)., Ph.D.")</f>
        <v>Adi Suryani, S.S., M.ED(LM)., Ph.D.</v>
      </c>
      <c r="W366" s="1"/>
      <c r="X366" s="1" t="str">
        <f ca="1">IFERROR(__xludf.DUMMYFUNCTION("""COMPUTED_VALUE"""),"Lolos")</f>
        <v>Lolos</v>
      </c>
      <c r="Y366" s="1"/>
      <c r="Z366" s="1"/>
      <c r="AA366" s="1"/>
    </row>
    <row r="367" spans="1:27">
      <c r="A367" s="1" t="s">
        <v>361</v>
      </c>
      <c r="B367" s="1">
        <f ca="1">IFERROR(__xludf.DUMMYFUNCTION("""COMPUTED_VALUE"""),3626)</f>
        <v>3626</v>
      </c>
      <c r="C367" s="1" t="str">
        <f ca="1">IFERROR(__xludf.DUMMYFUNCTION("""COMPUTED_VALUE"""),"PKM Riset Sosial Humaniora")</f>
        <v>PKM Riset Sosial Humaniora</v>
      </c>
      <c r="D367" s="1" t="str">
        <f ca="1">IFERROR(__xludf.DUMMYFUNCTION("""COMPUTED_VALUE"""),"Pola Pengelolaan Ruang Terbuka Publik terhadap Biological Hazard")</f>
        <v>Pola Pengelolaan Ruang Terbuka Publik terhadap Biological Hazard</v>
      </c>
      <c r="E367" s="1" t="str">
        <f ca="1">IFERROR(__xludf.DUMMYFUNCTION("""COMPUTED_VALUE"""),"Septian Chandra Susanto")</f>
        <v>Septian Chandra Susanto</v>
      </c>
      <c r="F367" s="1" t="str">
        <f ca="1">IFERROR(__xludf.DUMMYFUNCTION("""COMPUTED_VALUE"""),"08211840000001")</f>
        <v>08211840000001</v>
      </c>
      <c r="G367" s="1" t="str">
        <f ca="1">IFERROR(__xludf.DUMMYFUNCTION("""COMPUTED_VALUE"""),"Departemen Perencanaan Wilayah dan Kota")</f>
        <v>Departemen Perencanaan Wilayah dan Kota</v>
      </c>
      <c r="H367" s="1" t="str">
        <f ca="1">IFERROR(__xludf.DUMMYFUNCTION("""COMPUTED_VALUE"""),"Adjie Pamungkas, S.T., M.Dev.Plg., Ph.D.")</f>
        <v>Adjie Pamungkas, S.T., M.Dev.Plg., Ph.D.</v>
      </c>
      <c r="I367" s="1" t="str">
        <f ca="1">IFERROR(__xludf.DUMMYFUNCTION("""COMPUTED_VALUE"""),"Abdul Rahmat")</f>
        <v>Abdul Rahmat</v>
      </c>
      <c r="J367" s="1" t="str">
        <f ca="1">IFERROR(__xludf.DUMMYFUNCTION("""COMPUTED_VALUE"""),"08211840000029")</f>
        <v>08211840000029</v>
      </c>
      <c r="K367" s="1" t="str">
        <f ca="1">IFERROR(__xludf.DUMMYFUNCTION("""COMPUTED_VALUE"""),"Departemen Perencanaan Wilayah dan Kota")</f>
        <v>Departemen Perencanaan Wilayah dan Kota</v>
      </c>
      <c r="L367" s="1" t="str">
        <f ca="1">IFERROR(__xludf.DUMMYFUNCTION("""COMPUTED_VALUE"""),"Shinta Ulwiya")</f>
        <v>Shinta Ulwiya</v>
      </c>
      <c r="M367" s="1" t="str">
        <f ca="1">IFERROR(__xludf.DUMMYFUNCTION("""COMPUTED_VALUE"""),"08211940000014")</f>
        <v>08211940000014</v>
      </c>
      <c r="N367" s="1" t="str">
        <f ca="1">IFERROR(__xludf.DUMMYFUNCTION("""COMPUTED_VALUE"""),"Departemen Perencanaan Wilayah dan Kota")</f>
        <v>Departemen Perencanaan Wilayah dan Kota</v>
      </c>
      <c r="O367" s="1"/>
      <c r="P367" s="1"/>
      <c r="Q367" s="1"/>
      <c r="R367" s="1"/>
      <c r="S367" s="1"/>
      <c r="T367" s="1"/>
      <c r="U367" s="1" t="str">
        <f ca="1">IFERROR(__xludf.DUMMYFUNCTION("""COMPUTED_VALUE"""),"Mochamad Yusuf, S.T., M.Sc.")</f>
        <v>Mochamad Yusuf, S.T., M.Sc.</v>
      </c>
      <c r="V367" s="1" t="str">
        <f ca="1">IFERROR(__xludf.DUMMYFUNCTION("""COMPUTED_VALUE"""),"Bahalwan Apriyansyah, S.T., MBA.")</f>
        <v>Bahalwan Apriyansyah, S.T., MBA.</v>
      </c>
      <c r="W367" s="1"/>
      <c r="X367" s="1" t="str">
        <f ca="1">IFERROR(__xludf.DUMMYFUNCTION("""COMPUTED_VALUE"""),"Lolos")</f>
        <v>Lolos</v>
      </c>
      <c r="Y367" s="1"/>
      <c r="Z367" s="1"/>
      <c r="AA367" s="1"/>
    </row>
    <row r="368" spans="1:27">
      <c r="A368" s="1" t="s">
        <v>362</v>
      </c>
      <c r="B368" s="1">
        <f ca="1">IFERROR(__xludf.DUMMYFUNCTION("""COMPUTED_VALUE"""),2111)</f>
        <v>2111</v>
      </c>
      <c r="C368" s="1" t="str">
        <f ca="1">IFERROR(__xludf.DUMMYFUNCTION("""COMPUTED_VALUE"""),"PKM Riset Sosial Humaniora")</f>
        <v>PKM Riset Sosial Humaniora</v>
      </c>
      <c r="D368" s="1" t="str">
        <f ca="1">IFERROR(__xludf.DUMMYFUNCTION("""COMPUTED_VALUE"""),"Preferensi Siswa SD dalam Melakukan Pembelajaran Tatap Muka dan Daring Sebagai Upaya Evaluasi Pembelajaran yang Dilakukan Sekolah di Era Pandemi")</f>
        <v>Preferensi Siswa SD dalam Melakukan Pembelajaran Tatap Muka dan Daring Sebagai Upaya Evaluasi Pembelajaran yang Dilakukan Sekolah di Era Pandemi</v>
      </c>
      <c r="E368" s="1" t="str">
        <f ca="1">IFERROR(__xludf.DUMMYFUNCTION("""COMPUTED_VALUE"""),"MARIA ULFA YANUAR")</f>
        <v>MARIA ULFA YANUAR</v>
      </c>
      <c r="F368" s="1" t="str">
        <f ca="1">IFERROR(__xludf.DUMMYFUNCTION("""COMPUTED_VALUE"""),"10611910000011")</f>
        <v>10611910000011</v>
      </c>
      <c r="G368" s="1" t="str">
        <f ca="1">IFERROR(__xludf.DUMMYFUNCTION("""COMPUTED_VALUE"""),"Departemen Statistika Bisnis")</f>
        <v>Departemen Statistika Bisnis</v>
      </c>
      <c r="H368" s="1" t="str">
        <f ca="1">IFERROR(__xludf.DUMMYFUNCTION("""COMPUTED_VALUE"""),"Iis Dewi Ratih, S.Si., M.Si.")</f>
        <v>Iis Dewi Ratih, S.Si., M.Si.</v>
      </c>
      <c r="I368" s="1" t="str">
        <f ca="1">IFERROR(__xludf.DUMMYFUNCTION("""COMPUTED_VALUE"""),"ALFIANSYAH PRASETYO NUGROHO")</f>
        <v>ALFIANSYAH PRASETYO NUGROHO</v>
      </c>
      <c r="J368" s="1" t="str">
        <f ca="1">IFERROR(__xludf.DUMMYFUNCTION("""COMPUTED_VALUE"""),"10611910000039")</f>
        <v>10611910000039</v>
      </c>
      <c r="K368" s="1" t="str">
        <f ca="1">IFERROR(__xludf.DUMMYFUNCTION("""COMPUTED_VALUE"""),"Departemen Statistika Bisnis")</f>
        <v>Departemen Statistika Bisnis</v>
      </c>
      <c r="L368" s="1" t="str">
        <f ca="1">IFERROR(__xludf.DUMMYFUNCTION("""COMPUTED_VALUE"""),"DEVINA CICI WULANDARI")</f>
        <v>DEVINA CICI WULANDARI</v>
      </c>
      <c r="M368" s="1" t="str">
        <f ca="1">IFERROR(__xludf.DUMMYFUNCTION("""COMPUTED_VALUE"""),"10611910000063")</f>
        <v>10611910000063</v>
      </c>
      <c r="N368" s="1" t="str">
        <f ca="1">IFERROR(__xludf.DUMMYFUNCTION("""COMPUTED_VALUE"""),"Departemen Statistika Bisnis")</f>
        <v>Departemen Statistika Bisnis</v>
      </c>
      <c r="O368" s="1" t="str">
        <f ca="1">IFERROR(__xludf.DUMMYFUNCTION("""COMPUTED_VALUE"""),"NURUL FACROTUL UMAMI ")</f>
        <v xml:space="preserve">NURUL FACROTUL UMAMI </v>
      </c>
      <c r="P368" s="1" t="str">
        <f ca="1">IFERROR(__xludf.DUMMYFUNCTION("""COMPUTED_VALUE"""),"10611910000066")</f>
        <v>10611910000066</v>
      </c>
      <c r="Q368" s="1" t="str">
        <f ca="1">IFERROR(__xludf.DUMMYFUNCTION("""COMPUTED_VALUE"""),"Departemen Statistika Bisnis")</f>
        <v>Departemen Statistika Bisnis</v>
      </c>
      <c r="R368" s="1" t="str">
        <f ca="1">IFERROR(__xludf.DUMMYFUNCTION("""COMPUTED_VALUE"""),"ALBERTUS EKA PUTRA H")</f>
        <v>ALBERTUS EKA PUTRA H</v>
      </c>
      <c r="S368" s="1" t="str">
        <f ca="1">IFERROR(__xludf.DUMMYFUNCTION("""COMPUTED_VALUE"""),"2043211118")</f>
        <v>2043211118</v>
      </c>
      <c r="T368" s="1" t="str">
        <f ca="1">IFERROR(__xludf.DUMMYFUNCTION("""COMPUTED_VALUE"""),"Departemen Statistika Bisnis")</f>
        <v>Departemen Statistika Bisnis</v>
      </c>
      <c r="U368" s="1" t="str">
        <f ca="1">IFERROR(__xludf.DUMMYFUNCTION("""COMPUTED_VALUE"""),"Mochamad Yusuf, S.T., M.Sc.")</f>
        <v>Mochamad Yusuf, S.T., M.Sc.</v>
      </c>
      <c r="V368" s="1" t="str">
        <f ca="1">IFERROR(__xludf.DUMMYFUNCTION("""COMPUTED_VALUE"""),"Mahardika F. Rois, S.T, M.T")</f>
        <v>Mahardika F. Rois, S.T, M.T</v>
      </c>
      <c r="W368" s="1" t="str">
        <f ca="1">IFERROR(__xludf.DUMMYFUNCTION("""COMPUTED_VALUE"""),"Putu Gde Ariastita, S.T., M.T.")</f>
        <v>Putu Gde Ariastita, S.T., M.T.</v>
      </c>
      <c r="X368" s="1" t="str">
        <f ca="1">IFERROR(__xludf.DUMMYFUNCTION("""COMPUTED_VALUE"""),"Lolos")</f>
        <v>Lolos</v>
      </c>
      <c r="Y368" s="1"/>
      <c r="Z368" s="1"/>
      <c r="AA368" s="1"/>
    </row>
    <row r="369" spans="1:27">
      <c r="A369" s="1" t="s">
        <v>363</v>
      </c>
      <c r="B369" s="1">
        <f ca="1">IFERROR(__xludf.DUMMYFUNCTION("""COMPUTED_VALUE"""),3809)</f>
        <v>3809</v>
      </c>
      <c r="C369" s="1" t="str">
        <f ca="1">IFERROR(__xludf.DUMMYFUNCTION("""COMPUTED_VALUE"""),"PKM Riset Sosial Humaniora")</f>
        <v>PKM Riset Sosial Humaniora</v>
      </c>
      <c r="D369" s="1" t="str">
        <f ca="1">IFERROR(__xludf.DUMMYFUNCTION("""COMPUTED_VALUE"""),"EVALUASI TINGKAT AKSESIBILITAS SUROBOYO BUS MELALUI PEMETAAN SPASIAL DENGAN PENDEKATAN PUBLIC TRANSPORT ACCESSIBILITY LEVELS (PTAL) DI KOTA SURABAYA")</f>
        <v>EVALUASI TINGKAT AKSESIBILITAS SUROBOYO BUS MELALUI PEMETAAN SPASIAL DENGAN PENDEKATAN PUBLIC TRANSPORT ACCESSIBILITY LEVELS (PTAL) DI KOTA SURABAYA</v>
      </c>
      <c r="E369" s="1" t="str">
        <f ca="1">IFERROR(__xludf.DUMMYFUNCTION("""COMPUTED_VALUE"""),"SYAHRUL FATHONI")</f>
        <v>SYAHRUL FATHONI</v>
      </c>
      <c r="F369" s="1" t="str">
        <f ca="1">IFERROR(__xludf.DUMMYFUNCTION("""COMPUTED_VALUE"""),"08211840000084")</f>
        <v>08211840000084</v>
      </c>
      <c r="G369" s="1" t="str">
        <f ca="1">IFERROR(__xludf.DUMMYFUNCTION("""COMPUTED_VALUE"""),"Departemen Perencanaan Wilayah dan Kota")</f>
        <v>Departemen Perencanaan Wilayah dan Kota</v>
      </c>
      <c r="H369" s="1" t="str">
        <f ca="1">IFERROR(__xludf.DUMMYFUNCTION("""COMPUTED_VALUE"""),"Ketut Dewi Martha Erli Handayeni, ST, MT")</f>
        <v>Ketut Dewi Martha Erli Handayeni, ST, MT</v>
      </c>
      <c r="I369" s="1" t="str">
        <f ca="1">IFERROR(__xludf.DUMMYFUNCTION("""COMPUTED_VALUE"""),"RIZQI FITRIYANTO")</f>
        <v>RIZQI FITRIYANTO</v>
      </c>
      <c r="J369" s="1" t="str">
        <f ca="1">IFERROR(__xludf.DUMMYFUNCTION("""COMPUTED_VALUE"""),"08211840000083")</f>
        <v>08211840000083</v>
      </c>
      <c r="K369" s="1" t="str">
        <f ca="1">IFERROR(__xludf.DUMMYFUNCTION("""COMPUTED_VALUE"""),"Departemen Perencanaan Wilayah dan Kota")</f>
        <v>Departemen Perencanaan Wilayah dan Kota</v>
      </c>
      <c r="L369" s="1" t="str">
        <f ca="1">IFERROR(__xludf.DUMMYFUNCTION("""COMPUTED_VALUE"""),"SAFIRA SALSABILA")</f>
        <v>SAFIRA SALSABILA</v>
      </c>
      <c r="M369" s="1" t="str">
        <f ca="1">IFERROR(__xludf.DUMMYFUNCTION("""COMPUTED_VALUE"""),"08211840000096")</f>
        <v>08211840000096</v>
      </c>
      <c r="N369" s="1" t="str">
        <f ca="1">IFERROR(__xludf.DUMMYFUNCTION("""COMPUTED_VALUE"""),"Departemen Perencanaan Wilayah dan Kota")</f>
        <v>Departemen Perencanaan Wilayah dan Kota</v>
      </c>
      <c r="O369" s="1" t="str">
        <f ca="1">IFERROR(__xludf.DUMMYFUNCTION("""COMPUTED_VALUE"""),"MARIA JESSICKA BAHAT")</f>
        <v>MARIA JESSICKA BAHAT</v>
      </c>
      <c r="P369" s="1" t="str">
        <f ca="1">IFERROR(__xludf.DUMMYFUNCTION("""COMPUTED_VALUE"""),"08211840000100")</f>
        <v>08211840000100</v>
      </c>
      <c r="Q369" s="1" t="str">
        <f ca="1">IFERROR(__xludf.DUMMYFUNCTION("""COMPUTED_VALUE"""),"Departemen Perencanaan Wilayah dan Kota")</f>
        <v>Departemen Perencanaan Wilayah dan Kota</v>
      </c>
      <c r="R369" s="1" t="str">
        <f ca="1">IFERROR(__xludf.DUMMYFUNCTION("""COMPUTED_VALUE"""),"Nur Zahro Charissa Rahma")</f>
        <v>Nur Zahro Charissa Rahma</v>
      </c>
      <c r="S369" s="1" t="str">
        <f ca="1">IFERROR(__xludf.DUMMYFUNCTION("""COMPUTED_VALUE"""),"08211940000012")</f>
        <v>08211940000012</v>
      </c>
      <c r="T369" s="1" t="str">
        <f ca="1">IFERROR(__xludf.DUMMYFUNCTION("""COMPUTED_VALUE"""),"Departemen Perencanaan Wilayah dan Kota")</f>
        <v>Departemen Perencanaan Wilayah dan Kota</v>
      </c>
      <c r="U369" s="1" t="str">
        <f ca="1">IFERROR(__xludf.DUMMYFUNCTION("""COMPUTED_VALUE"""),"Mochamad Yusuf, S.T., M.Sc.")</f>
        <v>Mochamad Yusuf, S.T., M.Sc.</v>
      </c>
      <c r="V369" s="1" t="str">
        <f ca="1">IFERROR(__xludf.DUMMYFUNCTION("""COMPUTED_VALUE"""),"Galuh Oktavia Siswono, S.Si., M.Si., M.Act,Sc.")</f>
        <v>Galuh Oktavia Siswono, S.Si., M.Si., M.Act,Sc.</v>
      </c>
      <c r="W369" s="1"/>
      <c r="X369" s="1" t="str">
        <f ca="1">IFERROR(__xludf.DUMMYFUNCTION("""COMPUTED_VALUE"""),"Lolos")</f>
        <v>Lolos</v>
      </c>
      <c r="Y369" s="1"/>
      <c r="Z369" s="1"/>
      <c r="AA369" s="1"/>
    </row>
    <row r="370" spans="1:27">
      <c r="A370" s="1" t="s">
        <v>364</v>
      </c>
      <c r="B370" s="1">
        <f ca="1">IFERROR(__xludf.DUMMYFUNCTION("""COMPUTED_VALUE"""),3001)</f>
        <v>3001</v>
      </c>
      <c r="C370" s="1" t="str">
        <f ca="1">IFERROR(__xludf.DUMMYFUNCTION("""COMPUTED_VALUE"""),"PKM Riset Sosial Humaniora")</f>
        <v>PKM Riset Sosial Humaniora</v>
      </c>
      <c r="D370" s="1" t="str">
        <f ca="1">IFERROR(__xludf.DUMMYFUNCTION("""COMPUTED_VALUE"""),"Pengembangan Pola Edukasi Masyarakat Desa Tieng, Wonosobo Berbasis Kearifan Lokal dalam Upaya Mitigasi Bencana Alam")</f>
        <v>Pengembangan Pola Edukasi Masyarakat Desa Tieng, Wonosobo Berbasis Kearifan Lokal dalam Upaya Mitigasi Bencana Alam</v>
      </c>
      <c r="E370" s="1" t="str">
        <f ca="1">IFERROR(__xludf.DUMMYFUNCTION("""COMPUTED_VALUE"""),"FATIN AFIANTI")</f>
        <v>FATIN AFIANTI</v>
      </c>
      <c r="F370" s="1" t="str">
        <f ca="1">IFERROR(__xludf.DUMMYFUNCTION("""COMPUTED_VALUE"""),"5017201046")</f>
        <v>5017201046</v>
      </c>
      <c r="G370" s="1" t="str">
        <f ca="1">IFERROR(__xludf.DUMMYFUNCTION("""COMPUTED_VALUE"""),"Departemen Teknik Geofisika")</f>
        <v>Departemen Teknik Geofisika</v>
      </c>
      <c r="H370" s="1" t="str">
        <f ca="1">IFERROR(__xludf.DUMMYFUNCTION("""COMPUTED_VALUE"""),"Moh. Singgih Purwanto, S.Si., M.T")</f>
        <v>Moh. Singgih Purwanto, S.Si., M.T</v>
      </c>
      <c r="I370" s="1" t="str">
        <f ca="1">IFERROR(__xludf.DUMMYFUNCTION("""COMPUTED_VALUE"""),"MAHENDRA WIRAYUDHATAMA")</f>
        <v>MAHENDRA WIRAYUDHATAMA</v>
      </c>
      <c r="J370" s="1" t="str">
        <f ca="1">IFERROR(__xludf.DUMMYFUNCTION("""COMPUTED_VALUE"""),"5017201014")</f>
        <v>5017201014</v>
      </c>
      <c r="K370" s="1" t="str">
        <f ca="1">IFERROR(__xludf.DUMMYFUNCTION("""COMPUTED_VALUE"""),"Departemen Teknik Geofisika")</f>
        <v>Departemen Teknik Geofisika</v>
      </c>
      <c r="L370" s="1" t="str">
        <f ca="1">IFERROR(__xludf.DUMMYFUNCTION("""COMPUTED_VALUE"""),"RAHAJENG AULIA AZMI")</f>
        <v>RAHAJENG AULIA AZMI</v>
      </c>
      <c r="M370" s="1" t="str">
        <f ca="1">IFERROR(__xludf.DUMMYFUNCTION("""COMPUTED_VALUE"""),"5016201034")</f>
        <v>5016201034</v>
      </c>
      <c r="N370" s="1" t="str">
        <f ca="1">IFERROR(__xludf.DUMMYFUNCTION("""COMPUTED_VALUE"""),"Departemen Teknik Geomatika")</f>
        <v>Departemen Teknik Geomatika</v>
      </c>
      <c r="O370" s="1" t="str">
        <f ca="1">IFERROR(__xludf.DUMMYFUNCTION("""COMPUTED_VALUE"""),"ISNAINI NUR ADHIMA")</f>
        <v>ISNAINI NUR ADHIMA</v>
      </c>
      <c r="P370" s="1" t="str">
        <f ca="1">IFERROR(__xludf.DUMMYFUNCTION("""COMPUTED_VALUE"""),"5016201052")</f>
        <v>5016201052</v>
      </c>
      <c r="Q370" s="1" t="str">
        <f ca="1">IFERROR(__xludf.DUMMYFUNCTION("""COMPUTED_VALUE"""),"Departemen Teknik Geomatika")</f>
        <v>Departemen Teknik Geomatika</v>
      </c>
      <c r="R370" s="1" t="str">
        <f ca="1">IFERROR(__xludf.DUMMYFUNCTION("""COMPUTED_VALUE"""),"SAFIRA NAURIN QOLBI")</f>
        <v>SAFIRA NAURIN QOLBI</v>
      </c>
      <c r="S370" s="1" t="str">
        <f ca="1">IFERROR(__xludf.DUMMYFUNCTION("""COMPUTED_VALUE"""),"5016201054")</f>
        <v>5016201054</v>
      </c>
      <c r="T370" s="1" t="str">
        <f ca="1">IFERROR(__xludf.DUMMYFUNCTION("""COMPUTED_VALUE"""),"Departemen Teknik Geomatika")</f>
        <v>Departemen Teknik Geomatika</v>
      </c>
      <c r="U370" s="1" t="str">
        <f ca="1">IFERROR(__xludf.DUMMYFUNCTION("""COMPUTED_VALUE"""),"Welly Herumurti, S.T., M.Sc.")</f>
        <v>Welly Herumurti, S.T., M.Sc.</v>
      </c>
      <c r="V370" s="1" t="str">
        <f ca="1">IFERROR(__xludf.DUMMYFUNCTION("""COMPUTED_VALUE"""),"Mukhammad Muryono, S.Si., M.Si., Ph.D.")</f>
        <v>Mukhammad Muryono, S.Si., M.Si., Ph.D.</v>
      </c>
      <c r="W370" s="1" t="str">
        <f ca="1">IFERROR(__xludf.DUMMYFUNCTION("""COMPUTED_VALUE"""),"Putu Gde Ariastita, S.T., M.T.")</f>
        <v>Putu Gde Ariastita, S.T., M.T.</v>
      </c>
      <c r="X370" s="1" t="str">
        <f ca="1">IFERROR(__xludf.DUMMYFUNCTION("""COMPUTED_VALUE"""),"Lolos")</f>
        <v>Lolos</v>
      </c>
      <c r="Y370" s="1"/>
      <c r="Z370" s="1"/>
      <c r="AA370" s="1"/>
    </row>
    <row r="371" spans="1:27">
      <c r="A371" s="1" t="s">
        <v>365</v>
      </c>
      <c r="B371" s="1">
        <f ca="1">IFERROR(__xludf.DUMMYFUNCTION("""COMPUTED_VALUE"""),2059)</f>
        <v>2059</v>
      </c>
      <c r="C371" s="1" t="str">
        <f ca="1">IFERROR(__xludf.DUMMYFUNCTION("""COMPUTED_VALUE"""),"PKM Riset Sosial Humaniora")</f>
        <v>PKM Riset Sosial Humaniora</v>
      </c>
      <c r="D371" s="1" t="str">
        <f ca="1">IFERROR(__xludf.DUMMYFUNCTION("""COMPUTED_VALUE"""),"Preferensi Partisipasi Generasi Milenial dalam Pengembangan Heritage Tourism di Kota Pasuruan")</f>
        <v>Preferensi Partisipasi Generasi Milenial dalam Pengembangan Heritage Tourism di Kota Pasuruan</v>
      </c>
      <c r="E371" s="1" t="str">
        <f ca="1">IFERROR(__xludf.DUMMYFUNCTION("""COMPUTED_VALUE"""),"Selvi Aini Mutiara Fadillah")</f>
        <v>Selvi Aini Mutiara Fadillah</v>
      </c>
      <c r="F371" s="1" t="str">
        <f ca="1">IFERROR(__xludf.DUMMYFUNCTION("""COMPUTED_VALUE"""),"08211840000028")</f>
        <v>08211840000028</v>
      </c>
      <c r="G371" s="1" t="str">
        <f ca="1">IFERROR(__xludf.DUMMYFUNCTION("""COMPUTED_VALUE"""),"Departemen Perencanaan Wilayah dan Kota")</f>
        <v>Departemen Perencanaan Wilayah dan Kota</v>
      </c>
      <c r="H371" s="1" t="str">
        <f ca="1">IFERROR(__xludf.DUMMYFUNCTION("""COMPUTED_VALUE"""),"Mochamad Yusuf, S.T., M.Sc.")</f>
        <v>Mochamad Yusuf, S.T., M.Sc.</v>
      </c>
      <c r="I371" s="1" t="str">
        <f ca="1">IFERROR(__xludf.DUMMYFUNCTION("""COMPUTED_VALUE"""),"Nena Melsanti")</f>
        <v>Nena Melsanti</v>
      </c>
      <c r="J371" s="1" t="str">
        <f ca="1">IFERROR(__xludf.DUMMYFUNCTION("""COMPUTED_VALUE"""),"08211840000024")</f>
        <v>08211840000024</v>
      </c>
      <c r="K371" s="1" t="str">
        <f ca="1">IFERROR(__xludf.DUMMYFUNCTION("""COMPUTED_VALUE"""),"Departemen Perencanaan Wilayah dan Kota")</f>
        <v>Departemen Perencanaan Wilayah dan Kota</v>
      </c>
      <c r="L371" s="1" t="str">
        <f ca="1">IFERROR(__xludf.DUMMYFUNCTION("""COMPUTED_VALUE"""),"Shinta Ulwiya")</f>
        <v>Shinta Ulwiya</v>
      </c>
      <c r="M371" s="1" t="str">
        <f ca="1">IFERROR(__xludf.DUMMYFUNCTION("""COMPUTED_VALUE"""),"08211940000014")</f>
        <v>08211940000014</v>
      </c>
      <c r="N371" s="1" t="str">
        <f ca="1">IFERROR(__xludf.DUMMYFUNCTION("""COMPUTED_VALUE"""),"Departemen Perencanaan Wilayah dan Kota")</f>
        <v>Departemen Perencanaan Wilayah dan Kota</v>
      </c>
      <c r="O371" s="1" t="str">
        <f ca="1">IFERROR(__xludf.DUMMYFUNCTION("""COMPUTED_VALUE"""),"KURNIA CAHYANI ROMADHON")</f>
        <v>KURNIA CAHYANI ROMADHON</v>
      </c>
      <c r="P371" s="1" t="str">
        <f ca="1">IFERROR(__xludf.DUMMYFUNCTION("""COMPUTED_VALUE"""),"5015201065")</f>
        <v>5015201065</v>
      </c>
      <c r="Q371" s="1" t="str">
        <f ca="1">IFERROR(__xludf.DUMMYFUNCTION("""COMPUTED_VALUE"""),"Departemen Perencanaan Wilayah dan Kota")</f>
        <v>Departemen Perencanaan Wilayah dan Kota</v>
      </c>
      <c r="R371" s="1" t="str">
        <f ca="1">IFERROR(__xludf.DUMMYFUNCTION("""COMPUTED_VALUE"""),"JIHADUL AKBAR FISABILILLAH")</f>
        <v>JIHADUL AKBAR FISABILILLAH</v>
      </c>
      <c r="S371" s="1" t="str">
        <f ca="1">IFERROR(__xludf.DUMMYFUNCTION("""COMPUTED_VALUE"""),"5015201059")</f>
        <v>5015201059</v>
      </c>
      <c r="T371" s="1" t="str">
        <f ca="1">IFERROR(__xludf.DUMMYFUNCTION("""COMPUTED_VALUE"""),"Departemen Perencanaan Wilayah dan Kota")</f>
        <v>Departemen Perencanaan Wilayah dan Kota</v>
      </c>
      <c r="U371" s="1" t="str">
        <f ca="1">IFERROR(__xludf.DUMMYFUNCTION("""COMPUTED_VALUE"""),"Mochamad Yusuf, S.T., M.Sc.")</f>
        <v>Mochamad Yusuf, S.T., M.Sc.</v>
      </c>
      <c r="V371" s="1" t="str">
        <f ca="1">IFERROR(__xludf.DUMMYFUNCTION("""COMPUTED_VALUE"""),"Galuh Oktavia Siswono, S.Si., M.Si., M.Act,Sc.")</f>
        <v>Galuh Oktavia Siswono, S.Si., M.Si., M.Act,Sc.</v>
      </c>
      <c r="W371" s="1"/>
      <c r="X371" s="1" t="str">
        <f ca="1">IFERROR(__xludf.DUMMYFUNCTION("""COMPUTED_VALUE"""),"Lolos")</f>
        <v>Lolos</v>
      </c>
      <c r="Y371" s="1"/>
      <c r="Z371" s="1"/>
      <c r="AA371" s="1"/>
    </row>
    <row r="372" spans="1:27">
      <c r="A372" s="1" t="s">
        <v>366</v>
      </c>
      <c r="B372" s="1">
        <f ca="1">IFERROR(__xludf.DUMMYFUNCTION("""COMPUTED_VALUE"""),3053)</f>
        <v>3053</v>
      </c>
      <c r="C372" s="1" t="str">
        <f ca="1">IFERROR(__xludf.DUMMYFUNCTION("""COMPUTED_VALUE"""),"PKM Riset Sosial Humaniora")</f>
        <v>PKM Riset Sosial Humaniora</v>
      </c>
      <c r="D372" s="1" t="str">
        <f ca="1">IFERROR(__xludf.DUMMYFUNCTION("""COMPUTED_VALUE"""),"PKM RSH_Eco Culture Tourism Konsep Pariwisata Alam dan Sejarah Sebagai Arahan Pengembangan Desa Wisata di Desa Sendangduwur")</f>
        <v>PKM RSH_Eco Culture Tourism Konsep Pariwisata Alam dan Sejarah Sebagai Arahan Pengembangan Desa Wisata di Desa Sendangduwur</v>
      </c>
      <c r="E372" s="1" t="str">
        <f ca="1">IFERROR(__xludf.DUMMYFUNCTION("""COMPUTED_VALUE"""),"Dwi Andi Ramadhanti")</f>
        <v>Dwi Andi Ramadhanti</v>
      </c>
      <c r="F372" s="1" t="str">
        <f ca="1">IFERROR(__xludf.DUMMYFUNCTION("""COMPUTED_VALUE"""),"08211840000014")</f>
        <v>08211840000014</v>
      </c>
      <c r="G372" s="1" t="str">
        <f ca="1">IFERROR(__xludf.DUMMYFUNCTION("""COMPUTED_VALUE"""),"Departemen Perencanaan Wilayah dan Kota")</f>
        <v>Departemen Perencanaan Wilayah dan Kota</v>
      </c>
      <c r="H372" s="1" t="str">
        <f ca="1">IFERROR(__xludf.DUMMYFUNCTION("""COMPUTED_VALUE"""),"Ummi Fadlilah Kurniawati, ST, M.Sc")</f>
        <v>Ummi Fadlilah Kurniawati, ST, M.Sc</v>
      </c>
      <c r="I372" s="1" t="str">
        <f ca="1">IFERROR(__xludf.DUMMYFUNCTION("""COMPUTED_VALUE"""),"Clarisa Fanny Andryani")</f>
        <v>Clarisa Fanny Andryani</v>
      </c>
      <c r="J372" s="1" t="str">
        <f ca="1">IFERROR(__xludf.DUMMYFUNCTION("""COMPUTED_VALUE"""),"08211840000013")</f>
        <v>08211840000013</v>
      </c>
      <c r="K372" s="1" t="str">
        <f ca="1">IFERROR(__xludf.DUMMYFUNCTION("""COMPUTED_VALUE"""),"Departemen Perencanaan Wilayah dan Kota")</f>
        <v>Departemen Perencanaan Wilayah dan Kota</v>
      </c>
      <c r="L372" s="1" t="str">
        <f ca="1">IFERROR(__xludf.DUMMYFUNCTION("""COMPUTED_VALUE"""),"EIKA ADELIA CHANDRA MARGARETHA")</f>
        <v>EIKA ADELIA CHANDRA MARGARETHA</v>
      </c>
      <c r="M372" s="1" t="str">
        <f ca="1">IFERROR(__xludf.DUMMYFUNCTION("""COMPUTED_VALUE"""),"08211840000050")</f>
        <v>08211840000050</v>
      </c>
      <c r="N372" s="1" t="str">
        <f ca="1">IFERROR(__xludf.DUMMYFUNCTION("""COMPUTED_VALUE"""),"Departemen Perencanaan Wilayah dan Kota")</f>
        <v>Departemen Perencanaan Wilayah dan Kota</v>
      </c>
      <c r="O372" s="1"/>
      <c r="P372" s="1"/>
      <c r="Q372" s="1"/>
      <c r="R372" s="1"/>
      <c r="S372" s="1"/>
      <c r="T372" s="1"/>
      <c r="U372" s="1" t="str">
        <f ca="1">IFERROR(__xludf.DUMMYFUNCTION("""COMPUTED_VALUE"""),"Muchammad Nurif, S.E., M.T.")</f>
        <v>Muchammad Nurif, S.E., M.T.</v>
      </c>
      <c r="V372" s="1" t="str">
        <f ca="1">IFERROR(__xludf.DUMMYFUNCTION("""COMPUTED_VALUE"""),"Deqi Rizkivia Radita, S.T., M.Sc.")</f>
        <v>Deqi Rizkivia Radita, S.T., M.Sc.</v>
      </c>
      <c r="W372" s="1"/>
      <c r="X372" s="1" t="str">
        <f ca="1">IFERROR(__xludf.DUMMYFUNCTION("""COMPUTED_VALUE"""),"Lolos")</f>
        <v>Lolos</v>
      </c>
      <c r="Y372" s="1"/>
      <c r="Z372" s="1"/>
      <c r="AA372" s="1"/>
    </row>
    <row r="373" spans="1:27">
      <c r="A373" s="1" t="s">
        <v>367</v>
      </c>
      <c r="B373" s="1">
        <f ca="1">IFERROR(__xludf.DUMMYFUNCTION("""COMPUTED_VALUE"""),2184)</f>
        <v>2184</v>
      </c>
      <c r="C373" s="1" t="str">
        <f ca="1">IFERROR(__xludf.DUMMYFUNCTION("""COMPUTED_VALUE"""),"PKM Riset Sosial Humaniora")</f>
        <v>PKM Riset Sosial Humaniora</v>
      </c>
      <c r="D373" s="1" t="str">
        <f ca="1">IFERROR(__xludf.DUMMYFUNCTION("""COMPUTED_VALUE"""),"STRATEGI PENINGKATAN RESILIENSI PERMUKIMAN KUMUH KOTA SURABAYA TERHADAP BIOLOGICAL HAZARDS BERDASARKAN CITY RESILIENT INDEX (CRI) ")</f>
        <v xml:space="preserve">STRATEGI PENINGKATAN RESILIENSI PERMUKIMAN KUMUH KOTA SURABAYA TERHADAP BIOLOGICAL HAZARDS BERDASARKAN CITY RESILIENT INDEX (CRI) </v>
      </c>
      <c r="E373" s="1" t="str">
        <f ca="1">IFERROR(__xludf.DUMMYFUNCTION("""COMPUTED_VALUE"""),"Putri Rizky Fadilla")</f>
        <v>Putri Rizky Fadilla</v>
      </c>
      <c r="F373" s="1" t="str">
        <f ca="1">IFERROR(__xludf.DUMMYFUNCTION("""COMPUTED_VALUE"""),"08211840000025")</f>
        <v>08211840000025</v>
      </c>
      <c r="G373" s="1" t="str">
        <f ca="1">IFERROR(__xludf.DUMMYFUNCTION("""COMPUTED_VALUE"""),"Departemen Perencanaan Wilayah dan Kota")</f>
        <v>Departemen Perencanaan Wilayah dan Kota</v>
      </c>
      <c r="H373" s="1" t="str">
        <f ca="1">IFERROR(__xludf.DUMMYFUNCTION("""COMPUTED_VALUE"""),"Adjie Pamungkas, S.T., M.Dev.Plg., Ph.D.")</f>
        <v>Adjie Pamungkas, S.T., M.Dev.Plg., Ph.D.</v>
      </c>
      <c r="I373" s="1" t="str">
        <f ca="1">IFERROR(__xludf.DUMMYFUNCTION("""COMPUTED_VALUE"""),"Khafizh Salsabila Widya")</f>
        <v>Khafizh Salsabila Widya</v>
      </c>
      <c r="J373" s="1" t="str">
        <f ca="1">IFERROR(__xludf.DUMMYFUNCTION("""COMPUTED_VALUE"""),"08211940000007")</f>
        <v>08211940000007</v>
      </c>
      <c r="K373" s="1" t="str">
        <f ca="1">IFERROR(__xludf.DUMMYFUNCTION("""COMPUTED_VALUE"""),"Departemen Perencanaan Wilayah dan Kota")</f>
        <v>Departemen Perencanaan Wilayah dan Kota</v>
      </c>
      <c r="L373" s="1" t="str">
        <f ca="1">IFERROR(__xludf.DUMMYFUNCTION("""COMPUTED_VALUE"""),"Ayunda Rahmawati")</f>
        <v>Ayunda Rahmawati</v>
      </c>
      <c r="M373" s="1" t="str">
        <f ca="1">IFERROR(__xludf.DUMMYFUNCTION("""COMPUTED_VALUE"""),"08211940000028")</f>
        <v>08211940000028</v>
      </c>
      <c r="N373" s="1" t="str">
        <f ca="1">IFERROR(__xludf.DUMMYFUNCTION("""COMPUTED_VALUE"""),"Departemen Perencanaan Wilayah dan Kota")</f>
        <v>Departemen Perencanaan Wilayah dan Kota</v>
      </c>
      <c r="O373" s="1" t="str">
        <f ca="1">IFERROR(__xludf.DUMMYFUNCTION("""COMPUTED_VALUE"""),"MUHAMMAD DEANDRA GUNAWAN")</f>
        <v>MUHAMMAD DEANDRA GUNAWAN</v>
      </c>
      <c r="P373" s="1" t="str">
        <f ca="1">IFERROR(__xludf.DUMMYFUNCTION("""COMPUTED_VALUE"""),"5015201120")</f>
        <v>5015201120</v>
      </c>
      <c r="Q373" s="1" t="str">
        <f ca="1">IFERROR(__xludf.DUMMYFUNCTION("""COMPUTED_VALUE"""),"Departemen Perencanaan Wilayah dan Kota")</f>
        <v>Departemen Perencanaan Wilayah dan Kota</v>
      </c>
      <c r="R373" s="1"/>
      <c r="S373" s="1"/>
      <c r="T373" s="1"/>
      <c r="U373" s="1" t="str">
        <f ca="1">IFERROR(__xludf.DUMMYFUNCTION("""COMPUTED_VALUE"""),"Dr. Soedarso, S.S., M.Hum.")</f>
        <v>Dr. Soedarso, S.S., M.Hum.</v>
      </c>
      <c r="V373" s="1" t="str">
        <f ca="1">IFERROR(__xludf.DUMMYFUNCTION("""COMPUTED_VALUE"""),"Adi Suryani, S.S., M.ED(LM)., Ph.D.")</f>
        <v>Adi Suryani, S.S., M.ED(LM)., Ph.D.</v>
      </c>
      <c r="W373" s="1"/>
      <c r="X373" s="1" t="str">
        <f ca="1">IFERROR(__xludf.DUMMYFUNCTION("""COMPUTED_VALUE"""),"Lolos")</f>
        <v>Lolos</v>
      </c>
      <c r="Y373" s="1"/>
      <c r="Z373" s="1"/>
      <c r="AA373" s="1"/>
    </row>
    <row r="374" spans="1:27">
      <c r="A374" s="1" t="s">
        <v>368</v>
      </c>
      <c r="B374" s="1">
        <f ca="1">IFERROR(__xludf.DUMMYFUNCTION("""COMPUTED_VALUE"""),2843)</f>
        <v>2843</v>
      </c>
      <c r="C374" s="1" t="str">
        <f ca="1">IFERROR(__xludf.DUMMYFUNCTION("""COMPUTED_VALUE"""),"PKM Riset Sosial Humaniora")</f>
        <v>PKM Riset Sosial Humaniora</v>
      </c>
      <c r="D374" s="1" t="str">
        <f ca="1">IFERROR(__xludf.DUMMYFUNCTION("""COMPUTED_VALUE"""),"Eksplorasi Tri Hita Karana sebagai Kearifan Lokal Desa Adat Kuta dalam Membentuk Tourism Resilience")</f>
        <v>Eksplorasi Tri Hita Karana sebagai Kearifan Lokal Desa Adat Kuta dalam Membentuk Tourism Resilience</v>
      </c>
      <c r="E374" s="1" t="str">
        <f ca="1">IFERROR(__xludf.DUMMYFUNCTION("""COMPUTED_VALUE"""),"I DEWA AYU DINDA GITA DEWI")</f>
        <v>I DEWA AYU DINDA GITA DEWI</v>
      </c>
      <c r="F374" s="1" t="str">
        <f ca="1">IFERROR(__xludf.DUMMYFUNCTION("""COMPUTED_VALUE"""),"08211840000094")</f>
        <v>08211840000094</v>
      </c>
      <c r="G374" s="1" t="str">
        <f ca="1">IFERROR(__xludf.DUMMYFUNCTION("""COMPUTED_VALUE"""),"Departemen Perencanaan Wilayah dan Kota")</f>
        <v>Departemen Perencanaan Wilayah dan Kota</v>
      </c>
      <c r="H374" s="1" t="str">
        <f ca="1">IFERROR(__xludf.DUMMYFUNCTION("""COMPUTED_VALUE"""),"Hertiari Idajati, S.T., M.Sc.")</f>
        <v>Hertiari Idajati, S.T., M.Sc.</v>
      </c>
      <c r="I374" s="1" t="str">
        <f ca="1">IFERROR(__xludf.DUMMYFUNCTION("""COMPUTED_VALUE"""),"Mukhammad Akbar Makhbubi")</f>
        <v>Mukhammad Akbar Makhbubi</v>
      </c>
      <c r="J374" s="1" t="str">
        <f ca="1">IFERROR(__xludf.DUMMYFUNCTION("""COMPUTED_VALUE"""),"08211940000021")</f>
        <v>08211940000021</v>
      </c>
      <c r="K374" s="1" t="str">
        <f ca="1">IFERROR(__xludf.DUMMYFUNCTION("""COMPUTED_VALUE"""),"Departemen Perencanaan Wilayah dan Kota")</f>
        <v>Departemen Perencanaan Wilayah dan Kota</v>
      </c>
      <c r="L374" s="1" t="str">
        <f ca="1">IFERROR(__xludf.DUMMYFUNCTION("""COMPUTED_VALUE"""),"LUH PUTU HAMIDAH KUSUMA WARDHANI")</f>
        <v>LUH PUTU HAMIDAH KUSUMA WARDHANI</v>
      </c>
      <c r="M374" s="1" t="str">
        <f ca="1">IFERROR(__xludf.DUMMYFUNCTION("""COMPUTED_VALUE"""),"08211940000050")</f>
        <v>08211940000050</v>
      </c>
      <c r="N374" s="1" t="str">
        <f ca="1">IFERROR(__xludf.DUMMYFUNCTION("""COMPUTED_VALUE"""),"Departemen Perencanaan Wilayah dan Kota")</f>
        <v>Departemen Perencanaan Wilayah dan Kota</v>
      </c>
      <c r="O374" s="1" t="str">
        <f ca="1">IFERROR(__xludf.DUMMYFUNCTION("""COMPUTED_VALUE"""),"FARRIS MAULANA AKBAR")</f>
        <v>FARRIS MAULANA AKBAR</v>
      </c>
      <c r="P374" s="1" t="str">
        <f ca="1">IFERROR(__xludf.DUMMYFUNCTION("""COMPUTED_VALUE"""),"5015201108")</f>
        <v>5015201108</v>
      </c>
      <c r="Q374" s="1" t="str">
        <f ca="1">IFERROR(__xludf.DUMMYFUNCTION("""COMPUTED_VALUE"""),"Departemen Perencanaan Wilayah dan Kota")</f>
        <v>Departemen Perencanaan Wilayah dan Kota</v>
      </c>
      <c r="R374" s="1" t="str">
        <f ca="1">IFERROR(__xludf.DUMMYFUNCTION("""COMPUTED_VALUE"""),"GDE ABHICANIKA PRANATA DYAKSA")</f>
        <v>GDE ABHICANIKA PRANATA DYAKSA</v>
      </c>
      <c r="S374" s="1" t="str">
        <f ca="1">IFERROR(__xludf.DUMMYFUNCTION("""COMPUTED_VALUE"""),"5015201114")</f>
        <v>5015201114</v>
      </c>
      <c r="T374" s="1" t="str">
        <f ca="1">IFERROR(__xludf.DUMMYFUNCTION("""COMPUTED_VALUE"""),"Departemen Perencanaan Wilayah dan Kota")</f>
        <v>Departemen Perencanaan Wilayah dan Kota</v>
      </c>
      <c r="U374" s="1" t="str">
        <f ca="1">IFERROR(__xludf.DUMMYFUNCTION("""COMPUTED_VALUE"""),"Mochamad Yusuf, S.T., M.Sc.")</f>
        <v>Mochamad Yusuf, S.T., M.Sc.</v>
      </c>
      <c r="V374" s="1" t="str">
        <f ca="1">IFERROR(__xludf.DUMMYFUNCTION("""COMPUTED_VALUE"""),"Mahardika F. Rois, S.T, M.T")</f>
        <v>Mahardika F. Rois, S.T, M.T</v>
      </c>
      <c r="W374" s="1"/>
      <c r="X374" s="1" t="str">
        <f ca="1">IFERROR(__xludf.DUMMYFUNCTION("""COMPUTED_VALUE"""),"Lolos")</f>
        <v>Lolos</v>
      </c>
      <c r="Y374" s="1"/>
      <c r="Z374" s="1"/>
      <c r="AA374" s="1"/>
    </row>
    <row r="375" spans="1:27">
      <c r="A375" s="1" t="s">
        <v>369</v>
      </c>
      <c r="B375" s="1">
        <f ca="1">IFERROR(__xludf.DUMMYFUNCTION("""COMPUTED_VALUE"""),2997)</f>
        <v>2997</v>
      </c>
      <c r="C375" s="1" t="str">
        <f ca="1">IFERROR(__xludf.DUMMYFUNCTION("""COMPUTED_VALUE"""),"PKM Riset Sosial Humaniora")</f>
        <v>PKM Riset Sosial Humaniora</v>
      </c>
      <c r="D375" s="1" t="str">
        <f ca="1">IFERROR(__xludf.DUMMYFUNCTION("""COMPUTED_VALUE"""),"Rancangan Ruang Publik Melalui Pendekatan Crime Prevention Through Enviromental Design (CPTED) Untuk Mengurangi Tindak Kejahatan")</f>
        <v>Rancangan Ruang Publik Melalui Pendekatan Crime Prevention Through Enviromental Design (CPTED) Untuk Mengurangi Tindak Kejahatan</v>
      </c>
      <c r="E375" s="1" t="str">
        <f ca="1">IFERROR(__xludf.DUMMYFUNCTION("""COMPUTED_VALUE"""),"FILDZAH NADILAH HANINA")</f>
        <v>FILDZAH NADILAH HANINA</v>
      </c>
      <c r="F375" s="1" t="str">
        <f ca="1">IFERROR(__xludf.DUMMYFUNCTION("""COMPUTED_VALUE"""),"08211840000056")</f>
        <v>08211840000056</v>
      </c>
      <c r="G375" s="1" t="str">
        <f ca="1">IFERROR(__xludf.DUMMYFUNCTION("""COMPUTED_VALUE"""),"Departemen Perencanaan Wilayah dan Kota")</f>
        <v>Departemen Perencanaan Wilayah dan Kota</v>
      </c>
      <c r="H375" s="1" t="str">
        <f ca="1">IFERROR(__xludf.DUMMYFUNCTION("""COMPUTED_VALUE"""),"Prananda Navitas, S.T., M.Sc.")</f>
        <v>Prananda Navitas, S.T., M.Sc.</v>
      </c>
      <c r="I375" s="1" t="str">
        <f ca="1">IFERROR(__xludf.DUMMYFUNCTION("""COMPUTED_VALUE"""),"SEPTIAN SASTRA KUSUMA WARDHANA")</f>
        <v>SEPTIAN SASTRA KUSUMA WARDHANA</v>
      </c>
      <c r="J375" s="1" t="str">
        <f ca="1">IFERROR(__xludf.DUMMYFUNCTION("""COMPUTED_VALUE"""),"08211940000070")</f>
        <v>08211940000070</v>
      </c>
      <c r="K375" s="1" t="str">
        <f ca="1">IFERROR(__xludf.DUMMYFUNCTION("""COMPUTED_VALUE"""),"Departemen Perencanaan Wilayah dan Kota")</f>
        <v>Departemen Perencanaan Wilayah dan Kota</v>
      </c>
      <c r="L375" s="1" t="str">
        <f ca="1">IFERROR(__xludf.DUMMYFUNCTION("""COMPUTED_VALUE"""),"MOHAMMAD RAMDHAN")</f>
        <v>MOHAMMAD RAMDHAN</v>
      </c>
      <c r="M375" s="1" t="str">
        <f ca="1">IFERROR(__xludf.DUMMYFUNCTION("""COMPUTED_VALUE"""),"08211940000090")</f>
        <v>08211940000090</v>
      </c>
      <c r="N375" s="1" t="str">
        <f ca="1">IFERROR(__xludf.DUMMYFUNCTION("""COMPUTED_VALUE"""),"Departemen Perencanaan Wilayah dan Kota")</f>
        <v>Departemen Perencanaan Wilayah dan Kota</v>
      </c>
      <c r="O375" s="1" t="str">
        <f ca="1">IFERROR(__xludf.DUMMYFUNCTION("""COMPUTED_VALUE"""),"RADYA AUGIE TRIADHIE")</f>
        <v>RADYA AUGIE TRIADHIE</v>
      </c>
      <c r="P375" s="1" t="str">
        <f ca="1">IFERROR(__xludf.DUMMYFUNCTION("""COMPUTED_VALUE"""),"5015201043")</f>
        <v>5015201043</v>
      </c>
      <c r="Q375" s="1" t="str">
        <f ca="1">IFERROR(__xludf.DUMMYFUNCTION("""COMPUTED_VALUE"""),"Departemen Perencanaan Wilayah dan Kota")</f>
        <v>Departemen Perencanaan Wilayah dan Kota</v>
      </c>
      <c r="R375" s="1"/>
      <c r="S375" s="1"/>
      <c r="T375" s="1"/>
      <c r="U375" s="1" t="str">
        <f ca="1">IFERROR(__xludf.DUMMYFUNCTION("""COMPUTED_VALUE"""),"Welly Herumurti, S.T., M.Sc.")</f>
        <v>Welly Herumurti, S.T., M.Sc.</v>
      </c>
      <c r="V375" s="1" t="str">
        <f ca="1">IFERROR(__xludf.DUMMYFUNCTION("""COMPUTED_VALUE"""),"Mukti Ratna Dewi, S.Si., M.Sc.")</f>
        <v>Mukti Ratna Dewi, S.Si., M.Sc.</v>
      </c>
      <c r="W375" s="1" t="str">
        <f ca="1">IFERROR(__xludf.DUMMYFUNCTION("""COMPUTED_VALUE"""),"Putu Gde Ariastita, S.T., M.T.")</f>
        <v>Putu Gde Ariastita, S.T., M.T.</v>
      </c>
      <c r="X375" s="1" t="str">
        <f ca="1">IFERROR(__xludf.DUMMYFUNCTION("""COMPUTED_VALUE"""),"Lolos")</f>
        <v>Lolos</v>
      </c>
      <c r="Y375" s="1"/>
      <c r="Z375" s="1"/>
      <c r="AA375" s="1"/>
    </row>
    <row r="376" spans="1:27">
      <c r="A376" s="1" t="s">
        <v>370</v>
      </c>
      <c r="B376" s="1">
        <f ca="1">IFERROR(__xludf.DUMMYFUNCTION("""COMPUTED_VALUE"""),3875)</f>
        <v>3875</v>
      </c>
      <c r="C376" s="1" t="str">
        <f ca="1">IFERROR(__xludf.DUMMYFUNCTION("""COMPUTED_VALUE"""),"PKM Riset Sosial Humaniora")</f>
        <v>PKM Riset Sosial Humaniora</v>
      </c>
      <c r="D376" s="1" t="str">
        <f ca="1">IFERROR(__xludf.DUMMYFUNCTION("""COMPUTED_VALUE"""),"PENGARUH AKSESIBILITAS DAN PENGGUNAAN RTH PUBLIK TERHADAP KONDISI SUBJECTIVE WELL-BEING PENDUDUK KOTA SURABAYA")</f>
        <v>PENGARUH AKSESIBILITAS DAN PENGGUNAAN RTH PUBLIK TERHADAP KONDISI SUBJECTIVE WELL-BEING PENDUDUK KOTA SURABAYA</v>
      </c>
      <c r="E376" s="1" t="str">
        <f ca="1">IFERROR(__xludf.DUMMYFUNCTION("""COMPUTED_VALUE"""),"TALITHA AURELLIA ALFIANSYAH")</f>
        <v>TALITHA AURELLIA ALFIANSYAH</v>
      </c>
      <c r="F376" s="1" t="str">
        <f ca="1">IFERROR(__xludf.DUMMYFUNCTION("""COMPUTED_VALUE"""),"08211840000004")</f>
        <v>08211840000004</v>
      </c>
      <c r="G376" s="1" t="str">
        <f ca="1">IFERROR(__xludf.DUMMYFUNCTION("""COMPUTED_VALUE"""),"Departemen Perencanaan Wilayah dan Kota")</f>
        <v>Departemen Perencanaan Wilayah dan Kota</v>
      </c>
      <c r="H376" s="1" t="str">
        <f ca="1">IFERROR(__xludf.DUMMYFUNCTION("""COMPUTED_VALUE"""),"Rulli Pratiwi Setiawan, S.T., M.Sc., Ph.D.")</f>
        <v>Rulli Pratiwi Setiawan, S.T., M.Sc., Ph.D.</v>
      </c>
      <c r="I376" s="1" t="str">
        <f ca="1">IFERROR(__xludf.DUMMYFUNCTION("""COMPUTED_VALUE"""),"SAFADILLA NAURELY WIDIANTO")</f>
        <v>SAFADILLA NAURELY WIDIANTO</v>
      </c>
      <c r="J376" s="1" t="str">
        <f ca="1">IFERROR(__xludf.DUMMYFUNCTION("""COMPUTED_VALUE"""),"08211840000074")</f>
        <v>08211840000074</v>
      </c>
      <c r="K376" s="1" t="str">
        <f ca="1">IFERROR(__xludf.DUMMYFUNCTION("""COMPUTED_VALUE"""),"Departemen Perencanaan Wilayah dan Kota")</f>
        <v>Departemen Perencanaan Wilayah dan Kota</v>
      </c>
      <c r="L376" s="1" t="str">
        <f ca="1">IFERROR(__xludf.DUMMYFUNCTION("""COMPUTED_VALUE"""),"Salsa Karima Putri")</f>
        <v>Salsa Karima Putri</v>
      </c>
      <c r="M376" s="1" t="str">
        <f ca="1">IFERROR(__xludf.DUMMYFUNCTION("""COMPUTED_VALUE"""),"08211940000008")</f>
        <v>08211940000008</v>
      </c>
      <c r="N376" s="1" t="str">
        <f ca="1">IFERROR(__xludf.DUMMYFUNCTION("""COMPUTED_VALUE"""),"Departemen Perencanaan Wilayah dan Kota")</f>
        <v>Departemen Perencanaan Wilayah dan Kota</v>
      </c>
      <c r="O376" s="1"/>
      <c r="P376" s="1"/>
      <c r="Q376" s="1"/>
      <c r="R376" s="1"/>
      <c r="S376" s="1"/>
      <c r="T376" s="1"/>
      <c r="U376" s="1" t="str">
        <f ca="1">IFERROR(__xludf.DUMMYFUNCTION("""COMPUTED_VALUE"""),"Dr. Soedarso, S.S., M.Hum.")</f>
        <v>Dr. Soedarso, S.S., M.Hum.</v>
      </c>
      <c r="V376" s="1" t="str">
        <f ca="1">IFERROR(__xludf.DUMMYFUNCTION("""COMPUTED_VALUE"""),"Mukti Ratna Dewi, S.Si., M.Sc.")</f>
        <v>Mukti Ratna Dewi, S.Si., M.Sc.</v>
      </c>
      <c r="W376" s="1"/>
      <c r="X376" s="1" t="str">
        <f ca="1">IFERROR(__xludf.DUMMYFUNCTION("""COMPUTED_VALUE"""),"Lolos")</f>
        <v>Lolos</v>
      </c>
      <c r="Y376" s="1"/>
      <c r="Z376" s="1"/>
      <c r="AA376" s="1"/>
    </row>
    <row r="377" spans="1:27">
      <c r="A377" s="1" t="s">
        <v>371</v>
      </c>
      <c r="B377" s="1">
        <f ca="1">IFERROR(__xludf.DUMMYFUNCTION("""COMPUTED_VALUE"""),2460)</f>
        <v>2460</v>
      </c>
      <c r="C377" s="1" t="str">
        <f ca="1">IFERROR(__xludf.DUMMYFUNCTION("""COMPUTED_VALUE"""),"PKM Riset Sosial Humaniora")</f>
        <v>PKM Riset Sosial Humaniora</v>
      </c>
      <c r="D377" s="1" t="str">
        <f ca="1">IFERROR(__xludf.DUMMYFUNCTION("""COMPUTED_VALUE"""),"PENERAPAN KONSEP LOW CARBON CITY PADA ASPEK TRANSPORTASI DI SURABAYA")</f>
        <v>PENERAPAN KONSEP LOW CARBON CITY PADA ASPEK TRANSPORTASI DI SURABAYA</v>
      </c>
      <c r="E377" s="1" t="str">
        <f ca="1">IFERROR(__xludf.DUMMYFUNCTION("""COMPUTED_VALUE"""),"MUHAMMAD HUSEIN HABIBULLAH")</f>
        <v>MUHAMMAD HUSEIN HABIBULLAH</v>
      </c>
      <c r="F377" s="1" t="str">
        <f ca="1">IFERROR(__xludf.DUMMYFUNCTION("""COMPUTED_VALUE"""),"08211840000049")</f>
        <v>08211840000049</v>
      </c>
      <c r="G377" s="1" t="str">
        <f ca="1">IFERROR(__xludf.DUMMYFUNCTION("""COMPUTED_VALUE"""),"Departemen Perencanaan Wilayah dan Kota")</f>
        <v>Departemen Perencanaan Wilayah dan Kota</v>
      </c>
      <c r="H377" s="1" t="str">
        <f ca="1">IFERROR(__xludf.DUMMYFUNCTION("""COMPUTED_VALUE"""),"Cahyono Susetyo, S.T., M.Sc.")</f>
        <v>Cahyono Susetyo, S.T., M.Sc.</v>
      </c>
      <c r="I377" s="1" t="str">
        <f ca="1">IFERROR(__xludf.DUMMYFUNCTION("""COMPUTED_VALUE"""),"ARMADHYO GIORDANY ADI")</f>
        <v>ARMADHYO GIORDANY ADI</v>
      </c>
      <c r="J377" s="1" t="str">
        <f ca="1">IFERROR(__xludf.DUMMYFUNCTION("""COMPUTED_VALUE"""),"08211840000042")</f>
        <v>08211840000042</v>
      </c>
      <c r="K377" s="1" t="str">
        <f ca="1">IFERROR(__xludf.DUMMYFUNCTION("""COMPUTED_VALUE"""),"Departemen Perencanaan Wilayah dan Kota")</f>
        <v>Departemen Perencanaan Wilayah dan Kota</v>
      </c>
      <c r="L377" s="1" t="str">
        <f ca="1">IFERROR(__xludf.DUMMYFUNCTION("""COMPUTED_VALUE"""),"DIO ASTYA FIRMANSYAH")</f>
        <v>DIO ASTYA FIRMANSYAH</v>
      </c>
      <c r="M377" s="1" t="str">
        <f ca="1">IFERROR(__xludf.DUMMYFUNCTION("""COMPUTED_VALUE"""),"08211840000075")</f>
        <v>08211840000075</v>
      </c>
      <c r="N377" s="1" t="str">
        <f ca="1">IFERROR(__xludf.DUMMYFUNCTION("""COMPUTED_VALUE"""),"Departemen Perencanaan Wilayah dan Kota")</f>
        <v>Departemen Perencanaan Wilayah dan Kota</v>
      </c>
      <c r="O377" s="1" t="str">
        <f ca="1">IFERROR(__xludf.DUMMYFUNCTION("""COMPUTED_VALUE"""),"AISYA NOURMADINA YUNAN")</f>
        <v>AISYA NOURMADINA YUNAN</v>
      </c>
      <c r="P377" s="1" t="str">
        <f ca="1">IFERROR(__xludf.DUMMYFUNCTION("""COMPUTED_VALUE"""),"08211940000056")</f>
        <v>08211940000056</v>
      </c>
      <c r="Q377" s="1" t="str">
        <f ca="1">IFERROR(__xludf.DUMMYFUNCTION("""COMPUTED_VALUE"""),"Departemen Perencanaan Wilayah dan Kota")</f>
        <v>Departemen Perencanaan Wilayah dan Kota</v>
      </c>
      <c r="R377" s="1"/>
      <c r="S377" s="1"/>
      <c r="T377" s="1"/>
      <c r="U377" s="1" t="str">
        <f ca="1">IFERROR(__xludf.DUMMYFUNCTION("""COMPUTED_VALUE"""),"Dr. Soedarso, S.S., M.Hum.")</f>
        <v>Dr. Soedarso, S.S., M.Hum.</v>
      </c>
      <c r="V377" s="1" t="str">
        <f ca="1">IFERROR(__xludf.DUMMYFUNCTION("""COMPUTED_VALUE"""),"Mukti Ratna Dewi, S.Si., M.Sc.")</f>
        <v>Mukti Ratna Dewi, S.Si., M.Sc.</v>
      </c>
      <c r="W377" s="1"/>
      <c r="X377" s="1" t="str">
        <f ca="1">IFERROR(__xludf.DUMMYFUNCTION("""COMPUTED_VALUE"""),"Lolos")</f>
        <v>Lolos</v>
      </c>
      <c r="Y377" s="1"/>
      <c r="Z377" s="1"/>
      <c r="AA377" s="1"/>
    </row>
    <row r="378" spans="1:27">
      <c r="A378" s="1" t="s">
        <v>372</v>
      </c>
      <c r="B378" s="1">
        <f ca="1">IFERROR(__xludf.DUMMYFUNCTION("""COMPUTED_VALUE"""),2655)</f>
        <v>2655</v>
      </c>
      <c r="C378" s="1" t="str">
        <f ca="1">IFERROR(__xludf.DUMMYFUNCTION("""COMPUTED_VALUE"""),"PKM Riset Sosial Humaniora")</f>
        <v>PKM Riset Sosial Humaniora</v>
      </c>
      <c r="D378" s="1" t="str">
        <f ca="1">IFERROR(__xludf.DUMMYFUNCTION("""COMPUTED_VALUE"""),"Perubahan Perilaku Masyarakat Terdampak Proyek Kilang Minyak Tuban dan Implikasinya terhadap Perencanaan Kawasan")</f>
        <v>Perubahan Perilaku Masyarakat Terdampak Proyek Kilang Minyak Tuban dan Implikasinya terhadap Perencanaan Kawasan</v>
      </c>
      <c r="E378" s="1" t="str">
        <f ca="1">IFERROR(__xludf.DUMMYFUNCTION("""COMPUTED_VALUE"""),"DHIDAN TOMYAGISTYAWAN")</f>
        <v>DHIDAN TOMYAGISTYAWAN</v>
      </c>
      <c r="F378" s="1" t="str">
        <f ca="1">IFERROR(__xludf.DUMMYFUNCTION("""COMPUTED_VALUE"""),"08211940000039")</f>
        <v>08211940000039</v>
      </c>
      <c r="G378" s="1" t="str">
        <f ca="1">IFERROR(__xludf.DUMMYFUNCTION("""COMPUTED_VALUE"""),"Departemen Perencanaan Wilayah dan Kota")</f>
        <v>Departemen Perencanaan Wilayah dan Kota</v>
      </c>
      <c r="H378" s="1" t="str">
        <f ca="1">IFERROR(__xludf.DUMMYFUNCTION("""COMPUTED_VALUE"""),"Putu Gde Ariastita, S.T., M.T.")</f>
        <v>Putu Gde Ariastita, S.T., M.T.</v>
      </c>
      <c r="I378" s="1" t="str">
        <f ca="1">IFERROR(__xludf.DUMMYFUNCTION("""COMPUTED_VALUE"""),"MAYRA ANDRAKAYANA")</f>
        <v>MAYRA ANDRAKAYANA</v>
      </c>
      <c r="J378" s="1" t="str">
        <f ca="1">IFERROR(__xludf.DUMMYFUNCTION("""COMPUTED_VALUE"""),"08211940000038")</f>
        <v>08211940000038</v>
      </c>
      <c r="K378" s="1" t="str">
        <f ca="1">IFERROR(__xludf.DUMMYFUNCTION("""COMPUTED_VALUE"""),"Departemen Perencanaan Wilayah dan Kota")</f>
        <v>Departemen Perencanaan Wilayah dan Kota</v>
      </c>
      <c r="L378" s="1" t="str">
        <f ca="1">IFERROR(__xludf.DUMMYFUNCTION("""COMPUTED_VALUE"""),"MUHAMMAD HAIKAL PRAMONO")</f>
        <v>MUHAMMAD HAIKAL PRAMONO</v>
      </c>
      <c r="M378" s="1" t="str">
        <f ca="1">IFERROR(__xludf.DUMMYFUNCTION("""COMPUTED_VALUE"""),"08211940000040")</f>
        <v>08211940000040</v>
      </c>
      <c r="N378" s="1" t="str">
        <f ca="1">IFERROR(__xludf.DUMMYFUNCTION("""COMPUTED_VALUE"""),"Departemen Perencanaan Wilayah dan Kota")</f>
        <v>Departemen Perencanaan Wilayah dan Kota</v>
      </c>
      <c r="O378" s="1" t="str">
        <f ca="1">IFERROR(__xludf.DUMMYFUNCTION("""COMPUTED_VALUE"""),"HARISA NURHAMIDAH SETYA POETRY")</f>
        <v>HARISA NURHAMIDAH SETYA POETRY</v>
      </c>
      <c r="P378" s="1" t="str">
        <f ca="1">IFERROR(__xludf.DUMMYFUNCTION("""COMPUTED_VALUE"""),"5015201014")</f>
        <v>5015201014</v>
      </c>
      <c r="Q378" s="1" t="str">
        <f ca="1">IFERROR(__xludf.DUMMYFUNCTION("""COMPUTED_VALUE"""),"Departemen Perencanaan Wilayah dan Kota")</f>
        <v>Departemen Perencanaan Wilayah dan Kota</v>
      </c>
      <c r="R378" s="1" t="str">
        <f ca="1">IFERROR(__xludf.DUMMYFUNCTION("""COMPUTED_VALUE"""),"BIMA FATWA MUHARRAM")</f>
        <v>BIMA FATWA MUHARRAM</v>
      </c>
      <c r="S378" s="1" t="str">
        <f ca="1">IFERROR(__xludf.DUMMYFUNCTION("""COMPUTED_VALUE"""),"5015201148")</f>
        <v>5015201148</v>
      </c>
      <c r="T378" s="1" t="str">
        <f ca="1">IFERROR(__xludf.DUMMYFUNCTION("""COMPUTED_VALUE"""),"Departemen Perencanaan Wilayah dan Kota")</f>
        <v>Departemen Perencanaan Wilayah dan Kota</v>
      </c>
      <c r="U378" s="1" t="str">
        <f ca="1">IFERROR(__xludf.DUMMYFUNCTION("""COMPUTED_VALUE"""),"Mochamad Yusuf, S.T., M.Sc.")</f>
        <v>Mochamad Yusuf, S.T., M.Sc.</v>
      </c>
      <c r="V378" s="1" t="str">
        <f ca="1">IFERROR(__xludf.DUMMYFUNCTION("""COMPUTED_VALUE"""),"Galuh Oktavia Siswono, S.Si., M.Si., M.Act,Sc.")</f>
        <v>Galuh Oktavia Siswono, S.Si., M.Si., M.Act,Sc.</v>
      </c>
      <c r="W378" s="1"/>
      <c r="X378" s="1" t="str">
        <f ca="1">IFERROR(__xludf.DUMMYFUNCTION("""COMPUTED_VALUE"""),"Lolos")</f>
        <v>Lolos</v>
      </c>
      <c r="Y378" s="1"/>
      <c r="Z378" s="1"/>
      <c r="AA378" s="1"/>
    </row>
    <row r="379" spans="1:27">
      <c r="A379" s="1" t="s">
        <v>373</v>
      </c>
      <c r="B379" s="1">
        <f ca="1">IFERROR(__xludf.DUMMYFUNCTION("""COMPUTED_VALUE"""),2113)</f>
        <v>2113</v>
      </c>
      <c r="C379" s="1" t="str">
        <f ca="1">IFERROR(__xludf.DUMMYFUNCTION("""COMPUTED_VALUE"""),"PKM Riset Sosial Humaniora")</f>
        <v>PKM Riset Sosial Humaniora</v>
      </c>
      <c r="D379" s="1" t="str">
        <f ca="1">IFERROR(__xludf.DUMMYFUNCTION("""COMPUTED_VALUE"""),"Pendekatan Livable Street Dalam Rangka Mewujudkan Ruang Komunitas Generasi Muda Kota Malang di Koridor Kafe Sudimoro
")</f>
        <v xml:space="preserve">Pendekatan Livable Street Dalam Rangka Mewujudkan Ruang Komunitas Generasi Muda Kota Malang di Koridor Kafe Sudimoro
</v>
      </c>
      <c r="E379" s="1" t="str">
        <f ca="1">IFERROR(__xludf.DUMMYFUNCTION("""COMPUTED_VALUE"""),"JULIA OKTAVIANI HARDIYANTO")</f>
        <v>JULIA OKTAVIANI HARDIYANTO</v>
      </c>
      <c r="F379" s="1" t="str">
        <f ca="1">IFERROR(__xludf.DUMMYFUNCTION("""COMPUTED_VALUE"""),"08211840000037")</f>
        <v>08211840000037</v>
      </c>
      <c r="G379" s="1" t="str">
        <f ca="1">IFERROR(__xludf.DUMMYFUNCTION("""COMPUTED_VALUE"""),"Departemen Perencanaan Wilayah dan Kota")</f>
        <v>Departemen Perencanaan Wilayah dan Kota</v>
      </c>
      <c r="H379" s="1" t="str">
        <f ca="1">IFERROR(__xludf.DUMMYFUNCTION("""COMPUTED_VALUE"""),"Prananda Navitas, S.T., M.Sc.")</f>
        <v>Prananda Navitas, S.T., M.Sc.</v>
      </c>
      <c r="I379" s="1" t="str">
        <f ca="1">IFERROR(__xludf.DUMMYFUNCTION("""COMPUTED_VALUE"""),"ACH. FAJAR ZAMILIN")</f>
        <v>ACH. FAJAR ZAMILIN</v>
      </c>
      <c r="J379" s="1" t="str">
        <f ca="1">IFERROR(__xludf.DUMMYFUNCTION("""COMPUTED_VALUE"""),"5015211064")</f>
        <v>5015211064</v>
      </c>
      <c r="K379" s="1" t="str">
        <f ca="1">IFERROR(__xludf.DUMMYFUNCTION("""COMPUTED_VALUE"""),"Departemen Perencanaan Wilayah dan Kota")</f>
        <v>Departemen Perencanaan Wilayah dan Kota</v>
      </c>
      <c r="L379" s="1" t="str">
        <f ca="1">IFERROR(__xludf.DUMMYFUNCTION("""COMPUTED_VALUE"""),"WIDYA KUSUMA ISMAYANTI")</f>
        <v>WIDYA KUSUMA ISMAYANTI</v>
      </c>
      <c r="M379" s="1" t="str">
        <f ca="1">IFERROR(__xludf.DUMMYFUNCTION("""COMPUTED_VALUE"""),"5015201063")</f>
        <v>5015201063</v>
      </c>
      <c r="N379" s="1" t="str">
        <f ca="1">IFERROR(__xludf.DUMMYFUNCTION("""COMPUTED_VALUE"""),"Departemen Perencanaan Wilayah dan Kota")</f>
        <v>Departemen Perencanaan Wilayah dan Kota</v>
      </c>
      <c r="O379" s="1" t="str">
        <f ca="1">IFERROR(__xludf.DUMMYFUNCTION("""COMPUTED_VALUE"""),"FARAH SABARA PUTRI PUSPITA")</f>
        <v>FARAH SABARA PUTRI PUSPITA</v>
      </c>
      <c r="P379" s="1" t="str">
        <f ca="1">IFERROR(__xludf.DUMMYFUNCTION("""COMPUTED_VALUE"""),"5015201013")</f>
        <v>5015201013</v>
      </c>
      <c r="Q379" s="1" t="str">
        <f ca="1">IFERROR(__xludf.DUMMYFUNCTION("""COMPUTED_VALUE"""),"Departemen Perencanaan Wilayah dan Kota")</f>
        <v>Departemen Perencanaan Wilayah dan Kota</v>
      </c>
      <c r="R379" s="1" t="str">
        <f ca="1">IFERROR(__xludf.DUMMYFUNCTION("""COMPUTED_VALUE"""),"AULIA BALQIS SUKMA")</f>
        <v>AULIA BALQIS SUKMA</v>
      </c>
      <c r="S379" s="1" t="str">
        <f ca="1">IFERROR(__xludf.DUMMYFUNCTION("""COMPUTED_VALUE"""),"5015201174")</f>
        <v>5015201174</v>
      </c>
      <c r="T379" s="1" t="str">
        <f ca="1">IFERROR(__xludf.DUMMYFUNCTION("""COMPUTED_VALUE"""),"Departemen Perencanaan Wilayah dan Kota")</f>
        <v>Departemen Perencanaan Wilayah dan Kota</v>
      </c>
      <c r="U379" s="1" t="str">
        <f ca="1">IFERROR(__xludf.DUMMYFUNCTION("""COMPUTED_VALUE"""),"Mochamad Yusuf, S.T., M.Sc.")</f>
        <v>Mochamad Yusuf, S.T., M.Sc.</v>
      </c>
      <c r="V379" s="1" t="str">
        <f ca="1">IFERROR(__xludf.DUMMYFUNCTION("""COMPUTED_VALUE"""),"Mahardika F. Rois, S.T, M.T")</f>
        <v>Mahardika F. Rois, S.T, M.T</v>
      </c>
      <c r="W379" s="1"/>
      <c r="X379" s="1" t="str">
        <f ca="1">IFERROR(__xludf.DUMMYFUNCTION("""COMPUTED_VALUE"""),"Lolos")</f>
        <v>Lolos</v>
      </c>
      <c r="Y379" s="1"/>
      <c r="Z379" s="1"/>
      <c r="AA379" s="1"/>
    </row>
    <row r="380" spans="1:27">
      <c r="A380" s="1" t="s">
        <v>374</v>
      </c>
      <c r="B380" s="1">
        <f ca="1">IFERROR(__xludf.DUMMYFUNCTION("""COMPUTED_VALUE"""),3775)</f>
        <v>3775</v>
      </c>
      <c r="C380" s="1" t="str">
        <f ca="1">IFERROR(__xludf.DUMMYFUNCTION("""COMPUTED_VALUE"""),"PKM Riset Sosial Humaniora")</f>
        <v>PKM Riset Sosial Humaniora</v>
      </c>
      <c r="D380" s="1" t="str">
        <f ca="1">IFERROR(__xludf.DUMMYFUNCTION("""COMPUTED_VALUE"""),"Analisis Faktor-faktor yang Berpengaruh Terhadap Derajat Keparahan DBD dengan Metode Regresi Logistik Elastic Net")</f>
        <v>Analisis Faktor-faktor yang Berpengaruh Terhadap Derajat Keparahan DBD dengan Metode Regresi Logistik Elastic Net</v>
      </c>
      <c r="E380" s="1" t="str">
        <f ca="1">IFERROR(__xludf.DUMMYFUNCTION("""COMPUTED_VALUE"""),"Novitamara")</f>
        <v>Novitamara</v>
      </c>
      <c r="F380" s="1" t="str">
        <f ca="1">IFERROR(__xludf.DUMMYFUNCTION("""COMPUTED_VALUE"""),"06211840000030")</f>
        <v>06211840000030</v>
      </c>
      <c r="G380" s="1" t="str">
        <f ca="1">IFERROR(__xludf.DUMMYFUNCTION("""COMPUTED_VALUE"""),"Departemen Statistika")</f>
        <v>Departemen Statistika</v>
      </c>
      <c r="H380" s="1" t="str">
        <f ca="1">IFERROR(__xludf.DUMMYFUNCTION("""COMPUTED_VALUE"""),"Dr. Achmad Choiruddin, S.Si., M.Sc.")</f>
        <v>Dr. Achmad Choiruddin, S.Si., M.Sc.</v>
      </c>
      <c r="I380" s="1" t="str">
        <f ca="1">IFERROR(__xludf.DUMMYFUNCTION("""COMPUTED_VALUE"""),"AJENG SEKAR SARI")</f>
        <v>AJENG SEKAR SARI</v>
      </c>
      <c r="J380" s="1" t="str">
        <f ca="1">IFERROR(__xludf.DUMMYFUNCTION("""COMPUTED_VALUE"""),"06211940000065")</f>
        <v>06211940000065</v>
      </c>
      <c r="K380" s="1" t="str">
        <f ca="1">IFERROR(__xludf.DUMMYFUNCTION("""COMPUTED_VALUE"""),"Departemen Statistika")</f>
        <v>Departemen Statistika</v>
      </c>
      <c r="L380" s="1" t="str">
        <f ca="1">IFERROR(__xludf.DUMMYFUNCTION("""COMPUTED_VALUE"""),"FADHIL ARYO NUGROHO")</f>
        <v>FADHIL ARYO NUGROHO</v>
      </c>
      <c r="M380" s="1" t="str">
        <f ca="1">IFERROR(__xludf.DUMMYFUNCTION("""COMPUTED_VALUE"""),"5003201068")</f>
        <v>5003201068</v>
      </c>
      <c r="N380" s="1" t="str">
        <f ca="1">IFERROR(__xludf.DUMMYFUNCTION("""COMPUTED_VALUE"""),"Departemen Statistika")</f>
        <v>Departemen Statistika</v>
      </c>
      <c r="O380" s="1"/>
      <c r="P380" s="1"/>
      <c r="Q380" s="1"/>
      <c r="R380" s="1"/>
      <c r="S380" s="1"/>
      <c r="T380" s="1"/>
      <c r="U380" s="1" t="str">
        <f ca="1">IFERROR(__xludf.DUMMYFUNCTION("""COMPUTED_VALUE"""),"Muchammad Nurif, S.E., M.T.")</f>
        <v>Muchammad Nurif, S.E., M.T.</v>
      </c>
      <c r="V380" s="1" t="str">
        <f ca="1">IFERROR(__xludf.DUMMYFUNCTION("""COMPUTED_VALUE"""),"Deqi Rizkivia Radita, S.T., M.Sc.")</f>
        <v>Deqi Rizkivia Radita, S.T., M.Sc.</v>
      </c>
      <c r="W380" s="1"/>
      <c r="X380" s="1" t="str">
        <f ca="1">IFERROR(__xludf.DUMMYFUNCTION("""COMPUTED_VALUE"""),"Lolos")</f>
        <v>Lolos</v>
      </c>
      <c r="Y380" s="1"/>
      <c r="Z380" s="1"/>
      <c r="AA380" s="1"/>
    </row>
    <row r="381" spans="1:27">
      <c r="A381" s="1" t="s">
        <v>375</v>
      </c>
      <c r="B381" s="1">
        <f ca="1">IFERROR(__xludf.DUMMYFUNCTION("""COMPUTED_VALUE"""),2021)</f>
        <v>2021</v>
      </c>
      <c r="C381" s="1" t="str">
        <f ca="1">IFERROR(__xludf.DUMMYFUNCTION("""COMPUTED_VALUE"""),"PKM Riset Sosial Humaniora")</f>
        <v>PKM Riset Sosial Humaniora</v>
      </c>
      <c r="D381" s="1" t="str">
        <f ca="1">IFERROR(__xludf.DUMMYFUNCTION("""COMPUTED_VALUE"""),"Arahan Strategi Pola Spasial Persebaran dan Aksesibilitas Pelayanan Fasilitas Kesehatan Dalam Penanganan COVID-19 Di Provinsi DKI Jakarta")</f>
        <v>Arahan Strategi Pola Spasial Persebaran dan Aksesibilitas Pelayanan Fasilitas Kesehatan Dalam Penanganan COVID-19 Di Provinsi DKI Jakarta</v>
      </c>
      <c r="E381" s="1" t="str">
        <f ca="1">IFERROR(__xludf.DUMMYFUNCTION("""COMPUTED_VALUE"""),"Abdul Rahmat")</f>
        <v>Abdul Rahmat</v>
      </c>
      <c r="F381" s="1" t="str">
        <f ca="1">IFERROR(__xludf.DUMMYFUNCTION("""COMPUTED_VALUE"""),"08211840000029")</f>
        <v>08211840000029</v>
      </c>
      <c r="G381" s="1" t="str">
        <f ca="1">IFERROR(__xludf.DUMMYFUNCTION("""COMPUTED_VALUE"""),"Departemen Perencanaan Wilayah dan Kota")</f>
        <v>Departemen Perencanaan Wilayah dan Kota</v>
      </c>
      <c r="H381" s="1" t="str">
        <f ca="1">IFERROR(__xludf.DUMMYFUNCTION("""COMPUTED_VALUE"""),"Cahyono Susetyo, S.T., M.Sc.")</f>
        <v>Cahyono Susetyo, S.T., M.Sc.</v>
      </c>
      <c r="I381" s="1" t="str">
        <f ca="1">IFERROR(__xludf.DUMMYFUNCTION("""COMPUTED_VALUE"""),"Michael Christianus Giyai")</f>
        <v>Michael Christianus Giyai</v>
      </c>
      <c r="J381" s="1" t="str">
        <f ca="1">IFERROR(__xludf.DUMMYFUNCTION("""COMPUTED_VALUE"""),"08211840000019")</f>
        <v>08211840000019</v>
      </c>
      <c r="K381" s="1" t="str">
        <f ca="1">IFERROR(__xludf.DUMMYFUNCTION("""COMPUTED_VALUE"""),"Departemen Perencanaan Wilayah dan Kota")</f>
        <v>Departemen Perencanaan Wilayah dan Kota</v>
      </c>
      <c r="L381" s="1" t="str">
        <f ca="1">IFERROR(__xludf.DUMMYFUNCTION("""COMPUTED_VALUE"""),"ILVI NUR AINI")</f>
        <v>ILVI NUR AINI</v>
      </c>
      <c r="M381" s="1" t="str">
        <f ca="1">IFERROR(__xludf.DUMMYFUNCTION("""COMPUTED_VALUE"""),"08211840000077")</f>
        <v>08211840000077</v>
      </c>
      <c r="N381" s="1" t="str">
        <f ca="1">IFERROR(__xludf.DUMMYFUNCTION("""COMPUTED_VALUE"""),"Departemen Perencanaan Wilayah dan Kota")</f>
        <v>Departemen Perencanaan Wilayah dan Kota</v>
      </c>
      <c r="O381" s="1" t="str">
        <f ca="1">IFERROR(__xludf.DUMMYFUNCTION("""COMPUTED_VALUE"""),"REPPY AGUNG SAPUTRO")</f>
        <v>REPPY AGUNG SAPUTRO</v>
      </c>
      <c r="P381" s="1" t="str">
        <f ca="1">IFERROR(__xludf.DUMMYFUNCTION("""COMPUTED_VALUE"""),"5015211041")</f>
        <v>5015211041</v>
      </c>
      <c r="Q381" s="1" t="str">
        <f ca="1">IFERROR(__xludf.DUMMYFUNCTION("""COMPUTED_VALUE"""),"Departemen Perencanaan Wilayah dan Kota")</f>
        <v>Departemen Perencanaan Wilayah dan Kota</v>
      </c>
      <c r="R381" s="1" t="str">
        <f ca="1">IFERROR(__xludf.DUMMYFUNCTION("""COMPUTED_VALUE"""),"ANINDYA GITA S. W.")</f>
        <v>ANINDYA GITA S. W.</v>
      </c>
      <c r="S381" s="1" t="str">
        <f ca="1">IFERROR(__xludf.DUMMYFUNCTION("""COMPUTED_VALUE"""),"5015211093")</f>
        <v>5015211093</v>
      </c>
      <c r="T381" s="1" t="str">
        <f ca="1">IFERROR(__xludf.DUMMYFUNCTION("""COMPUTED_VALUE"""),"Departemen Perencanaan Wilayah dan Kota")</f>
        <v>Departemen Perencanaan Wilayah dan Kota</v>
      </c>
      <c r="U381" s="1" t="str">
        <f ca="1">IFERROR(__xludf.DUMMYFUNCTION("""COMPUTED_VALUE"""),"Mochamad Yusuf, S.T., M.Sc.")</f>
        <v>Mochamad Yusuf, S.T., M.Sc.</v>
      </c>
      <c r="V381" s="1" t="str">
        <f ca="1">IFERROR(__xludf.DUMMYFUNCTION("""COMPUTED_VALUE"""),"Galuh Oktavia Siswono, S.Si., M.Si., M.Act,Sc.")</f>
        <v>Galuh Oktavia Siswono, S.Si., M.Si., M.Act,Sc.</v>
      </c>
      <c r="W381" s="1"/>
      <c r="X381" s="1" t="str">
        <f ca="1">IFERROR(__xludf.DUMMYFUNCTION("""COMPUTED_VALUE"""),"Lolos")</f>
        <v>Lolos</v>
      </c>
      <c r="Y381" s="1"/>
      <c r="Z381" s="1"/>
      <c r="AA381" s="1"/>
    </row>
    <row r="382" spans="1:27">
      <c r="A382" s="1" t="s">
        <v>376</v>
      </c>
      <c r="B382" s="1">
        <f ca="1">IFERROR(__xludf.DUMMYFUNCTION("""COMPUTED_VALUE"""),2496)</f>
        <v>2496</v>
      </c>
      <c r="C382" s="1" t="str">
        <f ca="1">IFERROR(__xludf.DUMMYFUNCTION("""COMPUTED_VALUE"""),"PKM Riset Sosial Humaniora")</f>
        <v>PKM Riset Sosial Humaniora</v>
      </c>
      <c r="D382" s="1" t="str">
        <f ca="1">IFERROR(__xludf.DUMMYFUNCTION("""COMPUTED_VALUE"""),"Arahan Pengembangan Kawasan Lahan Pertanian Tanaman Pangan Berbasis Neraca Lahan (Pendekatan Tapak Ekologis) Di Kabupaten Tuban")</f>
        <v>Arahan Pengembangan Kawasan Lahan Pertanian Tanaman Pangan Berbasis Neraca Lahan (Pendekatan Tapak Ekologis) Di Kabupaten Tuban</v>
      </c>
      <c r="E382" s="1" t="str">
        <f ca="1">IFERROR(__xludf.DUMMYFUNCTION("""COMPUTED_VALUE"""),"RISCA TASYA QORINA")</f>
        <v>RISCA TASYA QORINA</v>
      </c>
      <c r="F382" s="1" t="str">
        <f ca="1">IFERROR(__xludf.DUMMYFUNCTION("""COMPUTED_VALUE"""),"08211840000048")</f>
        <v>08211840000048</v>
      </c>
      <c r="G382" s="1" t="str">
        <f ca="1">IFERROR(__xludf.DUMMYFUNCTION("""COMPUTED_VALUE"""),"Departemen Perencanaan Wilayah dan Kota")</f>
        <v>Departemen Perencanaan Wilayah dan Kota</v>
      </c>
      <c r="H382" s="1"/>
      <c r="I382" s="1" t="str">
        <f ca="1">IFERROR(__xludf.DUMMYFUNCTION("""COMPUTED_VALUE"""),"DINDA ALYA")</f>
        <v>DINDA ALYA</v>
      </c>
      <c r="J382" s="1" t="str">
        <f ca="1">IFERROR(__xludf.DUMMYFUNCTION("""COMPUTED_VALUE"""),"08211942000014")</f>
        <v>08211942000014</v>
      </c>
      <c r="K382" s="1" t="str">
        <f ca="1">IFERROR(__xludf.DUMMYFUNCTION("""COMPUTED_VALUE"""),"Departemen Perencanaan Wilayah dan Kota")</f>
        <v>Departemen Perencanaan Wilayah dan Kota</v>
      </c>
      <c r="L382" s="1" t="str">
        <f ca="1">IFERROR(__xludf.DUMMYFUNCTION("""COMPUTED_VALUE"""),"Putri Sharwana")</f>
        <v>Putri Sharwana</v>
      </c>
      <c r="M382" s="1" t="str">
        <f ca="1">IFERROR(__xludf.DUMMYFUNCTION("""COMPUTED_VALUE"""),"08211940000018")</f>
        <v>08211940000018</v>
      </c>
      <c r="N382" s="1" t="str">
        <f ca="1">IFERROR(__xludf.DUMMYFUNCTION("""COMPUTED_VALUE"""),"Departemen Perencanaan Wilayah dan Kota")</f>
        <v>Departemen Perencanaan Wilayah dan Kota</v>
      </c>
      <c r="O382" s="1" t="str">
        <f ca="1">IFERROR(__xludf.DUMMYFUNCTION("""COMPUTED_VALUE"""),"AZURA CALISTA SHAFA KAMILA")</f>
        <v>AZURA CALISTA SHAFA KAMILA</v>
      </c>
      <c r="P382" s="1" t="str">
        <f ca="1">IFERROR(__xludf.DUMMYFUNCTION("""COMPUTED_VALUE"""),"5015201018")</f>
        <v>5015201018</v>
      </c>
      <c r="Q382" s="1" t="str">
        <f ca="1">IFERROR(__xludf.DUMMYFUNCTION("""COMPUTED_VALUE"""),"Departemen Perencanaan Wilayah dan Kota")</f>
        <v>Departemen Perencanaan Wilayah dan Kota</v>
      </c>
      <c r="R382" s="1" t="str">
        <f ca="1">IFERROR(__xludf.DUMMYFUNCTION("""COMPUTED_VALUE"""),"SHINTA NOVIA VERA")</f>
        <v>SHINTA NOVIA VERA</v>
      </c>
      <c r="S382" s="1" t="str">
        <f ca="1">IFERROR(__xludf.DUMMYFUNCTION("""COMPUTED_VALUE"""),"5015201020")</f>
        <v>5015201020</v>
      </c>
      <c r="T382" s="1" t="str">
        <f ca="1">IFERROR(__xludf.DUMMYFUNCTION("""COMPUTED_VALUE"""),"Departemen Perencanaan Wilayah dan Kota")</f>
        <v>Departemen Perencanaan Wilayah dan Kota</v>
      </c>
      <c r="U382" s="1" t="str">
        <f ca="1">IFERROR(__xludf.DUMMYFUNCTION("""COMPUTED_VALUE"""),"Mochamad Yusuf, S.T., M.Sc.")</f>
        <v>Mochamad Yusuf, S.T., M.Sc.</v>
      </c>
      <c r="V382" s="1" t="str">
        <f ca="1">IFERROR(__xludf.DUMMYFUNCTION("""COMPUTED_VALUE"""),"Galuh Oktavia Siswono, S.Si., M.Si., M.Act,Sc.")</f>
        <v>Galuh Oktavia Siswono, S.Si., M.Si., M.Act,Sc.</v>
      </c>
      <c r="W382" s="1"/>
      <c r="X382" s="1" t="str">
        <f ca="1">IFERROR(__xludf.DUMMYFUNCTION("""COMPUTED_VALUE"""),"Lolos")</f>
        <v>Lolos</v>
      </c>
      <c r="Y382" s="1"/>
      <c r="Z382" s="1"/>
      <c r="AA382" s="1"/>
    </row>
    <row r="383" spans="1:27">
      <c r="A383" s="1" t="s">
        <v>377</v>
      </c>
      <c r="B383" s="1">
        <f ca="1">IFERROR(__xludf.DUMMYFUNCTION("""COMPUTED_VALUE"""),2040)</f>
        <v>2040</v>
      </c>
      <c r="C383" s="1" t="str">
        <f ca="1">IFERROR(__xludf.DUMMYFUNCTION("""COMPUTED_VALUE"""),"PKM Riset Sosial Humaniora")</f>
        <v>PKM Riset Sosial Humaniora</v>
      </c>
      <c r="D383" s="1" t="str">
        <f ca="1">IFERROR(__xludf.DUMMYFUNCTION("""COMPUTED_VALUE"""),"Penentuan Lokasi Prioritas Tempat Pemakaman Umum di Jakarta Timur")</f>
        <v>Penentuan Lokasi Prioritas Tempat Pemakaman Umum di Jakarta Timur</v>
      </c>
      <c r="E383" s="1" t="str">
        <f ca="1">IFERROR(__xludf.DUMMYFUNCTION("""COMPUTED_VALUE"""),"ALBERTUS ARYOBIMO BAGAS AMANDARU")</f>
        <v>ALBERTUS ARYOBIMO BAGAS AMANDARU</v>
      </c>
      <c r="F383" s="1" t="str">
        <f ca="1">IFERROR(__xludf.DUMMYFUNCTION("""COMPUTED_VALUE"""),"08211840000059")</f>
        <v>08211840000059</v>
      </c>
      <c r="G383" s="1" t="str">
        <f ca="1">IFERROR(__xludf.DUMMYFUNCTION("""COMPUTED_VALUE"""),"Departemen Perencanaan Wilayah dan Kota")</f>
        <v>Departemen Perencanaan Wilayah dan Kota</v>
      </c>
      <c r="H383" s="1" t="str">
        <f ca="1">IFERROR(__xludf.DUMMYFUNCTION("""COMPUTED_VALUE"""),"Putu Gde Ariastita, S.T., M.T.")</f>
        <v>Putu Gde Ariastita, S.T., M.T.</v>
      </c>
      <c r="I383" s="1" t="str">
        <f ca="1">IFERROR(__xludf.DUMMYFUNCTION("""COMPUTED_VALUE"""),"Kurnia Marika G. K.")</f>
        <v>Kurnia Marika G. K.</v>
      </c>
      <c r="J383" s="1" t="str">
        <f ca="1">IFERROR(__xludf.DUMMYFUNCTION("""COMPUTED_VALUE"""),"5015211075")</f>
        <v>5015211075</v>
      </c>
      <c r="K383" s="1" t="str">
        <f ca="1">IFERROR(__xludf.DUMMYFUNCTION("""COMPUTED_VALUE"""),"Departemen Perencanaan Wilayah dan Kota")</f>
        <v>Departemen Perencanaan Wilayah dan Kota</v>
      </c>
      <c r="L383" s="1" t="str">
        <f ca="1">IFERROR(__xludf.DUMMYFUNCTION("""COMPUTED_VALUE"""),"ANINDYA GITA S. W.")</f>
        <v>ANINDYA GITA S. W.</v>
      </c>
      <c r="M383" s="1" t="str">
        <f ca="1">IFERROR(__xludf.DUMMYFUNCTION("""COMPUTED_VALUE"""),"5015211093")</f>
        <v>5015211093</v>
      </c>
      <c r="N383" s="1" t="str">
        <f ca="1">IFERROR(__xludf.DUMMYFUNCTION("""COMPUTED_VALUE"""),"Departemen Perencanaan Wilayah dan Kota")</f>
        <v>Departemen Perencanaan Wilayah dan Kota</v>
      </c>
      <c r="O383" s="1" t="str">
        <f ca="1">IFERROR(__xludf.DUMMYFUNCTION("""COMPUTED_VALUE"""),"Fathya Miyagi")</f>
        <v>Fathya Miyagi</v>
      </c>
      <c r="P383" s="1" t="str">
        <f ca="1">IFERROR(__xludf.DUMMYFUNCTION("""COMPUTED_VALUE"""),"5015211049")</f>
        <v>5015211049</v>
      </c>
      <c r="Q383" s="1" t="str">
        <f ca="1">IFERROR(__xludf.DUMMYFUNCTION("""COMPUTED_VALUE"""),"Departemen Perencanaan Wilayah dan Kota")</f>
        <v>Departemen Perencanaan Wilayah dan Kota</v>
      </c>
      <c r="R383" s="1" t="str">
        <f ca="1">IFERROR(__xludf.DUMMYFUNCTION("""COMPUTED_VALUE"""),"DIMAS W. GANDHI")</f>
        <v>DIMAS W. GANDHI</v>
      </c>
      <c r="S383" s="1" t="str">
        <f ca="1">IFERROR(__xludf.DUMMYFUNCTION("""COMPUTED_VALUE"""),"5015211060")</f>
        <v>5015211060</v>
      </c>
      <c r="T383" s="1" t="str">
        <f ca="1">IFERROR(__xludf.DUMMYFUNCTION("""COMPUTED_VALUE"""),"Departemen Perencanaan Wilayah dan Kota")</f>
        <v>Departemen Perencanaan Wilayah dan Kota</v>
      </c>
      <c r="U383" s="1" t="str">
        <f ca="1">IFERROR(__xludf.DUMMYFUNCTION("""COMPUTED_VALUE"""),"Mochamad Yusuf, S.T., M.Sc.")</f>
        <v>Mochamad Yusuf, S.T., M.Sc.</v>
      </c>
      <c r="V383" s="1" t="str">
        <f ca="1">IFERROR(__xludf.DUMMYFUNCTION("""COMPUTED_VALUE"""),"Galuh Oktavia Siswono, S.Si., M.Si., M.Act,Sc.")</f>
        <v>Galuh Oktavia Siswono, S.Si., M.Si., M.Act,Sc.</v>
      </c>
      <c r="W383" s="1"/>
      <c r="X383" s="1" t="str">
        <f ca="1">IFERROR(__xludf.DUMMYFUNCTION("""COMPUTED_VALUE"""),"Lolos")</f>
        <v>Lolos</v>
      </c>
      <c r="Y383" s="1"/>
      <c r="Z383" s="1"/>
      <c r="AA383" s="1"/>
    </row>
    <row r="384" spans="1:27">
      <c r="A384" s="1" t="s">
        <v>378</v>
      </c>
      <c r="B384" s="1">
        <f ca="1">IFERROR(__xludf.DUMMYFUNCTION("""COMPUTED_VALUE"""),2423)</f>
        <v>2423</v>
      </c>
      <c r="C384" s="1" t="str">
        <f ca="1">IFERROR(__xludf.DUMMYFUNCTION("""COMPUTED_VALUE"""),"PKM Riset Sosial Humaniora")</f>
        <v>PKM Riset Sosial Humaniora</v>
      </c>
      <c r="D384" s="1" t="str">
        <f ca="1">IFERROR(__xludf.DUMMYFUNCTION("""COMPUTED_VALUE"""),"STRATEGI MENGATASI TINGKAT KEMACETAN DI SURABAYA MELALUI ANALISIS REGRESI BERGANDA HUBUNGAN KETERBATASAN ANGKUTAN UMUM DENGAN NAIKNYA TINGKAT KEMACETAN KOTA SURABAYA")</f>
        <v>STRATEGI MENGATASI TINGKAT KEMACETAN DI SURABAYA MELALUI ANALISIS REGRESI BERGANDA HUBUNGAN KETERBATASAN ANGKUTAN UMUM DENGAN NAIKNYA TINGKAT KEMACETAN KOTA SURABAYA</v>
      </c>
      <c r="E384" s="1" t="str">
        <f ca="1">IFERROR(__xludf.DUMMYFUNCTION("""COMPUTED_VALUE"""),"DHEA MUTIARA PERTIWI")</f>
        <v>DHEA MUTIARA PERTIWI</v>
      </c>
      <c r="F384" s="1" t="str">
        <f ca="1">IFERROR(__xludf.DUMMYFUNCTION("""COMPUTED_VALUE"""),"5003201095")</f>
        <v>5003201095</v>
      </c>
      <c r="G384" s="1" t="str">
        <f ca="1">IFERROR(__xludf.DUMMYFUNCTION("""COMPUTED_VALUE"""),"Departemen Statistika")</f>
        <v>Departemen Statistika</v>
      </c>
      <c r="H384" s="1" t="str">
        <f ca="1">IFERROR(__xludf.DUMMYFUNCTION("""COMPUTED_VALUE"""),"Jerry Dwi Trijoyo Purnomo, S.Si., M.Si., Ph.D.")</f>
        <v>Jerry Dwi Trijoyo Purnomo, S.Si., M.Si., Ph.D.</v>
      </c>
      <c r="I384" s="1" t="str">
        <f ca="1">IFERROR(__xludf.DUMMYFUNCTION("""COMPUTED_VALUE"""),"ALEA ERDINNA MAHESTRI")</f>
        <v>ALEA ERDINNA MAHESTRI</v>
      </c>
      <c r="J384" s="1" t="str">
        <f ca="1">IFERROR(__xludf.DUMMYFUNCTION("""COMPUTED_VALUE"""),"5003201080")</f>
        <v>5003201080</v>
      </c>
      <c r="K384" s="1" t="str">
        <f ca="1">IFERROR(__xludf.DUMMYFUNCTION("""COMPUTED_VALUE"""),"Departemen Statistika")</f>
        <v>Departemen Statistika</v>
      </c>
      <c r="L384" s="1" t="str">
        <f ca="1">IFERROR(__xludf.DUMMYFUNCTION("""COMPUTED_VALUE"""),"VENEZA RAFA ALIYAH")</f>
        <v>VENEZA RAFA ALIYAH</v>
      </c>
      <c r="M384" s="1" t="str">
        <f ca="1">IFERROR(__xludf.DUMMYFUNCTION("""COMPUTED_VALUE"""),"5003201168")</f>
        <v>5003201168</v>
      </c>
      <c r="N384" s="1" t="str">
        <f ca="1">IFERROR(__xludf.DUMMYFUNCTION("""COMPUTED_VALUE"""),"Departemen Statistika")</f>
        <v>Departemen Statistika</v>
      </c>
      <c r="O384" s="1" t="str">
        <f ca="1">IFERROR(__xludf.DUMMYFUNCTION("""COMPUTED_VALUE"""),"SHINTYA LAURENS")</f>
        <v>SHINTYA LAURENS</v>
      </c>
      <c r="P384" s="1" t="str">
        <f ca="1">IFERROR(__xludf.DUMMYFUNCTION("""COMPUTED_VALUE"""),"5003201178")</f>
        <v>5003201178</v>
      </c>
      <c r="Q384" s="1" t="str">
        <f ca="1">IFERROR(__xludf.DUMMYFUNCTION("""COMPUTED_VALUE"""),"Departemen Statistika")</f>
        <v>Departemen Statistika</v>
      </c>
      <c r="R384" s="1" t="str">
        <f ca="1">IFERROR(__xludf.DUMMYFUNCTION("""COMPUTED_VALUE"""),"AGIL PERMATA MEGAPUTRI")</f>
        <v>AGIL PERMATA MEGAPUTRI</v>
      </c>
      <c r="S384" s="1" t="str">
        <f ca="1">IFERROR(__xludf.DUMMYFUNCTION("""COMPUTED_VALUE"""),"5028201060")</f>
        <v>5028201060</v>
      </c>
      <c r="T384" s="1" t="str">
        <f ca="1">IFERROR(__xludf.DUMMYFUNCTION("""COMPUTED_VALUE"""),"Departemen Desain Produk")</f>
        <v>Departemen Desain Produk</v>
      </c>
      <c r="U384" s="1" t="str">
        <f ca="1">IFERROR(__xludf.DUMMYFUNCTION("""COMPUTED_VALUE"""),"Muchammad Nurif, S.E., M.T.")</f>
        <v>Muchammad Nurif, S.E., M.T.</v>
      </c>
      <c r="V384" s="1" t="str">
        <f ca="1">IFERROR(__xludf.DUMMYFUNCTION("""COMPUTED_VALUE"""),"Deqi Rizkivia Radita, S.T., M.Sc.")</f>
        <v>Deqi Rizkivia Radita, S.T., M.Sc.</v>
      </c>
      <c r="W384" s="1"/>
      <c r="X384" s="1" t="str">
        <f ca="1">IFERROR(__xludf.DUMMYFUNCTION("""COMPUTED_VALUE"""),"Lolos")</f>
        <v>Lolos</v>
      </c>
      <c r="Y384" s="1"/>
      <c r="Z384" s="1"/>
      <c r="AA384" s="1"/>
    </row>
    <row r="385" spans="1:27">
      <c r="A385" s="1" t="s">
        <v>379</v>
      </c>
      <c r="B385" s="1">
        <f ca="1">IFERROR(__xludf.DUMMYFUNCTION("""COMPUTED_VALUE"""),2018)</f>
        <v>2018</v>
      </c>
      <c r="C385" s="1" t="str">
        <f ca="1">IFERROR(__xludf.DUMMYFUNCTION("""COMPUTED_VALUE"""),"PKM Riset Sosial Humaniora")</f>
        <v>PKM Riset Sosial Humaniora</v>
      </c>
      <c r="D385" s="1" t="str">
        <f ca="1">IFERROR(__xludf.DUMMYFUNCTION("""COMPUTED_VALUE"""),"Pemodelan Pertumbuhan Lahan Terbangun Sebagai Upaya Melindungi LP2B Di Kecamatan Kota Sumenep")</f>
        <v>Pemodelan Pertumbuhan Lahan Terbangun Sebagai Upaya Melindungi LP2B Di Kecamatan Kota Sumenep</v>
      </c>
      <c r="E385" s="1" t="str">
        <f ca="1">IFERROR(__xludf.DUMMYFUNCTION("""COMPUTED_VALUE"""),"BILLIE ALDERO SURYA SAPUTRA")</f>
        <v>BILLIE ALDERO SURYA SAPUTRA</v>
      </c>
      <c r="F385" s="1" t="str">
        <f ca="1">IFERROR(__xludf.DUMMYFUNCTION("""COMPUTED_VALUE"""),"08211840000095")</f>
        <v>08211840000095</v>
      </c>
      <c r="G385" s="1" t="str">
        <f ca="1">IFERROR(__xludf.DUMMYFUNCTION("""COMPUTED_VALUE"""),"Departemen Perencanaan Wilayah dan Kota")</f>
        <v>Departemen Perencanaan Wilayah dan Kota</v>
      </c>
      <c r="H385" s="1" t="str">
        <f ca="1">IFERROR(__xludf.DUMMYFUNCTION("""COMPUTED_VALUE"""),"Nursakti Adhi Pratomoatmojo, ST., M.Sc.")</f>
        <v>Nursakti Adhi Pratomoatmojo, ST., M.Sc.</v>
      </c>
      <c r="I385" s="1" t="str">
        <f ca="1">IFERROR(__xludf.DUMMYFUNCTION("""COMPUTED_VALUE"""),"MUHAMMAD FAJAR NIARWAN")</f>
        <v>MUHAMMAD FAJAR NIARWAN</v>
      </c>
      <c r="J385" s="1" t="str">
        <f ca="1">IFERROR(__xludf.DUMMYFUNCTION("""COMPUTED_VALUE"""),"08211940000073")</f>
        <v>08211940000073</v>
      </c>
      <c r="K385" s="1" t="str">
        <f ca="1">IFERROR(__xludf.DUMMYFUNCTION("""COMPUTED_VALUE"""),"Departemen Perencanaan Wilayah dan Kota")</f>
        <v>Departemen Perencanaan Wilayah dan Kota</v>
      </c>
      <c r="L385" s="1" t="str">
        <f ca="1">IFERROR(__xludf.DUMMYFUNCTION("""COMPUTED_VALUE"""),"ARYA NURCAHYO NUGROHO")</f>
        <v>ARYA NURCAHYO NUGROHO</v>
      </c>
      <c r="M385" s="1" t="str">
        <f ca="1">IFERROR(__xludf.DUMMYFUNCTION("""COMPUTED_VALUE"""),"08211940000088")</f>
        <v>08211940000088</v>
      </c>
      <c r="N385" s="1" t="str">
        <f ca="1">IFERROR(__xludf.DUMMYFUNCTION("""COMPUTED_VALUE"""),"Departemen Perencanaan Wilayah dan Kota")</f>
        <v>Departemen Perencanaan Wilayah dan Kota</v>
      </c>
      <c r="O385" s="1" t="str">
        <f ca="1">IFERROR(__xludf.DUMMYFUNCTION("""COMPUTED_VALUE"""),"La Rimbi Karina P. W")</f>
        <v>La Rimbi Karina P. W</v>
      </c>
      <c r="P385" s="1" t="str">
        <f ca="1">IFERROR(__xludf.DUMMYFUNCTION("""COMPUTED_VALUE"""),"5015211156")</f>
        <v>5015211156</v>
      </c>
      <c r="Q385" s="1" t="str">
        <f ca="1">IFERROR(__xludf.DUMMYFUNCTION("""COMPUTED_VALUE"""),"Departemen Perencanaan Wilayah dan Kota")</f>
        <v>Departemen Perencanaan Wilayah dan Kota</v>
      </c>
      <c r="R385" s="1" t="str">
        <f ca="1">IFERROR(__xludf.DUMMYFUNCTION("""COMPUTED_VALUE"""),"Aziz Raditya F")</f>
        <v>Aziz Raditya F</v>
      </c>
      <c r="S385" s="1" t="str">
        <f ca="1">IFERROR(__xludf.DUMMYFUNCTION("""COMPUTED_VALUE"""),"5015211077")</f>
        <v>5015211077</v>
      </c>
      <c r="T385" s="1" t="str">
        <f ca="1">IFERROR(__xludf.DUMMYFUNCTION("""COMPUTED_VALUE"""),"Departemen Perencanaan Wilayah dan Kota")</f>
        <v>Departemen Perencanaan Wilayah dan Kota</v>
      </c>
      <c r="U385" s="1" t="str">
        <f ca="1">IFERROR(__xludf.DUMMYFUNCTION("""COMPUTED_VALUE"""),"Mochamad Yusuf, S.T., M.Sc.")</f>
        <v>Mochamad Yusuf, S.T., M.Sc.</v>
      </c>
      <c r="V385" s="1" t="str">
        <f ca="1">IFERROR(__xludf.DUMMYFUNCTION("""COMPUTED_VALUE"""),"Galuh Oktavia Siswono, S.Si., M.Si., M.Act,Sc.")</f>
        <v>Galuh Oktavia Siswono, S.Si., M.Si., M.Act,Sc.</v>
      </c>
      <c r="W385" s="1"/>
      <c r="X385" s="1" t="str">
        <f ca="1">IFERROR(__xludf.DUMMYFUNCTION("""COMPUTED_VALUE"""),"Lolos")</f>
        <v>Lolos</v>
      </c>
      <c r="Y385" s="1"/>
      <c r="Z385" s="1"/>
      <c r="AA385" s="1"/>
    </row>
    <row r="386" spans="1:27">
      <c r="A386" s="1" t="s">
        <v>380</v>
      </c>
      <c r="B386" s="1">
        <f ca="1">IFERROR(__xludf.DUMMYFUNCTION("""COMPUTED_VALUE"""),2126)</f>
        <v>2126</v>
      </c>
      <c r="C386" s="1" t="str">
        <f ca="1">IFERROR(__xludf.DUMMYFUNCTION("""COMPUTED_VALUE"""),"PKM Riset Sosial Humaniora")</f>
        <v>PKM Riset Sosial Humaniora</v>
      </c>
      <c r="D386" s="1" t="str">
        <f ca="1">IFERROR(__xludf.DUMMYFUNCTION("""COMPUTED_VALUE"""),"Strategi Pengembangan Wisata di Masa Pandemi Berdasarkan Kinerja Wisata dan Motivasi Wisatawan di Wisata Pantai Boom Marina")</f>
        <v>Strategi Pengembangan Wisata di Masa Pandemi Berdasarkan Kinerja Wisata dan Motivasi Wisatawan di Wisata Pantai Boom Marina</v>
      </c>
      <c r="E386" s="1" t="str">
        <f ca="1">IFERROR(__xludf.DUMMYFUNCTION("""COMPUTED_VALUE"""),"Dea Mahendra")</f>
        <v>Dea Mahendra</v>
      </c>
      <c r="F386" s="1" t="str">
        <f ca="1">IFERROR(__xludf.DUMMYFUNCTION("""COMPUTED_VALUE"""),"08211840000008")</f>
        <v>08211840000008</v>
      </c>
      <c r="G386" s="1" t="str">
        <f ca="1">IFERROR(__xludf.DUMMYFUNCTION("""COMPUTED_VALUE"""),"Departemen Perencanaan Wilayah dan Kota")</f>
        <v>Departemen Perencanaan Wilayah dan Kota</v>
      </c>
      <c r="H386" s="1" t="str">
        <f ca="1">IFERROR(__xludf.DUMMYFUNCTION("""COMPUTED_VALUE"""),"Ema Umilia, S.T., M.T.")</f>
        <v>Ema Umilia, S.T., M.T.</v>
      </c>
      <c r="I386" s="1" t="str">
        <f ca="1">IFERROR(__xludf.DUMMYFUNCTION("""COMPUTED_VALUE"""),"Dea Amaris Millenia")</f>
        <v>Dea Amaris Millenia</v>
      </c>
      <c r="J386" s="1" t="str">
        <f ca="1">IFERROR(__xludf.DUMMYFUNCTION("""COMPUTED_VALUE"""),"08211940000029")</f>
        <v>08211940000029</v>
      </c>
      <c r="K386" s="1" t="str">
        <f ca="1">IFERROR(__xludf.DUMMYFUNCTION("""COMPUTED_VALUE"""),"Departemen Perencanaan Wilayah dan Kota")</f>
        <v>Departemen Perencanaan Wilayah dan Kota</v>
      </c>
      <c r="L386" s="1" t="str">
        <f ca="1">IFERROR(__xludf.DUMMYFUNCTION("""COMPUTED_VALUE"""),"DANANG ADI RISTANTO")</f>
        <v>DANANG ADI RISTANTO</v>
      </c>
      <c r="M386" s="1" t="str">
        <f ca="1">IFERROR(__xludf.DUMMYFUNCTION("""COMPUTED_VALUE"""),"5015201062")</f>
        <v>5015201062</v>
      </c>
      <c r="N386" s="1" t="str">
        <f ca="1">IFERROR(__xludf.DUMMYFUNCTION("""COMPUTED_VALUE"""),"Departemen Perencanaan Wilayah dan Kota")</f>
        <v>Departemen Perencanaan Wilayah dan Kota</v>
      </c>
      <c r="O386" s="1" t="str">
        <f ca="1">IFERROR(__xludf.DUMMYFUNCTION("""COMPUTED_VALUE"""),"SHABIRA NUR FAIZZA S")</f>
        <v>SHABIRA NUR FAIZZA S</v>
      </c>
      <c r="P386" s="1" t="str">
        <f ca="1">IFERROR(__xludf.DUMMYFUNCTION("""COMPUTED_VALUE"""),"5015211007")</f>
        <v>5015211007</v>
      </c>
      <c r="Q386" s="1" t="str">
        <f ca="1">IFERROR(__xludf.DUMMYFUNCTION("""COMPUTED_VALUE"""),"Departemen Perencanaan Wilayah dan Kota")</f>
        <v>Departemen Perencanaan Wilayah dan Kota</v>
      </c>
      <c r="R386" s="1" t="str">
        <f ca="1">IFERROR(__xludf.DUMMYFUNCTION("""COMPUTED_VALUE"""),"SHIRHAN DAFADHILAH")</f>
        <v>SHIRHAN DAFADHILAH</v>
      </c>
      <c r="S386" s="1" t="str">
        <f ca="1">IFERROR(__xludf.DUMMYFUNCTION("""COMPUTED_VALUE"""),"5015211061")</f>
        <v>5015211061</v>
      </c>
      <c r="T386" s="1" t="str">
        <f ca="1">IFERROR(__xludf.DUMMYFUNCTION("""COMPUTED_VALUE"""),"Departemen Perencanaan Wilayah dan Kota")</f>
        <v>Departemen Perencanaan Wilayah dan Kota</v>
      </c>
      <c r="U386" s="1" t="str">
        <f ca="1">IFERROR(__xludf.DUMMYFUNCTION("""COMPUTED_VALUE"""),"Mochamad Yusuf, S.T., M.Sc.")</f>
        <v>Mochamad Yusuf, S.T., M.Sc.</v>
      </c>
      <c r="V386" s="1" t="str">
        <f ca="1">IFERROR(__xludf.DUMMYFUNCTION("""COMPUTED_VALUE"""),"Adi Suryani, S.S., M.ED(LM)., Ph.D.")</f>
        <v>Adi Suryani, S.S., M.ED(LM)., Ph.D.</v>
      </c>
      <c r="W386" s="1"/>
      <c r="X386" s="1" t="str">
        <f ca="1">IFERROR(__xludf.DUMMYFUNCTION("""COMPUTED_VALUE"""),"Karantina")</f>
        <v>Karantina</v>
      </c>
      <c r="Y386" s="1"/>
      <c r="Z386" s="1"/>
      <c r="AA386" s="1"/>
    </row>
    <row r="387" spans="1:27">
      <c r="A387" s="1" t="s">
        <v>381</v>
      </c>
      <c r="B387" s="1">
        <f ca="1">IFERROR(__xludf.DUMMYFUNCTION("""COMPUTED_VALUE"""),3149)</f>
        <v>3149</v>
      </c>
      <c r="C387" s="1" t="str">
        <f ca="1">IFERROR(__xludf.DUMMYFUNCTION("""COMPUTED_VALUE"""),"PKM Riset Sosial Humaniora")</f>
        <v>PKM Riset Sosial Humaniora</v>
      </c>
      <c r="D387" s="1" t="str">
        <f ca="1">IFERROR(__xludf.DUMMYFUNCTION("""COMPUTED_VALUE"""),"Persepsi dan Preferensi Masyarakat Terhadap Pembangunan Infrastruktur Kawasan Margonda Raya Berdasarkan Pendekatan Pembangunan Berkelanjutan")</f>
        <v>Persepsi dan Preferensi Masyarakat Terhadap Pembangunan Infrastruktur Kawasan Margonda Raya Berdasarkan Pendekatan Pembangunan Berkelanjutan</v>
      </c>
      <c r="E387" s="1" t="str">
        <f ca="1">IFERROR(__xludf.DUMMYFUNCTION("""COMPUTED_VALUE"""),"WAODE NURUL JASMIN AZZAHRA BUDIMAN")</f>
        <v>WAODE NURUL JASMIN AZZAHRA BUDIMAN</v>
      </c>
      <c r="F387" s="1" t="str">
        <f ca="1">IFERROR(__xludf.DUMMYFUNCTION("""COMPUTED_VALUE"""),"08211840000057")</f>
        <v>08211840000057</v>
      </c>
      <c r="G387" s="1" t="str">
        <f ca="1">IFERROR(__xludf.DUMMYFUNCTION("""COMPUTED_VALUE"""),"Departemen Perencanaan Wilayah dan Kota")</f>
        <v>Departemen Perencanaan Wilayah dan Kota</v>
      </c>
      <c r="H387" s="1" t="str">
        <f ca="1">IFERROR(__xludf.DUMMYFUNCTION("""COMPUTED_VALUE"""),"Ardy Maulidy Navastara, S.T., M.T.")</f>
        <v>Ardy Maulidy Navastara, S.T., M.T.</v>
      </c>
      <c r="I387" s="1" t="str">
        <f ca="1">IFERROR(__xludf.DUMMYFUNCTION("""COMPUTED_VALUE"""),"SALSABILA AMANDA ZAHRA")</f>
        <v>SALSABILA AMANDA ZAHRA</v>
      </c>
      <c r="J387" s="1" t="str">
        <f ca="1">IFERROR(__xludf.DUMMYFUNCTION("""COMPUTED_VALUE"""),"5015201133")</f>
        <v>5015201133</v>
      </c>
      <c r="K387" s="1" t="str">
        <f ca="1">IFERROR(__xludf.DUMMYFUNCTION("""COMPUTED_VALUE"""),"Departemen Perencanaan Wilayah dan Kota")</f>
        <v>Departemen Perencanaan Wilayah dan Kota</v>
      </c>
      <c r="L387" s="1" t="str">
        <f ca="1">IFERROR(__xludf.DUMMYFUNCTION("""COMPUTED_VALUE"""),"RACHEL ALINA SIMANJUNTAK")</f>
        <v>RACHEL ALINA SIMANJUNTAK</v>
      </c>
      <c r="M387" s="1" t="str">
        <f ca="1">IFERROR(__xludf.DUMMYFUNCTION("""COMPUTED_VALUE"""),"5015201096")</f>
        <v>5015201096</v>
      </c>
      <c r="N387" s="1" t="str">
        <f ca="1">IFERROR(__xludf.DUMMYFUNCTION("""COMPUTED_VALUE"""),"Departemen Perencanaan Wilayah dan Kota")</f>
        <v>Departemen Perencanaan Wilayah dan Kota</v>
      </c>
      <c r="O387" s="1"/>
      <c r="P387" s="1"/>
      <c r="Q387" s="1"/>
      <c r="R387" s="1"/>
      <c r="S387" s="1"/>
      <c r="T387" s="1"/>
      <c r="U387" s="1" t="str">
        <f ca="1">IFERROR(__xludf.DUMMYFUNCTION("""COMPUTED_VALUE"""),"Dr. Soedarso, S.S., M.Hum.")</f>
        <v>Dr. Soedarso, S.S., M.Hum.</v>
      </c>
      <c r="V387" s="1" t="str">
        <f ca="1">IFERROR(__xludf.DUMMYFUNCTION("""COMPUTED_VALUE"""),"Mahardika F. Rois, S.T, M.T")</f>
        <v>Mahardika F. Rois, S.T, M.T</v>
      </c>
      <c r="W387" s="1"/>
      <c r="X387" s="1" t="str">
        <f ca="1">IFERROR(__xludf.DUMMYFUNCTION("""COMPUTED_VALUE"""),"Karantina")</f>
        <v>Karantina</v>
      </c>
      <c r="Y387" s="1"/>
      <c r="Z387" s="1"/>
      <c r="AA387" s="1"/>
    </row>
    <row r="388" spans="1:27">
      <c r="A388" s="1" t="s">
        <v>382</v>
      </c>
      <c r="B388" s="1">
        <f ca="1">IFERROR(__xludf.DUMMYFUNCTION("""COMPUTED_VALUE"""),2546)</f>
        <v>2546</v>
      </c>
      <c r="C388" s="1" t="str">
        <f ca="1">IFERROR(__xludf.DUMMYFUNCTION("""COMPUTED_VALUE"""),"PKM Riset Sosial Humaniora")</f>
        <v>PKM Riset Sosial Humaniora</v>
      </c>
      <c r="D388" s="1" t="str">
        <f ca="1">IFERROR(__xludf.DUMMYFUNCTION("""COMPUTED_VALUE"""),"PREDIKSI PERUBAHAN PENGGUNAAN LAHAN TERBANGUN BERBASIS CELLULAR AUTO MATA DI PERKOTAAN NGAWI")</f>
        <v>PREDIKSI PERUBAHAN PENGGUNAAN LAHAN TERBANGUN BERBASIS CELLULAR AUTO MATA DI PERKOTAAN NGAWI</v>
      </c>
      <c r="E388" s="1" t="str">
        <f ca="1">IFERROR(__xludf.DUMMYFUNCTION("""COMPUTED_VALUE"""),"RIZQI FITRIYANTO")</f>
        <v>RIZQI FITRIYANTO</v>
      </c>
      <c r="F388" s="1" t="str">
        <f ca="1">IFERROR(__xludf.DUMMYFUNCTION("""COMPUTED_VALUE"""),"08211840000083")</f>
        <v>08211840000083</v>
      </c>
      <c r="G388" s="1" t="str">
        <f ca="1">IFERROR(__xludf.DUMMYFUNCTION("""COMPUTED_VALUE"""),"Departemen Perencanaan Wilayah dan Kota")</f>
        <v>Departemen Perencanaan Wilayah dan Kota</v>
      </c>
      <c r="H388" s="1" t="str">
        <f ca="1">IFERROR(__xludf.DUMMYFUNCTION("""COMPUTED_VALUE"""),"Cahyono Susetyo, S.T., M.Sc.")</f>
        <v>Cahyono Susetyo, S.T., M.Sc.</v>
      </c>
      <c r="I388" s="1" t="str">
        <f ca="1">IFERROR(__xludf.DUMMYFUNCTION("""COMPUTED_VALUE"""),"ADE TRI KENCANA")</f>
        <v>ADE TRI KENCANA</v>
      </c>
      <c r="J388" s="1" t="str">
        <f ca="1">IFERROR(__xludf.DUMMYFUNCTION("""COMPUTED_VALUE"""),"08211840000065")</f>
        <v>08211840000065</v>
      </c>
      <c r="K388" s="1" t="str">
        <f ca="1">IFERROR(__xludf.DUMMYFUNCTION("""COMPUTED_VALUE"""),"Departemen Perencanaan Wilayah dan Kota")</f>
        <v>Departemen Perencanaan Wilayah dan Kota</v>
      </c>
      <c r="L388" s="1" t="str">
        <f ca="1">IFERROR(__xludf.DUMMYFUNCTION("""COMPUTED_VALUE"""),"SYAHRUL FATHONI")</f>
        <v>SYAHRUL FATHONI</v>
      </c>
      <c r="M388" s="1" t="str">
        <f ca="1">IFERROR(__xludf.DUMMYFUNCTION("""COMPUTED_VALUE"""),"08211840000084")</f>
        <v>08211840000084</v>
      </c>
      <c r="N388" s="1" t="str">
        <f ca="1">IFERROR(__xludf.DUMMYFUNCTION("""COMPUTED_VALUE"""),"Departemen Perencanaan Wilayah dan Kota")</f>
        <v>Departemen Perencanaan Wilayah dan Kota</v>
      </c>
      <c r="O388" s="1" t="str">
        <f ca="1">IFERROR(__xludf.DUMMYFUNCTION("""COMPUTED_VALUE"""),"GARIBALDI WASTU PRASIDHA")</f>
        <v>GARIBALDI WASTU PRASIDHA</v>
      </c>
      <c r="P388" s="1" t="str">
        <f ca="1">IFERROR(__xludf.DUMMYFUNCTION("""COMPUTED_VALUE"""),"08211942000002")</f>
        <v>08211942000002</v>
      </c>
      <c r="Q388" s="1" t="str">
        <f ca="1">IFERROR(__xludf.DUMMYFUNCTION("""COMPUTED_VALUE"""),"Departemen Perencanaan Wilayah dan Kota")</f>
        <v>Departemen Perencanaan Wilayah dan Kota</v>
      </c>
      <c r="R388" s="1" t="str">
        <f ca="1">IFERROR(__xludf.DUMMYFUNCTION("""COMPUTED_VALUE"""),"ARVIN FERDIANSYAH PRASETYO")</f>
        <v>ARVIN FERDIANSYAH PRASETYO</v>
      </c>
      <c r="S388" s="1" t="str">
        <f ca="1">IFERROR(__xludf.DUMMYFUNCTION("""COMPUTED_VALUE"""),"08211940000067")</f>
        <v>08211940000067</v>
      </c>
      <c r="T388" s="1" t="str">
        <f ca="1">IFERROR(__xludf.DUMMYFUNCTION("""COMPUTED_VALUE"""),"Departemen Perencanaan Wilayah dan Kota")</f>
        <v>Departemen Perencanaan Wilayah dan Kota</v>
      </c>
      <c r="U388" s="1" t="str">
        <f ca="1">IFERROR(__xludf.DUMMYFUNCTION("""COMPUTED_VALUE"""),"Dr. Soedarso, S.S., M.Hum.")</f>
        <v>Dr. Soedarso, S.S., M.Hum.</v>
      </c>
      <c r="V388" s="1" t="str">
        <f ca="1">IFERROR(__xludf.DUMMYFUNCTION("""COMPUTED_VALUE"""),"Mukti Ratna Dewi, S.Si., M.Sc.")</f>
        <v>Mukti Ratna Dewi, S.Si., M.Sc.</v>
      </c>
      <c r="W388" s="1"/>
      <c r="X388" s="1" t="str">
        <f ca="1">IFERROR(__xludf.DUMMYFUNCTION("""COMPUTED_VALUE"""),"Karantina")</f>
        <v>Karantina</v>
      </c>
      <c r="Y388" s="1"/>
      <c r="Z388" s="1"/>
      <c r="AA388" s="1"/>
    </row>
    <row r="389" spans="1:27">
      <c r="A389" s="1" t="s">
        <v>383</v>
      </c>
      <c r="B389" s="1">
        <f ca="1">IFERROR(__xludf.DUMMYFUNCTION("""COMPUTED_VALUE"""),2296)</f>
        <v>2296</v>
      </c>
      <c r="C389" s="1" t="str">
        <f ca="1">IFERROR(__xludf.DUMMYFUNCTION("""COMPUTED_VALUE"""),"PKM Riset Sosial Humaniora")</f>
        <v>PKM Riset Sosial Humaniora</v>
      </c>
      <c r="D389" s="1" t="str">
        <f ca="1">IFERROR(__xludf.DUMMYFUNCTION("""COMPUTED_VALUE"""),"Pengelompokan Potensi Daerah Sentra Hortikultura dengan Metode K-Prototype sebagai Solusi Ketahanan Pangan di Indonesia
")</f>
        <v xml:space="preserve">Pengelompokan Potensi Daerah Sentra Hortikultura dengan Metode K-Prototype sebagai Solusi Ketahanan Pangan di Indonesia
</v>
      </c>
      <c r="E389" s="1" t="str">
        <f ca="1">IFERROR(__xludf.DUMMYFUNCTION("""COMPUTED_VALUE"""),"DEVI NUR FITRIANI")</f>
        <v>DEVI NUR FITRIANI</v>
      </c>
      <c r="F389" s="1" t="str">
        <f ca="1">IFERROR(__xludf.DUMMYFUNCTION("""COMPUTED_VALUE"""),"5003201032")</f>
        <v>5003201032</v>
      </c>
      <c r="G389" s="1" t="str">
        <f ca="1">IFERROR(__xludf.DUMMYFUNCTION("""COMPUTED_VALUE"""),"Departemen Statistika")</f>
        <v>Departemen Statistika</v>
      </c>
      <c r="H389" s="1" t="str">
        <f ca="1">IFERROR(__xludf.DUMMYFUNCTION("""COMPUTED_VALUE"""),"Adatul Mukarromah, S.Si., M.Si.")</f>
        <v>Adatul Mukarromah, S.Si., M.Si.</v>
      </c>
      <c r="I389" s="1" t="str">
        <f ca="1">IFERROR(__xludf.DUMMYFUNCTION("""COMPUTED_VALUE"""),"Zulfani Alfasanah")</f>
        <v>Zulfani Alfasanah</v>
      </c>
      <c r="J389" s="1" t="str">
        <f ca="1">IFERROR(__xludf.DUMMYFUNCTION("""COMPUTED_VALUE"""),"06211940000025")</f>
        <v>06211940000025</v>
      </c>
      <c r="K389" s="1" t="str">
        <f ca="1">IFERROR(__xludf.DUMMYFUNCTION("""COMPUTED_VALUE"""),"Departemen Statistika")</f>
        <v>Departemen Statistika</v>
      </c>
      <c r="L389" s="1" t="str">
        <f ca="1">IFERROR(__xludf.DUMMYFUNCTION("""COMPUTED_VALUE"""),"AHMAD REYHAN ABDILLAH")</f>
        <v>AHMAD REYHAN ABDILLAH</v>
      </c>
      <c r="M389" s="1" t="str">
        <f ca="1">IFERROR(__xludf.DUMMYFUNCTION("""COMPUTED_VALUE"""),"06211940000095")</f>
        <v>06211940000095</v>
      </c>
      <c r="N389" s="1" t="str">
        <f ca="1">IFERROR(__xludf.DUMMYFUNCTION("""COMPUTED_VALUE"""),"Departemen Statistika")</f>
        <v>Departemen Statistika</v>
      </c>
      <c r="O389" s="1" t="str">
        <f ca="1">IFERROR(__xludf.DUMMYFUNCTION("""COMPUTED_VALUE"""),"FADHIL ARYO NUGROHO")</f>
        <v>FADHIL ARYO NUGROHO</v>
      </c>
      <c r="P389" s="1" t="str">
        <f ca="1">IFERROR(__xludf.DUMMYFUNCTION("""COMPUTED_VALUE"""),"5003201068")</f>
        <v>5003201068</v>
      </c>
      <c r="Q389" s="1" t="str">
        <f ca="1">IFERROR(__xludf.DUMMYFUNCTION("""COMPUTED_VALUE"""),"Departemen Statistika")</f>
        <v>Departemen Statistika</v>
      </c>
      <c r="R389" s="1" t="str">
        <f ca="1">IFERROR(__xludf.DUMMYFUNCTION("""COMPUTED_VALUE"""),"MUHAMMAD KHAIRII SUFYAAN")</f>
        <v>MUHAMMAD KHAIRII SUFYAAN</v>
      </c>
      <c r="S389" s="1" t="str">
        <f ca="1">IFERROR(__xludf.DUMMYFUNCTION("""COMPUTED_VALUE"""),"5003201077")</f>
        <v>5003201077</v>
      </c>
      <c r="T389" s="1" t="str">
        <f ca="1">IFERROR(__xludf.DUMMYFUNCTION("""COMPUTED_VALUE"""),"Departemen Statistika")</f>
        <v>Departemen Statistika</v>
      </c>
      <c r="U389" s="1" t="str">
        <f ca="1">IFERROR(__xludf.DUMMYFUNCTION("""COMPUTED_VALUE"""),"Welly Herumurti, S.T., M.Sc.")</f>
        <v>Welly Herumurti, S.T., M.Sc.</v>
      </c>
      <c r="V389" s="1" t="str">
        <f ca="1">IFERROR(__xludf.DUMMYFUNCTION("""COMPUTED_VALUE"""),"Mukhammad Muryono, S.Si., M.Si., Ph.D.")</f>
        <v>Mukhammad Muryono, S.Si., M.Si., Ph.D.</v>
      </c>
      <c r="W389" s="1"/>
      <c r="X389" s="1" t="str">
        <f ca="1">IFERROR(__xludf.DUMMYFUNCTION("""COMPUTED_VALUE"""),"Karantina")</f>
        <v>Karantina</v>
      </c>
      <c r="Y389" s="1"/>
      <c r="Z389" s="1"/>
      <c r="AA389" s="1"/>
    </row>
    <row r="390" spans="1:27">
      <c r="A390" s="1" t="s">
        <v>384</v>
      </c>
      <c r="B390" s="1">
        <f ca="1">IFERROR(__xludf.DUMMYFUNCTION("""COMPUTED_VALUE"""),2733)</f>
        <v>2733</v>
      </c>
      <c r="C390" s="1" t="str">
        <f ca="1">IFERROR(__xludf.DUMMYFUNCTION("""COMPUTED_VALUE"""),"PKM Riset Sosial Humaniora")</f>
        <v>PKM Riset Sosial Humaniora</v>
      </c>
      <c r="D390" s="1" t="str">
        <f ca="1">IFERROR(__xludf.DUMMYFUNCTION("""COMPUTED_VALUE"""),"Strategi Pengidentifikasian Tingkat Maskulinitas Siswa SMA di Surabaya Timur sebagai Pengaruh Tren TikTok.")</f>
        <v>Strategi Pengidentifikasian Tingkat Maskulinitas Siswa SMA di Surabaya Timur sebagai Pengaruh Tren TikTok.</v>
      </c>
      <c r="E390" s="1" t="str">
        <f ca="1">IFERROR(__xludf.DUMMYFUNCTION("""COMPUTED_VALUE"""),"SITI ASMAUL KUSNAH")</f>
        <v>SITI ASMAUL KUSNAH</v>
      </c>
      <c r="F390" s="1" t="str">
        <f ca="1">IFERROR(__xludf.DUMMYFUNCTION("""COMPUTED_VALUE"""),"5003201036")</f>
        <v>5003201036</v>
      </c>
      <c r="G390" s="1" t="str">
        <f ca="1">IFERROR(__xludf.DUMMYFUNCTION("""COMPUTED_VALUE"""),"Departemen Statistika")</f>
        <v>Departemen Statistika</v>
      </c>
      <c r="H390" s="1" t="str">
        <f ca="1">IFERROR(__xludf.DUMMYFUNCTION("""COMPUTED_VALUE"""),"Dr. Dra. Ismaini Zain, M.Si")</f>
        <v>Dr. Dra. Ismaini Zain, M.Si</v>
      </c>
      <c r="I390" s="1" t="str">
        <f ca="1">IFERROR(__xludf.DUMMYFUNCTION("""COMPUTED_VALUE"""),"ROBIATUL HOFIFAH")</f>
        <v>ROBIATUL HOFIFAH</v>
      </c>
      <c r="J390" s="1" t="str">
        <f ca="1">IFERROR(__xludf.DUMMYFUNCTION("""COMPUTED_VALUE"""),"5003201022")</f>
        <v>5003201022</v>
      </c>
      <c r="K390" s="1" t="str">
        <f ca="1">IFERROR(__xludf.DUMMYFUNCTION("""COMPUTED_VALUE"""),"Departemen Statistika")</f>
        <v>Departemen Statistika</v>
      </c>
      <c r="L390" s="1" t="str">
        <f ca="1">IFERROR(__xludf.DUMMYFUNCTION("""COMPUTED_VALUE"""),"DWI TIAS APRILLIA")</f>
        <v>DWI TIAS APRILLIA</v>
      </c>
      <c r="M390" s="1" t="str">
        <f ca="1">IFERROR(__xludf.DUMMYFUNCTION("""COMPUTED_VALUE"""),"5003201030")</f>
        <v>5003201030</v>
      </c>
      <c r="N390" s="1" t="str">
        <f ca="1">IFERROR(__xludf.DUMMYFUNCTION("""COMPUTED_VALUE"""),"Departemen Statistika")</f>
        <v>Departemen Statistika</v>
      </c>
      <c r="O390" s="1" t="str">
        <f ca="1">IFERROR(__xludf.DUMMYFUNCTION("""COMPUTED_VALUE"""),"RAYHAN ASSABIQ SITANGGANG")</f>
        <v>RAYHAN ASSABIQ SITANGGANG</v>
      </c>
      <c r="P390" s="1" t="str">
        <f ca="1">IFERROR(__xludf.DUMMYFUNCTION("""COMPUTED_VALUE"""),"5003201162")</f>
        <v>5003201162</v>
      </c>
      <c r="Q390" s="1" t="str">
        <f ca="1">IFERROR(__xludf.DUMMYFUNCTION("""COMPUTED_VALUE"""),"Departemen Statistika")</f>
        <v>Departemen Statistika</v>
      </c>
      <c r="R390" s="1" t="str">
        <f ca="1">IFERROR(__xludf.DUMMYFUNCTION("""COMPUTED_VALUE"""),"Nazia Mahmudah")</f>
        <v>Nazia Mahmudah</v>
      </c>
      <c r="S390" s="1" t="str">
        <f ca="1">IFERROR(__xludf.DUMMYFUNCTION("""COMPUTED_VALUE"""),"5003211157")</f>
        <v>5003211157</v>
      </c>
      <c r="T390" s="1" t="str">
        <f ca="1">IFERROR(__xludf.DUMMYFUNCTION("""COMPUTED_VALUE"""),"Departemen Statistika")</f>
        <v>Departemen Statistika</v>
      </c>
      <c r="U390" s="1" t="str">
        <f ca="1">IFERROR(__xludf.DUMMYFUNCTION("""COMPUTED_VALUE"""),"Muchammad Nurif, S.E., M.T.")</f>
        <v>Muchammad Nurif, S.E., M.T.</v>
      </c>
      <c r="V390" s="1" t="str">
        <f ca="1">IFERROR(__xludf.DUMMYFUNCTION("""COMPUTED_VALUE"""),"Mahardika F. Rois, S.T, M.T")</f>
        <v>Mahardika F. Rois, S.T, M.T</v>
      </c>
      <c r="W390" s="1"/>
      <c r="X390" s="1" t="str">
        <f ca="1">IFERROR(__xludf.DUMMYFUNCTION("""COMPUTED_VALUE"""),"Karantina")</f>
        <v>Karantina</v>
      </c>
      <c r="Y390" s="1"/>
      <c r="Z390" s="1"/>
      <c r="AA390" s="1"/>
    </row>
    <row r="391" spans="1:27">
      <c r="A391" s="1" t="s">
        <v>385</v>
      </c>
      <c r="B391" s="1">
        <f ca="1">IFERROR(__xludf.DUMMYFUNCTION("""COMPUTED_VALUE"""),3478)</f>
        <v>3478</v>
      </c>
      <c r="C391" s="1" t="str">
        <f ca="1">IFERROR(__xludf.DUMMYFUNCTION("""COMPUTED_VALUE"""),"PKM Riset Eksakta")</f>
        <v>PKM Riset Eksakta</v>
      </c>
      <c r="D391" s="1" t="str">
        <f ca="1">IFERROR(__xludf.DUMMYFUNCTION("""COMPUTED_VALUE"""),"Sitotoksisitas Nanopartikel Selenium Hasil Fitosintesis dengan Ekstrak Buah Tomat (Solanum lycopersicum) yang Terdoping Perak terhadap Sel Kanker Payudara MCF-7 ")</f>
        <v xml:space="preserve">Sitotoksisitas Nanopartikel Selenium Hasil Fitosintesis dengan Ekstrak Buah Tomat (Solanum lycopersicum) yang Terdoping Perak terhadap Sel Kanker Payudara MCF-7 </v>
      </c>
      <c r="E391" s="1" t="str">
        <f ca="1">IFERROR(__xludf.DUMMYFUNCTION("""COMPUTED_VALUE"""),"Heni Masitoh")</f>
        <v>Heni Masitoh</v>
      </c>
      <c r="F391" s="1" t="str">
        <f ca="1">IFERROR(__xludf.DUMMYFUNCTION("""COMPUTED_VALUE"""),"01211940000034")</f>
        <v>01211940000034</v>
      </c>
      <c r="G391" s="1" t="str">
        <f ca="1">IFERROR(__xludf.DUMMYFUNCTION("""COMPUTED_VALUE"""),"Departemen Kimia")</f>
        <v>Departemen Kimia</v>
      </c>
      <c r="H391" s="1" t="str">
        <f ca="1">IFERROR(__xludf.DUMMYFUNCTION("""COMPUTED_VALUE"""),"Arif Fadlan, S.Si., M.Si., D.Sc")</f>
        <v>Arif Fadlan, S.Si., M.Si., D.Sc</v>
      </c>
      <c r="I391" s="1" t="str">
        <f ca="1">IFERROR(__xludf.DUMMYFUNCTION("""COMPUTED_VALUE"""),"Adinda Fitria Hidayati")</f>
        <v>Adinda Fitria Hidayati</v>
      </c>
      <c r="J391" s="1" t="str">
        <f ca="1">IFERROR(__xludf.DUMMYFUNCTION("""COMPUTED_VALUE"""),"01211940000012")</f>
        <v>01211940000012</v>
      </c>
      <c r="K391" s="1" t="str">
        <f ca="1">IFERROR(__xludf.DUMMYFUNCTION("""COMPUTED_VALUE"""),"Departemen Kimia")</f>
        <v>Departemen Kimia</v>
      </c>
      <c r="L391" s="1" t="str">
        <f ca="1">IFERROR(__xludf.DUMMYFUNCTION("""COMPUTED_VALUE"""),"Winda Seviani")</f>
        <v>Winda Seviani</v>
      </c>
      <c r="M391" s="1" t="str">
        <f ca="1">IFERROR(__xludf.DUMMYFUNCTION("""COMPUTED_VALUE"""),"01211940000018")</f>
        <v>01211940000018</v>
      </c>
      <c r="N391" s="1" t="str">
        <f ca="1">IFERROR(__xludf.DUMMYFUNCTION("""COMPUTED_VALUE"""),"Departemen Kimia")</f>
        <v>Departemen Kimia</v>
      </c>
      <c r="O391" s="1" t="str">
        <f ca="1">IFERROR(__xludf.DUMMYFUNCTION("""COMPUTED_VALUE"""),"Siti Khomariyah")</f>
        <v>Siti Khomariyah</v>
      </c>
      <c r="P391" s="1" t="str">
        <f ca="1">IFERROR(__xludf.DUMMYFUNCTION("""COMPUTED_VALUE"""),"01211940000024")</f>
        <v>01211940000024</v>
      </c>
      <c r="Q391" s="1" t="str">
        <f ca="1">IFERROR(__xludf.DUMMYFUNCTION("""COMPUTED_VALUE"""),"Departemen Kimia")</f>
        <v>Departemen Kimia</v>
      </c>
      <c r="R391" s="1" t="str">
        <f ca="1">IFERROR(__xludf.DUMMYFUNCTION("""COMPUTED_VALUE"""),"Binti Ainiatur Rohmah")</f>
        <v>Binti Ainiatur Rohmah</v>
      </c>
      <c r="S391" s="1" t="str">
        <f ca="1">IFERROR(__xludf.DUMMYFUNCTION("""COMPUTED_VALUE"""),"01211940000033")</f>
        <v>01211940000033</v>
      </c>
      <c r="T391" s="1" t="str">
        <f ca="1">IFERROR(__xludf.DUMMYFUNCTION("""COMPUTED_VALUE"""),"Departemen Kimia")</f>
        <v>Departemen Kimia</v>
      </c>
      <c r="U391" s="1" t="str">
        <f ca="1">IFERROR(__xludf.DUMMYFUNCTION("""COMPUTED_VALUE"""),"Dr.-Ing. Doty Dewi Risanti, S.T., M.T.")</f>
        <v>Dr.-Ing. Doty Dewi Risanti, S.T., M.T.</v>
      </c>
      <c r="V391" s="1" t="str">
        <f ca="1">IFERROR(__xludf.DUMMYFUNCTION("""COMPUTED_VALUE"""),"Hamdan Dwi Rizqi, S.Si., M.Si.")</f>
        <v>Hamdan Dwi Rizqi, S.Si., M.Si.</v>
      </c>
      <c r="W391" s="1"/>
      <c r="X391" s="1" t="str">
        <f ca="1">IFERROR(__xludf.DUMMYFUNCTION("""COMPUTED_VALUE"""),"Lolos")</f>
        <v>Lolos</v>
      </c>
      <c r="Y391" s="1"/>
      <c r="Z391" s="1"/>
      <c r="AA391" s="1"/>
    </row>
    <row r="392" spans="1:27">
      <c r="A392" s="1" t="s">
        <v>386</v>
      </c>
      <c r="B392" s="1">
        <f ca="1">IFERROR(__xludf.DUMMYFUNCTION("""COMPUTED_VALUE"""),2767)</f>
        <v>2767</v>
      </c>
      <c r="C392" s="1" t="str">
        <f ca="1">IFERROR(__xludf.DUMMYFUNCTION("""COMPUTED_VALUE"""),"PKM Riset Eksakta")</f>
        <v>PKM Riset Eksakta</v>
      </c>
      <c r="D392" s="1" t="str">
        <f ca="1">IFERROR(__xludf.DUMMYFUNCTION("""COMPUTED_VALUE"""),"Pemanfaatan Cangkang Rajungan (Portunus pelagicus) Sebagai Bahan Baku Hidroksiapatit Untuk Pembuatan Spesimen Implan Tulang Dengan Kombinasi Polycaprolactone berbasis 3D Printing")</f>
        <v>Pemanfaatan Cangkang Rajungan (Portunus pelagicus) Sebagai Bahan Baku Hidroksiapatit Untuk Pembuatan Spesimen Implan Tulang Dengan Kombinasi Polycaprolactone berbasis 3D Printing</v>
      </c>
      <c r="E392" s="1" t="str">
        <f ca="1">IFERROR(__xludf.DUMMYFUNCTION("""COMPUTED_VALUE"""),"ADIBAH QONITANTI")</f>
        <v>ADIBAH QONITANTI</v>
      </c>
      <c r="F392" s="1" t="str">
        <f ca="1">IFERROR(__xludf.DUMMYFUNCTION("""COMPUTED_VALUE"""),"10411810000058")</f>
        <v>10411810000058</v>
      </c>
      <c r="G392" s="1" t="str">
        <f ca="1">IFERROR(__xludf.DUMMYFUNCTION("""COMPUTED_VALUE"""),"Departemen Teknik Kimia Industri")</f>
        <v>Departemen Teknik Kimia Industri</v>
      </c>
      <c r="H392" s="1" t="str">
        <f ca="1">IFERROR(__xludf.DUMMYFUNCTION("""COMPUTED_VALUE"""),"Dr. Eng. Eva Oktavia Ningrum, S.T., M.S.")</f>
        <v>Dr. Eng. Eva Oktavia Ningrum, S.T., M.S.</v>
      </c>
      <c r="I392" s="1" t="str">
        <f ca="1">IFERROR(__xludf.DUMMYFUNCTION("""COMPUTED_VALUE"""),"PUTRI RAYHANI RAHMANIA")</f>
        <v>PUTRI RAYHANI RAHMANIA</v>
      </c>
      <c r="J392" s="1" t="str">
        <f ca="1">IFERROR(__xludf.DUMMYFUNCTION("""COMPUTED_VALUE"""),"10411810000074")</f>
        <v>10411810000074</v>
      </c>
      <c r="K392" s="1" t="str">
        <f ca="1">IFERROR(__xludf.DUMMYFUNCTION("""COMPUTED_VALUE"""),"Departemen Teknik Kimia Industri")</f>
        <v>Departemen Teknik Kimia Industri</v>
      </c>
      <c r="L392" s="1" t="str">
        <f ca="1">IFERROR(__xludf.DUMMYFUNCTION("""COMPUTED_VALUE"""),"AJENG SUSANTI")</f>
        <v>AJENG SUSANTI</v>
      </c>
      <c r="M392" s="1" t="str">
        <f ca="1">IFERROR(__xludf.DUMMYFUNCTION("""COMPUTED_VALUE"""),"10411910000064")</f>
        <v>10411910000064</v>
      </c>
      <c r="N392" s="1" t="str">
        <f ca="1">IFERROR(__xludf.DUMMYFUNCTION("""COMPUTED_VALUE"""),"Departemen Teknik Kimia Industri")</f>
        <v>Departemen Teknik Kimia Industri</v>
      </c>
      <c r="O392" s="1" t="str">
        <f ca="1">IFERROR(__xludf.DUMMYFUNCTION("""COMPUTED_VALUE"""),"AIGAH AMEILIA MANULLANG")</f>
        <v>AIGAH AMEILIA MANULLANG</v>
      </c>
      <c r="P392" s="1" t="str">
        <f ca="1">IFERROR(__xludf.DUMMYFUNCTION("""COMPUTED_VALUE"""),"10411910000031")</f>
        <v>10411910000031</v>
      </c>
      <c r="Q392" s="1" t="str">
        <f ca="1">IFERROR(__xludf.DUMMYFUNCTION("""COMPUTED_VALUE"""),"Departemen Teknik Kimia Industri")</f>
        <v>Departemen Teknik Kimia Industri</v>
      </c>
      <c r="R392" s="1"/>
      <c r="S392" s="1"/>
      <c r="T392" s="1"/>
      <c r="U392" s="1" t="str">
        <f ca="1">IFERROR(__xludf.DUMMYFUNCTION("""COMPUTED_VALUE"""),"Dr.Eng. Siti Machmudah, S.T., M.Eng.")</f>
        <v>Dr.Eng. Siti Machmudah, S.T., M.Eng.</v>
      </c>
      <c r="V392" s="1" t="str">
        <f ca="1">IFERROR(__xludf.DUMMYFUNCTION("""COMPUTED_VALUE"""),"Dr. Candra Irawan, S.T., M.T.")</f>
        <v>Dr. Candra Irawan, S.T., M.T.</v>
      </c>
      <c r="W392" s="1"/>
      <c r="X392" s="1" t="str">
        <f ca="1">IFERROR(__xludf.DUMMYFUNCTION("""COMPUTED_VALUE"""),"Lolos")</f>
        <v>Lolos</v>
      </c>
      <c r="Y392" s="1"/>
      <c r="Z392" s="1"/>
      <c r="AA392" s="1"/>
    </row>
    <row r="393" spans="1:27">
      <c r="A393" s="1" t="s">
        <v>387</v>
      </c>
      <c r="B393" s="1">
        <f ca="1">IFERROR(__xludf.DUMMYFUNCTION("""COMPUTED_VALUE"""),3557)</f>
        <v>3557</v>
      </c>
      <c r="C393" s="1" t="str">
        <f ca="1">IFERROR(__xludf.DUMMYFUNCTION("""COMPUTED_VALUE"""),"PKM Riset Eksakta")</f>
        <v>PKM Riset Eksakta</v>
      </c>
      <c r="D393" s="1" t="str">
        <f ca="1">IFERROR(__xludf.DUMMYFUNCTION("""COMPUTED_VALUE"""),"Potensi Antibakteri pada Luka Diabetes Terinfeksi MRSA oleh Nanopartikel Seng Oksida Hasil Biosintesis dengan Ekstrak Daun Melinjo yang Terdoping Perak")</f>
        <v>Potensi Antibakteri pada Luka Diabetes Terinfeksi MRSA oleh Nanopartikel Seng Oksida Hasil Biosintesis dengan Ekstrak Daun Melinjo yang Terdoping Perak</v>
      </c>
      <c r="E393" s="1" t="str">
        <f ca="1">IFERROR(__xludf.DUMMYFUNCTION("""COMPUTED_VALUE"""),"Muhammad Zidan Chisa Faqih")</f>
        <v>Muhammad Zidan Chisa Faqih</v>
      </c>
      <c r="F393" s="1" t="str">
        <f ca="1">IFERROR(__xludf.DUMMYFUNCTION("""COMPUTED_VALUE"""),"01211940000021")</f>
        <v>01211940000021</v>
      </c>
      <c r="G393" s="1" t="str">
        <f ca="1">IFERROR(__xludf.DUMMYFUNCTION("""COMPUTED_VALUE"""),"Departemen Kimia")</f>
        <v>Departemen Kimia</v>
      </c>
      <c r="H393" s="1" t="str">
        <f ca="1">IFERROR(__xludf.DUMMYFUNCTION("""COMPUTED_VALUE"""),"Arif Fadlan, S.Si., M.Si., D.Sc")</f>
        <v>Arif Fadlan, S.Si., M.Si., D.Sc</v>
      </c>
      <c r="I393" s="1" t="str">
        <f ca="1">IFERROR(__xludf.DUMMYFUNCTION("""COMPUTED_VALUE"""),"Winda Seviani")</f>
        <v>Winda Seviani</v>
      </c>
      <c r="J393" s="1" t="str">
        <f ca="1">IFERROR(__xludf.DUMMYFUNCTION("""COMPUTED_VALUE"""),"01211940000018")</f>
        <v>01211940000018</v>
      </c>
      <c r="K393" s="1" t="str">
        <f ca="1">IFERROR(__xludf.DUMMYFUNCTION("""COMPUTED_VALUE"""),"Departemen Kimia")</f>
        <v>Departemen Kimia</v>
      </c>
      <c r="L393" s="1" t="str">
        <f ca="1">IFERROR(__xludf.DUMMYFUNCTION("""COMPUTED_VALUE"""),"Binti Ainiatur Rohmah")</f>
        <v>Binti Ainiatur Rohmah</v>
      </c>
      <c r="M393" s="1" t="str">
        <f ca="1">IFERROR(__xludf.DUMMYFUNCTION("""COMPUTED_VALUE"""),"01211940000033")</f>
        <v>01211940000033</v>
      </c>
      <c r="N393" s="1" t="str">
        <f ca="1">IFERROR(__xludf.DUMMYFUNCTION("""COMPUTED_VALUE"""),"Departemen Kimia")</f>
        <v>Departemen Kimia</v>
      </c>
      <c r="O393" s="1" t="str">
        <f ca="1">IFERROR(__xludf.DUMMYFUNCTION("""COMPUTED_VALUE"""),"MOCH. NURHASAN")</f>
        <v>MOCH. NURHASAN</v>
      </c>
      <c r="P393" s="1" t="str">
        <f ca="1">IFERROR(__xludf.DUMMYFUNCTION("""COMPUTED_VALUE"""),"01211940000040")</f>
        <v>01211940000040</v>
      </c>
      <c r="Q393" s="1" t="str">
        <f ca="1">IFERROR(__xludf.DUMMYFUNCTION("""COMPUTED_VALUE"""),"Departemen Kimia")</f>
        <v>Departemen Kimia</v>
      </c>
      <c r="R393" s="1" t="str">
        <f ca="1">IFERROR(__xludf.DUMMYFUNCTION("""COMPUTED_VALUE"""),"REYNAL RESTU AFFANDI")</f>
        <v>REYNAL RESTU AFFANDI</v>
      </c>
      <c r="S393" s="1" t="str">
        <f ca="1">IFERROR(__xludf.DUMMYFUNCTION("""COMPUTED_VALUE"""),"01211940000056")</f>
        <v>01211940000056</v>
      </c>
      <c r="T393" s="1" t="str">
        <f ca="1">IFERROR(__xludf.DUMMYFUNCTION("""COMPUTED_VALUE"""),"Departemen Kimia")</f>
        <v>Departemen Kimia</v>
      </c>
      <c r="U393" s="1" t="str">
        <f ca="1">IFERROR(__xludf.DUMMYFUNCTION("""COMPUTED_VALUE"""),"Dr.Eng. Siti Machmudah, S.T., M.Eng.")</f>
        <v>Dr.Eng. Siti Machmudah, S.T., M.Eng.</v>
      </c>
      <c r="V393" s="1" t="str">
        <f ca="1">IFERROR(__xludf.DUMMYFUNCTION("""COMPUTED_VALUE"""),"Hamdan Dwi Rizqi, S.Si., M.Si.")</f>
        <v>Hamdan Dwi Rizqi, S.Si., M.Si.</v>
      </c>
      <c r="W393" s="1"/>
      <c r="X393" s="1" t="str">
        <f ca="1">IFERROR(__xludf.DUMMYFUNCTION("""COMPUTED_VALUE"""),"Lolos")</f>
        <v>Lolos</v>
      </c>
      <c r="Y393" s="1"/>
      <c r="Z393" s="1"/>
      <c r="AA393" s="1"/>
    </row>
    <row r="394" spans="1:27">
      <c r="A394" s="1" t="s">
        <v>388</v>
      </c>
      <c r="B394" s="1">
        <f ca="1">IFERROR(__xludf.DUMMYFUNCTION("""COMPUTED_VALUE"""),2491)</f>
        <v>2491</v>
      </c>
      <c r="C394" s="1" t="str">
        <f ca="1">IFERROR(__xludf.DUMMYFUNCTION("""COMPUTED_VALUE"""),"PKM Riset Eksakta")</f>
        <v>PKM Riset Eksakta</v>
      </c>
      <c r="D394" s="1" t="str">
        <f ca="1">IFERROR(__xludf.DUMMYFUNCTION("""COMPUTED_VALUE"""),"Potensi Senyawa Flavonoid Daun Putri Malu (Mimosa Pudica) Sebagai Anti Asma Tertarget Interleukin 5 (IL-5) Secara In Silico")</f>
        <v>Potensi Senyawa Flavonoid Daun Putri Malu (Mimosa Pudica) Sebagai Anti Asma Tertarget Interleukin 5 (IL-5) Secara In Silico</v>
      </c>
      <c r="E394" s="1" t="str">
        <f ca="1">IFERROR(__xludf.DUMMYFUNCTION("""COMPUTED_VALUE"""),"MOH. HABIB DWI FEBRIANTO")</f>
        <v>MOH. HABIB DWI FEBRIANTO</v>
      </c>
      <c r="F394" s="1" t="str">
        <f ca="1">IFERROR(__xludf.DUMMYFUNCTION("""COMPUTED_VALUE"""),"5005201054")</f>
        <v>5005201054</v>
      </c>
      <c r="G394" s="1" t="str">
        <f ca="1">IFERROR(__xludf.DUMMYFUNCTION("""COMPUTED_VALUE"""),"Departemen Biologi")</f>
        <v>Departemen Biologi</v>
      </c>
      <c r="H394" s="1" t="str">
        <f ca="1">IFERROR(__xludf.DUMMYFUNCTION("""COMPUTED_VALUE"""),"Dr.rer.nat. Arif Luqman, S.Si., M.T.")</f>
        <v>Dr.rer.nat. Arif Luqman, S.Si., M.T.</v>
      </c>
      <c r="I394" s="1" t="str">
        <f ca="1">IFERROR(__xludf.DUMMYFUNCTION("""COMPUTED_VALUE"""),"SALMA TIARA")</f>
        <v>SALMA TIARA</v>
      </c>
      <c r="J394" s="1" t="str">
        <f ca="1">IFERROR(__xludf.DUMMYFUNCTION("""COMPUTED_VALUE"""),"5005211053")</f>
        <v>5005211053</v>
      </c>
      <c r="K394" s="1" t="str">
        <f ca="1">IFERROR(__xludf.DUMMYFUNCTION("""COMPUTED_VALUE"""),"Departemen Biologi")</f>
        <v>Departemen Biologi</v>
      </c>
      <c r="L394" s="1" t="str">
        <f ca="1">IFERROR(__xludf.DUMMYFUNCTION("""COMPUTED_VALUE"""),"MUHAMMAD AKIL WASILAH NURZAMAN")</f>
        <v>MUHAMMAD AKIL WASILAH NURZAMAN</v>
      </c>
      <c r="M394" s="1" t="str">
        <f ca="1">IFERROR(__xludf.DUMMYFUNCTION("""COMPUTED_VALUE"""),"5005201052")</f>
        <v>5005201052</v>
      </c>
      <c r="N394" s="1" t="str">
        <f ca="1">IFERROR(__xludf.DUMMYFUNCTION("""COMPUTED_VALUE"""),"Departemen Biologi")</f>
        <v>Departemen Biologi</v>
      </c>
      <c r="O394" s="1" t="str">
        <f ca="1">IFERROR(__xludf.DUMMYFUNCTION("""COMPUTED_VALUE"""),"NUR AWALIYAH MENTARI SUKMA")</f>
        <v>NUR AWALIYAH MENTARI SUKMA</v>
      </c>
      <c r="P394" s="1" t="str">
        <f ca="1">IFERROR(__xludf.DUMMYFUNCTION("""COMPUTED_VALUE"""),"5005201089")</f>
        <v>5005201089</v>
      </c>
      <c r="Q394" s="1" t="str">
        <f ca="1">IFERROR(__xludf.DUMMYFUNCTION("""COMPUTED_VALUE"""),"Departemen Biologi")</f>
        <v>Departemen Biologi</v>
      </c>
      <c r="R394" s="1" t="str">
        <f ca="1">IFERROR(__xludf.DUMMYFUNCTION("""COMPUTED_VALUE"""),"Satria P. Wisnu S.")</f>
        <v>Satria P. Wisnu S.</v>
      </c>
      <c r="S394" s="1" t="str">
        <f ca="1">IFERROR(__xludf.DUMMYFUNCTION("""COMPUTED_VALUE"""),"5005211039")</f>
        <v>5005211039</v>
      </c>
      <c r="T394" s="1" t="str">
        <f ca="1">IFERROR(__xludf.DUMMYFUNCTION("""COMPUTED_VALUE"""),"Departemen Biologi")</f>
        <v>Departemen Biologi</v>
      </c>
      <c r="U394" s="1" t="str">
        <f ca="1">IFERROR(__xludf.DUMMYFUNCTION("""COMPUTED_VALUE"""),"Ahmad Fauzan Adziimaa, S.T., M.Sc.")</f>
        <v>Ahmad Fauzan Adziimaa, S.T., M.Sc.</v>
      </c>
      <c r="V394" s="1" t="str">
        <f ca="1">IFERROR(__xludf.DUMMYFUNCTION("""COMPUTED_VALUE"""),"Tri Vicca Kusumadewi, S.T., M.Sc.")</f>
        <v>Tri Vicca Kusumadewi, S.T., M.Sc.</v>
      </c>
      <c r="W394" s="1"/>
      <c r="X394" s="1" t="str">
        <f ca="1">IFERROR(__xludf.DUMMYFUNCTION("""COMPUTED_VALUE"""),"Lolos")</f>
        <v>Lolos</v>
      </c>
      <c r="Y394" s="1"/>
      <c r="Z394" s="1"/>
      <c r="AA394" s="1"/>
    </row>
    <row r="395" spans="1:27">
      <c r="A395" s="1" t="s">
        <v>389</v>
      </c>
      <c r="B395" s="1">
        <f ca="1">IFERROR(__xludf.DUMMYFUNCTION("""COMPUTED_VALUE"""),3220)</f>
        <v>3220</v>
      </c>
      <c r="C395" s="1" t="str">
        <f ca="1">IFERROR(__xludf.DUMMYFUNCTION("""COMPUTED_VALUE"""),"PKM Riset Eksakta")</f>
        <v>PKM Riset Eksakta</v>
      </c>
      <c r="D395" s="1" t="str">
        <f ca="1">IFERROR(__xludf.DUMMYFUNCTION("""COMPUTED_VALUE"""),"Studi Analisis Potensi Listrik dan Termal Energi Hidrogen yang Dihasilkan Oleh Limbah Aluminium dengan Metode Reaksi Alumunium-Air")</f>
        <v>Studi Analisis Potensi Listrik dan Termal Energi Hidrogen yang Dihasilkan Oleh Limbah Aluminium dengan Metode Reaksi Alumunium-Air</v>
      </c>
      <c r="E395" s="1" t="str">
        <f ca="1">IFERROR(__xludf.DUMMYFUNCTION("""COMPUTED_VALUE"""),"Fariz Risqi Maulana")</f>
        <v>Fariz Risqi Maulana</v>
      </c>
      <c r="F395" s="1" t="str">
        <f ca="1">IFERROR(__xludf.DUMMYFUNCTION("""COMPUTED_VALUE"""),"02311840000015")</f>
        <v>02311840000015</v>
      </c>
      <c r="G395" s="1" t="str">
        <f ca="1">IFERROR(__xludf.DUMMYFUNCTION("""COMPUTED_VALUE"""),"Departemen Teknik Fisika")</f>
        <v>Departemen Teknik Fisika</v>
      </c>
      <c r="H395" s="1" t="str">
        <f ca="1">IFERROR(__xludf.DUMMYFUNCTION("""COMPUTED_VALUE"""),"Dr.-Ing. Doty Dewi Risanti, S.T., M.T.")</f>
        <v>Dr.-Ing. Doty Dewi Risanti, S.T., M.T.</v>
      </c>
      <c r="I395" s="1" t="str">
        <f ca="1">IFERROR(__xludf.DUMMYFUNCTION("""COMPUTED_VALUE"""),"ANNISA SEPTYANA NINGRUM")</f>
        <v>ANNISA SEPTYANA NINGRUM</v>
      </c>
      <c r="J395" s="1" t="str">
        <f ca="1">IFERROR(__xludf.DUMMYFUNCTION("""COMPUTED_VALUE"""),"02311940000103")</f>
        <v>02311940000103</v>
      </c>
      <c r="K395" s="1" t="str">
        <f ca="1">IFERROR(__xludf.DUMMYFUNCTION("""COMPUTED_VALUE"""),"Departemen Teknik Fisika")</f>
        <v>Departemen Teknik Fisika</v>
      </c>
      <c r="L395" s="1" t="str">
        <f ca="1">IFERROR(__xludf.DUMMYFUNCTION("""COMPUTED_VALUE"""),"WURY HANDAYANI")</f>
        <v>WURY HANDAYANI</v>
      </c>
      <c r="M395" s="1" t="str">
        <f ca="1">IFERROR(__xludf.DUMMYFUNCTION("""COMPUTED_VALUE"""),"5009201038")</f>
        <v>5009201038</v>
      </c>
      <c r="N395" s="1" t="str">
        <f ca="1">IFERROR(__xludf.DUMMYFUNCTION("""COMPUTED_VALUE"""),"Departemen Teknik Fisika")</f>
        <v>Departemen Teknik Fisika</v>
      </c>
      <c r="O395" s="1" t="str">
        <f ca="1">IFERROR(__xludf.DUMMYFUNCTION("""COMPUTED_VALUE"""),"MUHAMMAD SAIFUL RIZAL")</f>
        <v>MUHAMMAD SAIFUL RIZAL</v>
      </c>
      <c r="P395" s="1" t="str">
        <f ca="1">IFERROR(__xludf.DUMMYFUNCTION("""COMPUTED_VALUE"""),"5009201086")</f>
        <v>5009201086</v>
      </c>
      <c r="Q395" s="1" t="str">
        <f ca="1">IFERROR(__xludf.DUMMYFUNCTION("""COMPUTED_VALUE"""),"Departemen Teknik Fisika")</f>
        <v>Departemen Teknik Fisika</v>
      </c>
      <c r="R395" s="1" t="str">
        <f ca="1">IFERROR(__xludf.DUMMYFUNCTION("""COMPUTED_VALUE"""),"MUKHAMMAD TAUFIQULKHAKIM")</f>
        <v>MUKHAMMAD TAUFIQULKHAKIM</v>
      </c>
      <c r="S395" s="1" t="str">
        <f ca="1">IFERROR(__xludf.DUMMYFUNCTION("""COMPUTED_VALUE"""),"02311840000078")</f>
        <v>02311840000078</v>
      </c>
      <c r="T395" s="1" t="str">
        <f ca="1">IFERROR(__xludf.DUMMYFUNCTION("""COMPUTED_VALUE"""),"Departemen Teknik Fisika")</f>
        <v>Departemen Teknik Fisika</v>
      </c>
      <c r="U395" s="1" t="str">
        <f ca="1">IFERROR(__xludf.DUMMYFUNCTION("""COMPUTED_VALUE"""),"Dr.Eng. Siti Machmudah, S.T., M.Eng.")</f>
        <v>Dr.Eng. Siti Machmudah, S.T., M.Eng.</v>
      </c>
      <c r="V395" s="1" t="str">
        <f ca="1">IFERROR(__xludf.DUMMYFUNCTION("""COMPUTED_VALUE"""),"Dr. Candra Irawan, S.T., M.T.")</f>
        <v>Dr. Candra Irawan, S.T., M.T.</v>
      </c>
      <c r="W395" s="1"/>
      <c r="X395" s="1" t="str">
        <f ca="1">IFERROR(__xludf.DUMMYFUNCTION("""COMPUTED_VALUE"""),"Lolos")</f>
        <v>Lolos</v>
      </c>
      <c r="Y395" s="1"/>
      <c r="Z395" s="1"/>
      <c r="AA395" s="1"/>
    </row>
    <row r="396" spans="1:27">
      <c r="A396" s="1" t="s">
        <v>390</v>
      </c>
      <c r="B396" s="1">
        <f ca="1">IFERROR(__xludf.DUMMYFUNCTION("""COMPUTED_VALUE"""),2533)</f>
        <v>2533</v>
      </c>
      <c r="C396" s="1" t="str">
        <f ca="1">IFERROR(__xludf.DUMMYFUNCTION("""COMPUTED_VALUE"""),"PKM Riset Eksakta")</f>
        <v>PKM Riset Eksakta</v>
      </c>
      <c r="D396" s="1" t="str">
        <f ca="1">IFERROR(__xludf.DUMMYFUNCTION("""COMPUTED_VALUE"""),"“Sintesis Kristal NiSO4.6H2O Dengan Bahan Baku Ferronikel Melalui Proses Hidrometalurgi Sebagai Material Katoda Baterai Nickel Manganese Cobalt (NMC).”")</f>
        <v>“Sintesis Kristal NiSO4.6H2O Dengan Bahan Baku Ferronikel Melalui Proses Hidrometalurgi Sebagai Material Katoda Baterai Nickel Manganese Cobalt (NMC).”</v>
      </c>
      <c r="E396" s="1" t="str">
        <f ca="1">IFERROR(__xludf.DUMMYFUNCTION("""COMPUTED_VALUE"""),"Fazafi Izzul Maruf")</f>
        <v>Fazafi Izzul Maruf</v>
      </c>
      <c r="F396" s="1" t="str">
        <f ca="1">IFERROR(__xludf.DUMMYFUNCTION("""COMPUTED_VALUE"""),"02511840007001")</f>
        <v>02511840007001</v>
      </c>
      <c r="G396" s="1" t="str">
        <f ca="1">IFERROR(__xludf.DUMMYFUNCTION("""COMPUTED_VALUE"""),"Departemen Teknik Material dan Metalurgi")</f>
        <v>Departemen Teknik Material dan Metalurgi</v>
      </c>
      <c r="H396" s="1" t="str">
        <f ca="1">IFERROR(__xludf.DUMMYFUNCTION("""COMPUTED_VALUE"""),"Dr. Sungging Pintowantoro, S.T., M.T.")</f>
        <v>Dr. Sungging Pintowantoro, S.T., M.T.</v>
      </c>
      <c r="I396" s="1" t="str">
        <f ca="1">IFERROR(__xludf.DUMMYFUNCTION("""COMPUTED_VALUE"""),"RACHMAT BINAWAN PRIYONO")</f>
        <v>RACHMAT BINAWAN PRIYONO</v>
      </c>
      <c r="J396" s="1" t="str">
        <f ca="1">IFERROR(__xludf.DUMMYFUNCTION("""COMPUTED_VALUE"""),"02511840000120")</f>
        <v>02511840000120</v>
      </c>
      <c r="K396" s="1" t="str">
        <f ca="1">IFERROR(__xludf.DUMMYFUNCTION("""COMPUTED_VALUE"""),"Departemen Teknik Material dan Metalurgi")</f>
        <v>Departemen Teknik Material dan Metalurgi</v>
      </c>
      <c r="L396" s="1" t="str">
        <f ca="1">IFERROR(__xludf.DUMMYFUNCTION("""COMPUTED_VALUE"""),"FADHLAN WARITHDIN MUHAMMAD")</f>
        <v>FADHLAN WARITHDIN MUHAMMAD</v>
      </c>
      <c r="M396" s="1" t="str">
        <f ca="1">IFERROR(__xludf.DUMMYFUNCTION("""COMPUTED_VALUE"""),"02511840000129")</f>
        <v>02511840000129</v>
      </c>
      <c r="N396" s="1" t="str">
        <f ca="1">IFERROR(__xludf.DUMMYFUNCTION("""COMPUTED_VALUE"""),"Departemen Teknik Material dan Metalurgi")</f>
        <v>Departemen Teknik Material dan Metalurgi</v>
      </c>
      <c r="O396" s="1" t="str">
        <f ca="1">IFERROR(__xludf.DUMMYFUNCTION("""COMPUTED_VALUE"""),"TARAS GENOVIEVO DE YONAROSA")</f>
        <v>TARAS GENOVIEVO DE YONAROSA</v>
      </c>
      <c r="P396" s="1" t="str">
        <f ca="1">IFERROR(__xludf.DUMMYFUNCTION("""COMPUTED_VALUE"""),"02511940000071")</f>
        <v>02511940000071</v>
      </c>
      <c r="Q396" s="1" t="str">
        <f ca="1">IFERROR(__xludf.DUMMYFUNCTION("""COMPUTED_VALUE"""),"Departemen Teknik Material dan Metalurgi")</f>
        <v>Departemen Teknik Material dan Metalurgi</v>
      </c>
      <c r="R396" s="1" t="str">
        <f ca="1">IFERROR(__xludf.DUMMYFUNCTION("""COMPUTED_VALUE"""),"Lintang Yastika Putri")</f>
        <v>Lintang Yastika Putri</v>
      </c>
      <c r="S396" s="1" t="str">
        <f ca="1">IFERROR(__xludf.DUMMYFUNCTION("""COMPUTED_VALUE"""),"02511940000036")</f>
        <v>02511940000036</v>
      </c>
      <c r="T396" s="1" t="str">
        <f ca="1">IFERROR(__xludf.DUMMYFUNCTION("""COMPUTED_VALUE"""),"Departemen Teknik Material dan Metalurgi")</f>
        <v>Departemen Teknik Material dan Metalurgi</v>
      </c>
      <c r="U396" s="1" t="str">
        <f ca="1">IFERROR(__xludf.DUMMYFUNCTION("""COMPUTED_VALUE"""),"Ahmad Fauzan Adziimaa, S.T., M.Sc.")</f>
        <v>Ahmad Fauzan Adziimaa, S.T., M.Sc.</v>
      </c>
      <c r="V396" s="1" t="str">
        <f ca="1">IFERROR(__xludf.DUMMYFUNCTION("""COMPUTED_VALUE"""),"Tri Vicca Kusumadewi, S.T., M.Sc.")</f>
        <v>Tri Vicca Kusumadewi, S.T., M.Sc.</v>
      </c>
      <c r="W396" s="1"/>
      <c r="X396" s="1" t="str">
        <f ca="1">IFERROR(__xludf.DUMMYFUNCTION("""COMPUTED_VALUE"""),"Lolos")</f>
        <v>Lolos</v>
      </c>
      <c r="Y396" s="1"/>
      <c r="Z396" s="1"/>
      <c r="AA396" s="1"/>
    </row>
    <row r="397" spans="1:27">
      <c r="A397" s="1" t="s">
        <v>391</v>
      </c>
      <c r="B397" s="1">
        <f ca="1">IFERROR(__xludf.DUMMYFUNCTION("""COMPUTED_VALUE"""),2605)</f>
        <v>2605</v>
      </c>
      <c r="C397" s="1" t="str">
        <f ca="1">IFERROR(__xludf.DUMMYFUNCTION("""COMPUTED_VALUE"""),"PKM Riset Eksakta")</f>
        <v>PKM Riset Eksakta</v>
      </c>
      <c r="D397" s="1" t="str">
        <f ca="1">IFERROR(__xludf.DUMMYFUNCTION("""COMPUTED_VALUE"""),"Immobilisasi Sel Ragi dan Enzim Invertase dalam Na-Alginat Untuk Produksi Bioetanol dari Limbah Cair Industri Gula Merah")</f>
        <v>Immobilisasi Sel Ragi dan Enzim Invertase dalam Na-Alginat Untuk Produksi Bioetanol dari Limbah Cair Industri Gula Merah</v>
      </c>
      <c r="E397" s="1" t="str">
        <f ca="1">IFERROR(__xludf.DUMMYFUNCTION("""COMPUTED_VALUE"""),"KARENINA ANISYA PRATIWI")</f>
        <v>KARENINA ANISYA PRATIWI</v>
      </c>
      <c r="F397" s="1" t="str">
        <f ca="1">IFERROR(__xludf.DUMMYFUNCTION("""COMPUTED_VALUE"""),"10411810000050")</f>
        <v>10411810000050</v>
      </c>
      <c r="G397" s="1" t="str">
        <f ca="1">IFERROR(__xludf.DUMMYFUNCTION("""COMPUTED_VALUE"""),"Departemen Teknik Kimia Industri")</f>
        <v>Departemen Teknik Kimia Industri</v>
      </c>
      <c r="H397" s="1" t="str">
        <f ca="1">IFERROR(__xludf.DUMMYFUNCTION("""COMPUTED_VALUE"""),"Dr. Afan Hamzah, S.T.")</f>
        <v>Dr. Afan Hamzah, S.T.</v>
      </c>
      <c r="I397" s="1" t="str">
        <f ca="1">IFERROR(__xludf.DUMMYFUNCTION("""COMPUTED_VALUE"""),"PETRA ARDE SEPTIA GRAHA")</f>
        <v>PETRA ARDE SEPTIA GRAHA</v>
      </c>
      <c r="J397" s="1" t="str">
        <f ca="1">IFERROR(__xludf.DUMMYFUNCTION("""COMPUTED_VALUE"""),"10411810000084")</f>
        <v>10411810000084</v>
      </c>
      <c r="K397" s="1" t="str">
        <f ca="1">IFERROR(__xludf.DUMMYFUNCTION("""COMPUTED_VALUE"""),"Departemen Teknik Kimia Industri")</f>
        <v>Departemen Teknik Kimia Industri</v>
      </c>
      <c r="L397" s="1" t="str">
        <f ca="1">IFERROR(__xludf.DUMMYFUNCTION("""COMPUTED_VALUE"""),"YULIANA DEWI PUSPITASARI")</f>
        <v>YULIANA DEWI PUSPITASARI</v>
      </c>
      <c r="M397" s="1" t="str">
        <f ca="1">IFERROR(__xludf.DUMMYFUNCTION("""COMPUTED_VALUE"""),"10411810000073")</f>
        <v>10411810000073</v>
      </c>
      <c r="N397" s="1" t="str">
        <f ca="1">IFERROR(__xludf.DUMMYFUNCTION("""COMPUTED_VALUE"""),"Departemen Teknik Kimia Industri")</f>
        <v>Departemen Teknik Kimia Industri</v>
      </c>
      <c r="O397" s="1" t="str">
        <f ca="1">IFERROR(__xludf.DUMMYFUNCTION("""COMPUTED_VALUE"""),"SHINTA DEWI SURYA PERTIWI")</f>
        <v>SHINTA DEWI SURYA PERTIWI</v>
      </c>
      <c r="P397" s="1" t="str">
        <f ca="1">IFERROR(__xludf.DUMMYFUNCTION("""COMPUTED_VALUE"""),"10411810000008")</f>
        <v>10411810000008</v>
      </c>
      <c r="Q397" s="1" t="str">
        <f ca="1">IFERROR(__xludf.DUMMYFUNCTION("""COMPUTED_VALUE"""),"Departemen Teknik Kimia Industri")</f>
        <v>Departemen Teknik Kimia Industri</v>
      </c>
      <c r="R397" s="1" t="str">
        <f ca="1">IFERROR(__xludf.DUMMYFUNCTION("""COMPUTED_VALUE"""),"MUHAMMAD DIMAS HAFANI")</f>
        <v>MUHAMMAD DIMAS HAFANI</v>
      </c>
      <c r="S397" s="1" t="str">
        <f ca="1">IFERROR(__xludf.DUMMYFUNCTION("""COMPUTED_VALUE"""),"10411910000060")</f>
        <v>10411910000060</v>
      </c>
      <c r="T397" s="1" t="str">
        <f ca="1">IFERROR(__xludf.DUMMYFUNCTION("""COMPUTED_VALUE"""),"Departemen Teknik Kimia Industri")</f>
        <v>Departemen Teknik Kimia Industri</v>
      </c>
      <c r="U397" s="1" t="str">
        <f ca="1">IFERROR(__xludf.DUMMYFUNCTION("""COMPUTED_VALUE"""),"Dr.-Ing. Doty Dewi Risanti, S.T., M.T.")</f>
        <v>Dr.-Ing. Doty Dewi Risanti, S.T., M.T.</v>
      </c>
      <c r="V397" s="1" t="str">
        <f ca="1">IFERROR(__xludf.DUMMYFUNCTION("""COMPUTED_VALUE"""),"Dr. Candra Irawan, S.T., M.T.")</f>
        <v>Dr. Candra Irawan, S.T., M.T.</v>
      </c>
      <c r="W397" s="1"/>
      <c r="X397" s="1" t="str">
        <f ca="1">IFERROR(__xludf.DUMMYFUNCTION("""COMPUTED_VALUE"""),"Lolos")</f>
        <v>Lolos</v>
      </c>
      <c r="Y397" s="1"/>
      <c r="Z397" s="1"/>
      <c r="AA397" s="1"/>
    </row>
    <row r="398" spans="1:27">
      <c r="A398" s="1" t="s">
        <v>392</v>
      </c>
      <c r="B398" s="1">
        <f ca="1">IFERROR(__xludf.DUMMYFUNCTION("""COMPUTED_VALUE"""),3839)</f>
        <v>3839</v>
      </c>
      <c r="C398" s="1" t="str">
        <f ca="1">IFERROR(__xludf.DUMMYFUNCTION("""COMPUTED_VALUE"""),"PKM Riset Eksakta")</f>
        <v>PKM Riset Eksakta</v>
      </c>
      <c r="D398" s="1" t="str">
        <f ca="1">IFERROR(__xludf.DUMMYFUNCTION("""COMPUTED_VALUE"""),"Delignifikasi Limbah Serbuk Kayu Sengon Menggunakan Jamur Pelapuk Putih Dengan Bantuan Ultrasonik Sebagai Proses yang Ramah Lingkungan")</f>
        <v>Delignifikasi Limbah Serbuk Kayu Sengon Menggunakan Jamur Pelapuk Putih Dengan Bantuan Ultrasonik Sebagai Proses yang Ramah Lingkungan</v>
      </c>
      <c r="E398" s="1" t="str">
        <f ca="1">IFERROR(__xludf.DUMMYFUNCTION("""COMPUTED_VALUE"""),"FADHLURRAHMAN MUHARRIK")</f>
        <v>FADHLURRAHMAN MUHARRIK</v>
      </c>
      <c r="F398" s="1" t="str">
        <f ca="1">IFERROR(__xludf.DUMMYFUNCTION("""COMPUTED_VALUE"""),"02211840000087")</f>
        <v>02211840000087</v>
      </c>
      <c r="G398" s="1" t="str">
        <f ca="1">IFERROR(__xludf.DUMMYFUNCTION("""COMPUTED_VALUE"""),"Departemen Teknik Kimia")</f>
        <v>Departemen Teknik Kimia</v>
      </c>
      <c r="H398" s="1" t="str">
        <f ca="1">IFERROR(__xludf.DUMMYFUNCTION("""COMPUTED_VALUE"""),"Dr. Ir. Sumarno, M.Eng.")</f>
        <v>Dr. Ir. Sumarno, M.Eng.</v>
      </c>
      <c r="I398" s="1" t="str">
        <f ca="1">IFERROR(__xludf.DUMMYFUNCTION("""COMPUTED_VALUE"""),"AFIFAH NUR HAMIDAH")</f>
        <v>AFIFAH NUR HAMIDAH</v>
      </c>
      <c r="J398" s="1" t="str">
        <f ca="1">IFERROR(__xludf.DUMMYFUNCTION("""COMPUTED_VALUE"""),"02211840000114")</f>
        <v>02211840000114</v>
      </c>
      <c r="K398" s="1" t="str">
        <f ca="1">IFERROR(__xludf.DUMMYFUNCTION("""COMPUTED_VALUE"""),"Departemen Teknik Kimia")</f>
        <v>Departemen Teknik Kimia</v>
      </c>
      <c r="L398" s="1" t="str">
        <f ca="1">IFERROR(__xludf.DUMMYFUNCTION("""COMPUTED_VALUE"""),"MOH ABDILLAH AL FIKRI")</f>
        <v>MOH ABDILLAH AL FIKRI</v>
      </c>
      <c r="M398" s="1" t="str">
        <f ca="1">IFERROR(__xludf.DUMMYFUNCTION("""COMPUTED_VALUE"""),"02211940000091")</f>
        <v>02211940000091</v>
      </c>
      <c r="N398" s="1" t="str">
        <f ca="1">IFERROR(__xludf.DUMMYFUNCTION("""COMPUTED_VALUE"""),"Departemen Teknik Kimia")</f>
        <v>Departemen Teknik Kimia</v>
      </c>
      <c r="O398" s="1" t="str">
        <f ca="1">IFERROR(__xludf.DUMMYFUNCTION("""COMPUTED_VALUE"""),"MOHD AZMI FADHI SIREGAR")</f>
        <v>MOHD AZMI FADHI SIREGAR</v>
      </c>
      <c r="P398" s="1" t="str">
        <f ca="1">IFERROR(__xludf.DUMMYFUNCTION("""COMPUTED_VALUE"""),"02211940000087")</f>
        <v>02211940000087</v>
      </c>
      <c r="Q398" s="1" t="str">
        <f ca="1">IFERROR(__xludf.DUMMYFUNCTION("""COMPUTED_VALUE"""),"Departemen Teknik Kimia")</f>
        <v>Departemen Teknik Kimia</v>
      </c>
      <c r="R398" s="1"/>
      <c r="S398" s="1"/>
      <c r="T398" s="1"/>
      <c r="U398" s="1" t="str">
        <f ca="1">IFERROR(__xludf.DUMMYFUNCTION("""COMPUTED_VALUE"""),"Dr. Dhany Arifianto, S.T., M.Eng.")</f>
        <v>Dr. Dhany Arifianto, S.T., M.Eng.</v>
      </c>
      <c r="V398" s="1" t="str">
        <f ca="1">IFERROR(__xludf.DUMMYFUNCTION("""COMPUTED_VALUE"""),"Dra. Ratna Ediati, MS., Ph.D.")</f>
        <v>Dra. Ratna Ediati, MS., Ph.D.</v>
      </c>
      <c r="W398" s="1"/>
      <c r="X398" s="1" t="str">
        <f ca="1">IFERROR(__xludf.DUMMYFUNCTION("""COMPUTED_VALUE"""),"Lolos")</f>
        <v>Lolos</v>
      </c>
      <c r="Y398" s="1"/>
      <c r="Z398" s="1"/>
      <c r="AA398" s="1"/>
    </row>
    <row r="399" spans="1:27">
      <c r="A399" s="1" t="s">
        <v>393</v>
      </c>
      <c r="B399" s="1">
        <f ca="1">IFERROR(__xludf.DUMMYFUNCTION("""COMPUTED_VALUE"""),2105)</f>
        <v>2105</v>
      </c>
      <c r="C399" s="1" t="str">
        <f ca="1">IFERROR(__xludf.DUMMYFUNCTION("""COMPUTED_VALUE"""),"PKM Riset Eksakta")</f>
        <v>PKM Riset Eksakta</v>
      </c>
      <c r="D399" s="1" t="str">
        <f ca="1">IFERROR(__xludf.DUMMYFUNCTION("""COMPUTED_VALUE"""),"Modifikasi Biomaterial Anchoring Screw Supraspinatus Berbasis Kombinasi Polycaprolactone dan Hidroksiapatit Cangkang Rajungan Untuk Meningkatkan Karakteristik Biocompatibility dan Bioactivity")</f>
        <v>Modifikasi Biomaterial Anchoring Screw Supraspinatus Berbasis Kombinasi Polycaprolactone dan Hidroksiapatit Cangkang Rajungan Untuk Meningkatkan Karakteristik Biocompatibility dan Bioactivity</v>
      </c>
      <c r="E399" s="1" t="str">
        <f ca="1">IFERROR(__xludf.DUMMYFUNCTION("""COMPUTED_VALUE"""),"ELSABELLA ADIGUNA")</f>
        <v>ELSABELLA ADIGUNA</v>
      </c>
      <c r="F399" s="1" t="str">
        <f ca="1">IFERROR(__xludf.DUMMYFUNCTION("""COMPUTED_VALUE"""),"10411810000032")</f>
        <v>10411810000032</v>
      </c>
      <c r="G399" s="1" t="str">
        <f ca="1">IFERROR(__xludf.DUMMYFUNCTION("""COMPUTED_VALUE"""),"Departemen Teknik Kimia Industri")</f>
        <v>Departemen Teknik Kimia Industri</v>
      </c>
      <c r="H399" s="1" t="str">
        <f ca="1">IFERROR(__xludf.DUMMYFUNCTION("""COMPUTED_VALUE"""),"Dr. Eng. Eva Oktavia Ningrum, S.T., M.S.")</f>
        <v>Dr. Eng. Eva Oktavia Ningrum, S.T., M.S.</v>
      </c>
      <c r="I399" s="1" t="str">
        <f ca="1">IFERROR(__xludf.DUMMYFUNCTION("""COMPUTED_VALUE"""),"MUHAMMAD GARIN")</f>
        <v>MUHAMMAD GARIN</v>
      </c>
      <c r="J399" s="1" t="str">
        <f ca="1">IFERROR(__xludf.DUMMYFUNCTION("""COMPUTED_VALUE"""),"10411810000022")</f>
        <v>10411810000022</v>
      </c>
      <c r="K399" s="1" t="str">
        <f ca="1">IFERROR(__xludf.DUMMYFUNCTION("""COMPUTED_VALUE"""),"Departemen Teknik Kimia Industri")</f>
        <v>Departemen Teknik Kimia Industri</v>
      </c>
      <c r="L399" s="1" t="str">
        <f ca="1">IFERROR(__xludf.DUMMYFUNCTION("""COMPUTED_VALUE"""),"NOVELIA GITA ROMADHONA")</f>
        <v>NOVELIA GITA ROMADHONA</v>
      </c>
      <c r="M399" s="1" t="str">
        <f ca="1">IFERROR(__xludf.DUMMYFUNCTION("""COMPUTED_VALUE"""),"10411910000002")</f>
        <v>10411910000002</v>
      </c>
      <c r="N399" s="1" t="str">
        <f ca="1">IFERROR(__xludf.DUMMYFUNCTION("""COMPUTED_VALUE"""),"Departemen Teknik Kimia Industri")</f>
        <v>Departemen Teknik Kimia Industri</v>
      </c>
      <c r="O399" s="1" t="str">
        <f ca="1">IFERROR(__xludf.DUMMYFUNCTION("""COMPUTED_VALUE"""),"NESHA PERMATA SYAFIRA")</f>
        <v>NESHA PERMATA SYAFIRA</v>
      </c>
      <c r="P399" s="1" t="str">
        <f ca="1">IFERROR(__xludf.DUMMYFUNCTION("""COMPUTED_VALUE"""),"10411910000078")</f>
        <v>10411910000078</v>
      </c>
      <c r="Q399" s="1" t="str">
        <f ca="1">IFERROR(__xludf.DUMMYFUNCTION("""COMPUTED_VALUE"""),"Departemen Teknik Kimia Industri")</f>
        <v>Departemen Teknik Kimia Industri</v>
      </c>
      <c r="R399" s="1"/>
      <c r="S399" s="1"/>
      <c r="T399" s="1"/>
      <c r="U399" s="1" t="str">
        <f ca="1">IFERROR(__xludf.DUMMYFUNCTION("""COMPUTED_VALUE"""),"Dr. Awik Puji Dyah Nurhayati, S.Si., M.Si.")</f>
        <v>Dr. Awik Puji Dyah Nurhayati, S.Si., M.Si.</v>
      </c>
      <c r="V399" s="1" t="str">
        <f ca="1">IFERROR(__xludf.DUMMYFUNCTION("""COMPUTED_VALUE"""),"Iska Desmawati, S.Si., M.Si.")</f>
        <v>Iska Desmawati, S.Si., M.Si.</v>
      </c>
      <c r="W399" s="1"/>
      <c r="X399" s="1" t="str">
        <f ca="1">IFERROR(__xludf.DUMMYFUNCTION("""COMPUTED_VALUE"""),"Lolos")</f>
        <v>Lolos</v>
      </c>
      <c r="Y399" s="1"/>
      <c r="Z399" s="1"/>
      <c r="AA399" s="1"/>
    </row>
    <row r="400" spans="1:27">
      <c r="A400" s="1" t="s">
        <v>394</v>
      </c>
      <c r="B400" s="1">
        <f ca="1">IFERROR(__xludf.DUMMYFUNCTION("""COMPUTED_VALUE"""),4001)</f>
        <v>4001</v>
      </c>
      <c r="C400" s="1" t="str">
        <f ca="1">IFERROR(__xludf.DUMMYFUNCTION("""COMPUTED_VALUE"""),"PKM Riset Eksakta")</f>
        <v>PKM Riset Eksakta</v>
      </c>
      <c r="D400" s="1" t="str">
        <f ca="1">IFERROR(__xludf.DUMMYFUNCTION("""COMPUTED_VALUE"""),"Potensi UiO-66 Termodifikasi MCM-41 Disintesis dari Lumpur Lapindo Sebagai Adsorben Limbah Antibiotik Sulfonamida")</f>
        <v>Potensi UiO-66 Termodifikasi MCM-41 Disintesis dari Lumpur Lapindo Sebagai Adsorben Limbah Antibiotik Sulfonamida</v>
      </c>
      <c r="E400" s="1" t="str">
        <f ca="1">IFERROR(__xludf.DUMMYFUNCTION("""COMPUTED_VALUE"""),"Febiola Putri Utami")</f>
        <v>Febiola Putri Utami</v>
      </c>
      <c r="F400" s="1" t="str">
        <f ca="1">IFERROR(__xludf.DUMMYFUNCTION("""COMPUTED_VALUE"""),"01211940000015")</f>
        <v>01211940000015</v>
      </c>
      <c r="G400" s="1" t="str">
        <f ca="1">IFERROR(__xludf.DUMMYFUNCTION("""COMPUTED_VALUE"""),"Departemen Kimia")</f>
        <v>Departemen Kimia</v>
      </c>
      <c r="H400" s="1" t="str">
        <f ca="1">IFERROR(__xludf.DUMMYFUNCTION("""COMPUTED_VALUE"""),"Dra. Ratna Ediati, MS., Ph.D.")</f>
        <v>Dra. Ratna Ediati, MS., Ph.D.</v>
      </c>
      <c r="I400" s="1" t="str">
        <f ca="1">IFERROR(__xludf.DUMMYFUNCTION("""COMPUTED_VALUE"""),"Aliefia Nuraini Talya Dewi")</f>
        <v>Aliefia Nuraini Talya Dewi</v>
      </c>
      <c r="J400" s="1" t="str">
        <f ca="1">IFERROR(__xludf.DUMMYFUNCTION("""COMPUTED_VALUE"""),"01211940000003")</f>
        <v>01211940000003</v>
      </c>
      <c r="K400" s="1" t="str">
        <f ca="1">IFERROR(__xludf.DUMMYFUNCTION("""COMPUTED_VALUE"""),"Departemen Kimia")</f>
        <v>Departemen Kimia</v>
      </c>
      <c r="L400" s="1" t="str">
        <f ca="1">IFERROR(__xludf.DUMMYFUNCTION("""COMPUTED_VALUE"""),"FAJAR NURHARYADI DWIYONO")</f>
        <v>FAJAR NURHARYADI DWIYONO</v>
      </c>
      <c r="M400" s="1" t="str">
        <f ca="1">IFERROR(__xludf.DUMMYFUNCTION("""COMPUTED_VALUE"""),"01211940000039")</f>
        <v>01211940000039</v>
      </c>
      <c r="N400" s="1" t="str">
        <f ca="1">IFERROR(__xludf.DUMMYFUNCTION("""COMPUTED_VALUE"""),"Departemen Kimia")</f>
        <v>Departemen Kimia</v>
      </c>
      <c r="O400" s="1" t="str">
        <f ca="1">IFERROR(__xludf.DUMMYFUNCTION("""COMPUTED_VALUE"""),"REYZA FADLY MAGHFIROH")</f>
        <v>REYZA FADLY MAGHFIROH</v>
      </c>
      <c r="P400" s="1" t="str">
        <f ca="1">IFERROR(__xludf.DUMMYFUNCTION("""COMPUTED_VALUE"""),"01211940000043")</f>
        <v>01211940000043</v>
      </c>
      <c r="Q400" s="1" t="str">
        <f ca="1">IFERROR(__xludf.DUMMYFUNCTION("""COMPUTED_VALUE"""),"Departemen Kimia")</f>
        <v>Departemen Kimia</v>
      </c>
      <c r="R400" s="1" t="str">
        <f ca="1">IFERROR(__xludf.DUMMYFUNCTION("""COMPUTED_VALUE"""),"Aisyah Fajarina")</f>
        <v>Aisyah Fajarina</v>
      </c>
      <c r="S400" s="1" t="str">
        <f ca="1">IFERROR(__xludf.DUMMYFUNCTION("""COMPUTED_VALUE"""),"01211940000004")</f>
        <v>01211940000004</v>
      </c>
      <c r="T400" s="1" t="str">
        <f ca="1">IFERROR(__xludf.DUMMYFUNCTION("""COMPUTED_VALUE"""),"Departemen Kimia")</f>
        <v>Departemen Kimia</v>
      </c>
      <c r="U400" s="1" t="str">
        <f ca="1">IFERROR(__xludf.DUMMYFUNCTION("""COMPUTED_VALUE"""),"Dr. Awik Puji Dyah Nurhayati, S.Si., M.Si.")</f>
        <v>Dr. Awik Puji Dyah Nurhayati, S.Si., M.Si.</v>
      </c>
      <c r="V400" s="1" t="str">
        <f ca="1">IFERROR(__xludf.DUMMYFUNCTION("""COMPUTED_VALUE"""),"Iska Desmawati, S.Si., M.Si.")</f>
        <v>Iska Desmawati, S.Si., M.Si.</v>
      </c>
      <c r="W400" s="1"/>
      <c r="X400" s="1" t="str">
        <f ca="1">IFERROR(__xludf.DUMMYFUNCTION("""COMPUTED_VALUE"""),"Lolos")</f>
        <v>Lolos</v>
      </c>
      <c r="Y400" s="1"/>
      <c r="Z400" s="1"/>
      <c r="AA400" s="1"/>
    </row>
    <row r="401" spans="1:27">
      <c r="A401" s="1" t="s">
        <v>395</v>
      </c>
      <c r="B401" s="1">
        <f ca="1">IFERROR(__xludf.DUMMYFUNCTION("""COMPUTED_VALUE"""),2883)</f>
        <v>2883</v>
      </c>
      <c r="C401" s="1" t="str">
        <f ca="1">IFERROR(__xludf.DUMMYFUNCTION("""COMPUTED_VALUE"""),"PKM Riset Eksakta")</f>
        <v>PKM Riset Eksakta</v>
      </c>
      <c r="D401" s="1" t="str">
        <f ca="1">IFERROR(__xludf.DUMMYFUNCTION("""COMPUTED_VALUE"""),"Sintesis, Karakterisasi, dan Aplikasi TiO2/NiSe/Karbon Mesopori Terdoping N sebagai Fotokatalis untuk Produksi Bahan Bakar Hidrogen melalui Water Splitting")</f>
        <v>Sintesis, Karakterisasi, dan Aplikasi TiO2/NiSe/Karbon Mesopori Terdoping N sebagai Fotokatalis untuk Produksi Bahan Bakar Hidrogen melalui Water Splitting</v>
      </c>
      <c r="E401" s="1" t="str">
        <f ca="1">IFERROR(__xludf.DUMMYFUNCTION("""COMPUTED_VALUE"""),"MOHAMMAD HELMI ARRAFII")</f>
        <v>MOHAMMAD HELMI ARRAFII</v>
      </c>
      <c r="F401" s="1" t="str">
        <f ca="1">IFERROR(__xludf.DUMMYFUNCTION("""COMPUTED_VALUE"""),"01211940000074")</f>
        <v>01211940000074</v>
      </c>
      <c r="G401" s="1" t="str">
        <f ca="1">IFERROR(__xludf.DUMMYFUNCTION("""COMPUTED_VALUE"""),"Departemen Kimia")</f>
        <v>Departemen Kimia</v>
      </c>
      <c r="H401" s="1" t="str">
        <f ca="1">IFERROR(__xludf.DUMMYFUNCTION("""COMPUTED_VALUE"""),"Dr. Yuly Kusumawati, S.Si., M.Si.")</f>
        <v>Dr. Yuly Kusumawati, S.Si., M.Si.</v>
      </c>
      <c r="I401" s="1" t="str">
        <f ca="1">IFERROR(__xludf.DUMMYFUNCTION("""COMPUTED_VALUE"""),"SARAZEN SHALAHUDDIN AKBAR")</f>
        <v>SARAZEN SHALAHUDDIN AKBAR</v>
      </c>
      <c r="J401" s="1" t="str">
        <f ca="1">IFERROR(__xludf.DUMMYFUNCTION("""COMPUTED_VALUE"""),"01211940000066")</f>
        <v>01211940000066</v>
      </c>
      <c r="K401" s="1" t="str">
        <f ca="1">IFERROR(__xludf.DUMMYFUNCTION("""COMPUTED_VALUE"""),"Departemen Kimia")</f>
        <v>Departemen Kimia</v>
      </c>
      <c r="L401" s="1" t="str">
        <f ca="1">IFERROR(__xludf.DUMMYFUNCTION("""COMPUTED_VALUE"""),"TIARA ARDIANTI")</f>
        <v>TIARA ARDIANTI</v>
      </c>
      <c r="M401" s="1" t="str">
        <f ca="1">IFERROR(__xludf.DUMMYFUNCTION("""COMPUTED_VALUE"""),"01211940000082")</f>
        <v>01211940000082</v>
      </c>
      <c r="N401" s="1" t="str">
        <f ca="1">IFERROR(__xludf.DUMMYFUNCTION("""COMPUTED_VALUE"""),"Departemen Kimia")</f>
        <v>Departemen Kimia</v>
      </c>
      <c r="O401" s="1" t="str">
        <f ca="1">IFERROR(__xludf.DUMMYFUNCTION("""COMPUTED_VALUE"""),"FARHA HANIA KHALDA")</f>
        <v>FARHA HANIA KHALDA</v>
      </c>
      <c r="P401" s="1" t="str">
        <f ca="1">IFERROR(__xludf.DUMMYFUNCTION("""COMPUTED_VALUE"""),"01211940000091")</f>
        <v>01211940000091</v>
      </c>
      <c r="Q401" s="1" t="str">
        <f ca="1">IFERROR(__xludf.DUMMYFUNCTION("""COMPUTED_VALUE"""),"Departemen Kimia")</f>
        <v>Departemen Kimia</v>
      </c>
      <c r="R401" s="1" t="str">
        <f ca="1">IFERROR(__xludf.DUMMYFUNCTION("""COMPUTED_VALUE"""),"ALISYA HIDAYATI")</f>
        <v>ALISYA HIDAYATI</v>
      </c>
      <c r="S401" s="1" t="str">
        <f ca="1">IFERROR(__xludf.DUMMYFUNCTION("""COMPUTED_VALUE"""),"01211940000065")</f>
        <v>01211940000065</v>
      </c>
      <c r="T401" s="1" t="str">
        <f ca="1">IFERROR(__xludf.DUMMYFUNCTION("""COMPUTED_VALUE"""),"Departemen Kimia")</f>
        <v>Departemen Kimia</v>
      </c>
      <c r="U401" s="1" t="str">
        <f ca="1">IFERROR(__xludf.DUMMYFUNCTION("""COMPUTED_VALUE"""),"Dr. Awik Puji Dyah Nurhayati, S.Si., M.Si.")</f>
        <v>Dr. Awik Puji Dyah Nurhayati, S.Si., M.Si.</v>
      </c>
      <c r="V401" s="1" t="str">
        <f ca="1">IFERROR(__xludf.DUMMYFUNCTION("""COMPUTED_VALUE"""),"Sena Safarina , S.Si., M.Sc., D.Sc")</f>
        <v>Sena Safarina , S.Si., M.Sc., D.Sc</v>
      </c>
      <c r="W401" s="1"/>
      <c r="X401" s="1" t="str">
        <f ca="1">IFERROR(__xludf.DUMMYFUNCTION("""COMPUTED_VALUE"""),"Lolos")</f>
        <v>Lolos</v>
      </c>
      <c r="Y401" s="1"/>
      <c r="Z401" s="1"/>
      <c r="AA401" s="1"/>
    </row>
    <row r="402" spans="1:27">
      <c r="A402" s="1" t="s">
        <v>396</v>
      </c>
      <c r="B402" s="1">
        <f ca="1">IFERROR(__xludf.DUMMYFUNCTION("""COMPUTED_VALUE"""),3992)</f>
        <v>3992</v>
      </c>
      <c r="C402" s="1" t="str">
        <f ca="1">IFERROR(__xludf.DUMMYFUNCTION("""COMPUTED_VALUE"""),"PKM Riset Eksakta")</f>
        <v>PKM Riset Eksakta</v>
      </c>
      <c r="D402" s="1" t="str">
        <f ca="1">IFERROR(__xludf.DUMMYFUNCTION("""COMPUTED_VALUE"""),"Daur Ulang Katoda LiFePO4 Pada Limbah Baterai Berbasis Direct Regeneration Method Sebagai Sumber Bahan Baku Baterai Litium")</f>
        <v>Daur Ulang Katoda LiFePO4 Pada Limbah Baterai Berbasis Direct Regeneration Method Sebagai Sumber Bahan Baku Baterai Litium</v>
      </c>
      <c r="E402" s="1" t="str">
        <f ca="1">IFERROR(__xludf.DUMMYFUNCTION("""COMPUTED_VALUE"""),"ACHMAD UMAR SA`ID")</f>
        <v>ACHMAD UMAR SA`ID</v>
      </c>
      <c r="F402" s="1" t="str">
        <f ca="1">IFERROR(__xludf.DUMMYFUNCTION("""COMPUTED_VALUE"""),"5011201035")</f>
        <v>5011201035</v>
      </c>
      <c r="G402" s="1" t="str">
        <f ca="1">IFERROR(__xludf.DUMMYFUNCTION("""COMPUTED_VALUE"""),"Departemen Teknik Material dan Metalurgi")</f>
        <v>Departemen Teknik Material dan Metalurgi</v>
      </c>
      <c r="H402" s="1" t="str">
        <f ca="1">IFERROR(__xludf.DUMMYFUNCTION("""COMPUTED_VALUE"""),"Lukman Noerochim , S.T., M.Sc.(Eng).,Ph.D")</f>
        <v>Lukman Noerochim , S.T., M.Sc.(Eng).,Ph.D</v>
      </c>
      <c r="I402" s="1" t="str">
        <f ca="1">IFERROR(__xludf.DUMMYFUNCTION("""COMPUTED_VALUE"""),"MOH. ZALDI PRABOWO")</f>
        <v>MOH. ZALDI PRABOWO</v>
      </c>
      <c r="J402" s="1" t="str">
        <f ca="1">IFERROR(__xludf.DUMMYFUNCTION("""COMPUTED_VALUE"""),"5011201013")</f>
        <v>5011201013</v>
      </c>
      <c r="K402" s="1" t="str">
        <f ca="1">IFERROR(__xludf.DUMMYFUNCTION("""COMPUTED_VALUE"""),"Departemen Teknik Material dan Metalurgi")</f>
        <v>Departemen Teknik Material dan Metalurgi</v>
      </c>
      <c r="L402" s="1" t="str">
        <f ca="1">IFERROR(__xludf.DUMMYFUNCTION("""COMPUTED_VALUE"""),"M. ANDRA RAMADHAN")</f>
        <v>M. ANDRA RAMADHAN</v>
      </c>
      <c r="M402" s="1" t="str">
        <f ca="1">IFERROR(__xludf.DUMMYFUNCTION("""COMPUTED_VALUE"""),"5011211032")</f>
        <v>5011211032</v>
      </c>
      <c r="N402" s="1" t="str">
        <f ca="1">IFERROR(__xludf.DUMMYFUNCTION("""COMPUTED_VALUE"""),"Departemen Teknik Material dan Metalurgi")</f>
        <v>Departemen Teknik Material dan Metalurgi</v>
      </c>
      <c r="O402" s="1" t="str">
        <f ca="1">IFERROR(__xludf.DUMMYFUNCTION("""COMPUTED_VALUE"""),"TEGAR JAYA KUSUMA")</f>
        <v>TEGAR JAYA KUSUMA</v>
      </c>
      <c r="P402" s="1" t="str">
        <f ca="1">IFERROR(__xludf.DUMMYFUNCTION("""COMPUTED_VALUE"""),"5011211034")</f>
        <v>5011211034</v>
      </c>
      <c r="Q402" s="1" t="str">
        <f ca="1">IFERROR(__xludf.DUMMYFUNCTION("""COMPUTED_VALUE"""),"Departemen Teknik Material dan Metalurgi")</f>
        <v>Departemen Teknik Material dan Metalurgi</v>
      </c>
      <c r="R402" s="1" t="str">
        <f ca="1">IFERROR(__xludf.DUMMYFUNCTION("""COMPUTED_VALUE"""),"FERNANDO FRANSISKUS")</f>
        <v>FERNANDO FRANSISKUS</v>
      </c>
      <c r="S402" s="1" t="str">
        <f ca="1">IFERROR(__xludf.DUMMYFUNCTION("""COMPUTED_VALUE"""),"5011211014")</f>
        <v>5011211014</v>
      </c>
      <c r="T402" s="1" t="str">
        <f ca="1">IFERROR(__xludf.DUMMYFUNCTION("""COMPUTED_VALUE"""),"Departemen Teknik Material dan Metalurgi")</f>
        <v>Departemen Teknik Material dan Metalurgi</v>
      </c>
      <c r="U402" s="1" t="str">
        <f ca="1">IFERROR(__xludf.DUMMYFUNCTION("""COMPUTED_VALUE"""),"Dr. Awik Puji Dyah Nurhayati, S.Si., M.Si.")</f>
        <v>Dr. Awik Puji Dyah Nurhayati, S.Si., M.Si.</v>
      </c>
      <c r="V402" s="1" t="str">
        <f ca="1">IFERROR(__xludf.DUMMYFUNCTION("""COMPUTED_VALUE"""),"Iska Desmawati, S.Si., M.Si.")</f>
        <v>Iska Desmawati, S.Si., M.Si.</v>
      </c>
      <c r="W402" s="1"/>
      <c r="X402" s="1" t="str">
        <f ca="1">IFERROR(__xludf.DUMMYFUNCTION("""COMPUTED_VALUE"""),"Lolos")</f>
        <v>Lolos</v>
      </c>
      <c r="Y402" s="1"/>
      <c r="Z402" s="1"/>
      <c r="AA402" s="1"/>
    </row>
    <row r="403" spans="1:27">
      <c r="A403" s="1" t="s">
        <v>397</v>
      </c>
      <c r="B403" s="1">
        <f ca="1">IFERROR(__xludf.DUMMYFUNCTION("""COMPUTED_VALUE"""),4138)</f>
        <v>4138</v>
      </c>
      <c r="C403" s="1" t="str">
        <f ca="1">IFERROR(__xludf.DUMMYFUNCTION("""COMPUTED_VALUE"""),"PKM Riset Eksakta")</f>
        <v>PKM Riset Eksakta</v>
      </c>
      <c r="D403" s="1" t="str">
        <f ca="1">IFERROR(__xludf.DUMMYFUNCTION("""COMPUTED_VALUE"""),"Aplikasi Ekstrak Kulit Durian sebagai Material Pelapis Logam secara Dip Coating")</f>
        <v>Aplikasi Ekstrak Kulit Durian sebagai Material Pelapis Logam secara Dip Coating</v>
      </c>
      <c r="E403" s="1" t="str">
        <f ca="1">IFERROR(__xludf.DUMMYFUNCTION("""COMPUTED_VALUE"""),"SINTA EKA SEPTA SARI")</f>
        <v>SINTA EKA SEPTA SARI</v>
      </c>
      <c r="F403" s="1" t="str">
        <f ca="1">IFERROR(__xludf.DUMMYFUNCTION("""COMPUTED_VALUE"""),"01211940000073")</f>
        <v>01211940000073</v>
      </c>
      <c r="G403" s="1" t="str">
        <f ca="1">IFERROR(__xludf.DUMMYFUNCTION("""COMPUTED_VALUE"""),"Departemen Kimia")</f>
        <v>Departemen Kimia</v>
      </c>
      <c r="H403" s="1" t="str">
        <f ca="1">IFERROR(__xludf.DUMMYFUNCTION("""COMPUTED_VALUE"""),"Prof. Dr.rer.nat. Fredy Kurniawan, S.Si., M.Si.")</f>
        <v>Prof. Dr.rer.nat. Fredy Kurniawan, S.Si., M.Si.</v>
      </c>
      <c r="I403" s="1" t="str">
        <f ca="1">IFERROR(__xludf.DUMMYFUNCTION("""COMPUTED_VALUE"""),"MOHAMAD IKBAL PANGESTU")</f>
        <v>MOHAMAD IKBAL PANGESTU</v>
      </c>
      <c r="J403" s="1" t="str">
        <f ca="1">IFERROR(__xludf.DUMMYFUNCTION("""COMPUTED_VALUE"""),"01211840000091")</f>
        <v>01211840000091</v>
      </c>
      <c r="K403" s="1" t="str">
        <f ca="1">IFERROR(__xludf.DUMMYFUNCTION("""COMPUTED_VALUE"""),"Departemen Kimia")</f>
        <v>Departemen Kimia</v>
      </c>
      <c r="L403" s="1" t="str">
        <f ca="1">IFERROR(__xludf.DUMMYFUNCTION("""COMPUTED_VALUE"""),"FARICH AL MACHMUDI")</f>
        <v>FARICH AL MACHMUDI</v>
      </c>
      <c r="M403" s="1" t="str">
        <f ca="1">IFERROR(__xludf.DUMMYFUNCTION("""COMPUTED_VALUE"""),"01211940000044")</f>
        <v>01211940000044</v>
      </c>
      <c r="N403" s="1" t="str">
        <f ca="1">IFERROR(__xludf.DUMMYFUNCTION("""COMPUTED_VALUE"""),"Departemen Kimia")</f>
        <v>Departemen Kimia</v>
      </c>
      <c r="O403" s="1"/>
      <c r="P403" s="1"/>
      <c r="Q403" s="1"/>
      <c r="R403" s="1"/>
      <c r="S403" s="1"/>
      <c r="T403" s="1"/>
      <c r="U403" s="1" t="str">
        <f ca="1">IFERROR(__xludf.DUMMYFUNCTION("""COMPUTED_VALUE"""),"Alief Wikarta, ST., MSc.Eng. Ph.D")</f>
        <v>Alief Wikarta, ST., MSc.Eng. Ph.D</v>
      </c>
      <c r="V403" s="1" t="str">
        <f ca="1">IFERROR(__xludf.DUMMYFUNCTION("""COMPUTED_VALUE"""),"Juan Pandu Gya Nur Rochman, S.Si., M.T.")</f>
        <v>Juan Pandu Gya Nur Rochman, S.Si., M.T.</v>
      </c>
      <c r="W403" s="1"/>
      <c r="X403" s="1" t="str">
        <f ca="1">IFERROR(__xludf.DUMMYFUNCTION("""COMPUTED_VALUE"""),"Lolos")</f>
        <v>Lolos</v>
      </c>
      <c r="Y403" s="1"/>
      <c r="Z403" s="1"/>
      <c r="AA403" s="1"/>
    </row>
    <row r="404" spans="1:27">
      <c r="A404" s="1" t="s">
        <v>398</v>
      </c>
      <c r="B404" s="1">
        <f ca="1">IFERROR(__xludf.DUMMYFUNCTION("""COMPUTED_VALUE"""),2393)</f>
        <v>2393</v>
      </c>
      <c r="C404" s="1" t="str">
        <f ca="1">IFERROR(__xludf.DUMMYFUNCTION("""COMPUTED_VALUE"""),"PKM Riset Eksakta")</f>
        <v>PKM Riset Eksakta</v>
      </c>
      <c r="D404" s="1" t="str">
        <f ca="1">IFERROR(__xludf.DUMMYFUNCTION("""COMPUTED_VALUE"""),"Penambahan Ekstrak Belimbing Wuluh dan Kulit Nanas Untuk Mempercepat Fermentasi Pada Tempe Terfortifikasi Serbuk Kulit Udang")</f>
        <v>Penambahan Ekstrak Belimbing Wuluh dan Kulit Nanas Untuk Mempercepat Fermentasi Pada Tempe Terfortifikasi Serbuk Kulit Udang</v>
      </c>
      <c r="E404" s="1" t="str">
        <f ca="1">IFERROR(__xludf.DUMMYFUNCTION("""COMPUTED_VALUE"""),"OKA SHINTA SEKAR KIRANA")</f>
        <v>OKA SHINTA SEKAR KIRANA</v>
      </c>
      <c r="F404" s="1" t="str">
        <f ca="1">IFERROR(__xludf.DUMMYFUNCTION("""COMPUTED_VALUE"""),"01211940000038")</f>
        <v>01211940000038</v>
      </c>
      <c r="G404" s="1" t="str">
        <f ca="1">IFERROR(__xludf.DUMMYFUNCTION("""COMPUTED_VALUE"""),"Departemen Kimia")</f>
        <v>Departemen Kimia</v>
      </c>
      <c r="H404" s="1" t="str">
        <f ca="1">IFERROR(__xludf.DUMMYFUNCTION("""COMPUTED_VALUE"""),"Zjahra Vianita Nugraheni, S.Si, M.Si.")</f>
        <v>Zjahra Vianita Nugraheni, S.Si, M.Si.</v>
      </c>
      <c r="I404" s="1" t="str">
        <f ca="1">IFERROR(__xludf.DUMMYFUNCTION("""COMPUTED_VALUE"""),"Kholilatun Nadhifah")</f>
        <v>Kholilatun Nadhifah</v>
      </c>
      <c r="J404" s="1" t="str">
        <f ca="1">IFERROR(__xludf.DUMMYFUNCTION("""COMPUTED_VALUE"""),"01211940000032")</f>
        <v>01211940000032</v>
      </c>
      <c r="K404" s="1" t="str">
        <f ca="1">IFERROR(__xludf.DUMMYFUNCTION("""COMPUTED_VALUE"""),"Departemen Kimia")</f>
        <v>Departemen Kimia</v>
      </c>
      <c r="L404" s="1" t="str">
        <f ca="1">IFERROR(__xludf.DUMMYFUNCTION("""COMPUTED_VALUE"""),"REYNAL RESTU AFFANDI")</f>
        <v>REYNAL RESTU AFFANDI</v>
      </c>
      <c r="M404" s="1" t="str">
        <f ca="1">IFERROR(__xludf.DUMMYFUNCTION("""COMPUTED_VALUE"""),"01211940000056")</f>
        <v>01211940000056</v>
      </c>
      <c r="N404" s="1" t="str">
        <f ca="1">IFERROR(__xludf.DUMMYFUNCTION("""COMPUTED_VALUE"""),"Departemen Kimia")</f>
        <v>Departemen Kimia</v>
      </c>
      <c r="O404" s="1" t="str">
        <f ca="1">IFERROR(__xludf.DUMMYFUNCTION("""COMPUTED_VALUE"""),"HANDI ARDIANSYAH")</f>
        <v>HANDI ARDIANSYAH</v>
      </c>
      <c r="P404" s="1" t="str">
        <f ca="1">IFERROR(__xludf.DUMMYFUNCTION("""COMPUTED_VALUE"""),"5004201156")</f>
        <v>5004201156</v>
      </c>
      <c r="Q404" s="1" t="str">
        <f ca="1">IFERROR(__xludf.DUMMYFUNCTION("""COMPUTED_VALUE"""),"Departemen Kimia")</f>
        <v>Departemen Kimia</v>
      </c>
      <c r="R404" s="1"/>
      <c r="S404" s="1"/>
      <c r="T404" s="1"/>
      <c r="U404" s="1" t="str">
        <f ca="1">IFERROR(__xludf.DUMMYFUNCTION("""COMPUTED_VALUE"""),"Dr.-Ing. Doty Dewi Risanti, S.T., M.T.")</f>
        <v>Dr.-Ing. Doty Dewi Risanti, S.T., M.T.</v>
      </c>
      <c r="V404" s="1" t="str">
        <f ca="1">IFERROR(__xludf.DUMMYFUNCTION("""COMPUTED_VALUE"""),"Dr. Candra Irawan, S.T., M.T.")</f>
        <v>Dr. Candra Irawan, S.T., M.T.</v>
      </c>
      <c r="W404" s="1"/>
      <c r="X404" s="1" t="str">
        <f ca="1">IFERROR(__xludf.DUMMYFUNCTION("""COMPUTED_VALUE"""),"Lolos")</f>
        <v>Lolos</v>
      </c>
      <c r="Y404" s="1"/>
      <c r="Z404" s="1"/>
      <c r="AA404" s="1"/>
    </row>
    <row r="405" spans="1:27">
      <c r="A405" s="1" t="s">
        <v>399</v>
      </c>
      <c r="B405" s="1">
        <f ca="1">IFERROR(__xludf.DUMMYFUNCTION("""COMPUTED_VALUE"""),3564)</f>
        <v>3564</v>
      </c>
      <c r="C405" s="1" t="str">
        <f ca="1">IFERROR(__xludf.DUMMYFUNCTION("""COMPUTED_VALUE"""),"PKM Riset Eksakta")</f>
        <v>PKM Riset Eksakta</v>
      </c>
      <c r="D405" s="1" t="str">
        <f ca="1">IFERROR(__xludf.DUMMYFUNCTION("""COMPUTED_VALUE"""),"Potensi pemanfaatan selulosa asetat dari limbah jerami yang termodifikasi UiO-66  sebagai membran ultrafiltrasi mikroplastik")</f>
        <v>Potensi pemanfaatan selulosa asetat dari limbah jerami yang termodifikasi UiO-66  sebagai membran ultrafiltrasi mikroplastik</v>
      </c>
      <c r="E405" s="1" t="str">
        <f ca="1">IFERROR(__xludf.DUMMYFUNCTION("""COMPUTED_VALUE"""),"FAJAR NURHARYADI DWIYONO")</f>
        <v>FAJAR NURHARYADI DWIYONO</v>
      </c>
      <c r="F405" s="1" t="str">
        <f ca="1">IFERROR(__xludf.DUMMYFUNCTION("""COMPUTED_VALUE"""),"01211940000039")</f>
        <v>01211940000039</v>
      </c>
      <c r="G405" s="1" t="str">
        <f ca="1">IFERROR(__xludf.DUMMYFUNCTION("""COMPUTED_VALUE"""),"Departemen Kimia")</f>
        <v>Departemen Kimia</v>
      </c>
      <c r="H405" s="1" t="str">
        <f ca="1">IFERROR(__xludf.DUMMYFUNCTION("""COMPUTED_VALUE"""),"Dr. Triyanda Gunawan, S.Si.")</f>
        <v>Dr. Triyanda Gunawan, S.Si.</v>
      </c>
      <c r="I405" s="1" t="str">
        <f ca="1">IFERROR(__xludf.DUMMYFUNCTION("""COMPUTED_VALUE"""),"Mia Puji Rahayu")</f>
        <v>Mia Puji Rahayu</v>
      </c>
      <c r="J405" s="1" t="str">
        <f ca="1">IFERROR(__xludf.DUMMYFUNCTION("""COMPUTED_VALUE"""),"01211940000030")</f>
        <v>01211940000030</v>
      </c>
      <c r="K405" s="1" t="str">
        <f ca="1">IFERROR(__xludf.DUMMYFUNCTION("""COMPUTED_VALUE"""),"Departemen Kimia")</f>
        <v>Departemen Kimia</v>
      </c>
      <c r="L405" s="1" t="str">
        <f ca="1">IFERROR(__xludf.DUMMYFUNCTION("""COMPUTED_VALUE"""),"NURUL BUNGA KURNIA")</f>
        <v>NURUL BUNGA KURNIA</v>
      </c>
      <c r="M405" s="1" t="str">
        <f ca="1">IFERROR(__xludf.DUMMYFUNCTION("""COMPUTED_VALUE"""),"5004201090")</f>
        <v>5004201090</v>
      </c>
      <c r="N405" s="1" t="str">
        <f ca="1">IFERROR(__xludf.DUMMYFUNCTION("""COMPUTED_VALUE"""),"Departemen Kimia")</f>
        <v>Departemen Kimia</v>
      </c>
      <c r="O405" s="1" t="str">
        <f ca="1">IFERROR(__xludf.DUMMYFUNCTION("""COMPUTED_VALUE"""),"Heni Masitoh")</f>
        <v>Heni Masitoh</v>
      </c>
      <c r="P405" s="1" t="str">
        <f ca="1">IFERROR(__xludf.DUMMYFUNCTION("""COMPUTED_VALUE"""),"01211940000034")</f>
        <v>01211940000034</v>
      </c>
      <c r="Q405" s="1" t="str">
        <f ca="1">IFERROR(__xludf.DUMMYFUNCTION("""COMPUTED_VALUE"""),"Departemen Kimia")</f>
        <v>Departemen Kimia</v>
      </c>
      <c r="R405" s="1" t="str">
        <f ca="1">IFERROR(__xludf.DUMMYFUNCTION("""COMPUTED_VALUE"""),"ARDI LUKMAN HAKIM")</f>
        <v>ARDI LUKMAN HAKIM</v>
      </c>
      <c r="S405" s="1" t="str">
        <f ca="1">IFERROR(__xludf.DUMMYFUNCTION("""COMPUTED_VALUE"""),"5004201040")</f>
        <v>5004201040</v>
      </c>
      <c r="T405" s="1" t="str">
        <f ca="1">IFERROR(__xludf.DUMMYFUNCTION("""COMPUTED_VALUE"""),"Departemen Kimia")</f>
        <v>Departemen Kimia</v>
      </c>
      <c r="U405" s="1" t="str">
        <f ca="1">IFERROR(__xludf.DUMMYFUNCTION("""COMPUTED_VALUE"""),"Dr. Dhany Arifianto, S.T., M.Eng.")</f>
        <v>Dr. Dhany Arifianto, S.T., M.Eng.</v>
      </c>
      <c r="V405" s="1" t="str">
        <f ca="1">IFERROR(__xludf.DUMMYFUNCTION("""COMPUTED_VALUE"""),"Hamdan Dwi Rizqi, S.Si., M.Si.")</f>
        <v>Hamdan Dwi Rizqi, S.Si., M.Si.</v>
      </c>
      <c r="W405" s="1"/>
      <c r="X405" s="1" t="str">
        <f ca="1">IFERROR(__xludf.DUMMYFUNCTION("""COMPUTED_VALUE"""),"Lolos")</f>
        <v>Lolos</v>
      </c>
      <c r="Y405" s="1"/>
      <c r="Z405" s="1"/>
      <c r="AA405" s="1"/>
    </row>
    <row r="406" spans="1:27">
      <c r="A406" s="1" t="s">
        <v>400</v>
      </c>
      <c r="B406" s="1">
        <f ca="1">IFERROR(__xludf.DUMMYFUNCTION("""COMPUTED_VALUE"""),2696)</f>
        <v>2696</v>
      </c>
      <c r="C406" s="1" t="str">
        <f ca="1">IFERROR(__xludf.DUMMYFUNCTION("""COMPUTED_VALUE"""),"PKM Riset Eksakta")</f>
        <v>PKM Riset Eksakta</v>
      </c>
      <c r="D406" s="1" t="str">
        <f ca="1">IFERROR(__xludf.DUMMYFUNCTION("""COMPUTED_VALUE"""),"Optimasi Kinerja Turbin Angin Savonius Terintegrasi Gedung dengan Variasi Jarak Turbin Angin terhadap Dinding Gedung Melalui Studi Eksperimental")</f>
        <v>Optimasi Kinerja Turbin Angin Savonius Terintegrasi Gedung dengan Variasi Jarak Turbin Angin terhadap Dinding Gedung Melalui Studi Eksperimental</v>
      </c>
      <c r="E406" s="1" t="str">
        <f ca="1">IFERROR(__xludf.DUMMYFUNCTION("""COMPUTED_VALUE"""),"GALANG ADI SAPUTRO")</f>
        <v>GALANG ADI SAPUTRO</v>
      </c>
      <c r="F406" s="1" t="str">
        <f ca="1">IFERROR(__xludf.DUMMYFUNCTION("""COMPUTED_VALUE"""),"02111940000131")</f>
        <v>02111940000131</v>
      </c>
      <c r="G406" s="1" t="str">
        <f ca="1">IFERROR(__xludf.DUMMYFUNCTION("""COMPUTED_VALUE"""),"Departemen Teknik Mesin")</f>
        <v>Departemen Teknik Mesin</v>
      </c>
      <c r="H406" s="1" t="str">
        <f ca="1">IFERROR(__xludf.DUMMYFUNCTION("""COMPUTED_VALUE"""),"Prof. Dr. Ir. Tri Yogi Yuwono, DEA.")</f>
        <v>Prof. Dr. Ir. Tri Yogi Yuwono, DEA.</v>
      </c>
      <c r="I406" s="1" t="str">
        <f ca="1">IFERROR(__xludf.DUMMYFUNCTION("""COMPUTED_VALUE"""),"Rewila Fajar Anugraheni")</f>
        <v>Rewila Fajar Anugraheni</v>
      </c>
      <c r="J406" s="1" t="str">
        <f ca="1">IFERROR(__xludf.DUMMYFUNCTION("""COMPUTED_VALUE"""),"02111940000056")</f>
        <v>02111940000056</v>
      </c>
      <c r="K406" s="1" t="str">
        <f ca="1">IFERROR(__xludf.DUMMYFUNCTION("""COMPUTED_VALUE"""),"Departemen Teknik Mesin")</f>
        <v>Departemen Teknik Mesin</v>
      </c>
      <c r="L406" s="1" t="str">
        <f ca="1">IFERROR(__xludf.DUMMYFUNCTION("""COMPUTED_VALUE"""),"Salwa Nisrina Aulia")</f>
        <v>Salwa Nisrina Aulia</v>
      </c>
      <c r="M406" s="1" t="str">
        <f ca="1">IFERROR(__xludf.DUMMYFUNCTION("""COMPUTED_VALUE"""),"02111940000031")</f>
        <v>02111940000031</v>
      </c>
      <c r="N406" s="1" t="str">
        <f ca="1">IFERROR(__xludf.DUMMYFUNCTION("""COMPUTED_VALUE"""),"Departemen Teknik Mesin")</f>
        <v>Departemen Teknik Mesin</v>
      </c>
      <c r="O406" s="1" t="str">
        <f ca="1">IFERROR(__xludf.DUMMYFUNCTION("""COMPUTED_VALUE"""),"Hafiz Rayhan Gunawan")</f>
        <v>Hafiz Rayhan Gunawan</v>
      </c>
      <c r="P406" s="1" t="str">
        <f ca="1">IFERROR(__xludf.DUMMYFUNCTION("""COMPUTED_VALUE"""),"02111940000005")</f>
        <v>02111940000005</v>
      </c>
      <c r="Q406" s="1" t="str">
        <f ca="1">IFERROR(__xludf.DUMMYFUNCTION("""COMPUTED_VALUE"""),"Departemen Teknik Mesin")</f>
        <v>Departemen Teknik Mesin</v>
      </c>
      <c r="R406" s="1"/>
      <c r="S406" s="1"/>
      <c r="T406" s="1"/>
      <c r="U406" s="1" t="str">
        <f ca="1">IFERROR(__xludf.DUMMYFUNCTION("""COMPUTED_VALUE"""),"Dr.-Ing. Doty Dewi Risanti, S.T., M.T.")</f>
        <v>Dr.-Ing. Doty Dewi Risanti, S.T., M.T.</v>
      </c>
      <c r="V406" s="1" t="str">
        <f ca="1">IFERROR(__xludf.DUMMYFUNCTION("""COMPUTED_VALUE"""),"Dr. Candra Irawan, S.T., M.T.")</f>
        <v>Dr. Candra Irawan, S.T., M.T.</v>
      </c>
      <c r="W406" s="1"/>
      <c r="X406" s="1" t="str">
        <f ca="1">IFERROR(__xludf.DUMMYFUNCTION("""COMPUTED_VALUE"""),"Lolos")</f>
        <v>Lolos</v>
      </c>
      <c r="Y406" s="1"/>
      <c r="Z406" s="1"/>
      <c r="AA406" s="1"/>
    </row>
    <row r="407" spans="1:27">
      <c r="A407" s="1" t="s">
        <v>401</v>
      </c>
      <c r="B407" s="1">
        <f ca="1">IFERROR(__xludf.DUMMYFUNCTION("""COMPUTED_VALUE"""),2762)</f>
        <v>2762</v>
      </c>
      <c r="C407" s="1" t="str">
        <f ca="1">IFERROR(__xludf.DUMMYFUNCTION("""COMPUTED_VALUE"""),"PKM Riset Eksakta")</f>
        <v>PKM Riset Eksakta</v>
      </c>
      <c r="D407" s="1" t="str">
        <f ca="1">IFERROR(__xludf.DUMMYFUNCTION("""COMPUTED_VALUE"""),"Fabrikasi dan Karakterisasi Mixed Matrix Membrane Antibakteri 6FDA-DAM Poliimida/ZIF-8 Terdoping TiZSM-5 untuk Separasi O2/N2 pada Produksi Oksigen Medis")</f>
        <v>Fabrikasi dan Karakterisasi Mixed Matrix Membrane Antibakteri 6FDA-DAM Poliimida/ZIF-8 Terdoping TiZSM-5 untuk Separasi O2/N2 pada Produksi Oksigen Medis</v>
      </c>
      <c r="E407" s="1" t="str">
        <f ca="1">IFERROR(__xludf.DUMMYFUNCTION("""COMPUTED_VALUE"""),"SARAZEN SHALAHUDDIN AKBAR")</f>
        <v>SARAZEN SHALAHUDDIN AKBAR</v>
      </c>
      <c r="F407" s="1" t="str">
        <f ca="1">IFERROR(__xludf.DUMMYFUNCTION("""COMPUTED_VALUE"""),"01211940000066")</f>
        <v>01211940000066</v>
      </c>
      <c r="G407" s="1" t="str">
        <f ca="1">IFERROR(__xludf.DUMMYFUNCTION("""COMPUTED_VALUE"""),"Departemen Kimia")</f>
        <v>Departemen Kimia</v>
      </c>
      <c r="H407" s="1" t="str">
        <f ca="1">IFERROR(__xludf.DUMMYFUNCTION("""COMPUTED_VALUE"""),"Dr. Triyanda Gunawan, S.Si.")</f>
        <v>Dr. Triyanda Gunawan, S.Si.</v>
      </c>
      <c r="I407" s="1" t="str">
        <f ca="1">IFERROR(__xludf.DUMMYFUNCTION("""COMPUTED_VALUE"""),"WIDYA ANASTASYA NINGTIYAS")</f>
        <v>WIDYA ANASTASYA NINGTIYAS</v>
      </c>
      <c r="J407" s="1" t="str">
        <f ca="1">IFERROR(__xludf.DUMMYFUNCTION("""COMPUTED_VALUE"""),"01211940000070")</f>
        <v>01211940000070</v>
      </c>
      <c r="K407" s="1" t="str">
        <f ca="1">IFERROR(__xludf.DUMMYFUNCTION("""COMPUTED_VALUE"""),"Departemen Kimia")</f>
        <v>Departemen Kimia</v>
      </c>
      <c r="L407" s="1" t="str">
        <f ca="1">IFERROR(__xludf.DUMMYFUNCTION("""COMPUTED_VALUE"""),"RIFDAH ADYA SALSABILA")</f>
        <v>RIFDAH ADYA SALSABILA</v>
      </c>
      <c r="M407" s="1" t="str">
        <f ca="1">IFERROR(__xludf.DUMMYFUNCTION("""COMPUTED_VALUE"""),"5004201050")</f>
        <v>5004201050</v>
      </c>
      <c r="N407" s="1" t="str">
        <f ca="1">IFERROR(__xludf.DUMMYFUNCTION("""COMPUTED_VALUE"""),"Departemen Kimia")</f>
        <v>Departemen Kimia</v>
      </c>
      <c r="O407" s="1" t="str">
        <f ca="1">IFERROR(__xludf.DUMMYFUNCTION("""COMPUTED_VALUE"""),"Miftahul Jannah")</f>
        <v>Miftahul Jannah</v>
      </c>
      <c r="P407" s="1" t="str">
        <f ca="1">IFERROR(__xludf.DUMMYFUNCTION("""COMPUTED_VALUE"""),"01211940000023")</f>
        <v>01211940000023</v>
      </c>
      <c r="Q407" s="1" t="str">
        <f ca="1">IFERROR(__xludf.DUMMYFUNCTION("""COMPUTED_VALUE"""),"Departemen Kimia")</f>
        <v>Departemen Kimia</v>
      </c>
      <c r="R407" s="1" t="str">
        <f ca="1">IFERROR(__xludf.DUMMYFUNCTION("""COMPUTED_VALUE"""),"AFRIZAL RIKO ALFARIZI")</f>
        <v>AFRIZAL RIKO ALFARIZI</v>
      </c>
      <c r="S407" s="1" t="str">
        <f ca="1">IFERROR(__xludf.DUMMYFUNCTION("""COMPUTED_VALUE"""),"5011201149")</f>
        <v>5011201149</v>
      </c>
      <c r="T407" s="1" t="str">
        <f ca="1">IFERROR(__xludf.DUMMYFUNCTION("""COMPUTED_VALUE"""),"Departemen Teknik Material dan Metalurgi")</f>
        <v>Departemen Teknik Material dan Metalurgi</v>
      </c>
      <c r="U407" s="1" t="str">
        <f ca="1">IFERROR(__xludf.DUMMYFUNCTION("""COMPUTED_VALUE"""),"Dr.Eng. Siti Machmudah, S.T., M.Eng.")</f>
        <v>Dr.Eng. Siti Machmudah, S.T., M.Eng.</v>
      </c>
      <c r="V407" s="1" t="str">
        <f ca="1">IFERROR(__xludf.DUMMYFUNCTION("""COMPUTED_VALUE"""),"Dr. Candra Irawan, S.T., M.T.")</f>
        <v>Dr. Candra Irawan, S.T., M.T.</v>
      </c>
      <c r="W407" s="1"/>
      <c r="X407" s="1" t="str">
        <f ca="1">IFERROR(__xludf.DUMMYFUNCTION("""COMPUTED_VALUE"""),"Lolos")</f>
        <v>Lolos</v>
      </c>
      <c r="Y407" s="1"/>
      <c r="Z407" s="1"/>
      <c r="AA407" s="1"/>
    </row>
    <row r="408" spans="1:27">
      <c r="A408" s="1" t="s">
        <v>402</v>
      </c>
      <c r="B408" s="1">
        <f ca="1">IFERROR(__xludf.DUMMYFUNCTION("""COMPUTED_VALUE"""),3999)</f>
        <v>3999</v>
      </c>
      <c r="C408" s="1" t="str">
        <f ca="1">IFERROR(__xludf.DUMMYFUNCTION("""COMPUTED_VALUE"""),"PKM Riset Eksakta")</f>
        <v>PKM Riset Eksakta</v>
      </c>
      <c r="D408" s="1" t="str">
        <f ca="1">IFERROR(__xludf.DUMMYFUNCTION("""COMPUTED_VALUE"""),"Variasi Bahan Pengendap pada Proses Purifikasi Enzim Bromelin dari Bonggol Nanas (Ananas Comosus L.")</f>
        <v>Variasi Bahan Pengendap pada Proses Purifikasi Enzim Bromelin dari Bonggol Nanas (Ananas Comosus L.</v>
      </c>
      <c r="E408" s="1" t="str">
        <f ca="1">IFERROR(__xludf.DUMMYFUNCTION("""COMPUTED_VALUE"""),"DIKA ERIKA VIVIANA")</f>
        <v>DIKA ERIKA VIVIANA</v>
      </c>
      <c r="F408" s="1" t="str">
        <f ca="1">IFERROR(__xludf.DUMMYFUNCTION("""COMPUTED_VALUE"""),"10411810000068")</f>
        <v>10411810000068</v>
      </c>
      <c r="G408" s="1" t="str">
        <f ca="1">IFERROR(__xludf.DUMMYFUNCTION("""COMPUTED_VALUE"""),"Departemen Teknik Kimia Industri")</f>
        <v>Departemen Teknik Kimia Industri</v>
      </c>
      <c r="H408" s="1" t="str">
        <f ca="1">IFERROR(__xludf.DUMMYFUNCTION("""COMPUTED_VALUE"""),"Warlinda Eka Triastuti, S.Si., M.T.")</f>
        <v>Warlinda Eka Triastuti, S.Si., M.T.</v>
      </c>
      <c r="I408" s="1" t="str">
        <f ca="1">IFERROR(__xludf.DUMMYFUNCTION("""COMPUTED_VALUE"""),"ANGGIT WAHYU NINGRUM")</f>
        <v>ANGGIT WAHYU NINGRUM</v>
      </c>
      <c r="J408" s="1" t="str">
        <f ca="1">IFERROR(__xludf.DUMMYFUNCTION("""COMPUTED_VALUE"""),"10411810000064")</f>
        <v>10411810000064</v>
      </c>
      <c r="K408" s="1" t="str">
        <f ca="1">IFERROR(__xludf.DUMMYFUNCTION("""COMPUTED_VALUE"""),"Departemen Teknik Kimia Industri")</f>
        <v>Departemen Teknik Kimia Industri</v>
      </c>
      <c r="L408" s="1" t="str">
        <f ca="1">IFERROR(__xludf.DUMMYFUNCTION("""COMPUTED_VALUE"""),"YAYAN DWI PUTRA")</f>
        <v>YAYAN DWI PUTRA</v>
      </c>
      <c r="M408" s="1" t="str">
        <f ca="1">IFERROR(__xludf.DUMMYFUNCTION("""COMPUTED_VALUE"""),"10411910000027")</f>
        <v>10411910000027</v>
      </c>
      <c r="N408" s="1" t="str">
        <f ca="1">IFERROR(__xludf.DUMMYFUNCTION("""COMPUTED_VALUE"""),"Departemen Teknik Kimia Industri")</f>
        <v>Departemen Teknik Kimia Industri</v>
      </c>
      <c r="O408" s="1" t="str">
        <f ca="1">IFERROR(__xludf.DUMMYFUNCTION("""COMPUTED_VALUE"""),"RIDHA KURNIA PUTRI")</f>
        <v>RIDHA KURNIA PUTRI</v>
      </c>
      <c r="P408" s="1" t="str">
        <f ca="1">IFERROR(__xludf.DUMMYFUNCTION("""COMPUTED_VALUE"""),"10411910000024")</f>
        <v>10411910000024</v>
      </c>
      <c r="Q408" s="1" t="str">
        <f ca="1">IFERROR(__xludf.DUMMYFUNCTION("""COMPUTED_VALUE"""),"Departemen Teknik Kimia Industri")</f>
        <v>Departemen Teknik Kimia Industri</v>
      </c>
      <c r="R408" s="1"/>
      <c r="S408" s="1"/>
      <c r="T408" s="1"/>
      <c r="U408" s="1" t="str">
        <f ca="1">IFERROR(__xludf.DUMMYFUNCTION("""COMPUTED_VALUE"""),"Dr. Awik Puji Dyah Nurhayati, S.Si., M.Si.")</f>
        <v>Dr. Awik Puji Dyah Nurhayati, S.Si., M.Si.</v>
      </c>
      <c r="V408" s="1" t="str">
        <f ca="1">IFERROR(__xludf.DUMMYFUNCTION("""COMPUTED_VALUE"""),"Iska Desmawati, S.Si., M.Si.")</f>
        <v>Iska Desmawati, S.Si., M.Si.</v>
      </c>
      <c r="W408" s="1"/>
      <c r="X408" s="1" t="str">
        <f ca="1">IFERROR(__xludf.DUMMYFUNCTION("""COMPUTED_VALUE"""),"Lolos")</f>
        <v>Lolos</v>
      </c>
      <c r="Y408" s="1"/>
      <c r="Z408" s="1"/>
      <c r="AA408" s="1"/>
    </row>
    <row r="409" spans="1:27">
      <c r="A409" s="1" t="s">
        <v>403</v>
      </c>
      <c r="B409" s="1">
        <f ca="1">IFERROR(__xludf.DUMMYFUNCTION("""COMPUTED_VALUE"""),2459)</f>
        <v>2459</v>
      </c>
      <c r="C409" s="1" t="str">
        <f ca="1">IFERROR(__xludf.DUMMYFUNCTION("""COMPUTED_VALUE"""),"PKM Riset Eksakta")</f>
        <v>PKM Riset Eksakta</v>
      </c>
      <c r="D409" s="1" t="str">
        <f ca="1">IFERROR(__xludf.DUMMYFUNCTION("""COMPUTED_VALUE"""),"Optimasi Desain Connector Scooter Adjustable pada kursi roda dengan metode Topology Optimization dan Static Structural Guna Meningkatkan Mobilitas Tunadaksa")</f>
        <v>Optimasi Desain Connector Scooter Adjustable pada kursi roda dengan metode Topology Optimization dan Static Structural Guna Meningkatkan Mobilitas Tunadaksa</v>
      </c>
      <c r="E409" s="1" t="str">
        <f ca="1">IFERROR(__xludf.DUMMYFUNCTION("""COMPUTED_VALUE"""),"AGAM WIRANATA TRISNAKUSUMA")</f>
        <v>AGAM WIRANATA TRISNAKUSUMA</v>
      </c>
      <c r="F409" s="1" t="str">
        <f ca="1">IFERROR(__xludf.DUMMYFUNCTION("""COMPUTED_VALUE"""),"02111940000078")</f>
        <v>02111940000078</v>
      </c>
      <c r="G409" s="1" t="str">
        <f ca="1">IFERROR(__xludf.DUMMYFUNCTION("""COMPUTED_VALUE"""),"Departemen Teknik Mesin")</f>
        <v>Departemen Teknik Mesin</v>
      </c>
      <c r="H409" s="1" t="str">
        <f ca="1">IFERROR(__xludf.DUMMYFUNCTION("""COMPUTED_VALUE"""),"Alief Wikarta, ST., MSc.Eng. Ph.D")</f>
        <v>Alief Wikarta, ST., MSc.Eng. Ph.D</v>
      </c>
      <c r="I409" s="1" t="str">
        <f ca="1">IFERROR(__xludf.DUMMYFUNCTION("""COMPUTED_VALUE"""),"Lutfi Zulva Hanifah")</f>
        <v>Lutfi Zulva Hanifah</v>
      </c>
      <c r="J409" s="1" t="str">
        <f ca="1">IFERROR(__xludf.DUMMYFUNCTION("""COMPUTED_VALUE"""),"02111940000032")</f>
        <v>02111940000032</v>
      </c>
      <c r="K409" s="1" t="str">
        <f ca="1">IFERROR(__xludf.DUMMYFUNCTION("""COMPUTED_VALUE"""),"Departemen Teknik Mesin")</f>
        <v>Departemen Teknik Mesin</v>
      </c>
      <c r="L409" s="1" t="str">
        <f ca="1">IFERROR(__xludf.DUMMYFUNCTION("""COMPUTED_VALUE"""),"DIMAS AJI YUDISTIRA")</f>
        <v>DIMAS AJI YUDISTIRA</v>
      </c>
      <c r="M409" s="1" t="str">
        <f ca="1">IFERROR(__xludf.DUMMYFUNCTION("""COMPUTED_VALUE"""),"02111940000132")</f>
        <v>02111940000132</v>
      </c>
      <c r="N409" s="1" t="str">
        <f ca="1">IFERROR(__xludf.DUMMYFUNCTION("""COMPUTED_VALUE"""),"Departemen Teknik Mesin")</f>
        <v>Departemen Teknik Mesin</v>
      </c>
      <c r="O409" s="1" t="str">
        <f ca="1">IFERROR(__xludf.DUMMYFUNCTION("""COMPUTED_VALUE"""),"Wardah Nur Amirah")</f>
        <v>Wardah Nur Amirah</v>
      </c>
      <c r="P409" s="1" t="str">
        <f ca="1">IFERROR(__xludf.DUMMYFUNCTION("""COMPUTED_VALUE"""),"02111940000045")</f>
        <v>02111940000045</v>
      </c>
      <c r="Q409" s="1" t="str">
        <f ca="1">IFERROR(__xludf.DUMMYFUNCTION("""COMPUTED_VALUE"""),"Departemen Teknik Mesin")</f>
        <v>Departemen Teknik Mesin</v>
      </c>
      <c r="R409" s="1" t="str">
        <f ca="1">IFERROR(__xludf.DUMMYFUNCTION("""COMPUTED_VALUE"""),"FADIAH FATHANIAH DRAKEL")</f>
        <v>FADIAH FATHANIAH DRAKEL</v>
      </c>
      <c r="S409" s="1" t="str">
        <f ca="1">IFERROR(__xludf.DUMMYFUNCTION("""COMPUTED_VALUE"""),"02111940000201")</f>
        <v>02111940000201</v>
      </c>
      <c r="T409" s="1" t="str">
        <f ca="1">IFERROR(__xludf.DUMMYFUNCTION("""COMPUTED_VALUE"""),"Departemen Teknik Mesin")</f>
        <v>Departemen Teknik Mesin</v>
      </c>
      <c r="U409" s="1" t="str">
        <f ca="1">IFERROR(__xludf.DUMMYFUNCTION("""COMPUTED_VALUE"""),"Ahmad Fauzan Adziimaa, S.T., M.Sc.")</f>
        <v>Ahmad Fauzan Adziimaa, S.T., M.Sc.</v>
      </c>
      <c r="V409" s="1" t="str">
        <f ca="1">IFERROR(__xludf.DUMMYFUNCTION("""COMPUTED_VALUE"""),"Tri Vicca Kusumadewi, S.T., M.Sc.")</f>
        <v>Tri Vicca Kusumadewi, S.T., M.Sc.</v>
      </c>
      <c r="W409" s="1"/>
      <c r="X409" s="1" t="str">
        <f ca="1">IFERROR(__xludf.DUMMYFUNCTION("""COMPUTED_VALUE"""),"Lolos")</f>
        <v>Lolos</v>
      </c>
      <c r="Y409" s="1"/>
      <c r="Z409" s="1"/>
      <c r="AA409" s="1"/>
    </row>
    <row r="410" spans="1:27">
      <c r="A410" s="1" t="s">
        <v>404</v>
      </c>
      <c r="B410" s="1">
        <f ca="1">IFERROR(__xludf.DUMMYFUNCTION("""COMPUTED_VALUE"""),2710)</f>
        <v>2710</v>
      </c>
      <c r="C410" s="1" t="str">
        <f ca="1">IFERROR(__xludf.DUMMYFUNCTION("""COMPUTED_VALUE"""),"PKM Riset Eksakta")</f>
        <v>PKM Riset Eksakta</v>
      </c>
      <c r="D410" s="1" t="str">
        <f ca="1">IFERROR(__xludf.DUMMYFUNCTION("""COMPUTED_VALUE"""),"PENERAPAN GENETIC ALGORITHM DAN ENSEMBLE LEARNING VOTING UNTUK MENDETEKSI PENYAKIT PARU-PARU MANUSIA MENGGUNAKAN CITRA CHEST X-RAY")</f>
        <v>PENERAPAN GENETIC ALGORITHM DAN ENSEMBLE LEARNING VOTING UNTUK MENDETEKSI PENYAKIT PARU-PARU MANUSIA MENGGUNAKAN CITRA CHEST X-RAY</v>
      </c>
      <c r="E410" s="1" t="str">
        <f ca="1">IFERROR(__xludf.DUMMYFUNCTION("""COMPUTED_VALUE"""),"MOHAMMAD FISAL ALY AKBAR")</f>
        <v>MOHAMMAD FISAL ALY AKBAR</v>
      </c>
      <c r="F410" s="1" t="str">
        <f ca="1">IFERROR(__xludf.DUMMYFUNCTION("""COMPUTED_VALUE"""),"06111940000057")</f>
        <v>06111940000057</v>
      </c>
      <c r="G410" s="1" t="str">
        <f ca="1">IFERROR(__xludf.DUMMYFUNCTION("""COMPUTED_VALUE"""),"Departemen Matematika")</f>
        <v>Departemen Matematika</v>
      </c>
      <c r="H410" s="1" t="str">
        <f ca="1">IFERROR(__xludf.DUMMYFUNCTION("""COMPUTED_VALUE"""),"Dr. Dwi Ratna Sulistyaningrum, S.Si., M.T.")</f>
        <v>Dr. Dwi Ratna Sulistyaningrum, S.Si., M.T.</v>
      </c>
      <c r="I410" s="1" t="str">
        <f ca="1">IFERROR(__xludf.DUMMYFUNCTION("""COMPUTED_VALUE"""),"Al Fatoni Nugroho Putra")</f>
        <v>Al Fatoni Nugroho Putra</v>
      </c>
      <c r="J410" s="1" t="str">
        <f ca="1">IFERROR(__xludf.DUMMYFUNCTION("""COMPUTED_VALUE"""),"06111840000003")</f>
        <v>06111840000003</v>
      </c>
      <c r="K410" s="1" t="str">
        <f ca="1">IFERROR(__xludf.DUMMYFUNCTION("""COMPUTED_VALUE"""),"Departemen Matematika")</f>
        <v>Departemen Matematika</v>
      </c>
      <c r="L410" s="1" t="str">
        <f ca="1">IFERROR(__xludf.DUMMYFUNCTION("""COMPUTED_VALUE"""),"FITRIANA")</f>
        <v>FITRIANA</v>
      </c>
      <c r="M410" s="1" t="str">
        <f ca="1">IFERROR(__xludf.DUMMYFUNCTION("""COMPUTED_VALUE"""),"06111940000081")</f>
        <v>06111940000081</v>
      </c>
      <c r="N410" s="1" t="str">
        <f ca="1">IFERROR(__xludf.DUMMYFUNCTION("""COMPUTED_VALUE"""),"Departemen Matematika")</f>
        <v>Departemen Matematika</v>
      </c>
      <c r="O410" s="1" t="str">
        <f ca="1">IFERROR(__xludf.DUMMYFUNCTION("""COMPUTED_VALUE"""),"MUHAMMAD RIV`AN ARIF")</f>
        <v>MUHAMMAD RIV`AN ARIF</v>
      </c>
      <c r="P410" s="1" t="str">
        <f ca="1">IFERROR(__xludf.DUMMYFUNCTION("""COMPUTED_VALUE"""),"06111940000085")</f>
        <v>06111940000085</v>
      </c>
      <c r="Q410" s="1" t="str">
        <f ca="1">IFERROR(__xludf.DUMMYFUNCTION("""COMPUTED_VALUE"""),"Departemen Matematika")</f>
        <v>Departemen Matematika</v>
      </c>
      <c r="R410" s="1"/>
      <c r="S410" s="1"/>
      <c r="T410" s="1"/>
      <c r="U410" s="1" t="str">
        <f ca="1">IFERROR(__xludf.DUMMYFUNCTION("""COMPUTED_VALUE"""),"Dr.Eng. Siti Machmudah, S.T., M.Eng.")</f>
        <v>Dr.Eng. Siti Machmudah, S.T., M.Eng.</v>
      </c>
      <c r="V410" s="1" t="str">
        <f ca="1">IFERROR(__xludf.DUMMYFUNCTION("""COMPUTED_VALUE"""),"Dr. Candra Irawan, S.T., M.T.")</f>
        <v>Dr. Candra Irawan, S.T., M.T.</v>
      </c>
      <c r="W410" s="1"/>
      <c r="X410" s="1" t="str">
        <f ca="1">IFERROR(__xludf.DUMMYFUNCTION("""COMPUTED_VALUE"""),"Lolos")</f>
        <v>Lolos</v>
      </c>
      <c r="Y410" s="1"/>
      <c r="Z410" s="1"/>
      <c r="AA410" s="1"/>
    </row>
    <row r="411" spans="1:27">
      <c r="A411" s="1" t="s">
        <v>405</v>
      </c>
      <c r="B411" s="1">
        <f ca="1">IFERROR(__xludf.DUMMYFUNCTION("""COMPUTED_VALUE"""),3989)</f>
        <v>3989</v>
      </c>
      <c r="C411" s="1" t="str">
        <f ca="1">IFERROR(__xludf.DUMMYFUNCTION("""COMPUTED_VALUE"""),"PKM Riset Eksakta")</f>
        <v>PKM Riset Eksakta</v>
      </c>
      <c r="D411" s="1" t="str">
        <f ca="1">IFERROR(__xludf.DUMMYFUNCTION("""COMPUTED_VALUE"""),"Pemodelan Jaringan Saraf Tiruan Multilayer Perceptron untuk Deteksi Dini Preeklampsia pada Ibu Hamil")</f>
        <v>Pemodelan Jaringan Saraf Tiruan Multilayer Perceptron untuk Deteksi Dini Preeklampsia pada Ibu Hamil</v>
      </c>
      <c r="E411" s="1" t="str">
        <f ca="1">IFERROR(__xludf.DUMMYFUNCTION("""COMPUTED_VALUE"""),"ABIYYU NAUFAL R.")</f>
        <v>ABIYYU NAUFAL R.</v>
      </c>
      <c r="F411" s="1" t="str">
        <f ca="1">IFERROR(__xludf.DUMMYFUNCTION("""COMPUTED_VALUE"""),"5009201142")</f>
        <v>5009201142</v>
      </c>
      <c r="G411" s="1" t="str">
        <f ca="1">IFERROR(__xludf.DUMMYFUNCTION("""COMPUTED_VALUE"""),"Departemen Teknik Fisika")</f>
        <v>Departemen Teknik Fisika</v>
      </c>
      <c r="H411" s="1" t="str">
        <f ca="1">IFERROR(__xludf.DUMMYFUNCTION("""COMPUTED_VALUE"""),"Dr. Dhany Arifianto, S.T., M.Eng.")</f>
        <v>Dr. Dhany Arifianto, S.T., M.Eng.</v>
      </c>
      <c r="I411" s="1" t="str">
        <f ca="1">IFERROR(__xludf.DUMMYFUNCTION("""COMPUTED_VALUE"""),"NORRIS DWI RAHMAN")</f>
        <v>NORRIS DWI RAHMAN</v>
      </c>
      <c r="J411" s="1" t="str">
        <f ca="1">IFERROR(__xludf.DUMMYFUNCTION("""COMPUTED_VALUE"""),"5009201138")</f>
        <v>5009201138</v>
      </c>
      <c r="K411" s="1" t="str">
        <f ca="1">IFERROR(__xludf.DUMMYFUNCTION("""COMPUTED_VALUE"""),"Departemen Teknik Fisika")</f>
        <v>Departemen Teknik Fisika</v>
      </c>
      <c r="L411" s="1" t="str">
        <f ca="1">IFERROR(__xludf.DUMMYFUNCTION("""COMPUTED_VALUE"""),"RAFI SURYA GHANI")</f>
        <v>RAFI SURYA GHANI</v>
      </c>
      <c r="M411" s="1" t="str">
        <f ca="1">IFERROR(__xludf.DUMMYFUNCTION("""COMPUTED_VALUE"""),"5009201018")</f>
        <v>5009201018</v>
      </c>
      <c r="N411" s="1" t="str">
        <f ca="1">IFERROR(__xludf.DUMMYFUNCTION("""COMPUTED_VALUE"""),"Departemen Teknik Fisika")</f>
        <v>Departemen Teknik Fisika</v>
      </c>
      <c r="O411" s="1" t="str">
        <f ca="1">IFERROR(__xludf.DUMMYFUNCTION("""COMPUTED_VALUE"""),"DHEA TIRTA ANANTA")</f>
        <v>DHEA TIRTA ANANTA</v>
      </c>
      <c r="P411" s="1" t="str">
        <f ca="1">IFERROR(__xludf.DUMMYFUNCTION("""COMPUTED_VALUE"""),"5009201030")</f>
        <v>5009201030</v>
      </c>
      <c r="Q411" s="1" t="str">
        <f ca="1">IFERROR(__xludf.DUMMYFUNCTION("""COMPUTED_VALUE"""),"Departemen Teknik Fisika")</f>
        <v>Departemen Teknik Fisika</v>
      </c>
      <c r="R411" s="1" t="str">
        <f ca="1">IFERROR(__xludf.DUMMYFUNCTION("""COMPUTED_VALUE"""),"NINDYA EKA WINASIS")</f>
        <v>NINDYA EKA WINASIS</v>
      </c>
      <c r="S411" s="1" t="str">
        <f ca="1">IFERROR(__xludf.DUMMYFUNCTION("""COMPUTED_VALUE"""),"5009201021")</f>
        <v>5009201021</v>
      </c>
      <c r="T411" s="1" t="str">
        <f ca="1">IFERROR(__xludf.DUMMYFUNCTION("""COMPUTED_VALUE"""),"Departemen Teknik Fisika")</f>
        <v>Departemen Teknik Fisika</v>
      </c>
      <c r="U411" s="1" t="str">
        <f ca="1">IFERROR(__xludf.DUMMYFUNCTION("""COMPUTED_VALUE"""),"Dr. Awik Puji Dyah Nurhayati, S.Si., M.Si.")</f>
        <v>Dr. Awik Puji Dyah Nurhayati, S.Si., M.Si.</v>
      </c>
      <c r="V411" s="1" t="str">
        <f ca="1">IFERROR(__xludf.DUMMYFUNCTION("""COMPUTED_VALUE"""),"Iska Desmawati, S.Si., M.Si.")</f>
        <v>Iska Desmawati, S.Si., M.Si.</v>
      </c>
      <c r="W411" s="1"/>
      <c r="X411" s="1" t="str">
        <f ca="1">IFERROR(__xludf.DUMMYFUNCTION("""COMPUTED_VALUE"""),"Lolos")</f>
        <v>Lolos</v>
      </c>
      <c r="Y411" s="1"/>
      <c r="Z411" s="1"/>
      <c r="AA411" s="1"/>
    </row>
    <row r="412" spans="1:27">
      <c r="A412" s="1" t="s">
        <v>406</v>
      </c>
      <c r="B412" s="1">
        <f ca="1">IFERROR(__xludf.DUMMYFUNCTION("""COMPUTED_VALUE"""),3991)</f>
        <v>3991</v>
      </c>
      <c r="C412" s="1" t="str">
        <f ca="1">IFERROR(__xludf.DUMMYFUNCTION("""COMPUTED_VALUE"""),"PKM Riset Eksakta")</f>
        <v>PKM Riset Eksakta</v>
      </c>
      <c r="D412" s="1" t="str">
        <f ca="1">IFERROR(__xludf.DUMMYFUNCTION("""COMPUTED_VALUE"""),"Sintesis Karbon Aktif dari Limbah Kernel Sawit melalui Metode Single-Step Carbonization-Activation Double Doping S/N untuk Adsorpsi Gas CO2 Berkapasitas Tinggi")</f>
        <v>Sintesis Karbon Aktif dari Limbah Kernel Sawit melalui Metode Single-Step Carbonization-Activation Double Doping S/N untuk Adsorpsi Gas CO2 Berkapasitas Tinggi</v>
      </c>
      <c r="E412" s="1" t="str">
        <f ca="1">IFERROR(__xludf.DUMMYFUNCTION("""COMPUTED_VALUE"""),"RISNA CITRA ANDIANI")</f>
        <v>RISNA CITRA ANDIANI</v>
      </c>
      <c r="F412" s="1" t="str">
        <f ca="1">IFERROR(__xludf.DUMMYFUNCTION("""COMPUTED_VALUE"""),"5004211047")</f>
        <v>5004211047</v>
      </c>
      <c r="G412" s="1" t="str">
        <f ca="1">IFERROR(__xludf.DUMMYFUNCTION("""COMPUTED_VALUE"""),"Departemen Kimia")</f>
        <v>Departemen Kimia</v>
      </c>
      <c r="H412" s="1" t="str">
        <f ca="1">IFERROR(__xludf.DUMMYFUNCTION("""COMPUTED_VALUE"""),"Hamdan Dwi Rizqi, S.Si., M.Si.")</f>
        <v>Hamdan Dwi Rizqi, S.Si., M.Si.</v>
      </c>
      <c r="I412" s="1" t="str">
        <f ca="1">IFERROR(__xludf.DUMMYFUNCTION("""COMPUTED_VALUE"""),"MARTHA ANDIRA")</f>
        <v>MARTHA ANDIRA</v>
      </c>
      <c r="J412" s="1" t="str">
        <f ca="1">IFERROR(__xludf.DUMMYFUNCTION("""COMPUTED_VALUE"""),"5004211030")</f>
        <v>5004211030</v>
      </c>
      <c r="K412" s="1" t="str">
        <f ca="1">IFERROR(__xludf.DUMMYFUNCTION("""COMPUTED_VALUE"""),"Departemen Kimia")</f>
        <v>Departemen Kimia</v>
      </c>
      <c r="L412" s="1" t="str">
        <f ca="1">IFERROR(__xludf.DUMMYFUNCTION("""COMPUTED_VALUE"""),"ARDI LUKMAN HAKIM")</f>
        <v>ARDI LUKMAN HAKIM</v>
      </c>
      <c r="M412" s="1" t="str">
        <f ca="1">IFERROR(__xludf.DUMMYFUNCTION("""COMPUTED_VALUE"""),"5004201040")</f>
        <v>5004201040</v>
      </c>
      <c r="N412" s="1" t="str">
        <f ca="1">IFERROR(__xludf.DUMMYFUNCTION("""COMPUTED_VALUE"""),"Departemen Kimia")</f>
        <v>Departemen Kimia</v>
      </c>
      <c r="O412" s="1" t="str">
        <f ca="1">IFERROR(__xludf.DUMMYFUNCTION("""COMPUTED_VALUE"""),"RIFDAH ADYA SALSABILA")</f>
        <v>RIFDAH ADYA SALSABILA</v>
      </c>
      <c r="P412" s="1" t="str">
        <f ca="1">IFERROR(__xludf.DUMMYFUNCTION("""COMPUTED_VALUE"""),"5004201050")</f>
        <v>5004201050</v>
      </c>
      <c r="Q412" s="1" t="str">
        <f ca="1">IFERROR(__xludf.DUMMYFUNCTION("""COMPUTED_VALUE"""),"Departemen Kimia")</f>
        <v>Departemen Kimia</v>
      </c>
      <c r="R412" s="1" t="str">
        <f ca="1">IFERROR(__xludf.DUMMYFUNCTION("""COMPUTED_VALUE"""),"PRIYA SAPUTRA")</f>
        <v>PRIYA SAPUTRA</v>
      </c>
      <c r="S412" s="1" t="str">
        <f ca="1">IFERROR(__xludf.DUMMYFUNCTION("""COMPUTED_VALUE"""),"5004201089")</f>
        <v>5004201089</v>
      </c>
      <c r="T412" s="1" t="str">
        <f ca="1">IFERROR(__xludf.DUMMYFUNCTION("""COMPUTED_VALUE"""),"Departemen Kimia")</f>
        <v>Departemen Kimia</v>
      </c>
      <c r="U412" s="1" t="str">
        <f ca="1">IFERROR(__xludf.DUMMYFUNCTION("""COMPUTED_VALUE"""),"Dr. Awik Puji Dyah Nurhayati, S.Si., M.Si.")</f>
        <v>Dr. Awik Puji Dyah Nurhayati, S.Si., M.Si.</v>
      </c>
      <c r="V412" s="1" t="str">
        <f ca="1">IFERROR(__xludf.DUMMYFUNCTION("""COMPUTED_VALUE"""),"Iska Desmawati, S.Si., M.Si.")</f>
        <v>Iska Desmawati, S.Si., M.Si.</v>
      </c>
      <c r="W412" s="1"/>
      <c r="X412" s="1" t="str">
        <f ca="1">IFERROR(__xludf.DUMMYFUNCTION("""COMPUTED_VALUE"""),"Lolos")</f>
        <v>Lolos</v>
      </c>
      <c r="Y412" s="1"/>
      <c r="Z412" s="1"/>
      <c r="AA412" s="1"/>
    </row>
    <row r="413" spans="1:27">
      <c r="A413" s="1" t="s">
        <v>407</v>
      </c>
      <c r="B413" s="1">
        <f ca="1">IFERROR(__xludf.DUMMYFUNCTION("""COMPUTED_VALUE"""),2718)</f>
        <v>2718</v>
      </c>
      <c r="C413" s="1" t="str">
        <f ca="1">IFERROR(__xludf.DUMMYFUNCTION("""COMPUTED_VALUE"""),"PKM Riset Eksakta")</f>
        <v>PKM Riset Eksakta</v>
      </c>
      <c r="D413" s="1" t="str">
        <f ca="1">IFERROR(__xludf.DUMMYFUNCTION("""COMPUTED_VALUE"""),"Pemanfaatan Ampas Tebu sebagai sumber carbon dots untuk Material Antibakteri dan Adsorben Ion Logam Pb2+")</f>
        <v>Pemanfaatan Ampas Tebu sebagai sumber carbon dots untuk Material Antibakteri dan Adsorben Ion Logam Pb2+</v>
      </c>
      <c r="E413" s="1" t="str">
        <f ca="1">IFERROR(__xludf.DUMMYFUNCTION("""COMPUTED_VALUE"""),"MUHAMMAD FIKRI MUMTAZ")</f>
        <v>MUHAMMAD FIKRI MUMTAZ</v>
      </c>
      <c r="F413" s="1" t="str">
        <f ca="1">IFERROR(__xludf.DUMMYFUNCTION("""COMPUTED_VALUE"""),"02311840000115")</f>
        <v>02311840000115</v>
      </c>
      <c r="G413" s="1" t="str">
        <f ca="1">IFERROR(__xludf.DUMMYFUNCTION("""COMPUTED_VALUE"""),"Departemen Teknik Fisika")</f>
        <v>Departemen Teknik Fisika</v>
      </c>
      <c r="H413" s="1" t="str">
        <f ca="1">IFERROR(__xludf.DUMMYFUNCTION("""COMPUTED_VALUE"""),"Dr.rer.nat Ruri Agung Wahyuono, S.T., M.T.")</f>
        <v>Dr.rer.nat Ruri Agung Wahyuono, S.T., M.T.</v>
      </c>
      <c r="I413" s="1" t="str">
        <f ca="1">IFERROR(__xludf.DUMMYFUNCTION("""COMPUTED_VALUE"""),"Charisa Virga Muliyono")</f>
        <v>Charisa Virga Muliyono</v>
      </c>
      <c r="J413" s="1" t="str">
        <f ca="1">IFERROR(__xludf.DUMMYFUNCTION("""COMPUTED_VALUE"""),"02311840000008")</f>
        <v>02311840000008</v>
      </c>
      <c r="K413" s="1" t="str">
        <f ca="1">IFERROR(__xludf.DUMMYFUNCTION("""COMPUTED_VALUE"""),"Departemen Teknik Fisika")</f>
        <v>Departemen Teknik Fisika</v>
      </c>
      <c r="L413" s="1" t="str">
        <f ca="1">IFERROR(__xludf.DUMMYFUNCTION("""COMPUTED_VALUE"""),"A.A.Gde Yogi Pramana")</f>
        <v>A.A.Gde Yogi Pramana</v>
      </c>
      <c r="M413" s="1" t="str">
        <f ca="1">IFERROR(__xludf.DUMMYFUNCTION("""COMPUTED_VALUE"""),"5009211160")</f>
        <v>5009211160</v>
      </c>
      <c r="N413" s="1" t="str">
        <f ca="1">IFERROR(__xludf.DUMMYFUNCTION("""COMPUTED_VALUE"""),"Departemen Teknik Fisika")</f>
        <v>Departemen Teknik Fisika</v>
      </c>
      <c r="O413" s="1"/>
      <c r="P413" s="1"/>
      <c r="Q413" s="1"/>
      <c r="R413" s="1"/>
      <c r="S413" s="1"/>
      <c r="T413" s="1"/>
      <c r="U413" s="1" t="str">
        <f ca="1">IFERROR(__xludf.DUMMYFUNCTION("""COMPUTED_VALUE"""),"Dr.Eng. Siti Machmudah, S.T., M.Eng.")</f>
        <v>Dr.Eng. Siti Machmudah, S.T., M.Eng.</v>
      </c>
      <c r="V413" s="1" t="str">
        <f ca="1">IFERROR(__xludf.DUMMYFUNCTION("""COMPUTED_VALUE"""),"Dr. Candra Irawan, S.T., M.T.")</f>
        <v>Dr. Candra Irawan, S.T., M.T.</v>
      </c>
      <c r="W413" s="1"/>
      <c r="X413" s="1" t="str">
        <f ca="1">IFERROR(__xludf.DUMMYFUNCTION("""COMPUTED_VALUE"""),"Lolos")</f>
        <v>Lolos</v>
      </c>
      <c r="Y413" s="1"/>
      <c r="Z413" s="1"/>
      <c r="AA413" s="1"/>
    </row>
    <row r="414" spans="1:27">
      <c r="A414" s="1" t="s">
        <v>408</v>
      </c>
      <c r="B414" s="1">
        <f ca="1">IFERROR(__xludf.DUMMYFUNCTION("""COMPUTED_VALUE"""),3493)</f>
        <v>3493</v>
      </c>
      <c r="C414" s="1" t="str">
        <f ca="1">IFERROR(__xludf.DUMMYFUNCTION("""COMPUTED_VALUE"""),"PKM Riset Eksakta")</f>
        <v>PKM Riset Eksakta</v>
      </c>
      <c r="D414" s="1" t="str">
        <f ca="1">IFERROR(__xludf.DUMMYFUNCTION("""COMPUTED_VALUE"""),"Pemanfaatan Pregnane Glicosyde pada Sansevieria trifasciata dengan Ekstraksi Maserasi Guna Optimalisasi Penurunan Kadar Polutan Kendaraan Bermotor")</f>
        <v>Pemanfaatan Pregnane Glicosyde pada Sansevieria trifasciata dengan Ekstraksi Maserasi Guna Optimalisasi Penurunan Kadar Polutan Kendaraan Bermotor</v>
      </c>
      <c r="E414" s="1" t="str">
        <f ca="1">IFERROR(__xludf.DUMMYFUNCTION("""COMPUTED_VALUE"""),"JUSTIAN IMMANUEL INTEGRITY")</f>
        <v>JUSTIAN IMMANUEL INTEGRITY</v>
      </c>
      <c r="F414" s="1" t="str">
        <f ca="1">IFERROR(__xludf.DUMMYFUNCTION("""COMPUTED_VALUE"""),"5008201179")</f>
        <v>5008201179</v>
      </c>
      <c r="G414" s="1" t="str">
        <f ca="1">IFERROR(__xludf.DUMMYFUNCTION("""COMPUTED_VALUE"""),"Departemen Teknik Kimia")</f>
        <v>Departemen Teknik Kimia</v>
      </c>
      <c r="H414" s="1" t="str">
        <f ca="1">IFERROR(__xludf.DUMMYFUNCTION("""COMPUTED_VALUE"""),"Dr. Rendra Panca Anugraha, S.T.")</f>
        <v>Dr. Rendra Panca Anugraha, S.T.</v>
      </c>
      <c r="I414" s="1" t="str">
        <f ca="1">IFERROR(__xludf.DUMMYFUNCTION("""COMPUTED_VALUE"""),"MARYAM KENDRA PARAMARESI")</f>
        <v>MARYAM KENDRA PARAMARESI</v>
      </c>
      <c r="J414" s="1" t="str">
        <f ca="1">IFERROR(__xludf.DUMMYFUNCTION("""COMPUTED_VALUE"""),"5008201067")</f>
        <v>5008201067</v>
      </c>
      <c r="K414" s="1" t="str">
        <f ca="1">IFERROR(__xludf.DUMMYFUNCTION("""COMPUTED_VALUE"""),"Departemen Teknik Kimia")</f>
        <v>Departemen Teknik Kimia</v>
      </c>
      <c r="L414" s="1" t="str">
        <f ca="1">IFERROR(__xludf.DUMMYFUNCTION("""COMPUTED_VALUE"""),"RADITYA YUDHI PAMUNGKAS")</f>
        <v>RADITYA YUDHI PAMUNGKAS</v>
      </c>
      <c r="M414" s="1" t="str">
        <f ca="1">IFERROR(__xludf.DUMMYFUNCTION("""COMPUTED_VALUE"""),"5008201075")</f>
        <v>5008201075</v>
      </c>
      <c r="N414" s="1" t="str">
        <f ca="1">IFERROR(__xludf.DUMMYFUNCTION("""COMPUTED_VALUE"""),"Departemen Teknik Kimia")</f>
        <v>Departemen Teknik Kimia</v>
      </c>
      <c r="O414" s="1" t="str">
        <f ca="1">IFERROR(__xludf.DUMMYFUNCTION("""COMPUTED_VALUE"""),"I GUSTI BAGUS SURYA BHUWANA")</f>
        <v>I GUSTI BAGUS SURYA BHUWANA</v>
      </c>
      <c r="P414" s="1" t="str">
        <f ca="1">IFERROR(__xludf.DUMMYFUNCTION("""COMPUTED_VALUE"""),"5008201171")</f>
        <v>5008201171</v>
      </c>
      <c r="Q414" s="1" t="str">
        <f ca="1">IFERROR(__xludf.DUMMYFUNCTION("""COMPUTED_VALUE"""),"Departemen Teknik Kimia")</f>
        <v>Departemen Teknik Kimia</v>
      </c>
      <c r="R414" s="1"/>
      <c r="S414" s="1"/>
      <c r="T414" s="1"/>
      <c r="U414" s="1" t="str">
        <f ca="1">IFERROR(__xludf.DUMMYFUNCTION("""COMPUTED_VALUE"""),"Vania Mitha Pratiwi, S.T., M.T.")</f>
        <v>Vania Mitha Pratiwi, S.T., M.T.</v>
      </c>
      <c r="V414" s="1" t="str">
        <f ca="1">IFERROR(__xludf.DUMMYFUNCTION("""COMPUTED_VALUE"""),"Dra. Ratna Ediati, MS., Ph.D.")</f>
        <v>Dra. Ratna Ediati, MS., Ph.D.</v>
      </c>
      <c r="W414" s="1"/>
      <c r="X414" s="1" t="str">
        <f ca="1">IFERROR(__xludf.DUMMYFUNCTION("""COMPUTED_VALUE"""),"Lolos")</f>
        <v>Lolos</v>
      </c>
      <c r="Y414" s="1"/>
      <c r="Z414" s="1"/>
      <c r="AA414" s="1"/>
    </row>
    <row r="415" spans="1:27">
      <c r="A415" s="1" t="s">
        <v>409</v>
      </c>
      <c r="B415" s="1">
        <f ca="1">IFERROR(__xludf.DUMMYFUNCTION("""COMPUTED_VALUE"""),3983)</f>
        <v>3983</v>
      </c>
      <c r="C415" s="1" t="str">
        <f ca="1">IFERROR(__xludf.DUMMYFUNCTION("""COMPUTED_VALUE"""),"PKM Riset Eksakta")</f>
        <v>PKM Riset Eksakta</v>
      </c>
      <c r="D415" s="1" t="str">
        <f ca="1">IFERROR(__xludf.DUMMYFUNCTION("""COMPUTED_VALUE"""),"Fabrikasi Komposit C/ZnO/Fe2O3 menggunakan Bonggol Jagung sebagai Adsorben Fotokatalitik untuk Degradasi Limbah Antibiotik Azitromisin")</f>
        <v>Fabrikasi Komposit C/ZnO/Fe2O3 menggunakan Bonggol Jagung sebagai Adsorben Fotokatalitik untuk Degradasi Limbah Antibiotik Azitromisin</v>
      </c>
      <c r="E415" s="1" t="str">
        <f ca="1">IFERROR(__xludf.DUMMYFUNCTION("""COMPUTED_VALUE"""),"Irma Fitriani")</f>
        <v>Irma Fitriani</v>
      </c>
      <c r="F415" s="1" t="str">
        <f ca="1">IFERROR(__xludf.DUMMYFUNCTION("""COMPUTED_VALUE"""),"5004211111")</f>
        <v>5004211111</v>
      </c>
      <c r="G415" s="1" t="str">
        <f ca="1">IFERROR(__xludf.DUMMYFUNCTION("""COMPUTED_VALUE"""),"Departemen Kimia")</f>
        <v>Departemen Kimia</v>
      </c>
      <c r="H415" s="1" t="str">
        <f ca="1">IFERROR(__xludf.DUMMYFUNCTION("""COMPUTED_VALUE"""),"Dra. Ratna Ediati, MS., Ph.D.")</f>
        <v>Dra. Ratna Ediati, MS., Ph.D.</v>
      </c>
      <c r="I415" s="1" t="str">
        <f ca="1">IFERROR(__xludf.DUMMYFUNCTION("""COMPUTED_VALUE"""),"IMMANUEL N. LBN GAOL")</f>
        <v>IMMANUEL N. LBN GAOL</v>
      </c>
      <c r="J415" s="1" t="str">
        <f ca="1">IFERROR(__xludf.DUMMYFUNCTION("""COMPUTED_VALUE"""),"5004211006")</f>
        <v>5004211006</v>
      </c>
      <c r="K415" s="1" t="str">
        <f ca="1">IFERROR(__xludf.DUMMYFUNCTION("""COMPUTED_VALUE"""),"Departemen Kimia")</f>
        <v>Departemen Kimia</v>
      </c>
      <c r="L415" s="1" t="str">
        <f ca="1">IFERROR(__xludf.DUMMYFUNCTION("""COMPUTED_VALUE"""),"RATIH HANDAYANI")</f>
        <v>RATIH HANDAYANI</v>
      </c>
      <c r="M415" s="1" t="str">
        <f ca="1">IFERROR(__xludf.DUMMYFUNCTION("""COMPUTED_VALUE"""),"5004211068")</f>
        <v>5004211068</v>
      </c>
      <c r="N415" s="1" t="str">
        <f ca="1">IFERROR(__xludf.DUMMYFUNCTION("""COMPUTED_VALUE"""),"Departemen Kimia")</f>
        <v>Departemen Kimia</v>
      </c>
      <c r="O415" s="1" t="str">
        <f ca="1">IFERROR(__xludf.DUMMYFUNCTION("""COMPUTED_VALUE"""),"ANGELICA RACHEL H P")</f>
        <v>ANGELICA RACHEL H P</v>
      </c>
      <c r="P415" s="1" t="str">
        <f ca="1">IFERROR(__xludf.DUMMYFUNCTION("""COMPUTED_VALUE"""),"5004211141")</f>
        <v>5004211141</v>
      </c>
      <c r="Q415" s="1" t="str">
        <f ca="1">IFERROR(__xludf.DUMMYFUNCTION("""COMPUTED_VALUE"""),"Departemen Kimia")</f>
        <v>Departemen Kimia</v>
      </c>
      <c r="R415" s="1" t="str">
        <f ca="1">IFERROR(__xludf.DUMMYFUNCTION("""COMPUTED_VALUE"""),"MUHAMMAD SALMAN AL KAHFI")</f>
        <v>MUHAMMAD SALMAN AL KAHFI</v>
      </c>
      <c r="S415" s="1" t="str">
        <f ca="1">IFERROR(__xludf.DUMMYFUNCTION("""COMPUTED_VALUE"""),"01211840000056")</f>
        <v>01211840000056</v>
      </c>
      <c r="T415" s="1" t="str">
        <f ca="1">IFERROR(__xludf.DUMMYFUNCTION("""COMPUTED_VALUE"""),"Departemen Kimia")</f>
        <v>Departemen Kimia</v>
      </c>
      <c r="U415" s="1" t="str">
        <f ca="1">IFERROR(__xludf.DUMMYFUNCTION("""COMPUTED_VALUE"""),"Dr. Awik Puji Dyah Nurhayati, S.Si., M.Si.")</f>
        <v>Dr. Awik Puji Dyah Nurhayati, S.Si., M.Si.</v>
      </c>
      <c r="V415" s="1" t="str">
        <f ca="1">IFERROR(__xludf.DUMMYFUNCTION("""COMPUTED_VALUE"""),"Iska Desmawati, S.Si., M.Si.")</f>
        <v>Iska Desmawati, S.Si., M.Si.</v>
      </c>
      <c r="W415" s="1"/>
      <c r="X415" s="1" t="str">
        <f ca="1">IFERROR(__xludf.DUMMYFUNCTION("""COMPUTED_VALUE"""),"Lolos")</f>
        <v>Lolos</v>
      </c>
      <c r="Y415" s="1"/>
      <c r="Z415" s="1"/>
      <c r="AA415" s="1"/>
    </row>
    <row r="416" spans="1:27">
      <c r="A416" s="1" t="s">
        <v>410</v>
      </c>
      <c r="B416" s="1">
        <f ca="1">IFERROR(__xludf.DUMMYFUNCTION("""COMPUTED_VALUE"""),2107)</f>
        <v>2107</v>
      </c>
      <c r="C416" s="1" t="str">
        <f ca="1">IFERROR(__xludf.DUMMYFUNCTION("""COMPUTED_VALUE"""),"PKM Riset Eksakta")</f>
        <v>PKM Riset Eksakta</v>
      </c>
      <c r="D416" s="1" t="str">
        <f ca="1">IFERROR(__xludf.DUMMYFUNCTION("""COMPUTED_VALUE"""),"Smart Predictive Maintenance berbasis Digital Twin &amp; Internet of Things pada Heat Exchanger dengan Menggunakan Metode Optimasi Duelist Algorithm")</f>
        <v>Smart Predictive Maintenance berbasis Digital Twin &amp; Internet of Things pada Heat Exchanger dengan Menggunakan Metode Optimasi Duelist Algorithm</v>
      </c>
      <c r="E416" s="1" t="str">
        <f ca="1">IFERROR(__xludf.DUMMYFUNCTION("""COMPUTED_VALUE"""),"Ridinta Nabila Fitria Susilo")</f>
        <v>Ridinta Nabila Fitria Susilo</v>
      </c>
      <c r="F416" s="1" t="str">
        <f ca="1">IFERROR(__xludf.DUMMYFUNCTION("""COMPUTED_VALUE"""),"02311940000038")</f>
        <v>02311940000038</v>
      </c>
      <c r="G416" s="1" t="str">
        <f ca="1">IFERROR(__xludf.DUMMYFUNCTION("""COMPUTED_VALUE"""),"Departemen Teknik Fisika")</f>
        <v>Departemen Teknik Fisika</v>
      </c>
      <c r="H416" s="1" t="str">
        <f ca="1">IFERROR(__xludf.DUMMYFUNCTION("""COMPUTED_VALUE"""),"Totok Ruki Biyanto, S.T., M.T., Ph.D.")</f>
        <v>Totok Ruki Biyanto, S.T., M.T., Ph.D.</v>
      </c>
      <c r="I416" s="1" t="str">
        <f ca="1">IFERROR(__xludf.DUMMYFUNCTION("""COMPUTED_VALUE"""),"MUHAMMAD AINUL YAQIN")</f>
        <v>MUHAMMAD AINUL YAQIN</v>
      </c>
      <c r="J416" s="1" t="str">
        <f ca="1">IFERROR(__xludf.DUMMYFUNCTION("""COMPUTED_VALUE"""),"02311940000070")</f>
        <v>02311940000070</v>
      </c>
      <c r="K416" s="1" t="str">
        <f ca="1">IFERROR(__xludf.DUMMYFUNCTION("""COMPUTED_VALUE"""),"Departemen Teknik Fisika")</f>
        <v>Departemen Teknik Fisika</v>
      </c>
      <c r="L416" s="1" t="str">
        <f ca="1">IFERROR(__xludf.DUMMYFUNCTION("""COMPUTED_VALUE"""),"BAGUS SETA KURNIAWAN")</f>
        <v>BAGUS SETA KURNIAWAN</v>
      </c>
      <c r="M416" s="1" t="str">
        <f ca="1">IFERROR(__xludf.DUMMYFUNCTION("""COMPUTED_VALUE"""),"02311940000097")</f>
        <v>02311940000097</v>
      </c>
      <c r="N416" s="1" t="str">
        <f ca="1">IFERROR(__xludf.DUMMYFUNCTION("""COMPUTED_VALUE"""),"Departemen Teknik Fisika")</f>
        <v>Departemen Teknik Fisika</v>
      </c>
      <c r="O416" s="1" t="str">
        <f ca="1">IFERROR(__xludf.DUMMYFUNCTION("""COMPUTED_VALUE"""),"Novandion Rafly Kurniawan")</f>
        <v>Novandion Rafly Kurniawan</v>
      </c>
      <c r="P416" s="1" t="str">
        <f ca="1">IFERROR(__xludf.DUMMYFUNCTION("""COMPUTED_VALUE"""),"02311940000010")</f>
        <v>02311940000010</v>
      </c>
      <c r="Q416" s="1" t="str">
        <f ca="1">IFERROR(__xludf.DUMMYFUNCTION("""COMPUTED_VALUE"""),"Departemen Teknik Fisika")</f>
        <v>Departemen Teknik Fisika</v>
      </c>
      <c r="R416" s="1" t="str">
        <f ca="1">IFERROR(__xludf.DUMMYFUNCTION("""COMPUTED_VALUE"""),"FARAH QATRUNNADA NAURAH FIRDAUSI")</f>
        <v>FARAH QATRUNNADA NAURAH FIRDAUSI</v>
      </c>
      <c r="S416" s="1" t="str">
        <f ca="1">IFERROR(__xludf.DUMMYFUNCTION("""COMPUTED_VALUE"""),"02311940000118")</f>
        <v>02311940000118</v>
      </c>
      <c r="T416" s="1" t="str">
        <f ca="1">IFERROR(__xludf.DUMMYFUNCTION("""COMPUTED_VALUE"""),"Departemen Teknik Fisika")</f>
        <v>Departemen Teknik Fisika</v>
      </c>
      <c r="U416" s="1" t="str">
        <f ca="1">IFERROR(__xludf.DUMMYFUNCTION("""COMPUTED_VALUE"""),"Dr. Awik Puji Dyah Nurhayati, S.Si., M.Si.")</f>
        <v>Dr. Awik Puji Dyah Nurhayati, S.Si., M.Si.</v>
      </c>
      <c r="V416" s="1" t="str">
        <f ca="1">IFERROR(__xludf.DUMMYFUNCTION("""COMPUTED_VALUE"""),"Iska Desmawati, S.Si., M.Si.")</f>
        <v>Iska Desmawati, S.Si., M.Si.</v>
      </c>
      <c r="W416" s="1"/>
      <c r="X416" s="1" t="str">
        <f ca="1">IFERROR(__xludf.DUMMYFUNCTION("""COMPUTED_VALUE"""),"Lolos")</f>
        <v>Lolos</v>
      </c>
      <c r="Y416" s="1"/>
      <c r="Z416" s="1"/>
      <c r="AA416" s="1"/>
    </row>
    <row r="417" spans="1:27">
      <c r="A417" s="1" t="s">
        <v>411</v>
      </c>
      <c r="B417" s="1">
        <f ca="1">IFERROR(__xludf.DUMMYFUNCTION("""COMPUTED_VALUE"""),3113)</f>
        <v>3113</v>
      </c>
      <c r="C417" s="1" t="str">
        <f ca="1">IFERROR(__xludf.DUMMYFUNCTION("""COMPUTED_VALUE"""),"PKM Riset Eksakta")</f>
        <v>PKM Riset Eksakta</v>
      </c>
      <c r="D417" s="1" t="str">
        <f ca="1">IFERROR(__xludf.DUMMYFUNCTION("""COMPUTED_VALUE"""),"Pengaruh Fly Ash pada Stabilitas dan Permeabilitas Aspal Porus")</f>
        <v>Pengaruh Fly Ash pada Stabilitas dan Permeabilitas Aspal Porus</v>
      </c>
      <c r="E417" s="1" t="str">
        <f ca="1">IFERROR(__xludf.DUMMYFUNCTION("""COMPUTED_VALUE"""),"YONA MACHERY")</f>
        <v>YONA MACHERY</v>
      </c>
      <c r="F417" s="1" t="str">
        <f ca="1">IFERROR(__xludf.DUMMYFUNCTION("""COMPUTED_VALUE"""),"2035201013")</f>
        <v>2035201013</v>
      </c>
      <c r="G417" s="1" t="str">
        <f ca="1">IFERROR(__xludf.DUMMYFUNCTION("""COMPUTED_VALUE"""),"Departemen Teknik Infrastruktur Sipil")</f>
        <v>Departemen Teknik Infrastruktur Sipil</v>
      </c>
      <c r="H417" s="1" t="str">
        <f ca="1">IFERROR(__xludf.DUMMYFUNCTION("""COMPUTED_VALUE"""),"Amalia Firdaus Mawardi, S.T., M.T.")</f>
        <v>Amalia Firdaus Mawardi, S.T., M.T.</v>
      </c>
      <c r="I417" s="1" t="str">
        <f ca="1">IFERROR(__xludf.DUMMYFUNCTION("""COMPUTED_VALUE"""),"MARIO MAHDY")</f>
        <v>MARIO MAHDY</v>
      </c>
      <c r="J417" s="1" t="str">
        <f ca="1">IFERROR(__xludf.DUMMYFUNCTION("""COMPUTED_VALUE"""),"2035201111")</f>
        <v>2035201111</v>
      </c>
      <c r="K417" s="1" t="str">
        <f ca="1">IFERROR(__xludf.DUMMYFUNCTION("""COMPUTED_VALUE"""),"Departemen Teknik Infrastruktur Sipil")</f>
        <v>Departemen Teknik Infrastruktur Sipil</v>
      </c>
      <c r="L417" s="1" t="str">
        <f ca="1">IFERROR(__xludf.DUMMYFUNCTION("""COMPUTED_VALUE"""),"KORNELIUS SOFINNER NDRURU")</f>
        <v>KORNELIUS SOFINNER NDRURU</v>
      </c>
      <c r="M417" s="1" t="str">
        <f ca="1">IFERROR(__xludf.DUMMYFUNCTION("""COMPUTED_VALUE"""),"2035201054")</f>
        <v>2035201054</v>
      </c>
      <c r="N417" s="1" t="str">
        <f ca="1">IFERROR(__xludf.DUMMYFUNCTION("""COMPUTED_VALUE"""),"Departemen Teknik Infrastruktur Sipil")</f>
        <v>Departemen Teknik Infrastruktur Sipil</v>
      </c>
      <c r="O417" s="1" t="str">
        <f ca="1">IFERROR(__xludf.DUMMYFUNCTION("""COMPUTED_VALUE"""),"NUR ILHAM QOHAR")</f>
        <v>NUR ILHAM QOHAR</v>
      </c>
      <c r="P417" s="1" t="str">
        <f ca="1">IFERROR(__xludf.DUMMYFUNCTION("""COMPUTED_VALUE"""),"2035201009")</f>
        <v>2035201009</v>
      </c>
      <c r="Q417" s="1" t="str">
        <f ca="1">IFERROR(__xludf.DUMMYFUNCTION("""COMPUTED_VALUE"""),"Departemen Teknik Infrastruktur Sipil")</f>
        <v>Departemen Teknik Infrastruktur Sipil</v>
      </c>
      <c r="R417" s="1"/>
      <c r="S417" s="1"/>
      <c r="T417" s="1"/>
      <c r="U417" s="1" t="str">
        <f ca="1">IFERROR(__xludf.DUMMYFUNCTION("""COMPUTED_VALUE"""),"Ahmad Fauzan Adziimaa, S.T., M.Sc.")</f>
        <v>Ahmad Fauzan Adziimaa, S.T., M.Sc.</v>
      </c>
      <c r="V417" s="1" t="str">
        <f ca="1">IFERROR(__xludf.DUMMYFUNCTION("""COMPUTED_VALUE"""),"Azzah Dyah Pramata, S.T., M.T., M.Eng., Ph.D.")</f>
        <v>Azzah Dyah Pramata, S.T., M.T., M.Eng., Ph.D.</v>
      </c>
      <c r="W417" s="1"/>
      <c r="X417" s="1" t="str">
        <f ca="1">IFERROR(__xludf.DUMMYFUNCTION("""COMPUTED_VALUE"""),"Lolos")</f>
        <v>Lolos</v>
      </c>
      <c r="Y417" s="1"/>
      <c r="Z417" s="1"/>
      <c r="AA417" s="1"/>
    </row>
    <row r="418" spans="1:27">
      <c r="A418" s="1" t="s">
        <v>412</v>
      </c>
      <c r="B418" s="1">
        <f ca="1">IFERROR(__xludf.DUMMYFUNCTION("""COMPUTED_VALUE"""),4088)</f>
        <v>4088</v>
      </c>
      <c r="C418" s="1" t="str">
        <f ca="1">IFERROR(__xludf.DUMMYFUNCTION("""COMPUTED_VALUE"""),"PKM Riset Eksakta")</f>
        <v>PKM Riset Eksakta</v>
      </c>
      <c r="D418" s="1" t="str">
        <f ca="1">IFERROR(__xludf.DUMMYFUNCTION("""COMPUTED_VALUE"""),"STUDI PENGARUH SUPERPLASTICIZER TERHADAP WORKABILITY BETON GEOPOLIMER MUTU TINGGI BERBASIS HIGH CALCIUM FLY ASH TYPE C  DENGAN METODE KERING")</f>
        <v>STUDI PENGARUH SUPERPLASTICIZER TERHADAP WORKABILITY BETON GEOPOLIMER MUTU TINGGI BERBASIS HIGH CALCIUM FLY ASH TYPE C  DENGAN METODE KERING</v>
      </c>
      <c r="E418" s="1" t="str">
        <f ca="1">IFERROR(__xludf.DUMMYFUNCTION("""COMPUTED_VALUE"""),"UMI ARIFATUS SHOIFAH")</f>
        <v>UMI ARIFATUS SHOIFAH</v>
      </c>
      <c r="F418" s="1" t="str">
        <f ca="1">IFERROR(__xludf.DUMMYFUNCTION("""COMPUTED_VALUE"""),"10111810010025")</f>
        <v>10111810010025</v>
      </c>
      <c r="G418" s="1" t="str">
        <f ca="1">IFERROR(__xludf.DUMMYFUNCTION("""COMPUTED_VALUE"""),"Departemen Teknik Infrastruktur Sipil")</f>
        <v>Departemen Teknik Infrastruktur Sipil</v>
      </c>
      <c r="H418" s="1" t="str">
        <f ca="1">IFERROR(__xludf.DUMMYFUNCTION("""COMPUTED_VALUE"""),"Dr.Eng. Yuyun Tajunnisa, S.T., M.T.")</f>
        <v>Dr.Eng. Yuyun Tajunnisa, S.T., M.T.</v>
      </c>
      <c r="I418" s="1" t="str">
        <f ca="1">IFERROR(__xludf.DUMMYFUNCTION("""COMPUTED_VALUE"""),"RIFQI NADHIF ARRAFID")</f>
        <v>RIFQI NADHIF ARRAFID</v>
      </c>
      <c r="J418" s="1" t="str">
        <f ca="1">IFERROR(__xludf.DUMMYFUNCTION("""COMPUTED_VALUE"""),"10111810013012")</f>
        <v>10111810013012</v>
      </c>
      <c r="K418" s="1" t="str">
        <f ca="1">IFERROR(__xludf.DUMMYFUNCTION("""COMPUTED_VALUE"""),"Departemen Teknik Infrastruktur Sipil")</f>
        <v>Departemen Teknik Infrastruktur Sipil</v>
      </c>
      <c r="L418" s="1" t="str">
        <f ca="1">IFERROR(__xludf.DUMMYFUNCTION("""COMPUTED_VALUE"""),"ARIF AGUS HIDAYAT")</f>
        <v>ARIF AGUS HIDAYAT</v>
      </c>
      <c r="M418" s="1" t="str">
        <f ca="1">IFERROR(__xludf.DUMMYFUNCTION("""COMPUTED_VALUE"""),"2036211009")</f>
        <v>2036211009</v>
      </c>
      <c r="N418" s="1" t="str">
        <f ca="1">IFERROR(__xludf.DUMMYFUNCTION("""COMPUTED_VALUE"""),"Departemen Teknik Infrastruktur Sipil")</f>
        <v>Departemen Teknik Infrastruktur Sipil</v>
      </c>
      <c r="O418" s="1" t="str">
        <f ca="1">IFERROR(__xludf.DUMMYFUNCTION("""COMPUTED_VALUE"""),"AKBAR ABI A")</f>
        <v>AKBAR ABI A</v>
      </c>
      <c r="P418" s="1" t="str">
        <f ca="1">IFERROR(__xludf.DUMMYFUNCTION("""COMPUTED_VALUE"""),"2036211021")</f>
        <v>2036211021</v>
      </c>
      <c r="Q418" s="1" t="str">
        <f ca="1">IFERROR(__xludf.DUMMYFUNCTION("""COMPUTED_VALUE"""),"Departemen Teknik Infrastruktur Sipil")</f>
        <v>Departemen Teknik Infrastruktur Sipil</v>
      </c>
      <c r="R418" s="1" t="str">
        <f ca="1">IFERROR(__xludf.DUMMYFUNCTION("""COMPUTED_VALUE"""),"MAULANA IBNU HAFIDUDDIIN")</f>
        <v>MAULANA IBNU HAFIDUDDIIN</v>
      </c>
      <c r="S418" s="1" t="str">
        <f ca="1">IFERROR(__xludf.DUMMYFUNCTION("""COMPUTED_VALUE"""),"2036201052")</f>
        <v>2036201052</v>
      </c>
      <c r="T418" s="1" t="str">
        <f ca="1">IFERROR(__xludf.DUMMYFUNCTION("""COMPUTED_VALUE"""),"Departemen Teknik Infrastruktur Sipil")</f>
        <v>Departemen Teknik Infrastruktur Sipil</v>
      </c>
      <c r="U418" s="1" t="str">
        <f ca="1">IFERROR(__xludf.DUMMYFUNCTION("""COMPUTED_VALUE"""),"Dr. Awik Puji Dyah Nurhayati, S.Si., M.Si.")</f>
        <v>Dr. Awik Puji Dyah Nurhayati, S.Si., M.Si.</v>
      </c>
      <c r="V418" s="1" t="str">
        <f ca="1">IFERROR(__xludf.DUMMYFUNCTION("""COMPUTED_VALUE"""),"Sena Safarina , S.Si., M.Sc., D.Sc")</f>
        <v>Sena Safarina , S.Si., M.Sc., D.Sc</v>
      </c>
      <c r="W418" s="1"/>
      <c r="X418" s="1" t="str">
        <f ca="1">IFERROR(__xludf.DUMMYFUNCTION("""COMPUTED_VALUE"""),"Lolos")</f>
        <v>Lolos</v>
      </c>
      <c r="Y418" s="1"/>
      <c r="Z418" s="1"/>
      <c r="AA418" s="1"/>
    </row>
    <row r="419" spans="1:27">
      <c r="A419" s="1" t="s">
        <v>413</v>
      </c>
      <c r="B419" s="1">
        <f ca="1">IFERROR(__xludf.DUMMYFUNCTION("""COMPUTED_VALUE"""),3550)</f>
        <v>3550</v>
      </c>
      <c r="C419" s="1" t="str">
        <f ca="1">IFERROR(__xludf.DUMMYFUNCTION("""COMPUTED_VALUE"""),"PKM Riset Eksakta")</f>
        <v>PKM Riset Eksakta</v>
      </c>
      <c r="D419" s="1" t="str">
        <f ca="1">IFERROR(__xludf.DUMMYFUNCTION("""COMPUTED_VALUE"""),"Pengolahan Limbah Cair Kegiatan Bengkel Menggunakan Metode 
Elektrokoagulasi")</f>
        <v>Pengolahan Limbah Cair Kegiatan Bengkel Menggunakan Metode 
Elektrokoagulasi</v>
      </c>
      <c r="E419" s="1" t="str">
        <f ca="1">IFERROR(__xludf.DUMMYFUNCTION("""COMPUTED_VALUE"""),"RICCO PRIMARIO LISANTO")</f>
        <v>RICCO PRIMARIO LISANTO</v>
      </c>
      <c r="F419" s="1" t="str">
        <f ca="1">IFERROR(__xludf.DUMMYFUNCTION("""COMPUTED_VALUE"""),"10411810000035")</f>
        <v>10411810000035</v>
      </c>
      <c r="G419" s="1" t="str">
        <f ca="1">IFERROR(__xludf.DUMMYFUNCTION("""COMPUTED_VALUE"""),"Departemen Teknik Kimia Industri")</f>
        <v>Departemen Teknik Kimia Industri</v>
      </c>
      <c r="H419" s="1" t="str">
        <f ca="1">IFERROR(__xludf.DUMMYFUNCTION("""COMPUTED_VALUE"""),"Prof. Dr. Ir. Soeprijanto, M.Sc.")</f>
        <v>Prof. Dr. Ir. Soeprijanto, M.Sc.</v>
      </c>
      <c r="I419" s="1" t="str">
        <f ca="1">IFERROR(__xludf.DUMMYFUNCTION("""COMPUTED_VALUE"""),"ARIFA DIAS HUTAMI")</f>
        <v>ARIFA DIAS HUTAMI</v>
      </c>
      <c r="J419" s="1" t="str">
        <f ca="1">IFERROR(__xludf.DUMMYFUNCTION("""COMPUTED_VALUE"""),"10411810000013")</f>
        <v>10411810000013</v>
      </c>
      <c r="K419" s="1" t="str">
        <f ca="1">IFERROR(__xludf.DUMMYFUNCTION("""COMPUTED_VALUE"""),"Departemen Teknik Kimia Industri")</f>
        <v>Departemen Teknik Kimia Industri</v>
      </c>
      <c r="L419" s="1" t="str">
        <f ca="1">IFERROR(__xludf.DUMMYFUNCTION("""COMPUTED_VALUE"""),"AHMAD RIFKY AZIS")</f>
        <v>AHMAD RIFKY AZIS</v>
      </c>
      <c r="M419" s="1" t="str">
        <f ca="1">IFERROR(__xludf.DUMMYFUNCTION("""COMPUTED_VALUE"""),"10411910000047")</f>
        <v>10411910000047</v>
      </c>
      <c r="N419" s="1" t="str">
        <f ca="1">IFERROR(__xludf.DUMMYFUNCTION("""COMPUTED_VALUE"""),"Departemen Teknik Kimia Industri")</f>
        <v>Departemen Teknik Kimia Industri</v>
      </c>
      <c r="O419" s="1" t="str">
        <f ca="1">IFERROR(__xludf.DUMMYFUNCTION("""COMPUTED_VALUE"""),"SITI ALICIA ANARA")</f>
        <v>SITI ALICIA ANARA</v>
      </c>
      <c r="P419" s="1" t="str">
        <f ca="1">IFERROR(__xludf.DUMMYFUNCTION("""COMPUTED_VALUE"""),"10411910000033")</f>
        <v>10411910000033</v>
      </c>
      <c r="Q419" s="1" t="str">
        <f ca="1">IFERROR(__xludf.DUMMYFUNCTION("""COMPUTED_VALUE"""),"Departemen Teknik Kimia Industri")</f>
        <v>Departemen Teknik Kimia Industri</v>
      </c>
      <c r="R419" s="1"/>
      <c r="S419" s="1"/>
      <c r="T419" s="1"/>
      <c r="U419" s="1" t="str">
        <f ca="1">IFERROR(__xludf.DUMMYFUNCTION("""COMPUTED_VALUE"""),"Dr.Eng. Siti Machmudah, S.T., M.Eng.")</f>
        <v>Dr.Eng. Siti Machmudah, S.T., M.Eng.</v>
      </c>
      <c r="V419" s="1" t="str">
        <f ca="1">IFERROR(__xludf.DUMMYFUNCTION("""COMPUTED_VALUE"""),"Dra. Ratna Ediati, MS., Ph.D.")</f>
        <v>Dra. Ratna Ediati, MS., Ph.D.</v>
      </c>
      <c r="W419" s="1"/>
      <c r="X419" s="1" t="str">
        <f ca="1">IFERROR(__xludf.DUMMYFUNCTION("""COMPUTED_VALUE"""),"Lolos")</f>
        <v>Lolos</v>
      </c>
      <c r="Y419" s="1"/>
      <c r="Z419" s="1"/>
      <c r="AA419" s="1"/>
    </row>
    <row r="420" spans="1:27">
      <c r="A420" s="1" t="s">
        <v>414</v>
      </c>
      <c r="B420" s="1">
        <f ca="1">IFERROR(__xludf.DUMMYFUNCTION("""COMPUTED_VALUE"""),3491)</f>
        <v>3491</v>
      </c>
      <c r="C420" s="1" t="str">
        <f ca="1">IFERROR(__xludf.DUMMYFUNCTION("""COMPUTED_VALUE"""),"PKM Riset Eksakta")</f>
        <v>PKM Riset Eksakta</v>
      </c>
      <c r="D420" s="1" t="str">
        <f ca="1">IFERROR(__xludf.DUMMYFUNCTION("""COMPUTED_VALUE"""),"Aktivitas Konsorsium Fungi Pennicillium Crysogenum dan Rhizopus Oryzae sebagai Agen Pengekstraksi Nikel dari Bijih Logam Berkadar Rendah dengan Metode Biohydrometallurgy")</f>
        <v>Aktivitas Konsorsium Fungi Pennicillium Crysogenum dan Rhizopus Oryzae sebagai Agen Pengekstraksi Nikel dari Bijih Logam Berkadar Rendah dengan Metode Biohydrometallurgy</v>
      </c>
      <c r="E420" s="1" t="str">
        <f ca="1">IFERROR(__xludf.DUMMYFUNCTION("""COMPUTED_VALUE"""),"JONATHAN ARZA PUTRA")</f>
        <v>JONATHAN ARZA PUTRA</v>
      </c>
      <c r="F420" s="1" t="str">
        <f ca="1">IFERROR(__xludf.DUMMYFUNCTION("""COMPUTED_VALUE"""),"5011201075")</f>
        <v>5011201075</v>
      </c>
      <c r="G420" s="1" t="str">
        <f ca="1">IFERROR(__xludf.DUMMYFUNCTION("""COMPUTED_VALUE"""),"Departemen Teknik Material dan Metalurgi")</f>
        <v>Departemen Teknik Material dan Metalurgi</v>
      </c>
      <c r="H420" s="1" t="str">
        <f ca="1">IFERROR(__xludf.DUMMYFUNCTION("""COMPUTED_VALUE"""),"Dian Mughni Fellicia, ST., M.Sc")</f>
        <v>Dian Mughni Fellicia, ST., M.Sc</v>
      </c>
      <c r="I420" s="1" t="str">
        <f ca="1">IFERROR(__xludf.DUMMYFUNCTION("""COMPUTED_VALUE"""),"ANNISA URBANINGRUM")</f>
        <v>ANNISA URBANINGRUM</v>
      </c>
      <c r="J420" s="1" t="str">
        <f ca="1">IFERROR(__xludf.DUMMYFUNCTION("""COMPUTED_VALUE"""),"5011201010")</f>
        <v>5011201010</v>
      </c>
      <c r="K420" s="1" t="str">
        <f ca="1">IFERROR(__xludf.DUMMYFUNCTION("""COMPUTED_VALUE"""),"Departemen Teknik Material dan Metalurgi")</f>
        <v>Departemen Teknik Material dan Metalurgi</v>
      </c>
      <c r="L420" s="1" t="str">
        <f ca="1">IFERROR(__xludf.DUMMYFUNCTION("""COMPUTED_VALUE"""),"REYNARD HANIF GHUFRON")</f>
        <v>REYNARD HANIF GHUFRON</v>
      </c>
      <c r="M420" s="1" t="str">
        <f ca="1">IFERROR(__xludf.DUMMYFUNCTION("""COMPUTED_VALUE"""),"5011201157")</f>
        <v>5011201157</v>
      </c>
      <c r="N420" s="1" t="str">
        <f ca="1">IFERROR(__xludf.DUMMYFUNCTION("""COMPUTED_VALUE"""),"Departemen Teknik Material dan Metalurgi")</f>
        <v>Departemen Teknik Material dan Metalurgi</v>
      </c>
      <c r="O420" s="1" t="str">
        <f ca="1">IFERROR(__xludf.DUMMYFUNCTION("""COMPUTED_VALUE"""),"Paundra Rizky Pratama")</f>
        <v>Paundra Rizky Pratama</v>
      </c>
      <c r="P420" s="1" t="str">
        <f ca="1">IFERROR(__xludf.DUMMYFUNCTION("""COMPUTED_VALUE"""),"02511940000021")</f>
        <v>02511940000021</v>
      </c>
      <c r="Q420" s="1" t="str">
        <f ca="1">IFERROR(__xludf.DUMMYFUNCTION("""COMPUTED_VALUE"""),"Departemen Teknik Material dan Metalurgi")</f>
        <v>Departemen Teknik Material dan Metalurgi</v>
      </c>
      <c r="R420" s="1" t="str">
        <f ca="1">IFERROR(__xludf.DUMMYFUNCTION("""COMPUTED_VALUE"""),"SALSABILA AIDA FITRIYA")</f>
        <v>SALSABILA AIDA FITRIYA</v>
      </c>
      <c r="S420" s="1" t="str">
        <f ca="1">IFERROR(__xludf.DUMMYFUNCTION("""COMPUTED_VALUE"""),"01311940000033")</f>
        <v>01311940000033</v>
      </c>
      <c r="T420" s="1" t="str">
        <f ca="1">IFERROR(__xludf.DUMMYFUNCTION("""COMPUTED_VALUE"""),"Departemen Biologi")</f>
        <v>Departemen Biologi</v>
      </c>
      <c r="U420" s="1" t="str">
        <f ca="1">IFERROR(__xludf.DUMMYFUNCTION("""COMPUTED_VALUE"""),"Muhammad Syifaul Mufid, S.Si.,M.Si")</f>
        <v>Muhammad Syifaul Mufid, S.Si.,M.Si</v>
      </c>
      <c r="V420" s="1" t="str">
        <f ca="1">IFERROR(__xludf.DUMMYFUNCTION("""COMPUTED_VALUE"""),"Dra. Ratna Ediati, MS., Ph.D.")</f>
        <v>Dra. Ratna Ediati, MS., Ph.D.</v>
      </c>
      <c r="W420" s="1"/>
      <c r="X420" s="1" t="str">
        <f ca="1">IFERROR(__xludf.DUMMYFUNCTION("""COMPUTED_VALUE"""),"Lolos")</f>
        <v>Lolos</v>
      </c>
      <c r="Y420" s="1"/>
      <c r="Z420" s="1"/>
      <c r="AA420" s="1"/>
    </row>
    <row r="421" spans="1:27">
      <c r="A421" s="1" t="s">
        <v>415</v>
      </c>
      <c r="B421" s="1">
        <f ca="1">IFERROR(__xludf.DUMMYFUNCTION("""COMPUTED_VALUE"""),3141)</f>
        <v>3141</v>
      </c>
      <c r="C421" s="1" t="str">
        <f ca="1">IFERROR(__xludf.DUMMYFUNCTION("""COMPUTED_VALUE"""),"PKM Riset Eksakta")</f>
        <v>PKM Riset Eksakta</v>
      </c>
      <c r="D421" s="1" t="str">
        <f ca="1">IFERROR(__xludf.DUMMYFUNCTION("""COMPUTED_VALUE"""),"Potensi Nanokapsul Ekstrak Etanol Biji, Akar, dan Kulit Batang Jatropha curcas: Evaluasi Antioksidan dan Sitotoksisitas Terhadap Sel Kanker Payudara MCF-7")</f>
        <v>Potensi Nanokapsul Ekstrak Etanol Biji, Akar, dan Kulit Batang Jatropha curcas: Evaluasi Antioksidan dan Sitotoksisitas Terhadap Sel Kanker Payudara MCF-7</v>
      </c>
      <c r="E421" s="1" t="str">
        <f ca="1">IFERROR(__xludf.DUMMYFUNCTION("""COMPUTED_VALUE"""),"MUHAMMAD UBAYDHILLAH")</f>
        <v>MUHAMMAD UBAYDHILLAH</v>
      </c>
      <c r="F421" s="1" t="str">
        <f ca="1">IFERROR(__xludf.DUMMYFUNCTION("""COMPUTED_VALUE"""),"5004201062")</f>
        <v>5004201062</v>
      </c>
      <c r="G421" s="1" t="str">
        <f ca="1">IFERROR(__xludf.DUMMYFUNCTION("""COMPUTED_VALUE"""),"Departemen Kimia")</f>
        <v>Departemen Kimia</v>
      </c>
      <c r="H421" s="1" t="str">
        <f ca="1">IFERROR(__xludf.DUMMYFUNCTION("""COMPUTED_VALUE"""),"Arif Fadlan, S.Si., M.Si., D.Sc")</f>
        <v>Arif Fadlan, S.Si., M.Si., D.Sc</v>
      </c>
      <c r="I421" s="1" t="str">
        <f ca="1">IFERROR(__xludf.DUMMYFUNCTION("""COMPUTED_VALUE"""),"NABILAH  DITA ANAQAH")</f>
        <v>NABILAH  DITA ANAQAH</v>
      </c>
      <c r="J421" s="1" t="str">
        <f ca="1">IFERROR(__xludf.DUMMYFUNCTION("""COMPUTED_VALUE"""),"5004201109")</f>
        <v>5004201109</v>
      </c>
      <c r="K421" s="1" t="str">
        <f ca="1">IFERROR(__xludf.DUMMYFUNCTION("""COMPUTED_VALUE"""),"Departemen Kimia")</f>
        <v>Departemen Kimia</v>
      </c>
      <c r="L421" s="1" t="str">
        <f ca="1">IFERROR(__xludf.DUMMYFUNCTION("""COMPUTED_VALUE"""),"ZAKIYYAH YASMIN SALSABILA")</f>
        <v>ZAKIYYAH YASMIN SALSABILA</v>
      </c>
      <c r="M421" s="1" t="str">
        <f ca="1">IFERROR(__xludf.DUMMYFUNCTION("""COMPUTED_VALUE"""),"5004201078")</f>
        <v>5004201078</v>
      </c>
      <c r="N421" s="1" t="str">
        <f ca="1">IFERROR(__xludf.DUMMYFUNCTION("""COMPUTED_VALUE"""),"Departemen Kimia")</f>
        <v>Departemen Kimia</v>
      </c>
      <c r="O421" s="1" t="str">
        <f ca="1">IFERROR(__xludf.DUMMYFUNCTION("""COMPUTED_VALUE"""),"KADEK ADELLA DEWITA PUTRI SANJAYA")</f>
        <v>KADEK ADELLA DEWITA PUTRI SANJAYA</v>
      </c>
      <c r="P421" s="1" t="str">
        <f ca="1">IFERROR(__xludf.DUMMYFUNCTION("""COMPUTED_VALUE"""),"5004201079")</f>
        <v>5004201079</v>
      </c>
      <c r="Q421" s="1" t="str">
        <f ca="1">IFERROR(__xludf.DUMMYFUNCTION("""COMPUTED_VALUE"""),"Departemen Kimia")</f>
        <v>Departemen Kimia</v>
      </c>
      <c r="R421" s="1"/>
      <c r="S421" s="1"/>
      <c r="T421" s="1"/>
      <c r="U421" s="1" t="str">
        <f ca="1">IFERROR(__xludf.DUMMYFUNCTION("""COMPUTED_VALUE"""),"Ahmad Fauzan Adziimaa, S.T., M.Sc.")</f>
        <v>Ahmad Fauzan Adziimaa, S.T., M.Sc.</v>
      </c>
      <c r="V421" s="1" t="str">
        <f ca="1">IFERROR(__xludf.DUMMYFUNCTION("""COMPUTED_VALUE"""),"Azzah Dyah Pramata, S.T., M.T., M.Eng., Ph.D.")</f>
        <v>Azzah Dyah Pramata, S.T., M.T., M.Eng., Ph.D.</v>
      </c>
      <c r="W421" s="1"/>
      <c r="X421" s="1" t="str">
        <f ca="1">IFERROR(__xludf.DUMMYFUNCTION("""COMPUTED_VALUE"""),"Lolos")</f>
        <v>Lolos</v>
      </c>
      <c r="Y421" s="1"/>
      <c r="Z421" s="1"/>
      <c r="AA421" s="1"/>
    </row>
    <row r="422" spans="1:27">
      <c r="A422" s="1" t="s">
        <v>416</v>
      </c>
      <c r="B422" s="1">
        <f ca="1">IFERROR(__xludf.DUMMYFUNCTION("""COMPUTED_VALUE"""),3274)</f>
        <v>3274</v>
      </c>
      <c r="C422" s="1" t="str">
        <f ca="1">IFERROR(__xludf.DUMMYFUNCTION("""COMPUTED_VALUE"""),"PKM Riset Eksakta")</f>
        <v>PKM Riset Eksakta</v>
      </c>
      <c r="D422" s="1" t="str">
        <f ca="1">IFERROR(__xludf.DUMMYFUNCTION("""COMPUTED_VALUE"""),"Aktivasi Karbon dari Ban Bekas untuk Anoda Ultrakapasitor dengan Metode Pirolisis Termodifikasi ZnS sebagai Peningkat Kapasitas untuk Kendaraan Listrik")</f>
        <v>Aktivasi Karbon dari Ban Bekas untuk Anoda Ultrakapasitor dengan Metode Pirolisis Termodifikasi ZnS sebagai Peningkat Kapasitas untuk Kendaraan Listrik</v>
      </c>
      <c r="E422" s="1" t="str">
        <f ca="1">IFERROR(__xludf.DUMMYFUNCTION("""COMPUTED_VALUE"""),"HANIF FIKRI MAULANA")</f>
        <v>HANIF FIKRI MAULANA</v>
      </c>
      <c r="F422" s="1" t="str">
        <f ca="1">IFERROR(__xludf.DUMMYFUNCTION("""COMPUTED_VALUE"""),"02511940000115")</f>
        <v>02511940000115</v>
      </c>
      <c r="G422" s="1" t="str">
        <f ca="1">IFERROR(__xludf.DUMMYFUNCTION("""COMPUTED_VALUE"""),"Departemen Teknik Material dan Metalurgi")</f>
        <v>Departemen Teknik Material dan Metalurgi</v>
      </c>
      <c r="H422" s="1" t="str">
        <f ca="1">IFERROR(__xludf.DUMMYFUNCTION("""COMPUTED_VALUE"""),"Sutarsis")</f>
        <v>Sutarsis</v>
      </c>
      <c r="I422" s="1" t="str">
        <f ca="1">IFERROR(__xludf.DUMMYFUNCTION("""COMPUTED_VALUE"""),"TARAS GENOVIEVO DE YONAROSA")</f>
        <v>TARAS GENOVIEVO DE YONAROSA</v>
      </c>
      <c r="J422" s="1" t="str">
        <f ca="1">IFERROR(__xludf.DUMMYFUNCTION("""COMPUTED_VALUE"""),"02511940000071")</f>
        <v>02511940000071</v>
      </c>
      <c r="K422" s="1" t="str">
        <f ca="1">IFERROR(__xludf.DUMMYFUNCTION("""COMPUTED_VALUE"""),"Departemen Teknik Material dan Metalurgi")</f>
        <v>Departemen Teknik Material dan Metalurgi</v>
      </c>
      <c r="L422" s="1" t="str">
        <f ca="1">IFERROR(__xludf.DUMMYFUNCTION("""COMPUTED_VALUE"""),"DEWI PUSPA NINGRUM")</f>
        <v>DEWI PUSPA NINGRUM</v>
      </c>
      <c r="M422" s="1" t="str">
        <f ca="1">IFERROR(__xludf.DUMMYFUNCTION("""COMPUTED_VALUE"""),"02511940000143")</f>
        <v>02511940000143</v>
      </c>
      <c r="N422" s="1" t="str">
        <f ca="1">IFERROR(__xludf.DUMMYFUNCTION("""COMPUTED_VALUE"""),"Departemen Teknik Material dan Metalurgi")</f>
        <v>Departemen Teknik Material dan Metalurgi</v>
      </c>
      <c r="O422" s="1" t="str">
        <f ca="1">IFERROR(__xludf.DUMMYFUNCTION("""COMPUTED_VALUE"""),"ERIC DANIYANTO")</f>
        <v>ERIC DANIYANTO</v>
      </c>
      <c r="P422" s="1" t="str">
        <f ca="1">IFERROR(__xludf.DUMMYFUNCTION("""COMPUTED_VALUE"""),"5011201084")</f>
        <v>5011201084</v>
      </c>
      <c r="Q422" s="1" t="str">
        <f ca="1">IFERROR(__xludf.DUMMYFUNCTION("""COMPUTED_VALUE"""),"Departemen Teknik Material dan Metalurgi")</f>
        <v>Departemen Teknik Material dan Metalurgi</v>
      </c>
      <c r="R422" s="1" t="str">
        <f ca="1">IFERROR(__xludf.DUMMYFUNCTION("""COMPUTED_VALUE"""),"HAFIZ ZAIN FAHRIZAL")</f>
        <v>HAFIZ ZAIN FAHRIZAL</v>
      </c>
      <c r="S422" s="1" t="str">
        <f ca="1">IFERROR(__xludf.DUMMYFUNCTION("""COMPUTED_VALUE"""),"5022201040")</f>
        <v>5022201040</v>
      </c>
      <c r="T422" s="1" t="str">
        <f ca="1">IFERROR(__xludf.DUMMYFUNCTION("""COMPUTED_VALUE"""),"Departemen Teknik Elektro")</f>
        <v>Departemen Teknik Elektro</v>
      </c>
      <c r="U422" s="1" t="str">
        <f ca="1">IFERROR(__xludf.DUMMYFUNCTION("""COMPUTED_VALUE"""),"Dr.Eng. Siti Machmudah, S.T., M.Eng.")</f>
        <v>Dr.Eng. Siti Machmudah, S.T., M.Eng.</v>
      </c>
      <c r="V422" s="1" t="str">
        <f ca="1">IFERROR(__xludf.DUMMYFUNCTION("""COMPUTED_VALUE"""),"Dr. Candra Irawan, S.T., M.T.")</f>
        <v>Dr. Candra Irawan, S.T., M.T.</v>
      </c>
      <c r="W422" s="1"/>
      <c r="X422" s="1" t="str">
        <f ca="1">IFERROR(__xludf.DUMMYFUNCTION("""COMPUTED_VALUE"""),"Lolos")</f>
        <v>Lolos</v>
      </c>
      <c r="Y422" s="1"/>
      <c r="Z422" s="1"/>
      <c r="AA422" s="1"/>
    </row>
    <row r="423" spans="1:27">
      <c r="A423" s="1" t="s">
        <v>417</v>
      </c>
      <c r="B423" s="1">
        <f ca="1">IFERROR(__xludf.DUMMYFUNCTION("""COMPUTED_VALUE"""),2487)</f>
        <v>2487</v>
      </c>
      <c r="C423" s="1" t="str">
        <f ca="1">IFERROR(__xludf.DUMMYFUNCTION("""COMPUTED_VALUE"""),"PKM Riset Eksakta")</f>
        <v>PKM Riset Eksakta</v>
      </c>
      <c r="D423" s="1" t="str">
        <f ca="1">IFERROR(__xludf.DUMMYFUNCTION("""COMPUTED_VALUE"""),"Efisiensi Biorefinery Processes Sugarcane Baggasse sebagai Bahan Baku Poly (L-Lactid-Acid) Menggunakan Teknik Co-Immobilisasi sebagai Agen Fermentasi dan BioCatalyst")</f>
        <v>Efisiensi Biorefinery Processes Sugarcane Baggasse sebagai Bahan Baku Poly (L-Lactid-Acid) Menggunakan Teknik Co-Immobilisasi sebagai Agen Fermentasi dan BioCatalyst</v>
      </c>
      <c r="E423" s="1" t="str">
        <f ca="1">IFERROR(__xludf.DUMMYFUNCTION("""COMPUTED_VALUE"""),"MUHAMMAD DIMAS HAFANI")</f>
        <v>MUHAMMAD DIMAS HAFANI</v>
      </c>
      <c r="F423" s="1" t="str">
        <f ca="1">IFERROR(__xludf.DUMMYFUNCTION("""COMPUTED_VALUE"""),"10411910000060")</f>
        <v>10411910000060</v>
      </c>
      <c r="G423" s="1" t="str">
        <f ca="1">IFERROR(__xludf.DUMMYFUNCTION("""COMPUTED_VALUE"""),"Departemen Teknik Kimia Industri")</f>
        <v>Departemen Teknik Kimia Industri</v>
      </c>
      <c r="H423" s="1" t="str">
        <f ca="1">IFERROR(__xludf.DUMMYFUNCTION("""COMPUTED_VALUE"""),"Dr. Afan Hamzah, S.T.")</f>
        <v>Dr. Afan Hamzah, S.T.</v>
      </c>
      <c r="I423" s="1" t="str">
        <f ca="1">IFERROR(__xludf.DUMMYFUNCTION("""COMPUTED_VALUE"""),"RAFI RAJFAN HANIF")</f>
        <v>RAFI RAJFAN HANIF</v>
      </c>
      <c r="J423" s="1" t="str">
        <f ca="1">IFERROR(__xludf.DUMMYFUNCTION("""COMPUTED_VALUE"""),"10411910000043")</f>
        <v>10411910000043</v>
      </c>
      <c r="K423" s="1" t="str">
        <f ca="1">IFERROR(__xludf.DUMMYFUNCTION("""COMPUTED_VALUE"""),"Departemen Teknik Kimia Industri")</f>
        <v>Departemen Teknik Kimia Industri</v>
      </c>
      <c r="L423" s="1" t="str">
        <f ca="1">IFERROR(__xludf.DUMMYFUNCTION("""COMPUTED_VALUE"""),"DEDEN EKO WIYONO")</f>
        <v>DEDEN EKO WIYONO</v>
      </c>
      <c r="M423" s="1" t="str">
        <f ca="1">IFERROR(__xludf.DUMMYFUNCTION("""COMPUTED_VALUE"""),"10411910000041")</f>
        <v>10411910000041</v>
      </c>
      <c r="N423" s="1" t="str">
        <f ca="1">IFERROR(__xludf.DUMMYFUNCTION("""COMPUTED_VALUE"""),"Departemen Teknik Kimia Industri")</f>
        <v>Departemen Teknik Kimia Industri</v>
      </c>
      <c r="O423" s="1" t="str">
        <f ca="1">IFERROR(__xludf.DUMMYFUNCTION("""COMPUTED_VALUE"""),"YUSTIA DWI FITRIA SANTOSO")</f>
        <v>YUSTIA DWI FITRIA SANTOSO</v>
      </c>
      <c r="P423" s="1" t="str">
        <f ca="1">IFERROR(__xludf.DUMMYFUNCTION("""COMPUTED_VALUE"""),"2041201100")</f>
        <v>2041201100</v>
      </c>
      <c r="Q423" s="1" t="str">
        <f ca="1">IFERROR(__xludf.DUMMYFUNCTION("""COMPUTED_VALUE"""),"Departemen Teknik Kimia Industri")</f>
        <v>Departemen Teknik Kimia Industri</v>
      </c>
      <c r="R423" s="1" t="str">
        <f ca="1">IFERROR(__xludf.DUMMYFUNCTION("""COMPUTED_VALUE"""),"SULTHAN RABBANI")</f>
        <v>SULTHAN RABBANI</v>
      </c>
      <c r="S423" s="1" t="str">
        <f ca="1">IFERROR(__xludf.DUMMYFUNCTION("""COMPUTED_VALUE"""),"2041201009")</f>
        <v>2041201009</v>
      </c>
      <c r="T423" s="1" t="str">
        <f ca="1">IFERROR(__xludf.DUMMYFUNCTION("""COMPUTED_VALUE"""),"Departemen Teknik Kimia Industri")</f>
        <v>Departemen Teknik Kimia Industri</v>
      </c>
      <c r="U423" s="1" t="str">
        <f ca="1">IFERROR(__xludf.DUMMYFUNCTION("""COMPUTED_VALUE"""),"Ahmad Fauzan Adziimaa, S.T., M.Sc.")</f>
        <v>Ahmad Fauzan Adziimaa, S.T., M.Sc.</v>
      </c>
      <c r="V423" s="1" t="str">
        <f ca="1">IFERROR(__xludf.DUMMYFUNCTION("""COMPUTED_VALUE"""),"Tri Vicca Kusumadewi, S.T., M.Sc.")</f>
        <v>Tri Vicca Kusumadewi, S.T., M.Sc.</v>
      </c>
      <c r="W423" s="1"/>
      <c r="X423" s="1" t="str">
        <f ca="1">IFERROR(__xludf.DUMMYFUNCTION("""COMPUTED_VALUE"""),"Lolos")</f>
        <v>Lolos</v>
      </c>
      <c r="Y423" s="1"/>
      <c r="Z423" s="1"/>
      <c r="AA423" s="1"/>
    </row>
    <row r="424" spans="1:27">
      <c r="A424" s="1" t="s">
        <v>418</v>
      </c>
      <c r="B424" s="1">
        <f ca="1">IFERROR(__xludf.DUMMYFUNCTION("""COMPUTED_VALUE"""),2734)</f>
        <v>2734</v>
      </c>
      <c r="C424" s="1" t="str">
        <f ca="1">IFERROR(__xludf.DUMMYFUNCTION("""COMPUTED_VALUE"""),"PKM Riset Eksakta")</f>
        <v>PKM Riset Eksakta</v>
      </c>
      <c r="D424" s="1" t="str">
        <f ca="1">IFERROR(__xludf.DUMMYFUNCTION("""COMPUTED_VALUE"""),"Pengaruh Asam Anorganik dan Organik Terhadap Nanokristal Selulosa Hasil Hidrolisis Limbah Tongkol Jagung")</f>
        <v>Pengaruh Asam Anorganik dan Organik Terhadap Nanokristal Selulosa Hasil Hidrolisis Limbah Tongkol Jagung</v>
      </c>
      <c r="E424" s="1" t="str">
        <f ca="1">IFERROR(__xludf.DUMMYFUNCTION("""COMPUTED_VALUE"""),"SHINTA TRIXIE M")</f>
        <v>SHINTA TRIXIE M</v>
      </c>
      <c r="F424" s="1" t="str">
        <f ca="1">IFERROR(__xludf.DUMMYFUNCTION("""COMPUTED_VALUE"""),"5004211053")</f>
        <v>5004211053</v>
      </c>
      <c r="G424" s="1" t="str">
        <f ca="1">IFERROR(__xludf.DUMMYFUNCTION("""COMPUTED_VALUE"""),"Departemen Kimia")</f>
        <v>Departemen Kimia</v>
      </c>
      <c r="H424" s="1" t="str">
        <f ca="1">IFERROR(__xludf.DUMMYFUNCTION("""COMPUTED_VALUE"""),"Arif Fadlan, S.Si., M.Si., D.Sc")</f>
        <v>Arif Fadlan, S.Si., M.Si., D.Sc</v>
      </c>
      <c r="I424" s="1" t="str">
        <f ca="1">IFERROR(__xludf.DUMMYFUNCTION("""COMPUTED_VALUE"""),"APRILIA NUR SAFITRI")</f>
        <v>APRILIA NUR SAFITRI</v>
      </c>
      <c r="J424" s="1" t="str">
        <f ca="1">IFERROR(__xludf.DUMMYFUNCTION("""COMPUTED_VALUE"""),"5004211094")</f>
        <v>5004211094</v>
      </c>
      <c r="K424" s="1" t="str">
        <f ca="1">IFERROR(__xludf.DUMMYFUNCTION("""COMPUTED_VALUE"""),"Departemen Kimia")</f>
        <v>Departemen Kimia</v>
      </c>
      <c r="L424" s="1" t="str">
        <f ca="1">IFERROR(__xludf.DUMMYFUNCTION("""COMPUTED_VALUE"""),"M Haikhal Fazad")</f>
        <v>M Haikhal Fazad</v>
      </c>
      <c r="M424" s="1" t="str">
        <f ca="1">IFERROR(__xludf.DUMMYFUNCTION("""COMPUTED_VALUE"""),"5004211151")</f>
        <v>5004211151</v>
      </c>
      <c r="N424" s="1" t="str">
        <f ca="1">IFERROR(__xludf.DUMMYFUNCTION("""COMPUTED_VALUE"""),"Departemen Kimia")</f>
        <v>Departemen Kimia</v>
      </c>
      <c r="O424" s="1" t="str">
        <f ca="1">IFERROR(__xludf.DUMMYFUNCTION("""COMPUTED_VALUE"""),"ABDA NURHAQI")</f>
        <v>ABDA NURHAQI</v>
      </c>
      <c r="P424" s="1" t="str">
        <f ca="1">IFERROR(__xludf.DUMMYFUNCTION("""COMPUTED_VALUE"""),"5004201051")</f>
        <v>5004201051</v>
      </c>
      <c r="Q424" s="1" t="str">
        <f ca="1">IFERROR(__xludf.DUMMYFUNCTION("""COMPUTED_VALUE"""),"Departemen Kimia")</f>
        <v>Departemen Kimia</v>
      </c>
      <c r="R424" s="1" t="str">
        <f ca="1">IFERROR(__xludf.DUMMYFUNCTION("""COMPUTED_VALUE"""),"ANGGITA NINGTYAS")</f>
        <v>ANGGITA NINGTYAS</v>
      </c>
      <c r="S424" s="1" t="str">
        <f ca="1">IFERROR(__xludf.DUMMYFUNCTION("""COMPUTED_VALUE"""),"5004201058")</f>
        <v>5004201058</v>
      </c>
      <c r="T424" s="1" t="str">
        <f ca="1">IFERROR(__xludf.DUMMYFUNCTION("""COMPUTED_VALUE"""),"Departemen Kimia")</f>
        <v>Departemen Kimia</v>
      </c>
      <c r="U424" s="1" t="str">
        <f ca="1">IFERROR(__xludf.DUMMYFUNCTION("""COMPUTED_VALUE"""),"Dr.Eng. Siti Machmudah, S.T., M.Eng.")</f>
        <v>Dr.Eng. Siti Machmudah, S.T., M.Eng.</v>
      </c>
      <c r="V424" s="1" t="str">
        <f ca="1">IFERROR(__xludf.DUMMYFUNCTION("""COMPUTED_VALUE"""),"Dr. Candra Irawan, S.T., M.T.")</f>
        <v>Dr. Candra Irawan, S.T., M.T.</v>
      </c>
      <c r="W424" s="1"/>
      <c r="X424" s="1" t="str">
        <f ca="1">IFERROR(__xludf.DUMMYFUNCTION("""COMPUTED_VALUE"""),"Lolos")</f>
        <v>Lolos</v>
      </c>
      <c r="Y424" s="1"/>
      <c r="Z424" s="1"/>
      <c r="AA424" s="1"/>
    </row>
    <row r="425" spans="1:27">
      <c r="A425" s="1" t="s">
        <v>419</v>
      </c>
      <c r="B425" s="1">
        <f ca="1">IFERROR(__xludf.DUMMYFUNCTION("""COMPUTED_VALUE"""),2100)</f>
        <v>2100</v>
      </c>
      <c r="C425" s="1" t="str">
        <f ca="1">IFERROR(__xludf.DUMMYFUNCTION("""COMPUTED_VALUE"""),"PKM Riset Eksakta")</f>
        <v>PKM Riset Eksakta</v>
      </c>
      <c r="D425" s="1" t="str">
        <f ca="1">IFERROR(__xludf.DUMMYFUNCTION("""COMPUTED_VALUE"""),"Pengaruh Campuran Nanopartikel TiO2 dan Fe3O4 pada Minyak Trafo untuk Isolasi")</f>
        <v>Pengaruh Campuran Nanopartikel TiO2 dan Fe3O4 pada Minyak Trafo untuk Isolasi</v>
      </c>
      <c r="E425" s="1" t="str">
        <f ca="1">IFERROR(__xludf.DUMMYFUNCTION("""COMPUTED_VALUE"""),"AROFATUL FEBRIANTI")</f>
        <v>AROFATUL FEBRIANTI</v>
      </c>
      <c r="F425" s="1" t="str">
        <f ca="1">IFERROR(__xludf.DUMMYFUNCTION("""COMPUTED_VALUE"""),"5022201042")</f>
        <v>5022201042</v>
      </c>
      <c r="G425" s="1" t="str">
        <f ca="1">IFERROR(__xludf.DUMMYFUNCTION("""COMPUTED_VALUE"""),"Departemen Teknik Elektro")</f>
        <v>Departemen Teknik Elektro</v>
      </c>
      <c r="H425" s="1" t="str">
        <f ca="1">IFERROR(__xludf.DUMMYFUNCTION("""COMPUTED_VALUE"""),"Dr. I Gusti Ngurah Satriyadi Hernanda, S.T., M.T.")</f>
        <v>Dr. I Gusti Ngurah Satriyadi Hernanda, S.T., M.T.</v>
      </c>
      <c r="I425" s="1" t="str">
        <f ca="1">IFERROR(__xludf.DUMMYFUNCTION("""COMPUTED_VALUE"""),"ARI MAJID SONHAJI")</f>
        <v>ARI MAJID SONHAJI</v>
      </c>
      <c r="J425" s="1" t="str">
        <f ca="1">IFERROR(__xludf.DUMMYFUNCTION("""COMPUTED_VALUE"""),"07111840000128")</f>
        <v>07111840000128</v>
      </c>
      <c r="K425" s="1" t="str">
        <f ca="1">IFERROR(__xludf.DUMMYFUNCTION("""COMPUTED_VALUE"""),"Departemen Teknik Elektro")</f>
        <v>Departemen Teknik Elektro</v>
      </c>
      <c r="L425" s="1" t="str">
        <f ca="1">IFERROR(__xludf.DUMMYFUNCTION("""COMPUTED_VALUE"""),"Fatahillah")</f>
        <v>Fatahillah</v>
      </c>
      <c r="M425" s="1" t="str">
        <f ca="1">IFERROR(__xludf.DUMMYFUNCTION("""COMPUTED_VALUE"""),"07111840000002")</f>
        <v>07111840000002</v>
      </c>
      <c r="N425" s="1" t="str">
        <f ca="1">IFERROR(__xludf.DUMMYFUNCTION("""COMPUTED_VALUE"""),"Departemen Teknik Elektro")</f>
        <v>Departemen Teknik Elektro</v>
      </c>
      <c r="O425" s="1" t="str">
        <f ca="1">IFERROR(__xludf.DUMMYFUNCTION("""COMPUTED_VALUE"""),"AISYAH HUMAIRA")</f>
        <v>AISYAH HUMAIRA</v>
      </c>
      <c r="P425" s="1" t="str">
        <f ca="1">IFERROR(__xludf.DUMMYFUNCTION("""COMPUTED_VALUE"""),"5022201135")</f>
        <v>5022201135</v>
      </c>
      <c r="Q425" s="1" t="str">
        <f ca="1">IFERROR(__xludf.DUMMYFUNCTION("""COMPUTED_VALUE"""),"Departemen Teknik Elektro")</f>
        <v>Departemen Teknik Elektro</v>
      </c>
      <c r="R425" s="1" t="str">
        <f ca="1">IFERROR(__xludf.DUMMYFUNCTION("""COMPUTED_VALUE"""),"FATIH KANZA NEGARA")</f>
        <v>FATIH KANZA NEGARA</v>
      </c>
      <c r="S425" s="1" t="str">
        <f ca="1">IFERROR(__xludf.DUMMYFUNCTION("""COMPUTED_VALUE"""),"5022201070")</f>
        <v>5022201070</v>
      </c>
      <c r="T425" s="1" t="str">
        <f ca="1">IFERROR(__xludf.DUMMYFUNCTION("""COMPUTED_VALUE"""),"Departemen Teknik Elektro")</f>
        <v>Departemen Teknik Elektro</v>
      </c>
      <c r="U425" s="1" t="str">
        <f ca="1">IFERROR(__xludf.DUMMYFUNCTION("""COMPUTED_VALUE"""),"Dr. Awik Puji Dyah Nurhayati, S.Si., M.Si.")</f>
        <v>Dr. Awik Puji Dyah Nurhayati, S.Si., M.Si.</v>
      </c>
      <c r="V425" s="1" t="str">
        <f ca="1">IFERROR(__xludf.DUMMYFUNCTION("""COMPUTED_VALUE"""),"Sena Safarina , S.Si., M.Sc., D.Sc")</f>
        <v>Sena Safarina , S.Si., M.Sc., D.Sc</v>
      </c>
      <c r="W425" s="1"/>
      <c r="X425" s="1" t="str">
        <f ca="1">IFERROR(__xludf.DUMMYFUNCTION("""COMPUTED_VALUE"""),"Lolos")</f>
        <v>Lolos</v>
      </c>
      <c r="Y425" s="1"/>
      <c r="Z425" s="1"/>
      <c r="AA425" s="1"/>
    </row>
    <row r="426" spans="1:27">
      <c r="A426" s="1" t="s">
        <v>420</v>
      </c>
      <c r="B426" s="1">
        <f ca="1">IFERROR(__xludf.DUMMYFUNCTION("""COMPUTED_VALUE"""),2476)</f>
        <v>2476</v>
      </c>
      <c r="C426" s="1" t="str">
        <f ca="1">IFERROR(__xludf.DUMMYFUNCTION("""COMPUTED_VALUE"""),"PKM Riset Eksakta")</f>
        <v>PKM Riset Eksakta</v>
      </c>
      <c r="D426" s="1" t="str">
        <f ca="1">IFERROR(__xludf.DUMMYFUNCTION("""COMPUTED_VALUE"""),"Potensi Komposit Graphene Like Structure dari Limbah Rambut Manusia/Thermally Reduced Graphene Oxide Sebagai Material Superkapasitor")</f>
        <v>Potensi Komposit Graphene Like Structure dari Limbah Rambut Manusia/Thermally Reduced Graphene Oxide Sebagai Material Superkapasitor</v>
      </c>
      <c r="E426" s="1" t="str">
        <f ca="1">IFERROR(__xludf.DUMMYFUNCTION("""COMPUTED_VALUE"""),"OKTAVIA MAHARANI WIDYANINGTYAS")</f>
        <v>OKTAVIA MAHARANI WIDYANINGTYAS</v>
      </c>
      <c r="F426" s="1" t="str">
        <f ca="1">IFERROR(__xludf.DUMMYFUNCTION("""COMPUTED_VALUE"""),"02511940000081")</f>
        <v>02511940000081</v>
      </c>
      <c r="G426" s="1" t="str">
        <f ca="1">IFERROR(__xludf.DUMMYFUNCTION("""COMPUTED_VALUE"""),"Departemen Teknik Material dan Metalurgi")</f>
        <v>Departemen Teknik Material dan Metalurgi</v>
      </c>
      <c r="H426" s="1" t="str">
        <f ca="1">IFERROR(__xludf.DUMMYFUNCTION("""COMPUTED_VALUE"""),"Haniffudin Nurdiansah, S.T., M.T.")</f>
        <v>Haniffudin Nurdiansah, S.T., M.T.</v>
      </c>
      <c r="I426" s="1" t="str">
        <f ca="1">IFERROR(__xludf.DUMMYFUNCTION("""COMPUTED_VALUE"""),"Fadhila Rosyidatul `arifah")</f>
        <v>Fadhila Rosyidatul `arifah</v>
      </c>
      <c r="J426" s="1" t="str">
        <f ca="1">IFERROR(__xludf.DUMMYFUNCTION("""COMPUTED_VALUE"""),"02511940000045")</f>
        <v>02511940000045</v>
      </c>
      <c r="K426" s="1" t="str">
        <f ca="1">IFERROR(__xludf.DUMMYFUNCTION("""COMPUTED_VALUE"""),"Departemen Teknik Material dan Metalurgi")</f>
        <v>Departemen Teknik Material dan Metalurgi</v>
      </c>
      <c r="L426" s="1" t="str">
        <f ca="1">IFERROR(__xludf.DUMMYFUNCTION("""COMPUTED_VALUE"""),"INDRA CARLLISTYA PRAMADIO")</f>
        <v>INDRA CARLLISTYA PRAMADIO</v>
      </c>
      <c r="M426" s="1" t="str">
        <f ca="1">IFERROR(__xludf.DUMMYFUNCTION("""COMPUTED_VALUE"""),"02511940000087")</f>
        <v>02511940000087</v>
      </c>
      <c r="N426" s="1" t="str">
        <f ca="1">IFERROR(__xludf.DUMMYFUNCTION("""COMPUTED_VALUE"""),"Departemen Teknik Material dan Metalurgi")</f>
        <v>Departemen Teknik Material dan Metalurgi</v>
      </c>
      <c r="O426" s="1" t="str">
        <f ca="1">IFERROR(__xludf.DUMMYFUNCTION("""COMPUTED_VALUE"""),"SALISA INAYAH ROVIANTI")</f>
        <v>SALISA INAYAH ROVIANTI</v>
      </c>
      <c r="P426" s="1" t="str">
        <f ca="1">IFERROR(__xludf.DUMMYFUNCTION("""COMPUTED_VALUE"""),"5011201016")</f>
        <v>5011201016</v>
      </c>
      <c r="Q426" s="1" t="str">
        <f ca="1">IFERROR(__xludf.DUMMYFUNCTION("""COMPUTED_VALUE"""),"Departemen Teknik Material dan Metalurgi")</f>
        <v>Departemen Teknik Material dan Metalurgi</v>
      </c>
      <c r="R426" s="1" t="str">
        <f ca="1">IFERROR(__xludf.DUMMYFUNCTION("""COMPUTED_VALUE"""),"WAHYU UTAMI")</f>
        <v>WAHYU UTAMI</v>
      </c>
      <c r="S426" s="1" t="str">
        <f ca="1">IFERROR(__xludf.DUMMYFUNCTION("""COMPUTED_VALUE"""),"5011201034")</f>
        <v>5011201034</v>
      </c>
      <c r="T426" s="1" t="str">
        <f ca="1">IFERROR(__xludf.DUMMYFUNCTION("""COMPUTED_VALUE"""),"Departemen Teknik Material dan Metalurgi")</f>
        <v>Departemen Teknik Material dan Metalurgi</v>
      </c>
      <c r="U426" s="1" t="str">
        <f ca="1">IFERROR(__xludf.DUMMYFUNCTION("""COMPUTED_VALUE"""),"Ahmad Fauzan Adziimaa, S.T., M.Sc.")</f>
        <v>Ahmad Fauzan Adziimaa, S.T., M.Sc.</v>
      </c>
      <c r="V426" s="1" t="str">
        <f ca="1">IFERROR(__xludf.DUMMYFUNCTION("""COMPUTED_VALUE"""),"Tri Vicca Kusumadewi, S.T., M.Sc.")</f>
        <v>Tri Vicca Kusumadewi, S.T., M.Sc.</v>
      </c>
      <c r="W426" s="1"/>
      <c r="X426" s="1" t="str">
        <f ca="1">IFERROR(__xludf.DUMMYFUNCTION("""COMPUTED_VALUE"""),"Lolos")</f>
        <v>Lolos</v>
      </c>
      <c r="Y426" s="1"/>
      <c r="Z426" s="1"/>
      <c r="AA426" s="1"/>
    </row>
    <row r="427" spans="1:27">
      <c r="A427" s="1" t="s">
        <v>421</v>
      </c>
      <c r="B427" s="1">
        <f ca="1">IFERROR(__xludf.DUMMYFUNCTION("""COMPUTED_VALUE"""),2700)</f>
        <v>2700</v>
      </c>
      <c r="C427" s="1" t="str">
        <f ca="1">IFERROR(__xludf.DUMMYFUNCTION("""COMPUTED_VALUE"""),"PKM Riset Eksakta")</f>
        <v>PKM Riset Eksakta</v>
      </c>
      <c r="D427" s="1" t="str">
        <f ca="1">IFERROR(__xludf.DUMMYFUNCTION("""COMPUTED_VALUE"""),"Sintesis Komposit Nano-Hydrogel Termodifikasi CuInS2 Quantum Dots Sebagai Agen Penyembuhan Luka Terhadap Ulkus Diabeticum Melalui Mekanisme Terapi Fotothermal  ")</f>
        <v xml:space="preserve">Sintesis Komposit Nano-Hydrogel Termodifikasi CuInS2 Quantum Dots Sebagai Agen Penyembuhan Luka Terhadap Ulkus Diabeticum Melalui Mekanisme Terapi Fotothermal  </v>
      </c>
      <c r="E427" s="1" t="str">
        <f ca="1">IFERROR(__xludf.DUMMYFUNCTION("""COMPUTED_VALUE"""),"Paundra Rizky Pratama")</f>
        <v>Paundra Rizky Pratama</v>
      </c>
      <c r="F427" s="1" t="str">
        <f ca="1">IFERROR(__xludf.DUMMYFUNCTION("""COMPUTED_VALUE"""),"02511940000021")</f>
        <v>02511940000021</v>
      </c>
      <c r="G427" s="1" t="str">
        <f ca="1">IFERROR(__xludf.DUMMYFUNCTION("""COMPUTED_VALUE"""),"Departemen Teknik Material dan Metalurgi")</f>
        <v>Departemen Teknik Material dan Metalurgi</v>
      </c>
      <c r="H427" s="1" t="str">
        <f ca="1">IFERROR(__xludf.DUMMYFUNCTION("""COMPUTED_VALUE"""),"Azzah Dyah Pramata, S.T., M.T., M.Eng., Ph.D.")</f>
        <v>Azzah Dyah Pramata, S.T., M.T., M.Eng., Ph.D.</v>
      </c>
      <c r="I427" s="1" t="str">
        <f ca="1">IFERROR(__xludf.DUMMYFUNCTION("""COMPUTED_VALUE"""),"Michaela Claresta Erja Maheswari")</f>
        <v>Michaela Claresta Erja Maheswari</v>
      </c>
      <c r="J427" s="1" t="str">
        <f ca="1">IFERROR(__xludf.DUMMYFUNCTION("""COMPUTED_VALUE"""),"02511940000001")</f>
        <v>02511940000001</v>
      </c>
      <c r="K427" s="1" t="str">
        <f ca="1">IFERROR(__xludf.DUMMYFUNCTION("""COMPUTED_VALUE"""),"Departemen Teknik Material dan Metalurgi")</f>
        <v>Departemen Teknik Material dan Metalurgi</v>
      </c>
      <c r="L427" s="1" t="str">
        <f ca="1">IFERROR(__xludf.DUMMYFUNCTION("""COMPUTED_VALUE"""),"SALSABILA AIDA FITRIYA")</f>
        <v>SALSABILA AIDA FITRIYA</v>
      </c>
      <c r="M427" s="1" t="str">
        <f ca="1">IFERROR(__xludf.DUMMYFUNCTION("""COMPUTED_VALUE"""),"01311940000033")</f>
        <v>01311940000033</v>
      </c>
      <c r="N427" s="1" t="str">
        <f ca="1">IFERROR(__xludf.DUMMYFUNCTION("""COMPUTED_VALUE"""),"Departemen Biologi")</f>
        <v>Departemen Biologi</v>
      </c>
      <c r="O427" s="1" t="str">
        <f ca="1">IFERROR(__xludf.DUMMYFUNCTION("""COMPUTED_VALUE"""),"NABILLA ALVANIA NURWARDANI")</f>
        <v>NABILLA ALVANIA NURWARDANI</v>
      </c>
      <c r="P427" s="1" t="str">
        <f ca="1">IFERROR(__xludf.DUMMYFUNCTION("""COMPUTED_VALUE"""),"01311940000045")</f>
        <v>01311940000045</v>
      </c>
      <c r="Q427" s="1" t="str">
        <f ca="1">IFERROR(__xludf.DUMMYFUNCTION("""COMPUTED_VALUE"""),"Departemen Biologi")</f>
        <v>Departemen Biologi</v>
      </c>
      <c r="R427" s="1"/>
      <c r="S427" s="1"/>
      <c r="T427" s="1"/>
      <c r="U427" s="1" t="str">
        <f ca="1">IFERROR(__xludf.DUMMYFUNCTION("""COMPUTED_VALUE"""),"Dr.-Ing. Doty Dewi Risanti, S.T., M.T.")</f>
        <v>Dr.-Ing. Doty Dewi Risanti, S.T., M.T.</v>
      </c>
      <c r="V427" s="1" t="str">
        <f ca="1">IFERROR(__xludf.DUMMYFUNCTION("""COMPUTED_VALUE"""),"Mohammad Sholikhan Arif, S.T., M.T.")</f>
        <v>Mohammad Sholikhan Arif, S.T., M.T.</v>
      </c>
      <c r="W427" s="1"/>
      <c r="X427" s="1" t="str">
        <f ca="1">IFERROR(__xludf.DUMMYFUNCTION("""COMPUTED_VALUE"""),"Lolos")</f>
        <v>Lolos</v>
      </c>
      <c r="Y427" s="1"/>
      <c r="Z427" s="1"/>
      <c r="AA427" s="1"/>
    </row>
    <row r="428" spans="1:27">
      <c r="A428" s="1" t="s">
        <v>422</v>
      </c>
      <c r="B428" s="1">
        <f ca="1">IFERROR(__xludf.DUMMYFUNCTION("""COMPUTED_VALUE"""),3913)</f>
        <v>3913</v>
      </c>
      <c r="C428" s="1" t="str">
        <f ca="1">IFERROR(__xludf.DUMMYFUNCTION("""COMPUTED_VALUE"""),"PKM Riset Eksakta")</f>
        <v>PKM Riset Eksakta</v>
      </c>
      <c r="D428" s="1" t="str">
        <f ca="1">IFERROR(__xludf.DUMMYFUNCTION("""COMPUTED_VALUE"""),"Ekstraksi Glukomanan dari Umbi Porang (Amorphophallus onchophyllus) dengan Kombinasi Penambahan NaCl dan Microwave Solvent Extraction Sebagai Inovasi Substituen Stabilizer Halal")</f>
        <v>Ekstraksi Glukomanan dari Umbi Porang (Amorphophallus onchophyllus) dengan Kombinasi Penambahan NaCl dan Microwave Solvent Extraction Sebagai Inovasi Substituen Stabilizer Halal</v>
      </c>
      <c r="E428" s="1" t="str">
        <f ca="1">IFERROR(__xludf.DUMMYFUNCTION("""COMPUTED_VALUE"""),"NARENDRA YUDHA ADITAMA")</f>
        <v>NARENDRA YUDHA ADITAMA</v>
      </c>
      <c r="F428" s="1" t="str">
        <f ca="1">IFERROR(__xludf.DUMMYFUNCTION("""COMPUTED_VALUE"""),"02211940000189")</f>
        <v>02211940000189</v>
      </c>
      <c r="G428" s="1" t="str">
        <f ca="1">IFERROR(__xludf.DUMMYFUNCTION("""COMPUTED_VALUE"""),"Departemen Teknik Kimia")</f>
        <v>Departemen Teknik Kimia</v>
      </c>
      <c r="H428" s="1" t="str">
        <f ca="1">IFERROR(__xludf.DUMMYFUNCTION("""COMPUTED_VALUE"""),"Prof. Setiyo Gunawan, S.T., Ph.D.")</f>
        <v>Prof. Setiyo Gunawan, S.T., Ph.D.</v>
      </c>
      <c r="I428" s="1" t="str">
        <f ca="1">IFERROR(__xludf.DUMMYFUNCTION("""COMPUTED_VALUE"""),"Eunike Rhiza Febriana Setyadi")</f>
        <v>Eunike Rhiza Febriana Setyadi</v>
      </c>
      <c r="J428" s="1" t="str">
        <f ca="1">IFERROR(__xludf.DUMMYFUNCTION("""COMPUTED_VALUE"""),"02211840000043")</f>
        <v>02211840000043</v>
      </c>
      <c r="K428" s="1" t="str">
        <f ca="1">IFERROR(__xludf.DUMMYFUNCTION("""COMPUTED_VALUE"""),"Departemen Teknik Kimia")</f>
        <v>Departemen Teknik Kimia</v>
      </c>
      <c r="L428" s="1" t="str">
        <f ca="1">IFERROR(__xludf.DUMMYFUNCTION("""COMPUTED_VALUE"""),"ALFREDO JUNIANTO TARIGAN")</f>
        <v>ALFREDO JUNIANTO TARIGAN</v>
      </c>
      <c r="M428" s="1" t="str">
        <f ca="1">IFERROR(__xludf.DUMMYFUNCTION("""COMPUTED_VALUE"""),"02211940000094")</f>
        <v>02211940000094</v>
      </c>
      <c r="N428" s="1" t="str">
        <f ca="1">IFERROR(__xludf.DUMMYFUNCTION("""COMPUTED_VALUE"""),"Departemen Teknik Kimia")</f>
        <v>Departemen Teknik Kimia</v>
      </c>
      <c r="O428" s="1" t="str">
        <f ca="1">IFERROR(__xludf.DUMMYFUNCTION("""COMPUTED_VALUE"""),"Belinda Alifiya Pambudi")</f>
        <v>Belinda Alifiya Pambudi</v>
      </c>
      <c r="P428" s="1" t="str">
        <f ca="1">IFERROR(__xludf.DUMMYFUNCTION("""COMPUTED_VALUE"""),"02211940000006")</f>
        <v>02211940000006</v>
      </c>
      <c r="Q428" s="1" t="str">
        <f ca="1">IFERROR(__xludf.DUMMYFUNCTION("""COMPUTED_VALUE"""),"Departemen Teknik Kimia")</f>
        <v>Departemen Teknik Kimia</v>
      </c>
      <c r="R428" s="1" t="str">
        <f ca="1">IFERROR(__xludf.DUMMYFUNCTION("""COMPUTED_VALUE"""),"ALVIN MAULANA ASYAM")</f>
        <v>ALVIN MAULANA ASYAM</v>
      </c>
      <c r="S428" s="1" t="str">
        <f ca="1">IFERROR(__xludf.DUMMYFUNCTION("""COMPUTED_VALUE"""),"5008201134")</f>
        <v>5008201134</v>
      </c>
      <c r="T428" s="1" t="str">
        <f ca="1">IFERROR(__xludf.DUMMYFUNCTION("""COMPUTED_VALUE"""),"Departemen Teknik Kimia")</f>
        <v>Departemen Teknik Kimia</v>
      </c>
      <c r="U428" s="1" t="str">
        <f ca="1">IFERROR(__xludf.DUMMYFUNCTION("""COMPUTED_VALUE"""),"Vania Mitha Pratiwi, S.T., M.T.")</f>
        <v>Vania Mitha Pratiwi, S.T., M.T.</v>
      </c>
      <c r="V428" s="1" t="str">
        <f ca="1">IFERROR(__xludf.DUMMYFUNCTION("""COMPUTED_VALUE"""),"Dra. Ratna Ediati, MS., Ph.D.")</f>
        <v>Dra. Ratna Ediati, MS., Ph.D.</v>
      </c>
      <c r="W428" s="1"/>
      <c r="X428" s="1" t="str">
        <f ca="1">IFERROR(__xludf.DUMMYFUNCTION("""COMPUTED_VALUE"""),"Lolos")</f>
        <v>Lolos</v>
      </c>
      <c r="Y428" s="1"/>
      <c r="Z428" s="1"/>
      <c r="AA428" s="1"/>
    </row>
    <row r="429" spans="1:27">
      <c r="A429" s="1" t="s">
        <v>423</v>
      </c>
      <c r="B429" s="1">
        <f ca="1">IFERROR(__xludf.DUMMYFUNCTION("""COMPUTED_VALUE"""),2723)</f>
        <v>2723</v>
      </c>
      <c r="C429" s="1" t="str">
        <f ca="1">IFERROR(__xludf.DUMMYFUNCTION("""COMPUTED_VALUE"""),"PKM Riset Eksakta")</f>
        <v>PKM Riset Eksakta</v>
      </c>
      <c r="D429" s="1" t="str">
        <f ca="1">IFERROR(__xludf.DUMMYFUNCTION("""COMPUTED_VALUE"""),"Modifikasi Permukaan Perban Menjadi Superhidrofobik Menggunakan Kitosan dan Silika Aerogel dengan Metode Spray")</f>
        <v>Modifikasi Permukaan Perban Menjadi Superhidrofobik Menggunakan Kitosan dan Silika Aerogel dengan Metode Spray</v>
      </c>
      <c r="E429" s="1" t="str">
        <f ca="1">IFERROR(__xludf.DUMMYFUNCTION("""COMPUTED_VALUE"""),"Yanuar W")</f>
        <v>Yanuar W</v>
      </c>
      <c r="F429" s="1" t="str">
        <f ca="1">IFERROR(__xludf.DUMMYFUNCTION("""COMPUTED_VALUE"""),"5011211081")</f>
        <v>5011211081</v>
      </c>
      <c r="G429" s="1" t="str">
        <f ca="1">IFERROR(__xludf.DUMMYFUNCTION("""COMPUTED_VALUE"""),"Departemen Teknik Material dan Metalurgi")</f>
        <v>Departemen Teknik Material dan Metalurgi</v>
      </c>
      <c r="H429" s="1" t="str">
        <f ca="1">IFERROR(__xludf.DUMMYFUNCTION("""COMPUTED_VALUE"""),"Dr. Agung Purniawan, S.T., M.Eng.")</f>
        <v>Dr. Agung Purniawan, S.T., M.Eng.</v>
      </c>
      <c r="I429" s="1" t="str">
        <f ca="1">IFERROR(__xludf.DUMMYFUNCTION("""COMPUTED_VALUE"""),"FAUZAN ABIYU FADLURA")</f>
        <v>FAUZAN ABIYU FADLURA</v>
      </c>
      <c r="J429" s="1" t="str">
        <f ca="1">IFERROR(__xludf.DUMMYFUNCTION("""COMPUTED_VALUE"""),"5011211089")</f>
        <v>5011211089</v>
      </c>
      <c r="K429" s="1" t="str">
        <f ca="1">IFERROR(__xludf.DUMMYFUNCTION("""COMPUTED_VALUE"""),"Departemen Teknik Material dan Metalurgi")</f>
        <v>Departemen Teknik Material dan Metalurgi</v>
      </c>
      <c r="L429" s="1" t="str">
        <f ca="1">IFERROR(__xludf.DUMMYFUNCTION("""COMPUTED_VALUE"""),"NOVALDY WAHJUDIANTO")</f>
        <v>NOVALDY WAHJUDIANTO</v>
      </c>
      <c r="M429" s="1" t="str">
        <f ca="1">IFERROR(__xludf.DUMMYFUNCTION("""COMPUTED_VALUE"""),"5025211133")</f>
        <v>5025211133</v>
      </c>
      <c r="N429" s="1" t="str">
        <f ca="1">IFERROR(__xludf.DUMMYFUNCTION("""COMPUTED_VALUE"""),"Departemen Teknik Informatika")</f>
        <v>Departemen Teknik Informatika</v>
      </c>
      <c r="O429" s="1" t="str">
        <f ca="1">IFERROR(__xludf.DUMMYFUNCTION("""COMPUTED_VALUE"""),"Mochammad Reivandy F")</f>
        <v>Mochammad Reivandy F</v>
      </c>
      <c r="P429" s="1" t="str">
        <f ca="1">IFERROR(__xludf.DUMMYFUNCTION("""COMPUTED_VALUE"""),"5011211101")</f>
        <v>5011211101</v>
      </c>
      <c r="Q429" s="1" t="str">
        <f ca="1">IFERROR(__xludf.DUMMYFUNCTION("""COMPUTED_VALUE"""),"Departemen Teknik Material dan Metalurgi")</f>
        <v>Departemen Teknik Material dan Metalurgi</v>
      </c>
      <c r="R429" s="1" t="str">
        <f ca="1">IFERROR(__xludf.DUMMYFUNCTION("""COMPUTED_VALUE"""),"GHAIDA HAIFA TSURAYYA")</f>
        <v>GHAIDA HAIFA TSURAYYA</v>
      </c>
      <c r="S429" s="1" t="str">
        <f ca="1">IFERROR(__xludf.DUMMYFUNCTION("""COMPUTED_VALUE"""),"02511942000010")</f>
        <v>02511942000010</v>
      </c>
      <c r="T429" s="1" t="str">
        <f ca="1">IFERROR(__xludf.DUMMYFUNCTION("""COMPUTED_VALUE"""),"Departemen Teknik Material dan Metalurgi")</f>
        <v>Departemen Teknik Material dan Metalurgi</v>
      </c>
      <c r="U429" s="1" t="str">
        <f ca="1">IFERROR(__xludf.DUMMYFUNCTION("""COMPUTED_VALUE"""),"Dr.Eng. Siti Machmudah, S.T., M.Eng.")</f>
        <v>Dr.Eng. Siti Machmudah, S.T., M.Eng.</v>
      </c>
      <c r="V429" s="1" t="str">
        <f ca="1">IFERROR(__xludf.DUMMYFUNCTION("""COMPUTED_VALUE"""),"Dr. Candra Irawan, S.T., M.T.")</f>
        <v>Dr. Candra Irawan, S.T., M.T.</v>
      </c>
      <c r="W429" s="1"/>
      <c r="X429" s="1" t="str">
        <f ca="1">IFERROR(__xludf.DUMMYFUNCTION("""COMPUTED_VALUE"""),"Lolos")</f>
        <v>Lolos</v>
      </c>
      <c r="Y429" s="1"/>
      <c r="Z429" s="1"/>
      <c r="AA429" s="1"/>
    </row>
    <row r="430" spans="1:27">
      <c r="A430" s="1" t="s">
        <v>424</v>
      </c>
      <c r="B430" s="1">
        <f ca="1">IFERROR(__xludf.DUMMYFUNCTION("""COMPUTED_VALUE"""),2919)</f>
        <v>2919</v>
      </c>
      <c r="C430" s="1" t="str">
        <f ca="1">IFERROR(__xludf.DUMMYFUNCTION("""COMPUTED_VALUE"""),"PKM Riset Eksakta")</f>
        <v>PKM Riset Eksakta</v>
      </c>
      <c r="D430" s="1" t="str">
        <f ca="1">IFERROR(__xludf.DUMMYFUNCTION("""COMPUTED_VALUE"""),"Penyaringan Air Tercemar Mikroplastik Menggunakan Bulk Acoustic Wave")</f>
        <v>Penyaringan Air Tercemar Mikroplastik Menggunakan Bulk Acoustic Wave</v>
      </c>
      <c r="E430" s="1" t="str">
        <f ca="1">IFERROR(__xludf.DUMMYFUNCTION("""COMPUTED_VALUE"""),"BERLIANA NUR INDAH SARI")</f>
        <v>BERLIANA NUR INDAH SARI</v>
      </c>
      <c r="F430" s="1" t="str">
        <f ca="1">IFERROR(__xludf.DUMMYFUNCTION("""COMPUTED_VALUE"""),"02311840000099")</f>
        <v>02311840000099</v>
      </c>
      <c r="G430" s="1" t="str">
        <f ca="1">IFERROR(__xludf.DUMMYFUNCTION("""COMPUTED_VALUE"""),"Departemen Teknik Fisika")</f>
        <v>Departemen Teknik Fisika</v>
      </c>
      <c r="H430" s="1" t="str">
        <f ca="1">IFERROR(__xludf.DUMMYFUNCTION("""COMPUTED_VALUE"""),"Dr. Dhany Arifianto, S.T., M.Eng.")</f>
        <v>Dr. Dhany Arifianto, S.T., M.Eng.</v>
      </c>
      <c r="I430" s="1" t="str">
        <f ca="1">IFERROR(__xludf.DUMMYFUNCTION("""COMPUTED_VALUE"""),"Laila Sifha Urrohma")</f>
        <v>Laila Sifha Urrohma</v>
      </c>
      <c r="J430" s="1" t="str">
        <f ca="1">IFERROR(__xludf.DUMMYFUNCTION("""COMPUTED_VALUE"""),"02311940000046")</f>
        <v>02311940000046</v>
      </c>
      <c r="K430" s="1" t="str">
        <f ca="1">IFERROR(__xludf.DUMMYFUNCTION("""COMPUTED_VALUE"""),"Departemen Teknik Fisika")</f>
        <v>Departemen Teknik Fisika</v>
      </c>
      <c r="L430" s="1" t="str">
        <f ca="1">IFERROR(__xludf.DUMMYFUNCTION("""COMPUTED_VALUE"""),"DIAN PERMANA")</f>
        <v>DIAN PERMANA</v>
      </c>
      <c r="M430" s="1" t="str">
        <f ca="1">IFERROR(__xludf.DUMMYFUNCTION("""COMPUTED_VALUE"""),"02311840000076")</f>
        <v>02311840000076</v>
      </c>
      <c r="N430" s="1" t="str">
        <f ca="1">IFERROR(__xludf.DUMMYFUNCTION("""COMPUTED_VALUE"""),"Departemen Teknik Fisika")</f>
        <v>Departemen Teknik Fisika</v>
      </c>
      <c r="O430" s="1" t="str">
        <f ca="1">IFERROR(__xludf.DUMMYFUNCTION("""COMPUTED_VALUE"""),"RICKO SUPRIYANTO")</f>
        <v>RICKO SUPRIYANTO</v>
      </c>
      <c r="P430" s="1" t="str">
        <f ca="1">IFERROR(__xludf.DUMMYFUNCTION("""COMPUTED_VALUE"""),"02311940000104")</f>
        <v>02311940000104</v>
      </c>
      <c r="Q430" s="1" t="str">
        <f ca="1">IFERROR(__xludf.DUMMYFUNCTION("""COMPUTED_VALUE"""),"Departemen Teknik Fisika")</f>
        <v>Departemen Teknik Fisika</v>
      </c>
      <c r="R430" s="1" t="str">
        <f ca="1">IFERROR(__xludf.DUMMYFUNCTION("""COMPUTED_VALUE"""),"APRIANTO DWI PRASETYO")</f>
        <v>APRIANTO DWI PRASETYO</v>
      </c>
      <c r="S430" s="1" t="str">
        <f ca="1">IFERROR(__xludf.DUMMYFUNCTION("""COMPUTED_VALUE"""),"02311840000097")</f>
        <v>02311840000097</v>
      </c>
      <c r="T430" s="1" t="str">
        <f ca="1">IFERROR(__xludf.DUMMYFUNCTION("""COMPUTED_VALUE"""),"Departemen Teknik Fisika")</f>
        <v>Departemen Teknik Fisika</v>
      </c>
      <c r="U430" s="1" t="str">
        <f ca="1">IFERROR(__xludf.DUMMYFUNCTION("""COMPUTED_VALUE"""),"Alief Wikarta, ST., MSc.Eng. Ph.D")</f>
        <v>Alief Wikarta, ST., MSc.Eng. Ph.D</v>
      </c>
      <c r="V430" s="1" t="str">
        <f ca="1">IFERROR(__xludf.DUMMYFUNCTION("""COMPUTED_VALUE"""),"Juan Pandu Gya Nur Rochman, S.Si., M.T.")</f>
        <v>Juan Pandu Gya Nur Rochman, S.Si., M.T.</v>
      </c>
      <c r="W430" s="1"/>
      <c r="X430" s="1" t="str">
        <f ca="1">IFERROR(__xludf.DUMMYFUNCTION("""COMPUTED_VALUE"""),"Lolos")</f>
        <v>Lolos</v>
      </c>
      <c r="Y430" s="1"/>
      <c r="Z430" s="1"/>
      <c r="AA430" s="1"/>
    </row>
    <row r="431" spans="1:27">
      <c r="A431" s="1" t="s">
        <v>425</v>
      </c>
      <c r="B431" s="1">
        <f ca="1">IFERROR(__xludf.DUMMYFUNCTION("""COMPUTED_VALUE"""),3559)</f>
        <v>3559</v>
      </c>
      <c r="C431" s="1" t="str">
        <f ca="1">IFERROR(__xludf.DUMMYFUNCTION("""COMPUTED_VALUE"""),"PKM Riset Eksakta")</f>
        <v>PKM Riset Eksakta</v>
      </c>
      <c r="D431" s="1" t="str">
        <f ca="1">IFERROR(__xludf.DUMMYFUNCTION("""COMPUTED_VALUE"""),"Pembuatan Mikroba Konsorsium Terimobilisasi pada Na-Alginate untuk Pengolahan Limbah Industri Potong Ayam")</f>
        <v>Pembuatan Mikroba Konsorsium Terimobilisasi pada Na-Alginate untuk Pengolahan Limbah Industri Potong Ayam</v>
      </c>
      <c r="E431" s="1" t="str">
        <f ca="1">IFERROR(__xludf.DUMMYFUNCTION("""COMPUTED_VALUE"""),"LUTFI NUR AINI")</f>
        <v>LUTFI NUR AINI</v>
      </c>
      <c r="F431" s="1" t="str">
        <f ca="1">IFERROR(__xludf.DUMMYFUNCTION("""COMPUTED_VALUE"""),"10411910000004")</f>
        <v>10411910000004</v>
      </c>
      <c r="G431" s="1" t="str">
        <f ca="1">IFERROR(__xludf.DUMMYFUNCTION("""COMPUTED_VALUE"""),"Departemen Teknik Kimia Industri")</f>
        <v>Departemen Teknik Kimia Industri</v>
      </c>
      <c r="H431" s="1" t="str">
        <f ca="1">IFERROR(__xludf.DUMMYFUNCTION("""COMPUTED_VALUE"""),"Dr. Afan Hamzah, S.T.")</f>
        <v>Dr. Afan Hamzah, S.T.</v>
      </c>
      <c r="I431" s="1" t="str">
        <f ca="1">IFERROR(__xludf.DUMMYFUNCTION("""COMPUTED_VALUE"""),"NAURAH NAHDAH ZAHRANDIKA")</f>
        <v>NAURAH NAHDAH ZAHRANDIKA</v>
      </c>
      <c r="J431" s="1" t="str">
        <f ca="1">IFERROR(__xludf.DUMMYFUNCTION("""COMPUTED_VALUE"""),"10411910000014")</f>
        <v>10411910000014</v>
      </c>
      <c r="K431" s="1" t="str">
        <f ca="1">IFERROR(__xludf.DUMMYFUNCTION("""COMPUTED_VALUE"""),"Departemen Teknik Kimia Industri")</f>
        <v>Departemen Teknik Kimia Industri</v>
      </c>
      <c r="L431" s="1" t="str">
        <f ca="1">IFERROR(__xludf.DUMMYFUNCTION("""COMPUTED_VALUE"""),"KHAIRUNNISA AFIFAH AWWALIYYAH QOTHRUNNADA")</f>
        <v>KHAIRUNNISA AFIFAH AWWALIYYAH QOTHRUNNADA</v>
      </c>
      <c r="M431" s="1" t="str">
        <f ca="1">IFERROR(__xludf.DUMMYFUNCTION("""COMPUTED_VALUE"""),"10411910000072")</f>
        <v>10411910000072</v>
      </c>
      <c r="N431" s="1" t="str">
        <f ca="1">IFERROR(__xludf.DUMMYFUNCTION("""COMPUTED_VALUE"""),"Departemen Teknik Kimia Industri")</f>
        <v>Departemen Teknik Kimia Industri</v>
      </c>
      <c r="O431" s="1" t="str">
        <f ca="1">IFERROR(__xludf.DUMMYFUNCTION("""COMPUTED_VALUE"""),"FAHRI NAILUR ROHAMAT")</f>
        <v>FAHRI NAILUR ROHAMAT</v>
      </c>
      <c r="P431" s="1" t="str">
        <f ca="1">IFERROR(__xludf.DUMMYFUNCTION("""COMPUTED_VALUE"""),"10411910000052")</f>
        <v>10411910000052</v>
      </c>
      <c r="Q431" s="1" t="str">
        <f ca="1">IFERROR(__xludf.DUMMYFUNCTION("""COMPUTED_VALUE"""),"Departemen Teknik Kimia Industri")</f>
        <v>Departemen Teknik Kimia Industri</v>
      </c>
      <c r="R431" s="1" t="str">
        <f ca="1">IFERROR(__xludf.DUMMYFUNCTION("""COMPUTED_VALUE"""),"BERIN AMANDA PUTRI")</f>
        <v>BERIN AMANDA PUTRI</v>
      </c>
      <c r="S431" s="1" t="str">
        <f ca="1">IFERROR(__xludf.DUMMYFUNCTION("""COMPUTED_VALUE"""),"2041201089")</f>
        <v>2041201089</v>
      </c>
      <c r="T431" s="1" t="str">
        <f ca="1">IFERROR(__xludf.DUMMYFUNCTION("""COMPUTED_VALUE"""),"Departemen Teknik Kimia Industri")</f>
        <v>Departemen Teknik Kimia Industri</v>
      </c>
      <c r="U431" s="1" t="str">
        <f ca="1">IFERROR(__xludf.DUMMYFUNCTION("""COMPUTED_VALUE"""),"Dr.Eng. Siti Machmudah, S.T., M.Eng.")</f>
        <v>Dr.Eng. Siti Machmudah, S.T., M.Eng.</v>
      </c>
      <c r="V431" s="1" t="str">
        <f ca="1">IFERROR(__xludf.DUMMYFUNCTION("""COMPUTED_VALUE"""),"Dra. Ratna Ediati, MS., Ph.D.")</f>
        <v>Dra. Ratna Ediati, MS., Ph.D.</v>
      </c>
      <c r="W431" s="1"/>
      <c r="X431" s="1" t="str">
        <f ca="1">IFERROR(__xludf.DUMMYFUNCTION("""COMPUTED_VALUE"""),"Lolos")</f>
        <v>Lolos</v>
      </c>
      <c r="Y431" s="1"/>
      <c r="Z431" s="1"/>
      <c r="AA431" s="1"/>
    </row>
    <row r="432" spans="1:27">
      <c r="A432" s="1" t="s">
        <v>426</v>
      </c>
      <c r="B432" s="1">
        <f ca="1">IFERROR(__xludf.DUMMYFUNCTION("""COMPUTED_VALUE"""),2492)</f>
        <v>2492</v>
      </c>
      <c r="C432" s="1" t="str">
        <f ca="1">IFERROR(__xludf.DUMMYFUNCTION("""COMPUTED_VALUE"""),"PKM Riset Eksakta")</f>
        <v>PKM Riset Eksakta</v>
      </c>
      <c r="D432" s="1" t="str">
        <f ca="1">IFERROR(__xludf.DUMMYFUNCTION("""COMPUTED_VALUE"""),"Nano Silica Mesopori Termodifikasi Chalcone sebagai Adjuvant Ekstrak Flavonoid Daun Pepaya (Carica papaya) pada Sel Kanker Payudara (MCF-7 cell line)
")</f>
        <v xml:space="preserve">Nano Silica Mesopori Termodifikasi Chalcone sebagai Adjuvant Ekstrak Flavonoid Daun Pepaya (Carica papaya) pada Sel Kanker Payudara (MCF-7 cell line)
</v>
      </c>
      <c r="E432" s="1" t="str">
        <f ca="1">IFERROR(__xludf.DUMMYFUNCTION("""COMPUTED_VALUE"""),"FARCHANAH NOOR FITROH")</f>
        <v>FARCHANAH NOOR FITROH</v>
      </c>
      <c r="F432" s="1" t="str">
        <f ca="1">IFERROR(__xludf.DUMMYFUNCTION("""COMPUTED_VALUE"""),"01211940000093")</f>
        <v>01211940000093</v>
      </c>
      <c r="G432" s="1" t="str">
        <f ca="1">IFERROR(__xludf.DUMMYFUNCTION("""COMPUTED_VALUE"""),"Departemen Kimia")</f>
        <v>Departemen Kimia</v>
      </c>
      <c r="H432" s="1" t="str">
        <f ca="1">IFERROR(__xludf.DUMMYFUNCTION("""COMPUTED_VALUE"""),"Arif Fadlan, S.Si., M.Si., D.Sc")</f>
        <v>Arif Fadlan, S.Si., M.Si., D.Sc</v>
      </c>
      <c r="I432" s="1" t="str">
        <f ca="1">IFERROR(__xludf.DUMMYFUNCTION("""COMPUTED_VALUE"""),"HANIFAH SYIFA AZZAHRA BAY")</f>
        <v>HANIFAH SYIFA AZZAHRA BAY</v>
      </c>
      <c r="J432" s="1" t="str">
        <f ca="1">IFERROR(__xludf.DUMMYFUNCTION("""COMPUTED_VALUE"""),"01211940000092")</f>
        <v>01211940000092</v>
      </c>
      <c r="K432" s="1" t="str">
        <f ca="1">IFERROR(__xludf.DUMMYFUNCTION("""COMPUTED_VALUE"""),"Departemen Kimia")</f>
        <v>Departemen Kimia</v>
      </c>
      <c r="L432" s="1" t="str">
        <f ca="1">IFERROR(__xludf.DUMMYFUNCTION("""COMPUTED_VALUE"""),"FAJAR NURHARYADI DWIYONO")</f>
        <v>FAJAR NURHARYADI DWIYONO</v>
      </c>
      <c r="M432" s="1" t="str">
        <f ca="1">IFERROR(__xludf.DUMMYFUNCTION("""COMPUTED_VALUE"""),"01211940000039")</f>
        <v>01211940000039</v>
      </c>
      <c r="N432" s="1" t="str">
        <f ca="1">IFERROR(__xludf.DUMMYFUNCTION("""COMPUTED_VALUE"""),"Departemen Kimia")</f>
        <v>Departemen Kimia</v>
      </c>
      <c r="O432" s="1" t="str">
        <f ca="1">IFERROR(__xludf.DUMMYFUNCTION("""COMPUTED_VALUE"""),"ALFAUZI SATRIO WICAKSONO")</f>
        <v>ALFAUZI SATRIO WICAKSONO</v>
      </c>
      <c r="P432" s="1" t="str">
        <f ca="1">IFERROR(__xludf.DUMMYFUNCTION("""COMPUTED_VALUE"""),"5005201021")</f>
        <v>5005201021</v>
      </c>
      <c r="Q432" s="1" t="str">
        <f ca="1">IFERROR(__xludf.DUMMYFUNCTION("""COMPUTED_VALUE"""),"Departemen Biologi")</f>
        <v>Departemen Biologi</v>
      </c>
      <c r="R432" s="1" t="str">
        <f ca="1">IFERROR(__xludf.DUMMYFUNCTION("""COMPUTED_VALUE"""),"STEFANI CHRISTINA WAHYUDI")</f>
        <v>STEFANI CHRISTINA WAHYUDI</v>
      </c>
      <c r="S432" s="1" t="str">
        <f ca="1">IFERROR(__xludf.DUMMYFUNCTION("""COMPUTED_VALUE"""),"5005201025")</f>
        <v>5005201025</v>
      </c>
      <c r="T432" s="1" t="str">
        <f ca="1">IFERROR(__xludf.DUMMYFUNCTION("""COMPUTED_VALUE"""),"Departemen Biologi")</f>
        <v>Departemen Biologi</v>
      </c>
      <c r="U432" s="1" t="str">
        <f ca="1">IFERROR(__xludf.DUMMYFUNCTION("""COMPUTED_VALUE"""),"Dr.-Ing. Doty Dewi Risanti, S.T., M.T.")</f>
        <v>Dr.-Ing. Doty Dewi Risanti, S.T., M.T.</v>
      </c>
      <c r="V432" s="1" t="str">
        <f ca="1">IFERROR(__xludf.DUMMYFUNCTION("""COMPUTED_VALUE"""),"Annas Wiguno, S.T., M.T.")</f>
        <v>Annas Wiguno, S.T., M.T.</v>
      </c>
      <c r="W432" s="1"/>
      <c r="X432" s="1" t="str">
        <f ca="1">IFERROR(__xludf.DUMMYFUNCTION("""COMPUTED_VALUE"""),"Lolos")</f>
        <v>Lolos</v>
      </c>
      <c r="Y432" s="1"/>
      <c r="Z432" s="1"/>
      <c r="AA432" s="1"/>
    </row>
    <row r="433" spans="1:27">
      <c r="A433" s="1" t="s">
        <v>427</v>
      </c>
      <c r="B433" s="1">
        <f ca="1">IFERROR(__xludf.DUMMYFUNCTION("""COMPUTED_VALUE"""),3492)</f>
        <v>3492</v>
      </c>
      <c r="C433" s="1" t="str">
        <f ca="1">IFERROR(__xludf.DUMMYFUNCTION("""COMPUTED_VALUE"""),"PKM Riset Eksakta")</f>
        <v>PKM Riset Eksakta</v>
      </c>
      <c r="D433" s="1" t="str">
        <f ca="1">IFERROR(__xludf.DUMMYFUNCTION("""COMPUTED_VALUE"""),"Klasifikasi Analisis Sentimen di Media Sosial dalam Pergerakan Harga Saham Menggunakan Metode Support Vector Machine")</f>
        <v>Klasifikasi Analisis Sentimen di Media Sosial dalam Pergerakan Harga Saham Menggunakan Metode Support Vector Machine</v>
      </c>
      <c r="E433" s="1" t="str">
        <f ca="1">IFERROR(__xludf.DUMMYFUNCTION("""COMPUTED_VALUE"""),"AWWALIYAH NUR FADHILAH")</f>
        <v>AWWALIYAH NUR FADHILAH</v>
      </c>
      <c r="F433" s="1" t="str">
        <f ca="1">IFERROR(__xludf.DUMMYFUNCTION("""COMPUTED_VALUE"""),"06111940000050")</f>
        <v>06111940000050</v>
      </c>
      <c r="G433" s="1" t="str">
        <f ca="1">IFERROR(__xludf.DUMMYFUNCTION("""COMPUTED_VALUE"""),"Departemen Matematika")</f>
        <v>Departemen Matematika</v>
      </c>
      <c r="H433" s="1" t="str">
        <f ca="1">IFERROR(__xludf.DUMMYFUNCTION("""COMPUTED_VALUE"""),"Prof. Dr. Drs. Mohammad Isa Irawan, M.T.")</f>
        <v>Prof. Dr. Drs. Mohammad Isa Irawan, M.T.</v>
      </c>
      <c r="I433" s="1" t="str">
        <f ca="1">IFERROR(__xludf.DUMMYFUNCTION("""COMPUTED_VALUE"""),"ANTONIO GALILEO TANDO")</f>
        <v>ANTONIO GALILEO TANDO</v>
      </c>
      <c r="J433" s="1" t="str">
        <f ca="1">IFERROR(__xludf.DUMMYFUNCTION("""COMPUTED_VALUE"""),"06111840000071")</f>
        <v>06111840000071</v>
      </c>
      <c r="K433" s="1" t="str">
        <f ca="1">IFERROR(__xludf.DUMMYFUNCTION("""COMPUTED_VALUE"""),"Departemen Matematika")</f>
        <v>Departemen Matematika</v>
      </c>
      <c r="L433" s="1" t="str">
        <f ca="1">IFERROR(__xludf.DUMMYFUNCTION("""COMPUTED_VALUE"""),"Riska Aulia Erina Putry")</f>
        <v>Riska Aulia Erina Putry</v>
      </c>
      <c r="M433" s="1" t="str">
        <f ca="1">IFERROR(__xludf.DUMMYFUNCTION("""COMPUTED_VALUE"""),"06111940000011")</f>
        <v>06111940000011</v>
      </c>
      <c r="N433" s="1" t="str">
        <f ca="1">IFERROR(__xludf.DUMMYFUNCTION("""COMPUTED_VALUE"""),"Departemen Matematika")</f>
        <v>Departemen Matematika</v>
      </c>
      <c r="O433" s="1" t="str">
        <f ca="1">IFERROR(__xludf.DUMMYFUNCTION("""COMPUTED_VALUE"""),"PUTU SWAMI INDIRA DEWI")</f>
        <v>PUTU SWAMI INDIRA DEWI</v>
      </c>
      <c r="P433" s="1" t="str">
        <f ca="1">IFERROR(__xludf.DUMMYFUNCTION("""COMPUTED_VALUE"""),"5002201138")</f>
        <v>5002201138</v>
      </c>
      <c r="Q433" s="1" t="str">
        <f ca="1">IFERROR(__xludf.DUMMYFUNCTION("""COMPUTED_VALUE"""),"Departemen Matematika")</f>
        <v>Departemen Matematika</v>
      </c>
      <c r="R433" s="1"/>
      <c r="S433" s="1"/>
      <c r="T433" s="1"/>
      <c r="U433" s="1" t="str">
        <f ca="1">IFERROR(__xludf.DUMMYFUNCTION("""COMPUTED_VALUE"""),"Dr.Eng. Siti Machmudah, S.T., M.Eng.")</f>
        <v>Dr.Eng. Siti Machmudah, S.T., M.Eng.</v>
      </c>
      <c r="V433" s="1" t="str">
        <f ca="1">IFERROR(__xludf.DUMMYFUNCTION("""COMPUTED_VALUE"""),"Dra. Ratna Ediati, MS., Ph.D.")</f>
        <v>Dra. Ratna Ediati, MS., Ph.D.</v>
      </c>
      <c r="W433" s="1"/>
      <c r="X433" s="1" t="str">
        <f ca="1">IFERROR(__xludf.DUMMYFUNCTION("""COMPUTED_VALUE"""),"Lolos")</f>
        <v>Lolos</v>
      </c>
      <c r="Y433" s="1"/>
      <c r="Z433" s="1"/>
      <c r="AA433" s="1"/>
    </row>
    <row r="434" spans="1:27">
      <c r="A434" s="1" t="s">
        <v>428</v>
      </c>
      <c r="B434" s="1">
        <f ca="1">IFERROR(__xludf.DUMMYFUNCTION("""COMPUTED_VALUE"""),2994)</f>
        <v>2994</v>
      </c>
      <c r="C434" s="1" t="str">
        <f ca="1">IFERROR(__xludf.DUMMYFUNCTION("""COMPUTED_VALUE"""),"PKM Riset Eksakta")</f>
        <v>PKM Riset Eksakta</v>
      </c>
      <c r="D434" s="1" t="str">
        <f ca="1">IFERROR(__xludf.DUMMYFUNCTION("""COMPUTED_VALUE"""),"SISTESIS FILM SELULOSA ASETAT BERBASIS LIMBAH CAIR GLUKOMANAN UMBI PORANG SEBAGAI ALTERNATIF KEMASAN RAMAH LINGKUNGAN")</f>
        <v>SISTESIS FILM SELULOSA ASETAT BERBASIS LIMBAH CAIR GLUKOMANAN UMBI PORANG SEBAGAI ALTERNATIF KEMASAN RAMAH LINGKUNGAN</v>
      </c>
      <c r="E434" s="1" t="str">
        <f ca="1">IFERROR(__xludf.DUMMYFUNCTION("""COMPUTED_VALUE"""),"Sri Rani Kusumaningrum")</f>
        <v>Sri Rani Kusumaningrum</v>
      </c>
      <c r="F434" s="1" t="str">
        <f ca="1">IFERROR(__xludf.DUMMYFUNCTION("""COMPUTED_VALUE"""),"02211940000014")</f>
        <v>02211940000014</v>
      </c>
      <c r="G434" s="1" t="str">
        <f ca="1">IFERROR(__xludf.DUMMYFUNCTION("""COMPUTED_VALUE"""),"Departemen Teknik Kimia")</f>
        <v>Departemen Teknik Kimia</v>
      </c>
      <c r="H434" s="1" t="str">
        <f ca="1">IFERROR(__xludf.DUMMYFUNCTION("""COMPUTED_VALUE"""),"Prof. Dr. Ir. Tri Widjaja, M.Eng")</f>
        <v>Prof. Dr. Ir. Tri Widjaja, M.Eng</v>
      </c>
      <c r="I434" s="1" t="str">
        <f ca="1">IFERROR(__xludf.DUMMYFUNCTION("""COMPUTED_VALUE"""),"Berlian Widi Bela Pamungkas")</f>
        <v>Berlian Widi Bela Pamungkas</v>
      </c>
      <c r="J434" s="1" t="str">
        <f ca="1">IFERROR(__xludf.DUMMYFUNCTION("""COMPUTED_VALUE"""),"02211940000035")</f>
        <v>02211940000035</v>
      </c>
      <c r="K434" s="1" t="str">
        <f ca="1">IFERROR(__xludf.DUMMYFUNCTION("""COMPUTED_VALUE"""),"Departemen Teknik Kimia")</f>
        <v>Departemen Teknik Kimia</v>
      </c>
      <c r="L434" s="1" t="str">
        <f ca="1">IFERROR(__xludf.DUMMYFUNCTION("""COMPUTED_VALUE"""),"EFRA SARIYUNARDI")</f>
        <v>EFRA SARIYUNARDI</v>
      </c>
      <c r="M434" s="1" t="str">
        <f ca="1">IFERROR(__xludf.DUMMYFUNCTION("""COMPUTED_VALUE"""),"5008201145")</f>
        <v>5008201145</v>
      </c>
      <c r="N434" s="1" t="str">
        <f ca="1">IFERROR(__xludf.DUMMYFUNCTION("""COMPUTED_VALUE"""),"Departemen Teknik Kimia")</f>
        <v>Departemen Teknik Kimia</v>
      </c>
      <c r="O434" s="1"/>
      <c r="P434" s="1"/>
      <c r="Q434" s="1"/>
      <c r="R434" s="1"/>
      <c r="S434" s="1"/>
      <c r="T434" s="1"/>
      <c r="U434" s="1" t="str">
        <f ca="1">IFERROR(__xludf.DUMMYFUNCTION("""COMPUTED_VALUE"""),"Dr. Awik Puji Dyah Nurhayati, S.Si., M.Si.")</f>
        <v>Dr. Awik Puji Dyah Nurhayati, S.Si., M.Si.</v>
      </c>
      <c r="V434" s="1" t="str">
        <f ca="1">IFERROR(__xludf.DUMMYFUNCTION("""COMPUTED_VALUE"""),"Iska Desmawati, S.Si., M.Si.")</f>
        <v>Iska Desmawati, S.Si., M.Si.</v>
      </c>
      <c r="W434" s="1"/>
      <c r="X434" s="1" t="str">
        <f ca="1">IFERROR(__xludf.DUMMYFUNCTION("""COMPUTED_VALUE"""),"Lolos")</f>
        <v>Lolos</v>
      </c>
      <c r="Y434" s="1"/>
      <c r="Z434" s="1"/>
      <c r="AA434" s="1"/>
    </row>
    <row r="435" spans="1:27">
      <c r="A435" s="1" t="s">
        <v>429</v>
      </c>
      <c r="B435" s="1">
        <f ca="1">IFERROR(__xludf.DUMMYFUNCTION("""COMPUTED_VALUE"""),3950)</f>
        <v>3950</v>
      </c>
      <c r="C435" s="1" t="str">
        <f ca="1">IFERROR(__xludf.DUMMYFUNCTION("""COMPUTED_VALUE"""),"PKM Riset Eksakta")</f>
        <v>PKM Riset Eksakta</v>
      </c>
      <c r="D435" s="1" t="str">
        <f ca="1">IFERROR(__xludf.DUMMYFUNCTION("""COMPUTED_VALUE"""),"Integrasi Penggunaan Smart Fabric Dengan Basis Biosensor Keringat sebagai pendeteksi indikator gejala kesehatan internal tubuh manusia")</f>
        <v>Integrasi Penggunaan Smart Fabric Dengan Basis Biosensor Keringat sebagai pendeteksi indikator gejala kesehatan internal tubuh manusia</v>
      </c>
      <c r="E435" s="1" t="str">
        <f ca="1">IFERROR(__xludf.DUMMYFUNCTION("""COMPUTED_VALUE"""),"MUHAMMAD ARIFANDY FA")</f>
        <v>MUHAMMAD ARIFANDY FA</v>
      </c>
      <c r="F435" s="1" t="str">
        <f ca="1">IFERROR(__xludf.DUMMYFUNCTION("""COMPUTED_VALUE"""),"5011211094")</f>
        <v>5011211094</v>
      </c>
      <c r="G435" s="1" t="str">
        <f ca="1">IFERROR(__xludf.DUMMYFUNCTION("""COMPUTED_VALUE"""),"Departemen Teknik Material dan Metalurgi")</f>
        <v>Departemen Teknik Material dan Metalurgi</v>
      </c>
      <c r="H435" s="1" t="str">
        <f ca="1">IFERROR(__xludf.DUMMYFUNCTION("""COMPUTED_VALUE"""),"Azzah Dyah Pramata, S.T., M.T., M.Eng., Ph.D.")</f>
        <v>Azzah Dyah Pramata, S.T., M.T., M.Eng., Ph.D.</v>
      </c>
      <c r="I435" s="1" t="str">
        <f ca="1">IFERROR(__xludf.DUMMYFUNCTION("""COMPUTED_VALUE"""),"PAKSI JAKARIYA Y")</f>
        <v>PAKSI JAKARIYA Y</v>
      </c>
      <c r="J435" s="1" t="str">
        <f ca="1">IFERROR(__xludf.DUMMYFUNCTION("""COMPUTED_VALUE"""),"5011211058")</f>
        <v>5011211058</v>
      </c>
      <c r="K435" s="1" t="str">
        <f ca="1">IFERROR(__xludf.DUMMYFUNCTION("""COMPUTED_VALUE"""),"Departemen Teknik Material dan Metalurgi")</f>
        <v>Departemen Teknik Material dan Metalurgi</v>
      </c>
      <c r="L435" s="1" t="str">
        <f ca="1">IFERROR(__xludf.DUMMYFUNCTION("""COMPUTED_VALUE"""),"MUHAMMAD DZAKY")</f>
        <v>MUHAMMAD DZAKY</v>
      </c>
      <c r="M435" s="1" t="str">
        <f ca="1">IFERROR(__xludf.DUMMYFUNCTION("""COMPUTED_VALUE"""),"5022211127")</f>
        <v>5022211127</v>
      </c>
      <c r="N435" s="1" t="str">
        <f ca="1">IFERROR(__xludf.DUMMYFUNCTION("""COMPUTED_VALUE"""),"Departemen Teknik Elektro")</f>
        <v>Departemen Teknik Elektro</v>
      </c>
      <c r="O435" s="1" t="str">
        <f ca="1">IFERROR(__xludf.DUMMYFUNCTION("""COMPUTED_VALUE"""),"Paundra Rizky Pratama")</f>
        <v>Paundra Rizky Pratama</v>
      </c>
      <c r="P435" s="1" t="str">
        <f ca="1">IFERROR(__xludf.DUMMYFUNCTION("""COMPUTED_VALUE"""),"02511940000021")</f>
        <v>02511940000021</v>
      </c>
      <c r="Q435" s="1" t="str">
        <f ca="1">IFERROR(__xludf.DUMMYFUNCTION("""COMPUTED_VALUE"""),"Departemen Teknik Material dan Metalurgi")</f>
        <v>Departemen Teknik Material dan Metalurgi</v>
      </c>
      <c r="R435" s="1" t="str">
        <f ca="1">IFERROR(__xludf.DUMMYFUNCTION("""COMPUTED_VALUE"""),"JAHFAL FADHIL R.")</f>
        <v>JAHFAL FADHIL R.</v>
      </c>
      <c r="S435" s="1" t="str">
        <f ca="1">IFERROR(__xludf.DUMMYFUNCTION("""COMPUTED_VALUE"""),"5022211181")</f>
        <v>5022211181</v>
      </c>
      <c r="T435" s="1" t="str">
        <f ca="1">IFERROR(__xludf.DUMMYFUNCTION("""COMPUTED_VALUE"""),"Departemen Teknik Elektro")</f>
        <v>Departemen Teknik Elektro</v>
      </c>
      <c r="U435" s="1" t="str">
        <f ca="1">IFERROR(__xludf.DUMMYFUNCTION("""COMPUTED_VALUE"""),"Dr. Awik Puji Dyah Nurhayati, S.Si., M.Si.")</f>
        <v>Dr. Awik Puji Dyah Nurhayati, S.Si., M.Si.</v>
      </c>
      <c r="V435" s="1" t="str">
        <f ca="1">IFERROR(__xludf.DUMMYFUNCTION("""COMPUTED_VALUE"""),"Iska Desmawati, S.Si., M.Si.")</f>
        <v>Iska Desmawati, S.Si., M.Si.</v>
      </c>
      <c r="W435" s="1"/>
      <c r="X435" s="1" t="str">
        <f ca="1">IFERROR(__xludf.DUMMYFUNCTION("""COMPUTED_VALUE"""),"Lolos")</f>
        <v>Lolos</v>
      </c>
      <c r="Y435" s="1"/>
      <c r="Z435" s="1"/>
      <c r="AA435" s="1"/>
    </row>
    <row r="436" spans="1:27">
      <c r="A436" s="1" t="s">
        <v>430</v>
      </c>
      <c r="B436" s="1">
        <f ca="1">IFERROR(__xludf.DUMMYFUNCTION("""COMPUTED_VALUE"""),2903)</f>
        <v>2903</v>
      </c>
      <c r="C436" s="1" t="str">
        <f ca="1">IFERROR(__xludf.DUMMYFUNCTION("""COMPUTED_VALUE"""),"PKM Riset Eksakta")</f>
        <v>PKM Riset Eksakta</v>
      </c>
      <c r="D436" s="1" t="str">
        <f ca="1">IFERROR(__xludf.DUMMYFUNCTION("""COMPUTED_VALUE"""),"Efisiensi Degradasi Fotokatalitik b-Naftol Menggunakan Karbon Aktif dari Tandan Kosong Kelapa Sawit yang Diaktivasi dengan Cu-ZIF-8")</f>
        <v>Efisiensi Degradasi Fotokatalitik b-Naftol Menggunakan Karbon Aktif dari Tandan Kosong Kelapa Sawit yang Diaktivasi dengan Cu-ZIF-8</v>
      </c>
      <c r="E436" s="1" t="str">
        <f ca="1">IFERROR(__xludf.DUMMYFUNCTION("""COMPUTED_VALUE"""),"Siti Khomariyah")</f>
        <v>Siti Khomariyah</v>
      </c>
      <c r="F436" s="1" t="str">
        <f ca="1">IFERROR(__xludf.DUMMYFUNCTION("""COMPUTED_VALUE"""),"01211940000024")</f>
        <v>01211940000024</v>
      </c>
      <c r="G436" s="1" t="str">
        <f ca="1">IFERROR(__xludf.DUMMYFUNCTION("""COMPUTED_VALUE"""),"Departemen Kimia")</f>
        <v>Departemen Kimia</v>
      </c>
      <c r="H436" s="1" t="str">
        <f ca="1">IFERROR(__xludf.DUMMYFUNCTION("""COMPUTED_VALUE"""),"Dra. Ratna Ediati, MS., Ph.D.")</f>
        <v>Dra. Ratna Ediati, MS., Ph.D.</v>
      </c>
      <c r="I436" s="1" t="str">
        <f ca="1">IFERROR(__xludf.DUMMYFUNCTION("""COMPUTED_VALUE"""),"SINTA EKA SEPTA SARI")</f>
        <v>SINTA EKA SEPTA SARI</v>
      </c>
      <c r="J436" s="1" t="str">
        <f ca="1">IFERROR(__xludf.DUMMYFUNCTION("""COMPUTED_VALUE"""),"01211940000073")</f>
        <v>01211940000073</v>
      </c>
      <c r="K436" s="1" t="str">
        <f ca="1">IFERROR(__xludf.DUMMYFUNCTION("""COMPUTED_VALUE"""),"Departemen Kimia")</f>
        <v>Departemen Kimia</v>
      </c>
      <c r="L436" s="1" t="str">
        <f ca="1">IFERROR(__xludf.DUMMYFUNCTION("""COMPUTED_VALUE"""),"Nabella Alvi Kurniawati")</f>
        <v>Nabella Alvi Kurniawati</v>
      </c>
      <c r="M436" s="1" t="str">
        <f ca="1">IFERROR(__xludf.DUMMYFUNCTION("""COMPUTED_VALUE"""),"01211940000013")</f>
        <v>01211940000013</v>
      </c>
      <c r="N436" s="1" t="str">
        <f ca="1">IFERROR(__xludf.DUMMYFUNCTION("""COMPUTED_VALUE"""),"Departemen Kimia")</f>
        <v>Departemen Kimia</v>
      </c>
      <c r="O436" s="1"/>
      <c r="P436" s="1"/>
      <c r="Q436" s="1"/>
      <c r="R436" s="1"/>
      <c r="S436" s="1"/>
      <c r="T436" s="1"/>
      <c r="U436" s="1" t="str">
        <f ca="1">IFERROR(__xludf.DUMMYFUNCTION("""COMPUTED_VALUE"""),"Alief Wikarta, ST., MSc.Eng. Ph.D")</f>
        <v>Alief Wikarta, ST., MSc.Eng. Ph.D</v>
      </c>
      <c r="V436" s="1" t="str">
        <f ca="1">IFERROR(__xludf.DUMMYFUNCTION("""COMPUTED_VALUE"""),"Juan Pandu Gya Nur Rochman, S.Si., M.T.")</f>
        <v>Juan Pandu Gya Nur Rochman, S.Si., M.T.</v>
      </c>
      <c r="W436" s="1"/>
      <c r="X436" s="1" t="str">
        <f ca="1">IFERROR(__xludf.DUMMYFUNCTION("""COMPUTED_VALUE"""),"Lolos")</f>
        <v>Lolos</v>
      </c>
      <c r="Y436" s="1"/>
      <c r="Z436" s="1"/>
      <c r="AA436" s="1"/>
    </row>
    <row r="437" spans="1:27">
      <c r="A437" s="1" t="s">
        <v>431</v>
      </c>
      <c r="B437" s="1">
        <f ca="1">IFERROR(__xludf.DUMMYFUNCTION("""COMPUTED_VALUE"""),3241)</f>
        <v>3241</v>
      </c>
      <c r="C437" s="1" t="str">
        <f ca="1">IFERROR(__xludf.DUMMYFUNCTION("""COMPUTED_VALUE"""),"PKM Riset Eksakta")</f>
        <v>PKM Riset Eksakta</v>
      </c>
      <c r="D437" s="1" t="str">
        <f ca="1">IFERROR(__xludf.DUMMYFUNCTION("""COMPUTED_VALUE"""),"Efektivitas Kombinasi Ekstrak Moringa Oleifera dan Bioaktif Peptida Soygurt Untuk Pengobatan dan Pencegahan Hipertensi")</f>
        <v>Efektivitas Kombinasi Ekstrak Moringa Oleifera dan Bioaktif Peptida Soygurt Untuk Pengobatan dan Pencegahan Hipertensi</v>
      </c>
      <c r="E437" s="1" t="str">
        <f ca="1">IFERROR(__xludf.DUMMYFUNCTION("""COMPUTED_VALUE"""),"Bintang Nur Rohim")</f>
        <v>Bintang Nur Rohim</v>
      </c>
      <c r="F437" s="1" t="str">
        <f ca="1">IFERROR(__xludf.DUMMYFUNCTION("""COMPUTED_VALUE"""),"5002211013")</f>
        <v>5002211013</v>
      </c>
      <c r="G437" s="1" t="str">
        <f ca="1">IFERROR(__xludf.DUMMYFUNCTION("""COMPUTED_VALUE"""),"Departemen Matematika")</f>
        <v>Departemen Matematika</v>
      </c>
      <c r="H437" s="1" t="str">
        <f ca="1">IFERROR(__xludf.DUMMYFUNCTION("""COMPUTED_VALUE"""),"Hamdan Dwi Rizqi, S.Si., M.Si.")</f>
        <v>Hamdan Dwi Rizqi, S.Si., M.Si.</v>
      </c>
      <c r="I437" s="1" t="str">
        <f ca="1">IFERROR(__xludf.DUMMYFUNCTION("""COMPUTED_VALUE"""),"Alvin Candra F")</f>
        <v>Alvin Candra F</v>
      </c>
      <c r="J437" s="1" t="str">
        <f ca="1">IFERROR(__xludf.DUMMYFUNCTION("""COMPUTED_VALUE"""),"5045211018")</f>
        <v>5045211018</v>
      </c>
      <c r="K437" s="1" t="str">
        <f ca="1">IFERROR(__xludf.DUMMYFUNCTION("""COMPUTED_VALUE"""),"Departemen Teknik Pangan")</f>
        <v>Departemen Teknik Pangan</v>
      </c>
      <c r="L437" s="1" t="str">
        <f ca="1">IFERROR(__xludf.DUMMYFUNCTION("""COMPUTED_VALUE"""),"MUHAMMAD UBAYDHILLAH")</f>
        <v>MUHAMMAD UBAYDHILLAH</v>
      </c>
      <c r="M437" s="1" t="str">
        <f ca="1">IFERROR(__xludf.DUMMYFUNCTION("""COMPUTED_VALUE"""),"5004201062")</f>
        <v>5004201062</v>
      </c>
      <c r="N437" s="1" t="str">
        <f ca="1">IFERROR(__xludf.DUMMYFUNCTION("""COMPUTED_VALUE"""),"Departemen Kimia")</f>
        <v>Departemen Kimia</v>
      </c>
      <c r="O437" s="1" t="str">
        <f ca="1">IFERROR(__xludf.DUMMYFUNCTION("""COMPUTED_VALUE"""),"REVI MULIANA CINDY P")</f>
        <v>REVI MULIANA CINDY P</v>
      </c>
      <c r="P437" s="1" t="str">
        <f ca="1">IFERROR(__xludf.DUMMYFUNCTION("""COMPUTED_VALUE"""),"5002211077")</f>
        <v>5002211077</v>
      </c>
      <c r="Q437" s="1" t="str">
        <f ca="1">IFERROR(__xludf.DUMMYFUNCTION("""COMPUTED_VALUE"""),"Departemen Matematika")</f>
        <v>Departemen Matematika</v>
      </c>
      <c r="R437" s="1" t="str">
        <f ca="1">IFERROR(__xludf.DUMMYFUNCTION("""COMPUTED_VALUE"""),"YUVITA ANGGRAENI DWI AMOR")</f>
        <v>YUVITA ANGGRAENI DWI AMOR</v>
      </c>
      <c r="S437" s="1" t="str">
        <f ca="1">IFERROR(__xludf.DUMMYFUNCTION("""COMPUTED_VALUE"""),"5004201049")</f>
        <v>5004201049</v>
      </c>
      <c r="T437" s="1" t="str">
        <f ca="1">IFERROR(__xludf.DUMMYFUNCTION("""COMPUTED_VALUE"""),"Departemen Kimia")</f>
        <v>Departemen Kimia</v>
      </c>
      <c r="U437" s="1" t="str">
        <f ca="1">IFERROR(__xludf.DUMMYFUNCTION("""COMPUTED_VALUE"""),"Dr.Eng. Siti Machmudah, S.T., M.Eng.")</f>
        <v>Dr.Eng. Siti Machmudah, S.T., M.Eng.</v>
      </c>
      <c r="V437" s="1" t="str">
        <f ca="1">IFERROR(__xludf.DUMMYFUNCTION("""COMPUTED_VALUE"""),"Dr. Candra Irawan, S.T., M.T.")</f>
        <v>Dr. Candra Irawan, S.T., M.T.</v>
      </c>
      <c r="W437" s="1"/>
      <c r="X437" s="1" t="str">
        <f ca="1">IFERROR(__xludf.DUMMYFUNCTION("""COMPUTED_VALUE"""),"Lolos")</f>
        <v>Lolos</v>
      </c>
      <c r="Y437" s="1"/>
      <c r="Z437" s="1"/>
      <c r="AA437" s="1"/>
    </row>
    <row r="438" spans="1:27">
      <c r="A438" s="1" t="s">
        <v>432</v>
      </c>
      <c r="B438" s="1">
        <f ca="1">IFERROR(__xludf.DUMMYFUNCTION("""COMPUTED_VALUE"""),2482)</f>
        <v>2482</v>
      </c>
      <c r="C438" s="1" t="str">
        <f ca="1">IFERROR(__xludf.DUMMYFUNCTION("""COMPUTED_VALUE"""),"PKM Riset Eksakta")</f>
        <v>PKM Riset Eksakta</v>
      </c>
      <c r="D438" s="1" t="str">
        <f ca="1">IFERROR(__xludf.DUMMYFUNCTION("""COMPUTED_VALUE"""),"Zelusiwall: Pemanfaatan Lumpur Sidoarjo sebagai Lapisan Dinding Anti-mikroba untuk Kamar Isolasi ")</f>
        <v xml:space="preserve">Zelusiwall: Pemanfaatan Lumpur Sidoarjo sebagai Lapisan Dinding Anti-mikroba untuk Kamar Isolasi </v>
      </c>
      <c r="E438" s="1" t="str">
        <f ca="1">IFERROR(__xludf.DUMMYFUNCTION("""COMPUTED_VALUE"""),"M ILHAM NUR IMAN")</f>
        <v>M ILHAM NUR IMAN</v>
      </c>
      <c r="F438" s="1" t="str">
        <f ca="1">IFERROR(__xludf.DUMMYFUNCTION("""COMPUTED_VALUE"""),"5004211119")</f>
        <v>5004211119</v>
      </c>
      <c r="G438" s="1" t="str">
        <f ca="1">IFERROR(__xludf.DUMMYFUNCTION("""COMPUTED_VALUE"""),"Departemen Kimia")</f>
        <v>Departemen Kimia</v>
      </c>
      <c r="H438" s="1" t="str">
        <f ca="1">IFERROR(__xludf.DUMMYFUNCTION("""COMPUTED_VALUE"""),"Dr.Eng. Januarti Jaya Ekaputri, S.T., M.T.")</f>
        <v>Dr.Eng. Januarti Jaya Ekaputri, S.T., M.T.</v>
      </c>
      <c r="I438" s="1" t="str">
        <f ca="1">IFERROR(__xludf.DUMMYFUNCTION("""COMPUTED_VALUE"""),"Nawfal Pramudya")</f>
        <v>Nawfal Pramudya</v>
      </c>
      <c r="J438" s="1" t="str">
        <f ca="1">IFERROR(__xludf.DUMMYFUNCTION("""COMPUTED_VALUE"""),"5012211136")</f>
        <v>5012211136</v>
      </c>
      <c r="K438" s="1" t="str">
        <f ca="1">IFERROR(__xludf.DUMMYFUNCTION("""COMPUTED_VALUE"""),"Departemen Teknik Sipil")</f>
        <v>Departemen Teknik Sipil</v>
      </c>
      <c r="L438" s="1" t="str">
        <f ca="1">IFERROR(__xludf.DUMMYFUNCTION("""COMPUTED_VALUE"""),"NUR LESTARI WIDODO")</f>
        <v>NUR LESTARI WIDODO</v>
      </c>
      <c r="M438" s="1" t="str">
        <f ca="1">IFERROR(__xludf.DUMMYFUNCTION("""COMPUTED_VALUE"""),"5004211022")</f>
        <v>5004211022</v>
      </c>
      <c r="N438" s="1" t="str">
        <f ca="1">IFERROR(__xludf.DUMMYFUNCTION("""COMPUTED_VALUE"""),"Departemen Kimia")</f>
        <v>Departemen Kimia</v>
      </c>
      <c r="O438" s="1" t="str">
        <f ca="1">IFERROR(__xludf.DUMMYFUNCTION("""COMPUTED_VALUE"""),"AURA EKA DAMAYANTI")</f>
        <v>AURA EKA DAMAYANTI</v>
      </c>
      <c r="P438" s="1" t="str">
        <f ca="1">IFERROR(__xludf.DUMMYFUNCTION("""COMPUTED_VALUE"""),"5004211014")</f>
        <v>5004211014</v>
      </c>
      <c r="Q438" s="1" t="str">
        <f ca="1">IFERROR(__xludf.DUMMYFUNCTION("""COMPUTED_VALUE"""),"Departemen Kimia")</f>
        <v>Departemen Kimia</v>
      </c>
      <c r="R438" s="1" t="str">
        <f ca="1">IFERROR(__xludf.DUMMYFUNCTION("""COMPUTED_VALUE"""),"Ashila Salma Yuniar")</f>
        <v>Ashila Salma Yuniar</v>
      </c>
      <c r="S438" s="1" t="str">
        <f ca="1">IFERROR(__xludf.DUMMYFUNCTION("""COMPUTED_VALUE"""),"5004211108")</f>
        <v>5004211108</v>
      </c>
      <c r="T438" s="1" t="str">
        <f ca="1">IFERROR(__xludf.DUMMYFUNCTION("""COMPUTED_VALUE"""),"Departemen Kimia")</f>
        <v>Departemen Kimia</v>
      </c>
      <c r="U438" s="1" t="str">
        <f ca="1">IFERROR(__xludf.DUMMYFUNCTION("""COMPUTED_VALUE"""),"Ahmad Fauzan Adziimaa, S.T., M.Sc.")</f>
        <v>Ahmad Fauzan Adziimaa, S.T., M.Sc.</v>
      </c>
      <c r="V438" s="1" t="str">
        <f ca="1">IFERROR(__xludf.DUMMYFUNCTION("""COMPUTED_VALUE"""),"Tri Vicca Kusumadewi, S.T., M.Sc.")</f>
        <v>Tri Vicca Kusumadewi, S.T., M.Sc.</v>
      </c>
      <c r="W438" s="1"/>
      <c r="X438" s="1" t="str">
        <f ca="1">IFERROR(__xludf.DUMMYFUNCTION("""COMPUTED_VALUE"""),"Lolos")</f>
        <v>Lolos</v>
      </c>
      <c r="Y438" s="1"/>
      <c r="Z438" s="1"/>
      <c r="AA438" s="1"/>
    </row>
    <row r="439" spans="1:27">
      <c r="A439" s="1" t="s">
        <v>433</v>
      </c>
      <c r="B439" s="1">
        <f ca="1">IFERROR(__xludf.DUMMYFUNCTION("""COMPUTED_VALUE"""),2629)</f>
        <v>2629</v>
      </c>
      <c r="C439" s="1" t="str">
        <f ca="1">IFERROR(__xludf.DUMMYFUNCTION("""COMPUTED_VALUE"""),"PKM Riset Eksakta")</f>
        <v>PKM Riset Eksakta</v>
      </c>
      <c r="D439" s="1" t="str">
        <f ca="1">IFERROR(__xludf.DUMMYFUNCTION("""COMPUTED_VALUE"""),"Penggunaan Agen Antibakteri Berbasis Ekstrak Kulit Pohon Pinus untuk Kemasan Aktif Gelatin Ikan Polietilen pada Daging Potong Segar ")</f>
        <v xml:space="preserve">Penggunaan Agen Antibakteri Berbasis Ekstrak Kulit Pohon Pinus untuk Kemasan Aktif Gelatin Ikan Polietilen pada Daging Potong Segar </v>
      </c>
      <c r="E439" s="1" t="str">
        <f ca="1">IFERROR(__xludf.DUMMYFUNCTION("""COMPUTED_VALUE"""),"ARINDA CARENTIKA J")</f>
        <v>ARINDA CARENTIKA J</v>
      </c>
      <c r="F439" s="1" t="str">
        <f ca="1">IFERROR(__xludf.DUMMYFUNCTION("""COMPUTED_VALUE"""),"5011211098")</f>
        <v>5011211098</v>
      </c>
      <c r="G439" s="1" t="str">
        <f ca="1">IFERROR(__xludf.DUMMYFUNCTION("""COMPUTED_VALUE"""),"Departemen Teknik Material dan Metalurgi")</f>
        <v>Departemen Teknik Material dan Metalurgi</v>
      </c>
      <c r="H439" s="1" t="str">
        <f ca="1">IFERROR(__xludf.DUMMYFUNCTION("""COMPUTED_VALUE"""),"Azzah Dyah Pramata, S.T., M.T., M.Eng., Ph.D.")</f>
        <v>Azzah Dyah Pramata, S.T., M.T., M.Eng., Ph.D.</v>
      </c>
      <c r="I439" s="1" t="str">
        <f ca="1">IFERROR(__xludf.DUMMYFUNCTION("""COMPUTED_VALUE"""),"TARAS GENOVIEVO DE YONAROSA")</f>
        <v>TARAS GENOVIEVO DE YONAROSA</v>
      </c>
      <c r="J439" s="1" t="str">
        <f ca="1">IFERROR(__xludf.DUMMYFUNCTION("""COMPUTED_VALUE"""),"02511940000071")</f>
        <v>02511940000071</v>
      </c>
      <c r="K439" s="1" t="str">
        <f ca="1">IFERROR(__xludf.DUMMYFUNCTION("""COMPUTED_VALUE"""),"Departemen Teknik Material dan Metalurgi")</f>
        <v>Departemen Teknik Material dan Metalurgi</v>
      </c>
      <c r="L439" s="1" t="str">
        <f ca="1">IFERROR(__xludf.DUMMYFUNCTION("""COMPUTED_VALUE"""),"TITTANARA EKA P F ")</f>
        <v xml:space="preserve">TITTANARA EKA P F </v>
      </c>
      <c r="M439" s="1" t="str">
        <f ca="1">IFERROR(__xludf.DUMMYFUNCTION("""COMPUTED_VALUE"""),"5011211064")</f>
        <v>5011211064</v>
      </c>
      <c r="N439" s="1" t="str">
        <f ca="1">IFERROR(__xludf.DUMMYFUNCTION("""COMPUTED_VALUE"""),"Departemen Teknik Material dan Metalurgi")</f>
        <v>Departemen Teknik Material dan Metalurgi</v>
      </c>
      <c r="O439" s="1" t="str">
        <f ca="1">IFERROR(__xludf.DUMMYFUNCTION("""COMPUTED_VALUE"""),"Paundra Rizky Pratama")</f>
        <v>Paundra Rizky Pratama</v>
      </c>
      <c r="P439" s="1" t="str">
        <f ca="1">IFERROR(__xludf.DUMMYFUNCTION("""COMPUTED_VALUE"""),"02511940000021")</f>
        <v>02511940000021</v>
      </c>
      <c r="Q439" s="1" t="str">
        <f ca="1">IFERROR(__xludf.DUMMYFUNCTION("""COMPUTED_VALUE"""),"Departemen Teknik Material dan Metalurgi")</f>
        <v>Departemen Teknik Material dan Metalurgi</v>
      </c>
      <c r="R439" s="1"/>
      <c r="S439" s="1"/>
      <c r="T439" s="1"/>
      <c r="U439" s="1" t="str">
        <f ca="1">IFERROR(__xludf.DUMMYFUNCTION("""COMPUTED_VALUE"""),"Dr.-Ing. Doty Dewi Risanti, S.T., M.T.")</f>
        <v>Dr.-Ing. Doty Dewi Risanti, S.T., M.T.</v>
      </c>
      <c r="V439" s="1" t="str">
        <f ca="1">IFERROR(__xludf.DUMMYFUNCTION("""COMPUTED_VALUE"""),"Ir. Arino Anzip, M.Eng.Sc")</f>
        <v>Ir. Arino Anzip, M.Eng.Sc</v>
      </c>
      <c r="W439" s="1"/>
      <c r="X439" s="1" t="str">
        <f ca="1">IFERROR(__xludf.DUMMYFUNCTION("""COMPUTED_VALUE"""),"Lolos")</f>
        <v>Lolos</v>
      </c>
      <c r="Y439" s="1"/>
      <c r="Z439" s="1"/>
      <c r="AA439" s="1"/>
    </row>
    <row r="440" spans="1:27">
      <c r="A440" s="1" t="s">
        <v>434</v>
      </c>
      <c r="B440" s="1">
        <f ca="1">IFERROR(__xludf.DUMMYFUNCTION("""COMPUTED_VALUE"""),3146)</f>
        <v>3146</v>
      </c>
      <c r="C440" s="1" t="str">
        <f ca="1">IFERROR(__xludf.DUMMYFUNCTION("""COMPUTED_VALUE"""),"PKM Riset Eksakta")</f>
        <v>PKM Riset Eksakta</v>
      </c>
      <c r="D440" s="1" t="str">
        <f ca="1">IFERROR(__xludf.DUMMYFUNCTION("""COMPUTED_VALUE"""),"Sintesis Terner Komposit NH2-UiO-66/GO/ZnO-NPs sebagai Adsorben dan Fotokatalis Limbah Antibiotik Tetrasiklin")</f>
        <v>Sintesis Terner Komposit NH2-UiO-66/GO/ZnO-NPs sebagai Adsorben dan Fotokatalis Limbah Antibiotik Tetrasiklin</v>
      </c>
      <c r="E440" s="1" t="str">
        <f ca="1">IFERROR(__xludf.DUMMYFUNCTION("""COMPUTED_VALUE"""),"Miftahul Jannah")</f>
        <v>Miftahul Jannah</v>
      </c>
      <c r="F440" s="1" t="str">
        <f ca="1">IFERROR(__xludf.DUMMYFUNCTION("""COMPUTED_VALUE"""),"01211940000023")</f>
        <v>01211940000023</v>
      </c>
      <c r="G440" s="1" t="str">
        <f ca="1">IFERROR(__xludf.DUMMYFUNCTION("""COMPUTED_VALUE"""),"Departemen Kimia")</f>
        <v>Departemen Kimia</v>
      </c>
      <c r="H440" s="1" t="str">
        <f ca="1">IFERROR(__xludf.DUMMYFUNCTION("""COMPUTED_VALUE"""),"Dra. Ratna Ediati, MS., Ph.D.")</f>
        <v>Dra. Ratna Ediati, MS., Ph.D.</v>
      </c>
      <c r="I440" s="1" t="str">
        <f ca="1">IFERROR(__xludf.DUMMYFUNCTION("""COMPUTED_VALUE"""),"DENI SETIYAWATI")</f>
        <v>DENI SETIYAWATI</v>
      </c>
      <c r="J440" s="1" t="str">
        <f ca="1">IFERROR(__xludf.DUMMYFUNCTION("""COMPUTED_VALUE"""),"01211940000050")</f>
        <v>01211940000050</v>
      </c>
      <c r="K440" s="1" t="str">
        <f ca="1">IFERROR(__xludf.DUMMYFUNCTION("""COMPUTED_VALUE"""),"Departemen Kimia")</f>
        <v>Departemen Kimia</v>
      </c>
      <c r="L440" s="1" t="str">
        <f ca="1">IFERROR(__xludf.DUMMYFUNCTION("""COMPUTED_VALUE"""),"Bilghits Muhasivi")</f>
        <v>Bilghits Muhasivi</v>
      </c>
      <c r="M440" s="1" t="str">
        <f ca="1">IFERROR(__xludf.DUMMYFUNCTION("""COMPUTED_VALUE"""),"01211940000014")</f>
        <v>01211940000014</v>
      </c>
      <c r="N440" s="1" t="str">
        <f ca="1">IFERROR(__xludf.DUMMYFUNCTION("""COMPUTED_VALUE"""),"Departemen Kimia")</f>
        <v>Departemen Kimia</v>
      </c>
      <c r="O440" s="1" t="str">
        <f ca="1">IFERROR(__xludf.DUMMYFUNCTION("""COMPUTED_VALUE"""),"Muhammad Zidan Chisa Faqih")</f>
        <v>Muhammad Zidan Chisa Faqih</v>
      </c>
      <c r="P440" s="1" t="str">
        <f ca="1">IFERROR(__xludf.DUMMYFUNCTION("""COMPUTED_VALUE"""),"01211940000021")</f>
        <v>01211940000021</v>
      </c>
      <c r="Q440" s="1" t="str">
        <f ca="1">IFERROR(__xludf.DUMMYFUNCTION("""COMPUTED_VALUE"""),"Departemen Kimia")</f>
        <v>Departemen Kimia</v>
      </c>
      <c r="R440" s="1" t="str">
        <f ca="1">IFERROR(__xludf.DUMMYFUNCTION("""COMPUTED_VALUE"""),"AMALLIA SRI DHANINGSIH")</f>
        <v>AMALLIA SRI DHANINGSIH</v>
      </c>
      <c r="S440" s="1" t="str">
        <f ca="1">IFERROR(__xludf.DUMMYFUNCTION("""COMPUTED_VALUE"""),"5004201052")</f>
        <v>5004201052</v>
      </c>
      <c r="T440" s="1" t="str">
        <f ca="1">IFERROR(__xludf.DUMMYFUNCTION("""COMPUTED_VALUE"""),"Departemen Kimia")</f>
        <v>Departemen Kimia</v>
      </c>
      <c r="U440" s="1" t="str">
        <f ca="1">IFERROR(__xludf.DUMMYFUNCTION("""COMPUTED_VALUE"""),"Ahmad Fauzan Adziimaa, S.T., M.Sc.")</f>
        <v>Ahmad Fauzan Adziimaa, S.T., M.Sc.</v>
      </c>
      <c r="V440" s="1" t="str">
        <f ca="1">IFERROR(__xludf.DUMMYFUNCTION("""COMPUTED_VALUE"""),"Azzah Dyah Pramata, S.T., M.T., M.Eng., Ph.D.")</f>
        <v>Azzah Dyah Pramata, S.T., M.T., M.Eng., Ph.D.</v>
      </c>
      <c r="W440" s="1"/>
      <c r="X440" s="1" t="str">
        <f ca="1">IFERROR(__xludf.DUMMYFUNCTION("""COMPUTED_VALUE"""),"Lolos")</f>
        <v>Lolos</v>
      </c>
      <c r="Y440" s="1"/>
      <c r="Z440" s="1"/>
      <c r="AA440" s="1"/>
    </row>
    <row r="441" spans="1:27">
      <c r="A441" s="1" t="s">
        <v>435</v>
      </c>
      <c r="B441" s="1">
        <f ca="1">IFERROR(__xludf.DUMMYFUNCTION("""COMPUTED_VALUE"""),2314)</f>
        <v>2314</v>
      </c>
      <c r="C441" s="1" t="str">
        <f ca="1">IFERROR(__xludf.DUMMYFUNCTION("""COMPUTED_VALUE"""),"PKM Riset Eksakta")</f>
        <v>PKM Riset Eksakta</v>
      </c>
      <c r="D441" s="1" t="str">
        <f ca="1">IFERROR(__xludf.DUMMYFUNCTION("""COMPUTED_VALUE"""),"Modifikasi Coating Antimikroabial Pada Permukaan Implan Ti6Al4VELI Berbasis Kombinasi Hidroksiapatit Cangkang Rajungan dan Polycaprolactone")</f>
        <v>Modifikasi Coating Antimikroabial Pada Permukaan Implan Ti6Al4VELI Berbasis Kombinasi Hidroksiapatit Cangkang Rajungan dan Polycaprolactone</v>
      </c>
      <c r="E441" s="1" t="str">
        <f ca="1">IFERROR(__xludf.DUMMYFUNCTION("""COMPUTED_VALUE"""),"ADINDA LUTLYTA NAIFA NIBRAS")</f>
        <v>ADINDA LUTLYTA NAIFA NIBRAS</v>
      </c>
      <c r="F441" s="1" t="str">
        <f ca="1">IFERROR(__xludf.DUMMYFUNCTION("""COMPUTED_VALUE"""),"10411910000067")</f>
        <v>10411910000067</v>
      </c>
      <c r="G441" s="1" t="str">
        <f ca="1">IFERROR(__xludf.DUMMYFUNCTION("""COMPUTED_VALUE"""),"Departemen Teknik Kimia Industri")</f>
        <v>Departemen Teknik Kimia Industri</v>
      </c>
      <c r="H441" s="1" t="str">
        <f ca="1">IFERROR(__xludf.DUMMYFUNCTION("""COMPUTED_VALUE"""),"Dr. Eng. Eva Oktavia Ningrum, S.T., M.S.")</f>
        <v>Dr. Eng. Eva Oktavia Ningrum, S.T., M.S.</v>
      </c>
      <c r="I441" s="1" t="str">
        <f ca="1">IFERROR(__xludf.DUMMYFUNCTION("""COMPUTED_VALUE"""),"AJENG SUSANTI")</f>
        <v>AJENG SUSANTI</v>
      </c>
      <c r="J441" s="1" t="str">
        <f ca="1">IFERROR(__xludf.DUMMYFUNCTION("""COMPUTED_VALUE"""),"10411910000064")</f>
        <v>10411910000064</v>
      </c>
      <c r="K441" s="1" t="str">
        <f ca="1">IFERROR(__xludf.DUMMYFUNCTION("""COMPUTED_VALUE"""),"Departemen Teknik Kimia Industri")</f>
        <v>Departemen Teknik Kimia Industri</v>
      </c>
      <c r="L441" s="1" t="str">
        <f ca="1">IFERROR(__xludf.DUMMYFUNCTION("""COMPUTED_VALUE"""),"RYAN ANINDYA AFFAN")</f>
        <v>RYAN ANINDYA AFFAN</v>
      </c>
      <c r="M441" s="1" t="str">
        <f ca="1">IFERROR(__xludf.DUMMYFUNCTION("""COMPUTED_VALUE"""),"10411810000039")</f>
        <v>10411810000039</v>
      </c>
      <c r="N441" s="1" t="str">
        <f ca="1">IFERROR(__xludf.DUMMYFUNCTION("""COMPUTED_VALUE"""),"Departemen Teknik Kimia Industri")</f>
        <v>Departemen Teknik Kimia Industri</v>
      </c>
      <c r="O441" s="1" t="str">
        <f ca="1">IFERROR(__xludf.DUMMYFUNCTION("""COMPUTED_VALUE"""),"HANIFAH INAS NASTITI")</f>
        <v>HANIFAH INAS NASTITI</v>
      </c>
      <c r="P441" s="1" t="str">
        <f ca="1">IFERROR(__xludf.DUMMYFUNCTION("""COMPUTED_VALUE"""),"10411810000033")</f>
        <v>10411810000033</v>
      </c>
      <c r="Q441" s="1" t="str">
        <f ca="1">IFERROR(__xludf.DUMMYFUNCTION("""COMPUTED_VALUE"""),"Departemen Teknik Kimia Industri")</f>
        <v>Departemen Teknik Kimia Industri</v>
      </c>
      <c r="R441" s="1" t="str">
        <f ca="1">IFERROR(__xludf.DUMMYFUNCTION("""COMPUTED_VALUE"""),"PRADNYA PARAMITHA")</f>
        <v>PRADNYA PARAMITHA</v>
      </c>
      <c r="S441" s="1" t="str">
        <f ca="1">IFERROR(__xludf.DUMMYFUNCTION("""COMPUTED_VALUE"""),"2041201096")</f>
        <v>2041201096</v>
      </c>
      <c r="T441" s="1" t="str">
        <f ca="1">IFERROR(__xludf.DUMMYFUNCTION("""COMPUTED_VALUE"""),"Departemen Teknik Kimia Industri")</f>
        <v>Departemen Teknik Kimia Industri</v>
      </c>
      <c r="U441" s="1" t="str">
        <f ca="1">IFERROR(__xludf.DUMMYFUNCTION("""COMPUTED_VALUE"""),"Dr. Dhany Arifianto, S.T., M.Eng.")</f>
        <v>Dr. Dhany Arifianto, S.T., M.Eng.</v>
      </c>
      <c r="V441" s="1" t="str">
        <f ca="1">IFERROR(__xludf.DUMMYFUNCTION("""COMPUTED_VALUE"""),"Hamdan Dwi Rizqi, S.Si., M.Si.")</f>
        <v>Hamdan Dwi Rizqi, S.Si., M.Si.</v>
      </c>
      <c r="W441" s="1"/>
      <c r="X441" s="1" t="str">
        <f ca="1">IFERROR(__xludf.DUMMYFUNCTION("""COMPUTED_VALUE"""),"Lolos")</f>
        <v>Lolos</v>
      </c>
      <c r="Y441" s="1"/>
      <c r="Z441" s="1"/>
      <c r="AA441" s="1"/>
    </row>
    <row r="442" spans="1:27">
      <c r="A442" s="1" t="s">
        <v>436</v>
      </c>
      <c r="B442" s="1">
        <f ca="1">IFERROR(__xludf.DUMMYFUNCTION("""COMPUTED_VALUE"""),4113)</f>
        <v>4113</v>
      </c>
      <c r="C442" s="1" t="str">
        <f ca="1">IFERROR(__xludf.DUMMYFUNCTION("""COMPUTED_VALUE"""),"PKM Riset Eksakta")</f>
        <v>PKM Riset Eksakta</v>
      </c>
      <c r="D442" s="1" t="str">
        <f ca="1">IFERROR(__xludf.DUMMYFUNCTION("""COMPUTED_VALUE"""),"Optimalisasi Karakteristik Edible Film Menggunakan Pektin Kulit Labu Siam dan Campuran Albumin-Kasein sebagai Bahan Kemasan Makanan yang Ramah Lingkungan")</f>
        <v>Optimalisasi Karakteristik Edible Film Menggunakan Pektin Kulit Labu Siam dan Campuran Albumin-Kasein sebagai Bahan Kemasan Makanan yang Ramah Lingkungan</v>
      </c>
      <c r="E442" s="1" t="str">
        <f ca="1">IFERROR(__xludf.DUMMYFUNCTION("""COMPUTED_VALUE"""),"RAFI SURYA GHANI")</f>
        <v>RAFI SURYA GHANI</v>
      </c>
      <c r="F442" s="1" t="str">
        <f ca="1">IFERROR(__xludf.DUMMYFUNCTION("""COMPUTED_VALUE"""),"5009201018")</f>
        <v>5009201018</v>
      </c>
      <c r="G442" s="1" t="str">
        <f ca="1">IFERROR(__xludf.DUMMYFUNCTION("""COMPUTED_VALUE"""),"Departemen Teknik Fisika")</f>
        <v>Departemen Teknik Fisika</v>
      </c>
      <c r="H442" s="1" t="str">
        <f ca="1">IFERROR(__xludf.DUMMYFUNCTION("""COMPUTED_VALUE"""),"Dyah Sawitri, S.T., M.T.")</f>
        <v>Dyah Sawitri, S.T., M.T.</v>
      </c>
      <c r="I442" s="1" t="str">
        <f ca="1">IFERROR(__xludf.DUMMYFUNCTION("""COMPUTED_VALUE"""),"MOCHAMAD HELMI ZUKHRUF")</f>
        <v>MOCHAMAD HELMI ZUKHRUF</v>
      </c>
      <c r="J442" s="1" t="str">
        <f ca="1">IFERROR(__xludf.DUMMYFUNCTION("""COMPUTED_VALUE"""),"5009201024")</f>
        <v>5009201024</v>
      </c>
      <c r="K442" s="1" t="str">
        <f ca="1">IFERROR(__xludf.DUMMYFUNCTION("""COMPUTED_VALUE"""),"Departemen Teknik Fisika")</f>
        <v>Departemen Teknik Fisika</v>
      </c>
      <c r="L442" s="1" t="str">
        <f ca="1">IFERROR(__xludf.DUMMYFUNCTION("""COMPUTED_VALUE"""),"SHEREN MARSHA SAFIRA")</f>
        <v>SHEREN MARSHA SAFIRA</v>
      </c>
      <c r="M442" s="1" t="str">
        <f ca="1">IFERROR(__xludf.DUMMYFUNCTION("""COMPUTED_VALUE"""),"5009201179")</f>
        <v>5009201179</v>
      </c>
      <c r="N442" s="1" t="str">
        <f ca="1">IFERROR(__xludf.DUMMYFUNCTION("""COMPUTED_VALUE"""),"Departemen Teknik Fisika")</f>
        <v>Departemen Teknik Fisika</v>
      </c>
      <c r="O442" s="1" t="str">
        <f ca="1">IFERROR(__xludf.DUMMYFUNCTION("""COMPUTED_VALUE"""),"ELSY FITRI YUSANAVARA")</f>
        <v>ELSY FITRI YUSANAVARA</v>
      </c>
      <c r="P442" s="1" t="str">
        <f ca="1">IFERROR(__xludf.DUMMYFUNCTION("""COMPUTED_VALUE"""),"5008201009")</f>
        <v>5008201009</v>
      </c>
      <c r="Q442" s="1" t="str">
        <f ca="1">IFERROR(__xludf.DUMMYFUNCTION("""COMPUTED_VALUE"""),"Departemen Teknik Kimia")</f>
        <v>Departemen Teknik Kimia</v>
      </c>
      <c r="R442" s="1" t="str">
        <f ca="1">IFERROR(__xludf.DUMMYFUNCTION("""COMPUTED_VALUE"""),"Paundra Rizky Pratama")</f>
        <v>Paundra Rizky Pratama</v>
      </c>
      <c r="S442" s="1" t="str">
        <f ca="1">IFERROR(__xludf.DUMMYFUNCTION("""COMPUTED_VALUE"""),"02511940000021")</f>
        <v>02511940000021</v>
      </c>
      <c r="T442" s="1" t="str">
        <f ca="1">IFERROR(__xludf.DUMMYFUNCTION("""COMPUTED_VALUE"""),"Departemen Teknik Material dan Metalurgi")</f>
        <v>Departemen Teknik Material dan Metalurgi</v>
      </c>
      <c r="U442" s="1" t="str">
        <f ca="1">IFERROR(__xludf.DUMMYFUNCTION("""COMPUTED_VALUE"""),"Dr. Awik Puji Dyah Nurhayati, S.Si., M.Si.")</f>
        <v>Dr. Awik Puji Dyah Nurhayati, S.Si., M.Si.</v>
      </c>
      <c r="V442" s="1" t="str">
        <f ca="1">IFERROR(__xludf.DUMMYFUNCTION("""COMPUTED_VALUE"""),"Sena Safarina , S.Si., M.Sc., D.Sc")</f>
        <v>Sena Safarina , S.Si., M.Sc., D.Sc</v>
      </c>
      <c r="W442" s="1"/>
      <c r="X442" s="1" t="str">
        <f ca="1">IFERROR(__xludf.DUMMYFUNCTION("""COMPUTED_VALUE"""),"Lolos")</f>
        <v>Lolos</v>
      </c>
      <c r="Y442" s="1"/>
      <c r="Z442" s="1"/>
      <c r="AA442" s="1"/>
    </row>
    <row r="443" spans="1:27">
      <c r="A443" s="1" t="s">
        <v>437</v>
      </c>
      <c r="B443" s="1">
        <f ca="1">IFERROR(__xludf.DUMMYFUNCTION("""COMPUTED_VALUE"""),2321)</f>
        <v>2321</v>
      </c>
      <c r="C443" s="1" t="str">
        <f ca="1">IFERROR(__xludf.DUMMYFUNCTION("""COMPUTED_VALUE"""),"PKM Riset Eksakta")</f>
        <v>PKM Riset Eksakta</v>
      </c>
      <c r="D443" s="1" t="str">
        <f ca="1">IFERROR(__xludf.DUMMYFUNCTION("""COMPUTED_VALUE"""),"Analisis Spasial Daerah Rawan Gempa di Kabupaten Sukabumi Berdasarkan Hasil Assessment Risiko Gempa Menggunakan Metode Fuzzy Logic")</f>
        <v>Analisis Spasial Daerah Rawan Gempa di Kabupaten Sukabumi Berdasarkan Hasil Assessment Risiko Gempa Menggunakan Metode Fuzzy Logic</v>
      </c>
      <c r="E443" s="1" t="str">
        <f ca="1">IFERROR(__xludf.DUMMYFUNCTION("""COMPUTED_VALUE"""),"ZAHROTUTS TSANIYAH")</f>
        <v>ZAHROTUTS TSANIYAH</v>
      </c>
      <c r="F443" s="1" t="str">
        <f ca="1">IFERROR(__xludf.DUMMYFUNCTION("""COMPUTED_VALUE"""),"03411940000033")</f>
        <v>03411940000033</v>
      </c>
      <c r="G443" s="1" t="str">
        <f ca="1">IFERROR(__xludf.DUMMYFUNCTION("""COMPUTED_VALUE"""),"Departemen Teknik Geofisika")</f>
        <v>Departemen Teknik Geofisika</v>
      </c>
      <c r="H443" s="1" t="str">
        <f ca="1">IFERROR(__xludf.DUMMYFUNCTION("""COMPUTED_VALUE"""),"Dr. Ir. Amien Widodo, M.Si.")</f>
        <v>Dr. Ir. Amien Widodo, M.Si.</v>
      </c>
      <c r="I443" s="1" t="str">
        <f ca="1">IFERROR(__xludf.DUMMYFUNCTION("""COMPUTED_VALUE"""),"Khusnul Nur Rochmah")</f>
        <v>Khusnul Nur Rochmah</v>
      </c>
      <c r="J443" s="1" t="str">
        <f ca="1">IFERROR(__xludf.DUMMYFUNCTION("""COMPUTED_VALUE"""),"03411940000008")</f>
        <v>03411940000008</v>
      </c>
      <c r="K443" s="1" t="str">
        <f ca="1">IFERROR(__xludf.DUMMYFUNCTION("""COMPUTED_VALUE"""),"Departemen Teknik Geofisika")</f>
        <v>Departemen Teknik Geofisika</v>
      </c>
      <c r="L443" s="1" t="str">
        <f ca="1">IFERROR(__xludf.DUMMYFUNCTION("""COMPUTED_VALUE"""),"FERDIAN YOGA ADITAMA")</f>
        <v>FERDIAN YOGA ADITAMA</v>
      </c>
      <c r="M443" s="1" t="str">
        <f ca="1">IFERROR(__xludf.DUMMYFUNCTION("""COMPUTED_VALUE"""),"03411940000034")</f>
        <v>03411940000034</v>
      </c>
      <c r="N443" s="1" t="str">
        <f ca="1">IFERROR(__xludf.DUMMYFUNCTION("""COMPUTED_VALUE"""),"Departemen Teknik Geofisika")</f>
        <v>Departemen Teknik Geofisika</v>
      </c>
      <c r="O443" s="1" t="str">
        <f ca="1">IFERROR(__xludf.DUMMYFUNCTION("""COMPUTED_VALUE"""),"BENEDICTUS DICKY PRADNYA AGUNG PRAMUDHITA")</f>
        <v>BENEDICTUS DICKY PRADNYA AGUNG PRAMUDHITA</v>
      </c>
      <c r="P443" s="1" t="str">
        <f ca="1">IFERROR(__xludf.DUMMYFUNCTION("""COMPUTED_VALUE"""),"03411840000050")</f>
        <v>03411840000050</v>
      </c>
      <c r="Q443" s="1" t="str">
        <f ca="1">IFERROR(__xludf.DUMMYFUNCTION("""COMPUTED_VALUE"""),"Departemen Teknik Geofisika")</f>
        <v>Departemen Teknik Geofisika</v>
      </c>
      <c r="R443" s="1" t="str">
        <f ca="1">IFERROR(__xludf.DUMMYFUNCTION("""COMPUTED_VALUE"""),"Zahratun Nisa")</f>
        <v>Zahratun Nisa</v>
      </c>
      <c r="S443" s="1" t="str">
        <f ca="1">IFERROR(__xludf.DUMMYFUNCTION("""COMPUTED_VALUE"""),"08211940000030")</f>
        <v>08211940000030</v>
      </c>
      <c r="T443" s="1" t="str">
        <f ca="1">IFERROR(__xludf.DUMMYFUNCTION("""COMPUTED_VALUE"""),"Departemen Perencanaan Wilayah dan Kota")</f>
        <v>Departemen Perencanaan Wilayah dan Kota</v>
      </c>
      <c r="U443" s="1" t="str">
        <f ca="1">IFERROR(__xludf.DUMMYFUNCTION("""COMPUTED_VALUE"""),"Dr. Dhany Arifianto, S.T., M.Eng.")</f>
        <v>Dr. Dhany Arifianto, S.T., M.Eng.</v>
      </c>
      <c r="V443" s="1" t="str">
        <f ca="1">IFERROR(__xludf.DUMMYFUNCTION("""COMPUTED_VALUE"""),"Dra. Ratna Ediati, MS., Ph.D.")</f>
        <v>Dra. Ratna Ediati, MS., Ph.D.</v>
      </c>
      <c r="W443" s="1"/>
      <c r="X443" s="1" t="str">
        <f ca="1">IFERROR(__xludf.DUMMYFUNCTION("""COMPUTED_VALUE"""),"Lolos")</f>
        <v>Lolos</v>
      </c>
      <c r="Y443" s="1"/>
      <c r="Z443" s="1"/>
      <c r="AA443" s="1"/>
    </row>
    <row r="444" spans="1:27">
      <c r="A444" s="1" t="s">
        <v>438</v>
      </c>
      <c r="B444" s="1">
        <f ca="1">IFERROR(__xludf.DUMMYFUNCTION("""COMPUTED_VALUE"""),3578)</f>
        <v>3578</v>
      </c>
      <c r="C444" s="1" t="str">
        <f ca="1">IFERROR(__xludf.DUMMYFUNCTION("""COMPUTED_VALUE"""),"PKM Riset Eksakta")</f>
        <v>PKM Riset Eksakta</v>
      </c>
      <c r="D444" s="1" t="str">
        <f ca="1">IFERROR(__xludf.DUMMYFUNCTION("""COMPUTED_VALUE"""),"Sintesis Mesoporous Silica Nanoparticles (MSN) Termodifikasi Hidrazon sebagai Material Penghantar Doxorubicin terhadap Sel Kanker Hati Huh7it")</f>
        <v>Sintesis Mesoporous Silica Nanoparticles (MSN) Termodifikasi Hidrazon sebagai Material Penghantar Doxorubicin terhadap Sel Kanker Hati Huh7it</v>
      </c>
      <c r="E444" s="1" t="str">
        <f ca="1">IFERROR(__xludf.DUMMYFUNCTION("""COMPUTED_VALUE"""),"MOCH. NURHASAN")</f>
        <v>MOCH. NURHASAN</v>
      </c>
      <c r="F444" s="1" t="str">
        <f ca="1">IFERROR(__xludf.DUMMYFUNCTION("""COMPUTED_VALUE"""),"01211940000040")</f>
        <v>01211940000040</v>
      </c>
      <c r="G444" s="1" t="str">
        <f ca="1">IFERROR(__xludf.DUMMYFUNCTION("""COMPUTED_VALUE"""),"Departemen Kimia")</f>
        <v>Departemen Kimia</v>
      </c>
      <c r="H444" s="1" t="str">
        <f ca="1">IFERROR(__xludf.DUMMYFUNCTION("""COMPUTED_VALUE"""),"Arif Fadlan, S.Si., M.Si., D.Sc")</f>
        <v>Arif Fadlan, S.Si., M.Si., D.Sc</v>
      </c>
      <c r="I444" s="1" t="str">
        <f ca="1">IFERROR(__xludf.DUMMYFUNCTION("""COMPUTED_VALUE"""),"Dias Nur Arista")</f>
        <v>Dias Nur Arista</v>
      </c>
      <c r="J444" s="1" t="str">
        <f ca="1">IFERROR(__xludf.DUMMYFUNCTION("""COMPUTED_VALUE"""),"01211940000028")</f>
        <v>01211940000028</v>
      </c>
      <c r="K444" s="1" t="str">
        <f ca="1">IFERROR(__xludf.DUMMYFUNCTION("""COMPUTED_VALUE"""),"Departemen Kimia")</f>
        <v>Departemen Kimia</v>
      </c>
      <c r="L444" s="1" t="str">
        <f ca="1">IFERROR(__xludf.DUMMYFUNCTION("""COMPUTED_VALUE"""),"NUR RAHMAYANTI AFFIFAH")</f>
        <v>NUR RAHMAYANTI AFFIFAH</v>
      </c>
      <c r="M444" s="1" t="str">
        <f ca="1">IFERROR(__xludf.DUMMYFUNCTION("""COMPUTED_VALUE"""),"01211940000052")</f>
        <v>01211940000052</v>
      </c>
      <c r="N444" s="1" t="str">
        <f ca="1">IFERROR(__xludf.DUMMYFUNCTION("""COMPUTED_VALUE"""),"Departemen Kimia")</f>
        <v>Departemen Kimia</v>
      </c>
      <c r="O444" s="1" t="str">
        <f ca="1">IFERROR(__xludf.DUMMYFUNCTION("""COMPUTED_VALUE"""),"FAJAR NURHARYADI DWIYONO")</f>
        <v>FAJAR NURHARYADI DWIYONO</v>
      </c>
      <c r="P444" s="1" t="str">
        <f ca="1">IFERROR(__xludf.DUMMYFUNCTION("""COMPUTED_VALUE"""),"01211940000039")</f>
        <v>01211940000039</v>
      </c>
      <c r="Q444" s="1" t="str">
        <f ca="1">IFERROR(__xludf.DUMMYFUNCTION("""COMPUTED_VALUE"""),"Departemen Kimia")</f>
        <v>Departemen Kimia</v>
      </c>
      <c r="R444" s="1"/>
      <c r="S444" s="1"/>
      <c r="T444" s="1"/>
      <c r="U444" s="1" t="str">
        <f ca="1">IFERROR(__xludf.DUMMYFUNCTION("""COMPUTED_VALUE"""),"Dr.-Ing. Doty Dewi Risanti, S.T., M.T.")</f>
        <v>Dr.-Ing. Doty Dewi Risanti, S.T., M.T.</v>
      </c>
      <c r="V444" s="1" t="str">
        <f ca="1">IFERROR(__xludf.DUMMYFUNCTION("""COMPUTED_VALUE"""),"Annas Wiguno, S.T., M.T.")</f>
        <v>Annas Wiguno, S.T., M.T.</v>
      </c>
      <c r="W444" s="1"/>
      <c r="X444" s="1" t="str">
        <f ca="1">IFERROR(__xludf.DUMMYFUNCTION("""COMPUTED_VALUE"""),"Lolos")</f>
        <v>Lolos</v>
      </c>
      <c r="Y444" s="1"/>
      <c r="Z444" s="1"/>
      <c r="AA444" s="1"/>
    </row>
    <row r="445" spans="1:27">
      <c r="A445" s="1" t="s">
        <v>439</v>
      </c>
      <c r="B445" s="1">
        <f ca="1">IFERROR(__xludf.DUMMYFUNCTION("""COMPUTED_VALUE"""),2584)</f>
        <v>2584</v>
      </c>
      <c r="C445" s="1" t="str">
        <f ca="1">IFERROR(__xludf.DUMMYFUNCTION("""COMPUTED_VALUE"""),"PKM Riset Eksakta")</f>
        <v>PKM Riset Eksakta</v>
      </c>
      <c r="D445" s="1" t="str">
        <f ca="1">IFERROR(__xludf.DUMMYFUNCTION("""COMPUTED_VALUE"""),"Studi Eksperimental Material Hybrid Rubber-Serbuk Batok Kelapa terhadap Laju Keausan Ban Mecanum pada Kursi Roda untuk Meningkatkan Umur Pakainya.")</f>
        <v>Studi Eksperimental Material Hybrid Rubber-Serbuk Batok Kelapa terhadap Laju Keausan Ban Mecanum pada Kursi Roda untuk Meningkatkan Umur Pakainya.</v>
      </c>
      <c r="E445" s="1" t="str">
        <f ca="1">IFERROR(__xludf.DUMMYFUNCTION("""COMPUTED_VALUE"""),"MARCELLINO EFFELINUS")</f>
        <v>MARCELLINO EFFELINUS</v>
      </c>
      <c r="F445" s="1" t="str">
        <f ca="1">IFERROR(__xludf.DUMMYFUNCTION("""COMPUTED_VALUE"""),"5007201080")</f>
        <v>5007201080</v>
      </c>
      <c r="G445" s="1" t="str">
        <f ca="1">IFERROR(__xludf.DUMMYFUNCTION("""COMPUTED_VALUE"""),"Departemen Teknik Mesin")</f>
        <v>Departemen Teknik Mesin</v>
      </c>
      <c r="H445" s="1" t="str">
        <f ca="1">IFERROR(__xludf.DUMMYFUNCTION("""COMPUTED_VALUE"""),"Dr.Eng. Yohanes, S.T., M.Sc.")</f>
        <v>Dr.Eng. Yohanes, S.T., M.Sc.</v>
      </c>
      <c r="I445" s="1" t="str">
        <f ca="1">IFERROR(__xludf.DUMMYFUNCTION("""COMPUTED_VALUE"""),"KEZIA ANANDITA CAHYONO")</f>
        <v>KEZIA ANANDITA CAHYONO</v>
      </c>
      <c r="J445" s="1" t="str">
        <f ca="1">IFERROR(__xludf.DUMMYFUNCTION("""COMPUTED_VALUE"""),"5007201022")</f>
        <v>5007201022</v>
      </c>
      <c r="K445" s="1" t="str">
        <f ca="1">IFERROR(__xludf.DUMMYFUNCTION("""COMPUTED_VALUE"""),"Departemen Teknik Mesin")</f>
        <v>Departemen Teknik Mesin</v>
      </c>
      <c r="L445" s="1" t="str">
        <f ca="1">IFERROR(__xludf.DUMMYFUNCTION("""COMPUTED_VALUE"""),"RAYMOND ADINATA GUNAWAN")</f>
        <v>RAYMOND ADINATA GUNAWAN</v>
      </c>
      <c r="M445" s="1" t="str">
        <f ca="1">IFERROR(__xludf.DUMMYFUNCTION("""COMPUTED_VALUE"""),"5007201138")</f>
        <v>5007201138</v>
      </c>
      <c r="N445" s="1" t="str">
        <f ca="1">IFERROR(__xludf.DUMMYFUNCTION("""COMPUTED_VALUE"""),"Departemen Teknik Mesin")</f>
        <v>Departemen Teknik Mesin</v>
      </c>
      <c r="O445" s="1" t="str">
        <f ca="1">IFERROR(__xludf.DUMMYFUNCTION("""COMPUTED_VALUE"""),"FILDZAN MAURIZ LUTVAN")</f>
        <v>FILDZAN MAURIZ LUTVAN</v>
      </c>
      <c r="P445" s="1" t="str">
        <f ca="1">IFERROR(__xludf.DUMMYFUNCTION("""COMPUTED_VALUE"""),"5007201226")</f>
        <v>5007201226</v>
      </c>
      <c r="Q445" s="1" t="str">
        <f ca="1">IFERROR(__xludf.DUMMYFUNCTION("""COMPUTED_VALUE"""),"Departemen Teknik Mesin")</f>
        <v>Departemen Teknik Mesin</v>
      </c>
      <c r="R445" s="1"/>
      <c r="S445" s="1"/>
      <c r="T445" s="1"/>
      <c r="U445" s="1" t="str">
        <f ca="1">IFERROR(__xludf.DUMMYFUNCTION("""COMPUTED_VALUE"""),"Ahmad Fauzan Adziimaa, S.T., M.Sc.")</f>
        <v>Ahmad Fauzan Adziimaa, S.T., M.Sc.</v>
      </c>
      <c r="V445" s="1" t="str">
        <f ca="1">IFERROR(__xludf.DUMMYFUNCTION("""COMPUTED_VALUE"""),"Azzah Dyah Pramata, S.T., M.T., M.Eng., Ph.D.")</f>
        <v>Azzah Dyah Pramata, S.T., M.T., M.Eng., Ph.D.</v>
      </c>
      <c r="W445" s="1"/>
      <c r="X445" s="1" t="str">
        <f ca="1">IFERROR(__xludf.DUMMYFUNCTION("""COMPUTED_VALUE"""),"Lolos")</f>
        <v>Lolos</v>
      </c>
      <c r="Y445" s="1"/>
      <c r="Z445" s="1"/>
      <c r="AA445" s="1"/>
    </row>
    <row r="446" spans="1:27">
      <c r="A446" s="1" t="s">
        <v>440</v>
      </c>
      <c r="B446" s="1">
        <f ca="1">IFERROR(__xludf.DUMMYFUNCTION("""COMPUTED_VALUE"""),2560)</f>
        <v>2560</v>
      </c>
      <c r="C446" s="1" t="str">
        <f ca="1">IFERROR(__xludf.DUMMYFUNCTION("""COMPUTED_VALUE"""),"PKM Riset Eksakta")</f>
        <v>PKM Riset Eksakta</v>
      </c>
      <c r="D446" s="1" t="str">
        <f ca="1">IFERROR(__xludf.DUMMYFUNCTION("""COMPUTED_VALUE"""),"PEMISAHAN ETHANOL DENGAN BANTUAN BIOLOGICAL BUFFER SEBAGAI GREEN AUXILIARY AGENT DENGAN METODE EKSTRAKSI CAIR-CAIR")</f>
        <v>PEMISAHAN ETHANOL DENGAN BANTUAN BIOLOGICAL BUFFER SEBAGAI GREEN AUXILIARY AGENT DENGAN METODE EKSTRAKSI CAIR-CAIR</v>
      </c>
      <c r="E446" s="1" t="str">
        <f ca="1">IFERROR(__xludf.DUMMYFUNCTION("""COMPUTED_VALUE"""),"UNIEKA MIROATUL INSANA")</f>
        <v>UNIEKA MIROATUL INSANA</v>
      </c>
      <c r="F446" s="1" t="str">
        <f ca="1">IFERROR(__xludf.DUMMYFUNCTION("""COMPUTED_VALUE"""),"10411910000058")</f>
        <v>10411910000058</v>
      </c>
      <c r="G446" s="1" t="str">
        <f ca="1">IFERROR(__xludf.DUMMYFUNCTION("""COMPUTED_VALUE"""),"Departemen Teknik Kimia Industri")</f>
        <v>Departemen Teknik Kimia Industri</v>
      </c>
      <c r="H446" s="1" t="str">
        <f ca="1">IFERROR(__xludf.DUMMYFUNCTION("""COMPUTED_VALUE"""),"Saidah Altway, S.T., M.T.")</f>
        <v>Saidah Altway, S.T., M.T.</v>
      </c>
      <c r="I446" s="1" t="str">
        <f ca="1">IFERROR(__xludf.DUMMYFUNCTION("""COMPUTED_VALUE"""),"ANGGIT ASTUNGKARASATYAS")</f>
        <v>ANGGIT ASTUNGKARASATYAS</v>
      </c>
      <c r="J446" s="1" t="str">
        <f ca="1">IFERROR(__xludf.DUMMYFUNCTION("""COMPUTED_VALUE"""),"10411910000022")</f>
        <v>10411910000022</v>
      </c>
      <c r="K446" s="1" t="str">
        <f ca="1">IFERROR(__xludf.DUMMYFUNCTION("""COMPUTED_VALUE"""),"Departemen Teknik Kimia Industri")</f>
        <v>Departemen Teknik Kimia Industri</v>
      </c>
      <c r="L446" s="1" t="str">
        <f ca="1">IFERROR(__xludf.DUMMYFUNCTION("""COMPUTED_VALUE"""),"JIHAD AKBAR HADRANI")</f>
        <v>JIHAD AKBAR HADRANI</v>
      </c>
      <c r="M446" s="1" t="str">
        <f ca="1">IFERROR(__xludf.DUMMYFUNCTION("""COMPUTED_VALUE"""),"2041201031")</f>
        <v>2041201031</v>
      </c>
      <c r="N446" s="1" t="str">
        <f ca="1">IFERROR(__xludf.DUMMYFUNCTION("""COMPUTED_VALUE"""),"Departemen Teknik Kimia Industri")</f>
        <v>Departemen Teknik Kimia Industri</v>
      </c>
      <c r="O446" s="1"/>
      <c r="P446" s="1"/>
      <c r="Q446" s="1"/>
      <c r="R446" s="1"/>
      <c r="S446" s="1"/>
      <c r="T446" s="1"/>
      <c r="U446" s="1" t="str">
        <f ca="1">IFERROR(__xludf.DUMMYFUNCTION("""COMPUTED_VALUE"""),"Ahmad Fauzan Adziimaa, S.T., M.Sc.")</f>
        <v>Ahmad Fauzan Adziimaa, S.T., M.Sc.</v>
      </c>
      <c r="V446" s="1" t="str">
        <f ca="1">IFERROR(__xludf.DUMMYFUNCTION("""COMPUTED_VALUE"""),"Azzah Dyah Pramata, S.T., M.T., M.Eng., Ph.D.")</f>
        <v>Azzah Dyah Pramata, S.T., M.T., M.Eng., Ph.D.</v>
      </c>
      <c r="W446" s="1"/>
      <c r="X446" s="1" t="str">
        <f ca="1">IFERROR(__xludf.DUMMYFUNCTION("""COMPUTED_VALUE"""),"Lolos")</f>
        <v>Lolos</v>
      </c>
      <c r="Y446" s="1"/>
      <c r="Z446" s="1"/>
      <c r="AA446" s="1"/>
    </row>
    <row r="447" spans="1:27">
      <c r="A447" s="1" t="s">
        <v>441</v>
      </c>
      <c r="B447" s="1">
        <f ca="1">IFERROR(__xludf.DUMMYFUNCTION("""COMPUTED_VALUE"""),3348)</f>
        <v>3348</v>
      </c>
      <c r="C447" s="1" t="str">
        <f ca="1">IFERROR(__xludf.DUMMYFUNCTION("""COMPUTED_VALUE"""),"PKM Riset Eksakta")</f>
        <v>PKM Riset Eksakta</v>
      </c>
      <c r="D447" s="1" t="str">
        <f ca="1">IFERROR(__xludf.DUMMYFUNCTION("""COMPUTED_VALUE"""),"Pengembangan Imidazol Tergeranilasi dan Terprenilasi sebagai Agen Antibakteri Baru dalam Upaya Mengurangi Bahaya Antibiotik")</f>
        <v>Pengembangan Imidazol Tergeranilasi dan Terprenilasi sebagai Agen Antibakteri Baru dalam Upaya Mengurangi Bahaya Antibiotik</v>
      </c>
      <c r="E447" s="1" t="str">
        <f ca="1">IFERROR(__xludf.DUMMYFUNCTION("""COMPUTED_VALUE"""),"REYNAL RESTU AFFANDI")</f>
        <v>REYNAL RESTU AFFANDI</v>
      </c>
      <c r="F447" s="1" t="str">
        <f ca="1">IFERROR(__xludf.DUMMYFUNCTION("""COMPUTED_VALUE"""),"01211940000056")</f>
        <v>01211940000056</v>
      </c>
      <c r="G447" s="1" t="str">
        <f ca="1">IFERROR(__xludf.DUMMYFUNCTION("""COMPUTED_VALUE"""),"Departemen Kimia")</f>
        <v>Departemen Kimia</v>
      </c>
      <c r="H447" s="1" t="str">
        <f ca="1">IFERROR(__xludf.DUMMYFUNCTION("""COMPUTED_VALUE"""),"Arif Fadlan, S.Si., M.Si., D.Sc")</f>
        <v>Arif Fadlan, S.Si., M.Si., D.Sc</v>
      </c>
      <c r="I447" s="1" t="str">
        <f ca="1">IFERROR(__xludf.DUMMYFUNCTION("""COMPUTED_VALUE"""),"Adinda Fitria Hidayati")</f>
        <v>Adinda Fitria Hidayati</v>
      </c>
      <c r="J447" s="1" t="str">
        <f ca="1">IFERROR(__xludf.DUMMYFUNCTION("""COMPUTED_VALUE"""),"01211940000012")</f>
        <v>01211940000012</v>
      </c>
      <c r="K447" s="1" t="str">
        <f ca="1">IFERROR(__xludf.DUMMYFUNCTION("""COMPUTED_VALUE"""),"Departemen Kimia")</f>
        <v>Departemen Kimia</v>
      </c>
      <c r="L447" s="1" t="str">
        <f ca="1">IFERROR(__xludf.DUMMYFUNCTION("""COMPUTED_VALUE"""),"Binti Ainiatur Rohmah")</f>
        <v>Binti Ainiatur Rohmah</v>
      </c>
      <c r="M447" s="1" t="str">
        <f ca="1">IFERROR(__xludf.DUMMYFUNCTION("""COMPUTED_VALUE"""),"01211940000033")</f>
        <v>01211940000033</v>
      </c>
      <c r="N447" s="1" t="str">
        <f ca="1">IFERROR(__xludf.DUMMYFUNCTION("""COMPUTED_VALUE"""),"Departemen Kimia")</f>
        <v>Departemen Kimia</v>
      </c>
      <c r="O447" s="1" t="str">
        <f ca="1">IFERROR(__xludf.DUMMYFUNCTION("""COMPUTED_VALUE"""),"Winda Seviani")</f>
        <v>Winda Seviani</v>
      </c>
      <c r="P447" s="1" t="str">
        <f ca="1">IFERROR(__xludf.DUMMYFUNCTION("""COMPUTED_VALUE"""),"01211940000018")</f>
        <v>01211940000018</v>
      </c>
      <c r="Q447" s="1" t="str">
        <f ca="1">IFERROR(__xludf.DUMMYFUNCTION("""COMPUTED_VALUE"""),"Departemen Kimia")</f>
        <v>Departemen Kimia</v>
      </c>
      <c r="R447" s="1"/>
      <c r="S447" s="1"/>
      <c r="T447" s="1"/>
      <c r="U447" s="1" t="str">
        <f ca="1">IFERROR(__xludf.DUMMYFUNCTION("""COMPUTED_VALUE"""),"Ahmad Fauzan Adziimaa, S.T., M.Sc.")</f>
        <v>Ahmad Fauzan Adziimaa, S.T., M.Sc.</v>
      </c>
      <c r="V447" s="1" t="str">
        <f ca="1">IFERROR(__xludf.DUMMYFUNCTION("""COMPUTED_VALUE"""),"Muhammad Syifaul Mufid, S.Si.,M.Si")</f>
        <v>Muhammad Syifaul Mufid, S.Si.,M.Si</v>
      </c>
      <c r="W447" s="1"/>
      <c r="X447" s="1" t="str">
        <f ca="1">IFERROR(__xludf.DUMMYFUNCTION("""COMPUTED_VALUE"""),"Lolos")</f>
        <v>Lolos</v>
      </c>
      <c r="Y447" s="1"/>
      <c r="Z447" s="1"/>
      <c r="AA447" s="1"/>
    </row>
    <row r="448" spans="1:27">
      <c r="A448" s="1" t="s">
        <v>442</v>
      </c>
      <c r="B448" s="1">
        <f ca="1">IFERROR(__xludf.DUMMYFUNCTION("""COMPUTED_VALUE"""),2522)</f>
        <v>2522</v>
      </c>
      <c r="C448" s="1" t="str">
        <f ca="1">IFERROR(__xludf.DUMMYFUNCTION("""COMPUTED_VALUE"""),"PKM Riset Eksakta")</f>
        <v>PKM Riset Eksakta</v>
      </c>
      <c r="D448" s="1" t="str">
        <f ca="1">IFERROR(__xludf.DUMMYFUNCTION("""COMPUTED_VALUE"""),"Sintesis Sulphur-Phosporus-Doped Porous Carbon dari Limbah Surgical Mask untuk Aplikasi Superkapasitor")</f>
        <v>Sintesis Sulphur-Phosporus-Doped Porous Carbon dari Limbah Surgical Mask untuk Aplikasi Superkapasitor</v>
      </c>
      <c r="E448" s="1" t="str">
        <f ca="1">IFERROR(__xludf.DUMMYFUNCTION("""COMPUTED_VALUE"""),"NABILA FIRDAUSI NUZULA")</f>
        <v>NABILA FIRDAUSI NUZULA</v>
      </c>
      <c r="F448" s="1" t="str">
        <f ca="1">IFERROR(__xludf.DUMMYFUNCTION("""COMPUTED_VALUE"""),"5011201071")</f>
        <v>5011201071</v>
      </c>
      <c r="G448" s="1" t="str">
        <f ca="1">IFERROR(__xludf.DUMMYFUNCTION("""COMPUTED_VALUE"""),"Departemen Teknik Material dan Metalurgi")</f>
        <v>Departemen Teknik Material dan Metalurgi</v>
      </c>
      <c r="H448" s="1" t="str">
        <f ca="1">IFERROR(__xludf.DUMMYFUNCTION("""COMPUTED_VALUE"""),"Haniffudin Nurdiansah, S.T., M.T.")</f>
        <v>Haniffudin Nurdiansah, S.T., M.T.</v>
      </c>
      <c r="I448" s="1" t="str">
        <f ca="1">IFERROR(__xludf.DUMMYFUNCTION("""COMPUTED_VALUE"""),"CHANIFA ZULAIHA AHMAD")</f>
        <v>CHANIFA ZULAIHA AHMAD</v>
      </c>
      <c r="J448" s="1" t="str">
        <f ca="1">IFERROR(__xludf.DUMMYFUNCTION("""COMPUTED_VALUE"""),"5011201008")</f>
        <v>5011201008</v>
      </c>
      <c r="K448" s="1" t="str">
        <f ca="1">IFERROR(__xludf.DUMMYFUNCTION("""COMPUTED_VALUE"""),"Departemen Teknik Material dan Metalurgi")</f>
        <v>Departemen Teknik Material dan Metalurgi</v>
      </c>
      <c r="L448" s="1" t="str">
        <f ca="1">IFERROR(__xludf.DUMMYFUNCTION("""COMPUTED_VALUE"""),"ELVIRA PUTRI CALISTA")</f>
        <v>ELVIRA PUTRI CALISTA</v>
      </c>
      <c r="M448" s="1" t="str">
        <f ca="1">IFERROR(__xludf.DUMMYFUNCTION("""COMPUTED_VALUE"""),"5011201074")</f>
        <v>5011201074</v>
      </c>
      <c r="N448" s="1" t="str">
        <f ca="1">IFERROR(__xludf.DUMMYFUNCTION("""COMPUTED_VALUE"""),"Departemen Teknik Material dan Metalurgi")</f>
        <v>Departemen Teknik Material dan Metalurgi</v>
      </c>
      <c r="O448" s="1" t="str">
        <f ca="1">IFERROR(__xludf.DUMMYFUNCTION("""COMPUTED_VALUE"""),"ELSY FITRI YUSANAVARA")</f>
        <v>ELSY FITRI YUSANAVARA</v>
      </c>
      <c r="P448" s="1" t="str">
        <f ca="1">IFERROR(__xludf.DUMMYFUNCTION("""COMPUTED_VALUE"""),"5008201009")</f>
        <v>5008201009</v>
      </c>
      <c r="Q448" s="1" t="str">
        <f ca="1">IFERROR(__xludf.DUMMYFUNCTION("""COMPUTED_VALUE"""),"Departemen Teknik Kimia")</f>
        <v>Departemen Teknik Kimia</v>
      </c>
      <c r="R448" s="1" t="str">
        <f ca="1">IFERROR(__xludf.DUMMYFUNCTION("""COMPUTED_VALUE"""),"Sylvia Margareth Togatorop")</f>
        <v>Sylvia Margareth Togatorop</v>
      </c>
      <c r="S448" s="1" t="str">
        <f ca="1">IFERROR(__xludf.DUMMYFUNCTION("""COMPUTED_VALUE"""),"02511940000020")</f>
        <v>02511940000020</v>
      </c>
      <c r="T448" s="1" t="str">
        <f ca="1">IFERROR(__xludf.DUMMYFUNCTION("""COMPUTED_VALUE"""),"Departemen Teknik Material dan Metalurgi")</f>
        <v>Departemen Teknik Material dan Metalurgi</v>
      </c>
      <c r="U448" s="1" t="str">
        <f ca="1">IFERROR(__xludf.DUMMYFUNCTION("""COMPUTED_VALUE"""),"Dr.-Ing. Doty Dewi Risanti, S.T., M.T.")</f>
        <v>Dr.-Ing. Doty Dewi Risanti, S.T., M.T.</v>
      </c>
      <c r="V448" s="1" t="str">
        <f ca="1">IFERROR(__xludf.DUMMYFUNCTION("""COMPUTED_VALUE"""),"Mohammad Sholikhan Arif, S.T., M.T.")</f>
        <v>Mohammad Sholikhan Arif, S.T., M.T.</v>
      </c>
      <c r="W448" s="1"/>
      <c r="X448" s="1" t="str">
        <f ca="1">IFERROR(__xludf.DUMMYFUNCTION("""COMPUTED_VALUE"""),"Lolos")</f>
        <v>Lolos</v>
      </c>
      <c r="Y448" s="1"/>
      <c r="Z448" s="1"/>
      <c r="AA448" s="1"/>
    </row>
    <row r="449" spans="1:27">
      <c r="A449" s="1" t="s">
        <v>443</v>
      </c>
      <c r="B449" s="1">
        <f ca="1">IFERROR(__xludf.DUMMYFUNCTION("""COMPUTED_VALUE"""),3339)</f>
        <v>3339</v>
      </c>
      <c r="C449" s="1" t="str">
        <f ca="1">IFERROR(__xludf.DUMMYFUNCTION("""COMPUTED_VALUE"""),"PKM Riset Eksakta")</f>
        <v>PKM Riset Eksakta</v>
      </c>
      <c r="D449" s="1" t="str">
        <f ca="1">IFERROR(__xludf.DUMMYFUNCTION("""COMPUTED_VALUE"""),"Rekayasa Permukaan Tip Nose Cone dengan Radome Material pada Roket Sonde 2 Tingkat")</f>
        <v>Rekayasa Permukaan Tip Nose Cone dengan Radome Material pada Roket Sonde 2 Tingkat</v>
      </c>
      <c r="E449" s="1" t="str">
        <f ca="1">IFERROR(__xludf.DUMMYFUNCTION("""COMPUTED_VALUE"""),"Wafiq Azhar Rizaldi")</f>
        <v>Wafiq Azhar Rizaldi</v>
      </c>
      <c r="F449" s="1" t="str">
        <f ca="1">IFERROR(__xludf.DUMMYFUNCTION("""COMPUTED_VALUE"""),"02511940000005")</f>
        <v>02511940000005</v>
      </c>
      <c r="G449" s="1" t="str">
        <f ca="1">IFERROR(__xludf.DUMMYFUNCTION("""COMPUTED_VALUE"""),"Departemen Teknik Material dan Metalurgi")</f>
        <v>Departemen Teknik Material dan Metalurgi</v>
      </c>
      <c r="H449" s="1" t="str">
        <f ca="1">IFERROR(__xludf.DUMMYFUNCTION("""COMPUTED_VALUE"""),"Dr. Widyastuti, S.Si., M.Si.")</f>
        <v>Dr. Widyastuti, S.Si., M.Si.</v>
      </c>
      <c r="I449" s="1" t="str">
        <f ca="1">IFERROR(__xludf.DUMMYFUNCTION("""COMPUTED_VALUE"""),"Dhea Febrina Kostradyanti")</f>
        <v>Dhea Febrina Kostradyanti</v>
      </c>
      <c r="J449" s="1" t="str">
        <f ca="1">IFERROR(__xludf.DUMMYFUNCTION("""COMPUTED_VALUE"""),"02511940000016")</f>
        <v>02511940000016</v>
      </c>
      <c r="K449" s="1" t="str">
        <f ca="1">IFERROR(__xludf.DUMMYFUNCTION("""COMPUTED_VALUE"""),"Departemen Teknik Material dan Metalurgi")</f>
        <v>Departemen Teknik Material dan Metalurgi</v>
      </c>
      <c r="L449" s="1" t="str">
        <f ca="1">IFERROR(__xludf.DUMMYFUNCTION("""COMPUTED_VALUE"""),"Jauhari Azhar")</f>
        <v>Jauhari Azhar</v>
      </c>
      <c r="M449" s="1" t="str">
        <f ca="1">IFERROR(__xludf.DUMMYFUNCTION("""COMPUTED_VALUE"""),"02511940000008")</f>
        <v>02511940000008</v>
      </c>
      <c r="N449" s="1" t="str">
        <f ca="1">IFERROR(__xludf.DUMMYFUNCTION("""COMPUTED_VALUE"""),"Departemen Teknik Material dan Metalurgi")</f>
        <v>Departemen Teknik Material dan Metalurgi</v>
      </c>
      <c r="O449" s="1" t="str">
        <f ca="1">IFERROR(__xludf.DUMMYFUNCTION("""COMPUTED_VALUE"""),"Abdullah Akmal Ersa Putra")</f>
        <v>Abdullah Akmal Ersa Putra</v>
      </c>
      <c r="P449" s="1" t="str">
        <f ca="1">IFERROR(__xludf.DUMMYFUNCTION("""COMPUTED_VALUE"""),"02511940000032")</f>
        <v>02511940000032</v>
      </c>
      <c r="Q449" s="1" t="str">
        <f ca="1">IFERROR(__xludf.DUMMYFUNCTION("""COMPUTED_VALUE"""),"Departemen Teknik Material dan Metalurgi")</f>
        <v>Departemen Teknik Material dan Metalurgi</v>
      </c>
      <c r="R449" s="1" t="str">
        <f ca="1">IFERROR(__xludf.DUMMYFUNCTION("""COMPUTED_VALUE"""),"Widyanto Ikhsan Krisnanto")</f>
        <v>Widyanto Ikhsan Krisnanto</v>
      </c>
      <c r="S449" s="1" t="str">
        <f ca="1">IFERROR(__xludf.DUMMYFUNCTION("""COMPUTED_VALUE"""),"02511940000006")</f>
        <v>02511940000006</v>
      </c>
      <c r="T449" s="1" t="str">
        <f ca="1">IFERROR(__xludf.DUMMYFUNCTION("""COMPUTED_VALUE"""),"Departemen Teknik Material dan Metalurgi")</f>
        <v>Departemen Teknik Material dan Metalurgi</v>
      </c>
      <c r="U449" s="1" t="str">
        <f ca="1">IFERROR(__xludf.DUMMYFUNCTION("""COMPUTED_VALUE"""),"Dr.-Ing. Doty Dewi Risanti, S.T., M.T.")</f>
        <v>Dr.-Ing. Doty Dewi Risanti, S.T., M.T.</v>
      </c>
      <c r="V449" s="1" t="str">
        <f ca="1">IFERROR(__xludf.DUMMYFUNCTION("""COMPUTED_VALUE"""),"Mahardika F. Rois, S.T, M.T")</f>
        <v>Mahardika F. Rois, S.T, M.T</v>
      </c>
      <c r="W449" s="1"/>
      <c r="X449" s="1" t="str">
        <f ca="1">IFERROR(__xludf.DUMMYFUNCTION("""COMPUTED_VALUE"""),"Lolos")</f>
        <v>Lolos</v>
      </c>
      <c r="Y449" s="1"/>
      <c r="Z449" s="1"/>
      <c r="AA449" s="1"/>
    </row>
    <row r="450" spans="1:27">
      <c r="A450" s="1" t="s">
        <v>444</v>
      </c>
      <c r="B450" s="1">
        <f ca="1">IFERROR(__xludf.DUMMYFUNCTION("""COMPUTED_VALUE"""),3275)</f>
        <v>3275</v>
      </c>
      <c r="C450" s="1" t="str">
        <f ca="1">IFERROR(__xludf.DUMMYFUNCTION("""COMPUTED_VALUE"""),"PKM Riset Eksakta")</f>
        <v>PKM Riset Eksakta</v>
      </c>
      <c r="D450" s="1" t="str">
        <f ca="1">IFERROR(__xludf.DUMMYFUNCTION("""COMPUTED_VALUE"""),"SCGC : Studi pengaruh variasi Superplasicizer terhadap Self-Compacting Geopolymer Concrete mutu tinggi berbasis High Calcium Fly Ash")</f>
        <v>SCGC : Studi pengaruh variasi Superplasicizer terhadap Self-Compacting Geopolymer Concrete mutu tinggi berbasis High Calcium Fly Ash</v>
      </c>
      <c r="E450" s="1" t="str">
        <f ca="1">IFERROR(__xludf.DUMMYFUNCTION("""COMPUTED_VALUE"""),"ARWINDA ARIBAH CAHYANI")</f>
        <v>ARWINDA ARIBAH CAHYANI</v>
      </c>
      <c r="F450" s="1" t="str">
        <f ca="1">IFERROR(__xludf.DUMMYFUNCTION("""COMPUTED_VALUE"""),"10111810013003")</f>
        <v>10111810013003</v>
      </c>
      <c r="G450" s="1" t="str">
        <f ca="1">IFERROR(__xludf.DUMMYFUNCTION("""COMPUTED_VALUE"""),"Departemen Teknik Infrastruktur Sipil")</f>
        <v>Departemen Teknik Infrastruktur Sipil</v>
      </c>
      <c r="H450" s="1" t="str">
        <f ca="1">IFERROR(__xludf.DUMMYFUNCTION("""COMPUTED_VALUE"""),"Dr.Eng. Yuyun Tajunnisa, S.T., M.T.")</f>
        <v>Dr.Eng. Yuyun Tajunnisa, S.T., M.T.</v>
      </c>
      <c r="I450" s="1" t="str">
        <f ca="1">IFERROR(__xludf.DUMMYFUNCTION("""COMPUTED_VALUE"""),"NABILA SHAFA AULIA PUTRI")</f>
        <v>NABILA SHAFA AULIA PUTRI</v>
      </c>
      <c r="J450" s="1" t="str">
        <f ca="1">IFERROR(__xludf.DUMMYFUNCTION("""COMPUTED_VALUE"""),"10111810013011")</f>
        <v>10111810013011</v>
      </c>
      <c r="K450" s="1" t="str">
        <f ca="1">IFERROR(__xludf.DUMMYFUNCTION("""COMPUTED_VALUE"""),"Departemen Teknik Infrastruktur Sipil")</f>
        <v>Departemen Teknik Infrastruktur Sipil</v>
      </c>
      <c r="L450" s="1" t="str">
        <f ca="1">IFERROR(__xludf.DUMMYFUNCTION("""COMPUTED_VALUE"""),"ONNE MUTIARA RAMADHINI ASYAH")</f>
        <v>ONNE MUTIARA RAMADHINI ASYAH</v>
      </c>
      <c r="M450" s="1" t="str">
        <f ca="1">IFERROR(__xludf.DUMMYFUNCTION("""COMPUTED_VALUE"""),"10111810013019")</f>
        <v>10111810013019</v>
      </c>
      <c r="N450" s="1" t="str">
        <f ca="1">IFERROR(__xludf.DUMMYFUNCTION("""COMPUTED_VALUE"""),"Departemen Teknik Infrastruktur Sipil")</f>
        <v>Departemen Teknik Infrastruktur Sipil</v>
      </c>
      <c r="O450" s="1"/>
      <c r="P450" s="1"/>
      <c r="Q450" s="1"/>
      <c r="R450" s="1"/>
      <c r="S450" s="1"/>
      <c r="T450" s="1"/>
      <c r="U450" s="1" t="str">
        <f ca="1">IFERROR(__xludf.DUMMYFUNCTION("""COMPUTED_VALUE"""),"Dr.Eng. Siti Machmudah, S.T., M.Eng.")</f>
        <v>Dr.Eng. Siti Machmudah, S.T., M.Eng.</v>
      </c>
      <c r="V450" s="1" t="str">
        <f ca="1">IFERROR(__xludf.DUMMYFUNCTION("""COMPUTED_VALUE"""),"Dr. Candra Irawan, S.T., M.T.")</f>
        <v>Dr. Candra Irawan, S.T., M.T.</v>
      </c>
      <c r="W450" s="1"/>
      <c r="X450" s="1" t="str">
        <f ca="1">IFERROR(__xludf.DUMMYFUNCTION("""COMPUTED_VALUE"""),"Lolos")</f>
        <v>Lolos</v>
      </c>
      <c r="Y450" s="1"/>
      <c r="Z450" s="1"/>
      <c r="AA450" s="1"/>
    </row>
    <row r="451" spans="1:27">
      <c r="A451" s="1" t="s">
        <v>445</v>
      </c>
      <c r="B451" s="1">
        <f ca="1">IFERROR(__xludf.DUMMYFUNCTION("""COMPUTED_VALUE"""),2027)</f>
        <v>2027</v>
      </c>
      <c r="C451" s="1" t="str">
        <f ca="1">IFERROR(__xludf.DUMMYFUNCTION("""COMPUTED_VALUE"""),"PKM Riset Eksakta")</f>
        <v>PKM Riset Eksakta</v>
      </c>
      <c r="D451" s="1" t="str">
        <f ca="1">IFERROR(__xludf.DUMMYFUNCTION("""COMPUTED_VALUE"""),"Pengaruh Penambahan Hidroksiapatit (HA) Terhadap Wound Dressing Berbasis Selulosa Asetat-Kitosan Dari Kulit Singkong")</f>
        <v>Pengaruh Penambahan Hidroksiapatit (HA) Terhadap Wound Dressing Berbasis Selulosa Asetat-Kitosan Dari Kulit Singkong</v>
      </c>
      <c r="E451" s="1" t="str">
        <f ca="1">IFERROR(__xludf.DUMMYFUNCTION("""COMPUTED_VALUE"""),"PRADNYA PARAMITHA")</f>
        <v>PRADNYA PARAMITHA</v>
      </c>
      <c r="F451" s="1" t="str">
        <f ca="1">IFERROR(__xludf.DUMMYFUNCTION("""COMPUTED_VALUE"""),"2041201096")</f>
        <v>2041201096</v>
      </c>
      <c r="G451" s="1" t="str">
        <f ca="1">IFERROR(__xludf.DUMMYFUNCTION("""COMPUTED_VALUE"""),"Departemen Teknik Kimia Industri")</f>
        <v>Departemen Teknik Kimia Industri</v>
      </c>
      <c r="H451" s="1" t="str">
        <f ca="1">IFERROR(__xludf.DUMMYFUNCTION("""COMPUTED_VALUE"""),"Dr. Lailatul Qomariyah, S.T.")</f>
        <v>Dr. Lailatul Qomariyah, S.T.</v>
      </c>
      <c r="I451" s="1" t="str">
        <f ca="1">IFERROR(__xludf.DUMMYFUNCTION("""COMPUTED_VALUE"""),"ANDI SETYO BEKTI")</f>
        <v>ANDI SETYO BEKTI</v>
      </c>
      <c r="J451" s="1" t="str">
        <f ca="1">IFERROR(__xludf.DUMMYFUNCTION("""COMPUTED_VALUE"""),"2041201015")</f>
        <v>2041201015</v>
      </c>
      <c r="K451" s="1" t="str">
        <f ca="1">IFERROR(__xludf.DUMMYFUNCTION("""COMPUTED_VALUE"""),"Departemen Teknik Kimia Industri")</f>
        <v>Departemen Teknik Kimia Industri</v>
      </c>
      <c r="L451" s="1" t="str">
        <f ca="1">IFERROR(__xludf.DUMMYFUNCTION("""COMPUTED_VALUE"""),"ADEL FRISCA RAHAYU")</f>
        <v>ADEL FRISCA RAHAYU</v>
      </c>
      <c r="M451" s="1" t="str">
        <f ca="1">IFERROR(__xludf.DUMMYFUNCTION("""COMPUTED_VALUE"""),"2041201090")</f>
        <v>2041201090</v>
      </c>
      <c r="N451" s="1" t="str">
        <f ca="1">IFERROR(__xludf.DUMMYFUNCTION("""COMPUTED_VALUE"""),"Departemen Teknik Kimia Industri")</f>
        <v>Departemen Teknik Kimia Industri</v>
      </c>
      <c r="O451" s="1" t="str">
        <f ca="1">IFERROR(__xludf.DUMMYFUNCTION("""COMPUTED_VALUE"""),"ANGGUN VANISHA PUTRI KUSUMA W")</f>
        <v>ANGGUN VANISHA PUTRI KUSUMA W</v>
      </c>
      <c r="P451" s="1" t="str">
        <f ca="1">IFERROR(__xludf.DUMMYFUNCTION("""COMPUTED_VALUE"""),"10411910000076")</f>
        <v>10411910000076</v>
      </c>
      <c r="Q451" s="1" t="str">
        <f ca="1">IFERROR(__xludf.DUMMYFUNCTION("""COMPUTED_VALUE"""),"Departemen Teknik Kimia Industri")</f>
        <v>Departemen Teknik Kimia Industri</v>
      </c>
      <c r="R451" s="1"/>
      <c r="S451" s="1"/>
      <c r="T451" s="1"/>
      <c r="U451" s="1" t="str">
        <f ca="1">IFERROR(__xludf.DUMMYFUNCTION("""COMPUTED_VALUE"""),"Dr.-Ing. Doty Dewi Risanti, S.T., M.T.")</f>
        <v>Dr.-Ing. Doty Dewi Risanti, S.T., M.T.</v>
      </c>
      <c r="V451" s="1" t="str">
        <f ca="1">IFERROR(__xludf.DUMMYFUNCTION("""COMPUTED_VALUE"""),"Annas Wiguno, S.T., M.T.")</f>
        <v>Annas Wiguno, S.T., M.T.</v>
      </c>
      <c r="W451" s="1"/>
      <c r="X451" s="1" t="str">
        <f ca="1">IFERROR(__xludf.DUMMYFUNCTION("""COMPUTED_VALUE"""),"Lolos")</f>
        <v>Lolos</v>
      </c>
      <c r="Y451" s="1"/>
      <c r="Z451" s="1"/>
      <c r="AA451" s="1"/>
    </row>
    <row r="452" spans="1:27">
      <c r="A452" s="1" t="s">
        <v>446</v>
      </c>
      <c r="B452" s="1">
        <f ca="1">IFERROR(__xludf.DUMMYFUNCTION("""COMPUTED_VALUE"""),2252)</f>
        <v>2252</v>
      </c>
      <c r="C452" s="1" t="str">
        <f ca="1">IFERROR(__xludf.DUMMYFUNCTION("""COMPUTED_VALUE"""),"PKM Riset Eksakta")</f>
        <v>PKM Riset Eksakta</v>
      </c>
      <c r="D452" s="1" t="str">
        <f ca="1">IFERROR(__xludf.DUMMYFUNCTION("""COMPUTED_VALUE"""),"Sintesis nanofiber selulosa/PVA berbasis limbah sekam padi sebagai filter masker medis dengan penambahan kitin yang antimikroba dan biodagradable
")</f>
        <v xml:space="preserve">Sintesis nanofiber selulosa/PVA berbasis limbah sekam padi sebagai filter masker medis dengan penambahan kitin yang antimikroba dan biodagradable
</v>
      </c>
      <c r="E452" s="1" t="str">
        <f ca="1">IFERROR(__xludf.DUMMYFUNCTION("""COMPUTED_VALUE"""),"FITRIYAH SARASWATI")</f>
        <v>FITRIYAH SARASWATI</v>
      </c>
      <c r="F452" s="1" t="str">
        <f ca="1">IFERROR(__xludf.DUMMYFUNCTION("""COMPUTED_VALUE"""),"5011201093")</f>
        <v>5011201093</v>
      </c>
      <c r="G452" s="1" t="str">
        <f ca="1">IFERROR(__xludf.DUMMYFUNCTION("""COMPUTED_VALUE"""),"Departemen Teknik Material dan Metalurgi")</f>
        <v>Departemen Teknik Material dan Metalurgi</v>
      </c>
      <c r="H452" s="1" t="str">
        <f ca="1">IFERROR(__xludf.DUMMYFUNCTION("""COMPUTED_VALUE"""),"Azzah Dyah Pramata, S.T., M.T., M.Eng., Ph.D.")</f>
        <v>Azzah Dyah Pramata, S.T., M.T., M.Eng., Ph.D.</v>
      </c>
      <c r="I452" s="1" t="str">
        <f ca="1">IFERROR(__xludf.DUMMYFUNCTION("""COMPUTED_VALUE"""),"Michaela Claresta Erja Maheswari")</f>
        <v>Michaela Claresta Erja Maheswari</v>
      </c>
      <c r="J452" s="1" t="str">
        <f ca="1">IFERROR(__xludf.DUMMYFUNCTION("""COMPUTED_VALUE"""),"02511940000001")</f>
        <v>02511940000001</v>
      </c>
      <c r="K452" s="1" t="str">
        <f ca="1">IFERROR(__xludf.DUMMYFUNCTION("""COMPUTED_VALUE"""),"Departemen Teknik Material dan Metalurgi")</f>
        <v>Departemen Teknik Material dan Metalurgi</v>
      </c>
      <c r="L452" s="1" t="str">
        <f ca="1">IFERROR(__xludf.DUMMYFUNCTION("""COMPUTED_VALUE"""),"YUNITA NILAM KHOIRONI")</f>
        <v>YUNITA NILAM KHOIRONI</v>
      </c>
      <c r="M452" s="1" t="str">
        <f ca="1">IFERROR(__xludf.DUMMYFUNCTION("""COMPUTED_VALUE"""),"5011201038")</f>
        <v>5011201038</v>
      </c>
      <c r="N452" s="1" t="str">
        <f ca="1">IFERROR(__xludf.DUMMYFUNCTION("""COMPUTED_VALUE"""),"Departemen Teknik Material dan Metalurgi")</f>
        <v>Departemen Teknik Material dan Metalurgi</v>
      </c>
      <c r="O452" s="1" t="str">
        <f ca="1">IFERROR(__xludf.DUMMYFUNCTION("""COMPUTED_VALUE"""),"HERLINA TARISANDRA")</f>
        <v>HERLINA TARISANDRA</v>
      </c>
      <c r="P452" s="1" t="str">
        <f ca="1">IFERROR(__xludf.DUMMYFUNCTION("""COMPUTED_VALUE"""),"5011201037")</f>
        <v>5011201037</v>
      </c>
      <c r="Q452" s="1" t="str">
        <f ca="1">IFERROR(__xludf.DUMMYFUNCTION("""COMPUTED_VALUE"""),"Departemen Teknik Material dan Metalurgi")</f>
        <v>Departemen Teknik Material dan Metalurgi</v>
      </c>
      <c r="R452" s="1" t="str">
        <f ca="1">IFERROR(__xludf.DUMMYFUNCTION("""COMPUTED_VALUE"""),"M. DIMMAS FIRDAUS")</f>
        <v>M. DIMMAS FIRDAUS</v>
      </c>
      <c r="S452" s="1" t="str">
        <f ca="1">IFERROR(__xludf.DUMMYFUNCTION("""COMPUTED_VALUE"""),"5011211111")</f>
        <v>5011211111</v>
      </c>
      <c r="T452" s="1" t="str">
        <f ca="1">IFERROR(__xludf.DUMMYFUNCTION("""COMPUTED_VALUE"""),"Departemen Teknik Material dan Metalurgi")</f>
        <v>Departemen Teknik Material dan Metalurgi</v>
      </c>
      <c r="U452" s="1" t="str">
        <f ca="1">IFERROR(__xludf.DUMMYFUNCTION("""COMPUTED_VALUE"""),"Ahmad Fauzan Adziimaa, S.T., M.Sc.")</f>
        <v>Ahmad Fauzan Adziimaa, S.T., M.Sc.</v>
      </c>
      <c r="V452" s="1" t="str">
        <f ca="1">IFERROR(__xludf.DUMMYFUNCTION("""COMPUTED_VALUE"""),"Mahardika F. Rois, S.T, M.T")</f>
        <v>Mahardika F. Rois, S.T, M.T</v>
      </c>
      <c r="W452" s="1"/>
      <c r="X452" s="1" t="str">
        <f ca="1">IFERROR(__xludf.DUMMYFUNCTION("""COMPUTED_VALUE"""),"Lolos")</f>
        <v>Lolos</v>
      </c>
      <c r="Y452" s="1"/>
      <c r="Z452" s="1"/>
      <c r="AA452" s="1"/>
    </row>
    <row r="453" spans="1:27">
      <c r="A453" s="1" t="s">
        <v>447</v>
      </c>
      <c r="B453" s="1">
        <f ca="1">IFERROR(__xludf.DUMMYFUNCTION("""COMPUTED_VALUE"""),2394)</f>
        <v>2394</v>
      </c>
      <c r="C453" s="1" t="str">
        <f ca="1">IFERROR(__xludf.DUMMYFUNCTION("""COMPUTED_VALUE"""),"PKM Riset Eksakta")</f>
        <v>PKM Riset Eksakta</v>
      </c>
      <c r="D453" s="1" t="str">
        <f ca="1">IFERROR(__xludf.DUMMYFUNCTION("""COMPUTED_VALUE"""),"Produksi Prebiotik (Manooligosakarida) dari Umbi Porang Dengan Hidrolisis Manase Sterptomyces Sp Sebagai Material Fortifikasi Pada Makanan Pendamping Air Susu Ibu")</f>
        <v>Produksi Prebiotik (Manooligosakarida) dari Umbi Porang Dengan Hidrolisis Manase Sterptomyces Sp Sebagai Material Fortifikasi Pada Makanan Pendamping Air Susu Ibu</v>
      </c>
      <c r="E453" s="1" t="str">
        <f ca="1">IFERROR(__xludf.DUMMYFUNCTION("""COMPUTED_VALUE"""),"AULIA MARTA LESTARI")</f>
        <v>AULIA MARTA LESTARI</v>
      </c>
      <c r="F453" s="1" t="str">
        <f ca="1">IFERROR(__xludf.DUMMYFUNCTION("""COMPUTED_VALUE"""),"01211940000068")</f>
        <v>01211940000068</v>
      </c>
      <c r="G453" s="1" t="str">
        <f ca="1">IFERROR(__xludf.DUMMYFUNCTION("""COMPUTED_VALUE"""),"Departemen Kimia")</f>
        <v>Departemen Kimia</v>
      </c>
      <c r="H453" s="1" t="str">
        <f ca="1">IFERROR(__xludf.DUMMYFUNCTION("""COMPUTED_VALUE"""),"Herdayanto Sulistyo Putro, S.Si., M.Si.")</f>
        <v>Herdayanto Sulistyo Putro, S.Si., M.Si.</v>
      </c>
      <c r="I453" s="1" t="str">
        <f ca="1">IFERROR(__xludf.DUMMYFUNCTION("""COMPUTED_VALUE"""),"ANNIDA HAQQ")</f>
        <v>ANNIDA HAQQ</v>
      </c>
      <c r="J453" s="1" t="str">
        <f ca="1">IFERROR(__xludf.DUMMYFUNCTION("""COMPUTED_VALUE"""),"01311940000075")</f>
        <v>01311940000075</v>
      </c>
      <c r="K453" s="1" t="str">
        <f ca="1">IFERROR(__xludf.DUMMYFUNCTION("""COMPUTED_VALUE"""),"Departemen Biologi")</f>
        <v>Departemen Biologi</v>
      </c>
      <c r="L453" s="1" t="str">
        <f ca="1">IFERROR(__xludf.DUMMYFUNCTION("""COMPUTED_VALUE"""),"NUR ANNISA KUSUMAWARDANI")</f>
        <v>NUR ANNISA KUSUMAWARDANI</v>
      </c>
      <c r="M453" s="1" t="str">
        <f ca="1">IFERROR(__xludf.DUMMYFUNCTION("""COMPUTED_VALUE"""),"01211940000067")</f>
        <v>01211940000067</v>
      </c>
      <c r="N453" s="1" t="str">
        <f ca="1">IFERROR(__xludf.DUMMYFUNCTION("""COMPUTED_VALUE"""),"Departemen Kimia")</f>
        <v>Departemen Kimia</v>
      </c>
      <c r="O453" s="1" t="str">
        <f ca="1">IFERROR(__xludf.DUMMYFUNCTION("""COMPUTED_VALUE"""),"SALSABILA AIDA FITRIYA")</f>
        <v>SALSABILA AIDA FITRIYA</v>
      </c>
      <c r="P453" s="1" t="str">
        <f ca="1">IFERROR(__xludf.DUMMYFUNCTION("""COMPUTED_VALUE"""),"01311940000033")</f>
        <v>01311940000033</v>
      </c>
      <c r="Q453" s="1" t="str">
        <f ca="1">IFERROR(__xludf.DUMMYFUNCTION("""COMPUTED_VALUE"""),"Departemen Biologi")</f>
        <v>Departemen Biologi</v>
      </c>
      <c r="R453" s="1"/>
      <c r="S453" s="1"/>
      <c r="T453" s="1"/>
      <c r="U453" s="1" t="str">
        <f ca="1">IFERROR(__xludf.DUMMYFUNCTION("""COMPUTED_VALUE"""),"Dr.-Ing. Doty Dewi Risanti, S.T., M.T.")</f>
        <v>Dr.-Ing. Doty Dewi Risanti, S.T., M.T.</v>
      </c>
      <c r="V453" s="1" t="str">
        <f ca="1">IFERROR(__xludf.DUMMYFUNCTION("""COMPUTED_VALUE"""),"Dr. Candra Irawan, S.T., M.T.")</f>
        <v>Dr. Candra Irawan, S.T., M.T.</v>
      </c>
      <c r="W453" s="1"/>
      <c r="X453" s="1" t="str">
        <f ca="1">IFERROR(__xludf.DUMMYFUNCTION("""COMPUTED_VALUE"""),"Lolos")</f>
        <v>Lolos</v>
      </c>
      <c r="Y453" s="1"/>
      <c r="Z453" s="1"/>
      <c r="AA453" s="1"/>
    </row>
    <row r="454" spans="1:27">
      <c r="A454" s="1" t="s">
        <v>448</v>
      </c>
      <c r="B454" s="1">
        <f ca="1">IFERROR(__xludf.DUMMYFUNCTION("""COMPUTED_VALUE"""),2450)</f>
        <v>2450</v>
      </c>
      <c r="C454" s="1" t="str">
        <f ca="1">IFERROR(__xludf.DUMMYFUNCTION("""COMPUTED_VALUE"""),"PKM Riset Eksakta")</f>
        <v>PKM Riset Eksakta</v>
      </c>
      <c r="D454" s="1" t="str">
        <f ca="1">IFERROR(__xludf.DUMMYFUNCTION("""COMPUTED_VALUE"""),"Pemanfaatan Ester Minyak Nyamplung berbasis TMP dengan Katalis K2CO3 untuk Bioaditif Peningkat Lubrisitas Mesin Diesel Berkadar Sulfur Rendah")</f>
        <v>Pemanfaatan Ester Minyak Nyamplung berbasis TMP dengan Katalis K2CO3 untuk Bioaditif Peningkat Lubrisitas Mesin Diesel Berkadar Sulfur Rendah</v>
      </c>
      <c r="E454" s="1" t="str">
        <f ca="1">IFERROR(__xludf.DUMMYFUNCTION("""COMPUTED_VALUE"""),"IMMANUEL N. LBN GAOL")</f>
        <v>IMMANUEL N. LBN GAOL</v>
      </c>
      <c r="F454" s="1" t="str">
        <f ca="1">IFERROR(__xludf.DUMMYFUNCTION("""COMPUTED_VALUE"""),"5004211006")</f>
        <v>5004211006</v>
      </c>
      <c r="G454" s="1" t="str">
        <f ca="1">IFERROR(__xludf.DUMMYFUNCTION("""COMPUTED_VALUE"""),"Departemen Kimia")</f>
        <v>Departemen Kimia</v>
      </c>
      <c r="H454" s="1" t="str">
        <f ca="1">IFERROR(__xludf.DUMMYFUNCTION("""COMPUTED_VALUE"""),"Dr. Dra. Yulfi Zetra, M.Sc.")</f>
        <v>Dr. Dra. Yulfi Zetra, M.Sc.</v>
      </c>
      <c r="I454" s="1" t="str">
        <f ca="1">IFERROR(__xludf.DUMMYFUNCTION("""COMPUTED_VALUE"""),"MUHAMMAD SALMAN AL KAHFI")</f>
        <v>MUHAMMAD SALMAN AL KAHFI</v>
      </c>
      <c r="J454" s="1" t="str">
        <f ca="1">IFERROR(__xludf.DUMMYFUNCTION("""COMPUTED_VALUE"""),"01211840000056")</f>
        <v>01211840000056</v>
      </c>
      <c r="K454" s="1" t="str">
        <f ca="1">IFERROR(__xludf.DUMMYFUNCTION("""COMPUTED_VALUE"""),"Departemen Kimia")</f>
        <v>Departemen Kimia</v>
      </c>
      <c r="L454" s="1" t="str">
        <f ca="1">IFERROR(__xludf.DUMMYFUNCTION("""COMPUTED_VALUE"""),"Irma Fitriani")</f>
        <v>Irma Fitriani</v>
      </c>
      <c r="M454" s="1" t="str">
        <f ca="1">IFERROR(__xludf.DUMMYFUNCTION("""COMPUTED_VALUE"""),"5004211111")</f>
        <v>5004211111</v>
      </c>
      <c r="N454" s="1" t="str">
        <f ca="1">IFERROR(__xludf.DUMMYFUNCTION("""COMPUTED_VALUE"""),"Departemen Kimia")</f>
        <v>Departemen Kimia</v>
      </c>
      <c r="O454" s="1" t="str">
        <f ca="1">IFERROR(__xludf.DUMMYFUNCTION("""COMPUTED_VALUE"""),"RATIH HANDAYANI")</f>
        <v>RATIH HANDAYANI</v>
      </c>
      <c r="P454" s="1" t="str">
        <f ca="1">IFERROR(__xludf.DUMMYFUNCTION("""COMPUTED_VALUE"""),"5004211068")</f>
        <v>5004211068</v>
      </c>
      <c r="Q454" s="1" t="str">
        <f ca="1">IFERROR(__xludf.DUMMYFUNCTION("""COMPUTED_VALUE"""),"Departemen Kimia")</f>
        <v>Departemen Kimia</v>
      </c>
      <c r="R454" s="1" t="str">
        <f ca="1">IFERROR(__xludf.DUMMYFUNCTION("""COMPUTED_VALUE"""),"ANGELICA RACHEL H P")</f>
        <v>ANGELICA RACHEL H P</v>
      </c>
      <c r="S454" s="1" t="str">
        <f ca="1">IFERROR(__xludf.DUMMYFUNCTION("""COMPUTED_VALUE"""),"5004211141")</f>
        <v>5004211141</v>
      </c>
      <c r="T454" s="1" t="str">
        <f ca="1">IFERROR(__xludf.DUMMYFUNCTION("""COMPUTED_VALUE"""),"Departemen Kimia")</f>
        <v>Departemen Kimia</v>
      </c>
      <c r="U454" s="1" t="str">
        <f ca="1">IFERROR(__xludf.DUMMYFUNCTION("""COMPUTED_VALUE"""),"Ahmad Fauzan Adziimaa, S.T., M.Sc.")</f>
        <v>Ahmad Fauzan Adziimaa, S.T., M.Sc.</v>
      </c>
      <c r="V454" s="1" t="str">
        <f ca="1">IFERROR(__xludf.DUMMYFUNCTION("""COMPUTED_VALUE"""),"Tri Vicca Kusumadewi, S.T., M.Sc.")</f>
        <v>Tri Vicca Kusumadewi, S.T., M.Sc.</v>
      </c>
      <c r="W454" s="1"/>
      <c r="X454" s="1" t="str">
        <f ca="1">IFERROR(__xludf.DUMMYFUNCTION("""COMPUTED_VALUE"""),"Lolos")</f>
        <v>Lolos</v>
      </c>
      <c r="Y454" s="1"/>
      <c r="Z454" s="1"/>
      <c r="AA454" s="1"/>
    </row>
    <row r="455" spans="1:27">
      <c r="A455" s="1" t="s">
        <v>449</v>
      </c>
      <c r="B455" s="1">
        <f ca="1">IFERROR(__xludf.DUMMYFUNCTION("""COMPUTED_VALUE"""),3352)</f>
        <v>3352</v>
      </c>
      <c r="C455" s="1" t="str">
        <f ca="1">IFERROR(__xludf.DUMMYFUNCTION("""COMPUTED_VALUE"""),"PKM Riset Eksakta")</f>
        <v>PKM Riset Eksakta</v>
      </c>
      <c r="D455" s="1" t="str">
        <f ca="1">IFERROR(__xludf.DUMMYFUNCTION("""COMPUTED_VALUE"""),"Optimalisasi Pembuatan Biodiesel dari Minyak Jelantah Menggunakan Metode Kombinasi Microwave Assisted Extraction - Batchwise Solvent Extraction")</f>
        <v>Optimalisasi Pembuatan Biodiesel dari Minyak Jelantah Menggunakan Metode Kombinasi Microwave Assisted Extraction - Batchwise Solvent Extraction</v>
      </c>
      <c r="E455" s="1" t="str">
        <f ca="1">IFERROR(__xludf.DUMMYFUNCTION("""COMPUTED_VALUE"""),"MUKHLIS SHOLEHUDIN")</f>
        <v>MUKHLIS SHOLEHUDIN</v>
      </c>
      <c r="F455" s="1" t="str">
        <f ca="1">IFERROR(__xludf.DUMMYFUNCTION("""COMPUTED_VALUE"""),"02211940000122")</f>
        <v>02211940000122</v>
      </c>
      <c r="G455" s="1" t="str">
        <f ca="1">IFERROR(__xludf.DUMMYFUNCTION("""COMPUTED_VALUE"""),"Departemen Teknik Kimia")</f>
        <v>Departemen Teknik Kimia</v>
      </c>
      <c r="H455" s="1" t="str">
        <f ca="1">IFERROR(__xludf.DUMMYFUNCTION("""COMPUTED_VALUE"""),"Hakun Wirawasista Aparamarta, S.T., M.MT., Ph.D.")</f>
        <v>Hakun Wirawasista Aparamarta, S.T., M.MT., Ph.D.</v>
      </c>
      <c r="I455" s="1" t="str">
        <f ca="1">IFERROR(__xludf.DUMMYFUNCTION("""COMPUTED_VALUE"""),"AHMED FANANI SUDARTO")</f>
        <v>AHMED FANANI SUDARTO</v>
      </c>
      <c r="J455" s="1" t="str">
        <f ca="1">IFERROR(__xludf.DUMMYFUNCTION("""COMPUTED_VALUE"""),"02211940000070")</f>
        <v>02211940000070</v>
      </c>
      <c r="K455" s="1" t="str">
        <f ca="1">IFERROR(__xludf.DUMMYFUNCTION("""COMPUTED_VALUE"""),"Departemen Teknik Kimia")</f>
        <v>Departemen Teknik Kimia</v>
      </c>
      <c r="L455" s="1" t="str">
        <f ca="1">IFERROR(__xludf.DUMMYFUNCTION("""COMPUTED_VALUE"""),"DHEA SEPTYANONIE RYVALDA")</f>
        <v>DHEA SEPTYANONIE RYVALDA</v>
      </c>
      <c r="M455" s="1" t="str">
        <f ca="1">IFERROR(__xludf.DUMMYFUNCTION("""COMPUTED_VALUE"""),"02211940000123")</f>
        <v>02211940000123</v>
      </c>
      <c r="N455" s="1" t="str">
        <f ca="1">IFERROR(__xludf.DUMMYFUNCTION("""COMPUTED_VALUE"""),"Departemen Teknik Kimia")</f>
        <v>Departemen Teknik Kimia</v>
      </c>
      <c r="O455" s="1"/>
      <c r="P455" s="1"/>
      <c r="Q455" s="1"/>
      <c r="R455" s="1"/>
      <c r="S455" s="1"/>
      <c r="T455" s="1"/>
      <c r="U455" s="1" t="str">
        <f ca="1">IFERROR(__xludf.DUMMYFUNCTION("""COMPUTED_VALUE"""),"Ahmad Fauzan Adziimaa, S.T., M.Sc.")</f>
        <v>Ahmad Fauzan Adziimaa, S.T., M.Sc.</v>
      </c>
      <c r="V455" s="1" t="str">
        <f ca="1">IFERROR(__xludf.DUMMYFUNCTION("""COMPUTED_VALUE"""),"Muhammad Syifaul Mufid, S.Si.,M.Si")</f>
        <v>Muhammad Syifaul Mufid, S.Si.,M.Si</v>
      </c>
      <c r="W455" s="1"/>
      <c r="X455" s="1" t="str">
        <f ca="1">IFERROR(__xludf.DUMMYFUNCTION("""COMPUTED_VALUE"""),"Lolos")</f>
        <v>Lolos</v>
      </c>
      <c r="Y455" s="1"/>
      <c r="Z455" s="1"/>
      <c r="AA455" s="1"/>
    </row>
    <row r="456" spans="1:27">
      <c r="A456" s="1" t="s">
        <v>450</v>
      </c>
      <c r="B456" s="1">
        <f ca="1">IFERROR(__xludf.DUMMYFUNCTION("""COMPUTED_VALUE"""),3311)</f>
        <v>3311</v>
      </c>
      <c r="C456" s="1" t="str">
        <f ca="1">IFERROR(__xludf.DUMMYFUNCTION("""COMPUTED_VALUE"""),"PKM Riset Eksakta")</f>
        <v>PKM Riset Eksakta</v>
      </c>
      <c r="D456" s="1" t="str">
        <f ca="1">IFERROR(__xludf.DUMMYFUNCTION("""COMPUTED_VALUE"""),"Deteksi penyakit Alzheimer Berdasarkan Suara Wicara Menggunakan Deep Learning")</f>
        <v>Deteksi penyakit Alzheimer Berdasarkan Suara Wicara Menggunakan Deep Learning</v>
      </c>
      <c r="E456" s="1" t="str">
        <f ca="1">IFERROR(__xludf.DUMMYFUNCTION("""COMPUTED_VALUE"""),"ILMI ROHMAD FAUZANNA")</f>
        <v>ILMI ROHMAD FAUZANNA</v>
      </c>
      <c r="F456" s="1" t="str">
        <f ca="1">IFERROR(__xludf.DUMMYFUNCTION("""COMPUTED_VALUE"""),"02311940000093")</f>
        <v>02311940000093</v>
      </c>
      <c r="G456" s="1" t="str">
        <f ca="1">IFERROR(__xludf.DUMMYFUNCTION("""COMPUTED_VALUE"""),"Departemen Teknik Fisika")</f>
        <v>Departemen Teknik Fisika</v>
      </c>
      <c r="H456" s="1" t="str">
        <f ca="1">IFERROR(__xludf.DUMMYFUNCTION("""COMPUTED_VALUE"""),"Bagus Tris Atmaja, S.T., M.T.")</f>
        <v>Bagus Tris Atmaja, S.T., M.T.</v>
      </c>
      <c r="I456" s="1" t="str">
        <f ca="1">IFERROR(__xludf.DUMMYFUNCTION("""COMPUTED_VALUE"""),"Jamiatul Firda")</f>
        <v>Jamiatul Firda</v>
      </c>
      <c r="J456" s="1" t="str">
        <f ca="1">IFERROR(__xludf.DUMMYFUNCTION("""COMPUTED_VALUE"""),"02311940000050")</f>
        <v>02311940000050</v>
      </c>
      <c r="K456" s="1" t="str">
        <f ca="1">IFERROR(__xludf.DUMMYFUNCTION("""COMPUTED_VALUE"""),"Departemen Teknik Fisika")</f>
        <v>Departemen Teknik Fisika</v>
      </c>
      <c r="L456" s="1" t="str">
        <f ca="1">IFERROR(__xludf.DUMMYFUNCTION("""COMPUTED_VALUE"""),"TAJUDDIN AHMAD RAFI")</f>
        <v>TAJUDDIN AHMAD RAFI</v>
      </c>
      <c r="M456" s="1" t="str">
        <f ca="1">IFERROR(__xludf.DUMMYFUNCTION("""COMPUTED_VALUE"""),"02311940000133")</f>
        <v>02311940000133</v>
      </c>
      <c r="N456" s="1" t="str">
        <f ca="1">IFERROR(__xludf.DUMMYFUNCTION("""COMPUTED_VALUE"""),"Departemen Teknik Fisika")</f>
        <v>Departemen Teknik Fisika</v>
      </c>
      <c r="O456" s="1" t="str">
        <f ca="1">IFERROR(__xludf.DUMMYFUNCTION("""COMPUTED_VALUE"""),"CITRA ANNISAA NURUL AIN")</f>
        <v>CITRA ANNISAA NURUL AIN</v>
      </c>
      <c r="P456" s="1" t="str">
        <f ca="1">IFERROR(__xludf.DUMMYFUNCTION("""COMPUTED_VALUE"""),"5009201054")</f>
        <v>5009201054</v>
      </c>
      <c r="Q456" s="1" t="str">
        <f ca="1">IFERROR(__xludf.DUMMYFUNCTION("""COMPUTED_VALUE"""),"Departemen Teknik Fisika")</f>
        <v>Departemen Teknik Fisika</v>
      </c>
      <c r="R456" s="1"/>
      <c r="S456" s="1"/>
      <c r="T456" s="1"/>
      <c r="U456" s="1" t="str">
        <f ca="1">IFERROR(__xludf.DUMMYFUNCTION("""COMPUTED_VALUE"""),"Alief Wikarta, ST., MSc.Eng. Ph.D")</f>
        <v>Alief Wikarta, ST., MSc.Eng. Ph.D</v>
      </c>
      <c r="V456" s="1" t="str">
        <f ca="1">IFERROR(__xludf.DUMMYFUNCTION("""COMPUTED_VALUE"""),"Muhammad Syifaul Mufid, S.Si.,M.Si")</f>
        <v>Muhammad Syifaul Mufid, S.Si.,M.Si</v>
      </c>
      <c r="W456" s="1"/>
      <c r="X456" s="1" t="str">
        <f ca="1">IFERROR(__xludf.DUMMYFUNCTION("""COMPUTED_VALUE"""),"Lolos")</f>
        <v>Lolos</v>
      </c>
      <c r="Y456" s="1"/>
      <c r="Z456" s="1"/>
      <c r="AA456" s="1"/>
    </row>
    <row r="457" spans="1:27">
      <c r="A457" s="1" t="s">
        <v>451</v>
      </c>
      <c r="B457" s="1">
        <f ca="1">IFERROR(__xludf.DUMMYFUNCTION("""COMPUTED_VALUE"""),2222)</f>
        <v>2222</v>
      </c>
      <c r="C457" s="1" t="str">
        <f ca="1">IFERROR(__xludf.DUMMYFUNCTION("""COMPUTED_VALUE"""),"PKM Riset Eksakta")</f>
        <v>PKM Riset Eksakta</v>
      </c>
      <c r="D457" s="1" t="str">
        <f ca="1">IFERROR(__xludf.DUMMYFUNCTION("""COMPUTED_VALUE"""),"Studi Pengaruh Penambahan Xilitol dan Sorbitol Terhadap workability dan kuat tekan mortar geopolimer")</f>
        <v>Studi Pengaruh Penambahan Xilitol dan Sorbitol Terhadap workability dan kuat tekan mortar geopolimer</v>
      </c>
      <c r="E457" s="1" t="str">
        <f ca="1">IFERROR(__xludf.DUMMYFUNCTION("""COMPUTED_VALUE"""),"RIFQI NADHIF ARRAFID")</f>
        <v>RIFQI NADHIF ARRAFID</v>
      </c>
      <c r="F457" s="1" t="str">
        <f ca="1">IFERROR(__xludf.DUMMYFUNCTION("""COMPUTED_VALUE"""),"10111810013012")</f>
        <v>10111810013012</v>
      </c>
      <c r="G457" s="1" t="str">
        <f ca="1">IFERROR(__xludf.DUMMYFUNCTION("""COMPUTED_VALUE"""),"Departemen Teknik Infrastruktur Sipil")</f>
        <v>Departemen Teknik Infrastruktur Sipil</v>
      </c>
      <c r="H457" s="1" t="str">
        <f ca="1">IFERROR(__xludf.DUMMYFUNCTION("""COMPUTED_VALUE"""),"Dr.Eng. Yuyun Tajunnisa, S.T., M.T.")</f>
        <v>Dr.Eng. Yuyun Tajunnisa, S.T., M.T.</v>
      </c>
      <c r="I457" s="1" t="str">
        <f ca="1">IFERROR(__xludf.DUMMYFUNCTION("""COMPUTED_VALUE"""),"UMI ARIFATUS SHOIFAH")</f>
        <v>UMI ARIFATUS SHOIFAH</v>
      </c>
      <c r="J457" s="1" t="str">
        <f ca="1">IFERROR(__xludf.DUMMYFUNCTION("""COMPUTED_VALUE"""),"10111810010025")</f>
        <v>10111810010025</v>
      </c>
      <c r="K457" s="1" t="str">
        <f ca="1">IFERROR(__xludf.DUMMYFUNCTION("""COMPUTED_VALUE"""),"Departemen Teknik Infrastruktur Sipil")</f>
        <v>Departemen Teknik Infrastruktur Sipil</v>
      </c>
      <c r="L457" s="1" t="str">
        <f ca="1">IFERROR(__xludf.DUMMYFUNCTION("""COMPUTED_VALUE"""),"BOY TRIONO HALOHO")</f>
        <v>BOY TRIONO HALOHO</v>
      </c>
      <c r="M457" s="1" t="str">
        <f ca="1">IFERROR(__xludf.DUMMYFUNCTION("""COMPUTED_VALUE"""),"2035201077")</f>
        <v>2035201077</v>
      </c>
      <c r="N457" s="1" t="str">
        <f ca="1">IFERROR(__xludf.DUMMYFUNCTION("""COMPUTED_VALUE"""),"Departemen Teknik Infrastruktur Sipil")</f>
        <v>Departemen Teknik Infrastruktur Sipil</v>
      </c>
      <c r="O457" s="1" t="str">
        <f ca="1">IFERROR(__xludf.DUMMYFUNCTION("""COMPUTED_VALUE"""),"PRADHIKTA NAUFAL IRFANDA")</f>
        <v>PRADHIKTA NAUFAL IRFANDA</v>
      </c>
      <c r="P457" s="1" t="str">
        <f ca="1">IFERROR(__xludf.DUMMYFUNCTION("""COMPUTED_VALUE"""),"06211840000051")</f>
        <v>06211840000051</v>
      </c>
      <c r="Q457" s="1" t="str">
        <f ca="1">IFERROR(__xludf.DUMMYFUNCTION("""COMPUTED_VALUE"""),"Departemen Statistika")</f>
        <v>Departemen Statistika</v>
      </c>
      <c r="R457" s="1" t="str">
        <f ca="1">IFERROR(__xludf.DUMMYFUNCTION("""COMPUTED_VALUE"""),"FIRMAN MAULANA SAPUTRA")</f>
        <v>FIRMAN MAULANA SAPUTRA</v>
      </c>
      <c r="S457" s="1" t="str">
        <f ca="1">IFERROR(__xludf.DUMMYFUNCTION("""COMPUTED_VALUE"""),"2035201001")</f>
        <v>2035201001</v>
      </c>
      <c r="T457" s="1" t="str">
        <f ca="1">IFERROR(__xludf.DUMMYFUNCTION("""COMPUTED_VALUE"""),"Departemen Teknik Infrastruktur Sipil")</f>
        <v>Departemen Teknik Infrastruktur Sipil</v>
      </c>
      <c r="U457" s="1" t="str">
        <f ca="1">IFERROR(__xludf.DUMMYFUNCTION("""COMPUTED_VALUE"""),"Ahmad Fauzan Adziimaa, S.T., M.Sc.")</f>
        <v>Ahmad Fauzan Adziimaa, S.T., M.Sc.</v>
      </c>
      <c r="V457" s="1" t="str">
        <f ca="1">IFERROR(__xludf.DUMMYFUNCTION("""COMPUTED_VALUE"""),"Mahardika F. Rois, S.T, M.T")</f>
        <v>Mahardika F. Rois, S.T, M.T</v>
      </c>
      <c r="W457" s="1"/>
      <c r="X457" s="1" t="str">
        <f ca="1">IFERROR(__xludf.DUMMYFUNCTION("""COMPUTED_VALUE"""),"Lolos")</f>
        <v>Lolos</v>
      </c>
      <c r="Y457" s="1"/>
      <c r="Z457" s="1"/>
      <c r="AA457" s="1"/>
    </row>
    <row r="458" spans="1:27">
      <c r="A458" s="1" t="s">
        <v>452</v>
      </c>
      <c r="B458" s="1">
        <f ca="1">IFERROR(__xludf.DUMMYFUNCTION("""COMPUTED_VALUE"""),3998)</f>
        <v>3998</v>
      </c>
      <c r="C458" s="1" t="str">
        <f ca="1">IFERROR(__xludf.DUMMYFUNCTION("""COMPUTED_VALUE"""),"PKM Riset Eksakta")</f>
        <v>PKM Riset Eksakta</v>
      </c>
      <c r="D458" s="1" t="str">
        <f ca="1">IFERROR(__xludf.DUMMYFUNCTION("""COMPUTED_VALUE"""),"Pengaruh enkapsulasi silika pada MOF ZIF-8/TiO2 berbasis beads alginat untuk fotokatalis tetrasiklin")</f>
        <v>Pengaruh enkapsulasi silika pada MOF ZIF-8/TiO2 berbasis beads alginat untuk fotokatalis tetrasiklin</v>
      </c>
      <c r="E458" s="1" t="str">
        <f ca="1">IFERROR(__xludf.DUMMYFUNCTION("""COMPUTED_VALUE"""),"ADHIMAS NURUL MUSTOFA")</f>
        <v>ADHIMAS NURUL MUSTOFA</v>
      </c>
      <c r="F458" s="1" t="str">
        <f ca="1">IFERROR(__xludf.DUMMYFUNCTION("""COMPUTED_VALUE"""),"01211840000049")</f>
        <v>01211840000049</v>
      </c>
      <c r="G458" s="1" t="str">
        <f ca="1">IFERROR(__xludf.DUMMYFUNCTION("""COMPUTED_VALUE"""),"Departemen Kimia")</f>
        <v>Departemen Kimia</v>
      </c>
      <c r="H458" s="1" t="str">
        <f ca="1">IFERROR(__xludf.DUMMYFUNCTION("""COMPUTED_VALUE"""),"Dra. Ratna Ediati, MS., Ph.D.")</f>
        <v>Dra. Ratna Ediati, MS., Ph.D.</v>
      </c>
      <c r="I458" s="1" t="str">
        <f ca="1">IFERROR(__xludf.DUMMYFUNCTION("""COMPUTED_VALUE"""),"RIFDAH ADYA SALSABILA")</f>
        <v>RIFDAH ADYA SALSABILA</v>
      </c>
      <c r="J458" s="1" t="str">
        <f ca="1">IFERROR(__xludf.DUMMYFUNCTION("""COMPUTED_VALUE"""),"5004201050")</f>
        <v>5004201050</v>
      </c>
      <c r="K458" s="1" t="str">
        <f ca="1">IFERROR(__xludf.DUMMYFUNCTION("""COMPUTED_VALUE"""),"Departemen Kimia")</f>
        <v>Departemen Kimia</v>
      </c>
      <c r="L458" s="1" t="str">
        <f ca="1">IFERROR(__xludf.DUMMYFUNCTION("""COMPUTED_VALUE"""),"BATARI AWARDHA")</f>
        <v>BATARI AWARDHA</v>
      </c>
      <c r="M458" s="1" t="str">
        <f ca="1">IFERROR(__xludf.DUMMYFUNCTION("""COMPUTED_VALUE"""),"5004201018")</f>
        <v>5004201018</v>
      </c>
      <c r="N458" s="1" t="str">
        <f ca="1">IFERROR(__xludf.DUMMYFUNCTION("""COMPUTED_VALUE"""),"Departemen Kimia")</f>
        <v>Departemen Kimia</v>
      </c>
      <c r="O458" s="1" t="str">
        <f ca="1">IFERROR(__xludf.DUMMYFUNCTION("""COMPUTED_VALUE"""),"ARDI LUKMAN HAKIM")</f>
        <v>ARDI LUKMAN HAKIM</v>
      </c>
      <c r="P458" s="1" t="str">
        <f ca="1">IFERROR(__xludf.DUMMYFUNCTION("""COMPUTED_VALUE"""),"5004201040")</f>
        <v>5004201040</v>
      </c>
      <c r="Q458" s="1" t="str">
        <f ca="1">IFERROR(__xludf.DUMMYFUNCTION("""COMPUTED_VALUE"""),"Departemen Kimia")</f>
        <v>Departemen Kimia</v>
      </c>
      <c r="R458" s="1"/>
      <c r="S458" s="1"/>
      <c r="T458" s="1"/>
      <c r="U458" s="1" t="str">
        <f ca="1">IFERROR(__xludf.DUMMYFUNCTION("""COMPUTED_VALUE"""),"Dr. Awik Puji Dyah Nurhayati, S.Si., M.Si.")</f>
        <v>Dr. Awik Puji Dyah Nurhayati, S.Si., M.Si.</v>
      </c>
      <c r="V458" s="1" t="str">
        <f ca="1">IFERROR(__xludf.DUMMYFUNCTION("""COMPUTED_VALUE"""),"Iska Desmawati, S.Si., M.Si.")</f>
        <v>Iska Desmawati, S.Si., M.Si.</v>
      </c>
      <c r="W458" s="1"/>
      <c r="X458" s="1" t="str">
        <f ca="1">IFERROR(__xludf.DUMMYFUNCTION("""COMPUTED_VALUE"""),"Lolos")</f>
        <v>Lolos</v>
      </c>
      <c r="Y458" s="1"/>
      <c r="Z458" s="1"/>
      <c r="AA458" s="1"/>
    </row>
    <row r="459" spans="1:27">
      <c r="A459" s="1" t="s">
        <v>453</v>
      </c>
      <c r="B459" s="1">
        <f ca="1">IFERROR(__xludf.DUMMYFUNCTION("""COMPUTED_VALUE"""),2094)</f>
        <v>2094</v>
      </c>
      <c r="C459" s="1" t="str">
        <f ca="1">IFERROR(__xludf.DUMMYFUNCTION("""COMPUTED_VALUE"""),"PKM Riset Eksakta")</f>
        <v>PKM Riset Eksakta</v>
      </c>
      <c r="D459" s="1" t="str">
        <f ca="1">IFERROR(__xludf.DUMMYFUNCTION("""COMPUTED_VALUE"""),"SINTESIS HIDROKSIAPATIT DARI LIMBAH CANGKANG KEONG SAWAH DENGAN KOMBINASI POLYCAPROLACTONE (PCL) SEBAGAI SUTURE ANCHOR BERBASIS 3D PRINTING ")</f>
        <v xml:space="preserve">SINTESIS HIDROKSIAPATIT DARI LIMBAH CANGKANG KEONG SAWAH DENGAN KOMBINASI POLYCAPROLACTONE (PCL) SEBAGAI SUTURE ANCHOR BERBASIS 3D PRINTING </v>
      </c>
      <c r="E459" s="1" t="str">
        <f ca="1">IFERROR(__xludf.DUMMYFUNCTION("""COMPUTED_VALUE"""),"MUHAMMAD ALVIN HIDAYATULLAH")</f>
        <v>MUHAMMAD ALVIN HIDAYATULLAH</v>
      </c>
      <c r="F459" s="1" t="str">
        <f ca="1">IFERROR(__xludf.DUMMYFUNCTION("""COMPUTED_VALUE"""),"10411810000027")</f>
        <v>10411810000027</v>
      </c>
      <c r="G459" s="1" t="str">
        <f ca="1">IFERROR(__xludf.DUMMYFUNCTION("""COMPUTED_VALUE"""),"Departemen Teknik Kimia Industri")</f>
        <v>Departemen Teknik Kimia Industri</v>
      </c>
      <c r="H459" s="1" t="str">
        <f ca="1">IFERROR(__xludf.DUMMYFUNCTION("""COMPUTED_VALUE"""),"Dr. Eng. Achmad Dwitama Karisma, S.T., M.T.")</f>
        <v>Dr. Eng. Achmad Dwitama Karisma, S.T., M.T.</v>
      </c>
      <c r="I459" s="1" t="str">
        <f ca="1">IFERROR(__xludf.DUMMYFUNCTION("""COMPUTED_VALUE"""),"ANNISA ALIFIA RAHMAH")</f>
        <v>ANNISA ALIFIA RAHMAH</v>
      </c>
      <c r="J459" s="1" t="str">
        <f ca="1">IFERROR(__xludf.DUMMYFUNCTION("""COMPUTED_VALUE"""),"10411810000023")</f>
        <v>10411810000023</v>
      </c>
      <c r="K459" s="1" t="str">
        <f ca="1">IFERROR(__xludf.DUMMYFUNCTION("""COMPUTED_VALUE"""),"Departemen Teknik Kimia Industri")</f>
        <v>Departemen Teknik Kimia Industri</v>
      </c>
      <c r="L459" s="1" t="str">
        <f ca="1">IFERROR(__xludf.DUMMYFUNCTION("""COMPUTED_VALUE"""),"BASKORO DAVID BERLIAN")</f>
        <v>BASKORO DAVID BERLIAN</v>
      </c>
      <c r="M459" s="1" t="str">
        <f ca="1">IFERROR(__xludf.DUMMYFUNCTION("""COMPUTED_VALUE"""),"10411910000013")</f>
        <v>10411910000013</v>
      </c>
      <c r="N459" s="1" t="str">
        <f ca="1">IFERROR(__xludf.DUMMYFUNCTION("""COMPUTED_VALUE"""),"Departemen Teknik Kimia Industri")</f>
        <v>Departemen Teknik Kimia Industri</v>
      </c>
      <c r="O459" s="1" t="str">
        <f ca="1">IFERROR(__xludf.DUMMYFUNCTION("""COMPUTED_VALUE"""),"TESA ULIMA ZHAFIRA")</f>
        <v>TESA ULIMA ZHAFIRA</v>
      </c>
      <c r="P459" s="1" t="str">
        <f ca="1">IFERROR(__xludf.DUMMYFUNCTION("""COMPUTED_VALUE"""),"10411910000023")</f>
        <v>10411910000023</v>
      </c>
      <c r="Q459" s="1" t="str">
        <f ca="1">IFERROR(__xludf.DUMMYFUNCTION("""COMPUTED_VALUE"""),"Departemen Teknik Kimia Industri")</f>
        <v>Departemen Teknik Kimia Industri</v>
      </c>
      <c r="R459" s="1" t="str">
        <f ca="1">IFERROR(__xludf.DUMMYFUNCTION("""COMPUTED_VALUE"""),"M ALDI NUGROHO")</f>
        <v>M ALDI NUGROHO</v>
      </c>
      <c r="S459" s="1" t="str">
        <f ca="1">IFERROR(__xludf.DUMMYFUNCTION("""COMPUTED_VALUE"""),"2041201080")</f>
        <v>2041201080</v>
      </c>
      <c r="T459" s="1" t="str">
        <f ca="1">IFERROR(__xludf.DUMMYFUNCTION("""COMPUTED_VALUE"""),"Departemen Teknik Kimia Industri")</f>
        <v>Departemen Teknik Kimia Industri</v>
      </c>
      <c r="U459" s="1" t="str">
        <f ca="1">IFERROR(__xludf.DUMMYFUNCTION("""COMPUTED_VALUE"""),"Dr. Awik Puji Dyah Nurhayati, S.Si., M.Si.")</f>
        <v>Dr. Awik Puji Dyah Nurhayati, S.Si., M.Si.</v>
      </c>
      <c r="V459" s="1" t="str">
        <f ca="1">IFERROR(__xludf.DUMMYFUNCTION("""COMPUTED_VALUE"""),"Sena Safarina , S.Si., M.Sc., D.Sc")</f>
        <v>Sena Safarina , S.Si., M.Sc., D.Sc</v>
      </c>
      <c r="W459" s="1"/>
      <c r="X459" s="1" t="str">
        <f ca="1">IFERROR(__xludf.DUMMYFUNCTION("""COMPUTED_VALUE"""),"Lolos")</f>
        <v>Lolos</v>
      </c>
      <c r="Y459" s="1"/>
      <c r="Z459" s="1"/>
      <c r="AA459" s="1"/>
    </row>
    <row r="460" spans="1:27">
      <c r="A460" s="1" t="s">
        <v>444</v>
      </c>
      <c r="B460" s="1">
        <f ca="1">IFERROR(__xludf.DUMMYFUNCTION("""COMPUTED_VALUE"""),2078)</f>
        <v>2078</v>
      </c>
      <c r="C460" s="1" t="str">
        <f ca="1">IFERROR(__xludf.DUMMYFUNCTION("""COMPUTED_VALUE"""),"PKM Riset Eksakta")</f>
        <v>PKM Riset Eksakta</v>
      </c>
      <c r="D460" s="1" t="str">
        <f ca="1">IFERROR(__xludf.DUMMYFUNCTION("""COMPUTED_VALUE"""),"Pengaruh Kuat Tekan Terhadap Workability Self-Compacting Geopolymer Concrete (SCGC) Berbasis High Calsium Fly Ash Pencampuran Metode Kering")</f>
        <v>Pengaruh Kuat Tekan Terhadap Workability Self-Compacting Geopolymer Concrete (SCGC) Berbasis High Calsium Fly Ash Pencampuran Metode Kering</v>
      </c>
      <c r="E460" s="1" t="str">
        <f ca="1">IFERROR(__xludf.DUMMYFUNCTION("""COMPUTED_VALUE"""),"ARWINDA ARIBAH CAHYANI")</f>
        <v>ARWINDA ARIBAH CAHYANI</v>
      </c>
      <c r="F460" s="1" t="str">
        <f ca="1">IFERROR(__xludf.DUMMYFUNCTION("""COMPUTED_VALUE"""),"10111810013003")</f>
        <v>10111810013003</v>
      </c>
      <c r="G460" s="1" t="str">
        <f ca="1">IFERROR(__xludf.DUMMYFUNCTION("""COMPUTED_VALUE"""),"Departemen Teknik Infrastruktur Sipil")</f>
        <v>Departemen Teknik Infrastruktur Sipil</v>
      </c>
      <c r="H460" s="1" t="str">
        <f ca="1">IFERROR(__xludf.DUMMYFUNCTION("""COMPUTED_VALUE"""),"Dr.Eng. Yuyun Tajunnisa, S.T., M.T.")</f>
        <v>Dr.Eng. Yuyun Tajunnisa, S.T., M.T.</v>
      </c>
      <c r="I460" s="1" t="str">
        <f ca="1">IFERROR(__xludf.DUMMYFUNCTION("""COMPUTED_VALUE"""),"DIKA KHULASHOTUL LATIVA")</f>
        <v>DIKA KHULASHOTUL LATIVA</v>
      </c>
      <c r="J460" s="1" t="str">
        <f ca="1">IFERROR(__xludf.DUMMYFUNCTION("""COMPUTED_VALUE"""),"10111910020039")</f>
        <v>10111910020039</v>
      </c>
      <c r="K460" s="1" t="str">
        <f ca="1">IFERROR(__xludf.DUMMYFUNCTION("""COMPUTED_VALUE"""),"Departemen Teknik Infrastruktur Sipil")</f>
        <v>Departemen Teknik Infrastruktur Sipil</v>
      </c>
      <c r="L460" s="1" t="str">
        <f ca="1">IFERROR(__xludf.DUMMYFUNCTION("""COMPUTED_VALUE"""),"BOY TRIONO HALOHO")</f>
        <v>BOY TRIONO HALOHO</v>
      </c>
      <c r="M460" s="1" t="str">
        <f ca="1">IFERROR(__xludf.DUMMYFUNCTION("""COMPUTED_VALUE"""),"2035201077")</f>
        <v>2035201077</v>
      </c>
      <c r="N460" s="1" t="str">
        <f ca="1">IFERROR(__xludf.DUMMYFUNCTION("""COMPUTED_VALUE"""),"Departemen Teknik Infrastruktur Sipil")</f>
        <v>Departemen Teknik Infrastruktur Sipil</v>
      </c>
      <c r="O460" s="1" t="str">
        <f ca="1">IFERROR(__xludf.DUMMYFUNCTION("""COMPUTED_VALUE"""),"CAHYO AJI ROLIONO")</f>
        <v>CAHYO AJI ROLIONO</v>
      </c>
      <c r="P460" s="1" t="str">
        <f ca="1">IFERROR(__xludf.DUMMYFUNCTION("""COMPUTED_VALUE"""),"10111910020016")</f>
        <v>10111910020016</v>
      </c>
      <c r="Q460" s="1" t="str">
        <f ca="1">IFERROR(__xludf.DUMMYFUNCTION("""COMPUTED_VALUE"""),"Departemen Teknik Infrastruktur Sipil")</f>
        <v>Departemen Teknik Infrastruktur Sipil</v>
      </c>
      <c r="R460" s="1" t="str">
        <f ca="1">IFERROR(__xludf.DUMMYFUNCTION("""COMPUTED_VALUE"""),"QOYYUM IMANIAR")</f>
        <v>QOYYUM IMANIAR</v>
      </c>
      <c r="S460" s="1" t="str">
        <f ca="1">IFERROR(__xludf.DUMMYFUNCTION("""COMPUTED_VALUE"""),"2036201040")</f>
        <v>2036201040</v>
      </c>
      <c r="T460" s="1" t="str">
        <f ca="1">IFERROR(__xludf.DUMMYFUNCTION("""COMPUTED_VALUE"""),"Departemen Teknik Infrastruktur Sipil")</f>
        <v>Departemen Teknik Infrastruktur Sipil</v>
      </c>
      <c r="U460" s="1" t="str">
        <f ca="1">IFERROR(__xludf.DUMMYFUNCTION("""COMPUTED_VALUE"""),"Dr.-Ing. Doty Dewi Risanti, S.T., M.T.")</f>
        <v>Dr.-Ing. Doty Dewi Risanti, S.T., M.T.</v>
      </c>
      <c r="V460" s="1" t="str">
        <f ca="1">IFERROR(__xludf.DUMMYFUNCTION("""COMPUTED_VALUE"""),"Annas Wiguno, S.T., M.T.")</f>
        <v>Annas Wiguno, S.T., M.T.</v>
      </c>
      <c r="W460" s="1"/>
      <c r="X460" s="1" t="str">
        <f ca="1">IFERROR(__xludf.DUMMYFUNCTION("""COMPUTED_VALUE"""),"Lolos")</f>
        <v>Lolos</v>
      </c>
      <c r="Y460" s="1"/>
      <c r="Z460" s="1"/>
      <c r="AA460" s="1"/>
    </row>
    <row r="461" spans="1:27">
      <c r="A461" s="1" t="s">
        <v>454</v>
      </c>
      <c r="B461" s="1">
        <f ca="1">IFERROR(__xludf.DUMMYFUNCTION("""COMPUTED_VALUE"""),2859)</f>
        <v>2859</v>
      </c>
      <c r="C461" s="1" t="str">
        <f ca="1">IFERROR(__xludf.DUMMYFUNCTION("""COMPUTED_VALUE"""),"PKM Riset Eksakta")</f>
        <v>PKM Riset Eksakta</v>
      </c>
      <c r="D461" s="1" t="str">
        <f ca="1">IFERROR(__xludf.DUMMYFUNCTION("""COMPUTED_VALUE"""),"Sintesis Zeolite A dari Abu Sekam Padi dengan Radiasi Gelombang Mikro Sebagai Builder Agent pada Deterjen Ramah Lingkungan")</f>
        <v>Sintesis Zeolite A dari Abu Sekam Padi dengan Radiasi Gelombang Mikro Sebagai Builder Agent pada Deterjen Ramah Lingkungan</v>
      </c>
      <c r="E461" s="1" t="str">
        <f ca="1">IFERROR(__xludf.DUMMYFUNCTION("""COMPUTED_VALUE"""),"MUHAMMAD FARHAN NABHAN")</f>
        <v>MUHAMMAD FARHAN NABHAN</v>
      </c>
      <c r="F461" s="1" t="str">
        <f ca="1">IFERROR(__xludf.DUMMYFUNCTION("""COMPUTED_VALUE"""),"10411810000078")</f>
        <v>10411810000078</v>
      </c>
      <c r="G461" s="1" t="str">
        <f ca="1">IFERROR(__xludf.DUMMYFUNCTION("""COMPUTED_VALUE"""),"Departemen Teknik Kimia Industri")</f>
        <v>Departemen Teknik Kimia Industri</v>
      </c>
      <c r="H461" s="1" t="str">
        <f ca="1">IFERROR(__xludf.DUMMYFUNCTION("""COMPUTED_VALUE"""),"Ir. Elly Agustiani, M.Eng")</f>
        <v>Ir. Elly Agustiani, M.Eng</v>
      </c>
      <c r="I461" s="1" t="str">
        <f ca="1">IFERROR(__xludf.DUMMYFUNCTION("""COMPUTED_VALUE"""),"RISA ANANDA PUTRI")</f>
        <v>RISA ANANDA PUTRI</v>
      </c>
      <c r="J461" s="1" t="str">
        <f ca="1">IFERROR(__xludf.DUMMYFUNCTION("""COMPUTED_VALUE"""),"10411810000015")</f>
        <v>10411810000015</v>
      </c>
      <c r="K461" s="1" t="str">
        <f ca="1">IFERROR(__xludf.DUMMYFUNCTION("""COMPUTED_VALUE"""),"Departemen Teknik Kimia Industri")</f>
        <v>Departemen Teknik Kimia Industri</v>
      </c>
      <c r="L461" s="1" t="str">
        <f ca="1">IFERROR(__xludf.DUMMYFUNCTION("""COMPUTED_VALUE"""),"KHARISMA BULAN MARTASYA")</f>
        <v>KHARISMA BULAN MARTASYA</v>
      </c>
      <c r="M461" s="1" t="str">
        <f ca="1">IFERROR(__xludf.DUMMYFUNCTION("""COMPUTED_VALUE"""),"10411910000008")</f>
        <v>10411910000008</v>
      </c>
      <c r="N461" s="1" t="str">
        <f ca="1">IFERROR(__xludf.DUMMYFUNCTION("""COMPUTED_VALUE"""),"Departemen Teknik Kimia Industri")</f>
        <v>Departemen Teknik Kimia Industri</v>
      </c>
      <c r="O461" s="1" t="str">
        <f ca="1">IFERROR(__xludf.DUMMYFUNCTION("""COMPUTED_VALUE"""),"NANDANA HANIF RIAN FAUSTA")</f>
        <v>NANDANA HANIF RIAN FAUSTA</v>
      </c>
      <c r="P461" s="1" t="str">
        <f ca="1">IFERROR(__xludf.DUMMYFUNCTION("""COMPUTED_VALUE"""),"10411910000066")</f>
        <v>10411910000066</v>
      </c>
      <c r="Q461" s="1" t="str">
        <f ca="1">IFERROR(__xludf.DUMMYFUNCTION("""COMPUTED_VALUE"""),"Departemen Teknik Kimia Industri")</f>
        <v>Departemen Teknik Kimia Industri</v>
      </c>
      <c r="R461" s="1"/>
      <c r="S461" s="1"/>
      <c r="T461" s="1"/>
      <c r="U461" s="1" t="str">
        <f ca="1">IFERROR(__xludf.DUMMYFUNCTION("""COMPUTED_VALUE"""),"Dr. Awik Puji Dyah Nurhayati, S.Si., M.Si.")</f>
        <v>Dr. Awik Puji Dyah Nurhayati, S.Si., M.Si.</v>
      </c>
      <c r="V461" s="1" t="str">
        <f ca="1">IFERROR(__xludf.DUMMYFUNCTION("""COMPUTED_VALUE"""),"Sena Safarina , S.Si., M.Sc., D.Sc")</f>
        <v>Sena Safarina , S.Si., M.Sc., D.Sc</v>
      </c>
      <c r="W461" s="1"/>
      <c r="X461" s="1" t="str">
        <f ca="1">IFERROR(__xludf.DUMMYFUNCTION("""COMPUTED_VALUE"""),"Lolos")</f>
        <v>Lolos</v>
      </c>
      <c r="Y461" s="1"/>
      <c r="Z461" s="1"/>
      <c r="AA461" s="1"/>
    </row>
    <row r="462" spans="1:27">
      <c r="A462" s="1" t="s">
        <v>455</v>
      </c>
      <c r="B462" s="1">
        <f ca="1">IFERROR(__xludf.DUMMYFUNCTION("""COMPUTED_VALUE"""),2990)</f>
        <v>2990</v>
      </c>
      <c r="C462" s="1" t="str">
        <f ca="1">IFERROR(__xludf.DUMMYFUNCTION("""COMPUTED_VALUE"""),"PKM Riset Eksakta")</f>
        <v>PKM Riset Eksakta</v>
      </c>
      <c r="D462" s="1" t="str">
        <f ca="1">IFERROR(__xludf.DUMMYFUNCTION("""COMPUTED_VALUE"""),"MINYAK GORENG SEHAT DARI CRUDE PALM OIL (CPO) DENGAN METODE KOMBINASI MICROWAVE ASSISTED EXTRACTION (MAE)-BATCHWISE SOLVENT EXTRACTION (BSE)")</f>
        <v>MINYAK GORENG SEHAT DARI CRUDE PALM OIL (CPO) DENGAN METODE KOMBINASI MICROWAVE ASSISTED EXTRACTION (MAE)-BATCHWISE SOLVENT EXTRACTION (BSE)</v>
      </c>
      <c r="E462" s="1" t="str">
        <f ca="1">IFERROR(__xludf.DUMMYFUNCTION("""COMPUTED_VALUE"""),"ANGGUN SEKAR MADHANI")</f>
        <v>ANGGUN SEKAR MADHANI</v>
      </c>
      <c r="F462" s="1" t="str">
        <f ca="1">IFERROR(__xludf.DUMMYFUNCTION("""COMPUTED_VALUE"""),"5008201087")</f>
        <v>5008201087</v>
      </c>
      <c r="G462" s="1" t="str">
        <f ca="1">IFERROR(__xludf.DUMMYFUNCTION("""COMPUTED_VALUE"""),"Departemen Teknik Kimia")</f>
        <v>Departemen Teknik Kimia</v>
      </c>
      <c r="H462" s="1" t="str">
        <f ca="1">IFERROR(__xludf.DUMMYFUNCTION("""COMPUTED_VALUE"""),"Hakun Wirawasista Aparamarta, S.T., M.MT., Ph.D.")</f>
        <v>Hakun Wirawasista Aparamarta, S.T., M.MT., Ph.D.</v>
      </c>
      <c r="I462" s="1" t="str">
        <f ca="1">IFERROR(__xludf.DUMMYFUNCTION("""COMPUTED_VALUE"""),"SAYYIDA ALWI NAHDIANA")</f>
        <v>SAYYIDA ALWI NAHDIANA</v>
      </c>
      <c r="J462" s="1" t="str">
        <f ca="1">IFERROR(__xludf.DUMMYFUNCTION("""COMPUTED_VALUE"""),"5008201085")</f>
        <v>5008201085</v>
      </c>
      <c r="K462" s="1" t="str">
        <f ca="1">IFERROR(__xludf.DUMMYFUNCTION("""COMPUTED_VALUE"""),"Departemen Teknik Kimia")</f>
        <v>Departemen Teknik Kimia</v>
      </c>
      <c r="L462" s="1" t="str">
        <f ca="1">IFERROR(__xludf.DUMMYFUNCTION("""COMPUTED_VALUE"""),"CENTRI NURCAHYANI")</f>
        <v>CENTRI NURCAHYANI</v>
      </c>
      <c r="M462" s="1" t="str">
        <f ca="1">IFERROR(__xludf.DUMMYFUNCTION("""COMPUTED_VALUE"""),"5008211149")</f>
        <v>5008211149</v>
      </c>
      <c r="N462" s="1" t="str">
        <f ca="1">IFERROR(__xludf.DUMMYFUNCTION("""COMPUTED_VALUE"""),"Departemen Teknik Kimia")</f>
        <v>Departemen Teknik Kimia</v>
      </c>
      <c r="O462" s="1" t="str">
        <f ca="1">IFERROR(__xludf.DUMMYFUNCTION("""COMPUTED_VALUE"""),"Nadiya Rizki Safitri")</f>
        <v>Nadiya Rizki Safitri</v>
      </c>
      <c r="P462" s="1" t="str">
        <f ca="1">IFERROR(__xludf.DUMMYFUNCTION("""COMPUTED_VALUE"""),"5008211174")</f>
        <v>5008211174</v>
      </c>
      <c r="Q462" s="1" t="str">
        <f ca="1">IFERROR(__xludf.DUMMYFUNCTION("""COMPUTED_VALUE"""),"Departemen Teknik Kimia")</f>
        <v>Departemen Teknik Kimia</v>
      </c>
      <c r="R462" s="1"/>
      <c r="S462" s="1"/>
      <c r="T462" s="1"/>
      <c r="U462" s="1" t="str">
        <f ca="1">IFERROR(__xludf.DUMMYFUNCTION("""COMPUTED_VALUE"""),"Dr. Awik Puji Dyah Nurhayati, S.Si., M.Si.")</f>
        <v>Dr. Awik Puji Dyah Nurhayati, S.Si., M.Si.</v>
      </c>
      <c r="V462" s="1" t="str">
        <f ca="1">IFERROR(__xludf.DUMMYFUNCTION("""COMPUTED_VALUE"""),"Sena Safarina , S.Si., M.Sc., D.Sc")</f>
        <v>Sena Safarina , S.Si., M.Sc., D.Sc</v>
      </c>
      <c r="W462" s="1"/>
      <c r="X462" s="1" t="str">
        <f ca="1">IFERROR(__xludf.DUMMYFUNCTION("""COMPUTED_VALUE"""),"Lolos")</f>
        <v>Lolos</v>
      </c>
      <c r="Y462" s="1"/>
      <c r="Z462" s="1"/>
      <c r="AA462" s="1"/>
    </row>
    <row r="463" spans="1:27">
      <c r="A463" s="1" t="s">
        <v>456</v>
      </c>
      <c r="B463" s="1">
        <f ca="1">IFERROR(__xludf.DUMMYFUNCTION("""COMPUTED_VALUE"""),3060)</f>
        <v>3060</v>
      </c>
      <c r="C463" s="1" t="str">
        <f ca="1">IFERROR(__xludf.DUMMYFUNCTION("""COMPUTED_VALUE"""),"PKM Riset Eksakta")</f>
        <v>PKM Riset Eksakta</v>
      </c>
      <c r="D463" s="1" t="str">
        <f ca="1">IFERROR(__xludf.DUMMYFUNCTION("""COMPUTED_VALUE"""),"ALTERNATIF EDIBLE FILM PEKTIN MODIFIKASI BERBASIS KULIT LABU KUNING SEBAGAI INOVASI KEMASAN RAMAH LINGKUNGAN
")</f>
        <v xml:space="preserve">ALTERNATIF EDIBLE FILM PEKTIN MODIFIKASI BERBASIS KULIT LABU KUNING SEBAGAI INOVASI KEMASAN RAMAH LINGKUNGAN
</v>
      </c>
      <c r="E463" s="1" t="str">
        <f ca="1">IFERROR(__xludf.DUMMYFUNCTION("""COMPUTED_VALUE"""),"YOSEPH MEIDYANTO H.")</f>
        <v>YOSEPH MEIDYANTO H.</v>
      </c>
      <c r="F463" s="1" t="str">
        <f ca="1">IFERROR(__xludf.DUMMYFUNCTION("""COMPUTED_VALUE"""),"2041211044")</f>
        <v>2041211044</v>
      </c>
      <c r="G463" s="1" t="str">
        <f ca="1">IFERROR(__xludf.DUMMYFUNCTION("""COMPUTED_VALUE"""),"Departemen Teknik Kimia Industri")</f>
        <v>Departemen Teknik Kimia Industri</v>
      </c>
      <c r="H463" s="1" t="str">
        <f ca="1">IFERROR(__xludf.DUMMYFUNCTION("""COMPUTED_VALUE"""),"Ir. Agus Surono, M.T.")</f>
        <v>Ir. Agus Surono, M.T.</v>
      </c>
      <c r="I463" s="1" t="str">
        <f ca="1">IFERROR(__xludf.DUMMYFUNCTION("""COMPUTED_VALUE"""),"Angguntyas Ilmi M.")</f>
        <v>Angguntyas Ilmi M.</v>
      </c>
      <c r="J463" s="1" t="str">
        <f ca="1">IFERROR(__xludf.DUMMYFUNCTION("""COMPUTED_VALUE"""),"2041211040")</f>
        <v>2041211040</v>
      </c>
      <c r="K463" s="1" t="str">
        <f ca="1">IFERROR(__xludf.DUMMYFUNCTION("""COMPUTED_VALUE"""),"Departemen Teknik Kimia Industri")</f>
        <v>Departemen Teknik Kimia Industri</v>
      </c>
      <c r="L463" s="1" t="str">
        <f ca="1">IFERROR(__xludf.DUMMYFUNCTION("""COMPUTED_VALUE"""),"Devika Nurlaela S")</f>
        <v>Devika Nurlaela S</v>
      </c>
      <c r="M463" s="1" t="str">
        <f ca="1">IFERROR(__xludf.DUMMYFUNCTION("""COMPUTED_VALUE"""),"2041211051")</f>
        <v>2041211051</v>
      </c>
      <c r="N463" s="1" t="str">
        <f ca="1">IFERROR(__xludf.DUMMYFUNCTION("""COMPUTED_VALUE"""),"Departemen Teknik Kimia Industri")</f>
        <v>Departemen Teknik Kimia Industri</v>
      </c>
      <c r="O463" s="1" t="str">
        <f ca="1">IFERROR(__xludf.DUMMYFUNCTION("""COMPUTED_VALUE"""),"Alfuad Deka")</f>
        <v>Alfuad Deka</v>
      </c>
      <c r="P463" s="1" t="str">
        <f ca="1">IFERROR(__xludf.DUMMYFUNCTION("""COMPUTED_VALUE"""),"2041211077")</f>
        <v>2041211077</v>
      </c>
      <c r="Q463" s="1" t="str">
        <f ca="1">IFERROR(__xludf.DUMMYFUNCTION("""COMPUTED_VALUE"""),"Departemen Teknik Kimia Industri")</f>
        <v>Departemen Teknik Kimia Industri</v>
      </c>
      <c r="R463" s="1" t="str">
        <f ca="1">IFERROR(__xludf.DUMMYFUNCTION("""COMPUTED_VALUE"""),"HANSEL PINGGALA MAHESWARA")</f>
        <v>HANSEL PINGGALA MAHESWARA</v>
      </c>
      <c r="S463" s="1" t="str">
        <f ca="1">IFERROR(__xludf.DUMMYFUNCTION("""COMPUTED_VALUE"""),"2042201110")</f>
        <v>2042201110</v>
      </c>
      <c r="T463" s="1" t="str">
        <f ca="1">IFERROR(__xludf.DUMMYFUNCTION("""COMPUTED_VALUE"""),"Departemen Teknik Instrumentasi")</f>
        <v>Departemen Teknik Instrumentasi</v>
      </c>
      <c r="U463" s="1" t="str">
        <f ca="1">IFERROR(__xludf.DUMMYFUNCTION("""COMPUTED_VALUE"""),"Dr. Dhany Arifianto, S.T., M.Eng.")</f>
        <v>Dr. Dhany Arifianto, S.T., M.Eng.</v>
      </c>
      <c r="V463" s="1" t="str">
        <f ca="1">IFERROR(__xludf.DUMMYFUNCTION("""COMPUTED_VALUE"""),"Dra. Ratna Ediati, MS., Ph.D.")</f>
        <v>Dra. Ratna Ediati, MS., Ph.D.</v>
      </c>
      <c r="W463" s="1"/>
      <c r="X463" s="1" t="str">
        <f ca="1">IFERROR(__xludf.DUMMYFUNCTION("""COMPUTED_VALUE"""),"Lolos")</f>
        <v>Lolos</v>
      </c>
      <c r="Y463" s="1"/>
      <c r="Z463" s="1"/>
      <c r="AA463" s="1"/>
    </row>
    <row r="464" spans="1:27">
      <c r="A464" s="1" t="s">
        <v>457</v>
      </c>
      <c r="B464" s="1">
        <f ca="1">IFERROR(__xludf.DUMMYFUNCTION("""COMPUTED_VALUE"""),3381)</f>
        <v>3381</v>
      </c>
      <c r="C464" s="1" t="str">
        <f ca="1">IFERROR(__xludf.DUMMYFUNCTION("""COMPUTED_VALUE"""),"PKM Riset Eksakta")</f>
        <v>PKM Riset Eksakta</v>
      </c>
      <c r="D464" s="1" t="str">
        <f ca="1">IFERROR(__xludf.DUMMYFUNCTION("""COMPUTED_VALUE"""),"Efektivitas Mikroba Konsorsium Terimobilisasi pada Na-Alginat untuk Pengolahan Limbah Industri Tahu")</f>
        <v>Efektivitas Mikroba Konsorsium Terimobilisasi pada Na-Alginat untuk Pengolahan Limbah Industri Tahu</v>
      </c>
      <c r="E464" s="1" t="str">
        <f ca="1">IFERROR(__xludf.DUMMYFUNCTION("""COMPUTED_VALUE"""),"KHAIRUNNISA AFIFAH AWWALIYYAH QOTHRUNNADA")</f>
        <v>KHAIRUNNISA AFIFAH AWWALIYYAH QOTHRUNNADA</v>
      </c>
      <c r="F464" s="1" t="str">
        <f ca="1">IFERROR(__xludf.DUMMYFUNCTION("""COMPUTED_VALUE"""),"10411910000072")</f>
        <v>10411910000072</v>
      </c>
      <c r="G464" s="1" t="str">
        <f ca="1">IFERROR(__xludf.DUMMYFUNCTION("""COMPUTED_VALUE"""),"Departemen Teknik Kimia Industri")</f>
        <v>Departemen Teknik Kimia Industri</v>
      </c>
      <c r="H464" s="1" t="str">
        <f ca="1">IFERROR(__xludf.DUMMYFUNCTION("""COMPUTED_VALUE"""),"Dr. Afan Hamzah, S.T.")</f>
        <v>Dr. Afan Hamzah, S.T.</v>
      </c>
      <c r="I464" s="1" t="str">
        <f ca="1">IFERROR(__xludf.DUMMYFUNCTION("""COMPUTED_VALUE"""),"FAHRI NAILUR ROHAMAT")</f>
        <v>FAHRI NAILUR ROHAMAT</v>
      </c>
      <c r="J464" s="1" t="str">
        <f ca="1">IFERROR(__xludf.DUMMYFUNCTION("""COMPUTED_VALUE"""),"10411910000052")</f>
        <v>10411910000052</v>
      </c>
      <c r="K464" s="1" t="str">
        <f ca="1">IFERROR(__xludf.DUMMYFUNCTION("""COMPUTED_VALUE"""),"Departemen Teknik Kimia Industri")</f>
        <v>Departemen Teknik Kimia Industri</v>
      </c>
      <c r="L464" s="1" t="str">
        <f ca="1">IFERROR(__xludf.DUMMYFUNCTION("""COMPUTED_VALUE"""),"LUTFI NUR AINI")</f>
        <v>LUTFI NUR AINI</v>
      </c>
      <c r="M464" s="1" t="str">
        <f ca="1">IFERROR(__xludf.DUMMYFUNCTION("""COMPUTED_VALUE"""),"10411910000004")</f>
        <v>10411910000004</v>
      </c>
      <c r="N464" s="1" t="str">
        <f ca="1">IFERROR(__xludf.DUMMYFUNCTION("""COMPUTED_VALUE"""),"Departemen Teknik Kimia Industri")</f>
        <v>Departemen Teknik Kimia Industri</v>
      </c>
      <c r="O464" s="1" t="str">
        <f ca="1">IFERROR(__xludf.DUMMYFUNCTION("""COMPUTED_VALUE"""),"NAURAH NAHDAH ZAHRANDIKA")</f>
        <v>NAURAH NAHDAH ZAHRANDIKA</v>
      </c>
      <c r="P464" s="1" t="str">
        <f ca="1">IFERROR(__xludf.DUMMYFUNCTION("""COMPUTED_VALUE"""),"10411910000014")</f>
        <v>10411910000014</v>
      </c>
      <c r="Q464" s="1" t="str">
        <f ca="1">IFERROR(__xludf.DUMMYFUNCTION("""COMPUTED_VALUE"""),"Departemen Teknik Kimia Industri")</f>
        <v>Departemen Teknik Kimia Industri</v>
      </c>
      <c r="R464" s="1" t="str">
        <f ca="1">IFERROR(__xludf.DUMMYFUNCTION("""COMPUTED_VALUE"""),"BERIN AMANDA PUTRI")</f>
        <v>BERIN AMANDA PUTRI</v>
      </c>
      <c r="S464" s="1" t="str">
        <f ca="1">IFERROR(__xludf.DUMMYFUNCTION("""COMPUTED_VALUE"""),"2041201089")</f>
        <v>2041201089</v>
      </c>
      <c r="T464" s="1" t="str">
        <f ca="1">IFERROR(__xludf.DUMMYFUNCTION("""COMPUTED_VALUE"""),"Departemen Teknik Kimia Industri")</f>
        <v>Departemen Teknik Kimia Industri</v>
      </c>
      <c r="U464" s="1" t="str">
        <f ca="1">IFERROR(__xludf.DUMMYFUNCTION("""COMPUTED_VALUE"""),"Ahmad Fauzan Adziimaa, S.T., M.Sc.")</f>
        <v>Ahmad Fauzan Adziimaa, S.T., M.Sc.</v>
      </c>
      <c r="V464" s="1" t="str">
        <f ca="1">IFERROR(__xludf.DUMMYFUNCTION("""COMPUTED_VALUE"""),"Sena Safarina , S.Si., M.Sc., D.Sc")</f>
        <v>Sena Safarina , S.Si., M.Sc., D.Sc</v>
      </c>
      <c r="W464" s="1"/>
      <c r="X464" s="1" t="str">
        <f ca="1">IFERROR(__xludf.DUMMYFUNCTION("""COMPUTED_VALUE"""),"Lolos")</f>
        <v>Lolos</v>
      </c>
      <c r="Y464" s="1"/>
      <c r="Z464" s="1"/>
      <c r="AA464" s="1"/>
    </row>
    <row r="465" spans="1:27">
      <c r="A465" s="1" t="s">
        <v>458</v>
      </c>
      <c r="B465" s="1">
        <f ca="1">IFERROR(__xludf.DUMMYFUNCTION("""COMPUTED_VALUE"""),2194)</f>
        <v>2194</v>
      </c>
      <c r="C465" s="1" t="str">
        <f ca="1">IFERROR(__xludf.DUMMYFUNCTION("""COMPUTED_VALUE"""),"PKM Riset Eksakta")</f>
        <v>PKM Riset Eksakta</v>
      </c>
      <c r="D465" s="1" t="str">
        <f ca="1">IFERROR(__xludf.DUMMYFUNCTION("""COMPUTED_VALUE"""),"Analisis Komposisi dan Feed Rate Terhadap Ketahanan Termal dan Kekuatan Lekat Komposit Si3N4/SiC Aplikasi Tip Nosecone Roket untuk Kemandirian Negara")</f>
        <v>Analisis Komposisi dan Feed Rate Terhadap Ketahanan Termal dan Kekuatan Lekat Komposit Si3N4/SiC Aplikasi Tip Nosecone Roket untuk Kemandirian Negara</v>
      </c>
      <c r="E465" s="1" t="str">
        <f ca="1">IFERROR(__xludf.DUMMYFUNCTION("""COMPUTED_VALUE"""),"Hanifah Isma Qurattu`ain")</f>
        <v>Hanifah Isma Qurattu`ain</v>
      </c>
      <c r="F465" s="1" t="str">
        <f ca="1">IFERROR(__xludf.DUMMYFUNCTION("""COMPUTED_VALUE"""),"02511940000027")</f>
        <v>02511940000027</v>
      </c>
      <c r="G465" s="1" t="str">
        <f ca="1">IFERROR(__xludf.DUMMYFUNCTION("""COMPUTED_VALUE"""),"Departemen Teknik Material dan Metalurgi")</f>
        <v>Departemen Teknik Material dan Metalurgi</v>
      </c>
      <c r="H465" s="1" t="str">
        <f ca="1">IFERROR(__xludf.DUMMYFUNCTION("""COMPUTED_VALUE"""),"Dr. Widyastuti, S.Si., M.Si.")</f>
        <v>Dr. Widyastuti, S.Si., M.Si.</v>
      </c>
      <c r="I465" s="1" t="str">
        <f ca="1">IFERROR(__xludf.DUMMYFUNCTION("""COMPUTED_VALUE"""),"Annisa Rahma Anggraini")</f>
        <v>Annisa Rahma Anggraini</v>
      </c>
      <c r="J465" s="1" t="str">
        <f ca="1">IFERROR(__xludf.DUMMYFUNCTION("""COMPUTED_VALUE"""),"02511940000042")</f>
        <v>02511940000042</v>
      </c>
      <c r="K465" s="1" t="str">
        <f ca="1">IFERROR(__xludf.DUMMYFUNCTION("""COMPUTED_VALUE"""),"Departemen Teknik Material dan Metalurgi")</f>
        <v>Departemen Teknik Material dan Metalurgi</v>
      </c>
      <c r="L465" s="1" t="str">
        <f ca="1">IFERROR(__xludf.DUMMYFUNCTION("""COMPUTED_VALUE"""),"Fadhila Rosyidatul `arifah")</f>
        <v>Fadhila Rosyidatul `arifah</v>
      </c>
      <c r="M465" s="1" t="str">
        <f ca="1">IFERROR(__xludf.DUMMYFUNCTION("""COMPUTED_VALUE"""),"02511940000045")</f>
        <v>02511940000045</v>
      </c>
      <c r="N465" s="1" t="str">
        <f ca="1">IFERROR(__xludf.DUMMYFUNCTION("""COMPUTED_VALUE"""),"Departemen Teknik Material dan Metalurgi")</f>
        <v>Departemen Teknik Material dan Metalurgi</v>
      </c>
      <c r="O465" s="1" t="str">
        <f ca="1">IFERROR(__xludf.DUMMYFUNCTION("""COMPUTED_VALUE"""),"ZAHRA NURSABRINA ELSANI")</f>
        <v>ZAHRA NURSABRINA ELSANI</v>
      </c>
      <c r="P465" s="1" t="str">
        <f ca="1">IFERROR(__xludf.DUMMYFUNCTION("""COMPUTED_VALUE"""),"5011201021")</f>
        <v>5011201021</v>
      </c>
      <c r="Q465" s="1" t="str">
        <f ca="1">IFERROR(__xludf.DUMMYFUNCTION("""COMPUTED_VALUE"""),"Departemen Teknik Material dan Metalurgi")</f>
        <v>Departemen Teknik Material dan Metalurgi</v>
      </c>
      <c r="R465" s="1" t="str">
        <f ca="1">IFERROR(__xludf.DUMMYFUNCTION("""COMPUTED_VALUE"""),"ACHMAD DAFFA RIFQI MARETZA")</f>
        <v>ACHMAD DAFFA RIFQI MARETZA</v>
      </c>
      <c r="S465" s="1" t="str">
        <f ca="1">IFERROR(__xludf.DUMMYFUNCTION("""COMPUTED_VALUE"""),"5011201026")</f>
        <v>5011201026</v>
      </c>
      <c r="T465" s="1" t="str">
        <f ca="1">IFERROR(__xludf.DUMMYFUNCTION("""COMPUTED_VALUE"""),"Departemen Teknik Material dan Metalurgi")</f>
        <v>Departemen Teknik Material dan Metalurgi</v>
      </c>
      <c r="U465" s="1" t="str">
        <f ca="1">IFERROR(__xludf.DUMMYFUNCTION("""COMPUTED_VALUE"""),"Alief Wikarta, ST., MSc.Eng. Ph.D")</f>
        <v>Alief Wikarta, ST., MSc.Eng. Ph.D</v>
      </c>
      <c r="V465" s="1" t="str">
        <f ca="1">IFERROR(__xludf.DUMMYFUNCTION("""COMPUTED_VALUE"""),"Juan Pandu Gya Nur Rochman, S.Si., M.T.")</f>
        <v>Juan Pandu Gya Nur Rochman, S.Si., M.T.</v>
      </c>
      <c r="W465" s="1"/>
      <c r="X465" s="1" t="str">
        <f ca="1">IFERROR(__xludf.DUMMYFUNCTION("""COMPUTED_VALUE"""),"Lolos")</f>
        <v>Lolos</v>
      </c>
      <c r="Y465" s="1"/>
      <c r="Z465" s="1"/>
      <c r="AA465" s="1"/>
    </row>
    <row r="466" spans="1:27">
      <c r="A466" s="1" t="s">
        <v>459</v>
      </c>
      <c r="B466" s="1">
        <f ca="1">IFERROR(__xludf.DUMMYFUNCTION("""COMPUTED_VALUE"""),2709)</f>
        <v>2709</v>
      </c>
      <c r="C466" s="1" t="str">
        <f ca="1">IFERROR(__xludf.DUMMYFUNCTION("""COMPUTED_VALUE"""),"PKM Riset Eksakta")</f>
        <v>PKM Riset Eksakta</v>
      </c>
      <c r="D466" s="1" t="str">
        <f ca="1">IFERROR(__xludf.DUMMYFUNCTION("""COMPUTED_VALUE"""),"Tenebrio Molitor L. Sebagai Pengurai Limbah Styrofoam")</f>
        <v>Tenebrio Molitor L. Sebagai Pengurai Limbah Styrofoam</v>
      </c>
      <c r="E466" s="1" t="str">
        <f ca="1">IFERROR(__xludf.DUMMYFUNCTION("""COMPUTED_VALUE"""),"JHAGAS HANA WINAYA")</f>
        <v>JHAGAS HANA WINAYA</v>
      </c>
      <c r="F466" s="1" t="str">
        <f ca="1">IFERROR(__xludf.DUMMYFUNCTION("""COMPUTED_VALUE"""),"5001201017")</f>
        <v>5001201017</v>
      </c>
      <c r="G466" s="1" t="str">
        <f ca="1">IFERROR(__xludf.DUMMYFUNCTION("""COMPUTED_VALUE"""),"Departemen Fisika")</f>
        <v>Departemen Fisika</v>
      </c>
      <c r="H466" s="1" t="str">
        <f ca="1">IFERROR(__xludf.DUMMYFUNCTION("""COMPUTED_VALUE"""),"Drs. Bachtera Indarto, M.Si.")</f>
        <v>Drs. Bachtera Indarto, M.Si.</v>
      </c>
      <c r="I466" s="1" t="str">
        <f ca="1">IFERROR(__xludf.DUMMYFUNCTION("""COMPUTED_VALUE"""),"Maharani Wahyuning T")</f>
        <v>Maharani Wahyuning T</v>
      </c>
      <c r="J466" s="1" t="str">
        <f ca="1">IFERROR(__xludf.DUMMYFUNCTION("""COMPUTED_VALUE"""),"5001211038")</f>
        <v>5001211038</v>
      </c>
      <c r="K466" s="1" t="str">
        <f ca="1">IFERROR(__xludf.DUMMYFUNCTION("""COMPUTED_VALUE"""),"Departemen Fisika")</f>
        <v>Departemen Fisika</v>
      </c>
      <c r="L466" s="1" t="str">
        <f ca="1">IFERROR(__xludf.DUMMYFUNCTION("""COMPUTED_VALUE"""),"NURUL FATONAH")</f>
        <v>NURUL FATONAH</v>
      </c>
      <c r="M466" s="1" t="str">
        <f ca="1">IFERROR(__xludf.DUMMYFUNCTION("""COMPUTED_VALUE"""),"5001211073")</f>
        <v>5001211073</v>
      </c>
      <c r="N466" s="1" t="str">
        <f ca="1">IFERROR(__xludf.DUMMYFUNCTION("""COMPUTED_VALUE"""),"Departemen Fisika")</f>
        <v>Departemen Fisika</v>
      </c>
      <c r="O466" s="1" t="str">
        <f ca="1">IFERROR(__xludf.DUMMYFUNCTION("""COMPUTED_VALUE"""),"BIHAR HIKAM AHMADI")</f>
        <v>BIHAR HIKAM AHMADI</v>
      </c>
      <c r="P466" s="1" t="str">
        <f ca="1">IFERROR(__xludf.DUMMYFUNCTION("""COMPUTED_VALUE"""),"5005211090")</f>
        <v>5005211090</v>
      </c>
      <c r="Q466" s="1" t="str">
        <f ca="1">IFERROR(__xludf.DUMMYFUNCTION("""COMPUTED_VALUE"""),"Departemen Biologi")</f>
        <v>Departemen Biologi</v>
      </c>
      <c r="R466" s="1" t="str">
        <f ca="1">IFERROR(__xludf.DUMMYFUNCTION("""COMPUTED_VALUE"""),"Kelvin Ardian Syah P")</f>
        <v>Kelvin Ardian Syah P</v>
      </c>
      <c r="S466" s="1" t="str">
        <f ca="1">IFERROR(__xludf.DUMMYFUNCTION("""COMPUTED_VALUE"""),"5010211035")</f>
        <v>5010211035</v>
      </c>
      <c r="T466" s="1" t="str">
        <f ca="1">IFERROR(__xludf.DUMMYFUNCTION("""COMPUTED_VALUE"""),"Departemen Teknik Sistem dan Industri")</f>
        <v>Departemen Teknik Sistem dan Industri</v>
      </c>
      <c r="U466" s="1" t="str">
        <f ca="1">IFERROR(__xludf.DUMMYFUNCTION("""COMPUTED_VALUE"""),"Dr.Eng. Siti Machmudah, S.T., M.Eng.")</f>
        <v>Dr.Eng. Siti Machmudah, S.T., M.Eng.</v>
      </c>
      <c r="V466" s="1" t="str">
        <f ca="1">IFERROR(__xludf.DUMMYFUNCTION("""COMPUTED_VALUE"""),"Dr. Candra Irawan, S.T., M.T.")</f>
        <v>Dr. Candra Irawan, S.T., M.T.</v>
      </c>
      <c r="W466" s="1"/>
      <c r="X466" s="1" t="str">
        <f ca="1">IFERROR(__xludf.DUMMYFUNCTION("""COMPUTED_VALUE"""),"Lolos")</f>
        <v>Lolos</v>
      </c>
      <c r="Y466" s="1"/>
      <c r="Z466" s="1"/>
      <c r="AA466" s="1"/>
    </row>
    <row r="467" spans="1:27">
      <c r="A467" s="1" t="s">
        <v>460</v>
      </c>
      <c r="B467" s="1">
        <f ca="1">IFERROR(__xludf.DUMMYFUNCTION("""COMPUTED_VALUE"""),3571)</f>
        <v>3571</v>
      </c>
      <c r="C467" s="1" t="str">
        <f ca="1">IFERROR(__xludf.DUMMYFUNCTION("""COMPUTED_VALUE"""),"PKM Riset Eksakta")</f>
        <v>PKM Riset Eksakta</v>
      </c>
      <c r="D467" s="1" t="str">
        <f ca="1">IFERROR(__xludf.DUMMYFUNCTION("""COMPUTED_VALUE"""),"Optimalisasi Portofolio Saham Menggunakan Model Predictive Control Berdasarkan Hasil Prediksi Harga Saham dengan Metode Holt Winter's Exponential Smoothing")</f>
        <v>Optimalisasi Portofolio Saham Menggunakan Model Predictive Control Berdasarkan Hasil Prediksi Harga Saham dengan Metode Holt Winter's Exponential Smoothing</v>
      </c>
      <c r="E467" s="1" t="str">
        <f ca="1">IFERROR(__xludf.DUMMYFUNCTION("""COMPUTED_VALUE"""),"LULUK WARDATUL JANNAH")</f>
        <v>LULUK WARDATUL JANNAH</v>
      </c>
      <c r="F467" s="1" t="str">
        <f ca="1">IFERROR(__xludf.DUMMYFUNCTION("""COMPUTED_VALUE"""),"06111940000049")</f>
        <v>06111940000049</v>
      </c>
      <c r="G467" s="1" t="str">
        <f ca="1">IFERROR(__xludf.DUMMYFUNCTION("""COMPUTED_VALUE"""),"Departemen Matematika")</f>
        <v>Departemen Matematika</v>
      </c>
      <c r="H467" s="1" t="str">
        <f ca="1">IFERROR(__xludf.DUMMYFUNCTION("""COMPUTED_VALUE"""),"Subchan, S.Si., M.Sc., Ph.D.")</f>
        <v>Subchan, S.Si., M.Sc., Ph.D.</v>
      </c>
      <c r="I467" s="1" t="str">
        <f ca="1">IFERROR(__xludf.DUMMYFUNCTION("""COMPUTED_VALUE"""),"ABDUL HARITS IFTIKAR NASUTION")</f>
        <v>ABDUL HARITS IFTIKAR NASUTION</v>
      </c>
      <c r="J467" s="1" t="str">
        <f ca="1">IFERROR(__xludf.DUMMYFUNCTION("""COMPUTED_VALUE"""),"06111940000056")</f>
        <v>06111940000056</v>
      </c>
      <c r="K467" s="1" t="str">
        <f ca="1">IFERROR(__xludf.DUMMYFUNCTION("""COMPUTED_VALUE"""),"Departemen Matematika")</f>
        <v>Departemen Matematika</v>
      </c>
      <c r="L467" s="1" t="str">
        <f ca="1">IFERROR(__xludf.DUMMYFUNCTION("""COMPUTED_VALUE"""),"Annisa Wafi Nabila")</f>
        <v>Annisa Wafi Nabila</v>
      </c>
      <c r="M467" s="1" t="str">
        <f ca="1">IFERROR(__xludf.DUMMYFUNCTION("""COMPUTED_VALUE"""),"06111940000003")</f>
        <v>06111940000003</v>
      </c>
      <c r="N467" s="1" t="str">
        <f ca="1">IFERROR(__xludf.DUMMYFUNCTION("""COMPUTED_VALUE"""),"Departemen Matematika")</f>
        <v>Departemen Matematika</v>
      </c>
      <c r="O467" s="1" t="str">
        <f ca="1">IFERROR(__xludf.DUMMYFUNCTION("""COMPUTED_VALUE"""),"Dwitiya Khansa Nabilah")</f>
        <v>Dwitiya Khansa Nabilah</v>
      </c>
      <c r="P467" s="1" t="str">
        <f ca="1">IFERROR(__xludf.DUMMYFUNCTION("""COMPUTED_VALUE"""),"06111940000024")</f>
        <v>06111940000024</v>
      </c>
      <c r="Q467" s="1" t="str">
        <f ca="1">IFERROR(__xludf.DUMMYFUNCTION("""COMPUTED_VALUE"""),"Departemen Matematika")</f>
        <v>Departemen Matematika</v>
      </c>
      <c r="R467" s="1" t="str">
        <f ca="1">IFERROR(__xludf.DUMMYFUNCTION("""COMPUTED_VALUE"""),"Ryan Kurnia Prasetyo")</f>
        <v>Ryan Kurnia Prasetyo</v>
      </c>
      <c r="S467" s="1" t="str">
        <f ca="1">IFERROR(__xludf.DUMMYFUNCTION("""COMPUTED_VALUE"""),"06111940000021")</f>
        <v>06111940000021</v>
      </c>
      <c r="T467" s="1" t="str">
        <f ca="1">IFERROR(__xludf.DUMMYFUNCTION("""COMPUTED_VALUE"""),"Departemen Matematika")</f>
        <v>Departemen Matematika</v>
      </c>
      <c r="U467" s="1" t="str">
        <f ca="1">IFERROR(__xludf.DUMMYFUNCTION("""COMPUTED_VALUE"""),"Dr. Dhany Arifianto, S.T., M.Eng.")</f>
        <v>Dr. Dhany Arifianto, S.T., M.Eng.</v>
      </c>
      <c r="V467" s="1" t="str">
        <f ca="1">IFERROR(__xludf.DUMMYFUNCTION("""COMPUTED_VALUE"""),"Dra. Ratna Ediati, MS., Ph.D.")</f>
        <v>Dra. Ratna Ediati, MS., Ph.D.</v>
      </c>
      <c r="W467" s="1"/>
      <c r="X467" s="1" t="str">
        <f ca="1">IFERROR(__xludf.DUMMYFUNCTION("""COMPUTED_VALUE"""),"Lolos")</f>
        <v>Lolos</v>
      </c>
      <c r="Y467" s="1"/>
      <c r="Z467" s="1"/>
      <c r="AA467" s="1"/>
    </row>
    <row r="468" spans="1:27">
      <c r="A468" s="1" t="s">
        <v>461</v>
      </c>
      <c r="B468" s="1">
        <f ca="1">IFERROR(__xludf.DUMMYFUNCTION("""COMPUTED_VALUE"""),2204)</f>
        <v>2204</v>
      </c>
      <c r="C468" s="1" t="str">
        <f ca="1">IFERROR(__xludf.DUMMYFUNCTION("""COMPUTED_VALUE"""),"PKM Riset Eksakta")</f>
        <v>PKM Riset Eksakta</v>
      </c>
      <c r="D468" s="1" t="str">
        <f ca="1">IFERROR(__xludf.DUMMYFUNCTION("""COMPUTED_VALUE"""),"Rekayasa Proses Hidrolisis dan Fermentasi untuk Produksi Bioetanol  Berbasis Limbah Cair Industri Gula Merah Sebagai Alternatif Bahan Bakar Minyak")</f>
        <v>Rekayasa Proses Hidrolisis dan Fermentasi untuk Produksi Bioetanol  Berbasis Limbah Cair Industri Gula Merah Sebagai Alternatif Bahan Bakar Minyak</v>
      </c>
      <c r="E468" s="1" t="str">
        <f ca="1">IFERROR(__xludf.DUMMYFUNCTION("""COMPUTED_VALUE"""),"YAYAN DWI PUTRA")</f>
        <v>YAYAN DWI PUTRA</v>
      </c>
      <c r="F468" s="1" t="str">
        <f ca="1">IFERROR(__xludf.DUMMYFUNCTION("""COMPUTED_VALUE"""),"10411910000027")</f>
        <v>10411910000027</v>
      </c>
      <c r="G468" s="1" t="str">
        <f ca="1">IFERROR(__xludf.DUMMYFUNCTION("""COMPUTED_VALUE"""),"Departemen Teknik Kimia Industri")</f>
        <v>Departemen Teknik Kimia Industri</v>
      </c>
      <c r="H468" s="1" t="str">
        <f ca="1">IFERROR(__xludf.DUMMYFUNCTION("""COMPUTED_VALUE"""),"Prof. Dr. Ir. Soeprijanto, M.Sc.")</f>
        <v>Prof. Dr. Ir. Soeprijanto, M.Sc.</v>
      </c>
      <c r="I468" s="1" t="str">
        <f ca="1">IFERROR(__xludf.DUMMYFUNCTION("""COMPUTED_VALUE"""),"RIDHA KURNIA PUTRI")</f>
        <v>RIDHA KURNIA PUTRI</v>
      </c>
      <c r="J468" s="1" t="str">
        <f ca="1">IFERROR(__xludf.DUMMYFUNCTION("""COMPUTED_VALUE"""),"10411910000024")</f>
        <v>10411910000024</v>
      </c>
      <c r="K468" s="1" t="str">
        <f ca="1">IFERROR(__xludf.DUMMYFUNCTION("""COMPUTED_VALUE"""),"Departemen Teknik Kimia Industri")</f>
        <v>Departemen Teknik Kimia Industri</v>
      </c>
      <c r="L468" s="1" t="str">
        <f ca="1">IFERROR(__xludf.DUMMYFUNCTION("""COMPUTED_VALUE"""),"ARIN PASHADIERA MELLINA ")</f>
        <v xml:space="preserve">ARIN PASHADIERA MELLINA </v>
      </c>
      <c r="M468" s="1" t="str">
        <f ca="1">IFERROR(__xludf.DUMMYFUNCTION("""COMPUTED_VALUE"""),"10411810000061")</f>
        <v>10411810000061</v>
      </c>
      <c r="N468" s="1" t="str">
        <f ca="1">IFERROR(__xludf.DUMMYFUNCTION("""COMPUTED_VALUE"""),"Departemen Teknik Kimia Industri")</f>
        <v>Departemen Teknik Kimia Industri</v>
      </c>
      <c r="O468" s="1" t="str">
        <f ca="1">IFERROR(__xludf.DUMMYFUNCTION("""COMPUTED_VALUE"""),"RAIHANA FAUZIA")</f>
        <v>RAIHANA FAUZIA</v>
      </c>
      <c r="P468" s="1" t="str">
        <f ca="1">IFERROR(__xludf.DUMMYFUNCTION("""COMPUTED_VALUE"""),"10411810000089")</f>
        <v>10411810000089</v>
      </c>
      <c r="Q468" s="1" t="str">
        <f ca="1">IFERROR(__xludf.DUMMYFUNCTION("""COMPUTED_VALUE"""),"Departemen Teknik Kimia Industri")</f>
        <v>Departemen Teknik Kimia Industri</v>
      </c>
      <c r="R468" s="1" t="str">
        <f ca="1">IFERROR(__xludf.DUMMYFUNCTION("""COMPUTED_VALUE"""),"INDAH ASMAUL CHUSNA")</f>
        <v>INDAH ASMAUL CHUSNA</v>
      </c>
      <c r="S468" s="1" t="str">
        <f ca="1">IFERROR(__xludf.DUMMYFUNCTION("""COMPUTED_VALUE"""),"2041201060")</f>
        <v>2041201060</v>
      </c>
      <c r="T468" s="1" t="str">
        <f ca="1">IFERROR(__xludf.DUMMYFUNCTION("""COMPUTED_VALUE"""),"Departemen Teknik Kimia Industri")</f>
        <v>Departemen Teknik Kimia Industri</v>
      </c>
      <c r="U468" s="1" t="str">
        <f ca="1">IFERROR(__xludf.DUMMYFUNCTION("""COMPUTED_VALUE"""),"Hamdan Dwi Rizqi, S.Si., M.Si.")</f>
        <v>Hamdan Dwi Rizqi, S.Si., M.Si.</v>
      </c>
      <c r="V468" s="1" t="str">
        <f ca="1">IFERROR(__xludf.DUMMYFUNCTION("""COMPUTED_VALUE"""),"Juan Pandu Gya Nur Rochman, S.Si., M.T.")</f>
        <v>Juan Pandu Gya Nur Rochman, S.Si., M.T.</v>
      </c>
      <c r="W468" s="1"/>
      <c r="X468" s="1" t="str">
        <f ca="1">IFERROR(__xludf.DUMMYFUNCTION("""COMPUTED_VALUE"""),"Lolos")</f>
        <v>Lolos</v>
      </c>
      <c r="Y468" s="1"/>
      <c r="Z468" s="1"/>
      <c r="AA468" s="1"/>
    </row>
    <row r="469" spans="1:27">
      <c r="A469" s="1" t="s">
        <v>462</v>
      </c>
      <c r="B469" s="1">
        <f ca="1">IFERROR(__xludf.DUMMYFUNCTION("""COMPUTED_VALUE"""),2562)</f>
        <v>2562</v>
      </c>
      <c r="C469" s="1" t="str">
        <f ca="1">IFERROR(__xludf.DUMMYFUNCTION("""COMPUTED_VALUE"""),"PKM Riset Eksakta")</f>
        <v>PKM Riset Eksakta</v>
      </c>
      <c r="D469" s="1" t="str">
        <f ca="1">IFERROR(__xludf.DUMMYFUNCTION("""COMPUTED_VALUE"""),"Ekstraksi Minyak Terpentin dari Getah Pinus (Pinus Merkusii) dengan Metode Microwave Hydrodiffusion Gravity (MHG)")</f>
        <v>Ekstraksi Minyak Terpentin dari Getah Pinus (Pinus Merkusii) dengan Metode Microwave Hydrodiffusion Gravity (MHG)</v>
      </c>
      <c r="E469" s="1" t="str">
        <f ca="1">IFERROR(__xludf.DUMMYFUNCTION("""COMPUTED_VALUE"""),"Athif Afisga Mathoyah")</f>
        <v>Athif Afisga Mathoyah</v>
      </c>
      <c r="F469" s="1" t="str">
        <f ca="1">IFERROR(__xludf.DUMMYFUNCTION("""COMPUTED_VALUE"""),"02211940000002")</f>
        <v>02211940000002</v>
      </c>
      <c r="G469" s="1" t="str">
        <f ca="1">IFERROR(__xludf.DUMMYFUNCTION("""COMPUTED_VALUE"""),"Departemen Teknik Kimia")</f>
        <v>Departemen Teknik Kimia</v>
      </c>
      <c r="H469" s="1" t="str">
        <f ca="1">IFERROR(__xludf.DUMMYFUNCTION("""COMPUTED_VALUE"""),"Dr. Lailatul Qadariyah, S.T., M.T.")</f>
        <v>Dr. Lailatul Qadariyah, S.T., M.T.</v>
      </c>
      <c r="I469" s="1" t="str">
        <f ca="1">IFERROR(__xludf.DUMMYFUNCTION("""COMPUTED_VALUE"""),"Mochamad Dinandya Hendrico")</f>
        <v>Mochamad Dinandya Hendrico</v>
      </c>
      <c r="J469" s="1" t="str">
        <f ca="1">IFERROR(__xludf.DUMMYFUNCTION("""COMPUTED_VALUE"""),"02211940000022")</f>
        <v>02211940000022</v>
      </c>
      <c r="K469" s="1" t="str">
        <f ca="1">IFERROR(__xludf.DUMMYFUNCTION("""COMPUTED_VALUE"""),"Departemen Teknik Kimia")</f>
        <v>Departemen Teknik Kimia</v>
      </c>
      <c r="L469" s="1" t="str">
        <f ca="1">IFERROR(__xludf.DUMMYFUNCTION("""COMPUTED_VALUE"""),"Belinda Kezia Purwanto")</f>
        <v>Belinda Kezia Purwanto</v>
      </c>
      <c r="M469" s="1" t="str">
        <f ca="1">IFERROR(__xludf.DUMMYFUNCTION("""COMPUTED_VALUE"""),"02211940000025")</f>
        <v>02211940000025</v>
      </c>
      <c r="N469" s="1" t="str">
        <f ca="1">IFERROR(__xludf.DUMMYFUNCTION("""COMPUTED_VALUE"""),"Departemen Teknik Kimia")</f>
        <v>Departemen Teknik Kimia</v>
      </c>
      <c r="O469" s="1" t="str">
        <f ca="1">IFERROR(__xludf.DUMMYFUNCTION("""COMPUTED_VALUE"""),"Rosyida Nofiana Arofah")</f>
        <v>Rosyida Nofiana Arofah</v>
      </c>
      <c r="P469" s="1" t="str">
        <f ca="1">IFERROR(__xludf.DUMMYFUNCTION("""COMPUTED_VALUE"""),"02211940000033")</f>
        <v>02211940000033</v>
      </c>
      <c r="Q469" s="1" t="str">
        <f ca="1">IFERROR(__xludf.DUMMYFUNCTION("""COMPUTED_VALUE"""),"Departemen Teknik Kimia")</f>
        <v>Departemen Teknik Kimia</v>
      </c>
      <c r="R469" s="1" t="str">
        <f ca="1">IFERROR(__xludf.DUMMYFUNCTION("""COMPUTED_VALUE"""),"Pramudya Riandana Bhayu Gautama")</f>
        <v>Pramudya Riandana Bhayu Gautama</v>
      </c>
      <c r="S469" s="1" t="str">
        <f ca="1">IFERROR(__xludf.DUMMYFUNCTION("""COMPUTED_VALUE"""),"02211940000041")</f>
        <v>02211940000041</v>
      </c>
      <c r="T469" s="1" t="str">
        <f ca="1">IFERROR(__xludf.DUMMYFUNCTION("""COMPUTED_VALUE"""),"Departemen Teknik Kimia")</f>
        <v>Departemen Teknik Kimia</v>
      </c>
      <c r="U469" s="1" t="str">
        <f ca="1">IFERROR(__xludf.DUMMYFUNCTION("""COMPUTED_VALUE"""),"Ahmad Fauzan Adziimaa, S.T., M.Sc.")</f>
        <v>Ahmad Fauzan Adziimaa, S.T., M.Sc.</v>
      </c>
      <c r="V469" s="1" t="str">
        <f ca="1">IFERROR(__xludf.DUMMYFUNCTION("""COMPUTED_VALUE"""),"Azzah Dyah Pramata, S.T., M.T., M.Eng., Ph.D.")</f>
        <v>Azzah Dyah Pramata, S.T., M.T., M.Eng., Ph.D.</v>
      </c>
      <c r="W469" s="1"/>
      <c r="X469" s="1" t="str">
        <f ca="1">IFERROR(__xludf.DUMMYFUNCTION("""COMPUTED_VALUE"""),"Lolos")</f>
        <v>Lolos</v>
      </c>
      <c r="Y469" s="1"/>
      <c r="Z469" s="1"/>
      <c r="AA469" s="1"/>
    </row>
    <row r="470" spans="1:27">
      <c r="A470" s="1" t="s">
        <v>463</v>
      </c>
      <c r="B470" s="1">
        <f ca="1">IFERROR(__xludf.DUMMYFUNCTION("""COMPUTED_VALUE"""),2671)</f>
        <v>2671</v>
      </c>
      <c r="C470" s="1" t="str">
        <f ca="1">IFERROR(__xludf.DUMMYFUNCTION("""COMPUTED_VALUE"""),"PKM Riset Eksakta")</f>
        <v>PKM Riset Eksakta</v>
      </c>
      <c r="D470" s="1" t="str">
        <f ca="1">IFERROR(__xludf.DUMMYFUNCTION("""COMPUTED_VALUE"""),"Pelapisan Biofungsional Nanokomposit Hydroxiapatite-Poly(e-Caprolactone) Berbasis Cangkang Rajungan (Portunus pelagicus) untuk Menurunkan Toksisitas Implan Tulang Titanium Alloy (Ti-6Al-4V ELI)")</f>
        <v>Pelapisan Biofungsional Nanokomposit Hydroxiapatite-Poly(e-Caprolactone) Berbasis Cangkang Rajungan (Portunus pelagicus) untuk Menurunkan Toksisitas Implan Tulang Titanium Alloy (Ti-6Al-4V ELI)</v>
      </c>
      <c r="E470" s="1" t="str">
        <f ca="1">IFERROR(__xludf.DUMMYFUNCTION("""COMPUTED_VALUE"""),"LULU SEKAR TAJI")</f>
        <v>LULU SEKAR TAJI</v>
      </c>
      <c r="F470" s="1" t="str">
        <f ca="1">IFERROR(__xludf.DUMMYFUNCTION("""COMPUTED_VALUE"""),"10411910000046")</f>
        <v>10411910000046</v>
      </c>
      <c r="G470" s="1" t="str">
        <f ca="1">IFERROR(__xludf.DUMMYFUNCTION("""COMPUTED_VALUE"""),"Departemen Teknik Kimia Industri")</f>
        <v>Departemen Teknik Kimia Industri</v>
      </c>
      <c r="H470" s="1" t="str">
        <f ca="1">IFERROR(__xludf.DUMMYFUNCTION("""COMPUTED_VALUE"""),"Dr. Eng. Eva Oktavia Ningrum, S.T., M.S.")</f>
        <v>Dr. Eng. Eva Oktavia Ningrum, S.T., M.S.</v>
      </c>
      <c r="I470" s="1" t="str">
        <f ca="1">IFERROR(__xludf.DUMMYFUNCTION("""COMPUTED_VALUE"""),"ERLANGGA ARDIANSYAH")</f>
        <v>ERLANGGA ARDIANSYAH</v>
      </c>
      <c r="J470" s="1" t="str">
        <f ca="1">IFERROR(__xludf.DUMMYFUNCTION("""COMPUTED_VALUE"""),"10411910000074")</f>
        <v>10411910000074</v>
      </c>
      <c r="K470" s="1" t="str">
        <f ca="1">IFERROR(__xludf.DUMMYFUNCTION("""COMPUTED_VALUE"""),"Departemen Teknik Kimia Industri")</f>
        <v>Departemen Teknik Kimia Industri</v>
      </c>
      <c r="L470" s="1" t="str">
        <f ca="1">IFERROR(__xludf.DUMMYFUNCTION("""COMPUTED_VALUE"""),"DEDEN EKO WIYONO")</f>
        <v>DEDEN EKO WIYONO</v>
      </c>
      <c r="M470" s="1" t="str">
        <f ca="1">IFERROR(__xludf.DUMMYFUNCTION("""COMPUTED_VALUE"""),"10411910000041")</f>
        <v>10411910000041</v>
      </c>
      <c r="N470" s="1" t="str">
        <f ca="1">IFERROR(__xludf.DUMMYFUNCTION("""COMPUTED_VALUE"""),"Departemen Teknik Kimia Industri")</f>
        <v>Departemen Teknik Kimia Industri</v>
      </c>
      <c r="O470" s="1" t="str">
        <f ca="1">IFERROR(__xludf.DUMMYFUNCTION("""COMPUTED_VALUE"""),"HANIFAH INAS NASTITI")</f>
        <v>HANIFAH INAS NASTITI</v>
      </c>
      <c r="P470" s="1" t="str">
        <f ca="1">IFERROR(__xludf.DUMMYFUNCTION("""COMPUTED_VALUE"""),"10411810000033")</f>
        <v>10411810000033</v>
      </c>
      <c r="Q470" s="1" t="str">
        <f ca="1">IFERROR(__xludf.DUMMYFUNCTION("""COMPUTED_VALUE"""),"Departemen Teknik Kimia Industri")</f>
        <v>Departemen Teknik Kimia Industri</v>
      </c>
      <c r="R470" s="1" t="str">
        <f ca="1">IFERROR(__xludf.DUMMYFUNCTION("""COMPUTED_VALUE"""),"ALIFAH SALSABILA")</f>
        <v>ALIFAH SALSABILA</v>
      </c>
      <c r="S470" s="1" t="str">
        <f ca="1">IFERROR(__xludf.DUMMYFUNCTION("""COMPUTED_VALUE"""),"5008201004")</f>
        <v>5008201004</v>
      </c>
      <c r="T470" s="1" t="str">
        <f ca="1">IFERROR(__xludf.DUMMYFUNCTION("""COMPUTED_VALUE"""),"Departemen Teknik Kimia")</f>
        <v>Departemen Teknik Kimia</v>
      </c>
      <c r="U470" s="1" t="str">
        <f ca="1">IFERROR(__xludf.DUMMYFUNCTION("""COMPUTED_VALUE"""),"Dr.-Ing. Doty Dewi Risanti, S.T., M.T.")</f>
        <v>Dr.-Ing. Doty Dewi Risanti, S.T., M.T.</v>
      </c>
      <c r="V470" s="1" t="str">
        <f ca="1">IFERROR(__xludf.DUMMYFUNCTION("""COMPUTED_VALUE"""),"Dr. Gunawan Nugroho, S.T., M.T.")</f>
        <v>Dr. Gunawan Nugroho, S.T., M.T.</v>
      </c>
      <c r="W470" s="1"/>
      <c r="X470" s="1" t="str">
        <f ca="1">IFERROR(__xludf.DUMMYFUNCTION("""COMPUTED_VALUE"""),"Lolos")</f>
        <v>Lolos</v>
      </c>
      <c r="Y470" s="1"/>
      <c r="Z470" s="1"/>
      <c r="AA470" s="1"/>
    </row>
    <row r="471" spans="1:27">
      <c r="A471" s="1" t="s">
        <v>464</v>
      </c>
      <c r="B471" s="1">
        <f ca="1">IFERROR(__xludf.DUMMYFUNCTION("""COMPUTED_VALUE"""),3239)</f>
        <v>3239</v>
      </c>
      <c r="C471" s="1" t="str">
        <f ca="1">IFERROR(__xludf.DUMMYFUNCTION("""COMPUTED_VALUE"""),"PKM Riset Eksakta")</f>
        <v>PKM Riset Eksakta</v>
      </c>
      <c r="D471" s="1" t="str">
        <f ca="1">IFERROR(__xludf.DUMMYFUNCTION("""COMPUTED_VALUE"""),"Proses Sintesis Diethyl Carbonate dengan Utilisasi CO2 Untuk Menangani Global Warming yang Diakibatkan oleh Gas Rumah Kaca")</f>
        <v>Proses Sintesis Diethyl Carbonate dengan Utilisasi CO2 Untuk Menangani Global Warming yang Diakibatkan oleh Gas Rumah Kaca</v>
      </c>
      <c r="E471" s="1" t="str">
        <f ca="1">IFERROR(__xludf.DUMMYFUNCTION("""COMPUTED_VALUE"""),"Pratama Tegar Parderio")</f>
        <v>Pratama Tegar Parderio</v>
      </c>
      <c r="F471" s="1" t="str">
        <f ca="1">IFERROR(__xludf.DUMMYFUNCTION("""COMPUTED_VALUE"""),"02211840000030")</f>
        <v>02211840000030</v>
      </c>
      <c r="G471" s="1" t="str">
        <f ca="1">IFERROR(__xludf.DUMMYFUNCTION("""COMPUTED_VALUE"""),"Departemen Teknik Kimia")</f>
        <v>Departemen Teknik Kimia</v>
      </c>
      <c r="H471" s="1" t="str">
        <f ca="1">IFERROR(__xludf.DUMMYFUNCTION("""COMPUTED_VALUE"""),"Annas Wiguno, S.T., M.T.")</f>
        <v>Annas Wiguno, S.T., M.T.</v>
      </c>
      <c r="I471" s="1" t="str">
        <f ca="1">IFERROR(__xludf.DUMMYFUNCTION("""COMPUTED_VALUE"""),"ANGGA DWI DHARMAWAN")</f>
        <v>ANGGA DWI DHARMAWAN</v>
      </c>
      <c r="J471" s="1" t="str">
        <f ca="1">IFERROR(__xludf.DUMMYFUNCTION("""COMPUTED_VALUE"""),"02211840000058")</f>
        <v>02211840000058</v>
      </c>
      <c r="K471" s="1" t="str">
        <f ca="1">IFERROR(__xludf.DUMMYFUNCTION("""COMPUTED_VALUE"""),"Departemen Teknik Kimia")</f>
        <v>Departemen Teknik Kimia</v>
      </c>
      <c r="L471" s="1" t="str">
        <f ca="1">IFERROR(__xludf.DUMMYFUNCTION("""COMPUTED_VALUE"""),"Faris Virgiansyah")</f>
        <v>Faris Virgiansyah</v>
      </c>
      <c r="M471" s="1" t="str">
        <f ca="1">IFERROR(__xludf.DUMMYFUNCTION("""COMPUTED_VALUE"""),"02211840000014")</f>
        <v>02211840000014</v>
      </c>
      <c r="N471" s="1" t="str">
        <f ca="1">IFERROR(__xludf.DUMMYFUNCTION("""COMPUTED_VALUE"""),"Departemen Teknik Kimia")</f>
        <v>Departemen Teknik Kimia</v>
      </c>
      <c r="O471" s="1"/>
      <c r="P471" s="1"/>
      <c r="Q471" s="1"/>
      <c r="R471" s="1"/>
      <c r="S471" s="1"/>
      <c r="T471" s="1"/>
      <c r="U471" s="1" t="str">
        <f ca="1">IFERROR(__xludf.DUMMYFUNCTION("""COMPUTED_VALUE"""),"Vania Mitha Pratiwi, S.T., M.T.")</f>
        <v>Vania Mitha Pratiwi, S.T., M.T.</v>
      </c>
      <c r="V471" s="1" t="str">
        <f ca="1">IFERROR(__xludf.DUMMYFUNCTION("""COMPUTED_VALUE"""),"Dr. Candra Irawan, S.T., M.T.")</f>
        <v>Dr. Candra Irawan, S.T., M.T.</v>
      </c>
      <c r="W471" s="1"/>
      <c r="X471" s="1" t="str">
        <f ca="1">IFERROR(__xludf.DUMMYFUNCTION("""COMPUTED_VALUE"""),"Lolos")</f>
        <v>Lolos</v>
      </c>
      <c r="Y471" s="1"/>
      <c r="Z471" s="1"/>
      <c r="AA471" s="1"/>
    </row>
    <row r="472" spans="1:27">
      <c r="A472" s="1" t="s">
        <v>465</v>
      </c>
      <c r="B472" s="1">
        <f ca="1">IFERROR(__xludf.DUMMYFUNCTION("""COMPUTED_VALUE"""),3792)</f>
        <v>3792</v>
      </c>
      <c r="C472" s="1" t="str">
        <f ca="1">IFERROR(__xludf.DUMMYFUNCTION("""COMPUTED_VALUE"""),"PKM Riset Eksakta")</f>
        <v>PKM Riset Eksakta</v>
      </c>
      <c r="D472" s="1" t="str">
        <f ca="1">IFERROR(__xludf.DUMMYFUNCTION("""COMPUTED_VALUE"""),"Ekstraksi Glukomanan pada Umbi Porang dengan Metode Microwave Assisted Extraction (MAE) sebagai Alternatif Pangan untuk Mengurangi Stunting di Indonesia")</f>
        <v>Ekstraksi Glukomanan pada Umbi Porang dengan Metode Microwave Assisted Extraction (MAE) sebagai Alternatif Pangan untuk Mengurangi Stunting di Indonesia</v>
      </c>
      <c r="E472" s="1" t="str">
        <f ca="1">IFERROR(__xludf.DUMMYFUNCTION("""COMPUTED_VALUE"""),"FATIMAH FA`UZUL ROSYADA")</f>
        <v>FATIMAH FA`UZUL ROSYADA</v>
      </c>
      <c r="F472" s="1" t="str">
        <f ca="1">IFERROR(__xludf.DUMMYFUNCTION("""COMPUTED_VALUE"""),"5008201084")</f>
        <v>5008201084</v>
      </c>
      <c r="G472" s="1" t="str">
        <f ca="1">IFERROR(__xludf.DUMMYFUNCTION("""COMPUTED_VALUE"""),"Departemen Teknik Kimia")</f>
        <v>Departemen Teknik Kimia</v>
      </c>
      <c r="H472" s="1" t="str">
        <f ca="1">IFERROR(__xludf.DUMMYFUNCTION("""COMPUTED_VALUE"""),"Hakun Wirawasista Aparamarta, S.T., M.MT., Ph.D.")</f>
        <v>Hakun Wirawasista Aparamarta, S.T., M.MT., Ph.D.</v>
      </c>
      <c r="I472" s="1" t="str">
        <f ca="1">IFERROR(__xludf.DUMMYFUNCTION("""COMPUTED_VALUE"""),"DARIS RAFID HIRMANDA PUTRA")</f>
        <v>DARIS RAFID HIRMANDA PUTRA</v>
      </c>
      <c r="J472" s="1" t="str">
        <f ca="1">IFERROR(__xludf.DUMMYFUNCTION("""COMPUTED_VALUE"""),"02211840000125")</f>
        <v>02211840000125</v>
      </c>
      <c r="K472" s="1" t="str">
        <f ca="1">IFERROR(__xludf.DUMMYFUNCTION("""COMPUTED_VALUE"""),"Departemen Teknik Kimia")</f>
        <v>Departemen Teknik Kimia</v>
      </c>
      <c r="L472" s="1" t="str">
        <f ca="1">IFERROR(__xludf.DUMMYFUNCTION("""COMPUTED_VALUE"""),"DEVI NUR ANNISA")</f>
        <v>DEVI NUR ANNISA</v>
      </c>
      <c r="M472" s="1" t="str">
        <f ca="1">IFERROR(__xludf.DUMMYFUNCTION("""COMPUTED_VALUE"""),"5008201140")</f>
        <v>5008201140</v>
      </c>
      <c r="N472" s="1" t="str">
        <f ca="1">IFERROR(__xludf.DUMMYFUNCTION("""COMPUTED_VALUE"""),"Departemen Teknik Kimia")</f>
        <v>Departemen Teknik Kimia</v>
      </c>
      <c r="O472" s="1"/>
      <c r="P472" s="1"/>
      <c r="Q472" s="1"/>
      <c r="R472" s="1"/>
      <c r="S472" s="1"/>
      <c r="T472" s="1"/>
      <c r="U472" s="1" t="str">
        <f ca="1">IFERROR(__xludf.DUMMYFUNCTION("""COMPUTED_VALUE"""),"Vania Mitha Pratiwi, S.T., M.T.")</f>
        <v>Vania Mitha Pratiwi, S.T., M.T.</v>
      </c>
      <c r="V472" s="1" t="str">
        <f ca="1">IFERROR(__xludf.DUMMYFUNCTION("""COMPUTED_VALUE"""),"Dr. Candra Irawan, S.T., M.T.")</f>
        <v>Dr. Candra Irawan, S.T., M.T.</v>
      </c>
      <c r="W472" s="1"/>
      <c r="X472" s="1" t="str">
        <f ca="1">IFERROR(__xludf.DUMMYFUNCTION("""COMPUTED_VALUE"""),"Lolos")</f>
        <v>Lolos</v>
      </c>
      <c r="Y472" s="1"/>
      <c r="Z472" s="1"/>
      <c r="AA472" s="1"/>
    </row>
    <row r="473" spans="1:27">
      <c r="A473" s="1" t="s">
        <v>466</v>
      </c>
      <c r="B473" s="1">
        <f ca="1">IFERROR(__xludf.DUMMYFUNCTION("""COMPUTED_VALUE"""),3740)</f>
        <v>3740</v>
      </c>
      <c r="C473" s="1" t="str">
        <f ca="1">IFERROR(__xludf.DUMMYFUNCTION("""COMPUTED_VALUE"""),"PKM Riset Eksakta")</f>
        <v>PKM Riset Eksakta</v>
      </c>
      <c r="D473" s="1" t="str">
        <f ca="1">IFERROR(__xludf.DUMMYFUNCTION("""COMPUTED_VALUE"""),"Modifikasi Zr-NDC MOF dengan Kitosan dari Limbah Cangkang Kepiting sebagai Material Drug Delivery System Parasetamol dengan Pelepasan Terkontrol dan Berkepanjangan")</f>
        <v>Modifikasi Zr-NDC MOF dengan Kitosan dari Limbah Cangkang Kepiting sebagai Material Drug Delivery System Parasetamol dengan Pelepasan Terkontrol dan Berkepanjangan</v>
      </c>
      <c r="E473" s="1" t="str">
        <f ca="1">IFERROR(__xludf.DUMMYFUNCTION("""COMPUTED_VALUE"""),"WIDYA ANASTASYA NINGTIYAS")</f>
        <v>WIDYA ANASTASYA NINGTIYAS</v>
      </c>
      <c r="F473" s="1" t="str">
        <f ca="1">IFERROR(__xludf.DUMMYFUNCTION("""COMPUTED_VALUE"""),"01211940000070")</f>
        <v>01211940000070</v>
      </c>
      <c r="G473" s="1" t="str">
        <f ca="1">IFERROR(__xludf.DUMMYFUNCTION("""COMPUTED_VALUE"""),"Departemen Kimia")</f>
        <v>Departemen Kimia</v>
      </c>
      <c r="H473" s="1" t="str">
        <f ca="1">IFERROR(__xludf.DUMMYFUNCTION("""COMPUTED_VALUE"""),"Dra. Ratna Ediati, MS., Ph.D.")</f>
        <v>Dra. Ratna Ediati, MS., Ph.D.</v>
      </c>
      <c r="I473" s="1" t="str">
        <f ca="1">IFERROR(__xludf.DUMMYFUNCTION("""COMPUTED_VALUE"""),"SARAZEN SHALAHUDDIN AKBAR")</f>
        <v>SARAZEN SHALAHUDDIN AKBAR</v>
      </c>
      <c r="J473" s="1" t="str">
        <f ca="1">IFERROR(__xludf.DUMMYFUNCTION("""COMPUTED_VALUE"""),"01211940000066")</f>
        <v>01211940000066</v>
      </c>
      <c r="K473" s="1" t="str">
        <f ca="1">IFERROR(__xludf.DUMMYFUNCTION("""COMPUTED_VALUE"""),"Departemen Kimia")</f>
        <v>Departemen Kimia</v>
      </c>
      <c r="L473" s="1" t="str">
        <f ca="1">IFERROR(__xludf.DUMMYFUNCTION("""COMPUTED_VALUE"""),"Nabella Alvi Kurniawati")</f>
        <v>Nabella Alvi Kurniawati</v>
      </c>
      <c r="M473" s="1" t="str">
        <f ca="1">IFERROR(__xludf.DUMMYFUNCTION("""COMPUTED_VALUE"""),"01211940000013")</f>
        <v>01211940000013</v>
      </c>
      <c r="N473" s="1" t="str">
        <f ca="1">IFERROR(__xludf.DUMMYFUNCTION("""COMPUTED_VALUE"""),"Departemen Kimia")</f>
        <v>Departemen Kimia</v>
      </c>
      <c r="O473" s="1" t="str">
        <f ca="1">IFERROR(__xludf.DUMMYFUNCTION("""COMPUTED_VALUE"""),"TIARA ARDIANTI")</f>
        <v>TIARA ARDIANTI</v>
      </c>
      <c r="P473" s="1" t="str">
        <f ca="1">IFERROR(__xludf.DUMMYFUNCTION("""COMPUTED_VALUE"""),"01211940000082")</f>
        <v>01211940000082</v>
      </c>
      <c r="Q473" s="1" t="str">
        <f ca="1">IFERROR(__xludf.DUMMYFUNCTION("""COMPUTED_VALUE"""),"Departemen Kimia")</f>
        <v>Departemen Kimia</v>
      </c>
      <c r="R473" s="1" t="str">
        <f ca="1">IFERROR(__xludf.DUMMYFUNCTION("""COMPUTED_VALUE"""),"DESI MELINDA")</f>
        <v>DESI MELINDA</v>
      </c>
      <c r="S473" s="1" t="str">
        <f ca="1">IFERROR(__xludf.DUMMYFUNCTION("""COMPUTED_VALUE"""),"5004201102")</f>
        <v>5004201102</v>
      </c>
      <c r="T473" s="1" t="str">
        <f ca="1">IFERROR(__xludf.DUMMYFUNCTION("""COMPUTED_VALUE"""),"Departemen Kimia")</f>
        <v>Departemen Kimia</v>
      </c>
      <c r="U473" s="1" t="str">
        <f ca="1">IFERROR(__xludf.DUMMYFUNCTION("""COMPUTED_VALUE"""),"Vania Mitha Pratiwi, S.T., M.T.")</f>
        <v>Vania Mitha Pratiwi, S.T., M.T.</v>
      </c>
      <c r="V473" s="1" t="str">
        <f ca="1">IFERROR(__xludf.DUMMYFUNCTION("""COMPUTED_VALUE"""),"Hamdan Dwi Rizqi, S.Si., M.Si.")</f>
        <v>Hamdan Dwi Rizqi, S.Si., M.Si.</v>
      </c>
      <c r="W473" s="1"/>
      <c r="X473" s="1" t="str">
        <f ca="1">IFERROR(__xludf.DUMMYFUNCTION("""COMPUTED_VALUE"""),"Lolos")</f>
        <v>Lolos</v>
      </c>
      <c r="Y473" s="1"/>
      <c r="Z473" s="1"/>
      <c r="AA473" s="1"/>
    </row>
    <row r="474" spans="1:27">
      <c r="A474" s="1" t="s">
        <v>467</v>
      </c>
      <c r="B474" s="1">
        <f ca="1">IFERROR(__xludf.DUMMYFUNCTION("""COMPUTED_VALUE"""),3447)</f>
        <v>3447</v>
      </c>
      <c r="C474" s="1" t="str">
        <f ca="1">IFERROR(__xludf.DUMMYFUNCTION("""COMPUTED_VALUE"""),"PKM Riset Eksakta")</f>
        <v>PKM Riset Eksakta</v>
      </c>
      <c r="D474" s="1" t="str">
        <f ca="1">IFERROR(__xludf.DUMMYFUNCTION("""COMPUTED_VALUE"""),"Bioenergi Alternatif dari Pemurnian Biobutanol Metode Ekstraksi Cair-Cair dan Distilasi Bertingkat dari Hasil Fermentasi ABE Limbah Tandan Kosong Kelapa Sawit")</f>
        <v>Bioenergi Alternatif dari Pemurnian Biobutanol Metode Ekstraksi Cair-Cair dan Distilasi Bertingkat dari Hasil Fermentasi ABE Limbah Tandan Kosong Kelapa Sawit</v>
      </c>
      <c r="E474" s="1" t="str">
        <f ca="1">IFERROR(__xludf.DUMMYFUNCTION("""COMPUTED_VALUE"""),"Ferdiansyah Iqbil Qouli")</f>
        <v>Ferdiansyah Iqbil Qouli</v>
      </c>
      <c r="F474" s="1" t="str">
        <f ca="1">IFERROR(__xludf.DUMMYFUNCTION("""COMPUTED_VALUE"""),"02211940000044")</f>
        <v>02211940000044</v>
      </c>
      <c r="G474" s="1" t="str">
        <f ca="1">IFERROR(__xludf.DUMMYFUNCTION("""COMPUTED_VALUE"""),"Departemen Teknik Kimia")</f>
        <v>Departemen Teknik Kimia</v>
      </c>
      <c r="H474" s="1" t="str">
        <f ca="1">IFERROR(__xludf.DUMMYFUNCTION("""COMPUTED_VALUE"""),"Prof. Dr. Ir. Tri Widjaja, M.Eng")</f>
        <v>Prof. Dr. Ir. Tri Widjaja, M.Eng</v>
      </c>
      <c r="I474" s="1" t="str">
        <f ca="1">IFERROR(__xludf.DUMMYFUNCTION("""COMPUTED_VALUE"""),"MOCHAMMAD FAHMI ZACHRI")</f>
        <v>MOCHAMMAD FAHMI ZACHRI</v>
      </c>
      <c r="J474" s="1" t="str">
        <f ca="1">IFERROR(__xludf.DUMMYFUNCTION("""COMPUTED_VALUE"""),"02211940000124")</f>
        <v>02211940000124</v>
      </c>
      <c r="K474" s="1" t="str">
        <f ca="1">IFERROR(__xludf.DUMMYFUNCTION("""COMPUTED_VALUE"""),"Departemen Teknik Kimia")</f>
        <v>Departemen Teknik Kimia</v>
      </c>
      <c r="L474" s="1" t="str">
        <f ca="1">IFERROR(__xludf.DUMMYFUNCTION("""COMPUTED_VALUE"""),"Dea Puspa Karinda")</f>
        <v>Dea Puspa Karinda</v>
      </c>
      <c r="M474" s="1" t="str">
        <f ca="1">IFERROR(__xludf.DUMMYFUNCTION("""COMPUTED_VALUE"""),"02211940000031")</f>
        <v>02211940000031</v>
      </c>
      <c r="N474" s="1" t="str">
        <f ca="1">IFERROR(__xludf.DUMMYFUNCTION("""COMPUTED_VALUE"""),"Departemen Teknik Kimia")</f>
        <v>Departemen Teknik Kimia</v>
      </c>
      <c r="O474" s="1" t="str">
        <f ca="1">IFERROR(__xludf.DUMMYFUNCTION("""COMPUTED_VALUE"""),"FA`IZUL QHOLBI TAMIMI")</f>
        <v>FA`IZUL QHOLBI TAMIMI</v>
      </c>
      <c r="P474" s="1" t="str">
        <f ca="1">IFERROR(__xludf.DUMMYFUNCTION("""COMPUTED_VALUE"""),"02211940000081")</f>
        <v>02211940000081</v>
      </c>
      <c r="Q474" s="1" t="str">
        <f ca="1">IFERROR(__xludf.DUMMYFUNCTION("""COMPUTED_VALUE"""),"Departemen Teknik Kimia")</f>
        <v>Departemen Teknik Kimia</v>
      </c>
      <c r="R474" s="1" t="str">
        <f ca="1">IFERROR(__xludf.DUMMYFUNCTION("""COMPUTED_VALUE"""),"MUHAMMAD YUSUF BAKHTIAR")</f>
        <v>MUHAMMAD YUSUF BAKHTIAR</v>
      </c>
      <c r="S474" s="1" t="str">
        <f ca="1">IFERROR(__xludf.DUMMYFUNCTION("""COMPUTED_VALUE"""),"02211940000101")</f>
        <v>02211940000101</v>
      </c>
      <c r="T474" s="1" t="str">
        <f ca="1">IFERROR(__xludf.DUMMYFUNCTION("""COMPUTED_VALUE"""),"Departemen Teknik Kimia")</f>
        <v>Departemen Teknik Kimia</v>
      </c>
      <c r="U474" s="1" t="str">
        <f ca="1">IFERROR(__xludf.DUMMYFUNCTION("""COMPUTED_VALUE"""),"Vania Mitha Pratiwi, S.T., M.T.")</f>
        <v>Vania Mitha Pratiwi, S.T., M.T.</v>
      </c>
      <c r="V474" s="1" t="str">
        <f ca="1">IFERROR(__xludf.DUMMYFUNCTION("""COMPUTED_VALUE"""),"Hamdan Dwi Rizqi, S.Si., M.Si.")</f>
        <v>Hamdan Dwi Rizqi, S.Si., M.Si.</v>
      </c>
      <c r="W474" s="1"/>
      <c r="X474" s="1" t="str">
        <f ca="1">IFERROR(__xludf.DUMMYFUNCTION("""COMPUTED_VALUE"""),"Lolos")</f>
        <v>Lolos</v>
      </c>
      <c r="Y474" s="1"/>
      <c r="Z474" s="1"/>
      <c r="AA474" s="1"/>
    </row>
    <row r="475" spans="1:27">
      <c r="A475" s="1" t="s">
        <v>468</v>
      </c>
      <c r="B475" s="1">
        <f ca="1">IFERROR(__xludf.DUMMYFUNCTION("""COMPUTED_VALUE"""),2285)</f>
        <v>2285</v>
      </c>
      <c r="C475" s="1" t="str">
        <f ca="1">IFERROR(__xludf.DUMMYFUNCTION("""COMPUTED_VALUE"""),"PKM Riset Eksakta")</f>
        <v>PKM Riset Eksakta</v>
      </c>
      <c r="D475" s="1" t="str">
        <f ca="1">IFERROR(__xludf.DUMMYFUNCTION("""COMPUTED_VALUE"""),"Performa Hidrodinamis Struktur Keramba Jaring Apung Berjenis Kapal untuk Budidaya Ikan Lepas Pantai Berdasarkan Metode Pemodelan Numerik")</f>
        <v>Performa Hidrodinamis Struktur Keramba Jaring Apung Berjenis Kapal untuk Budidaya Ikan Lepas Pantai Berdasarkan Metode Pemodelan Numerik</v>
      </c>
      <c r="E475" s="1" t="str">
        <f ca="1">IFERROR(__xludf.DUMMYFUNCTION("""COMPUTED_VALUE"""),"ADIV GAYU ATHALLAH")</f>
        <v>ADIV GAYU ATHALLAH</v>
      </c>
      <c r="F475" s="1" t="str">
        <f ca="1">IFERROR(__xludf.DUMMYFUNCTION("""COMPUTED_VALUE"""),"04311940000047")</f>
        <v>04311940000047</v>
      </c>
      <c r="G475" s="1" t="str">
        <f ca="1">IFERROR(__xludf.DUMMYFUNCTION("""COMPUTED_VALUE"""),"Departemen Teknik Kelautan")</f>
        <v>Departemen Teknik Kelautan</v>
      </c>
      <c r="H475" s="1" t="str">
        <f ca="1">IFERROR(__xludf.DUMMYFUNCTION("""COMPUTED_VALUE"""),"Ir. Murdjito, M.Sc")</f>
        <v>Ir. Murdjito, M.Sc</v>
      </c>
      <c r="I475" s="1" t="str">
        <f ca="1">IFERROR(__xludf.DUMMYFUNCTION("""COMPUTED_VALUE"""),"MUJADID ALDIN ALBASYIR")</f>
        <v>MUJADID ALDIN ALBASYIR</v>
      </c>
      <c r="J475" s="1" t="str">
        <f ca="1">IFERROR(__xludf.DUMMYFUNCTION("""COMPUTED_VALUE"""),"04311940000045")</f>
        <v>04311940000045</v>
      </c>
      <c r="K475" s="1" t="str">
        <f ca="1">IFERROR(__xludf.DUMMYFUNCTION("""COMPUTED_VALUE"""),"Departemen Teknik Kelautan")</f>
        <v>Departemen Teknik Kelautan</v>
      </c>
      <c r="L475" s="1" t="str">
        <f ca="1">IFERROR(__xludf.DUMMYFUNCTION("""COMPUTED_VALUE"""),"ANNISA AULIA")</f>
        <v>ANNISA AULIA</v>
      </c>
      <c r="M475" s="1" t="str">
        <f ca="1">IFERROR(__xludf.DUMMYFUNCTION("""COMPUTED_VALUE"""),"04311940000056")</f>
        <v>04311940000056</v>
      </c>
      <c r="N475" s="1" t="str">
        <f ca="1">IFERROR(__xludf.DUMMYFUNCTION("""COMPUTED_VALUE"""),"Departemen Teknik Kelautan")</f>
        <v>Departemen Teknik Kelautan</v>
      </c>
      <c r="O475" s="1" t="str">
        <f ca="1">IFERROR(__xludf.DUMMYFUNCTION("""COMPUTED_VALUE"""),"SHAFRINA PUTRI SELVIA")</f>
        <v>SHAFRINA PUTRI SELVIA</v>
      </c>
      <c r="P475" s="1" t="str">
        <f ca="1">IFERROR(__xludf.DUMMYFUNCTION("""COMPUTED_VALUE"""),"5020201003")</f>
        <v>5020201003</v>
      </c>
      <c r="Q475" s="1" t="str">
        <f ca="1">IFERROR(__xludf.DUMMYFUNCTION("""COMPUTED_VALUE"""),"Departemen Teknik Kelautan")</f>
        <v>Departemen Teknik Kelautan</v>
      </c>
      <c r="R475" s="1" t="str">
        <f ca="1">IFERROR(__xludf.DUMMYFUNCTION("""COMPUTED_VALUE"""),"HUDZWAH AZZAHRAWANI D")</f>
        <v>HUDZWAH AZZAHRAWANI D</v>
      </c>
      <c r="S475" s="1" t="str">
        <f ca="1">IFERROR(__xludf.DUMMYFUNCTION("""COMPUTED_VALUE"""),"5020201004")</f>
        <v>5020201004</v>
      </c>
      <c r="T475" s="1" t="str">
        <f ca="1">IFERROR(__xludf.DUMMYFUNCTION("""COMPUTED_VALUE"""),"Departemen Teknik Kelautan")</f>
        <v>Departemen Teknik Kelautan</v>
      </c>
      <c r="U475" s="1" t="str">
        <f ca="1">IFERROR(__xludf.DUMMYFUNCTION("""COMPUTED_VALUE"""),"Vania Mitha Pratiwi, S.T., M.T.")</f>
        <v>Vania Mitha Pratiwi, S.T., M.T.</v>
      </c>
      <c r="V475" s="1" t="str">
        <f ca="1">IFERROR(__xludf.DUMMYFUNCTION("""COMPUTED_VALUE"""),"Hamdan Dwi Rizqi, S.Si., M.Si.")</f>
        <v>Hamdan Dwi Rizqi, S.Si., M.Si.</v>
      </c>
      <c r="W475" s="1"/>
      <c r="X475" s="1" t="str">
        <f ca="1">IFERROR(__xludf.DUMMYFUNCTION("""COMPUTED_VALUE"""),"Lolos")</f>
        <v>Lolos</v>
      </c>
      <c r="Y475" s="1"/>
      <c r="Z475" s="1"/>
      <c r="AA475" s="1"/>
    </row>
    <row r="476" spans="1:27">
      <c r="A476" s="1" t="s">
        <v>469</v>
      </c>
      <c r="B476" s="1">
        <f ca="1">IFERROR(__xludf.DUMMYFUNCTION("""COMPUTED_VALUE"""),3443)</f>
        <v>3443</v>
      </c>
      <c r="C476" s="1" t="str">
        <f ca="1">IFERROR(__xludf.DUMMYFUNCTION("""COMPUTED_VALUE"""),"PKM Riset Eksakta")</f>
        <v>PKM Riset Eksakta</v>
      </c>
      <c r="D476" s="1" t="str">
        <f ca="1">IFERROR(__xludf.DUMMYFUNCTION("""COMPUTED_VALUE"""),"Modifikasi Proses Pemurnian Glukomanan dari Tepung Umbi Porang (Amorphophallius muelleri Blume) secara Enzimatis-Kimiawi")</f>
        <v>Modifikasi Proses Pemurnian Glukomanan dari Tepung Umbi Porang (Amorphophallius muelleri Blume) secara Enzimatis-Kimiawi</v>
      </c>
      <c r="E476" s="1" t="str">
        <f ca="1">IFERROR(__xludf.DUMMYFUNCTION("""COMPUTED_VALUE"""),"AYU LESTARI SEPTIANI MANURUNG")</f>
        <v>AYU LESTARI SEPTIANI MANURUNG</v>
      </c>
      <c r="F476" s="1" t="str">
        <f ca="1">IFERROR(__xludf.DUMMYFUNCTION("""COMPUTED_VALUE"""),"10411810000034")</f>
        <v>10411810000034</v>
      </c>
      <c r="G476" s="1" t="str">
        <f ca="1">IFERROR(__xludf.DUMMYFUNCTION("""COMPUTED_VALUE"""),"Departemen Teknik Kimia Industri")</f>
        <v>Departemen Teknik Kimia Industri</v>
      </c>
      <c r="H476" s="1" t="str">
        <f ca="1">IFERROR(__xludf.DUMMYFUNCTION("""COMPUTED_VALUE"""),"Dr.Ir. Niniek Fajar Puspita, M.Eng.")</f>
        <v>Dr.Ir. Niniek Fajar Puspita, M.Eng.</v>
      </c>
      <c r="I476" s="1" t="str">
        <f ca="1">IFERROR(__xludf.DUMMYFUNCTION("""COMPUTED_VALUE"""),"ANISA ERDIAN PRATIWI")</f>
        <v>ANISA ERDIAN PRATIWI</v>
      </c>
      <c r="J476" s="1" t="str">
        <f ca="1">IFERROR(__xludf.DUMMYFUNCTION("""COMPUTED_VALUE"""),"10411810000028")</f>
        <v>10411810000028</v>
      </c>
      <c r="K476" s="1" t="str">
        <f ca="1">IFERROR(__xludf.DUMMYFUNCTION("""COMPUTED_VALUE"""),"Departemen Teknik Kimia Industri")</f>
        <v>Departemen Teknik Kimia Industri</v>
      </c>
      <c r="L476" s="1" t="str">
        <f ca="1">IFERROR(__xludf.DUMMYFUNCTION("""COMPUTED_VALUE"""),"FAHMI MUHAMMAD IZZUDDIN")</f>
        <v>FAHMI MUHAMMAD IZZUDDIN</v>
      </c>
      <c r="M476" s="1" t="str">
        <f ca="1">IFERROR(__xludf.DUMMYFUNCTION("""COMPUTED_VALUE"""),"10411810000002")</f>
        <v>10411810000002</v>
      </c>
      <c r="N476" s="1" t="str">
        <f ca="1">IFERROR(__xludf.DUMMYFUNCTION("""COMPUTED_VALUE"""),"Departemen Teknik Kimia Industri")</f>
        <v>Departemen Teknik Kimia Industri</v>
      </c>
      <c r="O476" s="1" t="str">
        <f ca="1">IFERROR(__xludf.DUMMYFUNCTION("""COMPUTED_VALUE"""),"FIKAPUTRI ROHMATUL MAULA")</f>
        <v>FIKAPUTRI ROHMATUL MAULA</v>
      </c>
      <c r="P476" s="1" t="str">
        <f ca="1">IFERROR(__xludf.DUMMYFUNCTION("""COMPUTED_VALUE"""),"10411810000062")</f>
        <v>10411810000062</v>
      </c>
      <c r="Q476" s="1" t="str">
        <f ca="1">IFERROR(__xludf.DUMMYFUNCTION("""COMPUTED_VALUE"""),"Departemen Teknik Kimia Industri")</f>
        <v>Departemen Teknik Kimia Industri</v>
      </c>
      <c r="R476" s="1" t="str">
        <f ca="1">IFERROR(__xludf.DUMMYFUNCTION("""COMPUTED_VALUE"""),"GRACELLA AUDREY TOAR")</f>
        <v>GRACELLA AUDREY TOAR</v>
      </c>
      <c r="S476" s="1" t="str">
        <f ca="1">IFERROR(__xludf.DUMMYFUNCTION("""COMPUTED_VALUE"""),"2041201047")</f>
        <v>2041201047</v>
      </c>
      <c r="T476" s="1" t="str">
        <f ca="1">IFERROR(__xludf.DUMMYFUNCTION("""COMPUTED_VALUE"""),"Departemen Teknik Kimia Industri")</f>
        <v>Departemen Teknik Kimia Industri</v>
      </c>
      <c r="U476" s="1" t="str">
        <f ca="1">IFERROR(__xludf.DUMMYFUNCTION("""COMPUTED_VALUE"""),"Vania Mitha Pratiwi, S.T., M.T.")</f>
        <v>Vania Mitha Pratiwi, S.T., M.T.</v>
      </c>
      <c r="V476" s="1" t="str">
        <f ca="1">IFERROR(__xludf.DUMMYFUNCTION("""COMPUTED_VALUE"""),"Hamdan Dwi Rizqi, S.Si., M.Si.")</f>
        <v>Hamdan Dwi Rizqi, S.Si., M.Si.</v>
      </c>
      <c r="W476" s="1"/>
      <c r="X476" s="1" t="str">
        <f ca="1">IFERROR(__xludf.DUMMYFUNCTION("""COMPUTED_VALUE"""),"Lolos")</f>
        <v>Lolos</v>
      </c>
      <c r="Y476" s="1"/>
      <c r="Z476" s="1"/>
      <c r="AA476" s="1"/>
    </row>
    <row r="477" spans="1:27">
      <c r="A477" s="1" t="s">
        <v>470</v>
      </c>
      <c r="B477" s="1">
        <f ca="1">IFERROR(__xludf.DUMMYFUNCTION("""COMPUTED_VALUE"""),3421)</f>
        <v>3421</v>
      </c>
      <c r="C477" s="1" t="str">
        <f ca="1">IFERROR(__xludf.DUMMYFUNCTION("""COMPUTED_VALUE"""),"PKM Riset Eksakta")</f>
        <v>PKM Riset Eksakta</v>
      </c>
      <c r="D477" s="1" t="str">
        <f ca="1">IFERROR(__xludf.DUMMYFUNCTION("""COMPUTED_VALUE"""),"ANALISIS WORKABILITY MATERIAL 3D PRINTING UNTUK PENERAPAN DIINDUSTRI KONSTRUKSI")</f>
        <v>ANALISIS WORKABILITY MATERIAL 3D PRINTING UNTUK PENERAPAN DIINDUSTRI KONSTRUKSI</v>
      </c>
      <c r="E477" s="1" t="str">
        <f ca="1">IFERROR(__xludf.DUMMYFUNCTION("""COMPUTED_VALUE"""),"BETA RAHAYUNING PRATIWI")</f>
        <v>BETA RAHAYUNING PRATIWI</v>
      </c>
      <c r="F477" s="1" t="str">
        <f ca="1">IFERROR(__xludf.DUMMYFUNCTION("""COMPUTED_VALUE"""),"10111810010005")</f>
        <v>10111810010005</v>
      </c>
      <c r="G477" s="1" t="str">
        <f ca="1">IFERROR(__xludf.DUMMYFUNCTION("""COMPUTED_VALUE"""),"Departemen Teknik Infrastruktur Sipil")</f>
        <v>Departemen Teknik Infrastruktur Sipil</v>
      </c>
      <c r="H477" s="1" t="str">
        <f ca="1">IFERROR(__xludf.DUMMYFUNCTION("""COMPUTED_VALUE"""),"Prof. Ridho Bayuaji, S.T., M.T., Ph.D.")</f>
        <v>Prof. Ridho Bayuaji, S.T., M.T., Ph.D.</v>
      </c>
      <c r="I477" s="1" t="str">
        <f ca="1">IFERROR(__xludf.DUMMYFUNCTION("""COMPUTED_VALUE"""),"FIRMAN ALVIANI")</f>
        <v>FIRMAN ALVIANI</v>
      </c>
      <c r="J477" s="1" t="str">
        <f ca="1">IFERROR(__xludf.DUMMYFUNCTION("""COMPUTED_VALUE"""),"10111810010037")</f>
        <v>10111810010037</v>
      </c>
      <c r="K477" s="1" t="str">
        <f ca="1">IFERROR(__xludf.DUMMYFUNCTION("""COMPUTED_VALUE"""),"Departemen Teknik Infrastruktur Sipil")</f>
        <v>Departemen Teknik Infrastruktur Sipil</v>
      </c>
      <c r="L477" s="1" t="str">
        <f ca="1">IFERROR(__xludf.DUMMYFUNCTION("""COMPUTED_VALUE"""),"ALFINA MAULIDA NUR RAHMA")</f>
        <v>ALFINA MAULIDA NUR RAHMA</v>
      </c>
      <c r="M477" s="1" t="str">
        <f ca="1">IFERROR(__xludf.DUMMYFUNCTION("""COMPUTED_VALUE"""),"10111810010027")</f>
        <v>10111810010027</v>
      </c>
      <c r="N477" s="1" t="str">
        <f ca="1">IFERROR(__xludf.DUMMYFUNCTION("""COMPUTED_VALUE"""),"Departemen Teknik Infrastruktur Sipil")</f>
        <v>Departemen Teknik Infrastruktur Sipil</v>
      </c>
      <c r="O477" s="1"/>
      <c r="P477" s="1"/>
      <c r="Q477" s="1"/>
      <c r="R477" s="1"/>
      <c r="S477" s="1"/>
      <c r="T477" s="1"/>
      <c r="U477" s="1" t="str">
        <f ca="1">IFERROR(__xludf.DUMMYFUNCTION("""COMPUTED_VALUE"""),"Vania Mitha Pratiwi, S.T., M.T.")</f>
        <v>Vania Mitha Pratiwi, S.T., M.T.</v>
      </c>
      <c r="V477" s="1" t="str">
        <f ca="1">IFERROR(__xludf.DUMMYFUNCTION("""COMPUTED_VALUE"""),"Hamdan Dwi Rizqi, S.Si., M.Si.")</f>
        <v>Hamdan Dwi Rizqi, S.Si., M.Si.</v>
      </c>
      <c r="W477" s="1"/>
      <c r="X477" s="1" t="str">
        <f ca="1">IFERROR(__xludf.DUMMYFUNCTION("""COMPUTED_VALUE"""),"Lolos")</f>
        <v>Lolos</v>
      </c>
      <c r="Y477" s="1"/>
      <c r="Z477" s="1"/>
      <c r="AA477" s="1"/>
    </row>
    <row r="478" spans="1:27">
      <c r="A478" s="1" t="s">
        <v>471</v>
      </c>
      <c r="B478" s="1">
        <f ca="1">IFERROR(__xludf.DUMMYFUNCTION("""COMPUTED_VALUE"""),2217)</f>
        <v>2217</v>
      </c>
      <c r="C478" s="1" t="str">
        <f ca="1">IFERROR(__xludf.DUMMYFUNCTION("""COMPUTED_VALUE"""),"PKM Riset Eksakta")</f>
        <v>PKM Riset Eksakta</v>
      </c>
      <c r="D478" s="1" t="str">
        <f ca="1">IFERROR(__xludf.DUMMYFUNCTION("""COMPUTED_VALUE"""),"Optimalisasi Jaringan Pipa Air pada Pemukiman Padat Penduduk di Kota Jakarta Timur Menggunakan Raster Proximity Analysis")</f>
        <v>Optimalisasi Jaringan Pipa Air pada Pemukiman Padat Penduduk di Kota Jakarta Timur Menggunakan Raster Proximity Analysis</v>
      </c>
      <c r="E478" s="1" t="str">
        <f ca="1">IFERROR(__xludf.DUMMYFUNCTION("""COMPUTED_VALUE"""),"ACHMAD DANIAL MUMTAZ RAHMAN")</f>
        <v>ACHMAD DANIAL MUMTAZ RAHMAN</v>
      </c>
      <c r="F478" s="1" t="str">
        <f ca="1">IFERROR(__xludf.DUMMYFUNCTION("""COMPUTED_VALUE"""),"03311940000074")</f>
        <v>03311940000074</v>
      </c>
      <c r="G478" s="1" t="str">
        <f ca="1">IFERROR(__xludf.DUMMYFUNCTION("""COMPUTED_VALUE"""),"Departemen Teknik Geomatika")</f>
        <v>Departemen Teknik Geomatika</v>
      </c>
      <c r="H478" s="1" t="str">
        <f ca="1">IFERROR(__xludf.DUMMYFUNCTION("""COMPUTED_VALUE"""),"Mohammad Rohmaneo Darminto, S.T., M.Sc.")</f>
        <v>Mohammad Rohmaneo Darminto, S.T., M.Sc.</v>
      </c>
      <c r="I478" s="1" t="str">
        <f ca="1">IFERROR(__xludf.DUMMYFUNCTION("""COMPUTED_VALUE"""),"Zulfikar Bayu Khrisnamurti")</f>
        <v>Zulfikar Bayu Khrisnamurti</v>
      </c>
      <c r="J478" s="1" t="str">
        <f ca="1">IFERROR(__xludf.DUMMYFUNCTION("""COMPUTED_VALUE"""),"03311840000028")</f>
        <v>03311840000028</v>
      </c>
      <c r="K478" s="1" t="str">
        <f ca="1">IFERROR(__xludf.DUMMYFUNCTION("""COMPUTED_VALUE"""),"Departemen Teknik Geomatika")</f>
        <v>Departemen Teknik Geomatika</v>
      </c>
      <c r="L478" s="1" t="str">
        <f ca="1">IFERROR(__xludf.DUMMYFUNCTION("""COMPUTED_VALUE"""),"BAYU SAPUTRA")</f>
        <v>BAYU SAPUTRA</v>
      </c>
      <c r="M478" s="1" t="str">
        <f ca="1">IFERROR(__xludf.DUMMYFUNCTION("""COMPUTED_VALUE"""),"5016201067")</f>
        <v>5016201067</v>
      </c>
      <c r="N478" s="1" t="str">
        <f ca="1">IFERROR(__xludf.DUMMYFUNCTION("""COMPUTED_VALUE"""),"Departemen Teknik Geomatika")</f>
        <v>Departemen Teknik Geomatika</v>
      </c>
      <c r="O478" s="1" t="str">
        <f ca="1">IFERROR(__xludf.DUMMYFUNCTION("""COMPUTED_VALUE"""),"WAHYU NURYUDHA ")</f>
        <v xml:space="preserve">WAHYU NURYUDHA </v>
      </c>
      <c r="P478" s="1" t="str">
        <f ca="1">IFERROR(__xludf.DUMMYFUNCTION("""COMPUTED_VALUE"""),"5016201035")</f>
        <v>5016201035</v>
      </c>
      <c r="Q478" s="1" t="str">
        <f ca="1">IFERROR(__xludf.DUMMYFUNCTION("""COMPUTED_VALUE"""),"Departemen Teknik Geomatika")</f>
        <v>Departemen Teknik Geomatika</v>
      </c>
      <c r="R478" s="1"/>
      <c r="S478" s="1"/>
      <c r="T478" s="1"/>
      <c r="U478" s="1" t="str">
        <f ca="1">IFERROR(__xludf.DUMMYFUNCTION("""COMPUTED_VALUE"""),"Alief Wikarta, ST., MSc.Eng. Ph.D")</f>
        <v>Alief Wikarta, ST., MSc.Eng. Ph.D</v>
      </c>
      <c r="V478" s="1" t="str">
        <f ca="1">IFERROR(__xludf.DUMMYFUNCTION("""COMPUTED_VALUE"""),"Ir. Arino Anzip, M.Eng.Sc")</f>
        <v>Ir. Arino Anzip, M.Eng.Sc</v>
      </c>
      <c r="W478" s="1"/>
      <c r="X478" s="1" t="str">
        <f ca="1">IFERROR(__xludf.DUMMYFUNCTION("""COMPUTED_VALUE"""),"Lolos")</f>
        <v>Lolos</v>
      </c>
      <c r="Y478" s="1"/>
      <c r="Z478" s="1"/>
      <c r="AA478" s="1"/>
    </row>
    <row r="479" spans="1:27">
      <c r="A479" s="1" t="s">
        <v>472</v>
      </c>
      <c r="B479" s="1">
        <f ca="1">IFERROR(__xludf.DUMMYFUNCTION("""COMPUTED_VALUE"""),2668)</f>
        <v>2668</v>
      </c>
      <c r="C479" s="1" t="str">
        <f ca="1">IFERROR(__xludf.DUMMYFUNCTION("""COMPUTED_VALUE"""),"PKM Riset Eksakta")</f>
        <v>PKM Riset Eksakta</v>
      </c>
      <c r="D479" s="1" t="str">
        <f ca="1">IFERROR(__xludf.DUMMYFUNCTION("""COMPUTED_VALUE"""),"Strategi Alternatif Degradasi Polutan Parasetamol menggunakan Enzim Oksidase Laccase terimobilisasi pada Matriks berbasis Bacterial-Nano-Cellulose")</f>
        <v>Strategi Alternatif Degradasi Polutan Parasetamol menggunakan Enzim Oksidase Laccase terimobilisasi pada Matriks berbasis Bacterial-Nano-Cellulose</v>
      </c>
      <c r="E479" s="1" t="str">
        <f ca="1">IFERROR(__xludf.DUMMYFUNCTION("""COMPUTED_VALUE"""),"SALSABILA AIDA FITRIYA")</f>
        <v>SALSABILA AIDA FITRIYA</v>
      </c>
      <c r="F479" s="1" t="str">
        <f ca="1">IFERROR(__xludf.DUMMYFUNCTION("""COMPUTED_VALUE"""),"01311940000033")</f>
        <v>01311940000033</v>
      </c>
      <c r="G479" s="1" t="str">
        <f ca="1">IFERROR(__xludf.DUMMYFUNCTION("""COMPUTED_VALUE"""),"Departemen Biologi")</f>
        <v>Departemen Biologi</v>
      </c>
      <c r="H479" s="1" t="str">
        <f ca="1">IFERROR(__xludf.DUMMYFUNCTION("""COMPUTED_VALUE"""),"Dr.techn. Endry Nugroho Prasetyo, S.Si., M.T.")</f>
        <v>Dr.techn. Endry Nugroho Prasetyo, S.Si., M.T.</v>
      </c>
      <c r="I479" s="1" t="str">
        <f ca="1">IFERROR(__xludf.DUMMYFUNCTION("""COMPUTED_VALUE"""),"Luluk Alifia")</f>
        <v>Luluk Alifia</v>
      </c>
      <c r="J479" s="1" t="str">
        <f ca="1">IFERROR(__xludf.DUMMYFUNCTION("""COMPUTED_VALUE"""),"01311940000021")</f>
        <v>01311940000021</v>
      </c>
      <c r="K479" s="1" t="str">
        <f ca="1">IFERROR(__xludf.DUMMYFUNCTION("""COMPUTED_VALUE"""),"Departemen Biologi")</f>
        <v>Departemen Biologi</v>
      </c>
      <c r="L479" s="1" t="str">
        <f ca="1">IFERROR(__xludf.DUMMYFUNCTION("""COMPUTED_VALUE"""),"ARDIAN ZAIN")</f>
        <v>ARDIAN ZAIN</v>
      </c>
      <c r="M479" s="1" t="str">
        <f ca="1">IFERROR(__xludf.DUMMYFUNCTION("""COMPUTED_VALUE"""),"01211940000096")</f>
        <v>01211940000096</v>
      </c>
      <c r="N479" s="1" t="str">
        <f ca="1">IFERROR(__xludf.DUMMYFUNCTION("""COMPUTED_VALUE"""),"Departemen Kimia")</f>
        <v>Departemen Kimia</v>
      </c>
      <c r="O479" s="1" t="str">
        <f ca="1">IFERROR(__xludf.DUMMYFUNCTION("""COMPUTED_VALUE"""),"Paundra Rizky Pratama")</f>
        <v>Paundra Rizky Pratama</v>
      </c>
      <c r="P479" s="1" t="str">
        <f ca="1">IFERROR(__xludf.DUMMYFUNCTION("""COMPUTED_VALUE"""),"02511940000021")</f>
        <v>02511940000021</v>
      </c>
      <c r="Q479" s="1" t="str">
        <f ca="1">IFERROR(__xludf.DUMMYFUNCTION("""COMPUTED_VALUE"""),"Departemen Teknik Material dan Metalurgi")</f>
        <v>Departemen Teknik Material dan Metalurgi</v>
      </c>
      <c r="R479" s="1"/>
      <c r="S479" s="1"/>
      <c r="T479" s="1"/>
      <c r="U479" s="1" t="str">
        <f ca="1">IFERROR(__xludf.DUMMYFUNCTION("""COMPUTED_VALUE"""),"Dr. Ir. Bambang Sampurno, M.T.")</f>
        <v>Dr. Ir. Bambang Sampurno, M.T.</v>
      </c>
      <c r="V479" s="1" t="str">
        <f ca="1">IFERROR(__xludf.DUMMYFUNCTION("""COMPUTED_VALUE"""),"Dr. Gunawan Nugroho, S.T., M.T.")</f>
        <v>Dr. Gunawan Nugroho, S.T., M.T.</v>
      </c>
      <c r="W479" s="1"/>
      <c r="X479" s="1" t="str">
        <f ca="1">IFERROR(__xludf.DUMMYFUNCTION("""COMPUTED_VALUE"""),"Lolos")</f>
        <v>Lolos</v>
      </c>
      <c r="Y479" s="1"/>
      <c r="Z479" s="1"/>
      <c r="AA479" s="1"/>
    </row>
    <row r="480" spans="1:27">
      <c r="A480" s="1" t="s">
        <v>473</v>
      </c>
      <c r="B480" s="1">
        <f ca="1">IFERROR(__xludf.DUMMYFUNCTION("""COMPUTED_VALUE"""),2188)</f>
        <v>2188</v>
      </c>
      <c r="C480" s="1" t="str">
        <f ca="1">IFERROR(__xludf.DUMMYFUNCTION("""COMPUTED_VALUE"""),"PKM Riset Eksakta")</f>
        <v>PKM Riset Eksakta</v>
      </c>
      <c r="D480" s="1" t="str">
        <f ca="1">IFERROR(__xludf.DUMMYFUNCTION("""COMPUTED_VALUE"""),"Inovasi Bone Cement Antimikroba Berbasis Kitosan, Nanopartikel Hidrosiapatit Tulang Sapi, dan Polymethyl Methacrylate Sebagai Solusi Penyembuhan Bone Fracture")</f>
        <v>Inovasi Bone Cement Antimikroba Berbasis Kitosan, Nanopartikel Hidrosiapatit Tulang Sapi, dan Polymethyl Methacrylate Sebagai Solusi Penyembuhan Bone Fracture</v>
      </c>
      <c r="E480" s="1" t="str">
        <f ca="1">IFERROR(__xludf.DUMMYFUNCTION("""COMPUTED_VALUE"""),"ROGABE SIANIPAR")</f>
        <v>ROGABE SIANIPAR</v>
      </c>
      <c r="F480" s="1" t="str">
        <f ca="1">IFERROR(__xludf.DUMMYFUNCTION("""COMPUTED_VALUE"""),"5011201036")</f>
        <v>5011201036</v>
      </c>
      <c r="G480" s="1" t="str">
        <f ca="1">IFERROR(__xludf.DUMMYFUNCTION("""COMPUTED_VALUE"""),"Departemen Teknik Material dan Metalurgi")</f>
        <v>Departemen Teknik Material dan Metalurgi</v>
      </c>
      <c r="H480" s="1" t="str">
        <f ca="1">IFERROR(__xludf.DUMMYFUNCTION("""COMPUTED_VALUE"""),"Yuli Setiyorini, S.T., M.Phil., Ph.D.")</f>
        <v>Yuli Setiyorini, S.T., M.Phil., Ph.D.</v>
      </c>
      <c r="I480" s="1" t="str">
        <f ca="1">IFERROR(__xludf.DUMMYFUNCTION("""COMPUTED_VALUE"""),"Jonathan Teavan Capella")</f>
        <v>Jonathan Teavan Capella</v>
      </c>
      <c r="J480" s="1" t="str">
        <f ca="1">IFERROR(__xludf.DUMMYFUNCTION("""COMPUTED_VALUE"""),"02511840000022")</f>
        <v>02511840000022</v>
      </c>
      <c r="K480" s="1" t="str">
        <f ca="1">IFERROR(__xludf.DUMMYFUNCTION("""COMPUTED_VALUE"""),"Departemen Teknik Material dan Metalurgi")</f>
        <v>Departemen Teknik Material dan Metalurgi</v>
      </c>
      <c r="L480" s="1" t="str">
        <f ca="1">IFERROR(__xludf.DUMMYFUNCTION("""COMPUTED_VALUE"""),"GANANG WASONO")</f>
        <v>GANANG WASONO</v>
      </c>
      <c r="M480" s="1" t="str">
        <f ca="1">IFERROR(__xludf.DUMMYFUNCTION("""COMPUTED_VALUE"""),"02511840000062")</f>
        <v>02511840000062</v>
      </c>
      <c r="N480" s="1" t="str">
        <f ca="1">IFERROR(__xludf.DUMMYFUNCTION("""COMPUTED_VALUE"""),"Departemen Teknik Material dan Metalurgi")</f>
        <v>Departemen Teknik Material dan Metalurgi</v>
      </c>
      <c r="O480" s="1" t="str">
        <f ca="1">IFERROR(__xludf.DUMMYFUNCTION("""COMPUTED_VALUE"""),"ZAHRA NURSABRINA ELSANI")</f>
        <v>ZAHRA NURSABRINA ELSANI</v>
      </c>
      <c r="P480" s="1" t="str">
        <f ca="1">IFERROR(__xludf.DUMMYFUNCTION("""COMPUTED_VALUE"""),"5011201021")</f>
        <v>5011201021</v>
      </c>
      <c r="Q480" s="1" t="str">
        <f ca="1">IFERROR(__xludf.DUMMYFUNCTION("""COMPUTED_VALUE"""),"Departemen Teknik Material dan Metalurgi")</f>
        <v>Departemen Teknik Material dan Metalurgi</v>
      </c>
      <c r="R480" s="1" t="str">
        <f ca="1">IFERROR(__xludf.DUMMYFUNCTION("""COMPUTED_VALUE"""),"DICKY ADZANNI")</f>
        <v>DICKY ADZANNI</v>
      </c>
      <c r="S480" s="1" t="str">
        <f ca="1">IFERROR(__xludf.DUMMYFUNCTION("""COMPUTED_VALUE"""),"5011201123")</f>
        <v>5011201123</v>
      </c>
      <c r="T480" s="1" t="str">
        <f ca="1">IFERROR(__xludf.DUMMYFUNCTION("""COMPUTED_VALUE"""),"Departemen Teknik Material dan Metalurgi")</f>
        <v>Departemen Teknik Material dan Metalurgi</v>
      </c>
      <c r="U480" s="1" t="str">
        <f ca="1">IFERROR(__xludf.DUMMYFUNCTION("""COMPUTED_VALUE"""),"Alief Wikarta, ST., MSc.Eng. Ph.D")</f>
        <v>Alief Wikarta, ST., MSc.Eng. Ph.D</v>
      </c>
      <c r="V480" s="1" t="str">
        <f ca="1">IFERROR(__xludf.DUMMYFUNCTION("""COMPUTED_VALUE"""),"Ir. Arino Anzip, M.Eng.Sc")</f>
        <v>Ir. Arino Anzip, M.Eng.Sc</v>
      </c>
      <c r="W480" s="1"/>
      <c r="X480" s="1" t="str">
        <f ca="1">IFERROR(__xludf.DUMMYFUNCTION("""COMPUTED_VALUE"""),"Lolos")</f>
        <v>Lolos</v>
      </c>
      <c r="Y480" s="1"/>
      <c r="Z480" s="1"/>
      <c r="AA480" s="1"/>
    </row>
    <row r="481" spans="1:27">
      <c r="A481" s="1" t="s">
        <v>451</v>
      </c>
      <c r="B481" s="1">
        <f ca="1">IFERROR(__xludf.DUMMYFUNCTION("""COMPUTED_VALUE"""),2228)</f>
        <v>2228</v>
      </c>
      <c r="C481" s="1" t="str">
        <f ca="1">IFERROR(__xludf.DUMMYFUNCTION("""COMPUTED_VALUE"""),"PKM Riset Eksakta")</f>
        <v>PKM Riset Eksakta</v>
      </c>
      <c r="D481" s="1" t="str">
        <f ca="1">IFERROR(__xludf.DUMMYFUNCTION("""COMPUTED_VALUE"""),"Investigasi workability dan kuat tekan material 3D Printing berbasis fly ash tipe C dengan Metode Kering")</f>
        <v>Investigasi workability dan kuat tekan material 3D Printing berbasis fly ash tipe C dengan Metode Kering</v>
      </c>
      <c r="E481" s="1" t="str">
        <f ca="1">IFERROR(__xludf.DUMMYFUNCTION("""COMPUTED_VALUE"""),"RIFQI NADHIF ARRAFID")</f>
        <v>RIFQI NADHIF ARRAFID</v>
      </c>
      <c r="F481" s="1" t="str">
        <f ca="1">IFERROR(__xludf.DUMMYFUNCTION("""COMPUTED_VALUE"""),"10111810013012")</f>
        <v>10111810013012</v>
      </c>
      <c r="G481" s="1" t="str">
        <f ca="1">IFERROR(__xludf.DUMMYFUNCTION("""COMPUTED_VALUE"""),"Departemen Teknik Infrastruktur Sipil")</f>
        <v>Departemen Teknik Infrastruktur Sipil</v>
      </c>
      <c r="H481" s="1" t="str">
        <f ca="1">IFERROR(__xludf.DUMMYFUNCTION("""COMPUTED_VALUE"""),"Dr.Eng. Yuyun Tajunnisa, S.T., M.T.")</f>
        <v>Dr.Eng. Yuyun Tajunnisa, S.T., M.T.</v>
      </c>
      <c r="I481" s="1" t="str">
        <f ca="1">IFERROR(__xludf.DUMMYFUNCTION("""COMPUTED_VALUE"""),"UMI ARIFATUS SHOIFAH")</f>
        <v>UMI ARIFATUS SHOIFAH</v>
      </c>
      <c r="J481" s="1" t="str">
        <f ca="1">IFERROR(__xludf.DUMMYFUNCTION("""COMPUTED_VALUE"""),"10111810010025")</f>
        <v>10111810010025</v>
      </c>
      <c r="K481" s="1" t="str">
        <f ca="1">IFERROR(__xludf.DUMMYFUNCTION("""COMPUTED_VALUE"""),"Departemen Teknik Infrastruktur Sipil")</f>
        <v>Departemen Teknik Infrastruktur Sipil</v>
      </c>
      <c r="L481" s="1" t="str">
        <f ca="1">IFERROR(__xludf.DUMMYFUNCTION("""COMPUTED_VALUE"""),"DAFFA' HIBATUL HAQQI")</f>
        <v>DAFFA' HIBATUL HAQQI</v>
      </c>
      <c r="M481" s="1" t="str">
        <f ca="1">IFERROR(__xludf.DUMMYFUNCTION("""COMPUTED_VALUE"""),"2036211010")</f>
        <v>2036211010</v>
      </c>
      <c r="N481" s="1" t="str">
        <f ca="1">IFERROR(__xludf.DUMMYFUNCTION("""COMPUTED_VALUE"""),"Departemen Teknik Infrastruktur Sipil")</f>
        <v>Departemen Teknik Infrastruktur Sipil</v>
      </c>
      <c r="O481" s="1" t="str">
        <f ca="1">IFERROR(__xludf.DUMMYFUNCTION("""COMPUTED_VALUE"""),"DZIKRI MUHAMMAD AROFY")</f>
        <v>DZIKRI MUHAMMAD AROFY</v>
      </c>
      <c r="P481" s="1" t="str">
        <f ca="1">IFERROR(__xludf.DUMMYFUNCTION("""COMPUTED_VALUE"""),"2035201014")</f>
        <v>2035201014</v>
      </c>
      <c r="Q481" s="1" t="str">
        <f ca="1">IFERROR(__xludf.DUMMYFUNCTION("""COMPUTED_VALUE"""),"Departemen Teknik Infrastruktur Sipil")</f>
        <v>Departemen Teknik Infrastruktur Sipil</v>
      </c>
      <c r="R481" s="1" t="str">
        <f ca="1">IFERROR(__xludf.DUMMYFUNCTION("""COMPUTED_VALUE"""),"DOVI PRATAMA DION")</f>
        <v>DOVI PRATAMA DION</v>
      </c>
      <c r="S481" s="1" t="str">
        <f ca="1">IFERROR(__xludf.DUMMYFUNCTION("""COMPUTED_VALUE"""),"10111910010072")</f>
        <v>10111910010072</v>
      </c>
      <c r="T481" s="1" t="str">
        <f ca="1">IFERROR(__xludf.DUMMYFUNCTION("""COMPUTED_VALUE"""),"Departemen Teknik Infrastruktur Sipil")</f>
        <v>Departemen Teknik Infrastruktur Sipil</v>
      </c>
      <c r="U481" s="1" t="str">
        <f ca="1">IFERROR(__xludf.DUMMYFUNCTION("""COMPUTED_VALUE"""),"Alief Wikarta, ST., MSc.Eng. Ph.D")</f>
        <v>Alief Wikarta, ST., MSc.Eng. Ph.D</v>
      </c>
      <c r="V481" s="1" t="str">
        <f ca="1">IFERROR(__xludf.DUMMYFUNCTION("""COMPUTED_VALUE"""),"Ir. Arino Anzip, M.Eng.Sc")</f>
        <v>Ir. Arino Anzip, M.Eng.Sc</v>
      </c>
      <c r="W481" s="1"/>
      <c r="X481" s="1" t="str">
        <f ca="1">IFERROR(__xludf.DUMMYFUNCTION("""COMPUTED_VALUE"""),"Lolos")</f>
        <v>Lolos</v>
      </c>
      <c r="Y481" s="1"/>
      <c r="Z481" s="1"/>
      <c r="AA481" s="1"/>
    </row>
    <row r="482" spans="1:27">
      <c r="A482" s="1" t="s">
        <v>474</v>
      </c>
      <c r="B482" s="1">
        <f ca="1">IFERROR(__xludf.DUMMYFUNCTION("""COMPUTED_VALUE"""),2649)</f>
        <v>2649</v>
      </c>
      <c r="C482" s="1" t="str">
        <f ca="1">IFERROR(__xludf.DUMMYFUNCTION("""COMPUTED_VALUE"""),"PKM Riset Eksakta")</f>
        <v>PKM Riset Eksakta</v>
      </c>
      <c r="D482" s="1" t="str">
        <f ca="1">IFERROR(__xludf.DUMMYFUNCTION("""COMPUTED_VALUE"""),"Pemanfaatan Material Melimpah Ramah Lingkungan NaCl dan Kitosan sebagai Bahan Pembuat Katoda Baterai NaFePO4 Menggunakan Metode Sol-gel")</f>
        <v>Pemanfaatan Material Melimpah Ramah Lingkungan NaCl dan Kitosan sebagai Bahan Pembuat Katoda Baterai NaFePO4 Menggunakan Metode Sol-gel</v>
      </c>
      <c r="E482" s="1" t="str">
        <f ca="1">IFERROR(__xludf.DUMMYFUNCTION("""COMPUTED_VALUE"""),"Mohammad Arrafi Azhar")</f>
        <v>Mohammad Arrafi Azhar</v>
      </c>
      <c r="F482" s="1" t="str">
        <f ca="1">IFERROR(__xludf.DUMMYFUNCTION("""COMPUTED_VALUE"""),"01111840000018")</f>
        <v>01111840000018</v>
      </c>
      <c r="G482" s="1" t="str">
        <f ca="1">IFERROR(__xludf.DUMMYFUNCTION("""COMPUTED_VALUE"""),"Departemen Fisika")</f>
        <v>Departemen Fisika</v>
      </c>
      <c r="H482" s="1" t="str">
        <f ca="1">IFERROR(__xludf.DUMMYFUNCTION("""COMPUTED_VALUE"""),"Prof. Dr. Darminto, M.Sc.")</f>
        <v>Prof. Dr. Darminto, M.Sc.</v>
      </c>
      <c r="I482" s="1" t="str">
        <f ca="1">IFERROR(__xludf.DUMMYFUNCTION("""COMPUTED_VALUE"""),"Andyan Rafi Setopratama")</f>
        <v>Andyan Rafi Setopratama</v>
      </c>
      <c r="J482" s="1" t="str">
        <f ca="1">IFERROR(__xludf.DUMMYFUNCTION("""COMPUTED_VALUE"""),"01111940000027")</f>
        <v>01111940000027</v>
      </c>
      <c r="K482" s="1" t="str">
        <f ca="1">IFERROR(__xludf.DUMMYFUNCTION("""COMPUTED_VALUE"""),"Departemen Fisika")</f>
        <v>Departemen Fisika</v>
      </c>
      <c r="L482" s="1" t="str">
        <f ca="1">IFERROR(__xludf.DUMMYFUNCTION("""COMPUTED_VALUE"""),"Phahul Zhemas Zul Nehan")</f>
        <v>Phahul Zhemas Zul Nehan</v>
      </c>
      <c r="M482" s="1" t="str">
        <f ca="1">IFERROR(__xludf.DUMMYFUNCTION("""COMPUTED_VALUE"""),"01111940000004")</f>
        <v>01111940000004</v>
      </c>
      <c r="N482" s="1" t="str">
        <f ca="1">IFERROR(__xludf.DUMMYFUNCTION("""COMPUTED_VALUE"""),"Departemen Fisika")</f>
        <v>Departemen Fisika</v>
      </c>
      <c r="O482" s="1" t="str">
        <f ca="1">IFERROR(__xludf.DUMMYFUNCTION("""COMPUTED_VALUE"""),"CHANIFA ZULAIHA AHMAD")</f>
        <v>CHANIFA ZULAIHA AHMAD</v>
      </c>
      <c r="P482" s="1" t="str">
        <f ca="1">IFERROR(__xludf.DUMMYFUNCTION("""COMPUTED_VALUE"""),"5011201008")</f>
        <v>5011201008</v>
      </c>
      <c r="Q482" s="1" t="str">
        <f ca="1">IFERROR(__xludf.DUMMYFUNCTION("""COMPUTED_VALUE"""),"Departemen Teknik Material dan Metalurgi")</f>
        <v>Departemen Teknik Material dan Metalurgi</v>
      </c>
      <c r="R482" s="1"/>
      <c r="S482" s="1"/>
      <c r="T482" s="1"/>
      <c r="U482" s="1" t="str">
        <f ca="1">IFERROR(__xludf.DUMMYFUNCTION("""COMPUTED_VALUE"""),"Dr. Ir. Bambang Sampurno, M.T.")</f>
        <v>Dr. Ir. Bambang Sampurno, M.T.</v>
      </c>
      <c r="V482" s="1" t="str">
        <f ca="1">IFERROR(__xludf.DUMMYFUNCTION("""COMPUTED_VALUE"""),"Ir. Arino Anzip, M.Eng.Sc")</f>
        <v>Ir. Arino Anzip, M.Eng.Sc</v>
      </c>
      <c r="W482" s="1"/>
      <c r="X482" s="1" t="str">
        <f ca="1">IFERROR(__xludf.DUMMYFUNCTION("""COMPUTED_VALUE"""),"Lolos")</f>
        <v>Lolos</v>
      </c>
      <c r="Y482" s="1"/>
      <c r="Z482" s="1"/>
      <c r="AA482" s="1"/>
    </row>
    <row r="483" spans="1:27">
      <c r="A483" s="1" t="s">
        <v>475</v>
      </c>
      <c r="B483" s="1">
        <f ca="1">IFERROR(__xludf.DUMMYFUNCTION("""COMPUTED_VALUE"""),2153)</f>
        <v>2153</v>
      </c>
      <c r="C483" s="1" t="str">
        <f ca="1">IFERROR(__xludf.DUMMYFUNCTION("""COMPUTED_VALUE"""),"PKM Riset Eksakta")</f>
        <v>PKM Riset Eksakta</v>
      </c>
      <c r="D483" s="1" t="str">
        <f ca="1">IFERROR(__xludf.DUMMYFUNCTION("""COMPUTED_VALUE"""),"Inovasi Penghalang Aliran sebagai Peningkatan pada Turbin Air Savonius Konfigurasi Side By Side untuk Pembangkit Listrik di Pedesaan")</f>
        <v>Inovasi Penghalang Aliran sebagai Peningkatan pada Turbin Air Savonius Konfigurasi Side By Side untuk Pembangkit Listrik di Pedesaan</v>
      </c>
      <c r="E483" s="1" t="str">
        <f ca="1">IFERROR(__xludf.DUMMYFUNCTION("""COMPUTED_VALUE"""),"FARHAN RABANI")</f>
        <v>FARHAN RABANI</v>
      </c>
      <c r="F483" s="1" t="str">
        <f ca="1">IFERROR(__xludf.DUMMYFUNCTION("""COMPUTED_VALUE"""),"02111940000138")</f>
        <v>02111940000138</v>
      </c>
      <c r="G483" s="1" t="str">
        <f ca="1">IFERROR(__xludf.DUMMYFUNCTION("""COMPUTED_VALUE"""),"Departemen Teknik Mesin")</f>
        <v>Departemen Teknik Mesin</v>
      </c>
      <c r="H483" s="1" t="str">
        <f ca="1">IFERROR(__xludf.DUMMYFUNCTION("""COMPUTED_VALUE"""),"Prof. Dr. Ir. Tri Yogi Yuwono, DEA.")</f>
        <v>Prof. Dr. Ir. Tri Yogi Yuwono, DEA.</v>
      </c>
      <c r="I483" s="1" t="str">
        <f ca="1">IFERROR(__xludf.DUMMYFUNCTION("""COMPUTED_VALUE"""),"NURAINI DIAN RAHMAWATI")</f>
        <v>NURAINI DIAN RAHMAWATI</v>
      </c>
      <c r="J483" s="1" t="str">
        <f ca="1">IFERROR(__xludf.DUMMYFUNCTION("""COMPUTED_VALUE"""),"02111942000015")</f>
        <v>02111942000015</v>
      </c>
      <c r="K483" s="1" t="str">
        <f ca="1">IFERROR(__xludf.DUMMYFUNCTION("""COMPUTED_VALUE"""),"Departemen Teknik Mesin")</f>
        <v>Departemen Teknik Mesin</v>
      </c>
      <c r="L483" s="1" t="str">
        <f ca="1">IFERROR(__xludf.DUMMYFUNCTION("""COMPUTED_VALUE"""),"DESSIDERIA DIANDRI")</f>
        <v>DESSIDERIA DIANDRI</v>
      </c>
      <c r="M483" s="1" t="str">
        <f ca="1">IFERROR(__xludf.DUMMYFUNCTION("""COMPUTED_VALUE"""),"02111940000108")</f>
        <v>02111940000108</v>
      </c>
      <c r="N483" s="1" t="str">
        <f ca="1">IFERROR(__xludf.DUMMYFUNCTION("""COMPUTED_VALUE"""),"Departemen Teknik Mesin")</f>
        <v>Departemen Teknik Mesin</v>
      </c>
      <c r="O483" s="1" t="str">
        <f ca="1">IFERROR(__xludf.DUMMYFUNCTION("""COMPUTED_VALUE"""),"NALENDRA MAHARDIKA TAQY")</f>
        <v>NALENDRA MAHARDIKA TAQY</v>
      </c>
      <c r="P483" s="1" t="str">
        <f ca="1">IFERROR(__xludf.DUMMYFUNCTION("""COMPUTED_VALUE"""),"5007201218")</f>
        <v>5007201218</v>
      </c>
      <c r="Q483" s="1" t="str">
        <f ca="1">IFERROR(__xludf.DUMMYFUNCTION("""COMPUTED_VALUE"""),"Departemen Teknik Mesin")</f>
        <v>Departemen Teknik Mesin</v>
      </c>
      <c r="R483" s="1" t="str">
        <f ca="1">IFERROR(__xludf.DUMMYFUNCTION("""COMPUTED_VALUE"""),"FAJRUL FALAH")</f>
        <v>FAJRUL FALAH</v>
      </c>
      <c r="S483" s="1" t="str">
        <f ca="1">IFERROR(__xludf.DUMMYFUNCTION("""COMPUTED_VALUE"""),"5007201133")</f>
        <v>5007201133</v>
      </c>
      <c r="T483" s="1" t="str">
        <f ca="1">IFERROR(__xludf.DUMMYFUNCTION("""COMPUTED_VALUE"""),"Departemen Teknik Mesin")</f>
        <v>Departemen Teknik Mesin</v>
      </c>
      <c r="U483" s="1" t="str">
        <f ca="1">IFERROR(__xludf.DUMMYFUNCTION("""COMPUTED_VALUE"""),"Dr. Ir. Bambang Sampurno, M.T.")</f>
        <v>Dr. Ir. Bambang Sampurno, M.T.</v>
      </c>
      <c r="V483" s="1" t="str">
        <f ca="1">IFERROR(__xludf.DUMMYFUNCTION("""COMPUTED_VALUE"""),"Ir. Arino Anzip, M.Eng.Sc")</f>
        <v>Ir. Arino Anzip, M.Eng.Sc</v>
      </c>
      <c r="W483" s="1"/>
      <c r="X483" s="1" t="str">
        <f ca="1">IFERROR(__xludf.DUMMYFUNCTION("""COMPUTED_VALUE"""),"Lolos")</f>
        <v>Lolos</v>
      </c>
      <c r="Y483" s="1"/>
      <c r="Z483" s="1"/>
      <c r="AA483" s="1"/>
    </row>
    <row r="484" spans="1:27">
      <c r="A484" s="1" t="s">
        <v>476</v>
      </c>
      <c r="B484" s="1">
        <f ca="1">IFERROR(__xludf.DUMMYFUNCTION("""COMPUTED_VALUE"""),3423)</f>
        <v>3423</v>
      </c>
      <c r="C484" s="1" t="str">
        <f ca="1">IFERROR(__xludf.DUMMYFUNCTION("""COMPUTED_VALUE"""),"PKM Riset Eksakta")</f>
        <v>PKM Riset Eksakta</v>
      </c>
      <c r="D484" s="1" t="str">
        <f ca="1">IFERROR(__xludf.DUMMYFUNCTION("""COMPUTED_VALUE"""),"Pemanfaatan Limbah Nangka sebagai Bahan Pembuatan Xylitol")</f>
        <v>Pemanfaatan Limbah Nangka sebagai Bahan Pembuatan Xylitol</v>
      </c>
      <c r="E484" s="1" t="str">
        <f ca="1">IFERROR(__xludf.DUMMYFUNCTION("""COMPUTED_VALUE"""),"AZEVA HAQQI PRADIAR")</f>
        <v>AZEVA HAQQI PRADIAR</v>
      </c>
      <c r="F484" s="1" t="str">
        <f ca="1">IFERROR(__xludf.DUMMYFUNCTION("""COMPUTED_VALUE"""),"2041201034")</f>
        <v>2041201034</v>
      </c>
      <c r="G484" s="1" t="str">
        <f ca="1">IFERROR(__xludf.DUMMYFUNCTION("""COMPUTED_VALUE"""),"Departemen Teknik Kimia Industri")</f>
        <v>Departemen Teknik Kimia Industri</v>
      </c>
      <c r="H484" s="1" t="str">
        <f ca="1">IFERROR(__xludf.DUMMYFUNCTION("""COMPUTED_VALUE"""),"Ir. Elly Agustiani, M.Eng")</f>
        <v>Ir. Elly Agustiani, M.Eng</v>
      </c>
      <c r="I484" s="1" t="str">
        <f ca="1">IFERROR(__xludf.DUMMYFUNCTION("""COMPUTED_VALUE"""),"JIHAD AKBAR HADRANI")</f>
        <v>JIHAD AKBAR HADRANI</v>
      </c>
      <c r="J484" s="1" t="str">
        <f ca="1">IFERROR(__xludf.DUMMYFUNCTION("""COMPUTED_VALUE"""),"2041201031")</f>
        <v>2041201031</v>
      </c>
      <c r="K484" s="1" t="str">
        <f ca="1">IFERROR(__xludf.DUMMYFUNCTION("""COMPUTED_VALUE"""),"Departemen Teknik Kimia Industri")</f>
        <v>Departemen Teknik Kimia Industri</v>
      </c>
      <c r="L484" s="1" t="str">
        <f ca="1">IFERROR(__xludf.DUMMYFUNCTION("""COMPUTED_VALUE"""),"AURINATI SALSABILA")</f>
        <v>AURINATI SALSABILA</v>
      </c>
      <c r="M484" s="1" t="str">
        <f ca="1">IFERROR(__xludf.DUMMYFUNCTION("""COMPUTED_VALUE"""),"2041201055")</f>
        <v>2041201055</v>
      </c>
      <c r="N484" s="1" t="str">
        <f ca="1">IFERROR(__xludf.DUMMYFUNCTION("""COMPUTED_VALUE"""),"Departemen Teknik Kimia Industri")</f>
        <v>Departemen Teknik Kimia Industri</v>
      </c>
      <c r="O484" s="1" t="str">
        <f ca="1">IFERROR(__xludf.DUMMYFUNCTION("""COMPUTED_VALUE"""),"CHYNTYA INTAN VALENIA")</f>
        <v>CHYNTYA INTAN VALENIA</v>
      </c>
      <c r="P484" s="1" t="str">
        <f ca="1">IFERROR(__xludf.DUMMYFUNCTION("""COMPUTED_VALUE"""),"2041201070")</f>
        <v>2041201070</v>
      </c>
      <c r="Q484" s="1" t="str">
        <f ca="1">IFERROR(__xludf.DUMMYFUNCTION("""COMPUTED_VALUE"""),"Departemen Teknik Kimia Industri")</f>
        <v>Departemen Teknik Kimia Industri</v>
      </c>
      <c r="R484" s="1" t="str">
        <f ca="1">IFERROR(__xludf.DUMMYFUNCTION("""COMPUTED_VALUE"""),"LYNA LEVIA FAIQOH")</f>
        <v>LYNA LEVIA FAIQOH</v>
      </c>
      <c r="S484" s="1" t="str">
        <f ca="1">IFERROR(__xludf.DUMMYFUNCTION("""COMPUTED_VALUE"""),"2041201091")</f>
        <v>2041201091</v>
      </c>
      <c r="T484" s="1" t="str">
        <f ca="1">IFERROR(__xludf.DUMMYFUNCTION("""COMPUTED_VALUE"""),"Departemen Teknik Kimia Industri")</f>
        <v>Departemen Teknik Kimia Industri</v>
      </c>
      <c r="U484" s="1" t="str">
        <f ca="1">IFERROR(__xludf.DUMMYFUNCTION("""COMPUTED_VALUE"""),"Vania Mitha Pratiwi, S.T., M.T.")</f>
        <v>Vania Mitha Pratiwi, S.T., M.T.</v>
      </c>
      <c r="V484" s="1" t="str">
        <f ca="1">IFERROR(__xludf.DUMMYFUNCTION("""COMPUTED_VALUE"""),"Hamdan Dwi Rizqi, S.Si., M.Si.")</f>
        <v>Hamdan Dwi Rizqi, S.Si., M.Si.</v>
      </c>
      <c r="W484" s="1"/>
      <c r="X484" s="1" t="str">
        <f ca="1">IFERROR(__xludf.DUMMYFUNCTION("""COMPUTED_VALUE"""),"Lolos")</f>
        <v>Lolos</v>
      </c>
      <c r="Y484" s="1"/>
      <c r="Z484" s="1"/>
      <c r="AA484" s="1"/>
    </row>
    <row r="485" spans="1:27">
      <c r="A485" s="1" t="s">
        <v>477</v>
      </c>
      <c r="B485" s="1">
        <f ca="1">IFERROR(__xludf.DUMMYFUNCTION("""COMPUTED_VALUE"""),2220)</f>
        <v>2220</v>
      </c>
      <c r="C485" s="1" t="str">
        <f ca="1">IFERROR(__xludf.DUMMYFUNCTION("""COMPUTED_VALUE"""),"PKM Riset Eksakta")</f>
        <v>PKM Riset Eksakta</v>
      </c>
      <c r="D485" s="1" t="str">
        <f ca="1">IFERROR(__xludf.DUMMYFUNCTION("""COMPUTED_VALUE"""),"Analisis Modulus Resilien Campuran Aspal Beton (AC-WC) dengan Penggunaan Limbah Plastik (LDPE) sebagai Bahan Additive ")</f>
        <v xml:space="preserve">Analisis Modulus Resilien Campuran Aspal Beton (AC-WC) dengan Penggunaan Limbah Plastik (LDPE) sebagai Bahan Additive </v>
      </c>
      <c r="E485" s="1" t="str">
        <f ca="1">IFERROR(__xludf.DUMMYFUNCTION("""COMPUTED_VALUE"""),"BOY TRIONO HALOHO")</f>
        <v>BOY TRIONO HALOHO</v>
      </c>
      <c r="F485" s="1" t="str">
        <f ca="1">IFERROR(__xludf.DUMMYFUNCTION("""COMPUTED_VALUE"""),"2035201077")</f>
        <v>2035201077</v>
      </c>
      <c r="G485" s="1" t="str">
        <f ca="1">IFERROR(__xludf.DUMMYFUNCTION("""COMPUTED_VALUE"""),"Departemen Teknik Infrastruktur Sipil")</f>
        <v>Departemen Teknik Infrastruktur Sipil</v>
      </c>
      <c r="H485" s="1" t="str">
        <f ca="1">IFERROR(__xludf.DUMMYFUNCTION("""COMPUTED_VALUE"""),"Amalia Firdaus Mawardi, S.T., M.T.")</f>
        <v>Amalia Firdaus Mawardi, S.T., M.T.</v>
      </c>
      <c r="I485" s="1" t="str">
        <f ca="1">IFERROR(__xludf.DUMMYFUNCTION("""COMPUTED_VALUE"""),"AKBAR EKA CAHYONO")</f>
        <v>AKBAR EKA CAHYONO</v>
      </c>
      <c r="J485" s="1" t="str">
        <f ca="1">IFERROR(__xludf.DUMMYFUNCTION("""COMPUTED_VALUE"""),"2035201073")</f>
        <v>2035201073</v>
      </c>
      <c r="K485" s="1" t="str">
        <f ca="1">IFERROR(__xludf.DUMMYFUNCTION("""COMPUTED_VALUE"""),"Departemen Teknik Infrastruktur Sipil")</f>
        <v>Departemen Teknik Infrastruktur Sipil</v>
      </c>
      <c r="L485" s="1" t="str">
        <f ca="1">IFERROR(__xludf.DUMMYFUNCTION("""COMPUTED_VALUE"""),"MUHAMMAD RICKY RAMADHAN")</f>
        <v>MUHAMMAD RICKY RAMADHAN</v>
      </c>
      <c r="M485" s="1" t="str">
        <f ca="1">IFERROR(__xludf.DUMMYFUNCTION("""COMPUTED_VALUE"""),"5012201113")</f>
        <v>5012201113</v>
      </c>
      <c r="N485" s="1" t="str">
        <f ca="1">IFERROR(__xludf.DUMMYFUNCTION("""COMPUTED_VALUE"""),"Departemen Teknik Sipil")</f>
        <v>Departemen Teknik Sipil</v>
      </c>
      <c r="O485" s="1"/>
      <c r="P485" s="1"/>
      <c r="Q485" s="1"/>
      <c r="R485" s="1"/>
      <c r="S485" s="1"/>
      <c r="T485" s="1"/>
      <c r="U485" s="1" t="str">
        <f ca="1">IFERROR(__xludf.DUMMYFUNCTION("""COMPUTED_VALUE"""),"Alief Wikarta, ST., MSc.Eng. Ph.D")</f>
        <v>Alief Wikarta, ST., MSc.Eng. Ph.D</v>
      </c>
      <c r="V485" s="1" t="str">
        <f ca="1">IFERROR(__xludf.DUMMYFUNCTION("""COMPUTED_VALUE"""),"Ir. Arino Anzip, M.Eng.Sc")</f>
        <v>Ir. Arino Anzip, M.Eng.Sc</v>
      </c>
      <c r="W485" s="1"/>
      <c r="X485" s="1" t="str">
        <f ca="1">IFERROR(__xludf.DUMMYFUNCTION("""COMPUTED_VALUE"""),"Lolos")</f>
        <v>Lolos</v>
      </c>
      <c r="Y485" s="1"/>
      <c r="Z485" s="1"/>
      <c r="AA485" s="1"/>
    </row>
    <row r="486" spans="1:27">
      <c r="A486" s="1" t="s">
        <v>293</v>
      </c>
      <c r="B486" s="1">
        <f ca="1">IFERROR(__xludf.DUMMYFUNCTION("""COMPUTED_VALUE"""),3422)</f>
        <v>3422</v>
      </c>
      <c r="C486" s="1" t="str">
        <f ca="1">IFERROR(__xludf.DUMMYFUNCTION("""COMPUTED_VALUE"""),"PKM Riset Eksakta")</f>
        <v>PKM Riset Eksakta</v>
      </c>
      <c r="D486" s="1" t="str">
        <f ca="1">IFERROR(__xludf.DUMMYFUNCTION("""COMPUTED_VALUE"""),"Optimalisasi Suhu dan Waktu Kalsinasi Abu Ampas Tebu Sebagai Bahan Stabilisasi Tanah Lempung Terhadap Kuat Geser Tanah")</f>
        <v>Optimalisasi Suhu dan Waktu Kalsinasi Abu Ampas Tebu Sebagai Bahan Stabilisasi Tanah Lempung Terhadap Kuat Geser Tanah</v>
      </c>
      <c r="E486" s="1" t="str">
        <f ca="1">IFERROR(__xludf.DUMMYFUNCTION("""COMPUTED_VALUE"""),"MUHAMMAD ARIF BILLAH")</f>
        <v>MUHAMMAD ARIF BILLAH</v>
      </c>
      <c r="F486" s="1" t="str">
        <f ca="1">IFERROR(__xludf.DUMMYFUNCTION("""COMPUTED_VALUE"""),"2036201079")</f>
        <v>2036201079</v>
      </c>
      <c r="G486" s="1" t="str">
        <f ca="1">IFERROR(__xludf.DUMMYFUNCTION("""COMPUTED_VALUE"""),"Departemen Teknik Infrastruktur Sipil")</f>
        <v>Departemen Teknik Infrastruktur Sipil</v>
      </c>
      <c r="H486" s="1" t="str">
        <f ca="1">IFERROR(__xludf.DUMMYFUNCTION("""COMPUTED_VALUE"""),"Aan Fauzi, S.T., M.T.")</f>
        <v>Aan Fauzi, S.T., M.T.</v>
      </c>
      <c r="I486" s="1" t="str">
        <f ca="1">IFERROR(__xludf.DUMMYFUNCTION("""COMPUTED_VALUE"""),"BOY TRIONO HALOHO")</f>
        <v>BOY TRIONO HALOHO</v>
      </c>
      <c r="J486" s="1" t="str">
        <f ca="1">IFERROR(__xludf.DUMMYFUNCTION("""COMPUTED_VALUE"""),"2035201077")</f>
        <v>2035201077</v>
      </c>
      <c r="K486" s="1" t="str">
        <f ca="1">IFERROR(__xludf.DUMMYFUNCTION("""COMPUTED_VALUE"""),"Departemen Teknik Infrastruktur Sipil")</f>
        <v>Departemen Teknik Infrastruktur Sipil</v>
      </c>
      <c r="L486" s="1" t="str">
        <f ca="1">IFERROR(__xludf.DUMMYFUNCTION("""COMPUTED_VALUE"""),"MAULANA IBNU HAFIDUDDIIN")</f>
        <v>MAULANA IBNU HAFIDUDDIIN</v>
      </c>
      <c r="M486" s="1" t="str">
        <f ca="1">IFERROR(__xludf.DUMMYFUNCTION("""COMPUTED_VALUE"""),"2036201052")</f>
        <v>2036201052</v>
      </c>
      <c r="N486" s="1" t="str">
        <f ca="1">IFERROR(__xludf.DUMMYFUNCTION("""COMPUTED_VALUE"""),"Departemen Teknik Infrastruktur Sipil")</f>
        <v>Departemen Teknik Infrastruktur Sipil</v>
      </c>
      <c r="O486" s="1"/>
      <c r="P486" s="1"/>
      <c r="Q486" s="1"/>
      <c r="R486" s="1"/>
      <c r="S486" s="1"/>
      <c r="T486" s="1"/>
      <c r="U486" s="1" t="str">
        <f ca="1">IFERROR(__xludf.DUMMYFUNCTION("""COMPUTED_VALUE"""),"Vania Mitha Pratiwi, S.T., M.T.")</f>
        <v>Vania Mitha Pratiwi, S.T., M.T.</v>
      </c>
      <c r="V486" s="1" t="str">
        <f ca="1">IFERROR(__xludf.DUMMYFUNCTION("""COMPUTED_VALUE"""),"Hamdan Dwi Rizqi, S.Si., M.Si.")</f>
        <v>Hamdan Dwi Rizqi, S.Si., M.Si.</v>
      </c>
      <c r="W486" s="1"/>
      <c r="X486" s="1" t="str">
        <f ca="1">IFERROR(__xludf.DUMMYFUNCTION("""COMPUTED_VALUE"""),"Lolos")</f>
        <v>Lolos</v>
      </c>
      <c r="Y486" s="1"/>
      <c r="Z486" s="1"/>
      <c r="AA486" s="1"/>
    </row>
    <row r="487" spans="1:27">
      <c r="A487" s="1" t="s">
        <v>478</v>
      </c>
      <c r="B487" s="1">
        <f ca="1">IFERROR(__xludf.DUMMYFUNCTION("""COMPUTED_VALUE"""),3732)</f>
        <v>3732</v>
      </c>
      <c r="C487" s="1" t="str">
        <f ca="1">IFERROR(__xludf.DUMMYFUNCTION("""COMPUTED_VALUE"""),"PKM Riset Eksakta")</f>
        <v>PKM Riset Eksakta</v>
      </c>
      <c r="D487" s="1" t="str">
        <f ca="1">IFERROR(__xludf.DUMMYFUNCTION("""COMPUTED_VALUE"""),"Hydrogel Berbasis NIPAM-co-KITOSAN Sebagai Agen Adsorpsi Arsen (Ar) dan Boron (B) Pada Air Limbah Geothermal Power Plant")</f>
        <v>Hydrogel Berbasis NIPAM-co-KITOSAN Sebagai Agen Adsorpsi Arsen (Ar) dan Boron (B) Pada Air Limbah Geothermal Power Plant</v>
      </c>
      <c r="E487" s="1" t="str">
        <f ca="1">IFERROR(__xludf.DUMMYFUNCTION("""COMPUTED_VALUE"""),"DEDEN EKO WIYONO")</f>
        <v>DEDEN EKO WIYONO</v>
      </c>
      <c r="F487" s="1" t="str">
        <f ca="1">IFERROR(__xludf.DUMMYFUNCTION("""COMPUTED_VALUE"""),"10411910000041")</f>
        <v>10411910000041</v>
      </c>
      <c r="G487" s="1" t="str">
        <f ca="1">IFERROR(__xludf.DUMMYFUNCTION("""COMPUTED_VALUE"""),"Departemen Teknik Kimia Industri")</f>
        <v>Departemen Teknik Kimia Industri</v>
      </c>
      <c r="H487" s="1" t="str">
        <f ca="1">IFERROR(__xludf.DUMMYFUNCTION("""COMPUTED_VALUE"""),"Dr. Eng. Eva Oktavia Ningrum, S.T., M.S.")</f>
        <v>Dr. Eng. Eva Oktavia Ningrum, S.T., M.S.</v>
      </c>
      <c r="I487" s="1" t="str">
        <f ca="1">IFERROR(__xludf.DUMMYFUNCTION("""COMPUTED_VALUE"""),"SALMA AULIARIFKIE SIREGAR")</f>
        <v>SALMA AULIARIFKIE SIREGAR</v>
      </c>
      <c r="J487" s="1" t="str">
        <f ca="1">IFERROR(__xludf.DUMMYFUNCTION("""COMPUTED_VALUE"""),"10411910000069")</f>
        <v>10411910000069</v>
      </c>
      <c r="K487" s="1" t="str">
        <f ca="1">IFERROR(__xludf.DUMMYFUNCTION("""COMPUTED_VALUE"""),"Departemen Teknik Kimia Industri")</f>
        <v>Departemen Teknik Kimia Industri</v>
      </c>
      <c r="L487" s="1" t="str">
        <f ca="1">IFERROR(__xludf.DUMMYFUNCTION("""COMPUTED_VALUE"""),"LULU SEKAR TAJI")</f>
        <v>LULU SEKAR TAJI</v>
      </c>
      <c r="M487" s="1" t="str">
        <f ca="1">IFERROR(__xludf.DUMMYFUNCTION("""COMPUTED_VALUE"""),"10411910000046")</f>
        <v>10411910000046</v>
      </c>
      <c r="N487" s="1" t="str">
        <f ca="1">IFERROR(__xludf.DUMMYFUNCTION("""COMPUTED_VALUE"""),"Departemen Teknik Kimia Industri")</f>
        <v>Departemen Teknik Kimia Industri</v>
      </c>
      <c r="O487" s="1" t="str">
        <f ca="1">IFERROR(__xludf.DUMMYFUNCTION("""COMPUTED_VALUE"""),"MAUDY FARADILA")</f>
        <v>MAUDY FARADILA</v>
      </c>
      <c r="P487" s="1" t="str">
        <f ca="1">IFERROR(__xludf.DUMMYFUNCTION("""COMPUTED_VALUE"""),"10411810000085")</f>
        <v>10411810000085</v>
      </c>
      <c r="Q487" s="1" t="str">
        <f ca="1">IFERROR(__xludf.DUMMYFUNCTION("""COMPUTED_VALUE"""),"Departemen Teknik Kimia Industri")</f>
        <v>Departemen Teknik Kimia Industri</v>
      </c>
      <c r="R487" s="1" t="str">
        <f ca="1">IFERROR(__xludf.DUMMYFUNCTION("""COMPUTED_VALUE"""),"MUHAMMAD AYUB RIFAI")</f>
        <v>MUHAMMAD AYUB RIFAI</v>
      </c>
      <c r="S487" s="1" t="str">
        <f ca="1">IFERROR(__xludf.DUMMYFUNCTION("""COMPUTED_VALUE"""),"10411810000047")</f>
        <v>10411810000047</v>
      </c>
      <c r="T487" s="1" t="str">
        <f ca="1">IFERROR(__xludf.DUMMYFUNCTION("""COMPUTED_VALUE"""),"Departemen Teknik Kimia Industri")</f>
        <v>Departemen Teknik Kimia Industri</v>
      </c>
      <c r="U487" s="1" t="str">
        <f ca="1">IFERROR(__xludf.DUMMYFUNCTION("""COMPUTED_VALUE"""),"Vania Mitha Pratiwi, S.T., M.T.")</f>
        <v>Vania Mitha Pratiwi, S.T., M.T.</v>
      </c>
      <c r="V487" s="1" t="str">
        <f ca="1">IFERROR(__xludf.DUMMYFUNCTION("""COMPUTED_VALUE"""),"Hamdan Dwi Rizqi, S.Si., M.Si.")</f>
        <v>Hamdan Dwi Rizqi, S.Si., M.Si.</v>
      </c>
      <c r="W487" s="1"/>
      <c r="X487" s="1" t="str">
        <f ca="1">IFERROR(__xludf.DUMMYFUNCTION("""COMPUTED_VALUE"""),"Lolos")</f>
        <v>Lolos</v>
      </c>
      <c r="Y487" s="1"/>
      <c r="Z487" s="1"/>
      <c r="AA487" s="1"/>
    </row>
    <row r="488" spans="1:27">
      <c r="A488" s="1" t="s">
        <v>479</v>
      </c>
      <c r="B488" s="1">
        <f ca="1">IFERROR(__xludf.DUMMYFUNCTION("""COMPUTED_VALUE"""),3733)</f>
        <v>3733</v>
      </c>
      <c r="C488" s="1" t="str">
        <f ca="1">IFERROR(__xludf.DUMMYFUNCTION("""COMPUTED_VALUE"""),"PKM Riset Eksakta")</f>
        <v>PKM Riset Eksakta</v>
      </c>
      <c r="D488" s="1" t="str">
        <f ca="1">IFERROR(__xludf.DUMMYFUNCTION("""COMPUTED_VALUE"""),"Penggunaan Serat Bambu sebagai Perkuatan Dinding Batu Bata untuk Rumah Aman Gempa")</f>
        <v>Penggunaan Serat Bambu sebagai Perkuatan Dinding Batu Bata untuk Rumah Aman Gempa</v>
      </c>
      <c r="E488" s="1" t="str">
        <f ca="1">IFERROR(__xludf.DUMMYFUNCTION("""COMPUTED_VALUE"""),"MEDINA RAMADHANI SUMIRAT")</f>
        <v>MEDINA RAMADHANI SUMIRAT</v>
      </c>
      <c r="F488" s="1" t="str">
        <f ca="1">IFERROR(__xludf.DUMMYFUNCTION("""COMPUTED_VALUE"""),"5012201097")</f>
        <v>5012201097</v>
      </c>
      <c r="G488" s="1" t="str">
        <f ca="1">IFERROR(__xludf.DUMMYFUNCTION("""COMPUTED_VALUE"""),"Departemen Teknik Sipil")</f>
        <v>Departemen Teknik Sipil</v>
      </c>
      <c r="H488" s="1" t="str">
        <f ca="1">IFERROR(__xludf.DUMMYFUNCTION("""COMPUTED_VALUE"""),"Ahmad Basshofi Habieb, S.T., M.T., Ph.D.")</f>
        <v>Ahmad Basshofi Habieb, S.T., M.T., Ph.D.</v>
      </c>
      <c r="I488" s="1" t="str">
        <f ca="1">IFERROR(__xludf.DUMMYFUNCTION("""COMPUTED_VALUE"""),"RIZKY SATRIA SURYA BUANA")</f>
        <v>RIZKY SATRIA SURYA BUANA</v>
      </c>
      <c r="J488" s="1" t="str">
        <f ca="1">IFERROR(__xludf.DUMMYFUNCTION("""COMPUTED_VALUE"""),"5012201079")</f>
        <v>5012201079</v>
      </c>
      <c r="K488" s="1" t="str">
        <f ca="1">IFERROR(__xludf.DUMMYFUNCTION("""COMPUTED_VALUE"""),"Departemen Teknik Sipil")</f>
        <v>Departemen Teknik Sipil</v>
      </c>
      <c r="L488" s="1" t="str">
        <f ca="1">IFERROR(__xludf.DUMMYFUNCTION("""COMPUTED_VALUE"""),"MUHAMAD LUQMAN ABDURRASYID")</f>
        <v>MUHAMAD LUQMAN ABDURRASYID</v>
      </c>
      <c r="M488" s="1" t="str">
        <f ca="1">IFERROR(__xludf.DUMMYFUNCTION("""COMPUTED_VALUE"""),"5012201085")</f>
        <v>5012201085</v>
      </c>
      <c r="N488" s="1" t="str">
        <f ca="1">IFERROR(__xludf.DUMMYFUNCTION("""COMPUTED_VALUE"""),"Departemen Teknik Sipil")</f>
        <v>Departemen Teknik Sipil</v>
      </c>
      <c r="O488" s="1" t="str">
        <f ca="1">IFERROR(__xludf.DUMMYFUNCTION("""COMPUTED_VALUE"""),"ZAQQI ZULVA MAHENDRA")</f>
        <v>ZAQQI ZULVA MAHENDRA</v>
      </c>
      <c r="P488" s="1" t="str">
        <f ca="1">IFERROR(__xludf.DUMMYFUNCTION("""COMPUTED_VALUE"""),"5012201089")</f>
        <v>5012201089</v>
      </c>
      <c r="Q488" s="1" t="str">
        <f ca="1">IFERROR(__xludf.DUMMYFUNCTION("""COMPUTED_VALUE"""),"Departemen Teknik Sipil")</f>
        <v>Departemen Teknik Sipil</v>
      </c>
      <c r="R488" s="1" t="str">
        <f ca="1">IFERROR(__xludf.DUMMYFUNCTION("""COMPUTED_VALUE"""),"ABDULLAH IKHSAN HARAHAP")</f>
        <v>ABDULLAH IKHSAN HARAHAP</v>
      </c>
      <c r="S488" s="1" t="str">
        <f ca="1">IFERROR(__xludf.DUMMYFUNCTION("""COMPUTED_VALUE"""),"5012201096")</f>
        <v>5012201096</v>
      </c>
      <c r="T488" s="1" t="str">
        <f ca="1">IFERROR(__xludf.DUMMYFUNCTION("""COMPUTED_VALUE"""),"Departemen Teknik Sipil")</f>
        <v>Departemen Teknik Sipil</v>
      </c>
      <c r="U488" s="1" t="str">
        <f ca="1">IFERROR(__xludf.DUMMYFUNCTION("""COMPUTED_VALUE"""),"Vania Mitha Pratiwi, S.T., M.T.")</f>
        <v>Vania Mitha Pratiwi, S.T., M.T.</v>
      </c>
      <c r="V488" s="1" t="str">
        <f ca="1">IFERROR(__xludf.DUMMYFUNCTION("""COMPUTED_VALUE"""),"Hamdan Dwi Rizqi, S.Si., M.Si.")</f>
        <v>Hamdan Dwi Rizqi, S.Si., M.Si.</v>
      </c>
      <c r="W488" s="1"/>
      <c r="X488" s="1" t="str">
        <f ca="1">IFERROR(__xludf.DUMMYFUNCTION("""COMPUTED_VALUE"""),"Lolos")</f>
        <v>Lolos</v>
      </c>
      <c r="Y488" s="1"/>
      <c r="Z488" s="1"/>
      <c r="AA488" s="1"/>
    </row>
    <row r="489" spans="1:27">
      <c r="A489" s="1" t="s">
        <v>480</v>
      </c>
      <c r="B489" s="1">
        <f ca="1">IFERROR(__xludf.DUMMYFUNCTION("""COMPUTED_VALUE"""),2173)</f>
        <v>2173</v>
      </c>
      <c r="C489" s="1" t="str">
        <f ca="1">IFERROR(__xludf.DUMMYFUNCTION("""COMPUTED_VALUE"""),"PKM Riset Eksakta")</f>
        <v>PKM Riset Eksakta</v>
      </c>
      <c r="D489" s="1" t="str">
        <f ca="1">IFERROR(__xludf.DUMMYFUNCTION("""COMPUTED_VALUE"""),"Studi Perancangan Welfare Untuk Optimasi Keseimbangan Wanita Hamil Berbasis Sistem Deteksi Center of Pressure dan Kinematika Ekstremitas Bawah")</f>
        <v>Studi Perancangan Welfare Untuk Optimasi Keseimbangan Wanita Hamil Berbasis Sistem Deteksi Center of Pressure dan Kinematika Ekstremitas Bawah</v>
      </c>
      <c r="E489" s="1" t="str">
        <f ca="1">IFERROR(__xludf.DUMMYFUNCTION("""COMPUTED_VALUE"""),"Aminy Widinal Hartiningrum")</f>
        <v>Aminy Widinal Hartiningrum</v>
      </c>
      <c r="F489" s="1" t="str">
        <f ca="1">IFERROR(__xludf.DUMMYFUNCTION("""COMPUTED_VALUE"""),"07311840000002")</f>
        <v>07311840000002</v>
      </c>
      <c r="G489" s="1" t="str">
        <f ca="1">IFERROR(__xludf.DUMMYFUNCTION("""COMPUTED_VALUE"""),"Departemen Teknik Biomedik")</f>
        <v>Departemen Teknik Biomedik</v>
      </c>
      <c r="H489" s="1" t="str">
        <f ca="1">IFERROR(__xludf.DUMMYFUNCTION("""COMPUTED_VALUE"""),"Eko Agus Suprayitno, S.Si., M.T.")</f>
        <v>Eko Agus Suprayitno, S.Si., M.T.</v>
      </c>
      <c r="I489" s="1" t="str">
        <f ca="1">IFERROR(__xludf.DUMMYFUNCTION("""COMPUTED_VALUE"""),"FAIRUZ FIRJATULLAH")</f>
        <v>FAIRUZ FIRJATULLAH</v>
      </c>
      <c r="J489" s="1" t="str">
        <f ca="1">IFERROR(__xludf.DUMMYFUNCTION("""COMPUTED_VALUE"""),"07111840000121")</f>
        <v>07111840000121</v>
      </c>
      <c r="K489" s="1" t="str">
        <f ca="1">IFERROR(__xludf.DUMMYFUNCTION("""COMPUTED_VALUE"""),"Departemen Teknik Elektro")</f>
        <v>Departemen Teknik Elektro</v>
      </c>
      <c r="L489" s="1" t="str">
        <f ca="1">IFERROR(__xludf.DUMMYFUNCTION("""COMPUTED_VALUE"""),"RAMADHANI PUTRI ALIFA")</f>
        <v>RAMADHANI PUTRI ALIFA</v>
      </c>
      <c r="M489" s="1" t="str">
        <f ca="1">IFERROR(__xludf.DUMMYFUNCTION("""COMPUTED_VALUE"""),"07311940000030")</f>
        <v>07311940000030</v>
      </c>
      <c r="N489" s="1" t="str">
        <f ca="1">IFERROR(__xludf.DUMMYFUNCTION("""COMPUTED_VALUE"""),"Departemen Teknik Biomedik")</f>
        <v>Departemen Teknik Biomedik</v>
      </c>
      <c r="O489" s="1" t="str">
        <f ca="1">IFERROR(__xludf.DUMMYFUNCTION("""COMPUTED_VALUE"""),"NI LUH AYU LISTA LESTARINI")</f>
        <v>NI LUH AYU LISTA LESTARINI</v>
      </c>
      <c r="P489" s="1" t="str">
        <f ca="1">IFERROR(__xludf.DUMMYFUNCTION("""COMPUTED_VALUE"""),"07311940000031")</f>
        <v>07311940000031</v>
      </c>
      <c r="Q489" s="1" t="str">
        <f ca="1">IFERROR(__xludf.DUMMYFUNCTION("""COMPUTED_VALUE"""),"Departemen Teknik Biomedik")</f>
        <v>Departemen Teknik Biomedik</v>
      </c>
      <c r="R489" s="1" t="str">
        <f ca="1">IFERROR(__xludf.DUMMYFUNCTION("""COMPUTED_VALUE"""),"YASMIN NUR FADHILA HUTAHAEAN")</f>
        <v>YASMIN NUR FADHILA HUTAHAEAN</v>
      </c>
      <c r="S489" s="1" t="str">
        <f ca="1">IFERROR(__xludf.DUMMYFUNCTION("""COMPUTED_VALUE"""),"5023201030")</f>
        <v>5023201030</v>
      </c>
      <c r="T489" s="1" t="str">
        <f ca="1">IFERROR(__xludf.DUMMYFUNCTION("""COMPUTED_VALUE"""),"Departemen Teknik Biomedik")</f>
        <v>Departemen Teknik Biomedik</v>
      </c>
      <c r="U489" s="1" t="str">
        <f ca="1">IFERROR(__xludf.DUMMYFUNCTION("""COMPUTED_VALUE"""),"Alief Wikarta, ST., MSc.Eng. Ph.D")</f>
        <v>Alief Wikarta, ST., MSc.Eng. Ph.D</v>
      </c>
      <c r="V489" s="1" t="str">
        <f ca="1">IFERROR(__xludf.DUMMYFUNCTION("""COMPUTED_VALUE"""),"Ir. Arino Anzip, M.Eng.Sc")</f>
        <v>Ir. Arino Anzip, M.Eng.Sc</v>
      </c>
      <c r="W489" s="1"/>
      <c r="X489" s="1" t="str">
        <f ca="1">IFERROR(__xludf.DUMMYFUNCTION("""COMPUTED_VALUE"""),"Karantina")</f>
        <v>Karantina</v>
      </c>
      <c r="Y489" s="1"/>
      <c r="Z489" s="1"/>
      <c r="AA489" s="1"/>
    </row>
    <row r="490" spans="1:27">
      <c r="A490" s="1" t="s">
        <v>481</v>
      </c>
      <c r="B490" s="1">
        <f ca="1">IFERROR(__xludf.DUMMYFUNCTION("""COMPUTED_VALUE"""),3049)</f>
        <v>3049</v>
      </c>
      <c r="C490" s="1" t="str">
        <f ca="1">IFERROR(__xludf.DUMMYFUNCTION("""COMPUTED_VALUE"""),"PKM Riset Eksakta")</f>
        <v>PKM Riset Eksakta</v>
      </c>
      <c r="D490" s="1" t="str">
        <f ca="1">IFERROR(__xludf.DUMMYFUNCTION("""COMPUTED_VALUE"""),"Perancangan Gravitational Vortex Turbine untuk Memanfaatkan Energy Losses Aliran Outlet Canal PLTU dan Menurunkan Temperatur Limbah Air Pesisir Pantai")</f>
        <v>Perancangan Gravitational Vortex Turbine untuk Memanfaatkan Energy Losses Aliran Outlet Canal PLTU dan Menurunkan Temperatur Limbah Air Pesisir Pantai</v>
      </c>
      <c r="E490" s="1" t="str">
        <f ca="1">IFERROR(__xludf.DUMMYFUNCTION("""COMPUTED_VALUE"""),"Sultan Achmad Hidayatulloh")</f>
        <v>Sultan Achmad Hidayatulloh</v>
      </c>
      <c r="F490" s="1" t="str">
        <f ca="1">IFERROR(__xludf.DUMMYFUNCTION("""COMPUTED_VALUE"""),"02111940000021")</f>
        <v>02111940000021</v>
      </c>
      <c r="G490" s="1" t="str">
        <f ca="1">IFERROR(__xludf.DUMMYFUNCTION("""COMPUTED_VALUE"""),"Departemen Teknik Mesin")</f>
        <v>Departemen Teknik Mesin</v>
      </c>
      <c r="H490" s="1" t="str">
        <f ca="1">IFERROR(__xludf.DUMMYFUNCTION("""COMPUTED_VALUE"""),"Prof. Dr. Ir. Prabowo, M.Eng.")</f>
        <v>Prof. Dr. Ir. Prabowo, M.Eng.</v>
      </c>
      <c r="I490" s="1" t="str">
        <f ca="1">IFERROR(__xludf.DUMMYFUNCTION("""COMPUTED_VALUE"""),"Rewila Fajar Anugraheni")</f>
        <v>Rewila Fajar Anugraheni</v>
      </c>
      <c r="J490" s="1" t="str">
        <f ca="1">IFERROR(__xludf.DUMMYFUNCTION("""COMPUTED_VALUE"""),"02111940000056")</f>
        <v>02111940000056</v>
      </c>
      <c r="K490" s="1" t="str">
        <f ca="1">IFERROR(__xludf.DUMMYFUNCTION("""COMPUTED_VALUE"""),"Departemen Teknik Mesin")</f>
        <v>Departemen Teknik Mesin</v>
      </c>
      <c r="L490" s="1" t="str">
        <f ca="1">IFERROR(__xludf.DUMMYFUNCTION("""COMPUTED_VALUE"""),"VIVI BELLA CALLISTA")</f>
        <v>VIVI BELLA CALLISTA</v>
      </c>
      <c r="M490" s="1" t="str">
        <f ca="1">IFERROR(__xludf.DUMMYFUNCTION("""COMPUTED_VALUE"""),"02111940000074")</f>
        <v>02111940000074</v>
      </c>
      <c r="N490" s="1" t="str">
        <f ca="1">IFERROR(__xludf.DUMMYFUNCTION("""COMPUTED_VALUE"""),"Departemen Teknik Mesin")</f>
        <v>Departemen Teknik Mesin</v>
      </c>
      <c r="O490" s="1" t="str">
        <f ca="1">IFERROR(__xludf.DUMMYFUNCTION("""COMPUTED_VALUE"""),"ANGGITO KUSUMO PAMUNGKAS")</f>
        <v>ANGGITO KUSUMO PAMUNGKAS</v>
      </c>
      <c r="P490" s="1" t="str">
        <f ca="1">IFERROR(__xludf.DUMMYFUNCTION("""COMPUTED_VALUE"""),"02111940000141")</f>
        <v>02111940000141</v>
      </c>
      <c r="Q490" s="1" t="str">
        <f ca="1">IFERROR(__xludf.DUMMYFUNCTION("""COMPUTED_VALUE"""),"Departemen Teknik Mesin")</f>
        <v>Departemen Teknik Mesin</v>
      </c>
      <c r="R490" s="1" t="str">
        <f ca="1">IFERROR(__xludf.DUMMYFUNCTION("""COMPUTED_VALUE"""),"WILLIAM MATTHEW")</f>
        <v>WILLIAM MATTHEW</v>
      </c>
      <c r="S490" s="1" t="str">
        <f ca="1">IFERROR(__xludf.DUMMYFUNCTION("""COMPUTED_VALUE"""),"02111940000147")</f>
        <v>02111940000147</v>
      </c>
      <c r="T490" s="1" t="str">
        <f ca="1">IFERROR(__xludf.DUMMYFUNCTION("""COMPUTED_VALUE"""),"Departemen Teknik Mesin")</f>
        <v>Departemen Teknik Mesin</v>
      </c>
      <c r="U490" s="1" t="str">
        <f ca="1">IFERROR(__xludf.DUMMYFUNCTION("""COMPUTED_VALUE"""),"Dr.-Ing. Doty Dewi Risanti, S.T., M.T.")</f>
        <v>Dr.-Ing. Doty Dewi Risanti, S.T., M.T.</v>
      </c>
      <c r="V490" s="1" t="str">
        <f ca="1">IFERROR(__xludf.DUMMYFUNCTION("""COMPUTED_VALUE"""),"Dra. Ratna Ediati, MS., Ph.D.")</f>
        <v>Dra. Ratna Ediati, MS., Ph.D.</v>
      </c>
      <c r="W490" s="1"/>
      <c r="X490" s="1" t="str">
        <f ca="1">IFERROR(__xludf.DUMMYFUNCTION("""COMPUTED_VALUE"""),"Karantina")</f>
        <v>Karantina</v>
      </c>
      <c r="Y490" s="1"/>
      <c r="Z490" s="1"/>
      <c r="AA490" s="1"/>
    </row>
    <row r="491" spans="1:27">
      <c r="A491" s="1" t="s">
        <v>482</v>
      </c>
      <c r="B491" s="1">
        <f ca="1">IFERROR(__xludf.DUMMYFUNCTION("""COMPUTED_VALUE"""),2355)</f>
        <v>2355</v>
      </c>
      <c r="C491" s="1" t="str">
        <f ca="1">IFERROR(__xludf.DUMMYFUNCTION("""COMPUTED_VALUE"""),"PKM Riset Eksakta")</f>
        <v>PKM Riset Eksakta</v>
      </c>
      <c r="D491" s="1" t="str">
        <f ca="1">IFERROR(__xludf.DUMMYFUNCTION("""COMPUTED_VALUE"""),"PREDIKSI INVESTASI NFT METAVERSE DENGAN MENGGUNAKAN METODE TIME SERIES")</f>
        <v>PREDIKSI INVESTASI NFT METAVERSE DENGAN MENGGUNAKAN METODE TIME SERIES</v>
      </c>
      <c r="E491" s="1" t="str">
        <f ca="1">IFERROR(__xludf.DUMMYFUNCTION("""COMPUTED_VALUE"""),"DZAKY MUHAMMAD")</f>
        <v>DZAKY MUHAMMAD</v>
      </c>
      <c r="F491" s="1" t="str">
        <f ca="1">IFERROR(__xludf.DUMMYFUNCTION("""COMPUTED_VALUE"""),"5002201170")</f>
        <v>5002201170</v>
      </c>
      <c r="G491" s="1" t="str">
        <f ca="1">IFERROR(__xludf.DUMMYFUNCTION("""COMPUTED_VALUE"""),"Departemen Matematika")</f>
        <v>Departemen Matematika</v>
      </c>
      <c r="H491" s="1" t="str">
        <f ca="1">IFERROR(__xludf.DUMMYFUNCTION("""COMPUTED_VALUE"""),"Amirul Hakam, S.Si., M.Si.")</f>
        <v>Amirul Hakam, S.Si., M.Si.</v>
      </c>
      <c r="I491" s="1" t="str">
        <f ca="1">IFERROR(__xludf.DUMMYFUNCTION("""COMPUTED_VALUE"""),"ADHIKIRANA PARAMESTI SAMUDRA PERTIWI")</f>
        <v>ADHIKIRANA PARAMESTI SAMUDRA PERTIWI</v>
      </c>
      <c r="J491" s="1" t="str">
        <f ca="1">IFERROR(__xludf.DUMMYFUNCTION("""COMPUTED_VALUE"""),"5002201057")</f>
        <v>5002201057</v>
      </c>
      <c r="K491" s="1" t="str">
        <f ca="1">IFERROR(__xludf.DUMMYFUNCTION("""COMPUTED_VALUE"""),"Departemen Matematika")</f>
        <v>Departemen Matematika</v>
      </c>
      <c r="L491" s="1" t="str">
        <f ca="1">IFERROR(__xludf.DUMMYFUNCTION("""COMPUTED_VALUE"""),"FAIRUUZ NURDIAZ AMAANULLAH")</f>
        <v>FAIRUUZ NURDIAZ AMAANULLAH</v>
      </c>
      <c r="M491" s="1" t="str">
        <f ca="1">IFERROR(__xludf.DUMMYFUNCTION("""COMPUTED_VALUE"""),"5002201042")</f>
        <v>5002201042</v>
      </c>
      <c r="N491" s="1" t="str">
        <f ca="1">IFERROR(__xludf.DUMMYFUNCTION("""COMPUTED_VALUE"""),"Departemen Matematika")</f>
        <v>Departemen Matematika</v>
      </c>
      <c r="O491" s="1" t="str">
        <f ca="1">IFERROR(__xludf.DUMMYFUNCTION("""COMPUTED_VALUE"""),"MUHAMMAD JALU HERLAMBANG")</f>
        <v>MUHAMMAD JALU HERLAMBANG</v>
      </c>
      <c r="P491" s="1" t="str">
        <f ca="1">IFERROR(__xludf.DUMMYFUNCTION("""COMPUTED_VALUE"""),"5002201132")</f>
        <v>5002201132</v>
      </c>
      <c r="Q491" s="1" t="str">
        <f ca="1">IFERROR(__xludf.DUMMYFUNCTION("""COMPUTED_VALUE"""),"Departemen Matematika")</f>
        <v>Departemen Matematika</v>
      </c>
      <c r="R491" s="1"/>
      <c r="S491" s="1"/>
      <c r="T491" s="1"/>
      <c r="U491" s="1" t="str">
        <f ca="1">IFERROR(__xludf.DUMMYFUNCTION("""COMPUTED_VALUE"""),"Dr. Awik Puji Dyah Nurhayati, S.Si., M.Si.")</f>
        <v>Dr. Awik Puji Dyah Nurhayati, S.Si., M.Si.</v>
      </c>
      <c r="V491" s="1" t="str">
        <f ca="1">IFERROR(__xludf.DUMMYFUNCTION("""COMPUTED_VALUE"""),"Hamdan Dwi Rizqi, S.Si., M.Si.")</f>
        <v>Hamdan Dwi Rizqi, S.Si., M.Si.</v>
      </c>
      <c r="W491" s="1"/>
      <c r="X491" s="1" t="str">
        <f ca="1">IFERROR(__xludf.DUMMYFUNCTION("""COMPUTED_VALUE"""),"Karantina")</f>
        <v>Karantina</v>
      </c>
      <c r="Y491" s="1"/>
      <c r="Z491" s="1"/>
      <c r="AA491" s="1"/>
    </row>
    <row r="492" spans="1:27">
      <c r="A492" s="1" t="s">
        <v>483</v>
      </c>
      <c r="B492" s="1">
        <f ca="1">IFERROR(__xludf.DUMMYFUNCTION("""COMPUTED_VALUE"""),3435)</f>
        <v>3435</v>
      </c>
      <c r="C492" s="1" t="str">
        <f ca="1">IFERROR(__xludf.DUMMYFUNCTION("""COMPUTED_VALUE"""),"PKM Riset Eksakta")</f>
        <v>PKM Riset Eksakta</v>
      </c>
      <c r="D492" s="1" t="str">
        <f ca="1">IFERROR(__xludf.DUMMYFUNCTION("""COMPUTED_VALUE"""),"Uji Efektifitas Eceng Gondok (Eichhornia crassipes) sebagai Agen Pereduksi Beban Pencemar Pada Limbah Cair Industri Batik Dengan Sistem Constructed Wetland")</f>
        <v>Uji Efektifitas Eceng Gondok (Eichhornia crassipes) sebagai Agen Pereduksi Beban Pencemar Pada Limbah Cair Industri Batik Dengan Sistem Constructed Wetland</v>
      </c>
      <c r="E492" s="1" t="str">
        <f ca="1">IFERROR(__xludf.DUMMYFUNCTION("""COMPUTED_VALUE"""),"AHMAD RIFKY AZIS")</f>
        <v>AHMAD RIFKY AZIS</v>
      </c>
      <c r="F492" s="1" t="str">
        <f ca="1">IFERROR(__xludf.DUMMYFUNCTION("""COMPUTED_VALUE"""),"10411910000047")</f>
        <v>10411910000047</v>
      </c>
      <c r="G492" s="1" t="str">
        <f ca="1">IFERROR(__xludf.DUMMYFUNCTION("""COMPUTED_VALUE"""),"Departemen Teknik Kimia Industri")</f>
        <v>Departemen Teknik Kimia Industri</v>
      </c>
      <c r="H492" s="1" t="str">
        <f ca="1">IFERROR(__xludf.DUMMYFUNCTION("""COMPUTED_VALUE"""),"Prof. Dr. Ir. Soeprijanto, M.Sc.")</f>
        <v>Prof. Dr. Ir. Soeprijanto, M.Sc.</v>
      </c>
      <c r="I492" s="1" t="str">
        <f ca="1">IFERROR(__xludf.DUMMYFUNCTION("""COMPUTED_VALUE"""),"SITI ALICIA ANARA")</f>
        <v>SITI ALICIA ANARA</v>
      </c>
      <c r="J492" s="1" t="str">
        <f ca="1">IFERROR(__xludf.DUMMYFUNCTION("""COMPUTED_VALUE"""),"10411910000033")</f>
        <v>10411910000033</v>
      </c>
      <c r="K492" s="1" t="str">
        <f ca="1">IFERROR(__xludf.DUMMYFUNCTION("""COMPUTED_VALUE"""),"Departemen Teknik Kimia Industri")</f>
        <v>Departemen Teknik Kimia Industri</v>
      </c>
      <c r="L492" s="1" t="str">
        <f ca="1">IFERROR(__xludf.DUMMYFUNCTION("""COMPUTED_VALUE"""),"RICCO PRIMARIO LISANTO")</f>
        <v>RICCO PRIMARIO LISANTO</v>
      </c>
      <c r="M492" s="1" t="str">
        <f ca="1">IFERROR(__xludf.DUMMYFUNCTION("""COMPUTED_VALUE"""),"10411810000035")</f>
        <v>10411810000035</v>
      </c>
      <c r="N492" s="1" t="str">
        <f ca="1">IFERROR(__xludf.DUMMYFUNCTION("""COMPUTED_VALUE"""),"Departemen Teknik Kimia Industri")</f>
        <v>Departemen Teknik Kimia Industri</v>
      </c>
      <c r="O492" s="1" t="str">
        <f ca="1">IFERROR(__xludf.DUMMYFUNCTION("""COMPUTED_VALUE"""),"ARIFA DIAS HUTAMI")</f>
        <v>ARIFA DIAS HUTAMI</v>
      </c>
      <c r="P492" s="1" t="str">
        <f ca="1">IFERROR(__xludf.DUMMYFUNCTION("""COMPUTED_VALUE"""),"10411810000013")</f>
        <v>10411810000013</v>
      </c>
      <c r="Q492" s="1" t="str">
        <f ca="1">IFERROR(__xludf.DUMMYFUNCTION("""COMPUTED_VALUE"""),"Departemen Teknik Kimia Industri")</f>
        <v>Departemen Teknik Kimia Industri</v>
      </c>
      <c r="R492" s="1" t="str">
        <f ca="1">IFERROR(__xludf.DUMMYFUNCTION("""COMPUTED_VALUE"""),"HAYKAL NUR FAJRI RAMADHAN")</f>
        <v>HAYKAL NUR FAJRI RAMADHAN</v>
      </c>
      <c r="S492" s="1" t="str">
        <f ca="1">IFERROR(__xludf.DUMMYFUNCTION("""COMPUTED_VALUE"""),"2041201050")</f>
        <v>2041201050</v>
      </c>
      <c r="T492" s="1" t="str">
        <f ca="1">IFERROR(__xludf.DUMMYFUNCTION("""COMPUTED_VALUE"""),"Departemen Teknik Kimia Industri")</f>
        <v>Departemen Teknik Kimia Industri</v>
      </c>
      <c r="U492" s="1" t="str">
        <f ca="1">IFERROR(__xludf.DUMMYFUNCTION("""COMPUTED_VALUE"""),"Vania Mitha Pratiwi, S.T., M.T.")</f>
        <v>Vania Mitha Pratiwi, S.T., M.T.</v>
      </c>
      <c r="V492" s="1" t="str">
        <f ca="1">IFERROR(__xludf.DUMMYFUNCTION("""COMPUTED_VALUE"""),"Hamdan Dwi Rizqi, S.Si., M.Si.")</f>
        <v>Hamdan Dwi Rizqi, S.Si., M.Si.</v>
      </c>
      <c r="W492" s="1"/>
      <c r="X492" s="1" t="str">
        <f ca="1">IFERROR(__xludf.DUMMYFUNCTION("""COMPUTED_VALUE"""),"Karantina")</f>
        <v>Karantina</v>
      </c>
      <c r="Y492" s="1"/>
      <c r="Z492" s="1"/>
      <c r="AA492" s="1"/>
    </row>
    <row r="493" spans="1:27">
      <c r="A493" s="1" t="s">
        <v>484</v>
      </c>
      <c r="B493" s="1">
        <f ca="1">IFERROR(__xludf.DUMMYFUNCTION("""COMPUTED_VALUE"""),3886)</f>
        <v>3886</v>
      </c>
      <c r="C493" s="1" t="str">
        <f ca="1">IFERROR(__xludf.DUMMYFUNCTION("""COMPUTED_VALUE"""),"PKM Riset Eksakta")</f>
        <v>PKM Riset Eksakta</v>
      </c>
      <c r="D493" s="1" t="str">
        <f ca="1">IFERROR(__xludf.DUMMYFUNCTION("""COMPUTED_VALUE"""),"PEMANFAATAN LIMBAH KULIT MANGGIS (GARCINIA MANGOSTANA LINN) UNTUK ANTI KANKER DENGAN METODE KOMBINASI MICROWAVED ASSISTED EXTRACTION-BATCHWISE SOLVENT EXTRACTION")</f>
        <v>PEMANFAATAN LIMBAH KULIT MANGGIS (GARCINIA MANGOSTANA LINN) UNTUK ANTI KANKER DENGAN METODE KOMBINASI MICROWAVED ASSISTED EXTRACTION-BATCHWISE SOLVENT EXTRACTION</v>
      </c>
      <c r="E493" s="1" t="str">
        <f ca="1">IFERROR(__xludf.DUMMYFUNCTION("""COMPUTED_VALUE"""),"NUR INDAH SARI")</f>
        <v>NUR INDAH SARI</v>
      </c>
      <c r="F493" s="1" t="str">
        <f ca="1">IFERROR(__xludf.DUMMYFUNCTION("""COMPUTED_VALUE"""),"02211840000105")</f>
        <v>02211840000105</v>
      </c>
      <c r="G493" s="1" t="str">
        <f ca="1">IFERROR(__xludf.DUMMYFUNCTION("""COMPUTED_VALUE"""),"Departemen Teknik Kimia")</f>
        <v>Departemen Teknik Kimia</v>
      </c>
      <c r="H493" s="1" t="str">
        <f ca="1">IFERROR(__xludf.DUMMYFUNCTION("""COMPUTED_VALUE"""),"Hakun Wirawasista Aparamarta, S.T., M.MT., Ph.D.")</f>
        <v>Hakun Wirawasista Aparamarta, S.T., M.MT., Ph.D.</v>
      </c>
      <c r="I493" s="1" t="str">
        <f ca="1">IFERROR(__xludf.DUMMYFUNCTION("""COMPUTED_VALUE"""),"AHMAD IMAM FATONI")</f>
        <v>AHMAD IMAM FATONI</v>
      </c>
      <c r="J493" s="1" t="str">
        <f ca="1">IFERROR(__xludf.DUMMYFUNCTION("""COMPUTED_VALUE"""),"02211840000081")</f>
        <v>02211840000081</v>
      </c>
      <c r="K493" s="1" t="str">
        <f ca="1">IFERROR(__xludf.DUMMYFUNCTION("""COMPUTED_VALUE"""),"Departemen Teknik Kimia")</f>
        <v>Departemen Teknik Kimia</v>
      </c>
      <c r="L493" s="1" t="str">
        <f ca="1">IFERROR(__xludf.DUMMYFUNCTION("""COMPUTED_VALUE"""),"VINORA CHYNTIA DISTY")</f>
        <v>VINORA CHYNTIA DISTY</v>
      </c>
      <c r="M493" s="1" t="str">
        <f ca="1">IFERROR(__xludf.DUMMYFUNCTION("""COMPUTED_VALUE"""),"5008211100")</f>
        <v>5008211100</v>
      </c>
      <c r="N493" s="1" t="str">
        <f ca="1">IFERROR(__xludf.DUMMYFUNCTION("""COMPUTED_VALUE"""),"Departemen Teknik Kimia")</f>
        <v>Departemen Teknik Kimia</v>
      </c>
      <c r="O493" s="1"/>
      <c r="P493" s="1"/>
      <c r="Q493" s="1"/>
      <c r="R493" s="1"/>
      <c r="S493" s="1"/>
      <c r="T493" s="1"/>
      <c r="U493" s="1" t="str">
        <f ca="1">IFERROR(__xludf.DUMMYFUNCTION("""COMPUTED_VALUE"""),"Vania Mitha Pratiwi, S.T., M.T.")</f>
        <v>Vania Mitha Pratiwi, S.T., M.T.</v>
      </c>
      <c r="V493" s="1" t="str">
        <f ca="1">IFERROR(__xludf.DUMMYFUNCTION("""COMPUTED_VALUE"""),"Dra. Ratna Ediati, MS., Ph.D.")</f>
        <v>Dra. Ratna Ediati, MS., Ph.D.</v>
      </c>
      <c r="W493" s="1"/>
      <c r="X493" s="1" t="str">
        <f ca="1">IFERROR(__xludf.DUMMYFUNCTION("""COMPUTED_VALUE"""),"Karantina")</f>
        <v>Karantina</v>
      </c>
      <c r="Y493" s="1"/>
      <c r="Z493" s="1"/>
      <c r="AA493" s="1"/>
    </row>
    <row r="494" spans="1:27">
      <c r="A494" s="1" t="s">
        <v>485</v>
      </c>
      <c r="B494" s="1">
        <f ca="1">IFERROR(__xludf.DUMMYFUNCTION("""COMPUTED_VALUE"""),3972)</f>
        <v>3972</v>
      </c>
      <c r="C494" s="1" t="str">
        <f ca="1">IFERROR(__xludf.DUMMYFUNCTION("""COMPUTED_VALUE"""),"PKM Riset Eksakta")</f>
        <v>PKM Riset Eksakta</v>
      </c>
      <c r="D494" s="1" t="str">
        <f ca="1">IFERROR(__xludf.DUMMYFUNCTION("""COMPUTED_VALUE"""),"Komposit Karbon/Oksida Logam Non Mulia Termodifikasi dengan Doping Nitrogen melalui Satu Tahapan Proses Hydrothermal Carbonization (HTC) dari Limbah Biji Alpukat")</f>
        <v>Komposit Karbon/Oksida Logam Non Mulia Termodifikasi dengan Doping Nitrogen melalui Satu Tahapan Proses Hydrothermal Carbonization (HTC) dari Limbah Biji Alpukat</v>
      </c>
      <c r="E494" s="1" t="str">
        <f ca="1">IFERROR(__xludf.DUMMYFUNCTION("""COMPUTED_VALUE"""),"SULISTIANA")</f>
        <v>SULISTIANA</v>
      </c>
      <c r="F494" s="1" t="str">
        <f ca="1">IFERROR(__xludf.DUMMYFUNCTION("""COMPUTED_VALUE"""),"5008211043")</f>
        <v>5008211043</v>
      </c>
      <c r="G494" s="1" t="str">
        <f ca="1">IFERROR(__xludf.DUMMYFUNCTION("""COMPUTED_VALUE"""),"Departemen Teknik Kimia")</f>
        <v>Departemen Teknik Kimia</v>
      </c>
      <c r="H494" s="1" t="str">
        <f ca="1">IFERROR(__xludf.DUMMYFUNCTION("""COMPUTED_VALUE"""),"Dr. Widiyastuti, S.T., M.T.")</f>
        <v>Dr. Widiyastuti, S.T., M.T.</v>
      </c>
      <c r="I494" s="1" t="str">
        <f ca="1">IFERROR(__xludf.DUMMYFUNCTION("""COMPUTED_VALUE"""),"Zahrinne Aliefia Firdaus")</f>
        <v>Zahrinne Aliefia Firdaus</v>
      </c>
      <c r="J494" s="1" t="str">
        <f ca="1">IFERROR(__xludf.DUMMYFUNCTION("""COMPUTED_VALUE"""),"02211840000040")</f>
        <v>02211840000040</v>
      </c>
      <c r="K494" s="1" t="str">
        <f ca="1">IFERROR(__xludf.DUMMYFUNCTION("""COMPUTED_VALUE"""),"Departemen Teknik Kimia")</f>
        <v>Departemen Teknik Kimia</v>
      </c>
      <c r="L494" s="1" t="str">
        <f ca="1">IFERROR(__xludf.DUMMYFUNCTION("""COMPUTED_VALUE"""),"Pungky Triwiya Nugraha")</f>
        <v>Pungky Triwiya Nugraha</v>
      </c>
      <c r="M494" s="1" t="str">
        <f ca="1">IFERROR(__xludf.DUMMYFUNCTION("""COMPUTED_VALUE"""),"02211840000047")</f>
        <v>02211840000047</v>
      </c>
      <c r="N494" s="1" t="str">
        <f ca="1">IFERROR(__xludf.DUMMYFUNCTION("""COMPUTED_VALUE"""),"Departemen Teknik Kimia")</f>
        <v>Departemen Teknik Kimia</v>
      </c>
      <c r="O494" s="1" t="str">
        <f ca="1">IFERROR(__xludf.DUMMYFUNCTION("""COMPUTED_VALUE"""),"INDRIYANI AISY")</f>
        <v>INDRIYANI AISY</v>
      </c>
      <c r="P494" s="1" t="str">
        <f ca="1">IFERROR(__xludf.DUMMYFUNCTION("""COMPUTED_VALUE"""),"5008211032")</f>
        <v>5008211032</v>
      </c>
      <c r="Q494" s="1" t="str">
        <f ca="1">IFERROR(__xludf.DUMMYFUNCTION("""COMPUTED_VALUE"""),"Departemen Teknik Kimia")</f>
        <v>Departemen Teknik Kimia</v>
      </c>
      <c r="R494" s="1"/>
      <c r="S494" s="1"/>
      <c r="T494" s="1"/>
      <c r="U494" s="1" t="str">
        <f ca="1">IFERROR(__xludf.DUMMYFUNCTION("""COMPUTED_VALUE"""),"Dr. Awik Puji Dyah Nurhayati, S.Si., M.Si.")</f>
        <v>Dr. Awik Puji Dyah Nurhayati, S.Si., M.Si.</v>
      </c>
      <c r="V494" s="1" t="str">
        <f ca="1">IFERROR(__xludf.DUMMYFUNCTION("""COMPUTED_VALUE"""),"Iska Desmawati, S.Si., M.Si.")</f>
        <v>Iska Desmawati, S.Si., M.Si.</v>
      </c>
      <c r="W494" s="1"/>
      <c r="X494" s="1" t="str">
        <f ca="1">IFERROR(__xludf.DUMMYFUNCTION("""COMPUTED_VALUE"""),"Karantina")</f>
        <v>Karantina</v>
      </c>
      <c r="Y494" s="1"/>
      <c r="Z494" s="1"/>
      <c r="AA494" s="1"/>
    </row>
    <row r="495" spans="1:27">
      <c r="A495" s="1" t="s">
        <v>486</v>
      </c>
      <c r="B495" s="1">
        <f ca="1">IFERROR(__xludf.DUMMYFUNCTION("""COMPUTED_VALUE"""),2028)</f>
        <v>2028</v>
      </c>
      <c r="C495" s="1" t="str">
        <f ca="1">IFERROR(__xludf.DUMMYFUNCTION("""COMPUTED_VALUE"""),"PKM Riset Eksakta")</f>
        <v>PKM Riset Eksakta</v>
      </c>
      <c r="D495" s="1" t="str">
        <f ca="1">IFERROR(__xludf.DUMMYFUNCTION("""COMPUTED_VALUE"""),"Uji Potensi Komposit Geopolimer Berbasis Tungsten Carbide Diperkuat Nanofiber Selulosa Limbah Batang Jagung sebagai Material Perisai Radiasi Gamma Ramah Lingkungan")</f>
        <v>Uji Potensi Komposit Geopolimer Berbasis Tungsten Carbide Diperkuat Nanofiber Selulosa Limbah Batang Jagung sebagai Material Perisai Radiasi Gamma Ramah Lingkungan</v>
      </c>
      <c r="E495" s="1" t="str">
        <f ca="1">IFERROR(__xludf.DUMMYFUNCTION("""COMPUTED_VALUE"""),"TEGUH M. WAHYU AKBAR")</f>
        <v>TEGUH M. WAHYU AKBAR</v>
      </c>
      <c r="F495" s="1" t="str">
        <f ca="1">IFERROR(__xludf.DUMMYFUNCTION("""COMPUTED_VALUE"""),"01111940000072")</f>
        <v>01111940000072</v>
      </c>
      <c r="G495" s="1" t="str">
        <f ca="1">IFERROR(__xludf.DUMMYFUNCTION("""COMPUTED_VALUE"""),"Departemen Fisika")</f>
        <v>Departemen Fisika</v>
      </c>
      <c r="H495" s="1" t="str">
        <f ca="1">IFERROR(__xludf.DUMMYFUNCTION("""COMPUTED_VALUE"""),"Endarko, M.Si., Ph.D.")</f>
        <v>Endarko, M.Si., Ph.D.</v>
      </c>
      <c r="I495" s="1" t="str">
        <f ca="1">IFERROR(__xludf.DUMMYFUNCTION("""COMPUTED_VALUE"""),"Tasya Dwi Puteri Novitasari")</f>
        <v>Tasya Dwi Puteri Novitasari</v>
      </c>
      <c r="J495" s="1" t="str">
        <f ca="1">IFERROR(__xludf.DUMMYFUNCTION("""COMPUTED_VALUE"""),"01111940000023")</f>
        <v>01111940000023</v>
      </c>
      <c r="K495" s="1" t="str">
        <f ca="1">IFERROR(__xludf.DUMMYFUNCTION("""COMPUTED_VALUE"""),"Departemen Fisika")</f>
        <v>Departemen Fisika</v>
      </c>
      <c r="L495" s="1" t="str">
        <f ca="1">IFERROR(__xludf.DUMMYFUNCTION("""COMPUTED_VALUE"""),"MUHAMMAD OKTAVIAN DHARMA SETYAWAN")</f>
        <v>MUHAMMAD OKTAVIAN DHARMA SETYAWAN</v>
      </c>
      <c r="M495" s="1" t="str">
        <f ca="1">IFERROR(__xludf.DUMMYFUNCTION("""COMPUTED_VALUE"""),"01111940000043")</f>
        <v>01111940000043</v>
      </c>
      <c r="N495" s="1" t="str">
        <f ca="1">IFERROR(__xludf.DUMMYFUNCTION("""COMPUTED_VALUE"""),"Departemen Fisika")</f>
        <v>Departemen Fisika</v>
      </c>
      <c r="O495" s="1" t="str">
        <f ca="1">IFERROR(__xludf.DUMMYFUNCTION("""COMPUTED_VALUE"""),"MOKHAMMAD MEHDI AL MAHDANI")</f>
        <v>MOKHAMMAD MEHDI AL MAHDANI</v>
      </c>
      <c r="P495" s="1" t="str">
        <f ca="1">IFERROR(__xludf.DUMMYFUNCTION("""COMPUTED_VALUE"""),"01111940000057")</f>
        <v>01111940000057</v>
      </c>
      <c r="Q495" s="1" t="str">
        <f ca="1">IFERROR(__xludf.DUMMYFUNCTION("""COMPUTED_VALUE"""),"Departemen Fisika")</f>
        <v>Departemen Fisika</v>
      </c>
      <c r="R495" s="1" t="str">
        <f ca="1">IFERROR(__xludf.DUMMYFUNCTION("""COMPUTED_VALUE"""),"Sundari Asrowy")</f>
        <v>Sundari Asrowy</v>
      </c>
      <c r="S495" s="1" t="str">
        <f ca="1">IFERROR(__xludf.DUMMYFUNCTION("""COMPUTED_VALUE"""),"01111940000036")</f>
        <v>01111940000036</v>
      </c>
      <c r="T495" s="1" t="str">
        <f ca="1">IFERROR(__xludf.DUMMYFUNCTION("""COMPUTED_VALUE"""),"Departemen Fisika")</f>
        <v>Departemen Fisika</v>
      </c>
      <c r="U495" s="1" t="str">
        <f ca="1">IFERROR(__xludf.DUMMYFUNCTION("""COMPUTED_VALUE"""),"Dr. Dhany Arifianto, S.T., M.Eng.")</f>
        <v>Dr. Dhany Arifianto, S.T., M.Eng.</v>
      </c>
      <c r="V495" s="1" t="str">
        <f ca="1">IFERROR(__xludf.DUMMYFUNCTION("""COMPUTED_VALUE"""),"Ir. Arino Anzip, M.Eng.Sc")</f>
        <v>Ir. Arino Anzip, M.Eng.Sc</v>
      </c>
      <c r="W495" s="1"/>
      <c r="X495" s="1" t="str">
        <f ca="1">IFERROR(__xludf.DUMMYFUNCTION("""COMPUTED_VALUE"""),"Karantina")</f>
        <v>Karantina</v>
      </c>
      <c r="Y495" s="1"/>
      <c r="Z495" s="1"/>
      <c r="AA495" s="1"/>
    </row>
    <row r="496" spans="1:27">
      <c r="A496" s="1" t="s">
        <v>487</v>
      </c>
      <c r="B496" s="1">
        <f ca="1">IFERROR(__xludf.DUMMYFUNCTION("""COMPUTED_VALUE"""),2326)</f>
        <v>2326</v>
      </c>
      <c r="C496" s="1" t="str">
        <f ca="1">IFERROR(__xludf.DUMMYFUNCTION("""COMPUTED_VALUE"""),"PKM Riset Eksakta")</f>
        <v>PKM Riset Eksakta</v>
      </c>
      <c r="D496" s="1" t="str">
        <f ca="1">IFERROR(__xludf.DUMMYFUNCTION("""COMPUTED_VALUE"""),"Concrete Grouting dengan Cangkang Kerang sebagai Material Fly Ash Alternatif untuk Solusi Masalah Kerusakan Bangunan Laut")</f>
        <v>Concrete Grouting dengan Cangkang Kerang sebagai Material Fly Ash Alternatif untuk Solusi Masalah Kerusakan Bangunan Laut</v>
      </c>
      <c r="E496" s="1" t="str">
        <f ca="1">IFERROR(__xludf.DUMMYFUNCTION("""COMPUTED_VALUE"""),"Muhammad Faiz")</f>
        <v>Muhammad Faiz</v>
      </c>
      <c r="F496" s="1" t="str">
        <f ca="1">IFERROR(__xludf.DUMMYFUNCTION("""COMPUTED_VALUE"""),"04311940000017")</f>
        <v>04311940000017</v>
      </c>
      <c r="G496" s="1" t="str">
        <f ca="1">IFERROR(__xludf.DUMMYFUNCTION("""COMPUTED_VALUE"""),"Departemen Teknik Kelautan")</f>
        <v>Departemen Teknik Kelautan</v>
      </c>
      <c r="H496" s="1" t="str">
        <f ca="1">IFERROR(__xludf.DUMMYFUNCTION("""COMPUTED_VALUE"""),"Yoyok Setyo Hadiwidodo, S.T., M.T., Ph.D.")</f>
        <v>Yoyok Setyo Hadiwidodo, S.T., M.T., Ph.D.</v>
      </c>
      <c r="I496" s="1" t="str">
        <f ca="1">IFERROR(__xludf.DUMMYFUNCTION("""COMPUTED_VALUE"""),"Anstain Propa Atmaja")</f>
        <v>Anstain Propa Atmaja</v>
      </c>
      <c r="J496" s="1" t="str">
        <f ca="1">IFERROR(__xludf.DUMMYFUNCTION("""COMPUTED_VALUE"""),"04311940000021")</f>
        <v>04311940000021</v>
      </c>
      <c r="K496" s="1" t="str">
        <f ca="1">IFERROR(__xludf.DUMMYFUNCTION("""COMPUTED_VALUE"""),"Departemen Teknik Kelautan")</f>
        <v>Departemen Teknik Kelautan</v>
      </c>
      <c r="L496" s="1" t="str">
        <f ca="1">IFERROR(__xludf.DUMMYFUNCTION("""COMPUTED_VALUE"""),"MEVLEVI HAYDAR AS SHAFA")</f>
        <v>MEVLEVI HAYDAR AS SHAFA</v>
      </c>
      <c r="M496" s="1" t="str">
        <f ca="1">IFERROR(__xludf.DUMMYFUNCTION("""COMPUTED_VALUE"""),"04311940000072")</f>
        <v>04311940000072</v>
      </c>
      <c r="N496" s="1" t="str">
        <f ca="1">IFERROR(__xludf.DUMMYFUNCTION("""COMPUTED_VALUE"""),"Departemen Teknik Kelautan")</f>
        <v>Departemen Teknik Kelautan</v>
      </c>
      <c r="O496" s="1" t="str">
        <f ca="1">IFERROR(__xludf.DUMMYFUNCTION("""COMPUTED_VALUE"""),"Ahmad Yazid Rozaan")</f>
        <v>Ahmad Yazid Rozaan</v>
      </c>
      <c r="P496" s="1" t="str">
        <f ca="1">IFERROR(__xludf.DUMMYFUNCTION("""COMPUTED_VALUE"""),"5020211114")</f>
        <v>5020211114</v>
      </c>
      <c r="Q496" s="1" t="str">
        <f ca="1">IFERROR(__xludf.DUMMYFUNCTION("""COMPUTED_VALUE"""),"Departemen Teknik Kelautan")</f>
        <v>Departemen Teknik Kelautan</v>
      </c>
      <c r="R496" s="1" t="str">
        <f ca="1">IFERROR(__xludf.DUMMYFUNCTION("""COMPUTED_VALUE"""),"Athallah Rafif")</f>
        <v>Athallah Rafif</v>
      </c>
      <c r="S496" s="1" t="str">
        <f ca="1">IFERROR(__xludf.DUMMYFUNCTION("""COMPUTED_VALUE"""),"5020211110")</f>
        <v>5020211110</v>
      </c>
      <c r="T496" s="1" t="str">
        <f ca="1">IFERROR(__xludf.DUMMYFUNCTION("""COMPUTED_VALUE"""),"Departemen Teknik Kelautan")</f>
        <v>Departemen Teknik Kelautan</v>
      </c>
      <c r="U496" s="1" t="str">
        <f ca="1">IFERROR(__xludf.DUMMYFUNCTION("""COMPUTED_VALUE"""),"Dr. Dhany Arifianto, S.T., M.Eng.")</f>
        <v>Dr. Dhany Arifianto, S.T., M.Eng.</v>
      </c>
      <c r="V496" s="1" t="str">
        <f ca="1">IFERROR(__xludf.DUMMYFUNCTION("""COMPUTED_VALUE"""),"Dra. Ratna Ediati, MS., Ph.D.")</f>
        <v>Dra. Ratna Ediati, MS., Ph.D.</v>
      </c>
      <c r="W496" s="1"/>
      <c r="X496" s="1" t="str">
        <f ca="1">IFERROR(__xludf.DUMMYFUNCTION("""COMPUTED_VALUE"""),"Karantina")</f>
        <v>Karantina</v>
      </c>
      <c r="Y496" s="1"/>
      <c r="Z496" s="1"/>
      <c r="AA496" s="1"/>
    </row>
    <row r="497" spans="1:27">
      <c r="A497" s="1" t="s">
        <v>488</v>
      </c>
      <c r="B497" s="1">
        <f ca="1">IFERROR(__xludf.DUMMYFUNCTION("""COMPUTED_VALUE"""),2286)</f>
        <v>2286</v>
      </c>
      <c r="C497" s="1" t="str">
        <f ca="1">IFERROR(__xludf.DUMMYFUNCTION("""COMPUTED_VALUE"""),"PKM Riset Eksakta")</f>
        <v>PKM Riset Eksakta</v>
      </c>
      <c r="D497" s="1" t="str">
        <f ca="1">IFERROR(__xludf.DUMMYFUNCTION("""COMPUTED_VALUE"""),"Studi Rasio Dimensi Penampang dan Sarat Air untuk Optimalisasi Efisiensi Sealed Buoy Absorber pada Perairan Indonesia berdasarkan Boundary Element Method
")</f>
        <v xml:space="preserve">Studi Rasio Dimensi Penampang dan Sarat Air untuk Optimalisasi Efisiensi Sealed Buoy Absorber pada Perairan Indonesia berdasarkan Boundary Element Method
</v>
      </c>
      <c r="E497" s="1" t="str">
        <f ca="1">IFERROR(__xludf.DUMMYFUNCTION("""COMPUTED_VALUE"""),"ANNISA AULIA")</f>
        <v>ANNISA AULIA</v>
      </c>
      <c r="F497" s="1" t="str">
        <f ca="1">IFERROR(__xludf.DUMMYFUNCTION("""COMPUTED_VALUE"""),"04311940000056")</f>
        <v>04311940000056</v>
      </c>
      <c r="G497" s="1" t="str">
        <f ca="1">IFERROR(__xludf.DUMMYFUNCTION("""COMPUTED_VALUE"""),"Departemen Teknik Kelautan")</f>
        <v>Departemen Teknik Kelautan</v>
      </c>
      <c r="H497" s="1" t="str">
        <f ca="1">IFERROR(__xludf.DUMMYFUNCTION("""COMPUTED_VALUE"""),"Dr. Dendy Satrio, S.ST.")</f>
        <v>Dr. Dendy Satrio, S.ST.</v>
      </c>
      <c r="I497" s="1" t="str">
        <f ca="1">IFERROR(__xludf.DUMMYFUNCTION("""COMPUTED_VALUE"""),"MUJADID ALDIN ALBASYIR")</f>
        <v>MUJADID ALDIN ALBASYIR</v>
      </c>
      <c r="J497" s="1" t="str">
        <f ca="1">IFERROR(__xludf.DUMMYFUNCTION("""COMPUTED_VALUE"""),"04311940000045")</f>
        <v>04311940000045</v>
      </c>
      <c r="K497" s="1" t="str">
        <f ca="1">IFERROR(__xludf.DUMMYFUNCTION("""COMPUTED_VALUE"""),"Departemen Teknik Kelautan")</f>
        <v>Departemen Teknik Kelautan</v>
      </c>
      <c r="L497" s="1" t="str">
        <f ca="1">IFERROR(__xludf.DUMMYFUNCTION("""COMPUTED_VALUE"""),"ADIV GAYU ATHALLAH")</f>
        <v>ADIV GAYU ATHALLAH</v>
      </c>
      <c r="M497" s="1" t="str">
        <f ca="1">IFERROR(__xludf.DUMMYFUNCTION("""COMPUTED_VALUE"""),"04311940000047")</f>
        <v>04311940000047</v>
      </c>
      <c r="N497" s="1" t="str">
        <f ca="1">IFERROR(__xludf.DUMMYFUNCTION("""COMPUTED_VALUE"""),"Departemen Teknik Kelautan")</f>
        <v>Departemen Teknik Kelautan</v>
      </c>
      <c r="O497" s="1" t="str">
        <f ca="1">IFERROR(__xludf.DUMMYFUNCTION("""COMPUTED_VALUE"""),"HUDZWAH AZZAHRAWANI D")</f>
        <v>HUDZWAH AZZAHRAWANI D</v>
      </c>
      <c r="P497" s="1" t="str">
        <f ca="1">IFERROR(__xludf.DUMMYFUNCTION("""COMPUTED_VALUE"""),"5020201004")</f>
        <v>5020201004</v>
      </c>
      <c r="Q497" s="1" t="str">
        <f ca="1">IFERROR(__xludf.DUMMYFUNCTION("""COMPUTED_VALUE"""),"Departemen Teknik Kelautan")</f>
        <v>Departemen Teknik Kelautan</v>
      </c>
      <c r="R497" s="1" t="str">
        <f ca="1">IFERROR(__xludf.DUMMYFUNCTION("""COMPUTED_VALUE"""),"ADINDA ANGGRAENI RAHMAWATI SUKARSA")</f>
        <v>ADINDA ANGGRAENI RAHMAWATI SUKARSA</v>
      </c>
      <c r="S497" s="1" t="str">
        <f ca="1">IFERROR(__xludf.DUMMYFUNCTION("""COMPUTED_VALUE"""),"5020201053")</f>
        <v>5020201053</v>
      </c>
      <c r="T497" s="1" t="str">
        <f ca="1">IFERROR(__xludf.DUMMYFUNCTION("""COMPUTED_VALUE"""),"Departemen Teknik Kelautan")</f>
        <v>Departemen Teknik Kelautan</v>
      </c>
      <c r="U497" s="1" t="str">
        <f ca="1">IFERROR(__xludf.DUMMYFUNCTION("""COMPUTED_VALUE"""),"Dr. Dhany Arifianto, S.T., M.Eng.")</f>
        <v>Dr. Dhany Arifianto, S.T., M.Eng.</v>
      </c>
      <c r="V497" s="1" t="str">
        <f ca="1">IFERROR(__xludf.DUMMYFUNCTION("""COMPUTED_VALUE"""),"Hamdan Dwi Rizqi, S.Si., M.Si.")</f>
        <v>Hamdan Dwi Rizqi, S.Si., M.Si.</v>
      </c>
      <c r="W497" s="1"/>
      <c r="X497" s="1" t="str">
        <f ca="1">IFERROR(__xludf.DUMMYFUNCTION("""COMPUTED_VALUE"""),"Karantina")</f>
        <v>Karantina</v>
      </c>
      <c r="Y497" s="1"/>
      <c r="Z497" s="1"/>
      <c r="AA497" s="1"/>
    </row>
    <row r="498" spans="1:27">
      <c r="A498" s="1" t="s">
        <v>489</v>
      </c>
      <c r="B498" s="1">
        <f ca="1">IFERROR(__xludf.DUMMYFUNCTION("""COMPUTED_VALUE"""),3164)</f>
        <v>3164</v>
      </c>
      <c r="C498" s="1" t="str">
        <f ca="1">IFERROR(__xludf.DUMMYFUNCTION("""COMPUTED_VALUE"""),"PKM Riset Eksakta")</f>
        <v>PKM Riset Eksakta</v>
      </c>
      <c r="D498" s="1" t="str">
        <f ca="1">IFERROR(__xludf.DUMMYFUNCTION("""COMPUTED_VALUE"""),"PEMANFAATAN ABU SEKAM PADI UNTUK PENGGANTI SILIKA PADA PEMBUATAN FERROCK SEBAGAI BAHAN BANGUNAN YANG RAMAH LINGKUNGAN")</f>
        <v>PEMANFAATAN ABU SEKAM PADI UNTUK PENGGANTI SILIKA PADA PEMBUATAN FERROCK SEBAGAI BAHAN BANGUNAN YANG RAMAH LINGKUNGAN</v>
      </c>
      <c r="E498" s="1" t="str">
        <f ca="1">IFERROR(__xludf.DUMMYFUNCTION("""COMPUTED_VALUE"""),"INDY PEDRO NATANAEL SIHOMBING")</f>
        <v>INDY PEDRO NATANAEL SIHOMBING</v>
      </c>
      <c r="F498" s="1" t="str">
        <f ca="1">IFERROR(__xludf.DUMMYFUNCTION("""COMPUTED_VALUE"""),"5012201169")</f>
        <v>5012201169</v>
      </c>
      <c r="G498" s="1" t="str">
        <f ca="1">IFERROR(__xludf.DUMMYFUNCTION("""COMPUTED_VALUE"""),"Departemen Teknik Sipil")</f>
        <v>Departemen Teknik Sipil</v>
      </c>
      <c r="H498" s="1" t="str">
        <f ca="1">IFERROR(__xludf.DUMMYFUNCTION("""COMPUTED_VALUE"""),"Dr. Candra Irawan, S.T., M.T.")</f>
        <v>Dr. Candra Irawan, S.T., M.T.</v>
      </c>
      <c r="I498" s="1" t="str">
        <f ca="1">IFERROR(__xludf.DUMMYFUNCTION("""COMPUTED_VALUE"""),"MOCHAMMAD ILHAM YUNANTO")</f>
        <v>MOCHAMMAD ILHAM YUNANTO</v>
      </c>
      <c r="J498" s="1" t="str">
        <f ca="1">IFERROR(__xludf.DUMMYFUNCTION("""COMPUTED_VALUE"""),"5012201164")</f>
        <v>5012201164</v>
      </c>
      <c r="K498" s="1" t="str">
        <f ca="1">IFERROR(__xludf.DUMMYFUNCTION("""COMPUTED_VALUE"""),"Departemen Teknik Sipil")</f>
        <v>Departemen Teknik Sipil</v>
      </c>
      <c r="L498" s="1" t="str">
        <f ca="1">IFERROR(__xludf.DUMMYFUNCTION("""COMPUTED_VALUE"""),"DITA MAWARNI")</f>
        <v>DITA MAWARNI</v>
      </c>
      <c r="M498" s="1" t="str">
        <f ca="1">IFERROR(__xludf.DUMMYFUNCTION("""COMPUTED_VALUE"""),"5012201165")</f>
        <v>5012201165</v>
      </c>
      <c r="N498" s="1" t="str">
        <f ca="1">IFERROR(__xludf.DUMMYFUNCTION("""COMPUTED_VALUE"""),"Departemen Teknik Sipil")</f>
        <v>Departemen Teknik Sipil</v>
      </c>
      <c r="O498" s="1" t="str">
        <f ca="1">IFERROR(__xludf.DUMMYFUNCTION("""COMPUTED_VALUE"""),"DEVIANA SETIADIPURA")</f>
        <v>DEVIANA SETIADIPURA</v>
      </c>
      <c r="P498" s="1" t="str">
        <f ca="1">IFERROR(__xludf.DUMMYFUNCTION("""COMPUTED_VALUE"""),"5012201168")</f>
        <v>5012201168</v>
      </c>
      <c r="Q498" s="1" t="str">
        <f ca="1">IFERROR(__xludf.DUMMYFUNCTION("""COMPUTED_VALUE"""),"Departemen Teknik Sipil")</f>
        <v>Departemen Teknik Sipil</v>
      </c>
      <c r="R498" s="1" t="str">
        <f ca="1">IFERROR(__xludf.DUMMYFUNCTION("""COMPUTED_VALUE"""),"YUCA ANASTASYA LIMBONG")</f>
        <v>YUCA ANASTASYA LIMBONG</v>
      </c>
      <c r="S498" s="1" t="str">
        <f ca="1">IFERROR(__xludf.DUMMYFUNCTION("""COMPUTED_VALUE"""),"5012201166")</f>
        <v>5012201166</v>
      </c>
      <c r="T498" s="1" t="str">
        <f ca="1">IFERROR(__xludf.DUMMYFUNCTION("""COMPUTED_VALUE"""),"Departemen Teknik Sipil")</f>
        <v>Departemen Teknik Sipil</v>
      </c>
      <c r="U498" s="1" t="str">
        <f ca="1">IFERROR(__xludf.DUMMYFUNCTION("""COMPUTED_VALUE"""),"Alief Wikarta, ST., MSc.Eng. Ph.D")</f>
        <v>Alief Wikarta, ST., MSc.Eng. Ph.D</v>
      </c>
      <c r="V498" s="1" t="str">
        <f ca="1">IFERROR(__xludf.DUMMYFUNCTION("""COMPUTED_VALUE"""),"Juan Pandu Gya Nur Rochman, S.Si., M.T.")</f>
        <v>Juan Pandu Gya Nur Rochman, S.Si., M.T.</v>
      </c>
      <c r="W498" s="1"/>
      <c r="X498" s="1" t="str">
        <f ca="1">IFERROR(__xludf.DUMMYFUNCTION("""COMPUTED_VALUE"""),"Karantina")</f>
        <v>Karantina</v>
      </c>
      <c r="Y498" s="1"/>
      <c r="Z498" s="1"/>
      <c r="AA498" s="1"/>
    </row>
    <row r="499" spans="1:27">
      <c r="A499" s="1" t="s">
        <v>477</v>
      </c>
      <c r="B499" s="1">
        <f ca="1">IFERROR(__xludf.DUMMYFUNCTION("""COMPUTED_VALUE"""),3332)</f>
        <v>3332</v>
      </c>
      <c r="C499" s="1" t="str">
        <f ca="1">IFERROR(__xludf.DUMMYFUNCTION("""COMPUTED_VALUE"""),"PKM Riset Eksakta")</f>
        <v>PKM Riset Eksakta</v>
      </c>
      <c r="D499" s="1" t="str">
        <f ca="1">IFERROR(__xludf.DUMMYFUNCTION("""COMPUTED_VALUE"""),"Optimasi Penambahan Limbah Rice Husk Ash dan High Calsium Fly Ash Terhadap Kuat Tekan Geopolimer dengan Metode Curing Berbeda")</f>
        <v>Optimasi Penambahan Limbah Rice Husk Ash dan High Calsium Fly Ash Terhadap Kuat Tekan Geopolimer dengan Metode Curing Berbeda</v>
      </c>
      <c r="E499" s="1" t="str">
        <f ca="1">IFERROR(__xludf.DUMMYFUNCTION("""COMPUTED_VALUE"""),"BOY TRIONO HALOHO")</f>
        <v>BOY TRIONO HALOHO</v>
      </c>
      <c r="F499" s="1" t="str">
        <f ca="1">IFERROR(__xludf.DUMMYFUNCTION("""COMPUTED_VALUE"""),"2035201077")</f>
        <v>2035201077</v>
      </c>
      <c r="G499" s="1" t="str">
        <f ca="1">IFERROR(__xludf.DUMMYFUNCTION("""COMPUTED_VALUE"""),"Departemen Teknik Infrastruktur Sipil")</f>
        <v>Departemen Teknik Infrastruktur Sipil</v>
      </c>
      <c r="H499" s="1" t="str">
        <f ca="1">IFERROR(__xludf.DUMMYFUNCTION("""COMPUTED_VALUE"""),"Dr.Eng. Yuyun Tajunnisa, S.T., M.T.")</f>
        <v>Dr.Eng. Yuyun Tajunnisa, S.T., M.T.</v>
      </c>
      <c r="I499" s="1" t="str">
        <f ca="1">IFERROR(__xludf.DUMMYFUNCTION("""COMPUTED_VALUE"""),"MAULANA IBNU HAFIDUDDIIN")</f>
        <v>MAULANA IBNU HAFIDUDDIIN</v>
      </c>
      <c r="J499" s="1" t="str">
        <f ca="1">IFERROR(__xludf.DUMMYFUNCTION("""COMPUTED_VALUE"""),"2036201052")</f>
        <v>2036201052</v>
      </c>
      <c r="K499" s="1" t="str">
        <f ca="1">IFERROR(__xludf.DUMMYFUNCTION("""COMPUTED_VALUE"""),"Departemen Teknik Infrastruktur Sipil")</f>
        <v>Departemen Teknik Infrastruktur Sipil</v>
      </c>
      <c r="L499" s="1" t="str">
        <f ca="1">IFERROR(__xludf.DUMMYFUNCTION("""COMPUTED_VALUE"""),"MUHAMMAD ARIF BILLAH")</f>
        <v>MUHAMMAD ARIF BILLAH</v>
      </c>
      <c r="M499" s="1" t="str">
        <f ca="1">IFERROR(__xludf.DUMMYFUNCTION("""COMPUTED_VALUE"""),"2036201079")</f>
        <v>2036201079</v>
      </c>
      <c r="N499" s="1" t="str">
        <f ca="1">IFERROR(__xludf.DUMMYFUNCTION("""COMPUTED_VALUE"""),"Departemen Teknik Infrastruktur Sipil")</f>
        <v>Departemen Teknik Infrastruktur Sipil</v>
      </c>
      <c r="O499" s="1"/>
      <c r="P499" s="1"/>
      <c r="Q499" s="1"/>
      <c r="R499" s="1"/>
      <c r="S499" s="1"/>
      <c r="T499" s="1"/>
      <c r="U499" s="1" t="str">
        <f ca="1">IFERROR(__xludf.DUMMYFUNCTION("""COMPUTED_VALUE"""),"Ahmad Fauzan Adziimaa, S.T., M.Sc.")</f>
        <v>Ahmad Fauzan Adziimaa, S.T., M.Sc.</v>
      </c>
      <c r="V499" s="1" t="str">
        <f ca="1">IFERROR(__xludf.DUMMYFUNCTION("""COMPUTED_VALUE"""),"Muhammad Syifaul Mufid, S.Si.,M.Si")</f>
        <v>Muhammad Syifaul Mufid, S.Si.,M.Si</v>
      </c>
      <c r="W499" s="1"/>
      <c r="X499" s="1" t="str">
        <f ca="1">IFERROR(__xludf.DUMMYFUNCTION("""COMPUTED_VALUE"""),"Karantina")</f>
        <v>Karantina</v>
      </c>
      <c r="Y499" s="1"/>
      <c r="Z499" s="1"/>
      <c r="AA499" s="1"/>
    </row>
    <row r="500" spans="1:27">
      <c r="A500" s="1" t="s">
        <v>490</v>
      </c>
      <c r="B500" s="1">
        <f ca="1">IFERROR(__xludf.DUMMYFUNCTION("""COMPUTED_VALUE"""),3788)</f>
        <v>3788</v>
      </c>
      <c r="C500" s="1" t="str">
        <f ca="1">IFERROR(__xludf.DUMMYFUNCTION("""COMPUTED_VALUE"""),"PKM Riset Eksakta")</f>
        <v>PKM Riset Eksakta</v>
      </c>
      <c r="D500" s="1" t="str">
        <f ca="1">IFERROR(__xludf.DUMMYFUNCTION("""COMPUTED_VALUE"""),"Potensi Base Station Diversity pada Sistem Nirkabel 6G dengan Link THz dan Visible Light di Wilayah Tropis Maritim")</f>
        <v>Potensi Base Station Diversity pada Sistem Nirkabel 6G dengan Link THz dan Visible Light di Wilayah Tropis Maritim</v>
      </c>
      <c r="E500" s="1" t="str">
        <f ca="1">IFERROR(__xludf.DUMMYFUNCTION("""COMPUTED_VALUE"""),"MUHAMMAD IDRIS ROMADLY")</f>
        <v>MUHAMMAD IDRIS ROMADLY</v>
      </c>
      <c r="F500" s="1" t="str">
        <f ca="1">IFERROR(__xludf.DUMMYFUNCTION("""COMPUTED_VALUE"""),"07111840000170")</f>
        <v>07111840000170</v>
      </c>
      <c r="G500" s="1" t="str">
        <f ca="1">IFERROR(__xludf.DUMMYFUNCTION("""COMPUTED_VALUE"""),"Departemen Teknik Elektro")</f>
        <v>Departemen Teknik Elektro</v>
      </c>
      <c r="H500" s="1" t="str">
        <f ca="1">IFERROR(__xludf.DUMMYFUNCTION("""COMPUTED_VALUE"""),"Prof. Ir. Gamantyo Hendrantoro, M.Eng., Ph.D.")</f>
        <v>Prof. Ir. Gamantyo Hendrantoro, M.Eng., Ph.D.</v>
      </c>
      <c r="I500" s="1" t="str">
        <f ca="1">IFERROR(__xludf.DUMMYFUNCTION("""COMPUTED_VALUE"""),"NEFRISCA NADIA MAARUF")</f>
        <v>NEFRISCA NADIA MAARUF</v>
      </c>
      <c r="J500" s="1" t="str">
        <f ca="1">IFERROR(__xludf.DUMMYFUNCTION("""COMPUTED_VALUE"""),"07111840000185")</f>
        <v>07111840000185</v>
      </c>
      <c r="K500" s="1" t="str">
        <f ca="1">IFERROR(__xludf.DUMMYFUNCTION("""COMPUTED_VALUE"""),"Departemen Teknik Elektro")</f>
        <v>Departemen Teknik Elektro</v>
      </c>
      <c r="L500" s="1" t="str">
        <f ca="1">IFERROR(__xludf.DUMMYFUNCTION("""COMPUTED_VALUE"""),"MUHAMMAD GHOZI FARIZI")</f>
        <v>MUHAMMAD GHOZI FARIZI</v>
      </c>
      <c r="M500" s="1" t="str">
        <f ca="1">IFERROR(__xludf.DUMMYFUNCTION("""COMPUTED_VALUE"""),"5022201176")</f>
        <v>5022201176</v>
      </c>
      <c r="N500" s="1" t="str">
        <f ca="1">IFERROR(__xludf.DUMMYFUNCTION("""COMPUTED_VALUE"""),"Departemen Teknik Elektro")</f>
        <v>Departemen Teknik Elektro</v>
      </c>
      <c r="O500" s="1" t="str">
        <f ca="1">IFERROR(__xludf.DUMMYFUNCTION("""COMPUTED_VALUE"""),"BERNADUS DANIEL SASMITO ATMODIHARJO")</f>
        <v>BERNADUS DANIEL SASMITO ATMODIHARJO</v>
      </c>
      <c r="P500" s="1" t="str">
        <f ca="1">IFERROR(__xludf.DUMMYFUNCTION("""COMPUTED_VALUE"""),"5022201204")</f>
        <v>5022201204</v>
      </c>
      <c r="Q500" s="1" t="str">
        <f ca="1">IFERROR(__xludf.DUMMYFUNCTION("""COMPUTED_VALUE"""),"Departemen Teknik Elektro")</f>
        <v>Departemen Teknik Elektro</v>
      </c>
      <c r="R500" s="1" t="str">
        <f ca="1">IFERROR(__xludf.DUMMYFUNCTION("""COMPUTED_VALUE"""),"AGUNG HANDAYANTO")</f>
        <v>AGUNG HANDAYANTO</v>
      </c>
      <c r="S500" s="1" t="str">
        <f ca="1">IFERROR(__xludf.DUMMYFUNCTION("""COMPUTED_VALUE"""),"5022201219")</f>
        <v>5022201219</v>
      </c>
      <c r="T500" s="1" t="str">
        <f ca="1">IFERROR(__xludf.DUMMYFUNCTION("""COMPUTED_VALUE"""),"Departemen Teknik Elektro")</f>
        <v>Departemen Teknik Elektro</v>
      </c>
      <c r="U500" s="1" t="str">
        <f ca="1">IFERROR(__xludf.DUMMYFUNCTION("""COMPUTED_VALUE"""),"Dr.-Ing. Doty Dewi Risanti, S.T., M.T.")</f>
        <v>Dr.-Ing. Doty Dewi Risanti, S.T., M.T.</v>
      </c>
      <c r="V500" s="1" t="str">
        <f ca="1">IFERROR(__xludf.DUMMYFUNCTION("""COMPUTED_VALUE"""),"Dr. Candra Irawan, S.T., M.T.")</f>
        <v>Dr. Candra Irawan, S.T., M.T.</v>
      </c>
      <c r="W500" s="1"/>
      <c r="X500" s="1" t="str">
        <f ca="1">IFERROR(__xludf.DUMMYFUNCTION("""COMPUTED_VALUE"""),"Karantina")</f>
        <v>Karantina</v>
      </c>
      <c r="Y500" s="1"/>
      <c r="Z500" s="1"/>
      <c r="AA500" s="1"/>
    </row>
    <row r="501" spans="1:27">
      <c r="A501" s="1" t="s">
        <v>491</v>
      </c>
      <c r="B501" s="1">
        <f ca="1">IFERROR(__xludf.DUMMYFUNCTION("""COMPUTED_VALUE"""),3929)</f>
        <v>3929</v>
      </c>
      <c r="C501" s="1" t="str">
        <f ca="1">IFERROR(__xludf.DUMMYFUNCTION("""COMPUTED_VALUE"""),"PKM Riset Eksakta")</f>
        <v>PKM Riset Eksakta</v>
      </c>
      <c r="D501" s="1" t="str">
        <f ca="1">IFERROR(__xludf.DUMMYFUNCTION("""COMPUTED_VALUE"""),"Pemanfaatan ZnO/HKUST-1/Kitosan sebagai Pelapis Antibakteri pada Kain Katun")</f>
        <v>Pemanfaatan ZnO/HKUST-1/Kitosan sebagai Pelapis Antibakteri pada Kain Katun</v>
      </c>
      <c r="E501" s="1" t="str">
        <f ca="1">IFERROR(__xludf.DUMMYFUNCTION("""COMPUTED_VALUE"""),"ANGGUN KURNIAWATI PRATIWI")</f>
        <v>ANGGUN KURNIAWATI PRATIWI</v>
      </c>
      <c r="F501" s="1" t="str">
        <f ca="1">IFERROR(__xludf.DUMMYFUNCTION("""COMPUTED_VALUE"""),"5004201075")</f>
        <v>5004201075</v>
      </c>
      <c r="G501" s="1" t="str">
        <f ca="1">IFERROR(__xludf.DUMMYFUNCTION("""COMPUTED_VALUE"""),"Departemen Kimia")</f>
        <v>Departemen Kimia</v>
      </c>
      <c r="H501" s="1" t="str">
        <f ca="1">IFERROR(__xludf.DUMMYFUNCTION("""COMPUTED_VALUE"""),"Dra. Ratna Ediati, MS., Ph.D.")</f>
        <v>Dra. Ratna Ediati, MS., Ph.D.</v>
      </c>
      <c r="I501" s="1" t="str">
        <f ca="1">IFERROR(__xludf.DUMMYFUNCTION("""COMPUTED_VALUE"""),"RIFDAH ADYA SALSABILA")</f>
        <v>RIFDAH ADYA SALSABILA</v>
      </c>
      <c r="J501" s="1" t="str">
        <f ca="1">IFERROR(__xludf.DUMMYFUNCTION("""COMPUTED_VALUE"""),"5004201050")</f>
        <v>5004201050</v>
      </c>
      <c r="K501" s="1" t="str">
        <f ca="1">IFERROR(__xludf.DUMMYFUNCTION("""COMPUTED_VALUE"""),"Departemen Kimia")</f>
        <v>Departemen Kimia</v>
      </c>
      <c r="L501" s="1" t="str">
        <f ca="1">IFERROR(__xludf.DUMMYFUNCTION("""COMPUTED_VALUE"""),"ARDI LUKMAN HAKIM")</f>
        <v>ARDI LUKMAN HAKIM</v>
      </c>
      <c r="M501" s="1" t="str">
        <f ca="1">IFERROR(__xludf.DUMMYFUNCTION("""COMPUTED_VALUE"""),"5004201040")</f>
        <v>5004201040</v>
      </c>
      <c r="N501" s="1" t="str">
        <f ca="1">IFERROR(__xludf.DUMMYFUNCTION("""COMPUTED_VALUE"""),"Departemen Kimia")</f>
        <v>Departemen Kimia</v>
      </c>
      <c r="O501" s="1" t="str">
        <f ca="1">IFERROR(__xludf.DUMMYFUNCTION("""COMPUTED_VALUE"""),"NOVIA NURUL HIDAYAH")</f>
        <v>NOVIA NURUL HIDAYAH</v>
      </c>
      <c r="P501" s="1" t="str">
        <f ca="1">IFERROR(__xludf.DUMMYFUNCTION("""COMPUTED_VALUE"""),"5004201036")</f>
        <v>5004201036</v>
      </c>
      <c r="Q501" s="1" t="str">
        <f ca="1">IFERROR(__xludf.DUMMYFUNCTION("""COMPUTED_VALUE"""),"Departemen Kimia")</f>
        <v>Departemen Kimia</v>
      </c>
      <c r="R501" s="1" t="str">
        <f ca="1">IFERROR(__xludf.DUMMYFUNCTION("""COMPUTED_VALUE"""),"FIFI RISMA MAILANI FARIKHAH")</f>
        <v>FIFI RISMA MAILANI FARIKHAH</v>
      </c>
      <c r="S501" s="1" t="str">
        <f ca="1">IFERROR(__xludf.DUMMYFUNCTION("""COMPUTED_VALUE"""),"5004201030")</f>
        <v>5004201030</v>
      </c>
      <c r="T501" s="1" t="str">
        <f ca="1">IFERROR(__xludf.DUMMYFUNCTION("""COMPUTED_VALUE"""),"Departemen Kimia")</f>
        <v>Departemen Kimia</v>
      </c>
      <c r="U501" s="1" t="str">
        <f ca="1">IFERROR(__xludf.DUMMYFUNCTION("""COMPUTED_VALUE"""),"Ahmad Fauzan Adziimaa, S.T., M.Sc.")</f>
        <v>Ahmad Fauzan Adziimaa, S.T., M.Sc.</v>
      </c>
      <c r="V501" s="1" t="str">
        <f ca="1">IFERROR(__xludf.DUMMYFUNCTION("""COMPUTED_VALUE"""),"Tri Vicca Kusumadewi, S.T., M.Sc.")</f>
        <v>Tri Vicca Kusumadewi, S.T., M.Sc.</v>
      </c>
      <c r="W501" s="1"/>
      <c r="X501" s="1" t="str">
        <f ca="1">IFERROR(__xludf.DUMMYFUNCTION("""COMPUTED_VALUE"""),"Karantina")</f>
        <v>Karantina</v>
      </c>
      <c r="Y501" s="1"/>
      <c r="Z501" s="1"/>
      <c r="AA501" s="1"/>
    </row>
    <row r="502" spans="1:27">
      <c r="A502" s="1" t="s">
        <v>492</v>
      </c>
      <c r="B502" s="1">
        <f ca="1">IFERROR(__xludf.DUMMYFUNCTION("""COMPUTED_VALUE"""),4040)</f>
        <v>4040</v>
      </c>
      <c r="C502" s="1" t="str">
        <f ca="1">IFERROR(__xludf.DUMMYFUNCTION("""COMPUTED_VALUE"""),"PKM Riset Eksakta")</f>
        <v>PKM Riset Eksakta</v>
      </c>
      <c r="D502" s="1" t="str">
        <f ca="1">IFERROR(__xludf.DUMMYFUNCTION("""COMPUTED_VALUE"""),"Pemanfaatan Kitosan Limbah Cangkang Kerang Hijau dan Baglog Jamur Tiram Sebagai Material Edible Coating Untuk Memperlambat Pembusukan Bahan Pangan Nabati")</f>
        <v>Pemanfaatan Kitosan Limbah Cangkang Kerang Hijau dan Baglog Jamur Tiram Sebagai Material Edible Coating Untuk Memperlambat Pembusukan Bahan Pangan Nabati</v>
      </c>
      <c r="E502" s="1" t="str">
        <f ca="1">IFERROR(__xludf.DUMMYFUNCTION("""COMPUTED_VALUE"""),"KAVITANINGRUM")</f>
        <v>KAVITANINGRUM</v>
      </c>
      <c r="F502" s="1" t="str">
        <f ca="1">IFERROR(__xludf.DUMMYFUNCTION("""COMPUTED_VALUE"""),"5004201034")</f>
        <v>5004201034</v>
      </c>
      <c r="G502" s="1" t="str">
        <f ca="1">IFERROR(__xludf.DUMMYFUNCTION("""COMPUTED_VALUE"""),"Departemen Kimia")</f>
        <v>Departemen Kimia</v>
      </c>
      <c r="H502" s="1" t="str">
        <f ca="1">IFERROR(__xludf.DUMMYFUNCTION("""COMPUTED_VALUE"""),"Hamdan Dwi Rizqi, S.Si., M.Si.")</f>
        <v>Hamdan Dwi Rizqi, S.Si., M.Si.</v>
      </c>
      <c r="I502" s="1" t="str">
        <f ca="1">IFERROR(__xludf.DUMMYFUNCTION("""COMPUTED_VALUE"""),"NOR FARIDA")</f>
        <v>NOR FARIDA</v>
      </c>
      <c r="J502" s="1" t="str">
        <f ca="1">IFERROR(__xludf.DUMMYFUNCTION("""COMPUTED_VALUE"""),"5004201068")</f>
        <v>5004201068</v>
      </c>
      <c r="K502" s="1" t="str">
        <f ca="1">IFERROR(__xludf.DUMMYFUNCTION("""COMPUTED_VALUE"""),"Departemen Kimia")</f>
        <v>Departemen Kimia</v>
      </c>
      <c r="L502" s="1" t="str">
        <f ca="1">IFERROR(__xludf.DUMMYFUNCTION("""COMPUTED_VALUE"""),"IRMA CITRA MAYANGSARI")</f>
        <v>IRMA CITRA MAYANGSARI</v>
      </c>
      <c r="M502" s="1" t="str">
        <f ca="1">IFERROR(__xludf.DUMMYFUNCTION("""COMPUTED_VALUE"""),"5004201069")</f>
        <v>5004201069</v>
      </c>
      <c r="N502" s="1" t="str">
        <f ca="1">IFERROR(__xludf.DUMMYFUNCTION("""COMPUTED_VALUE"""),"Departemen Kimia")</f>
        <v>Departemen Kimia</v>
      </c>
      <c r="O502" s="1" t="str">
        <f ca="1">IFERROR(__xludf.DUMMYFUNCTION("""COMPUTED_VALUE"""),"AULIA MARTA LESTARI")</f>
        <v>AULIA MARTA LESTARI</v>
      </c>
      <c r="P502" s="1" t="str">
        <f ca="1">IFERROR(__xludf.DUMMYFUNCTION("""COMPUTED_VALUE"""),"01211940000068")</f>
        <v>01211940000068</v>
      </c>
      <c r="Q502" s="1" t="str">
        <f ca="1">IFERROR(__xludf.DUMMYFUNCTION("""COMPUTED_VALUE"""),"Departemen Kimia")</f>
        <v>Departemen Kimia</v>
      </c>
      <c r="R502" s="1"/>
      <c r="S502" s="1"/>
      <c r="T502" s="1"/>
      <c r="U502" s="1" t="str">
        <f ca="1">IFERROR(__xludf.DUMMYFUNCTION("""COMPUTED_VALUE"""),"Dr.-Ing. Doty Dewi Risanti, S.T., M.T.")</f>
        <v>Dr.-Ing. Doty Dewi Risanti, S.T., M.T.</v>
      </c>
      <c r="V502" s="1" t="str">
        <f ca="1">IFERROR(__xludf.DUMMYFUNCTION("""COMPUTED_VALUE"""),"Mohammad Sholikhan Arif, S.T., M.T.")</f>
        <v>Mohammad Sholikhan Arif, S.T., M.T.</v>
      </c>
      <c r="W502" s="1"/>
      <c r="X502" s="1" t="str">
        <f ca="1">IFERROR(__xludf.DUMMYFUNCTION("""COMPUTED_VALUE"""),"Karantina")</f>
        <v>Karantina</v>
      </c>
      <c r="Y502" s="1"/>
      <c r="Z502" s="1"/>
      <c r="AA502" s="1"/>
    </row>
    <row r="503" spans="1:27">
      <c r="A503" s="1" t="s">
        <v>493</v>
      </c>
      <c r="B503" s="1">
        <f ca="1">IFERROR(__xludf.DUMMYFUNCTION("""COMPUTED_VALUE"""),3934)</f>
        <v>3934</v>
      </c>
      <c r="C503" s="1" t="str">
        <f ca="1">IFERROR(__xludf.DUMMYFUNCTION("""COMPUTED_VALUE"""),"PKM Riset Eksakta")</f>
        <v>PKM Riset Eksakta</v>
      </c>
      <c r="D503" s="1" t="str">
        <f ca="1">IFERROR(__xludf.DUMMYFUNCTION("""COMPUTED_VALUE"""),"Permodelan Dampak Kebakaran Terhadap Manusia Akibat Kebocoran Storage Tank Pada Terminal LNG Menggunakan Metode Fire Dynamics Simulator")</f>
        <v>Permodelan Dampak Kebakaran Terhadap Manusia Akibat Kebocoran Storage Tank Pada Terminal LNG Menggunakan Metode Fire Dynamics Simulator</v>
      </c>
      <c r="E503" s="1" t="str">
        <f ca="1">IFERROR(__xludf.DUMMYFUNCTION("""COMPUTED_VALUE"""),"Muhamad Humam Safi`i")</f>
        <v>Muhamad Humam Safi`i</v>
      </c>
      <c r="F503" s="1" t="str">
        <f ca="1">IFERROR(__xludf.DUMMYFUNCTION("""COMPUTED_VALUE"""),"04211940000033")</f>
        <v>04211940000033</v>
      </c>
      <c r="G503" s="1" t="str">
        <f ca="1">IFERROR(__xludf.DUMMYFUNCTION("""COMPUTED_VALUE"""),"Departemen Teknik Sistem Perkapalan")</f>
        <v>Departemen Teknik Sistem Perkapalan</v>
      </c>
      <c r="H503" s="1" t="str">
        <f ca="1">IFERROR(__xludf.DUMMYFUNCTION("""COMPUTED_VALUE"""),"Dr.Eng. Dhimas Widhi Handani, S.T., M.Sc.")</f>
        <v>Dr.Eng. Dhimas Widhi Handani, S.T., M.Sc.</v>
      </c>
      <c r="I503" s="1" t="str">
        <f ca="1">IFERROR(__xludf.DUMMYFUNCTION("""COMPUTED_VALUE"""),"Isna Zahrotul Husna")</f>
        <v>Isna Zahrotul Husna</v>
      </c>
      <c r="J503" s="1" t="str">
        <f ca="1">IFERROR(__xludf.DUMMYFUNCTION("""COMPUTED_VALUE"""),"04211940000038")</f>
        <v>04211940000038</v>
      </c>
      <c r="K503" s="1" t="str">
        <f ca="1">IFERROR(__xludf.DUMMYFUNCTION("""COMPUTED_VALUE"""),"Departemen Teknik Sistem Perkapalan")</f>
        <v>Departemen Teknik Sistem Perkapalan</v>
      </c>
      <c r="L503" s="1" t="str">
        <f ca="1">IFERROR(__xludf.DUMMYFUNCTION("""COMPUTED_VALUE"""),"NITA WAHYUNI DWI PUSPITASARI")</f>
        <v>NITA WAHYUNI DWI PUSPITASARI</v>
      </c>
      <c r="M503" s="1" t="str">
        <f ca="1">IFERROR(__xludf.DUMMYFUNCTION("""COMPUTED_VALUE"""),"5019201032")</f>
        <v>5019201032</v>
      </c>
      <c r="N503" s="1" t="str">
        <f ca="1">IFERROR(__xludf.DUMMYFUNCTION("""COMPUTED_VALUE"""),"Departemen Teknik Sistem Perkapalan")</f>
        <v>Departemen Teknik Sistem Perkapalan</v>
      </c>
      <c r="O503" s="1" t="str">
        <f ca="1">IFERROR(__xludf.DUMMYFUNCTION("""COMPUTED_VALUE"""),"Farhand Ally Fahmi")</f>
        <v>Farhand Ally Fahmi</v>
      </c>
      <c r="P503" s="1" t="str">
        <f ca="1">IFERROR(__xludf.DUMMYFUNCTION("""COMPUTED_VALUE"""),"04211940000019")</f>
        <v>04211940000019</v>
      </c>
      <c r="Q503" s="1" t="str">
        <f ca="1">IFERROR(__xludf.DUMMYFUNCTION("""COMPUTED_VALUE"""),"Departemen Teknik Sistem Perkapalan")</f>
        <v>Departemen Teknik Sistem Perkapalan</v>
      </c>
      <c r="R503" s="1" t="str">
        <f ca="1">IFERROR(__xludf.DUMMYFUNCTION("""COMPUTED_VALUE"""),"RIDEMTOR YOGI D")</f>
        <v>RIDEMTOR YOGI D</v>
      </c>
      <c r="S503" s="1" t="str">
        <f ca="1">IFERROR(__xludf.DUMMYFUNCTION("""COMPUTED_VALUE"""),"2038211016")</f>
        <v>2038211016</v>
      </c>
      <c r="T503" s="1" t="str">
        <f ca="1">IFERROR(__xludf.DUMMYFUNCTION("""COMPUTED_VALUE"""),"Departemen Teknik Mesin Industri")</f>
        <v>Departemen Teknik Mesin Industri</v>
      </c>
      <c r="U503" s="1" t="str">
        <f ca="1">IFERROR(__xludf.DUMMYFUNCTION("""COMPUTED_VALUE"""),"Dr. Awik Puji Dyah Nurhayati, S.Si., M.Si.")</f>
        <v>Dr. Awik Puji Dyah Nurhayati, S.Si., M.Si.</v>
      </c>
      <c r="V503" s="1" t="str">
        <f ca="1">IFERROR(__xludf.DUMMYFUNCTION("""COMPUTED_VALUE"""),"Iska Desmawati, S.Si., M.Si.")</f>
        <v>Iska Desmawati, S.Si., M.Si.</v>
      </c>
      <c r="W503" s="1"/>
      <c r="X503" s="1" t="str">
        <f ca="1">IFERROR(__xludf.DUMMYFUNCTION("""COMPUTED_VALUE"""),"Karantina")</f>
        <v>Karantina</v>
      </c>
      <c r="Y503" s="1"/>
      <c r="Z503" s="1"/>
      <c r="AA503" s="1"/>
    </row>
    <row r="504" spans="1:27">
      <c r="A504" s="1" t="s">
        <v>494</v>
      </c>
      <c r="B504" s="1">
        <f ca="1">IFERROR(__xludf.DUMMYFUNCTION("""COMPUTED_VALUE"""),2888)</f>
        <v>2888</v>
      </c>
      <c r="C504" s="1" t="str">
        <f ca="1">IFERROR(__xludf.DUMMYFUNCTION("""COMPUTED_VALUE"""),"PKM Riset Eksakta")</f>
        <v>PKM Riset Eksakta</v>
      </c>
      <c r="D504" s="1" t="str">
        <f ca="1">IFERROR(__xludf.DUMMYFUNCTION("""COMPUTED_VALUE"""),"Penggunaan Zwitterionic Sulfonic Acid Buffering Agent sebagai Alternatif Peningkatan Kinerja Ekstraksi Asam Karboksilat dengan Pelarut 1-heptanol")</f>
        <v>Penggunaan Zwitterionic Sulfonic Acid Buffering Agent sebagai Alternatif Peningkatan Kinerja Ekstraksi Asam Karboksilat dengan Pelarut 1-heptanol</v>
      </c>
      <c r="E504" s="1" t="str">
        <f ca="1">IFERROR(__xludf.DUMMYFUNCTION("""COMPUTED_VALUE"""),"SUPRIHATIN")</f>
        <v>SUPRIHATIN</v>
      </c>
      <c r="F504" s="1" t="str">
        <f ca="1">IFERROR(__xludf.DUMMYFUNCTION("""COMPUTED_VALUE"""),"10411910000053")</f>
        <v>10411910000053</v>
      </c>
      <c r="G504" s="1" t="str">
        <f ca="1">IFERROR(__xludf.DUMMYFUNCTION("""COMPUTED_VALUE"""),"Departemen Teknik Kimia Industri")</f>
        <v>Departemen Teknik Kimia Industri</v>
      </c>
      <c r="H504" s="1" t="str">
        <f ca="1">IFERROR(__xludf.DUMMYFUNCTION("""COMPUTED_VALUE"""),"Saidah Altway, S.T., M.T.")</f>
        <v>Saidah Altway, S.T., M.T.</v>
      </c>
      <c r="I504" s="1" t="str">
        <f ca="1">IFERROR(__xludf.DUMMYFUNCTION("""COMPUTED_VALUE"""),"SHINTA AMELIA PUTRI")</f>
        <v>SHINTA AMELIA PUTRI</v>
      </c>
      <c r="J504" s="1" t="str">
        <f ca="1">IFERROR(__xludf.DUMMYFUNCTION("""COMPUTED_VALUE"""),"10411910000057")</f>
        <v>10411910000057</v>
      </c>
      <c r="K504" s="1" t="str">
        <f ca="1">IFERROR(__xludf.DUMMYFUNCTION("""COMPUTED_VALUE"""),"Departemen Teknik Kimia Industri")</f>
        <v>Departemen Teknik Kimia Industri</v>
      </c>
      <c r="L504" s="1" t="str">
        <f ca="1">IFERROR(__xludf.DUMMYFUNCTION("""COMPUTED_VALUE"""),"SERLI DWI RAHAYU")</f>
        <v>SERLI DWI RAHAYU</v>
      </c>
      <c r="M504" s="1" t="str">
        <f ca="1">IFERROR(__xludf.DUMMYFUNCTION("""COMPUTED_VALUE"""),"10411810000086")</f>
        <v>10411810000086</v>
      </c>
      <c r="N504" s="1" t="str">
        <f ca="1">IFERROR(__xludf.DUMMYFUNCTION("""COMPUTED_VALUE"""),"Departemen Teknik Kimia Industri")</f>
        <v>Departemen Teknik Kimia Industri</v>
      </c>
      <c r="O504" s="1" t="str">
        <f ca="1">IFERROR(__xludf.DUMMYFUNCTION("""COMPUTED_VALUE"""),"YASMIN INAYAH")</f>
        <v>YASMIN INAYAH</v>
      </c>
      <c r="P504" s="1" t="str">
        <f ca="1">IFERROR(__xludf.DUMMYFUNCTION("""COMPUTED_VALUE"""),"2041201071")</f>
        <v>2041201071</v>
      </c>
      <c r="Q504" s="1" t="str">
        <f ca="1">IFERROR(__xludf.DUMMYFUNCTION("""COMPUTED_VALUE"""),"Departemen Teknik Kimia Industri")</f>
        <v>Departemen Teknik Kimia Industri</v>
      </c>
      <c r="R504" s="1"/>
      <c r="S504" s="1"/>
      <c r="T504" s="1"/>
      <c r="U504" s="1" t="str">
        <f ca="1">IFERROR(__xludf.DUMMYFUNCTION("""COMPUTED_VALUE"""),"Alief Wikarta, ST., MSc.Eng. Ph.D")</f>
        <v>Alief Wikarta, ST., MSc.Eng. Ph.D</v>
      </c>
      <c r="V504" s="1" t="str">
        <f ca="1">IFERROR(__xludf.DUMMYFUNCTION("""COMPUTED_VALUE"""),"Juan Pandu Gya Nur Rochman, S.Si., M.T.")</f>
        <v>Juan Pandu Gya Nur Rochman, S.Si., M.T.</v>
      </c>
      <c r="W504" s="1"/>
      <c r="X504" s="1" t="str">
        <f ca="1">IFERROR(__xludf.DUMMYFUNCTION("""COMPUTED_VALUE"""),"Karantina")</f>
        <v>Karantina</v>
      </c>
      <c r="Y504" s="1"/>
      <c r="Z504" s="1"/>
      <c r="AA504" s="1"/>
    </row>
    <row r="505" spans="1:27">
      <c r="A505" s="1" t="s">
        <v>495</v>
      </c>
      <c r="B505" s="1">
        <f ca="1">IFERROR(__xludf.DUMMYFUNCTION("""COMPUTED_VALUE"""),4112)</f>
        <v>4112</v>
      </c>
      <c r="C505" s="1" t="str">
        <f ca="1">IFERROR(__xludf.DUMMYFUNCTION("""COMPUTED_VALUE"""),"PKM Riset Eksakta")</f>
        <v>PKM Riset Eksakta</v>
      </c>
      <c r="D505" s="1" t="str">
        <f ca="1">IFERROR(__xludf.DUMMYFUNCTION("""COMPUTED_VALUE"""),"Pemodelan dan Desain Kendali Autonomous Car Menggunakan Satisfiability Modulo Thoery")</f>
        <v>Pemodelan dan Desain Kendali Autonomous Car Menggunakan Satisfiability Modulo Thoery</v>
      </c>
      <c r="E505" s="1" t="str">
        <f ca="1">IFERROR(__xludf.DUMMYFUNCTION("""COMPUTED_VALUE"""),"ALYA NUR SHABRINA")</f>
        <v>ALYA NUR SHABRINA</v>
      </c>
      <c r="F505" s="1" t="str">
        <f ca="1">IFERROR(__xludf.DUMMYFUNCTION("""COMPUTED_VALUE"""),"06111940000055")</f>
        <v>06111940000055</v>
      </c>
      <c r="G505" s="1" t="str">
        <f ca="1">IFERROR(__xludf.DUMMYFUNCTION("""COMPUTED_VALUE"""),"Departemen Matematika")</f>
        <v>Departemen Matematika</v>
      </c>
      <c r="H505" s="1" t="str">
        <f ca="1">IFERROR(__xludf.DUMMYFUNCTION("""COMPUTED_VALUE"""),"Dr. Dieky Adzkiya, S.Si., M.Si.")</f>
        <v>Dr. Dieky Adzkiya, S.Si., M.Si.</v>
      </c>
      <c r="I505" s="1" t="str">
        <f ca="1">IFERROR(__xludf.DUMMYFUNCTION("""COMPUTED_VALUE"""),"FEBRIANTI SILVIANA SAPUTRI")</f>
        <v>FEBRIANTI SILVIANA SAPUTRI</v>
      </c>
      <c r="J505" s="1" t="str">
        <f ca="1">IFERROR(__xludf.DUMMYFUNCTION("""COMPUTED_VALUE"""),"06111840000069")</f>
        <v>06111840000069</v>
      </c>
      <c r="K505" s="1" t="str">
        <f ca="1">IFERROR(__xludf.DUMMYFUNCTION("""COMPUTED_VALUE"""),"Departemen Matematika")</f>
        <v>Departemen Matematika</v>
      </c>
      <c r="L505" s="1" t="str">
        <f ca="1">IFERROR(__xludf.DUMMYFUNCTION("""COMPUTED_VALUE"""),"Dhimas Khamim Eka Putra")</f>
        <v>Dhimas Khamim Eka Putra</v>
      </c>
      <c r="M505" s="1" t="str">
        <f ca="1">IFERROR(__xludf.DUMMYFUNCTION("""COMPUTED_VALUE"""),"07111840000064")</f>
        <v>07111840000064</v>
      </c>
      <c r="N505" s="1" t="str">
        <f ca="1">IFERROR(__xludf.DUMMYFUNCTION("""COMPUTED_VALUE"""),"Departemen Teknik Elektro")</f>
        <v>Departemen Teknik Elektro</v>
      </c>
      <c r="O505" s="1" t="str">
        <f ca="1">IFERROR(__xludf.DUMMYFUNCTION("""COMPUTED_VALUE"""),"Muhamad Humam Safi`i")</f>
        <v>Muhamad Humam Safi`i</v>
      </c>
      <c r="P505" s="1" t="str">
        <f ca="1">IFERROR(__xludf.DUMMYFUNCTION("""COMPUTED_VALUE"""),"04211940000033")</f>
        <v>04211940000033</v>
      </c>
      <c r="Q505" s="1" t="str">
        <f ca="1">IFERROR(__xludf.DUMMYFUNCTION("""COMPUTED_VALUE"""),"Departemen Teknik Sistem Perkapalan")</f>
        <v>Departemen Teknik Sistem Perkapalan</v>
      </c>
      <c r="R505" s="1" t="str">
        <f ca="1">IFERROR(__xludf.DUMMYFUNCTION("""COMPUTED_VALUE"""),"LULUK WARDATUL JANNAH")</f>
        <v>LULUK WARDATUL JANNAH</v>
      </c>
      <c r="S505" s="1" t="str">
        <f ca="1">IFERROR(__xludf.DUMMYFUNCTION("""COMPUTED_VALUE"""),"06111940000049")</f>
        <v>06111940000049</v>
      </c>
      <c r="T505" s="1" t="str">
        <f ca="1">IFERROR(__xludf.DUMMYFUNCTION("""COMPUTED_VALUE"""),"Departemen Matematika")</f>
        <v>Departemen Matematika</v>
      </c>
      <c r="U505" s="1" t="str">
        <f ca="1">IFERROR(__xludf.DUMMYFUNCTION("""COMPUTED_VALUE"""),"Dr. Awik Puji Dyah Nurhayati, S.Si., M.Si.")</f>
        <v>Dr. Awik Puji Dyah Nurhayati, S.Si., M.Si.</v>
      </c>
      <c r="V505" s="1" t="str">
        <f ca="1">IFERROR(__xludf.DUMMYFUNCTION("""COMPUTED_VALUE"""),"Sena Safarina , S.Si., M.Sc., D.Sc")</f>
        <v>Sena Safarina , S.Si., M.Sc., D.Sc</v>
      </c>
      <c r="W505" s="1"/>
      <c r="X505" s="1" t="str">
        <f ca="1">IFERROR(__xludf.DUMMYFUNCTION("""COMPUTED_VALUE"""),"Karantina")</f>
        <v>Karantina</v>
      </c>
      <c r="Y505" s="1"/>
      <c r="Z505" s="1"/>
      <c r="AA505" s="1"/>
    </row>
    <row r="506" spans="1:27">
      <c r="A506" s="1" t="s">
        <v>496</v>
      </c>
      <c r="B506" s="1">
        <f ca="1">IFERROR(__xludf.DUMMYFUNCTION("""COMPUTED_VALUE"""),2197)</f>
        <v>2197</v>
      </c>
      <c r="C506" s="1" t="str">
        <f ca="1">IFERROR(__xludf.DUMMYFUNCTION("""COMPUTED_VALUE"""),"PKM Riset Eksakta")</f>
        <v>PKM Riset Eksakta</v>
      </c>
      <c r="D506" s="1" t="str">
        <f ca="1">IFERROR(__xludf.DUMMYFUNCTION("""COMPUTED_VALUE"""),"Potensi Komposit GO@ZIF-67/HKUST-1 untuk Penghilangan Cr(VI) pada Limbah Cair Industri")</f>
        <v>Potensi Komposit GO@ZIF-67/HKUST-1 untuk Penghilangan Cr(VI) pada Limbah Cair Industri</v>
      </c>
      <c r="E506" s="1" t="str">
        <f ca="1">IFERROR(__xludf.DUMMYFUNCTION("""COMPUTED_VALUE"""),"RIFDAH ADYA SALSABILA")</f>
        <v>RIFDAH ADYA SALSABILA</v>
      </c>
      <c r="F506" s="1" t="str">
        <f ca="1">IFERROR(__xludf.DUMMYFUNCTION("""COMPUTED_VALUE"""),"5004201050")</f>
        <v>5004201050</v>
      </c>
      <c r="G506" s="1" t="str">
        <f ca="1">IFERROR(__xludf.DUMMYFUNCTION("""COMPUTED_VALUE"""),"Departemen Kimia")</f>
        <v>Departemen Kimia</v>
      </c>
      <c r="H506" s="1" t="str">
        <f ca="1">IFERROR(__xludf.DUMMYFUNCTION("""COMPUTED_VALUE"""),"Dra. Ratna Ediati, MS., Ph.D.")</f>
        <v>Dra. Ratna Ediati, MS., Ph.D.</v>
      </c>
      <c r="I506" s="1" t="str">
        <f ca="1">IFERROR(__xludf.DUMMYFUNCTION("""COMPUTED_VALUE"""),"HANDI ARDIANSYAH")</f>
        <v>HANDI ARDIANSYAH</v>
      </c>
      <c r="J506" s="1" t="str">
        <f ca="1">IFERROR(__xludf.DUMMYFUNCTION("""COMPUTED_VALUE"""),"5004201156")</f>
        <v>5004201156</v>
      </c>
      <c r="K506" s="1" t="str">
        <f ca="1">IFERROR(__xludf.DUMMYFUNCTION("""COMPUTED_VALUE"""),"Departemen Kimia")</f>
        <v>Departemen Kimia</v>
      </c>
      <c r="L506" s="1" t="str">
        <f ca="1">IFERROR(__xludf.DUMMYFUNCTION("""COMPUTED_VALUE"""),"NURUL BUNGA KURNIA")</f>
        <v>NURUL BUNGA KURNIA</v>
      </c>
      <c r="M506" s="1" t="str">
        <f ca="1">IFERROR(__xludf.DUMMYFUNCTION("""COMPUTED_VALUE"""),"5004201090")</f>
        <v>5004201090</v>
      </c>
      <c r="N506" s="1" t="str">
        <f ca="1">IFERROR(__xludf.DUMMYFUNCTION("""COMPUTED_VALUE"""),"Departemen Kimia")</f>
        <v>Departemen Kimia</v>
      </c>
      <c r="O506" s="1" t="str">
        <f ca="1">IFERROR(__xludf.DUMMYFUNCTION("""COMPUTED_VALUE"""),"ARDI LUKMAN HAKIM")</f>
        <v>ARDI LUKMAN HAKIM</v>
      </c>
      <c r="P506" s="1" t="str">
        <f ca="1">IFERROR(__xludf.DUMMYFUNCTION("""COMPUTED_VALUE"""),"5004201040")</f>
        <v>5004201040</v>
      </c>
      <c r="Q506" s="1" t="str">
        <f ca="1">IFERROR(__xludf.DUMMYFUNCTION("""COMPUTED_VALUE"""),"Departemen Kimia")</f>
        <v>Departemen Kimia</v>
      </c>
      <c r="R506" s="1" t="str">
        <f ca="1">IFERROR(__xludf.DUMMYFUNCTION("""COMPUTED_VALUE"""),"Ma Ulfi Mirza Ghifani")</f>
        <v>Ma Ulfi Mirza Ghifani</v>
      </c>
      <c r="S506" s="1" t="str">
        <f ca="1">IFERROR(__xludf.DUMMYFUNCTION("""COMPUTED_VALUE"""),"01211840000019")</f>
        <v>01211840000019</v>
      </c>
      <c r="T506" s="1" t="str">
        <f ca="1">IFERROR(__xludf.DUMMYFUNCTION("""COMPUTED_VALUE"""),"Departemen Kimia")</f>
        <v>Departemen Kimia</v>
      </c>
      <c r="U506" s="1" t="str">
        <f ca="1">IFERROR(__xludf.DUMMYFUNCTION("""COMPUTED_VALUE"""),"Alief Wikarta, ST., MSc.Eng. Ph.D")</f>
        <v>Alief Wikarta, ST., MSc.Eng. Ph.D</v>
      </c>
      <c r="V506" s="1" t="str">
        <f ca="1">IFERROR(__xludf.DUMMYFUNCTION("""COMPUTED_VALUE"""),"Juan Pandu Gya Nur Rochman, S.Si., M.T.")</f>
        <v>Juan Pandu Gya Nur Rochman, S.Si., M.T.</v>
      </c>
      <c r="W506" s="1"/>
      <c r="X506" s="1" t="str">
        <f ca="1">IFERROR(__xludf.DUMMYFUNCTION("""COMPUTED_VALUE"""),"Karantina")</f>
        <v>Karantina</v>
      </c>
      <c r="Y506" s="1"/>
      <c r="Z506" s="1"/>
      <c r="AA506" s="1"/>
    </row>
    <row r="507" spans="1:27">
      <c r="A507" s="1" t="s">
        <v>497</v>
      </c>
      <c r="B507" s="1">
        <f ca="1">IFERROR(__xludf.DUMMYFUNCTION("""COMPUTED_VALUE"""),3163)</f>
        <v>3163</v>
      </c>
      <c r="C507" s="1" t="str">
        <f ca="1">IFERROR(__xludf.DUMMYFUNCTION("""COMPUTED_VALUE"""),"PKM Penerapan Ilmu Pengetahuan dan Teknologi")</f>
        <v>PKM Penerapan Ilmu Pengetahuan dan Teknologi</v>
      </c>
      <c r="D507" s="1" t="str">
        <f ca="1">IFERROR(__xludf.DUMMYFUNCTION("""COMPUTED_VALUE"""),"Pemanen Madu Otomatis Berbasis Electro-mechanical Honeycomb Terintegrasi IoT Guna Meningkatkan Produktivitas UMKM Madu AG")</f>
        <v>Pemanen Madu Otomatis Berbasis Electro-mechanical Honeycomb Terintegrasi IoT Guna Meningkatkan Produktivitas UMKM Madu AG</v>
      </c>
      <c r="E507" s="1" t="str">
        <f ca="1">IFERROR(__xludf.DUMMYFUNCTION("""COMPUTED_VALUE"""),"GUSTAV GALVANI CHOLIQ")</f>
        <v>GUSTAV GALVANI CHOLIQ</v>
      </c>
      <c r="F507" s="1" t="str">
        <f ca="1">IFERROR(__xludf.DUMMYFUNCTION("""COMPUTED_VALUE"""),"5022201064")</f>
        <v>5022201064</v>
      </c>
      <c r="G507" s="1" t="str">
        <f ca="1">IFERROR(__xludf.DUMMYFUNCTION("""COMPUTED_VALUE"""),"Departemen Teknik Elektro")</f>
        <v>Departemen Teknik Elektro</v>
      </c>
      <c r="H507" s="1" t="str">
        <f ca="1">IFERROR(__xludf.DUMMYFUNCTION("""COMPUTED_VALUE"""),"Dr. Dimas Fajar Uman Putra, S.T., M.T.")</f>
        <v>Dr. Dimas Fajar Uman Putra, S.T., M.T.</v>
      </c>
      <c r="I507" s="1" t="str">
        <f ca="1">IFERROR(__xludf.DUMMYFUNCTION("""COMPUTED_VALUE"""),"Mario Dwi Prasetyo")</f>
        <v>Mario Dwi Prasetyo</v>
      </c>
      <c r="J507" s="1" t="str">
        <f ca="1">IFERROR(__xludf.DUMMYFUNCTION("""COMPUTED_VALUE"""),"07111940000057")</f>
        <v>07111940000057</v>
      </c>
      <c r="K507" s="1" t="str">
        <f ca="1">IFERROR(__xludf.DUMMYFUNCTION("""COMPUTED_VALUE"""),"Departemen Teknik Elektro")</f>
        <v>Departemen Teknik Elektro</v>
      </c>
      <c r="L507" s="1" t="str">
        <f ca="1">IFERROR(__xludf.DUMMYFUNCTION("""COMPUTED_VALUE"""),"Annisyah Amelia Fadhilah")</f>
        <v>Annisyah Amelia Fadhilah</v>
      </c>
      <c r="M507" s="1" t="str">
        <f ca="1">IFERROR(__xludf.DUMMYFUNCTION("""COMPUTED_VALUE"""),"07111940000020")</f>
        <v>07111940000020</v>
      </c>
      <c r="N507" s="1" t="str">
        <f ca="1">IFERROR(__xludf.DUMMYFUNCTION("""COMPUTED_VALUE"""),"Departemen Teknik Elektro")</f>
        <v>Departemen Teknik Elektro</v>
      </c>
      <c r="O507" s="1" t="str">
        <f ca="1">IFERROR(__xludf.DUMMYFUNCTION("""COMPUTED_VALUE"""),"ILHAM WAHYU EKO PRASETYO")</f>
        <v>ILHAM WAHYU EKO PRASETYO</v>
      </c>
      <c r="P507" s="1" t="str">
        <f ca="1">IFERROR(__xludf.DUMMYFUNCTION("""COMPUTED_VALUE"""),"5022201041")</f>
        <v>5022201041</v>
      </c>
      <c r="Q507" s="1" t="str">
        <f ca="1">IFERROR(__xludf.DUMMYFUNCTION("""COMPUTED_VALUE"""),"Departemen Teknik Elektro")</f>
        <v>Departemen Teknik Elektro</v>
      </c>
      <c r="R507" s="1" t="str">
        <f ca="1">IFERROR(__xludf.DUMMYFUNCTION("""COMPUTED_VALUE"""),"DANIEL SUGIANTO")</f>
        <v>DANIEL SUGIANTO</v>
      </c>
      <c r="S507" s="1" t="str">
        <f ca="1">IFERROR(__xludf.DUMMYFUNCTION("""COMPUTED_VALUE"""),"05111940000075")</f>
        <v>05111940000075</v>
      </c>
      <c r="T507" s="1" t="str">
        <f ca="1">IFERROR(__xludf.DUMMYFUNCTION("""COMPUTED_VALUE"""),"Departemen Teknik Informatika")</f>
        <v>Departemen Teknik Informatika</v>
      </c>
      <c r="U507" s="1" t="str">
        <f ca="1">IFERROR(__xludf.DUMMYFUNCTION("""COMPUTED_VALUE"""),"Ir. Nur Husodo, M.S")</f>
        <v>Ir. Nur Husodo, M.S</v>
      </c>
      <c r="V507" s="1" t="str">
        <f ca="1">IFERROR(__xludf.DUMMYFUNCTION("""COMPUTED_VALUE"""),"Muhammad Syifaul Mufid, S.Si.,M.Si")</f>
        <v>Muhammad Syifaul Mufid, S.Si.,M.Si</v>
      </c>
      <c r="W507" s="1"/>
      <c r="X507" s="1" t="str">
        <f ca="1">IFERROR(__xludf.DUMMYFUNCTION("""COMPUTED_VALUE"""),"Lolos")</f>
        <v>Lolos</v>
      </c>
      <c r="Y507" s="1"/>
      <c r="Z507" s="1"/>
      <c r="AA507" s="1"/>
    </row>
    <row r="508" spans="1:27">
      <c r="A508" s="1" t="s">
        <v>498</v>
      </c>
      <c r="B508" s="1">
        <f ca="1">IFERROR(__xludf.DUMMYFUNCTION("""COMPUTED_VALUE"""),2514)</f>
        <v>2514</v>
      </c>
      <c r="C508" s="1" t="str">
        <f ca="1">IFERROR(__xludf.DUMMYFUNCTION("""COMPUTED_VALUE"""),"PKM Penerapan Ilmu Pengetahuan dan Teknologi")</f>
        <v>PKM Penerapan Ilmu Pengetahuan dan Teknologi</v>
      </c>
      <c r="D508" s="1" t="str">
        <f ca="1">IFERROR(__xludf.DUMMYFUNCTION("""COMPUTED_VALUE"""),"Penerapan Penyimpanan Pascapanen Berbasis Instore Drying dan Panel Surya Cerdas untuk Menjaga Mutu Bawang Merah Berkualitas di Kabupaten Nganjuk")</f>
        <v>Penerapan Penyimpanan Pascapanen Berbasis Instore Drying dan Panel Surya Cerdas untuk Menjaga Mutu Bawang Merah Berkualitas di Kabupaten Nganjuk</v>
      </c>
      <c r="E508" s="1" t="str">
        <f ca="1">IFERROR(__xludf.DUMMYFUNCTION("""COMPUTED_VALUE"""),"Phahul Zhemas Zul Nehan")</f>
        <v>Phahul Zhemas Zul Nehan</v>
      </c>
      <c r="F508" s="1" t="str">
        <f ca="1">IFERROR(__xludf.DUMMYFUNCTION("""COMPUTED_VALUE"""),"01111940000004")</f>
        <v>01111940000004</v>
      </c>
      <c r="G508" s="1" t="str">
        <f ca="1">IFERROR(__xludf.DUMMYFUNCTION("""COMPUTED_VALUE"""),"Departemen Fisika")</f>
        <v>Departemen Fisika</v>
      </c>
      <c r="H508" s="1" t="str">
        <f ca="1">IFERROR(__xludf.DUMMYFUNCTION("""COMPUTED_VALUE"""),"Dr. Suyatno, S.Si., M.Si.")</f>
        <v>Dr. Suyatno, S.Si., M.Si.</v>
      </c>
      <c r="I508" s="1" t="str">
        <f ca="1">IFERROR(__xludf.DUMMYFUNCTION("""COMPUTED_VALUE"""),"Muhammad Fatih Adindasurya")</f>
        <v>Muhammad Fatih Adindasurya</v>
      </c>
      <c r="J508" s="1" t="str">
        <f ca="1">IFERROR(__xludf.DUMMYFUNCTION("""COMPUTED_VALUE"""),"01111940000008")</f>
        <v>01111940000008</v>
      </c>
      <c r="K508" s="1" t="str">
        <f ca="1">IFERROR(__xludf.DUMMYFUNCTION("""COMPUTED_VALUE"""),"Departemen Fisika")</f>
        <v>Departemen Fisika</v>
      </c>
      <c r="L508" s="1" t="str">
        <f ca="1">IFERROR(__xludf.DUMMYFUNCTION("""COMPUTED_VALUE"""),"Andyan Rafi Setopratama")</f>
        <v>Andyan Rafi Setopratama</v>
      </c>
      <c r="M508" s="1" t="str">
        <f ca="1">IFERROR(__xludf.DUMMYFUNCTION("""COMPUTED_VALUE"""),"01111940000027")</f>
        <v>01111940000027</v>
      </c>
      <c r="N508" s="1" t="str">
        <f ca="1">IFERROR(__xludf.DUMMYFUNCTION("""COMPUTED_VALUE"""),"Departemen Fisika")</f>
        <v>Departemen Fisika</v>
      </c>
      <c r="O508" s="1" t="str">
        <f ca="1">IFERROR(__xludf.DUMMYFUNCTION("""COMPUTED_VALUE"""),"GREGORIUS ABIYOSO KAMANDANU")</f>
        <v>GREGORIUS ABIYOSO KAMANDANU</v>
      </c>
      <c r="P508" s="1" t="str">
        <f ca="1">IFERROR(__xludf.DUMMYFUNCTION("""COMPUTED_VALUE"""),"01111940000052")</f>
        <v>01111940000052</v>
      </c>
      <c r="Q508" s="1" t="str">
        <f ca="1">IFERROR(__xludf.DUMMYFUNCTION("""COMPUTED_VALUE"""),"Departemen Fisika")</f>
        <v>Departemen Fisika</v>
      </c>
      <c r="R508" s="1" t="str">
        <f ca="1">IFERROR(__xludf.DUMMYFUNCTION("""COMPUTED_VALUE"""),"MUHAMMAD HANIF RAHMANI")</f>
        <v>MUHAMMAD HANIF RAHMANI</v>
      </c>
      <c r="S508" s="1" t="str">
        <f ca="1">IFERROR(__xludf.DUMMYFUNCTION("""COMPUTED_VALUE"""),"01111940000074")</f>
        <v>01111940000074</v>
      </c>
      <c r="T508" s="1" t="str">
        <f ca="1">IFERROR(__xludf.DUMMYFUNCTION("""COMPUTED_VALUE"""),"Departemen Fisika")</f>
        <v>Departemen Fisika</v>
      </c>
      <c r="U508" s="1" t="str">
        <f ca="1">IFERROR(__xludf.DUMMYFUNCTION("""COMPUTED_VALUE"""),"Ir. Nur Husodo, M.S")</f>
        <v>Ir. Nur Husodo, M.S</v>
      </c>
      <c r="V508" s="1" t="str">
        <f ca="1">IFERROR(__xludf.DUMMYFUNCTION("""COMPUTED_VALUE"""),"Ciptian Weried Priananda, S.ST., M.T.")</f>
        <v>Ciptian Weried Priananda, S.ST., M.T.</v>
      </c>
      <c r="W508" s="1"/>
      <c r="X508" s="1" t="str">
        <f ca="1">IFERROR(__xludf.DUMMYFUNCTION("""COMPUTED_VALUE"""),"Lolos")</f>
        <v>Lolos</v>
      </c>
      <c r="Y508" s="1"/>
      <c r="Z508" s="1"/>
      <c r="AA508" s="1"/>
    </row>
    <row r="509" spans="1:27">
      <c r="A509" s="1" t="s">
        <v>499</v>
      </c>
      <c r="B509" s="1">
        <f ca="1">IFERROR(__xludf.DUMMYFUNCTION("""COMPUTED_VALUE"""),3600)</f>
        <v>3600</v>
      </c>
      <c r="C509" s="1" t="str">
        <f ca="1">IFERROR(__xludf.DUMMYFUNCTION("""COMPUTED_VALUE"""),"PKM Penerapan Ilmu Pengetahuan dan Teknologi")</f>
        <v>PKM Penerapan Ilmu Pengetahuan dan Teknologi</v>
      </c>
      <c r="D509" s="1" t="str">
        <f ca="1">IFERROR(__xludf.DUMMYFUNCTION("""COMPUTED_VALUE"""),"Penanganan Masalah Penumpukkan Kendaraan Menuju Lembah Mbencirang Menggunakan Jembatan Karakuri ""GM-Traffic""")</f>
        <v>Penanganan Masalah Penumpukkan Kendaraan Menuju Lembah Mbencirang Menggunakan Jembatan Karakuri "GM-Traffic"</v>
      </c>
      <c r="E509" s="1" t="str">
        <f ca="1">IFERROR(__xludf.DUMMYFUNCTION("""COMPUTED_VALUE"""),"ALYA OKTIA PUTRI")</f>
        <v>ALYA OKTIA PUTRI</v>
      </c>
      <c r="F509" s="1" t="str">
        <f ca="1">IFERROR(__xludf.DUMMYFUNCTION("""COMPUTED_VALUE"""),"5010201098")</f>
        <v>5010201098</v>
      </c>
      <c r="G509" s="1" t="str">
        <f ca="1">IFERROR(__xludf.DUMMYFUNCTION("""COMPUTED_VALUE"""),"Departemen Teknik Sistem dan Industri")</f>
        <v>Departemen Teknik Sistem dan Industri</v>
      </c>
      <c r="H509" s="1" t="str">
        <f ca="1">IFERROR(__xludf.DUMMYFUNCTION("""COMPUTED_VALUE"""),"Yudha Prasetyawan, S.T., M.Eng.")</f>
        <v>Yudha Prasetyawan, S.T., M.Eng.</v>
      </c>
      <c r="I509" s="1" t="str">
        <f ca="1">IFERROR(__xludf.DUMMYFUNCTION("""COMPUTED_VALUE"""),"TALITHA RAHMA AKBARI")</f>
        <v>TALITHA RAHMA AKBARI</v>
      </c>
      <c r="J509" s="1" t="str">
        <f ca="1">IFERROR(__xludf.DUMMYFUNCTION("""COMPUTED_VALUE"""),"5010201134")</f>
        <v>5010201134</v>
      </c>
      <c r="K509" s="1" t="str">
        <f ca="1">IFERROR(__xludf.DUMMYFUNCTION("""COMPUTED_VALUE"""),"Departemen Teknik Sistem dan Industri")</f>
        <v>Departemen Teknik Sistem dan Industri</v>
      </c>
      <c r="L509" s="1" t="str">
        <f ca="1">IFERROR(__xludf.DUMMYFUNCTION("""COMPUTED_VALUE"""),"STEVEN RAYNARD KOLOPAKING")</f>
        <v>STEVEN RAYNARD KOLOPAKING</v>
      </c>
      <c r="M509" s="1" t="str">
        <f ca="1">IFERROR(__xludf.DUMMYFUNCTION("""COMPUTED_VALUE"""),"5010201124")</f>
        <v>5010201124</v>
      </c>
      <c r="N509" s="1" t="str">
        <f ca="1">IFERROR(__xludf.DUMMYFUNCTION("""COMPUTED_VALUE"""),"Departemen Teknik Sistem dan Industri")</f>
        <v>Departemen Teknik Sistem dan Industri</v>
      </c>
      <c r="O509" s="1" t="str">
        <f ca="1">IFERROR(__xludf.DUMMYFUNCTION("""COMPUTED_VALUE"""),"MUHAMMAD RIZKI AIRLANGGA DJOJONEGORO")</f>
        <v>MUHAMMAD RIZKI AIRLANGGA DJOJONEGORO</v>
      </c>
      <c r="P509" s="1" t="str">
        <f ca="1">IFERROR(__xludf.DUMMYFUNCTION("""COMPUTED_VALUE"""),"5022201214")</f>
        <v>5022201214</v>
      </c>
      <c r="Q509" s="1" t="str">
        <f ca="1">IFERROR(__xludf.DUMMYFUNCTION("""COMPUTED_VALUE"""),"Departemen Teknik Elektro")</f>
        <v>Departemen Teknik Elektro</v>
      </c>
      <c r="R509" s="1" t="str">
        <f ca="1">IFERROR(__xludf.DUMMYFUNCTION("""COMPUTED_VALUE"""),"ZAHRA SHAFURA K")</f>
        <v>ZAHRA SHAFURA K</v>
      </c>
      <c r="S509" s="1" t="str">
        <f ca="1">IFERROR(__xludf.DUMMYFUNCTION("""COMPUTED_VALUE"""),"5010211054")</f>
        <v>5010211054</v>
      </c>
      <c r="T509" s="1" t="str">
        <f ca="1">IFERROR(__xludf.DUMMYFUNCTION("""COMPUTED_VALUE"""),"Departemen Teknik Sistem dan Industri")</f>
        <v>Departemen Teknik Sistem dan Industri</v>
      </c>
      <c r="U509" s="1" t="str">
        <f ca="1">IFERROR(__xludf.DUMMYFUNCTION("""COMPUTED_VALUE"""),"Ir. Nur Husodo, M.S")</f>
        <v>Ir. Nur Husodo, M.S</v>
      </c>
      <c r="V509" s="1" t="str">
        <f ca="1">IFERROR(__xludf.DUMMYFUNCTION("""COMPUTED_VALUE"""),"Muhammad Syifaul Mufid, S.Si.,M.Si")</f>
        <v>Muhammad Syifaul Mufid, S.Si.,M.Si</v>
      </c>
      <c r="W509" s="1"/>
      <c r="X509" s="1" t="str">
        <f ca="1">IFERROR(__xludf.DUMMYFUNCTION("""COMPUTED_VALUE"""),"Lolos")</f>
        <v>Lolos</v>
      </c>
      <c r="Y509" s="1"/>
      <c r="Z509" s="1"/>
      <c r="AA509" s="1"/>
    </row>
    <row r="510" spans="1:27">
      <c r="A510" s="1" t="s">
        <v>500</v>
      </c>
      <c r="B510" s="1">
        <f ca="1">IFERROR(__xludf.DUMMYFUNCTION("""COMPUTED_VALUE"""),2670)</f>
        <v>2670</v>
      </c>
      <c r="C510" s="1" t="str">
        <f ca="1">IFERROR(__xludf.DUMMYFUNCTION("""COMPUTED_VALUE"""),"PKM Penerapan Ilmu Pengetahuan dan Teknologi")</f>
        <v>PKM Penerapan Ilmu Pengetahuan dan Teknologi</v>
      </c>
      <c r="D510" s="1" t="str">
        <f ca="1">IFERROR(__xludf.DUMMYFUNCTION("""COMPUTED_VALUE"""),"Alat Pemastian Kualitas Bahan Pewarna Batik Berbasis Pengolahan Citra Sebagai Solusi Peningkatan Mutu Batik Griya Amirah")</f>
        <v>Alat Pemastian Kualitas Bahan Pewarna Batik Berbasis Pengolahan Citra Sebagai Solusi Peningkatan Mutu Batik Griya Amirah</v>
      </c>
      <c r="E510" s="1" t="str">
        <f ca="1">IFERROR(__xludf.DUMMYFUNCTION("""COMPUTED_VALUE"""),"MOCHAMAD HELMI ZUKHRUF")</f>
        <v>MOCHAMAD HELMI ZUKHRUF</v>
      </c>
      <c r="F510" s="1" t="str">
        <f ca="1">IFERROR(__xludf.DUMMYFUNCTION("""COMPUTED_VALUE"""),"5009201024")</f>
        <v>5009201024</v>
      </c>
      <c r="G510" s="1" t="str">
        <f ca="1">IFERROR(__xludf.DUMMYFUNCTION("""COMPUTED_VALUE"""),"Departemen Teknik Fisika")</f>
        <v>Departemen Teknik Fisika</v>
      </c>
      <c r="H510" s="1" t="str">
        <f ca="1">IFERROR(__xludf.DUMMYFUNCTION("""COMPUTED_VALUE"""),"Dr.rer.nat. Ir. Aulia Muhammad Taufiq Nasution, M.Sc.")</f>
        <v>Dr.rer.nat. Ir. Aulia Muhammad Taufiq Nasution, M.Sc.</v>
      </c>
      <c r="I510" s="1" t="str">
        <f ca="1">IFERROR(__xludf.DUMMYFUNCTION("""COMPUTED_VALUE"""),"HAFIZ SALAM")</f>
        <v>HAFIZ SALAM</v>
      </c>
      <c r="J510" s="1" t="str">
        <f ca="1">IFERROR(__xludf.DUMMYFUNCTION("""COMPUTED_VALUE"""),"02311840000080")</f>
        <v>02311840000080</v>
      </c>
      <c r="K510" s="1" t="str">
        <f ca="1">IFERROR(__xludf.DUMMYFUNCTION("""COMPUTED_VALUE"""),"Departemen Teknik Fisika")</f>
        <v>Departemen Teknik Fisika</v>
      </c>
      <c r="L510" s="1" t="str">
        <f ca="1">IFERROR(__xludf.DUMMYFUNCTION("""COMPUTED_VALUE"""),"Nadhifa Aqilla Husna")</f>
        <v>Nadhifa Aqilla Husna</v>
      </c>
      <c r="M510" s="1" t="str">
        <f ca="1">IFERROR(__xludf.DUMMYFUNCTION("""COMPUTED_VALUE"""),"02311840000025")</f>
        <v>02311840000025</v>
      </c>
      <c r="N510" s="1" t="str">
        <f ca="1">IFERROR(__xludf.DUMMYFUNCTION("""COMPUTED_VALUE"""),"Departemen Teknik Fisika")</f>
        <v>Departemen Teknik Fisika</v>
      </c>
      <c r="O510" s="1" t="str">
        <f ca="1">IFERROR(__xludf.DUMMYFUNCTION("""COMPUTED_VALUE"""),"FRECIA ELRIVIA MARDIANTO")</f>
        <v>FRECIA ELRIVIA MARDIANTO</v>
      </c>
      <c r="P510" s="1" t="str">
        <f ca="1">IFERROR(__xludf.DUMMYFUNCTION("""COMPUTED_VALUE"""),"5009201134")</f>
        <v>5009201134</v>
      </c>
      <c r="Q510" s="1" t="str">
        <f ca="1">IFERROR(__xludf.DUMMYFUNCTION("""COMPUTED_VALUE"""),"Departemen Teknik Fisika")</f>
        <v>Departemen Teknik Fisika</v>
      </c>
      <c r="R510" s="1" t="str">
        <f ca="1">IFERROR(__xludf.DUMMYFUNCTION("""COMPUTED_VALUE"""),"MUHAMMAD THOMI BASTIYAN")</f>
        <v>MUHAMMAD THOMI BASTIYAN</v>
      </c>
      <c r="S510" s="1" t="str">
        <f ca="1">IFERROR(__xludf.DUMMYFUNCTION("""COMPUTED_VALUE"""),"5009201059")</f>
        <v>5009201059</v>
      </c>
      <c r="T510" s="1" t="str">
        <f ca="1">IFERROR(__xludf.DUMMYFUNCTION("""COMPUTED_VALUE"""),"Departemen Teknik Fisika")</f>
        <v>Departemen Teknik Fisika</v>
      </c>
      <c r="U510" s="1" t="str">
        <f ca="1">IFERROR(__xludf.DUMMYFUNCTION("""COMPUTED_VALUE"""),"Ir. Nur Husodo, M.S")</f>
        <v>Ir. Nur Husodo, M.S</v>
      </c>
      <c r="V510" s="1" t="str">
        <f ca="1">IFERROR(__xludf.DUMMYFUNCTION("""COMPUTED_VALUE"""),"Muhammad Syifaul Mufid, S.Si.,M.Si")</f>
        <v>Muhammad Syifaul Mufid, S.Si.,M.Si</v>
      </c>
      <c r="W510" s="1"/>
      <c r="X510" s="1" t="str">
        <f ca="1">IFERROR(__xludf.DUMMYFUNCTION("""COMPUTED_VALUE"""),"Lolos")</f>
        <v>Lolos</v>
      </c>
      <c r="Y510" s="1"/>
      <c r="Z510" s="1"/>
      <c r="AA510" s="1"/>
    </row>
    <row r="511" spans="1:27">
      <c r="A511" s="1" t="s">
        <v>501</v>
      </c>
      <c r="B511" s="1">
        <f ca="1">IFERROR(__xludf.DUMMYFUNCTION("""COMPUTED_VALUE"""),2681)</f>
        <v>2681</v>
      </c>
      <c r="C511" s="1" t="str">
        <f ca="1">IFERROR(__xludf.DUMMYFUNCTION("""COMPUTED_VALUE"""),"PKM Penerapan Ilmu Pengetahuan dan Teknologi")</f>
        <v>PKM Penerapan Ilmu Pengetahuan dan Teknologi</v>
      </c>
      <c r="D511" s="1" t="str">
        <f ca="1">IFERROR(__xludf.DUMMYFUNCTION("""COMPUTED_VALUE"""),"Sistem Pengusir Hama dengan Konsep Panel Baterai dan Gelombang Ultrasonik untuk Peningkatan Produktivitas Petani Bawang Merah di Nganjuk")</f>
        <v>Sistem Pengusir Hama dengan Konsep Panel Baterai dan Gelombang Ultrasonik untuk Peningkatan Produktivitas Petani Bawang Merah di Nganjuk</v>
      </c>
      <c r="E511" s="1" t="str">
        <f ca="1">IFERROR(__xludf.DUMMYFUNCTION("""COMPUTED_VALUE"""),"Ivan Rajendra D. A.")</f>
        <v>Ivan Rajendra D. A.</v>
      </c>
      <c r="F511" s="1" t="str">
        <f ca="1">IFERROR(__xludf.DUMMYFUNCTION("""COMPUTED_VALUE"""),"5022211135")</f>
        <v>5022211135</v>
      </c>
      <c r="G511" s="1" t="str">
        <f ca="1">IFERROR(__xludf.DUMMYFUNCTION("""COMPUTED_VALUE"""),"Departemen Teknik Elektro")</f>
        <v>Departemen Teknik Elektro</v>
      </c>
      <c r="H511" s="1" t="str">
        <f ca="1">IFERROR(__xludf.DUMMYFUNCTION("""COMPUTED_VALUE"""),"Dr. Dimas Fajar Uman Putra, S.T., M.T.")</f>
        <v>Dr. Dimas Fajar Uman Putra, S.T., M.T.</v>
      </c>
      <c r="I511" s="1" t="str">
        <f ca="1">IFERROR(__xludf.DUMMYFUNCTION("""COMPUTED_VALUE"""),"ILHAM ERIC KURNIAWAN")</f>
        <v>ILHAM ERIC KURNIAWAN</v>
      </c>
      <c r="J511" s="1" t="str">
        <f ca="1">IFERROR(__xludf.DUMMYFUNCTION("""COMPUTED_VALUE"""),"07111940000113")</f>
        <v>07111940000113</v>
      </c>
      <c r="K511" s="1" t="str">
        <f ca="1">IFERROR(__xludf.DUMMYFUNCTION("""COMPUTED_VALUE"""),"Departemen Teknik Elektro")</f>
        <v>Departemen Teknik Elektro</v>
      </c>
      <c r="L511" s="1" t="str">
        <f ca="1">IFERROR(__xludf.DUMMYFUNCTION("""COMPUTED_VALUE"""),"Berliandra Oktaviani")</f>
        <v>Berliandra Oktaviani</v>
      </c>
      <c r="M511" s="1" t="str">
        <f ca="1">IFERROR(__xludf.DUMMYFUNCTION("""COMPUTED_VALUE"""),"07111940000019")</f>
        <v>07111940000019</v>
      </c>
      <c r="N511" s="1" t="str">
        <f ca="1">IFERROR(__xludf.DUMMYFUNCTION("""COMPUTED_VALUE"""),"Departemen Teknik Elektro")</f>
        <v>Departemen Teknik Elektro</v>
      </c>
      <c r="O511" s="1" t="str">
        <f ca="1">IFERROR(__xludf.DUMMYFUNCTION("""COMPUTED_VALUE"""),"CLAIRINA ELORA LAILI")</f>
        <v>CLAIRINA ELORA LAILI</v>
      </c>
      <c r="P511" s="1" t="str">
        <f ca="1">IFERROR(__xludf.DUMMYFUNCTION("""COMPUTED_VALUE"""),"5022211212")</f>
        <v>5022211212</v>
      </c>
      <c r="Q511" s="1" t="str">
        <f ca="1">IFERROR(__xludf.DUMMYFUNCTION("""COMPUTED_VALUE"""),"Departemen Teknik Elektro")</f>
        <v>Departemen Teknik Elektro</v>
      </c>
      <c r="R511" s="1" t="str">
        <f ca="1">IFERROR(__xludf.DUMMYFUNCTION("""COMPUTED_VALUE"""),"MOHAMMAD DIMAS HILAL AKBAR")</f>
        <v>MOHAMMAD DIMAS HILAL AKBAR</v>
      </c>
      <c r="S511" s="1" t="str">
        <f ca="1">IFERROR(__xludf.DUMMYFUNCTION("""COMPUTED_VALUE"""),"2038201082")</f>
        <v>2038201082</v>
      </c>
      <c r="T511" s="1" t="str">
        <f ca="1">IFERROR(__xludf.DUMMYFUNCTION("""COMPUTED_VALUE"""),"Departemen Teknik Mesin Industri")</f>
        <v>Departemen Teknik Mesin Industri</v>
      </c>
      <c r="U511" s="1" t="str">
        <f ca="1">IFERROR(__xludf.DUMMYFUNCTION("""COMPUTED_VALUE"""),"Dr. Dhany Arifianto, S.T., M.Eng.")</f>
        <v>Dr. Dhany Arifianto, S.T., M.Eng.</v>
      </c>
      <c r="V511" s="1" t="str">
        <f ca="1">IFERROR(__xludf.DUMMYFUNCTION("""COMPUTED_VALUE"""),"Muhammad Syifaul Mufid, S.Si.,M.Si")</f>
        <v>Muhammad Syifaul Mufid, S.Si.,M.Si</v>
      </c>
      <c r="W511" s="1"/>
      <c r="X511" s="1" t="str">
        <f ca="1">IFERROR(__xludf.DUMMYFUNCTION("""COMPUTED_VALUE"""),"Lolos")</f>
        <v>Lolos</v>
      </c>
      <c r="Y511" s="1"/>
      <c r="Z511" s="1"/>
      <c r="AA511" s="1"/>
    </row>
    <row r="512" spans="1:27">
      <c r="A512" s="1" t="s">
        <v>502</v>
      </c>
      <c r="B512" s="1">
        <f ca="1">IFERROR(__xludf.DUMMYFUNCTION("""COMPUTED_VALUE"""),2311)</f>
        <v>2311</v>
      </c>
      <c r="C512" s="1" t="str">
        <f ca="1">IFERROR(__xludf.DUMMYFUNCTION("""COMPUTED_VALUE"""),"PKM Penerapan Ilmu Pengetahuan dan Teknologi")</f>
        <v>PKM Penerapan Ilmu Pengetahuan dan Teknologi</v>
      </c>
      <c r="D512" s="1" t="str">
        <f ca="1">IFERROR(__xludf.DUMMYFUNCTION("""COMPUTED_VALUE"""),"Alat Pengusir Burung Otomatis Berbasis Computer Vision Guna Meningkatkan Produktivitas Peternakan Ikan Koi di Desa Kemloko, Kabupaten Blitar")</f>
        <v>Alat Pengusir Burung Otomatis Berbasis Computer Vision Guna Meningkatkan Produktivitas Peternakan Ikan Koi di Desa Kemloko, Kabupaten Blitar</v>
      </c>
      <c r="E512" s="1" t="str">
        <f ca="1">IFERROR(__xludf.DUMMYFUNCTION("""COMPUTED_VALUE"""),"FARID CENRENG")</f>
        <v>FARID CENRENG</v>
      </c>
      <c r="F512" s="1" t="str">
        <f ca="1">IFERROR(__xludf.DUMMYFUNCTION("""COMPUTED_VALUE"""),"5024201005")</f>
        <v>5024201005</v>
      </c>
      <c r="G512" s="1" t="str">
        <f ca="1">IFERROR(__xludf.DUMMYFUNCTION("""COMPUTED_VALUE"""),"Departemen Teknik Komputer")</f>
        <v>Departemen Teknik Komputer</v>
      </c>
      <c r="H512" s="1" t="str">
        <f ca="1">IFERROR(__xludf.DUMMYFUNCTION("""COMPUTED_VALUE"""),"Dr.Eng. Rony Seto Wibowo, S.T., M.T.")</f>
        <v>Dr.Eng. Rony Seto Wibowo, S.T., M.T.</v>
      </c>
      <c r="I512" s="1" t="str">
        <f ca="1">IFERROR(__xludf.DUMMYFUNCTION("""COMPUTED_VALUE"""),"HANIF REZA WIBOWO")</f>
        <v>HANIF REZA WIBOWO</v>
      </c>
      <c r="J512" s="1" t="str">
        <f ca="1">IFERROR(__xludf.DUMMYFUNCTION("""COMPUTED_VALUE"""),"5022201190")</f>
        <v>5022201190</v>
      </c>
      <c r="K512" s="1" t="str">
        <f ca="1">IFERROR(__xludf.DUMMYFUNCTION("""COMPUTED_VALUE"""),"Departemen Teknik Elektro")</f>
        <v>Departemen Teknik Elektro</v>
      </c>
      <c r="L512" s="1" t="str">
        <f ca="1">IFERROR(__xludf.DUMMYFUNCTION("""COMPUTED_VALUE"""),"ILHAM ERIC KURNIAWAN")</f>
        <v>ILHAM ERIC KURNIAWAN</v>
      </c>
      <c r="M512" s="1" t="str">
        <f ca="1">IFERROR(__xludf.DUMMYFUNCTION("""COMPUTED_VALUE"""),"07111940000113")</f>
        <v>07111940000113</v>
      </c>
      <c r="N512" s="1" t="str">
        <f ca="1">IFERROR(__xludf.DUMMYFUNCTION("""COMPUTED_VALUE"""),"Departemen Teknik Elektro")</f>
        <v>Departemen Teknik Elektro</v>
      </c>
      <c r="O512" s="1" t="str">
        <f ca="1">IFERROR(__xludf.DUMMYFUNCTION("""COMPUTED_VALUE"""),"MUHAMMAD YAVI MARSA SYAUQI")</f>
        <v>MUHAMMAD YAVI MARSA SYAUQI</v>
      </c>
      <c r="P512" s="1" t="str">
        <f ca="1">IFERROR(__xludf.DUMMYFUNCTION("""COMPUTED_VALUE"""),"07111940000221")</f>
        <v>07111940000221</v>
      </c>
      <c r="Q512" s="1" t="str">
        <f ca="1">IFERROR(__xludf.DUMMYFUNCTION("""COMPUTED_VALUE"""),"Departemen Teknik Elektro")</f>
        <v>Departemen Teknik Elektro</v>
      </c>
      <c r="R512" s="1" t="str">
        <f ca="1">IFERROR(__xludf.DUMMYFUNCTION("""COMPUTED_VALUE"""),"Lazuardi Akbar Zidanna")</f>
        <v>Lazuardi Akbar Zidanna</v>
      </c>
      <c r="S512" s="1" t="str">
        <f ca="1">IFERROR(__xludf.DUMMYFUNCTION("""COMPUTED_VALUE"""),"07111940000047")</f>
        <v>07111940000047</v>
      </c>
      <c r="T512" s="1" t="str">
        <f ca="1">IFERROR(__xludf.DUMMYFUNCTION("""COMPUTED_VALUE"""),"Departemen Teknik Elektro")</f>
        <v>Departemen Teknik Elektro</v>
      </c>
      <c r="U512" s="1" t="str">
        <f ca="1">IFERROR(__xludf.DUMMYFUNCTION("""COMPUTED_VALUE"""),"Sefi Novendra Patrialova, S.Si., M.T")</f>
        <v>Sefi Novendra Patrialova, S.Si., M.T</v>
      </c>
      <c r="V512" s="1" t="str">
        <f ca="1">IFERROR(__xludf.DUMMYFUNCTION("""COMPUTED_VALUE"""),"Sunarsih, S.T., M.Eng., Ph.D.")</f>
        <v>Sunarsih, S.T., M.Eng., Ph.D.</v>
      </c>
      <c r="W512" s="1"/>
      <c r="X512" s="1" t="str">
        <f ca="1">IFERROR(__xludf.DUMMYFUNCTION("""COMPUTED_VALUE"""),"Lolos")</f>
        <v>Lolos</v>
      </c>
      <c r="Y512" s="1"/>
      <c r="Z512" s="1"/>
      <c r="AA512" s="1"/>
    </row>
    <row r="513" spans="1:27">
      <c r="A513" s="1" t="s">
        <v>503</v>
      </c>
      <c r="B513" s="1">
        <f ca="1">IFERROR(__xludf.DUMMYFUNCTION("""COMPUTED_VALUE"""),2529)</f>
        <v>2529</v>
      </c>
      <c r="C513" s="1" t="str">
        <f ca="1">IFERROR(__xludf.DUMMYFUNCTION("""COMPUTED_VALUE"""),"PKM Penerapan Ilmu Pengetahuan dan Teknologi")</f>
        <v>PKM Penerapan Ilmu Pengetahuan dan Teknologi</v>
      </c>
      <c r="D513" s="1" t="str">
        <f ca="1">IFERROR(__xludf.DUMMYFUNCTION("""COMPUTED_VALUE"""),"Optimalisasi Proses Mixing pada Pembuatan Hand Soap di Home Industry CV Kanthi Harum Surabaya")</f>
        <v>Optimalisasi Proses Mixing pada Pembuatan Hand Soap di Home Industry CV Kanthi Harum Surabaya</v>
      </c>
      <c r="E513" s="1" t="str">
        <f ca="1">IFERROR(__xludf.DUMMYFUNCTION("""COMPUTED_VALUE"""),"RENALDI KUSUMA NURDIN")</f>
        <v>RENALDI KUSUMA NURDIN</v>
      </c>
      <c r="F513" s="1" t="str">
        <f ca="1">IFERROR(__xludf.DUMMYFUNCTION("""COMPUTED_VALUE"""),"2041201023")</f>
        <v>2041201023</v>
      </c>
      <c r="G513" s="1" t="str">
        <f ca="1">IFERROR(__xludf.DUMMYFUNCTION("""COMPUTED_VALUE"""),"Departemen Teknik Kimia Industri")</f>
        <v>Departemen Teknik Kimia Industri</v>
      </c>
      <c r="H513" s="1" t="str">
        <f ca="1">IFERROR(__xludf.DUMMYFUNCTION("""COMPUTED_VALUE"""),"Daril Ridho Zuchrillah, S.T., M.T.")</f>
        <v>Daril Ridho Zuchrillah, S.T., M.T.</v>
      </c>
      <c r="I513" s="1" t="str">
        <f ca="1">IFERROR(__xludf.DUMMYFUNCTION("""COMPUTED_VALUE"""),"ARIKA NUR INDRAYANI")</f>
        <v>ARIKA NUR INDRAYANI</v>
      </c>
      <c r="J513" s="1" t="str">
        <f ca="1">IFERROR(__xludf.DUMMYFUNCTION("""COMPUTED_VALUE"""),"2041201024")</f>
        <v>2041201024</v>
      </c>
      <c r="K513" s="1" t="str">
        <f ca="1">IFERROR(__xludf.DUMMYFUNCTION("""COMPUTED_VALUE"""),"Departemen Teknik Kimia Industri")</f>
        <v>Departemen Teknik Kimia Industri</v>
      </c>
      <c r="L513" s="1" t="str">
        <f ca="1">IFERROR(__xludf.DUMMYFUNCTION("""COMPUTED_VALUE"""),"YUNIAR DWI NORYANTI")</f>
        <v>YUNIAR DWI NORYANTI</v>
      </c>
      <c r="M513" s="1" t="str">
        <f ca="1">IFERROR(__xludf.DUMMYFUNCTION("""COMPUTED_VALUE"""),"2041201082")</f>
        <v>2041201082</v>
      </c>
      <c r="N513" s="1" t="str">
        <f ca="1">IFERROR(__xludf.DUMMYFUNCTION("""COMPUTED_VALUE"""),"Departemen Teknik Kimia Industri")</f>
        <v>Departemen Teknik Kimia Industri</v>
      </c>
      <c r="O513" s="1" t="str">
        <f ca="1">IFERROR(__xludf.DUMMYFUNCTION("""COMPUTED_VALUE"""),"YOGA BEKTI SUSANTO")</f>
        <v>YOGA BEKTI SUSANTO</v>
      </c>
      <c r="P513" s="1" t="str">
        <f ca="1">IFERROR(__xludf.DUMMYFUNCTION("""COMPUTED_VALUE"""),"2041201086")</f>
        <v>2041201086</v>
      </c>
      <c r="Q513" s="1" t="str">
        <f ca="1">IFERROR(__xludf.DUMMYFUNCTION("""COMPUTED_VALUE"""),"Departemen Teknik Kimia Industri")</f>
        <v>Departemen Teknik Kimia Industri</v>
      </c>
      <c r="R513" s="1" t="str">
        <f ca="1">IFERROR(__xludf.DUMMYFUNCTION("""COMPUTED_VALUE"""),"MUHAMMAD ARI FERNANDA")</f>
        <v>MUHAMMAD ARI FERNANDA</v>
      </c>
      <c r="S513" s="1" t="str">
        <f ca="1">IFERROR(__xludf.DUMMYFUNCTION("""COMPUTED_VALUE"""),"2038201039")</f>
        <v>2038201039</v>
      </c>
      <c r="T513" s="1" t="str">
        <f ca="1">IFERROR(__xludf.DUMMYFUNCTION("""COMPUTED_VALUE"""),"Departemen Teknik Mesin Industri")</f>
        <v>Departemen Teknik Mesin Industri</v>
      </c>
      <c r="U513" s="1" t="str">
        <f ca="1">IFERROR(__xludf.DUMMYFUNCTION("""COMPUTED_VALUE"""),"Dr. Dhany Arifianto, S.T., M.Eng.")</f>
        <v>Dr. Dhany Arifianto, S.T., M.Eng.</v>
      </c>
      <c r="V513" s="1" t="str">
        <f ca="1">IFERROR(__xludf.DUMMYFUNCTION("""COMPUTED_VALUE"""),"Muhammad Syifaul Mufid, S.Si.,M.Si")</f>
        <v>Muhammad Syifaul Mufid, S.Si.,M.Si</v>
      </c>
      <c r="W513" s="1"/>
      <c r="X513" s="1" t="str">
        <f ca="1">IFERROR(__xludf.DUMMYFUNCTION("""COMPUTED_VALUE"""),"Lolos")</f>
        <v>Lolos</v>
      </c>
      <c r="Y513" s="1"/>
      <c r="Z513" s="1"/>
      <c r="AA513" s="1"/>
    </row>
    <row r="514" spans="1:27">
      <c r="A514" s="1" t="s">
        <v>504</v>
      </c>
      <c r="B514" s="1">
        <f ca="1">IFERROR(__xludf.DUMMYFUNCTION("""COMPUTED_VALUE"""),3985)</f>
        <v>3985</v>
      </c>
      <c r="C514" s="1" t="str">
        <f ca="1">IFERROR(__xludf.DUMMYFUNCTION("""COMPUTED_VALUE"""),"PKM Penerapan Ilmu Pengetahuan dan Teknologi")</f>
        <v>PKM Penerapan Ilmu Pengetahuan dan Teknologi</v>
      </c>
      <c r="D514" s="1" t="str">
        <f ca="1">IFERROR(__xludf.DUMMYFUNCTION("""COMPUTED_VALUE"""),"Mesin Pemisah Tempurung dari Kepala Kecambah Ale Sebagai Solusi untuk UMKM Milik Pak Kiswadi di Jombang")</f>
        <v>Mesin Pemisah Tempurung dari Kepala Kecambah Ale Sebagai Solusi untuk UMKM Milik Pak Kiswadi di Jombang</v>
      </c>
      <c r="E514" s="1" t="str">
        <f ca="1">IFERROR(__xludf.DUMMYFUNCTION("""COMPUTED_VALUE"""),"Wulan Rahmadini")</f>
        <v>Wulan Rahmadini</v>
      </c>
      <c r="F514" s="1" t="str">
        <f ca="1">IFERROR(__xludf.DUMMYFUNCTION("""COMPUTED_VALUE"""),"2039211012")</f>
        <v>2039211012</v>
      </c>
      <c r="G514" s="1" t="str">
        <f ca="1">IFERROR(__xludf.DUMMYFUNCTION("""COMPUTED_VALUE"""),"Departemen Teknik Mesin Industri")</f>
        <v>Departemen Teknik Mesin Industri</v>
      </c>
      <c r="H514" s="1" t="str">
        <f ca="1">IFERROR(__xludf.DUMMYFUNCTION("""COMPUTED_VALUE"""),"Ir. Nur Husodo, M.S")</f>
        <v>Ir. Nur Husodo, M.S</v>
      </c>
      <c r="I514" s="1" t="str">
        <f ca="1">IFERROR(__xludf.DUMMYFUNCTION("""COMPUTED_VALUE"""),"RADIT NIKLES EFENDI")</f>
        <v>RADIT NIKLES EFENDI</v>
      </c>
      <c r="J514" s="1" t="str">
        <f ca="1">IFERROR(__xludf.DUMMYFUNCTION("""COMPUTED_VALUE"""),"2039211011")</f>
        <v>2039211011</v>
      </c>
      <c r="K514" s="1" t="str">
        <f ca="1">IFERROR(__xludf.DUMMYFUNCTION("""COMPUTED_VALUE"""),"Departemen Teknik Mesin Industri")</f>
        <v>Departemen Teknik Mesin Industri</v>
      </c>
      <c r="L514" s="1" t="str">
        <f ca="1">IFERROR(__xludf.DUMMYFUNCTION("""COMPUTED_VALUE"""),"MUHAMMAD IQBAL B.")</f>
        <v>MUHAMMAD IQBAL B.</v>
      </c>
      <c r="M514" s="1" t="str">
        <f ca="1">IFERROR(__xludf.DUMMYFUNCTION("""COMPUTED_VALUE"""),"2039211025")</f>
        <v>2039211025</v>
      </c>
      <c r="N514" s="1" t="str">
        <f ca="1">IFERROR(__xludf.DUMMYFUNCTION("""COMPUTED_VALUE"""),"Departemen Teknik Mesin Industri")</f>
        <v>Departemen Teknik Mesin Industri</v>
      </c>
      <c r="O514" s="1" t="str">
        <f ca="1">IFERROR(__xludf.DUMMYFUNCTION("""COMPUTED_VALUE"""),"YULFI ARISTA")</f>
        <v>YULFI ARISTA</v>
      </c>
      <c r="P514" s="1" t="str">
        <f ca="1">IFERROR(__xludf.DUMMYFUNCTION("""COMPUTED_VALUE"""),"10311910000056")</f>
        <v>10311910000056</v>
      </c>
      <c r="Q514" s="1" t="str">
        <f ca="1">IFERROR(__xludf.DUMMYFUNCTION("""COMPUTED_VALUE"""),"Departemen Teknik Elektro Otomasi")</f>
        <v>Departemen Teknik Elektro Otomasi</v>
      </c>
      <c r="R514" s="1" t="str">
        <f ca="1">IFERROR(__xludf.DUMMYFUNCTION("""COMPUTED_VALUE"""),"KHAFIT IMRON MUZAKI")</f>
        <v>KHAFIT IMRON MUZAKI</v>
      </c>
      <c r="S514" s="1" t="str">
        <f ca="1">IFERROR(__xludf.DUMMYFUNCTION("""COMPUTED_VALUE"""),"10311810000041")</f>
        <v>10311810000041</v>
      </c>
      <c r="T514" s="1" t="str">
        <f ca="1">IFERROR(__xludf.DUMMYFUNCTION("""COMPUTED_VALUE"""),"Departemen Teknik Elektro Otomasi")</f>
        <v>Departemen Teknik Elektro Otomasi</v>
      </c>
      <c r="U514" s="1" t="str">
        <f ca="1">IFERROR(__xludf.DUMMYFUNCTION("""COMPUTED_VALUE"""),"Dr. Dhany Arifianto, S.T., M.Eng.")</f>
        <v>Dr. Dhany Arifianto, S.T., M.Eng.</v>
      </c>
      <c r="V514" s="1" t="str">
        <f ca="1">IFERROR(__xludf.DUMMYFUNCTION("""COMPUTED_VALUE"""),"Muhammad Syifaul Mufid, S.Si.,M.Si")</f>
        <v>Muhammad Syifaul Mufid, S.Si.,M.Si</v>
      </c>
      <c r="W514" s="1"/>
      <c r="X514" s="1" t="str">
        <f ca="1">IFERROR(__xludf.DUMMYFUNCTION("""COMPUTED_VALUE"""),"Lolos")</f>
        <v>Lolos</v>
      </c>
      <c r="Y514" s="1"/>
      <c r="Z514" s="1"/>
      <c r="AA514" s="1"/>
    </row>
    <row r="515" spans="1:27">
      <c r="A515" s="1" t="s">
        <v>505</v>
      </c>
      <c r="B515" s="1">
        <f ca="1">IFERROR(__xludf.DUMMYFUNCTION("""COMPUTED_VALUE"""),3078)</f>
        <v>3078</v>
      </c>
      <c r="C515" s="1" t="str">
        <f ca="1">IFERROR(__xludf.DUMMYFUNCTION("""COMPUTED_VALUE"""),"PKM Penerapan Ilmu Pengetahuan dan Teknologi")</f>
        <v>PKM Penerapan Ilmu Pengetahuan dan Teknologi</v>
      </c>
      <c r="D515" s="1" t="str">
        <f ca="1">IFERROR(__xludf.DUMMYFUNCTION("""COMPUTED_VALUE"""),"Optimalisasi Limbah Tembakau Sebagai Biopestisida Untuk Meminimalisir Biaya Produksi Tanaman Pertanian Kelompok Tani Desa Ampel, Kecamatan Wuluhan, Kabupaten Jember
")</f>
        <v xml:space="preserve">Optimalisasi Limbah Tembakau Sebagai Biopestisida Untuk Meminimalisir Biaya Produksi Tanaman Pertanian Kelompok Tani Desa Ampel, Kecamatan Wuluhan, Kabupaten Jember
</v>
      </c>
      <c r="E515" s="1" t="str">
        <f ca="1">IFERROR(__xludf.DUMMYFUNCTION("""COMPUTED_VALUE"""),"SALSABILLA KHARISMA PUTRI")</f>
        <v>SALSABILLA KHARISMA PUTRI</v>
      </c>
      <c r="F515" s="1" t="str">
        <f ca="1">IFERROR(__xludf.DUMMYFUNCTION("""COMPUTED_VALUE"""),"2041201066")</f>
        <v>2041201066</v>
      </c>
      <c r="G515" s="1" t="str">
        <f ca="1">IFERROR(__xludf.DUMMYFUNCTION("""COMPUTED_VALUE"""),"Departemen Teknik Kimia Industri")</f>
        <v>Departemen Teknik Kimia Industri</v>
      </c>
      <c r="H515" s="1" t="str">
        <f ca="1">IFERROR(__xludf.DUMMYFUNCTION("""COMPUTED_VALUE"""),"Ir. Agus Surono, M.T.")</f>
        <v>Ir. Agus Surono, M.T.</v>
      </c>
      <c r="I515" s="1" t="str">
        <f ca="1">IFERROR(__xludf.DUMMYFUNCTION("""COMPUTED_VALUE"""),"YUSTIA DWI FITRIA SANTOSO")</f>
        <v>YUSTIA DWI FITRIA SANTOSO</v>
      </c>
      <c r="J515" s="1" t="str">
        <f ca="1">IFERROR(__xludf.DUMMYFUNCTION("""COMPUTED_VALUE"""),"2041201100")</f>
        <v>2041201100</v>
      </c>
      <c r="K515" s="1" t="str">
        <f ca="1">IFERROR(__xludf.DUMMYFUNCTION("""COMPUTED_VALUE"""),"Departemen Teknik Kimia Industri")</f>
        <v>Departemen Teknik Kimia Industri</v>
      </c>
      <c r="L515" s="1" t="str">
        <f ca="1">IFERROR(__xludf.DUMMYFUNCTION("""COMPUTED_VALUE"""),"VIRDHA ALIFYANA PRAMESWARI")</f>
        <v>VIRDHA ALIFYANA PRAMESWARI</v>
      </c>
      <c r="M515" s="1" t="str">
        <f ca="1">IFERROR(__xludf.DUMMYFUNCTION("""COMPUTED_VALUE"""),"2041201073")</f>
        <v>2041201073</v>
      </c>
      <c r="N515" s="1" t="str">
        <f ca="1">IFERROR(__xludf.DUMMYFUNCTION("""COMPUTED_VALUE"""),"Departemen Teknik Kimia Industri")</f>
        <v>Departemen Teknik Kimia Industri</v>
      </c>
      <c r="O515" s="1" t="str">
        <f ca="1">IFERROR(__xludf.DUMMYFUNCTION("""COMPUTED_VALUE"""),"MUHAMMAD FARHAN")</f>
        <v>MUHAMMAD FARHAN</v>
      </c>
      <c r="P515" s="1" t="str">
        <f ca="1">IFERROR(__xludf.DUMMYFUNCTION("""COMPUTED_VALUE"""),"2041201095")</f>
        <v>2041201095</v>
      </c>
      <c r="Q515" s="1" t="str">
        <f ca="1">IFERROR(__xludf.DUMMYFUNCTION("""COMPUTED_VALUE"""),"Departemen Teknik Kimia Industri")</f>
        <v>Departemen Teknik Kimia Industri</v>
      </c>
      <c r="R515" s="1" t="str">
        <f ca="1">IFERROR(__xludf.DUMMYFUNCTION("""COMPUTED_VALUE"""),"MAHIB SULTAN SETIAJI")</f>
        <v>MAHIB SULTAN SETIAJI</v>
      </c>
      <c r="S515" s="1" t="str">
        <f ca="1">IFERROR(__xludf.DUMMYFUNCTION("""COMPUTED_VALUE"""),"5007201170")</f>
        <v>5007201170</v>
      </c>
      <c r="T515" s="1" t="str">
        <f ca="1">IFERROR(__xludf.DUMMYFUNCTION("""COMPUTED_VALUE"""),"Departemen Teknik Mesin")</f>
        <v>Departemen Teknik Mesin</v>
      </c>
      <c r="U515" s="1" t="str">
        <f ca="1">IFERROR(__xludf.DUMMYFUNCTION("""COMPUTED_VALUE"""),"Sefi Novendra Patrialova, S.Si., M.T")</f>
        <v>Sefi Novendra Patrialova, S.Si., M.T</v>
      </c>
      <c r="V515" s="1" t="str">
        <f ca="1">IFERROR(__xludf.DUMMYFUNCTION("""COMPUTED_VALUE"""),"Sunarsih, S.T., M.Eng., Ph.D.")</f>
        <v>Sunarsih, S.T., M.Eng., Ph.D.</v>
      </c>
      <c r="W515" s="1"/>
      <c r="X515" s="1" t="str">
        <f ca="1">IFERROR(__xludf.DUMMYFUNCTION("""COMPUTED_VALUE"""),"Lolos")</f>
        <v>Lolos</v>
      </c>
      <c r="Y515" s="1"/>
      <c r="Z515" s="1"/>
      <c r="AA515" s="1"/>
    </row>
    <row r="516" spans="1:27">
      <c r="A516" s="1" t="s">
        <v>506</v>
      </c>
      <c r="B516" s="1">
        <f ca="1">IFERROR(__xludf.DUMMYFUNCTION("""COMPUTED_VALUE"""),2669)</f>
        <v>2669</v>
      </c>
      <c r="C516" s="1" t="str">
        <f ca="1">IFERROR(__xludf.DUMMYFUNCTION("""COMPUTED_VALUE"""),"PKM Penerapan Ilmu Pengetahuan dan Teknologi")</f>
        <v>PKM Penerapan Ilmu Pengetahuan dan Teknologi</v>
      </c>
      <c r="D516" s="1" t="str">
        <f ca="1">IFERROR(__xludf.DUMMYFUNCTION("""COMPUTED_VALUE"""),"MESIN KRISTALISASI DENGAN SISTEM DOUBLE JACKET GUNA MENINGKATKAN KUALITAS PRODUKSI SERBUK SARI JAHE IKM VIRGO BAROKAH FOOD ")</f>
        <v xml:space="preserve">MESIN KRISTALISASI DENGAN SISTEM DOUBLE JACKET GUNA MENINGKATKAN KUALITAS PRODUKSI SERBUK SARI JAHE IKM VIRGO BAROKAH FOOD </v>
      </c>
      <c r="E516" s="1" t="str">
        <f ca="1">IFERROR(__xludf.DUMMYFUNCTION("""COMPUTED_VALUE"""),"SYECH MAULANA MALIK")</f>
        <v>SYECH MAULANA MALIK</v>
      </c>
      <c r="F516" s="1" t="str">
        <f ca="1">IFERROR(__xludf.DUMMYFUNCTION("""COMPUTED_VALUE"""),"10211810003008")</f>
        <v>10211810003008</v>
      </c>
      <c r="G516" s="1" t="str">
        <f ca="1">IFERROR(__xludf.DUMMYFUNCTION("""COMPUTED_VALUE"""),"Departemen Teknik Mesin Industri")</f>
        <v>Departemen Teknik Mesin Industri</v>
      </c>
      <c r="H516" s="1" t="str">
        <f ca="1">IFERROR(__xludf.DUMMYFUNCTION("""COMPUTED_VALUE"""),"Ir. Nur Husodo, M.S")</f>
        <v>Ir. Nur Husodo, M.S</v>
      </c>
      <c r="I516" s="1" t="str">
        <f ca="1">IFERROR(__xludf.DUMMYFUNCTION("""COMPUTED_VALUE"""),"ZULFA VIKRIANDY")</f>
        <v>ZULFA VIKRIANDY</v>
      </c>
      <c r="J516" s="1" t="str">
        <f ca="1">IFERROR(__xludf.DUMMYFUNCTION("""COMPUTED_VALUE"""),"10211810013004")</f>
        <v>10211810013004</v>
      </c>
      <c r="K516" s="1" t="str">
        <f ca="1">IFERROR(__xludf.DUMMYFUNCTION("""COMPUTED_VALUE"""),"Departemen Teknik Mesin Industri")</f>
        <v>Departemen Teknik Mesin Industri</v>
      </c>
      <c r="L516" s="1" t="str">
        <f ca="1">IFERROR(__xludf.DUMMYFUNCTION("""COMPUTED_VALUE"""),"Dhimas Khamim Eka Putra")</f>
        <v>Dhimas Khamim Eka Putra</v>
      </c>
      <c r="M516" s="1" t="str">
        <f ca="1">IFERROR(__xludf.DUMMYFUNCTION("""COMPUTED_VALUE"""),"07111840000064")</f>
        <v>07111840000064</v>
      </c>
      <c r="N516" s="1" t="str">
        <f ca="1">IFERROR(__xludf.DUMMYFUNCTION("""COMPUTED_VALUE"""),"Departemen Teknik Elektro")</f>
        <v>Departemen Teknik Elektro</v>
      </c>
      <c r="O516" s="1" t="str">
        <f ca="1">IFERROR(__xludf.DUMMYFUNCTION("""COMPUTED_VALUE"""),"Anisah Amalia Nur Ibrohim")</f>
        <v>Anisah Amalia Nur Ibrohim</v>
      </c>
      <c r="P516" s="1" t="str">
        <f ca="1">IFERROR(__xludf.DUMMYFUNCTION("""COMPUTED_VALUE"""),"02411940000006")</f>
        <v>02411940000006</v>
      </c>
      <c r="Q516" s="1" t="str">
        <f ca="1">IFERROR(__xludf.DUMMYFUNCTION("""COMPUTED_VALUE"""),"Departemen Teknik Sistem dan Industri")</f>
        <v>Departemen Teknik Sistem dan Industri</v>
      </c>
      <c r="R516" s="1" t="str">
        <f ca="1">IFERROR(__xludf.DUMMYFUNCTION("""COMPUTED_VALUE"""),"FARCHANAH NOOR FITROH")</f>
        <v>FARCHANAH NOOR FITROH</v>
      </c>
      <c r="S516" s="1" t="str">
        <f ca="1">IFERROR(__xludf.DUMMYFUNCTION("""COMPUTED_VALUE"""),"01211940000093")</f>
        <v>01211940000093</v>
      </c>
      <c r="T516" s="1" t="str">
        <f ca="1">IFERROR(__xludf.DUMMYFUNCTION("""COMPUTED_VALUE"""),"Departemen Kimia")</f>
        <v>Departemen Kimia</v>
      </c>
      <c r="U516" s="1" t="str">
        <f ca="1">IFERROR(__xludf.DUMMYFUNCTION("""COMPUTED_VALUE"""),"Dr. Dhany Arifianto, S.T., M.Eng.")</f>
        <v>Dr. Dhany Arifianto, S.T., M.Eng.</v>
      </c>
      <c r="V516" s="1" t="str">
        <f ca="1">IFERROR(__xludf.DUMMYFUNCTION("""COMPUTED_VALUE"""),"Muhammad Syifaul Mufid, S.Si.,M.Si")</f>
        <v>Muhammad Syifaul Mufid, S.Si.,M.Si</v>
      </c>
      <c r="W516" s="1"/>
      <c r="X516" s="1" t="str">
        <f ca="1">IFERROR(__xludf.DUMMYFUNCTION("""COMPUTED_VALUE"""),"Lolos")</f>
        <v>Lolos</v>
      </c>
      <c r="Y516" s="1"/>
      <c r="Z516" s="1"/>
      <c r="AA516" s="1"/>
    </row>
    <row r="517" spans="1:27">
      <c r="A517" s="1" t="s">
        <v>507</v>
      </c>
      <c r="B517" s="1">
        <f ca="1">IFERROR(__xludf.DUMMYFUNCTION("""COMPUTED_VALUE"""),2779)</f>
        <v>2779</v>
      </c>
      <c r="C517" s="1" t="str">
        <f ca="1">IFERROR(__xludf.DUMMYFUNCTION("""COMPUTED_VALUE"""),"PKM Penerapan Ilmu Pengetahuan dan Teknologi")</f>
        <v>PKM Penerapan Ilmu Pengetahuan dan Teknologi</v>
      </c>
      <c r="D517" s="1" t="str">
        <f ca="1">IFERROR(__xludf.DUMMYFUNCTION("""COMPUTED_VALUE"""),"Alat Pemberian Pakan dan Pengecekan pH Otomatis, serta Saluran Irigasi untuk Meningkatkan Produktivitas Budidaya Ikan Lele Kelompok Tani Keputih Bersemi")</f>
        <v>Alat Pemberian Pakan dan Pengecekan pH Otomatis, serta Saluran Irigasi untuk Meningkatkan Produktivitas Budidaya Ikan Lele Kelompok Tani Keputih Bersemi</v>
      </c>
      <c r="E517" s="1" t="str">
        <f ca="1">IFERROR(__xludf.DUMMYFUNCTION("""COMPUTED_VALUE"""),"RADEN AYU LAURA AZZAHRA PURNOMO")</f>
        <v>RADEN AYU LAURA AZZAHRA PURNOMO</v>
      </c>
      <c r="F517" s="1" t="str">
        <f ca="1">IFERROR(__xludf.DUMMYFUNCTION("""COMPUTED_VALUE"""),"5005201074")</f>
        <v>5005201074</v>
      </c>
      <c r="G517" s="1" t="str">
        <f ca="1">IFERROR(__xludf.DUMMYFUNCTION("""COMPUTED_VALUE"""),"Departemen Biologi")</f>
        <v>Departemen Biologi</v>
      </c>
      <c r="H517" s="1" t="str">
        <f ca="1">IFERROR(__xludf.DUMMYFUNCTION("""COMPUTED_VALUE"""),"Nova Maulidina Ashuri, S.Si., M.Si.")</f>
        <v>Nova Maulidina Ashuri, S.Si., M.Si.</v>
      </c>
      <c r="I517" s="1" t="str">
        <f ca="1">IFERROR(__xludf.DUMMYFUNCTION("""COMPUTED_VALUE"""),"MARTINUS SURYA ARI PAMUNGKAS")</f>
        <v>MARTINUS SURYA ARI PAMUNGKAS</v>
      </c>
      <c r="J517" s="1" t="str">
        <f ca="1">IFERROR(__xludf.DUMMYFUNCTION("""COMPUTED_VALUE"""),"01311840000033")</f>
        <v>01311840000033</v>
      </c>
      <c r="K517" s="1" t="str">
        <f ca="1">IFERROR(__xludf.DUMMYFUNCTION("""COMPUTED_VALUE"""),"Departemen Biologi")</f>
        <v>Departemen Biologi</v>
      </c>
      <c r="L517" s="1" t="str">
        <f ca="1">IFERROR(__xludf.DUMMYFUNCTION("""COMPUTED_VALUE"""),"SALSABILA AIDA FITRIYA")</f>
        <v>SALSABILA AIDA FITRIYA</v>
      </c>
      <c r="M517" s="1" t="str">
        <f ca="1">IFERROR(__xludf.DUMMYFUNCTION("""COMPUTED_VALUE"""),"01311940000033")</f>
        <v>01311940000033</v>
      </c>
      <c r="N517" s="1" t="str">
        <f ca="1">IFERROR(__xludf.DUMMYFUNCTION("""COMPUTED_VALUE"""),"Departemen Biologi")</f>
        <v>Departemen Biologi</v>
      </c>
      <c r="O517" s="1" t="str">
        <f ca="1">IFERROR(__xludf.DUMMYFUNCTION("""COMPUTED_VALUE"""),"Devani Dwi Rachmarena")</f>
        <v>Devani Dwi Rachmarena</v>
      </c>
      <c r="P517" s="1" t="str">
        <f ca="1">IFERROR(__xludf.DUMMYFUNCTION("""COMPUTED_VALUE"""),"08311840000009")</f>
        <v>08311840000009</v>
      </c>
      <c r="Q517" s="1" t="str">
        <f ca="1">IFERROR(__xludf.DUMMYFUNCTION("""COMPUTED_VALUE"""),"Departemen Desain Produk")</f>
        <v>Departemen Desain Produk</v>
      </c>
      <c r="R517" s="1" t="str">
        <f ca="1">IFERROR(__xludf.DUMMYFUNCTION("""COMPUTED_VALUE"""),"KRISNA PRAMUDYA DHARMA")</f>
        <v>KRISNA PRAMUDYA DHARMA</v>
      </c>
      <c r="S517" s="1" t="str">
        <f ca="1">IFERROR(__xludf.DUMMYFUNCTION("""COMPUTED_VALUE"""),"07111840000148")</f>
        <v>07111840000148</v>
      </c>
      <c r="T517" s="1" t="str">
        <f ca="1">IFERROR(__xludf.DUMMYFUNCTION("""COMPUTED_VALUE"""),"Departemen Teknik Elektro")</f>
        <v>Departemen Teknik Elektro</v>
      </c>
      <c r="U517" s="1" t="str">
        <f ca="1">IFERROR(__xludf.DUMMYFUNCTION("""COMPUTED_VALUE"""),"Dr. Dhany Arifianto, S.T., M.Eng.")</f>
        <v>Dr. Dhany Arifianto, S.T., M.Eng.</v>
      </c>
      <c r="V517" s="1" t="str">
        <f ca="1">IFERROR(__xludf.DUMMYFUNCTION("""COMPUTED_VALUE"""),"Sunarsih, S.T., M.Eng., Ph.D.")</f>
        <v>Sunarsih, S.T., M.Eng., Ph.D.</v>
      </c>
      <c r="W517" s="1"/>
      <c r="X517" s="1" t="str">
        <f ca="1">IFERROR(__xludf.DUMMYFUNCTION("""COMPUTED_VALUE"""),"Lolos")</f>
        <v>Lolos</v>
      </c>
      <c r="Y517" s="1"/>
      <c r="Z517" s="1"/>
      <c r="AA517" s="1"/>
    </row>
    <row r="518" spans="1:27">
      <c r="A518" s="1" t="s">
        <v>508</v>
      </c>
      <c r="B518" s="1">
        <f ca="1">IFERROR(__xludf.DUMMYFUNCTION("""COMPUTED_VALUE"""),3567)</f>
        <v>3567</v>
      </c>
      <c r="C518" s="1" t="str">
        <f ca="1">IFERROR(__xludf.DUMMYFUNCTION("""COMPUTED_VALUE"""),"PKM Penerapan Ilmu Pengetahuan dan Teknologi")</f>
        <v>PKM Penerapan Ilmu Pengetahuan dan Teknologi</v>
      </c>
      <c r="D518" s="1" t="str">
        <f ca="1">IFERROR(__xludf.DUMMYFUNCTION("""COMPUTED_VALUE"""),"Mesin Pengisi Beras Semi Otomatis pada Lontong dengan Metode Volumetrik Untuk Membantu Meningkatkan Kualitas Produksi Lontong UMKM Bapak Agus ")</f>
        <v xml:space="preserve">Mesin Pengisi Beras Semi Otomatis pada Lontong dengan Metode Volumetrik Untuk Membantu Meningkatkan Kualitas Produksi Lontong UMKM Bapak Agus </v>
      </c>
      <c r="E518" s="1" t="str">
        <f ca="1">IFERROR(__xludf.DUMMYFUNCTION("""COMPUTED_VALUE"""),"RADIT NIKLES EFENDI")</f>
        <v>RADIT NIKLES EFENDI</v>
      </c>
      <c r="F518" s="1" t="str">
        <f ca="1">IFERROR(__xludf.DUMMYFUNCTION("""COMPUTED_VALUE"""),"2039211011")</f>
        <v>2039211011</v>
      </c>
      <c r="G518" s="1" t="str">
        <f ca="1">IFERROR(__xludf.DUMMYFUNCTION("""COMPUTED_VALUE"""),"Departemen Teknik Mesin Industri")</f>
        <v>Departemen Teknik Mesin Industri</v>
      </c>
      <c r="H518" s="1" t="str">
        <f ca="1">IFERROR(__xludf.DUMMYFUNCTION("""COMPUTED_VALUE"""),"Ir. Nur Husodo, M.S")</f>
        <v>Ir. Nur Husodo, M.S</v>
      </c>
      <c r="I518" s="1" t="str">
        <f ca="1">IFERROR(__xludf.DUMMYFUNCTION("""COMPUTED_VALUE"""),"GALIH WIDYANTORO")</f>
        <v>GALIH WIDYANTORO</v>
      </c>
      <c r="J518" s="1" t="str">
        <f ca="1">IFERROR(__xludf.DUMMYFUNCTION("""COMPUTED_VALUE"""),"10311910000052")</f>
        <v>10311910000052</v>
      </c>
      <c r="K518" s="1" t="str">
        <f ca="1">IFERROR(__xludf.DUMMYFUNCTION("""COMPUTED_VALUE"""),"Departemen Teknik Elektro Otomasi")</f>
        <v>Departemen Teknik Elektro Otomasi</v>
      </c>
      <c r="L518" s="1" t="str">
        <f ca="1">IFERROR(__xludf.DUMMYFUNCTION("""COMPUTED_VALUE"""),"FARAH KHOSFIRAH")</f>
        <v>FARAH KHOSFIRAH</v>
      </c>
      <c r="M518" s="1" t="str">
        <f ca="1">IFERROR(__xludf.DUMMYFUNCTION("""COMPUTED_VALUE"""),"10211910000021")</f>
        <v>10211910000021</v>
      </c>
      <c r="N518" s="1" t="str">
        <f ca="1">IFERROR(__xludf.DUMMYFUNCTION("""COMPUTED_VALUE"""),"Departemen Teknik Mesin Industri")</f>
        <v>Departemen Teknik Mesin Industri</v>
      </c>
      <c r="O518" s="1" t="str">
        <f ca="1">IFERROR(__xludf.DUMMYFUNCTION("""COMPUTED_VALUE"""),"MUHAMMAD HARIS")</f>
        <v>MUHAMMAD HARIS</v>
      </c>
      <c r="P518" s="1" t="str">
        <f ca="1">IFERROR(__xludf.DUMMYFUNCTION("""COMPUTED_VALUE"""),"2039211016")</f>
        <v>2039211016</v>
      </c>
      <c r="Q518" s="1" t="str">
        <f ca="1">IFERROR(__xludf.DUMMYFUNCTION("""COMPUTED_VALUE"""),"Departemen Teknik Mesin Industri")</f>
        <v>Departemen Teknik Mesin Industri</v>
      </c>
      <c r="R518" s="1" t="str">
        <f ca="1">IFERROR(__xludf.DUMMYFUNCTION("""COMPUTED_VALUE"""),"NAJWAN NUR MUHAMMAD RIZALDY")</f>
        <v>NAJWAN NUR MUHAMMAD RIZALDY</v>
      </c>
      <c r="S518" s="1" t="str">
        <f ca="1">IFERROR(__xludf.DUMMYFUNCTION("""COMPUTED_VALUE"""),"2040201018")</f>
        <v>2040201018</v>
      </c>
      <c r="T518" s="1" t="str">
        <f ca="1">IFERROR(__xludf.DUMMYFUNCTION("""COMPUTED_VALUE"""),"Departemen Teknik Elektro Otomasi")</f>
        <v>Departemen Teknik Elektro Otomasi</v>
      </c>
      <c r="U518" s="1" t="str">
        <f ca="1">IFERROR(__xludf.DUMMYFUNCTION("""COMPUTED_VALUE"""),"Sefi Novendra Patrialova, S.Si., M.T")</f>
        <v>Sefi Novendra Patrialova, S.Si., M.T</v>
      </c>
      <c r="V518" s="1" t="str">
        <f ca="1">IFERROR(__xludf.DUMMYFUNCTION("""COMPUTED_VALUE"""),"Sunarsih, S.T., M.Eng., Ph.D.")</f>
        <v>Sunarsih, S.T., M.Eng., Ph.D.</v>
      </c>
      <c r="W518" s="1"/>
      <c r="X518" s="1" t="str">
        <f ca="1">IFERROR(__xludf.DUMMYFUNCTION("""COMPUTED_VALUE"""),"Lolos")</f>
        <v>Lolos</v>
      </c>
      <c r="Y518" s="1"/>
      <c r="Z518" s="1"/>
      <c r="AA518" s="1"/>
    </row>
    <row r="519" spans="1:27">
      <c r="A519" s="1" t="s">
        <v>509</v>
      </c>
      <c r="B519" s="1">
        <f ca="1">IFERROR(__xludf.DUMMYFUNCTION("""COMPUTED_VALUE"""),3594)</f>
        <v>3594</v>
      </c>
      <c r="C519" s="1" t="str">
        <f ca="1">IFERROR(__xludf.DUMMYFUNCTION("""COMPUTED_VALUE"""),"PKM Penerapan Ilmu Pengetahuan dan Teknologi")</f>
        <v>PKM Penerapan Ilmu Pengetahuan dan Teknologi</v>
      </c>
      <c r="D519" s="1" t="str">
        <f ca="1">IFERROR(__xludf.DUMMYFUNCTION("""COMPUTED_VALUE"""),"Sistem Monitoring Kualitas Air Berbasis IoT untuk Peningkatan Kualitas Produksi Budidaya Tambak Udang di daerah Panceng Gresik")</f>
        <v>Sistem Monitoring Kualitas Air Berbasis IoT untuk Peningkatan Kualitas Produksi Budidaya Tambak Udang di daerah Panceng Gresik</v>
      </c>
      <c r="E519" s="1" t="str">
        <f ca="1">IFERROR(__xludf.DUMMYFUNCTION("""COMPUTED_VALUE"""),"Hakhi Gya Yektianto")</f>
        <v>Hakhi Gya Yektianto</v>
      </c>
      <c r="F519" s="1" t="str">
        <f ca="1">IFERROR(__xludf.DUMMYFUNCTION("""COMPUTED_VALUE"""),"07111940000022")</f>
        <v>07111940000022</v>
      </c>
      <c r="G519" s="1" t="str">
        <f ca="1">IFERROR(__xludf.DUMMYFUNCTION("""COMPUTED_VALUE"""),"Departemen Teknik Elektro")</f>
        <v>Departemen Teknik Elektro</v>
      </c>
      <c r="H519" s="1" t="str">
        <f ca="1">IFERROR(__xludf.DUMMYFUNCTION("""COMPUTED_VALUE"""),"Eka Iskandar, S.T., M.T.")</f>
        <v>Eka Iskandar, S.T., M.T.</v>
      </c>
      <c r="I519" s="1" t="str">
        <f ca="1">IFERROR(__xludf.DUMMYFUNCTION("""COMPUTED_VALUE"""),"MUHAMMAD FARIS ZUHAIRI")</f>
        <v>MUHAMMAD FARIS ZUHAIRI</v>
      </c>
      <c r="J519" s="1" t="str">
        <f ca="1">IFERROR(__xludf.DUMMYFUNCTION("""COMPUTED_VALUE"""),"07111940000164")</f>
        <v>07111940000164</v>
      </c>
      <c r="K519" s="1" t="str">
        <f ca="1">IFERROR(__xludf.DUMMYFUNCTION("""COMPUTED_VALUE"""),"Departemen Teknik Elektro")</f>
        <v>Departemen Teknik Elektro</v>
      </c>
      <c r="L519" s="1" t="str">
        <f ca="1">IFERROR(__xludf.DUMMYFUNCTION("""COMPUTED_VALUE"""),"DANIAL FARROS MAULANA")</f>
        <v>DANIAL FARROS MAULANA</v>
      </c>
      <c r="M519" s="1" t="str">
        <f ca="1">IFERROR(__xludf.DUMMYFUNCTION("""COMPUTED_VALUE"""),"5025201004")</f>
        <v>5025201004</v>
      </c>
      <c r="N519" s="1" t="str">
        <f ca="1">IFERROR(__xludf.DUMMYFUNCTION("""COMPUTED_VALUE"""),"Departemen Teknik Informatika")</f>
        <v>Departemen Teknik Informatika</v>
      </c>
      <c r="O519" s="1" t="str">
        <f ca="1">IFERROR(__xludf.DUMMYFUNCTION("""COMPUTED_VALUE"""),"MUHAMMAD ALFIYAN ZULFA")</f>
        <v>MUHAMMAD ALFIYAN ZULFA</v>
      </c>
      <c r="P519" s="1" t="str">
        <f ca="1">IFERROR(__xludf.DUMMYFUNCTION("""COMPUTED_VALUE"""),"5012201003")</f>
        <v>5012201003</v>
      </c>
      <c r="Q519" s="1" t="str">
        <f ca="1">IFERROR(__xludf.DUMMYFUNCTION("""COMPUTED_VALUE"""),"Departemen Teknik Sipil")</f>
        <v>Departemen Teknik Sipil</v>
      </c>
      <c r="R519" s="1"/>
      <c r="S519" s="1"/>
      <c r="T519" s="1"/>
      <c r="U519" s="1" t="str">
        <f ca="1">IFERROR(__xludf.DUMMYFUNCTION("""COMPUTED_VALUE"""),"Ir. Nur Husodo, M.S")</f>
        <v>Ir. Nur Husodo, M.S</v>
      </c>
      <c r="V519" s="1" t="str">
        <f ca="1">IFERROR(__xludf.DUMMYFUNCTION("""COMPUTED_VALUE"""),"Ciptian Weried Priananda, S.ST., M.T.")</f>
        <v>Ciptian Weried Priananda, S.ST., M.T.</v>
      </c>
      <c r="W519" s="1"/>
      <c r="X519" s="1" t="str">
        <f ca="1">IFERROR(__xludf.DUMMYFUNCTION("""COMPUTED_VALUE"""),"Lolos")</f>
        <v>Lolos</v>
      </c>
      <c r="Y519" s="1"/>
      <c r="Z519" s="1"/>
      <c r="AA519" s="1"/>
    </row>
    <row r="520" spans="1:27">
      <c r="A520" s="1" t="s">
        <v>510</v>
      </c>
      <c r="B520" s="1">
        <f ca="1">IFERROR(__xludf.DUMMYFUNCTION("""COMPUTED_VALUE"""),2790)</f>
        <v>2790</v>
      </c>
      <c r="C520" s="1" t="str">
        <f ca="1">IFERROR(__xludf.DUMMYFUNCTION("""COMPUTED_VALUE"""),"PKM Penerapan Ilmu Pengetahuan dan Teknologi")</f>
        <v>PKM Penerapan Ilmu Pengetahuan dan Teknologi</v>
      </c>
      <c r="D520" s="1" t="str">
        <f ca="1">IFERROR(__xludf.DUMMYFUNCTION("""COMPUTED_VALUE"""),"Alat Pengering Padi Portabel dengan Pemanas Elektrik yang Dilengkapi Thermocontrol guna Membantu Proses Pengolahan Padi di Desa Kembiritan, Kabupaten Banyuwangi")</f>
        <v>Alat Pengering Padi Portabel dengan Pemanas Elektrik yang Dilengkapi Thermocontrol guna Membantu Proses Pengolahan Padi di Desa Kembiritan, Kabupaten Banyuwangi</v>
      </c>
      <c r="E520" s="1" t="str">
        <f ca="1">IFERROR(__xludf.DUMMYFUNCTION("""COMPUTED_VALUE"""),"Kurniawan Satriyo Aji")</f>
        <v>Kurniawan Satriyo Aji</v>
      </c>
      <c r="F520" s="1" t="str">
        <f ca="1">IFERROR(__xludf.DUMMYFUNCTION("""COMPUTED_VALUE"""),"07111940000010")</f>
        <v>07111940000010</v>
      </c>
      <c r="G520" s="1" t="str">
        <f ca="1">IFERROR(__xludf.DUMMYFUNCTION("""COMPUTED_VALUE"""),"Departemen Teknik Elektro")</f>
        <v>Departemen Teknik Elektro</v>
      </c>
      <c r="H520" s="1" t="str">
        <f ca="1">IFERROR(__xludf.DUMMYFUNCTION("""COMPUTED_VALUE"""),"Dr. I Gusti Ngurah Satriyadi Hernanda, S.T., M.T.")</f>
        <v>Dr. I Gusti Ngurah Satriyadi Hernanda, S.T., M.T.</v>
      </c>
      <c r="I520" s="1" t="str">
        <f ca="1">IFERROR(__xludf.DUMMYFUNCTION("""COMPUTED_VALUE"""),"SABRINA QOLBU PRADIPTA")</f>
        <v>SABRINA QOLBU PRADIPTA</v>
      </c>
      <c r="J520" s="1" t="str">
        <f ca="1">IFERROR(__xludf.DUMMYFUNCTION("""COMPUTED_VALUE"""),"5022201058")</f>
        <v>5022201058</v>
      </c>
      <c r="K520" s="1" t="str">
        <f ca="1">IFERROR(__xludf.DUMMYFUNCTION("""COMPUTED_VALUE"""),"Departemen Teknik Elektro")</f>
        <v>Departemen Teknik Elektro</v>
      </c>
      <c r="L520" s="1" t="str">
        <f ca="1">IFERROR(__xludf.DUMMYFUNCTION("""COMPUTED_VALUE"""),"AKILLA FARRI SANTOSO")</f>
        <v>AKILLA FARRI SANTOSO</v>
      </c>
      <c r="M520" s="1" t="str">
        <f ca="1">IFERROR(__xludf.DUMMYFUNCTION("""COMPUTED_VALUE"""),"5022201213")</f>
        <v>5022201213</v>
      </c>
      <c r="N520" s="1" t="str">
        <f ca="1">IFERROR(__xludf.DUMMYFUNCTION("""COMPUTED_VALUE"""),"Departemen Teknik Elektro")</f>
        <v>Departemen Teknik Elektro</v>
      </c>
      <c r="O520" s="1" t="str">
        <f ca="1">IFERROR(__xludf.DUMMYFUNCTION("""COMPUTED_VALUE"""),"THEOFILUS CHRISTIO PRIAMBODO")</f>
        <v>THEOFILUS CHRISTIO PRIAMBODO</v>
      </c>
      <c r="P520" s="1" t="str">
        <f ca="1">IFERROR(__xludf.DUMMYFUNCTION("""COMPUTED_VALUE"""),"5022201126")</f>
        <v>5022201126</v>
      </c>
      <c r="Q520" s="1" t="str">
        <f ca="1">IFERROR(__xludf.DUMMYFUNCTION("""COMPUTED_VALUE"""),"Departemen Teknik Elektro")</f>
        <v>Departemen Teknik Elektro</v>
      </c>
      <c r="R520" s="1" t="str">
        <f ca="1">IFERROR(__xludf.DUMMYFUNCTION("""COMPUTED_VALUE"""),"ALVAN ARIEFTA RAHMAN")</f>
        <v>ALVAN ARIEFTA RAHMAN</v>
      </c>
      <c r="S520" s="1" t="str">
        <f ca="1">IFERROR(__xludf.DUMMYFUNCTION("""COMPUTED_VALUE"""),"07111840000193")</f>
        <v>07111840000193</v>
      </c>
      <c r="T520" s="1" t="str">
        <f ca="1">IFERROR(__xludf.DUMMYFUNCTION("""COMPUTED_VALUE"""),"Departemen Teknik Elektro")</f>
        <v>Departemen Teknik Elektro</v>
      </c>
      <c r="U520" s="1" t="str">
        <f ca="1">IFERROR(__xludf.DUMMYFUNCTION("""COMPUTED_VALUE"""),"Sefi Novendra Patrialova, S.Si., M.T")</f>
        <v>Sefi Novendra Patrialova, S.Si., M.T</v>
      </c>
      <c r="V520" s="1" t="str">
        <f ca="1">IFERROR(__xludf.DUMMYFUNCTION("""COMPUTED_VALUE"""),"Sunarsih, S.T., M.Eng., Ph.D.")</f>
        <v>Sunarsih, S.T., M.Eng., Ph.D.</v>
      </c>
      <c r="W520" s="1"/>
      <c r="X520" s="1" t="str">
        <f ca="1">IFERROR(__xludf.DUMMYFUNCTION("""COMPUTED_VALUE"""),"Lolos")</f>
        <v>Lolos</v>
      </c>
      <c r="Y520" s="1"/>
      <c r="Z520" s="1"/>
      <c r="AA520" s="1"/>
    </row>
    <row r="521" spans="1:27">
      <c r="A521" s="1" t="s">
        <v>511</v>
      </c>
      <c r="B521" s="1">
        <f ca="1">IFERROR(__xludf.DUMMYFUNCTION("""COMPUTED_VALUE"""),2898)</f>
        <v>2898</v>
      </c>
      <c r="C521" s="1" t="str">
        <f ca="1">IFERROR(__xludf.DUMMYFUNCTION("""COMPUTED_VALUE"""),"PKM Penerapan Ilmu Pengetahuan dan Teknologi")</f>
        <v>PKM Penerapan Ilmu Pengetahuan dan Teknologi</v>
      </c>
      <c r="D521" s="1" t="str">
        <f ca="1">IFERROR(__xludf.DUMMYFUNCTION("""COMPUTED_VALUE"""),"Smart Fodder Machine dengan Teknologi Pencacah Rumput Guna Meningkatkan Efektivitas Kerja di Fattening Farm HKP Farm Benowo Surabaya")</f>
        <v>Smart Fodder Machine dengan Teknologi Pencacah Rumput Guna Meningkatkan Efektivitas Kerja di Fattening Farm HKP Farm Benowo Surabaya</v>
      </c>
      <c r="E521" s="1" t="str">
        <f ca="1">IFERROR(__xludf.DUMMYFUNCTION("""COMPUTED_VALUE"""),"TAHTA ANUGRAH WIBOWO")</f>
        <v>TAHTA ANUGRAH WIBOWO</v>
      </c>
      <c r="F521" s="1" t="str">
        <f ca="1">IFERROR(__xludf.DUMMYFUNCTION("""COMPUTED_VALUE"""),"10511810000029")</f>
        <v>10511810000029</v>
      </c>
      <c r="G521" s="1" t="str">
        <f ca="1">IFERROR(__xludf.DUMMYFUNCTION("""COMPUTED_VALUE"""),"Departemen Teknik Instrumentasi")</f>
        <v>Departemen Teknik Instrumentasi</v>
      </c>
      <c r="H521" s="1" t="str">
        <f ca="1">IFERROR(__xludf.DUMMYFUNCTION("""COMPUTED_VALUE"""),"Sefi Novendra Patrialova, S.Si., M.T")</f>
        <v>Sefi Novendra Patrialova, S.Si., M.T</v>
      </c>
      <c r="I521" s="1" t="str">
        <f ca="1">IFERROR(__xludf.DUMMYFUNCTION("""COMPUTED_VALUE"""),"ANDREAS KRISMA SUKMANA")</f>
        <v>ANDREAS KRISMA SUKMANA</v>
      </c>
      <c r="J521" s="1" t="str">
        <f ca="1">IFERROR(__xludf.DUMMYFUNCTION("""COMPUTED_VALUE"""),"10511810000018")</f>
        <v>10511810000018</v>
      </c>
      <c r="K521" s="1" t="str">
        <f ca="1">IFERROR(__xludf.DUMMYFUNCTION("""COMPUTED_VALUE"""),"Departemen Teknik Instrumentasi")</f>
        <v>Departemen Teknik Instrumentasi</v>
      </c>
      <c r="L521" s="1" t="str">
        <f ca="1">IFERROR(__xludf.DUMMYFUNCTION("""COMPUTED_VALUE"""),"WAHYU NUR HANDAYANI")</f>
        <v>WAHYU NUR HANDAYANI</v>
      </c>
      <c r="M521" s="1" t="str">
        <f ca="1">IFERROR(__xludf.DUMMYFUNCTION("""COMPUTED_VALUE"""),"10511810000031")</f>
        <v>10511810000031</v>
      </c>
      <c r="N521" s="1" t="str">
        <f ca="1">IFERROR(__xludf.DUMMYFUNCTION("""COMPUTED_VALUE"""),"Departemen Teknik Instrumentasi")</f>
        <v>Departemen Teknik Instrumentasi</v>
      </c>
      <c r="O521" s="1" t="str">
        <f ca="1">IFERROR(__xludf.DUMMYFUNCTION("""COMPUTED_VALUE"""),"ALFIKRI AQIL MUQOFFI")</f>
        <v>ALFIKRI AQIL MUQOFFI</v>
      </c>
      <c r="P521" s="1" t="str">
        <f ca="1">IFERROR(__xludf.DUMMYFUNCTION("""COMPUTED_VALUE"""),"10511910000040")</f>
        <v>10511910000040</v>
      </c>
      <c r="Q521" s="1" t="str">
        <f ca="1">IFERROR(__xludf.DUMMYFUNCTION("""COMPUTED_VALUE"""),"Departemen Teknik Instrumentasi")</f>
        <v>Departemen Teknik Instrumentasi</v>
      </c>
      <c r="R521" s="1" t="str">
        <f ca="1">IFERROR(__xludf.DUMMYFUNCTION("""COMPUTED_VALUE"""),"PRAMITHA MARSHA BUDIARSIH")</f>
        <v>PRAMITHA MARSHA BUDIARSIH</v>
      </c>
      <c r="S521" s="1" t="str">
        <f ca="1">IFERROR(__xludf.DUMMYFUNCTION("""COMPUTED_VALUE"""),"10511910000028")</f>
        <v>10511910000028</v>
      </c>
      <c r="T521" s="1" t="str">
        <f ca="1">IFERROR(__xludf.DUMMYFUNCTION("""COMPUTED_VALUE"""),"Departemen Teknik Instrumentasi")</f>
        <v>Departemen Teknik Instrumentasi</v>
      </c>
      <c r="U521" s="1" t="str">
        <f ca="1">IFERROR(__xludf.DUMMYFUNCTION("""COMPUTED_VALUE"""),"Ir. Nur Husodo, M.S")</f>
        <v>Ir. Nur Husodo, M.S</v>
      </c>
      <c r="V521" s="1" t="str">
        <f ca="1">IFERROR(__xludf.DUMMYFUNCTION("""COMPUTED_VALUE"""),"Muhammad Syifaul Mufid, S.Si.,M.Si")</f>
        <v>Muhammad Syifaul Mufid, S.Si.,M.Si</v>
      </c>
      <c r="W521" s="1"/>
      <c r="X521" s="1" t="str">
        <f ca="1">IFERROR(__xludf.DUMMYFUNCTION("""COMPUTED_VALUE"""),"Lolos")</f>
        <v>Lolos</v>
      </c>
      <c r="Y521" s="1"/>
      <c r="Z521" s="1"/>
      <c r="AA521" s="1"/>
    </row>
    <row r="522" spans="1:27">
      <c r="A522" s="1" t="s">
        <v>512</v>
      </c>
      <c r="B522" s="1">
        <f ca="1">IFERROR(__xludf.DUMMYFUNCTION("""COMPUTED_VALUE"""),3168)</f>
        <v>3168</v>
      </c>
      <c r="C522" s="1" t="str">
        <f ca="1">IFERROR(__xludf.DUMMYFUNCTION("""COMPUTED_VALUE"""),"PKM Penerapan Ilmu Pengetahuan dan Teknologi")</f>
        <v>PKM Penerapan Ilmu Pengetahuan dan Teknologi</v>
      </c>
      <c r="D522" s="1" t="str">
        <f ca="1">IFERROR(__xludf.DUMMYFUNCTION("""COMPUTED_VALUE"""),"BADMINTON SHUTTLECOCKS FILLING (BSF) : ALAT TES SPEED dan PACKAGING SHUTTLECOCKS OTOMATIS UNTUK BUMDESMA SINGOSARI (BUMBU PEDES SINGOSARI)")</f>
        <v>BADMINTON SHUTTLECOCKS FILLING (BSF) : ALAT TES SPEED dan PACKAGING SHUTTLECOCKS OTOMATIS UNTUK BUMDESMA SINGOSARI (BUMBU PEDES SINGOSARI)</v>
      </c>
      <c r="E522" s="1" t="str">
        <f ca="1">IFERROR(__xludf.DUMMYFUNCTION("""COMPUTED_VALUE"""),"HAMDAN MUHAMMADI")</f>
        <v>HAMDAN MUHAMMADI</v>
      </c>
      <c r="F522" s="1" t="str">
        <f ca="1">IFERROR(__xludf.DUMMYFUNCTION("""COMPUTED_VALUE"""),"5010201151")</f>
        <v>5010201151</v>
      </c>
      <c r="G522" s="1" t="str">
        <f ca="1">IFERROR(__xludf.DUMMYFUNCTION("""COMPUTED_VALUE"""),"Departemen Teknik Sistem dan Industri")</f>
        <v>Departemen Teknik Sistem dan Industri</v>
      </c>
      <c r="H522" s="1" t="str">
        <f ca="1">IFERROR(__xludf.DUMMYFUNCTION("""COMPUTED_VALUE"""),"Rindi Kusumawardani, S.Si., M.Sc.")</f>
        <v>Rindi Kusumawardani, S.Si., M.Sc.</v>
      </c>
      <c r="I522" s="1" t="str">
        <f ca="1">IFERROR(__xludf.DUMMYFUNCTION("""COMPUTED_VALUE"""),"NASYITHAH DHIWA QUEENTA SAHIQA")</f>
        <v>NASYITHAH DHIWA QUEENTA SAHIQA</v>
      </c>
      <c r="J522" s="1" t="str">
        <f ca="1">IFERROR(__xludf.DUMMYFUNCTION("""COMPUTED_VALUE"""),"5010201049")</f>
        <v>5010201049</v>
      </c>
      <c r="K522" s="1" t="str">
        <f ca="1">IFERROR(__xludf.DUMMYFUNCTION("""COMPUTED_VALUE"""),"Departemen Teknik Sistem dan Industri")</f>
        <v>Departemen Teknik Sistem dan Industri</v>
      </c>
      <c r="L522" s="1" t="str">
        <f ca="1">IFERROR(__xludf.DUMMYFUNCTION("""COMPUTED_VALUE"""),"SESILIA DHINI N.P")</f>
        <v>SESILIA DHINI N.P</v>
      </c>
      <c r="M522" s="1" t="str">
        <f ca="1">IFERROR(__xludf.DUMMYFUNCTION("""COMPUTED_VALUE"""),"5010211105")</f>
        <v>5010211105</v>
      </c>
      <c r="N522" s="1" t="str">
        <f ca="1">IFERROR(__xludf.DUMMYFUNCTION("""COMPUTED_VALUE"""),"Departemen Teknik Sistem dan Industri")</f>
        <v>Departemen Teknik Sistem dan Industri</v>
      </c>
      <c r="O522" s="1" t="str">
        <f ca="1">IFERROR(__xludf.DUMMYFUNCTION("""COMPUTED_VALUE"""),"RACHMAD ARIEF W")</f>
        <v>RACHMAD ARIEF W</v>
      </c>
      <c r="P522" s="1" t="str">
        <f ca="1">IFERROR(__xludf.DUMMYFUNCTION("""COMPUTED_VALUE"""),"5010211099")</f>
        <v>5010211099</v>
      </c>
      <c r="Q522" s="1" t="str">
        <f ca="1">IFERROR(__xludf.DUMMYFUNCTION("""COMPUTED_VALUE"""),"Departemen Teknik Sistem dan Industri")</f>
        <v>Departemen Teknik Sistem dan Industri</v>
      </c>
      <c r="R522" s="1"/>
      <c r="S522" s="1"/>
      <c r="T522" s="1"/>
      <c r="U522" s="1" t="str">
        <f ca="1">IFERROR(__xludf.DUMMYFUNCTION("""COMPUTED_VALUE"""),"Ir. Nur Husodo, M.S")</f>
        <v>Ir. Nur Husodo, M.S</v>
      </c>
      <c r="V522" s="1" t="str">
        <f ca="1">IFERROR(__xludf.DUMMYFUNCTION("""COMPUTED_VALUE"""),"Muhammad Syifaul Mufid, S.Si.,M.Si")</f>
        <v>Muhammad Syifaul Mufid, S.Si.,M.Si</v>
      </c>
      <c r="W522" s="1"/>
      <c r="X522" s="1" t="str">
        <f ca="1">IFERROR(__xludf.DUMMYFUNCTION("""COMPUTED_VALUE"""),"Lolos")</f>
        <v>Lolos</v>
      </c>
      <c r="Y522" s="1"/>
      <c r="Z522" s="1"/>
      <c r="AA522" s="1"/>
    </row>
    <row r="523" spans="1:27">
      <c r="A523" s="1" t="s">
        <v>513</v>
      </c>
      <c r="B523" s="1">
        <f ca="1">IFERROR(__xludf.DUMMYFUNCTION("""COMPUTED_VALUE"""),3198)</f>
        <v>3198</v>
      </c>
      <c r="C523" s="1" t="str">
        <f ca="1">IFERROR(__xludf.DUMMYFUNCTION("""COMPUTED_VALUE"""),"PKM Penerapan Ilmu Pengetahuan dan Teknologi")</f>
        <v>PKM Penerapan Ilmu Pengetahuan dan Teknologi</v>
      </c>
      <c r="D523" s="1" t="str">
        <f ca="1">IFERROR(__xludf.DUMMYFUNCTION("""COMPUTED_VALUE"""),"Alat Pengering Jagung Berbasis Far-Infrared untuk Peningkatan Kuantitas dan Kualitas Produksi CV Putra Pertiwi, Kediri, Jawa Timur")</f>
        <v>Alat Pengering Jagung Berbasis Far-Infrared untuk Peningkatan Kuantitas dan Kualitas Produksi CV Putra Pertiwi, Kediri, Jawa Timur</v>
      </c>
      <c r="E523" s="1" t="str">
        <f ca="1">IFERROR(__xludf.DUMMYFUNCTION("""COMPUTED_VALUE"""),"FANI AHMAD REFANSAH")</f>
        <v>FANI AHMAD REFANSAH</v>
      </c>
      <c r="F523" s="1" t="str">
        <f ca="1">IFERROR(__xludf.DUMMYFUNCTION("""COMPUTED_VALUE"""),"5009201131")</f>
        <v>5009201131</v>
      </c>
      <c r="G523" s="1" t="str">
        <f ca="1">IFERROR(__xludf.DUMMYFUNCTION("""COMPUTED_VALUE"""),"Departemen Teknik Fisika")</f>
        <v>Departemen Teknik Fisika</v>
      </c>
      <c r="H523" s="1" t="str">
        <f ca="1">IFERROR(__xludf.DUMMYFUNCTION("""COMPUTED_VALUE"""),"Detak Yan Pratama, S.T., M.Sc.")</f>
        <v>Detak Yan Pratama, S.T., M.Sc.</v>
      </c>
      <c r="I523" s="1" t="str">
        <f ca="1">IFERROR(__xludf.DUMMYFUNCTION("""COMPUTED_VALUE"""),"DHEA TIRTA ANANTA")</f>
        <v>DHEA TIRTA ANANTA</v>
      </c>
      <c r="J523" s="1" t="str">
        <f ca="1">IFERROR(__xludf.DUMMYFUNCTION("""COMPUTED_VALUE"""),"5009201030")</f>
        <v>5009201030</v>
      </c>
      <c r="K523" s="1" t="str">
        <f ca="1">IFERROR(__xludf.DUMMYFUNCTION("""COMPUTED_VALUE"""),"Departemen Teknik Fisika")</f>
        <v>Departemen Teknik Fisika</v>
      </c>
      <c r="L523" s="1" t="str">
        <f ca="1">IFERROR(__xludf.DUMMYFUNCTION("""COMPUTED_VALUE"""),"ABDUL HAKIM AL-AMIN")</f>
        <v>ABDUL HAKIM AL-AMIN</v>
      </c>
      <c r="M523" s="1" t="str">
        <f ca="1">IFERROR(__xludf.DUMMYFUNCTION("""COMPUTED_VALUE"""),"5009201008")</f>
        <v>5009201008</v>
      </c>
      <c r="N523" s="1" t="str">
        <f ca="1">IFERROR(__xludf.DUMMYFUNCTION("""COMPUTED_VALUE"""),"Departemen Teknik Fisika")</f>
        <v>Departemen Teknik Fisika</v>
      </c>
      <c r="O523" s="1" t="str">
        <f ca="1">IFERROR(__xludf.DUMMYFUNCTION("""COMPUTED_VALUE"""),"AFRIZAL RIKO ALFARIZI")</f>
        <v>AFRIZAL RIKO ALFARIZI</v>
      </c>
      <c r="P523" s="1" t="str">
        <f ca="1">IFERROR(__xludf.DUMMYFUNCTION("""COMPUTED_VALUE"""),"5011201149")</f>
        <v>5011201149</v>
      </c>
      <c r="Q523" s="1" t="str">
        <f ca="1">IFERROR(__xludf.DUMMYFUNCTION("""COMPUTED_VALUE"""),"Departemen Teknik Material dan Metalurgi")</f>
        <v>Departemen Teknik Material dan Metalurgi</v>
      </c>
      <c r="R523" s="1" t="str">
        <f ca="1">IFERROR(__xludf.DUMMYFUNCTION("""COMPUTED_VALUE"""),"Retno Anjarsari")</f>
        <v>Retno Anjarsari</v>
      </c>
      <c r="S523" s="1" t="str">
        <f ca="1">IFERROR(__xludf.DUMMYFUNCTION("""COMPUTED_VALUE"""),"5011211099")</f>
        <v>5011211099</v>
      </c>
      <c r="T523" s="1" t="str">
        <f ca="1">IFERROR(__xludf.DUMMYFUNCTION("""COMPUTED_VALUE"""),"Departemen Teknik Material dan Metalurgi")</f>
        <v>Departemen Teknik Material dan Metalurgi</v>
      </c>
      <c r="U523" s="1" t="str">
        <f ca="1">IFERROR(__xludf.DUMMYFUNCTION("""COMPUTED_VALUE"""),"Sefi Novendra Patrialova, S.Si., M.T")</f>
        <v>Sefi Novendra Patrialova, S.Si., M.T</v>
      </c>
      <c r="V523" s="1" t="str">
        <f ca="1">IFERROR(__xludf.DUMMYFUNCTION("""COMPUTED_VALUE"""),"Muhammad Syifaul Mufid, S.Si.,M.Si")</f>
        <v>Muhammad Syifaul Mufid, S.Si.,M.Si</v>
      </c>
      <c r="W523" s="1"/>
      <c r="X523" s="1" t="str">
        <f ca="1">IFERROR(__xludf.DUMMYFUNCTION("""COMPUTED_VALUE"""),"Lolos")</f>
        <v>Lolos</v>
      </c>
      <c r="Y523" s="1"/>
      <c r="Z523" s="1"/>
      <c r="AA523" s="1"/>
    </row>
    <row r="524" spans="1:27">
      <c r="A524" s="1" t="s">
        <v>514</v>
      </c>
      <c r="B524" s="1">
        <f ca="1">IFERROR(__xludf.DUMMYFUNCTION("""COMPUTED_VALUE"""),3596)</f>
        <v>3596</v>
      </c>
      <c r="C524" s="1" t="str">
        <f ca="1">IFERROR(__xludf.DUMMYFUNCTION("""COMPUTED_VALUE"""),"PKM Penerapan Ilmu Pengetahuan dan Teknologi")</f>
        <v>PKM Penerapan Ilmu Pengetahuan dan Teknologi</v>
      </c>
      <c r="D524" s="1" t="str">
        <f ca="1">IFERROR(__xludf.DUMMYFUNCTION("""COMPUTED_VALUE"""),"Rancang Bangun Aplikasi Klasifikasi Nasabah Pembiayaan Bermasalah BPRS Lantabur Tebuireng Menggunakan Naive Bayes Classifier-Synthetic Minority Over-Sampling Methods")</f>
        <v>Rancang Bangun Aplikasi Klasifikasi Nasabah Pembiayaan Bermasalah BPRS Lantabur Tebuireng Menggunakan Naive Bayes Classifier-Synthetic Minority Over-Sampling Methods</v>
      </c>
      <c r="E524" s="1" t="str">
        <f ca="1">IFERROR(__xludf.DUMMYFUNCTION("""COMPUTED_VALUE"""),"RIZKY FERDIANSYAH PUTRA")</f>
        <v>RIZKY FERDIANSYAH PUTRA</v>
      </c>
      <c r="F524" s="1" t="str">
        <f ca="1">IFERROR(__xludf.DUMMYFUNCTION("""COMPUTED_VALUE"""),"10611810000050")</f>
        <v>10611810000050</v>
      </c>
      <c r="G524" s="1" t="str">
        <f ca="1">IFERROR(__xludf.DUMMYFUNCTION("""COMPUTED_VALUE"""),"Departemen Statistika Bisnis")</f>
        <v>Departemen Statistika Bisnis</v>
      </c>
      <c r="H524" s="1" t="str">
        <f ca="1">IFERROR(__xludf.DUMMYFUNCTION("""COMPUTED_VALUE"""),"Iis Dewi Ratih, S.Si., M.Si.")</f>
        <v>Iis Dewi Ratih, S.Si., M.Si.</v>
      </c>
      <c r="I524" s="1" t="str">
        <f ca="1">IFERROR(__xludf.DUMMYFUNCTION("""COMPUTED_VALUE"""),"AGIL MUMTAZ RAMADHAN")</f>
        <v>AGIL MUMTAZ RAMADHAN</v>
      </c>
      <c r="J524" s="1" t="str">
        <f ca="1">IFERROR(__xludf.DUMMYFUNCTION("""COMPUTED_VALUE"""),"10611810000005")</f>
        <v>10611810000005</v>
      </c>
      <c r="K524" s="1" t="str">
        <f ca="1">IFERROR(__xludf.DUMMYFUNCTION("""COMPUTED_VALUE"""),"Departemen Statistika Bisnis")</f>
        <v>Departemen Statistika Bisnis</v>
      </c>
      <c r="L524" s="1" t="str">
        <f ca="1">IFERROR(__xludf.DUMMYFUNCTION("""COMPUTED_VALUE"""),"ELINA NORMAYANTI ")</f>
        <v xml:space="preserve">ELINA NORMAYANTI </v>
      </c>
      <c r="M524" s="1" t="str">
        <f ca="1">IFERROR(__xludf.DUMMYFUNCTION("""COMPUTED_VALUE"""),"10611810000016")</f>
        <v>10611810000016</v>
      </c>
      <c r="N524" s="1" t="str">
        <f ca="1">IFERROR(__xludf.DUMMYFUNCTION("""COMPUTED_VALUE"""),"Departemen Statistika Bisnis")</f>
        <v>Departemen Statistika Bisnis</v>
      </c>
      <c r="O524" s="1" t="str">
        <f ca="1">IFERROR(__xludf.DUMMYFUNCTION("""COMPUTED_VALUE"""),"KHARIN OCTAVIAN RANTO")</f>
        <v>KHARIN OCTAVIAN RANTO</v>
      </c>
      <c r="P524" s="1" t="str">
        <f ca="1">IFERROR(__xludf.DUMMYFUNCTION("""COMPUTED_VALUE"""),"10611810000080")</f>
        <v>10611810000080</v>
      </c>
      <c r="Q524" s="1" t="str">
        <f ca="1">IFERROR(__xludf.DUMMYFUNCTION("""COMPUTED_VALUE"""),"Departemen Statistika Bisnis")</f>
        <v>Departemen Statistika Bisnis</v>
      </c>
      <c r="R524" s="1" t="str">
        <f ca="1">IFERROR(__xludf.DUMMYFUNCTION("""COMPUTED_VALUE"""),"MARIA ULFA YANUAR")</f>
        <v>MARIA ULFA YANUAR</v>
      </c>
      <c r="S524" s="1" t="str">
        <f ca="1">IFERROR(__xludf.DUMMYFUNCTION("""COMPUTED_VALUE"""),"10611910000011")</f>
        <v>10611910000011</v>
      </c>
      <c r="T524" s="1" t="str">
        <f ca="1">IFERROR(__xludf.DUMMYFUNCTION("""COMPUTED_VALUE"""),"Departemen Statistika Bisnis")</f>
        <v>Departemen Statistika Bisnis</v>
      </c>
      <c r="U524" s="1" t="str">
        <f ca="1">IFERROR(__xludf.DUMMYFUNCTION("""COMPUTED_VALUE"""),"Ir. Nur Husodo, M.S")</f>
        <v>Ir. Nur Husodo, M.S</v>
      </c>
      <c r="V524" s="1" t="str">
        <f ca="1">IFERROR(__xludf.DUMMYFUNCTION("""COMPUTED_VALUE"""),"Muhammad Syifaul Mufid, S.Si.,M.Si")</f>
        <v>Muhammad Syifaul Mufid, S.Si.,M.Si</v>
      </c>
      <c r="W524" s="1"/>
      <c r="X524" s="1" t="str">
        <f ca="1">IFERROR(__xludf.DUMMYFUNCTION("""COMPUTED_VALUE"""),"Lolos")</f>
        <v>Lolos</v>
      </c>
      <c r="Y524" s="1"/>
      <c r="Z524" s="1"/>
      <c r="AA524" s="1"/>
    </row>
    <row r="525" spans="1:27">
      <c r="A525" s="1" t="s">
        <v>391</v>
      </c>
      <c r="B525" s="1">
        <f ca="1">IFERROR(__xludf.DUMMYFUNCTION("""COMPUTED_VALUE"""),2849)</f>
        <v>2849</v>
      </c>
      <c r="C525" s="1" t="str">
        <f ca="1">IFERROR(__xludf.DUMMYFUNCTION("""COMPUTED_VALUE"""),"PKM Penerapan Ilmu Pengetahuan dan Teknologi")</f>
        <v>PKM Penerapan Ilmu Pengetahuan dan Teknologi</v>
      </c>
      <c r="D525" s="1" t="str">
        <f ca="1">IFERROR(__xludf.DUMMYFUNCTION("""COMPUTED_VALUE"""),"Mesin Mixing Tank dengan Adjustable Speed Guna Mengelola Limbah Cair UMKM Gula Merah Kediri Menjadi Bioethanol Menggunakan Ragi Terimobilisasi")</f>
        <v>Mesin Mixing Tank dengan Adjustable Speed Guna Mengelola Limbah Cair UMKM Gula Merah Kediri Menjadi Bioethanol Menggunakan Ragi Terimobilisasi</v>
      </c>
      <c r="E525" s="1" t="str">
        <f ca="1">IFERROR(__xludf.DUMMYFUNCTION("""COMPUTED_VALUE"""),"KARENINA ANISYA PRATIWI")</f>
        <v>KARENINA ANISYA PRATIWI</v>
      </c>
      <c r="F525" s="1" t="str">
        <f ca="1">IFERROR(__xludf.DUMMYFUNCTION("""COMPUTED_VALUE"""),"10411810000050")</f>
        <v>10411810000050</v>
      </c>
      <c r="G525" s="1" t="str">
        <f ca="1">IFERROR(__xludf.DUMMYFUNCTION("""COMPUTED_VALUE"""),"Departemen Teknik Kimia Industri")</f>
        <v>Departemen Teknik Kimia Industri</v>
      </c>
      <c r="H525" s="1" t="str">
        <f ca="1">IFERROR(__xludf.DUMMYFUNCTION("""COMPUTED_VALUE"""),"Dr. Afan Hamzah, S.T.")</f>
        <v>Dr. Afan Hamzah, S.T.</v>
      </c>
      <c r="I525" s="1" t="str">
        <f ca="1">IFERROR(__xludf.DUMMYFUNCTION("""COMPUTED_VALUE"""),"PETRA ARDE SEPTIA GRAHA")</f>
        <v>PETRA ARDE SEPTIA GRAHA</v>
      </c>
      <c r="J525" s="1" t="str">
        <f ca="1">IFERROR(__xludf.DUMMYFUNCTION("""COMPUTED_VALUE"""),"10411810000084")</f>
        <v>10411810000084</v>
      </c>
      <c r="K525" s="1" t="str">
        <f ca="1">IFERROR(__xludf.DUMMYFUNCTION("""COMPUTED_VALUE"""),"Departemen Teknik Kimia Industri")</f>
        <v>Departemen Teknik Kimia Industri</v>
      </c>
      <c r="L525" s="1" t="str">
        <f ca="1">IFERROR(__xludf.DUMMYFUNCTION("""COMPUTED_VALUE"""),"YULIANA DEWI PUSPITASARI")</f>
        <v>YULIANA DEWI PUSPITASARI</v>
      </c>
      <c r="M525" s="1" t="str">
        <f ca="1">IFERROR(__xludf.DUMMYFUNCTION("""COMPUTED_VALUE"""),"10411810000073")</f>
        <v>10411810000073</v>
      </c>
      <c r="N525" s="1" t="str">
        <f ca="1">IFERROR(__xludf.DUMMYFUNCTION("""COMPUTED_VALUE"""),"Departemen Teknik Kimia Industri")</f>
        <v>Departemen Teknik Kimia Industri</v>
      </c>
      <c r="O525" s="1" t="str">
        <f ca="1">IFERROR(__xludf.DUMMYFUNCTION("""COMPUTED_VALUE"""),"SHINTA DEWI SURYA PERTIWI")</f>
        <v>SHINTA DEWI SURYA PERTIWI</v>
      </c>
      <c r="P525" s="1" t="str">
        <f ca="1">IFERROR(__xludf.DUMMYFUNCTION("""COMPUTED_VALUE"""),"10411810000008")</f>
        <v>10411810000008</v>
      </c>
      <c r="Q525" s="1" t="str">
        <f ca="1">IFERROR(__xludf.DUMMYFUNCTION("""COMPUTED_VALUE"""),"Departemen Teknik Kimia Industri")</f>
        <v>Departemen Teknik Kimia Industri</v>
      </c>
      <c r="R525" s="1" t="str">
        <f ca="1">IFERROR(__xludf.DUMMYFUNCTION("""COMPUTED_VALUE"""),"MUHAMMAD DIMAS HAFANI")</f>
        <v>MUHAMMAD DIMAS HAFANI</v>
      </c>
      <c r="S525" s="1" t="str">
        <f ca="1">IFERROR(__xludf.DUMMYFUNCTION("""COMPUTED_VALUE"""),"10411910000060")</f>
        <v>10411910000060</v>
      </c>
      <c r="T525" s="1" t="str">
        <f ca="1">IFERROR(__xludf.DUMMYFUNCTION("""COMPUTED_VALUE"""),"Departemen Teknik Kimia Industri")</f>
        <v>Departemen Teknik Kimia Industri</v>
      </c>
      <c r="U525" s="1" t="str">
        <f ca="1">IFERROR(__xludf.DUMMYFUNCTION("""COMPUTED_VALUE"""),"Ir. Nur Husodo, M.S")</f>
        <v>Ir. Nur Husodo, M.S</v>
      </c>
      <c r="V525" s="1" t="str">
        <f ca="1">IFERROR(__xludf.DUMMYFUNCTION("""COMPUTED_VALUE"""),"Muhammad Syifaul Mufid, S.Si.,M.Si")</f>
        <v>Muhammad Syifaul Mufid, S.Si.,M.Si</v>
      </c>
      <c r="W525" s="1"/>
      <c r="X525" s="1" t="str">
        <f ca="1">IFERROR(__xludf.DUMMYFUNCTION("""COMPUTED_VALUE"""),"Lolos")</f>
        <v>Lolos</v>
      </c>
      <c r="Y525" s="1"/>
      <c r="Z525" s="1"/>
      <c r="AA525" s="1"/>
    </row>
    <row r="526" spans="1:27">
      <c r="A526" s="1" t="s">
        <v>515</v>
      </c>
      <c r="B526" s="1">
        <f ca="1">IFERROR(__xludf.DUMMYFUNCTION("""COMPUTED_VALUE"""),2464)</f>
        <v>2464</v>
      </c>
      <c r="C526" s="1" t="str">
        <f ca="1">IFERROR(__xludf.DUMMYFUNCTION("""COMPUTED_VALUE"""),"PKM Penerapan Ilmu Pengetahuan dan Teknologi")</f>
        <v>PKM Penerapan Ilmu Pengetahuan dan Teknologi</v>
      </c>
      <c r="D526" s="1" t="str">
        <f ca="1">IFERROR(__xludf.DUMMYFUNCTION("""COMPUTED_VALUE"""),"Landslide Monitoring Instrument Berbasis Internet of Thing Sebagai Upaya Mengurangi Biaya Maintanance PT Teknindo Geosistem Unggul
")</f>
        <v xml:space="preserve">Landslide Monitoring Instrument Berbasis Internet of Thing Sebagai Upaya Mengurangi Biaya Maintanance PT Teknindo Geosistem Unggul
</v>
      </c>
      <c r="E526" s="1" t="str">
        <f ca="1">IFERROR(__xludf.DUMMYFUNCTION("""COMPUTED_VALUE"""),"FADHILLIANT NUR PRAMUDYA")</f>
        <v>FADHILLIANT NUR PRAMUDYA</v>
      </c>
      <c r="F526" s="1" t="str">
        <f ca="1">IFERROR(__xludf.DUMMYFUNCTION("""COMPUTED_VALUE"""),"2042201049")</f>
        <v>2042201049</v>
      </c>
      <c r="G526" s="1" t="str">
        <f ca="1">IFERROR(__xludf.DUMMYFUNCTION("""COMPUTED_VALUE"""),"Departemen Teknik Instrumentasi")</f>
        <v>Departemen Teknik Instrumentasi</v>
      </c>
      <c r="H526" s="1" t="str">
        <f ca="1">IFERROR(__xludf.DUMMYFUNCTION("""COMPUTED_VALUE"""),"Murry Raditya, S.T., M.T.")</f>
        <v>Murry Raditya, S.T., M.T.</v>
      </c>
      <c r="I526" s="1" t="str">
        <f ca="1">IFERROR(__xludf.DUMMYFUNCTION("""COMPUTED_VALUE"""),"INTAN ANDINI AYUNINGTYAS")</f>
        <v>INTAN ANDINI AYUNINGTYAS</v>
      </c>
      <c r="J526" s="1" t="str">
        <f ca="1">IFERROR(__xludf.DUMMYFUNCTION("""COMPUTED_VALUE"""),"10511810000062")</f>
        <v>10511810000062</v>
      </c>
      <c r="K526" s="1" t="str">
        <f ca="1">IFERROR(__xludf.DUMMYFUNCTION("""COMPUTED_VALUE"""),"Departemen Teknik Instrumentasi")</f>
        <v>Departemen Teknik Instrumentasi</v>
      </c>
      <c r="L526" s="1" t="str">
        <f ca="1">IFERROR(__xludf.DUMMYFUNCTION("""COMPUTED_VALUE"""),"ANDREAS PRATAMA PUTRA")</f>
        <v>ANDREAS PRATAMA PUTRA</v>
      </c>
      <c r="M526" s="1" t="str">
        <f ca="1">IFERROR(__xludf.DUMMYFUNCTION("""COMPUTED_VALUE"""),"10511910000033")</f>
        <v>10511910000033</v>
      </c>
      <c r="N526" s="1" t="str">
        <f ca="1">IFERROR(__xludf.DUMMYFUNCTION("""COMPUTED_VALUE"""),"Departemen Teknik Instrumentasi")</f>
        <v>Departemen Teknik Instrumentasi</v>
      </c>
      <c r="O526" s="1" t="str">
        <f ca="1">IFERROR(__xludf.DUMMYFUNCTION("""COMPUTED_VALUE"""),"EDWARD CHRISTANTO")</f>
        <v>EDWARD CHRISTANTO</v>
      </c>
      <c r="P526" s="1" t="str">
        <f ca="1">IFERROR(__xludf.DUMMYFUNCTION("""COMPUTED_VALUE"""),"2042201060")</f>
        <v>2042201060</v>
      </c>
      <c r="Q526" s="1" t="str">
        <f ca="1">IFERROR(__xludf.DUMMYFUNCTION("""COMPUTED_VALUE"""),"Departemen Teknik Instrumentasi")</f>
        <v>Departemen Teknik Instrumentasi</v>
      </c>
      <c r="R526" s="1" t="str">
        <f ca="1">IFERROR(__xludf.DUMMYFUNCTION("""COMPUTED_VALUE"""),"PANDU GALIH SAPUTRO")</f>
        <v>PANDU GALIH SAPUTRO</v>
      </c>
      <c r="S526" s="1" t="str">
        <f ca="1">IFERROR(__xludf.DUMMYFUNCTION("""COMPUTED_VALUE"""),"10511910000030")</f>
        <v>10511910000030</v>
      </c>
      <c r="T526" s="1" t="str">
        <f ca="1">IFERROR(__xludf.DUMMYFUNCTION("""COMPUTED_VALUE"""),"Departemen Teknik Instrumentasi")</f>
        <v>Departemen Teknik Instrumentasi</v>
      </c>
      <c r="U526" s="1" t="str">
        <f ca="1">IFERROR(__xludf.DUMMYFUNCTION("""COMPUTED_VALUE"""),"Ir. Nur Husodo, M.S")</f>
        <v>Ir. Nur Husodo, M.S</v>
      </c>
      <c r="V526" s="1" t="str">
        <f ca="1">IFERROR(__xludf.DUMMYFUNCTION("""COMPUTED_VALUE"""),"Muhammad Syifaul Mufid, S.Si.,M.Si")</f>
        <v>Muhammad Syifaul Mufid, S.Si.,M.Si</v>
      </c>
      <c r="W526" s="1"/>
      <c r="X526" s="1" t="str">
        <f ca="1">IFERROR(__xludf.DUMMYFUNCTION("""COMPUTED_VALUE"""),"Lolos")</f>
        <v>Lolos</v>
      </c>
      <c r="Y526" s="1"/>
      <c r="Z526" s="1"/>
      <c r="AA526" s="1"/>
    </row>
    <row r="527" spans="1:27">
      <c r="A527" s="1" t="s">
        <v>516</v>
      </c>
      <c r="B527" s="1">
        <f ca="1">IFERROR(__xludf.DUMMYFUNCTION("""COMPUTED_VALUE"""),4121)</f>
        <v>4121</v>
      </c>
      <c r="C527" s="1" t="str">
        <f ca="1">IFERROR(__xludf.DUMMYFUNCTION("""COMPUTED_VALUE"""),"PKM Penerapan Ilmu Pengetahuan dan Teknologi")</f>
        <v>PKM Penerapan Ilmu Pengetahuan dan Teknologi</v>
      </c>
      <c r="D527" s="1" t="str">
        <f ca="1">IFERROR(__xludf.DUMMYFUNCTION("""COMPUTED_VALUE"""),"Pengaplikasian Boiler Uap dengan Bahan Bakar Biogas Limbah Tahu di Pabrik Graha Sukses")</f>
        <v>Pengaplikasian Boiler Uap dengan Bahan Bakar Biogas Limbah Tahu di Pabrik Graha Sukses</v>
      </c>
      <c r="E527" s="1" t="str">
        <f ca="1">IFERROR(__xludf.DUMMYFUNCTION("""COMPUTED_VALUE"""),"RAHMAT MUROBIT FIKRI")</f>
        <v>RAHMAT MUROBIT FIKRI</v>
      </c>
      <c r="F527" s="1" t="str">
        <f ca="1">IFERROR(__xludf.DUMMYFUNCTION("""COMPUTED_VALUE"""),"2038201066")</f>
        <v>2038201066</v>
      </c>
      <c r="G527" s="1" t="str">
        <f ca="1">IFERROR(__xludf.DUMMYFUNCTION("""COMPUTED_VALUE"""),"Departemen Teknik Mesin Industri")</f>
        <v>Departemen Teknik Mesin Industri</v>
      </c>
      <c r="H527" s="1" t="str">
        <f ca="1">IFERROR(__xludf.DUMMYFUNCTION("""COMPUTED_VALUE"""),"Ir. Nur Husodo, M.S")</f>
        <v>Ir. Nur Husodo, M.S</v>
      </c>
      <c r="I527" s="1" t="str">
        <f ca="1">IFERROR(__xludf.DUMMYFUNCTION("""COMPUTED_VALUE"""),"DUWITA INDRI LESTARI")</f>
        <v>DUWITA INDRI LESTARI</v>
      </c>
      <c r="J527" s="1" t="str">
        <f ca="1">IFERROR(__xludf.DUMMYFUNCTION("""COMPUTED_VALUE"""),"2038201026")</f>
        <v>2038201026</v>
      </c>
      <c r="K527" s="1" t="str">
        <f ca="1">IFERROR(__xludf.DUMMYFUNCTION("""COMPUTED_VALUE"""),"Departemen Teknik Mesin Industri")</f>
        <v>Departemen Teknik Mesin Industri</v>
      </c>
      <c r="L527" s="1" t="str">
        <f ca="1">IFERROR(__xludf.DUMMYFUNCTION("""COMPUTED_VALUE"""),"SUHDI ARIFIN")</f>
        <v>SUHDI ARIFIN</v>
      </c>
      <c r="M527" s="1" t="str">
        <f ca="1">IFERROR(__xludf.DUMMYFUNCTION("""COMPUTED_VALUE"""),"2038201079")</f>
        <v>2038201079</v>
      </c>
      <c r="N527" s="1" t="str">
        <f ca="1">IFERROR(__xludf.DUMMYFUNCTION("""COMPUTED_VALUE"""),"Departemen Teknik Mesin Industri")</f>
        <v>Departemen Teknik Mesin Industri</v>
      </c>
      <c r="O527" s="1" t="str">
        <f ca="1">IFERROR(__xludf.DUMMYFUNCTION("""COMPUTED_VALUE"""),"MUHAMMAD NAUFAL DZAKY")</f>
        <v>MUHAMMAD NAUFAL DZAKY</v>
      </c>
      <c r="P527" s="1" t="str">
        <f ca="1">IFERROR(__xludf.DUMMYFUNCTION("""COMPUTED_VALUE"""),"2038201086")</f>
        <v>2038201086</v>
      </c>
      <c r="Q527" s="1" t="str">
        <f ca="1">IFERROR(__xludf.DUMMYFUNCTION("""COMPUTED_VALUE"""),"Departemen Teknik Mesin Industri")</f>
        <v>Departemen Teknik Mesin Industri</v>
      </c>
      <c r="R527" s="1" t="str">
        <f ca="1">IFERROR(__xludf.DUMMYFUNCTION("""COMPUTED_VALUE"""),"KOMANG AGESTYA TRISNA DEWI")</f>
        <v>KOMANG AGESTYA TRISNA DEWI</v>
      </c>
      <c r="S527" s="1" t="str">
        <f ca="1">IFERROR(__xludf.DUMMYFUNCTION("""COMPUTED_VALUE"""),"2038201068")</f>
        <v>2038201068</v>
      </c>
      <c r="T527" s="1" t="str">
        <f ca="1">IFERROR(__xludf.DUMMYFUNCTION("""COMPUTED_VALUE"""),"Departemen Teknik Mesin Industri")</f>
        <v>Departemen Teknik Mesin Industri</v>
      </c>
      <c r="U527" s="1" t="str">
        <f ca="1">IFERROR(__xludf.DUMMYFUNCTION("""COMPUTED_VALUE"""),"Dr. Dhany Arifianto, S.T., M.Eng.")</f>
        <v>Dr. Dhany Arifianto, S.T., M.Eng.</v>
      </c>
      <c r="V527" s="1" t="str">
        <f ca="1">IFERROR(__xludf.DUMMYFUNCTION("""COMPUTED_VALUE"""),"Muhammad Syifaul Mufid, S.Si.,M.Si")</f>
        <v>Muhammad Syifaul Mufid, S.Si.,M.Si</v>
      </c>
      <c r="W527" s="1"/>
      <c r="X527" s="1" t="str">
        <f ca="1">IFERROR(__xludf.DUMMYFUNCTION("""COMPUTED_VALUE"""),"Lolos")</f>
        <v>Lolos</v>
      </c>
      <c r="Y527" s="1"/>
      <c r="Z527" s="1"/>
      <c r="AA527" s="1"/>
    </row>
    <row r="528" spans="1:27">
      <c r="A528" s="1" t="s">
        <v>517</v>
      </c>
      <c r="B528" s="1">
        <f ca="1">IFERROR(__xludf.DUMMYFUNCTION("""COMPUTED_VALUE"""),2224)</f>
        <v>2224</v>
      </c>
      <c r="C528" s="1" t="str">
        <f ca="1">IFERROR(__xludf.DUMMYFUNCTION("""COMPUTED_VALUE"""),"PKM Penerapan Ilmu Pengetahuan dan Teknologi")</f>
        <v>PKM Penerapan Ilmu Pengetahuan dan Teknologi</v>
      </c>
      <c r="D528" s="1" t="str">
        <f ca="1">IFERROR(__xludf.DUMMYFUNCTION("""COMPUTED_VALUE"""),"Inovasi Mesin Pemotong Kunyit Otomatis Berbasis PLC untuk Membantu Meningkatkan Jumlah Produksi UMKM Warga Kesugihan Ponorogo")</f>
        <v>Inovasi Mesin Pemotong Kunyit Otomatis Berbasis PLC untuk Membantu Meningkatkan Jumlah Produksi UMKM Warga Kesugihan Ponorogo</v>
      </c>
      <c r="E528" s="1" t="str">
        <f ca="1">IFERROR(__xludf.DUMMYFUNCTION("""COMPUTED_VALUE"""),"FEBI EKA FRADASARI")</f>
        <v>FEBI EKA FRADASARI</v>
      </c>
      <c r="F528" s="1" t="str">
        <f ca="1">IFERROR(__xludf.DUMMYFUNCTION("""COMPUTED_VALUE"""),"07311840000055")</f>
        <v>07311840000055</v>
      </c>
      <c r="G528" s="1" t="str">
        <f ca="1">IFERROR(__xludf.DUMMYFUNCTION("""COMPUTED_VALUE"""),"Departemen Teknik Biomedik")</f>
        <v>Departemen Teknik Biomedik</v>
      </c>
      <c r="H528" s="1" t="str">
        <f ca="1">IFERROR(__xludf.DUMMYFUNCTION("""COMPUTED_VALUE"""),"Ir. Josaphat Pramudijanto, M.Eng.")</f>
        <v>Ir. Josaphat Pramudijanto, M.Eng.</v>
      </c>
      <c r="I528" s="1" t="str">
        <f ca="1">IFERROR(__xludf.DUMMYFUNCTION("""COMPUTED_VALUE"""),"SULTHON SIDIQ WICAKSANA")</f>
        <v>SULTHON SIDIQ WICAKSANA</v>
      </c>
      <c r="J528" s="1" t="str">
        <f ca="1">IFERROR(__xludf.DUMMYFUNCTION("""COMPUTED_VALUE"""),"10511910000002")</f>
        <v>10511910000002</v>
      </c>
      <c r="K528" s="1" t="str">
        <f ca="1">IFERROR(__xludf.DUMMYFUNCTION("""COMPUTED_VALUE"""),"Departemen Teknik Instrumentasi")</f>
        <v>Departemen Teknik Instrumentasi</v>
      </c>
      <c r="L528" s="1" t="str">
        <f ca="1">IFERROR(__xludf.DUMMYFUNCTION("""COMPUTED_VALUE"""),"ALDIMAS KURNIAWAN PRATAMA")</f>
        <v>ALDIMAS KURNIAWAN PRATAMA</v>
      </c>
      <c r="M528" s="1" t="str">
        <f ca="1">IFERROR(__xludf.DUMMYFUNCTION("""COMPUTED_VALUE"""),"08111940000061")</f>
        <v>08111940000061</v>
      </c>
      <c r="N528" s="1" t="str">
        <f ca="1">IFERROR(__xludf.DUMMYFUNCTION("""COMPUTED_VALUE"""),"Departemen Arsitektur")</f>
        <v>Departemen Arsitektur</v>
      </c>
      <c r="O528" s="1" t="str">
        <f ca="1">IFERROR(__xludf.DUMMYFUNCTION("""COMPUTED_VALUE"""),"BENI PUTRA KURNIAWAN")</f>
        <v>BENI PUTRA KURNIAWAN</v>
      </c>
      <c r="P528" s="1" t="str">
        <f ca="1">IFERROR(__xludf.DUMMYFUNCTION("""COMPUTED_VALUE"""),"10311910000063")</f>
        <v>10311910000063</v>
      </c>
      <c r="Q528" s="1" t="str">
        <f ca="1">IFERROR(__xludf.DUMMYFUNCTION("""COMPUTED_VALUE"""),"Departemen Teknik Elektro Otomasi")</f>
        <v>Departemen Teknik Elektro Otomasi</v>
      </c>
      <c r="R528" s="1" t="str">
        <f ca="1">IFERROR(__xludf.DUMMYFUNCTION("""COMPUTED_VALUE"""),"FARIZA HASNA MAHDIYAH")</f>
        <v>FARIZA HASNA MAHDIYAH</v>
      </c>
      <c r="S528" s="1" t="str">
        <f ca="1">IFERROR(__xludf.DUMMYFUNCTION("""COMPUTED_VALUE"""),"2042201030")</f>
        <v>2042201030</v>
      </c>
      <c r="T528" s="1" t="str">
        <f ca="1">IFERROR(__xludf.DUMMYFUNCTION("""COMPUTED_VALUE"""),"Departemen Teknik Instrumentasi")</f>
        <v>Departemen Teknik Instrumentasi</v>
      </c>
      <c r="U528" s="1" t="str">
        <f ca="1">IFERROR(__xludf.DUMMYFUNCTION("""COMPUTED_VALUE"""),"Ir. Nur Husodo, M.S")</f>
        <v>Ir. Nur Husodo, M.S</v>
      </c>
      <c r="V528" s="1" t="str">
        <f ca="1">IFERROR(__xludf.DUMMYFUNCTION("""COMPUTED_VALUE"""),"Muhammad Syifaul Mufid, S.Si.,M.Si")</f>
        <v>Muhammad Syifaul Mufid, S.Si.,M.Si</v>
      </c>
      <c r="W528" s="1"/>
      <c r="X528" s="1" t="str">
        <f ca="1">IFERROR(__xludf.DUMMYFUNCTION("""COMPUTED_VALUE"""),"Lolos")</f>
        <v>Lolos</v>
      </c>
      <c r="Y528" s="1"/>
      <c r="Z528" s="1"/>
      <c r="AA528" s="1"/>
    </row>
    <row r="529" spans="1:27">
      <c r="A529" s="1" t="s">
        <v>518</v>
      </c>
      <c r="B529" s="1">
        <f ca="1">IFERROR(__xludf.DUMMYFUNCTION("""COMPUTED_VALUE"""),2261)</f>
        <v>2261</v>
      </c>
      <c r="C529" s="1" t="str">
        <f ca="1">IFERROR(__xludf.DUMMYFUNCTION("""COMPUTED_VALUE"""),"PKM Penerapan Ilmu Pengetahuan dan Teknologi")</f>
        <v>PKM Penerapan Ilmu Pengetahuan dan Teknologi</v>
      </c>
      <c r="D529" s="1" t="str">
        <f ca="1">IFERROR(__xludf.DUMMYFUNCTION("""COMPUTED_VALUE"""),"Penerapan Photovoltaic pada Mesin Pencacah Rumput untuk Pakan Ternak Sapi Perah")</f>
        <v>Penerapan Photovoltaic pada Mesin Pencacah Rumput untuk Pakan Ternak Sapi Perah</v>
      </c>
      <c r="E529" s="1" t="str">
        <f ca="1">IFERROR(__xludf.DUMMYFUNCTION("""COMPUTED_VALUE"""),"BRILLIANT ALFAN SYAFI`I")</f>
        <v>BRILLIANT ALFAN SYAFI`I</v>
      </c>
      <c r="F529" s="1" t="str">
        <f ca="1">IFERROR(__xludf.DUMMYFUNCTION("""COMPUTED_VALUE"""),"07111940000107")</f>
        <v>07111940000107</v>
      </c>
      <c r="G529" s="1" t="str">
        <f ca="1">IFERROR(__xludf.DUMMYFUNCTION("""COMPUTED_VALUE"""),"Departemen Teknik Elektro")</f>
        <v>Departemen Teknik Elektro</v>
      </c>
      <c r="H529" s="1" t="str">
        <f ca="1">IFERROR(__xludf.DUMMYFUNCTION("""COMPUTED_VALUE"""),"Feby Agung Pamuji, S.T., M.T., Ph.D.")</f>
        <v>Feby Agung Pamuji, S.T., M.T., Ph.D.</v>
      </c>
      <c r="I529" s="1" t="str">
        <f ca="1">IFERROR(__xludf.DUMMYFUNCTION("""COMPUTED_VALUE"""),"MUHAMMAD FARID NI`AM")</f>
        <v>MUHAMMAD FARID NI`AM</v>
      </c>
      <c r="J529" s="1" t="str">
        <f ca="1">IFERROR(__xludf.DUMMYFUNCTION("""COMPUTED_VALUE"""),"07111940000121")</f>
        <v>07111940000121</v>
      </c>
      <c r="K529" s="1" t="str">
        <f ca="1">IFERROR(__xludf.DUMMYFUNCTION("""COMPUTED_VALUE"""),"Departemen Teknik Elektro")</f>
        <v>Departemen Teknik Elektro</v>
      </c>
      <c r="L529" s="1" t="str">
        <f ca="1">IFERROR(__xludf.DUMMYFUNCTION("""COMPUTED_VALUE"""),"FAHMI AMMAR")</f>
        <v>FAHMI AMMAR</v>
      </c>
      <c r="M529" s="1" t="str">
        <f ca="1">IFERROR(__xludf.DUMMYFUNCTION("""COMPUTED_VALUE"""),"5022201248")</f>
        <v>5022201248</v>
      </c>
      <c r="N529" s="1" t="str">
        <f ca="1">IFERROR(__xludf.DUMMYFUNCTION("""COMPUTED_VALUE"""),"Departemen Teknik Elektro")</f>
        <v>Departemen Teknik Elektro</v>
      </c>
      <c r="O529" s="1" t="str">
        <f ca="1">IFERROR(__xludf.DUMMYFUNCTION("""COMPUTED_VALUE"""),"NADA SHAKIRAH FATIKASARI")</f>
        <v>NADA SHAKIRAH FATIKASARI</v>
      </c>
      <c r="P529" s="1" t="str">
        <f ca="1">IFERROR(__xludf.DUMMYFUNCTION("""COMPUTED_VALUE"""),"5022201202")</f>
        <v>5022201202</v>
      </c>
      <c r="Q529" s="1" t="str">
        <f ca="1">IFERROR(__xludf.DUMMYFUNCTION("""COMPUTED_VALUE"""),"Departemen Teknik Elektro")</f>
        <v>Departemen Teknik Elektro</v>
      </c>
      <c r="R529" s="1"/>
      <c r="S529" s="1"/>
      <c r="T529" s="1"/>
      <c r="U529" s="1" t="str">
        <f ca="1">IFERROR(__xludf.DUMMYFUNCTION("""COMPUTED_VALUE"""),"Ir. Nur Husodo, M.S")</f>
        <v>Ir. Nur Husodo, M.S</v>
      </c>
      <c r="V529" s="1" t="str">
        <f ca="1">IFERROR(__xludf.DUMMYFUNCTION("""COMPUTED_VALUE"""),"Muhammad Syifaul Mufid, S.Si.,M.Si")</f>
        <v>Muhammad Syifaul Mufid, S.Si.,M.Si</v>
      </c>
      <c r="W529" s="1"/>
      <c r="X529" s="1" t="str">
        <f ca="1">IFERROR(__xludf.DUMMYFUNCTION("""COMPUTED_VALUE"""),"Lolos")</f>
        <v>Lolos</v>
      </c>
      <c r="Y529" s="1"/>
      <c r="Z529" s="1"/>
      <c r="AA529" s="1"/>
    </row>
    <row r="530" spans="1:27">
      <c r="A530" s="1" t="s">
        <v>519</v>
      </c>
      <c r="B530" s="1">
        <f ca="1">IFERROR(__xludf.DUMMYFUNCTION("""COMPUTED_VALUE"""),2955)</f>
        <v>2955</v>
      </c>
      <c r="C530" s="1" t="str">
        <f ca="1">IFERROR(__xludf.DUMMYFUNCTION("""COMPUTED_VALUE"""),"PKM Penerapan Ilmu Pengetahuan dan Teknologi")</f>
        <v>PKM Penerapan Ilmu Pengetahuan dan Teknologi</v>
      </c>
      <c r="D530" s="1" t="str">
        <f ca="1">IFERROR(__xludf.DUMMYFUNCTION("""COMPUTED_VALUE"""),"SISTEM MONITORING IDENTIFIKASI SAPI UNTUK MENUNJANG PRODUKTIVITAS PADA PETERNAK SAPI POTONG DI KABUPATEN SIDOARJO BERBASIS INTERNET OF THINGS ")</f>
        <v xml:space="preserve">SISTEM MONITORING IDENTIFIKASI SAPI UNTUK MENUNJANG PRODUKTIVITAS PADA PETERNAK SAPI POTONG DI KABUPATEN SIDOARJO BERBASIS INTERNET OF THINGS </v>
      </c>
      <c r="E530" s="1" t="str">
        <f ca="1">IFERROR(__xludf.DUMMYFUNCTION("""COMPUTED_VALUE"""),"SHAAFIRA AUFI RAHMAH")</f>
        <v>SHAAFIRA AUFI RAHMAH</v>
      </c>
      <c r="F530" s="1" t="str">
        <f ca="1">IFERROR(__xludf.DUMMYFUNCTION("""COMPUTED_VALUE"""),"10511810000075")</f>
        <v>10511810000075</v>
      </c>
      <c r="G530" s="1" t="str">
        <f ca="1">IFERROR(__xludf.DUMMYFUNCTION("""COMPUTED_VALUE"""),"Departemen Teknik Instrumentasi")</f>
        <v>Departemen Teknik Instrumentasi</v>
      </c>
      <c r="H530" s="1" t="str">
        <f ca="1">IFERROR(__xludf.DUMMYFUNCTION("""COMPUTED_VALUE"""),"Brian Raafi'u, S.ST., M.T.")</f>
        <v>Brian Raafi'u, S.ST., M.T.</v>
      </c>
      <c r="I530" s="1" t="str">
        <f ca="1">IFERROR(__xludf.DUMMYFUNCTION("""COMPUTED_VALUE"""),"ARINDITYA BERLINDA PUTRI ")</f>
        <v xml:space="preserve">ARINDITYA BERLINDA PUTRI </v>
      </c>
      <c r="J530" s="1" t="str">
        <f ca="1">IFERROR(__xludf.DUMMYFUNCTION("""COMPUTED_VALUE"""),"10511810000033")</f>
        <v>10511810000033</v>
      </c>
      <c r="K530" s="1" t="str">
        <f ca="1">IFERROR(__xludf.DUMMYFUNCTION("""COMPUTED_VALUE"""),"Departemen Teknik Instrumentasi")</f>
        <v>Departemen Teknik Instrumentasi</v>
      </c>
      <c r="L530" s="1" t="str">
        <f ca="1">IFERROR(__xludf.DUMMYFUNCTION("""COMPUTED_VALUE"""),"IDHA NURMALITA SARI")</f>
        <v>IDHA NURMALITA SARI</v>
      </c>
      <c r="M530" s="1" t="str">
        <f ca="1">IFERROR(__xludf.DUMMYFUNCTION("""COMPUTED_VALUE"""),"10511910000051")</f>
        <v>10511910000051</v>
      </c>
      <c r="N530" s="1" t="str">
        <f ca="1">IFERROR(__xludf.DUMMYFUNCTION("""COMPUTED_VALUE"""),"Departemen Teknik Instrumentasi")</f>
        <v>Departemen Teknik Instrumentasi</v>
      </c>
      <c r="O530" s="1" t="str">
        <f ca="1">IFERROR(__xludf.DUMMYFUNCTION("""COMPUTED_VALUE"""),"MOCHAMMAD NIZAR")</f>
        <v>MOCHAMMAD NIZAR</v>
      </c>
      <c r="P530" s="1" t="str">
        <f ca="1">IFERROR(__xludf.DUMMYFUNCTION("""COMPUTED_VALUE"""),"10511910000061")</f>
        <v>10511910000061</v>
      </c>
      <c r="Q530" s="1" t="str">
        <f ca="1">IFERROR(__xludf.DUMMYFUNCTION("""COMPUTED_VALUE"""),"Departemen Teknik Instrumentasi")</f>
        <v>Departemen Teknik Instrumentasi</v>
      </c>
      <c r="R530" s="1" t="str">
        <f ca="1">IFERROR(__xludf.DUMMYFUNCTION("""COMPUTED_VALUE"""),"REMELIA NOVENDHITA ERNAWAN")</f>
        <v>REMELIA NOVENDHITA ERNAWAN</v>
      </c>
      <c r="S530" s="1" t="str">
        <f ca="1">IFERROR(__xludf.DUMMYFUNCTION("""COMPUTED_VALUE"""),"2042201028")</f>
        <v>2042201028</v>
      </c>
      <c r="T530" s="1" t="str">
        <f ca="1">IFERROR(__xludf.DUMMYFUNCTION("""COMPUTED_VALUE"""),"Departemen Teknik Instrumentasi")</f>
        <v>Departemen Teknik Instrumentasi</v>
      </c>
      <c r="U530" s="1" t="str">
        <f ca="1">IFERROR(__xludf.DUMMYFUNCTION("""COMPUTED_VALUE"""),"Sefi Novendra Patrialova, S.Si., M.T")</f>
        <v>Sefi Novendra Patrialova, S.Si., M.T</v>
      </c>
      <c r="V530" s="1" t="str">
        <f ca="1">IFERROR(__xludf.DUMMYFUNCTION("""COMPUTED_VALUE"""),"Muhammad Syifaul Mufid, S.Si.,M.Si")</f>
        <v>Muhammad Syifaul Mufid, S.Si.,M.Si</v>
      </c>
      <c r="W530" s="1"/>
      <c r="X530" s="1" t="str">
        <f ca="1">IFERROR(__xludf.DUMMYFUNCTION("""COMPUTED_VALUE"""),"Lolos")</f>
        <v>Lolos</v>
      </c>
      <c r="Y530" s="1"/>
      <c r="Z530" s="1"/>
      <c r="AA530" s="1"/>
    </row>
    <row r="531" spans="1:27">
      <c r="A531" s="1" t="s">
        <v>520</v>
      </c>
      <c r="B531" s="1">
        <f ca="1">IFERROR(__xludf.DUMMYFUNCTION("""COMPUTED_VALUE"""),2934)</f>
        <v>2934</v>
      </c>
      <c r="C531" s="1" t="str">
        <f ca="1">IFERROR(__xludf.DUMMYFUNCTION("""COMPUTED_VALUE"""),"PKM Penerapan Ilmu Pengetahuan dan Teknologi")</f>
        <v>PKM Penerapan Ilmu Pengetahuan dan Teknologi</v>
      </c>
      <c r="D531" s="1" t="str">
        <f ca="1">IFERROR(__xludf.DUMMYFUNCTION("""COMPUTED_VALUE"""),"SMART SUSTAINABLE ECONOMY SYSTEM  SEBAGAI UPAYA PEMULIHAN EKONOMI SEKTOR WISATA LEMBAH MBENCIRANG DESA KEBONTUNGGUL GONDANG MOJOKERTO")</f>
        <v>SMART SUSTAINABLE ECONOMY SYSTEM  SEBAGAI UPAYA PEMULIHAN EKONOMI SEKTOR WISATA LEMBAH MBENCIRANG DESA KEBONTUNGGUL GONDANG MOJOKERTO</v>
      </c>
      <c r="E531" s="1" t="str">
        <f ca="1">IFERROR(__xludf.DUMMYFUNCTION("""COMPUTED_VALUE"""),"Aulia Zahra Rahmah")</f>
        <v>Aulia Zahra Rahmah</v>
      </c>
      <c r="F531" s="1" t="str">
        <f ca="1">IFERROR(__xludf.DUMMYFUNCTION("""COMPUTED_VALUE"""),"2043211089")</f>
        <v>2043211089</v>
      </c>
      <c r="G531" s="1" t="str">
        <f ca="1">IFERROR(__xludf.DUMMYFUNCTION("""COMPUTED_VALUE"""),"Departemen Statistika Bisnis")</f>
        <v>Departemen Statistika Bisnis</v>
      </c>
      <c r="H531" s="1" t="str">
        <f ca="1">IFERROR(__xludf.DUMMYFUNCTION("""COMPUTED_VALUE"""),"Arwi Yudhi Koswara, S.T., M.T.")</f>
        <v>Arwi Yudhi Koswara, S.T., M.T.</v>
      </c>
      <c r="I531" s="1" t="str">
        <f ca="1">IFERROR(__xludf.DUMMYFUNCTION("""COMPUTED_VALUE"""),"DAFA RIFQI FIRDIANTO")</f>
        <v>DAFA RIFQI FIRDIANTO</v>
      </c>
      <c r="J531" s="1" t="str">
        <f ca="1">IFERROR(__xludf.DUMMYFUNCTION("""COMPUTED_VALUE"""),"2043211060")</f>
        <v>2043211060</v>
      </c>
      <c r="K531" s="1" t="str">
        <f ca="1">IFERROR(__xludf.DUMMYFUNCTION("""COMPUTED_VALUE"""),"Departemen Statistika Bisnis")</f>
        <v>Departemen Statistika Bisnis</v>
      </c>
      <c r="L531" s="1" t="str">
        <f ca="1">IFERROR(__xludf.DUMMYFUNCTION("""COMPUTED_VALUE"""),"AMALIA ARINAL HAQ")</f>
        <v>AMALIA ARINAL HAQ</v>
      </c>
      <c r="M531" s="1" t="str">
        <f ca="1">IFERROR(__xludf.DUMMYFUNCTION("""COMPUTED_VALUE"""),"2043211061")</f>
        <v>2043211061</v>
      </c>
      <c r="N531" s="1" t="str">
        <f ca="1">IFERROR(__xludf.DUMMYFUNCTION("""COMPUTED_VALUE"""),"Departemen Statistika Bisnis")</f>
        <v>Departemen Statistika Bisnis</v>
      </c>
      <c r="O531" s="1" t="str">
        <f ca="1">IFERROR(__xludf.DUMMYFUNCTION("""COMPUTED_VALUE"""),"BENEDICTUS BIMO CAHYO WICAKSONO")</f>
        <v>BENEDICTUS BIMO CAHYO WICAKSONO</v>
      </c>
      <c r="P531" s="1" t="str">
        <f ca="1">IFERROR(__xludf.DUMMYFUNCTION("""COMPUTED_VALUE"""),"5025201097")</f>
        <v>5025201097</v>
      </c>
      <c r="Q531" s="1" t="str">
        <f ca="1">IFERROR(__xludf.DUMMYFUNCTION("""COMPUTED_VALUE"""),"Departemen Teknik Informatika")</f>
        <v>Departemen Teknik Informatika</v>
      </c>
      <c r="R531" s="1" t="str">
        <f ca="1">IFERROR(__xludf.DUMMYFUNCTION("""COMPUTED_VALUE"""),"FIAN AWAMIRY MAULANA")</f>
        <v>FIAN AWAMIRY MAULANA</v>
      </c>
      <c r="S531" s="1" t="str">
        <f ca="1">IFERROR(__xludf.DUMMYFUNCTION("""COMPUTED_VALUE"""),"5025201035")</f>
        <v>5025201035</v>
      </c>
      <c r="T531" s="1" t="str">
        <f ca="1">IFERROR(__xludf.DUMMYFUNCTION("""COMPUTED_VALUE"""),"Departemen Teknik Informatika")</f>
        <v>Departemen Teknik Informatika</v>
      </c>
      <c r="U531" s="1" t="str">
        <f ca="1">IFERROR(__xludf.DUMMYFUNCTION("""COMPUTED_VALUE"""),"Ir. Nur Husodo, M.S")</f>
        <v>Ir. Nur Husodo, M.S</v>
      </c>
      <c r="V531" s="1" t="str">
        <f ca="1">IFERROR(__xludf.DUMMYFUNCTION("""COMPUTED_VALUE"""),"Muhammad Syifaul Mufid, S.Si.,M.Si")</f>
        <v>Muhammad Syifaul Mufid, S.Si.,M.Si</v>
      </c>
      <c r="W531" s="1"/>
      <c r="X531" s="1" t="str">
        <f ca="1">IFERROR(__xludf.DUMMYFUNCTION("""COMPUTED_VALUE"""),"Lolos")</f>
        <v>Lolos</v>
      </c>
      <c r="Y531" s="1"/>
      <c r="Z531" s="1"/>
      <c r="AA531" s="1"/>
    </row>
    <row r="532" spans="1:27">
      <c r="A532" s="1" t="s">
        <v>521</v>
      </c>
      <c r="B532" s="1">
        <f ca="1">IFERROR(__xludf.DUMMYFUNCTION("""COMPUTED_VALUE"""),2727)</f>
        <v>2727</v>
      </c>
      <c r="C532" s="1" t="str">
        <f ca="1">IFERROR(__xludf.DUMMYFUNCTION("""COMPUTED_VALUE"""),"PKM Penerapan Ilmu Pengetahuan dan Teknologi")</f>
        <v>PKM Penerapan Ilmu Pengetahuan dan Teknologi</v>
      </c>
      <c r="D532" s="1" t="str">
        <f ca="1">IFERROR(__xludf.DUMMYFUNCTION("""COMPUTED_VALUE"""),"Alat monitoring dan kontrol tingkat Ph dan amonia berbasis IoT sebagai solusi pergantian air tambak secara online dan otomatis")</f>
        <v>Alat monitoring dan kontrol tingkat Ph dan amonia berbasis IoT sebagai solusi pergantian air tambak secara online dan otomatis</v>
      </c>
      <c r="E532" s="1" t="str">
        <f ca="1">IFERROR(__xludf.DUMMYFUNCTION("""COMPUTED_VALUE"""),"ALBERT KURNIAWAN WILLI T")</f>
        <v>ALBERT KURNIAWAN WILLI T</v>
      </c>
      <c r="F532" s="1" t="str">
        <f ca="1">IFERROR(__xludf.DUMMYFUNCTION("""COMPUTED_VALUE"""),"10511910000059")</f>
        <v>10511910000059</v>
      </c>
      <c r="G532" s="1" t="str">
        <f ca="1">IFERROR(__xludf.DUMMYFUNCTION("""COMPUTED_VALUE"""),"Departemen Teknik Instrumentasi")</f>
        <v>Departemen Teknik Instrumentasi</v>
      </c>
      <c r="H532" s="1" t="str">
        <f ca="1">IFERROR(__xludf.DUMMYFUNCTION("""COMPUTED_VALUE"""),"Sefi Novendra Patrialova, S.Si., M.T")</f>
        <v>Sefi Novendra Patrialova, S.Si., M.T</v>
      </c>
      <c r="I532" s="1" t="str">
        <f ca="1">IFERROR(__xludf.DUMMYFUNCTION("""COMPUTED_VALUE"""),"DION PRATAMA DANENDRA")</f>
        <v>DION PRATAMA DANENDRA</v>
      </c>
      <c r="J532" s="1" t="str">
        <f ca="1">IFERROR(__xludf.DUMMYFUNCTION("""COMPUTED_VALUE"""),"10511910000065")</f>
        <v>10511910000065</v>
      </c>
      <c r="K532" s="1" t="str">
        <f ca="1">IFERROR(__xludf.DUMMYFUNCTION("""COMPUTED_VALUE"""),"Departemen Teknik Instrumentasi")</f>
        <v>Departemen Teknik Instrumentasi</v>
      </c>
      <c r="L532" s="1" t="str">
        <f ca="1">IFERROR(__xludf.DUMMYFUNCTION("""COMPUTED_VALUE"""),"MIFTACHUL FALACH ASSEGAF")</f>
        <v>MIFTACHUL FALACH ASSEGAF</v>
      </c>
      <c r="M532" s="1" t="str">
        <f ca="1">IFERROR(__xludf.DUMMYFUNCTION("""COMPUTED_VALUE"""),"10511910000050")</f>
        <v>10511910000050</v>
      </c>
      <c r="N532" s="1" t="str">
        <f ca="1">IFERROR(__xludf.DUMMYFUNCTION("""COMPUTED_VALUE"""),"Departemen Teknik Instrumentasi")</f>
        <v>Departemen Teknik Instrumentasi</v>
      </c>
      <c r="O532" s="1" t="str">
        <f ca="1">IFERROR(__xludf.DUMMYFUNCTION("""COMPUTED_VALUE"""),"MOCHAMMAD NIZAR")</f>
        <v>MOCHAMMAD NIZAR</v>
      </c>
      <c r="P532" s="1" t="str">
        <f ca="1">IFERROR(__xludf.DUMMYFUNCTION("""COMPUTED_VALUE"""),"10511910000061")</f>
        <v>10511910000061</v>
      </c>
      <c r="Q532" s="1" t="str">
        <f ca="1">IFERROR(__xludf.DUMMYFUNCTION("""COMPUTED_VALUE"""),"Departemen Teknik Instrumentasi")</f>
        <v>Departemen Teknik Instrumentasi</v>
      </c>
      <c r="R532" s="1" t="str">
        <f ca="1">IFERROR(__xludf.DUMMYFUNCTION("""COMPUTED_VALUE"""),"QORY ROHMAN DEWA")</f>
        <v>QORY ROHMAN DEWA</v>
      </c>
      <c r="S532" s="1" t="str">
        <f ca="1">IFERROR(__xludf.DUMMYFUNCTION("""COMPUTED_VALUE"""),"2042201090")</f>
        <v>2042201090</v>
      </c>
      <c r="T532" s="1" t="str">
        <f ca="1">IFERROR(__xludf.DUMMYFUNCTION("""COMPUTED_VALUE"""),"Departemen Teknik Instrumentasi")</f>
        <v>Departemen Teknik Instrumentasi</v>
      </c>
      <c r="U532" s="1" t="str">
        <f ca="1">IFERROR(__xludf.DUMMYFUNCTION("""COMPUTED_VALUE"""),"Dr. Dhany Arifianto, S.T., M.Eng.")</f>
        <v>Dr. Dhany Arifianto, S.T., M.Eng.</v>
      </c>
      <c r="V532" s="1" t="str">
        <f ca="1">IFERROR(__xludf.DUMMYFUNCTION("""COMPUTED_VALUE"""),"Sunarsih, S.T., M.Eng., Ph.D.")</f>
        <v>Sunarsih, S.T., M.Eng., Ph.D.</v>
      </c>
      <c r="W532" s="1"/>
      <c r="X532" s="1" t="str">
        <f ca="1">IFERROR(__xludf.DUMMYFUNCTION("""COMPUTED_VALUE"""),"Lolos")</f>
        <v>Lolos</v>
      </c>
      <c r="Y532" s="1"/>
      <c r="Z532" s="1"/>
      <c r="AA532" s="1"/>
    </row>
    <row r="533" spans="1:27">
      <c r="A533" s="1" t="s">
        <v>319</v>
      </c>
      <c r="B533" s="1">
        <f ca="1">IFERROR(__xludf.DUMMYFUNCTION("""COMPUTED_VALUE"""),2139)</f>
        <v>2139</v>
      </c>
      <c r="C533" s="1" t="str">
        <f ca="1">IFERROR(__xludf.DUMMYFUNCTION("""COMPUTED_VALUE"""),"PKM Penerapan Ilmu Pengetahuan dan Teknologi")</f>
        <v>PKM Penerapan Ilmu Pengetahuan dan Teknologi</v>
      </c>
      <c r="D533" s="1" t="str">
        <f ca="1">IFERROR(__xludf.DUMMYFUNCTION("""COMPUTED_VALUE"""),"Implementasi Robot Cerdas Berbasis Machine Learning untuk Meningkatkan Performa Kiper Futsal di SSB Gators Sentra Surabaya")</f>
        <v>Implementasi Robot Cerdas Berbasis Machine Learning untuk Meningkatkan Performa Kiper Futsal di SSB Gators Sentra Surabaya</v>
      </c>
      <c r="E533" s="1" t="str">
        <f ca="1">IFERROR(__xludf.DUMMYFUNCTION("""COMPUTED_VALUE"""),"DANENDRA CLEVERO ANANDA")</f>
        <v>DANENDRA CLEVERO ANANDA</v>
      </c>
      <c r="F533" s="1" t="str">
        <f ca="1">IFERROR(__xludf.DUMMYFUNCTION("""COMPUTED_VALUE"""),"5022201123")</f>
        <v>5022201123</v>
      </c>
      <c r="G533" s="1" t="str">
        <f ca="1">IFERROR(__xludf.DUMMYFUNCTION("""COMPUTED_VALUE"""),"Departemen Teknik Elektro")</f>
        <v>Departemen Teknik Elektro</v>
      </c>
      <c r="H533" s="1" t="str">
        <f ca="1">IFERROR(__xludf.DUMMYFUNCTION("""COMPUTED_VALUE"""),"Rudy Dikairono, ST., M.T.")</f>
        <v>Rudy Dikairono, ST., M.T.</v>
      </c>
      <c r="I533" s="1" t="str">
        <f ca="1">IFERROR(__xludf.DUMMYFUNCTION("""COMPUTED_VALUE"""),"AHMAD JAWHARI FAUZI")</f>
        <v>AHMAD JAWHARI FAUZI</v>
      </c>
      <c r="J533" s="1" t="str">
        <f ca="1">IFERROR(__xludf.DUMMYFUNCTION("""COMPUTED_VALUE"""),"5018201113")</f>
        <v>5018201113</v>
      </c>
      <c r="K533" s="1" t="str">
        <f ca="1">IFERROR(__xludf.DUMMYFUNCTION("""COMPUTED_VALUE"""),"Departemen Teknik Perkapalan")</f>
        <v>Departemen Teknik Perkapalan</v>
      </c>
      <c r="L533" s="1" t="str">
        <f ca="1">IFERROR(__xludf.DUMMYFUNCTION("""COMPUTED_VALUE"""),"HANIF ARIQ WIBOWO")</f>
        <v>HANIF ARIQ WIBOWO</v>
      </c>
      <c r="M533" s="1" t="str">
        <f ca="1">IFERROR(__xludf.DUMMYFUNCTION("""COMPUTED_VALUE"""),"5009201012")</f>
        <v>5009201012</v>
      </c>
      <c r="N533" s="1" t="str">
        <f ca="1">IFERROR(__xludf.DUMMYFUNCTION("""COMPUTED_VALUE"""),"Departemen Teknik Fisika")</f>
        <v>Departemen Teknik Fisika</v>
      </c>
      <c r="O533" s="1" t="str">
        <f ca="1">IFERROR(__xludf.DUMMYFUNCTION("""COMPUTED_VALUE"""),"SYAEFULLAH NURRAHMAN")</f>
        <v>SYAEFULLAH NURRAHMAN</v>
      </c>
      <c r="P533" s="1" t="str">
        <f ca="1">IFERROR(__xludf.DUMMYFUNCTION("""COMPUTED_VALUE"""),"5030201004")</f>
        <v>5030201004</v>
      </c>
      <c r="Q533" s="1" t="str">
        <f ca="1">IFERROR(__xludf.DUMMYFUNCTION("""COMPUTED_VALUE"""),"Departemen Desain Komunikasi Visual")</f>
        <v>Departemen Desain Komunikasi Visual</v>
      </c>
      <c r="R533" s="1" t="str">
        <f ca="1">IFERROR(__xludf.DUMMYFUNCTION("""COMPUTED_VALUE"""),"Firlana Baiturrochman")</f>
        <v>Firlana Baiturrochman</v>
      </c>
      <c r="S533" s="1" t="str">
        <f ca="1">IFERROR(__xludf.DUMMYFUNCTION("""COMPUTED_VALUE"""),"02111940000060")</f>
        <v>02111940000060</v>
      </c>
      <c r="T533" s="1" t="str">
        <f ca="1">IFERROR(__xludf.DUMMYFUNCTION("""COMPUTED_VALUE"""),"Departemen Teknik Mesin")</f>
        <v>Departemen Teknik Mesin</v>
      </c>
      <c r="U533" s="1" t="str">
        <f ca="1">IFERROR(__xludf.DUMMYFUNCTION("""COMPUTED_VALUE"""),"Ir. Nur Husodo, M.S")</f>
        <v>Ir. Nur Husodo, M.S</v>
      </c>
      <c r="V533" s="1" t="str">
        <f ca="1">IFERROR(__xludf.DUMMYFUNCTION("""COMPUTED_VALUE"""),"Muhammad Syifaul Mufid, S.Si.,M.Si")</f>
        <v>Muhammad Syifaul Mufid, S.Si.,M.Si</v>
      </c>
      <c r="W533" s="1"/>
      <c r="X533" s="1" t="str">
        <f ca="1">IFERROR(__xludf.DUMMYFUNCTION("""COMPUTED_VALUE"""),"Lolos")</f>
        <v>Lolos</v>
      </c>
      <c r="Y533" s="1"/>
      <c r="Z533" s="1"/>
      <c r="AA533" s="1"/>
    </row>
    <row r="534" spans="1:27">
      <c r="A534" s="1" t="s">
        <v>522</v>
      </c>
      <c r="B534" s="1">
        <f ca="1">IFERROR(__xludf.DUMMYFUNCTION("""COMPUTED_VALUE"""),3915)</f>
        <v>3915</v>
      </c>
      <c r="C534" s="1" t="str">
        <f ca="1">IFERROR(__xludf.DUMMYFUNCTION("""COMPUTED_VALUE"""),"PKM Penerapan Ilmu Pengetahuan dan Teknologi")</f>
        <v>PKM Penerapan Ilmu Pengetahuan dan Teknologi</v>
      </c>
      <c r="D534" s="1" t="str">
        <f ca="1">IFERROR(__xludf.DUMMYFUNCTION("""COMPUTED_VALUE"""),"SISTEM MONITORING IRIGASI SAWAH BERBASIS GSM (SMS GATEAWAY) UNTUK MENINGKATKAN EFISIENSI PETANI UD. SUBUR JAYA DI KABUPATEN BLITAR")</f>
        <v>SISTEM MONITORING IRIGASI SAWAH BERBASIS GSM (SMS GATEAWAY) UNTUK MENINGKATKAN EFISIENSI PETANI UD. SUBUR JAYA DI KABUPATEN BLITAR</v>
      </c>
      <c r="E534" s="1" t="str">
        <f ca="1">IFERROR(__xludf.DUMMYFUNCTION("""COMPUTED_VALUE"""),"MUHAJIRIN NASUTION")</f>
        <v>MUHAJIRIN NASUTION</v>
      </c>
      <c r="F534" s="1" t="str">
        <f ca="1">IFERROR(__xludf.DUMMYFUNCTION("""COMPUTED_VALUE"""),"2040201022")</f>
        <v>2040201022</v>
      </c>
      <c r="G534" s="1" t="str">
        <f ca="1">IFERROR(__xludf.DUMMYFUNCTION("""COMPUTED_VALUE"""),"Departemen Teknik Elektro Otomasi")</f>
        <v>Departemen Teknik Elektro Otomasi</v>
      </c>
      <c r="H534" s="1" t="str">
        <f ca="1">IFERROR(__xludf.DUMMYFUNCTION("""COMPUTED_VALUE"""),"Ciptian Weried Priananda, S.ST., M.T.")</f>
        <v>Ciptian Weried Priananda, S.ST., M.T.</v>
      </c>
      <c r="I534" s="1" t="str">
        <f ca="1">IFERROR(__xludf.DUMMYFUNCTION("""COMPUTED_VALUE"""),"ROBIQ ABIYYU SADID")</f>
        <v>ROBIQ ABIYYU SADID</v>
      </c>
      <c r="J534" s="1" t="str">
        <f ca="1">IFERROR(__xludf.DUMMYFUNCTION("""COMPUTED_VALUE"""),"10311810003003")</f>
        <v>10311810003003</v>
      </c>
      <c r="K534" s="1" t="str">
        <f ca="1">IFERROR(__xludf.DUMMYFUNCTION("""COMPUTED_VALUE"""),"Departemen Teknik Elektro Otomasi")</f>
        <v>Departemen Teknik Elektro Otomasi</v>
      </c>
      <c r="L534" s="1" t="str">
        <f ca="1">IFERROR(__xludf.DUMMYFUNCTION("""COMPUTED_VALUE"""),"MOH WAHFIUDIN NUR AZAMI")</f>
        <v>MOH WAHFIUDIN NUR AZAMI</v>
      </c>
      <c r="M534" s="1" t="str">
        <f ca="1">IFERROR(__xludf.DUMMYFUNCTION("""COMPUTED_VALUE"""),"10311810000036")</f>
        <v>10311810000036</v>
      </c>
      <c r="N534" s="1" t="str">
        <f ca="1">IFERROR(__xludf.DUMMYFUNCTION("""COMPUTED_VALUE"""),"Departemen Teknik Elektro Otomasi")</f>
        <v>Departemen Teknik Elektro Otomasi</v>
      </c>
      <c r="O534" s="1" t="str">
        <f ca="1">IFERROR(__xludf.DUMMYFUNCTION("""COMPUTED_VALUE"""),"MUHAMMAD FATHUR RAHMAN")</f>
        <v>MUHAMMAD FATHUR RAHMAN</v>
      </c>
      <c r="P534" s="1" t="str">
        <f ca="1">IFERROR(__xludf.DUMMYFUNCTION("""COMPUTED_VALUE"""),"2040201002")</f>
        <v>2040201002</v>
      </c>
      <c r="Q534" s="1" t="str">
        <f ca="1">IFERROR(__xludf.DUMMYFUNCTION("""COMPUTED_VALUE"""),"Departemen Teknik Elektro Otomasi")</f>
        <v>Departemen Teknik Elektro Otomasi</v>
      </c>
      <c r="R534" s="1" t="str">
        <f ca="1">IFERROR(__xludf.DUMMYFUNCTION("""COMPUTED_VALUE"""),"HASSYA MUTIARA P S")</f>
        <v>HASSYA MUTIARA P S</v>
      </c>
      <c r="S534" s="1" t="str">
        <f ca="1">IFERROR(__xludf.DUMMYFUNCTION("""COMPUTED_VALUE"""),"2040211058")</f>
        <v>2040211058</v>
      </c>
      <c r="T534" s="1" t="str">
        <f ca="1">IFERROR(__xludf.DUMMYFUNCTION("""COMPUTED_VALUE"""),"Departemen Teknik Elektro Otomasi")</f>
        <v>Departemen Teknik Elektro Otomasi</v>
      </c>
      <c r="U534" s="1" t="str">
        <f ca="1">IFERROR(__xludf.DUMMYFUNCTION("""COMPUTED_VALUE"""),"Arief Abdurrakhman, S.T., M.T.")</f>
        <v>Arief Abdurrakhman, S.T., M.T.</v>
      </c>
      <c r="V534" s="1" t="str">
        <f ca="1">IFERROR(__xludf.DUMMYFUNCTION("""COMPUTED_VALUE"""),"Sunarsih, S.T., M.Eng., Ph.D.")</f>
        <v>Sunarsih, S.T., M.Eng., Ph.D.</v>
      </c>
      <c r="W534" s="1"/>
      <c r="X534" s="1" t="str">
        <f ca="1">IFERROR(__xludf.DUMMYFUNCTION("""COMPUTED_VALUE"""),"Karantina")</f>
        <v>Karantina</v>
      </c>
      <c r="Y534" s="1"/>
      <c r="Z534" s="1"/>
      <c r="AA534" s="1"/>
    </row>
    <row r="535" spans="1:27">
      <c r="A535" s="1" t="s">
        <v>523</v>
      </c>
      <c r="B535" s="1">
        <f ca="1">IFERROR(__xludf.DUMMYFUNCTION("""COMPUTED_VALUE"""),2268)</f>
        <v>2268</v>
      </c>
      <c r="C535" s="1" t="str">
        <f ca="1">IFERROR(__xludf.DUMMYFUNCTION("""COMPUTED_VALUE"""),"PKM Penerapan Ilmu Pengetahuan dan Teknologi")</f>
        <v>PKM Penerapan Ilmu Pengetahuan dan Teknologi</v>
      </c>
      <c r="D535" s="1" t="str">
        <f ca="1">IFERROR(__xludf.DUMMYFUNCTION("""COMPUTED_VALUE"""),"Optimalisasi Alat Mixer Pada Pembuatan Kerupuk Kerang di UMKM Cibuyam Surboyo")</f>
        <v>Optimalisasi Alat Mixer Pada Pembuatan Kerupuk Kerang di UMKM Cibuyam Surboyo</v>
      </c>
      <c r="E535" s="1" t="str">
        <f ca="1">IFERROR(__xludf.DUMMYFUNCTION("""COMPUTED_VALUE"""),"SANIA SYACH MAHARANI")</f>
        <v>SANIA SYACH MAHARANI</v>
      </c>
      <c r="F535" s="1" t="str">
        <f ca="1">IFERROR(__xludf.DUMMYFUNCTION("""COMPUTED_VALUE"""),"2041201030")</f>
        <v>2041201030</v>
      </c>
      <c r="G535" s="1" t="str">
        <f ca="1">IFERROR(__xludf.DUMMYFUNCTION("""COMPUTED_VALUE"""),"Departemen Teknik Kimia Industri")</f>
        <v>Departemen Teknik Kimia Industri</v>
      </c>
      <c r="H535" s="1" t="str">
        <f ca="1">IFERROR(__xludf.DUMMYFUNCTION("""COMPUTED_VALUE"""),"Dr. Lailatul Qomariyah, S.T.")</f>
        <v>Dr. Lailatul Qomariyah, S.T.</v>
      </c>
      <c r="I535" s="1" t="str">
        <f ca="1">IFERROR(__xludf.DUMMYFUNCTION("""COMPUTED_VALUE"""),"NANDA NOVITA RAHMADANI")</f>
        <v>NANDA NOVITA RAHMADANI</v>
      </c>
      <c r="J535" s="1" t="str">
        <f ca="1">IFERROR(__xludf.DUMMYFUNCTION("""COMPUTED_VALUE"""),"2041201028")</f>
        <v>2041201028</v>
      </c>
      <c r="K535" s="1" t="str">
        <f ca="1">IFERROR(__xludf.DUMMYFUNCTION("""COMPUTED_VALUE"""),"Departemen Teknik Kimia Industri")</f>
        <v>Departemen Teknik Kimia Industri</v>
      </c>
      <c r="L535" s="1" t="str">
        <f ca="1">IFERROR(__xludf.DUMMYFUNCTION("""COMPUTED_VALUE"""),"ADE CITRA OKTAVIANA ELOK SAMPURNO")</f>
        <v>ADE CITRA OKTAVIANA ELOK SAMPURNO</v>
      </c>
      <c r="M535" s="1" t="str">
        <f ca="1">IFERROR(__xludf.DUMMYFUNCTION("""COMPUTED_VALUE"""),"2041201044")</f>
        <v>2041201044</v>
      </c>
      <c r="N535" s="1" t="str">
        <f ca="1">IFERROR(__xludf.DUMMYFUNCTION("""COMPUTED_VALUE"""),"Departemen Teknik Kimia Industri")</f>
        <v>Departemen Teknik Kimia Industri</v>
      </c>
      <c r="O535" s="1" t="str">
        <f ca="1">IFERROR(__xludf.DUMMYFUNCTION("""COMPUTED_VALUE"""),"VIRNANDA LUISHA PUTRI")</f>
        <v>VIRNANDA LUISHA PUTRI</v>
      </c>
      <c r="P535" s="1" t="str">
        <f ca="1">IFERROR(__xludf.DUMMYFUNCTION("""COMPUTED_VALUE"""),"2041201041")</f>
        <v>2041201041</v>
      </c>
      <c r="Q535" s="1" t="str">
        <f ca="1">IFERROR(__xludf.DUMMYFUNCTION("""COMPUTED_VALUE"""),"Departemen Teknik Kimia Industri")</f>
        <v>Departemen Teknik Kimia Industri</v>
      </c>
      <c r="R535" s="1" t="str">
        <f ca="1">IFERROR(__xludf.DUMMYFUNCTION("""COMPUTED_VALUE"""),"TATYA ANNUR RAMADITA")</f>
        <v>TATYA ANNUR RAMADITA</v>
      </c>
      <c r="S535" s="1" t="str">
        <f ca="1">IFERROR(__xludf.DUMMYFUNCTION("""COMPUTED_VALUE"""),"2041201018")</f>
        <v>2041201018</v>
      </c>
      <c r="T535" s="1" t="str">
        <f ca="1">IFERROR(__xludf.DUMMYFUNCTION("""COMPUTED_VALUE"""),"Departemen Teknik Kimia Industri")</f>
        <v>Departemen Teknik Kimia Industri</v>
      </c>
      <c r="U535" s="1" t="str">
        <f ca="1">IFERROR(__xludf.DUMMYFUNCTION("""COMPUTED_VALUE"""),"Ir. Nur Husodo, M.S")</f>
        <v>Ir. Nur Husodo, M.S</v>
      </c>
      <c r="V535" s="1" t="str">
        <f ca="1">IFERROR(__xludf.DUMMYFUNCTION("""COMPUTED_VALUE"""),"Muhammad Syifaul Mufid, S.Si.,M.Si")</f>
        <v>Muhammad Syifaul Mufid, S.Si.,M.Si</v>
      </c>
      <c r="W535" s="1"/>
      <c r="X535" s="1" t="str">
        <f ca="1">IFERROR(__xludf.DUMMYFUNCTION("""COMPUTED_VALUE"""),"Karantina")</f>
        <v>Karantina</v>
      </c>
      <c r="Y535" s="1"/>
      <c r="Z535" s="1"/>
      <c r="AA535" s="1"/>
    </row>
    <row r="536" spans="1:27">
      <c r="A536" s="1" t="s">
        <v>172</v>
      </c>
      <c r="B536" s="1">
        <f ca="1">IFERROR(__xludf.DUMMYFUNCTION("""COMPUTED_VALUE"""),2834)</f>
        <v>2834</v>
      </c>
      <c r="C536" s="1" t="str">
        <f ca="1">IFERROR(__xludf.DUMMYFUNCTION("""COMPUTED_VALUE"""),"PKM Penerapan Ilmu Pengetahuan dan Teknologi")</f>
        <v>PKM Penerapan Ilmu Pengetahuan dan Teknologi</v>
      </c>
      <c r="D536" s="1" t="str">
        <f ca="1">IFERROR(__xludf.DUMMYFUNCTION("""COMPUTED_VALUE"""),"i-Feed: Otomisasi Pemberian Makan Ikan Supaya Dapat Meminimalisir Terjadinya Kesalahan Takaran dan Terlewatnya Pemberian Makan")</f>
        <v>i-Feed: Otomisasi Pemberian Makan Ikan Supaya Dapat Meminimalisir Terjadinya Kesalahan Takaran dan Terlewatnya Pemberian Makan</v>
      </c>
      <c r="E536" s="1" t="str">
        <f ca="1">IFERROR(__xludf.DUMMYFUNCTION("""COMPUTED_VALUE"""),"PUTU AZMELLYA PUTRI SANJAYA")</f>
        <v>PUTU AZMELLYA PUTRI SANJAYA</v>
      </c>
      <c r="F536" s="1" t="str">
        <f ca="1">IFERROR(__xludf.DUMMYFUNCTION("""COMPUTED_VALUE"""),"5010201188")</f>
        <v>5010201188</v>
      </c>
      <c r="G536" s="1" t="str">
        <f ca="1">IFERROR(__xludf.DUMMYFUNCTION("""COMPUTED_VALUE"""),"Departemen Teknik Sistem dan Industri")</f>
        <v>Departemen Teknik Sistem dan Industri</v>
      </c>
      <c r="H536" s="1" t="str">
        <f ca="1">IFERROR(__xludf.DUMMYFUNCTION("""COMPUTED_VALUE"""),"Putu Dana Karningsih, S.T., M.Eng.Sc., Ph.D.")</f>
        <v>Putu Dana Karningsih, S.T., M.Eng.Sc., Ph.D.</v>
      </c>
      <c r="I536" s="1" t="str">
        <f ca="1">IFERROR(__xludf.DUMMYFUNCTION("""COMPUTED_VALUE"""),"REFALDY ZULHAQ KUSUMA")</f>
        <v>REFALDY ZULHAQ KUSUMA</v>
      </c>
      <c r="J536" s="1" t="str">
        <f ca="1">IFERROR(__xludf.DUMMYFUNCTION("""COMPUTED_VALUE"""),"5010201084")</f>
        <v>5010201084</v>
      </c>
      <c r="K536" s="1" t="str">
        <f ca="1">IFERROR(__xludf.DUMMYFUNCTION("""COMPUTED_VALUE"""),"Departemen Teknik Sistem dan Industri")</f>
        <v>Departemen Teknik Sistem dan Industri</v>
      </c>
      <c r="L536" s="1" t="str">
        <f ca="1">IFERROR(__xludf.DUMMYFUNCTION("""COMPUTED_VALUE"""),"KORNELIUS VINCENT")</f>
        <v>KORNELIUS VINCENT</v>
      </c>
      <c r="M536" s="1" t="str">
        <f ca="1">IFERROR(__xludf.DUMMYFUNCTION("""COMPUTED_VALUE"""),"02411840000184")</f>
        <v>02411840000184</v>
      </c>
      <c r="N536" s="1" t="str">
        <f ca="1">IFERROR(__xludf.DUMMYFUNCTION("""COMPUTED_VALUE"""),"Departemen Teknik Sistem dan Industri")</f>
        <v>Departemen Teknik Sistem dan Industri</v>
      </c>
      <c r="O536" s="1" t="str">
        <f ca="1">IFERROR(__xludf.DUMMYFUNCTION("""COMPUTED_VALUE"""),"ROHMAH NOVITASARI")</f>
        <v>ROHMAH NOVITASARI</v>
      </c>
      <c r="P536" s="1" t="str">
        <f ca="1">IFERROR(__xludf.DUMMYFUNCTION("""COMPUTED_VALUE"""),"5010211088")</f>
        <v>5010211088</v>
      </c>
      <c r="Q536" s="1" t="str">
        <f ca="1">IFERROR(__xludf.DUMMYFUNCTION("""COMPUTED_VALUE"""),"Departemen Teknik Sistem dan Industri")</f>
        <v>Departemen Teknik Sistem dan Industri</v>
      </c>
      <c r="R536" s="1" t="str">
        <f ca="1">IFERROR(__xludf.DUMMYFUNCTION("""COMPUTED_VALUE"""),"DANIEL EGIDIO")</f>
        <v>DANIEL EGIDIO</v>
      </c>
      <c r="S536" s="1" t="str">
        <f ca="1">IFERROR(__xludf.DUMMYFUNCTION("""COMPUTED_VALUE"""),"5010211057")</f>
        <v>5010211057</v>
      </c>
      <c r="T536" s="1" t="str">
        <f ca="1">IFERROR(__xludf.DUMMYFUNCTION("""COMPUTED_VALUE"""),"Departemen Teknik Sistem dan Industri")</f>
        <v>Departemen Teknik Sistem dan Industri</v>
      </c>
      <c r="U536" s="1" t="str">
        <f ca="1">IFERROR(__xludf.DUMMYFUNCTION("""COMPUTED_VALUE"""),"Ir. Nur Husodo, M.S")</f>
        <v>Ir. Nur Husodo, M.S</v>
      </c>
      <c r="V536" s="1" t="str">
        <f ca="1">IFERROR(__xludf.DUMMYFUNCTION("""COMPUTED_VALUE"""),"Muhammad Syifaul Mufid, S.Si.,M.Si")</f>
        <v>Muhammad Syifaul Mufid, S.Si.,M.Si</v>
      </c>
      <c r="W536" s="1"/>
      <c r="X536" s="1" t="str">
        <f ca="1">IFERROR(__xludf.DUMMYFUNCTION("""COMPUTED_VALUE"""),"Karantina")</f>
        <v>Karantina</v>
      </c>
      <c r="Y536" s="1"/>
      <c r="Z536" s="1"/>
      <c r="AA536" s="1"/>
    </row>
    <row r="537" spans="1:27">
      <c r="A537" s="1" t="s">
        <v>524</v>
      </c>
      <c r="B537" s="1">
        <f ca="1">IFERROR(__xludf.DUMMYFUNCTION("""COMPUTED_VALUE"""),3392)</f>
        <v>3392</v>
      </c>
      <c r="C537" s="1" t="str">
        <f ca="1">IFERROR(__xludf.DUMMYFUNCTION("""COMPUTED_VALUE"""),"PKM Penerapan Ilmu Pengetahuan dan Teknologi")</f>
        <v>PKM Penerapan Ilmu Pengetahuan dan Teknologi</v>
      </c>
      <c r="D537" s="1" t="str">
        <f ca="1">IFERROR(__xludf.DUMMYFUNCTION("""COMPUTED_VALUE"""),"Inovasi Pendaur Ulang Sampah Organik Terotomasi Menjadi Pupuk Cair untuk Menciptakan Waste Bank Bagi BUMDesMa Singosari")</f>
        <v>Inovasi Pendaur Ulang Sampah Organik Terotomasi Menjadi Pupuk Cair untuk Menciptakan Waste Bank Bagi BUMDesMa Singosari</v>
      </c>
      <c r="E537" s="1" t="str">
        <f ca="1">IFERROR(__xludf.DUMMYFUNCTION("""COMPUTED_VALUE"""),"RAISHA AUDREI KIRANA")</f>
        <v>RAISHA AUDREI KIRANA</v>
      </c>
      <c r="F537" s="1" t="str">
        <f ca="1">IFERROR(__xludf.DUMMYFUNCTION("""COMPUTED_VALUE"""),"5010201082")</f>
        <v>5010201082</v>
      </c>
      <c r="G537" s="1" t="str">
        <f ca="1">IFERROR(__xludf.DUMMYFUNCTION("""COMPUTED_VALUE"""),"Departemen Teknik Sistem dan Industri")</f>
        <v>Departemen Teknik Sistem dan Industri</v>
      </c>
      <c r="H537" s="1" t="str">
        <f ca="1">IFERROR(__xludf.DUMMYFUNCTION("""COMPUTED_VALUE"""),"Rindi Kusumawardani, S.Si., M.Sc.")</f>
        <v>Rindi Kusumawardani, S.Si., M.Sc.</v>
      </c>
      <c r="I537" s="1" t="str">
        <f ca="1">IFERROR(__xludf.DUMMYFUNCTION("""COMPUTED_VALUE"""),"MUHAMMAD  TSANI HARITSAH AL-FARISI")</f>
        <v>MUHAMMAD  TSANI HARITSAH AL-FARISI</v>
      </c>
      <c r="J537" s="1" t="str">
        <f ca="1">IFERROR(__xludf.DUMMYFUNCTION("""COMPUTED_VALUE"""),"5010201173")</f>
        <v>5010201173</v>
      </c>
      <c r="K537" s="1" t="str">
        <f ca="1">IFERROR(__xludf.DUMMYFUNCTION("""COMPUTED_VALUE"""),"Departemen Teknik Sistem dan Industri")</f>
        <v>Departemen Teknik Sistem dan Industri</v>
      </c>
      <c r="L537" s="1" t="str">
        <f ca="1">IFERROR(__xludf.DUMMYFUNCTION("""COMPUTED_VALUE"""),"Haura Hanjrah P")</f>
        <v>Haura Hanjrah P</v>
      </c>
      <c r="M537" s="1" t="str">
        <f ca="1">IFERROR(__xludf.DUMMYFUNCTION("""COMPUTED_VALUE"""),"5010211157")</f>
        <v>5010211157</v>
      </c>
      <c r="N537" s="1" t="str">
        <f ca="1">IFERROR(__xludf.DUMMYFUNCTION("""COMPUTED_VALUE"""),"Departemen Teknik Sistem dan Industri")</f>
        <v>Departemen Teknik Sistem dan Industri</v>
      </c>
      <c r="O537" s="1" t="str">
        <f ca="1">IFERROR(__xludf.DUMMYFUNCTION("""COMPUTED_VALUE"""),"Regita Ahda Santi")</f>
        <v>Regita Ahda Santi</v>
      </c>
      <c r="P537" s="1" t="str">
        <f ca="1">IFERROR(__xludf.DUMMYFUNCTION("""COMPUTED_VALUE"""),"5010211002")</f>
        <v>5010211002</v>
      </c>
      <c r="Q537" s="1" t="str">
        <f ca="1">IFERROR(__xludf.DUMMYFUNCTION("""COMPUTED_VALUE"""),"Departemen Teknik Sistem dan Industri")</f>
        <v>Departemen Teknik Sistem dan Industri</v>
      </c>
      <c r="R537" s="1"/>
      <c r="S537" s="1"/>
      <c r="T537" s="1"/>
      <c r="U537" s="1" t="str">
        <f ca="1">IFERROR(__xludf.DUMMYFUNCTION("""COMPUTED_VALUE"""),"Ir. Nur Husodo, M.S")</f>
        <v>Ir. Nur Husodo, M.S</v>
      </c>
      <c r="V537" s="1" t="str">
        <f ca="1">IFERROR(__xludf.DUMMYFUNCTION("""COMPUTED_VALUE"""),"Muhammad Syifaul Mufid, S.Si.,M.Si")</f>
        <v>Muhammad Syifaul Mufid, S.Si.,M.Si</v>
      </c>
      <c r="W537" s="1"/>
      <c r="X537" s="1" t="str">
        <f ca="1">IFERROR(__xludf.DUMMYFUNCTION("""COMPUTED_VALUE"""),"Karantina")</f>
        <v>Karantina</v>
      </c>
      <c r="Y537" s="1"/>
      <c r="Z537" s="1"/>
      <c r="AA537" s="1"/>
    </row>
    <row r="538" spans="1:27">
      <c r="A538" s="1" t="s">
        <v>525</v>
      </c>
      <c r="B538" s="1">
        <f ca="1">IFERROR(__xludf.DUMMYFUNCTION("""COMPUTED_VALUE"""),2256)</f>
        <v>2256</v>
      </c>
      <c r="C538" s="1" t="str">
        <f ca="1">IFERROR(__xludf.DUMMYFUNCTION("""COMPUTED_VALUE"""),"PKM Pengabdian Kepada Masyarakat")</f>
        <v>PKM Pengabdian Kepada Masyarakat</v>
      </c>
      <c r="D538" s="1" t="str">
        <f ca="1">IFERROR(__xludf.DUMMYFUNCTION("""COMPUTED_VALUE"""),"Instalasi Booster Pump dengan Sumber Tenaga Mikrohidro sebagai Pemenuhan Kebutuhan Air Bersih di Desa Telemung Kecamatan Kalipuro Kabupaten Banyuwangi")</f>
        <v>Instalasi Booster Pump dengan Sumber Tenaga Mikrohidro sebagai Pemenuhan Kebutuhan Air Bersih di Desa Telemung Kecamatan Kalipuro Kabupaten Banyuwangi</v>
      </c>
      <c r="E538" s="1" t="str">
        <f ca="1">IFERROR(__xludf.DUMMYFUNCTION("""COMPUTED_VALUE"""),"DZUROTUN NAFISAH")</f>
        <v>DZUROTUN NAFISAH</v>
      </c>
      <c r="F538" s="1" t="str">
        <f ca="1">IFERROR(__xludf.DUMMYFUNCTION("""COMPUTED_VALUE"""),"2035201088")</f>
        <v>2035201088</v>
      </c>
      <c r="G538" s="1" t="str">
        <f ca="1">IFERROR(__xludf.DUMMYFUNCTION("""COMPUTED_VALUE"""),"Departemen Teknik Infrastruktur Sipil")</f>
        <v>Departemen Teknik Infrastruktur Sipil</v>
      </c>
      <c r="H538" s="1" t="str">
        <f ca="1">IFERROR(__xludf.DUMMYFUNCTION("""COMPUTED_VALUE"""),"Ciptian Weried Priananda, S.ST., M.T.")</f>
        <v>Ciptian Weried Priananda, S.ST., M.T.</v>
      </c>
      <c r="I538" s="1" t="str">
        <f ca="1">IFERROR(__xludf.DUMMYFUNCTION("""COMPUTED_VALUE"""),"SEMBAYU JATI PAMUNGKAS")</f>
        <v>SEMBAYU JATI PAMUNGKAS</v>
      </c>
      <c r="J538" s="1" t="str">
        <f ca="1">IFERROR(__xludf.DUMMYFUNCTION("""COMPUTED_VALUE"""),"2040201136")</f>
        <v>2040201136</v>
      </c>
      <c r="K538" s="1" t="str">
        <f ca="1">IFERROR(__xludf.DUMMYFUNCTION("""COMPUTED_VALUE"""),"Departemen Teknik Elektro Otomasi")</f>
        <v>Departemen Teknik Elektro Otomasi</v>
      </c>
      <c r="L538" s="1" t="str">
        <f ca="1">IFERROR(__xludf.DUMMYFUNCTION("""COMPUTED_VALUE"""),"MUHAMMAD RAFLY RAIHAN")</f>
        <v>MUHAMMAD RAFLY RAIHAN</v>
      </c>
      <c r="M538" s="1" t="str">
        <f ca="1">IFERROR(__xludf.DUMMYFUNCTION("""COMPUTED_VALUE"""),"10111910010051")</f>
        <v>10111910010051</v>
      </c>
      <c r="N538" s="1" t="str">
        <f ca="1">IFERROR(__xludf.DUMMYFUNCTION("""COMPUTED_VALUE"""),"Departemen Teknik Infrastruktur Sipil")</f>
        <v>Departemen Teknik Infrastruktur Sipil</v>
      </c>
      <c r="O538" s="1" t="str">
        <f ca="1">IFERROR(__xludf.DUMMYFUNCTION("""COMPUTED_VALUE"""),"David Aldias Fahmi M")</f>
        <v>David Aldias Fahmi M</v>
      </c>
      <c r="P538" s="1" t="str">
        <f ca="1">IFERROR(__xludf.DUMMYFUNCTION("""COMPUTED_VALUE"""),"2035211049")</f>
        <v>2035211049</v>
      </c>
      <c r="Q538" s="1" t="str">
        <f ca="1">IFERROR(__xludf.DUMMYFUNCTION("""COMPUTED_VALUE"""),"Departemen Teknik Infrastruktur Sipil")</f>
        <v>Departemen Teknik Infrastruktur Sipil</v>
      </c>
      <c r="R538" s="1" t="str">
        <f ca="1">IFERROR(__xludf.DUMMYFUNCTION("""COMPUTED_VALUE"""),"Ilham Al Ghazali")</f>
        <v>Ilham Al Ghazali</v>
      </c>
      <c r="S538" s="1" t="str">
        <f ca="1">IFERROR(__xludf.DUMMYFUNCTION("""COMPUTED_VALUE"""),"2036211060")</f>
        <v>2036211060</v>
      </c>
      <c r="T538" s="1" t="str">
        <f ca="1">IFERROR(__xludf.DUMMYFUNCTION("""COMPUTED_VALUE"""),"Departemen Teknik Infrastruktur Sipil")</f>
        <v>Departemen Teknik Infrastruktur Sipil</v>
      </c>
      <c r="U538" s="1" t="str">
        <f ca="1">IFERROR(__xludf.DUMMYFUNCTION("""COMPUTED_VALUE"""),"Hertiari Idajati, S.T., M.Sc.")</f>
        <v>Hertiari Idajati, S.T., M.Sc.</v>
      </c>
      <c r="V538" s="1" t="str">
        <f ca="1">IFERROR(__xludf.DUMMYFUNCTION("""COMPUTED_VALUE"""),"Ir. Muchammad Husni, M.Kom")</f>
        <v>Ir. Muchammad Husni, M.Kom</v>
      </c>
      <c r="W538" s="1"/>
      <c r="X538" s="1" t="str">
        <f ca="1">IFERROR(__xludf.DUMMYFUNCTION("""COMPUTED_VALUE"""),"Lolos")</f>
        <v>Lolos</v>
      </c>
      <c r="Y538" s="1"/>
      <c r="Z538" s="1"/>
      <c r="AA538" s="1"/>
    </row>
    <row r="539" spans="1:27">
      <c r="A539" s="1" t="s">
        <v>526</v>
      </c>
      <c r="B539" s="1">
        <f ca="1">IFERROR(__xludf.DUMMYFUNCTION("""COMPUTED_VALUE"""),3976)</f>
        <v>3976</v>
      </c>
      <c r="C539" s="1" t="str">
        <f ca="1">IFERROR(__xludf.DUMMYFUNCTION("""COMPUTED_VALUE"""),"PKM Pengabdian Kepada Masyarakat")</f>
        <v>PKM Pengabdian Kepada Masyarakat</v>
      </c>
      <c r="D539" s="1" t="str">
        <f ca="1">IFERROR(__xludf.DUMMYFUNCTION("""COMPUTED_VALUE"""),"Pendampingan Pengolahan Porang menjadi Mie Shirataki untuk Meningkatkan Produktivitas Ibu-Ibu PKK Desa Pule, Trenggalek")</f>
        <v>Pendampingan Pengolahan Porang menjadi Mie Shirataki untuk Meningkatkan Produktivitas Ibu-Ibu PKK Desa Pule, Trenggalek</v>
      </c>
      <c r="E539" s="1" t="str">
        <f ca="1">IFERROR(__xludf.DUMMYFUNCTION("""COMPUTED_VALUE"""),"Novia Dwi Cahyanti")</f>
        <v>Novia Dwi Cahyanti</v>
      </c>
      <c r="F539" s="1" t="str">
        <f ca="1">IFERROR(__xludf.DUMMYFUNCTION("""COMPUTED_VALUE"""),"03111940000039")</f>
        <v>03111940000039</v>
      </c>
      <c r="G539" s="1" t="str">
        <f ca="1">IFERROR(__xludf.DUMMYFUNCTION("""COMPUTED_VALUE"""),"Departemen Teknik Sipil")</f>
        <v>Departemen Teknik Sipil</v>
      </c>
      <c r="H539" s="1" t="str">
        <f ca="1">IFERROR(__xludf.DUMMYFUNCTION("""COMPUTED_VALUE"""),"Welly Herumurti, S.T., M.Sc.")</f>
        <v>Welly Herumurti, S.T., M.Sc.</v>
      </c>
      <c r="I539" s="1" t="str">
        <f ca="1">IFERROR(__xludf.DUMMYFUNCTION("""COMPUTED_VALUE"""),"Ilma Linda Magfiroh")</f>
        <v>Ilma Linda Magfiroh</v>
      </c>
      <c r="J539" s="1" t="str">
        <f ca="1">IFERROR(__xludf.DUMMYFUNCTION("""COMPUTED_VALUE"""),"03211940000039")</f>
        <v>03211940000039</v>
      </c>
      <c r="K539" s="1" t="str">
        <f ca="1">IFERROR(__xludf.DUMMYFUNCTION("""COMPUTED_VALUE"""),"Departemen Teknik Lingkungan")</f>
        <v>Departemen Teknik Lingkungan</v>
      </c>
      <c r="L539" s="1" t="str">
        <f ca="1">IFERROR(__xludf.DUMMYFUNCTION("""COMPUTED_VALUE"""),"ILMA RAFI MUFLIHATU YUMNA")</f>
        <v>ILMA RAFI MUFLIHATU YUMNA</v>
      </c>
      <c r="M539" s="1" t="str">
        <f ca="1">IFERROR(__xludf.DUMMYFUNCTION("""COMPUTED_VALUE"""),"5001201018")</f>
        <v>5001201018</v>
      </c>
      <c r="N539" s="1" t="str">
        <f ca="1">IFERROR(__xludf.DUMMYFUNCTION("""COMPUTED_VALUE"""),"Departemen Fisika")</f>
        <v>Departemen Fisika</v>
      </c>
      <c r="O539" s="1"/>
      <c r="P539" s="1"/>
      <c r="Q539" s="1"/>
      <c r="R539" s="1"/>
      <c r="S539" s="1"/>
      <c r="T539" s="1"/>
      <c r="U539" s="1" t="str">
        <f ca="1">IFERROR(__xludf.DUMMYFUNCTION("""COMPUTED_VALUE"""),"Hertiari Idajati, S.T., M.Sc.")</f>
        <v>Hertiari Idajati, S.T., M.Sc.</v>
      </c>
      <c r="V539" s="1" t="str">
        <f ca="1">IFERROR(__xludf.DUMMYFUNCTION("""COMPUTED_VALUE"""),"Ir. Muchammad Husni, M.Kom")</f>
        <v>Ir. Muchammad Husni, M.Kom</v>
      </c>
      <c r="W539" s="1"/>
      <c r="X539" s="1" t="str">
        <f ca="1">IFERROR(__xludf.DUMMYFUNCTION("""COMPUTED_VALUE"""),"Lolos")</f>
        <v>Lolos</v>
      </c>
      <c r="Y539" s="1"/>
      <c r="Z539" s="1"/>
      <c r="AA539" s="1"/>
    </row>
    <row r="540" spans="1:27">
      <c r="A540" s="1" t="s">
        <v>527</v>
      </c>
      <c r="B540" s="1">
        <f ca="1">IFERROR(__xludf.DUMMYFUNCTION("""COMPUTED_VALUE"""),2445)</f>
        <v>2445</v>
      </c>
      <c r="C540" s="1" t="str">
        <f ca="1">IFERROR(__xludf.DUMMYFUNCTION("""COMPUTED_VALUE"""),"PKM Pengabdian Kepada Masyarakat")</f>
        <v>PKM Pengabdian Kepada Masyarakat</v>
      </c>
      <c r="D540" s="1" t="str">
        <f ca="1">IFERROR(__xludf.DUMMYFUNCTION("""COMPUTED_VALUE"""),"PEMBERDAYAAN KARANG TARUNA KAMPUNG DINOYO MELALUI PELATIHAN PEMBUATAN NATA DE SOYA DARI WHEY TOFU SEBAGAI UPAYA MENGURANGI PENCEMARAN LINGKUNGAN")</f>
        <v>PEMBERDAYAAN KARANG TARUNA KAMPUNG DINOYO MELALUI PELATIHAN PEMBUATAN NATA DE SOYA DARI WHEY TOFU SEBAGAI UPAYA MENGURANGI PENCEMARAN LINGKUNGAN</v>
      </c>
      <c r="E540" s="1" t="str">
        <f ca="1">IFERROR(__xludf.DUMMYFUNCTION("""COMPUTED_VALUE"""),"HYASINTUS SATRYA RANGGADEWA")</f>
        <v>HYASINTUS SATRYA RANGGADEWA</v>
      </c>
      <c r="F540" s="1" t="str">
        <f ca="1">IFERROR(__xludf.DUMMYFUNCTION("""COMPUTED_VALUE"""),"2041201040")</f>
        <v>2041201040</v>
      </c>
      <c r="G540" s="1" t="str">
        <f ca="1">IFERROR(__xludf.DUMMYFUNCTION("""COMPUTED_VALUE"""),"Departemen Teknik Kimia Industri")</f>
        <v>Departemen Teknik Kimia Industri</v>
      </c>
      <c r="H540" s="1" t="str">
        <f ca="1">IFERROR(__xludf.DUMMYFUNCTION("""COMPUTED_VALUE"""),"Dr. Afan Hamzah, S.T.")</f>
        <v>Dr. Afan Hamzah, S.T.</v>
      </c>
      <c r="I540" s="1" t="str">
        <f ca="1">IFERROR(__xludf.DUMMYFUNCTION("""COMPUTED_VALUE"""),"YASMIN INAYAH")</f>
        <v>YASMIN INAYAH</v>
      </c>
      <c r="J540" s="1" t="str">
        <f ca="1">IFERROR(__xludf.DUMMYFUNCTION("""COMPUTED_VALUE"""),"2041201071")</f>
        <v>2041201071</v>
      </c>
      <c r="K540" s="1" t="str">
        <f ca="1">IFERROR(__xludf.DUMMYFUNCTION("""COMPUTED_VALUE"""),"Departemen Teknik Kimia Industri")</f>
        <v>Departemen Teknik Kimia Industri</v>
      </c>
      <c r="L540" s="1" t="str">
        <f ca="1">IFERROR(__xludf.DUMMYFUNCTION("""COMPUTED_VALUE"""),"AULIA ZALSABILA")</f>
        <v>AULIA ZALSABILA</v>
      </c>
      <c r="M540" s="1" t="str">
        <f ca="1">IFERROR(__xludf.DUMMYFUNCTION("""COMPUTED_VALUE"""),"2041201046")</f>
        <v>2041201046</v>
      </c>
      <c r="N540" s="1" t="str">
        <f ca="1">IFERROR(__xludf.DUMMYFUNCTION("""COMPUTED_VALUE"""),"Departemen Teknik Kimia Industri")</f>
        <v>Departemen Teknik Kimia Industri</v>
      </c>
      <c r="O540" s="1" t="str">
        <f ca="1">IFERROR(__xludf.DUMMYFUNCTION("""COMPUTED_VALUE"""),"ALFIAN ROSYAD TSANY")</f>
        <v>ALFIAN ROSYAD TSANY</v>
      </c>
      <c r="P540" s="1" t="str">
        <f ca="1">IFERROR(__xludf.DUMMYFUNCTION("""COMPUTED_VALUE"""),"2041201059")</f>
        <v>2041201059</v>
      </c>
      <c r="Q540" s="1" t="str">
        <f ca="1">IFERROR(__xludf.DUMMYFUNCTION("""COMPUTED_VALUE"""),"Departemen Teknik Kimia Industri")</f>
        <v>Departemen Teknik Kimia Industri</v>
      </c>
      <c r="R540" s="1" t="str">
        <f ca="1">IFERROR(__xludf.DUMMYFUNCTION("""COMPUTED_VALUE"""),"KURNIAWAN WAHYU SUGIARTO")</f>
        <v>KURNIAWAN WAHYU SUGIARTO</v>
      </c>
      <c r="S540" s="1" t="str">
        <f ca="1">IFERROR(__xludf.DUMMYFUNCTION("""COMPUTED_VALUE"""),"2041201011")</f>
        <v>2041201011</v>
      </c>
      <c r="T540" s="1" t="str">
        <f ca="1">IFERROR(__xludf.DUMMYFUNCTION("""COMPUTED_VALUE"""),"Departemen Teknik Kimia Industri")</f>
        <v>Departemen Teknik Kimia Industri</v>
      </c>
      <c r="U540" s="1" t="str">
        <f ca="1">IFERROR(__xludf.DUMMYFUNCTION("""COMPUTED_VALUE"""),"Hertiari Idajati, S.T., M.Sc.")</f>
        <v>Hertiari Idajati, S.T., M.Sc.</v>
      </c>
      <c r="V540" s="1" t="str">
        <f ca="1">IFERROR(__xludf.DUMMYFUNCTION("""COMPUTED_VALUE"""),"Ir. Muchammad Husni, M.Kom")</f>
        <v>Ir. Muchammad Husni, M.Kom</v>
      </c>
      <c r="W540" s="1"/>
      <c r="X540" s="1" t="str">
        <f ca="1">IFERROR(__xludf.DUMMYFUNCTION("""COMPUTED_VALUE"""),"Lolos")</f>
        <v>Lolos</v>
      </c>
      <c r="Y540" s="1"/>
      <c r="Z540" s="1"/>
      <c r="AA540" s="1"/>
    </row>
    <row r="541" spans="1:27">
      <c r="A541" s="1" t="s">
        <v>528</v>
      </c>
      <c r="B541" s="1">
        <f ca="1">IFERROR(__xludf.DUMMYFUNCTION("""COMPUTED_VALUE"""),2214)</f>
        <v>2214</v>
      </c>
      <c r="C541" s="1" t="str">
        <f ca="1">IFERROR(__xludf.DUMMYFUNCTION("""COMPUTED_VALUE"""),"PKM Pengabdian Kepada Masyarakat")</f>
        <v>PKM Pengabdian Kepada Masyarakat</v>
      </c>
      <c r="D541" s="1" t="str">
        <f ca="1">IFERROR(__xludf.DUMMYFUNCTION("""COMPUTED_VALUE"""),"Pendampingan Vermicomposting sebagai Upaya Mereduksi Sampah Organik dan Meningkatkan Keterampilan Warga Binaan Rumah Tahanan Negara Kelas IIB Trenggalek")</f>
        <v>Pendampingan Vermicomposting sebagai Upaya Mereduksi Sampah Organik dan Meningkatkan Keterampilan Warga Binaan Rumah Tahanan Negara Kelas IIB Trenggalek</v>
      </c>
      <c r="E541" s="1" t="str">
        <f ca="1">IFERROR(__xludf.DUMMYFUNCTION("""COMPUTED_VALUE"""),"Ilma Linda Magfiroh")</f>
        <v>Ilma Linda Magfiroh</v>
      </c>
      <c r="F541" s="1" t="str">
        <f ca="1">IFERROR(__xludf.DUMMYFUNCTION("""COMPUTED_VALUE"""),"03211940000039")</f>
        <v>03211940000039</v>
      </c>
      <c r="G541" s="1" t="str">
        <f ca="1">IFERROR(__xludf.DUMMYFUNCTION("""COMPUTED_VALUE"""),"Departemen Teknik Lingkungan")</f>
        <v>Departemen Teknik Lingkungan</v>
      </c>
      <c r="H541" s="1" t="str">
        <f ca="1">IFERROR(__xludf.DUMMYFUNCTION("""COMPUTED_VALUE"""),"Welly Herumurti, S.T., M.Sc.")</f>
        <v>Welly Herumurti, S.T., M.Sc.</v>
      </c>
      <c r="I541" s="1" t="str">
        <f ca="1">IFERROR(__xludf.DUMMYFUNCTION("""COMPUTED_VALUE"""),"Novia Dwi Cahyanti")</f>
        <v>Novia Dwi Cahyanti</v>
      </c>
      <c r="J541" s="1" t="str">
        <f ca="1">IFERROR(__xludf.DUMMYFUNCTION("""COMPUTED_VALUE"""),"03111940000039")</f>
        <v>03111940000039</v>
      </c>
      <c r="K541" s="1" t="str">
        <f ca="1">IFERROR(__xludf.DUMMYFUNCTION("""COMPUTED_VALUE"""),"Departemen Teknik Sipil")</f>
        <v>Departemen Teknik Sipil</v>
      </c>
      <c r="L541" s="1" t="str">
        <f ca="1">IFERROR(__xludf.DUMMYFUNCTION("""COMPUTED_VALUE"""),"ARDIAN MAHARDIKA PUTRA")</f>
        <v>ARDIAN MAHARDIKA PUTRA</v>
      </c>
      <c r="M541" s="1" t="str">
        <f ca="1">IFERROR(__xludf.DUMMYFUNCTION("""COMPUTED_VALUE"""),"5008201038")</f>
        <v>5008201038</v>
      </c>
      <c r="N541" s="1" t="str">
        <f ca="1">IFERROR(__xludf.DUMMYFUNCTION("""COMPUTED_VALUE"""),"Departemen Teknik Kimia")</f>
        <v>Departemen Teknik Kimia</v>
      </c>
      <c r="O541" s="1" t="str">
        <f ca="1">IFERROR(__xludf.DUMMYFUNCTION("""COMPUTED_VALUE"""),"DESIAMY FITRIA")</f>
        <v>DESIAMY FITRIA</v>
      </c>
      <c r="P541" s="1" t="str">
        <f ca="1">IFERROR(__xludf.DUMMYFUNCTION("""COMPUTED_VALUE"""),"5014211005")</f>
        <v>5014211005</v>
      </c>
      <c r="Q541" s="1" t="str">
        <f ca="1">IFERROR(__xludf.DUMMYFUNCTION("""COMPUTED_VALUE"""),"Departemen Teknik Lingkungan")</f>
        <v>Departemen Teknik Lingkungan</v>
      </c>
      <c r="R541" s="1" t="str">
        <f ca="1">IFERROR(__xludf.DUMMYFUNCTION("""COMPUTED_VALUE"""),"ACHMAD UMAR SA`ID")</f>
        <v>ACHMAD UMAR SA`ID</v>
      </c>
      <c r="S541" s="1" t="str">
        <f ca="1">IFERROR(__xludf.DUMMYFUNCTION("""COMPUTED_VALUE"""),"5011201035")</f>
        <v>5011201035</v>
      </c>
      <c r="T541" s="1" t="str">
        <f ca="1">IFERROR(__xludf.DUMMYFUNCTION("""COMPUTED_VALUE"""),"Departemen Teknik Material dan Metalurgi")</f>
        <v>Departemen Teknik Material dan Metalurgi</v>
      </c>
      <c r="U541" s="1" t="str">
        <f ca="1">IFERROR(__xludf.DUMMYFUNCTION("""COMPUTED_VALUE"""),"Welly Herumurti, S.T., M.Sc.")</f>
        <v>Welly Herumurti, S.T., M.Sc.</v>
      </c>
      <c r="V541" s="1" t="str">
        <f ca="1">IFERROR(__xludf.DUMMYFUNCTION("""COMPUTED_VALUE"""),"Naufan Noordyanto, S.Sn., M.Sn.")</f>
        <v>Naufan Noordyanto, S.Sn., M.Sn.</v>
      </c>
      <c r="W541" s="1"/>
      <c r="X541" s="1" t="str">
        <f ca="1">IFERROR(__xludf.DUMMYFUNCTION("""COMPUTED_VALUE"""),"Lolos")</f>
        <v>Lolos</v>
      </c>
      <c r="Y541" s="1"/>
      <c r="Z541" s="1"/>
      <c r="AA541" s="1"/>
    </row>
    <row r="542" spans="1:27">
      <c r="A542" s="1" t="s">
        <v>529</v>
      </c>
      <c r="B542" s="1">
        <f ca="1">IFERROR(__xludf.DUMMYFUNCTION("""COMPUTED_VALUE"""),2932)</f>
        <v>2932</v>
      </c>
      <c r="C542" s="1" t="str">
        <f ca="1">IFERROR(__xludf.DUMMYFUNCTION("""COMPUTED_VALUE"""),"PKM Pengabdian Kepada Masyarakat")</f>
        <v>PKM Pengabdian Kepada Masyarakat</v>
      </c>
      <c r="D542" s="1" t="str">
        <f ca="1">IFERROR(__xludf.DUMMYFUNCTION("""COMPUTED_VALUE"""),"Pemberdayaan Kampung Eco Enzyme sebagai Sentra Ekonomi Melalui Pelatihan Ibu PKK di Eks Lokalisasi Jarak, Surabaya")</f>
        <v>Pemberdayaan Kampung Eco Enzyme sebagai Sentra Ekonomi Melalui Pelatihan Ibu PKK di Eks Lokalisasi Jarak, Surabaya</v>
      </c>
      <c r="E542" s="1" t="str">
        <f ca="1">IFERROR(__xludf.DUMMYFUNCTION("""COMPUTED_VALUE"""),"RATIH HANDAYANI")</f>
        <v>RATIH HANDAYANI</v>
      </c>
      <c r="F542" s="1" t="str">
        <f ca="1">IFERROR(__xludf.DUMMYFUNCTION("""COMPUTED_VALUE"""),"5004211068")</f>
        <v>5004211068</v>
      </c>
      <c r="G542" s="1" t="str">
        <f ca="1">IFERROR(__xludf.DUMMYFUNCTION("""COMPUTED_VALUE"""),"Departemen Kimia")</f>
        <v>Departemen Kimia</v>
      </c>
      <c r="H542" s="1" t="str">
        <f ca="1">IFERROR(__xludf.DUMMYFUNCTION("""COMPUTED_VALUE"""),"Deti Rahmawati, S.I.P., M.T.")</f>
        <v>Deti Rahmawati, S.I.P., M.T.</v>
      </c>
      <c r="I542" s="1" t="str">
        <f ca="1">IFERROR(__xludf.DUMMYFUNCTION("""COMPUTED_VALUE"""),"IMMANUEL N. LBN GAOL")</f>
        <v>IMMANUEL N. LBN GAOL</v>
      </c>
      <c r="J542" s="1" t="str">
        <f ca="1">IFERROR(__xludf.DUMMYFUNCTION("""COMPUTED_VALUE"""),"5004211006")</f>
        <v>5004211006</v>
      </c>
      <c r="K542" s="1" t="str">
        <f ca="1">IFERROR(__xludf.DUMMYFUNCTION("""COMPUTED_VALUE"""),"Departemen Kimia")</f>
        <v>Departemen Kimia</v>
      </c>
      <c r="L542" s="1" t="str">
        <f ca="1">IFERROR(__xludf.DUMMYFUNCTION("""COMPUTED_VALUE"""),"ANGELICA RACHEL H P")</f>
        <v>ANGELICA RACHEL H P</v>
      </c>
      <c r="M542" s="1" t="str">
        <f ca="1">IFERROR(__xludf.DUMMYFUNCTION("""COMPUTED_VALUE"""),"5004211141")</f>
        <v>5004211141</v>
      </c>
      <c r="N542" s="1" t="str">
        <f ca="1">IFERROR(__xludf.DUMMYFUNCTION("""COMPUTED_VALUE"""),"Departemen Kimia")</f>
        <v>Departemen Kimia</v>
      </c>
      <c r="O542" s="1" t="str">
        <f ca="1">IFERROR(__xludf.DUMMYFUNCTION("""COMPUTED_VALUE"""),"Irma Fitriani")</f>
        <v>Irma Fitriani</v>
      </c>
      <c r="P542" s="1" t="str">
        <f ca="1">IFERROR(__xludf.DUMMYFUNCTION("""COMPUTED_VALUE"""),"5004211111")</f>
        <v>5004211111</v>
      </c>
      <c r="Q542" s="1" t="str">
        <f ca="1">IFERROR(__xludf.DUMMYFUNCTION("""COMPUTED_VALUE"""),"Departemen Kimia")</f>
        <v>Departemen Kimia</v>
      </c>
      <c r="R542" s="1" t="str">
        <f ca="1">IFERROR(__xludf.DUMMYFUNCTION("""COMPUTED_VALUE"""),"ANGELA TIRTA P.I.H")</f>
        <v>ANGELA TIRTA P.I.H</v>
      </c>
      <c r="S542" s="1" t="str">
        <f ca="1">IFERROR(__xludf.DUMMYFUNCTION("""COMPUTED_VALUE"""),"5028211072")</f>
        <v>5028211072</v>
      </c>
      <c r="T542" s="1" t="str">
        <f ca="1">IFERROR(__xludf.DUMMYFUNCTION("""COMPUTED_VALUE"""),"Departemen Desain Produk")</f>
        <v>Departemen Desain Produk</v>
      </c>
      <c r="U542" s="1" t="str">
        <f ca="1">IFERROR(__xludf.DUMMYFUNCTION("""COMPUTED_VALUE"""),"Welly Herumurti, S.T., M.Sc.")</f>
        <v>Welly Herumurti, S.T., M.Sc.</v>
      </c>
      <c r="V542" s="1" t="str">
        <f ca="1">IFERROR(__xludf.DUMMYFUNCTION("""COMPUTED_VALUE"""),"Naufan Noordyanto, S.Sn., M.Sn.")</f>
        <v>Naufan Noordyanto, S.Sn., M.Sn.</v>
      </c>
      <c r="W542" s="1"/>
      <c r="X542" s="1" t="str">
        <f ca="1">IFERROR(__xludf.DUMMYFUNCTION("""COMPUTED_VALUE"""),"Lolos")</f>
        <v>Lolos</v>
      </c>
      <c r="Y542" s="1"/>
      <c r="Z542" s="1"/>
      <c r="AA542" s="1"/>
    </row>
    <row r="543" spans="1:27">
      <c r="A543" s="1" t="s">
        <v>530</v>
      </c>
      <c r="B543" s="1">
        <f ca="1">IFERROR(__xludf.DUMMYFUNCTION("""COMPUTED_VALUE"""),2950)</f>
        <v>2950</v>
      </c>
      <c r="C543" s="1" t="str">
        <f ca="1">IFERROR(__xludf.DUMMYFUNCTION("""COMPUTED_VALUE"""),"PKM Pengabdian Kepada Masyarakat")</f>
        <v>PKM Pengabdian Kepada Masyarakat</v>
      </c>
      <c r="D543" s="1" t="str">
        <f ca="1">IFERROR(__xludf.DUMMYFUNCTION("""COMPUTED_VALUE"""),"Pengaplikasian Biopond Bertingkat sebagai Media Budidaya Maggot Mandiri untuk Memberdayakan Program Adiwiyata SMAN 1 Gresik Berbasis Kewirausahaan
")</f>
        <v xml:space="preserve">Pengaplikasian Biopond Bertingkat sebagai Media Budidaya Maggot Mandiri untuk Memberdayakan Program Adiwiyata SMAN 1 Gresik Berbasis Kewirausahaan
</v>
      </c>
      <c r="E543" s="1" t="str">
        <f ca="1">IFERROR(__xludf.DUMMYFUNCTION("""COMPUTED_VALUE"""),"Lucky Adjun")</f>
        <v>Lucky Adjun</v>
      </c>
      <c r="F543" s="1" t="str">
        <f ca="1">IFERROR(__xludf.DUMMYFUNCTION("""COMPUTED_VALUE"""),"5008211031")</f>
        <v>5008211031</v>
      </c>
      <c r="G543" s="1" t="str">
        <f ca="1">IFERROR(__xludf.DUMMYFUNCTION("""COMPUTED_VALUE"""),"Departemen Teknik Kimia")</f>
        <v>Departemen Teknik Kimia</v>
      </c>
      <c r="H543" s="1" t="str">
        <f ca="1">IFERROR(__xludf.DUMMYFUNCTION("""COMPUTED_VALUE"""),"Dr.Eng. Siti Machmudah, S.T., M.Eng.")</f>
        <v>Dr.Eng. Siti Machmudah, S.T., M.Eng.</v>
      </c>
      <c r="I543" s="1" t="str">
        <f ca="1">IFERROR(__xludf.DUMMYFUNCTION("""COMPUTED_VALUE"""),"Moh Rosy Haqqy A")</f>
        <v>Moh Rosy Haqqy A</v>
      </c>
      <c r="J543" s="1" t="str">
        <f ca="1">IFERROR(__xludf.DUMMYFUNCTION("""COMPUTED_VALUE"""),"5025211012")</f>
        <v>5025211012</v>
      </c>
      <c r="K543" s="1" t="str">
        <f ca="1">IFERROR(__xludf.DUMMYFUNCTION("""COMPUTED_VALUE"""),"Departemen Teknik Informatika")</f>
        <v>Departemen Teknik Informatika</v>
      </c>
      <c r="L543" s="1" t="str">
        <f ca="1">IFERROR(__xludf.DUMMYFUNCTION("""COMPUTED_VALUE"""),"AISYAH MAULIDYA C A")</f>
        <v>AISYAH MAULIDYA C A</v>
      </c>
      <c r="M543" s="1" t="str">
        <f ca="1">IFERROR(__xludf.DUMMYFUNCTION("""COMPUTED_VALUE"""),"5003211067")</f>
        <v>5003211067</v>
      </c>
      <c r="N543" s="1" t="str">
        <f ca="1">IFERROR(__xludf.DUMMYFUNCTION("""COMPUTED_VALUE"""),"Departemen Statistika")</f>
        <v>Departemen Statistika</v>
      </c>
      <c r="O543" s="1" t="str">
        <f ca="1">IFERROR(__xludf.DUMMYFUNCTION("""COMPUTED_VALUE"""),"Ajeng Wardhani K.")</f>
        <v>Ajeng Wardhani K.</v>
      </c>
      <c r="P543" s="1" t="str">
        <f ca="1">IFERROR(__xludf.DUMMYFUNCTION("""COMPUTED_VALUE"""),"5010211006")</f>
        <v>5010211006</v>
      </c>
      <c r="Q543" s="1" t="str">
        <f ca="1">IFERROR(__xludf.DUMMYFUNCTION("""COMPUTED_VALUE"""),"Departemen Teknik Sistem dan Industri")</f>
        <v>Departemen Teknik Sistem dan Industri</v>
      </c>
      <c r="R543" s="1" t="str">
        <f ca="1">IFERROR(__xludf.DUMMYFUNCTION("""COMPUTED_VALUE"""),"Anifatihatul M.")</f>
        <v>Anifatihatul M.</v>
      </c>
      <c r="S543" s="1" t="str">
        <f ca="1">IFERROR(__xludf.DUMMYFUNCTION("""COMPUTED_VALUE"""),"5004211031")</f>
        <v>5004211031</v>
      </c>
      <c r="T543" s="1" t="str">
        <f ca="1">IFERROR(__xludf.DUMMYFUNCTION("""COMPUTED_VALUE"""),"Departemen Kimia")</f>
        <v>Departemen Kimia</v>
      </c>
      <c r="U543" s="1" t="str">
        <f ca="1">IFERROR(__xludf.DUMMYFUNCTION("""COMPUTED_VALUE"""),"Hertiari Idajati, S.T., M.Sc.")</f>
        <v>Hertiari Idajati, S.T., M.Sc.</v>
      </c>
      <c r="V543" s="1" t="str">
        <f ca="1">IFERROR(__xludf.DUMMYFUNCTION("""COMPUTED_VALUE"""),"Ir. Muchammad Husni, M.Kom")</f>
        <v>Ir. Muchammad Husni, M.Kom</v>
      </c>
      <c r="W543" s="1"/>
      <c r="X543" s="1" t="str">
        <f ca="1">IFERROR(__xludf.DUMMYFUNCTION("""COMPUTED_VALUE"""),"Lolos")</f>
        <v>Lolos</v>
      </c>
      <c r="Y543" s="1"/>
      <c r="Z543" s="1"/>
      <c r="AA543" s="1"/>
    </row>
    <row r="544" spans="1:27">
      <c r="A544" s="1" t="s">
        <v>531</v>
      </c>
      <c r="B544" s="1">
        <f ca="1">IFERROR(__xludf.DUMMYFUNCTION("""COMPUTED_VALUE"""),4133)</f>
        <v>4133</v>
      </c>
      <c r="C544" s="1" t="str">
        <f ca="1">IFERROR(__xludf.DUMMYFUNCTION("""COMPUTED_VALUE"""),"PKM Pengabdian Kepada Masyarakat")</f>
        <v>PKM Pengabdian Kepada Masyarakat</v>
      </c>
      <c r="D544" s="1" t="str">
        <f ca="1">IFERROR(__xludf.DUMMYFUNCTION("""COMPUTED_VALUE"""),"Pemberdayaan Ibu-Ibu PKK Desa Jarak Melalui Pemanfaatan Limbah Tongkol Jagung Menjadi Media Tanam Jamur Tiram Untuk Meningkatkan Perekonomian Masyarakat")</f>
        <v>Pemberdayaan Ibu-Ibu PKK Desa Jarak Melalui Pemanfaatan Limbah Tongkol Jagung Menjadi Media Tanam Jamur Tiram Untuk Meningkatkan Perekonomian Masyarakat</v>
      </c>
      <c r="E544" s="1" t="str">
        <f ca="1">IFERROR(__xludf.DUMMYFUNCTION("""COMPUTED_VALUE"""),"MOCH CHOIRUL AKBAR ")</f>
        <v xml:space="preserve">MOCH CHOIRUL AKBAR </v>
      </c>
      <c r="F544" s="1" t="str">
        <f ca="1">IFERROR(__xludf.DUMMYFUNCTION("""COMPUTED_VALUE"""),"5012211039")</f>
        <v>5012211039</v>
      </c>
      <c r="G544" s="1" t="str">
        <f ca="1">IFERROR(__xludf.DUMMYFUNCTION("""COMPUTED_VALUE"""),"Departemen Teknik Sipil")</f>
        <v>Departemen Teknik Sipil</v>
      </c>
      <c r="H544" s="1" t="str">
        <f ca="1">IFERROR(__xludf.DUMMYFUNCTION("""COMPUTED_VALUE"""),"Nur Hidayatul Alami, S.Si., M.Si.")</f>
        <v>Nur Hidayatul Alami, S.Si., M.Si.</v>
      </c>
      <c r="I544" s="1" t="str">
        <f ca="1">IFERROR(__xludf.DUMMYFUNCTION("""COMPUTED_VALUE"""),"Nurudin Al Asfihani")</f>
        <v>Nurudin Al Asfihani</v>
      </c>
      <c r="J544" s="1" t="str">
        <f ca="1">IFERROR(__xludf.DUMMYFUNCTION("""COMPUTED_VALUE"""),"5013211087")</f>
        <v>5013211087</v>
      </c>
      <c r="K544" s="1" t="str">
        <f ca="1">IFERROR(__xludf.DUMMYFUNCTION("""COMPUTED_VALUE"""),"Departemen Arsitektur")</f>
        <v>Departemen Arsitektur</v>
      </c>
      <c r="L544" s="1" t="str">
        <f ca="1">IFERROR(__xludf.DUMMYFUNCTION("""COMPUTED_VALUE"""),"HANA DIAN MUFIDA")</f>
        <v>HANA DIAN MUFIDA</v>
      </c>
      <c r="M544" s="1" t="str">
        <f ca="1">IFERROR(__xludf.DUMMYFUNCTION("""COMPUTED_VALUE"""),"5005201032")</f>
        <v>5005201032</v>
      </c>
      <c r="N544" s="1" t="str">
        <f ca="1">IFERROR(__xludf.DUMMYFUNCTION("""COMPUTED_VALUE"""),"Departemen Biologi")</f>
        <v>Departemen Biologi</v>
      </c>
      <c r="O544" s="1" t="str">
        <f ca="1">IFERROR(__xludf.DUMMYFUNCTION("""COMPUTED_VALUE"""),"ISMAWATI PUTRI")</f>
        <v>ISMAWATI PUTRI</v>
      </c>
      <c r="P544" s="1" t="str">
        <f ca="1">IFERROR(__xludf.DUMMYFUNCTION("""COMPUTED_VALUE"""),"5001201078")</f>
        <v>5001201078</v>
      </c>
      <c r="Q544" s="1" t="str">
        <f ca="1">IFERROR(__xludf.DUMMYFUNCTION("""COMPUTED_VALUE"""),"Departemen Fisika")</f>
        <v>Departemen Fisika</v>
      </c>
      <c r="R544" s="1" t="str">
        <f ca="1">IFERROR(__xludf.DUMMYFUNCTION("""COMPUTED_VALUE"""),"NURIYAH AINI")</f>
        <v>NURIYAH AINI</v>
      </c>
      <c r="S544" s="1" t="str">
        <f ca="1">IFERROR(__xludf.DUMMYFUNCTION("""COMPUTED_VALUE"""),"5033201018")</f>
        <v>5033201018</v>
      </c>
      <c r="T544" s="1" t="str">
        <f ca="1">IFERROR(__xludf.DUMMYFUNCTION("""COMPUTED_VALUE"""),"Departemen Studi Pembangunan")</f>
        <v>Departemen Studi Pembangunan</v>
      </c>
      <c r="U544" s="1" t="str">
        <f ca="1">IFERROR(__xludf.DUMMYFUNCTION("""COMPUTED_VALUE"""),"Welly Herumurti, S.T., M.Sc.")</f>
        <v>Welly Herumurti, S.T., M.Sc.</v>
      </c>
      <c r="V544" s="1" t="str">
        <f ca="1">IFERROR(__xludf.DUMMYFUNCTION("""COMPUTED_VALUE"""),"Naufan Noordyanto, S.Sn., M.Sn.")</f>
        <v>Naufan Noordyanto, S.Sn., M.Sn.</v>
      </c>
      <c r="W544" s="1"/>
      <c r="X544" s="1" t="str">
        <f ca="1">IFERROR(__xludf.DUMMYFUNCTION("""COMPUTED_VALUE"""),"Lolos")</f>
        <v>Lolos</v>
      </c>
      <c r="Y544" s="1"/>
      <c r="Z544" s="1"/>
      <c r="AA544" s="1"/>
    </row>
    <row r="545" spans="1:27">
      <c r="A545" s="1" t="s">
        <v>532</v>
      </c>
      <c r="B545" s="1">
        <f ca="1">IFERROR(__xludf.DUMMYFUNCTION("""COMPUTED_VALUE"""),3841)</f>
        <v>3841</v>
      </c>
      <c r="C545" s="1" t="str">
        <f ca="1">IFERROR(__xludf.DUMMYFUNCTION("""COMPUTED_VALUE"""),"PKM Pengabdian Kepada Masyarakat")</f>
        <v>PKM Pengabdian Kepada Masyarakat</v>
      </c>
      <c r="D545" s="1" t="str">
        <f ca="1">IFERROR(__xludf.DUMMYFUNCTION("""COMPUTED_VALUE"""),"Inovasi Pembuatan Nata De Soya (dari  Limbah Cair Tahu) sebagai Upaya Pengolahan Limbah pada Industri Tahu Bulusan")</f>
        <v>Inovasi Pembuatan Nata De Soya (dari  Limbah Cair Tahu) sebagai Upaya Pengolahan Limbah pada Industri Tahu Bulusan</v>
      </c>
      <c r="E545" s="1" t="str">
        <f ca="1">IFERROR(__xludf.DUMMYFUNCTION("""COMPUTED_VALUE"""),"REGETA SALSABILA PUTRI HANI")</f>
        <v>REGETA SALSABILA PUTRI HANI</v>
      </c>
      <c r="F545" s="1" t="str">
        <f ca="1">IFERROR(__xludf.DUMMYFUNCTION("""COMPUTED_VALUE"""),"2041201048")</f>
        <v>2041201048</v>
      </c>
      <c r="G545" s="1" t="str">
        <f ca="1">IFERROR(__xludf.DUMMYFUNCTION("""COMPUTED_VALUE"""),"Departemen Teknik Kimia Industri")</f>
        <v>Departemen Teknik Kimia Industri</v>
      </c>
      <c r="H545" s="1" t="str">
        <f ca="1">IFERROR(__xludf.DUMMYFUNCTION("""COMPUTED_VALUE"""),"Dr. Afan Hamzah, S.T.")</f>
        <v>Dr. Afan Hamzah, S.T.</v>
      </c>
      <c r="I545" s="1" t="str">
        <f ca="1">IFERROR(__xludf.DUMMYFUNCTION("""COMPUTED_VALUE"""),"FARAH AMIRAH FIRYAL RAMADHANI")</f>
        <v>FARAH AMIRAH FIRYAL RAMADHANI</v>
      </c>
      <c r="J545" s="1" t="str">
        <f ca="1">IFERROR(__xludf.DUMMYFUNCTION("""COMPUTED_VALUE"""),"2041201026")</f>
        <v>2041201026</v>
      </c>
      <c r="K545" s="1" t="str">
        <f ca="1">IFERROR(__xludf.DUMMYFUNCTION("""COMPUTED_VALUE"""),"Departemen Teknik Kimia Industri")</f>
        <v>Departemen Teknik Kimia Industri</v>
      </c>
      <c r="L545" s="1" t="str">
        <f ca="1">IFERROR(__xludf.DUMMYFUNCTION("""COMPUTED_VALUE"""),"KABIRA BENNANI")</f>
        <v>KABIRA BENNANI</v>
      </c>
      <c r="M545" s="1" t="str">
        <f ca="1">IFERROR(__xludf.DUMMYFUNCTION("""COMPUTED_VALUE"""),"2041201072")</f>
        <v>2041201072</v>
      </c>
      <c r="N545" s="1" t="str">
        <f ca="1">IFERROR(__xludf.DUMMYFUNCTION("""COMPUTED_VALUE"""),"Departemen Teknik Kimia Industri")</f>
        <v>Departemen Teknik Kimia Industri</v>
      </c>
      <c r="O545" s="1" t="str">
        <f ca="1">IFERROR(__xludf.DUMMYFUNCTION("""COMPUTED_VALUE"""),"NABILA WAHYU AZIZAH")</f>
        <v>NABILA WAHYU AZIZAH</v>
      </c>
      <c r="P545" s="1" t="str">
        <f ca="1">IFERROR(__xludf.DUMMYFUNCTION("""COMPUTED_VALUE"""),"2041201052")</f>
        <v>2041201052</v>
      </c>
      <c r="Q545" s="1" t="str">
        <f ca="1">IFERROR(__xludf.DUMMYFUNCTION("""COMPUTED_VALUE"""),"Departemen Teknik Kimia Industri")</f>
        <v>Departemen Teknik Kimia Industri</v>
      </c>
      <c r="R545" s="1"/>
      <c r="S545" s="1"/>
      <c r="T545" s="1"/>
      <c r="U545" s="1" t="str">
        <f ca="1">IFERROR(__xludf.DUMMYFUNCTION("""COMPUTED_VALUE"""),"Hertiari Idajati, S.T., M.Sc.")</f>
        <v>Hertiari Idajati, S.T., M.Sc.</v>
      </c>
      <c r="V545" s="1" t="str">
        <f ca="1">IFERROR(__xludf.DUMMYFUNCTION("""COMPUTED_VALUE"""),"Ir. Muchammad Husni, M.Kom")</f>
        <v>Ir. Muchammad Husni, M.Kom</v>
      </c>
      <c r="W545" s="1"/>
      <c r="X545" s="1" t="str">
        <f ca="1">IFERROR(__xludf.DUMMYFUNCTION("""COMPUTED_VALUE"""),"Lolos")</f>
        <v>Lolos</v>
      </c>
      <c r="Y545" s="1"/>
      <c r="Z545" s="1"/>
      <c r="AA545" s="1"/>
    </row>
    <row r="546" spans="1:27">
      <c r="A546" s="1" t="s">
        <v>533</v>
      </c>
      <c r="B546" s="1">
        <f ca="1">IFERROR(__xludf.DUMMYFUNCTION("""COMPUTED_VALUE"""),4011)</f>
        <v>4011</v>
      </c>
      <c r="C546" s="1" t="str">
        <f ca="1">IFERROR(__xludf.DUMMYFUNCTION("""COMPUTED_VALUE"""),"PKM Pengabdian Kepada Masyarakat")</f>
        <v>PKM Pengabdian Kepada Masyarakat</v>
      </c>
      <c r="D546" s="1" t="str">
        <f ca="1">IFERROR(__xludf.DUMMYFUNCTION("""COMPUTED_VALUE"""),"Upaya Meningkatkan Kesejahteraan Lingkungan dan Perekonomian Ibu PKK Kampung Keputih Timur Jaya Melalui Pemanfaatan Limbah Botol Sebagai Media Tanam Hidroponik")</f>
        <v>Upaya Meningkatkan Kesejahteraan Lingkungan dan Perekonomian Ibu PKK Kampung Keputih Timur Jaya Melalui Pemanfaatan Limbah Botol Sebagai Media Tanam Hidroponik</v>
      </c>
      <c r="E546" s="1" t="str">
        <f ca="1">IFERROR(__xludf.DUMMYFUNCTION("""COMPUTED_VALUE"""),"SYANDA AZZAHRA")</f>
        <v>SYANDA AZZAHRA</v>
      </c>
      <c r="F546" s="1" t="str">
        <f ca="1">IFERROR(__xludf.DUMMYFUNCTION("""COMPUTED_VALUE"""),"5005211016")</f>
        <v>5005211016</v>
      </c>
      <c r="G546" s="1" t="str">
        <f ca="1">IFERROR(__xludf.DUMMYFUNCTION("""COMPUTED_VALUE"""),"Departemen Biologi")</f>
        <v>Departemen Biologi</v>
      </c>
      <c r="H546" s="1" t="str">
        <f ca="1">IFERROR(__xludf.DUMMYFUNCTION("""COMPUTED_VALUE"""),"Iska Desmawati, S.Si., M.Si.")</f>
        <v>Iska Desmawati, S.Si., M.Si.</v>
      </c>
      <c r="I546" s="1" t="str">
        <f ca="1">IFERROR(__xludf.DUMMYFUNCTION("""COMPUTED_VALUE"""),"Aisyah Mutmainnah S")</f>
        <v>Aisyah Mutmainnah S</v>
      </c>
      <c r="J546" s="1" t="str">
        <f ca="1">IFERROR(__xludf.DUMMYFUNCTION("""COMPUTED_VALUE"""),"5005211094")</f>
        <v>5005211094</v>
      </c>
      <c r="K546" s="1" t="str">
        <f ca="1">IFERROR(__xludf.DUMMYFUNCTION("""COMPUTED_VALUE"""),"Departemen Biologi")</f>
        <v>Departemen Biologi</v>
      </c>
      <c r="L546" s="1" t="str">
        <f ca="1">IFERROR(__xludf.DUMMYFUNCTION("""COMPUTED_VALUE"""),"Regina Khansa Qanita")</f>
        <v>Regina Khansa Qanita</v>
      </c>
      <c r="M546" s="1" t="str">
        <f ca="1">IFERROR(__xludf.DUMMYFUNCTION("""COMPUTED_VALUE"""),"5005211085")</f>
        <v>5005211085</v>
      </c>
      <c r="N546" s="1" t="str">
        <f ca="1">IFERROR(__xludf.DUMMYFUNCTION("""COMPUTED_VALUE"""),"Departemen Biologi")</f>
        <v>Departemen Biologi</v>
      </c>
      <c r="O546" s="1" t="str">
        <f ca="1">IFERROR(__xludf.DUMMYFUNCTION("""COMPUTED_VALUE"""),"NURUL ILMI ROJABIA H")</f>
        <v>NURUL ILMI ROJABIA H</v>
      </c>
      <c r="P546" s="1" t="str">
        <f ca="1">IFERROR(__xludf.DUMMYFUNCTION("""COMPUTED_VALUE"""),"5022211111")</f>
        <v>5022211111</v>
      </c>
      <c r="Q546" s="1" t="str">
        <f ca="1">IFERROR(__xludf.DUMMYFUNCTION("""COMPUTED_VALUE"""),"Departemen Teknik Elektro")</f>
        <v>Departemen Teknik Elektro</v>
      </c>
      <c r="R546" s="1"/>
      <c r="S546" s="1"/>
      <c r="T546" s="1"/>
      <c r="U546" s="1" t="str">
        <f ca="1">IFERROR(__xludf.DUMMYFUNCTION("""COMPUTED_VALUE"""),"Hertiari Idajati, S.T., M.Sc.")</f>
        <v>Hertiari Idajati, S.T., M.Sc.</v>
      </c>
      <c r="V546" s="1" t="str">
        <f ca="1">IFERROR(__xludf.DUMMYFUNCTION("""COMPUTED_VALUE"""),"Ir. Muchammad Husni, M.Kom")</f>
        <v>Ir. Muchammad Husni, M.Kom</v>
      </c>
      <c r="W546" s="1"/>
      <c r="X546" s="1" t="str">
        <f ca="1">IFERROR(__xludf.DUMMYFUNCTION("""COMPUTED_VALUE"""),"Lolos")</f>
        <v>Lolos</v>
      </c>
      <c r="Y546" s="1"/>
      <c r="Z546" s="1"/>
      <c r="AA546" s="1"/>
    </row>
    <row r="547" spans="1:27">
      <c r="A547" s="1" t="s">
        <v>534</v>
      </c>
      <c r="B547" s="1">
        <f ca="1">IFERROR(__xludf.DUMMYFUNCTION("""COMPUTED_VALUE"""),2247)</f>
        <v>2247</v>
      </c>
      <c r="C547" s="1" t="str">
        <f ca="1">IFERROR(__xludf.DUMMYFUNCTION("""COMPUTED_VALUE"""),"PKM Pengabdian Kepada Masyarakat")</f>
        <v>PKM Pengabdian Kepada Masyarakat</v>
      </c>
      <c r="D547" s="1" t="str">
        <f ca="1">IFERROR(__xludf.DUMMYFUNCTION("""COMPUTED_VALUE"""),"Program Pembinaan dan Pendampingan Sistem Peternakan Kambing  ""Ngingu Bareng Farm"" sebagai Upaya Pengembangan Ekonomi Masyarakat Desa Milangasri Kabupaten Magetan")</f>
        <v>Program Pembinaan dan Pendampingan Sistem Peternakan Kambing  "Ngingu Bareng Farm" sebagai Upaya Pengembangan Ekonomi Masyarakat Desa Milangasri Kabupaten Magetan</v>
      </c>
      <c r="E547" s="1" t="str">
        <f ca="1">IFERROR(__xludf.DUMMYFUNCTION("""COMPUTED_VALUE"""),"MUHAMAD RIZKI")</f>
        <v>MUHAMAD RIZKI</v>
      </c>
      <c r="F547" s="1" t="str">
        <f ca="1">IFERROR(__xludf.DUMMYFUNCTION("""COMPUTED_VALUE"""),"2036201072")</f>
        <v>2036201072</v>
      </c>
      <c r="G547" s="1" t="str">
        <f ca="1">IFERROR(__xludf.DUMMYFUNCTION("""COMPUTED_VALUE"""),"Departemen Teknik Infrastruktur Sipil")</f>
        <v>Departemen Teknik Infrastruktur Sipil</v>
      </c>
      <c r="H547" s="1" t="str">
        <f ca="1">IFERROR(__xludf.DUMMYFUNCTION("""COMPUTED_VALUE"""),"Muhammad Hafiizh Imaaduddiin, S.T., M.T.")</f>
        <v>Muhammad Hafiizh Imaaduddiin, S.T., M.T.</v>
      </c>
      <c r="I547" s="1" t="str">
        <f ca="1">IFERROR(__xludf.DUMMYFUNCTION("""COMPUTED_VALUE"""),"SHELLA ANIKA ANDAMARI")</f>
        <v>SHELLA ANIKA ANDAMARI</v>
      </c>
      <c r="J547" s="1" t="str">
        <f ca="1">IFERROR(__xludf.DUMMYFUNCTION("""COMPUTED_VALUE"""),"2036201081")</f>
        <v>2036201081</v>
      </c>
      <c r="K547" s="1" t="str">
        <f ca="1">IFERROR(__xludf.DUMMYFUNCTION("""COMPUTED_VALUE"""),"Departemen Teknik Infrastruktur Sipil")</f>
        <v>Departemen Teknik Infrastruktur Sipil</v>
      </c>
      <c r="L547" s="1" t="str">
        <f ca="1">IFERROR(__xludf.DUMMYFUNCTION("""COMPUTED_VALUE"""),"RAHMA DWI NUR ANDINI")</f>
        <v>RAHMA DWI NUR ANDINI</v>
      </c>
      <c r="M547" s="1" t="str">
        <f ca="1">IFERROR(__xludf.DUMMYFUNCTION("""COMPUTED_VALUE"""),"2036201085")</f>
        <v>2036201085</v>
      </c>
      <c r="N547" s="1" t="str">
        <f ca="1">IFERROR(__xludf.DUMMYFUNCTION("""COMPUTED_VALUE"""),"Departemen Teknik Infrastruktur Sipil")</f>
        <v>Departemen Teknik Infrastruktur Sipil</v>
      </c>
      <c r="O547" s="1" t="str">
        <f ca="1">IFERROR(__xludf.DUMMYFUNCTION("""COMPUTED_VALUE"""),"MOCH RIZKI ROZZAQI RAMADHANI")</f>
        <v>MOCH RIZKI ROZZAQI RAMADHANI</v>
      </c>
      <c r="P547" s="1" t="str">
        <f ca="1">IFERROR(__xludf.DUMMYFUNCTION("""COMPUTED_VALUE"""),"2036201068")</f>
        <v>2036201068</v>
      </c>
      <c r="Q547" s="1" t="str">
        <f ca="1">IFERROR(__xludf.DUMMYFUNCTION("""COMPUTED_VALUE"""),"Departemen Teknik Infrastruktur Sipil")</f>
        <v>Departemen Teknik Infrastruktur Sipil</v>
      </c>
      <c r="R547" s="1" t="str">
        <f ca="1">IFERROR(__xludf.DUMMYFUNCTION("""COMPUTED_VALUE"""),"AHMAD WILDAN N. M. A")</f>
        <v>AHMAD WILDAN N. M. A</v>
      </c>
      <c r="S547" s="1" t="str">
        <f ca="1">IFERROR(__xludf.DUMMYFUNCTION("""COMPUTED_VALUE"""),"2035211013")</f>
        <v>2035211013</v>
      </c>
      <c r="T547" s="1" t="str">
        <f ca="1">IFERROR(__xludf.DUMMYFUNCTION("""COMPUTED_VALUE"""),"Departemen Teknik Infrastruktur Sipil")</f>
        <v>Departemen Teknik Infrastruktur Sipil</v>
      </c>
      <c r="U547" s="1" t="str">
        <f ca="1">IFERROR(__xludf.DUMMYFUNCTION("""COMPUTED_VALUE"""),"Hertiari Idajati, S.T., M.Sc.")</f>
        <v>Hertiari Idajati, S.T., M.Sc.</v>
      </c>
      <c r="V547" s="1" t="str">
        <f ca="1">IFERROR(__xludf.DUMMYFUNCTION("""COMPUTED_VALUE"""),"Ir. Muchammad Husni, M.Kom")</f>
        <v>Ir. Muchammad Husni, M.Kom</v>
      </c>
      <c r="W547" s="1"/>
      <c r="X547" s="1" t="str">
        <f ca="1">IFERROR(__xludf.DUMMYFUNCTION("""COMPUTED_VALUE"""),"Lolos")</f>
        <v>Lolos</v>
      </c>
      <c r="Y547" s="1"/>
      <c r="Z547" s="1"/>
      <c r="AA547" s="1"/>
    </row>
    <row r="548" spans="1:27">
      <c r="A548" s="1" t="s">
        <v>535</v>
      </c>
      <c r="B548" s="1">
        <f ca="1">IFERROR(__xludf.DUMMYFUNCTION("""COMPUTED_VALUE"""),3953)</f>
        <v>3953</v>
      </c>
      <c r="C548" s="1" t="str">
        <f ca="1">IFERROR(__xludf.DUMMYFUNCTION("""COMPUTED_VALUE"""),"PKM Pengabdian Kepada Masyarakat")</f>
        <v>PKM Pengabdian Kepada Masyarakat</v>
      </c>
      <c r="D548" s="1" t="str">
        <f ca="1">IFERROR(__xludf.DUMMYFUNCTION("""COMPUTED_VALUE"""),"Rancang Bangun Connector Adjustable Scooter pada Kursi Roda Guna Meningkatkan Mobilitas Komunitas Disable Motorcycle Indonesia (DMI) Surabaya")</f>
        <v>Rancang Bangun Connector Adjustable Scooter pada Kursi Roda Guna Meningkatkan Mobilitas Komunitas Disable Motorcycle Indonesia (DMI) Surabaya</v>
      </c>
      <c r="E548" s="1" t="str">
        <f ca="1">IFERROR(__xludf.DUMMYFUNCTION("""COMPUTED_VALUE"""),"DIMAS AJI YUDISTIRA")</f>
        <v>DIMAS AJI YUDISTIRA</v>
      </c>
      <c r="F548" s="1" t="str">
        <f ca="1">IFERROR(__xludf.DUMMYFUNCTION("""COMPUTED_VALUE"""),"02111940000132")</f>
        <v>02111940000132</v>
      </c>
      <c r="G548" s="1" t="str">
        <f ca="1">IFERROR(__xludf.DUMMYFUNCTION("""COMPUTED_VALUE"""),"Departemen Teknik Mesin")</f>
        <v>Departemen Teknik Mesin</v>
      </c>
      <c r="H548" s="1" t="str">
        <f ca="1">IFERROR(__xludf.DUMMYFUNCTION("""COMPUTED_VALUE"""),"Alief Wikarta, ST., MSc.Eng. Ph.D")</f>
        <v>Alief Wikarta, ST., MSc.Eng. Ph.D</v>
      </c>
      <c r="I548" s="1" t="str">
        <f ca="1">IFERROR(__xludf.DUMMYFUNCTION("""COMPUTED_VALUE"""),"Lutfi Zulva Hanifah")</f>
        <v>Lutfi Zulva Hanifah</v>
      </c>
      <c r="J548" s="1" t="str">
        <f ca="1">IFERROR(__xludf.DUMMYFUNCTION("""COMPUTED_VALUE"""),"02111940000032")</f>
        <v>02111940000032</v>
      </c>
      <c r="K548" s="1" t="str">
        <f ca="1">IFERROR(__xludf.DUMMYFUNCTION("""COMPUTED_VALUE"""),"Departemen Teknik Mesin")</f>
        <v>Departemen Teknik Mesin</v>
      </c>
      <c r="L548" s="1" t="str">
        <f ca="1">IFERROR(__xludf.DUMMYFUNCTION("""COMPUTED_VALUE"""),"Wardah Nur Amirah")</f>
        <v>Wardah Nur Amirah</v>
      </c>
      <c r="M548" s="1" t="str">
        <f ca="1">IFERROR(__xludf.DUMMYFUNCTION("""COMPUTED_VALUE"""),"02111940000045")</f>
        <v>02111940000045</v>
      </c>
      <c r="N548" s="1" t="str">
        <f ca="1">IFERROR(__xludf.DUMMYFUNCTION("""COMPUTED_VALUE"""),"Departemen Teknik Mesin")</f>
        <v>Departemen Teknik Mesin</v>
      </c>
      <c r="O548" s="1" t="str">
        <f ca="1">IFERROR(__xludf.DUMMYFUNCTION("""COMPUTED_VALUE"""),"AGAM WIRANATA TRISNAKUSUMA")</f>
        <v>AGAM WIRANATA TRISNAKUSUMA</v>
      </c>
      <c r="P548" s="1" t="str">
        <f ca="1">IFERROR(__xludf.DUMMYFUNCTION("""COMPUTED_VALUE"""),"02111940000078")</f>
        <v>02111940000078</v>
      </c>
      <c r="Q548" s="1" t="str">
        <f ca="1">IFERROR(__xludf.DUMMYFUNCTION("""COMPUTED_VALUE"""),"Departemen Teknik Mesin")</f>
        <v>Departemen Teknik Mesin</v>
      </c>
      <c r="R548" s="1" t="str">
        <f ca="1">IFERROR(__xludf.DUMMYFUNCTION("""COMPUTED_VALUE"""),"Cony Nurlita")</f>
        <v>Cony Nurlita</v>
      </c>
      <c r="S548" s="1" t="str">
        <f ca="1">IFERROR(__xludf.DUMMYFUNCTION("""COMPUTED_VALUE"""),"02111940000019")</f>
        <v>02111940000019</v>
      </c>
      <c r="T548" s="1" t="str">
        <f ca="1">IFERROR(__xludf.DUMMYFUNCTION("""COMPUTED_VALUE"""),"Departemen Teknik Mesin")</f>
        <v>Departemen Teknik Mesin</v>
      </c>
      <c r="U548" s="1" t="str">
        <f ca="1">IFERROR(__xludf.DUMMYFUNCTION("""COMPUTED_VALUE"""),"Hertiari Idajati, S.T., M.Sc.")</f>
        <v>Hertiari Idajati, S.T., M.Sc.</v>
      </c>
      <c r="V548" s="1" t="str">
        <f ca="1">IFERROR(__xludf.DUMMYFUNCTION("""COMPUTED_VALUE"""),"Dr. Afan Hamzah, S.T.")</f>
        <v>Dr. Afan Hamzah, S.T.</v>
      </c>
      <c r="W548" s="1"/>
      <c r="X548" s="1" t="str">
        <f ca="1">IFERROR(__xludf.DUMMYFUNCTION("""COMPUTED_VALUE"""),"Lolos")</f>
        <v>Lolos</v>
      </c>
      <c r="Y548" s="1"/>
      <c r="Z548" s="1"/>
      <c r="AA548" s="1"/>
    </row>
    <row r="549" spans="1:27">
      <c r="A549" s="1" t="s">
        <v>536</v>
      </c>
      <c r="B549" s="1">
        <f ca="1">IFERROR(__xludf.DUMMYFUNCTION("""COMPUTED_VALUE"""),3343)</f>
        <v>3343</v>
      </c>
      <c r="C549" s="1" t="str">
        <f ca="1">IFERROR(__xludf.DUMMYFUNCTION("""COMPUTED_VALUE"""),"PKM Pengabdian Kepada Masyarakat")</f>
        <v>PKM Pengabdian Kepada Masyarakat</v>
      </c>
      <c r="D549" s="1" t="str">
        <f ca="1">IFERROR(__xludf.DUMMYFUNCTION("""COMPUTED_VALUE"""),"SWEEP-UP : 360-Degree Surround View Camera Room Cleaner untuk Meningkatkan Efisiensi Pembersihan Ruangan di SMP Negeri 1 Kalidawir, Tulungagung")</f>
        <v>SWEEP-UP : 360-Degree Surround View Camera Room Cleaner untuk Meningkatkan Efisiensi Pembersihan Ruangan di SMP Negeri 1 Kalidawir, Tulungagung</v>
      </c>
      <c r="E549" s="1" t="str">
        <f ca="1">IFERROR(__xludf.DUMMYFUNCTION("""COMPUTED_VALUE"""),"Khusnul Khotimah")</f>
        <v>Khusnul Khotimah</v>
      </c>
      <c r="F549" s="1" t="str">
        <f ca="1">IFERROR(__xludf.DUMMYFUNCTION("""COMPUTED_VALUE"""),"5010211043")</f>
        <v>5010211043</v>
      </c>
      <c r="G549" s="1" t="str">
        <f ca="1">IFERROR(__xludf.DUMMYFUNCTION("""COMPUTED_VALUE"""),"Departemen Teknik Sistem dan Industri")</f>
        <v>Departemen Teknik Sistem dan Industri</v>
      </c>
      <c r="H549" s="1" t="str">
        <f ca="1">IFERROR(__xludf.DUMMYFUNCTION("""COMPUTED_VALUE"""),"Ratna Sari Dewi, S.T., M.T., Ph.D.")</f>
        <v>Ratna Sari Dewi, S.T., M.T., Ph.D.</v>
      </c>
      <c r="I549" s="1" t="str">
        <f ca="1">IFERROR(__xludf.DUMMYFUNCTION("""COMPUTED_VALUE"""),"FAIZAH NURDIANTI M")</f>
        <v>FAIZAH NURDIANTI M</v>
      </c>
      <c r="J549" s="1" t="str">
        <f ca="1">IFERROR(__xludf.DUMMYFUNCTION("""COMPUTED_VALUE"""),"5025211134")</f>
        <v>5025211134</v>
      </c>
      <c r="K549" s="1" t="str">
        <f ca="1">IFERROR(__xludf.DUMMYFUNCTION("""COMPUTED_VALUE"""),"Departemen Teknik Informatika")</f>
        <v>Departemen Teknik Informatika</v>
      </c>
      <c r="L549" s="1" t="str">
        <f ca="1">IFERROR(__xludf.DUMMYFUNCTION("""COMPUTED_VALUE"""),"FATIMAH SHOFI LATIFA")</f>
        <v>FATIMAH SHOFI LATIFA</v>
      </c>
      <c r="M549" s="1" t="str">
        <f ca="1">IFERROR(__xludf.DUMMYFUNCTION("""COMPUTED_VALUE"""),"5013211073")</f>
        <v>5013211073</v>
      </c>
      <c r="N549" s="1" t="str">
        <f ca="1">IFERROR(__xludf.DUMMYFUNCTION("""COMPUTED_VALUE"""),"Departemen Arsitektur")</f>
        <v>Departemen Arsitektur</v>
      </c>
      <c r="O549" s="1" t="str">
        <f ca="1">IFERROR(__xludf.DUMMYFUNCTION("""COMPUTED_VALUE"""),"DITA DWINA PANGESTU")</f>
        <v>DITA DWINA PANGESTU</v>
      </c>
      <c r="P549" s="1" t="str">
        <f ca="1">IFERROR(__xludf.DUMMYFUNCTION("""COMPUTED_VALUE"""),"5010211034")</f>
        <v>5010211034</v>
      </c>
      <c r="Q549" s="1" t="str">
        <f ca="1">IFERROR(__xludf.DUMMYFUNCTION("""COMPUTED_VALUE"""),"Departemen Teknik Sistem dan Industri")</f>
        <v>Departemen Teknik Sistem dan Industri</v>
      </c>
      <c r="R549" s="1" t="str">
        <f ca="1">IFERROR(__xludf.DUMMYFUNCTION("""COMPUTED_VALUE"""),"ANNISA MUFIDATUN S.")</f>
        <v>ANNISA MUFIDATUN S.</v>
      </c>
      <c r="S549" s="1" t="str">
        <f ca="1">IFERROR(__xludf.DUMMYFUNCTION("""COMPUTED_VALUE"""),"5026211089")</f>
        <v>5026211089</v>
      </c>
      <c r="T549" s="1" t="str">
        <f ca="1">IFERROR(__xludf.DUMMYFUNCTION("""COMPUTED_VALUE"""),"Departemen Sistem Informasi")</f>
        <v>Departemen Sistem Informasi</v>
      </c>
      <c r="U549" s="1" t="str">
        <f ca="1">IFERROR(__xludf.DUMMYFUNCTION("""COMPUTED_VALUE"""),"Hertiari Idajati, S.T., M.Sc.")</f>
        <v>Hertiari Idajati, S.T., M.Sc.</v>
      </c>
      <c r="V549" s="1" t="str">
        <f ca="1">IFERROR(__xludf.DUMMYFUNCTION("""COMPUTED_VALUE"""),"Ir. Muchammad Husni, M.Kom")</f>
        <v>Ir. Muchammad Husni, M.Kom</v>
      </c>
      <c r="W549" s="1"/>
      <c r="X549" s="1" t="str">
        <f ca="1">IFERROR(__xludf.DUMMYFUNCTION("""COMPUTED_VALUE"""),"Lolos")</f>
        <v>Lolos</v>
      </c>
      <c r="Y549" s="1"/>
      <c r="Z549" s="1"/>
      <c r="AA549" s="1"/>
    </row>
    <row r="550" spans="1:27">
      <c r="A550" s="1" t="s">
        <v>537</v>
      </c>
      <c r="B550" s="1">
        <f ca="1">IFERROR(__xludf.DUMMYFUNCTION("""COMPUTED_VALUE"""),3684)</f>
        <v>3684</v>
      </c>
      <c r="C550" s="1" t="str">
        <f ca="1">IFERROR(__xludf.DUMMYFUNCTION("""COMPUTED_VALUE"""),"PKM Pengabdian Kepada Masyarakat")</f>
        <v>PKM Pengabdian Kepada Masyarakat</v>
      </c>
      <c r="D550" s="1" t="str">
        <f ca="1">IFERROR(__xludf.DUMMYFUNCTION("""COMPUTED_VALUE"""),"Pemberdayaan Karang Taruna dalam Pengolahan Air Guna Mengatasi Kesadahan dan Kekeruhan Air Sumberjambe Desa Sumberkembar, Blitar")</f>
        <v>Pemberdayaan Karang Taruna dalam Pengolahan Air Guna Mengatasi Kesadahan dan Kekeruhan Air Sumberjambe Desa Sumberkembar, Blitar</v>
      </c>
      <c r="E550" s="1" t="str">
        <f ca="1">IFERROR(__xludf.DUMMYFUNCTION("""COMPUTED_VALUE"""),"VELLINSA AYUNI PUTRI")</f>
        <v>VELLINSA AYUNI PUTRI</v>
      </c>
      <c r="F550" s="1" t="str">
        <f ca="1">IFERROR(__xludf.DUMMYFUNCTION("""COMPUTED_VALUE"""),"5014201022")</f>
        <v>5014201022</v>
      </c>
      <c r="G550" s="1" t="str">
        <f ca="1">IFERROR(__xludf.DUMMYFUNCTION("""COMPUTED_VALUE"""),"Departemen Teknik Lingkungan")</f>
        <v>Departemen Teknik Lingkungan</v>
      </c>
      <c r="H550" s="1" t="str">
        <f ca="1">IFERROR(__xludf.DUMMYFUNCTION("""COMPUTED_VALUE"""),"Alfan Purnomo, S.T., M.T.")</f>
        <v>Alfan Purnomo, S.T., M.T.</v>
      </c>
      <c r="I550" s="1" t="str">
        <f ca="1">IFERROR(__xludf.DUMMYFUNCTION("""COMPUTED_VALUE"""),"ADITA AYU ANGGRAINI")</f>
        <v>ADITA AYU ANGGRAINI</v>
      </c>
      <c r="J550" s="1" t="str">
        <f ca="1">IFERROR(__xludf.DUMMYFUNCTION("""COMPUTED_VALUE"""),"5014201080")</f>
        <v>5014201080</v>
      </c>
      <c r="K550" s="1" t="str">
        <f ca="1">IFERROR(__xludf.DUMMYFUNCTION("""COMPUTED_VALUE"""),"Departemen Teknik Lingkungan")</f>
        <v>Departemen Teknik Lingkungan</v>
      </c>
      <c r="L550" s="1" t="str">
        <f ca="1">IFERROR(__xludf.DUMMYFUNCTION("""COMPUTED_VALUE"""),"JACINDA WAFIQ GILDAYAQUTAH")</f>
        <v>JACINDA WAFIQ GILDAYAQUTAH</v>
      </c>
      <c r="M550" s="1" t="str">
        <f ca="1">IFERROR(__xludf.DUMMYFUNCTION("""COMPUTED_VALUE"""),"03211940000041")</f>
        <v>03211940000041</v>
      </c>
      <c r="N550" s="1" t="str">
        <f ca="1">IFERROR(__xludf.DUMMYFUNCTION("""COMPUTED_VALUE"""),"Departemen Teknik Lingkungan")</f>
        <v>Departemen Teknik Lingkungan</v>
      </c>
      <c r="O550" s="1" t="str">
        <f ca="1">IFERROR(__xludf.DUMMYFUNCTION("""COMPUTED_VALUE"""),"ADELINA FARFAZA FAWAIDA")</f>
        <v>ADELINA FARFAZA FAWAIDA</v>
      </c>
      <c r="P550" s="1" t="str">
        <f ca="1">IFERROR(__xludf.DUMMYFUNCTION("""COMPUTED_VALUE"""),"5014201067")</f>
        <v>5014201067</v>
      </c>
      <c r="Q550" s="1" t="str">
        <f ca="1">IFERROR(__xludf.DUMMYFUNCTION("""COMPUTED_VALUE"""),"Departemen Teknik Lingkungan")</f>
        <v>Departemen Teknik Lingkungan</v>
      </c>
      <c r="R550" s="1" t="str">
        <f ca="1">IFERROR(__xludf.DUMMYFUNCTION("""COMPUTED_VALUE"""),"DYA NUR MANGZILA SUBECHI")</f>
        <v>DYA NUR MANGZILA SUBECHI</v>
      </c>
      <c r="S550" s="1" t="str">
        <f ca="1">IFERROR(__xludf.DUMMYFUNCTION("""COMPUTED_VALUE"""),"03211940000051")</f>
        <v>03211940000051</v>
      </c>
      <c r="T550" s="1" t="str">
        <f ca="1">IFERROR(__xludf.DUMMYFUNCTION("""COMPUTED_VALUE"""),"Departemen Teknik Lingkungan")</f>
        <v>Departemen Teknik Lingkungan</v>
      </c>
      <c r="U550" s="1" t="str">
        <f ca="1">IFERROR(__xludf.DUMMYFUNCTION("""COMPUTED_VALUE"""),"Hertiari Idajati, S.T., M.Sc.")</f>
        <v>Hertiari Idajati, S.T., M.Sc.</v>
      </c>
      <c r="V550" s="1" t="str">
        <f ca="1">IFERROR(__xludf.DUMMYFUNCTION("""COMPUTED_VALUE"""),"Dr. Afan Hamzah, S.T.")</f>
        <v>Dr. Afan Hamzah, S.T.</v>
      </c>
      <c r="W550" s="1"/>
      <c r="X550" s="1" t="str">
        <f ca="1">IFERROR(__xludf.DUMMYFUNCTION("""COMPUTED_VALUE"""),"Lolos")</f>
        <v>Lolos</v>
      </c>
      <c r="Y550" s="1"/>
      <c r="Z550" s="1"/>
      <c r="AA550" s="1"/>
    </row>
    <row r="551" spans="1:27">
      <c r="A551" s="1" t="s">
        <v>538</v>
      </c>
      <c r="B551" s="1">
        <f ca="1">IFERROR(__xludf.DUMMYFUNCTION("""COMPUTED_VALUE"""),2575)</f>
        <v>2575</v>
      </c>
      <c r="C551" s="1" t="str">
        <f ca="1">IFERROR(__xludf.DUMMYFUNCTION("""COMPUTED_VALUE"""),"PKM Pengabdian Kepada Masyarakat")</f>
        <v>PKM Pengabdian Kepada Masyarakat</v>
      </c>
      <c r="D551" s="1" t="str">
        <f ca="1">IFERROR(__xludf.DUMMYFUNCTION("""COMPUTED_VALUE"""),"Pupuk Organik Cair Berbasis Air Cucian Beras dan Selulosa 
untuk Rehabilitasi tanah di Area Tinggi Polusi Perumahan Semen 
Gresik")</f>
        <v>Pupuk Organik Cair Berbasis Air Cucian Beras dan Selulosa 
untuk Rehabilitasi tanah di Area Tinggi Polusi Perumahan Semen 
Gresik</v>
      </c>
      <c r="E551" s="1" t="str">
        <f ca="1">IFERROR(__xludf.DUMMYFUNCTION("""COMPUTED_VALUE"""),"HAYKAL NUR FAJRI RAMADHAN")</f>
        <v>HAYKAL NUR FAJRI RAMADHAN</v>
      </c>
      <c r="F551" s="1" t="str">
        <f ca="1">IFERROR(__xludf.DUMMYFUNCTION("""COMPUTED_VALUE"""),"2041201050")</f>
        <v>2041201050</v>
      </c>
      <c r="G551" s="1" t="str">
        <f ca="1">IFERROR(__xludf.DUMMYFUNCTION("""COMPUTED_VALUE"""),"Departemen Teknik Kimia Industri")</f>
        <v>Departemen Teknik Kimia Industri</v>
      </c>
      <c r="H551" s="1" t="str">
        <f ca="1">IFERROR(__xludf.DUMMYFUNCTION("""COMPUTED_VALUE"""),"Prof. Dr. Ir. Soeprijanto, M.Sc.")</f>
        <v>Prof. Dr. Ir. Soeprijanto, M.Sc.</v>
      </c>
      <c r="I551" s="1" t="str">
        <f ca="1">IFERROR(__xludf.DUMMYFUNCTION("""COMPUTED_VALUE"""),"RIMA AFSUN FAJRI")</f>
        <v>RIMA AFSUN FAJRI</v>
      </c>
      <c r="J551" s="1" t="str">
        <f ca="1">IFERROR(__xludf.DUMMYFUNCTION("""COMPUTED_VALUE"""),"2041201020")</f>
        <v>2041201020</v>
      </c>
      <c r="K551" s="1" t="str">
        <f ca="1">IFERROR(__xludf.DUMMYFUNCTION("""COMPUTED_VALUE"""),"Departemen Teknik Kimia Industri")</f>
        <v>Departemen Teknik Kimia Industri</v>
      </c>
      <c r="L551" s="1" t="str">
        <f ca="1">IFERROR(__xludf.DUMMYFUNCTION("""COMPUTED_VALUE"""),"VITA FATICHAH RIZQIYAH FEBRIAN")</f>
        <v>VITA FATICHAH RIZQIYAH FEBRIAN</v>
      </c>
      <c r="M551" s="1" t="str">
        <f ca="1">IFERROR(__xludf.DUMMYFUNCTION("""COMPUTED_VALUE"""),"2041201022")</f>
        <v>2041201022</v>
      </c>
      <c r="N551" s="1" t="str">
        <f ca="1">IFERROR(__xludf.DUMMYFUNCTION("""COMPUTED_VALUE"""),"Departemen Teknik Kimia Industri")</f>
        <v>Departemen Teknik Kimia Industri</v>
      </c>
      <c r="O551" s="1" t="str">
        <f ca="1">IFERROR(__xludf.DUMMYFUNCTION("""COMPUTED_VALUE"""),"UMMU ZAHROH MAMUN")</f>
        <v>UMMU ZAHROH MAMUN</v>
      </c>
      <c r="P551" s="1" t="str">
        <f ca="1">IFERROR(__xludf.DUMMYFUNCTION("""COMPUTED_VALUE"""),"2041201017")</f>
        <v>2041201017</v>
      </c>
      <c r="Q551" s="1" t="str">
        <f ca="1">IFERROR(__xludf.DUMMYFUNCTION("""COMPUTED_VALUE"""),"Departemen Teknik Kimia Industri")</f>
        <v>Departemen Teknik Kimia Industri</v>
      </c>
      <c r="R551" s="1"/>
      <c r="S551" s="1"/>
      <c r="T551" s="1"/>
      <c r="U551" s="1" t="str">
        <f ca="1">IFERROR(__xludf.DUMMYFUNCTION("""COMPUTED_VALUE"""),"Hertiari Idajati, S.T., M.Sc.")</f>
        <v>Hertiari Idajati, S.T., M.Sc.</v>
      </c>
      <c r="V551" s="1" t="str">
        <f ca="1">IFERROR(__xludf.DUMMYFUNCTION("""COMPUTED_VALUE"""),"Ir. Muchammad Husni, M.Kom")</f>
        <v>Ir. Muchammad Husni, M.Kom</v>
      </c>
      <c r="W551" s="1"/>
      <c r="X551" s="1" t="str">
        <f ca="1">IFERROR(__xludf.DUMMYFUNCTION("""COMPUTED_VALUE"""),"Lolos")</f>
        <v>Lolos</v>
      </c>
      <c r="Y551" s="1"/>
      <c r="Z551" s="1"/>
      <c r="AA551" s="1"/>
    </row>
    <row r="552" spans="1:27">
      <c r="A552" s="1" t="s">
        <v>539</v>
      </c>
      <c r="B552" s="1">
        <f ca="1">IFERROR(__xludf.DUMMYFUNCTION("""COMPUTED_VALUE"""),2432)</f>
        <v>2432</v>
      </c>
      <c r="C552" s="1" t="str">
        <f ca="1">IFERROR(__xludf.DUMMYFUNCTION("""COMPUTED_VALUE"""),"PKM Pengabdian Kepada Masyarakat")</f>
        <v>PKM Pengabdian Kepada Masyarakat</v>
      </c>
      <c r="D552" s="1" t="str">
        <f ca="1">IFERROR(__xludf.DUMMYFUNCTION("""COMPUTED_VALUE"""),"Pemberdayaan Karang Taruna ERGAMOR Desa Roomo melalui Program Pelatihan Pengelasan guna Mengatasi Pengangguran")</f>
        <v>Pemberdayaan Karang Taruna ERGAMOR Desa Roomo melalui Program Pelatihan Pengelasan guna Mengatasi Pengangguran</v>
      </c>
      <c r="E552" s="1" t="str">
        <f ca="1">IFERROR(__xludf.DUMMYFUNCTION("""COMPUTED_VALUE"""),"PUTRI SITTI NAIMA ")</f>
        <v xml:space="preserve">PUTRI SITTI NAIMA </v>
      </c>
      <c r="F552" s="1" t="str">
        <f ca="1">IFERROR(__xludf.DUMMYFUNCTION("""COMPUTED_VALUE"""),"2035201059")</f>
        <v>2035201059</v>
      </c>
      <c r="G552" s="1" t="str">
        <f ca="1">IFERROR(__xludf.DUMMYFUNCTION("""COMPUTED_VALUE"""),"Departemen Teknik Infrastruktur Sipil")</f>
        <v>Departemen Teknik Infrastruktur Sipil</v>
      </c>
      <c r="H552" s="1" t="str">
        <f ca="1">IFERROR(__xludf.DUMMYFUNCTION("""COMPUTED_VALUE"""),"Muhammad Hafiizh Imaaduddiin, S.T., M.T.")</f>
        <v>Muhammad Hafiizh Imaaduddiin, S.T., M.T.</v>
      </c>
      <c r="I552" s="1" t="str">
        <f ca="1">IFERROR(__xludf.DUMMYFUNCTION("""COMPUTED_VALUE"""),"FIRSTAMA PANDUWINATA IFTIAWAN")</f>
        <v>FIRSTAMA PANDUWINATA IFTIAWAN</v>
      </c>
      <c r="J552" s="1" t="str">
        <f ca="1">IFERROR(__xludf.DUMMYFUNCTION("""COMPUTED_VALUE"""),"2035201068")</f>
        <v>2035201068</v>
      </c>
      <c r="K552" s="1" t="str">
        <f ca="1">IFERROR(__xludf.DUMMYFUNCTION("""COMPUTED_VALUE"""),"Departemen Teknik Infrastruktur Sipil")</f>
        <v>Departemen Teknik Infrastruktur Sipil</v>
      </c>
      <c r="L552" s="1" t="str">
        <f ca="1">IFERROR(__xludf.DUMMYFUNCTION("""COMPUTED_VALUE"""),"MUHAMMAD ZANUAR")</f>
        <v>MUHAMMAD ZANUAR</v>
      </c>
      <c r="M552" s="1" t="str">
        <f ca="1">IFERROR(__xludf.DUMMYFUNCTION("""COMPUTED_VALUE"""),"2042201088")</f>
        <v>2042201088</v>
      </c>
      <c r="N552" s="1" t="str">
        <f ca="1">IFERROR(__xludf.DUMMYFUNCTION("""COMPUTED_VALUE"""),"Departemen Teknik Instrumentasi")</f>
        <v>Departemen Teknik Instrumentasi</v>
      </c>
      <c r="O552" s="1"/>
      <c r="P552" s="1"/>
      <c r="Q552" s="1"/>
      <c r="R552" s="1"/>
      <c r="S552" s="1"/>
      <c r="T552" s="1"/>
      <c r="U552" s="1" t="str">
        <f ca="1">IFERROR(__xludf.DUMMYFUNCTION("""COMPUTED_VALUE"""),"Hertiari Idajati, S.T., M.Sc.")</f>
        <v>Hertiari Idajati, S.T., M.Sc.</v>
      </c>
      <c r="V552" s="1" t="str">
        <f ca="1">IFERROR(__xludf.DUMMYFUNCTION("""COMPUTED_VALUE"""),"Ir. Muchammad Husni, M.Kom")</f>
        <v>Ir. Muchammad Husni, M.Kom</v>
      </c>
      <c r="W552" s="1"/>
      <c r="X552" s="1" t="str">
        <f ca="1">IFERROR(__xludf.DUMMYFUNCTION("""COMPUTED_VALUE"""),"Lolos")</f>
        <v>Lolos</v>
      </c>
      <c r="Y552" s="1"/>
      <c r="Z552" s="1"/>
      <c r="AA552" s="1"/>
    </row>
    <row r="553" spans="1:27">
      <c r="A553" s="1" t="s">
        <v>540</v>
      </c>
      <c r="B553" s="1">
        <f ca="1">IFERROR(__xludf.DUMMYFUNCTION("""COMPUTED_VALUE"""),2150)</f>
        <v>2150</v>
      </c>
      <c r="C553" s="1" t="str">
        <f ca="1">IFERROR(__xludf.DUMMYFUNCTION("""COMPUTED_VALUE"""),"PKM Pengabdian Kepada Masyarakat")</f>
        <v>PKM Pengabdian Kepada Masyarakat</v>
      </c>
      <c r="D553" s="1" t="str">
        <f ca="1">IFERROR(__xludf.DUMMYFUNCTION("""COMPUTED_VALUE"""),"Game Edukasi dengan Pendekatan Etnomatematika sebagai Inovasi Media Pembelajaran Matematika dan Pengenalan Budaya pada Guru SD Negeri 1 Kampung Baru")</f>
        <v>Game Edukasi dengan Pendekatan Etnomatematika sebagai Inovasi Media Pembelajaran Matematika dan Pengenalan Budaya pada Guru SD Negeri 1 Kampung Baru</v>
      </c>
      <c r="E553" s="1" t="str">
        <f ca="1">IFERROR(__xludf.DUMMYFUNCTION("""COMPUTED_VALUE"""),"NURUL KHOLISAH")</f>
        <v>NURUL KHOLISAH</v>
      </c>
      <c r="F553" s="1" t="str">
        <f ca="1">IFERROR(__xludf.DUMMYFUNCTION("""COMPUTED_VALUE"""),"5008201036")</f>
        <v>5008201036</v>
      </c>
      <c r="G553" s="1" t="str">
        <f ca="1">IFERROR(__xludf.DUMMYFUNCTION("""COMPUTED_VALUE"""),"Departemen Teknik Kimia")</f>
        <v>Departemen Teknik Kimia</v>
      </c>
      <c r="H553" s="1" t="str">
        <f ca="1">IFERROR(__xludf.DUMMYFUNCTION("""COMPUTED_VALUE"""),"Annas Wiguno, S.T., M.T.")</f>
        <v>Annas Wiguno, S.T., M.T.</v>
      </c>
      <c r="I553" s="1" t="str">
        <f ca="1">IFERROR(__xludf.DUMMYFUNCTION("""COMPUTED_VALUE"""),"LINTANG DIAN WIDYASTI")</f>
        <v>LINTANG DIAN WIDYASTI</v>
      </c>
      <c r="J553" s="1" t="str">
        <f ca="1">IFERROR(__xludf.DUMMYFUNCTION("""COMPUTED_VALUE"""),"5008201146")</f>
        <v>5008201146</v>
      </c>
      <c r="K553" s="1" t="str">
        <f ca="1">IFERROR(__xludf.DUMMYFUNCTION("""COMPUTED_VALUE"""),"Departemen Teknik Kimia")</f>
        <v>Departemen Teknik Kimia</v>
      </c>
      <c r="L553" s="1" t="str">
        <f ca="1">IFERROR(__xludf.DUMMYFUNCTION("""COMPUTED_VALUE"""),"FARHATUL QOLBIYAH")</f>
        <v>FARHATUL QOLBIYAH</v>
      </c>
      <c r="M553" s="1" t="str">
        <f ca="1">IFERROR(__xludf.DUMMYFUNCTION("""COMPUTED_VALUE"""),"5008201027")</f>
        <v>5008201027</v>
      </c>
      <c r="N553" s="1" t="str">
        <f ca="1">IFERROR(__xludf.DUMMYFUNCTION("""COMPUTED_VALUE"""),"Departemen Teknik Kimia")</f>
        <v>Departemen Teknik Kimia</v>
      </c>
      <c r="O553" s="1" t="str">
        <f ca="1">IFERROR(__xludf.DUMMYFUNCTION("""COMPUTED_VALUE"""),"ADELIA PARAMITA EFENDIY")</f>
        <v>ADELIA PARAMITA EFENDIY</v>
      </c>
      <c r="P553" s="1" t="str">
        <f ca="1">IFERROR(__xludf.DUMMYFUNCTION("""COMPUTED_VALUE"""),"5008201019")</f>
        <v>5008201019</v>
      </c>
      <c r="Q553" s="1" t="str">
        <f ca="1">IFERROR(__xludf.DUMMYFUNCTION("""COMPUTED_VALUE"""),"Departemen Teknik Kimia")</f>
        <v>Departemen Teknik Kimia</v>
      </c>
      <c r="R553" s="1" t="str">
        <f ca="1">IFERROR(__xludf.DUMMYFUNCTION("""COMPUTED_VALUE"""),"NADIYAH SALSABIL ZAHIDAH")</f>
        <v>NADIYAH SALSABIL ZAHIDAH</v>
      </c>
      <c r="S553" s="1" t="str">
        <f ca="1">IFERROR(__xludf.DUMMYFUNCTION("""COMPUTED_VALUE"""),"5008201013")</f>
        <v>5008201013</v>
      </c>
      <c r="T553" s="1" t="str">
        <f ca="1">IFERROR(__xludf.DUMMYFUNCTION("""COMPUTED_VALUE"""),"Departemen Teknik Kimia")</f>
        <v>Departemen Teknik Kimia</v>
      </c>
      <c r="U553" s="1" t="str">
        <f ca="1">IFERROR(__xludf.DUMMYFUNCTION("""COMPUTED_VALUE"""),"Welly Herumurti, S.T., M.Sc.")</f>
        <v>Welly Herumurti, S.T., M.Sc.</v>
      </c>
      <c r="V553" s="1" t="str">
        <f ca="1">IFERROR(__xludf.DUMMYFUNCTION("""COMPUTED_VALUE"""),"Naufan Noordyanto, S.Sn., M.Sn.")</f>
        <v>Naufan Noordyanto, S.Sn., M.Sn.</v>
      </c>
      <c r="W553" s="1"/>
      <c r="X553" s="1" t="str">
        <f ca="1">IFERROR(__xludf.DUMMYFUNCTION("""COMPUTED_VALUE"""),"Lolos")</f>
        <v>Lolos</v>
      </c>
      <c r="Y553" s="1"/>
      <c r="Z553" s="1"/>
      <c r="AA553" s="1"/>
    </row>
    <row r="554" spans="1:27">
      <c r="A554" s="1" t="s">
        <v>541</v>
      </c>
      <c r="B554" s="1">
        <f ca="1">IFERROR(__xludf.DUMMYFUNCTION("""COMPUTED_VALUE"""),3042)</f>
        <v>3042</v>
      </c>
      <c r="C554" s="1" t="str">
        <f ca="1">IFERROR(__xludf.DUMMYFUNCTION("""COMPUTED_VALUE"""),"PKM Pengabdian Kepada Masyarakat")</f>
        <v>PKM Pengabdian Kepada Masyarakat</v>
      </c>
      <c r="D554" s="1" t="str">
        <f ca="1">IFERROR(__xludf.DUMMYFUNCTION("""COMPUTED_VALUE"""),"Pendampingan Penerapan Circular Economy dengan Memanfaatkan Limbah Cangkang Telur sebagai Pakan Ayam pada Usaha Kelompok PKH di Desa Tuwiri Kulon")</f>
        <v>Pendampingan Penerapan Circular Economy dengan Memanfaatkan Limbah Cangkang Telur sebagai Pakan Ayam pada Usaha Kelompok PKH di Desa Tuwiri Kulon</v>
      </c>
      <c r="E554" s="1" t="str">
        <f ca="1">IFERROR(__xludf.DUMMYFUNCTION("""COMPUTED_VALUE"""),"Arvina Anggie Kharizma")</f>
        <v>Arvina Anggie Kharizma</v>
      </c>
      <c r="F554" s="1" t="str">
        <f ca="1">IFERROR(__xludf.DUMMYFUNCTION("""COMPUTED_VALUE"""),"03211940000025")</f>
        <v>03211940000025</v>
      </c>
      <c r="G554" s="1" t="str">
        <f ca="1">IFERROR(__xludf.DUMMYFUNCTION("""COMPUTED_VALUE"""),"Departemen Teknik Lingkungan")</f>
        <v>Departemen Teknik Lingkungan</v>
      </c>
      <c r="H554" s="1" t="str">
        <f ca="1">IFERROR(__xludf.DUMMYFUNCTION("""COMPUTED_VALUE"""),"Welly Herumurti, S.T., M.Sc.")</f>
        <v>Welly Herumurti, S.T., M.Sc.</v>
      </c>
      <c r="I554" s="1" t="str">
        <f ca="1">IFERROR(__xludf.DUMMYFUNCTION("""COMPUTED_VALUE"""),"Alfina Fadillah")</f>
        <v>Alfina Fadillah</v>
      </c>
      <c r="J554" s="1" t="str">
        <f ca="1">IFERROR(__xludf.DUMMYFUNCTION("""COMPUTED_VALUE"""),"03211940000028")</f>
        <v>03211940000028</v>
      </c>
      <c r="K554" s="1" t="str">
        <f ca="1">IFERROR(__xludf.DUMMYFUNCTION("""COMPUTED_VALUE"""),"Departemen Teknik Lingkungan")</f>
        <v>Departemen Teknik Lingkungan</v>
      </c>
      <c r="L554" s="1" t="str">
        <f ca="1">IFERROR(__xludf.DUMMYFUNCTION("""COMPUTED_VALUE"""),"ZANUBA NAI'LUL IZZAH")</f>
        <v>ZANUBA NAI'LUL IZZAH</v>
      </c>
      <c r="M554" s="1" t="str">
        <f ca="1">IFERROR(__xludf.DUMMYFUNCTION("""COMPUTED_VALUE"""),"5014211062")</f>
        <v>5014211062</v>
      </c>
      <c r="N554" s="1" t="str">
        <f ca="1">IFERROR(__xludf.DUMMYFUNCTION("""COMPUTED_VALUE"""),"Departemen Teknik Lingkungan")</f>
        <v>Departemen Teknik Lingkungan</v>
      </c>
      <c r="O554" s="1"/>
      <c r="P554" s="1"/>
      <c r="Q554" s="1"/>
      <c r="R554" s="1"/>
      <c r="S554" s="1"/>
      <c r="T554" s="1"/>
      <c r="U554" s="1" t="str">
        <f ca="1">IFERROR(__xludf.DUMMYFUNCTION("""COMPUTED_VALUE"""),"Welly Herumurti, S.T., M.Sc.")</f>
        <v>Welly Herumurti, S.T., M.Sc.</v>
      </c>
      <c r="V554" s="1" t="str">
        <f ca="1">IFERROR(__xludf.DUMMYFUNCTION("""COMPUTED_VALUE"""),"Dr. Gunawan Nugroho, S.T., M.T.")</f>
        <v>Dr. Gunawan Nugroho, S.T., M.T.</v>
      </c>
      <c r="W554" s="1"/>
      <c r="X554" s="1" t="str">
        <f ca="1">IFERROR(__xludf.DUMMYFUNCTION("""COMPUTED_VALUE"""),"Lolos")</f>
        <v>Lolos</v>
      </c>
      <c r="Y554" s="1"/>
      <c r="Z554" s="1"/>
      <c r="AA554" s="1"/>
    </row>
    <row r="555" spans="1:27">
      <c r="A555" s="1" t="s">
        <v>542</v>
      </c>
      <c r="B555" s="1">
        <f ca="1">IFERROR(__xludf.DUMMYFUNCTION("""COMPUTED_VALUE"""),2123)</f>
        <v>2123</v>
      </c>
      <c r="C555" s="1" t="str">
        <f ca="1">IFERROR(__xludf.DUMMYFUNCTION("""COMPUTED_VALUE"""),"PKM Pengabdian Kepada Masyarakat")</f>
        <v>PKM Pengabdian Kepada Masyarakat</v>
      </c>
      <c r="D555" s="1" t="str">
        <f ca="1">IFERROR(__xludf.DUMMYFUNCTION("""COMPUTED_VALUE"""),"PEMBERDAYAAN KARANG TARUNA DESA LABANG PADA PEMANFAATAN BAHAN ALAM MENJADI PRODUK INOVASI ECOPRINT SEBAGAI USAHA KREATIF BERKELANJUTAN")</f>
        <v>PEMBERDAYAAN KARANG TARUNA DESA LABANG PADA PEMANFAATAN BAHAN ALAM MENJADI PRODUK INOVASI ECOPRINT SEBAGAI USAHA KREATIF BERKELANJUTAN</v>
      </c>
      <c r="E555" s="1" t="str">
        <f ca="1">IFERROR(__xludf.DUMMYFUNCTION("""COMPUTED_VALUE"""),"RAFLY ZAKA RULLOH")</f>
        <v>RAFLY ZAKA RULLOH</v>
      </c>
      <c r="F555" s="1" t="str">
        <f ca="1">IFERROR(__xludf.DUMMYFUNCTION("""COMPUTED_VALUE"""),"2042201087")</f>
        <v>2042201087</v>
      </c>
      <c r="G555" s="1" t="str">
        <f ca="1">IFERROR(__xludf.DUMMYFUNCTION("""COMPUTED_VALUE"""),"Departemen Teknik Instrumentasi")</f>
        <v>Departemen Teknik Instrumentasi</v>
      </c>
      <c r="H555" s="1" t="str">
        <f ca="1">IFERROR(__xludf.DUMMYFUNCTION("""COMPUTED_VALUE"""),"Ahmad Fauzan Adziimaa, S.T., M.Sc.")</f>
        <v>Ahmad Fauzan Adziimaa, S.T., M.Sc.</v>
      </c>
      <c r="I555" s="1" t="str">
        <f ca="1">IFERROR(__xludf.DUMMYFUNCTION("""COMPUTED_VALUE"""),"YOGA BEKTI SUSANTO")</f>
        <v>YOGA BEKTI SUSANTO</v>
      </c>
      <c r="J555" s="1" t="str">
        <f ca="1">IFERROR(__xludf.DUMMYFUNCTION("""COMPUTED_VALUE"""),"2041201086")</f>
        <v>2041201086</v>
      </c>
      <c r="K555" s="1" t="str">
        <f ca="1">IFERROR(__xludf.DUMMYFUNCTION("""COMPUTED_VALUE"""),"Departemen Teknik Kimia Industri")</f>
        <v>Departemen Teknik Kimia Industri</v>
      </c>
      <c r="L555" s="1" t="str">
        <f ca="1">IFERROR(__xludf.DUMMYFUNCTION("""COMPUTED_VALUE"""),"MUHAMMAD ARIF BILLAH")</f>
        <v>MUHAMMAD ARIF BILLAH</v>
      </c>
      <c r="M555" s="1" t="str">
        <f ca="1">IFERROR(__xludf.DUMMYFUNCTION("""COMPUTED_VALUE"""),"2036201079")</f>
        <v>2036201079</v>
      </c>
      <c r="N555" s="1" t="str">
        <f ca="1">IFERROR(__xludf.DUMMYFUNCTION("""COMPUTED_VALUE"""),"Departemen Teknik Infrastruktur Sipil")</f>
        <v>Departemen Teknik Infrastruktur Sipil</v>
      </c>
      <c r="O555" s="1" t="str">
        <f ca="1">IFERROR(__xludf.DUMMYFUNCTION("""COMPUTED_VALUE"""),"NABIILAH A TJANDRA")</f>
        <v>NABIILAH A TJANDRA</v>
      </c>
      <c r="P555" s="1" t="str">
        <f ca="1">IFERROR(__xludf.DUMMYFUNCTION("""COMPUTED_VALUE"""),"2042211001")</f>
        <v>2042211001</v>
      </c>
      <c r="Q555" s="1" t="str">
        <f ca="1">IFERROR(__xludf.DUMMYFUNCTION("""COMPUTED_VALUE"""),"Departemen Teknik Instrumentasi")</f>
        <v>Departemen Teknik Instrumentasi</v>
      </c>
      <c r="R555" s="1" t="str">
        <f ca="1">IFERROR(__xludf.DUMMYFUNCTION("""COMPUTED_VALUE"""),"BIMA YULIHADI")</f>
        <v>BIMA YULIHADI</v>
      </c>
      <c r="S555" s="1" t="str">
        <f ca="1">IFERROR(__xludf.DUMMYFUNCTION("""COMPUTED_VALUE"""),"2039211003")</f>
        <v>2039211003</v>
      </c>
      <c r="T555" s="1" t="str">
        <f ca="1">IFERROR(__xludf.DUMMYFUNCTION("""COMPUTED_VALUE"""),"Departemen Teknik Mesin Industri")</f>
        <v>Departemen Teknik Mesin Industri</v>
      </c>
      <c r="U555" s="1" t="str">
        <f ca="1">IFERROR(__xludf.DUMMYFUNCTION("""COMPUTED_VALUE"""),"Hertiari Idajati, S.T., M.Sc.")</f>
        <v>Hertiari Idajati, S.T., M.Sc.</v>
      </c>
      <c r="V555" s="1" t="str">
        <f ca="1">IFERROR(__xludf.DUMMYFUNCTION("""COMPUTED_VALUE"""),"Dr.-Ing. Doty Dewi Risanti, S.T., M.T.")</f>
        <v>Dr.-Ing. Doty Dewi Risanti, S.T., M.T.</v>
      </c>
      <c r="W555" s="1"/>
      <c r="X555" s="1" t="str">
        <f ca="1">IFERROR(__xludf.DUMMYFUNCTION("""COMPUTED_VALUE"""),"Lolos")</f>
        <v>Lolos</v>
      </c>
      <c r="Y555" s="1"/>
      <c r="Z555" s="1"/>
      <c r="AA555" s="1"/>
    </row>
    <row r="556" spans="1:27">
      <c r="A556" s="1" t="s">
        <v>543</v>
      </c>
      <c r="B556" s="1">
        <f ca="1">IFERROR(__xludf.DUMMYFUNCTION("""COMPUTED_VALUE"""),4163)</f>
        <v>4163</v>
      </c>
      <c r="C556" s="1" t="str">
        <f ca="1">IFERROR(__xludf.DUMMYFUNCTION("""COMPUTED_VALUE"""),"PKM Pengabdian Kepada Masyarakat")</f>
        <v>PKM Pengabdian Kepada Masyarakat</v>
      </c>
      <c r="D556" s="1" t="str">
        <f ca="1">IFERROR(__xludf.DUMMYFUNCTION("""COMPUTED_VALUE"""),"DIA (Disabilitas Berkarya) sebagai Program Optimalisasi Potensi secara Terstruktur melalui Visualisasi Cerita Rakyat bagi Disabilitas")</f>
        <v>DIA (Disabilitas Berkarya) sebagai Program Optimalisasi Potensi secara Terstruktur melalui Visualisasi Cerita Rakyat bagi Disabilitas</v>
      </c>
      <c r="E556" s="1" t="str">
        <f ca="1">IFERROR(__xludf.DUMMYFUNCTION("""COMPUTED_VALUE"""),"FAADHILLAH SYHAB AZZAHRA")</f>
        <v>FAADHILLAH SYHAB AZZAHRA</v>
      </c>
      <c r="F556" s="1" t="str">
        <f ca="1">IFERROR(__xludf.DUMMYFUNCTION("""COMPUTED_VALUE"""),"5003201102")</f>
        <v>5003201102</v>
      </c>
      <c r="G556" s="1" t="str">
        <f ca="1">IFERROR(__xludf.DUMMYFUNCTION("""COMPUTED_VALUE"""),"Departemen Statistika")</f>
        <v>Departemen Statistika</v>
      </c>
      <c r="H556" s="1" t="str">
        <f ca="1">IFERROR(__xludf.DUMMYFUNCTION("""COMPUTED_VALUE"""),"Dr. Dra. Ismaini Zain, M.Si")</f>
        <v>Dr. Dra. Ismaini Zain, M.Si</v>
      </c>
      <c r="I556" s="1" t="str">
        <f ca="1">IFERROR(__xludf.DUMMYFUNCTION("""COMPUTED_VALUE"""),"LAILA ARDHINI")</f>
        <v>LAILA ARDHINI</v>
      </c>
      <c r="J556" s="1" t="str">
        <f ca="1">IFERROR(__xludf.DUMMYFUNCTION("""COMPUTED_VALUE"""),"5003201061")</f>
        <v>5003201061</v>
      </c>
      <c r="K556" s="1" t="str">
        <f ca="1">IFERROR(__xludf.DUMMYFUNCTION("""COMPUTED_VALUE"""),"Departemen Statistika")</f>
        <v>Departemen Statistika</v>
      </c>
      <c r="L556" s="1" t="str">
        <f ca="1">IFERROR(__xludf.DUMMYFUNCTION("""COMPUTED_VALUE"""),"TANIA SYACH MAHARANI")</f>
        <v>TANIA SYACH MAHARANI</v>
      </c>
      <c r="M556" s="1" t="str">
        <f ca="1">IFERROR(__xludf.DUMMYFUNCTION("""COMPUTED_VALUE"""),"5003201181")</f>
        <v>5003201181</v>
      </c>
      <c r="N556" s="1" t="str">
        <f ca="1">IFERROR(__xludf.DUMMYFUNCTION("""COMPUTED_VALUE"""),"Departemen Statistika")</f>
        <v>Departemen Statistika</v>
      </c>
      <c r="O556" s="1" t="str">
        <f ca="1">IFERROR(__xludf.DUMMYFUNCTION("""COMPUTED_VALUE"""),"Melody Talitha N. M.")</f>
        <v>Melody Talitha N. M.</v>
      </c>
      <c r="P556" s="1" t="str">
        <f ca="1">IFERROR(__xludf.DUMMYFUNCTION("""COMPUTED_VALUE"""),"5015211136")</f>
        <v>5015211136</v>
      </c>
      <c r="Q556" s="1" t="str">
        <f ca="1">IFERROR(__xludf.DUMMYFUNCTION("""COMPUTED_VALUE"""),"Departemen Perencanaan Wilayah dan Kota")</f>
        <v>Departemen Perencanaan Wilayah dan Kota</v>
      </c>
      <c r="R556" s="1" t="str">
        <f ca="1">IFERROR(__xludf.DUMMYFUNCTION("""COMPUTED_VALUE"""),"Annisa Rachman")</f>
        <v>Annisa Rachman</v>
      </c>
      <c r="S556" s="1" t="str">
        <f ca="1">IFERROR(__xludf.DUMMYFUNCTION("""COMPUTED_VALUE"""),"5003211124")</f>
        <v>5003211124</v>
      </c>
      <c r="T556" s="1" t="str">
        <f ca="1">IFERROR(__xludf.DUMMYFUNCTION("""COMPUTED_VALUE"""),"Departemen Statistika")</f>
        <v>Departemen Statistika</v>
      </c>
      <c r="U556" s="1" t="str">
        <f ca="1">IFERROR(__xludf.DUMMYFUNCTION("""COMPUTED_VALUE"""),"Dr.-Ing. Doty Dewi Risanti, S.T., M.T.")</f>
        <v>Dr.-Ing. Doty Dewi Risanti, S.T., M.T.</v>
      </c>
      <c r="V556" s="1" t="str">
        <f ca="1">IFERROR(__xludf.DUMMYFUNCTION("""COMPUTED_VALUE"""),"Dr. Gunawan Nugroho, S.T., M.T.")</f>
        <v>Dr. Gunawan Nugroho, S.T., M.T.</v>
      </c>
      <c r="W556" s="1"/>
      <c r="X556" s="1" t="str">
        <f ca="1">IFERROR(__xludf.DUMMYFUNCTION("""COMPUTED_VALUE"""),"Lolos")</f>
        <v>Lolos</v>
      </c>
      <c r="Y556" s="1"/>
      <c r="Z556" s="1"/>
      <c r="AA556" s="1"/>
    </row>
    <row r="557" spans="1:27">
      <c r="A557" s="1" t="s">
        <v>544</v>
      </c>
      <c r="B557" s="1">
        <f ca="1">IFERROR(__xludf.DUMMYFUNCTION("""COMPUTED_VALUE"""),2621)</f>
        <v>2621</v>
      </c>
      <c r="C557" s="1" t="str">
        <f ca="1">IFERROR(__xludf.DUMMYFUNCTION("""COMPUTED_VALUE"""),"PKM Pengabdian Kepada Masyarakat")</f>
        <v>PKM Pengabdian Kepada Masyarakat</v>
      </c>
      <c r="D557" s="1" t="str">
        <f ca="1">IFERROR(__xludf.DUMMYFUNCTION("""COMPUTED_VALUE"""),"SIKAN, Toolkit dan Aplikasi Kalkulator Perikanan untuk Mengoptimalkan Peran Penyuluh Dinas Perikanan Kota Pasuruan, Studi Kasus Tambak Bandeng (Chanos Chanos)")</f>
        <v>SIKAN, Toolkit dan Aplikasi Kalkulator Perikanan untuk Mengoptimalkan Peran Penyuluh Dinas Perikanan Kota Pasuruan, Studi Kasus Tambak Bandeng (Chanos Chanos)</v>
      </c>
      <c r="E557" s="1" t="str">
        <f ca="1">IFERROR(__xludf.DUMMYFUNCTION("""COMPUTED_VALUE"""),"KIRAMIM BARARAH")</f>
        <v>KIRAMIM BARARAH</v>
      </c>
      <c r="F557" s="1" t="str">
        <f ca="1">IFERROR(__xludf.DUMMYFUNCTION("""COMPUTED_VALUE"""),"04111940000057")</f>
        <v>04111940000057</v>
      </c>
      <c r="G557" s="1" t="str">
        <f ca="1">IFERROR(__xludf.DUMMYFUNCTION("""COMPUTED_VALUE"""),"Departemen Teknik Perkapalan")</f>
        <v>Departemen Teknik Perkapalan</v>
      </c>
      <c r="H557" s="1" t="str">
        <f ca="1">IFERROR(__xludf.DUMMYFUNCTION("""COMPUTED_VALUE"""),"Nova Maulidina Ashuri, S.Si., M.Si.")</f>
        <v>Nova Maulidina Ashuri, S.Si., M.Si.</v>
      </c>
      <c r="I557" s="1" t="str">
        <f ca="1">IFERROR(__xludf.DUMMYFUNCTION("""COMPUTED_VALUE"""),"RATNADILA PUTRI DWI WAHYUDI")</f>
        <v>RATNADILA PUTRI DWI WAHYUDI</v>
      </c>
      <c r="J557" s="1" t="str">
        <f ca="1">IFERROR(__xludf.DUMMYFUNCTION("""COMPUTED_VALUE"""),"01311940000060")</f>
        <v>01311940000060</v>
      </c>
      <c r="K557" s="1" t="str">
        <f ca="1">IFERROR(__xludf.DUMMYFUNCTION("""COMPUTED_VALUE"""),"Departemen Biologi")</f>
        <v>Departemen Biologi</v>
      </c>
      <c r="L557" s="1" t="str">
        <f ca="1">IFERROR(__xludf.DUMMYFUNCTION("""COMPUTED_VALUE"""),"Abu Bakar Bsa")</f>
        <v>Abu Bakar Bsa</v>
      </c>
      <c r="M557" s="1" t="str">
        <f ca="1">IFERROR(__xludf.DUMMYFUNCTION("""COMPUTED_VALUE"""),"07211940000005")</f>
        <v>07211940000005</v>
      </c>
      <c r="N557" s="1" t="str">
        <f ca="1">IFERROR(__xludf.DUMMYFUNCTION("""COMPUTED_VALUE"""),"Departemen Teknik Komputer")</f>
        <v>Departemen Teknik Komputer</v>
      </c>
      <c r="O557" s="1" t="str">
        <f ca="1">IFERROR(__xludf.DUMMYFUNCTION("""COMPUTED_VALUE"""),"DWI ARI SETIAWAN")</f>
        <v>DWI ARI SETIAWAN</v>
      </c>
      <c r="P557" s="1" t="str">
        <f ca="1">IFERROR(__xludf.DUMMYFUNCTION("""COMPUTED_VALUE"""),"07211940000036")</f>
        <v>07211940000036</v>
      </c>
      <c r="Q557" s="1" t="str">
        <f ca="1">IFERROR(__xludf.DUMMYFUNCTION("""COMPUTED_VALUE"""),"Departemen Teknik Komputer")</f>
        <v>Departemen Teknik Komputer</v>
      </c>
      <c r="R557" s="1"/>
      <c r="S557" s="1"/>
      <c r="T557" s="1"/>
      <c r="U557" s="1" t="str">
        <f ca="1">IFERROR(__xludf.DUMMYFUNCTION("""COMPUTED_VALUE"""),"Dr.-Ing. Doty Dewi Risanti, S.T., M.T.")</f>
        <v>Dr.-Ing. Doty Dewi Risanti, S.T., M.T.</v>
      </c>
      <c r="V557" s="1" t="str">
        <f ca="1">IFERROR(__xludf.DUMMYFUNCTION("""COMPUTED_VALUE"""),"Naufan Noordyanto, S.Sn., M.Sn.")</f>
        <v>Naufan Noordyanto, S.Sn., M.Sn.</v>
      </c>
      <c r="W557" s="1"/>
      <c r="X557" s="1" t="str">
        <f ca="1">IFERROR(__xludf.DUMMYFUNCTION("""COMPUTED_VALUE"""),"Lolos")</f>
        <v>Lolos</v>
      </c>
      <c r="Y557" s="1"/>
      <c r="Z557" s="1"/>
      <c r="AA557" s="1"/>
    </row>
    <row r="558" spans="1:27">
      <c r="A558" s="1" t="s">
        <v>545</v>
      </c>
      <c r="B558" s="1">
        <f ca="1">IFERROR(__xludf.DUMMYFUNCTION("""COMPUTED_VALUE"""),2011)</f>
        <v>2011</v>
      </c>
      <c r="C558" s="1" t="str">
        <f ca="1">IFERROR(__xludf.DUMMYFUNCTION("""COMPUTED_VALUE"""),"PKM Pengabdian Kepada Masyarakat")</f>
        <v>PKM Pengabdian Kepada Masyarakat</v>
      </c>
      <c r="D558" s="1" t="str">
        <f ca="1">IFERROR(__xludf.DUMMYFUNCTION("""COMPUTED_VALUE"""),"Program Pemberdayaan Ibu-Ibu Penyintas Erupsi Gunung Semeru melalui Dapur Kreasi Semeru sebagai Upaya Mendukung Perekonomian Keluarga Pasca Bencana")</f>
        <v>Program Pemberdayaan Ibu-Ibu Penyintas Erupsi Gunung Semeru melalui Dapur Kreasi Semeru sebagai Upaya Mendukung Perekonomian Keluarga Pasca Bencana</v>
      </c>
      <c r="E558" s="1" t="str">
        <f ca="1">IFERROR(__xludf.DUMMYFUNCTION("""COMPUTED_VALUE"""),"TINA SEKAR AYUNING TYAS")</f>
        <v>TINA SEKAR AYUNING TYAS</v>
      </c>
      <c r="F558" s="1" t="str">
        <f ca="1">IFERROR(__xludf.DUMMYFUNCTION("""COMPUTED_VALUE"""),"09111940000039")</f>
        <v>09111940000039</v>
      </c>
      <c r="G558" s="1" t="str">
        <f ca="1">IFERROR(__xludf.DUMMYFUNCTION("""COMPUTED_VALUE"""),"Departemen Manajemen Bisnis")</f>
        <v>Departemen Manajemen Bisnis</v>
      </c>
      <c r="H558" s="1" t="str">
        <f ca="1">IFERROR(__xludf.DUMMYFUNCTION("""COMPUTED_VALUE"""),"Gita Widi Bhawika, S.ST., M.MT")</f>
        <v>Gita Widi Bhawika, S.ST., M.MT</v>
      </c>
      <c r="I558" s="1" t="str">
        <f ca="1">IFERROR(__xludf.DUMMYFUNCTION("""COMPUTED_VALUE"""),"Sulistya Indah Wahyuni")</f>
        <v>Sulistya Indah Wahyuni</v>
      </c>
      <c r="J558" s="1" t="str">
        <f ca="1">IFERROR(__xludf.DUMMYFUNCTION("""COMPUTED_VALUE"""),"09111940000033")</f>
        <v>09111940000033</v>
      </c>
      <c r="K558" s="1" t="str">
        <f ca="1">IFERROR(__xludf.DUMMYFUNCTION("""COMPUTED_VALUE"""),"Departemen Manajemen Bisnis")</f>
        <v>Departemen Manajemen Bisnis</v>
      </c>
      <c r="L558" s="1" t="str">
        <f ca="1">IFERROR(__xludf.DUMMYFUNCTION("""COMPUTED_VALUE"""),"Isna Zahrotul Husna")</f>
        <v>Isna Zahrotul Husna</v>
      </c>
      <c r="M558" s="1" t="str">
        <f ca="1">IFERROR(__xludf.DUMMYFUNCTION("""COMPUTED_VALUE"""),"04211940000038")</f>
        <v>04211940000038</v>
      </c>
      <c r="N558" s="1" t="str">
        <f ca="1">IFERROR(__xludf.DUMMYFUNCTION("""COMPUTED_VALUE"""),"Departemen Teknik Sistem Perkapalan")</f>
        <v>Departemen Teknik Sistem Perkapalan</v>
      </c>
      <c r="O558" s="1" t="str">
        <f ca="1">IFERROR(__xludf.DUMMYFUNCTION("""COMPUTED_VALUE"""),"RADEN MUHAMMAD YAZID B")</f>
        <v>RADEN MUHAMMAD YAZID B</v>
      </c>
      <c r="P558" s="1" t="str">
        <f ca="1">IFERROR(__xludf.DUMMYFUNCTION("""COMPUTED_VALUE"""),"02211940000165")</f>
        <v>02211940000165</v>
      </c>
      <c r="Q558" s="1" t="str">
        <f ca="1">IFERROR(__xludf.DUMMYFUNCTION("""COMPUTED_VALUE"""),"Departemen Teknik Kimia")</f>
        <v>Departemen Teknik Kimia</v>
      </c>
      <c r="R558" s="1" t="str">
        <f ca="1">IFERROR(__xludf.DUMMYFUNCTION("""COMPUTED_VALUE"""),"MUHAMMAD ARDIAN SYAH")</f>
        <v>MUHAMMAD ARDIAN SYAH</v>
      </c>
      <c r="S558" s="1" t="str">
        <f ca="1">IFERROR(__xludf.DUMMYFUNCTION("""COMPUTED_VALUE"""),"03311940000038")</f>
        <v>03311940000038</v>
      </c>
      <c r="T558" s="1" t="str">
        <f ca="1">IFERROR(__xludf.DUMMYFUNCTION("""COMPUTED_VALUE"""),"Departemen Teknik Geomatika")</f>
        <v>Departemen Teknik Geomatika</v>
      </c>
      <c r="U558" s="1" t="str">
        <f ca="1">IFERROR(__xludf.DUMMYFUNCTION("""COMPUTED_VALUE"""),"Dr.-Ing. Doty Dewi Risanti, S.T., M.T.")</f>
        <v>Dr.-Ing. Doty Dewi Risanti, S.T., M.T.</v>
      </c>
      <c r="V558" s="1" t="str">
        <f ca="1">IFERROR(__xludf.DUMMYFUNCTION("""COMPUTED_VALUE"""),"Mahardika F. Rois, S.T, M.T")</f>
        <v>Mahardika F. Rois, S.T, M.T</v>
      </c>
      <c r="W558" s="1"/>
      <c r="X558" s="1" t="str">
        <f ca="1">IFERROR(__xludf.DUMMYFUNCTION("""COMPUTED_VALUE"""),"Lolos")</f>
        <v>Lolos</v>
      </c>
      <c r="Y558" s="1"/>
      <c r="Z558" s="1"/>
      <c r="AA558" s="1"/>
    </row>
    <row r="559" spans="1:27">
      <c r="A559" s="1" t="s">
        <v>546</v>
      </c>
      <c r="B559" s="1">
        <f ca="1">IFERROR(__xludf.DUMMYFUNCTION("""COMPUTED_VALUE"""),2477)</f>
        <v>2477</v>
      </c>
      <c r="C559" s="1" t="str">
        <f ca="1">IFERROR(__xludf.DUMMYFUNCTION("""COMPUTED_VALUE"""),"PKM Pengabdian Kepada Masyarakat")</f>
        <v>PKM Pengabdian Kepada Masyarakat</v>
      </c>
      <c r="D559" s="1" t="str">
        <f ca="1">IFERROR(__xludf.DUMMYFUNCTION("""COMPUTED_VALUE""")," Pembuatan Makanan Pendamping Air Susu Ibu Bernutrisi sebagai Upaya Pencegahan Permasalahan Stunting Balita di Desa Madiredo")</f>
        <v xml:space="preserve"> Pembuatan Makanan Pendamping Air Susu Ibu Bernutrisi sebagai Upaya Pencegahan Permasalahan Stunting Balita di Desa Madiredo</v>
      </c>
      <c r="E559" s="1" t="str">
        <f ca="1">IFERROR(__xludf.DUMMYFUNCTION("""COMPUTED_VALUE"""),"ADELIA YUSRINA F.")</f>
        <v>ADELIA YUSRINA F.</v>
      </c>
      <c r="F559" s="1" t="str">
        <f ca="1">IFERROR(__xludf.DUMMYFUNCTION("""COMPUTED_VALUE"""),"5006211006")</f>
        <v>5006211006</v>
      </c>
      <c r="G559" s="1" t="str">
        <f ca="1">IFERROR(__xludf.DUMMYFUNCTION("""COMPUTED_VALUE"""),"Departemen Aktuaria")</f>
        <v>Departemen Aktuaria</v>
      </c>
      <c r="H559" s="1" t="str">
        <f ca="1">IFERROR(__xludf.DUMMYFUNCTION("""COMPUTED_VALUE"""),"Ulil 'Azmi, S.Si., M.Si.")</f>
        <v>Ulil 'Azmi, S.Si., M.Si.</v>
      </c>
      <c r="I559" s="1" t="str">
        <f ca="1">IFERROR(__xludf.DUMMYFUNCTION("""COMPUTED_VALUE"""),"Anindya Zhafira N.H.")</f>
        <v>Anindya Zhafira N.H.</v>
      </c>
      <c r="J559" s="1" t="str">
        <f ca="1">IFERROR(__xludf.DUMMYFUNCTION("""COMPUTED_VALUE"""),"5006211013")</f>
        <v>5006211013</v>
      </c>
      <c r="K559" s="1" t="str">
        <f ca="1">IFERROR(__xludf.DUMMYFUNCTION("""COMPUTED_VALUE"""),"Departemen Aktuaria")</f>
        <v>Departemen Aktuaria</v>
      </c>
      <c r="L559" s="1" t="str">
        <f ca="1">IFERROR(__xludf.DUMMYFUNCTION("""COMPUTED_VALUE"""),"Lia Nur Hamida")</f>
        <v>Lia Nur Hamida</v>
      </c>
      <c r="M559" s="1" t="str">
        <f ca="1">IFERROR(__xludf.DUMMYFUNCTION("""COMPUTED_VALUE"""),"5006211045")</f>
        <v>5006211045</v>
      </c>
      <c r="N559" s="1" t="str">
        <f ca="1">IFERROR(__xludf.DUMMYFUNCTION("""COMPUTED_VALUE"""),"Departemen Aktuaria")</f>
        <v>Departemen Aktuaria</v>
      </c>
      <c r="O559" s="1"/>
      <c r="P559" s="1"/>
      <c r="Q559" s="1"/>
      <c r="R559" s="1"/>
      <c r="S559" s="1"/>
      <c r="T559" s="1"/>
      <c r="U559" s="1" t="str">
        <f ca="1">IFERROR(__xludf.DUMMYFUNCTION("""COMPUTED_VALUE"""),"Hertiari Idajati, S.T., M.Sc.")</f>
        <v>Hertiari Idajati, S.T., M.Sc.</v>
      </c>
      <c r="V559" s="1" t="str">
        <f ca="1">IFERROR(__xludf.DUMMYFUNCTION("""COMPUTED_VALUE"""),"Ir. Muchammad Husni, M.Kom")</f>
        <v>Ir. Muchammad Husni, M.Kom</v>
      </c>
      <c r="W559" s="1"/>
      <c r="X559" s="1" t="str">
        <f ca="1">IFERROR(__xludf.DUMMYFUNCTION("""COMPUTED_VALUE"""),"Lolos")</f>
        <v>Lolos</v>
      </c>
      <c r="Y559" s="1"/>
      <c r="Z559" s="1"/>
      <c r="AA559" s="1"/>
    </row>
    <row r="560" spans="1:27">
      <c r="A560" s="1" t="s">
        <v>547</v>
      </c>
      <c r="B560" s="1">
        <f ca="1">IFERROR(__xludf.DUMMYFUNCTION("""COMPUTED_VALUE"""),2295)</f>
        <v>2295</v>
      </c>
      <c r="C560" s="1" t="str">
        <f ca="1">IFERROR(__xludf.DUMMYFUNCTION("""COMPUTED_VALUE"""),"PKM Pengabdian Kepada Masyarakat")</f>
        <v>PKM Pengabdian Kepada Masyarakat</v>
      </c>
      <c r="D560" s="1" t="str">
        <f ca="1">IFERROR(__xludf.DUMMYFUNCTION("""COMPUTED_VALUE"""),"Pembinaan Karang Taruna Desa Kauman dalam  Pengolahan Waste Cooking Oil sebagai Biodiesel dalam upaya mencegah potensi pencemaran lingkungan")</f>
        <v>Pembinaan Karang Taruna Desa Kauman dalam  Pengolahan Waste Cooking Oil sebagai Biodiesel dalam upaya mencegah potensi pencemaran lingkungan</v>
      </c>
      <c r="E560" s="1" t="str">
        <f ca="1">IFERROR(__xludf.DUMMYFUNCTION("""COMPUTED_VALUE"""),"AHMAD HAYIZ AZAIM")</f>
        <v>AHMAD HAYIZ AZAIM</v>
      </c>
      <c r="F560" s="1" t="str">
        <f ca="1">IFERROR(__xludf.DUMMYFUNCTION("""COMPUTED_VALUE"""),"2041201007")</f>
        <v>2041201007</v>
      </c>
      <c r="G560" s="1" t="str">
        <f ca="1">IFERROR(__xludf.DUMMYFUNCTION("""COMPUTED_VALUE"""),"Departemen Teknik Kimia Industri")</f>
        <v>Departemen Teknik Kimia Industri</v>
      </c>
      <c r="H560" s="1" t="str">
        <f ca="1">IFERROR(__xludf.DUMMYFUNCTION("""COMPUTED_VALUE"""),"Prof. Dr. Ir. Soeprijanto, M.Sc.")</f>
        <v>Prof. Dr. Ir. Soeprijanto, M.Sc.</v>
      </c>
      <c r="I560" s="1" t="str">
        <f ca="1">IFERROR(__xludf.DUMMYFUNCTION("""COMPUTED_VALUE"""),"REGITA PRAMESWARI")</f>
        <v>REGITA PRAMESWARI</v>
      </c>
      <c r="J560" s="1" t="str">
        <f ca="1">IFERROR(__xludf.DUMMYFUNCTION("""COMPUTED_VALUE"""),"2041201049")</f>
        <v>2041201049</v>
      </c>
      <c r="K560" s="1" t="str">
        <f ca="1">IFERROR(__xludf.DUMMYFUNCTION("""COMPUTED_VALUE"""),"Departemen Teknik Kimia Industri")</f>
        <v>Departemen Teknik Kimia Industri</v>
      </c>
      <c r="L560" s="1" t="str">
        <f ca="1">IFERROR(__xludf.DUMMYFUNCTION("""COMPUTED_VALUE"""),"SHAFA AZZAHRA")</f>
        <v>SHAFA AZZAHRA</v>
      </c>
      <c r="M560" s="1" t="str">
        <f ca="1">IFERROR(__xludf.DUMMYFUNCTION("""COMPUTED_VALUE"""),"2041201057")</f>
        <v>2041201057</v>
      </c>
      <c r="N560" s="1" t="str">
        <f ca="1">IFERROR(__xludf.DUMMYFUNCTION("""COMPUTED_VALUE"""),"Departemen Teknik Kimia Industri")</f>
        <v>Departemen Teknik Kimia Industri</v>
      </c>
      <c r="O560" s="1" t="str">
        <f ca="1">IFERROR(__xludf.DUMMYFUNCTION("""COMPUTED_VALUE"""),"MUHAMMAD AKHA MEGHOTSAH")</f>
        <v>MUHAMMAD AKHA MEGHOTSAH</v>
      </c>
      <c r="P560" s="1" t="str">
        <f ca="1">IFERROR(__xludf.DUMMYFUNCTION("""COMPUTED_VALUE"""),"2041201042")</f>
        <v>2041201042</v>
      </c>
      <c r="Q560" s="1" t="str">
        <f ca="1">IFERROR(__xludf.DUMMYFUNCTION("""COMPUTED_VALUE"""),"Departemen Teknik Kimia Industri")</f>
        <v>Departemen Teknik Kimia Industri</v>
      </c>
      <c r="R560" s="1"/>
      <c r="S560" s="1"/>
      <c r="T560" s="1"/>
      <c r="U560" s="1" t="str">
        <f ca="1">IFERROR(__xludf.DUMMYFUNCTION("""COMPUTED_VALUE"""),"Hertiari Idajati, S.T., M.Sc.")</f>
        <v>Hertiari Idajati, S.T., M.Sc.</v>
      </c>
      <c r="V560" s="1" t="str">
        <f ca="1">IFERROR(__xludf.DUMMYFUNCTION("""COMPUTED_VALUE"""),"Dr.-Ing. Doty Dewi Risanti, S.T., M.T.")</f>
        <v>Dr.-Ing. Doty Dewi Risanti, S.T., M.T.</v>
      </c>
      <c r="W560" s="1"/>
      <c r="X560" s="1" t="str">
        <f ca="1">IFERROR(__xludf.DUMMYFUNCTION("""COMPUTED_VALUE"""),"Lolos")</f>
        <v>Lolos</v>
      </c>
      <c r="Y560" s="1"/>
      <c r="Z560" s="1"/>
      <c r="AA560" s="1"/>
    </row>
    <row r="561" spans="1:27">
      <c r="A561" s="1" t="s">
        <v>548</v>
      </c>
      <c r="B561" s="1">
        <f ca="1">IFERROR(__xludf.DUMMYFUNCTION("""COMPUTED_VALUE"""),4019)</f>
        <v>4019</v>
      </c>
      <c r="C561" s="1" t="str">
        <f ca="1">IFERROR(__xludf.DUMMYFUNCTION("""COMPUTED_VALUE"""),"PKM Pengabdian Kepada Masyarakat")</f>
        <v>PKM Pengabdian Kepada Masyarakat</v>
      </c>
      <c r="D561" s="1" t="str">
        <f ca="1">IFERROR(__xludf.DUMMYFUNCTION("""COMPUTED_VALUE"""),"Membangun Sinergi KOPASUS (Kelompok Pengolah Susu) Guna Memaksimalkan Potensi Desa dan Peningkatan Ekonomi Berbasis Produksi Olahan Susu Sapi Desa Galengdowo")</f>
        <v>Membangun Sinergi KOPASUS (Kelompok Pengolah Susu) Guna Memaksimalkan Potensi Desa dan Peningkatan Ekonomi Berbasis Produksi Olahan Susu Sapi Desa Galengdowo</v>
      </c>
      <c r="E561" s="1" t="str">
        <f ca="1">IFERROR(__xludf.DUMMYFUNCTION("""COMPUTED_VALUE"""),"Nabiilah Aliyyah Wahid")</f>
        <v>Nabiilah Aliyyah Wahid</v>
      </c>
      <c r="F561" s="1" t="str">
        <f ca="1">IFERROR(__xludf.DUMMYFUNCTION("""COMPUTED_VALUE"""),"01211940000002")</f>
        <v>01211940000002</v>
      </c>
      <c r="G561" s="1" t="str">
        <f ca="1">IFERROR(__xludf.DUMMYFUNCTION("""COMPUTED_VALUE"""),"Departemen Kimia")</f>
        <v>Departemen Kimia</v>
      </c>
      <c r="H561" s="1" t="str">
        <f ca="1">IFERROR(__xludf.DUMMYFUNCTION("""COMPUTED_VALUE"""),"Prof. Dr. Dra Fahimah Martak, M.Si")</f>
        <v>Prof. Dr. Dra Fahimah Martak, M.Si</v>
      </c>
      <c r="I561" s="1" t="str">
        <f ca="1">IFERROR(__xludf.DUMMYFUNCTION("""COMPUTED_VALUE"""),"FARICH AL MACHMUDI")</f>
        <v>FARICH AL MACHMUDI</v>
      </c>
      <c r="J561" s="1" t="str">
        <f ca="1">IFERROR(__xludf.DUMMYFUNCTION("""COMPUTED_VALUE"""),"01211940000044")</f>
        <v>01211940000044</v>
      </c>
      <c r="K561" s="1" t="str">
        <f ca="1">IFERROR(__xludf.DUMMYFUNCTION("""COMPUTED_VALUE"""),"Departemen Kimia")</f>
        <v>Departemen Kimia</v>
      </c>
      <c r="L561" s="1" t="str">
        <f ca="1">IFERROR(__xludf.DUMMYFUNCTION("""COMPUTED_VALUE"""),"ESTHER ASCENDY DOMINIQUE")</f>
        <v>ESTHER ASCENDY DOMINIQUE</v>
      </c>
      <c r="M561" s="1" t="str">
        <f ca="1">IFERROR(__xludf.DUMMYFUNCTION("""COMPUTED_VALUE"""),"01211940000042")</f>
        <v>01211940000042</v>
      </c>
      <c r="N561" s="1" t="str">
        <f ca="1">IFERROR(__xludf.DUMMYFUNCTION("""COMPUTED_VALUE"""),"Departemen Kimia")</f>
        <v>Departemen Kimia</v>
      </c>
      <c r="O561" s="1" t="str">
        <f ca="1">IFERROR(__xludf.DUMMYFUNCTION("""COMPUTED_VALUE"""),"ANNIDA HAQQ")</f>
        <v>ANNIDA HAQQ</v>
      </c>
      <c r="P561" s="1" t="str">
        <f ca="1">IFERROR(__xludf.DUMMYFUNCTION("""COMPUTED_VALUE"""),"01311940000075")</f>
        <v>01311940000075</v>
      </c>
      <c r="Q561" s="1" t="str">
        <f ca="1">IFERROR(__xludf.DUMMYFUNCTION("""COMPUTED_VALUE"""),"Departemen Biologi")</f>
        <v>Departemen Biologi</v>
      </c>
      <c r="R561" s="1" t="str">
        <f ca="1">IFERROR(__xludf.DUMMYFUNCTION("""COMPUTED_VALUE"""),"NURIYAH AINI")</f>
        <v>NURIYAH AINI</v>
      </c>
      <c r="S561" s="1" t="str">
        <f ca="1">IFERROR(__xludf.DUMMYFUNCTION("""COMPUTED_VALUE"""),"5033201018")</f>
        <v>5033201018</v>
      </c>
      <c r="T561" s="1" t="str">
        <f ca="1">IFERROR(__xludf.DUMMYFUNCTION("""COMPUTED_VALUE"""),"Departemen Studi Pembangunan")</f>
        <v>Departemen Studi Pembangunan</v>
      </c>
      <c r="U561" s="1" t="str">
        <f ca="1">IFERROR(__xludf.DUMMYFUNCTION("""COMPUTED_VALUE"""),"Hertiari Idajati, S.T., M.Sc.")</f>
        <v>Hertiari Idajati, S.T., M.Sc.</v>
      </c>
      <c r="V561" s="1" t="str">
        <f ca="1">IFERROR(__xludf.DUMMYFUNCTION("""COMPUTED_VALUE"""),"Ir. Muchammad Husni, M.Kom")</f>
        <v>Ir. Muchammad Husni, M.Kom</v>
      </c>
      <c r="W561" s="1"/>
      <c r="X561" s="1" t="str">
        <f ca="1">IFERROR(__xludf.DUMMYFUNCTION("""COMPUTED_VALUE"""),"Lolos")</f>
        <v>Lolos</v>
      </c>
      <c r="Y561" s="1"/>
      <c r="Z561" s="1"/>
      <c r="AA561" s="1"/>
    </row>
    <row r="562" spans="1:27">
      <c r="A562" s="1" t="s">
        <v>549</v>
      </c>
      <c r="B562" s="1">
        <f ca="1">IFERROR(__xludf.DUMMYFUNCTION("""COMPUTED_VALUE"""),3586)</f>
        <v>3586</v>
      </c>
      <c r="C562" s="1" t="str">
        <f ca="1">IFERROR(__xludf.DUMMYFUNCTION("""COMPUTED_VALUE"""),"PKM Pengabdian Kepada Masyarakat")</f>
        <v>PKM Pengabdian Kepada Masyarakat</v>
      </c>
      <c r="D562" s="1" t="str">
        <f ca="1">IFERROR(__xludf.DUMMYFUNCTION("""COMPUTED_VALUE"""),"Pelatihan Pembuatan Runner Interior dengan Teknik Ecoprint Menggunakan Tanaman Pekarangan di Yayasan Peduli Kasih Anak Berkebutuhan Khusus")</f>
        <v>Pelatihan Pembuatan Runner Interior dengan Teknik Ecoprint Menggunakan Tanaman Pekarangan di Yayasan Peduli Kasih Anak Berkebutuhan Khusus</v>
      </c>
      <c r="E562" s="1" t="str">
        <f ca="1">IFERROR(__xludf.DUMMYFUNCTION("""COMPUTED_VALUE"""),"RIFDAH AZIZAH SALSABILA")</f>
        <v>RIFDAH AZIZAH SALSABILA</v>
      </c>
      <c r="F562" s="1" t="str">
        <f ca="1">IFERROR(__xludf.DUMMYFUNCTION("""COMPUTED_VALUE"""),"08411940000042")</f>
        <v>08411940000042</v>
      </c>
      <c r="G562" s="1" t="str">
        <f ca="1">IFERROR(__xludf.DUMMYFUNCTION("""COMPUTED_VALUE"""),"Departemen Desain Interior")</f>
        <v>Departemen Desain Interior</v>
      </c>
      <c r="H562" s="1" t="str">
        <f ca="1">IFERROR(__xludf.DUMMYFUNCTION("""COMPUTED_VALUE"""),"Lea Kristina Anggraeni, S.T., M.Ds.")</f>
        <v>Lea Kristina Anggraeni, S.T., M.Ds.</v>
      </c>
      <c r="I562" s="1" t="str">
        <f ca="1">IFERROR(__xludf.DUMMYFUNCTION("""COMPUTED_VALUE"""),"MAHARANI NIRMALA SHAKTI MADYA JALA")</f>
        <v>MAHARANI NIRMALA SHAKTI MADYA JALA</v>
      </c>
      <c r="J562" s="1" t="str">
        <f ca="1">IFERROR(__xludf.DUMMYFUNCTION("""COMPUTED_VALUE"""),"08411940000035")</f>
        <v>08411940000035</v>
      </c>
      <c r="K562" s="1" t="str">
        <f ca="1">IFERROR(__xludf.DUMMYFUNCTION("""COMPUTED_VALUE"""),"Departemen Desain Interior")</f>
        <v>Departemen Desain Interior</v>
      </c>
      <c r="L562" s="1" t="str">
        <f ca="1">IFERROR(__xludf.DUMMYFUNCTION("""COMPUTED_VALUE"""),"PUTU NADYA ISWARIDEWI")</f>
        <v>PUTU NADYA ISWARIDEWI</v>
      </c>
      <c r="M562" s="1" t="str">
        <f ca="1">IFERROR(__xludf.DUMMYFUNCTION("""COMPUTED_VALUE"""),"5029201038")</f>
        <v>5029201038</v>
      </c>
      <c r="N562" s="1" t="str">
        <f ca="1">IFERROR(__xludf.DUMMYFUNCTION("""COMPUTED_VALUE"""),"Departemen Desain Interior")</f>
        <v>Departemen Desain Interior</v>
      </c>
      <c r="O562" s="1" t="str">
        <f ca="1">IFERROR(__xludf.DUMMYFUNCTION("""COMPUTED_VALUE"""),"EMILIA NOFISARI")</f>
        <v>EMILIA NOFISARI</v>
      </c>
      <c r="P562" s="1" t="str">
        <f ca="1">IFERROR(__xludf.DUMMYFUNCTION("""COMPUTED_VALUE"""),"5029211014")</f>
        <v>5029211014</v>
      </c>
      <c r="Q562" s="1" t="str">
        <f ca="1">IFERROR(__xludf.DUMMYFUNCTION("""COMPUTED_VALUE"""),"Departemen Desain Interior")</f>
        <v>Departemen Desain Interior</v>
      </c>
      <c r="R562" s="1" t="str">
        <f ca="1">IFERROR(__xludf.DUMMYFUNCTION("""COMPUTED_VALUE"""),"Hengky Miftahul F")</f>
        <v>Hengky Miftahul F</v>
      </c>
      <c r="S562" s="1" t="str">
        <f ca="1">IFERROR(__xludf.DUMMYFUNCTION("""COMPUTED_VALUE"""),"5029211043")</f>
        <v>5029211043</v>
      </c>
      <c r="T562" s="1" t="str">
        <f ca="1">IFERROR(__xludf.DUMMYFUNCTION("""COMPUTED_VALUE"""),"Departemen Desain Interior")</f>
        <v>Departemen Desain Interior</v>
      </c>
      <c r="U562" s="1" t="str">
        <f ca="1">IFERROR(__xludf.DUMMYFUNCTION("""COMPUTED_VALUE"""),"Dr.-Ing. Doty Dewi Risanti, S.T., M.T.")</f>
        <v>Dr.-Ing. Doty Dewi Risanti, S.T., M.T.</v>
      </c>
      <c r="V562" s="1" t="str">
        <f ca="1">IFERROR(__xludf.DUMMYFUNCTION("""COMPUTED_VALUE"""),"Naufan Noordyanto, S.Sn., M.Sn.")</f>
        <v>Naufan Noordyanto, S.Sn., M.Sn.</v>
      </c>
      <c r="W562" s="1"/>
      <c r="X562" s="1" t="str">
        <f ca="1">IFERROR(__xludf.DUMMYFUNCTION("""COMPUTED_VALUE"""),"Lolos")</f>
        <v>Lolos</v>
      </c>
      <c r="Y562" s="1"/>
      <c r="Z562" s="1"/>
      <c r="AA562" s="1"/>
    </row>
    <row r="563" spans="1:27">
      <c r="A563" s="1" t="s">
        <v>550</v>
      </c>
      <c r="B563" s="1">
        <f ca="1">IFERROR(__xludf.DUMMYFUNCTION("""COMPUTED_VALUE"""),4082)</f>
        <v>4082</v>
      </c>
      <c r="C563" s="1" t="str">
        <f ca="1">IFERROR(__xludf.DUMMYFUNCTION("""COMPUTED_VALUE"""),"PKM Pengabdian Kepada Masyarakat")</f>
        <v>PKM Pengabdian Kepada Masyarakat</v>
      </c>
      <c r="D563" s="1" t="str">
        <f ca="1">IFERROR(__xludf.DUMMYFUNCTION("""COMPUTED_VALUE"""),"Pengolahan Air Limbah Tahu Menjadi Kulit Sintetis Sebagai Upaya Penanggulangan Pencemaran Sungai dan Peningkatan Potensi Ekonomi di Desa Sambiroto")</f>
        <v>Pengolahan Air Limbah Tahu Menjadi Kulit Sintetis Sebagai Upaya Penanggulangan Pencemaran Sungai dan Peningkatan Potensi Ekonomi di Desa Sambiroto</v>
      </c>
      <c r="E563" s="1" t="str">
        <f ca="1">IFERROR(__xludf.DUMMYFUNCTION("""COMPUTED_VALUE"""),"INDAH TRI CAHYANI")</f>
        <v>INDAH TRI CAHYANI</v>
      </c>
      <c r="F563" s="1" t="str">
        <f ca="1">IFERROR(__xludf.DUMMYFUNCTION("""COMPUTED_VALUE"""),"03211940000079")</f>
        <v>03211940000079</v>
      </c>
      <c r="G563" s="1" t="str">
        <f ca="1">IFERROR(__xludf.DUMMYFUNCTION("""COMPUTED_VALUE"""),"Departemen Teknik Lingkungan")</f>
        <v>Departemen Teknik Lingkungan</v>
      </c>
      <c r="H563" s="1" t="str">
        <f ca="1">IFERROR(__xludf.DUMMYFUNCTION("""COMPUTED_VALUE"""),"Ervin Nurhayati, S.T., M.T., Ph.D.")</f>
        <v>Ervin Nurhayati, S.T., M.T., Ph.D.</v>
      </c>
      <c r="I563" s="1" t="str">
        <f ca="1">IFERROR(__xludf.DUMMYFUNCTION("""COMPUTED_VALUE"""),"WIJAYA SAKTI MUHAMMAD SAMPURNA")</f>
        <v>WIJAYA SAKTI MUHAMMAD SAMPURNA</v>
      </c>
      <c r="J563" s="1" t="str">
        <f ca="1">IFERROR(__xludf.DUMMYFUNCTION("""COMPUTED_VALUE"""),"02411840000144")</f>
        <v>02411840000144</v>
      </c>
      <c r="K563" s="1" t="str">
        <f ca="1">IFERROR(__xludf.DUMMYFUNCTION("""COMPUTED_VALUE"""),"Departemen Teknik Sistem dan Industri")</f>
        <v>Departemen Teknik Sistem dan Industri</v>
      </c>
      <c r="L563" s="1" t="str">
        <f ca="1">IFERROR(__xludf.DUMMYFUNCTION("""COMPUTED_VALUE"""),"SINTA EKA SEPTA SARI")</f>
        <v>SINTA EKA SEPTA SARI</v>
      </c>
      <c r="M563" s="1" t="str">
        <f ca="1">IFERROR(__xludf.DUMMYFUNCTION("""COMPUTED_VALUE"""),"01211940000073")</f>
        <v>01211940000073</v>
      </c>
      <c r="N563" s="1" t="str">
        <f ca="1">IFERROR(__xludf.DUMMYFUNCTION("""COMPUTED_VALUE"""),"Departemen Kimia")</f>
        <v>Departemen Kimia</v>
      </c>
      <c r="O563" s="1" t="str">
        <f ca="1">IFERROR(__xludf.DUMMYFUNCTION("""COMPUTED_VALUE"""),"ARDI LUKMAN HAKIM")</f>
        <v>ARDI LUKMAN HAKIM</v>
      </c>
      <c r="P563" s="1" t="str">
        <f ca="1">IFERROR(__xludf.DUMMYFUNCTION("""COMPUTED_VALUE"""),"5004201040")</f>
        <v>5004201040</v>
      </c>
      <c r="Q563" s="1" t="str">
        <f ca="1">IFERROR(__xludf.DUMMYFUNCTION("""COMPUTED_VALUE"""),"Departemen Kimia")</f>
        <v>Departemen Kimia</v>
      </c>
      <c r="R563" s="1" t="str">
        <f ca="1">IFERROR(__xludf.DUMMYFUNCTION("""COMPUTED_VALUE"""),"I PUTU BAGUS ADHI PRADANA")</f>
        <v>I PUTU BAGUS ADHI PRADANA</v>
      </c>
      <c r="S563" s="1" t="str">
        <f ca="1">IFERROR(__xludf.DUMMYFUNCTION("""COMPUTED_VALUE"""),"5025201010")</f>
        <v>5025201010</v>
      </c>
      <c r="T563" s="1" t="str">
        <f ca="1">IFERROR(__xludf.DUMMYFUNCTION("""COMPUTED_VALUE"""),"Departemen Teknik Informatika")</f>
        <v>Departemen Teknik Informatika</v>
      </c>
      <c r="U563" s="1" t="str">
        <f ca="1">IFERROR(__xludf.DUMMYFUNCTION("""COMPUTED_VALUE"""),"Hertiari Idajati, S.T., M.Sc.")</f>
        <v>Hertiari Idajati, S.T., M.Sc.</v>
      </c>
      <c r="V563" s="1" t="str">
        <f ca="1">IFERROR(__xludf.DUMMYFUNCTION("""COMPUTED_VALUE"""),"Dr. Afan Hamzah, S.T.")</f>
        <v>Dr. Afan Hamzah, S.T.</v>
      </c>
      <c r="W563" s="1"/>
      <c r="X563" s="1" t="str">
        <f ca="1">IFERROR(__xludf.DUMMYFUNCTION("""COMPUTED_VALUE"""),"Lolos")</f>
        <v>Lolos</v>
      </c>
      <c r="Y563" s="1"/>
      <c r="Z563" s="1"/>
      <c r="AA563" s="1"/>
    </row>
    <row r="564" spans="1:27">
      <c r="A564" s="1" t="s">
        <v>551</v>
      </c>
      <c r="B564" s="1">
        <f ca="1">IFERROR(__xludf.DUMMYFUNCTION("""COMPUTED_VALUE"""),3601)</f>
        <v>3601</v>
      </c>
      <c r="C564" s="1" t="str">
        <f ca="1">IFERROR(__xludf.DUMMYFUNCTION("""COMPUTED_VALUE"""),"PKM Pengabdian Kepada Masyarakat")</f>
        <v>PKM Pengabdian Kepada Masyarakat</v>
      </c>
      <c r="D564" s="1" t="str">
        <f ca="1">IFERROR(__xludf.DUMMYFUNCTION("""COMPUTED_VALUE"""),"Pemberdayaan Karang Taruna Desa Semare Melalui Pemanfaatan Limbah Kulit Kerang Dara Sebagai Pakan Ayam Kaya Kalsium Guna Meningkatkan Kesejahteraan Ekonomi")</f>
        <v>Pemberdayaan Karang Taruna Desa Semare Melalui Pemanfaatan Limbah Kulit Kerang Dara Sebagai Pakan Ayam Kaya Kalsium Guna Meningkatkan Kesejahteraan Ekonomi</v>
      </c>
      <c r="E564" s="1" t="str">
        <f ca="1">IFERROR(__xludf.DUMMYFUNCTION("""COMPUTED_VALUE"""),"FIRDHA CHAYLIA AYU RACHMANDIKA")</f>
        <v>FIRDHA CHAYLIA AYU RACHMANDIKA</v>
      </c>
      <c r="F564" s="1" t="str">
        <f ca="1">IFERROR(__xludf.DUMMYFUNCTION("""COMPUTED_VALUE"""),"5005201098")</f>
        <v>5005201098</v>
      </c>
      <c r="G564" s="1" t="str">
        <f ca="1">IFERROR(__xludf.DUMMYFUNCTION("""COMPUTED_VALUE"""),"Departemen Biologi")</f>
        <v>Departemen Biologi</v>
      </c>
      <c r="H564" s="1" t="str">
        <f ca="1">IFERROR(__xludf.DUMMYFUNCTION("""COMPUTED_VALUE"""),"Dr. Awik Puji Dyah Nurhayati, S.Si., M.Si.")</f>
        <v>Dr. Awik Puji Dyah Nurhayati, S.Si., M.Si.</v>
      </c>
      <c r="I564" s="1" t="str">
        <f ca="1">IFERROR(__xludf.DUMMYFUNCTION("""COMPUTED_VALUE"""),"THORIQ LUKMANUL HAKIM")</f>
        <v>THORIQ LUKMANUL HAKIM</v>
      </c>
      <c r="J564" s="1" t="str">
        <f ca="1">IFERROR(__xludf.DUMMYFUNCTION("""COMPUTED_VALUE"""),"2038201064")</f>
        <v>2038201064</v>
      </c>
      <c r="K564" s="1" t="str">
        <f ca="1">IFERROR(__xludf.DUMMYFUNCTION("""COMPUTED_VALUE"""),"Departemen Teknik Mesin Industri")</f>
        <v>Departemen Teknik Mesin Industri</v>
      </c>
      <c r="L564" s="1" t="str">
        <f ca="1">IFERROR(__xludf.DUMMYFUNCTION("""COMPUTED_VALUE"""),"ANISATUS SOLIHAH")</f>
        <v>ANISATUS SOLIHAH</v>
      </c>
      <c r="M564" s="1" t="str">
        <f ca="1">IFERROR(__xludf.DUMMYFUNCTION("""COMPUTED_VALUE"""),"5005201063")</f>
        <v>5005201063</v>
      </c>
      <c r="N564" s="1" t="str">
        <f ca="1">IFERROR(__xludf.DUMMYFUNCTION("""COMPUTED_VALUE"""),"Departemen Biologi")</f>
        <v>Departemen Biologi</v>
      </c>
      <c r="O564" s="1" t="str">
        <f ca="1">IFERROR(__xludf.DUMMYFUNCTION("""COMPUTED_VALUE"""),"FAJRI MALIK")</f>
        <v>FAJRI MALIK</v>
      </c>
      <c r="P564" s="1" t="str">
        <f ca="1">IFERROR(__xludf.DUMMYFUNCTION("""COMPUTED_VALUE"""),"5005201055")</f>
        <v>5005201055</v>
      </c>
      <c r="Q564" s="1" t="str">
        <f ca="1">IFERROR(__xludf.DUMMYFUNCTION("""COMPUTED_VALUE"""),"Departemen Biologi")</f>
        <v>Departemen Biologi</v>
      </c>
      <c r="R564" s="1" t="str">
        <f ca="1">IFERROR(__xludf.DUMMYFUNCTION("""COMPUTED_VALUE"""),"KHABIB ROHALI")</f>
        <v>KHABIB ROHALI</v>
      </c>
      <c r="S564" s="1" t="str">
        <f ca="1">IFERROR(__xludf.DUMMYFUNCTION("""COMPUTED_VALUE"""),"5019201025")</f>
        <v>5019201025</v>
      </c>
      <c r="T564" s="1" t="str">
        <f ca="1">IFERROR(__xludf.DUMMYFUNCTION("""COMPUTED_VALUE"""),"Departemen Teknik Sistem Perkapalan")</f>
        <v>Departemen Teknik Sistem Perkapalan</v>
      </c>
      <c r="U564" s="1" t="str">
        <f ca="1">IFERROR(__xludf.DUMMYFUNCTION("""COMPUTED_VALUE"""),"Hertiari Idajati, S.T., M.Sc.")</f>
        <v>Hertiari Idajati, S.T., M.Sc.</v>
      </c>
      <c r="V564" s="1" t="str">
        <f ca="1">IFERROR(__xludf.DUMMYFUNCTION("""COMPUTED_VALUE"""),"Naufan Noordyanto, S.Sn., M.Sn.")</f>
        <v>Naufan Noordyanto, S.Sn., M.Sn.</v>
      </c>
      <c r="W564" s="1"/>
      <c r="X564" s="1" t="str">
        <f ca="1">IFERROR(__xludf.DUMMYFUNCTION("""COMPUTED_VALUE"""),"Lolos")</f>
        <v>Lolos</v>
      </c>
      <c r="Y564" s="1"/>
      <c r="Z564" s="1"/>
      <c r="AA564" s="1"/>
    </row>
    <row r="565" spans="1:27">
      <c r="A565" s="1" t="s">
        <v>552</v>
      </c>
      <c r="B565" s="1">
        <f ca="1">IFERROR(__xludf.DUMMYFUNCTION("""COMPUTED_VALUE"""),3178)</f>
        <v>3178</v>
      </c>
      <c r="C565" s="1" t="str">
        <f ca="1">IFERROR(__xludf.DUMMYFUNCTION("""COMPUTED_VALUE"""),"PKM Pengabdian Kepada Masyarakat")</f>
        <v>PKM Pengabdian Kepada Masyarakat</v>
      </c>
      <c r="D565" s="1" t="str">
        <f ca="1">IFERROR(__xludf.DUMMYFUNCTION("""COMPUTED_VALUE"""),"MENINGKATKAN KUALITAS PENDIDIKAN ANAK DI DAERAH PESISIR")</f>
        <v>MENINGKATKAN KUALITAS PENDIDIKAN ANAK DI DAERAH PESISIR</v>
      </c>
      <c r="E565" s="1" t="str">
        <f ca="1">IFERROR(__xludf.DUMMYFUNCTION("""COMPUTED_VALUE"""),"Arif Indyanto")</f>
        <v>Arif Indyanto</v>
      </c>
      <c r="F565" s="1" t="str">
        <f ca="1">IFERROR(__xludf.DUMMYFUNCTION("""COMPUTED_VALUE"""),"5021211012")</f>
        <v>5021211012</v>
      </c>
      <c r="G565" s="1" t="str">
        <f ca="1">IFERROR(__xludf.DUMMYFUNCTION("""COMPUTED_VALUE"""),"Departemen Teknik Transportasi Laut")</f>
        <v>Departemen Teknik Transportasi Laut</v>
      </c>
      <c r="H565" s="1" t="str">
        <f ca="1">IFERROR(__xludf.DUMMYFUNCTION("""COMPUTED_VALUE"""),"Oktaviani Turbaningsih, S.T., M.T.")</f>
        <v>Oktaviani Turbaningsih, S.T., M.T.</v>
      </c>
      <c r="I565" s="1" t="str">
        <f ca="1">IFERROR(__xludf.DUMMYFUNCTION("""COMPUTED_VALUE"""),"Muhammad Aufa Hakim")</f>
        <v>Muhammad Aufa Hakim</v>
      </c>
      <c r="J565" s="1" t="str">
        <f ca="1">IFERROR(__xludf.DUMMYFUNCTION("""COMPUTED_VALUE"""),"5021211007")</f>
        <v>5021211007</v>
      </c>
      <c r="K565" s="1" t="str">
        <f ca="1">IFERROR(__xludf.DUMMYFUNCTION("""COMPUTED_VALUE"""),"Departemen Teknik Transportasi Laut")</f>
        <v>Departemen Teknik Transportasi Laut</v>
      </c>
      <c r="L565" s="1" t="str">
        <f ca="1">IFERROR(__xludf.DUMMYFUNCTION("""COMPUTED_VALUE"""),"Tiara Yuniar")</f>
        <v>Tiara Yuniar</v>
      </c>
      <c r="M565" s="1" t="str">
        <f ca="1">IFERROR(__xludf.DUMMYFUNCTION("""COMPUTED_VALUE"""),"5021211001")</f>
        <v>5021211001</v>
      </c>
      <c r="N565" s="1" t="str">
        <f ca="1">IFERROR(__xludf.DUMMYFUNCTION("""COMPUTED_VALUE"""),"Departemen Teknik Transportasi Laut")</f>
        <v>Departemen Teknik Transportasi Laut</v>
      </c>
      <c r="O565" s="1" t="str">
        <f ca="1">IFERROR(__xludf.DUMMYFUNCTION("""COMPUTED_VALUE"""),"FADILA AYU WULANDARI")</f>
        <v>FADILA AYU WULANDARI</v>
      </c>
      <c r="P565" s="1" t="str">
        <f ca="1">IFERROR(__xludf.DUMMYFUNCTION("""COMPUTED_VALUE"""),"5021211046")</f>
        <v>5021211046</v>
      </c>
      <c r="Q565" s="1" t="str">
        <f ca="1">IFERROR(__xludf.DUMMYFUNCTION("""COMPUTED_VALUE"""),"Departemen Teknik Transportasi Laut")</f>
        <v>Departemen Teknik Transportasi Laut</v>
      </c>
      <c r="R565" s="1"/>
      <c r="S565" s="1"/>
      <c r="T565" s="1"/>
      <c r="U565" s="1" t="str">
        <f ca="1">IFERROR(__xludf.DUMMYFUNCTION("""COMPUTED_VALUE"""),"Hertiari Idajati, S.T., M.Sc.")</f>
        <v>Hertiari Idajati, S.T., M.Sc.</v>
      </c>
      <c r="V565" s="1" t="str">
        <f ca="1">IFERROR(__xludf.DUMMYFUNCTION("""COMPUTED_VALUE"""),"Ir. Muchammad Husni, M.Kom")</f>
        <v>Ir. Muchammad Husni, M.Kom</v>
      </c>
      <c r="W565" s="1"/>
      <c r="X565" s="1" t="str">
        <f ca="1">IFERROR(__xludf.DUMMYFUNCTION("""COMPUTED_VALUE"""),"Lolos")</f>
        <v>Lolos</v>
      </c>
      <c r="Y565" s="1"/>
      <c r="Z565" s="1"/>
      <c r="AA565" s="1"/>
    </row>
    <row r="566" spans="1:27">
      <c r="A566" s="1" t="s">
        <v>553</v>
      </c>
      <c r="B566" s="1">
        <f ca="1">IFERROR(__xludf.DUMMYFUNCTION("""COMPUTED_VALUE"""),2954)</f>
        <v>2954</v>
      </c>
      <c r="C566" s="1" t="str">
        <f ca="1">IFERROR(__xludf.DUMMYFUNCTION("""COMPUTED_VALUE"""),"PKM Pengabdian Kepada Masyarakat")</f>
        <v>PKM Pengabdian Kepada Masyarakat</v>
      </c>
      <c r="D566" s="1" t="str">
        <f ca="1">IFERROR(__xludf.DUMMYFUNCTION("""COMPUTED_VALUE"""),"Inovasi Program TATS (Tahan Amarah Tanpa Solusi ) dalam Pembentukan
Karakter Penerus Bangsa yang Gemilang di Kota Surabaya")</f>
        <v>Inovasi Program TATS (Tahan Amarah Tanpa Solusi ) dalam Pembentukan
Karakter Penerus Bangsa yang Gemilang di Kota Surabaya</v>
      </c>
      <c r="E566" s="1" t="str">
        <f ca="1">IFERROR(__xludf.DUMMYFUNCTION("""COMPUTED_VALUE"""),"SONIA R N N")</f>
        <v>SONIA R N N</v>
      </c>
      <c r="F566" s="1" t="str">
        <f ca="1">IFERROR(__xludf.DUMMYFUNCTION("""COMPUTED_VALUE"""),"5010211027")</f>
        <v>5010211027</v>
      </c>
      <c r="G566" s="1" t="str">
        <f ca="1">IFERROR(__xludf.DUMMYFUNCTION("""COMPUTED_VALUE"""),"Departemen Teknik Sistem dan Industri")</f>
        <v>Departemen Teknik Sistem dan Industri</v>
      </c>
      <c r="H566" s="1" t="str">
        <f ca="1">IFERROR(__xludf.DUMMYFUNCTION("""COMPUTED_VALUE"""),"Hafidz Ridho, S.T., M.T., MBA.")</f>
        <v>Hafidz Ridho, S.T., M.T., MBA.</v>
      </c>
      <c r="I566" s="1" t="str">
        <f ca="1">IFERROR(__xludf.DUMMYFUNCTION("""COMPUTED_VALUE"""),"Humaira Nurul")</f>
        <v>Humaira Nurul</v>
      </c>
      <c r="J566" s="1" t="str">
        <f ca="1">IFERROR(__xludf.DUMMYFUNCTION("""COMPUTED_VALUE"""),"5010211107")</f>
        <v>5010211107</v>
      </c>
      <c r="K566" s="1" t="str">
        <f ca="1">IFERROR(__xludf.DUMMYFUNCTION("""COMPUTED_VALUE"""),"Departemen Teknik Sistem dan Industri")</f>
        <v>Departemen Teknik Sistem dan Industri</v>
      </c>
      <c r="L566" s="1" t="str">
        <f ca="1">IFERROR(__xludf.DUMMYFUNCTION("""COMPUTED_VALUE"""),"BRAMILA SHOFIA N")</f>
        <v>BRAMILA SHOFIA N</v>
      </c>
      <c r="M566" s="1" t="str">
        <f ca="1">IFERROR(__xludf.DUMMYFUNCTION("""COMPUTED_VALUE"""),"5010211081")</f>
        <v>5010211081</v>
      </c>
      <c r="N566" s="1" t="str">
        <f ca="1">IFERROR(__xludf.DUMMYFUNCTION("""COMPUTED_VALUE"""),"Departemen Teknik Sistem dan Industri")</f>
        <v>Departemen Teknik Sistem dan Industri</v>
      </c>
      <c r="O566" s="1" t="str">
        <f ca="1">IFERROR(__xludf.DUMMYFUNCTION("""COMPUTED_VALUE"""),"DIVARA SAHDA KUSUMA ")</f>
        <v xml:space="preserve">DIVARA SAHDA KUSUMA </v>
      </c>
      <c r="P566" s="1" t="str">
        <f ca="1">IFERROR(__xludf.DUMMYFUNCTION("""COMPUTED_VALUE"""),"5028211099")</f>
        <v>5028211099</v>
      </c>
      <c r="Q566" s="1" t="str">
        <f ca="1">IFERROR(__xludf.DUMMYFUNCTION("""COMPUTED_VALUE"""),"Departemen Desain Produk")</f>
        <v>Departemen Desain Produk</v>
      </c>
      <c r="R566" s="1"/>
      <c r="S566" s="1"/>
      <c r="T566" s="1"/>
      <c r="U566" s="1" t="str">
        <f ca="1">IFERROR(__xludf.DUMMYFUNCTION("""COMPUTED_VALUE"""),"Hertiari Idajati, S.T., M.Sc.")</f>
        <v>Hertiari Idajati, S.T., M.Sc.</v>
      </c>
      <c r="V566" s="1" t="str">
        <f ca="1">IFERROR(__xludf.DUMMYFUNCTION("""COMPUTED_VALUE"""),"Ir. Muchammad Husni, M.Kom")</f>
        <v>Ir. Muchammad Husni, M.Kom</v>
      </c>
      <c r="W566" s="1"/>
      <c r="X566" s="1" t="str">
        <f ca="1">IFERROR(__xludf.DUMMYFUNCTION("""COMPUTED_VALUE"""),"Lolos")</f>
        <v>Lolos</v>
      </c>
      <c r="Y566" s="1"/>
      <c r="Z566" s="1"/>
      <c r="AA566" s="1"/>
    </row>
    <row r="567" spans="1:27">
      <c r="A567" s="1" t="s">
        <v>554</v>
      </c>
      <c r="B567" s="1">
        <f ca="1">IFERROR(__xludf.DUMMYFUNCTION("""COMPUTED_VALUE"""),2471)</f>
        <v>2471</v>
      </c>
      <c r="C567" s="1" t="str">
        <f ca="1">IFERROR(__xludf.DUMMYFUNCTION("""COMPUTED_VALUE"""),"PKM Pengabdian Kepada Masyarakat")</f>
        <v>PKM Pengabdian Kepada Masyarakat</v>
      </c>
      <c r="D567" s="1" t="str">
        <f ca="1">IFERROR(__xludf.DUMMYFUNCTION("""COMPUTED_VALUE"""),"Program Pemulihan Mental Berbasis Telemedicine sebagai Fasilitator Pelajar SMAN 2 Surabaya dalam Menghadapi Degradasi Kesehatan Mental di Era New Normal")</f>
        <v>Program Pemulihan Mental Berbasis Telemedicine sebagai Fasilitator Pelajar SMAN 2 Surabaya dalam Menghadapi Degradasi Kesehatan Mental di Era New Normal</v>
      </c>
      <c r="E567" s="1" t="str">
        <f ca="1">IFERROR(__xludf.DUMMYFUNCTION("""COMPUTED_VALUE"""),"Amara Sabhinaya K.")</f>
        <v>Amara Sabhinaya K.</v>
      </c>
      <c r="F567" s="1" t="str">
        <f ca="1">IFERROR(__xludf.DUMMYFUNCTION("""COMPUTED_VALUE"""),"5006211098")</f>
        <v>5006211098</v>
      </c>
      <c r="G567" s="1" t="str">
        <f ca="1">IFERROR(__xludf.DUMMYFUNCTION("""COMPUTED_VALUE"""),"Departemen Aktuaria")</f>
        <v>Departemen Aktuaria</v>
      </c>
      <c r="H567" s="1" t="str">
        <f ca="1">IFERROR(__xludf.DUMMYFUNCTION("""COMPUTED_VALUE"""),"R. Mohamad Atok, S.Si, M.Si, Ph.D")</f>
        <v>R. Mohamad Atok, S.Si, M.Si, Ph.D</v>
      </c>
      <c r="I567" s="1" t="str">
        <f ca="1">IFERROR(__xludf.DUMMYFUNCTION("""COMPUTED_VALUE"""),"Niken Ayu M S ")</f>
        <v xml:space="preserve">Niken Ayu M S </v>
      </c>
      <c r="J567" s="1" t="str">
        <f ca="1">IFERROR(__xludf.DUMMYFUNCTION("""COMPUTED_VALUE"""),"5006211023")</f>
        <v>5006211023</v>
      </c>
      <c r="K567" s="1" t="str">
        <f ca="1">IFERROR(__xludf.DUMMYFUNCTION("""COMPUTED_VALUE"""),"Departemen Aktuaria")</f>
        <v>Departemen Aktuaria</v>
      </c>
      <c r="L567" s="1" t="str">
        <f ca="1">IFERROR(__xludf.DUMMYFUNCTION("""COMPUTED_VALUE"""),"Widya Iswara")</f>
        <v>Widya Iswara</v>
      </c>
      <c r="M567" s="1" t="str">
        <f ca="1">IFERROR(__xludf.DUMMYFUNCTION("""COMPUTED_VALUE"""),"5006211015")</f>
        <v>5006211015</v>
      </c>
      <c r="N567" s="1" t="str">
        <f ca="1">IFERROR(__xludf.DUMMYFUNCTION("""COMPUTED_VALUE"""),"Departemen Aktuaria")</f>
        <v>Departemen Aktuaria</v>
      </c>
      <c r="O567" s="1"/>
      <c r="P567" s="1"/>
      <c r="Q567" s="1"/>
      <c r="R567" s="1"/>
      <c r="S567" s="1"/>
      <c r="T567" s="1"/>
      <c r="U567" s="1" t="str">
        <f ca="1">IFERROR(__xludf.DUMMYFUNCTION("""COMPUTED_VALUE"""),"Hertiari Idajati, S.T., M.Sc.")</f>
        <v>Hertiari Idajati, S.T., M.Sc.</v>
      </c>
      <c r="V567" s="1" t="str">
        <f ca="1">IFERROR(__xludf.DUMMYFUNCTION("""COMPUTED_VALUE"""),"Ir. Muchammad Husni, M.Kom")</f>
        <v>Ir. Muchammad Husni, M.Kom</v>
      </c>
      <c r="W567" s="1"/>
      <c r="X567" s="1" t="str">
        <f ca="1">IFERROR(__xludf.DUMMYFUNCTION("""COMPUTED_VALUE"""),"Lolos")</f>
        <v>Lolos</v>
      </c>
      <c r="Y567" s="1"/>
      <c r="Z567" s="1"/>
      <c r="AA567" s="1"/>
    </row>
    <row r="568" spans="1:27">
      <c r="A568" s="1" t="s">
        <v>555</v>
      </c>
      <c r="B568" s="1">
        <f ca="1">IFERROR(__xludf.DUMMYFUNCTION("""COMPUTED_VALUE"""),2511)</f>
        <v>2511</v>
      </c>
      <c r="C568" s="1" t="str">
        <f ca="1">IFERROR(__xludf.DUMMYFUNCTION("""COMPUTED_VALUE"""),"PKM Pengabdian Kepada Masyarakat")</f>
        <v>PKM Pengabdian Kepada Masyarakat</v>
      </c>
      <c r="D568" s="1" t="str">
        <f ca="1">IFERROR(__xludf.DUMMYFUNCTION("""COMPUTED_VALUE"""),"Pemberdayaan Ibu PKK Desa Ngebong melalui Pelatihan Pembuatan Tempe Berbahan Dasar Leucaena Leucocephala sebagai Usaha Skala Rumah Tangga")</f>
        <v>Pemberdayaan Ibu PKK Desa Ngebong melalui Pelatihan Pembuatan Tempe Berbahan Dasar Leucaena Leucocephala sebagai Usaha Skala Rumah Tangga</v>
      </c>
      <c r="E568" s="1" t="str">
        <f ca="1">IFERROR(__xludf.DUMMYFUNCTION("""COMPUTED_VALUE"""),"BAKTIAS FITRIANI")</f>
        <v>BAKTIAS FITRIANI</v>
      </c>
      <c r="F568" s="1" t="str">
        <f ca="1">IFERROR(__xludf.DUMMYFUNCTION("""COMPUTED_VALUE"""),"2041201081")</f>
        <v>2041201081</v>
      </c>
      <c r="G568" s="1" t="str">
        <f ca="1">IFERROR(__xludf.DUMMYFUNCTION("""COMPUTED_VALUE"""),"Departemen Teknik Kimia Industri")</f>
        <v>Departemen Teknik Kimia Industri</v>
      </c>
      <c r="H568" s="1" t="str">
        <f ca="1">IFERROR(__xludf.DUMMYFUNCTION("""COMPUTED_VALUE"""),"Prof. Dr. Ir. Soeprijanto, M.Sc.")</f>
        <v>Prof. Dr. Ir. Soeprijanto, M.Sc.</v>
      </c>
      <c r="I568" s="1" t="str">
        <f ca="1">IFERROR(__xludf.DUMMYFUNCTION("""COMPUTED_VALUE"""),"DIKA ROHMAN SHOLEH")</f>
        <v>DIKA ROHMAN SHOLEH</v>
      </c>
      <c r="J568" s="1" t="str">
        <f ca="1">IFERROR(__xludf.DUMMYFUNCTION("""COMPUTED_VALUE"""),"2041201099")</f>
        <v>2041201099</v>
      </c>
      <c r="K568" s="1" t="str">
        <f ca="1">IFERROR(__xludf.DUMMYFUNCTION("""COMPUTED_VALUE"""),"Departemen Teknik Kimia Industri")</f>
        <v>Departemen Teknik Kimia Industri</v>
      </c>
      <c r="L568" s="1" t="str">
        <f ca="1">IFERROR(__xludf.DUMMYFUNCTION("""COMPUTED_VALUE"""),"ADEL FRISCA RAHAYU")</f>
        <v>ADEL FRISCA RAHAYU</v>
      </c>
      <c r="M568" s="1" t="str">
        <f ca="1">IFERROR(__xludf.DUMMYFUNCTION("""COMPUTED_VALUE"""),"2041201090")</f>
        <v>2041201090</v>
      </c>
      <c r="N568" s="1" t="str">
        <f ca="1">IFERROR(__xludf.DUMMYFUNCTION("""COMPUTED_VALUE"""),"Departemen Teknik Kimia Industri")</f>
        <v>Departemen Teknik Kimia Industri</v>
      </c>
      <c r="O568" s="1" t="str">
        <f ca="1">IFERROR(__xludf.DUMMYFUNCTION("""COMPUTED_VALUE"""),"AHMAD HAYIZ AZAIM")</f>
        <v>AHMAD HAYIZ AZAIM</v>
      </c>
      <c r="P568" s="1" t="str">
        <f ca="1">IFERROR(__xludf.DUMMYFUNCTION("""COMPUTED_VALUE"""),"2041201007")</f>
        <v>2041201007</v>
      </c>
      <c r="Q568" s="1" t="str">
        <f ca="1">IFERROR(__xludf.DUMMYFUNCTION("""COMPUTED_VALUE"""),"Departemen Teknik Kimia Industri")</f>
        <v>Departemen Teknik Kimia Industri</v>
      </c>
      <c r="R568" s="1"/>
      <c r="S568" s="1"/>
      <c r="T568" s="1"/>
      <c r="U568" s="1" t="str">
        <f ca="1">IFERROR(__xludf.DUMMYFUNCTION("""COMPUTED_VALUE"""),"Dr.-Ing. Doty Dewi Risanti, S.T., M.T.")</f>
        <v>Dr.-Ing. Doty Dewi Risanti, S.T., M.T.</v>
      </c>
      <c r="V568" s="1" t="str">
        <f ca="1">IFERROR(__xludf.DUMMYFUNCTION("""COMPUTED_VALUE"""),"Mahardika F. Rois, S.T, M.T")</f>
        <v>Mahardika F. Rois, S.T, M.T</v>
      </c>
      <c r="W568" s="1"/>
      <c r="X568" s="1" t="str">
        <f ca="1">IFERROR(__xludf.DUMMYFUNCTION("""COMPUTED_VALUE"""),"Lolos")</f>
        <v>Lolos</v>
      </c>
      <c r="Y568" s="1"/>
      <c r="Z568" s="1"/>
      <c r="AA568" s="1"/>
    </row>
    <row r="569" spans="1:27">
      <c r="A569" s="1" t="s">
        <v>556</v>
      </c>
      <c r="B569" s="1">
        <f ca="1">IFERROR(__xludf.DUMMYFUNCTION("""COMPUTED_VALUE"""),3932)</f>
        <v>3932</v>
      </c>
      <c r="C569" s="1" t="str">
        <f ca="1">IFERROR(__xludf.DUMMYFUNCTION("""COMPUTED_VALUE"""),"PKM Pengabdian Kepada Masyarakat")</f>
        <v>PKM Pengabdian Kepada Masyarakat</v>
      </c>
      <c r="D569" s="1" t="str">
        <f ca="1">IFERROR(__xludf.DUMMYFUNCTION("""COMPUTED_VALUE"""),"Instalasi Mikro Hidro Power sebagai Sumber Tenaga Listrik Penggerak Pompa Air di Desa Telemung Kecamatan Kalipuro Kabupaten Banyuwangi")</f>
        <v>Instalasi Mikro Hidro Power sebagai Sumber Tenaga Listrik Penggerak Pompa Air di Desa Telemung Kecamatan Kalipuro Kabupaten Banyuwangi</v>
      </c>
      <c r="E569" s="1" t="str">
        <f ca="1">IFERROR(__xludf.DUMMYFUNCTION("""COMPUTED_VALUE"""),"SEMBAYU JATI PAMUNGKAS")</f>
        <v>SEMBAYU JATI PAMUNGKAS</v>
      </c>
      <c r="F569" s="1" t="str">
        <f ca="1">IFERROR(__xludf.DUMMYFUNCTION("""COMPUTED_VALUE"""),"2040201136")</f>
        <v>2040201136</v>
      </c>
      <c r="G569" s="1" t="str">
        <f ca="1">IFERROR(__xludf.DUMMYFUNCTION("""COMPUTED_VALUE"""),"Departemen Teknik Elektro Otomasi")</f>
        <v>Departemen Teknik Elektro Otomasi</v>
      </c>
      <c r="H569" s="1" t="str">
        <f ca="1">IFERROR(__xludf.DUMMYFUNCTION("""COMPUTED_VALUE"""),"Ciptian Weried Priananda, S.ST., M.T.")</f>
        <v>Ciptian Weried Priananda, S.ST., M.T.</v>
      </c>
      <c r="I569" s="1" t="str">
        <f ca="1">IFERROR(__xludf.DUMMYFUNCTION("""COMPUTED_VALUE"""),"DZUROTUN NAFISAH")</f>
        <v>DZUROTUN NAFISAH</v>
      </c>
      <c r="J569" s="1" t="str">
        <f ca="1">IFERROR(__xludf.DUMMYFUNCTION("""COMPUTED_VALUE"""),"2035201088")</f>
        <v>2035201088</v>
      </c>
      <c r="K569" s="1" t="str">
        <f ca="1">IFERROR(__xludf.DUMMYFUNCTION("""COMPUTED_VALUE"""),"Departemen Teknik Infrastruktur Sipil")</f>
        <v>Departemen Teknik Infrastruktur Sipil</v>
      </c>
      <c r="L569" s="1" t="str">
        <f ca="1">IFERROR(__xludf.DUMMYFUNCTION("""COMPUTED_VALUE"""),"GAMALIEL LIZARO HAREFA")</f>
        <v>GAMALIEL LIZARO HAREFA</v>
      </c>
      <c r="M569" s="1" t="str">
        <f ca="1">IFERROR(__xludf.DUMMYFUNCTION("""COMPUTED_VALUE"""),"5022201186")</f>
        <v>5022201186</v>
      </c>
      <c r="N569" s="1" t="str">
        <f ca="1">IFERROR(__xludf.DUMMYFUNCTION("""COMPUTED_VALUE"""),"Departemen Teknik Elektro")</f>
        <v>Departemen Teknik Elektro</v>
      </c>
      <c r="O569" s="1" t="str">
        <f ca="1">IFERROR(__xludf.DUMMYFUNCTION("""COMPUTED_VALUE"""),"FIRSTA SECTA SEPTI VIA FARA")</f>
        <v>FIRSTA SECTA SEPTI VIA FARA</v>
      </c>
      <c r="P569" s="1" t="str">
        <f ca="1">IFERROR(__xludf.DUMMYFUNCTION("""COMPUTED_VALUE"""),"5022201196")</f>
        <v>5022201196</v>
      </c>
      <c r="Q569" s="1" t="str">
        <f ca="1">IFERROR(__xludf.DUMMYFUNCTION("""COMPUTED_VALUE"""),"Departemen Teknik Elektro")</f>
        <v>Departemen Teknik Elektro</v>
      </c>
      <c r="R569" s="1" t="str">
        <f ca="1">IFERROR(__xludf.DUMMYFUNCTION("""COMPUTED_VALUE"""),"MUHAMMAD RAFLY RAIHAN")</f>
        <v>MUHAMMAD RAFLY RAIHAN</v>
      </c>
      <c r="S569" s="1" t="str">
        <f ca="1">IFERROR(__xludf.DUMMYFUNCTION("""COMPUTED_VALUE"""),"10111910010051")</f>
        <v>10111910010051</v>
      </c>
      <c r="T569" s="1" t="str">
        <f ca="1">IFERROR(__xludf.DUMMYFUNCTION("""COMPUTED_VALUE"""),"Departemen Teknik Infrastruktur Sipil")</f>
        <v>Departemen Teknik Infrastruktur Sipil</v>
      </c>
      <c r="U569" s="1" t="str">
        <f ca="1">IFERROR(__xludf.DUMMYFUNCTION("""COMPUTED_VALUE"""),"Hertiari Idajati, S.T., M.Sc.")</f>
        <v>Hertiari Idajati, S.T., M.Sc.</v>
      </c>
      <c r="V569" s="1" t="str">
        <f ca="1">IFERROR(__xludf.DUMMYFUNCTION("""COMPUTED_VALUE"""),"Dr. Afan Hamzah, S.T.")</f>
        <v>Dr. Afan Hamzah, S.T.</v>
      </c>
      <c r="W569" s="1"/>
      <c r="X569" s="1" t="str">
        <f ca="1">IFERROR(__xludf.DUMMYFUNCTION("""COMPUTED_VALUE"""),"Lolos")</f>
        <v>Lolos</v>
      </c>
      <c r="Y569" s="1"/>
      <c r="Z569" s="1"/>
      <c r="AA569" s="1"/>
    </row>
    <row r="570" spans="1:27">
      <c r="A570" s="1" t="s">
        <v>557</v>
      </c>
      <c r="B570" s="1">
        <f ca="1">IFERROR(__xludf.DUMMYFUNCTION("""COMPUTED_VALUE"""),2527)</f>
        <v>2527</v>
      </c>
      <c r="C570" s="1" t="str">
        <f ca="1">IFERROR(__xludf.DUMMYFUNCTION("""COMPUTED_VALUE"""),"PKM Pengabdian Kepada Masyarakat")</f>
        <v>PKM Pengabdian Kepada Masyarakat</v>
      </c>
      <c r="D570" s="1" t="str">
        <f ca="1">IFERROR(__xludf.DUMMYFUNCTION("""COMPUTED_VALUE"""),"Media Pembelajaran Interaktif Coding 'Bahasa C' untuk Anak SDN Keputih Berbasis Aplikasi Augmented Reality
dalam Menyongsong Era Society 5.0")</f>
        <v>Media Pembelajaran Interaktif Coding 'Bahasa C' untuk Anak SDN Keputih Berbasis Aplikasi Augmented Reality
dalam Menyongsong Era Society 5.0</v>
      </c>
      <c r="E570" s="1" t="str">
        <f ca="1">IFERROR(__xludf.DUMMYFUNCTION("""COMPUTED_VALUE"""),"Mochammad Adri Satria Musti")</f>
        <v>Mochammad Adri Satria Musti</v>
      </c>
      <c r="F570" s="1" t="str">
        <f ca="1">IFERROR(__xludf.DUMMYFUNCTION("""COMPUTED_VALUE"""),"07111940000002")</f>
        <v>07111940000002</v>
      </c>
      <c r="G570" s="1" t="str">
        <f ca="1">IFERROR(__xludf.DUMMYFUNCTION("""COMPUTED_VALUE"""),"Departemen Teknik Elektro")</f>
        <v>Departemen Teknik Elektro</v>
      </c>
      <c r="H570" s="1" t="str">
        <f ca="1">IFERROR(__xludf.DUMMYFUNCTION("""COMPUTED_VALUE"""),"Dr. Dimas Fajar Uman Putra, S.T., M.T.")</f>
        <v>Dr. Dimas Fajar Uman Putra, S.T., M.T.</v>
      </c>
      <c r="I570" s="1" t="str">
        <f ca="1">IFERROR(__xludf.DUMMYFUNCTION("""COMPUTED_VALUE"""),"BRILLIANT ALFAN SYAFI`I")</f>
        <v>BRILLIANT ALFAN SYAFI`I</v>
      </c>
      <c r="J570" s="1" t="str">
        <f ca="1">IFERROR(__xludf.DUMMYFUNCTION("""COMPUTED_VALUE"""),"07111940000107")</f>
        <v>07111940000107</v>
      </c>
      <c r="K570" s="1" t="str">
        <f ca="1">IFERROR(__xludf.DUMMYFUNCTION("""COMPUTED_VALUE"""),"Departemen Teknik Elektro")</f>
        <v>Departemen Teknik Elektro</v>
      </c>
      <c r="L570" s="1" t="str">
        <f ca="1">IFERROR(__xludf.DUMMYFUNCTION("""COMPUTED_VALUE"""),"MUHAMMAD ALIFUDDIN AKBAR")</f>
        <v>MUHAMMAD ALIFUDDIN AKBAR</v>
      </c>
      <c r="M570" s="1" t="str">
        <f ca="1">IFERROR(__xludf.DUMMYFUNCTION("""COMPUTED_VALUE"""),"07111940000115")</f>
        <v>07111940000115</v>
      </c>
      <c r="N570" s="1" t="str">
        <f ca="1">IFERROR(__xludf.DUMMYFUNCTION("""COMPUTED_VALUE"""),"Departemen Teknik Elektro")</f>
        <v>Departemen Teknik Elektro</v>
      </c>
      <c r="O570" s="1"/>
      <c r="P570" s="1"/>
      <c r="Q570" s="1"/>
      <c r="R570" s="1"/>
      <c r="S570" s="1"/>
      <c r="T570" s="1"/>
      <c r="U570" s="1" t="str">
        <f ca="1">IFERROR(__xludf.DUMMYFUNCTION("""COMPUTED_VALUE"""),"Hertiari Idajati, S.T., M.Sc.")</f>
        <v>Hertiari Idajati, S.T., M.Sc.</v>
      </c>
      <c r="V570" s="1" t="str">
        <f ca="1">IFERROR(__xludf.DUMMYFUNCTION("""COMPUTED_VALUE"""),"Ir. Muchammad Husni, M.Kom")</f>
        <v>Ir. Muchammad Husni, M.Kom</v>
      </c>
      <c r="W570" s="1"/>
      <c r="X570" s="1" t="str">
        <f ca="1">IFERROR(__xludf.DUMMYFUNCTION("""COMPUTED_VALUE"""),"Lolos")</f>
        <v>Lolos</v>
      </c>
      <c r="Y570" s="1"/>
      <c r="Z570" s="1"/>
      <c r="AA570" s="1"/>
    </row>
    <row r="571" spans="1:27">
      <c r="A571" s="1" t="s">
        <v>558</v>
      </c>
      <c r="B571" s="1">
        <f ca="1">IFERROR(__xludf.DUMMYFUNCTION("""COMPUTED_VALUE"""),3979)</f>
        <v>3979</v>
      </c>
      <c r="C571" s="1" t="str">
        <f ca="1">IFERROR(__xludf.DUMMYFUNCTION("""COMPUTED_VALUE"""),"PKM Pengabdian Kepada Masyarakat")</f>
        <v>PKM Pengabdian Kepada Masyarakat</v>
      </c>
      <c r="D571" s="1" t="str">
        <f ca="1">IFERROR(__xludf.DUMMYFUNCTION("""COMPUTED_VALUE"""),"Daur Ulang Sampah Bekas Kemasan Menjadi Kerajinan Furnitur Sebagai Pengembangan Kecerdasan Spasial Anak-anak Panti Asuhan Yatim Cahaya Insani Surabaya")</f>
        <v>Daur Ulang Sampah Bekas Kemasan Menjadi Kerajinan Furnitur Sebagai Pengembangan Kecerdasan Spasial Anak-anak Panti Asuhan Yatim Cahaya Insani Surabaya</v>
      </c>
      <c r="E571" s="1" t="str">
        <f ca="1">IFERROR(__xludf.DUMMYFUNCTION("""COMPUTED_VALUE"""),"SEKAR KINANTHIANI")</f>
        <v>SEKAR KINANTHIANI</v>
      </c>
      <c r="F571" s="1" t="str">
        <f ca="1">IFERROR(__xludf.DUMMYFUNCTION("""COMPUTED_VALUE"""),"5029211019")</f>
        <v>5029211019</v>
      </c>
      <c r="G571" s="1" t="str">
        <f ca="1">IFERROR(__xludf.DUMMYFUNCTION("""COMPUTED_VALUE"""),"Departemen Desain Interior")</f>
        <v>Departemen Desain Interior</v>
      </c>
      <c r="H571" s="1" t="str">
        <f ca="1">IFERROR(__xludf.DUMMYFUNCTION("""COMPUTED_VALUE"""),"Aria Weny Anggraita, ST, MMT")</f>
        <v>Aria Weny Anggraita, ST, MMT</v>
      </c>
      <c r="I571" s="1" t="str">
        <f ca="1">IFERROR(__xludf.DUMMYFUNCTION("""COMPUTED_VALUE"""),"Zafirah mumtaz")</f>
        <v>Zafirah mumtaz</v>
      </c>
      <c r="J571" s="1" t="str">
        <f ca="1">IFERROR(__xludf.DUMMYFUNCTION("""COMPUTED_VALUE"""),"5029211022")</f>
        <v>5029211022</v>
      </c>
      <c r="K571" s="1" t="str">
        <f ca="1">IFERROR(__xludf.DUMMYFUNCTION("""COMPUTED_VALUE"""),"Departemen Desain Interior")</f>
        <v>Departemen Desain Interior</v>
      </c>
      <c r="L571" s="1" t="str">
        <f ca="1">IFERROR(__xludf.DUMMYFUNCTION("""COMPUTED_VALUE"""),"AURELIA MALIKA J")</f>
        <v>AURELIA MALIKA J</v>
      </c>
      <c r="M571" s="1" t="str">
        <f ca="1">IFERROR(__xludf.DUMMYFUNCTION("""COMPUTED_VALUE"""),"5029211023")</f>
        <v>5029211023</v>
      </c>
      <c r="N571" s="1" t="str">
        <f ca="1">IFERROR(__xludf.DUMMYFUNCTION("""COMPUTED_VALUE"""),"Departemen Desain Interior")</f>
        <v>Departemen Desain Interior</v>
      </c>
      <c r="O571" s="1" t="str">
        <f ca="1">IFERROR(__xludf.DUMMYFUNCTION("""COMPUTED_VALUE"""),"Meiralilla S")</f>
        <v>Meiralilla S</v>
      </c>
      <c r="P571" s="1" t="str">
        <f ca="1">IFERROR(__xludf.DUMMYFUNCTION("""COMPUTED_VALUE"""),"5029211025")</f>
        <v>5029211025</v>
      </c>
      <c r="Q571" s="1" t="str">
        <f ca="1">IFERROR(__xludf.DUMMYFUNCTION("""COMPUTED_VALUE"""),"Departemen Desain Interior")</f>
        <v>Departemen Desain Interior</v>
      </c>
      <c r="R571" s="1" t="str">
        <f ca="1">IFERROR(__xludf.DUMMYFUNCTION("""COMPUTED_VALUE"""),"Zenia Tsabita")</f>
        <v>Zenia Tsabita</v>
      </c>
      <c r="S571" s="1" t="str">
        <f ca="1">IFERROR(__xludf.DUMMYFUNCTION("""COMPUTED_VALUE"""),"08511940000003")</f>
        <v>08511940000003</v>
      </c>
      <c r="T571" s="1" t="str">
        <f ca="1">IFERROR(__xludf.DUMMYFUNCTION("""COMPUTED_VALUE"""),"Departemen Desain Komunikasi Visual")</f>
        <v>Departemen Desain Komunikasi Visual</v>
      </c>
      <c r="U571" s="1" t="str">
        <f ca="1">IFERROR(__xludf.DUMMYFUNCTION("""COMPUTED_VALUE"""),"Hertiari Idajati, S.T., M.Sc.")</f>
        <v>Hertiari Idajati, S.T., M.Sc.</v>
      </c>
      <c r="V571" s="1" t="str">
        <f ca="1">IFERROR(__xludf.DUMMYFUNCTION("""COMPUTED_VALUE"""),"Ir. Muchammad Husni, M.Kom")</f>
        <v>Ir. Muchammad Husni, M.Kom</v>
      </c>
      <c r="W571" s="1"/>
      <c r="X571" s="1" t="str">
        <f ca="1">IFERROR(__xludf.DUMMYFUNCTION("""COMPUTED_VALUE"""),"Karantina")</f>
        <v>Karantina</v>
      </c>
      <c r="Y571" s="1"/>
      <c r="Z571" s="1"/>
      <c r="AA571" s="1"/>
    </row>
    <row r="572" spans="1:27">
      <c r="A572" s="1" t="s">
        <v>559</v>
      </c>
      <c r="B572" s="1">
        <f ca="1">IFERROR(__xludf.DUMMYFUNCTION("""COMPUTED_VALUE"""),2749)</f>
        <v>2749</v>
      </c>
      <c r="C572" s="1" t="str">
        <f ca="1">IFERROR(__xludf.DUMMYFUNCTION("""COMPUTED_VALUE"""),"PKM Pengabdian Kepada Masyarakat")</f>
        <v>PKM Pengabdian Kepada Masyarakat</v>
      </c>
      <c r="D572" s="1" t="str">
        <f ca="1">IFERROR(__xludf.DUMMYFUNCTION("""COMPUTED_VALUE"""),"PENGENALAN SENI DAN KEBUDAYAAN LOKAL MELALUI PENGEMBANGAN WEBSITE BERKONSEP SHARING ONLINE DENGAN PENGUMPULAN DUTA BUDAYA DARI KAMPUNG LAWAS MASPATI, SURABAYA
")</f>
        <v xml:space="preserve">PENGENALAN SENI DAN KEBUDAYAAN LOKAL MELALUI PENGEMBANGAN WEBSITE BERKONSEP SHARING ONLINE DENGAN PENGUMPULAN DUTA BUDAYA DARI KAMPUNG LAWAS MASPATI, SURABAYA
</v>
      </c>
      <c r="E572" s="1" t="str">
        <f ca="1">IFERROR(__xludf.DUMMYFUNCTION("""COMPUTED_VALUE"""),"JESSLYN")</f>
        <v>JESSLYN</v>
      </c>
      <c r="F572" s="1" t="str">
        <f ca="1">IFERROR(__xludf.DUMMYFUNCTION("""COMPUTED_VALUE"""),"5006211028")</f>
        <v>5006211028</v>
      </c>
      <c r="G572" s="1" t="str">
        <f ca="1">IFERROR(__xludf.DUMMYFUNCTION("""COMPUTED_VALUE"""),"Departemen Aktuaria")</f>
        <v>Departemen Aktuaria</v>
      </c>
      <c r="H572" s="1" t="str">
        <f ca="1">IFERROR(__xludf.DUMMYFUNCTION("""COMPUTED_VALUE"""),"Dr. Drs. Soehardjoepri, M.Si.")</f>
        <v>Dr. Drs. Soehardjoepri, M.Si.</v>
      </c>
      <c r="I572" s="1" t="str">
        <f ca="1">IFERROR(__xludf.DUMMYFUNCTION("""COMPUTED_VALUE"""),"Regita Adelia S.")</f>
        <v>Regita Adelia S.</v>
      </c>
      <c r="J572" s="1" t="str">
        <f ca="1">IFERROR(__xludf.DUMMYFUNCTION("""COMPUTED_VALUE"""),"5006211050")</f>
        <v>5006211050</v>
      </c>
      <c r="K572" s="1" t="str">
        <f ca="1">IFERROR(__xludf.DUMMYFUNCTION("""COMPUTED_VALUE"""),"Departemen Aktuaria")</f>
        <v>Departemen Aktuaria</v>
      </c>
      <c r="L572" s="1" t="str">
        <f ca="1">IFERROR(__xludf.DUMMYFUNCTION("""COMPUTED_VALUE"""),"Jihan Fitra Fajrin")</f>
        <v>Jihan Fitra Fajrin</v>
      </c>
      <c r="M572" s="1" t="str">
        <f ca="1">IFERROR(__xludf.DUMMYFUNCTION("""COMPUTED_VALUE"""),"5006211071")</f>
        <v>5006211071</v>
      </c>
      <c r="N572" s="1" t="str">
        <f ca="1">IFERROR(__xludf.DUMMYFUNCTION("""COMPUTED_VALUE"""),"Departemen Aktuaria")</f>
        <v>Departemen Aktuaria</v>
      </c>
      <c r="O572" s="1" t="str">
        <f ca="1">IFERROR(__xludf.DUMMYFUNCTION("""COMPUTED_VALUE"""),"Richieboy Velrianto")</f>
        <v>Richieboy Velrianto</v>
      </c>
      <c r="P572" s="1" t="str">
        <f ca="1">IFERROR(__xludf.DUMMYFUNCTION("""COMPUTED_VALUE"""),"5006211027")</f>
        <v>5006211027</v>
      </c>
      <c r="Q572" s="1" t="str">
        <f ca="1">IFERROR(__xludf.DUMMYFUNCTION("""COMPUTED_VALUE"""),"Departemen Aktuaria")</f>
        <v>Departemen Aktuaria</v>
      </c>
      <c r="R572" s="1" t="str">
        <f ca="1">IFERROR(__xludf.DUMMYFUNCTION("""COMPUTED_VALUE"""),"Ivana Lita")</f>
        <v>Ivana Lita</v>
      </c>
      <c r="S572" s="1" t="str">
        <f ca="1">IFERROR(__xludf.DUMMYFUNCTION("""COMPUTED_VALUE"""),"5026211058")</f>
        <v>5026211058</v>
      </c>
      <c r="T572" s="1" t="str">
        <f ca="1">IFERROR(__xludf.DUMMYFUNCTION("""COMPUTED_VALUE"""),"Departemen Sistem Informasi")</f>
        <v>Departemen Sistem Informasi</v>
      </c>
      <c r="U572" s="1" t="str">
        <f ca="1">IFERROR(__xludf.DUMMYFUNCTION("""COMPUTED_VALUE"""),"Welly Herumurti, S.T., M.Sc.")</f>
        <v>Welly Herumurti, S.T., M.Sc.</v>
      </c>
      <c r="V572" s="1" t="str">
        <f ca="1">IFERROR(__xludf.DUMMYFUNCTION("""COMPUTED_VALUE"""),"Dr. Gunawan Nugroho, S.T., M.T.")</f>
        <v>Dr. Gunawan Nugroho, S.T., M.T.</v>
      </c>
      <c r="W572" s="1"/>
      <c r="X572" s="1" t="str">
        <f ca="1">IFERROR(__xludf.DUMMYFUNCTION("""COMPUTED_VALUE"""),"Karantina")</f>
        <v>Karantina</v>
      </c>
      <c r="Y572" s="1"/>
      <c r="Z572" s="1"/>
      <c r="AA572" s="1"/>
    </row>
    <row r="573" spans="1:27">
      <c r="A573" s="1" t="s">
        <v>560</v>
      </c>
      <c r="B573" s="1">
        <f ca="1">IFERROR(__xludf.DUMMYFUNCTION("""COMPUTED_VALUE"""),2453)</f>
        <v>2453</v>
      </c>
      <c r="C573" s="1" t="str">
        <f ca="1">IFERROR(__xludf.DUMMYFUNCTION("""COMPUTED_VALUE"""),"PKM Pengabdian Kepada Masyarakat")</f>
        <v>PKM Pengabdian Kepada Masyarakat</v>
      </c>
      <c r="D573" s="1" t="str">
        <f ca="1">IFERROR(__xludf.DUMMYFUNCTION("""COMPUTED_VALUE"""),"Optimalisasi Filter Penjernihan Air Guna Mengatasi Krisis Kekurangan Air di Pondok Pesantren Adduriyah Pamekasan.")</f>
        <v>Optimalisasi Filter Penjernihan Air Guna Mengatasi Krisis Kekurangan Air di Pondok Pesantren Adduriyah Pamekasan.</v>
      </c>
      <c r="E573" s="1" t="str">
        <f ca="1">IFERROR(__xludf.DUMMYFUNCTION("""COMPUTED_VALUE"""),"AISYAH FARAH HASNA")</f>
        <v>AISYAH FARAH HASNA</v>
      </c>
      <c r="F573" s="1" t="str">
        <f ca="1">IFERROR(__xludf.DUMMYFUNCTION("""COMPUTED_VALUE"""),"5014201062")</f>
        <v>5014201062</v>
      </c>
      <c r="G573" s="1" t="str">
        <f ca="1">IFERROR(__xludf.DUMMYFUNCTION("""COMPUTED_VALUE"""),"Departemen Teknik Lingkungan")</f>
        <v>Departemen Teknik Lingkungan</v>
      </c>
      <c r="H573" s="1" t="str">
        <f ca="1">IFERROR(__xludf.DUMMYFUNCTION("""COMPUTED_VALUE"""),"Alfan Purnomo, S.T., M.T.")</f>
        <v>Alfan Purnomo, S.T., M.T.</v>
      </c>
      <c r="I573" s="1" t="str">
        <f ca="1">IFERROR(__xludf.DUMMYFUNCTION("""COMPUTED_VALUE"""),"ANDINI FIRYAL PRAMESTI")</f>
        <v>ANDINI FIRYAL PRAMESTI</v>
      </c>
      <c r="J573" s="1" t="str">
        <f ca="1">IFERROR(__xludf.DUMMYFUNCTION("""COMPUTED_VALUE"""),"5014201064")</f>
        <v>5014201064</v>
      </c>
      <c r="K573" s="1" t="str">
        <f ca="1">IFERROR(__xludf.DUMMYFUNCTION("""COMPUTED_VALUE"""),"Departemen Teknik Lingkungan")</f>
        <v>Departemen Teknik Lingkungan</v>
      </c>
      <c r="L573" s="1" t="str">
        <f ca="1">IFERROR(__xludf.DUMMYFUNCTION("""COMPUTED_VALUE"""),"Nabiilah Putri H")</f>
        <v>Nabiilah Putri H</v>
      </c>
      <c r="M573" s="1" t="str">
        <f ca="1">IFERROR(__xludf.DUMMYFUNCTION("""COMPUTED_VALUE"""),"5014211107")</f>
        <v>5014211107</v>
      </c>
      <c r="N573" s="1" t="str">
        <f ca="1">IFERROR(__xludf.DUMMYFUNCTION("""COMPUTED_VALUE"""),"Departemen Teknik Lingkungan")</f>
        <v>Departemen Teknik Lingkungan</v>
      </c>
      <c r="O573" s="1" t="str">
        <f ca="1">IFERROR(__xludf.DUMMYFUNCTION("""COMPUTED_VALUE"""),"Chandra Nabula T")</f>
        <v>Chandra Nabula T</v>
      </c>
      <c r="P573" s="1" t="str">
        <f ca="1">IFERROR(__xludf.DUMMYFUNCTION("""COMPUTED_VALUE"""),"5014211098")</f>
        <v>5014211098</v>
      </c>
      <c r="Q573" s="1" t="str">
        <f ca="1">IFERROR(__xludf.DUMMYFUNCTION("""COMPUTED_VALUE"""),"Departemen Teknik Lingkungan")</f>
        <v>Departemen Teknik Lingkungan</v>
      </c>
      <c r="R573" s="1" t="str">
        <f ca="1">IFERROR(__xludf.DUMMYFUNCTION("""COMPUTED_VALUE"""),"M. Renaldo R.I.S")</f>
        <v>M. Renaldo R.I.S</v>
      </c>
      <c r="S573" s="1" t="str">
        <f ca="1">IFERROR(__xludf.DUMMYFUNCTION("""COMPUTED_VALUE"""),"5014211071")</f>
        <v>5014211071</v>
      </c>
      <c r="T573" s="1" t="str">
        <f ca="1">IFERROR(__xludf.DUMMYFUNCTION("""COMPUTED_VALUE"""),"Departemen Teknik Lingkungan")</f>
        <v>Departemen Teknik Lingkungan</v>
      </c>
      <c r="U573" s="1" t="str">
        <f ca="1">IFERROR(__xludf.DUMMYFUNCTION("""COMPUTED_VALUE"""),"Hertiari Idajati, S.T., M.Sc.")</f>
        <v>Hertiari Idajati, S.T., M.Sc.</v>
      </c>
      <c r="V573" s="1" t="str">
        <f ca="1">IFERROR(__xludf.DUMMYFUNCTION("""COMPUTED_VALUE"""),"Ir. Muchammad Husni, M.Kom")</f>
        <v>Ir. Muchammad Husni, M.Kom</v>
      </c>
      <c r="W573" s="1"/>
      <c r="X573" s="1" t="str">
        <f ca="1">IFERROR(__xludf.DUMMYFUNCTION("""COMPUTED_VALUE"""),"Karantina")</f>
        <v>Karantina</v>
      </c>
      <c r="Y573" s="1"/>
      <c r="Z573" s="1"/>
      <c r="AA573" s="1"/>
    </row>
    <row r="574" spans="1:27">
      <c r="A574" s="1" t="s">
        <v>561</v>
      </c>
      <c r="B574" s="1">
        <f ca="1">IFERROR(__xludf.DUMMYFUNCTION("""COMPUTED_VALUE"""),4045)</f>
        <v>4045</v>
      </c>
      <c r="C574" s="1" t="str">
        <f ca="1">IFERROR(__xludf.DUMMYFUNCTION("""COMPUTED_VALUE"""),"PKM Pengabdian Kepada Masyarakat")</f>
        <v>PKM Pengabdian Kepada Masyarakat</v>
      </c>
      <c r="D574" s="1" t="str">
        <f ca="1">IFERROR(__xludf.DUMMYFUNCTION("""COMPUTED_VALUE"""),"Rancang Bangun Early Warning System Sebagai Upaya Mitigasi Bencana Alam Gunung Semeru")</f>
        <v>Rancang Bangun Early Warning System Sebagai Upaya Mitigasi Bencana Alam Gunung Semeru</v>
      </c>
      <c r="E574" s="1" t="str">
        <f ca="1">IFERROR(__xludf.DUMMYFUNCTION("""COMPUTED_VALUE"""),"MOH TAUFIQURROUF")</f>
        <v>MOH TAUFIQURROUF</v>
      </c>
      <c r="F574" s="1" t="str">
        <f ca="1">IFERROR(__xludf.DUMMYFUNCTION("""COMPUTED_VALUE"""),"10511910000039")</f>
        <v>10511910000039</v>
      </c>
      <c r="G574" s="1" t="str">
        <f ca="1">IFERROR(__xludf.DUMMYFUNCTION("""COMPUTED_VALUE"""),"Departemen Teknik Instrumentasi")</f>
        <v>Departemen Teknik Instrumentasi</v>
      </c>
      <c r="H574" s="1" t="str">
        <f ca="1">IFERROR(__xludf.DUMMYFUNCTION("""COMPUTED_VALUE"""),"Murry Raditya, S.T., M.T.")</f>
        <v>Murry Raditya, S.T., M.T.</v>
      </c>
      <c r="I574" s="1" t="str">
        <f ca="1">IFERROR(__xludf.DUMMYFUNCTION("""COMPUTED_VALUE"""),"BINTANG KALAHARI")</f>
        <v>BINTANG KALAHARI</v>
      </c>
      <c r="J574" s="1" t="str">
        <f ca="1">IFERROR(__xludf.DUMMYFUNCTION("""COMPUTED_VALUE"""),"10511910000058")</f>
        <v>10511910000058</v>
      </c>
      <c r="K574" s="1" t="str">
        <f ca="1">IFERROR(__xludf.DUMMYFUNCTION("""COMPUTED_VALUE"""),"Departemen Teknik Instrumentasi")</f>
        <v>Departemen Teknik Instrumentasi</v>
      </c>
      <c r="L574" s="1" t="str">
        <f ca="1">IFERROR(__xludf.DUMMYFUNCTION("""COMPUTED_VALUE"""),"YAHYA NUR ROHMAN")</f>
        <v>YAHYA NUR ROHMAN</v>
      </c>
      <c r="M574" s="1" t="str">
        <f ca="1">IFERROR(__xludf.DUMMYFUNCTION("""COMPUTED_VALUE"""),"2042201093")</f>
        <v>2042201093</v>
      </c>
      <c r="N574" s="1" t="str">
        <f ca="1">IFERROR(__xludf.DUMMYFUNCTION("""COMPUTED_VALUE"""),"Departemen Teknik Instrumentasi")</f>
        <v>Departemen Teknik Instrumentasi</v>
      </c>
      <c r="O574" s="1" t="str">
        <f ca="1">IFERROR(__xludf.DUMMYFUNCTION("""COMPUTED_VALUE"""),"FADILANDO ANGGER PRAWOTO")</f>
        <v>FADILANDO ANGGER PRAWOTO</v>
      </c>
      <c r="P574" s="1" t="str">
        <f ca="1">IFERROR(__xludf.DUMMYFUNCTION("""COMPUTED_VALUE"""),"2042201044")</f>
        <v>2042201044</v>
      </c>
      <c r="Q574" s="1" t="str">
        <f ca="1">IFERROR(__xludf.DUMMYFUNCTION("""COMPUTED_VALUE"""),"Departemen Teknik Instrumentasi")</f>
        <v>Departemen Teknik Instrumentasi</v>
      </c>
      <c r="R574" s="1" t="str">
        <f ca="1">IFERROR(__xludf.DUMMYFUNCTION("""COMPUTED_VALUE"""),"Kholid Najih A")</f>
        <v>Kholid Najih A</v>
      </c>
      <c r="S574" s="1" t="str">
        <f ca="1">IFERROR(__xludf.DUMMYFUNCTION("""COMPUTED_VALUE"""),"2039211001")</f>
        <v>2039211001</v>
      </c>
      <c r="T574" s="1" t="str">
        <f ca="1">IFERROR(__xludf.DUMMYFUNCTION("""COMPUTED_VALUE"""),"Departemen Teknik Mesin Industri")</f>
        <v>Departemen Teknik Mesin Industri</v>
      </c>
      <c r="U574" s="1"/>
      <c r="V574" s="1" t="str">
        <f ca="1">IFERROR(__xludf.DUMMYFUNCTION("""COMPUTED_VALUE"""),"Naufan Noordyanto, S.Sn., M.Sn.")</f>
        <v>Naufan Noordyanto, S.Sn., M.Sn.</v>
      </c>
      <c r="W574" s="1"/>
      <c r="X574" s="1" t="str">
        <f ca="1">IFERROR(__xludf.DUMMYFUNCTION("""COMPUTED_VALUE"""),"Karantina")</f>
        <v>Karantina</v>
      </c>
      <c r="Y574" s="1"/>
      <c r="Z574" s="1"/>
      <c r="AA574" s="1"/>
    </row>
    <row r="575" spans="1:27">
      <c r="A575" s="1" t="s">
        <v>562</v>
      </c>
      <c r="B575" s="1">
        <f ca="1">IFERROR(__xludf.DUMMYFUNCTION("""COMPUTED_VALUE"""),2343)</f>
        <v>2343</v>
      </c>
      <c r="C575" s="1" t="str">
        <f ca="1">IFERROR(__xludf.DUMMYFUNCTION("""COMPUTED_VALUE"""),"PKM Pengabdian Kepada Masyarakat")</f>
        <v>PKM Pengabdian Kepada Masyarakat</v>
      </c>
      <c r="D575" s="1" t="str">
        <f ca="1">IFERROR(__xludf.DUMMYFUNCTION("""COMPUTED_VALUE"""),"Peningkatan Kemampuan Keprofesian Pasca Sekolah Pada Siswa Program RPL SMK Negeri 2 Surabaya dengan Pembekalan Pemrograman Phyton")</f>
        <v>Peningkatan Kemampuan Keprofesian Pasca Sekolah Pada Siswa Program RPL SMK Negeri 2 Surabaya dengan Pembekalan Pemrograman Phyton</v>
      </c>
      <c r="E575" s="1" t="str">
        <f ca="1">IFERROR(__xludf.DUMMYFUNCTION("""COMPUTED_VALUE"""),"FADHIL ARYO NUGROHO")</f>
        <v>FADHIL ARYO NUGROHO</v>
      </c>
      <c r="F575" s="1" t="str">
        <f ca="1">IFERROR(__xludf.DUMMYFUNCTION("""COMPUTED_VALUE"""),"5003201068")</f>
        <v>5003201068</v>
      </c>
      <c r="G575" s="1" t="str">
        <f ca="1">IFERROR(__xludf.DUMMYFUNCTION("""COMPUTED_VALUE"""),"Departemen Statistika")</f>
        <v>Departemen Statistika</v>
      </c>
      <c r="H575" s="1" t="str">
        <f ca="1">IFERROR(__xludf.DUMMYFUNCTION("""COMPUTED_VALUE"""),"Dr. Dra. Kartika Fithriasari, M.Si.")</f>
        <v>Dr. Dra. Kartika Fithriasari, M.Si.</v>
      </c>
      <c r="I575" s="1" t="str">
        <f ca="1">IFERROR(__xludf.DUMMYFUNCTION("""COMPUTED_VALUE"""),"PRADHIKTA NAUFAL IRFANDA")</f>
        <v>PRADHIKTA NAUFAL IRFANDA</v>
      </c>
      <c r="J575" s="1" t="str">
        <f ca="1">IFERROR(__xludf.DUMMYFUNCTION("""COMPUTED_VALUE"""),"06211840000051")</f>
        <v>06211840000051</v>
      </c>
      <c r="K575" s="1" t="str">
        <f ca="1">IFERROR(__xludf.DUMMYFUNCTION("""COMPUTED_VALUE"""),"Departemen Statistika")</f>
        <v>Departemen Statistika</v>
      </c>
      <c r="L575" s="1" t="str">
        <f ca="1">IFERROR(__xludf.DUMMYFUNCTION("""COMPUTED_VALUE"""),"DEDE YUSUF P. KUNTARITAS")</f>
        <v>DEDE YUSUF P. KUNTARITAS</v>
      </c>
      <c r="M575" s="1" t="str">
        <f ca="1">IFERROR(__xludf.DUMMYFUNCTION("""COMPUTED_VALUE"""),"06211940007001")</f>
        <v>06211940007001</v>
      </c>
      <c r="N575" s="1" t="str">
        <f ca="1">IFERROR(__xludf.DUMMYFUNCTION("""COMPUTED_VALUE"""),"Departemen Statistika")</f>
        <v>Departemen Statistika</v>
      </c>
      <c r="O575" s="1" t="str">
        <f ca="1">IFERROR(__xludf.DUMMYFUNCTION("""COMPUTED_VALUE"""),"SYAFA AULIA IBNATIA")</f>
        <v>SYAFA AULIA IBNATIA</v>
      </c>
      <c r="P575" s="1" t="str">
        <f ca="1">IFERROR(__xludf.DUMMYFUNCTION("""COMPUTED_VALUE"""),"5003201067")</f>
        <v>5003201067</v>
      </c>
      <c r="Q575" s="1" t="str">
        <f ca="1">IFERROR(__xludf.DUMMYFUNCTION("""COMPUTED_VALUE"""),"Departemen Statistika")</f>
        <v>Departemen Statistika</v>
      </c>
      <c r="R575" s="1" t="str">
        <f ca="1">IFERROR(__xludf.DUMMYFUNCTION("""COMPUTED_VALUE"""),"ALFITO KHANSA NUGRAHA")</f>
        <v>ALFITO KHANSA NUGRAHA</v>
      </c>
      <c r="S575" s="1" t="str">
        <f ca="1">IFERROR(__xludf.DUMMYFUNCTION("""COMPUTED_VALUE"""),"5026201146")</f>
        <v>5026201146</v>
      </c>
      <c r="T575" s="1" t="str">
        <f ca="1">IFERROR(__xludf.DUMMYFUNCTION("""COMPUTED_VALUE"""),"Departemen Sistem Informasi")</f>
        <v>Departemen Sistem Informasi</v>
      </c>
      <c r="U575" s="1" t="str">
        <f ca="1">IFERROR(__xludf.DUMMYFUNCTION("""COMPUTED_VALUE"""),"Hertiari Idajati, S.T., M.Sc.")</f>
        <v>Hertiari Idajati, S.T., M.Sc.</v>
      </c>
      <c r="V575" s="1" t="str">
        <f ca="1">IFERROR(__xludf.DUMMYFUNCTION("""COMPUTED_VALUE"""),"Dr. Afan Hamzah, S.T.")</f>
        <v>Dr. Afan Hamzah, S.T.</v>
      </c>
      <c r="W575" s="1"/>
      <c r="X575" s="1" t="str">
        <f ca="1">IFERROR(__xludf.DUMMYFUNCTION("""COMPUTED_VALUE"""),"Karantina")</f>
        <v>Karantina</v>
      </c>
      <c r="Y575" s="1"/>
      <c r="Z575" s="1"/>
      <c r="AA575" s="1"/>
    </row>
    <row r="576" spans="1:27">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row>
    <row r="577" spans="2:27">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row>
    <row r="578" spans="2:27">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row>
    <row r="579" spans="2:27">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row>
    <row r="580" spans="2:27">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row>
    <row r="581" spans="2:27">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row>
    <row r="582" spans="2:27">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row>
    <row r="583" spans="2:27">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row>
    <row r="584" spans="2:27">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row>
    <row r="585" spans="2:27">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row>
    <row r="586" spans="2:27">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row>
    <row r="587" spans="2:27">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row>
    <row r="588" spans="2:27">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row>
    <row r="589" spans="2:27">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row>
    <row r="590" spans="2:27">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row>
    <row r="591" spans="2:27">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row>
    <row r="592" spans="2:27">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row>
    <row r="593" spans="2:27">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row>
    <row r="594" spans="2:27">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row>
    <row r="595" spans="2:27">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row>
    <row r="596" spans="2:27">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row>
    <row r="597" spans="2:27">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row>
    <row r="598" spans="2:27">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row>
    <row r="599" spans="2:27">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row>
    <row r="600" spans="2:27">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row>
    <row r="601" spans="2:27">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row>
    <row r="602" spans="2:27">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row>
    <row r="603" spans="2:27">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row>
    <row r="604" spans="2:27">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row>
    <row r="605" spans="2:27">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row>
    <row r="606" spans="2:27">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row>
    <row r="607" spans="2:27">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row>
    <row r="608" spans="2:27">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row>
    <row r="609" spans="2:27">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row>
    <row r="610" spans="2:27">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row>
    <row r="611" spans="2:27">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row>
    <row r="612" spans="2:27">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row>
    <row r="613" spans="2:27">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row>
    <row r="614" spans="2:27">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row>
    <row r="615" spans="2:27">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row>
    <row r="616" spans="2:27">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row>
    <row r="617" spans="2:27">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row>
    <row r="618" spans="2:27">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row>
    <row r="619" spans="2:27">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row>
    <row r="620" spans="2:27">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row>
    <row r="621" spans="2:27">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row>
    <row r="622" spans="2:27">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row>
    <row r="623" spans="2:27">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row>
    <row r="624" spans="2:27">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row>
    <row r="625" spans="2:27">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row>
    <row r="626" spans="2:27">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row>
    <row r="627" spans="2:27">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row>
    <row r="628" spans="2:27">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row>
    <row r="629" spans="2:27">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row>
    <row r="630" spans="2:27">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row>
    <row r="631" spans="2:27">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row>
    <row r="632" spans="2:27">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row>
    <row r="633" spans="2:27">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row>
    <row r="634" spans="2:27">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row>
    <row r="635" spans="2:27">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row>
    <row r="636" spans="2:27">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row>
    <row r="637" spans="2:27">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row>
    <row r="638" spans="2:27">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row>
    <row r="639" spans="2:27">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row>
    <row r="640" spans="2:27">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row>
    <row r="641" spans="2:27">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row>
    <row r="642" spans="2:27">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row>
    <row r="643" spans="2:27">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row>
    <row r="644" spans="2:27">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row>
    <row r="645" spans="2:27">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row>
    <row r="646" spans="2:27">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row>
    <row r="647" spans="2:27">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row>
    <row r="648" spans="2:27">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row>
    <row r="649" spans="2:27">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row>
    <row r="650" spans="2:27">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row>
    <row r="651" spans="2:27">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row>
    <row r="652" spans="2:27">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row>
    <row r="653" spans="2:27">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row>
    <row r="654" spans="2:27">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row>
    <row r="655" spans="2:27">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row>
    <row r="656" spans="2:27">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row>
    <row r="657" spans="2:27">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row>
    <row r="658" spans="2:27">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row>
    <row r="659" spans="2:27">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row>
    <row r="660" spans="2:27">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row>
    <row r="661" spans="2:27">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row>
    <row r="662" spans="2:27">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row>
    <row r="663" spans="2:27">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row>
    <row r="664" spans="2:27">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row>
    <row r="665" spans="2:27">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row>
    <row r="666" spans="2:27">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row>
    <row r="667" spans="2:27">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row>
    <row r="668" spans="2:27">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row>
    <row r="669" spans="2:27">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row>
    <row r="670" spans="2:27">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row>
    <row r="671" spans="2:27">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row>
    <row r="672" spans="2:27">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row>
    <row r="673" spans="2:27">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row>
    <row r="674" spans="2:27">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row>
    <row r="675" spans="2:27">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row>
    <row r="676" spans="2:27">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row>
    <row r="677" spans="2:27">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row>
    <row r="678" spans="2:27">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row>
    <row r="679" spans="2:27">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row>
    <row r="680" spans="2:27">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row>
    <row r="681" spans="2:27">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row>
    <row r="682" spans="2:27">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row>
    <row r="683" spans="2:27">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row>
    <row r="684" spans="2:27">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row>
    <row r="685" spans="2:27">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row>
    <row r="686" spans="2:27">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row>
    <row r="687" spans="2:27">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row>
    <row r="688" spans="2:27">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row>
    <row r="689" spans="2:27">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row>
    <row r="690" spans="2:27">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row>
    <row r="691" spans="2:27">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row>
    <row r="692" spans="2:27">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row>
    <row r="693" spans="2:27">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row>
    <row r="694" spans="2:27">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row>
    <row r="695" spans="2:27">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row>
    <row r="696" spans="2:27">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row>
    <row r="697" spans="2:27">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row>
    <row r="698" spans="2:27">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row>
    <row r="699" spans="2:27">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row>
    <row r="700" spans="2:27">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row>
    <row r="701" spans="2:27">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row>
    <row r="702" spans="2:27">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row>
    <row r="703" spans="2:27">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row>
    <row r="704" spans="2:27">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row>
    <row r="705" spans="2:27">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row>
    <row r="706" spans="2:27">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row>
    <row r="707" spans="2:27">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row>
    <row r="708" spans="2:27">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row>
    <row r="709" spans="2:27">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row>
    <row r="710" spans="2:27">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row>
    <row r="711" spans="2:27">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row>
    <row r="712" spans="2:27">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row>
    <row r="713" spans="2:27">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row>
    <row r="714" spans="2:27">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row>
    <row r="715" spans="2:27">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row>
    <row r="716" spans="2:27">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row>
    <row r="717" spans="2:27">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row>
    <row r="718" spans="2:27">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row>
    <row r="719" spans="2:27">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row>
    <row r="720" spans="2:27">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row>
    <row r="721" spans="2:27">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row>
    <row r="722" spans="2:27">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row>
    <row r="723" spans="2:27">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row>
    <row r="724" spans="2:27">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row>
    <row r="725" spans="2:27">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row>
    <row r="726" spans="2:27">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row>
    <row r="727" spans="2:27">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row>
    <row r="728" spans="2:27">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row>
    <row r="729" spans="2:27">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row>
    <row r="730" spans="2:27">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row>
    <row r="731" spans="2:27">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row>
    <row r="732" spans="2:27">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row>
    <row r="733" spans="2:27">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row>
    <row r="734" spans="2:27">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row>
    <row r="735" spans="2:27">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row>
    <row r="736" spans="2:27">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row>
    <row r="737" spans="2:27">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row>
    <row r="738" spans="2:27">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row>
    <row r="739" spans="2:27">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row>
    <row r="740" spans="2:27">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row>
    <row r="741" spans="2:27">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row>
    <row r="742" spans="2:27">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row>
    <row r="743" spans="2:27">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row>
    <row r="744" spans="2:27">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row>
    <row r="745" spans="2:27">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row>
    <row r="746" spans="2:27">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row>
    <row r="747" spans="2:27">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row>
    <row r="748" spans="2:27">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row>
    <row r="749" spans="2:27">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row>
    <row r="750" spans="2:27">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row>
    <row r="751" spans="2:27">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row>
    <row r="752" spans="2:27">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row>
    <row r="753" spans="2:27">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row>
    <row r="754" spans="2:27">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row>
    <row r="755" spans="2:27">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row>
    <row r="756" spans="2:27">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row>
    <row r="757" spans="2:27">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row>
    <row r="758" spans="2:27">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row>
    <row r="759" spans="2:27">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row>
    <row r="760" spans="2:27">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row>
    <row r="761" spans="2:27">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row>
    <row r="762" spans="2:27">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row>
    <row r="763" spans="2:27">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row>
    <row r="764" spans="2:27">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row>
    <row r="765" spans="2:27">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row>
    <row r="766" spans="2:27">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row>
    <row r="767" spans="2:27">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row>
    <row r="768" spans="2:27">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row>
    <row r="769" spans="2:27">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row>
    <row r="770" spans="2:27">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row>
    <row r="771" spans="2:27">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row>
    <row r="772" spans="2:27">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row>
    <row r="773" spans="2:27">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row>
    <row r="774" spans="2:27">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row>
    <row r="775" spans="2:27">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row>
    <row r="776" spans="2:27">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row>
    <row r="777" spans="2:27">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row>
    <row r="778" spans="2:27">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row>
    <row r="779" spans="2:27">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row>
    <row r="780" spans="2:27">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row>
    <row r="781" spans="2:27">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row>
    <row r="782" spans="2:27">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row>
    <row r="783" spans="2:27">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row>
    <row r="784" spans="2:27">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row>
    <row r="785" spans="2:27">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row>
    <row r="786" spans="2:27">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row>
    <row r="787" spans="2:27">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row>
    <row r="788" spans="2:27">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row>
    <row r="789" spans="2:27">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row>
    <row r="790" spans="2:27">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row>
    <row r="791" spans="2:27">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row>
    <row r="792" spans="2:27">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row>
    <row r="793" spans="2:27">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row>
    <row r="794" spans="2:27">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row>
    <row r="795" spans="2:27">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row>
    <row r="796" spans="2:27">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row>
    <row r="797" spans="2:27">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row>
    <row r="798" spans="2:27">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row>
    <row r="799" spans="2:27">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row>
    <row r="800" spans="2:27">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row>
    <row r="801" spans="2:27">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row>
    <row r="802" spans="2:27">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row>
    <row r="803" spans="2:27">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row>
    <row r="804" spans="2:27">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row>
    <row r="805" spans="2:27">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row>
    <row r="806" spans="2:27">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row>
    <row r="807" spans="2:27">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row>
    <row r="808" spans="2:27">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row>
    <row r="809" spans="2:27">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row>
    <row r="810" spans="2:27">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row>
    <row r="811" spans="2:27">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row>
    <row r="812" spans="2:27">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row>
    <row r="813" spans="2:27">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row>
    <row r="814" spans="2:27">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row>
    <row r="815" spans="2:27">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row>
    <row r="816" spans="2:27">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row>
    <row r="817" spans="2:27">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row>
    <row r="818" spans="2:27">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row>
    <row r="819" spans="2:27">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row>
    <row r="820" spans="2:27">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row>
    <row r="821" spans="2:27">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row>
    <row r="822" spans="2:27">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row>
    <row r="823" spans="2:27">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row>
    <row r="824" spans="2:27">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row>
    <row r="825" spans="2:27">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row>
    <row r="826" spans="2:27">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row>
    <row r="827" spans="2:27">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row>
    <row r="828" spans="2:27">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row>
    <row r="829" spans="2:27">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row>
    <row r="830" spans="2:27">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row>
    <row r="831" spans="2:27">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row>
    <row r="832" spans="2:27">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row>
    <row r="833" spans="2:27">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row>
    <row r="834" spans="2:27">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row>
    <row r="835" spans="2:27">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row>
    <row r="836" spans="2:27">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row>
    <row r="837" spans="2:27">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row>
    <row r="838" spans="2:27">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row>
    <row r="839" spans="2:27">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row>
    <row r="840" spans="2:27">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row>
    <row r="841" spans="2:27">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row>
    <row r="842" spans="2:27">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row>
    <row r="843" spans="2:27">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row>
    <row r="844" spans="2:27">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row>
    <row r="845" spans="2:27">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row>
    <row r="846" spans="2:27">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row>
    <row r="847" spans="2:27">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row>
    <row r="848" spans="2:27">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row>
    <row r="849" spans="2:27">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row>
    <row r="850" spans="2:27">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row>
    <row r="851" spans="2:27">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row>
    <row r="852" spans="2:27">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row>
    <row r="853" spans="2:27">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row>
    <row r="854" spans="2:27">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row>
    <row r="855" spans="2:27">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row>
    <row r="856" spans="2:27">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row>
    <row r="857" spans="2:27">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row>
    <row r="858" spans="2:27">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row>
    <row r="859" spans="2:27">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row>
    <row r="860" spans="2:27">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row>
    <row r="861" spans="2:27">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row>
    <row r="862" spans="2:27">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row>
    <row r="863" spans="2:27">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row>
    <row r="864" spans="2:27">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row>
    <row r="865" spans="2:27">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row>
    <row r="866" spans="2:27">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row>
    <row r="867" spans="2:27">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row>
    <row r="868" spans="2:27">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row>
    <row r="869" spans="2:27">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row>
    <row r="870" spans="2:27">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row>
    <row r="871" spans="2:27">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row>
    <row r="872" spans="2:27">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row>
    <row r="873" spans="2:27">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row>
    <row r="874" spans="2:27">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row>
    <row r="875" spans="2:27">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row>
    <row r="876" spans="2:27">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row>
    <row r="877" spans="2:27">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row>
    <row r="878" spans="2:27">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row>
    <row r="879" spans="2:27">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row>
    <row r="880" spans="2:27">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row>
    <row r="881" spans="2:27">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row>
    <row r="882" spans="2:27">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row>
    <row r="883" spans="2:27">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row>
    <row r="884" spans="2:27">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row>
    <row r="885" spans="2:27">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row>
    <row r="886" spans="2:27">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row>
    <row r="887" spans="2:27">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row>
    <row r="888" spans="2:27">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row>
    <row r="889" spans="2:27">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row>
    <row r="890" spans="2:27">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row>
    <row r="891" spans="2:27">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row>
    <row r="892" spans="2:27">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row>
    <row r="893" spans="2:27">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row>
    <row r="894" spans="2:27">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row>
    <row r="895" spans="2:27">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row>
    <row r="896" spans="2:27">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row>
    <row r="897" spans="2:27">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row>
    <row r="898" spans="2:27">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row>
    <row r="899" spans="2:27">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row>
    <row r="900" spans="2:27">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row>
    <row r="901" spans="2:27">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row>
    <row r="902" spans="2:27">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row>
    <row r="903" spans="2:27">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row>
    <row r="904" spans="2:27">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row>
    <row r="905" spans="2:27">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row>
    <row r="906" spans="2:27">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row>
    <row r="907" spans="2:27">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row>
    <row r="908" spans="2:27">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row>
    <row r="909" spans="2:27">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row>
    <row r="910" spans="2:27">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row>
    <row r="911" spans="2:27">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row>
    <row r="912" spans="2:27">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row>
    <row r="913" spans="2:27">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row>
    <row r="914" spans="2:27">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row>
    <row r="915" spans="2:27">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row>
    <row r="916" spans="2:27">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row>
    <row r="917" spans="2:27">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row>
    <row r="918" spans="2:27">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row>
    <row r="919" spans="2:27">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row>
    <row r="920" spans="2:27">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row>
    <row r="921" spans="2:27">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row>
    <row r="922" spans="2:27">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row>
    <row r="923" spans="2:27">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row>
    <row r="924" spans="2:27">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row>
    <row r="925" spans="2:27">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row>
    <row r="926" spans="2:27">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row>
    <row r="927" spans="2:27">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row>
    <row r="928" spans="2:27">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row>
    <row r="929" spans="2:27">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row>
    <row r="930" spans="2:27">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row>
    <row r="931" spans="2:27">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row>
    <row r="932" spans="2:27">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row>
    <row r="933" spans="2:27">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row>
    <row r="934" spans="2:27">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row>
    <row r="935" spans="2:27">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row>
    <row r="936" spans="2:27">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row>
    <row r="937" spans="2:27">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row>
    <row r="938" spans="2:27">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row>
    <row r="939" spans="2:27">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row>
    <row r="940" spans="2:27">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row>
    <row r="941" spans="2:27">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row>
    <row r="942" spans="2:27">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row>
    <row r="943" spans="2:27">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row>
    <row r="944" spans="2:27">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row>
    <row r="945" spans="2:27">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row>
    <row r="946" spans="2:27">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row>
    <row r="947" spans="2:27">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row>
    <row r="948" spans="2:27">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row>
    <row r="949" spans="2:27">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row>
    <row r="950" spans="2:27">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row>
    <row r="951" spans="2:27">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row>
    <row r="952" spans="2:27">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row>
    <row r="953" spans="2:27">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row>
    <row r="954" spans="2:27">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row>
    <row r="955" spans="2:27">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row>
    <row r="956" spans="2:27">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row>
    <row r="957" spans="2:27">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row>
    <row r="958" spans="2:27">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row>
    <row r="959" spans="2:27">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row>
    <row r="960" spans="2:27">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row>
    <row r="961" spans="2:27">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row>
    <row r="962" spans="2:27">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row>
    <row r="963" spans="2:27">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row>
    <row r="964" spans="2:27">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row>
    <row r="965" spans="2:27">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row>
    <row r="966" spans="2:27">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row>
    <row r="967" spans="2:27">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row>
    <row r="968" spans="2:27">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row>
    <row r="969" spans="2:27">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row>
    <row r="970" spans="2:27">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row>
    <row r="971" spans="2:27">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row>
    <row r="972" spans="2:27">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row>
    <row r="973" spans="2:27">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row>
    <row r="974" spans="2:27">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row>
    <row r="975" spans="2:27">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row>
    <row r="976" spans="2:27">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row>
    <row r="977" spans="2:27">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row>
    <row r="978" spans="2:27">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row>
    <row r="979" spans="2:27">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row>
    <row r="980" spans="2:27">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row>
    <row r="981" spans="2:27">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row>
    <row r="982" spans="2:27">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row>
    <row r="983" spans="2:27">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row>
    <row r="984" spans="2:27">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row>
    <row r="985" spans="2:27">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row>
    <row r="986" spans="2:27">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row>
    <row r="987" spans="2:27">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row>
    <row r="988" spans="2:27">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row>
    <row r="989" spans="2:27">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row>
    <row r="990" spans="2:27">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row>
    <row r="991" spans="2:27">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row>
    <row r="992" spans="2:27">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row>
    <row r="993" spans="2:27">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row>
    <row r="994" spans="2:27">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row>
    <row r="995" spans="2:27">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row>
    <row r="996" spans="2:27">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row>
    <row r="997" spans="2:27">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row>
    <row r="998" spans="2:27">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row>
    <row r="999" spans="2:27">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row>
    <row r="1000" spans="2:27">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row>
  </sheetData>
  <conditionalFormatting sqref="A2:AE3999">
    <cfRule type="expression" dxfId="11" priority="1">
      <formula>$AE2="Tidak Lolos"</formula>
    </cfRule>
  </conditionalFormatting>
  <pageMargins left="0" right="0" top="0" bottom="0" header="0" footer="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L5480"/>
  <sheetViews>
    <sheetView workbookViewId="0">
      <pane ySplit="1" topLeftCell="A2" activePane="bottomLeft" state="frozen"/>
      <selection pane="bottomLeft" activeCell="B3" sqref="B3"/>
    </sheetView>
  </sheetViews>
  <sheetFormatPr defaultColWidth="14.44140625" defaultRowHeight="15" customHeight="1"/>
  <cols>
    <col min="1" max="1" width="5.88671875" customWidth="1"/>
    <col min="2" max="2" width="43.6640625" customWidth="1"/>
    <col min="3" max="3" width="20.6640625" customWidth="1"/>
    <col min="4" max="5" width="23.6640625" customWidth="1"/>
    <col min="6" max="6" width="23.88671875" customWidth="1"/>
    <col min="7" max="9" width="5.88671875" customWidth="1"/>
    <col min="10" max="10" width="6.88671875" customWidth="1"/>
  </cols>
  <sheetData>
    <row r="1" spans="1:12">
      <c r="A1" s="1" t="s">
        <v>563</v>
      </c>
      <c r="B1" s="1" t="s">
        <v>564</v>
      </c>
      <c r="C1" s="3" t="s">
        <v>565</v>
      </c>
      <c r="D1" s="1" t="s">
        <v>566</v>
      </c>
      <c r="E1" s="1"/>
      <c r="F1" s="1" t="s">
        <v>567</v>
      </c>
      <c r="K1" s="4" t="s">
        <v>568</v>
      </c>
      <c r="L1" s="5" t="s">
        <v>569</v>
      </c>
    </row>
    <row r="2" spans="1:12">
      <c r="A2" s="1" t="s">
        <v>570</v>
      </c>
      <c r="B2" s="6" t="s">
        <v>571</v>
      </c>
      <c r="C2" s="3" t="s">
        <v>572</v>
      </c>
      <c r="D2" s="7" t="str">
        <f t="shared" ref="D2:D92" si="0">"wa.me/62"&amp;C2</f>
        <v>wa.me/62082316342040</v>
      </c>
      <c r="K2" s="8" t="s">
        <v>573</v>
      </c>
      <c r="L2" s="9">
        <v>3</v>
      </c>
    </row>
    <row r="3" spans="1:12">
      <c r="A3" s="1" t="s">
        <v>570</v>
      </c>
      <c r="B3" s="10" t="s">
        <v>574</v>
      </c>
      <c r="C3" s="3" t="s">
        <v>575</v>
      </c>
      <c r="D3" s="7" t="str">
        <f t="shared" si="0"/>
        <v>wa.me/62081234703101</v>
      </c>
      <c r="K3" s="8" t="s">
        <v>576</v>
      </c>
      <c r="L3" s="9">
        <v>31</v>
      </c>
    </row>
    <row r="4" spans="1:12">
      <c r="A4" s="1" t="s">
        <v>570</v>
      </c>
      <c r="B4" s="10" t="s">
        <v>577</v>
      </c>
      <c r="C4" s="3" t="s">
        <v>578</v>
      </c>
      <c r="D4" s="7" t="str">
        <f t="shared" si="0"/>
        <v>wa.me/62082257067722</v>
      </c>
      <c r="K4" s="8" t="s">
        <v>579</v>
      </c>
      <c r="L4" s="9">
        <v>13</v>
      </c>
    </row>
    <row r="5" spans="1:12">
      <c r="A5" s="1" t="s">
        <v>570</v>
      </c>
      <c r="B5" s="11" t="s">
        <v>580</v>
      </c>
      <c r="C5" s="3" t="s">
        <v>581</v>
      </c>
      <c r="D5" s="7" t="str">
        <f t="shared" si="0"/>
        <v>wa.me/62081380555857</v>
      </c>
      <c r="K5" s="8" t="s">
        <v>582</v>
      </c>
      <c r="L5" s="9">
        <v>22</v>
      </c>
    </row>
    <row r="6" spans="1:12">
      <c r="A6" s="1" t="s">
        <v>570</v>
      </c>
      <c r="B6" s="10" t="s">
        <v>583</v>
      </c>
      <c r="C6" s="3" t="s">
        <v>584</v>
      </c>
      <c r="D6" s="7" t="str">
        <f t="shared" si="0"/>
        <v>wa.me/62085235130248</v>
      </c>
      <c r="K6" s="8" t="s">
        <v>583</v>
      </c>
      <c r="L6" s="9">
        <v>4</v>
      </c>
    </row>
    <row r="7" spans="1:12">
      <c r="A7" s="1" t="s">
        <v>570</v>
      </c>
      <c r="B7" s="10" t="s">
        <v>585</v>
      </c>
      <c r="C7" s="3" t="s">
        <v>586</v>
      </c>
      <c r="D7" s="7" t="str">
        <f t="shared" si="0"/>
        <v>wa.me/62085648018113</v>
      </c>
      <c r="K7" s="8" t="s">
        <v>587</v>
      </c>
      <c r="L7" s="9">
        <v>28</v>
      </c>
    </row>
    <row r="8" spans="1:12">
      <c r="A8" s="1" t="s">
        <v>570</v>
      </c>
      <c r="B8" s="10" t="s">
        <v>588</v>
      </c>
      <c r="C8" s="3" t="s">
        <v>589</v>
      </c>
      <c r="D8" s="7" t="str">
        <f t="shared" si="0"/>
        <v>wa.me/62081252180161</v>
      </c>
      <c r="K8" s="8" t="s">
        <v>590</v>
      </c>
      <c r="L8" s="9">
        <v>19</v>
      </c>
    </row>
    <row r="9" spans="1:12">
      <c r="A9" s="1" t="s">
        <v>591</v>
      </c>
      <c r="B9" s="10" t="s">
        <v>592</v>
      </c>
      <c r="C9" s="3" t="s">
        <v>593</v>
      </c>
      <c r="D9" s="7" t="str">
        <f t="shared" si="0"/>
        <v>wa.me/62082230011430</v>
      </c>
      <c r="K9" s="8" t="s">
        <v>594</v>
      </c>
      <c r="L9" s="9">
        <v>7</v>
      </c>
    </row>
    <row r="10" spans="1:12">
      <c r="A10" s="1" t="s">
        <v>591</v>
      </c>
      <c r="B10" s="10" t="s">
        <v>595</v>
      </c>
      <c r="C10" s="3" t="s">
        <v>596</v>
      </c>
      <c r="D10" s="7" t="str">
        <f t="shared" si="0"/>
        <v>wa.me/62081230820228</v>
      </c>
      <c r="K10" s="8" t="s">
        <v>597</v>
      </c>
      <c r="L10" s="9">
        <v>38</v>
      </c>
    </row>
    <row r="11" spans="1:12">
      <c r="A11" s="1" t="s">
        <v>570</v>
      </c>
      <c r="B11" s="10" t="s">
        <v>598</v>
      </c>
      <c r="C11" s="3" t="s">
        <v>599</v>
      </c>
      <c r="D11" s="7" t="str">
        <f t="shared" si="0"/>
        <v>wa.me/62085748540520</v>
      </c>
      <c r="K11" s="8" t="s">
        <v>600</v>
      </c>
      <c r="L11" s="9">
        <v>14</v>
      </c>
    </row>
    <row r="12" spans="1:12">
      <c r="A12" s="1" t="s">
        <v>570</v>
      </c>
      <c r="B12" s="10" t="s">
        <v>601</v>
      </c>
      <c r="C12" s="3" t="s">
        <v>602</v>
      </c>
      <c r="D12" s="7" t="str">
        <f t="shared" si="0"/>
        <v>wa.me/620816996804</v>
      </c>
      <c r="K12" s="8" t="s">
        <v>603</v>
      </c>
      <c r="L12" s="9">
        <v>4</v>
      </c>
    </row>
    <row r="13" spans="1:12">
      <c r="A13" s="1" t="s">
        <v>570</v>
      </c>
      <c r="B13" s="10" t="s">
        <v>604</v>
      </c>
      <c r="C13" s="3" t="s">
        <v>605</v>
      </c>
      <c r="D13" s="7" t="str">
        <f t="shared" si="0"/>
        <v>wa.me/62081931607060</v>
      </c>
      <c r="K13" s="8" t="s">
        <v>606</v>
      </c>
      <c r="L13" s="9">
        <v>13</v>
      </c>
    </row>
    <row r="14" spans="1:12">
      <c r="A14" s="1" t="s">
        <v>570</v>
      </c>
      <c r="B14" s="10" t="s">
        <v>607</v>
      </c>
      <c r="C14" s="3" t="s">
        <v>608</v>
      </c>
      <c r="D14" s="7" t="str">
        <f t="shared" si="0"/>
        <v>wa.me/62081217239490</v>
      </c>
      <c r="K14" s="8" t="s">
        <v>609</v>
      </c>
      <c r="L14" s="9">
        <v>7</v>
      </c>
    </row>
    <row r="15" spans="1:12">
      <c r="A15" s="1" t="s">
        <v>570</v>
      </c>
      <c r="B15" s="1" t="s">
        <v>610</v>
      </c>
      <c r="C15" s="3" t="s">
        <v>611</v>
      </c>
      <c r="D15" s="7" t="str">
        <f t="shared" si="0"/>
        <v>wa.me/62081330141429</v>
      </c>
      <c r="K15" s="8" t="s">
        <v>610</v>
      </c>
      <c r="L15" s="9">
        <v>6</v>
      </c>
    </row>
    <row r="16" spans="1:12">
      <c r="A16" s="1" t="s">
        <v>591</v>
      </c>
      <c r="B16" s="10" t="s">
        <v>612</v>
      </c>
      <c r="C16" s="3" t="s">
        <v>613</v>
      </c>
      <c r="D16" s="7" t="str">
        <f t="shared" si="0"/>
        <v>wa.me/6208113303330</v>
      </c>
      <c r="K16" s="8" t="s">
        <v>614</v>
      </c>
      <c r="L16" s="9">
        <v>17</v>
      </c>
    </row>
    <row r="17" spans="1:12">
      <c r="A17" s="1" t="s">
        <v>570</v>
      </c>
      <c r="B17" s="10" t="s">
        <v>615</v>
      </c>
      <c r="C17" s="3" t="s">
        <v>616</v>
      </c>
      <c r="D17" s="7" t="str">
        <f t="shared" si="0"/>
        <v>wa.me/62082210109076</v>
      </c>
      <c r="K17" s="8" t="s">
        <v>617</v>
      </c>
      <c r="L17" s="9">
        <v>10</v>
      </c>
    </row>
    <row r="18" spans="1:12">
      <c r="A18" s="1" t="s">
        <v>570</v>
      </c>
      <c r="B18" s="10" t="s">
        <v>618</v>
      </c>
      <c r="C18" s="3" t="s">
        <v>619</v>
      </c>
      <c r="D18" s="7" t="str">
        <f t="shared" si="0"/>
        <v>wa.me/62081331318657</v>
      </c>
      <c r="K18" s="8" t="s">
        <v>620</v>
      </c>
      <c r="L18" s="9">
        <v>7</v>
      </c>
    </row>
    <row r="19" spans="1:12">
      <c r="A19" s="1" t="s">
        <v>570</v>
      </c>
      <c r="B19" s="10" t="s">
        <v>621</v>
      </c>
      <c r="C19" s="3" t="s">
        <v>622</v>
      </c>
      <c r="D19" s="7" t="str">
        <f t="shared" si="0"/>
        <v>wa.me/62085655413699</v>
      </c>
      <c r="K19" s="8" t="s">
        <v>623</v>
      </c>
      <c r="L19" s="9">
        <v>6</v>
      </c>
    </row>
    <row r="20" spans="1:12">
      <c r="A20" s="1" t="s">
        <v>591</v>
      </c>
      <c r="B20" s="10" t="s">
        <v>624</v>
      </c>
      <c r="C20" s="3" t="s">
        <v>625</v>
      </c>
      <c r="D20" s="7" t="str">
        <f t="shared" si="0"/>
        <v>wa.me/62081332996854</v>
      </c>
      <c r="K20" s="8" t="s">
        <v>626</v>
      </c>
      <c r="L20" s="9">
        <v>21</v>
      </c>
    </row>
    <row r="21" spans="1:12">
      <c r="A21" s="1" t="s">
        <v>570</v>
      </c>
      <c r="B21" s="10" t="s">
        <v>627</v>
      </c>
      <c r="C21" s="3" t="s">
        <v>628</v>
      </c>
      <c r="D21" s="7" t="str">
        <f t="shared" si="0"/>
        <v>wa.me/62081233546664</v>
      </c>
      <c r="K21" s="8" t="s">
        <v>629</v>
      </c>
      <c r="L21" s="9">
        <v>20</v>
      </c>
    </row>
    <row r="22" spans="1:12">
      <c r="A22" s="1" t="s">
        <v>570</v>
      </c>
      <c r="B22" s="12" t="s">
        <v>630</v>
      </c>
      <c r="C22" s="3" t="s">
        <v>631</v>
      </c>
      <c r="D22" s="7" t="str">
        <f t="shared" si="0"/>
        <v>wa.me/62085730700115</v>
      </c>
      <c r="K22" s="8" t="s">
        <v>632</v>
      </c>
      <c r="L22" s="9">
        <v>9</v>
      </c>
    </row>
    <row r="23" spans="1:12">
      <c r="A23" s="1" t="s">
        <v>570</v>
      </c>
      <c r="B23" s="10" t="s">
        <v>633</v>
      </c>
      <c r="C23" s="3" t="s">
        <v>634</v>
      </c>
      <c r="D23" s="7" t="str">
        <f t="shared" si="0"/>
        <v>wa.me/62085704036336</v>
      </c>
      <c r="K23" s="8" t="s">
        <v>635</v>
      </c>
      <c r="L23" s="9">
        <v>19</v>
      </c>
    </row>
    <row r="24" spans="1:12">
      <c r="A24" s="1" t="s">
        <v>570</v>
      </c>
      <c r="B24" s="10" t="s">
        <v>636</v>
      </c>
      <c r="C24" s="3" t="s">
        <v>637</v>
      </c>
      <c r="D24" s="7" t="str">
        <f t="shared" si="0"/>
        <v>wa.me/6208978026430</v>
      </c>
      <c r="K24" s="8" t="s">
        <v>638</v>
      </c>
      <c r="L24" s="9">
        <v>9</v>
      </c>
    </row>
    <row r="25" spans="1:12">
      <c r="A25" s="1" t="s">
        <v>570</v>
      </c>
      <c r="B25" s="10" t="s">
        <v>639</v>
      </c>
      <c r="C25" s="3" t="s">
        <v>640</v>
      </c>
      <c r="D25" s="7" t="str">
        <f t="shared" si="0"/>
        <v>wa.me/62081553132408</v>
      </c>
      <c r="K25" s="8" t="s">
        <v>641</v>
      </c>
      <c r="L25" s="9">
        <v>5</v>
      </c>
    </row>
    <row r="26" spans="1:12">
      <c r="A26" s="1" t="s">
        <v>570</v>
      </c>
      <c r="B26" s="10" t="s">
        <v>642</v>
      </c>
      <c r="C26" s="3" t="s">
        <v>643</v>
      </c>
      <c r="D26" s="7" t="str">
        <f t="shared" si="0"/>
        <v>wa.me/6208972508747</v>
      </c>
      <c r="K26" s="8" t="s">
        <v>644</v>
      </c>
      <c r="L26" s="9">
        <v>4</v>
      </c>
    </row>
    <row r="27" spans="1:12">
      <c r="A27" s="1" t="s">
        <v>570</v>
      </c>
      <c r="B27" s="10" t="s">
        <v>645</v>
      </c>
      <c r="C27" s="3" t="s">
        <v>646</v>
      </c>
      <c r="D27" s="7" t="str">
        <f t="shared" si="0"/>
        <v>wa.me/6208123079182</v>
      </c>
      <c r="K27" s="8" t="s">
        <v>647</v>
      </c>
      <c r="L27" s="9">
        <v>18</v>
      </c>
    </row>
    <row r="28" spans="1:12">
      <c r="A28" s="1" t="s">
        <v>570</v>
      </c>
      <c r="B28" s="10" t="s">
        <v>648</v>
      </c>
      <c r="C28" s="3" t="s">
        <v>649</v>
      </c>
      <c r="D28" s="7" t="str">
        <f t="shared" si="0"/>
        <v>wa.me/62081216840619</v>
      </c>
      <c r="K28" s="8" t="s">
        <v>650</v>
      </c>
      <c r="L28" s="9">
        <v>3</v>
      </c>
    </row>
    <row r="29" spans="1:12">
      <c r="A29" s="1" t="s">
        <v>570</v>
      </c>
      <c r="B29" s="10" t="s">
        <v>651</v>
      </c>
      <c r="C29" s="3" t="s">
        <v>652</v>
      </c>
      <c r="D29" s="7" t="str">
        <f t="shared" si="0"/>
        <v>wa.me/620811348113</v>
      </c>
      <c r="K29" s="8" t="s">
        <v>653</v>
      </c>
      <c r="L29" s="9">
        <v>14</v>
      </c>
    </row>
    <row r="30" spans="1:12">
      <c r="A30" s="1" t="s">
        <v>570</v>
      </c>
      <c r="B30" s="10" t="s">
        <v>654</v>
      </c>
      <c r="C30" s="3" t="s">
        <v>655</v>
      </c>
      <c r="D30" s="7" t="str">
        <f t="shared" si="0"/>
        <v>wa.me/6208123116822</v>
      </c>
      <c r="K30" s="8" t="s">
        <v>656</v>
      </c>
      <c r="L30" s="9">
        <v>8</v>
      </c>
    </row>
    <row r="31" spans="1:12">
      <c r="A31" s="1" t="s">
        <v>570</v>
      </c>
      <c r="B31" s="10" t="s">
        <v>657</v>
      </c>
      <c r="C31" s="3" t="s">
        <v>658</v>
      </c>
      <c r="D31" s="7" t="str">
        <f t="shared" si="0"/>
        <v>wa.me/62088804943968</v>
      </c>
      <c r="K31" s="8" t="s">
        <v>659</v>
      </c>
      <c r="L31" s="9">
        <v>7</v>
      </c>
    </row>
    <row r="32" spans="1:12">
      <c r="A32" s="1" t="s">
        <v>591</v>
      </c>
      <c r="B32" s="10" t="s">
        <v>660</v>
      </c>
      <c r="C32" s="3" t="s">
        <v>661</v>
      </c>
      <c r="D32" s="7" t="str">
        <f t="shared" si="0"/>
        <v>wa.me/62087857637847</v>
      </c>
      <c r="K32" s="8" t="s">
        <v>662</v>
      </c>
      <c r="L32" s="9">
        <v>47</v>
      </c>
    </row>
    <row r="33" spans="1:12">
      <c r="A33" s="1" t="s">
        <v>591</v>
      </c>
      <c r="B33" s="10" t="s">
        <v>663</v>
      </c>
      <c r="C33" s="3" t="s">
        <v>664</v>
      </c>
      <c r="D33" s="7" t="str">
        <f t="shared" si="0"/>
        <v>wa.me/6208111779483</v>
      </c>
      <c r="K33" s="8" t="s">
        <v>665</v>
      </c>
      <c r="L33" s="9">
        <v>7</v>
      </c>
    </row>
    <row r="34" spans="1:12">
      <c r="A34" s="1" t="s">
        <v>591</v>
      </c>
      <c r="B34" s="10" t="s">
        <v>666</v>
      </c>
      <c r="C34" s="3" t="s">
        <v>667</v>
      </c>
      <c r="D34" s="7" t="str">
        <f t="shared" si="0"/>
        <v>wa.me/62082132348064</v>
      </c>
      <c r="K34" s="8" t="s">
        <v>668</v>
      </c>
      <c r="L34" s="9">
        <v>16</v>
      </c>
    </row>
    <row r="35" spans="1:12">
      <c r="A35" s="1" t="s">
        <v>570</v>
      </c>
      <c r="B35" s="10" t="s">
        <v>669</v>
      </c>
      <c r="C35" s="3" t="s">
        <v>670</v>
      </c>
      <c r="D35" s="7" t="str">
        <f t="shared" si="0"/>
        <v>wa.me/62081231307928</v>
      </c>
      <c r="K35" s="8" t="s">
        <v>671</v>
      </c>
      <c r="L35" s="9">
        <v>13</v>
      </c>
    </row>
    <row r="36" spans="1:12">
      <c r="A36" s="1" t="s">
        <v>591</v>
      </c>
      <c r="B36" s="10" t="s">
        <v>672</v>
      </c>
      <c r="C36" s="3" t="s">
        <v>673</v>
      </c>
      <c r="D36" s="7" t="str">
        <f t="shared" si="0"/>
        <v>wa.me/6208175087475</v>
      </c>
      <c r="K36" s="8" t="s">
        <v>674</v>
      </c>
      <c r="L36" s="9">
        <v>14</v>
      </c>
    </row>
    <row r="37" spans="1:12">
      <c r="A37" s="1" t="s">
        <v>570</v>
      </c>
      <c r="B37" s="11" t="s">
        <v>675</v>
      </c>
      <c r="C37" s="3" t="s">
        <v>676</v>
      </c>
      <c r="D37" s="7" t="str">
        <f t="shared" si="0"/>
        <v>wa.me/62081330296001</v>
      </c>
      <c r="K37" s="8" t="s">
        <v>677</v>
      </c>
      <c r="L37" s="9">
        <v>22</v>
      </c>
    </row>
    <row r="38" spans="1:12">
      <c r="A38" s="1" t="s">
        <v>591</v>
      </c>
      <c r="B38" s="10" t="s">
        <v>678</v>
      </c>
      <c r="C38" s="3" t="s">
        <v>679</v>
      </c>
      <c r="D38" s="7" t="str">
        <f t="shared" si="0"/>
        <v>wa.me/62081234614424</v>
      </c>
      <c r="K38" s="8" t="s">
        <v>680</v>
      </c>
      <c r="L38" s="9">
        <v>24</v>
      </c>
    </row>
    <row r="39" spans="1:12">
      <c r="A39" s="1" t="s">
        <v>570</v>
      </c>
      <c r="B39" s="10" t="s">
        <v>681</v>
      </c>
      <c r="C39" s="3" t="s">
        <v>682</v>
      </c>
      <c r="D39" s="7" t="str">
        <f t="shared" si="0"/>
        <v>wa.me/62081334357320</v>
      </c>
      <c r="K39" s="8" t="s">
        <v>683</v>
      </c>
      <c r="L39" s="9">
        <v>11</v>
      </c>
    </row>
    <row r="40" spans="1:12">
      <c r="A40" s="1" t="s">
        <v>570</v>
      </c>
      <c r="B40" s="10" t="s">
        <v>684</v>
      </c>
      <c r="C40" s="3" t="s">
        <v>685</v>
      </c>
      <c r="D40" s="7" t="str">
        <f t="shared" si="0"/>
        <v>wa.me/62082147633061</v>
      </c>
      <c r="K40" s="8" t="s">
        <v>686</v>
      </c>
      <c r="L40" s="9">
        <v>1</v>
      </c>
    </row>
    <row r="41" spans="1:12">
      <c r="A41" s="1" t="s">
        <v>591</v>
      </c>
      <c r="B41" s="10" t="s">
        <v>687</v>
      </c>
      <c r="C41" s="3" t="s">
        <v>688</v>
      </c>
      <c r="D41" s="7" t="str">
        <f t="shared" si="0"/>
        <v>wa.me/62081216462131</v>
      </c>
      <c r="K41" s="8" t="s">
        <v>689</v>
      </c>
      <c r="L41" s="9">
        <v>3</v>
      </c>
    </row>
    <row r="42" spans="1:12">
      <c r="A42" s="1" t="s">
        <v>591</v>
      </c>
      <c r="B42" s="10" t="s">
        <v>690</v>
      </c>
      <c r="C42" s="3" t="s">
        <v>691</v>
      </c>
      <c r="D42" s="7" t="str">
        <f t="shared" si="0"/>
        <v>wa.me/62081259280730</v>
      </c>
      <c r="K42" s="8" t="s">
        <v>690</v>
      </c>
      <c r="L42" s="9">
        <v>8</v>
      </c>
    </row>
    <row r="43" spans="1:12">
      <c r="A43" s="1" t="s">
        <v>570</v>
      </c>
      <c r="B43" s="10" t="s">
        <v>692</v>
      </c>
      <c r="C43" s="3" t="s">
        <v>693</v>
      </c>
      <c r="D43" s="7" t="str">
        <f t="shared" si="0"/>
        <v>wa.me/6208993956979</v>
      </c>
      <c r="K43" s="8" t="s">
        <v>694</v>
      </c>
      <c r="L43" s="9">
        <v>9</v>
      </c>
    </row>
    <row r="44" spans="1:12">
      <c r="A44" s="1" t="s">
        <v>591</v>
      </c>
      <c r="B44" s="10" t="s">
        <v>695</v>
      </c>
      <c r="C44" s="3" t="s">
        <v>696</v>
      </c>
      <c r="D44" s="7" t="str">
        <f t="shared" si="0"/>
        <v>wa.me/62081808004880</v>
      </c>
      <c r="K44" s="8" t="s">
        <v>697</v>
      </c>
      <c r="L44" s="9">
        <v>10</v>
      </c>
    </row>
    <row r="45" spans="1:12">
      <c r="A45" s="1" t="s">
        <v>570</v>
      </c>
      <c r="B45" s="10" t="s">
        <v>698</v>
      </c>
      <c r="C45" s="3" t="s">
        <v>699</v>
      </c>
      <c r="D45" s="7" t="str">
        <f t="shared" si="0"/>
        <v>wa.me/62082245283155</v>
      </c>
      <c r="K45" s="8" t="s">
        <v>700</v>
      </c>
      <c r="L45" s="9">
        <v>17</v>
      </c>
    </row>
    <row r="46" spans="1:12">
      <c r="A46" s="1" t="s">
        <v>591</v>
      </c>
      <c r="B46" s="10" t="s">
        <v>701</v>
      </c>
      <c r="C46" s="3" t="s">
        <v>702</v>
      </c>
      <c r="D46" s="7" t="str">
        <f t="shared" si="0"/>
        <v>wa.me/6208123533358</v>
      </c>
      <c r="K46" s="8" t="s">
        <v>703</v>
      </c>
      <c r="L46" s="9">
        <v>28</v>
      </c>
    </row>
    <row r="47" spans="1:12">
      <c r="A47" s="1" t="s">
        <v>591</v>
      </c>
      <c r="B47" s="10" t="s">
        <v>704</v>
      </c>
      <c r="C47" s="3" t="s">
        <v>705</v>
      </c>
      <c r="D47" s="7" t="str">
        <f t="shared" si="0"/>
        <v>wa.me/62081332429766</v>
      </c>
      <c r="K47" s="8" t="s">
        <v>706</v>
      </c>
      <c r="L47" s="9">
        <v>27</v>
      </c>
    </row>
    <row r="48" spans="1:12">
      <c r="A48" s="1" t="s">
        <v>591</v>
      </c>
      <c r="B48" s="10" t="s">
        <v>707</v>
      </c>
      <c r="C48" s="3" t="s">
        <v>708</v>
      </c>
      <c r="D48" s="7" t="str">
        <f t="shared" si="0"/>
        <v>wa.me/62085733523276</v>
      </c>
      <c r="K48" s="8" t="s">
        <v>709</v>
      </c>
      <c r="L48" s="9">
        <v>11</v>
      </c>
    </row>
    <row r="49" spans="1:12">
      <c r="A49" s="1" t="s">
        <v>570</v>
      </c>
      <c r="B49" s="10" t="s">
        <v>710</v>
      </c>
      <c r="C49" s="3" t="s">
        <v>711</v>
      </c>
      <c r="D49" s="7" t="str">
        <f t="shared" si="0"/>
        <v>wa.me/620811334241</v>
      </c>
      <c r="K49" s="8" t="s">
        <v>712</v>
      </c>
      <c r="L49" s="9">
        <v>4</v>
      </c>
    </row>
    <row r="50" spans="1:12">
      <c r="A50" s="1" t="s">
        <v>570</v>
      </c>
      <c r="B50" s="10" t="s">
        <v>713</v>
      </c>
      <c r="C50" s="3" t="s">
        <v>714</v>
      </c>
      <c r="D50" s="7" t="str">
        <f t="shared" si="0"/>
        <v>wa.me/62081332582224</v>
      </c>
      <c r="K50" s="8" t="s">
        <v>715</v>
      </c>
      <c r="L50" s="9">
        <v>1</v>
      </c>
    </row>
    <row r="51" spans="1:12">
      <c r="A51" s="1" t="s">
        <v>570</v>
      </c>
      <c r="B51" s="10" t="s">
        <v>716</v>
      </c>
      <c r="C51" s="3" t="s">
        <v>717</v>
      </c>
      <c r="D51" s="7" t="str">
        <f t="shared" si="0"/>
        <v>wa.me/62081216128456</v>
      </c>
      <c r="K51" s="8" t="s">
        <v>718</v>
      </c>
      <c r="L51" s="9">
        <v>11</v>
      </c>
    </row>
    <row r="52" spans="1:12">
      <c r="A52" s="1" t="s">
        <v>570</v>
      </c>
      <c r="B52" s="10" t="s">
        <v>719</v>
      </c>
      <c r="C52" s="3" t="s">
        <v>720</v>
      </c>
      <c r="D52" s="7" t="str">
        <f t="shared" si="0"/>
        <v>wa.me/62081231974410</v>
      </c>
      <c r="K52" s="8" t="s">
        <v>721</v>
      </c>
      <c r="L52" s="9">
        <v>9</v>
      </c>
    </row>
    <row r="53" spans="1:12">
      <c r="A53" s="1" t="s">
        <v>570</v>
      </c>
      <c r="B53" s="10" t="s">
        <v>722</v>
      </c>
      <c r="C53" s="3" t="s">
        <v>723</v>
      </c>
      <c r="D53" s="7" t="str">
        <f t="shared" si="0"/>
        <v>wa.me/62082272425855</v>
      </c>
      <c r="K53" s="8" t="s">
        <v>722</v>
      </c>
      <c r="L53" s="9">
        <v>19</v>
      </c>
    </row>
    <row r="54" spans="1:12">
      <c r="A54" s="1" t="s">
        <v>570</v>
      </c>
      <c r="B54" s="10" t="s">
        <v>724</v>
      </c>
      <c r="C54" s="3" t="s">
        <v>725</v>
      </c>
      <c r="D54" s="7" t="str">
        <f t="shared" si="0"/>
        <v>wa.me/62083856993602</v>
      </c>
      <c r="K54" s="8" t="s">
        <v>726</v>
      </c>
      <c r="L54" s="9">
        <v>17</v>
      </c>
    </row>
    <row r="55" spans="1:12">
      <c r="A55" s="1" t="s">
        <v>591</v>
      </c>
      <c r="B55" s="10" t="s">
        <v>727</v>
      </c>
      <c r="C55" s="3" t="s">
        <v>728</v>
      </c>
      <c r="D55" s="7" t="str">
        <f t="shared" si="0"/>
        <v>wa.me/62082244425714</v>
      </c>
      <c r="K55" s="8" t="s">
        <v>729</v>
      </c>
      <c r="L55" s="9">
        <v>12</v>
      </c>
    </row>
    <row r="56" spans="1:12">
      <c r="A56" s="1" t="s">
        <v>570</v>
      </c>
      <c r="B56" s="10" t="s">
        <v>730</v>
      </c>
      <c r="C56" s="3" t="s">
        <v>731</v>
      </c>
      <c r="D56" s="7" t="str">
        <f t="shared" si="0"/>
        <v>wa.me/62082336991673</v>
      </c>
      <c r="K56" s="8" t="s">
        <v>732</v>
      </c>
      <c r="L56" s="9">
        <v>5</v>
      </c>
    </row>
    <row r="57" spans="1:12">
      <c r="A57" s="1" t="s">
        <v>570</v>
      </c>
      <c r="B57" s="10" t="s">
        <v>733</v>
      </c>
      <c r="C57" s="3" t="s">
        <v>734</v>
      </c>
      <c r="D57" s="7" t="str">
        <f t="shared" si="0"/>
        <v>wa.me/62081332042060</v>
      </c>
      <c r="K57" s="8" t="s">
        <v>735</v>
      </c>
      <c r="L57" s="9">
        <v>7</v>
      </c>
    </row>
    <row r="58" spans="1:12">
      <c r="A58" s="1" t="s">
        <v>570</v>
      </c>
      <c r="B58" s="10" t="s">
        <v>736</v>
      </c>
      <c r="C58" s="3" t="s">
        <v>737</v>
      </c>
      <c r="D58" s="7" t="str">
        <f t="shared" si="0"/>
        <v>wa.me/62085743774445</v>
      </c>
      <c r="K58" s="8" t="s">
        <v>738</v>
      </c>
      <c r="L58" s="9">
        <v>1</v>
      </c>
    </row>
    <row r="59" spans="1:12">
      <c r="A59" s="1" t="s">
        <v>570</v>
      </c>
      <c r="B59" s="13" t="s">
        <v>739</v>
      </c>
      <c r="C59" s="3" t="s">
        <v>740</v>
      </c>
      <c r="D59" s="7" t="str">
        <f t="shared" si="0"/>
        <v>wa.me/62081314969595</v>
      </c>
      <c r="K59" s="8" t="s">
        <v>741</v>
      </c>
      <c r="L59" s="9">
        <v>26</v>
      </c>
    </row>
    <row r="60" spans="1:12">
      <c r="A60" s="1" t="s">
        <v>570</v>
      </c>
      <c r="B60" s="10" t="s">
        <v>742</v>
      </c>
      <c r="C60" s="3" t="s">
        <v>743</v>
      </c>
      <c r="D60" s="7" t="str">
        <f t="shared" si="0"/>
        <v>wa.me/62082221467302</v>
      </c>
      <c r="K60" s="8" t="s">
        <v>744</v>
      </c>
      <c r="L60" s="9">
        <v>15</v>
      </c>
    </row>
    <row r="61" spans="1:12">
      <c r="A61" s="1" t="s">
        <v>570</v>
      </c>
      <c r="B61" s="10" t="s">
        <v>745</v>
      </c>
      <c r="C61" s="3" t="s">
        <v>746</v>
      </c>
      <c r="D61" s="7" t="str">
        <f t="shared" si="0"/>
        <v>wa.me/6208113531609</v>
      </c>
      <c r="K61" s="8" t="s">
        <v>747</v>
      </c>
      <c r="L61" s="9">
        <v>9</v>
      </c>
    </row>
    <row r="62" spans="1:12">
      <c r="A62" s="1" t="s">
        <v>570</v>
      </c>
      <c r="B62" s="10" t="s">
        <v>748</v>
      </c>
      <c r="C62" s="3" t="s">
        <v>749</v>
      </c>
      <c r="D62" s="7" t="str">
        <f t="shared" si="0"/>
        <v>wa.me/62081216446161</v>
      </c>
      <c r="K62" s="8" t="s">
        <v>750</v>
      </c>
      <c r="L62" s="9">
        <v>21</v>
      </c>
    </row>
    <row r="63" spans="1:12">
      <c r="A63" s="1" t="s">
        <v>570</v>
      </c>
      <c r="B63" s="10" t="s">
        <v>751</v>
      </c>
      <c r="C63" s="3" t="s">
        <v>752</v>
      </c>
      <c r="D63" s="7" t="str">
        <f t="shared" si="0"/>
        <v>wa.me/62085730347997</v>
      </c>
      <c r="K63" s="8" t="s">
        <v>753</v>
      </c>
      <c r="L63" s="9">
        <v>3</v>
      </c>
    </row>
    <row r="64" spans="1:12">
      <c r="A64" s="1" t="s">
        <v>570</v>
      </c>
      <c r="B64" s="10" t="s">
        <v>754</v>
      </c>
      <c r="C64" s="3" t="s">
        <v>755</v>
      </c>
      <c r="D64" s="7" t="str">
        <f t="shared" si="0"/>
        <v>wa.me/62082139995991</v>
      </c>
      <c r="K64" s="8" t="s">
        <v>756</v>
      </c>
      <c r="L64" s="9">
        <v>19</v>
      </c>
    </row>
    <row r="65" spans="1:12">
      <c r="A65" s="1" t="s">
        <v>570</v>
      </c>
      <c r="B65" s="10" t="s">
        <v>757</v>
      </c>
      <c r="C65" s="3" t="s">
        <v>758</v>
      </c>
      <c r="D65" s="7" t="str">
        <f t="shared" si="0"/>
        <v>wa.me/62081234550189</v>
      </c>
      <c r="K65" s="8" t="s">
        <v>759</v>
      </c>
      <c r="L65" s="9">
        <v>31</v>
      </c>
    </row>
    <row r="66" spans="1:12">
      <c r="A66" s="1" t="s">
        <v>570</v>
      </c>
      <c r="B66" s="10" t="s">
        <v>760</v>
      </c>
      <c r="C66" s="3" t="s">
        <v>761</v>
      </c>
      <c r="D66" s="7" t="str">
        <f t="shared" si="0"/>
        <v>wa.me/6208155058733</v>
      </c>
      <c r="K66" s="8" t="s">
        <v>762</v>
      </c>
      <c r="L66" s="9">
        <v>7</v>
      </c>
    </row>
    <row r="67" spans="1:12">
      <c r="A67" s="1" t="s">
        <v>591</v>
      </c>
      <c r="B67" s="10" t="s">
        <v>763</v>
      </c>
      <c r="C67" s="3" t="s">
        <v>764</v>
      </c>
      <c r="D67" s="7" t="str">
        <f t="shared" si="0"/>
        <v>wa.me/62081216611441</v>
      </c>
      <c r="K67" s="8" t="s">
        <v>763</v>
      </c>
      <c r="L67" s="9">
        <v>6</v>
      </c>
    </row>
    <row r="68" spans="1:12">
      <c r="A68" s="1" t="s">
        <v>570</v>
      </c>
      <c r="B68" s="10" t="s">
        <v>765</v>
      </c>
      <c r="C68" s="3" t="s">
        <v>766</v>
      </c>
      <c r="D68" s="7" t="str">
        <f t="shared" si="0"/>
        <v>wa.me/62085259177900</v>
      </c>
      <c r="K68" s="8" t="s">
        <v>767</v>
      </c>
      <c r="L68" s="9">
        <v>13</v>
      </c>
    </row>
    <row r="69" spans="1:12">
      <c r="A69" s="1" t="s">
        <v>570</v>
      </c>
      <c r="B69" s="10" t="s">
        <v>768</v>
      </c>
      <c r="C69" s="3" t="s">
        <v>769</v>
      </c>
      <c r="D69" s="7" t="str">
        <f t="shared" si="0"/>
        <v>wa.me/62087851267786</v>
      </c>
      <c r="K69" s="8" t="s">
        <v>770</v>
      </c>
      <c r="L69" s="9">
        <v>8</v>
      </c>
    </row>
    <row r="70" spans="1:12">
      <c r="A70" s="1" t="s">
        <v>591</v>
      </c>
      <c r="B70" s="10" t="s">
        <v>771</v>
      </c>
      <c r="C70" s="3" t="s">
        <v>772</v>
      </c>
      <c r="D70" s="7" t="str">
        <f t="shared" si="0"/>
        <v>wa.me/62082228511386</v>
      </c>
      <c r="K70" s="8" t="s">
        <v>773</v>
      </c>
      <c r="L70" s="9">
        <v>7</v>
      </c>
    </row>
    <row r="71" spans="1:12">
      <c r="A71" s="1" t="s">
        <v>591</v>
      </c>
      <c r="B71" s="10" t="s">
        <v>774</v>
      </c>
      <c r="C71" s="3" t="s">
        <v>775</v>
      </c>
      <c r="D71" s="7" t="str">
        <f t="shared" si="0"/>
        <v>wa.me/62085646303133</v>
      </c>
      <c r="K71" s="8" t="s">
        <v>776</v>
      </c>
      <c r="L71" s="9">
        <v>8</v>
      </c>
    </row>
    <row r="72" spans="1:12">
      <c r="A72" s="1" t="s">
        <v>570</v>
      </c>
      <c r="B72" s="10" t="s">
        <v>777</v>
      </c>
      <c r="C72" s="3" t="s">
        <v>778</v>
      </c>
      <c r="D72" s="7" t="str">
        <f t="shared" si="0"/>
        <v>wa.me/62087855140061</v>
      </c>
      <c r="K72" s="8" t="s">
        <v>779</v>
      </c>
      <c r="L72" s="9">
        <v>9</v>
      </c>
    </row>
    <row r="73" spans="1:12">
      <c r="A73" s="1" t="s">
        <v>591</v>
      </c>
      <c r="B73" s="10" t="s">
        <v>780</v>
      </c>
      <c r="C73" s="3" t="s">
        <v>781</v>
      </c>
      <c r="D73" s="7" t="str">
        <f t="shared" si="0"/>
        <v>wa.me/62081572535690</v>
      </c>
      <c r="K73" s="8" t="s">
        <v>782</v>
      </c>
      <c r="L73" s="9">
        <v>32</v>
      </c>
    </row>
    <row r="74" spans="1:12">
      <c r="A74" s="1" t="s">
        <v>570</v>
      </c>
      <c r="B74" s="10" t="s">
        <v>783</v>
      </c>
      <c r="C74" s="3" t="s">
        <v>784</v>
      </c>
      <c r="D74" s="7" t="str">
        <f t="shared" si="0"/>
        <v>wa.me/62081217707850</v>
      </c>
      <c r="K74" s="8" t="s">
        <v>785</v>
      </c>
      <c r="L74" s="9">
        <v>8</v>
      </c>
    </row>
    <row r="75" spans="1:12">
      <c r="A75" s="1" t="s">
        <v>570</v>
      </c>
      <c r="B75" s="10" t="s">
        <v>786</v>
      </c>
      <c r="C75" s="3" t="s">
        <v>787</v>
      </c>
      <c r="D75" s="7" t="str">
        <f t="shared" si="0"/>
        <v>wa.me/62082256167483</v>
      </c>
      <c r="K75" s="8" t="s">
        <v>788</v>
      </c>
      <c r="L75" s="9">
        <v>43</v>
      </c>
    </row>
    <row r="76" spans="1:12">
      <c r="A76" s="1" t="s">
        <v>570</v>
      </c>
      <c r="B76" s="10" t="s">
        <v>789</v>
      </c>
      <c r="C76" s="3" t="s">
        <v>790</v>
      </c>
      <c r="D76" s="7" t="str">
        <f t="shared" si="0"/>
        <v>wa.me/62082115327998</v>
      </c>
      <c r="K76" s="8" t="s">
        <v>791</v>
      </c>
      <c r="L76" s="9">
        <v>9</v>
      </c>
    </row>
    <row r="77" spans="1:12">
      <c r="A77" s="1" t="s">
        <v>591</v>
      </c>
      <c r="B77" s="10" t="s">
        <v>792</v>
      </c>
      <c r="C77" s="3" t="s">
        <v>793</v>
      </c>
      <c r="D77" s="7" t="str">
        <f t="shared" si="0"/>
        <v>wa.me/62081232666678</v>
      </c>
      <c r="K77" s="8" t="s">
        <v>794</v>
      </c>
      <c r="L77" s="9">
        <v>11</v>
      </c>
    </row>
    <row r="78" spans="1:12">
      <c r="A78" s="1" t="s">
        <v>570</v>
      </c>
      <c r="B78" s="10" t="s">
        <v>795</v>
      </c>
      <c r="C78" s="3" t="s">
        <v>796</v>
      </c>
      <c r="D78" s="7" t="str">
        <f t="shared" si="0"/>
        <v>wa.me/62081326636328</v>
      </c>
      <c r="K78" s="8" t="s">
        <v>797</v>
      </c>
      <c r="L78" s="9">
        <v>4</v>
      </c>
    </row>
    <row r="79" spans="1:12">
      <c r="A79" s="1" t="s">
        <v>570</v>
      </c>
      <c r="B79" s="10" t="s">
        <v>798</v>
      </c>
      <c r="C79" s="3" t="s">
        <v>799</v>
      </c>
      <c r="D79" s="7" t="str">
        <f t="shared" si="0"/>
        <v>wa.me/62081357256652</v>
      </c>
      <c r="K79" s="8" t="s">
        <v>800</v>
      </c>
      <c r="L79" s="9">
        <v>9</v>
      </c>
    </row>
    <row r="80" spans="1:12">
      <c r="A80" s="1" t="s">
        <v>591</v>
      </c>
      <c r="B80" s="10" t="s">
        <v>801</v>
      </c>
      <c r="C80" s="3" t="s">
        <v>802</v>
      </c>
      <c r="D80" s="7" t="str">
        <f t="shared" si="0"/>
        <v>wa.me/62085735339398</v>
      </c>
      <c r="K80" s="8" t="s">
        <v>803</v>
      </c>
      <c r="L80" s="9">
        <v>6</v>
      </c>
    </row>
    <row r="81" spans="1:12">
      <c r="A81" s="1" t="s">
        <v>591</v>
      </c>
      <c r="B81" s="10" t="s">
        <v>804</v>
      </c>
      <c r="C81" s="3" t="s">
        <v>805</v>
      </c>
      <c r="D81" s="7" t="str">
        <f t="shared" si="0"/>
        <v>wa.me/62081805110806</v>
      </c>
      <c r="K81" s="8" t="s">
        <v>806</v>
      </c>
      <c r="L81" s="9">
        <v>34</v>
      </c>
    </row>
    <row r="82" spans="1:12">
      <c r="A82" s="1" t="s">
        <v>591</v>
      </c>
      <c r="B82" s="10" t="s">
        <v>807</v>
      </c>
      <c r="C82" s="3" t="s">
        <v>808</v>
      </c>
      <c r="D82" s="7" t="str">
        <f t="shared" si="0"/>
        <v>wa.me/62081395934628</v>
      </c>
      <c r="K82" s="8" t="s">
        <v>809</v>
      </c>
      <c r="L82" s="9">
        <v>12</v>
      </c>
    </row>
    <row r="83" spans="1:12">
      <c r="A83" s="1" t="s">
        <v>591</v>
      </c>
      <c r="B83" s="10" t="s">
        <v>810</v>
      </c>
      <c r="C83" s="3" t="s">
        <v>811</v>
      </c>
      <c r="D83" s="7" t="str">
        <f t="shared" si="0"/>
        <v>wa.me/62082228940099</v>
      </c>
      <c r="K83" s="8" t="s">
        <v>812</v>
      </c>
      <c r="L83" s="9">
        <v>1</v>
      </c>
    </row>
    <row r="84" spans="1:12">
      <c r="A84" s="1" t="s">
        <v>591</v>
      </c>
      <c r="B84" s="10" t="s">
        <v>813</v>
      </c>
      <c r="C84" s="3" t="s">
        <v>814</v>
      </c>
      <c r="D84" s="7" t="str">
        <f t="shared" si="0"/>
        <v>wa.me/62083119936881</v>
      </c>
      <c r="K84" s="8" t="s">
        <v>815</v>
      </c>
      <c r="L84" s="9">
        <v>7</v>
      </c>
    </row>
    <row r="85" spans="1:12">
      <c r="A85" s="1" t="s">
        <v>591</v>
      </c>
      <c r="B85" s="10" t="s">
        <v>816</v>
      </c>
      <c r="C85" s="3" t="s">
        <v>817</v>
      </c>
      <c r="D85" s="7" t="str">
        <f t="shared" si="0"/>
        <v>wa.me/62081382792744</v>
      </c>
      <c r="K85" s="8" t="s">
        <v>818</v>
      </c>
      <c r="L85" s="9">
        <v>8</v>
      </c>
    </row>
    <row r="86" spans="1:12">
      <c r="A86" s="1" t="s">
        <v>591</v>
      </c>
      <c r="B86" s="10" t="s">
        <v>819</v>
      </c>
      <c r="C86" s="3" t="s">
        <v>820</v>
      </c>
      <c r="D86" s="7" t="str">
        <f t="shared" si="0"/>
        <v>wa.me/62081226548611</v>
      </c>
      <c r="K86" s="8" t="s">
        <v>821</v>
      </c>
      <c r="L86" s="9">
        <v>13</v>
      </c>
    </row>
    <row r="87" spans="1:12">
      <c r="A87" s="1" t="s">
        <v>591</v>
      </c>
      <c r="B87" s="10" t="s">
        <v>822</v>
      </c>
      <c r="C87" s="3" t="s">
        <v>823</v>
      </c>
      <c r="D87" s="7" t="str">
        <f t="shared" si="0"/>
        <v>wa.me/62085755248410</v>
      </c>
      <c r="K87" s="8" t="s">
        <v>824</v>
      </c>
      <c r="L87" s="9">
        <v>17</v>
      </c>
    </row>
    <row r="88" spans="1:12">
      <c r="A88" s="1" t="s">
        <v>570</v>
      </c>
      <c r="B88" s="10" t="s">
        <v>825</v>
      </c>
      <c r="C88" s="3" t="s">
        <v>826</v>
      </c>
      <c r="D88" s="7" t="str">
        <f t="shared" si="0"/>
        <v>wa.me/6208125200568</v>
      </c>
      <c r="K88" s="8" t="s">
        <v>827</v>
      </c>
      <c r="L88" s="9">
        <v>13</v>
      </c>
    </row>
    <row r="89" spans="1:12">
      <c r="A89" s="1" t="s">
        <v>591</v>
      </c>
      <c r="B89" s="10" t="s">
        <v>828</v>
      </c>
      <c r="C89" s="3" t="s">
        <v>829</v>
      </c>
      <c r="D89" s="7" t="str">
        <f t="shared" si="0"/>
        <v>wa.me/62081553346131</v>
      </c>
      <c r="K89" s="8" t="s">
        <v>830</v>
      </c>
      <c r="L89" s="9">
        <v>13</v>
      </c>
    </row>
    <row r="90" spans="1:12">
      <c r="A90" s="1" t="s">
        <v>591</v>
      </c>
      <c r="B90" s="10" t="s">
        <v>831</v>
      </c>
      <c r="C90" s="3" t="s">
        <v>832</v>
      </c>
      <c r="D90" s="7" t="str">
        <f t="shared" si="0"/>
        <v>wa.me/62081221449532</v>
      </c>
      <c r="K90" s="8" t="s">
        <v>833</v>
      </c>
      <c r="L90" s="9">
        <v>5</v>
      </c>
    </row>
    <row r="91" spans="1:12">
      <c r="A91" s="1" t="s">
        <v>591</v>
      </c>
      <c r="B91" s="10" t="s">
        <v>834</v>
      </c>
      <c r="C91" s="3" t="s">
        <v>835</v>
      </c>
      <c r="D91" s="7" t="str">
        <f t="shared" si="0"/>
        <v>wa.me/62081330119399</v>
      </c>
      <c r="K91" s="8" t="s">
        <v>836</v>
      </c>
      <c r="L91" s="9">
        <v>13</v>
      </c>
    </row>
    <row r="92" spans="1:12">
      <c r="B92" s="10" t="s">
        <v>837</v>
      </c>
      <c r="C92" s="3" t="s">
        <v>838</v>
      </c>
      <c r="D92" s="7" t="str">
        <f t="shared" si="0"/>
        <v>wa.me/62082132130884</v>
      </c>
      <c r="K92" s="8" t="s">
        <v>839</v>
      </c>
      <c r="L92" s="9">
        <v>11</v>
      </c>
    </row>
    <row r="93" spans="1:12">
      <c r="C93" s="3"/>
      <c r="K93" s="4"/>
      <c r="L93" s="4"/>
    </row>
    <row r="94" spans="1:12">
      <c r="C94" s="3"/>
      <c r="K94" s="4"/>
      <c r="L94" s="4"/>
    </row>
    <row r="95" spans="1:12">
      <c r="C95" s="3"/>
      <c r="K95" s="4"/>
      <c r="L95" s="4"/>
    </row>
    <row r="96" spans="1:12">
      <c r="C96" s="3"/>
      <c r="K96" s="4"/>
      <c r="L96" s="4"/>
    </row>
    <row r="97" spans="3:12">
      <c r="C97" s="3"/>
      <c r="K97" s="4"/>
      <c r="L97" s="4"/>
    </row>
    <row r="98" spans="3:12">
      <c r="C98" s="3"/>
      <c r="K98" s="4"/>
      <c r="L98" s="4"/>
    </row>
    <row r="99" spans="3:12">
      <c r="C99" s="3"/>
      <c r="K99" s="4"/>
      <c r="L99" s="4"/>
    </row>
    <row r="100" spans="3:12">
      <c r="C100" s="3"/>
      <c r="K100" s="4"/>
      <c r="L100" s="4"/>
    </row>
    <row r="101" spans="3:12">
      <c r="C101" s="3"/>
      <c r="K101" s="4"/>
      <c r="L101" s="4"/>
    </row>
    <row r="102" spans="3:12">
      <c r="C102" s="3"/>
      <c r="K102" s="4"/>
      <c r="L102" s="4"/>
    </row>
    <row r="103" spans="3:12">
      <c r="C103" s="3"/>
      <c r="K103" s="4"/>
      <c r="L103" s="4"/>
    </row>
    <row r="104" spans="3:12">
      <c r="C104" s="3"/>
      <c r="K104" s="4"/>
      <c r="L104" s="4"/>
    </row>
    <row r="105" spans="3:12">
      <c r="C105" s="3"/>
      <c r="K105" s="4"/>
      <c r="L105" s="4"/>
    </row>
    <row r="106" spans="3:12">
      <c r="C106" s="3"/>
      <c r="K106" s="4"/>
      <c r="L106" s="4"/>
    </row>
    <row r="107" spans="3:12">
      <c r="C107" s="3"/>
      <c r="K107" s="4"/>
      <c r="L107" s="4"/>
    </row>
    <row r="108" spans="3:12">
      <c r="C108" s="3"/>
      <c r="K108" s="4"/>
      <c r="L108" s="4"/>
    </row>
    <row r="109" spans="3:12">
      <c r="C109" s="3"/>
      <c r="K109" s="4"/>
      <c r="L109" s="4"/>
    </row>
    <row r="110" spans="3:12">
      <c r="C110" s="3"/>
      <c r="K110" s="4"/>
      <c r="L110" s="4"/>
    </row>
    <row r="111" spans="3:12">
      <c r="C111" s="3"/>
      <c r="K111" s="4"/>
      <c r="L111" s="4"/>
    </row>
    <row r="112" spans="3:12">
      <c r="C112" s="3"/>
      <c r="K112" s="4"/>
      <c r="L112" s="4"/>
    </row>
    <row r="113" spans="3:12">
      <c r="C113" s="3"/>
      <c r="K113" s="4"/>
      <c r="L113" s="4"/>
    </row>
    <row r="114" spans="3:12">
      <c r="C114" s="3"/>
      <c r="K114" s="4"/>
      <c r="L114" s="4"/>
    </row>
    <row r="115" spans="3:12">
      <c r="C115" s="3"/>
      <c r="K115" s="4"/>
      <c r="L115" s="4"/>
    </row>
    <row r="116" spans="3:12">
      <c r="C116" s="3"/>
      <c r="K116" s="4"/>
      <c r="L116" s="4"/>
    </row>
    <row r="117" spans="3:12">
      <c r="C117" s="3"/>
      <c r="K117" s="4"/>
      <c r="L117" s="4"/>
    </row>
    <row r="118" spans="3:12">
      <c r="C118" s="3"/>
      <c r="K118" s="4"/>
      <c r="L118" s="4"/>
    </row>
    <row r="119" spans="3:12">
      <c r="C119" s="3"/>
      <c r="K119" s="4"/>
      <c r="L119" s="4"/>
    </row>
    <row r="120" spans="3:12">
      <c r="C120" s="3"/>
      <c r="K120" s="4"/>
      <c r="L120" s="4"/>
    </row>
    <row r="121" spans="3:12">
      <c r="C121" s="3"/>
      <c r="K121" s="4"/>
      <c r="L121" s="4"/>
    </row>
    <row r="122" spans="3:12">
      <c r="C122" s="3"/>
      <c r="K122" s="4"/>
      <c r="L122" s="4"/>
    </row>
    <row r="123" spans="3:12">
      <c r="C123" s="3"/>
      <c r="K123" s="4"/>
      <c r="L123" s="4"/>
    </row>
    <row r="124" spans="3:12">
      <c r="C124" s="3"/>
      <c r="K124" s="4"/>
      <c r="L124" s="4"/>
    </row>
    <row r="125" spans="3:12">
      <c r="C125" s="3"/>
      <c r="K125" s="4"/>
      <c r="L125" s="4"/>
    </row>
    <row r="126" spans="3:12">
      <c r="C126" s="3"/>
      <c r="K126" s="4"/>
      <c r="L126" s="4"/>
    </row>
    <row r="127" spans="3:12">
      <c r="C127" s="3"/>
      <c r="K127" s="4"/>
      <c r="L127" s="4"/>
    </row>
    <row r="128" spans="3:12">
      <c r="C128" s="3"/>
      <c r="K128" s="4"/>
      <c r="L128" s="4"/>
    </row>
    <row r="129" spans="3:12">
      <c r="C129" s="3"/>
      <c r="K129" s="4"/>
      <c r="L129" s="4"/>
    </row>
    <row r="130" spans="3:12">
      <c r="C130" s="3"/>
      <c r="K130" s="4"/>
      <c r="L130" s="4"/>
    </row>
    <row r="131" spans="3:12">
      <c r="C131" s="3"/>
      <c r="K131" s="4"/>
      <c r="L131" s="4"/>
    </row>
    <row r="132" spans="3:12">
      <c r="C132" s="3"/>
      <c r="K132" s="4"/>
      <c r="L132" s="4"/>
    </row>
    <row r="133" spans="3:12">
      <c r="C133" s="3"/>
      <c r="K133" s="4"/>
      <c r="L133" s="4"/>
    </row>
    <row r="134" spans="3:12">
      <c r="C134" s="3"/>
      <c r="K134" s="4"/>
      <c r="L134" s="4"/>
    </row>
    <row r="135" spans="3:12">
      <c r="C135" s="3"/>
      <c r="K135" s="4"/>
      <c r="L135" s="4"/>
    </row>
    <row r="136" spans="3:12">
      <c r="C136" s="3"/>
      <c r="K136" s="4"/>
      <c r="L136" s="4"/>
    </row>
    <row r="137" spans="3:12">
      <c r="C137" s="3"/>
      <c r="K137" s="4"/>
      <c r="L137" s="4"/>
    </row>
    <row r="138" spans="3:12">
      <c r="C138" s="3"/>
      <c r="K138" s="4"/>
      <c r="L138" s="4"/>
    </row>
    <row r="139" spans="3:12">
      <c r="C139" s="3"/>
      <c r="K139" s="4"/>
      <c r="L139" s="4"/>
    </row>
    <row r="140" spans="3:12">
      <c r="C140" s="3"/>
      <c r="K140" s="4"/>
      <c r="L140" s="4"/>
    </row>
    <row r="141" spans="3:12">
      <c r="C141" s="3"/>
      <c r="K141" s="4"/>
      <c r="L141" s="4"/>
    </row>
    <row r="142" spans="3:12">
      <c r="C142" s="3"/>
      <c r="K142" s="4"/>
      <c r="L142" s="4"/>
    </row>
    <row r="143" spans="3:12">
      <c r="C143" s="3"/>
      <c r="K143" s="4"/>
      <c r="L143" s="4"/>
    </row>
    <row r="144" spans="3:12">
      <c r="C144" s="3"/>
      <c r="K144" s="4"/>
      <c r="L144" s="4"/>
    </row>
    <row r="145" spans="3:12">
      <c r="C145" s="3"/>
      <c r="K145" s="4"/>
      <c r="L145" s="4"/>
    </row>
    <row r="146" spans="3:12">
      <c r="C146" s="3"/>
      <c r="K146" s="4"/>
      <c r="L146" s="4"/>
    </row>
    <row r="147" spans="3:12">
      <c r="C147" s="3"/>
      <c r="K147" s="4"/>
      <c r="L147" s="4"/>
    </row>
    <row r="148" spans="3:12">
      <c r="C148" s="3"/>
      <c r="K148" s="4"/>
      <c r="L148" s="4"/>
    </row>
    <row r="149" spans="3:12">
      <c r="C149" s="3"/>
      <c r="K149" s="4"/>
      <c r="L149" s="4"/>
    </row>
    <row r="150" spans="3:12">
      <c r="C150" s="3"/>
      <c r="K150" s="4"/>
      <c r="L150" s="4"/>
    </row>
    <row r="151" spans="3:12">
      <c r="C151" s="3"/>
      <c r="K151" s="4"/>
      <c r="L151" s="4"/>
    </row>
    <row r="152" spans="3:12">
      <c r="C152" s="3"/>
      <c r="K152" s="4"/>
      <c r="L152" s="4"/>
    </row>
    <row r="153" spans="3:12">
      <c r="C153" s="3"/>
      <c r="K153" s="4"/>
      <c r="L153" s="4"/>
    </row>
    <row r="154" spans="3:12">
      <c r="C154" s="3"/>
      <c r="K154" s="4"/>
      <c r="L154" s="4"/>
    </row>
    <row r="155" spans="3:12">
      <c r="C155" s="3"/>
      <c r="K155" s="4"/>
      <c r="L155" s="4"/>
    </row>
    <row r="156" spans="3:12">
      <c r="C156" s="3"/>
      <c r="K156" s="4"/>
      <c r="L156" s="4"/>
    </row>
    <row r="157" spans="3:12">
      <c r="C157" s="3"/>
      <c r="K157" s="4"/>
      <c r="L157" s="4"/>
    </row>
    <row r="158" spans="3:12">
      <c r="C158" s="3"/>
      <c r="K158" s="4"/>
      <c r="L158" s="4"/>
    </row>
    <row r="159" spans="3:12">
      <c r="C159" s="3"/>
      <c r="K159" s="4"/>
      <c r="L159" s="4"/>
    </row>
    <row r="160" spans="3:12">
      <c r="C160" s="3"/>
      <c r="K160" s="4"/>
      <c r="L160" s="4"/>
    </row>
    <row r="161" spans="3:12">
      <c r="C161" s="3"/>
      <c r="K161" s="4"/>
      <c r="L161" s="4"/>
    </row>
    <row r="162" spans="3:12">
      <c r="C162" s="3"/>
      <c r="K162" s="4"/>
      <c r="L162" s="4"/>
    </row>
    <row r="163" spans="3:12">
      <c r="C163" s="3"/>
      <c r="K163" s="4"/>
      <c r="L163" s="4"/>
    </row>
    <row r="164" spans="3:12">
      <c r="C164" s="3"/>
      <c r="K164" s="4"/>
      <c r="L164" s="4"/>
    </row>
    <row r="165" spans="3:12">
      <c r="C165" s="3"/>
      <c r="K165" s="4"/>
      <c r="L165" s="4"/>
    </row>
    <row r="166" spans="3:12">
      <c r="C166" s="3"/>
      <c r="K166" s="4"/>
      <c r="L166" s="4"/>
    </row>
    <row r="167" spans="3:12">
      <c r="C167" s="3"/>
      <c r="K167" s="4"/>
      <c r="L167" s="4"/>
    </row>
    <row r="168" spans="3:12">
      <c r="C168" s="3"/>
      <c r="K168" s="4"/>
      <c r="L168" s="4"/>
    </row>
    <row r="169" spans="3:12">
      <c r="C169" s="3"/>
      <c r="K169" s="4"/>
      <c r="L169" s="4"/>
    </row>
    <row r="170" spans="3:12">
      <c r="C170" s="3"/>
      <c r="K170" s="4"/>
      <c r="L170" s="4"/>
    </row>
    <row r="171" spans="3:12">
      <c r="C171" s="3"/>
      <c r="K171" s="4"/>
      <c r="L171" s="4"/>
    </row>
    <row r="172" spans="3:12">
      <c r="C172" s="3"/>
      <c r="K172" s="4"/>
      <c r="L172" s="4"/>
    </row>
    <row r="173" spans="3:12">
      <c r="C173" s="3"/>
      <c r="K173" s="4"/>
      <c r="L173" s="4"/>
    </row>
    <row r="174" spans="3:12">
      <c r="C174" s="3"/>
      <c r="K174" s="4"/>
      <c r="L174" s="4"/>
    </row>
    <row r="175" spans="3:12">
      <c r="C175" s="3"/>
      <c r="K175" s="4"/>
      <c r="L175" s="4"/>
    </row>
    <row r="176" spans="3:12">
      <c r="C176" s="3"/>
      <c r="K176" s="4"/>
      <c r="L176" s="4"/>
    </row>
    <row r="177" spans="3:12">
      <c r="C177" s="3"/>
      <c r="K177" s="4"/>
      <c r="L177" s="4"/>
    </row>
    <row r="178" spans="3:12">
      <c r="C178" s="3"/>
      <c r="K178" s="4"/>
      <c r="L178" s="4"/>
    </row>
    <row r="179" spans="3:12">
      <c r="C179" s="3"/>
      <c r="K179" s="4"/>
      <c r="L179" s="4"/>
    </row>
    <row r="180" spans="3:12">
      <c r="C180" s="3"/>
      <c r="K180" s="4"/>
      <c r="L180" s="4"/>
    </row>
    <row r="181" spans="3:12">
      <c r="C181" s="3"/>
      <c r="K181" s="4"/>
      <c r="L181" s="4"/>
    </row>
    <row r="182" spans="3:12">
      <c r="C182" s="3"/>
      <c r="K182" s="4"/>
      <c r="L182" s="4"/>
    </row>
    <row r="183" spans="3:12">
      <c r="C183" s="3"/>
      <c r="K183" s="4"/>
      <c r="L183" s="4"/>
    </row>
    <row r="184" spans="3:12">
      <c r="C184" s="3"/>
      <c r="K184" s="4"/>
      <c r="L184" s="4"/>
    </row>
    <row r="185" spans="3:12">
      <c r="C185" s="3"/>
      <c r="K185" s="4"/>
      <c r="L185" s="4"/>
    </row>
    <row r="186" spans="3:12">
      <c r="C186" s="3"/>
      <c r="K186" s="4"/>
      <c r="L186" s="4"/>
    </row>
    <row r="187" spans="3:12">
      <c r="C187" s="3"/>
      <c r="K187" s="4"/>
      <c r="L187" s="4"/>
    </row>
    <row r="188" spans="3:12">
      <c r="C188" s="3"/>
      <c r="K188" s="4"/>
      <c r="L188" s="4"/>
    </row>
    <row r="189" spans="3:12">
      <c r="C189" s="3"/>
      <c r="K189" s="4"/>
      <c r="L189" s="4"/>
    </row>
    <row r="190" spans="3:12">
      <c r="C190" s="3"/>
      <c r="K190" s="4"/>
      <c r="L190" s="4"/>
    </row>
    <row r="191" spans="3:12">
      <c r="C191" s="3"/>
      <c r="K191" s="4"/>
      <c r="L191" s="4"/>
    </row>
    <row r="192" spans="3:12">
      <c r="C192" s="3"/>
      <c r="K192" s="4"/>
      <c r="L192" s="4"/>
    </row>
    <row r="193" spans="3:12">
      <c r="C193" s="3"/>
      <c r="K193" s="4"/>
      <c r="L193" s="4"/>
    </row>
    <row r="194" spans="3:12">
      <c r="C194" s="3"/>
      <c r="K194" s="4"/>
      <c r="L194" s="4"/>
    </row>
    <row r="195" spans="3:12">
      <c r="C195" s="3"/>
      <c r="K195" s="4"/>
      <c r="L195" s="4"/>
    </row>
    <row r="196" spans="3:12">
      <c r="C196" s="3"/>
      <c r="K196" s="4"/>
      <c r="L196" s="4"/>
    </row>
    <row r="197" spans="3:12">
      <c r="C197" s="3"/>
      <c r="K197" s="4"/>
      <c r="L197" s="4"/>
    </row>
    <row r="198" spans="3:12">
      <c r="C198" s="3"/>
      <c r="K198" s="4"/>
      <c r="L198" s="4"/>
    </row>
    <row r="199" spans="3:12">
      <c r="C199" s="3"/>
      <c r="K199" s="4"/>
      <c r="L199" s="4"/>
    </row>
    <row r="200" spans="3:12">
      <c r="C200" s="3"/>
      <c r="K200" s="4"/>
      <c r="L200" s="4"/>
    </row>
    <row r="201" spans="3:12">
      <c r="C201" s="3"/>
      <c r="K201" s="4"/>
      <c r="L201" s="4"/>
    </row>
    <row r="202" spans="3:12">
      <c r="C202" s="3"/>
      <c r="K202" s="4"/>
      <c r="L202" s="4"/>
    </row>
    <row r="203" spans="3:12">
      <c r="C203" s="3"/>
      <c r="K203" s="4"/>
      <c r="L203" s="4"/>
    </row>
    <row r="204" spans="3:12">
      <c r="C204" s="3"/>
      <c r="K204" s="4"/>
      <c r="L204" s="4"/>
    </row>
    <row r="205" spans="3:12">
      <c r="C205" s="3"/>
      <c r="K205" s="4"/>
      <c r="L205" s="4"/>
    </row>
    <row r="206" spans="3:12">
      <c r="C206" s="3"/>
      <c r="K206" s="4"/>
      <c r="L206" s="4"/>
    </row>
    <row r="207" spans="3:12">
      <c r="C207" s="3"/>
      <c r="K207" s="4"/>
      <c r="L207" s="4"/>
    </row>
    <row r="208" spans="3:12">
      <c r="C208" s="3"/>
      <c r="K208" s="4"/>
      <c r="L208" s="4"/>
    </row>
    <row r="209" spans="3:12">
      <c r="C209" s="3"/>
      <c r="K209" s="4"/>
      <c r="L209" s="4"/>
    </row>
    <row r="210" spans="3:12">
      <c r="C210" s="3"/>
      <c r="K210" s="4"/>
      <c r="L210" s="4"/>
    </row>
    <row r="211" spans="3:12">
      <c r="C211" s="3"/>
      <c r="K211" s="4"/>
      <c r="L211" s="4"/>
    </row>
    <row r="212" spans="3:12">
      <c r="C212" s="3"/>
      <c r="K212" s="4"/>
      <c r="L212" s="4"/>
    </row>
    <row r="213" spans="3:12">
      <c r="C213" s="3"/>
      <c r="K213" s="4"/>
      <c r="L213" s="4"/>
    </row>
    <row r="214" spans="3:12">
      <c r="C214" s="3"/>
      <c r="K214" s="4"/>
      <c r="L214" s="4"/>
    </row>
    <row r="215" spans="3:12">
      <c r="C215" s="3"/>
      <c r="K215" s="4"/>
      <c r="L215" s="4"/>
    </row>
    <row r="216" spans="3:12">
      <c r="C216" s="3"/>
      <c r="K216" s="4"/>
      <c r="L216" s="4"/>
    </row>
    <row r="217" spans="3:12">
      <c r="C217" s="3"/>
      <c r="K217" s="4"/>
      <c r="L217" s="4"/>
    </row>
    <row r="218" spans="3:12">
      <c r="C218" s="3"/>
      <c r="K218" s="4"/>
      <c r="L218" s="4"/>
    </row>
    <row r="219" spans="3:12">
      <c r="C219" s="3"/>
      <c r="K219" s="4"/>
      <c r="L219" s="4"/>
    </row>
    <row r="220" spans="3:12">
      <c r="C220" s="3"/>
      <c r="K220" s="4"/>
      <c r="L220" s="4"/>
    </row>
    <row r="221" spans="3:12">
      <c r="C221" s="3"/>
      <c r="K221" s="4"/>
      <c r="L221" s="4"/>
    </row>
    <row r="222" spans="3:12">
      <c r="C222" s="3"/>
      <c r="K222" s="4"/>
      <c r="L222" s="4"/>
    </row>
    <row r="223" spans="3:12">
      <c r="C223" s="3"/>
      <c r="K223" s="4"/>
      <c r="L223" s="4"/>
    </row>
    <row r="224" spans="3:12">
      <c r="C224" s="3"/>
      <c r="K224" s="4"/>
      <c r="L224" s="4"/>
    </row>
    <row r="225" spans="3:12">
      <c r="C225" s="3"/>
      <c r="K225" s="4"/>
      <c r="L225" s="4"/>
    </row>
    <row r="226" spans="3:12">
      <c r="C226" s="3"/>
      <c r="K226" s="4"/>
      <c r="L226" s="4"/>
    </row>
    <row r="227" spans="3:12">
      <c r="C227" s="3"/>
      <c r="K227" s="4"/>
      <c r="L227" s="4"/>
    </row>
    <row r="228" spans="3:12">
      <c r="C228" s="3"/>
      <c r="K228" s="4"/>
      <c r="L228" s="4"/>
    </row>
    <row r="229" spans="3:12">
      <c r="C229" s="3"/>
      <c r="K229" s="4"/>
      <c r="L229" s="4"/>
    </row>
    <row r="230" spans="3:12">
      <c r="C230" s="3"/>
      <c r="K230" s="4"/>
      <c r="L230" s="4"/>
    </row>
    <row r="231" spans="3:12">
      <c r="C231" s="3"/>
      <c r="K231" s="4"/>
      <c r="L231" s="4"/>
    </row>
    <row r="232" spans="3:12">
      <c r="C232" s="3"/>
      <c r="K232" s="4"/>
      <c r="L232" s="4"/>
    </row>
    <row r="233" spans="3:12">
      <c r="C233" s="3"/>
      <c r="K233" s="4"/>
      <c r="L233" s="4"/>
    </row>
    <row r="234" spans="3:12">
      <c r="C234" s="3"/>
      <c r="K234" s="4"/>
      <c r="L234" s="4"/>
    </row>
    <row r="235" spans="3:12">
      <c r="C235" s="3"/>
      <c r="K235" s="4"/>
      <c r="L235" s="4"/>
    </row>
    <row r="236" spans="3:12">
      <c r="C236" s="3"/>
      <c r="K236" s="4"/>
      <c r="L236" s="4"/>
    </row>
    <row r="237" spans="3:12">
      <c r="C237" s="3"/>
      <c r="K237" s="4"/>
      <c r="L237" s="4"/>
    </row>
    <row r="238" spans="3:12">
      <c r="C238" s="3"/>
      <c r="K238" s="4"/>
      <c r="L238" s="4"/>
    </row>
    <row r="239" spans="3:12">
      <c r="C239" s="3"/>
      <c r="K239" s="4"/>
      <c r="L239" s="4"/>
    </row>
    <row r="240" spans="3:12">
      <c r="C240" s="3"/>
      <c r="K240" s="4"/>
      <c r="L240" s="4"/>
    </row>
    <row r="241" spans="3:12">
      <c r="C241" s="3"/>
      <c r="K241" s="4"/>
      <c r="L241" s="4"/>
    </row>
    <row r="242" spans="3:12">
      <c r="C242" s="3"/>
      <c r="K242" s="4"/>
      <c r="L242" s="4"/>
    </row>
    <row r="243" spans="3:12">
      <c r="C243" s="3"/>
      <c r="K243" s="4"/>
      <c r="L243" s="4"/>
    </row>
    <row r="244" spans="3:12">
      <c r="C244" s="3"/>
      <c r="K244" s="4"/>
      <c r="L244" s="4"/>
    </row>
    <row r="245" spans="3:12">
      <c r="C245" s="3"/>
      <c r="K245" s="4"/>
      <c r="L245" s="4"/>
    </row>
    <row r="246" spans="3:12">
      <c r="C246" s="3"/>
      <c r="K246" s="4"/>
      <c r="L246" s="4"/>
    </row>
    <row r="247" spans="3:12">
      <c r="C247" s="3"/>
      <c r="K247" s="4"/>
      <c r="L247" s="4"/>
    </row>
    <row r="248" spans="3:12">
      <c r="C248" s="3"/>
      <c r="K248" s="4"/>
      <c r="L248" s="4"/>
    </row>
    <row r="249" spans="3:12">
      <c r="C249" s="3"/>
      <c r="K249" s="4"/>
      <c r="L249" s="4"/>
    </row>
    <row r="250" spans="3:12">
      <c r="C250" s="3"/>
      <c r="K250" s="4"/>
      <c r="L250" s="4"/>
    </row>
    <row r="251" spans="3:12">
      <c r="C251" s="3"/>
      <c r="K251" s="4"/>
      <c r="L251" s="4"/>
    </row>
    <row r="252" spans="3:12">
      <c r="C252" s="3"/>
      <c r="K252" s="4"/>
      <c r="L252" s="4"/>
    </row>
    <row r="253" spans="3:12">
      <c r="C253" s="3"/>
      <c r="K253" s="4"/>
      <c r="L253" s="4"/>
    </row>
    <row r="254" spans="3:12">
      <c r="C254" s="3"/>
      <c r="K254" s="4"/>
      <c r="L254" s="4"/>
    </row>
    <row r="255" spans="3:12">
      <c r="C255" s="3"/>
      <c r="K255" s="4"/>
      <c r="L255" s="4"/>
    </row>
    <row r="256" spans="3:12">
      <c r="C256" s="3"/>
      <c r="K256" s="4"/>
      <c r="L256" s="4"/>
    </row>
    <row r="257" spans="3:12">
      <c r="C257" s="3"/>
      <c r="K257" s="4"/>
      <c r="L257" s="4"/>
    </row>
    <row r="258" spans="3:12">
      <c r="C258" s="3"/>
      <c r="K258" s="4"/>
      <c r="L258" s="4"/>
    </row>
    <row r="259" spans="3:12">
      <c r="C259" s="3"/>
      <c r="K259" s="4"/>
      <c r="L259" s="4"/>
    </row>
    <row r="260" spans="3:12">
      <c r="C260" s="3"/>
      <c r="K260" s="4"/>
      <c r="L260" s="4"/>
    </row>
    <row r="261" spans="3:12">
      <c r="C261" s="3"/>
      <c r="K261" s="4"/>
      <c r="L261" s="4"/>
    </row>
    <row r="262" spans="3:12">
      <c r="C262" s="3"/>
      <c r="K262" s="4"/>
      <c r="L262" s="4"/>
    </row>
    <row r="263" spans="3:12">
      <c r="C263" s="3"/>
      <c r="K263" s="4"/>
      <c r="L263" s="4"/>
    </row>
    <row r="264" spans="3:12">
      <c r="C264" s="3"/>
      <c r="K264" s="4"/>
      <c r="L264" s="4"/>
    </row>
    <row r="265" spans="3:12">
      <c r="C265" s="3"/>
      <c r="K265" s="4"/>
      <c r="L265" s="4"/>
    </row>
    <row r="266" spans="3:12">
      <c r="C266" s="3"/>
      <c r="K266" s="4"/>
      <c r="L266" s="4"/>
    </row>
    <row r="267" spans="3:12">
      <c r="C267" s="3"/>
      <c r="K267" s="4"/>
      <c r="L267" s="4"/>
    </row>
    <row r="268" spans="3:12">
      <c r="C268" s="3"/>
      <c r="K268" s="4"/>
      <c r="L268" s="4"/>
    </row>
    <row r="269" spans="3:12">
      <c r="C269" s="3"/>
      <c r="K269" s="4"/>
      <c r="L269" s="4"/>
    </row>
    <row r="270" spans="3:12">
      <c r="C270" s="3"/>
      <c r="K270" s="4"/>
      <c r="L270" s="4"/>
    </row>
    <row r="271" spans="3:12">
      <c r="C271" s="3"/>
      <c r="K271" s="4"/>
      <c r="L271" s="4"/>
    </row>
    <row r="272" spans="3:12">
      <c r="C272" s="3"/>
      <c r="K272" s="4"/>
      <c r="L272" s="4"/>
    </row>
    <row r="273" spans="3:12">
      <c r="C273" s="3"/>
      <c r="K273" s="4"/>
      <c r="L273" s="4"/>
    </row>
    <row r="274" spans="3:12">
      <c r="C274" s="3"/>
      <c r="K274" s="4"/>
      <c r="L274" s="4"/>
    </row>
    <row r="275" spans="3:12">
      <c r="C275" s="3"/>
      <c r="K275" s="4"/>
      <c r="L275" s="4"/>
    </row>
    <row r="276" spans="3:12">
      <c r="C276" s="3"/>
      <c r="K276" s="4"/>
      <c r="L276" s="4"/>
    </row>
    <row r="277" spans="3:12">
      <c r="C277" s="3"/>
      <c r="K277" s="4"/>
      <c r="L277" s="4"/>
    </row>
    <row r="278" spans="3:12">
      <c r="C278" s="3"/>
      <c r="K278" s="4"/>
      <c r="L278" s="4"/>
    </row>
    <row r="279" spans="3:12">
      <c r="C279" s="3"/>
      <c r="K279" s="4"/>
      <c r="L279" s="4"/>
    </row>
    <row r="280" spans="3:12">
      <c r="C280" s="3"/>
      <c r="K280" s="4"/>
      <c r="L280" s="4"/>
    </row>
    <row r="281" spans="3:12">
      <c r="C281" s="3"/>
      <c r="K281" s="4"/>
      <c r="L281" s="4"/>
    </row>
    <row r="282" spans="3:12">
      <c r="C282" s="3"/>
      <c r="K282" s="4"/>
      <c r="L282" s="4"/>
    </row>
    <row r="283" spans="3:12">
      <c r="C283" s="3"/>
      <c r="K283" s="4"/>
      <c r="L283" s="4"/>
    </row>
    <row r="284" spans="3:12">
      <c r="C284" s="3"/>
      <c r="K284" s="4"/>
      <c r="L284" s="4"/>
    </row>
    <row r="285" spans="3:12">
      <c r="C285" s="3"/>
      <c r="K285" s="4"/>
      <c r="L285" s="4"/>
    </row>
    <row r="286" spans="3:12">
      <c r="C286" s="3"/>
      <c r="K286" s="4"/>
      <c r="L286" s="4"/>
    </row>
    <row r="287" spans="3:12">
      <c r="C287" s="3"/>
      <c r="K287" s="4"/>
      <c r="L287" s="4"/>
    </row>
    <row r="288" spans="3:12">
      <c r="C288" s="3"/>
      <c r="K288" s="4"/>
      <c r="L288" s="4"/>
    </row>
    <row r="289" spans="3:12">
      <c r="C289" s="3"/>
      <c r="K289" s="4"/>
      <c r="L289" s="4"/>
    </row>
    <row r="290" spans="3:12">
      <c r="C290" s="3"/>
      <c r="K290" s="4"/>
      <c r="L290" s="4"/>
    </row>
    <row r="291" spans="3:12">
      <c r="C291" s="3"/>
      <c r="K291" s="4"/>
      <c r="L291" s="4"/>
    </row>
    <row r="292" spans="3:12">
      <c r="C292" s="3"/>
      <c r="K292" s="4"/>
      <c r="L292" s="4"/>
    </row>
    <row r="293" spans="3:12">
      <c r="C293" s="3"/>
      <c r="K293" s="4"/>
      <c r="L293" s="4"/>
    </row>
    <row r="294" spans="3:12">
      <c r="C294" s="3"/>
      <c r="K294" s="4"/>
      <c r="L294" s="4"/>
    </row>
    <row r="295" spans="3:12">
      <c r="C295" s="3"/>
      <c r="K295" s="4"/>
      <c r="L295" s="4"/>
    </row>
    <row r="296" spans="3:12">
      <c r="C296" s="3"/>
      <c r="K296" s="4"/>
      <c r="L296" s="4"/>
    </row>
    <row r="297" spans="3:12">
      <c r="C297" s="3"/>
      <c r="K297" s="4"/>
      <c r="L297" s="4"/>
    </row>
    <row r="298" spans="3:12">
      <c r="C298" s="3"/>
      <c r="K298" s="4"/>
      <c r="L298" s="4"/>
    </row>
    <row r="299" spans="3:12">
      <c r="C299" s="3"/>
      <c r="K299" s="4"/>
      <c r="L299" s="4"/>
    </row>
    <row r="300" spans="3:12">
      <c r="C300" s="3"/>
      <c r="K300" s="4"/>
      <c r="L300" s="4"/>
    </row>
    <row r="301" spans="3:12">
      <c r="C301" s="3"/>
      <c r="K301" s="4"/>
      <c r="L301" s="4"/>
    </row>
    <row r="302" spans="3:12">
      <c r="C302" s="3"/>
      <c r="K302" s="4"/>
      <c r="L302" s="4"/>
    </row>
    <row r="303" spans="3:12">
      <c r="C303" s="3"/>
      <c r="K303" s="4"/>
      <c r="L303" s="4"/>
    </row>
    <row r="304" spans="3:12">
      <c r="C304" s="3"/>
      <c r="K304" s="4"/>
      <c r="L304" s="4"/>
    </row>
    <row r="305" spans="3:12">
      <c r="C305" s="3"/>
      <c r="K305" s="4"/>
      <c r="L305" s="4"/>
    </row>
    <row r="306" spans="3:12">
      <c r="C306" s="3"/>
      <c r="K306" s="4"/>
      <c r="L306" s="4"/>
    </row>
    <row r="307" spans="3:12">
      <c r="C307" s="3"/>
      <c r="K307" s="4"/>
      <c r="L307" s="4"/>
    </row>
    <row r="308" spans="3:12">
      <c r="C308" s="3"/>
      <c r="K308" s="4"/>
      <c r="L308" s="4"/>
    </row>
    <row r="309" spans="3:12">
      <c r="C309" s="3"/>
      <c r="K309" s="4"/>
      <c r="L309" s="4"/>
    </row>
    <row r="310" spans="3:12">
      <c r="C310" s="3"/>
      <c r="K310" s="4"/>
      <c r="L310" s="4"/>
    </row>
    <row r="311" spans="3:12">
      <c r="C311" s="3"/>
      <c r="K311" s="4"/>
      <c r="L311" s="4"/>
    </row>
    <row r="312" spans="3:12">
      <c r="C312" s="3"/>
      <c r="K312" s="4"/>
      <c r="L312" s="4"/>
    </row>
    <row r="313" spans="3:12">
      <c r="C313" s="3"/>
      <c r="K313" s="4"/>
      <c r="L313" s="4"/>
    </row>
    <row r="314" spans="3:12">
      <c r="C314" s="3"/>
      <c r="K314" s="4"/>
      <c r="L314" s="4"/>
    </row>
    <row r="315" spans="3:12">
      <c r="C315" s="3"/>
      <c r="K315" s="4"/>
      <c r="L315" s="4"/>
    </row>
    <row r="316" spans="3:12">
      <c r="C316" s="3"/>
      <c r="K316" s="4"/>
      <c r="L316" s="4"/>
    </row>
    <row r="317" spans="3:12">
      <c r="C317" s="3"/>
      <c r="K317" s="4"/>
      <c r="L317" s="4"/>
    </row>
    <row r="318" spans="3:12">
      <c r="C318" s="3"/>
      <c r="K318" s="4"/>
      <c r="L318" s="4"/>
    </row>
    <row r="319" spans="3:12">
      <c r="C319" s="3"/>
      <c r="K319" s="4"/>
      <c r="L319" s="4"/>
    </row>
    <row r="320" spans="3:12">
      <c r="C320" s="3"/>
      <c r="K320" s="4"/>
      <c r="L320" s="4"/>
    </row>
    <row r="321" spans="3:12">
      <c r="C321" s="3"/>
      <c r="K321" s="4"/>
      <c r="L321" s="4"/>
    </row>
    <row r="322" spans="3:12">
      <c r="C322" s="3"/>
      <c r="K322" s="4"/>
      <c r="L322" s="4"/>
    </row>
    <row r="323" spans="3:12">
      <c r="C323" s="3"/>
      <c r="K323" s="4"/>
      <c r="L323" s="4"/>
    </row>
    <row r="324" spans="3:12">
      <c r="C324" s="3"/>
      <c r="K324" s="4"/>
      <c r="L324" s="4"/>
    </row>
    <row r="325" spans="3:12">
      <c r="C325" s="3"/>
      <c r="K325" s="4"/>
      <c r="L325" s="4"/>
    </row>
    <row r="326" spans="3:12">
      <c r="C326" s="3"/>
      <c r="K326" s="4"/>
      <c r="L326" s="4"/>
    </row>
    <row r="327" spans="3:12">
      <c r="C327" s="3"/>
      <c r="K327" s="4"/>
      <c r="L327" s="4"/>
    </row>
    <row r="328" spans="3:12">
      <c r="C328" s="3"/>
      <c r="K328" s="4"/>
      <c r="L328" s="4"/>
    </row>
    <row r="329" spans="3:12">
      <c r="C329" s="3"/>
      <c r="K329" s="4"/>
      <c r="L329" s="4"/>
    </row>
    <row r="330" spans="3:12">
      <c r="C330" s="3"/>
      <c r="K330" s="4"/>
      <c r="L330" s="4"/>
    </row>
    <row r="331" spans="3:12">
      <c r="C331" s="3"/>
      <c r="K331" s="4"/>
      <c r="L331" s="4"/>
    </row>
    <row r="332" spans="3:12">
      <c r="C332" s="3"/>
      <c r="K332" s="4"/>
      <c r="L332" s="4"/>
    </row>
    <row r="333" spans="3:12">
      <c r="C333" s="3"/>
      <c r="K333" s="4"/>
      <c r="L333" s="4"/>
    </row>
    <row r="334" spans="3:12">
      <c r="C334" s="3"/>
      <c r="K334" s="4"/>
      <c r="L334" s="4"/>
    </row>
    <row r="335" spans="3:12">
      <c r="C335" s="3"/>
      <c r="K335" s="4"/>
      <c r="L335" s="4"/>
    </row>
    <row r="336" spans="3:12">
      <c r="C336" s="3"/>
      <c r="K336" s="4"/>
      <c r="L336" s="4"/>
    </row>
    <row r="337" spans="3:12">
      <c r="C337" s="3"/>
      <c r="K337" s="4"/>
      <c r="L337" s="4"/>
    </row>
    <row r="338" spans="3:12">
      <c r="C338" s="3"/>
      <c r="K338" s="4"/>
      <c r="L338" s="4"/>
    </row>
    <row r="339" spans="3:12">
      <c r="C339" s="3"/>
      <c r="K339" s="4"/>
      <c r="L339" s="4"/>
    </row>
    <row r="340" spans="3:12">
      <c r="C340" s="3"/>
      <c r="K340" s="4"/>
      <c r="L340" s="4"/>
    </row>
    <row r="341" spans="3:12">
      <c r="C341" s="3"/>
      <c r="K341" s="4"/>
      <c r="L341" s="4"/>
    </row>
    <row r="342" spans="3:12">
      <c r="C342" s="3"/>
      <c r="K342" s="4"/>
      <c r="L342" s="4"/>
    </row>
    <row r="343" spans="3:12">
      <c r="C343" s="3"/>
      <c r="K343" s="4"/>
      <c r="L343" s="4"/>
    </row>
    <row r="344" spans="3:12">
      <c r="C344" s="3"/>
      <c r="K344" s="4"/>
      <c r="L344" s="4"/>
    </row>
    <row r="345" spans="3:12">
      <c r="C345" s="3"/>
      <c r="K345" s="4"/>
      <c r="L345" s="4"/>
    </row>
    <row r="346" spans="3:12">
      <c r="C346" s="3"/>
      <c r="K346" s="4"/>
      <c r="L346" s="4"/>
    </row>
    <row r="347" spans="3:12">
      <c r="C347" s="3"/>
      <c r="K347" s="4"/>
      <c r="L347" s="4"/>
    </row>
    <row r="348" spans="3:12">
      <c r="C348" s="3"/>
      <c r="K348" s="4"/>
      <c r="L348" s="4"/>
    </row>
    <row r="349" spans="3:12">
      <c r="C349" s="3"/>
      <c r="K349" s="4"/>
      <c r="L349" s="4"/>
    </row>
    <row r="350" spans="3:12">
      <c r="C350" s="3"/>
      <c r="K350" s="4"/>
      <c r="L350" s="4"/>
    </row>
    <row r="351" spans="3:12">
      <c r="C351" s="3"/>
      <c r="K351" s="4"/>
      <c r="L351" s="4"/>
    </row>
    <row r="352" spans="3:12">
      <c r="C352" s="3"/>
      <c r="K352" s="4"/>
      <c r="L352" s="4"/>
    </row>
    <row r="353" spans="3:12">
      <c r="C353" s="3"/>
      <c r="K353" s="4"/>
      <c r="L353" s="4"/>
    </row>
    <row r="354" spans="3:12">
      <c r="C354" s="3"/>
      <c r="K354" s="4"/>
      <c r="L354" s="4"/>
    </row>
    <row r="355" spans="3:12">
      <c r="C355" s="3"/>
      <c r="K355" s="4"/>
      <c r="L355" s="4"/>
    </row>
    <row r="356" spans="3:12">
      <c r="C356" s="3"/>
      <c r="K356" s="4"/>
      <c r="L356" s="4"/>
    </row>
    <row r="357" spans="3:12">
      <c r="C357" s="3"/>
      <c r="K357" s="4"/>
      <c r="L357" s="4"/>
    </row>
    <row r="358" spans="3:12">
      <c r="C358" s="3"/>
      <c r="K358" s="4"/>
      <c r="L358" s="4"/>
    </row>
    <row r="359" spans="3:12">
      <c r="C359" s="3"/>
      <c r="K359" s="4"/>
      <c r="L359" s="4"/>
    </row>
    <row r="360" spans="3:12">
      <c r="C360" s="3"/>
      <c r="K360" s="4"/>
      <c r="L360" s="4"/>
    </row>
    <row r="361" spans="3:12">
      <c r="C361" s="3"/>
      <c r="K361" s="4"/>
      <c r="L361" s="4"/>
    </row>
    <row r="362" spans="3:12">
      <c r="C362" s="3"/>
      <c r="K362" s="4"/>
      <c r="L362" s="4"/>
    </row>
    <row r="363" spans="3:12">
      <c r="C363" s="3"/>
      <c r="K363" s="4"/>
      <c r="L363" s="4"/>
    </row>
    <row r="364" spans="3:12">
      <c r="C364" s="3"/>
      <c r="K364" s="4"/>
      <c r="L364" s="4"/>
    </row>
    <row r="365" spans="3:12">
      <c r="C365" s="3"/>
      <c r="K365" s="4"/>
      <c r="L365" s="4"/>
    </row>
    <row r="366" spans="3:12">
      <c r="C366" s="3"/>
      <c r="K366" s="4"/>
      <c r="L366" s="4"/>
    </row>
    <row r="367" spans="3:12">
      <c r="C367" s="3"/>
      <c r="K367" s="4"/>
      <c r="L367" s="4"/>
    </row>
    <row r="368" spans="3:12">
      <c r="C368" s="3"/>
      <c r="K368" s="4"/>
      <c r="L368" s="4"/>
    </row>
    <row r="369" spans="3:12">
      <c r="C369" s="3"/>
      <c r="K369" s="4"/>
      <c r="L369" s="4"/>
    </row>
    <row r="370" spans="3:12">
      <c r="C370" s="3"/>
      <c r="K370" s="4"/>
      <c r="L370" s="4"/>
    </row>
    <row r="371" spans="3:12">
      <c r="C371" s="3"/>
      <c r="K371" s="4"/>
      <c r="L371" s="4"/>
    </row>
    <row r="372" spans="3:12">
      <c r="C372" s="3"/>
      <c r="K372" s="4"/>
      <c r="L372" s="4"/>
    </row>
    <row r="373" spans="3:12">
      <c r="C373" s="3"/>
      <c r="K373" s="4"/>
      <c r="L373" s="4"/>
    </row>
    <row r="374" spans="3:12">
      <c r="C374" s="3"/>
      <c r="K374" s="4"/>
      <c r="L374" s="4"/>
    </row>
    <row r="375" spans="3:12">
      <c r="C375" s="3"/>
      <c r="K375" s="4"/>
      <c r="L375" s="4"/>
    </row>
    <row r="376" spans="3:12">
      <c r="C376" s="3"/>
      <c r="K376" s="4"/>
      <c r="L376" s="4"/>
    </row>
    <row r="377" spans="3:12">
      <c r="C377" s="3"/>
      <c r="K377" s="4"/>
      <c r="L377" s="4"/>
    </row>
    <row r="378" spans="3:12">
      <c r="C378" s="3"/>
      <c r="K378" s="4"/>
      <c r="L378" s="4"/>
    </row>
    <row r="379" spans="3:12">
      <c r="C379" s="3"/>
      <c r="K379" s="4"/>
      <c r="L379" s="4"/>
    </row>
    <row r="380" spans="3:12">
      <c r="C380" s="3"/>
      <c r="K380" s="4"/>
      <c r="L380" s="4"/>
    </row>
    <row r="381" spans="3:12">
      <c r="C381" s="3"/>
      <c r="K381" s="4"/>
      <c r="L381" s="4"/>
    </row>
    <row r="382" spans="3:12">
      <c r="C382" s="3"/>
      <c r="K382" s="4"/>
      <c r="L382" s="4"/>
    </row>
    <row r="383" spans="3:12">
      <c r="C383" s="3"/>
      <c r="K383" s="4"/>
      <c r="L383" s="4"/>
    </row>
    <row r="384" spans="3:12">
      <c r="C384" s="3"/>
      <c r="K384" s="4"/>
      <c r="L384" s="4"/>
    </row>
    <row r="385" spans="3:12">
      <c r="C385" s="3"/>
      <c r="K385" s="4"/>
      <c r="L385" s="4"/>
    </row>
    <row r="386" spans="3:12">
      <c r="C386" s="3"/>
      <c r="K386" s="4"/>
      <c r="L386" s="4"/>
    </row>
    <row r="387" spans="3:12">
      <c r="C387" s="3"/>
      <c r="K387" s="4"/>
      <c r="L387" s="4"/>
    </row>
    <row r="388" spans="3:12">
      <c r="C388" s="3"/>
      <c r="K388" s="4"/>
      <c r="L388" s="4"/>
    </row>
    <row r="389" spans="3:12">
      <c r="C389" s="3"/>
      <c r="K389" s="4"/>
      <c r="L389" s="4"/>
    </row>
    <row r="390" spans="3:12">
      <c r="C390" s="3"/>
      <c r="K390" s="4"/>
      <c r="L390" s="4"/>
    </row>
    <row r="391" spans="3:12">
      <c r="C391" s="3"/>
      <c r="K391" s="4"/>
      <c r="L391" s="4"/>
    </row>
    <row r="392" spans="3:12">
      <c r="C392" s="3"/>
      <c r="K392" s="4"/>
      <c r="L392" s="4"/>
    </row>
    <row r="393" spans="3:12">
      <c r="C393" s="3"/>
      <c r="K393" s="4"/>
      <c r="L393" s="4"/>
    </row>
    <row r="394" spans="3:12">
      <c r="C394" s="3"/>
      <c r="K394" s="4"/>
      <c r="L394" s="4"/>
    </row>
    <row r="395" spans="3:12">
      <c r="C395" s="3"/>
      <c r="K395" s="4"/>
      <c r="L395" s="4"/>
    </row>
    <row r="396" spans="3:12">
      <c r="C396" s="3"/>
      <c r="K396" s="4"/>
      <c r="L396" s="4"/>
    </row>
    <row r="397" spans="3:12">
      <c r="C397" s="3"/>
      <c r="K397" s="4"/>
      <c r="L397" s="4"/>
    </row>
    <row r="398" spans="3:12">
      <c r="C398" s="3"/>
      <c r="K398" s="4"/>
      <c r="L398" s="4"/>
    </row>
    <row r="399" spans="3:12">
      <c r="C399" s="3"/>
      <c r="K399" s="4"/>
      <c r="L399" s="4"/>
    </row>
    <row r="400" spans="3:12">
      <c r="C400" s="3"/>
      <c r="K400" s="4"/>
      <c r="L400" s="4"/>
    </row>
    <row r="401" spans="3:12">
      <c r="C401" s="3"/>
      <c r="K401" s="4"/>
      <c r="L401" s="4"/>
    </row>
    <row r="402" spans="3:12">
      <c r="C402" s="3"/>
      <c r="K402" s="4"/>
      <c r="L402" s="4"/>
    </row>
    <row r="403" spans="3:12">
      <c r="C403" s="3"/>
      <c r="K403" s="4"/>
      <c r="L403" s="4"/>
    </row>
    <row r="404" spans="3:12">
      <c r="C404" s="3"/>
      <c r="K404" s="4"/>
      <c r="L404" s="4"/>
    </row>
    <row r="405" spans="3:12">
      <c r="C405" s="3"/>
      <c r="K405" s="4"/>
      <c r="L405" s="4"/>
    </row>
    <row r="406" spans="3:12">
      <c r="C406" s="3"/>
      <c r="K406" s="4"/>
      <c r="L406" s="4"/>
    </row>
    <row r="407" spans="3:12">
      <c r="C407" s="3"/>
      <c r="K407" s="4"/>
      <c r="L407" s="4"/>
    </row>
    <row r="408" spans="3:12">
      <c r="C408" s="3"/>
      <c r="K408" s="4"/>
      <c r="L408" s="4"/>
    </row>
    <row r="409" spans="3:12">
      <c r="C409" s="3"/>
      <c r="K409" s="4"/>
      <c r="L409" s="4"/>
    </row>
    <row r="410" spans="3:12">
      <c r="C410" s="3"/>
      <c r="K410" s="4"/>
      <c r="L410" s="4"/>
    </row>
    <row r="411" spans="3:12">
      <c r="C411" s="3"/>
      <c r="K411" s="4"/>
      <c r="L411" s="4"/>
    </row>
    <row r="412" spans="3:12">
      <c r="C412" s="3"/>
      <c r="K412" s="4"/>
      <c r="L412" s="4"/>
    </row>
    <row r="413" spans="3:12">
      <c r="C413" s="3"/>
      <c r="K413" s="4"/>
      <c r="L413" s="4"/>
    </row>
    <row r="414" spans="3:12">
      <c r="C414" s="3"/>
      <c r="K414" s="4"/>
      <c r="L414" s="4"/>
    </row>
    <row r="415" spans="3:12">
      <c r="C415" s="3"/>
      <c r="K415" s="4"/>
      <c r="L415" s="4"/>
    </row>
    <row r="416" spans="3:12">
      <c r="C416" s="3"/>
      <c r="K416" s="4"/>
      <c r="L416" s="4"/>
    </row>
    <row r="417" spans="3:12">
      <c r="C417" s="3"/>
      <c r="K417" s="4"/>
      <c r="L417" s="4"/>
    </row>
    <row r="418" spans="3:12">
      <c r="C418" s="3"/>
      <c r="K418" s="4"/>
      <c r="L418" s="4"/>
    </row>
    <row r="419" spans="3:12">
      <c r="C419" s="3"/>
      <c r="K419" s="4"/>
      <c r="L419" s="4"/>
    </row>
    <row r="420" spans="3:12">
      <c r="C420" s="3"/>
      <c r="K420" s="4"/>
      <c r="L420" s="4"/>
    </row>
    <row r="421" spans="3:12">
      <c r="C421" s="3"/>
      <c r="K421" s="4"/>
      <c r="L421" s="4"/>
    </row>
    <row r="422" spans="3:12">
      <c r="C422" s="3"/>
      <c r="K422" s="4"/>
      <c r="L422" s="4"/>
    </row>
    <row r="423" spans="3:12">
      <c r="C423" s="3"/>
      <c r="K423" s="4"/>
      <c r="L423" s="4"/>
    </row>
    <row r="424" spans="3:12">
      <c r="C424" s="3"/>
      <c r="K424" s="4"/>
      <c r="L424" s="4"/>
    </row>
    <row r="425" spans="3:12">
      <c r="C425" s="3"/>
      <c r="K425" s="4"/>
      <c r="L425" s="4"/>
    </row>
    <row r="426" spans="3:12">
      <c r="C426" s="3"/>
      <c r="K426" s="4"/>
      <c r="L426" s="4"/>
    </row>
    <row r="427" spans="3:12">
      <c r="C427" s="3"/>
      <c r="K427" s="4"/>
      <c r="L427" s="4"/>
    </row>
    <row r="428" spans="3:12">
      <c r="C428" s="3"/>
      <c r="K428" s="4"/>
      <c r="L428" s="4"/>
    </row>
    <row r="429" spans="3:12">
      <c r="C429" s="3"/>
      <c r="K429" s="4"/>
      <c r="L429" s="4"/>
    </row>
    <row r="430" spans="3:12">
      <c r="C430" s="3"/>
      <c r="K430" s="4"/>
      <c r="L430" s="4"/>
    </row>
    <row r="431" spans="3:12">
      <c r="C431" s="3"/>
      <c r="K431" s="4"/>
      <c r="L431" s="4"/>
    </row>
    <row r="432" spans="3:12">
      <c r="C432" s="3"/>
      <c r="K432" s="4"/>
      <c r="L432" s="4"/>
    </row>
    <row r="433" spans="3:12">
      <c r="C433" s="3"/>
      <c r="K433" s="4"/>
      <c r="L433" s="4"/>
    </row>
    <row r="434" spans="3:12">
      <c r="C434" s="3"/>
      <c r="K434" s="4"/>
      <c r="L434" s="4"/>
    </row>
    <row r="435" spans="3:12">
      <c r="C435" s="3"/>
      <c r="K435" s="4"/>
      <c r="L435" s="4"/>
    </row>
    <row r="436" spans="3:12">
      <c r="C436" s="3"/>
      <c r="K436" s="4"/>
      <c r="L436" s="4"/>
    </row>
    <row r="437" spans="3:12">
      <c r="C437" s="3"/>
      <c r="K437" s="4"/>
      <c r="L437" s="4"/>
    </row>
    <row r="438" spans="3:12">
      <c r="C438" s="3"/>
      <c r="K438" s="4"/>
      <c r="L438" s="4"/>
    </row>
    <row r="439" spans="3:12">
      <c r="C439" s="3"/>
      <c r="K439" s="4"/>
      <c r="L439" s="4"/>
    </row>
    <row r="440" spans="3:12">
      <c r="C440" s="3"/>
      <c r="K440" s="4"/>
      <c r="L440" s="4"/>
    </row>
    <row r="441" spans="3:12">
      <c r="C441" s="3"/>
      <c r="K441" s="4"/>
      <c r="L441" s="4"/>
    </row>
    <row r="442" spans="3:12">
      <c r="C442" s="3"/>
      <c r="K442" s="4"/>
      <c r="L442" s="4"/>
    </row>
    <row r="443" spans="3:12">
      <c r="C443" s="3"/>
      <c r="K443" s="4"/>
      <c r="L443" s="4"/>
    </row>
    <row r="444" spans="3:12">
      <c r="C444" s="3"/>
      <c r="K444" s="4"/>
      <c r="L444" s="4"/>
    </row>
    <row r="445" spans="3:12">
      <c r="C445" s="3"/>
      <c r="K445" s="4"/>
      <c r="L445" s="4"/>
    </row>
    <row r="446" spans="3:12">
      <c r="C446" s="3"/>
      <c r="K446" s="4"/>
      <c r="L446" s="4"/>
    </row>
    <row r="447" spans="3:12">
      <c r="C447" s="3"/>
      <c r="K447" s="4"/>
      <c r="L447" s="4"/>
    </row>
    <row r="448" spans="3:12">
      <c r="C448" s="3"/>
      <c r="K448" s="4"/>
      <c r="L448" s="4"/>
    </row>
    <row r="449" spans="3:12">
      <c r="C449" s="3"/>
      <c r="K449" s="4"/>
      <c r="L449" s="4"/>
    </row>
    <row r="450" spans="3:12">
      <c r="C450" s="3"/>
      <c r="K450" s="4"/>
      <c r="L450" s="4"/>
    </row>
    <row r="451" spans="3:12">
      <c r="C451" s="3"/>
      <c r="K451" s="4"/>
      <c r="L451" s="4"/>
    </row>
    <row r="452" spans="3:12">
      <c r="C452" s="3"/>
      <c r="K452" s="4"/>
      <c r="L452" s="4"/>
    </row>
    <row r="453" spans="3:12">
      <c r="C453" s="3"/>
      <c r="K453" s="4"/>
      <c r="L453" s="4"/>
    </row>
    <row r="454" spans="3:12">
      <c r="C454" s="3"/>
      <c r="K454" s="4"/>
      <c r="L454" s="4"/>
    </row>
    <row r="455" spans="3:12">
      <c r="C455" s="3"/>
      <c r="K455" s="4"/>
      <c r="L455" s="4"/>
    </row>
    <row r="456" spans="3:12">
      <c r="C456" s="3"/>
      <c r="K456" s="4"/>
      <c r="L456" s="4"/>
    </row>
    <row r="457" spans="3:12">
      <c r="C457" s="3"/>
      <c r="K457" s="4"/>
      <c r="L457" s="4"/>
    </row>
    <row r="458" spans="3:12">
      <c r="C458" s="3"/>
      <c r="K458" s="4"/>
      <c r="L458" s="4"/>
    </row>
    <row r="459" spans="3:12">
      <c r="C459" s="3"/>
      <c r="K459" s="4"/>
      <c r="L459" s="4"/>
    </row>
    <row r="460" spans="3:12">
      <c r="C460" s="3"/>
      <c r="K460" s="4"/>
      <c r="L460" s="4"/>
    </row>
    <row r="461" spans="3:12">
      <c r="C461" s="3"/>
      <c r="K461" s="4"/>
      <c r="L461" s="4"/>
    </row>
    <row r="462" spans="3:12">
      <c r="C462" s="3"/>
      <c r="K462" s="4"/>
      <c r="L462" s="4"/>
    </row>
    <row r="463" spans="3:12">
      <c r="C463" s="3"/>
      <c r="K463" s="4"/>
      <c r="L463" s="4"/>
    </row>
    <row r="464" spans="3:12">
      <c r="C464" s="3"/>
      <c r="K464" s="4"/>
      <c r="L464" s="4"/>
    </row>
    <row r="465" spans="3:12">
      <c r="C465" s="3"/>
      <c r="K465" s="4"/>
      <c r="L465" s="4"/>
    </row>
    <row r="466" spans="3:12">
      <c r="C466" s="3"/>
      <c r="K466" s="4"/>
      <c r="L466" s="4"/>
    </row>
    <row r="467" spans="3:12">
      <c r="C467" s="3"/>
      <c r="K467" s="4"/>
      <c r="L467" s="4"/>
    </row>
    <row r="468" spans="3:12">
      <c r="C468" s="3"/>
      <c r="K468" s="4"/>
      <c r="L468" s="4"/>
    </row>
    <row r="469" spans="3:12">
      <c r="C469" s="3"/>
      <c r="K469" s="4"/>
      <c r="L469" s="4"/>
    </row>
    <row r="470" spans="3:12">
      <c r="C470" s="3"/>
      <c r="K470" s="4"/>
      <c r="L470" s="4"/>
    </row>
    <row r="471" spans="3:12">
      <c r="C471" s="3"/>
      <c r="K471" s="4"/>
      <c r="L471" s="4"/>
    </row>
    <row r="472" spans="3:12">
      <c r="C472" s="3"/>
      <c r="K472" s="4"/>
      <c r="L472" s="4"/>
    </row>
    <row r="473" spans="3:12">
      <c r="C473" s="3"/>
      <c r="K473" s="4"/>
      <c r="L473" s="4"/>
    </row>
    <row r="474" spans="3:12">
      <c r="C474" s="3"/>
      <c r="K474" s="4"/>
      <c r="L474" s="4"/>
    </row>
    <row r="475" spans="3:12">
      <c r="C475" s="3"/>
      <c r="K475" s="4"/>
      <c r="L475" s="4"/>
    </row>
    <row r="476" spans="3:12">
      <c r="C476" s="3"/>
      <c r="K476" s="4"/>
      <c r="L476" s="4"/>
    </row>
    <row r="477" spans="3:12">
      <c r="C477" s="3"/>
      <c r="K477" s="4"/>
      <c r="L477" s="4"/>
    </row>
    <row r="478" spans="3:12">
      <c r="C478" s="3"/>
      <c r="K478" s="4"/>
      <c r="L478" s="4"/>
    </row>
    <row r="479" spans="3:12">
      <c r="C479" s="3"/>
      <c r="K479" s="4"/>
      <c r="L479" s="4"/>
    </row>
    <row r="480" spans="3:12">
      <c r="C480" s="3"/>
      <c r="K480" s="4"/>
      <c r="L480" s="4"/>
    </row>
    <row r="481" spans="3:12">
      <c r="C481" s="3"/>
      <c r="K481" s="4"/>
      <c r="L481" s="4"/>
    </row>
    <row r="482" spans="3:12">
      <c r="C482" s="3"/>
      <c r="K482" s="4"/>
      <c r="L482" s="4"/>
    </row>
    <row r="483" spans="3:12">
      <c r="C483" s="3"/>
      <c r="K483" s="4"/>
      <c r="L483" s="4"/>
    </row>
    <row r="484" spans="3:12">
      <c r="C484" s="3"/>
      <c r="K484" s="4"/>
      <c r="L484" s="4"/>
    </row>
    <row r="485" spans="3:12">
      <c r="C485" s="3"/>
      <c r="K485" s="4"/>
      <c r="L485" s="4"/>
    </row>
    <row r="486" spans="3:12">
      <c r="C486" s="3"/>
      <c r="K486" s="4"/>
      <c r="L486" s="4"/>
    </row>
    <row r="487" spans="3:12">
      <c r="C487" s="3"/>
      <c r="K487" s="4"/>
      <c r="L487" s="4"/>
    </row>
    <row r="488" spans="3:12">
      <c r="C488" s="3"/>
      <c r="K488" s="4"/>
      <c r="L488" s="4"/>
    </row>
    <row r="489" spans="3:12">
      <c r="C489" s="3"/>
      <c r="K489" s="4"/>
      <c r="L489" s="4"/>
    </row>
    <row r="490" spans="3:12">
      <c r="C490" s="3"/>
      <c r="K490" s="4"/>
      <c r="L490" s="4"/>
    </row>
    <row r="491" spans="3:12">
      <c r="C491" s="3"/>
      <c r="K491" s="4"/>
      <c r="L491" s="4"/>
    </row>
    <row r="492" spans="3:12">
      <c r="C492" s="3"/>
      <c r="K492" s="4"/>
      <c r="L492" s="4"/>
    </row>
    <row r="493" spans="3:12">
      <c r="C493" s="3"/>
      <c r="K493" s="4"/>
      <c r="L493" s="4"/>
    </row>
    <row r="494" spans="3:12">
      <c r="C494" s="3"/>
      <c r="K494" s="4"/>
      <c r="L494" s="4"/>
    </row>
    <row r="495" spans="3:12">
      <c r="C495" s="3"/>
      <c r="K495" s="4"/>
      <c r="L495" s="4"/>
    </row>
    <row r="496" spans="3:12">
      <c r="C496" s="3"/>
      <c r="K496" s="4"/>
      <c r="L496" s="4"/>
    </row>
    <row r="497" spans="3:12">
      <c r="C497" s="3"/>
      <c r="K497" s="4"/>
      <c r="L497" s="4"/>
    </row>
    <row r="498" spans="3:12">
      <c r="C498" s="3"/>
      <c r="K498" s="4"/>
      <c r="L498" s="4"/>
    </row>
    <row r="499" spans="3:12">
      <c r="C499" s="3"/>
      <c r="K499" s="4"/>
      <c r="L499" s="4"/>
    </row>
    <row r="500" spans="3:12">
      <c r="C500" s="3"/>
      <c r="K500" s="4"/>
      <c r="L500" s="4"/>
    </row>
    <row r="501" spans="3:12">
      <c r="C501" s="3"/>
      <c r="K501" s="4"/>
      <c r="L501" s="4"/>
    </row>
    <row r="502" spans="3:12">
      <c r="C502" s="3"/>
      <c r="K502" s="4"/>
      <c r="L502" s="4"/>
    </row>
    <row r="503" spans="3:12">
      <c r="C503" s="3"/>
      <c r="K503" s="4"/>
      <c r="L503" s="4"/>
    </row>
    <row r="504" spans="3:12">
      <c r="C504" s="3"/>
      <c r="K504" s="4"/>
      <c r="L504" s="4"/>
    </row>
    <row r="505" spans="3:12">
      <c r="C505" s="3"/>
      <c r="K505" s="4"/>
      <c r="L505" s="4"/>
    </row>
    <row r="506" spans="3:12">
      <c r="C506" s="3"/>
      <c r="K506" s="4"/>
      <c r="L506" s="4"/>
    </row>
    <row r="507" spans="3:12">
      <c r="C507" s="3"/>
      <c r="K507" s="4"/>
      <c r="L507" s="4"/>
    </row>
    <row r="508" spans="3:12">
      <c r="C508" s="3"/>
      <c r="K508" s="4"/>
      <c r="L508" s="4"/>
    </row>
    <row r="509" spans="3:12">
      <c r="C509" s="3"/>
      <c r="K509" s="4"/>
      <c r="L509" s="4"/>
    </row>
    <row r="510" spans="3:12">
      <c r="C510" s="3"/>
      <c r="K510" s="4"/>
      <c r="L510" s="4"/>
    </row>
    <row r="511" spans="3:12">
      <c r="C511" s="3"/>
      <c r="K511" s="4"/>
      <c r="L511" s="4"/>
    </row>
    <row r="512" spans="3:12">
      <c r="C512" s="3"/>
      <c r="K512" s="4"/>
      <c r="L512" s="4"/>
    </row>
    <row r="513" spans="3:12">
      <c r="C513" s="3"/>
      <c r="K513" s="4"/>
      <c r="L513" s="4"/>
    </row>
    <row r="514" spans="3:12">
      <c r="C514" s="3"/>
      <c r="K514" s="4"/>
      <c r="L514" s="4"/>
    </row>
    <row r="515" spans="3:12">
      <c r="C515" s="3"/>
      <c r="K515" s="4"/>
      <c r="L515" s="4"/>
    </row>
    <row r="516" spans="3:12">
      <c r="C516" s="3"/>
      <c r="K516" s="4"/>
      <c r="L516" s="4"/>
    </row>
    <row r="517" spans="3:12">
      <c r="C517" s="3"/>
      <c r="K517" s="4"/>
      <c r="L517" s="4"/>
    </row>
    <row r="518" spans="3:12">
      <c r="C518" s="3"/>
      <c r="K518" s="4"/>
      <c r="L518" s="4"/>
    </row>
    <row r="519" spans="3:12">
      <c r="C519" s="3"/>
      <c r="K519" s="4"/>
      <c r="L519" s="4"/>
    </row>
    <row r="520" spans="3:12">
      <c r="C520" s="3"/>
      <c r="K520" s="4"/>
      <c r="L520" s="4"/>
    </row>
    <row r="521" spans="3:12">
      <c r="C521" s="3"/>
      <c r="K521" s="4"/>
      <c r="L521" s="4"/>
    </row>
    <row r="522" spans="3:12">
      <c r="C522" s="3"/>
      <c r="K522" s="4"/>
      <c r="L522" s="4"/>
    </row>
    <row r="523" spans="3:12">
      <c r="C523" s="3"/>
      <c r="K523" s="4"/>
      <c r="L523" s="4"/>
    </row>
    <row r="524" spans="3:12">
      <c r="C524" s="3"/>
      <c r="K524" s="4"/>
      <c r="L524" s="4"/>
    </row>
    <row r="525" spans="3:12">
      <c r="C525" s="3"/>
      <c r="K525" s="4"/>
      <c r="L525" s="4"/>
    </row>
    <row r="526" spans="3:12">
      <c r="C526" s="3"/>
      <c r="K526" s="4"/>
      <c r="L526" s="4"/>
    </row>
    <row r="527" spans="3:12">
      <c r="C527" s="3"/>
      <c r="K527" s="4"/>
      <c r="L527" s="4"/>
    </row>
    <row r="528" spans="3:12">
      <c r="C528" s="3"/>
      <c r="K528" s="4"/>
      <c r="L528" s="4"/>
    </row>
    <row r="529" spans="3:12">
      <c r="C529" s="3"/>
      <c r="K529" s="4"/>
      <c r="L529" s="4"/>
    </row>
    <row r="530" spans="3:12">
      <c r="C530" s="3"/>
      <c r="K530" s="4"/>
      <c r="L530" s="4"/>
    </row>
    <row r="531" spans="3:12">
      <c r="C531" s="3"/>
      <c r="K531" s="4"/>
      <c r="L531" s="4"/>
    </row>
    <row r="532" spans="3:12">
      <c r="C532" s="3"/>
      <c r="K532" s="4"/>
      <c r="L532" s="4"/>
    </row>
    <row r="533" spans="3:12">
      <c r="C533" s="3"/>
      <c r="K533" s="4"/>
      <c r="L533" s="4"/>
    </row>
    <row r="534" spans="3:12">
      <c r="C534" s="3"/>
      <c r="K534" s="4"/>
      <c r="L534" s="4"/>
    </row>
    <row r="535" spans="3:12">
      <c r="C535" s="3"/>
      <c r="K535" s="4"/>
      <c r="L535" s="4"/>
    </row>
    <row r="536" spans="3:12">
      <c r="C536" s="3"/>
      <c r="K536" s="4"/>
      <c r="L536" s="4"/>
    </row>
    <row r="537" spans="3:12">
      <c r="C537" s="3"/>
      <c r="K537" s="4"/>
      <c r="L537" s="4"/>
    </row>
    <row r="538" spans="3:12">
      <c r="C538" s="3"/>
      <c r="K538" s="4"/>
      <c r="L538" s="4"/>
    </row>
    <row r="539" spans="3:12">
      <c r="C539" s="3"/>
      <c r="K539" s="4"/>
      <c r="L539" s="4"/>
    </row>
    <row r="540" spans="3:12">
      <c r="C540" s="3"/>
      <c r="K540" s="4"/>
      <c r="L540" s="4"/>
    </row>
    <row r="541" spans="3:12">
      <c r="C541" s="3"/>
      <c r="K541" s="4"/>
      <c r="L541" s="4"/>
    </row>
    <row r="542" spans="3:12">
      <c r="C542" s="3"/>
      <c r="K542" s="4"/>
      <c r="L542" s="4"/>
    </row>
    <row r="543" spans="3:12">
      <c r="C543" s="3"/>
      <c r="K543" s="4"/>
      <c r="L543" s="4"/>
    </row>
    <row r="544" spans="3:12">
      <c r="C544" s="3"/>
      <c r="K544" s="4"/>
      <c r="L544" s="4"/>
    </row>
    <row r="545" spans="3:12">
      <c r="C545" s="3"/>
      <c r="K545" s="4"/>
      <c r="L545" s="4"/>
    </row>
    <row r="546" spans="3:12">
      <c r="C546" s="3"/>
      <c r="K546" s="4"/>
      <c r="L546" s="4"/>
    </row>
    <row r="547" spans="3:12">
      <c r="C547" s="3"/>
      <c r="K547" s="4"/>
      <c r="L547" s="4"/>
    </row>
    <row r="548" spans="3:12">
      <c r="C548" s="3"/>
      <c r="K548" s="4"/>
      <c r="L548" s="4"/>
    </row>
    <row r="549" spans="3:12">
      <c r="C549" s="3"/>
      <c r="K549" s="4"/>
      <c r="L549" s="4"/>
    </row>
    <row r="550" spans="3:12">
      <c r="C550" s="3"/>
      <c r="K550" s="4"/>
      <c r="L550" s="4"/>
    </row>
    <row r="551" spans="3:12">
      <c r="C551" s="3"/>
      <c r="K551" s="4"/>
      <c r="L551" s="4"/>
    </row>
    <row r="552" spans="3:12">
      <c r="C552" s="3"/>
      <c r="K552" s="4"/>
      <c r="L552" s="4"/>
    </row>
    <row r="553" spans="3:12">
      <c r="C553" s="3"/>
      <c r="K553" s="4"/>
      <c r="L553" s="4"/>
    </row>
    <row r="554" spans="3:12">
      <c r="C554" s="3"/>
      <c r="K554" s="4"/>
      <c r="L554" s="4"/>
    </row>
    <row r="555" spans="3:12">
      <c r="C555" s="3"/>
      <c r="K555" s="4"/>
      <c r="L555" s="4"/>
    </row>
    <row r="556" spans="3:12">
      <c r="C556" s="3"/>
      <c r="K556" s="4"/>
      <c r="L556" s="4"/>
    </row>
    <row r="557" spans="3:12">
      <c r="C557" s="3"/>
      <c r="K557" s="4"/>
      <c r="L557" s="4"/>
    </row>
    <row r="558" spans="3:12">
      <c r="C558" s="3"/>
      <c r="K558" s="4"/>
      <c r="L558" s="4"/>
    </row>
    <row r="559" spans="3:12">
      <c r="C559" s="3"/>
      <c r="K559" s="4"/>
      <c r="L559" s="4"/>
    </row>
    <row r="560" spans="3:12">
      <c r="C560" s="3"/>
      <c r="K560" s="4"/>
      <c r="L560" s="4"/>
    </row>
    <row r="561" spans="3:12">
      <c r="C561" s="3"/>
      <c r="K561" s="4"/>
      <c r="L561" s="4"/>
    </row>
    <row r="562" spans="3:12">
      <c r="C562" s="3"/>
      <c r="K562" s="4"/>
      <c r="L562" s="4"/>
    </row>
    <row r="563" spans="3:12">
      <c r="C563" s="3"/>
      <c r="K563" s="4"/>
      <c r="L563" s="4"/>
    </row>
    <row r="564" spans="3:12">
      <c r="C564" s="3"/>
      <c r="K564" s="4"/>
      <c r="L564" s="4"/>
    </row>
    <row r="565" spans="3:12">
      <c r="C565" s="3"/>
      <c r="K565" s="4"/>
      <c r="L565" s="4"/>
    </row>
    <row r="566" spans="3:12">
      <c r="C566" s="3"/>
      <c r="K566" s="4"/>
      <c r="L566" s="4"/>
    </row>
    <row r="567" spans="3:12">
      <c r="C567" s="3"/>
      <c r="K567" s="4"/>
      <c r="L567" s="4"/>
    </row>
    <row r="568" spans="3:12">
      <c r="C568" s="3"/>
      <c r="K568" s="4"/>
      <c r="L568" s="4"/>
    </row>
    <row r="569" spans="3:12">
      <c r="C569" s="3"/>
      <c r="K569" s="4"/>
      <c r="L569" s="4"/>
    </row>
    <row r="570" spans="3:12">
      <c r="C570" s="3"/>
      <c r="K570" s="4"/>
      <c r="L570" s="4"/>
    </row>
    <row r="571" spans="3:12">
      <c r="C571" s="3"/>
      <c r="K571" s="4"/>
      <c r="L571" s="4"/>
    </row>
    <row r="572" spans="3:12">
      <c r="C572" s="3"/>
      <c r="K572" s="4"/>
      <c r="L572" s="4"/>
    </row>
    <row r="573" spans="3:12">
      <c r="C573" s="3"/>
      <c r="K573" s="4"/>
      <c r="L573" s="4"/>
    </row>
    <row r="574" spans="3:12">
      <c r="C574" s="3"/>
      <c r="K574" s="4"/>
      <c r="L574" s="4"/>
    </row>
    <row r="575" spans="3:12">
      <c r="C575" s="3"/>
      <c r="K575" s="4"/>
      <c r="L575" s="4"/>
    </row>
    <row r="576" spans="3:12">
      <c r="C576" s="3"/>
      <c r="K576" s="4"/>
      <c r="L576" s="4"/>
    </row>
    <row r="577" spans="3:12">
      <c r="C577" s="3"/>
      <c r="K577" s="4"/>
      <c r="L577" s="4"/>
    </row>
    <row r="578" spans="3:12">
      <c r="C578" s="3"/>
      <c r="K578" s="4"/>
      <c r="L578" s="4"/>
    </row>
    <row r="579" spans="3:12">
      <c r="C579" s="3"/>
      <c r="K579" s="4"/>
      <c r="L579" s="4"/>
    </row>
    <row r="580" spans="3:12">
      <c r="C580" s="3"/>
      <c r="K580" s="4"/>
      <c r="L580" s="4"/>
    </row>
    <row r="581" spans="3:12">
      <c r="C581" s="3"/>
      <c r="K581" s="4"/>
      <c r="L581" s="4"/>
    </row>
    <row r="582" spans="3:12">
      <c r="C582" s="3"/>
      <c r="K582" s="4"/>
      <c r="L582" s="4"/>
    </row>
    <row r="583" spans="3:12">
      <c r="C583" s="3"/>
      <c r="K583" s="4"/>
      <c r="L583" s="4"/>
    </row>
    <row r="584" spans="3:12">
      <c r="C584" s="3"/>
      <c r="K584" s="4"/>
      <c r="L584" s="4"/>
    </row>
    <row r="585" spans="3:12">
      <c r="C585" s="3"/>
      <c r="K585" s="4"/>
      <c r="L585" s="4"/>
    </row>
    <row r="586" spans="3:12">
      <c r="C586" s="3"/>
      <c r="K586" s="4"/>
      <c r="L586" s="4"/>
    </row>
    <row r="587" spans="3:12">
      <c r="C587" s="3"/>
      <c r="K587" s="4"/>
      <c r="L587" s="4"/>
    </row>
    <row r="588" spans="3:12">
      <c r="C588" s="3"/>
      <c r="K588" s="4"/>
      <c r="L588" s="4"/>
    </row>
    <row r="589" spans="3:12">
      <c r="C589" s="3"/>
      <c r="K589" s="4"/>
      <c r="L589" s="4"/>
    </row>
    <row r="590" spans="3:12">
      <c r="C590" s="3"/>
      <c r="K590" s="4"/>
      <c r="L590" s="4"/>
    </row>
    <row r="591" spans="3:12">
      <c r="C591" s="3"/>
      <c r="K591" s="4"/>
      <c r="L591" s="4"/>
    </row>
    <row r="592" spans="3:12">
      <c r="C592" s="3"/>
      <c r="K592" s="4"/>
      <c r="L592" s="4"/>
    </row>
    <row r="593" spans="3:12">
      <c r="C593" s="3"/>
      <c r="K593" s="4"/>
      <c r="L593" s="4"/>
    </row>
    <row r="594" spans="3:12">
      <c r="C594" s="3"/>
      <c r="K594" s="4"/>
      <c r="L594" s="4"/>
    </row>
    <row r="595" spans="3:12">
      <c r="C595" s="3"/>
      <c r="K595" s="4"/>
      <c r="L595" s="4"/>
    </row>
    <row r="596" spans="3:12">
      <c r="C596" s="3"/>
      <c r="K596" s="4"/>
      <c r="L596" s="4"/>
    </row>
    <row r="597" spans="3:12">
      <c r="C597" s="3"/>
      <c r="K597" s="4"/>
      <c r="L597" s="4"/>
    </row>
    <row r="598" spans="3:12">
      <c r="C598" s="3"/>
      <c r="K598" s="4"/>
      <c r="L598" s="4"/>
    </row>
    <row r="599" spans="3:12">
      <c r="C599" s="3"/>
      <c r="K599" s="4"/>
      <c r="L599" s="4"/>
    </row>
    <row r="600" spans="3:12">
      <c r="C600" s="3"/>
      <c r="K600" s="4"/>
      <c r="L600" s="4"/>
    </row>
    <row r="601" spans="3:12">
      <c r="C601" s="3"/>
      <c r="K601" s="4"/>
      <c r="L601" s="4"/>
    </row>
    <row r="602" spans="3:12">
      <c r="C602" s="3"/>
      <c r="K602" s="4"/>
      <c r="L602" s="4"/>
    </row>
    <row r="603" spans="3:12">
      <c r="C603" s="3"/>
      <c r="K603" s="4"/>
      <c r="L603" s="4"/>
    </row>
    <row r="604" spans="3:12">
      <c r="C604" s="3"/>
      <c r="K604" s="4"/>
      <c r="L604" s="4"/>
    </row>
    <row r="605" spans="3:12">
      <c r="C605" s="3"/>
      <c r="K605" s="4"/>
      <c r="L605" s="4"/>
    </row>
    <row r="606" spans="3:12">
      <c r="C606" s="3"/>
      <c r="K606" s="4"/>
      <c r="L606" s="4"/>
    </row>
    <row r="607" spans="3:12">
      <c r="C607" s="3"/>
      <c r="K607" s="4"/>
      <c r="L607" s="4"/>
    </row>
    <row r="608" spans="3:12">
      <c r="C608" s="3"/>
      <c r="K608" s="4"/>
      <c r="L608" s="4"/>
    </row>
    <row r="609" spans="3:12">
      <c r="C609" s="3"/>
      <c r="K609" s="4"/>
      <c r="L609" s="4"/>
    </row>
    <row r="610" spans="3:12">
      <c r="C610" s="3"/>
      <c r="K610" s="4"/>
      <c r="L610" s="4"/>
    </row>
    <row r="611" spans="3:12">
      <c r="C611" s="3"/>
      <c r="K611" s="4"/>
      <c r="L611" s="4"/>
    </row>
    <row r="612" spans="3:12">
      <c r="C612" s="3"/>
      <c r="K612" s="4"/>
      <c r="L612" s="4"/>
    </row>
    <row r="613" spans="3:12">
      <c r="C613" s="3"/>
      <c r="K613" s="4"/>
      <c r="L613" s="4"/>
    </row>
    <row r="614" spans="3:12">
      <c r="C614" s="3"/>
      <c r="K614" s="4"/>
      <c r="L614" s="4"/>
    </row>
    <row r="615" spans="3:12">
      <c r="C615" s="3"/>
      <c r="K615" s="4"/>
      <c r="L615" s="4"/>
    </row>
    <row r="616" spans="3:12">
      <c r="C616" s="3"/>
      <c r="K616" s="4"/>
      <c r="L616" s="4"/>
    </row>
    <row r="617" spans="3:12">
      <c r="C617" s="3"/>
      <c r="K617" s="4"/>
      <c r="L617" s="4"/>
    </row>
    <row r="618" spans="3:12">
      <c r="C618" s="3"/>
      <c r="K618" s="4"/>
      <c r="L618" s="4"/>
    </row>
    <row r="619" spans="3:12">
      <c r="C619" s="3"/>
      <c r="K619" s="4"/>
      <c r="L619" s="4"/>
    </row>
    <row r="620" spans="3:12">
      <c r="C620" s="3"/>
      <c r="K620" s="4"/>
      <c r="L620" s="4"/>
    </row>
    <row r="621" spans="3:12">
      <c r="C621" s="3"/>
      <c r="K621" s="4"/>
      <c r="L621" s="4"/>
    </row>
    <row r="622" spans="3:12">
      <c r="C622" s="3"/>
      <c r="K622" s="4"/>
      <c r="L622" s="4"/>
    </row>
    <row r="623" spans="3:12">
      <c r="C623" s="3"/>
      <c r="K623" s="4"/>
      <c r="L623" s="4"/>
    </row>
    <row r="624" spans="3:12">
      <c r="C624" s="3"/>
      <c r="K624" s="4"/>
      <c r="L624" s="4"/>
    </row>
    <row r="625" spans="3:12">
      <c r="C625" s="3"/>
      <c r="K625" s="4"/>
      <c r="L625" s="4"/>
    </row>
    <row r="626" spans="3:12">
      <c r="C626" s="3"/>
      <c r="K626" s="4"/>
      <c r="L626" s="4"/>
    </row>
    <row r="627" spans="3:12">
      <c r="C627" s="3"/>
      <c r="K627" s="4"/>
      <c r="L627" s="4"/>
    </row>
    <row r="628" spans="3:12">
      <c r="C628" s="3"/>
      <c r="K628" s="4"/>
      <c r="L628" s="4"/>
    </row>
    <row r="629" spans="3:12">
      <c r="C629" s="3"/>
      <c r="K629" s="4"/>
      <c r="L629" s="4"/>
    </row>
    <row r="630" spans="3:12">
      <c r="C630" s="3"/>
      <c r="K630" s="4"/>
      <c r="L630" s="4"/>
    </row>
    <row r="631" spans="3:12">
      <c r="C631" s="3"/>
      <c r="K631" s="4"/>
      <c r="L631" s="4"/>
    </row>
    <row r="632" spans="3:12">
      <c r="C632" s="3"/>
      <c r="K632" s="4"/>
      <c r="L632" s="4"/>
    </row>
    <row r="633" spans="3:12">
      <c r="C633" s="3"/>
      <c r="K633" s="4"/>
      <c r="L633" s="4"/>
    </row>
    <row r="634" spans="3:12">
      <c r="C634" s="3"/>
      <c r="K634" s="4"/>
      <c r="L634" s="4"/>
    </row>
    <row r="635" spans="3:12">
      <c r="C635" s="3"/>
      <c r="K635" s="4"/>
      <c r="L635" s="4"/>
    </row>
    <row r="636" spans="3:12">
      <c r="C636" s="3"/>
      <c r="K636" s="4"/>
      <c r="L636" s="4"/>
    </row>
    <row r="637" spans="3:12">
      <c r="C637" s="3"/>
      <c r="K637" s="4"/>
      <c r="L637" s="4"/>
    </row>
    <row r="638" spans="3:12">
      <c r="C638" s="3"/>
      <c r="K638" s="4"/>
      <c r="L638" s="4"/>
    </row>
    <row r="639" spans="3:12">
      <c r="C639" s="3"/>
      <c r="K639" s="4"/>
      <c r="L639" s="4"/>
    </row>
    <row r="640" spans="3:12">
      <c r="C640" s="3"/>
      <c r="K640" s="4"/>
      <c r="L640" s="4"/>
    </row>
    <row r="641" spans="3:12">
      <c r="C641" s="3"/>
      <c r="K641" s="4"/>
      <c r="L641" s="4"/>
    </row>
    <row r="642" spans="3:12">
      <c r="C642" s="3"/>
      <c r="K642" s="4"/>
      <c r="L642" s="4"/>
    </row>
    <row r="643" spans="3:12">
      <c r="C643" s="3"/>
      <c r="K643" s="4"/>
      <c r="L643" s="4"/>
    </row>
    <row r="644" spans="3:12">
      <c r="C644" s="3"/>
      <c r="K644" s="4"/>
      <c r="L644" s="4"/>
    </row>
    <row r="645" spans="3:12">
      <c r="C645" s="3"/>
      <c r="K645" s="4"/>
      <c r="L645" s="4"/>
    </row>
    <row r="646" spans="3:12">
      <c r="C646" s="3"/>
      <c r="K646" s="4"/>
      <c r="L646" s="4"/>
    </row>
    <row r="647" spans="3:12">
      <c r="C647" s="3"/>
      <c r="K647" s="4"/>
      <c r="L647" s="4"/>
    </row>
    <row r="648" spans="3:12">
      <c r="C648" s="3"/>
      <c r="K648" s="4"/>
      <c r="L648" s="4"/>
    </row>
    <row r="649" spans="3:12">
      <c r="C649" s="3"/>
      <c r="K649" s="4"/>
      <c r="L649" s="4"/>
    </row>
    <row r="650" spans="3:12">
      <c r="C650" s="3"/>
      <c r="K650" s="4"/>
      <c r="L650" s="4"/>
    </row>
    <row r="651" spans="3:12">
      <c r="C651" s="3"/>
      <c r="K651" s="4"/>
      <c r="L651" s="4"/>
    </row>
    <row r="652" spans="3:12">
      <c r="C652" s="3"/>
      <c r="K652" s="4"/>
      <c r="L652" s="4"/>
    </row>
    <row r="653" spans="3:12">
      <c r="C653" s="3"/>
      <c r="K653" s="4"/>
      <c r="L653" s="4"/>
    </row>
    <row r="654" spans="3:12">
      <c r="C654" s="3"/>
      <c r="K654" s="4"/>
      <c r="L654" s="4"/>
    </row>
    <row r="655" spans="3:12">
      <c r="C655" s="3"/>
      <c r="K655" s="4"/>
      <c r="L655" s="4"/>
    </row>
    <row r="656" spans="3:12">
      <c r="C656" s="3"/>
      <c r="K656" s="4"/>
      <c r="L656" s="4"/>
    </row>
    <row r="657" spans="3:12">
      <c r="C657" s="3"/>
      <c r="K657" s="4"/>
      <c r="L657" s="4"/>
    </row>
    <row r="658" spans="3:12">
      <c r="C658" s="3"/>
      <c r="K658" s="4"/>
      <c r="L658" s="4"/>
    </row>
    <row r="659" spans="3:12">
      <c r="C659" s="3"/>
      <c r="K659" s="4"/>
      <c r="L659" s="4"/>
    </row>
    <row r="660" spans="3:12">
      <c r="C660" s="3"/>
      <c r="K660" s="4"/>
      <c r="L660" s="4"/>
    </row>
    <row r="661" spans="3:12">
      <c r="C661" s="3"/>
      <c r="K661" s="4"/>
      <c r="L661" s="4"/>
    </row>
    <row r="662" spans="3:12">
      <c r="C662" s="3"/>
      <c r="K662" s="4"/>
      <c r="L662" s="4"/>
    </row>
    <row r="663" spans="3:12">
      <c r="C663" s="3"/>
      <c r="K663" s="4"/>
      <c r="L663" s="4"/>
    </row>
    <row r="664" spans="3:12">
      <c r="C664" s="3"/>
      <c r="K664" s="4"/>
      <c r="L664" s="4"/>
    </row>
    <row r="665" spans="3:12">
      <c r="C665" s="3"/>
      <c r="K665" s="4"/>
      <c r="L665" s="4"/>
    </row>
    <row r="666" spans="3:12">
      <c r="C666" s="3"/>
      <c r="K666" s="4"/>
      <c r="L666" s="4"/>
    </row>
    <row r="667" spans="3:12">
      <c r="C667" s="3"/>
      <c r="K667" s="4"/>
      <c r="L667" s="4"/>
    </row>
    <row r="668" spans="3:12">
      <c r="C668" s="3"/>
      <c r="K668" s="4"/>
      <c r="L668" s="4"/>
    </row>
    <row r="669" spans="3:12">
      <c r="C669" s="3"/>
      <c r="K669" s="4"/>
      <c r="L669" s="4"/>
    </row>
    <row r="670" spans="3:12">
      <c r="C670" s="3"/>
      <c r="K670" s="4"/>
      <c r="L670" s="4"/>
    </row>
    <row r="671" spans="3:12">
      <c r="C671" s="3"/>
      <c r="K671" s="4"/>
      <c r="L671" s="4"/>
    </row>
    <row r="672" spans="3:12">
      <c r="C672" s="3"/>
      <c r="K672" s="4"/>
      <c r="L672" s="4"/>
    </row>
    <row r="673" spans="3:12">
      <c r="C673" s="3"/>
      <c r="K673" s="4"/>
      <c r="L673" s="4"/>
    </row>
    <row r="674" spans="3:12">
      <c r="C674" s="3"/>
      <c r="K674" s="4"/>
      <c r="L674" s="4"/>
    </row>
    <row r="675" spans="3:12">
      <c r="C675" s="3"/>
      <c r="K675" s="4"/>
      <c r="L675" s="4"/>
    </row>
    <row r="676" spans="3:12">
      <c r="C676" s="3"/>
      <c r="K676" s="4"/>
      <c r="L676" s="4"/>
    </row>
    <row r="677" spans="3:12">
      <c r="C677" s="3"/>
      <c r="K677" s="4"/>
      <c r="L677" s="4"/>
    </row>
    <row r="678" spans="3:12">
      <c r="C678" s="3"/>
      <c r="K678" s="4"/>
      <c r="L678" s="4"/>
    </row>
    <row r="679" spans="3:12">
      <c r="C679" s="3"/>
      <c r="K679" s="4"/>
      <c r="L679" s="4"/>
    </row>
    <row r="680" spans="3:12">
      <c r="C680" s="3"/>
      <c r="K680" s="4"/>
      <c r="L680" s="4"/>
    </row>
    <row r="681" spans="3:12">
      <c r="C681" s="3"/>
      <c r="K681" s="4"/>
      <c r="L681" s="4"/>
    </row>
    <row r="682" spans="3:12">
      <c r="C682" s="3"/>
      <c r="K682" s="4"/>
      <c r="L682" s="4"/>
    </row>
    <row r="683" spans="3:12">
      <c r="C683" s="3"/>
      <c r="K683" s="4"/>
      <c r="L683" s="4"/>
    </row>
    <row r="684" spans="3:12">
      <c r="C684" s="3"/>
      <c r="K684" s="4"/>
      <c r="L684" s="4"/>
    </row>
    <row r="685" spans="3:12">
      <c r="C685" s="3"/>
      <c r="K685" s="4"/>
      <c r="L685" s="4"/>
    </row>
    <row r="686" spans="3:12">
      <c r="C686" s="3"/>
      <c r="K686" s="4"/>
      <c r="L686" s="4"/>
    </row>
    <row r="687" spans="3:12">
      <c r="C687" s="3"/>
      <c r="K687" s="4"/>
      <c r="L687" s="4"/>
    </row>
    <row r="688" spans="3:12">
      <c r="C688" s="3"/>
      <c r="K688" s="4"/>
      <c r="L688" s="4"/>
    </row>
    <row r="689" spans="3:12">
      <c r="C689" s="3"/>
      <c r="K689" s="4"/>
      <c r="L689" s="4"/>
    </row>
    <row r="690" spans="3:12">
      <c r="C690" s="3"/>
      <c r="K690" s="4"/>
      <c r="L690" s="4"/>
    </row>
    <row r="691" spans="3:12">
      <c r="C691" s="3"/>
      <c r="K691" s="4"/>
      <c r="L691" s="4"/>
    </row>
    <row r="692" spans="3:12">
      <c r="C692" s="3"/>
      <c r="K692" s="4"/>
      <c r="L692" s="4"/>
    </row>
    <row r="693" spans="3:12">
      <c r="C693" s="3"/>
      <c r="K693" s="4"/>
      <c r="L693" s="4"/>
    </row>
    <row r="694" spans="3:12">
      <c r="C694" s="3"/>
      <c r="K694" s="4"/>
      <c r="L694" s="4"/>
    </row>
    <row r="695" spans="3:12">
      <c r="C695" s="3"/>
      <c r="K695" s="4"/>
      <c r="L695" s="4"/>
    </row>
    <row r="696" spans="3:12">
      <c r="C696" s="3"/>
      <c r="K696" s="4"/>
      <c r="L696" s="4"/>
    </row>
    <row r="697" spans="3:12">
      <c r="C697" s="3"/>
      <c r="K697" s="4"/>
      <c r="L697" s="4"/>
    </row>
    <row r="698" spans="3:12">
      <c r="C698" s="3"/>
      <c r="K698" s="4"/>
      <c r="L698" s="4"/>
    </row>
    <row r="699" spans="3:12">
      <c r="C699" s="3"/>
      <c r="K699" s="4"/>
      <c r="L699" s="4"/>
    </row>
    <row r="700" spans="3:12">
      <c r="C700" s="3"/>
      <c r="K700" s="4"/>
      <c r="L700" s="4"/>
    </row>
    <row r="701" spans="3:12">
      <c r="C701" s="3"/>
      <c r="K701" s="4"/>
      <c r="L701" s="4"/>
    </row>
    <row r="702" spans="3:12">
      <c r="C702" s="3"/>
      <c r="K702" s="4"/>
      <c r="L702" s="4"/>
    </row>
    <row r="703" spans="3:12">
      <c r="C703" s="3"/>
      <c r="K703" s="4"/>
      <c r="L703" s="4"/>
    </row>
    <row r="704" spans="3:12">
      <c r="C704" s="3"/>
      <c r="K704" s="4"/>
      <c r="L704" s="4"/>
    </row>
    <row r="705" spans="3:12">
      <c r="C705" s="3"/>
      <c r="K705" s="4"/>
      <c r="L705" s="4"/>
    </row>
    <row r="706" spans="3:12">
      <c r="C706" s="3"/>
      <c r="K706" s="4"/>
      <c r="L706" s="4"/>
    </row>
    <row r="707" spans="3:12">
      <c r="C707" s="3"/>
      <c r="K707" s="4"/>
      <c r="L707" s="4"/>
    </row>
    <row r="708" spans="3:12">
      <c r="C708" s="3"/>
      <c r="K708" s="4"/>
      <c r="L708" s="4"/>
    </row>
    <row r="709" spans="3:12">
      <c r="C709" s="3"/>
      <c r="K709" s="4"/>
      <c r="L709" s="4"/>
    </row>
    <row r="710" spans="3:12">
      <c r="C710" s="3"/>
      <c r="K710" s="4"/>
      <c r="L710" s="4"/>
    </row>
    <row r="711" spans="3:12">
      <c r="C711" s="3"/>
      <c r="K711" s="4"/>
      <c r="L711" s="4"/>
    </row>
    <row r="712" spans="3:12">
      <c r="C712" s="3"/>
      <c r="K712" s="4"/>
      <c r="L712" s="4"/>
    </row>
    <row r="713" spans="3:12">
      <c r="C713" s="3"/>
      <c r="K713" s="4"/>
      <c r="L713" s="4"/>
    </row>
    <row r="714" spans="3:12">
      <c r="C714" s="3"/>
      <c r="K714" s="4"/>
      <c r="L714" s="4"/>
    </row>
    <row r="715" spans="3:12">
      <c r="C715" s="3"/>
      <c r="K715" s="4"/>
      <c r="L715" s="4"/>
    </row>
    <row r="716" spans="3:12">
      <c r="C716" s="3"/>
      <c r="K716" s="4"/>
      <c r="L716" s="4"/>
    </row>
    <row r="717" spans="3:12">
      <c r="C717" s="3"/>
      <c r="K717" s="4"/>
      <c r="L717" s="4"/>
    </row>
    <row r="718" spans="3:12">
      <c r="C718" s="3"/>
      <c r="K718" s="4"/>
      <c r="L718" s="4"/>
    </row>
    <row r="719" spans="3:12">
      <c r="C719" s="3"/>
      <c r="K719" s="4"/>
      <c r="L719" s="4"/>
    </row>
    <row r="720" spans="3:12">
      <c r="C720" s="3"/>
      <c r="K720" s="4"/>
      <c r="L720" s="4"/>
    </row>
    <row r="721" spans="3:12">
      <c r="C721" s="3"/>
      <c r="K721" s="4"/>
      <c r="L721" s="4"/>
    </row>
    <row r="722" spans="3:12">
      <c r="C722" s="3"/>
      <c r="K722" s="4"/>
      <c r="L722" s="4"/>
    </row>
    <row r="723" spans="3:12">
      <c r="C723" s="3"/>
      <c r="K723" s="4"/>
      <c r="L723" s="4"/>
    </row>
    <row r="724" spans="3:12">
      <c r="C724" s="3"/>
      <c r="K724" s="4"/>
      <c r="L724" s="4"/>
    </row>
    <row r="725" spans="3:12">
      <c r="C725" s="3"/>
      <c r="K725" s="4"/>
      <c r="L725" s="4"/>
    </row>
    <row r="726" spans="3:12">
      <c r="C726" s="3"/>
      <c r="K726" s="4"/>
      <c r="L726" s="4"/>
    </row>
    <row r="727" spans="3:12">
      <c r="C727" s="3"/>
      <c r="K727" s="4"/>
      <c r="L727" s="4"/>
    </row>
    <row r="728" spans="3:12">
      <c r="C728" s="3"/>
      <c r="K728" s="4"/>
      <c r="L728" s="4"/>
    </row>
    <row r="729" spans="3:12">
      <c r="C729" s="3"/>
      <c r="K729" s="4"/>
      <c r="L729" s="4"/>
    </row>
    <row r="730" spans="3:12">
      <c r="C730" s="3"/>
      <c r="K730" s="4"/>
      <c r="L730" s="4"/>
    </row>
    <row r="731" spans="3:12">
      <c r="C731" s="3"/>
      <c r="K731" s="4"/>
      <c r="L731" s="4"/>
    </row>
    <row r="732" spans="3:12">
      <c r="C732" s="3"/>
      <c r="K732" s="4"/>
      <c r="L732" s="4"/>
    </row>
    <row r="733" spans="3:12">
      <c r="C733" s="3"/>
      <c r="K733" s="4"/>
      <c r="L733" s="4"/>
    </row>
    <row r="734" spans="3:12">
      <c r="C734" s="3"/>
      <c r="K734" s="4"/>
      <c r="L734" s="4"/>
    </row>
    <row r="735" spans="3:12">
      <c r="C735" s="3"/>
      <c r="K735" s="4"/>
      <c r="L735" s="4"/>
    </row>
    <row r="736" spans="3:12">
      <c r="C736" s="3"/>
      <c r="K736" s="4"/>
      <c r="L736" s="4"/>
    </row>
    <row r="737" spans="3:12">
      <c r="C737" s="3"/>
      <c r="K737" s="4"/>
      <c r="L737" s="4"/>
    </row>
    <row r="738" spans="3:12">
      <c r="C738" s="3"/>
      <c r="K738" s="4"/>
      <c r="L738" s="4"/>
    </row>
    <row r="739" spans="3:12">
      <c r="C739" s="3"/>
      <c r="K739" s="4"/>
      <c r="L739" s="4"/>
    </row>
    <row r="740" spans="3:12">
      <c r="C740" s="3"/>
      <c r="K740" s="4"/>
      <c r="L740" s="4"/>
    </row>
    <row r="741" spans="3:12">
      <c r="C741" s="3"/>
      <c r="K741" s="4"/>
      <c r="L741" s="4"/>
    </row>
    <row r="742" spans="3:12">
      <c r="C742" s="3"/>
      <c r="K742" s="4"/>
      <c r="L742" s="4"/>
    </row>
    <row r="743" spans="3:12">
      <c r="C743" s="3"/>
      <c r="K743" s="4"/>
      <c r="L743" s="4"/>
    </row>
    <row r="744" spans="3:12">
      <c r="C744" s="3"/>
      <c r="K744" s="4"/>
      <c r="L744" s="4"/>
    </row>
    <row r="745" spans="3:12">
      <c r="C745" s="3"/>
      <c r="K745" s="4"/>
      <c r="L745" s="4"/>
    </row>
    <row r="746" spans="3:12">
      <c r="C746" s="3"/>
      <c r="K746" s="4"/>
      <c r="L746" s="4"/>
    </row>
    <row r="747" spans="3:12">
      <c r="C747" s="3"/>
      <c r="K747" s="4"/>
      <c r="L747" s="4"/>
    </row>
    <row r="748" spans="3:12">
      <c r="C748" s="3"/>
      <c r="K748" s="4"/>
      <c r="L748" s="4"/>
    </row>
    <row r="749" spans="3:12">
      <c r="C749" s="3"/>
      <c r="K749" s="4"/>
      <c r="L749" s="4"/>
    </row>
    <row r="750" spans="3:12">
      <c r="C750" s="3"/>
      <c r="K750" s="4"/>
      <c r="L750" s="4"/>
    </row>
    <row r="751" spans="3:12">
      <c r="C751" s="3"/>
      <c r="K751" s="4"/>
      <c r="L751" s="4"/>
    </row>
    <row r="752" spans="3:12">
      <c r="C752" s="3"/>
      <c r="K752" s="4"/>
      <c r="L752" s="4"/>
    </row>
    <row r="753" spans="3:12">
      <c r="C753" s="3"/>
      <c r="K753" s="4"/>
      <c r="L753" s="4"/>
    </row>
    <row r="754" spans="3:12">
      <c r="C754" s="3"/>
      <c r="K754" s="4"/>
      <c r="L754" s="4"/>
    </row>
    <row r="755" spans="3:12">
      <c r="C755" s="3"/>
      <c r="K755" s="4"/>
      <c r="L755" s="4"/>
    </row>
    <row r="756" spans="3:12">
      <c r="C756" s="3"/>
      <c r="K756" s="4"/>
      <c r="L756" s="4"/>
    </row>
    <row r="757" spans="3:12">
      <c r="C757" s="3"/>
      <c r="K757" s="4"/>
      <c r="L757" s="4"/>
    </row>
    <row r="758" spans="3:12">
      <c r="C758" s="3"/>
      <c r="K758" s="4"/>
      <c r="L758" s="4"/>
    </row>
    <row r="759" spans="3:12">
      <c r="C759" s="3"/>
      <c r="K759" s="4"/>
      <c r="L759" s="4"/>
    </row>
    <row r="760" spans="3:12">
      <c r="C760" s="3"/>
      <c r="K760" s="4"/>
      <c r="L760" s="4"/>
    </row>
    <row r="761" spans="3:12">
      <c r="C761" s="3"/>
      <c r="K761" s="4"/>
      <c r="L761" s="4"/>
    </row>
    <row r="762" spans="3:12">
      <c r="C762" s="3"/>
      <c r="K762" s="4"/>
      <c r="L762" s="4"/>
    </row>
    <row r="763" spans="3:12">
      <c r="C763" s="3"/>
      <c r="K763" s="4"/>
      <c r="L763" s="4"/>
    </row>
    <row r="764" spans="3:12">
      <c r="C764" s="3"/>
      <c r="K764" s="4"/>
      <c r="L764" s="4"/>
    </row>
    <row r="765" spans="3:12">
      <c r="C765" s="3"/>
      <c r="K765" s="4"/>
      <c r="L765" s="4"/>
    </row>
    <row r="766" spans="3:12">
      <c r="C766" s="3"/>
      <c r="K766" s="4"/>
      <c r="L766" s="4"/>
    </row>
    <row r="767" spans="3:12">
      <c r="C767" s="3"/>
      <c r="K767" s="4"/>
      <c r="L767" s="4"/>
    </row>
    <row r="768" spans="3:12">
      <c r="C768" s="3"/>
      <c r="K768" s="4"/>
      <c r="L768" s="4"/>
    </row>
    <row r="769" spans="3:12">
      <c r="C769" s="3"/>
      <c r="K769" s="4"/>
      <c r="L769" s="4"/>
    </row>
    <row r="770" spans="3:12">
      <c r="C770" s="3"/>
      <c r="K770" s="4"/>
      <c r="L770" s="4"/>
    </row>
    <row r="771" spans="3:12">
      <c r="C771" s="3"/>
      <c r="K771" s="4"/>
      <c r="L771" s="4"/>
    </row>
    <row r="772" spans="3:12">
      <c r="C772" s="3"/>
      <c r="K772" s="4"/>
      <c r="L772" s="4"/>
    </row>
    <row r="773" spans="3:12">
      <c r="C773" s="3"/>
      <c r="K773" s="4"/>
      <c r="L773" s="4"/>
    </row>
    <row r="774" spans="3:12">
      <c r="C774" s="3"/>
      <c r="K774" s="4"/>
      <c r="L774" s="4"/>
    </row>
    <row r="775" spans="3:12">
      <c r="C775" s="3"/>
      <c r="K775" s="4"/>
      <c r="L775" s="4"/>
    </row>
    <row r="776" spans="3:12">
      <c r="C776" s="3"/>
      <c r="K776" s="4"/>
      <c r="L776" s="4"/>
    </row>
    <row r="777" spans="3:12">
      <c r="C777" s="3"/>
      <c r="K777" s="4"/>
      <c r="L777" s="4"/>
    </row>
    <row r="778" spans="3:12">
      <c r="C778" s="3"/>
      <c r="K778" s="4"/>
      <c r="L778" s="4"/>
    </row>
    <row r="779" spans="3:12">
      <c r="C779" s="3"/>
      <c r="K779" s="4"/>
      <c r="L779" s="4"/>
    </row>
    <row r="780" spans="3:12">
      <c r="C780" s="3"/>
      <c r="K780" s="4"/>
      <c r="L780" s="4"/>
    </row>
    <row r="781" spans="3:12">
      <c r="C781" s="3"/>
      <c r="K781" s="4"/>
      <c r="L781" s="4"/>
    </row>
    <row r="782" spans="3:12">
      <c r="C782" s="3"/>
      <c r="K782" s="4"/>
      <c r="L782" s="4"/>
    </row>
    <row r="783" spans="3:12">
      <c r="C783" s="3"/>
      <c r="K783" s="4"/>
      <c r="L783" s="4"/>
    </row>
    <row r="784" spans="3:12">
      <c r="C784" s="3"/>
      <c r="K784" s="4"/>
      <c r="L784" s="4"/>
    </row>
    <row r="785" spans="3:12">
      <c r="C785" s="3"/>
      <c r="K785" s="4"/>
      <c r="L785" s="4"/>
    </row>
    <row r="786" spans="3:12">
      <c r="C786" s="3"/>
      <c r="K786" s="4"/>
      <c r="L786" s="4"/>
    </row>
    <row r="787" spans="3:12">
      <c r="C787" s="3"/>
      <c r="K787" s="4"/>
      <c r="L787" s="4"/>
    </row>
    <row r="788" spans="3:12">
      <c r="C788" s="3"/>
      <c r="K788" s="4"/>
      <c r="L788" s="4"/>
    </row>
    <row r="789" spans="3:12">
      <c r="C789" s="3"/>
      <c r="K789" s="4"/>
      <c r="L789" s="4"/>
    </row>
    <row r="790" spans="3:12">
      <c r="C790" s="3"/>
      <c r="K790" s="4"/>
      <c r="L790" s="4"/>
    </row>
    <row r="791" spans="3:12">
      <c r="C791" s="3"/>
      <c r="K791" s="4"/>
      <c r="L791" s="4"/>
    </row>
    <row r="792" spans="3:12">
      <c r="C792" s="3"/>
      <c r="K792" s="4"/>
      <c r="L792" s="4"/>
    </row>
    <row r="793" spans="3:12">
      <c r="C793" s="3"/>
      <c r="K793" s="4"/>
      <c r="L793" s="4"/>
    </row>
    <row r="794" spans="3:12">
      <c r="C794" s="3"/>
      <c r="K794" s="4"/>
      <c r="L794" s="4"/>
    </row>
    <row r="795" spans="3:12">
      <c r="C795" s="3"/>
      <c r="K795" s="4"/>
      <c r="L795" s="4"/>
    </row>
    <row r="796" spans="3:12">
      <c r="C796" s="3"/>
      <c r="K796" s="4"/>
      <c r="L796" s="4"/>
    </row>
    <row r="797" spans="3:12">
      <c r="C797" s="3"/>
      <c r="K797" s="4"/>
      <c r="L797" s="4"/>
    </row>
    <row r="798" spans="3:12">
      <c r="C798" s="3"/>
      <c r="K798" s="4"/>
      <c r="L798" s="4"/>
    </row>
    <row r="799" spans="3:12">
      <c r="C799" s="3"/>
      <c r="K799" s="4"/>
      <c r="L799" s="4"/>
    </row>
    <row r="800" spans="3:12">
      <c r="C800" s="3"/>
      <c r="K800" s="4"/>
      <c r="L800" s="4"/>
    </row>
    <row r="801" spans="3:12">
      <c r="C801" s="3"/>
      <c r="K801" s="4"/>
      <c r="L801" s="4"/>
    </row>
    <row r="802" spans="3:12">
      <c r="C802" s="3"/>
      <c r="K802" s="4"/>
      <c r="L802" s="4"/>
    </row>
    <row r="803" spans="3:12">
      <c r="C803" s="3"/>
      <c r="K803" s="4"/>
      <c r="L803" s="4"/>
    </row>
    <row r="804" spans="3:12">
      <c r="C804" s="3"/>
      <c r="K804" s="4"/>
      <c r="L804" s="4"/>
    </row>
    <row r="805" spans="3:12">
      <c r="C805" s="3"/>
      <c r="K805" s="4"/>
      <c r="L805" s="4"/>
    </row>
    <row r="806" spans="3:12">
      <c r="C806" s="3"/>
      <c r="K806" s="4"/>
      <c r="L806" s="4"/>
    </row>
    <row r="807" spans="3:12">
      <c r="C807" s="3"/>
      <c r="K807" s="4"/>
      <c r="L807" s="4"/>
    </row>
    <row r="808" spans="3:12">
      <c r="C808" s="3"/>
      <c r="K808" s="4"/>
      <c r="L808" s="4"/>
    </row>
    <row r="809" spans="3:12">
      <c r="C809" s="3"/>
      <c r="K809" s="4"/>
      <c r="L809" s="4"/>
    </row>
    <row r="810" spans="3:12">
      <c r="C810" s="3"/>
      <c r="K810" s="4"/>
      <c r="L810" s="4"/>
    </row>
    <row r="811" spans="3:12">
      <c r="C811" s="3"/>
      <c r="K811" s="4"/>
      <c r="L811" s="4"/>
    </row>
    <row r="812" spans="3:12">
      <c r="C812" s="3"/>
      <c r="K812" s="4"/>
      <c r="L812" s="4"/>
    </row>
    <row r="813" spans="3:12">
      <c r="C813" s="3"/>
      <c r="K813" s="4"/>
      <c r="L813" s="4"/>
    </row>
    <row r="814" spans="3:12">
      <c r="C814" s="3"/>
      <c r="K814" s="4"/>
      <c r="L814" s="4"/>
    </row>
    <row r="815" spans="3:12">
      <c r="C815" s="3"/>
      <c r="K815" s="4"/>
      <c r="L815" s="4"/>
    </row>
    <row r="816" spans="3:12">
      <c r="C816" s="3"/>
      <c r="K816" s="4"/>
      <c r="L816" s="4"/>
    </row>
    <row r="817" spans="3:12">
      <c r="C817" s="3"/>
      <c r="K817" s="4"/>
      <c r="L817" s="4"/>
    </row>
    <row r="818" spans="3:12">
      <c r="C818" s="3"/>
      <c r="K818" s="4"/>
      <c r="L818" s="4"/>
    </row>
    <row r="819" spans="3:12">
      <c r="C819" s="3"/>
      <c r="K819" s="4"/>
      <c r="L819" s="4"/>
    </row>
    <row r="820" spans="3:12">
      <c r="C820" s="3"/>
      <c r="K820" s="4"/>
      <c r="L820" s="4"/>
    </row>
    <row r="821" spans="3:12">
      <c r="C821" s="3"/>
      <c r="K821" s="4"/>
      <c r="L821" s="4"/>
    </row>
    <row r="822" spans="3:12">
      <c r="C822" s="3"/>
      <c r="K822" s="4"/>
      <c r="L822" s="4"/>
    </row>
    <row r="823" spans="3:12">
      <c r="C823" s="3"/>
      <c r="K823" s="4"/>
      <c r="L823" s="4"/>
    </row>
    <row r="824" spans="3:12">
      <c r="C824" s="3"/>
      <c r="K824" s="4"/>
      <c r="L824" s="4"/>
    </row>
    <row r="825" spans="3:12">
      <c r="C825" s="3"/>
      <c r="K825" s="4"/>
      <c r="L825" s="4"/>
    </row>
    <row r="826" spans="3:12">
      <c r="C826" s="3"/>
      <c r="K826" s="4"/>
      <c r="L826" s="4"/>
    </row>
    <row r="827" spans="3:12">
      <c r="C827" s="3"/>
      <c r="K827" s="4"/>
      <c r="L827" s="4"/>
    </row>
    <row r="828" spans="3:12">
      <c r="C828" s="3"/>
      <c r="K828" s="4"/>
      <c r="L828" s="4"/>
    </row>
    <row r="829" spans="3:12">
      <c r="C829" s="3"/>
      <c r="K829" s="4"/>
      <c r="L829" s="4"/>
    </row>
    <row r="830" spans="3:12">
      <c r="C830" s="3"/>
      <c r="K830" s="4"/>
      <c r="L830" s="4"/>
    </row>
    <row r="831" spans="3:12">
      <c r="C831" s="3"/>
      <c r="K831" s="4"/>
      <c r="L831" s="4"/>
    </row>
    <row r="832" spans="3:12">
      <c r="C832" s="3"/>
      <c r="K832" s="4"/>
      <c r="L832" s="4"/>
    </row>
    <row r="833" spans="3:12">
      <c r="C833" s="3"/>
      <c r="K833" s="4"/>
      <c r="L833" s="4"/>
    </row>
    <row r="834" spans="3:12">
      <c r="C834" s="3"/>
      <c r="K834" s="4"/>
      <c r="L834" s="4"/>
    </row>
    <row r="835" spans="3:12">
      <c r="C835" s="3"/>
      <c r="K835" s="4"/>
      <c r="L835" s="4"/>
    </row>
    <row r="836" spans="3:12">
      <c r="C836" s="3"/>
      <c r="K836" s="4"/>
      <c r="L836" s="4"/>
    </row>
    <row r="837" spans="3:12">
      <c r="C837" s="3"/>
      <c r="K837" s="4"/>
      <c r="L837" s="4"/>
    </row>
    <row r="838" spans="3:12">
      <c r="C838" s="3"/>
      <c r="K838" s="4"/>
      <c r="L838" s="4"/>
    </row>
    <row r="839" spans="3:12">
      <c r="C839" s="3"/>
      <c r="K839" s="4"/>
      <c r="L839" s="4"/>
    </row>
    <row r="840" spans="3:12">
      <c r="C840" s="3"/>
      <c r="K840" s="4"/>
      <c r="L840" s="4"/>
    </row>
    <row r="841" spans="3:12">
      <c r="C841" s="3"/>
      <c r="K841" s="4"/>
      <c r="L841" s="4"/>
    </row>
    <row r="842" spans="3:12">
      <c r="C842" s="3"/>
      <c r="K842" s="4"/>
      <c r="L842" s="4"/>
    </row>
    <row r="843" spans="3:12">
      <c r="C843" s="3"/>
      <c r="K843" s="4"/>
      <c r="L843" s="4"/>
    </row>
    <row r="844" spans="3:12">
      <c r="C844" s="3"/>
      <c r="K844" s="4"/>
      <c r="L844" s="4"/>
    </row>
    <row r="845" spans="3:12">
      <c r="C845" s="3"/>
      <c r="K845" s="4"/>
      <c r="L845" s="4"/>
    </row>
    <row r="846" spans="3:12">
      <c r="C846" s="3"/>
      <c r="K846" s="4"/>
      <c r="L846" s="4"/>
    </row>
    <row r="847" spans="3:12">
      <c r="C847" s="3"/>
      <c r="K847" s="4"/>
      <c r="L847" s="4"/>
    </row>
    <row r="848" spans="3:12">
      <c r="C848" s="3"/>
      <c r="K848" s="4"/>
      <c r="L848" s="4"/>
    </row>
    <row r="849" spans="3:12">
      <c r="C849" s="3"/>
      <c r="K849" s="4"/>
      <c r="L849" s="4"/>
    </row>
    <row r="850" spans="3:12">
      <c r="C850" s="3"/>
      <c r="K850" s="4"/>
      <c r="L850" s="4"/>
    </row>
    <row r="851" spans="3:12">
      <c r="C851" s="3"/>
      <c r="K851" s="4"/>
      <c r="L851" s="4"/>
    </row>
    <row r="852" spans="3:12">
      <c r="C852" s="3"/>
      <c r="K852" s="4"/>
      <c r="L852" s="4"/>
    </row>
    <row r="853" spans="3:12">
      <c r="C853" s="3"/>
      <c r="K853" s="4"/>
      <c r="L853" s="4"/>
    </row>
    <row r="854" spans="3:12">
      <c r="C854" s="3"/>
      <c r="K854" s="4"/>
      <c r="L854" s="4"/>
    </row>
    <row r="855" spans="3:12">
      <c r="C855" s="3"/>
      <c r="K855" s="4"/>
      <c r="L855" s="4"/>
    </row>
    <row r="856" spans="3:12">
      <c r="C856" s="3"/>
      <c r="K856" s="4"/>
      <c r="L856" s="4"/>
    </row>
    <row r="857" spans="3:12">
      <c r="C857" s="3"/>
      <c r="K857" s="4"/>
      <c r="L857" s="4"/>
    </row>
    <row r="858" spans="3:12">
      <c r="C858" s="3"/>
      <c r="K858" s="4"/>
      <c r="L858" s="4"/>
    </row>
    <row r="859" spans="3:12">
      <c r="C859" s="3"/>
      <c r="K859" s="4"/>
      <c r="L859" s="4"/>
    </row>
    <row r="860" spans="3:12">
      <c r="C860" s="3"/>
      <c r="K860" s="4"/>
      <c r="L860" s="4"/>
    </row>
    <row r="861" spans="3:12">
      <c r="C861" s="3"/>
      <c r="K861" s="4"/>
      <c r="L861" s="4"/>
    </row>
    <row r="862" spans="3:12">
      <c r="C862" s="3"/>
      <c r="K862" s="4"/>
      <c r="L862" s="4"/>
    </row>
    <row r="863" spans="3:12">
      <c r="C863" s="3"/>
      <c r="K863" s="4"/>
      <c r="L863" s="4"/>
    </row>
    <row r="864" spans="3:12">
      <c r="C864" s="3"/>
      <c r="K864" s="4"/>
      <c r="L864" s="4"/>
    </row>
    <row r="865" spans="3:12">
      <c r="C865" s="3"/>
      <c r="K865" s="4"/>
      <c r="L865" s="4"/>
    </row>
    <row r="866" spans="3:12">
      <c r="C866" s="3"/>
      <c r="K866" s="4"/>
      <c r="L866" s="4"/>
    </row>
    <row r="867" spans="3:12">
      <c r="C867" s="3"/>
      <c r="K867" s="4"/>
      <c r="L867" s="4"/>
    </row>
    <row r="868" spans="3:12">
      <c r="C868" s="3"/>
      <c r="K868" s="4"/>
      <c r="L868" s="4"/>
    </row>
    <row r="869" spans="3:12">
      <c r="C869" s="3"/>
      <c r="K869" s="4"/>
      <c r="L869" s="4"/>
    </row>
    <row r="870" spans="3:12">
      <c r="C870" s="3"/>
      <c r="K870" s="4"/>
      <c r="L870" s="4"/>
    </row>
    <row r="871" spans="3:12">
      <c r="C871" s="3"/>
      <c r="K871" s="4"/>
      <c r="L871" s="4"/>
    </row>
    <row r="872" spans="3:12">
      <c r="C872" s="3"/>
      <c r="K872" s="4"/>
      <c r="L872" s="4"/>
    </row>
    <row r="873" spans="3:12">
      <c r="C873" s="3"/>
      <c r="K873" s="4"/>
      <c r="L873" s="4"/>
    </row>
    <row r="874" spans="3:12">
      <c r="C874" s="3"/>
      <c r="K874" s="4"/>
      <c r="L874" s="4"/>
    </row>
    <row r="875" spans="3:12">
      <c r="C875" s="3"/>
      <c r="K875" s="4"/>
      <c r="L875" s="4"/>
    </row>
    <row r="876" spans="3:12">
      <c r="C876" s="3"/>
      <c r="K876" s="4"/>
      <c r="L876" s="4"/>
    </row>
    <row r="877" spans="3:12">
      <c r="C877" s="3"/>
      <c r="K877" s="4"/>
      <c r="L877" s="4"/>
    </row>
    <row r="878" spans="3:12">
      <c r="C878" s="3"/>
      <c r="K878" s="4"/>
      <c r="L878" s="4"/>
    </row>
    <row r="879" spans="3:12">
      <c r="C879" s="3"/>
      <c r="K879" s="4"/>
      <c r="L879" s="4"/>
    </row>
    <row r="880" spans="3:12">
      <c r="C880" s="3"/>
      <c r="K880" s="4"/>
      <c r="L880" s="4"/>
    </row>
    <row r="881" spans="3:12">
      <c r="C881" s="3"/>
      <c r="K881" s="4"/>
      <c r="L881" s="4"/>
    </row>
    <row r="882" spans="3:12">
      <c r="C882" s="3"/>
      <c r="K882" s="4"/>
      <c r="L882" s="4"/>
    </row>
    <row r="883" spans="3:12">
      <c r="C883" s="3"/>
      <c r="K883" s="4"/>
      <c r="L883" s="4"/>
    </row>
    <row r="884" spans="3:12">
      <c r="C884" s="3"/>
      <c r="K884" s="4"/>
      <c r="L884" s="4"/>
    </row>
    <row r="885" spans="3:12">
      <c r="C885" s="3"/>
      <c r="K885" s="4"/>
      <c r="L885" s="4"/>
    </row>
    <row r="886" spans="3:12">
      <c r="C886" s="3"/>
      <c r="K886" s="4"/>
      <c r="L886" s="4"/>
    </row>
    <row r="887" spans="3:12">
      <c r="C887" s="3"/>
      <c r="K887" s="4"/>
      <c r="L887" s="4"/>
    </row>
    <row r="888" spans="3:12">
      <c r="C888" s="3"/>
      <c r="K888" s="4"/>
      <c r="L888" s="4"/>
    </row>
    <row r="889" spans="3:12">
      <c r="C889" s="3"/>
      <c r="K889" s="4"/>
      <c r="L889" s="4"/>
    </row>
    <row r="890" spans="3:12">
      <c r="C890" s="3"/>
      <c r="K890" s="4"/>
      <c r="L890" s="4"/>
    </row>
    <row r="891" spans="3:12">
      <c r="C891" s="3"/>
      <c r="K891" s="4"/>
      <c r="L891" s="4"/>
    </row>
    <row r="892" spans="3:12">
      <c r="C892" s="3"/>
      <c r="K892" s="4"/>
      <c r="L892" s="4"/>
    </row>
    <row r="893" spans="3:12">
      <c r="C893" s="3"/>
      <c r="K893" s="4"/>
      <c r="L893" s="4"/>
    </row>
    <row r="894" spans="3:12">
      <c r="C894" s="3"/>
      <c r="K894" s="4"/>
      <c r="L894" s="4"/>
    </row>
    <row r="895" spans="3:12">
      <c r="C895" s="3"/>
      <c r="K895" s="4"/>
      <c r="L895" s="4"/>
    </row>
    <row r="896" spans="3:12">
      <c r="C896" s="3"/>
      <c r="K896" s="4"/>
      <c r="L896" s="4"/>
    </row>
    <row r="897" spans="3:12">
      <c r="C897" s="3"/>
      <c r="K897" s="4"/>
      <c r="L897" s="4"/>
    </row>
    <row r="898" spans="3:12">
      <c r="C898" s="3"/>
      <c r="K898" s="4"/>
      <c r="L898" s="4"/>
    </row>
    <row r="899" spans="3:12">
      <c r="C899" s="3"/>
      <c r="K899" s="4"/>
      <c r="L899" s="4"/>
    </row>
    <row r="900" spans="3:12">
      <c r="C900" s="3"/>
      <c r="K900" s="4"/>
      <c r="L900" s="4"/>
    </row>
    <row r="901" spans="3:12">
      <c r="C901" s="3"/>
      <c r="K901" s="4"/>
      <c r="L901" s="4"/>
    </row>
    <row r="902" spans="3:12">
      <c r="C902" s="3"/>
      <c r="K902" s="4"/>
      <c r="L902" s="4"/>
    </row>
    <row r="903" spans="3:12">
      <c r="C903" s="3"/>
      <c r="K903" s="4"/>
      <c r="L903" s="4"/>
    </row>
    <row r="904" spans="3:12">
      <c r="C904" s="3"/>
      <c r="K904" s="4"/>
      <c r="L904" s="4"/>
    </row>
    <row r="905" spans="3:12">
      <c r="C905" s="3"/>
      <c r="K905" s="4"/>
      <c r="L905" s="4"/>
    </row>
    <row r="906" spans="3:12">
      <c r="C906" s="3"/>
      <c r="K906" s="4"/>
      <c r="L906" s="4"/>
    </row>
    <row r="907" spans="3:12">
      <c r="C907" s="3"/>
      <c r="K907" s="4"/>
      <c r="L907" s="4"/>
    </row>
    <row r="908" spans="3:12">
      <c r="C908" s="3"/>
      <c r="K908" s="4"/>
      <c r="L908" s="4"/>
    </row>
    <row r="909" spans="3:12">
      <c r="C909" s="3"/>
      <c r="K909" s="4"/>
      <c r="L909" s="4"/>
    </row>
    <row r="910" spans="3:12">
      <c r="C910" s="3"/>
      <c r="K910" s="4"/>
      <c r="L910" s="4"/>
    </row>
    <row r="911" spans="3:12">
      <c r="C911" s="3"/>
      <c r="K911" s="4"/>
      <c r="L911" s="4"/>
    </row>
    <row r="912" spans="3:12">
      <c r="C912" s="3"/>
      <c r="K912" s="4"/>
      <c r="L912" s="4"/>
    </row>
    <row r="913" spans="3:12">
      <c r="C913" s="3"/>
      <c r="K913" s="4"/>
      <c r="L913" s="4"/>
    </row>
    <row r="914" spans="3:12">
      <c r="C914" s="3"/>
      <c r="K914" s="4"/>
      <c r="L914" s="4"/>
    </row>
    <row r="915" spans="3:12">
      <c r="C915" s="3"/>
      <c r="K915" s="4"/>
      <c r="L915" s="4"/>
    </row>
    <row r="916" spans="3:12">
      <c r="C916" s="3"/>
      <c r="K916" s="4"/>
      <c r="L916" s="4"/>
    </row>
    <row r="917" spans="3:12">
      <c r="C917" s="3"/>
      <c r="K917" s="4"/>
      <c r="L917" s="4"/>
    </row>
    <row r="918" spans="3:12">
      <c r="C918" s="3"/>
      <c r="K918" s="4"/>
      <c r="L918" s="4"/>
    </row>
    <row r="919" spans="3:12">
      <c r="C919" s="3"/>
      <c r="K919" s="4"/>
      <c r="L919" s="4"/>
    </row>
    <row r="920" spans="3:12">
      <c r="C920" s="3"/>
      <c r="K920" s="4"/>
      <c r="L920" s="4"/>
    </row>
    <row r="921" spans="3:12">
      <c r="C921" s="3"/>
      <c r="K921" s="4"/>
      <c r="L921" s="4"/>
    </row>
    <row r="922" spans="3:12">
      <c r="C922" s="3"/>
      <c r="K922" s="4"/>
      <c r="L922" s="4"/>
    </row>
    <row r="923" spans="3:12">
      <c r="C923" s="3"/>
      <c r="K923" s="4"/>
      <c r="L923" s="4"/>
    </row>
    <row r="924" spans="3:12">
      <c r="C924" s="3"/>
      <c r="K924" s="4"/>
      <c r="L924" s="4"/>
    </row>
    <row r="925" spans="3:12">
      <c r="C925" s="3"/>
      <c r="K925" s="4"/>
      <c r="L925" s="4"/>
    </row>
    <row r="926" spans="3:12">
      <c r="C926" s="3"/>
      <c r="K926" s="4"/>
      <c r="L926" s="4"/>
    </row>
    <row r="927" spans="3:12">
      <c r="C927" s="3"/>
      <c r="K927" s="4"/>
      <c r="L927" s="4"/>
    </row>
    <row r="928" spans="3:12">
      <c r="C928" s="3"/>
      <c r="K928" s="4"/>
      <c r="L928" s="4"/>
    </row>
    <row r="929" spans="3:12">
      <c r="C929" s="3"/>
      <c r="K929" s="4"/>
      <c r="L929" s="4"/>
    </row>
    <row r="930" spans="3:12">
      <c r="C930" s="3"/>
      <c r="K930" s="4"/>
      <c r="L930" s="4"/>
    </row>
    <row r="931" spans="3:12">
      <c r="C931" s="3"/>
      <c r="K931" s="4"/>
      <c r="L931" s="4"/>
    </row>
    <row r="932" spans="3:12">
      <c r="C932" s="3"/>
      <c r="K932" s="4"/>
      <c r="L932" s="4"/>
    </row>
    <row r="933" spans="3:12">
      <c r="C933" s="3"/>
      <c r="K933" s="4"/>
      <c r="L933" s="4"/>
    </row>
    <row r="934" spans="3:12">
      <c r="C934" s="3"/>
      <c r="K934" s="4"/>
      <c r="L934" s="4"/>
    </row>
    <row r="935" spans="3:12">
      <c r="C935" s="3"/>
      <c r="K935" s="4"/>
      <c r="L935" s="4"/>
    </row>
    <row r="936" spans="3:12">
      <c r="C936" s="3"/>
      <c r="K936" s="4"/>
      <c r="L936" s="4"/>
    </row>
    <row r="937" spans="3:12">
      <c r="C937" s="3"/>
      <c r="K937" s="4"/>
      <c r="L937" s="4"/>
    </row>
    <row r="938" spans="3:12">
      <c r="C938" s="3"/>
      <c r="K938" s="4"/>
      <c r="L938" s="4"/>
    </row>
    <row r="939" spans="3:12">
      <c r="C939" s="3"/>
      <c r="K939" s="4"/>
      <c r="L939" s="4"/>
    </row>
    <row r="940" spans="3:12">
      <c r="C940" s="3"/>
      <c r="K940" s="4"/>
      <c r="L940" s="4"/>
    </row>
    <row r="941" spans="3:12">
      <c r="C941" s="3"/>
      <c r="K941" s="4"/>
      <c r="L941" s="4"/>
    </row>
    <row r="942" spans="3:12">
      <c r="C942" s="3"/>
      <c r="K942" s="4"/>
      <c r="L942" s="4"/>
    </row>
    <row r="943" spans="3:12">
      <c r="C943" s="3"/>
      <c r="K943" s="4"/>
      <c r="L943" s="4"/>
    </row>
    <row r="944" spans="3:12">
      <c r="C944" s="3"/>
      <c r="K944" s="4"/>
      <c r="L944" s="4"/>
    </row>
    <row r="945" spans="3:12">
      <c r="C945" s="3"/>
      <c r="K945" s="4"/>
      <c r="L945" s="4"/>
    </row>
    <row r="946" spans="3:12">
      <c r="C946" s="3"/>
      <c r="K946" s="4"/>
      <c r="L946" s="4"/>
    </row>
    <row r="947" spans="3:12">
      <c r="C947" s="3"/>
      <c r="K947" s="4"/>
      <c r="L947" s="4"/>
    </row>
    <row r="948" spans="3:12">
      <c r="C948" s="3"/>
      <c r="K948" s="4"/>
      <c r="L948" s="4"/>
    </row>
    <row r="949" spans="3:12">
      <c r="C949" s="3"/>
      <c r="K949" s="4"/>
      <c r="L949" s="4"/>
    </row>
    <row r="950" spans="3:12">
      <c r="C950" s="3"/>
      <c r="K950" s="4"/>
      <c r="L950" s="4"/>
    </row>
    <row r="951" spans="3:12">
      <c r="C951" s="3"/>
      <c r="K951" s="4"/>
      <c r="L951" s="4"/>
    </row>
    <row r="952" spans="3:12">
      <c r="C952" s="3"/>
      <c r="K952" s="4"/>
      <c r="L952" s="4"/>
    </row>
    <row r="953" spans="3:12">
      <c r="C953" s="3"/>
      <c r="K953" s="4"/>
      <c r="L953" s="4"/>
    </row>
    <row r="954" spans="3:12">
      <c r="C954" s="3"/>
      <c r="K954" s="4"/>
      <c r="L954" s="4"/>
    </row>
    <row r="955" spans="3:12">
      <c r="C955" s="3"/>
      <c r="K955" s="4"/>
      <c r="L955" s="4"/>
    </row>
    <row r="956" spans="3:12">
      <c r="C956" s="3"/>
      <c r="K956" s="4"/>
      <c r="L956" s="4"/>
    </row>
    <row r="957" spans="3:12">
      <c r="C957" s="3"/>
      <c r="K957" s="4"/>
      <c r="L957" s="4"/>
    </row>
    <row r="958" spans="3:12">
      <c r="C958" s="3"/>
      <c r="K958" s="4"/>
      <c r="L958" s="4"/>
    </row>
    <row r="959" spans="3:12">
      <c r="C959" s="3"/>
      <c r="K959" s="4"/>
      <c r="L959" s="4"/>
    </row>
    <row r="960" spans="3:12">
      <c r="C960" s="3"/>
      <c r="K960" s="4"/>
      <c r="L960" s="4"/>
    </row>
    <row r="961" spans="3:12">
      <c r="C961" s="3"/>
      <c r="K961" s="4"/>
      <c r="L961" s="4"/>
    </row>
    <row r="962" spans="3:12">
      <c r="C962" s="3"/>
      <c r="K962" s="4"/>
      <c r="L962" s="4"/>
    </row>
    <row r="963" spans="3:12">
      <c r="C963" s="3"/>
      <c r="K963" s="4"/>
      <c r="L963" s="4"/>
    </row>
    <row r="964" spans="3:12">
      <c r="C964" s="3"/>
      <c r="K964" s="4"/>
      <c r="L964" s="4"/>
    </row>
    <row r="965" spans="3:12">
      <c r="C965" s="3"/>
      <c r="K965" s="4"/>
      <c r="L965" s="4"/>
    </row>
    <row r="966" spans="3:12">
      <c r="C966" s="3"/>
      <c r="K966" s="4"/>
      <c r="L966" s="4"/>
    </row>
    <row r="967" spans="3:12">
      <c r="C967" s="3"/>
      <c r="K967" s="4"/>
      <c r="L967" s="4"/>
    </row>
    <row r="968" spans="3:12">
      <c r="C968" s="3"/>
      <c r="K968" s="4"/>
      <c r="L968" s="4"/>
    </row>
    <row r="969" spans="3:12">
      <c r="C969" s="3"/>
      <c r="K969" s="4"/>
      <c r="L969" s="4"/>
    </row>
    <row r="970" spans="3:12">
      <c r="C970" s="3"/>
      <c r="K970" s="4"/>
      <c r="L970" s="4"/>
    </row>
    <row r="971" spans="3:12">
      <c r="C971" s="3"/>
      <c r="K971" s="4"/>
      <c r="L971" s="4"/>
    </row>
    <row r="972" spans="3:12">
      <c r="C972" s="3"/>
      <c r="K972" s="4"/>
      <c r="L972" s="4"/>
    </row>
    <row r="973" spans="3:12">
      <c r="C973" s="3"/>
      <c r="K973" s="4"/>
      <c r="L973" s="4"/>
    </row>
    <row r="974" spans="3:12">
      <c r="C974" s="3"/>
      <c r="K974" s="4"/>
      <c r="L974" s="4"/>
    </row>
    <row r="975" spans="3:12">
      <c r="C975" s="3"/>
      <c r="K975" s="4"/>
      <c r="L975" s="4"/>
    </row>
    <row r="976" spans="3:12">
      <c r="C976" s="3"/>
      <c r="K976" s="4"/>
      <c r="L976" s="4"/>
    </row>
    <row r="977" spans="3:12">
      <c r="C977" s="3"/>
      <c r="K977" s="4"/>
      <c r="L977" s="4"/>
    </row>
    <row r="978" spans="3:12">
      <c r="C978" s="3"/>
      <c r="K978" s="4"/>
      <c r="L978" s="4"/>
    </row>
    <row r="979" spans="3:12">
      <c r="C979" s="3"/>
      <c r="K979" s="4"/>
      <c r="L979" s="4"/>
    </row>
    <row r="980" spans="3:12">
      <c r="C980" s="3"/>
      <c r="K980" s="4"/>
      <c r="L980" s="4"/>
    </row>
    <row r="981" spans="3:12">
      <c r="C981" s="3"/>
      <c r="K981" s="4"/>
      <c r="L981" s="4"/>
    </row>
    <row r="982" spans="3:12">
      <c r="C982" s="3"/>
      <c r="K982" s="4"/>
      <c r="L982" s="4"/>
    </row>
    <row r="983" spans="3:12">
      <c r="C983" s="3"/>
      <c r="K983" s="4"/>
      <c r="L983" s="4"/>
    </row>
    <row r="984" spans="3:12">
      <c r="C984" s="3"/>
      <c r="K984" s="4"/>
      <c r="L984" s="4"/>
    </row>
    <row r="985" spans="3:12">
      <c r="C985" s="3"/>
      <c r="K985" s="4"/>
      <c r="L985" s="4"/>
    </row>
    <row r="986" spans="3:12">
      <c r="C986" s="3"/>
      <c r="K986" s="4"/>
      <c r="L986" s="4"/>
    </row>
    <row r="987" spans="3:12">
      <c r="C987" s="3"/>
      <c r="K987" s="4"/>
      <c r="L987" s="4"/>
    </row>
    <row r="988" spans="3:12">
      <c r="C988" s="3"/>
      <c r="K988" s="4"/>
      <c r="L988" s="4"/>
    </row>
    <row r="989" spans="3:12">
      <c r="C989" s="3"/>
      <c r="K989" s="4"/>
      <c r="L989" s="4"/>
    </row>
    <row r="990" spans="3:12">
      <c r="C990" s="3"/>
      <c r="K990" s="4"/>
      <c r="L990" s="4"/>
    </row>
    <row r="991" spans="3:12">
      <c r="C991" s="3"/>
      <c r="K991" s="4"/>
      <c r="L991" s="4"/>
    </row>
    <row r="992" spans="3:12">
      <c r="C992" s="3"/>
      <c r="K992" s="4"/>
      <c r="L992" s="4"/>
    </row>
    <row r="993" spans="3:12">
      <c r="C993" s="3"/>
      <c r="K993" s="4"/>
      <c r="L993" s="4"/>
    </row>
    <row r="994" spans="3:12">
      <c r="C994" s="3"/>
      <c r="K994" s="4"/>
      <c r="L994" s="4"/>
    </row>
    <row r="995" spans="3:12">
      <c r="C995" s="3"/>
      <c r="K995" s="4"/>
      <c r="L995" s="4"/>
    </row>
    <row r="996" spans="3:12">
      <c r="C996" s="3"/>
      <c r="K996" s="4"/>
      <c r="L996" s="4"/>
    </row>
    <row r="997" spans="3:12">
      <c r="C997" s="3"/>
      <c r="K997" s="4"/>
      <c r="L997" s="4"/>
    </row>
    <row r="998" spans="3:12">
      <c r="C998" s="3"/>
      <c r="K998" s="4"/>
      <c r="L998" s="4"/>
    </row>
    <row r="999" spans="3:12">
      <c r="C999" s="3"/>
      <c r="K999" s="4"/>
      <c r="L999" s="4"/>
    </row>
    <row r="1000" spans="3:12">
      <c r="C1000" s="3"/>
      <c r="K1000" s="4"/>
      <c r="L1000" s="4"/>
    </row>
    <row r="1001" spans="3:12">
      <c r="C1001" s="3"/>
      <c r="K1001" s="4"/>
      <c r="L1001" s="4"/>
    </row>
    <row r="1002" spans="3:12">
      <c r="C1002" s="3"/>
      <c r="K1002" s="4"/>
      <c r="L1002" s="4"/>
    </row>
    <row r="1003" spans="3:12">
      <c r="C1003" s="3"/>
      <c r="K1003" s="4"/>
      <c r="L1003" s="4"/>
    </row>
    <row r="1004" spans="3:12">
      <c r="C1004" s="3"/>
      <c r="K1004" s="4"/>
      <c r="L1004" s="4"/>
    </row>
    <row r="1005" spans="3:12">
      <c r="C1005" s="3"/>
      <c r="K1005" s="4"/>
      <c r="L1005" s="4"/>
    </row>
    <row r="1006" spans="3:12">
      <c r="C1006" s="3"/>
      <c r="K1006" s="4"/>
      <c r="L1006" s="4"/>
    </row>
    <row r="1007" spans="3:12">
      <c r="C1007" s="3"/>
      <c r="K1007" s="4"/>
      <c r="L1007" s="4"/>
    </row>
    <row r="1008" spans="3:12">
      <c r="C1008" s="3"/>
      <c r="K1008" s="4"/>
      <c r="L1008" s="4"/>
    </row>
    <row r="1009" spans="3:12">
      <c r="C1009" s="3"/>
      <c r="K1009" s="4"/>
      <c r="L1009" s="4"/>
    </row>
    <row r="1010" spans="3:12">
      <c r="C1010" s="3"/>
      <c r="K1010" s="4"/>
      <c r="L1010" s="4"/>
    </row>
    <row r="1011" spans="3:12">
      <c r="C1011" s="3"/>
      <c r="K1011" s="4"/>
      <c r="L1011" s="4"/>
    </row>
    <row r="1012" spans="3:12">
      <c r="C1012" s="3"/>
      <c r="K1012" s="4"/>
      <c r="L1012" s="4"/>
    </row>
    <row r="1013" spans="3:12">
      <c r="C1013" s="3"/>
      <c r="K1013" s="4"/>
      <c r="L1013" s="4"/>
    </row>
    <row r="1014" spans="3:12">
      <c r="C1014" s="3"/>
      <c r="K1014" s="4"/>
      <c r="L1014" s="4"/>
    </row>
    <row r="1015" spans="3:12">
      <c r="C1015" s="3"/>
      <c r="K1015" s="4"/>
      <c r="L1015" s="4"/>
    </row>
    <row r="1016" spans="3:12">
      <c r="C1016" s="3"/>
      <c r="K1016" s="4"/>
      <c r="L1016" s="4"/>
    </row>
    <row r="1017" spans="3:12">
      <c r="C1017" s="3"/>
      <c r="K1017" s="4"/>
      <c r="L1017" s="4"/>
    </row>
    <row r="1018" spans="3:12">
      <c r="C1018" s="3"/>
      <c r="K1018" s="4"/>
      <c r="L1018" s="4"/>
    </row>
    <row r="1019" spans="3:12">
      <c r="C1019" s="3"/>
      <c r="K1019" s="4"/>
      <c r="L1019" s="4"/>
    </row>
    <row r="1020" spans="3:12">
      <c r="C1020" s="3"/>
      <c r="K1020" s="4"/>
      <c r="L1020" s="4"/>
    </row>
    <row r="1021" spans="3:12">
      <c r="C1021" s="3"/>
      <c r="K1021" s="4"/>
      <c r="L1021" s="4"/>
    </row>
    <row r="1022" spans="3:12">
      <c r="C1022" s="3"/>
      <c r="K1022" s="4"/>
      <c r="L1022" s="4"/>
    </row>
    <row r="1023" spans="3:12">
      <c r="C1023" s="3"/>
      <c r="K1023" s="4"/>
      <c r="L1023" s="4"/>
    </row>
    <row r="1024" spans="3:12">
      <c r="C1024" s="3"/>
      <c r="K1024" s="4"/>
      <c r="L1024" s="4"/>
    </row>
    <row r="1025" spans="3:12">
      <c r="C1025" s="3"/>
      <c r="K1025" s="4"/>
      <c r="L1025" s="4"/>
    </row>
    <row r="1026" spans="3:12">
      <c r="C1026" s="3"/>
      <c r="K1026" s="4"/>
      <c r="L1026" s="4"/>
    </row>
    <row r="1027" spans="3:12">
      <c r="C1027" s="3"/>
      <c r="K1027" s="4"/>
      <c r="L1027" s="4"/>
    </row>
    <row r="1028" spans="3:12">
      <c r="C1028" s="3"/>
      <c r="K1028" s="4"/>
      <c r="L1028" s="4"/>
    </row>
    <row r="1029" spans="3:12">
      <c r="C1029" s="3"/>
      <c r="K1029" s="4"/>
      <c r="L1029" s="4"/>
    </row>
    <row r="1030" spans="3:12">
      <c r="C1030" s="3"/>
      <c r="K1030" s="4"/>
      <c r="L1030" s="4"/>
    </row>
    <row r="1031" spans="3:12">
      <c r="C1031" s="3"/>
      <c r="K1031" s="4"/>
      <c r="L1031" s="4"/>
    </row>
    <row r="1032" spans="3:12">
      <c r="C1032" s="3"/>
      <c r="K1032" s="4"/>
      <c r="L1032" s="4"/>
    </row>
    <row r="1033" spans="3:12">
      <c r="C1033" s="3"/>
      <c r="K1033" s="4"/>
      <c r="L1033" s="4"/>
    </row>
    <row r="1034" spans="3:12">
      <c r="C1034" s="3"/>
      <c r="K1034" s="4"/>
      <c r="L1034" s="4"/>
    </row>
    <row r="1035" spans="3:12">
      <c r="C1035" s="3"/>
      <c r="K1035" s="4"/>
      <c r="L1035" s="4"/>
    </row>
    <row r="1036" spans="3:12">
      <c r="C1036" s="3"/>
      <c r="K1036" s="4"/>
      <c r="L1036" s="4"/>
    </row>
    <row r="1037" spans="3:12">
      <c r="C1037" s="3"/>
      <c r="K1037" s="4"/>
      <c r="L1037" s="4"/>
    </row>
    <row r="1038" spans="3:12">
      <c r="C1038" s="3"/>
      <c r="K1038" s="4"/>
      <c r="L1038" s="4"/>
    </row>
    <row r="1039" spans="3:12">
      <c r="C1039" s="3"/>
      <c r="K1039" s="4"/>
      <c r="L1039" s="4"/>
    </row>
    <row r="1040" spans="3:12">
      <c r="C1040" s="3"/>
      <c r="K1040" s="4"/>
      <c r="L1040" s="4"/>
    </row>
    <row r="1041" spans="3:12">
      <c r="C1041" s="3"/>
      <c r="K1041" s="4"/>
      <c r="L1041" s="4"/>
    </row>
    <row r="1042" spans="3:12">
      <c r="C1042" s="3"/>
      <c r="K1042" s="4"/>
      <c r="L1042" s="4"/>
    </row>
    <row r="1043" spans="3:12">
      <c r="C1043" s="3"/>
      <c r="K1043" s="4"/>
      <c r="L1043" s="4"/>
    </row>
    <row r="1044" spans="3:12">
      <c r="C1044" s="3"/>
      <c r="K1044" s="4"/>
      <c r="L1044" s="4"/>
    </row>
    <row r="1045" spans="3:12">
      <c r="C1045" s="3"/>
      <c r="K1045" s="4"/>
      <c r="L1045" s="4"/>
    </row>
    <row r="1046" spans="3:12">
      <c r="C1046" s="3"/>
      <c r="K1046" s="4"/>
      <c r="L1046" s="4"/>
    </row>
    <row r="1047" spans="3:12">
      <c r="C1047" s="3"/>
      <c r="K1047" s="4"/>
      <c r="L1047" s="4"/>
    </row>
    <row r="1048" spans="3:12">
      <c r="C1048" s="3"/>
      <c r="K1048" s="4"/>
      <c r="L1048" s="4"/>
    </row>
    <row r="1049" spans="3:12">
      <c r="C1049" s="3"/>
      <c r="K1049" s="4"/>
      <c r="L1049" s="4"/>
    </row>
    <row r="1050" spans="3:12">
      <c r="C1050" s="3"/>
      <c r="K1050" s="4"/>
      <c r="L1050" s="4"/>
    </row>
    <row r="1051" spans="3:12">
      <c r="C1051" s="3"/>
      <c r="K1051" s="4"/>
      <c r="L1051" s="4"/>
    </row>
    <row r="1052" spans="3:12">
      <c r="C1052" s="3"/>
      <c r="K1052" s="4"/>
      <c r="L1052" s="4"/>
    </row>
    <row r="1053" spans="3:12">
      <c r="C1053" s="3"/>
      <c r="K1053" s="4"/>
      <c r="L1053" s="4"/>
    </row>
    <row r="1054" spans="3:12">
      <c r="C1054" s="3"/>
      <c r="K1054" s="4"/>
      <c r="L1054" s="4"/>
    </row>
    <row r="1055" spans="3:12">
      <c r="C1055" s="3"/>
      <c r="K1055" s="4"/>
      <c r="L1055" s="4"/>
    </row>
    <row r="1056" spans="3:12">
      <c r="C1056" s="3"/>
      <c r="K1056" s="4"/>
      <c r="L1056" s="4"/>
    </row>
    <row r="1057" spans="3:12">
      <c r="C1057" s="3"/>
      <c r="K1057" s="4"/>
      <c r="L1057" s="4"/>
    </row>
    <row r="1058" spans="3:12">
      <c r="C1058" s="3"/>
      <c r="K1058" s="4"/>
      <c r="L1058" s="4"/>
    </row>
    <row r="1059" spans="3:12">
      <c r="C1059" s="3"/>
      <c r="K1059" s="4"/>
      <c r="L1059" s="4"/>
    </row>
    <row r="1060" spans="3:12">
      <c r="C1060" s="3"/>
      <c r="K1060" s="4"/>
      <c r="L1060" s="4"/>
    </row>
    <row r="1061" spans="3:12">
      <c r="C1061" s="3"/>
      <c r="K1061" s="4"/>
      <c r="L1061" s="4"/>
    </row>
    <row r="1062" spans="3:12">
      <c r="C1062" s="3"/>
      <c r="K1062" s="4"/>
      <c r="L1062" s="4"/>
    </row>
    <row r="1063" spans="3:12">
      <c r="C1063" s="3"/>
      <c r="K1063" s="4"/>
      <c r="L1063" s="4"/>
    </row>
    <row r="1064" spans="3:12">
      <c r="C1064" s="3"/>
      <c r="K1064" s="4"/>
      <c r="L1064" s="4"/>
    </row>
    <row r="1065" spans="3:12">
      <c r="C1065" s="3"/>
      <c r="K1065" s="4"/>
      <c r="L1065" s="4"/>
    </row>
    <row r="1066" spans="3:12">
      <c r="C1066" s="3"/>
      <c r="K1066" s="4"/>
      <c r="L1066" s="4"/>
    </row>
    <row r="1067" spans="3:12">
      <c r="C1067" s="3"/>
      <c r="K1067" s="4"/>
      <c r="L1067" s="4"/>
    </row>
    <row r="1068" spans="3:12">
      <c r="C1068" s="3"/>
      <c r="K1068" s="4"/>
      <c r="L1068" s="4"/>
    </row>
    <row r="1069" spans="3:12">
      <c r="C1069" s="3"/>
      <c r="K1069" s="4"/>
      <c r="L1069" s="4"/>
    </row>
    <row r="1070" spans="3:12">
      <c r="C1070" s="3"/>
      <c r="K1070" s="4"/>
      <c r="L1070" s="4"/>
    </row>
    <row r="1071" spans="3:12">
      <c r="C1071" s="3"/>
      <c r="K1071" s="4"/>
      <c r="L1071" s="4"/>
    </row>
    <row r="1072" spans="3:12">
      <c r="C1072" s="3"/>
      <c r="K1072" s="4"/>
      <c r="L1072" s="4"/>
    </row>
    <row r="1073" spans="3:12">
      <c r="C1073" s="3"/>
      <c r="K1073" s="4"/>
      <c r="L1073" s="4"/>
    </row>
    <row r="1074" spans="3:12">
      <c r="C1074" s="3"/>
      <c r="K1074" s="4"/>
      <c r="L1074" s="4"/>
    </row>
    <row r="1075" spans="3:12">
      <c r="C1075" s="3"/>
      <c r="K1075" s="4"/>
      <c r="L1075" s="4"/>
    </row>
    <row r="1076" spans="3:12">
      <c r="C1076" s="3"/>
      <c r="K1076" s="4"/>
      <c r="L1076" s="4"/>
    </row>
    <row r="1077" spans="3:12">
      <c r="C1077" s="3"/>
      <c r="K1077" s="4"/>
      <c r="L1077" s="4"/>
    </row>
    <row r="1078" spans="3:12">
      <c r="C1078" s="3"/>
      <c r="K1078" s="4"/>
      <c r="L1078" s="4"/>
    </row>
    <row r="1079" spans="3:12">
      <c r="C1079" s="3"/>
      <c r="K1079" s="4"/>
      <c r="L1079" s="4"/>
    </row>
    <row r="1080" spans="3:12">
      <c r="C1080" s="3"/>
      <c r="K1080" s="4"/>
      <c r="L1080" s="4"/>
    </row>
    <row r="1081" spans="3:12">
      <c r="C1081" s="3"/>
      <c r="K1081" s="4"/>
      <c r="L1081" s="4"/>
    </row>
    <row r="1082" spans="3:12">
      <c r="C1082" s="3"/>
      <c r="K1082" s="4"/>
      <c r="L1082" s="4"/>
    </row>
    <row r="1083" spans="3:12">
      <c r="C1083" s="3"/>
      <c r="K1083" s="4"/>
      <c r="L1083" s="4"/>
    </row>
    <row r="1084" spans="3:12">
      <c r="C1084" s="3"/>
      <c r="K1084" s="4"/>
      <c r="L1084" s="4"/>
    </row>
    <row r="1085" spans="3:12">
      <c r="C1085" s="3"/>
      <c r="K1085" s="4"/>
      <c r="L1085" s="4"/>
    </row>
    <row r="1086" spans="3:12">
      <c r="C1086" s="3"/>
      <c r="K1086" s="4"/>
      <c r="L1086" s="4"/>
    </row>
    <row r="1087" spans="3:12">
      <c r="C1087" s="3"/>
      <c r="K1087" s="4"/>
      <c r="L1087" s="4"/>
    </row>
    <row r="1088" spans="3:12">
      <c r="C1088" s="3"/>
      <c r="K1088" s="4"/>
      <c r="L1088" s="4"/>
    </row>
    <row r="1089" spans="3:12">
      <c r="C1089" s="3"/>
      <c r="K1089" s="4"/>
      <c r="L1089" s="4"/>
    </row>
    <row r="1090" spans="3:12">
      <c r="C1090" s="3"/>
      <c r="K1090" s="4"/>
      <c r="L1090" s="4"/>
    </row>
    <row r="1091" spans="3:12">
      <c r="C1091" s="3"/>
      <c r="K1091" s="4"/>
      <c r="L1091" s="4"/>
    </row>
    <row r="1092" spans="3:12">
      <c r="C1092" s="3"/>
      <c r="K1092" s="4"/>
      <c r="L1092" s="4"/>
    </row>
    <row r="1093" spans="3:12">
      <c r="C1093" s="3"/>
      <c r="K1093" s="4"/>
      <c r="L1093" s="4"/>
    </row>
    <row r="1094" spans="3:12">
      <c r="C1094" s="3"/>
      <c r="K1094" s="4"/>
      <c r="L1094" s="4"/>
    </row>
    <row r="1095" spans="3:12">
      <c r="C1095" s="3"/>
      <c r="K1095" s="4"/>
      <c r="L1095" s="4"/>
    </row>
    <row r="1096" spans="3:12">
      <c r="C1096" s="3"/>
      <c r="K1096" s="4"/>
      <c r="L1096" s="4"/>
    </row>
    <row r="1097" spans="3:12">
      <c r="C1097" s="3"/>
      <c r="K1097" s="4"/>
      <c r="L1097" s="4"/>
    </row>
    <row r="1098" spans="3:12">
      <c r="C1098" s="3"/>
      <c r="K1098" s="4"/>
      <c r="L1098" s="4"/>
    </row>
    <row r="1099" spans="3:12">
      <c r="C1099" s="3"/>
      <c r="K1099" s="4"/>
      <c r="L1099" s="4"/>
    </row>
    <row r="1100" spans="3:12">
      <c r="C1100" s="3"/>
      <c r="K1100" s="4"/>
      <c r="L1100" s="4"/>
    </row>
    <row r="1101" spans="3:12">
      <c r="C1101" s="3"/>
      <c r="K1101" s="4"/>
      <c r="L1101" s="4"/>
    </row>
    <row r="1102" spans="3:12">
      <c r="C1102" s="3"/>
      <c r="K1102" s="4"/>
      <c r="L1102" s="4"/>
    </row>
    <row r="1103" spans="3:12">
      <c r="C1103" s="3"/>
      <c r="K1103" s="4"/>
      <c r="L1103" s="4"/>
    </row>
    <row r="1104" spans="3:12">
      <c r="C1104" s="3"/>
      <c r="K1104" s="4"/>
      <c r="L1104" s="4"/>
    </row>
    <row r="1105" spans="3:12">
      <c r="C1105" s="3"/>
      <c r="K1105" s="4"/>
      <c r="L1105" s="4"/>
    </row>
    <row r="1106" spans="3:12">
      <c r="C1106" s="3"/>
      <c r="K1106" s="4"/>
      <c r="L1106" s="4"/>
    </row>
    <row r="1107" spans="3:12">
      <c r="C1107" s="3"/>
      <c r="K1107" s="4"/>
      <c r="L1107" s="4"/>
    </row>
    <row r="1108" spans="3:12">
      <c r="C1108" s="3"/>
      <c r="K1108" s="4"/>
      <c r="L1108" s="4"/>
    </row>
    <row r="1109" spans="3:12">
      <c r="C1109" s="3"/>
      <c r="K1109" s="4"/>
      <c r="L1109" s="4"/>
    </row>
    <row r="1110" spans="3:12">
      <c r="C1110" s="3"/>
      <c r="K1110" s="4"/>
      <c r="L1110" s="4"/>
    </row>
    <row r="1111" spans="3:12">
      <c r="C1111" s="3"/>
      <c r="K1111" s="4"/>
      <c r="L1111" s="4"/>
    </row>
    <row r="1112" spans="3:12">
      <c r="C1112" s="3"/>
      <c r="K1112" s="4"/>
      <c r="L1112" s="4"/>
    </row>
    <row r="1113" spans="3:12">
      <c r="C1113" s="3"/>
      <c r="K1113" s="4"/>
      <c r="L1113" s="4"/>
    </row>
    <row r="1114" spans="3:12">
      <c r="C1114" s="3"/>
      <c r="K1114" s="4"/>
      <c r="L1114" s="4"/>
    </row>
    <row r="1115" spans="3:12">
      <c r="C1115" s="3"/>
      <c r="K1115" s="4"/>
      <c r="L1115" s="4"/>
    </row>
    <row r="1116" spans="3:12">
      <c r="C1116" s="3"/>
      <c r="K1116" s="4"/>
      <c r="L1116" s="4"/>
    </row>
    <row r="1117" spans="3:12">
      <c r="C1117" s="3"/>
      <c r="K1117" s="4"/>
      <c r="L1117" s="4"/>
    </row>
    <row r="1118" spans="3:12">
      <c r="C1118" s="3"/>
      <c r="K1118" s="4"/>
      <c r="L1118" s="4"/>
    </row>
    <row r="1119" spans="3:12">
      <c r="C1119" s="3"/>
      <c r="K1119" s="4"/>
      <c r="L1119" s="4"/>
    </row>
    <row r="1120" spans="3:12">
      <c r="C1120" s="3"/>
      <c r="K1120" s="4"/>
      <c r="L1120" s="4"/>
    </row>
    <row r="1121" spans="3:12">
      <c r="C1121" s="3"/>
      <c r="K1121" s="4"/>
      <c r="L1121" s="4"/>
    </row>
    <row r="1122" spans="3:12">
      <c r="C1122" s="3"/>
      <c r="K1122" s="4"/>
      <c r="L1122" s="4"/>
    </row>
    <row r="1123" spans="3:12">
      <c r="C1123" s="3"/>
      <c r="K1123" s="4"/>
      <c r="L1123" s="4"/>
    </row>
    <row r="1124" spans="3:12">
      <c r="C1124" s="3"/>
      <c r="K1124" s="4"/>
      <c r="L1124" s="4"/>
    </row>
    <row r="1125" spans="3:12">
      <c r="C1125" s="3"/>
      <c r="K1125" s="4"/>
      <c r="L1125" s="4"/>
    </row>
    <row r="1126" spans="3:12">
      <c r="C1126" s="3"/>
      <c r="K1126" s="4"/>
      <c r="L1126" s="4"/>
    </row>
    <row r="1127" spans="3:12">
      <c r="C1127" s="3"/>
      <c r="K1127" s="4"/>
      <c r="L1127" s="4"/>
    </row>
    <row r="1128" spans="3:12">
      <c r="C1128" s="3"/>
      <c r="K1128" s="4"/>
      <c r="L1128" s="4"/>
    </row>
    <row r="1129" spans="3:12">
      <c r="C1129" s="3"/>
      <c r="K1129" s="4"/>
      <c r="L1129" s="4"/>
    </row>
    <row r="1130" spans="3:12">
      <c r="C1130" s="3"/>
      <c r="K1130" s="4"/>
      <c r="L1130" s="4"/>
    </row>
    <row r="1131" spans="3:12">
      <c r="C1131" s="3"/>
      <c r="K1131" s="4"/>
      <c r="L1131" s="4"/>
    </row>
    <row r="1132" spans="3:12">
      <c r="C1132" s="3"/>
      <c r="K1132" s="4"/>
      <c r="L1132" s="4"/>
    </row>
    <row r="1133" spans="3:12">
      <c r="C1133" s="3"/>
      <c r="K1133" s="4"/>
      <c r="L1133" s="4"/>
    </row>
    <row r="1134" spans="3:12">
      <c r="C1134" s="3"/>
      <c r="K1134" s="4"/>
      <c r="L1134" s="4"/>
    </row>
    <row r="1135" spans="3:12">
      <c r="C1135" s="3"/>
      <c r="K1135" s="4"/>
      <c r="L1135" s="4"/>
    </row>
    <row r="1136" spans="3:12">
      <c r="C1136" s="3"/>
      <c r="K1136" s="4"/>
      <c r="L1136" s="4"/>
    </row>
    <row r="1137" spans="3:12">
      <c r="C1137" s="3"/>
      <c r="K1137" s="4"/>
      <c r="L1137" s="4"/>
    </row>
    <row r="1138" spans="3:12">
      <c r="C1138" s="3"/>
      <c r="K1138" s="4"/>
      <c r="L1138" s="4"/>
    </row>
    <row r="1139" spans="3:12">
      <c r="C1139" s="3"/>
      <c r="K1139" s="4"/>
      <c r="L1139" s="4"/>
    </row>
    <row r="1140" spans="3:12">
      <c r="C1140" s="3"/>
      <c r="K1140" s="4"/>
      <c r="L1140" s="4"/>
    </row>
    <row r="1141" spans="3:12">
      <c r="C1141" s="3"/>
      <c r="K1141" s="4"/>
      <c r="L1141" s="4"/>
    </row>
    <row r="1142" spans="3:12">
      <c r="C1142" s="3"/>
      <c r="K1142" s="4"/>
      <c r="L1142" s="4"/>
    </row>
    <row r="1143" spans="3:12">
      <c r="C1143" s="3"/>
      <c r="K1143" s="4"/>
      <c r="L1143" s="4"/>
    </row>
    <row r="1144" spans="3:12">
      <c r="C1144" s="3"/>
      <c r="K1144" s="4"/>
      <c r="L1144" s="4"/>
    </row>
    <row r="1145" spans="3:12">
      <c r="C1145" s="3"/>
      <c r="K1145" s="4"/>
      <c r="L1145" s="4"/>
    </row>
    <row r="1146" spans="3:12">
      <c r="C1146" s="3"/>
      <c r="K1146" s="4"/>
      <c r="L1146" s="4"/>
    </row>
    <row r="1147" spans="3:12">
      <c r="C1147" s="3"/>
      <c r="K1147" s="4"/>
      <c r="L1147" s="4"/>
    </row>
    <row r="1148" spans="3:12">
      <c r="C1148" s="3"/>
      <c r="K1148" s="4"/>
      <c r="L1148" s="4"/>
    </row>
    <row r="1149" spans="3:12">
      <c r="C1149" s="3"/>
      <c r="K1149" s="4"/>
      <c r="L1149" s="4"/>
    </row>
    <row r="1150" spans="3:12">
      <c r="C1150" s="3"/>
      <c r="K1150" s="4"/>
      <c r="L1150" s="4"/>
    </row>
    <row r="1151" spans="3:12">
      <c r="C1151" s="3"/>
      <c r="K1151" s="4"/>
      <c r="L1151" s="4"/>
    </row>
    <row r="1152" spans="3:12">
      <c r="C1152" s="3"/>
      <c r="K1152" s="4"/>
      <c r="L1152" s="4"/>
    </row>
    <row r="1153" spans="3:12">
      <c r="C1153" s="3"/>
      <c r="K1153" s="4"/>
      <c r="L1153" s="4"/>
    </row>
    <row r="1154" spans="3:12">
      <c r="C1154" s="3"/>
      <c r="K1154" s="4"/>
      <c r="L1154" s="4"/>
    </row>
    <row r="1155" spans="3:12">
      <c r="C1155" s="3"/>
      <c r="K1155" s="4"/>
      <c r="L1155" s="4"/>
    </row>
    <row r="1156" spans="3:12">
      <c r="C1156" s="3"/>
      <c r="K1156" s="4"/>
      <c r="L1156" s="4"/>
    </row>
    <row r="1157" spans="3:12">
      <c r="C1157" s="3"/>
      <c r="K1157" s="4"/>
      <c r="L1157" s="4"/>
    </row>
    <row r="1158" spans="3:12">
      <c r="C1158" s="3"/>
      <c r="K1158" s="4"/>
      <c r="L1158" s="4"/>
    </row>
    <row r="1159" spans="3:12">
      <c r="C1159" s="3"/>
      <c r="K1159" s="4"/>
      <c r="L1159" s="4"/>
    </row>
    <row r="1160" spans="3:12">
      <c r="C1160" s="3"/>
      <c r="K1160" s="4"/>
      <c r="L1160" s="4"/>
    </row>
    <row r="1161" spans="3:12">
      <c r="C1161" s="3"/>
      <c r="K1161" s="4"/>
      <c r="L1161" s="4"/>
    </row>
    <row r="1162" spans="3:12">
      <c r="C1162" s="3"/>
      <c r="K1162" s="4"/>
      <c r="L1162" s="4"/>
    </row>
    <row r="1163" spans="3:12">
      <c r="C1163" s="3"/>
      <c r="K1163" s="4"/>
      <c r="L1163" s="4"/>
    </row>
    <row r="1164" spans="3:12">
      <c r="C1164" s="3"/>
      <c r="K1164" s="4"/>
      <c r="L1164" s="4"/>
    </row>
    <row r="1165" spans="3:12">
      <c r="C1165" s="3"/>
      <c r="K1165" s="4"/>
      <c r="L1165" s="4"/>
    </row>
    <row r="1166" spans="3:12">
      <c r="C1166" s="3"/>
      <c r="K1166" s="4"/>
      <c r="L1166" s="4"/>
    </row>
    <row r="1167" spans="3:12">
      <c r="C1167" s="3"/>
      <c r="K1167" s="4"/>
      <c r="L1167" s="4"/>
    </row>
    <row r="1168" spans="3:12">
      <c r="C1168" s="3"/>
      <c r="K1168" s="4"/>
      <c r="L1168" s="4"/>
    </row>
    <row r="1169" spans="3:12">
      <c r="C1169" s="3"/>
      <c r="K1169" s="4"/>
      <c r="L1169" s="4"/>
    </row>
    <row r="1170" spans="3:12">
      <c r="C1170" s="3"/>
      <c r="K1170" s="4"/>
      <c r="L1170" s="4"/>
    </row>
    <row r="1171" spans="3:12">
      <c r="C1171" s="3"/>
      <c r="K1171" s="4"/>
      <c r="L1171" s="4"/>
    </row>
    <row r="1172" spans="3:12">
      <c r="C1172" s="3"/>
      <c r="K1172" s="4"/>
      <c r="L1172" s="4"/>
    </row>
    <row r="1173" spans="3:12">
      <c r="C1173" s="3"/>
      <c r="K1173" s="4"/>
      <c r="L1173" s="4"/>
    </row>
    <row r="1174" spans="3:12">
      <c r="C1174" s="3"/>
      <c r="K1174" s="4"/>
      <c r="L1174" s="4"/>
    </row>
    <row r="1175" spans="3:12">
      <c r="C1175" s="3"/>
      <c r="K1175" s="4"/>
      <c r="L1175" s="4"/>
    </row>
    <row r="1176" spans="3:12">
      <c r="C1176" s="3"/>
      <c r="K1176" s="4"/>
      <c r="L1176" s="4"/>
    </row>
    <row r="1177" spans="3:12">
      <c r="C1177" s="3"/>
      <c r="K1177" s="4"/>
      <c r="L1177" s="4"/>
    </row>
    <row r="1178" spans="3:12">
      <c r="C1178" s="3"/>
      <c r="K1178" s="4"/>
      <c r="L1178" s="4"/>
    </row>
    <row r="1179" spans="3:12">
      <c r="C1179" s="3"/>
      <c r="K1179" s="4"/>
      <c r="L1179" s="4"/>
    </row>
    <row r="1180" spans="3:12">
      <c r="C1180" s="3"/>
      <c r="K1180" s="4"/>
      <c r="L1180" s="4"/>
    </row>
    <row r="1181" spans="3:12">
      <c r="C1181" s="3"/>
      <c r="K1181" s="4"/>
      <c r="L1181" s="4"/>
    </row>
    <row r="1182" spans="3:12">
      <c r="C1182" s="3"/>
      <c r="K1182" s="4"/>
      <c r="L1182" s="4"/>
    </row>
    <row r="1183" spans="3:12">
      <c r="C1183" s="3"/>
      <c r="K1183" s="4"/>
      <c r="L1183" s="4"/>
    </row>
    <row r="1184" spans="3:12">
      <c r="C1184" s="3"/>
      <c r="K1184" s="4"/>
      <c r="L1184" s="4"/>
    </row>
    <row r="1185" spans="3:12">
      <c r="C1185" s="3"/>
      <c r="K1185" s="4"/>
      <c r="L1185" s="4"/>
    </row>
    <row r="1186" spans="3:12">
      <c r="C1186" s="3"/>
      <c r="K1186" s="4"/>
      <c r="L1186" s="4"/>
    </row>
    <row r="1187" spans="3:12">
      <c r="C1187" s="3"/>
      <c r="K1187" s="4"/>
      <c r="L1187" s="4"/>
    </row>
    <row r="1188" spans="3:12">
      <c r="C1188" s="3"/>
      <c r="K1188" s="4"/>
      <c r="L1188" s="4"/>
    </row>
    <row r="1189" spans="3:12">
      <c r="C1189" s="3"/>
      <c r="K1189" s="4"/>
      <c r="L1189" s="4"/>
    </row>
    <row r="1190" spans="3:12">
      <c r="C1190" s="3"/>
      <c r="K1190" s="4"/>
      <c r="L1190" s="4"/>
    </row>
    <row r="1191" spans="3:12">
      <c r="C1191" s="3"/>
      <c r="K1191" s="4"/>
      <c r="L1191" s="4"/>
    </row>
    <row r="1192" spans="3:12">
      <c r="C1192" s="3"/>
      <c r="K1192" s="4"/>
      <c r="L1192" s="4"/>
    </row>
    <row r="1193" spans="3:12">
      <c r="C1193" s="3"/>
      <c r="K1193" s="4"/>
      <c r="L1193" s="4"/>
    </row>
    <row r="1194" spans="3:12">
      <c r="C1194" s="3"/>
      <c r="K1194" s="4"/>
      <c r="L1194" s="4"/>
    </row>
    <row r="1195" spans="3:12">
      <c r="C1195" s="3"/>
      <c r="K1195" s="4"/>
      <c r="L1195" s="4"/>
    </row>
    <row r="1196" spans="3:12">
      <c r="C1196" s="3"/>
      <c r="K1196" s="4"/>
      <c r="L1196" s="4"/>
    </row>
    <row r="1197" spans="3:12">
      <c r="C1197" s="3"/>
      <c r="K1197" s="4"/>
      <c r="L1197" s="4"/>
    </row>
    <row r="1198" spans="3:12">
      <c r="C1198" s="3"/>
      <c r="K1198" s="4"/>
      <c r="L1198" s="4"/>
    </row>
    <row r="1199" spans="3:12">
      <c r="C1199" s="3"/>
      <c r="K1199" s="4"/>
      <c r="L1199" s="4"/>
    </row>
    <row r="1200" spans="3:12">
      <c r="C1200" s="3"/>
      <c r="K1200" s="4"/>
      <c r="L1200" s="4"/>
    </row>
    <row r="1201" spans="3:12">
      <c r="C1201" s="3"/>
      <c r="K1201" s="4"/>
      <c r="L1201" s="4"/>
    </row>
    <row r="1202" spans="3:12">
      <c r="C1202" s="3"/>
      <c r="K1202" s="4"/>
      <c r="L1202" s="4"/>
    </row>
    <row r="1203" spans="3:12">
      <c r="C1203" s="3"/>
      <c r="K1203" s="4"/>
      <c r="L1203" s="4"/>
    </row>
    <row r="1204" spans="3:12">
      <c r="C1204" s="3"/>
      <c r="K1204" s="4"/>
      <c r="L1204" s="4"/>
    </row>
    <row r="1205" spans="3:12">
      <c r="C1205" s="3"/>
      <c r="K1205" s="4"/>
      <c r="L1205" s="4"/>
    </row>
    <row r="1206" spans="3:12">
      <c r="C1206" s="3"/>
      <c r="K1206" s="4"/>
      <c r="L1206" s="4"/>
    </row>
    <row r="1207" spans="3:12">
      <c r="C1207" s="3"/>
      <c r="K1207" s="4"/>
      <c r="L1207" s="4"/>
    </row>
    <row r="1208" spans="3:12">
      <c r="C1208" s="3"/>
      <c r="K1208" s="4"/>
      <c r="L1208" s="4"/>
    </row>
    <row r="1209" spans="3:12">
      <c r="C1209" s="3"/>
      <c r="K1209" s="4"/>
      <c r="L1209" s="4"/>
    </row>
    <row r="1210" spans="3:12">
      <c r="C1210" s="3"/>
      <c r="K1210" s="4"/>
      <c r="L1210" s="4"/>
    </row>
    <row r="1211" spans="3:12">
      <c r="C1211" s="3"/>
      <c r="K1211" s="4"/>
      <c r="L1211" s="4"/>
    </row>
    <row r="1212" spans="3:12">
      <c r="C1212" s="3"/>
      <c r="K1212" s="4"/>
      <c r="L1212" s="4"/>
    </row>
    <row r="1213" spans="3:12">
      <c r="C1213" s="3"/>
      <c r="K1213" s="4"/>
      <c r="L1213" s="4"/>
    </row>
    <row r="1214" spans="3:12">
      <c r="C1214" s="3"/>
      <c r="K1214" s="4"/>
      <c r="L1214" s="4"/>
    </row>
    <row r="1215" spans="3:12">
      <c r="C1215" s="3"/>
      <c r="K1215" s="4"/>
      <c r="L1215" s="4"/>
    </row>
    <row r="1216" spans="3:12">
      <c r="C1216" s="3"/>
      <c r="K1216" s="4"/>
      <c r="L1216" s="4"/>
    </row>
    <row r="1217" spans="3:12">
      <c r="C1217" s="3"/>
      <c r="K1217" s="4"/>
      <c r="L1217" s="4"/>
    </row>
    <row r="1218" spans="3:12">
      <c r="C1218" s="3"/>
      <c r="K1218" s="4"/>
      <c r="L1218" s="4"/>
    </row>
    <row r="1219" spans="3:12">
      <c r="C1219" s="3"/>
      <c r="K1219" s="4"/>
      <c r="L1219" s="4"/>
    </row>
    <row r="1220" spans="3:12">
      <c r="C1220" s="3"/>
      <c r="K1220" s="4"/>
      <c r="L1220" s="4"/>
    </row>
    <row r="1221" spans="3:12">
      <c r="C1221" s="3"/>
      <c r="K1221" s="4"/>
      <c r="L1221" s="4"/>
    </row>
    <row r="1222" spans="3:12">
      <c r="C1222" s="3"/>
      <c r="K1222" s="4"/>
      <c r="L1222" s="4"/>
    </row>
    <row r="1223" spans="3:12">
      <c r="C1223" s="3"/>
      <c r="K1223" s="4"/>
      <c r="L1223" s="4"/>
    </row>
    <row r="1224" spans="3:12">
      <c r="C1224" s="3"/>
      <c r="K1224" s="4"/>
      <c r="L1224" s="4"/>
    </row>
    <row r="1225" spans="3:12">
      <c r="C1225" s="3"/>
      <c r="K1225" s="4"/>
      <c r="L1225" s="4"/>
    </row>
    <row r="1226" spans="3:12">
      <c r="C1226" s="3"/>
      <c r="K1226" s="4"/>
      <c r="L1226" s="4"/>
    </row>
    <row r="1227" spans="3:12">
      <c r="C1227" s="3"/>
      <c r="K1227" s="4"/>
      <c r="L1227" s="4"/>
    </row>
    <row r="1228" spans="3:12">
      <c r="C1228" s="3"/>
      <c r="K1228" s="4"/>
      <c r="L1228" s="4"/>
    </row>
    <row r="1229" spans="3:12">
      <c r="C1229" s="3"/>
      <c r="K1229" s="4"/>
      <c r="L1229" s="4"/>
    </row>
    <row r="1230" spans="3:12">
      <c r="C1230" s="3"/>
      <c r="K1230" s="4"/>
      <c r="L1230" s="4"/>
    </row>
    <row r="1231" spans="3:12">
      <c r="C1231" s="3"/>
      <c r="K1231" s="4"/>
      <c r="L1231" s="4"/>
    </row>
    <row r="1232" spans="3:12">
      <c r="C1232" s="3"/>
      <c r="K1232" s="4"/>
      <c r="L1232" s="4"/>
    </row>
    <row r="1233" spans="3:12">
      <c r="C1233" s="3"/>
      <c r="K1233" s="4"/>
      <c r="L1233" s="4"/>
    </row>
    <row r="1234" spans="3:12">
      <c r="C1234" s="3"/>
      <c r="K1234" s="4"/>
      <c r="L1234" s="4"/>
    </row>
    <row r="1235" spans="3:12">
      <c r="C1235" s="3"/>
      <c r="K1235" s="4"/>
      <c r="L1235" s="4"/>
    </row>
    <row r="1236" spans="3:12">
      <c r="C1236" s="3"/>
      <c r="K1236" s="4"/>
      <c r="L1236" s="4"/>
    </row>
    <row r="1237" spans="3:12">
      <c r="C1237" s="3"/>
      <c r="K1237" s="4"/>
      <c r="L1237" s="4"/>
    </row>
    <row r="1238" spans="3:12">
      <c r="C1238" s="3"/>
      <c r="K1238" s="4"/>
      <c r="L1238" s="4"/>
    </row>
    <row r="1239" spans="3:12">
      <c r="C1239" s="3"/>
      <c r="K1239" s="4"/>
      <c r="L1239" s="4"/>
    </row>
    <row r="1240" spans="3:12">
      <c r="C1240" s="3"/>
      <c r="K1240" s="4"/>
      <c r="L1240" s="4"/>
    </row>
    <row r="1241" spans="3:12">
      <c r="C1241" s="3"/>
      <c r="K1241" s="4"/>
      <c r="L1241" s="4"/>
    </row>
    <row r="1242" spans="3:12">
      <c r="C1242" s="3"/>
      <c r="K1242" s="4"/>
      <c r="L1242" s="4"/>
    </row>
    <row r="1243" spans="3:12">
      <c r="C1243" s="3"/>
      <c r="K1243" s="4"/>
      <c r="L1243" s="4"/>
    </row>
    <row r="1244" spans="3:12">
      <c r="C1244" s="3"/>
      <c r="K1244" s="4"/>
      <c r="L1244" s="4"/>
    </row>
    <row r="1245" spans="3:12">
      <c r="C1245" s="3"/>
      <c r="K1245" s="4"/>
      <c r="L1245" s="4"/>
    </row>
    <row r="1246" spans="3:12">
      <c r="C1246" s="3"/>
      <c r="K1246" s="4"/>
      <c r="L1246" s="4"/>
    </row>
    <row r="1247" spans="3:12">
      <c r="C1247" s="3"/>
      <c r="K1247" s="4"/>
      <c r="L1247" s="4"/>
    </row>
    <row r="1248" spans="3:12">
      <c r="C1248" s="3"/>
      <c r="K1248" s="4"/>
      <c r="L1248" s="4"/>
    </row>
    <row r="1249" spans="3:12">
      <c r="C1249" s="3"/>
      <c r="K1249" s="4"/>
      <c r="L1249" s="4"/>
    </row>
    <row r="1250" spans="3:12">
      <c r="C1250" s="3"/>
      <c r="K1250" s="4"/>
      <c r="L1250" s="4"/>
    </row>
    <row r="1251" spans="3:12">
      <c r="C1251" s="3"/>
      <c r="K1251" s="4"/>
      <c r="L1251" s="4"/>
    </row>
    <row r="1252" spans="3:12">
      <c r="C1252" s="3"/>
      <c r="K1252" s="4"/>
      <c r="L1252" s="4"/>
    </row>
    <row r="1253" spans="3:12">
      <c r="C1253" s="3"/>
      <c r="K1253" s="4"/>
      <c r="L1253" s="4"/>
    </row>
    <row r="1254" spans="3:12">
      <c r="C1254" s="3"/>
      <c r="K1254" s="4"/>
      <c r="L1254" s="4"/>
    </row>
    <row r="1255" spans="3:12">
      <c r="C1255" s="3"/>
      <c r="K1255" s="4"/>
      <c r="L1255" s="4"/>
    </row>
    <row r="1256" spans="3:12">
      <c r="C1256" s="3"/>
      <c r="K1256" s="4"/>
      <c r="L1256" s="4"/>
    </row>
    <row r="1257" spans="3:12">
      <c r="C1257" s="3"/>
      <c r="K1257" s="4"/>
      <c r="L1257" s="4"/>
    </row>
    <row r="1258" spans="3:12">
      <c r="C1258" s="3"/>
      <c r="K1258" s="4"/>
      <c r="L1258" s="4"/>
    </row>
    <row r="1259" spans="3:12">
      <c r="C1259" s="3"/>
      <c r="K1259" s="4"/>
      <c r="L1259" s="4"/>
    </row>
    <row r="1260" spans="3:12">
      <c r="C1260" s="3"/>
      <c r="K1260" s="4"/>
      <c r="L1260" s="4"/>
    </row>
    <row r="1261" spans="3:12">
      <c r="C1261" s="3"/>
      <c r="K1261" s="4"/>
      <c r="L1261" s="4"/>
    </row>
    <row r="1262" spans="3:12">
      <c r="C1262" s="3"/>
      <c r="K1262" s="4"/>
      <c r="L1262" s="4"/>
    </row>
    <row r="1263" spans="3:12">
      <c r="C1263" s="3"/>
      <c r="K1263" s="4"/>
      <c r="L1263" s="4"/>
    </row>
    <row r="1264" spans="3:12">
      <c r="C1264" s="3"/>
      <c r="K1264" s="4"/>
      <c r="L1264" s="4"/>
    </row>
    <row r="1265" spans="3:12">
      <c r="C1265" s="3"/>
      <c r="K1265" s="4"/>
      <c r="L1265" s="4"/>
    </row>
    <row r="1266" spans="3:12">
      <c r="C1266" s="3"/>
      <c r="K1266" s="4"/>
      <c r="L1266" s="4"/>
    </row>
    <row r="1267" spans="3:12">
      <c r="C1267" s="3"/>
      <c r="K1267" s="4"/>
      <c r="L1267" s="4"/>
    </row>
    <row r="1268" spans="3:12">
      <c r="C1268" s="3"/>
      <c r="K1268" s="4"/>
      <c r="L1268" s="4"/>
    </row>
    <row r="1269" spans="3:12">
      <c r="C1269" s="3"/>
      <c r="K1269" s="4"/>
      <c r="L1269" s="4"/>
    </row>
    <row r="1270" spans="3:12">
      <c r="C1270" s="3"/>
      <c r="K1270" s="4"/>
      <c r="L1270" s="4"/>
    </row>
    <row r="1271" spans="3:12">
      <c r="C1271" s="3"/>
      <c r="K1271" s="4"/>
      <c r="L1271" s="4"/>
    </row>
    <row r="1272" spans="3:12">
      <c r="C1272" s="3"/>
      <c r="K1272" s="4"/>
      <c r="L1272" s="4"/>
    </row>
    <row r="1273" spans="3:12">
      <c r="C1273" s="3"/>
      <c r="K1273" s="4"/>
      <c r="L1273" s="4"/>
    </row>
    <row r="1274" spans="3:12">
      <c r="C1274" s="3"/>
      <c r="K1274" s="4"/>
      <c r="L1274" s="4"/>
    </row>
    <row r="1275" spans="3:12">
      <c r="C1275" s="3"/>
      <c r="K1275" s="4"/>
      <c r="L1275" s="4"/>
    </row>
    <row r="1276" spans="3:12">
      <c r="C1276" s="3"/>
      <c r="K1276" s="4"/>
      <c r="L1276" s="4"/>
    </row>
    <row r="1277" spans="3:12">
      <c r="C1277" s="3"/>
      <c r="K1277" s="4"/>
      <c r="L1277" s="4"/>
    </row>
    <row r="1278" spans="3:12">
      <c r="C1278" s="3"/>
      <c r="K1278" s="4"/>
      <c r="L1278" s="4"/>
    </row>
    <row r="1279" spans="3:12">
      <c r="C1279" s="3"/>
      <c r="K1279" s="4"/>
      <c r="L1279" s="4"/>
    </row>
    <row r="1280" spans="3:12">
      <c r="C1280" s="3"/>
      <c r="K1280" s="4"/>
      <c r="L1280" s="4"/>
    </row>
    <row r="1281" spans="3:12">
      <c r="C1281" s="3"/>
      <c r="K1281" s="4"/>
      <c r="L1281" s="4"/>
    </row>
    <row r="1282" spans="3:12">
      <c r="C1282" s="3"/>
      <c r="K1282" s="4"/>
      <c r="L1282" s="4"/>
    </row>
    <row r="1283" spans="3:12">
      <c r="C1283" s="3"/>
      <c r="K1283" s="4"/>
      <c r="L1283" s="4"/>
    </row>
    <row r="1284" spans="3:12">
      <c r="C1284" s="3"/>
      <c r="K1284" s="4"/>
      <c r="L1284" s="4"/>
    </row>
    <row r="1285" spans="3:12">
      <c r="C1285" s="3"/>
      <c r="K1285" s="4"/>
      <c r="L1285" s="4"/>
    </row>
    <row r="1286" spans="3:12">
      <c r="C1286" s="3"/>
      <c r="K1286" s="4"/>
      <c r="L1286" s="4"/>
    </row>
    <row r="1287" spans="3:12">
      <c r="C1287" s="3"/>
      <c r="K1287" s="4"/>
      <c r="L1287" s="4"/>
    </row>
    <row r="1288" spans="3:12">
      <c r="C1288" s="3"/>
      <c r="K1288" s="4"/>
      <c r="L1288" s="4"/>
    </row>
    <row r="1289" spans="3:12">
      <c r="C1289" s="3"/>
      <c r="K1289" s="4"/>
      <c r="L1289" s="4"/>
    </row>
    <row r="1290" spans="3:12">
      <c r="C1290" s="3"/>
      <c r="K1290" s="4"/>
      <c r="L1290" s="4"/>
    </row>
    <row r="1291" spans="3:12">
      <c r="C1291" s="3"/>
      <c r="K1291" s="4"/>
      <c r="L1291" s="4"/>
    </row>
    <row r="1292" spans="3:12">
      <c r="C1292" s="3"/>
      <c r="K1292" s="4"/>
      <c r="L1292" s="4"/>
    </row>
    <row r="1293" spans="3:12">
      <c r="C1293" s="3"/>
      <c r="K1293" s="4"/>
      <c r="L1293" s="4"/>
    </row>
    <row r="1294" spans="3:12">
      <c r="C1294" s="3"/>
      <c r="K1294" s="4"/>
      <c r="L1294" s="4"/>
    </row>
    <row r="1295" spans="3:12">
      <c r="C1295" s="3"/>
      <c r="K1295" s="4"/>
      <c r="L1295" s="4"/>
    </row>
    <row r="1296" spans="3:12">
      <c r="C1296" s="3"/>
      <c r="K1296" s="4"/>
      <c r="L1296" s="4"/>
    </row>
    <row r="1297" spans="3:12">
      <c r="C1297" s="3"/>
      <c r="K1297" s="4"/>
      <c r="L1297" s="4"/>
    </row>
    <row r="1298" spans="3:12">
      <c r="C1298" s="3"/>
      <c r="K1298" s="4"/>
      <c r="L1298" s="4"/>
    </row>
    <row r="1299" spans="3:12">
      <c r="C1299" s="3"/>
      <c r="K1299" s="4"/>
      <c r="L1299" s="4"/>
    </row>
    <row r="1300" spans="3:12">
      <c r="C1300" s="3"/>
      <c r="K1300" s="4"/>
      <c r="L1300" s="4"/>
    </row>
    <row r="1301" spans="3:12">
      <c r="C1301" s="3"/>
      <c r="K1301" s="4"/>
      <c r="L1301" s="4"/>
    </row>
    <row r="1302" spans="3:12">
      <c r="C1302" s="3"/>
      <c r="K1302" s="4"/>
      <c r="L1302" s="4"/>
    </row>
    <row r="1303" spans="3:12">
      <c r="C1303" s="3"/>
      <c r="K1303" s="4"/>
      <c r="L1303" s="4"/>
    </row>
    <row r="1304" spans="3:12">
      <c r="C1304" s="3"/>
      <c r="K1304" s="4"/>
      <c r="L1304" s="4"/>
    </row>
    <row r="1305" spans="3:12">
      <c r="C1305" s="3"/>
      <c r="K1305" s="4"/>
      <c r="L1305" s="4"/>
    </row>
    <row r="1306" spans="3:12">
      <c r="C1306" s="3"/>
      <c r="K1306" s="4"/>
      <c r="L1306" s="4"/>
    </row>
    <row r="1307" spans="3:12">
      <c r="C1307" s="3"/>
      <c r="K1307" s="4"/>
      <c r="L1307" s="4"/>
    </row>
    <row r="1308" spans="3:12">
      <c r="C1308" s="3"/>
      <c r="K1308" s="4"/>
      <c r="L1308" s="4"/>
    </row>
    <row r="1309" spans="3:12">
      <c r="C1309" s="3"/>
      <c r="K1309" s="4"/>
      <c r="L1309" s="4"/>
    </row>
    <row r="1310" spans="3:12">
      <c r="C1310" s="3"/>
      <c r="K1310" s="4"/>
      <c r="L1310" s="4"/>
    </row>
    <row r="1311" spans="3:12">
      <c r="C1311" s="3"/>
      <c r="K1311" s="4"/>
      <c r="L1311" s="4"/>
    </row>
    <row r="1312" spans="3:12">
      <c r="C1312" s="3"/>
      <c r="K1312" s="4"/>
      <c r="L1312" s="4"/>
    </row>
    <row r="1313" spans="3:12">
      <c r="C1313" s="3"/>
      <c r="K1313" s="4"/>
      <c r="L1313" s="4"/>
    </row>
    <row r="1314" spans="3:12">
      <c r="C1314" s="3"/>
      <c r="K1314" s="4"/>
      <c r="L1314" s="4"/>
    </row>
    <row r="1315" spans="3:12">
      <c r="C1315" s="3"/>
      <c r="K1315" s="4"/>
      <c r="L1315" s="4"/>
    </row>
    <row r="1316" spans="3:12">
      <c r="C1316" s="3"/>
      <c r="K1316" s="4"/>
      <c r="L1316" s="4"/>
    </row>
    <row r="1317" spans="3:12">
      <c r="C1317" s="3"/>
      <c r="K1317" s="4"/>
      <c r="L1317" s="4"/>
    </row>
    <row r="1318" spans="3:12">
      <c r="C1318" s="3"/>
      <c r="K1318" s="4"/>
      <c r="L1318" s="4"/>
    </row>
    <row r="1319" spans="3:12">
      <c r="C1319" s="3"/>
      <c r="K1319" s="4"/>
      <c r="L1319" s="4"/>
    </row>
    <row r="1320" spans="3:12">
      <c r="C1320" s="3"/>
      <c r="K1320" s="4"/>
      <c r="L1320" s="4"/>
    </row>
    <row r="1321" spans="3:12">
      <c r="C1321" s="3"/>
      <c r="K1321" s="4"/>
      <c r="L1321" s="4"/>
    </row>
    <row r="1322" spans="3:12">
      <c r="C1322" s="3"/>
      <c r="K1322" s="4"/>
      <c r="L1322" s="4"/>
    </row>
    <row r="1323" spans="3:12">
      <c r="C1323" s="3"/>
      <c r="K1323" s="4"/>
      <c r="L1323" s="4"/>
    </row>
    <row r="1324" spans="3:12">
      <c r="C1324" s="3"/>
      <c r="K1324" s="4"/>
      <c r="L1324" s="4"/>
    </row>
    <row r="1325" spans="3:12">
      <c r="C1325" s="3"/>
      <c r="K1325" s="4"/>
      <c r="L1325" s="4"/>
    </row>
    <row r="1326" spans="3:12">
      <c r="C1326" s="3"/>
      <c r="K1326" s="4"/>
      <c r="L1326" s="4"/>
    </row>
    <row r="1327" spans="3:12">
      <c r="C1327" s="3"/>
      <c r="K1327" s="4"/>
      <c r="L1327" s="4"/>
    </row>
    <row r="1328" spans="3:12">
      <c r="C1328" s="3"/>
      <c r="K1328" s="4"/>
      <c r="L1328" s="4"/>
    </row>
    <row r="1329" spans="3:12">
      <c r="C1329" s="3"/>
      <c r="K1329" s="4"/>
      <c r="L1329" s="4"/>
    </row>
    <row r="1330" spans="3:12">
      <c r="C1330" s="3"/>
      <c r="K1330" s="4"/>
      <c r="L1330" s="4"/>
    </row>
    <row r="1331" spans="3:12">
      <c r="C1331" s="3"/>
      <c r="K1331" s="4"/>
      <c r="L1331" s="4"/>
    </row>
    <row r="1332" spans="3:12">
      <c r="C1332" s="3"/>
      <c r="K1332" s="4"/>
      <c r="L1332" s="4"/>
    </row>
    <row r="1333" spans="3:12">
      <c r="C1333" s="3"/>
      <c r="K1333" s="4"/>
      <c r="L1333" s="4"/>
    </row>
    <row r="1334" spans="3:12">
      <c r="C1334" s="3"/>
      <c r="K1334" s="4"/>
      <c r="L1334" s="4"/>
    </row>
    <row r="1335" spans="3:12">
      <c r="C1335" s="3"/>
      <c r="K1335" s="4"/>
      <c r="L1335" s="4"/>
    </row>
    <row r="1336" spans="3:12">
      <c r="C1336" s="3"/>
      <c r="K1336" s="4"/>
      <c r="L1336" s="4"/>
    </row>
    <row r="1337" spans="3:12">
      <c r="C1337" s="3"/>
      <c r="K1337" s="4"/>
      <c r="L1337" s="4"/>
    </row>
    <row r="1338" spans="3:12">
      <c r="C1338" s="3"/>
      <c r="K1338" s="4"/>
      <c r="L1338" s="4"/>
    </row>
    <row r="1339" spans="3:12">
      <c r="C1339" s="3"/>
      <c r="K1339" s="4"/>
      <c r="L1339" s="4"/>
    </row>
    <row r="1340" spans="3:12">
      <c r="C1340" s="3"/>
      <c r="K1340" s="4"/>
      <c r="L1340" s="4"/>
    </row>
    <row r="1341" spans="3:12">
      <c r="C1341" s="3"/>
      <c r="K1341" s="4"/>
      <c r="L1341" s="4"/>
    </row>
    <row r="1342" spans="3:12">
      <c r="C1342" s="3"/>
      <c r="K1342" s="4"/>
      <c r="L1342" s="4"/>
    </row>
    <row r="1343" spans="3:12">
      <c r="C1343" s="3"/>
      <c r="K1343" s="4"/>
      <c r="L1343" s="4"/>
    </row>
    <row r="1344" spans="3:12">
      <c r="C1344" s="3"/>
      <c r="K1344" s="4"/>
      <c r="L1344" s="4"/>
    </row>
    <row r="1345" spans="3:12">
      <c r="C1345" s="3"/>
      <c r="K1345" s="4"/>
      <c r="L1345" s="4"/>
    </row>
    <row r="1346" spans="3:12">
      <c r="C1346" s="3"/>
      <c r="K1346" s="4"/>
      <c r="L1346" s="4"/>
    </row>
    <row r="1347" spans="3:12">
      <c r="C1347" s="3"/>
      <c r="K1347" s="4"/>
      <c r="L1347" s="4"/>
    </row>
    <row r="1348" spans="3:12">
      <c r="C1348" s="3"/>
      <c r="K1348" s="4"/>
      <c r="L1348" s="4"/>
    </row>
    <row r="1349" spans="3:12">
      <c r="C1349" s="3"/>
      <c r="K1349" s="4"/>
      <c r="L1349" s="4"/>
    </row>
    <row r="1350" spans="3:12">
      <c r="C1350" s="3"/>
      <c r="K1350" s="4"/>
      <c r="L1350" s="4"/>
    </row>
    <row r="1351" spans="3:12">
      <c r="C1351" s="3"/>
      <c r="K1351" s="4"/>
      <c r="L1351" s="4"/>
    </row>
    <row r="1352" spans="3:12">
      <c r="C1352" s="3"/>
      <c r="K1352" s="4"/>
      <c r="L1352" s="4"/>
    </row>
    <row r="1353" spans="3:12">
      <c r="C1353" s="3"/>
      <c r="K1353" s="4"/>
      <c r="L1353" s="4"/>
    </row>
    <row r="1354" spans="3:12">
      <c r="C1354" s="3"/>
      <c r="K1354" s="4"/>
      <c r="L1354" s="4"/>
    </row>
    <row r="1355" spans="3:12">
      <c r="C1355" s="3"/>
      <c r="K1355" s="4"/>
      <c r="L1355" s="4"/>
    </row>
    <row r="1356" spans="3:12">
      <c r="C1356" s="3"/>
      <c r="K1356" s="4"/>
      <c r="L1356" s="4"/>
    </row>
    <row r="1357" spans="3:12">
      <c r="C1357" s="3"/>
      <c r="K1357" s="4"/>
      <c r="L1357" s="4"/>
    </row>
    <row r="1358" spans="3:12">
      <c r="C1358" s="3"/>
      <c r="K1358" s="4"/>
      <c r="L1358" s="4"/>
    </row>
    <row r="1359" spans="3:12">
      <c r="C1359" s="3"/>
      <c r="K1359" s="4"/>
      <c r="L1359" s="4"/>
    </row>
    <row r="1360" spans="3:12">
      <c r="C1360" s="3"/>
      <c r="K1360" s="4"/>
      <c r="L1360" s="4"/>
    </row>
    <row r="1361" spans="3:12">
      <c r="C1361" s="3"/>
      <c r="K1361" s="4"/>
      <c r="L1361" s="4"/>
    </row>
    <row r="1362" spans="3:12">
      <c r="C1362" s="3"/>
      <c r="K1362" s="4"/>
      <c r="L1362" s="4"/>
    </row>
    <row r="1363" spans="3:12">
      <c r="C1363" s="3"/>
      <c r="K1363" s="4"/>
      <c r="L1363" s="4"/>
    </row>
    <row r="1364" spans="3:12">
      <c r="C1364" s="3"/>
      <c r="K1364" s="4"/>
      <c r="L1364" s="4"/>
    </row>
    <row r="1365" spans="3:12">
      <c r="C1365" s="3"/>
      <c r="K1365" s="4"/>
      <c r="L1365" s="4"/>
    </row>
    <row r="1366" spans="3:12">
      <c r="C1366" s="3"/>
      <c r="K1366" s="4"/>
      <c r="L1366" s="4"/>
    </row>
    <row r="1367" spans="3:12">
      <c r="C1367" s="3"/>
      <c r="K1367" s="4"/>
      <c r="L1367" s="4"/>
    </row>
    <row r="1368" spans="3:12">
      <c r="C1368" s="3"/>
      <c r="K1368" s="4"/>
      <c r="L1368" s="4"/>
    </row>
    <row r="1369" spans="3:12">
      <c r="C1369" s="3"/>
      <c r="K1369" s="4"/>
      <c r="L1369" s="4"/>
    </row>
    <row r="1370" spans="3:12">
      <c r="C1370" s="3"/>
      <c r="K1370" s="4"/>
      <c r="L1370" s="4"/>
    </row>
    <row r="1371" spans="3:12">
      <c r="C1371" s="3"/>
      <c r="K1371" s="4"/>
      <c r="L1371" s="4"/>
    </row>
    <row r="1372" spans="3:12">
      <c r="C1372" s="3"/>
      <c r="K1372" s="4"/>
      <c r="L1372" s="4"/>
    </row>
    <row r="1373" spans="3:12">
      <c r="C1373" s="3"/>
      <c r="K1373" s="4"/>
      <c r="L1373" s="4"/>
    </row>
    <row r="1374" spans="3:12">
      <c r="C1374" s="3"/>
      <c r="K1374" s="4"/>
      <c r="L1374" s="4"/>
    </row>
    <row r="1375" spans="3:12">
      <c r="C1375" s="3"/>
      <c r="K1375" s="4"/>
      <c r="L1375" s="4"/>
    </row>
    <row r="1376" spans="3:12">
      <c r="C1376" s="3"/>
      <c r="K1376" s="4"/>
      <c r="L1376" s="4"/>
    </row>
    <row r="1377" spans="3:12">
      <c r="C1377" s="3"/>
      <c r="K1377" s="4"/>
      <c r="L1377" s="4"/>
    </row>
    <row r="1378" spans="3:12">
      <c r="C1378" s="3"/>
      <c r="K1378" s="4"/>
      <c r="L1378" s="4"/>
    </row>
    <row r="1379" spans="3:12">
      <c r="C1379" s="3"/>
      <c r="K1379" s="4"/>
      <c r="L1379" s="4"/>
    </row>
    <row r="1380" spans="3:12">
      <c r="C1380" s="3"/>
      <c r="K1380" s="4"/>
      <c r="L1380" s="4"/>
    </row>
    <row r="1381" spans="3:12">
      <c r="C1381" s="3"/>
      <c r="K1381" s="4"/>
      <c r="L1381" s="4"/>
    </row>
    <row r="1382" spans="3:12">
      <c r="C1382" s="3"/>
      <c r="K1382" s="4"/>
      <c r="L1382" s="4"/>
    </row>
    <row r="1383" spans="3:12">
      <c r="C1383" s="3"/>
      <c r="K1383" s="4"/>
      <c r="L1383" s="4"/>
    </row>
    <row r="1384" spans="3:12">
      <c r="C1384" s="3"/>
      <c r="K1384" s="4"/>
      <c r="L1384" s="4"/>
    </row>
    <row r="1385" spans="3:12">
      <c r="C1385" s="3"/>
      <c r="K1385" s="4"/>
      <c r="L1385" s="4"/>
    </row>
    <row r="1386" spans="3:12">
      <c r="C1386" s="3"/>
      <c r="K1386" s="4"/>
      <c r="L1386" s="4"/>
    </row>
    <row r="1387" spans="3:12">
      <c r="C1387" s="3"/>
      <c r="K1387" s="4"/>
      <c r="L1387" s="4"/>
    </row>
    <row r="1388" spans="3:12">
      <c r="C1388" s="3"/>
      <c r="K1388" s="4"/>
      <c r="L1388" s="4"/>
    </row>
    <row r="1389" spans="3:12">
      <c r="C1389" s="3"/>
      <c r="K1389" s="4"/>
      <c r="L1389" s="4"/>
    </row>
    <row r="1390" spans="3:12">
      <c r="C1390" s="3"/>
      <c r="K1390" s="4"/>
      <c r="L1390" s="4"/>
    </row>
    <row r="1391" spans="3:12">
      <c r="C1391" s="3"/>
      <c r="K1391" s="4"/>
      <c r="L1391" s="4"/>
    </row>
    <row r="1392" spans="3:12">
      <c r="C1392" s="3"/>
      <c r="K1392" s="4"/>
      <c r="L1392" s="4"/>
    </row>
    <row r="1393" spans="3:12">
      <c r="C1393" s="3"/>
      <c r="K1393" s="4"/>
      <c r="L1393" s="4"/>
    </row>
    <row r="1394" spans="3:12">
      <c r="C1394" s="3"/>
      <c r="K1394" s="4"/>
      <c r="L1394" s="4"/>
    </row>
    <row r="1395" spans="3:12">
      <c r="C1395" s="3"/>
      <c r="K1395" s="4"/>
      <c r="L1395" s="4"/>
    </row>
    <row r="1396" spans="3:12">
      <c r="C1396" s="3"/>
      <c r="K1396" s="4"/>
      <c r="L1396" s="4"/>
    </row>
    <row r="1397" spans="3:12">
      <c r="C1397" s="3"/>
      <c r="K1397" s="4"/>
      <c r="L1397" s="4"/>
    </row>
    <row r="1398" spans="3:12">
      <c r="C1398" s="3"/>
      <c r="K1398" s="4"/>
      <c r="L1398" s="4"/>
    </row>
    <row r="1399" spans="3:12">
      <c r="C1399" s="3"/>
      <c r="K1399" s="4"/>
      <c r="L1399" s="4"/>
    </row>
    <row r="1400" spans="3:12">
      <c r="C1400" s="3"/>
      <c r="K1400" s="4"/>
      <c r="L1400" s="4"/>
    </row>
    <row r="1401" spans="3:12">
      <c r="C1401" s="3"/>
      <c r="K1401" s="4"/>
      <c r="L1401" s="4"/>
    </row>
    <row r="1402" spans="3:12">
      <c r="C1402" s="3"/>
      <c r="K1402" s="4"/>
      <c r="L1402" s="4"/>
    </row>
    <row r="1403" spans="3:12">
      <c r="C1403" s="3"/>
      <c r="K1403" s="4"/>
      <c r="L1403" s="4"/>
    </row>
    <row r="1404" spans="3:12">
      <c r="C1404" s="3"/>
      <c r="K1404" s="4"/>
      <c r="L1404" s="4"/>
    </row>
    <row r="1405" spans="3:12">
      <c r="C1405" s="3"/>
      <c r="K1405" s="4"/>
      <c r="L1405" s="4"/>
    </row>
    <row r="1406" spans="3:12">
      <c r="C1406" s="3"/>
      <c r="K1406" s="4"/>
      <c r="L1406" s="4"/>
    </row>
    <row r="1407" spans="3:12">
      <c r="C1407" s="3"/>
      <c r="K1407" s="4"/>
      <c r="L1407" s="4"/>
    </row>
    <row r="1408" spans="3:12">
      <c r="C1408" s="3"/>
      <c r="K1408" s="4"/>
      <c r="L1408" s="4"/>
    </row>
    <row r="1409" spans="3:12">
      <c r="C1409" s="3"/>
      <c r="K1409" s="4"/>
      <c r="L1409" s="4"/>
    </row>
    <row r="1410" spans="3:12">
      <c r="C1410" s="3"/>
      <c r="K1410" s="4"/>
      <c r="L1410" s="4"/>
    </row>
    <row r="1411" spans="3:12">
      <c r="C1411" s="3"/>
      <c r="K1411" s="4"/>
      <c r="L1411" s="4"/>
    </row>
    <row r="1412" spans="3:12">
      <c r="C1412" s="3"/>
      <c r="K1412" s="4"/>
      <c r="L1412" s="4"/>
    </row>
    <row r="1413" spans="3:12">
      <c r="C1413" s="3"/>
      <c r="K1413" s="4"/>
      <c r="L1413" s="4"/>
    </row>
    <row r="1414" spans="3:12">
      <c r="C1414" s="3"/>
      <c r="K1414" s="4"/>
      <c r="L1414" s="4"/>
    </row>
    <row r="1415" spans="3:12">
      <c r="C1415" s="3"/>
      <c r="K1415" s="4"/>
      <c r="L1415" s="4"/>
    </row>
    <row r="1416" spans="3:12">
      <c r="C1416" s="3"/>
      <c r="K1416" s="4"/>
      <c r="L1416" s="4"/>
    </row>
    <row r="1417" spans="3:12">
      <c r="C1417" s="3"/>
      <c r="K1417" s="4"/>
      <c r="L1417" s="4"/>
    </row>
    <row r="1418" spans="3:12">
      <c r="C1418" s="3"/>
      <c r="K1418" s="4"/>
      <c r="L1418" s="4"/>
    </row>
    <row r="1419" spans="3:12">
      <c r="C1419" s="3"/>
      <c r="K1419" s="4"/>
      <c r="L1419" s="4"/>
    </row>
    <row r="1420" spans="3:12">
      <c r="C1420" s="3"/>
      <c r="K1420" s="4"/>
      <c r="L1420" s="4"/>
    </row>
    <row r="1421" spans="3:12">
      <c r="C1421" s="3"/>
      <c r="K1421" s="4"/>
      <c r="L1421" s="4"/>
    </row>
    <row r="1422" spans="3:12">
      <c r="C1422" s="3"/>
      <c r="K1422" s="4"/>
      <c r="L1422" s="4"/>
    </row>
    <row r="1423" spans="3:12">
      <c r="C1423" s="3"/>
      <c r="K1423" s="4"/>
      <c r="L1423" s="4"/>
    </row>
    <row r="1424" spans="3:12">
      <c r="C1424" s="3"/>
      <c r="K1424" s="4"/>
      <c r="L1424" s="4"/>
    </row>
    <row r="1425" spans="3:12">
      <c r="C1425" s="3"/>
      <c r="K1425" s="4"/>
      <c r="L1425" s="4"/>
    </row>
    <row r="1426" spans="3:12">
      <c r="C1426" s="3"/>
      <c r="K1426" s="4"/>
      <c r="L1426" s="4"/>
    </row>
    <row r="1427" spans="3:12">
      <c r="C1427" s="3"/>
      <c r="K1427" s="4"/>
      <c r="L1427" s="4"/>
    </row>
    <row r="1428" spans="3:12">
      <c r="C1428" s="3"/>
      <c r="K1428" s="4"/>
      <c r="L1428" s="4"/>
    </row>
    <row r="1429" spans="3:12">
      <c r="C1429" s="3"/>
      <c r="K1429" s="4"/>
      <c r="L1429" s="4"/>
    </row>
    <row r="1430" spans="3:12">
      <c r="C1430" s="3"/>
      <c r="K1430" s="4"/>
      <c r="L1430" s="4"/>
    </row>
    <row r="1431" spans="3:12">
      <c r="C1431" s="3"/>
      <c r="K1431" s="4"/>
      <c r="L1431" s="4"/>
    </row>
    <row r="1432" spans="3:12">
      <c r="C1432" s="3"/>
      <c r="K1432" s="4"/>
      <c r="L1432" s="4"/>
    </row>
    <row r="1433" spans="3:12">
      <c r="C1433" s="3"/>
      <c r="K1433" s="4"/>
      <c r="L1433" s="4"/>
    </row>
    <row r="1434" spans="3:12">
      <c r="C1434" s="3"/>
      <c r="K1434" s="4"/>
      <c r="L1434" s="4"/>
    </row>
    <row r="1435" spans="3:12">
      <c r="C1435" s="3"/>
      <c r="K1435" s="4"/>
      <c r="L1435" s="4"/>
    </row>
    <row r="1436" spans="3:12">
      <c r="C1436" s="3"/>
      <c r="K1436" s="4"/>
      <c r="L1436" s="4"/>
    </row>
    <row r="1437" spans="3:12">
      <c r="C1437" s="3"/>
      <c r="K1437" s="4"/>
      <c r="L1437" s="4"/>
    </row>
    <row r="1438" spans="3:12">
      <c r="C1438" s="3"/>
      <c r="K1438" s="4"/>
      <c r="L1438" s="4"/>
    </row>
    <row r="1439" spans="3:12">
      <c r="C1439" s="3"/>
      <c r="K1439" s="4"/>
      <c r="L1439" s="4"/>
    </row>
    <row r="1440" spans="3:12">
      <c r="C1440" s="3"/>
      <c r="K1440" s="4"/>
      <c r="L1440" s="4"/>
    </row>
    <row r="1441" spans="3:12">
      <c r="C1441" s="3"/>
      <c r="K1441" s="4"/>
      <c r="L1441" s="4"/>
    </row>
    <row r="1442" spans="3:12">
      <c r="C1442" s="3"/>
      <c r="K1442" s="4"/>
      <c r="L1442" s="4"/>
    </row>
    <row r="1443" spans="3:12">
      <c r="C1443" s="3"/>
      <c r="K1443" s="4"/>
      <c r="L1443" s="4"/>
    </row>
    <row r="1444" spans="3:12">
      <c r="C1444" s="3"/>
      <c r="K1444" s="4"/>
      <c r="L1444" s="4"/>
    </row>
    <row r="1445" spans="3:12">
      <c r="C1445" s="3"/>
      <c r="K1445" s="4"/>
      <c r="L1445" s="4"/>
    </row>
    <row r="1446" spans="3:12">
      <c r="C1446" s="3"/>
      <c r="K1446" s="4"/>
      <c r="L1446" s="4"/>
    </row>
    <row r="1447" spans="3:12">
      <c r="C1447" s="3"/>
      <c r="K1447" s="4"/>
      <c r="L1447" s="4"/>
    </row>
    <row r="1448" spans="3:12">
      <c r="C1448" s="3"/>
      <c r="K1448" s="4"/>
      <c r="L1448" s="4"/>
    </row>
    <row r="1449" spans="3:12">
      <c r="C1449" s="3"/>
      <c r="K1449" s="4"/>
      <c r="L1449" s="4"/>
    </row>
    <row r="1450" spans="3:12">
      <c r="C1450" s="3"/>
      <c r="K1450" s="4"/>
      <c r="L1450" s="4"/>
    </row>
    <row r="1451" spans="3:12">
      <c r="C1451" s="3"/>
      <c r="K1451" s="4"/>
      <c r="L1451" s="4"/>
    </row>
    <row r="1452" spans="3:12">
      <c r="C1452" s="3"/>
      <c r="K1452" s="4"/>
      <c r="L1452" s="4"/>
    </row>
    <row r="1453" spans="3:12">
      <c r="C1453" s="3"/>
      <c r="K1453" s="4"/>
      <c r="L1453" s="4"/>
    </row>
    <row r="1454" spans="3:12">
      <c r="C1454" s="3"/>
      <c r="K1454" s="4"/>
      <c r="L1454" s="4"/>
    </row>
    <row r="1455" spans="3:12">
      <c r="C1455" s="3"/>
      <c r="K1455" s="4"/>
      <c r="L1455" s="4"/>
    </row>
    <row r="1456" spans="3:12">
      <c r="C1456" s="3"/>
      <c r="K1456" s="4"/>
      <c r="L1456" s="4"/>
    </row>
    <row r="1457" spans="3:12">
      <c r="C1457" s="3"/>
      <c r="K1457" s="4"/>
      <c r="L1457" s="4"/>
    </row>
    <row r="1458" spans="3:12">
      <c r="C1458" s="3"/>
      <c r="K1458" s="4"/>
      <c r="L1458" s="4"/>
    </row>
    <row r="1459" spans="3:12">
      <c r="C1459" s="3"/>
      <c r="K1459" s="4"/>
      <c r="L1459" s="4"/>
    </row>
    <row r="1460" spans="3:12">
      <c r="C1460" s="3"/>
      <c r="K1460" s="4"/>
      <c r="L1460" s="4"/>
    </row>
    <row r="1461" spans="3:12">
      <c r="C1461" s="3"/>
      <c r="K1461" s="4"/>
      <c r="L1461" s="4"/>
    </row>
    <row r="1462" spans="3:12">
      <c r="C1462" s="3"/>
      <c r="K1462" s="4"/>
      <c r="L1462" s="4"/>
    </row>
    <row r="1463" spans="3:12">
      <c r="C1463" s="3"/>
      <c r="K1463" s="4"/>
      <c r="L1463" s="4"/>
    </row>
    <row r="1464" spans="3:12">
      <c r="C1464" s="3"/>
      <c r="K1464" s="4"/>
      <c r="L1464" s="4"/>
    </row>
    <row r="1465" spans="3:12">
      <c r="C1465" s="3"/>
      <c r="K1465" s="4"/>
      <c r="L1465" s="4"/>
    </row>
    <row r="1466" spans="3:12">
      <c r="C1466" s="3"/>
      <c r="K1466" s="4"/>
      <c r="L1466" s="4"/>
    </row>
    <row r="1467" spans="3:12">
      <c r="C1467" s="3"/>
      <c r="K1467" s="4"/>
      <c r="L1467" s="4"/>
    </row>
    <row r="1468" spans="3:12">
      <c r="C1468" s="3"/>
      <c r="K1468" s="4"/>
      <c r="L1468" s="4"/>
    </row>
    <row r="1469" spans="3:12">
      <c r="C1469" s="3"/>
      <c r="K1469" s="4"/>
      <c r="L1469" s="4"/>
    </row>
    <row r="1470" spans="3:12">
      <c r="C1470" s="3"/>
      <c r="K1470" s="4"/>
      <c r="L1470" s="4"/>
    </row>
    <row r="1471" spans="3:12">
      <c r="C1471" s="3"/>
      <c r="K1471" s="4"/>
      <c r="L1471" s="4"/>
    </row>
    <row r="1472" spans="3:12">
      <c r="C1472" s="3"/>
      <c r="K1472" s="4"/>
      <c r="L1472" s="4"/>
    </row>
    <row r="1473" spans="3:12">
      <c r="C1473" s="3"/>
      <c r="K1473" s="4"/>
      <c r="L1473" s="4"/>
    </row>
    <row r="1474" spans="3:12">
      <c r="C1474" s="3"/>
      <c r="K1474" s="4"/>
      <c r="L1474" s="4"/>
    </row>
    <row r="1475" spans="3:12">
      <c r="C1475" s="3"/>
      <c r="K1475" s="4"/>
      <c r="L1475" s="4"/>
    </row>
    <row r="1476" spans="3:12">
      <c r="C1476" s="3"/>
      <c r="K1476" s="4"/>
      <c r="L1476" s="4"/>
    </row>
    <row r="1477" spans="3:12">
      <c r="C1477" s="3"/>
      <c r="K1477" s="4"/>
      <c r="L1477" s="4"/>
    </row>
    <row r="1478" spans="3:12">
      <c r="C1478" s="3"/>
      <c r="K1478" s="4"/>
      <c r="L1478" s="4"/>
    </row>
    <row r="1479" spans="3:12">
      <c r="C1479" s="3"/>
      <c r="K1479" s="4"/>
      <c r="L1479" s="4"/>
    </row>
    <row r="1480" spans="3:12">
      <c r="C1480" s="3"/>
      <c r="K1480" s="4"/>
      <c r="L1480" s="4"/>
    </row>
    <row r="1481" spans="3:12">
      <c r="C1481" s="3"/>
      <c r="K1481" s="4"/>
      <c r="L1481" s="4"/>
    </row>
    <row r="1482" spans="3:12">
      <c r="C1482" s="3"/>
      <c r="K1482" s="4"/>
      <c r="L1482" s="4"/>
    </row>
    <row r="1483" spans="3:12">
      <c r="C1483" s="3"/>
      <c r="K1483" s="4"/>
      <c r="L1483" s="4"/>
    </row>
    <row r="1484" spans="3:12">
      <c r="C1484" s="3"/>
      <c r="K1484" s="4"/>
      <c r="L1484" s="4"/>
    </row>
    <row r="1485" spans="3:12">
      <c r="C1485" s="3"/>
      <c r="K1485" s="4"/>
      <c r="L1485" s="4"/>
    </row>
    <row r="1486" spans="3:12">
      <c r="C1486" s="3"/>
      <c r="K1486" s="4"/>
      <c r="L1486" s="4"/>
    </row>
    <row r="1487" spans="3:12">
      <c r="C1487" s="3"/>
      <c r="K1487" s="4"/>
      <c r="L1487" s="4"/>
    </row>
    <row r="1488" spans="3:12">
      <c r="C1488" s="3"/>
      <c r="K1488" s="4"/>
      <c r="L1488" s="4"/>
    </row>
    <row r="1489" spans="3:12">
      <c r="C1489" s="3"/>
      <c r="K1489" s="4"/>
      <c r="L1489" s="4"/>
    </row>
    <row r="1490" spans="3:12">
      <c r="C1490" s="3"/>
      <c r="K1490" s="4"/>
      <c r="L1490" s="4"/>
    </row>
    <row r="1491" spans="3:12">
      <c r="C1491" s="3"/>
      <c r="K1491" s="4"/>
      <c r="L1491" s="4"/>
    </row>
    <row r="1492" spans="3:12">
      <c r="C1492" s="3"/>
      <c r="K1492" s="4"/>
      <c r="L1492" s="4"/>
    </row>
    <row r="1493" spans="3:12">
      <c r="C1493" s="3"/>
      <c r="K1493" s="4"/>
      <c r="L1493" s="4"/>
    </row>
    <row r="1494" spans="3:12">
      <c r="C1494" s="3"/>
      <c r="K1494" s="4"/>
      <c r="L1494" s="4"/>
    </row>
    <row r="1495" spans="3:12">
      <c r="C1495" s="3"/>
      <c r="K1495" s="4"/>
      <c r="L1495" s="4"/>
    </row>
    <row r="1496" spans="3:12">
      <c r="C1496" s="3"/>
      <c r="K1496" s="4"/>
      <c r="L1496" s="4"/>
    </row>
    <row r="1497" spans="3:12">
      <c r="C1497" s="3"/>
      <c r="K1497" s="4"/>
      <c r="L1497" s="4"/>
    </row>
    <row r="1498" spans="3:12">
      <c r="C1498" s="3"/>
      <c r="K1498" s="4"/>
      <c r="L1498" s="4"/>
    </row>
    <row r="1499" spans="3:12">
      <c r="C1499" s="3"/>
      <c r="K1499" s="4"/>
      <c r="L1499" s="4"/>
    </row>
    <row r="1500" spans="3:12">
      <c r="C1500" s="3"/>
      <c r="K1500" s="4"/>
      <c r="L1500" s="4"/>
    </row>
    <row r="1501" spans="3:12">
      <c r="C1501" s="3"/>
      <c r="K1501" s="4"/>
      <c r="L1501" s="4"/>
    </row>
    <row r="1502" spans="3:12">
      <c r="C1502" s="3"/>
      <c r="K1502" s="4"/>
      <c r="L1502" s="4"/>
    </row>
    <row r="1503" spans="3:12">
      <c r="C1503" s="3"/>
      <c r="K1503" s="4"/>
      <c r="L1503" s="4"/>
    </row>
    <row r="1504" spans="3:12">
      <c r="C1504" s="3"/>
      <c r="K1504" s="4"/>
      <c r="L1504" s="4"/>
    </row>
    <row r="1505" spans="3:12">
      <c r="C1505" s="3"/>
      <c r="K1505" s="4"/>
      <c r="L1505" s="4"/>
    </row>
    <row r="1506" spans="3:12">
      <c r="C1506" s="3"/>
      <c r="K1506" s="4"/>
      <c r="L1506" s="4"/>
    </row>
    <row r="1507" spans="3:12">
      <c r="C1507" s="3"/>
      <c r="K1507" s="4"/>
      <c r="L1507" s="4"/>
    </row>
    <row r="1508" spans="3:12">
      <c r="C1508" s="3"/>
      <c r="K1508" s="4"/>
      <c r="L1508" s="4"/>
    </row>
    <row r="1509" spans="3:12">
      <c r="C1509" s="3"/>
      <c r="K1509" s="4"/>
      <c r="L1509" s="4"/>
    </row>
    <row r="1510" spans="3:12">
      <c r="C1510" s="3"/>
      <c r="K1510" s="4"/>
      <c r="L1510" s="4"/>
    </row>
    <row r="1511" spans="3:12">
      <c r="C1511" s="3"/>
      <c r="K1511" s="4"/>
      <c r="L1511" s="4"/>
    </row>
    <row r="1512" spans="3:12">
      <c r="C1512" s="3"/>
      <c r="K1512" s="4"/>
      <c r="L1512" s="4"/>
    </row>
    <row r="1513" spans="3:12">
      <c r="C1513" s="3"/>
      <c r="K1513" s="4"/>
      <c r="L1513" s="4"/>
    </row>
    <row r="1514" spans="3:12">
      <c r="C1514" s="3"/>
      <c r="K1514" s="4"/>
      <c r="L1514" s="4"/>
    </row>
    <row r="1515" spans="3:12">
      <c r="C1515" s="3"/>
      <c r="K1515" s="4"/>
      <c r="L1515" s="4"/>
    </row>
    <row r="1516" spans="3:12">
      <c r="C1516" s="3"/>
      <c r="K1516" s="4"/>
      <c r="L1516" s="4"/>
    </row>
    <row r="1517" spans="3:12">
      <c r="C1517" s="3"/>
      <c r="K1517" s="4"/>
      <c r="L1517" s="4"/>
    </row>
    <row r="1518" spans="3:12">
      <c r="C1518" s="3"/>
      <c r="K1518" s="4"/>
      <c r="L1518" s="4"/>
    </row>
    <row r="1519" spans="3:12">
      <c r="C1519" s="3"/>
      <c r="K1519" s="4"/>
      <c r="L1519" s="4"/>
    </row>
    <row r="1520" spans="3:12">
      <c r="C1520" s="3"/>
      <c r="K1520" s="4"/>
      <c r="L1520" s="4"/>
    </row>
    <row r="1521" spans="3:12">
      <c r="C1521" s="3"/>
      <c r="K1521" s="4"/>
      <c r="L1521" s="4"/>
    </row>
    <row r="1522" spans="3:12">
      <c r="C1522" s="3"/>
      <c r="K1522" s="4"/>
      <c r="L1522" s="4"/>
    </row>
    <row r="1523" spans="3:12">
      <c r="C1523" s="3"/>
      <c r="K1523" s="4"/>
      <c r="L1523" s="4"/>
    </row>
    <row r="1524" spans="3:12">
      <c r="C1524" s="3"/>
      <c r="K1524" s="4"/>
      <c r="L1524" s="4"/>
    </row>
    <row r="1525" spans="3:12">
      <c r="C1525" s="3"/>
      <c r="K1525" s="4"/>
      <c r="L1525" s="4"/>
    </row>
    <row r="1526" spans="3:12">
      <c r="C1526" s="3"/>
      <c r="K1526" s="4"/>
      <c r="L1526" s="4"/>
    </row>
    <row r="1527" spans="3:12">
      <c r="C1527" s="3"/>
      <c r="K1527" s="4"/>
      <c r="L1527" s="4"/>
    </row>
    <row r="1528" spans="3:12">
      <c r="C1528" s="3"/>
      <c r="K1528" s="4"/>
      <c r="L1528" s="4"/>
    </row>
    <row r="1529" spans="3:12">
      <c r="C1529" s="3"/>
      <c r="K1529" s="4"/>
      <c r="L1529" s="4"/>
    </row>
    <row r="1530" spans="3:12">
      <c r="C1530" s="3"/>
      <c r="K1530" s="4"/>
      <c r="L1530" s="4"/>
    </row>
    <row r="1531" spans="3:12">
      <c r="C1531" s="3"/>
      <c r="K1531" s="4"/>
      <c r="L1531" s="4"/>
    </row>
    <row r="1532" spans="3:12">
      <c r="C1532" s="3"/>
      <c r="K1532" s="4"/>
      <c r="L1532" s="4"/>
    </row>
    <row r="1533" spans="3:12">
      <c r="C1533" s="3"/>
      <c r="K1533" s="4"/>
      <c r="L1533" s="4"/>
    </row>
    <row r="1534" spans="3:12">
      <c r="C1534" s="3"/>
      <c r="K1534" s="4"/>
      <c r="L1534" s="4"/>
    </row>
    <row r="1535" spans="3:12">
      <c r="C1535" s="3"/>
      <c r="K1535" s="4"/>
      <c r="L1535" s="4"/>
    </row>
    <row r="1536" spans="3:12">
      <c r="C1536" s="3"/>
      <c r="K1536" s="4"/>
      <c r="L1536" s="4"/>
    </row>
    <row r="1537" spans="3:12">
      <c r="C1537" s="3"/>
      <c r="K1537" s="4"/>
      <c r="L1537" s="4"/>
    </row>
    <row r="1538" spans="3:12">
      <c r="C1538" s="3"/>
      <c r="K1538" s="4"/>
      <c r="L1538" s="4"/>
    </row>
    <row r="1539" spans="3:12">
      <c r="C1539" s="3"/>
      <c r="K1539" s="4"/>
      <c r="L1539" s="4"/>
    </row>
    <row r="1540" spans="3:12">
      <c r="C1540" s="3"/>
      <c r="K1540" s="4"/>
      <c r="L1540" s="4"/>
    </row>
    <row r="1541" spans="3:12">
      <c r="C1541" s="3"/>
      <c r="K1541" s="4"/>
      <c r="L1541" s="4"/>
    </row>
    <row r="1542" spans="3:12">
      <c r="C1542" s="3"/>
      <c r="K1542" s="4"/>
      <c r="L1542" s="4"/>
    </row>
    <row r="1543" spans="3:12">
      <c r="C1543" s="3"/>
      <c r="K1543" s="4"/>
      <c r="L1543" s="4"/>
    </row>
    <row r="1544" spans="3:12">
      <c r="C1544" s="3"/>
      <c r="K1544" s="4"/>
      <c r="L1544" s="4"/>
    </row>
    <row r="1545" spans="3:12">
      <c r="C1545" s="3"/>
      <c r="K1545" s="4"/>
      <c r="L1545" s="4"/>
    </row>
    <row r="1546" spans="3:12">
      <c r="C1546" s="3"/>
      <c r="K1546" s="4"/>
      <c r="L1546" s="4"/>
    </row>
    <row r="1547" spans="3:12">
      <c r="C1547" s="3"/>
      <c r="K1547" s="4"/>
      <c r="L1547" s="4"/>
    </row>
    <row r="1548" spans="3:12">
      <c r="C1548" s="3"/>
      <c r="K1548" s="4"/>
      <c r="L1548" s="4"/>
    </row>
    <row r="1549" spans="3:12">
      <c r="C1549" s="3"/>
      <c r="K1549" s="4"/>
      <c r="L1549" s="4"/>
    </row>
    <row r="1550" spans="3:12">
      <c r="C1550" s="3"/>
      <c r="K1550" s="4"/>
      <c r="L1550" s="4"/>
    </row>
    <row r="1551" spans="3:12">
      <c r="C1551" s="3"/>
      <c r="K1551" s="4"/>
      <c r="L1551" s="4"/>
    </row>
    <row r="1552" spans="3:12">
      <c r="C1552" s="3"/>
      <c r="K1552" s="4"/>
      <c r="L1552" s="4"/>
    </row>
    <row r="1553" spans="3:12">
      <c r="C1553" s="3"/>
      <c r="K1553" s="4"/>
      <c r="L1553" s="4"/>
    </row>
    <row r="1554" spans="3:12">
      <c r="C1554" s="3"/>
      <c r="K1554" s="4"/>
      <c r="L1554" s="4"/>
    </row>
    <row r="1555" spans="3:12">
      <c r="C1555" s="3"/>
      <c r="K1555" s="4"/>
      <c r="L1555" s="4"/>
    </row>
    <row r="1556" spans="3:12">
      <c r="C1556" s="3"/>
      <c r="K1556" s="4"/>
      <c r="L1556" s="4"/>
    </row>
    <row r="1557" spans="3:12">
      <c r="C1557" s="3"/>
      <c r="K1557" s="4"/>
      <c r="L1557" s="4"/>
    </row>
    <row r="1558" spans="3:12">
      <c r="C1558" s="3"/>
      <c r="K1558" s="4"/>
      <c r="L1558" s="4"/>
    </row>
    <row r="1559" spans="3:12">
      <c r="C1559" s="3"/>
      <c r="K1559" s="4"/>
      <c r="L1559" s="4"/>
    </row>
    <row r="1560" spans="3:12">
      <c r="C1560" s="3"/>
      <c r="K1560" s="4"/>
      <c r="L1560" s="4"/>
    </row>
    <row r="1561" spans="3:12">
      <c r="C1561" s="3"/>
      <c r="K1561" s="4"/>
      <c r="L1561" s="4"/>
    </row>
    <row r="1562" spans="3:12">
      <c r="C1562" s="3"/>
      <c r="K1562" s="4"/>
      <c r="L1562" s="4"/>
    </row>
    <row r="1563" spans="3:12">
      <c r="C1563" s="3"/>
      <c r="K1563" s="4"/>
      <c r="L1563" s="4"/>
    </row>
    <row r="1564" spans="3:12">
      <c r="C1564" s="3"/>
      <c r="K1564" s="4"/>
      <c r="L1564" s="4"/>
    </row>
    <row r="1565" spans="3:12">
      <c r="C1565" s="3"/>
      <c r="K1565" s="4"/>
      <c r="L1565" s="4"/>
    </row>
    <row r="1566" spans="3:12">
      <c r="C1566" s="3"/>
      <c r="K1566" s="4"/>
      <c r="L1566" s="4"/>
    </row>
    <row r="1567" spans="3:12">
      <c r="C1567" s="3"/>
      <c r="K1567" s="4"/>
      <c r="L1567" s="4"/>
    </row>
    <row r="1568" spans="3:12">
      <c r="C1568" s="3"/>
      <c r="K1568" s="4"/>
      <c r="L1568" s="4"/>
    </row>
    <row r="1569" spans="3:12">
      <c r="C1569" s="3"/>
      <c r="K1569" s="4"/>
      <c r="L1569" s="4"/>
    </row>
    <row r="1570" spans="3:12">
      <c r="C1570" s="3"/>
      <c r="K1570" s="4"/>
      <c r="L1570" s="4"/>
    </row>
    <row r="1571" spans="3:12">
      <c r="C1571" s="3"/>
      <c r="K1571" s="4"/>
      <c r="L1571" s="4"/>
    </row>
    <row r="1572" spans="3:12">
      <c r="C1572" s="3"/>
      <c r="K1572" s="4"/>
      <c r="L1572" s="4"/>
    </row>
    <row r="1573" spans="3:12">
      <c r="C1573" s="3"/>
      <c r="K1573" s="4"/>
      <c r="L1573" s="4"/>
    </row>
    <row r="1574" spans="3:12">
      <c r="C1574" s="3"/>
      <c r="K1574" s="4"/>
      <c r="L1574" s="4"/>
    </row>
    <row r="1575" spans="3:12">
      <c r="C1575" s="3"/>
      <c r="K1575" s="4"/>
      <c r="L1575" s="4"/>
    </row>
    <row r="1576" spans="3:12">
      <c r="C1576" s="3"/>
      <c r="K1576" s="4"/>
      <c r="L1576" s="4"/>
    </row>
    <row r="1577" spans="3:12">
      <c r="C1577" s="3"/>
      <c r="K1577" s="4"/>
      <c r="L1577" s="4"/>
    </row>
    <row r="1578" spans="3:12">
      <c r="C1578" s="3"/>
      <c r="K1578" s="4"/>
      <c r="L1578" s="4"/>
    </row>
    <row r="1579" spans="3:12">
      <c r="C1579" s="3"/>
      <c r="K1579" s="4"/>
      <c r="L1579" s="4"/>
    </row>
    <row r="1580" spans="3:12">
      <c r="C1580" s="3"/>
      <c r="K1580" s="4"/>
      <c r="L1580" s="4"/>
    </row>
    <row r="1581" spans="3:12">
      <c r="C1581" s="3"/>
      <c r="K1581" s="4"/>
      <c r="L1581" s="4"/>
    </row>
    <row r="1582" spans="3:12">
      <c r="C1582" s="3"/>
      <c r="K1582" s="4"/>
      <c r="L1582" s="4"/>
    </row>
    <row r="1583" spans="3:12">
      <c r="C1583" s="3"/>
      <c r="K1583" s="4"/>
      <c r="L1583" s="4"/>
    </row>
    <row r="1584" spans="3:12">
      <c r="C1584" s="3"/>
      <c r="K1584" s="4"/>
      <c r="L1584" s="4"/>
    </row>
    <row r="1585" spans="3:12">
      <c r="C1585" s="3"/>
      <c r="K1585" s="4"/>
      <c r="L1585" s="4"/>
    </row>
    <row r="1586" spans="3:12">
      <c r="C1586" s="3"/>
      <c r="K1586" s="4"/>
      <c r="L1586" s="4"/>
    </row>
    <row r="1587" spans="3:12">
      <c r="C1587" s="3"/>
      <c r="K1587" s="4"/>
      <c r="L1587" s="4"/>
    </row>
    <row r="1588" spans="3:12">
      <c r="C1588" s="3"/>
      <c r="K1588" s="4"/>
      <c r="L1588" s="4"/>
    </row>
    <row r="1589" spans="3:12">
      <c r="C1589" s="3"/>
      <c r="K1589" s="4"/>
      <c r="L1589" s="4"/>
    </row>
    <row r="1590" spans="3:12">
      <c r="C1590" s="3"/>
      <c r="K1590" s="4"/>
      <c r="L1590" s="4"/>
    </row>
    <row r="1591" spans="3:12">
      <c r="C1591" s="3"/>
      <c r="K1591" s="4"/>
      <c r="L1591" s="4"/>
    </row>
    <row r="1592" spans="3:12">
      <c r="C1592" s="3"/>
      <c r="K1592" s="4"/>
      <c r="L1592" s="4"/>
    </row>
    <row r="1593" spans="3:12">
      <c r="C1593" s="3"/>
      <c r="K1593" s="4"/>
      <c r="L1593" s="4"/>
    </row>
    <row r="1594" spans="3:12">
      <c r="C1594" s="3"/>
      <c r="K1594" s="4"/>
      <c r="L1594" s="4"/>
    </row>
    <row r="1595" spans="3:12">
      <c r="C1595" s="3"/>
      <c r="K1595" s="4"/>
      <c r="L1595" s="4"/>
    </row>
    <row r="1596" spans="3:12">
      <c r="C1596" s="3"/>
      <c r="K1596" s="4"/>
      <c r="L1596" s="4"/>
    </row>
    <row r="1597" spans="3:12">
      <c r="C1597" s="3"/>
      <c r="K1597" s="4"/>
      <c r="L1597" s="4"/>
    </row>
    <row r="1598" spans="3:12">
      <c r="C1598" s="3"/>
      <c r="K1598" s="4"/>
      <c r="L1598" s="4"/>
    </row>
    <row r="1599" spans="3:12">
      <c r="C1599" s="3"/>
      <c r="K1599" s="4"/>
      <c r="L1599" s="4"/>
    </row>
    <row r="1600" spans="3:12">
      <c r="C1600" s="3"/>
      <c r="K1600" s="4"/>
      <c r="L1600" s="4"/>
    </row>
    <row r="1601" spans="3:12">
      <c r="C1601" s="3"/>
      <c r="K1601" s="4"/>
      <c r="L1601" s="4"/>
    </row>
    <row r="1602" spans="3:12">
      <c r="C1602" s="3"/>
      <c r="K1602" s="4"/>
      <c r="L1602" s="4"/>
    </row>
    <row r="1603" spans="3:12">
      <c r="C1603" s="3"/>
      <c r="K1603" s="4"/>
      <c r="L1603" s="4"/>
    </row>
    <row r="1604" spans="3:12">
      <c r="C1604" s="3"/>
      <c r="K1604" s="4"/>
      <c r="L1604" s="4"/>
    </row>
    <row r="1605" spans="3:12">
      <c r="C1605" s="3"/>
      <c r="K1605" s="4"/>
      <c r="L1605" s="4"/>
    </row>
    <row r="1606" spans="3:12">
      <c r="C1606" s="3"/>
      <c r="K1606" s="4"/>
      <c r="L1606" s="4"/>
    </row>
    <row r="1607" spans="3:12">
      <c r="C1607" s="3"/>
      <c r="K1607" s="4"/>
      <c r="L1607" s="4"/>
    </row>
    <row r="1608" spans="3:12">
      <c r="C1608" s="3"/>
      <c r="K1608" s="4"/>
      <c r="L1608" s="4"/>
    </row>
    <row r="1609" spans="3:12">
      <c r="C1609" s="3"/>
      <c r="K1609" s="4"/>
      <c r="L1609" s="4"/>
    </row>
    <row r="1610" spans="3:12">
      <c r="C1610" s="3"/>
      <c r="K1610" s="4"/>
      <c r="L1610" s="4"/>
    </row>
    <row r="1611" spans="3:12">
      <c r="C1611" s="3"/>
      <c r="K1611" s="4"/>
      <c r="L1611" s="4"/>
    </row>
    <row r="1612" spans="3:12">
      <c r="C1612" s="3"/>
      <c r="K1612" s="4"/>
      <c r="L1612" s="4"/>
    </row>
    <row r="1613" spans="3:12">
      <c r="C1613" s="3"/>
      <c r="K1613" s="4"/>
      <c r="L1613" s="4"/>
    </row>
    <row r="1614" spans="3:12">
      <c r="C1614" s="3"/>
      <c r="K1614" s="4"/>
      <c r="L1614" s="4"/>
    </row>
    <row r="1615" spans="3:12">
      <c r="C1615" s="3"/>
      <c r="K1615" s="4"/>
      <c r="L1615" s="4"/>
    </row>
    <row r="1616" spans="3:12">
      <c r="C1616" s="3"/>
      <c r="K1616" s="4"/>
      <c r="L1616" s="4"/>
    </row>
    <row r="1617" spans="3:12">
      <c r="C1617" s="3"/>
      <c r="K1617" s="4"/>
      <c r="L1617" s="4"/>
    </row>
    <row r="1618" spans="3:12">
      <c r="C1618" s="3"/>
      <c r="K1618" s="4"/>
      <c r="L1618" s="4"/>
    </row>
    <row r="1619" spans="3:12">
      <c r="C1619" s="3"/>
      <c r="K1619" s="4"/>
      <c r="L1619" s="4"/>
    </row>
    <row r="1620" spans="3:12">
      <c r="C1620" s="3"/>
      <c r="K1620" s="4"/>
      <c r="L1620" s="4"/>
    </row>
    <row r="1621" spans="3:12">
      <c r="C1621" s="3"/>
      <c r="K1621" s="4"/>
      <c r="L1621" s="4"/>
    </row>
    <row r="1622" spans="3:12">
      <c r="C1622" s="3"/>
      <c r="K1622" s="4"/>
      <c r="L1622" s="4"/>
    </row>
    <row r="1623" spans="3:12">
      <c r="C1623" s="3"/>
      <c r="K1623" s="4"/>
      <c r="L1623" s="4"/>
    </row>
    <row r="1624" spans="3:12">
      <c r="C1624" s="3"/>
      <c r="K1624" s="4"/>
      <c r="L1624" s="4"/>
    </row>
    <row r="1625" spans="3:12">
      <c r="C1625" s="3"/>
      <c r="K1625" s="4"/>
      <c r="L1625" s="4"/>
    </row>
    <row r="1626" spans="3:12">
      <c r="C1626" s="3"/>
      <c r="K1626" s="4"/>
      <c r="L1626" s="4"/>
    </row>
    <row r="1627" spans="3:12">
      <c r="C1627" s="3"/>
      <c r="K1627" s="4"/>
      <c r="L1627" s="4"/>
    </row>
    <row r="1628" spans="3:12">
      <c r="C1628" s="3"/>
      <c r="K1628" s="4"/>
      <c r="L1628" s="4"/>
    </row>
    <row r="1629" spans="3:12">
      <c r="C1629" s="3"/>
      <c r="K1629" s="4"/>
      <c r="L1629" s="4"/>
    </row>
    <row r="1630" spans="3:12">
      <c r="C1630" s="3"/>
      <c r="K1630" s="4"/>
      <c r="L1630" s="4"/>
    </row>
    <row r="1631" spans="3:12">
      <c r="C1631" s="3"/>
      <c r="K1631" s="4"/>
      <c r="L1631" s="4"/>
    </row>
    <row r="1632" spans="3:12">
      <c r="C1632" s="3"/>
      <c r="K1632" s="4"/>
      <c r="L1632" s="4"/>
    </row>
    <row r="1633" spans="3:12">
      <c r="C1633" s="3"/>
      <c r="K1633" s="4"/>
      <c r="L1633" s="4"/>
    </row>
    <row r="1634" spans="3:12">
      <c r="C1634" s="3"/>
      <c r="K1634" s="4"/>
      <c r="L1634" s="4"/>
    </row>
    <row r="1635" spans="3:12">
      <c r="C1635" s="3"/>
      <c r="K1635" s="4"/>
      <c r="L1635" s="4"/>
    </row>
    <row r="1636" spans="3:12">
      <c r="C1636" s="3"/>
      <c r="K1636" s="4"/>
      <c r="L1636" s="4"/>
    </row>
    <row r="1637" spans="3:12">
      <c r="C1637" s="3"/>
      <c r="K1637" s="4"/>
      <c r="L1637" s="4"/>
    </row>
    <row r="1638" spans="3:12">
      <c r="C1638" s="3"/>
      <c r="K1638" s="4"/>
      <c r="L1638" s="4"/>
    </row>
    <row r="1639" spans="3:12">
      <c r="C1639" s="3"/>
      <c r="K1639" s="4"/>
      <c r="L1639" s="4"/>
    </row>
    <row r="1640" spans="3:12">
      <c r="C1640" s="3"/>
      <c r="K1640" s="4"/>
      <c r="L1640" s="4"/>
    </row>
    <row r="1641" spans="3:12">
      <c r="C1641" s="3"/>
      <c r="K1641" s="4"/>
      <c r="L1641" s="4"/>
    </row>
    <row r="1642" spans="3:12">
      <c r="C1642" s="3"/>
      <c r="K1642" s="4"/>
      <c r="L1642" s="4"/>
    </row>
    <row r="1643" spans="3:12">
      <c r="C1643" s="3"/>
      <c r="K1643" s="4"/>
      <c r="L1643" s="4"/>
    </row>
    <row r="1644" spans="3:12">
      <c r="C1644" s="3"/>
      <c r="K1644" s="4"/>
      <c r="L1644" s="4"/>
    </row>
    <row r="1645" spans="3:12">
      <c r="C1645" s="3"/>
      <c r="K1645" s="4"/>
      <c r="L1645" s="4"/>
    </row>
    <row r="1646" spans="3:12">
      <c r="C1646" s="3"/>
      <c r="K1646" s="4"/>
      <c r="L1646" s="4"/>
    </row>
    <row r="1647" spans="3:12">
      <c r="C1647" s="3"/>
      <c r="K1647" s="4"/>
      <c r="L1647" s="4"/>
    </row>
    <row r="1648" spans="3:12">
      <c r="C1648" s="3"/>
      <c r="K1648" s="4"/>
      <c r="L1648" s="4"/>
    </row>
    <row r="1649" spans="3:12">
      <c r="C1649" s="3"/>
      <c r="K1649" s="4"/>
      <c r="L1649" s="4"/>
    </row>
    <row r="1650" spans="3:12">
      <c r="C1650" s="3"/>
      <c r="K1650" s="4"/>
      <c r="L1650" s="4"/>
    </row>
    <row r="1651" spans="3:12">
      <c r="C1651" s="3"/>
      <c r="K1651" s="4"/>
      <c r="L1651" s="4"/>
    </row>
    <row r="1652" spans="3:12">
      <c r="C1652" s="3"/>
      <c r="K1652" s="4"/>
      <c r="L1652" s="4"/>
    </row>
    <row r="1653" spans="3:12">
      <c r="C1653" s="3"/>
      <c r="K1653" s="4"/>
      <c r="L1653" s="4"/>
    </row>
    <row r="1654" spans="3:12">
      <c r="C1654" s="3"/>
      <c r="K1654" s="4"/>
      <c r="L1654" s="4"/>
    </row>
    <row r="1655" spans="3:12">
      <c r="C1655" s="3"/>
      <c r="K1655" s="4"/>
      <c r="L1655" s="4"/>
    </row>
    <row r="1656" spans="3:12">
      <c r="C1656" s="3"/>
      <c r="K1656" s="4"/>
      <c r="L1656" s="4"/>
    </row>
    <row r="1657" spans="3:12">
      <c r="C1657" s="3"/>
      <c r="K1657" s="4"/>
      <c r="L1657" s="4"/>
    </row>
    <row r="1658" spans="3:12">
      <c r="C1658" s="3"/>
      <c r="K1658" s="4"/>
      <c r="L1658" s="4"/>
    </row>
    <row r="1659" spans="3:12">
      <c r="C1659" s="3"/>
      <c r="K1659" s="4"/>
      <c r="L1659" s="4"/>
    </row>
    <row r="1660" spans="3:12">
      <c r="C1660" s="3"/>
      <c r="K1660" s="4"/>
      <c r="L1660" s="4"/>
    </row>
    <row r="1661" spans="3:12">
      <c r="C1661" s="3"/>
      <c r="K1661" s="4"/>
      <c r="L1661" s="4"/>
    </row>
    <row r="1662" spans="3:12">
      <c r="C1662" s="3"/>
      <c r="K1662" s="4"/>
      <c r="L1662" s="4"/>
    </row>
    <row r="1663" spans="3:12">
      <c r="C1663" s="3"/>
      <c r="K1663" s="4"/>
      <c r="L1663" s="4"/>
    </row>
    <row r="1664" spans="3:12">
      <c r="C1664" s="3"/>
      <c r="K1664" s="4"/>
      <c r="L1664" s="4"/>
    </row>
    <row r="1665" spans="3:12">
      <c r="C1665" s="3"/>
      <c r="K1665" s="4"/>
      <c r="L1665" s="4"/>
    </row>
    <row r="1666" spans="3:12">
      <c r="C1666" s="3"/>
      <c r="K1666" s="4"/>
      <c r="L1666" s="4"/>
    </row>
    <row r="1667" spans="3:12">
      <c r="C1667" s="3"/>
      <c r="K1667" s="4"/>
      <c r="L1667" s="4"/>
    </row>
    <row r="1668" spans="3:12">
      <c r="C1668" s="3"/>
      <c r="K1668" s="4"/>
      <c r="L1668" s="4"/>
    </row>
    <row r="1669" spans="3:12">
      <c r="C1669" s="3"/>
      <c r="K1669" s="4"/>
      <c r="L1669" s="4"/>
    </row>
    <row r="1670" spans="3:12">
      <c r="C1670" s="3"/>
      <c r="K1670" s="4"/>
      <c r="L1670" s="4"/>
    </row>
    <row r="1671" spans="3:12">
      <c r="C1671" s="3"/>
      <c r="K1671" s="4"/>
      <c r="L1671" s="4"/>
    </row>
    <row r="1672" spans="3:12">
      <c r="C1672" s="3"/>
      <c r="K1672" s="4"/>
      <c r="L1672" s="4"/>
    </row>
    <row r="1673" spans="3:12">
      <c r="C1673" s="3"/>
      <c r="K1673" s="4"/>
      <c r="L1673" s="4"/>
    </row>
    <row r="1674" spans="3:12">
      <c r="C1674" s="3"/>
      <c r="K1674" s="4"/>
      <c r="L1674" s="4"/>
    </row>
    <row r="1675" spans="3:12">
      <c r="C1675" s="3"/>
      <c r="K1675" s="4"/>
      <c r="L1675" s="4"/>
    </row>
    <row r="1676" spans="3:12">
      <c r="C1676" s="3"/>
      <c r="K1676" s="4"/>
      <c r="L1676" s="4"/>
    </row>
    <row r="1677" spans="3:12">
      <c r="C1677" s="3"/>
      <c r="K1677" s="4"/>
      <c r="L1677" s="4"/>
    </row>
    <row r="1678" spans="3:12">
      <c r="C1678" s="3"/>
      <c r="K1678" s="4"/>
      <c r="L1678" s="4"/>
    </row>
    <row r="1679" spans="3:12">
      <c r="C1679" s="3"/>
      <c r="K1679" s="4"/>
      <c r="L1679" s="4"/>
    </row>
    <row r="1680" spans="3:12">
      <c r="C1680" s="3"/>
      <c r="K1680" s="4"/>
      <c r="L1680" s="4"/>
    </row>
    <row r="1681" spans="3:12">
      <c r="C1681" s="3"/>
      <c r="K1681" s="4"/>
      <c r="L1681" s="4"/>
    </row>
    <row r="1682" spans="3:12">
      <c r="C1682" s="3"/>
      <c r="K1682" s="4"/>
      <c r="L1682" s="4"/>
    </row>
    <row r="1683" spans="3:12">
      <c r="C1683" s="3"/>
      <c r="K1683" s="4"/>
      <c r="L1683" s="4"/>
    </row>
    <row r="1684" spans="3:12">
      <c r="C1684" s="3"/>
      <c r="K1684" s="4"/>
      <c r="L1684" s="4"/>
    </row>
    <row r="1685" spans="3:12">
      <c r="C1685" s="3"/>
      <c r="K1685" s="4"/>
      <c r="L1685" s="4"/>
    </row>
    <row r="1686" spans="3:12">
      <c r="C1686" s="3"/>
      <c r="K1686" s="4"/>
      <c r="L1686" s="4"/>
    </row>
    <row r="1687" spans="3:12">
      <c r="C1687" s="3"/>
      <c r="K1687" s="4"/>
      <c r="L1687" s="4"/>
    </row>
    <row r="1688" spans="3:12">
      <c r="C1688" s="3"/>
      <c r="K1688" s="4"/>
      <c r="L1688" s="4"/>
    </row>
    <row r="1689" spans="3:12">
      <c r="C1689" s="3"/>
      <c r="K1689" s="4"/>
      <c r="L1689" s="4"/>
    </row>
    <row r="1690" spans="3:12">
      <c r="C1690" s="3"/>
      <c r="K1690" s="4"/>
      <c r="L1690" s="4"/>
    </row>
    <row r="1691" spans="3:12">
      <c r="C1691" s="3"/>
      <c r="K1691" s="4"/>
      <c r="L1691" s="4"/>
    </row>
    <row r="1692" spans="3:12">
      <c r="C1692" s="3"/>
      <c r="K1692" s="4"/>
      <c r="L1692" s="4"/>
    </row>
    <row r="1693" spans="3:12">
      <c r="C1693" s="3"/>
      <c r="K1693" s="4"/>
      <c r="L1693" s="4"/>
    </row>
    <row r="1694" spans="3:12">
      <c r="C1694" s="3"/>
      <c r="K1694" s="4"/>
      <c r="L1694" s="4"/>
    </row>
    <row r="1695" spans="3:12">
      <c r="C1695" s="3"/>
      <c r="K1695" s="4"/>
      <c r="L1695" s="4"/>
    </row>
    <row r="1696" spans="3:12">
      <c r="C1696" s="3"/>
      <c r="K1696" s="4"/>
      <c r="L1696" s="4"/>
    </row>
    <row r="1697" spans="3:12">
      <c r="C1697" s="3"/>
      <c r="K1697" s="4"/>
      <c r="L1697" s="4"/>
    </row>
    <row r="1698" spans="3:12">
      <c r="C1698" s="3"/>
      <c r="K1698" s="4"/>
      <c r="L1698" s="4"/>
    </row>
    <row r="1699" spans="3:12">
      <c r="C1699" s="3"/>
      <c r="K1699" s="4"/>
      <c r="L1699" s="4"/>
    </row>
    <row r="1700" spans="3:12">
      <c r="C1700" s="3"/>
      <c r="K1700" s="4"/>
      <c r="L1700" s="4"/>
    </row>
    <row r="1701" spans="3:12">
      <c r="C1701" s="3"/>
      <c r="K1701" s="4"/>
      <c r="L1701" s="4"/>
    </row>
    <row r="1702" spans="3:12">
      <c r="C1702" s="3"/>
      <c r="K1702" s="4"/>
      <c r="L1702" s="4"/>
    </row>
    <row r="1703" spans="3:12">
      <c r="C1703" s="3"/>
      <c r="K1703" s="4"/>
      <c r="L1703" s="4"/>
    </row>
    <row r="1704" spans="3:12">
      <c r="C1704" s="3"/>
      <c r="K1704" s="4"/>
      <c r="L1704" s="4"/>
    </row>
    <row r="1705" spans="3:12">
      <c r="C1705" s="3"/>
      <c r="K1705" s="4"/>
      <c r="L1705" s="4"/>
    </row>
    <row r="1706" spans="3:12">
      <c r="C1706" s="3"/>
      <c r="K1706" s="4"/>
      <c r="L1706" s="4"/>
    </row>
    <row r="1707" spans="3:12">
      <c r="C1707" s="3"/>
      <c r="K1707" s="4"/>
      <c r="L1707" s="4"/>
    </row>
    <row r="1708" spans="3:12">
      <c r="C1708" s="3"/>
      <c r="K1708" s="4"/>
      <c r="L1708" s="4"/>
    </row>
    <row r="1709" spans="3:12">
      <c r="C1709" s="3"/>
      <c r="K1709" s="4"/>
      <c r="L1709" s="4"/>
    </row>
    <row r="1710" spans="3:12">
      <c r="C1710" s="3"/>
      <c r="K1710" s="4"/>
      <c r="L1710" s="4"/>
    </row>
    <row r="1711" spans="3:12">
      <c r="C1711" s="3"/>
      <c r="K1711" s="4"/>
      <c r="L1711" s="4"/>
    </row>
    <row r="1712" spans="3:12">
      <c r="C1712" s="3"/>
      <c r="K1712" s="4"/>
      <c r="L1712" s="4"/>
    </row>
    <row r="1713" spans="3:12">
      <c r="C1713" s="3"/>
      <c r="K1713" s="4"/>
      <c r="L1713" s="4"/>
    </row>
    <row r="1714" spans="3:12">
      <c r="C1714" s="3"/>
      <c r="K1714" s="4"/>
      <c r="L1714" s="4"/>
    </row>
    <row r="1715" spans="3:12">
      <c r="C1715" s="3"/>
      <c r="K1715" s="4"/>
      <c r="L1715" s="4"/>
    </row>
    <row r="1716" spans="3:12">
      <c r="C1716" s="3"/>
      <c r="K1716" s="4"/>
      <c r="L1716" s="4"/>
    </row>
    <row r="1717" spans="3:12">
      <c r="C1717" s="3"/>
      <c r="K1717" s="4"/>
      <c r="L1717" s="4"/>
    </row>
    <row r="1718" spans="3:12">
      <c r="C1718" s="3"/>
      <c r="K1718" s="4"/>
      <c r="L1718" s="4"/>
    </row>
    <row r="1719" spans="3:12">
      <c r="C1719" s="3"/>
      <c r="K1719" s="4"/>
      <c r="L1719" s="4"/>
    </row>
    <row r="1720" spans="3:12">
      <c r="C1720" s="3"/>
      <c r="K1720" s="4"/>
      <c r="L1720" s="4"/>
    </row>
    <row r="1721" spans="3:12">
      <c r="C1721" s="3"/>
      <c r="K1721" s="4"/>
      <c r="L1721" s="4"/>
    </row>
    <row r="1722" spans="3:12">
      <c r="C1722" s="3"/>
      <c r="K1722" s="4"/>
      <c r="L1722" s="4"/>
    </row>
    <row r="1723" spans="3:12">
      <c r="C1723" s="3"/>
      <c r="K1723" s="4"/>
      <c r="L1723" s="4"/>
    </row>
    <row r="1724" spans="3:12">
      <c r="C1724" s="3"/>
      <c r="K1724" s="4"/>
      <c r="L1724" s="4"/>
    </row>
    <row r="1725" spans="3:12">
      <c r="C1725" s="3"/>
      <c r="K1725" s="4"/>
      <c r="L1725" s="4"/>
    </row>
    <row r="1726" spans="3:12">
      <c r="C1726" s="3"/>
      <c r="K1726" s="4"/>
      <c r="L1726" s="4"/>
    </row>
    <row r="1727" spans="3:12">
      <c r="C1727" s="3"/>
      <c r="K1727" s="4"/>
      <c r="L1727" s="4"/>
    </row>
    <row r="1728" spans="3:12">
      <c r="C1728" s="3"/>
      <c r="K1728" s="4"/>
      <c r="L1728" s="4"/>
    </row>
    <row r="1729" spans="3:12">
      <c r="C1729" s="3"/>
      <c r="K1729" s="4"/>
      <c r="L1729" s="4"/>
    </row>
    <row r="1730" spans="3:12">
      <c r="C1730" s="3"/>
      <c r="K1730" s="4"/>
      <c r="L1730" s="4"/>
    </row>
    <row r="1731" spans="3:12">
      <c r="C1731" s="3"/>
      <c r="K1731" s="4"/>
      <c r="L1731" s="4"/>
    </row>
    <row r="1732" spans="3:12">
      <c r="C1732" s="3"/>
      <c r="K1732" s="4"/>
      <c r="L1732" s="4"/>
    </row>
    <row r="1733" spans="3:12">
      <c r="C1733" s="3"/>
      <c r="K1733" s="4"/>
      <c r="L1733" s="4"/>
    </row>
    <row r="1734" spans="3:12">
      <c r="C1734" s="3"/>
      <c r="K1734" s="4"/>
      <c r="L1734" s="4"/>
    </row>
    <row r="1735" spans="3:12">
      <c r="C1735" s="3"/>
      <c r="K1735" s="4"/>
      <c r="L1735" s="4"/>
    </row>
    <row r="1736" spans="3:12">
      <c r="C1736" s="3"/>
      <c r="K1736" s="4"/>
      <c r="L1736" s="4"/>
    </row>
    <row r="1737" spans="3:12">
      <c r="C1737" s="3"/>
      <c r="K1737" s="4"/>
      <c r="L1737" s="4"/>
    </row>
    <row r="1738" spans="3:12">
      <c r="C1738" s="3"/>
      <c r="K1738" s="4"/>
      <c r="L1738" s="4"/>
    </row>
    <row r="1739" spans="3:12">
      <c r="C1739" s="3"/>
      <c r="K1739" s="4"/>
      <c r="L1739" s="4"/>
    </row>
    <row r="1740" spans="3:12">
      <c r="C1740" s="3"/>
      <c r="K1740" s="4"/>
      <c r="L1740" s="4"/>
    </row>
    <row r="1741" spans="3:12">
      <c r="C1741" s="3"/>
      <c r="K1741" s="4"/>
      <c r="L1741" s="4"/>
    </row>
    <row r="1742" spans="3:12">
      <c r="C1742" s="3"/>
      <c r="K1742" s="4"/>
      <c r="L1742" s="4"/>
    </row>
    <row r="1743" spans="3:12">
      <c r="C1743" s="3"/>
      <c r="K1743" s="4"/>
      <c r="L1743" s="4"/>
    </row>
    <row r="1744" spans="3:12">
      <c r="C1744" s="3"/>
      <c r="K1744" s="4"/>
      <c r="L1744" s="4"/>
    </row>
    <row r="1745" spans="3:12">
      <c r="C1745" s="3"/>
      <c r="K1745" s="4"/>
      <c r="L1745" s="4"/>
    </row>
    <row r="1746" spans="3:12">
      <c r="C1746" s="3"/>
      <c r="K1746" s="4"/>
      <c r="L1746" s="4"/>
    </row>
    <row r="1747" spans="3:12">
      <c r="C1747" s="3"/>
      <c r="K1747" s="4"/>
      <c r="L1747" s="4"/>
    </row>
    <row r="1748" spans="3:12">
      <c r="C1748" s="3"/>
      <c r="K1748" s="4"/>
      <c r="L1748" s="4"/>
    </row>
    <row r="1749" spans="3:12">
      <c r="C1749" s="3"/>
      <c r="K1749" s="4"/>
      <c r="L1749" s="4"/>
    </row>
    <row r="1750" spans="3:12">
      <c r="C1750" s="3"/>
      <c r="K1750" s="4"/>
      <c r="L1750" s="4"/>
    </row>
    <row r="1751" spans="3:12">
      <c r="C1751" s="3"/>
      <c r="K1751" s="4"/>
      <c r="L1751" s="4"/>
    </row>
    <row r="1752" spans="3:12">
      <c r="C1752" s="3"/>
      <c r="K1752" s="4"/>
      <c r="L1752" s="4"/>
    </row>
    <row r="1753" spans="3:12">
      <c r="C1753" s="3"/>
      <c r="K1753" s="4"/>
      <c r="L1753" s="4"/>
    </row>
    <row r="1754" spans="3:12">
      <c r="C1754" s="3"/>
      <c r="K1754" s="4"/>
      <c r="L1754" s="4"/>
    </row>
    <row r="1755" spans="3:12">
      <c r="C1755" s="3"/>
      <c r="K1755" s="4"/>
      <c r="L1755" s="4"/>
    </row>
    <row r="1756" spans="3:12">
      <c r="C1756" s="3"/>
      <c r="K1756" s="4"/>
      <c r="L1756" s="4"/>
    </row>
    <row r="1757" spans="3:12">
      <c r="C1757" s="3"/>
      <c r="K1757" s="4"/>
      <c r="L1757" s="4"/>
    </row>
    <row r="1758" spans="3:12">
      <c r="C1758" s="3"/>
      <c r="K1758" s="4"/>
      <c r="L1758" s="4"/>
    </row>
    <row r="1759" spans="3:12">
      <c r="C1759" s="3"/>
      <c r="K1759" s="4"/>
      <c r="L1759" s="4"/>
    </row>
    <row r="1760" spans="3:12">
      <c r="C1760" s="3"/>
      <c r="K1760" s="4"/>
      <c r="L1760" s="4"/>
    </row>
    <row r="1761" spans="3:12">
      <c r="C1761" s="3"/>
      <c r="K1761" s="4"/>
      <c r="L1761" s="4"/>
    </row>
    <row r="1762" spans="3:12">
      <c r="C1762" s="3"/>
      <c r="K1762" s="4"/>
      <c r="L1762" s="4"/>
    </row>
    <row r="1763" spans="3:12">
      <c r="C1763" s="3"/>
      <c r="K1763" s="4"/>
      <c r="L1763" s="4"/>
    </row>
    <row r="1764" spans="3:12">
      <c r="C1764" s="3"/>
      <c r="K1764" s="4"/>
      <c r="L1764" s="4"/>
    </row>
    <row r="1765" spans="3:12">
      <c r="C1765" s="3"/>
      <c r="K1765" s="4"/>
      <c r="L1765" s="4"/>
    </row>
    <row r="1766" spans="3:12">
      <c r="C1766" s="3"/>
      <c r="K1766" s="4"/>
      <c r="L1766" s="4"/>
    </row>
    <row r="1767" spans="3:12">
      <c r="C1767" s="3"/>
      <c r="K1767" s="4"/>
      <c r="L1767" s="4"/>
    </row>
    <row r="1768" spans="3:12">
      <c r="C1768" s="3"/>
      <c r="K1768" s="4"/>
      <c r="L1768" s="4"/>
    </row>
    <row r="1769" spans="3:12">
      <c r="C1769" s="3"/>
      <c r="K1769" s="4"/>
      <c r="L1769" s="4"/>
    </row>
    <row r="1770" spans="3:12">
      <c r="C1770" s="3"/>
      <c r="K1770" s="4"/>
      <c r="L1770" s="4"/>
    </row>
    <row r="1771" spans="3:12">
      <c r="C1771" s="3"/>
      <c r="K1771" s="4"/>
      <c r="L1771" s="4"/>
    </row>
    <row r="1772" spans="3:12">
      <c r="C1772" s="3"/>
      <c r="K1772" s="4"/>
      <c r="L1772" s="4"/>
    </row>
    <row r="1773" spans="3:12">
      <c r="C1773" s="3"/>
      <c r="K1773" s="4"/>
      <c r="L1773" s="4"/>
    </row>
    <row r="1774" spans="3:12">
      <c r="C1774" s="3"/>
      <c r="K1774" s="4"/>
      <c r="L1774" s="4"/>
    </row>
    <row r="1775" spans="3:12">
      <c r="C1775" s="3"/>
      <c r="K1775" s="4"/>
      <c r="L1775" s="4"/>
    </row>
    <row r="1776" spans="3:12">
      <c r="C1776" s="3"/>
      <c r="K1776" s="4"/>
      <c r="L1776" s="4"/>
    </row>
    <row r="1777" spans="3:12">
      <c r="C1777" s="3"/>
      <c r="K1777" s="4"/>
      <c r="L1777" s="4"/>
    </row>
    <row r="1778" spans="3:12">
      <c r="C1778" s="3"/>
      <c r="K1778" s="4"/>
      <c r="L1778" s="4"/>
    </row>
    <row r="1779" spans="3:12">
      <c r="C1779" s="3"/>
      <c r="K1779" s="4"/>
      <c r="L1779" s="4"/>
    </row>
    <row r="1780" spans="3:12">
      <c r="C1780" s="3"/>
      <c r="K1780" s="4"/>
      <c r="L1780" s="4"/>
    </row>
    <row r="1781" spans="3:12">
      <c r="C1781" s="3"/>
      <c r="K1781" s="4"/>
      <c r="L1781" s="4"/>
    </row>
    <row r="1782" spans="3:12">
      <c r="C1782" s="3"/>
      <c r="K1782" s="4"/>
      <c r="L1782" s="4"/>
    </row>
    <row r="1783" spans="3:12">
      <c r="C1783" s="3"/>
      <c r="K1783" s="4"/>
      <c r="L1783" s="4"/>
    </row>
    <row r="1784" spans="3:12">
      <c r="C1784" s="3"/>
      <c r="K1784" s="4"/>
      <c r="L1784" s="4"/>
    </row>
    <row r="1785" spans="3:12">
      <c r="C1785" s="3"/>
      <c r="K1785" s="4"/>
      <c r="L1785" s="4"/>
    </row>
    <row r="1786" spans="3:12">
      <c r="C1786" s="3"/>
      <c r="K1786" s="4"/>
      <c r="L1786" s="4"/>
    </row>
    <row r="1787" spans="3:12">
      <c r="C1787" s="3"/>
      <c r="K1787" s="4"/>
      <c r="L1787" s="4"/>
    </row>
    <row r="1788" spans="3:12">
      <c r="C1788" s="3"/>
      <c r="K1788" s="4"/>
      <c r="L1788" s="4"/>
    </row>
    <row r="1789" spans="3:12">
      <c r="C1789" s="3"/>
      <c r="K1789" s="4"/>
      <c r="L1789" s="4"/>
    </row>
    <row r="1790" spans="3:12">
      <c r="C1790" s="3"/>
      <c r="K1790" s="4"/>
      <c r="L1790" s="4"/>
    </row>
    <row r="1791" spans="3:12">
      <c r="C1791" s="3"/>
      <c r="K1791" s="4"/>
      <c r="L1791" s="4"/>
    </row>
    <row r="1792" spans="3:12">
      <c r="C1792" s="3"/>
      <c r="K1792" s="4"/>
      <c r="L1792" s="4"/>
    </row>
    <row r="1793" spans="3:12">
      <c r="C1793" s="3"/>
      <c r="K1793" s="4"/>
      <c r="L1793" s="4"/>
    </row>
    <row r="1794" spans="3:12">
      <c r="C1794" s="3"/>
      <c r="K1794" s="4"/>
      <c r="L1794" s="4"/>
    </row>
    <row r="1795" spans="3:12">
      <c r="C1795" s="3"/>
      <c r="K1795" s="4"/>
      <c r="L1795" s="4"/>
    </row>
    <row r="1796" spans="3:12">
      <c r="C1796" s="3"/>
      <c r="K1796" s="4"/>
      <c r="L1796" s="4"/>
    </row>
    <row r="1797" spans="3:12">
      <c r="C1797" s="3"/>
      <c r="K1797" s="4"/>
      <c r="L1797" s="4"/>
    </row>
    <row r="1798" spans="3:12">
      <c r="C1798" s="3"/>
      <c r="K1798" s="4"/>
      <c r="L1798" s="4"/>
    </row>
    <row r="1799" spans="3:12">
      <c r="C1799" s="3"/>
      <c r="K1799" s="4"/>
      <c r="L1799" s="4"/>
    </row>
    <row r="1800" spans="3:12">
      <c r="C1800" s="3"/>
      <c r="K1800" s="4"/>
      <c r="L1800" s="4"/>
    </row>
    <row r="1801" spans="3:12">
      <c r="C1801" s="3"/>
      <c r="K1801" s="4"/>
      <c r="L1801" s="4"/>
    </row>
    <row r="1802" spans="3:12">
      <c r="C1802" s="3"/>
      <c r="K1802" s="4"/>
      <c r="L1802" s="4"/>
    </row>
    <row r="1803" spans="3:12">
      <c r="C1803" s="3"/>
      <c r="K1803" s="4"/>
      <c r="L1803" s="4"/>
    </row>
    <row r="1804" spans="3:12">
      <c r="C1804" s="3"/>
      <c r="K1804" s="4"/>
      <c r="L1804" s="4"/>
    </row>
    <row r="1805" spans="3:12">
      <c r="C1805" s="3"/>
      <c r="K1805" s="4"/>
      <c r="L1805" s="4"/>
    </row>
    <row r="1806" spans="3:12">
      <c r="C1806" s="3"/>
      <c r="K1806" s="4"/>
      <c r="L1806" s="4"/>
    </row>
    <row r="1807" spans="3:12">
      <c r="C1807" s="3"/>
      <c r="K1807" s="4"/>
      <c r="L1807" s="4"/>
    </row>
    <row r="1808" spans="3:12">
      <c r="C1808" s="3"/>
      <c r="K1808" s="4"/>
      <c r="L1808" s="4"/>
    </row>
    <row r="1809" spans="3:12">
      <c r="C1809" s="3"/>
      <c r="K1809" s="4"/>
      <c r="L1809" s="4"/>
    </row>
    <row r="1810" spans="3:12">
      <c r="C1810" s="3"/>
      <c r="K1810" s="4"/>
      <c r="L1810" s="4"/>
    </row>
    <row r="1811" spans="3:12">
      <c r="C1811" s="3"/>
      <c r="K1811" s="4"/>
      <c r="L1811" s="4"/>
    </row>
    <row r="1812" spans="3:12">
      <c r="C1812" s="3"/>
      <c r="K1812" s="4"/>
      <c r="L1812" s="4"/>
    </row>
    <row r="1813" spans="3:12">
      <c r="C1813" s="3"/>
      <c r="K1813" s="4"/>
      <c r="L1813" s="4"/>
    </row>
    <row r="1814" spans="3:12">
      <c r="C1814" s="3"/>
      <c r="K1814" s="4"/>
      <c r="L1814" s="4"/>
    </row>
    <row r="1815" spans="3:12">
      <c r="C1815" s="3"/>
      <c r="K1815" s="4"/>
      <c r="L1815" s="4"/>
    </row>
    <row r="1816" spans="3:12">
      <c r="C1816" s="3"/>
      <c r="K1816" s="4"/>
      <c r="L1816" s="4"/>
    </row>
    <row r="1817" spans="3:12">
      <c r="C1817" s="3"/>
      <c r="K1817" s="4"/>
      <c r="L1817" s="4"/>
    </row>
    <row r="1818" spans="3:12">
      <c r="C1818" s="3"/>
      <c r="K1818" s="4"/>
      <c r="L1818" s="4"/>
    </row>
    <row r="1819" spans="3:12">
      <c r="C1819" s="3"/>
      <c r="K1819" s="4"/>
      <c r="L1819" s="4"/>
    </row>
    <row r="1820" spans="3:12">
      <c r="C1820" s="3"/>
      <c r="K1820" s="4"/>
      <c r="L1820" s="4"/>
    </row>
    <row r="1821" spans="3:12">
      <c r="C1821" s="3"/>
      <c r="K1821" s="4"/>
      <c r="L1821" s="4"/>
    </row>
    <row r="1822" spans="3:12">
      <c r="C1822" s="3"/>
      <c r="K1822" s="4"/>
      <c r="L1822" s="4"/>
    </row>
    <row r="1823" spans="3:12">
      <c r="C1823" s="3"/>
      <c r="K1823" s="4"/>
      <c r="L1823" s="4"/>
    </row>
    <row r="1824" spans="3:12">
      <c r="C1824" s="3"/>
      <c r="K1824" s="4"/>
      <c r="L1824" s="4"/>
    </row>
    <row r="1825" spans="3:12">
      <c r="C1825" s="3"/>
      <c r="K1825" s="4"/>
      <c r="L1825" s="4"/>
    </row>
    <row r="1826" spans="3:12">
      <c r="C1826" s="3"/>
      <c r="K1826" s="4"/>
      <c r="L1826" s="4"/>
    </row>
    <row r="1827" spans="3:12">
      <c r="C1827" s="3"/>
      <c r="K1827" s="4"/>
      <c r="L1827" s="4"/>
    </row>
    <row r="1828" spans="3:12">
      <c r="C1828" s="3"/>
      <c r="K1828" s="4"/>
      <c r="L1828" s="4"/>
    </row>
    <row r="1829" spans="3:12">
      <c r="C1829" s="3"/>
      <c r="K1829" s="4"/>
      <c r="L1829" s="4"/>
    </row>
    <row r="1830" spans="3:12">
      <c r="C1830" s="3"/>
      <c r="K1830" s="4"/>
      <c r="L1830" s="4"/>
    </row>
    <row r="1831" spans="3:12">
      <c r="C1831" s="3"/>
      <c r="K1831" s="4"/>
      <c r="L1831" s="4"/>
    </row>
    <row r="1832" spans="3:12">
      <c r="C1832" s="3"/>
      <c r="K1832" s="4"/>
      <c r="L1832" s="4"/>
    </row>
    <row r="1833" spans="3:12">
      <c r="C1833" s="3"/>
      <c r="K1833" s="4"/>
      <c r="L1833" s="4"/>
    </row>
    <row r="1834" spans="3:12">
      <c r="C1834" s="3"/>
      <c r="K1834" s="4"/>
      <c r="L1834" s="4"/>
    </row>
    <row r="1835" spans="3:12">
      <c r="C1835" s="3"/>
      <c r="K1835" s="4"/>
      <c r="L1835" s="4"/>
    </row>
    <row r="1836" spans="3:12">
      <c r="C1836" s="3"/>
      <c r="K1836" s="4"/>
      <c r="L1836" s="4"/>
    </row>
    <row r="1837" spans="3:12">
      <c r="C1837" s="3"/>
      <c r="K1837" s="4"/>
      <c r="L1837" s="4"/>
    </row>
    <row r="1838" spans="3:12">
      <c r="C1838" s="3"/>
      <c r="K1838" s="4"/>
      <c r="L1838" s="4"/>
    </row>
    <row r="1839" spans="3:12">
      <c r="C1839" s="3"/>
      <c r="K1839" s="4"/>
      <c r="L1839" s="4"/>
    </row>
    <row r="1840" spans="3:12">
      <c r="C1840" s="3"/>
      <c r="K1840" s="4"/>
      <c r="L1840" s="4"/>
    </row>
    <row r="1841" spans="3:12">
      <c r="C1841" s="3"/>
      <c r="K1841" s="4"/>
      <c r="L1841" s="4"/>
    </row>
    <row r="1842" spans="3:12">
      <c r="C1842" s="3"/>
      <c r="K1842" s="4"/>
      <c r="L1842" s="4"/>
    </row>
    <row r="1843" spans="3:12">
      <c r="C1843" s="3"/>
      <c r="K1843" s="4"/>
      <c r="L1843" s="4"/>
    </row>
    <row r="1844" spans="3:12">
      <c r="C1844" s="3"/>
      <c r="K1844" s="4"/>
      <c r="L1844" s="4"/>
    </row>
    <row r="1845" spans="3:12">
      <c r="C1845" s="3"/>
      <c r="K1845" s="4"/>
      <c r="L1845" s="4"/>
    </row>
    <row r="1846" spans="3:12">
      <c r="C1846" s="3"/>
      <c r="K1846" s="4"/>
      <c r="L1846" s="4"/>
    </row>
    <row r="1847" spans="3:12">
      <c r="C1847" s="3"/>
      <c r="K1847" s="4"/>
      <c r="L1847" s="4"/>
    </row>
    <row r="1848" spans="3:12">
      <c r="C1848" s="3"/>
      <c r="K1848" s="4"/>
      <c r="L1848" s="4"/>
    </row>
    <row r="1849" spans="3:12">
      <c r="C1849" s="3"/>
      <c r="K1849" s="4"/>
      <c r="L1849" s="4"/>
    </row>
    <row r="1850" spans="3:12">
      <c r="C1850" s="3"/>
      <c r="K1850" s="4"/>
      <c r="L1850" s="4"/>
    </row>
    <row r="1851" spans="3:12">
      <c r="C1851" s="3"/>
      <c r="K1851" s="4"/>
      <c r="L1851" s="4"/>
    </row>
    <row r="1852" spans="3:12">
      <c r="C1852" s="3"/>
      <c r="K1852" s="4"/>
      <c r="L1852" s="4"/>
    </row>
    <row r="1853" spans="3:12">
      <c r="C1853" s="3"/>
      <c r="K1853" s="4"/>
      <c r="L1853" s="4"/>
    </row>
    <row r="1854" spans="3:12">
      <c r="C1854" s="3"/>
      <c r="K1854" s="4"/>
      <c r="L1854" s="4"/>
    </row>
    <row r="1855" spans="3:12">
      <c r="C1855" s="3"/>
      <c r="K1855" s="4"/>
      <c r="L1855" s="4"/>
    </row>
    <row r="1856" spans="3:12">
      <c r="C1856" s="3"/>
      <c r="K1856" s="4"/>
      <c r="L1856" s="4"/>
    </row>
    <row r="1857" spans="3:12">
      <c r="C1857" s="3"/>
      <c r="K1857" s="4"/>
      <c r="L1857" s="4"/>
    </row>
    <row r="1858" spans="3:12">
      <c r="C1858" s="3"/>
      <c r="K1858" s="4"/>
      <c r="L1858" s="4"/>
    </row>
    <row r="1859" spans="3:12">
      <c r="C1859" s="3"/>
      <c r="K1859" s="4"/>
      <c r="L1859" s="4"/>
    </row>
    <row r="1860" spans="3:12">
      <c r="C1860" s="3"/>
      <c r="K1860" s="4"/>
      <c r="L1860" s="4"/>
    </row>
    <row r="1861" spans="3:12">
      <c r="C1861" s="3"/>
      <c r="K1861" s="4"/>
      <c r="L1861" s="4"/>
    </row>
    <row r="1862" spans="3:12">
      <c r="C1862" s="3"/>
      <c r="K1862" s="4"/>
      <c r="L1862" s="4"/>
    </row>
    <row r="1863" spans="3:12">
      <c r="C1863" s="3"/>
      <c r="K1863" s="4"/>
      <c r="L1863" s="4"/>
    </row>
    <row r="1864" spans="3:12">
      <c r="C1864" s="3"/>
      <c r="K1864" s="4"/>
      <c r="L1864" s="4"/>
    </row>
    <row r="1865" spans="3:12">
      <c r="C1865" s="3"/>
      <c r="K1865" s="4"/>
      <c r="L1865" s="4"/>
    </row>
    <row r="1866" spans="3:12">
      <c r="C1866" s="3"/>
      <c r="K1866" s="4"/>
      <c r="L1866" s="4"/>
    </row>
    <row r="1867" spans="3:12">
      <c r="C1867" s="3"/>
      <c r="K1867" s="4"/>
      <c r="L1867" s="4"/>
    </row>
    <row r="1868" spans="3:12">
      <c r="C1868" s="3"/>
      <c r="K1868" s="4"/>
      <c r="L1868" s="4"/>
    </row>
    <row r="1869" spans="3:12">
      <c r="C1869" s="3"/>
      <c r="K1869" s="4"/>
      <c r="L1869" s="4"/>
    </row>
    <row r="1870" spans="3:12">
      <c r="C1870" s="3"/>
      <c r="K1870" s="4"/>
      <c r="L1870" s="4"/>
    </row>
    <row r="1871" spans="3:12">
      <c r="C1871" s="3"/>
      <c r="K1871" s="4"/>
      <c r="L1871" s="4"/>
    </row>
    <row r="1872" spans="3:12">
      <c r="C1872" s="3"/>
      <c r="K1872" s="4"/>
      <c r="L1872" s="4"/>
    </row>
    <row r="1873" spans="3:12">
      <c r="C1873" s="3"/>
      <c r="K1873" s="4"/>
      <c r="L1873" s="4"/>
    </row>
    <row r="1874" spans="3:12">
      <c r="C1874" s="3"/>
      <c r="K1874" s="4"/>
      <c r="L1874" s="4"/>
    </row>
    <row r="1875" spans="3:12">
      <c r="C1875" s="3"/>
      <c r="K1875" s="4"/>
      <c r="L1875" s="4"/>
    </row>
    <row r="1876" spans="3:12">
      <c r="C1876" s="3"/>
      <c r="K1876" s="4"/>
      <c r="L1876" s="4"/>
    </row>
    <row r="1877" spans="3:12">
      <c r="C1877" s="3"/>
      <c r="K1877" s="4"/>
      <c r="L1877" s="4"/>
    </row>
    <row r="1878" spans="3:12">
      <c r="C1878" s="3"/>
      <c r="K1878" s="4"/>
      <c r="L1878" s="4"/>
    </row>
    <row r="1879" spans="3:12">
      <c r="C1879" s="3"/>
      <c r="K1879" s="4"/>
      <c r="L1879" s="4"/>
    </row>
    <row r="1880" spans="3:12">
      <c r="C1880" s="3"/>
      <c r="K1880" s="4"/>
      <c r="L1880" s="4"/>
    </row>
    <row r="1881" spans="3:12">
      <c r="C1881" s="3"/>
      <c r="K1881" s="4"/>
      <c r="L1881" s="4"/>
    </row>
    <row r="1882" spans="3:12">
      <c r="C1882" s="3"/>
      <c r="K1882" s="4"/>
      <c r="L1882" s="4"/>
    </row>
    <row r="1883" spans="3:12">
      <c r="C1883" s="3"/>
      <c r="K1883" s="4"/>
      <c r="L1883" s="4"/>
    </row>
    <row r="1884" spans="3:12">
      <c r="C1884" s="3"/>
      <c r="K1884" s="4"/>
      <c r="L1884" s="4"/>
    </row>
    <row r="1885" spans="3:12">
      <c r="C1885" s="3"/>
      <c r="K1885" s="4"/>
      <c r="L1885" s="4"/>
    </row>
    <row r="1886" spans="3:12">
      <c r="C1886" s="3"/>
      <c r="K1886" s="4"/>
      <c r="L1886" s="4"/>
    </row>
    <row r="1887" spans="3:12">
      <c r="C1887" s="3"/>
      <c r="K1887" s="4"/>
      <c r="L1887" s="4"/>
    </row>
    <row r="1888" spans="3:12">
      <c r="C1888" s="3"/>
      <c r="K1888" s="4"/>
      <c r="L1888" s="4"/>
    </row>
    <row r="1889" spans="3:12">
      <c r="C1889" s="3"/>
      <c r="K1889" s="4"/>
      <c r="L1889" s="4"/>
    </row>
    <row r="1890" spans="3:12">
      <c r="C1890" s="3"/>
      <c r="K1890" s="4"/>
      <c r="L1890" s="4"/>
    </row>
    <row r="1891" spans="3:12">
      <c r="C1891" s="3"/>
      <c r="K1891" s="4"/>
      <c r="L1891" s="4"/>
    </row>
    <row r="1892" spans="3:12">
      <c r="C1892" s="3"/>
      <c r="K1892" s="4"/>
      <c r="L1892" s="4"/>
    </row>
    <row r="1893" spans="3:12">
      <c r="C1893" s="3"/>
      <c r="K1893" s="4"/>
      <c r="L1893" s="4"/>
    </row>
    <row r="1894" spans="3:12">
      <c r="C1894" s="3"/>
      <c r="K1894" s="4"/>
      <c r="L1894" s="4"/>
    </row>
    <row r="1895" spans="3:12">
      <c r="C1895" s="3"/>
      <c r="K1895" s="4"/>
      <c r="L1895" s="4"/>
    </row>
    <row r="1896" spans="3:12">
      <c r="C1896" s="3"/>
      <c r="K1896" s="4"/>
      <c r="L1896" s="4"/>
    </row>
    <row r="1897" spans="3:12">
      <c r="C1897" s="3"/>
      <c r="K1897" s="4"/>
      <c r="L1897" s="4"/>
    </row>
    <row r="1898" spans="3:12">
      <c r="C1898" s="3"/>
      <c r="K1898" s="4"/>
      <c r="L1898" s="4"/>
    </row>
    <row r="1899" spans="3:12">
      <c r="C1899" s="3"/>
      <c r="K1899" s="4"/>
      <c r="L1899" s="4"/>
    </row>
    <row r="1900" spans="3:12">
      <c r="C1900" s="3"/>
      <c r="K1900" s="4"/>
      <c r="L1900" s="4"/>
    </row>
    <row r="1901" spans="3:12">
      <c r="C1901" s="3"/>
      <c r="K1901" s="4"/>
      <c r="L1901" s="4"/>
    </row>
    <row r="1902" spans="3:12">
      <c r="C1902" s="3"/>
      <c r="K1902" s="4"/>
      <c r="L1902" s="4"/>
    </row>
    <row r="1903" spans="3:12">
      <c r="C1903" s="3"/>
      <c r="K1903" s="4"/>
      <c r="L1903" s="4"/>
    </row>
    <row r="1904" spans="3:12">
      <c r="C1904" s="3"/>
      <c r="K1904" s="4"/>
      <c r="L1904" s="4"/>
    </row>
    <row r="1905" spans="3:12">
      <c r="C1905" s="3"/>
      <c r="K1905" s="4"/>
      <c r="L1905" s="4"/>
    </row>
    <row r="1906" spans="3:12">
      <c r="C1906" s="3"/>
      <c r="K1906" s="4"/>
      <c r="L1906" s="4"/>
    </row>
    <row r="1907" spans="3:12">
      <c r="C1907" s="3"/>
      <c r="K1907" s="4"/>
      <c r="L1907" s="4"/>
    </row>
    <row r="1908" spans="3:12">
      <c r="C1908" s="3"/>
      <c r="K1908" s="4"/>
      <c r="L1908" s="4"/>
    </row>
    <row r="1909" spans="3:12">
      <c r="C1909" s="3"/>
      <c r="K1909" s="4"/>
      <c r="L1909" s="4"/>
    </row>
    <row r="1910" spans="3:12">
      <c r="C1910" s="3"/>
      <c r="K1910" s="4"/>
      <c r="L1910" s="4"/>
    </row>
    <row r="1911" spans="3:12">
      <c r="C1911" s="3"/>
      <c r="K1911" s="4"/>
      <c r="L1911" s="4"/>
    </row>
    <row r="1912" spans="3:12">
      <c r="C1912" s="3"/>
      <c r="K1912" s="4"/>
      <c r="L1912" s="4"/>
    </row>
    <row r="1913" spans="3:12">
      <c r="C1913" s="3"/>
      <c r="K1913" s="4"/>
      <c r="L1913" s="4"/>
    </row>
    <row r="1914" spans="3:12">
      <c r="C1914" s="3"/>
      <c r="K1914" s="4"/>
      <c r="L1914" s="4"/>
    </row>
    <row r="1915" spans="3:12">
      <c r="C1915" s="3"/>
      <c r="K1915" s="4"/>
      <c r="L1915" s="4"/>
    </row>
    <row r="1916" spans="3:12">
      <c r="C1916" s="3"/>
      <c r="K1916" s="4"/>
      <c r="L1916" s="4"/>
    </row>
    <row r="1917" spans="3:12">
      <c r="C1917" s="3"/>
      <c r="K1917" s="4"/>
      <c r="L1917" s="4"/>
    </row>
    <row r="1918" spans="3:12">
      <c r="C1918" s="3"/>
      <c r="K1918" s="4"/>
      <c r="L1918" s="4"/>
    </row>
    <row r="1919" spans="3:12">
      <c r="C1919" s="3"/>
      <c r="K1919" s="4"/>
      <c r="L1919" s="4"/>
    </row>
    <row r="1920" spans="3:12">
      <c r="C1920" s="3"/>
      <c r="K1920" s="4"/>
      <c r="L1920" s="4"/>
    </row>
    <row r="1921" spans="3:12">
      <c r="C1921" s="3"/>
      <c r="K1921" s="4"/>
      <c r="L1921" s="4"/>
    </row>
    <row r="1922" spans="3:12">
      <c r="C1922" s="3"/>
      <c r="K1922" s="4"/>
      <c r="L1922" s="4"/>
    </row>
    <row r="1923" spans="3:12">
      <c r="C1923" s="3"/>
      <c r="K1923" s="4"/>
      <c r="L1923" s="4"/>
    </row>
    <row r="1924" spans="3:12">
      <c r="C1924" s="3"/>
      <c r="K1924" s="4"/>
      <c r="L1924" s="4"/>
    </row>
    <row r="1925" spans="3:12">
      <c r="C1925" s="3"/>
      <c r="K1925" s="4"/>
      <c r="L1925" s="4"/>
    </row>
    <row r="1926" spans="3:12">
      <c r="C1926" s="3"/>
      <c r="K1926" s="4"/>
      <c r="L1926" s="4"/>
    </row>
    <row r="1927" spans="3:12">
      <c r="C1927" s="3"/>
      <c r="K1927" s="4"/>
      <c r="L1927" s="4"/>
    </row>
    <row r="1928" spans="3:12">
      <c r="C1928" s="3"/>
      <c r="K1928" s="4"/>
      <c r="L1928" s="4"/>
    </row>
    <row r="1929" spans="3:12">
      <c r="C1929" s="3"/>
      <c r="K1929" s="4"/>
      <c r="L1929" s="4"/>
    </row>
    <row r="1930" spans="3:12">
      <c r="C1930" s="3"/>
      <c r="K1930" s="4"/>
      <c r="L1930" s="4"/>
    </row>
    <row r="1931" spans="3:12">
      <c r="C1931" s="3"/>
      <c r="K1931" s="4"/>
      <c r="L1931" s="4"/>
    </row>
    <row r="1932" spans="3:12">
      <c r="C1932" s="3"/>
      <c r="K1932" s="4"/>
      <c r="L1932" s="4"/>
    </row>
    <row r="1933" spans="3:12">
      <c r="C1933" s="3"/>
      <c r="K1933" s="4"/>
      <c r="L1933" s="4"/>
    </row>
    <row r="1934" spans="3:12">
      <c r="C1934" s="3"/>
      <c r="K1934" s="4"/>
      <c r="L1934" s="4"/>
    </row>
    <row r="1935" spans="3:12">
      <c r="C1935" s="3"/>
      <c r="K1935" s="4"/>
      <c r="L1935" s="4"/>
    </row>
    <row r="1936" spans="3:12">
      <c r="C1936" s="3"/>
      <c r="K1936" s="4"/>
      <c r="L1936" s="4"/>
    </row>
    <row r="1937" spans="3:12">
      <c r="C1937" s="3"/>
      <c r="K1937" s="4"/>
      <c r="L1937" s="4"/>
    </row>
    <row r="1938" spans="3:12">
      <c r="C1938" s="3"/>
      <c r="K1938" s="4"/>
      <c r="L1938" s="4"/>
    </row>
    <row r="1939" spans="3:12">
      <c r="C1939" s="3"/>
      <c r="K1939" s="4"/>
      <c r="L1939" s="4"/>
    </row>
    <row r="1940" spans="3:12">
      <c r="C1940" s="3"/>
      <c r="K1940" s="4"/>
      <c r="L1940" s="4"/>
    </row>
    <row r="1941" spans="3:12">
      <c r="C1941" s="3"/>
      <c r="K1941" s="4"/>
      <c r="L1941" s="4"/>
    </row>
    <row r="1942" spans="3:12">
      <c r="C1942" s="3"/>
      <c r="K1942" s="4"/>
      <c r="L1942" s="4"/>
    </row>
    <row r="1943" spans="3:12">
      <c r="C1943" s="3"/>
      <c r="K1943" s="4"/>
      <c r="L1943" s="4"/>
    </row>
    <row r="1944" spans="3:12">
      <c r="C1944" s="3"/>
      <c r="K1944" s="4"/>
      <c r="L1944" s="4"/>
    </row>
    <row r="1945" spans="3:12">
      <c r="C1945" s="3"/>
      <c r="K1945" s="4"/>
      <c r="L1945" s="4"/>
    </row>
    <row r="1946" spans="3:12">
      <c r="C1946" s="3"/>
      <c r="K1946" s="4"/>
      <c r="L1946" s="4"/>
    </row>
    <row r="1947" spans="3:12">
      <c r="C1947" s="3"/>
      <c r="K1947" s="4"/>
      <c r="L1947" s="4"/>
    </row>
    <row r="1948" spans="3:12">
      <c r="C1948" s="3"/>
      <c r="K1948" s="4"/>
      <c r="L1948" s="4"/>
    </row>
    <row r="1949" spans="3:12">
      <c r="C1949" s="3"/>
      <c r="K1949" s="4"/>
      <c r="L1949" s="4"/>
    </row>
    <row r="1950" spans="3:12">
      <c r="C1950" s="3"/>
      <c r="K1950" s="4"/>
      <c r="L1950" s="4"/>
    </row>
    <row r="1951" spans="3:12">
      <c r="C1951" s="3"/>
      <c r="K1951" s="4"/>
      <c r="L1951" s="4"/>
    </row>
    <row r="1952" spans="3:12">
      <c r="C1952" s="3"/>
      <c r="K1952" s="4"/>
      <c r="L1952" s="4"/>
    </row>
    <row r="1953" spans="3:12">
      <c r="C1953" s="3"/>
      <c r="K1953" s="4"/>
      <c r="L1953" s="4"/>
    </row>
    <row r="1954" spans="3:12">
      <c r="C1954" s="3"/>
      <c r="K1954" s="4"/>
      <c r="L1954" s="4"/>
    </row>
    <row r="1955" spans="3:12">
      <c r="C1955" s="3"/>
      <c r="K1955" s="4"/>
      <c r="L1955" s="4"/>
    </row>
    <row r="1956" spans="3:12">
      <c r="C1956" s="3"/>
      <c r="K1956" s="4"/>
      <c r="L1956" s="4"/>
    </row>
    <row r="1957" spans="3:12">
      <c r="C1957" s="3"/>
      <c r="K1957" s="4"/>
      <c r="L1957" s="4"/>
    </row>
    <row r="1958" spans="3:12">
      <c r="C1958" s="3"/>
      <c r="K1958" s="4"/>
      <c r="L1958" s="4"/>
    </row>
    <row r="1959" spans="3:12">
      <c r="C1959" s="3"/>
      <c r="K1959" s="4"/>
      <c r="L1959" s="4"/>
    </row>
    <row r="1960" spans="3:12">
      <c r="C1960" s="3"/>
      <c r="K1960" s="4"/>
      <c r="L1960" s="4"/>
    </row>
    <row r="1961" spans="3:12">
      <c r="C1961" s="3"/>
      <c r="K1961" s="4"/>
      <c r="L1961" s="4"/>
    </row>
    <row r="1962" spans="3:12">
      <c r="C1962" s="3"/>
      <c r="K1962" s="4"/>
      <c r="L1962" s="4"/>
    </row>
    <row r="1963" spans="3:12">
      <c r="C1963" s="3"/>
      <c r="K1963" s="4"/>
      <c r="L1963" s="4"/>
    </row>
    <row r="1964" spans="3:12">
      <c r="C1964" s="3"/>
      <c r="K1964" s="4"/>
      <c r="L1964" s="4"/>
    </row>
    <row r="1965" spans="3:12">
      <c r="C1965" s="3"/>
      <c r="K1965" s="4"/>
      <c r="L1965" s="4"/>
    </row>
    <row r="1966" spans="3:12">
      <c r="C1966" s="3"/>
      <c r="K1966" s="4"/>
      <c r="L1966" s="4"/>
    </row>
    <row r="1967" spans="3:12">
      <c r="C1967" s="3"/>
      <c r="K1967" s="4"/>
      <c r="L1967" s="4"/>
    </row>
    <row r="1968" spans="3:12">
      <c r="C1968" s="3"/>
      <c r="K1968" s="4"/>
      <c r="L1968" s="4"/>
    </row>
    <row r="1969" spans="3:12">
      <c r="C1969" s="3"/>
      <c r="K1969" s="4"/>
      <c r="L1969" s="4"/>
    </row>
    <row r="1970" spans="3:12">
      <c r="C1970" s="3"/>
      <c r="K1970" s="4"/>
      <c r="L1970" s="4"/>
    </row>
    <row r="1971" spans="3:12">
      <c r="C1971" s="3"/>
      <c r="K1971" s="4"/>
      <c r="L1971" s="4"/>
    </row>
    <row r="1972" spans="3:12">
      <c r="C1972" s="3"/>
      <c r="K1972" s="4"/>
      <c r="L1972" s="4"/>
    </row>
    <row r="1973" spans="3:12">
      <c r="C1973" s="3"/>
      <c r="K1973" s="4"/>
      <c r="L1973" s="4"/>
    </row>
    <row r="1974" spans="3:12">
      <c r="C1974" s="3"/>
      <c r="K1974" s="4"/>
      <c r="L1974" s="4"/>
    </row>
    <row r="1975" spans="3:12">
      <c r="C1975" s="3"/>
      <c r="K1975" s="4"/>
      <c r="L1975" s="4"/>
    </row>
    <row r="1976" spans="3:12">
      <c r="C1976" s="3"/>
      <c r="K1976" s="4"/>
      <c r="L1976" s="4"/>
    </row>
    <row r="1977" spans="3:12">
      <c r="C1977" s="3"/>
      <c r="K1977" s="4"/>
      <c r="L1977" s="4"/>
    </row>
    <row r="1978" spans="3:12">
      <c r="C1978" s="3"/>
      <c r="K1978" s="4"/>
      <c r="L1978" s="4"/>
    </row>
    <row r="1979" spans="3:12">
      <c r="C1979" s="3"/>
      <c r="K1979" s="4"/>
      <c r="L1979" s="4"/>
    </row>
    <row r="1980" spans="3:12">
      <c r="C1980" s="3"/>
      <c r="K1980" s="4"/>
      <c r="L1980" s="4"/>
    </row>
    <row r="1981" spans="3:12">
      <c r="C1981" s="3"/>
      <c r="K1981" s="4"/>
      <c r="L1981" s="4"/>
    </row>
    <row r="1982" spans="3:12">
      <c r="C1982" s="3"/>
      <c r="K1982" s="4"/>
      <c r="L1982" s="4"/>
    </row>
    <row r="1983" spans="3:12">
      <c r="C1983" s="3"/>
      <c r="K1983" s="4"/>
      <c r="L1983" s="4"/>
    </row>
    <row r="1984" spans="3:12">
      <c r="C1984" s="3"/>
      <c r="K1984" s="4"/>
      <c r="L1984" s="4"/>
    </row>
    <row r="1985" spans="3:12">
      <c r="C1985" s="3"/>
      <c r="K1985" s="4"/>
      <c r="L1985" s="4"/>
    </row>
    <row r="1986" spans="3:12">
      <c r="C1986" s="3"/>
      <c r="K1986" s="4"/>
      <c r="L1986" s="4"/>
    </row>
    <row r="1987" spans="3:12">
      <c r="C1987" s="3"/>
      <c r="K1987" s="4"/>
      <c r="L1987" s="4"/>
    </row>
    <row r="1988" spans="3:12">
      <c r="C1988" s="3"/>
      <c r="K1988" s="4"/>
      <c r="L1988" s="4"/>
    </row>
    <row r="1989" spans="3:12">
      <c r="C1989" s="3"/>
      <c r="K1989" s="4"/>
      <c r="L1989" s="4"/>
    </row>
    <row r="1990" spans="3:12">
      <c r="C1990" s="3"/>
      <c r="K1990" s="4"/>
      <c r="L1990" s="4"/>
    </row>
    <row r="1991" spans="3:12">
      <c r="C1991" s="3"/>
      <c r="K1991" s="4"/>
      <c r="L1991" s="4"/>
    </row>
    <row r="1992" spans="3:12">
      <c r="C1992" s="3"/>
      <c r="K1992" s="4"/>
      <c r="L1992" s="4"/>
    </row>
    <row r="1993" spans="3:12">
      <c r="C1993" s="3"/>
      <c r="K1993" s="4"/>
      <c r="L1993" s="4"/>
    </row>
    <row r="1994" spans="3:12">
      <c r="C1994" s="3"/>
      <c r="K1994" s="4"/>
      <c r="L1994" s="4"/>
    </row>
    <row r="1995" spans="3:12">
      <c r="C1995" s="3"/>
      <c r="K1995" s="4"/>
      <c r="L1995" s="4"/>
    </row>
    <row r="1996" spans="3:12">
      <c r="C1996" s="3"/>
      <c r="K1996" s="4"/>
      <c r="L1996" s="4"/>
    </row>
    <row r="1997" spans="3:12">
      <c r="C1997" s="3"/>
      <c r="K1997" s="4"/>
      <c r="L1997" s="4"/>
    </row>
    <row r="1998" spans="3:12">
      <c r="C1998" s="3"/>
      <c r="K1998" s="4"/>
      <c r="L1998" s="4"/>
    </row>
    <row r="1999" spans="3:12">
      <c r="C1999" s="3"/>
      <c r="K1999" s="4"/>
      <c r="L1999" s="4"/>
    </row>
    <row r="2000" spans="3:12">
      <c r="C2000" s="3"/>
      <c r="K2000" s="4"/>
      <c r="L2000" s="4"/>
    </row>
    <row r="2001" spans="3:12">
      <c r="C2001" s="3"/>
      <c r="K2001" s="4"/>
      <c r="L2001" s="4"/>
    </row>
    <row r="2002" spans="3:12">
      <c r="C2002" s="3"/>
      <c r="K2002" s="4"/>
      <c r="L2002" s="4"/>
    </row>
    <row r="2003" spans="3:12">
      <c r="C2003" s="3"/>
      <c r="K2003" s="4"/>
      <c r="L2003" s="4"/>
    </row>
    <row r="2004" spans="3:12">
      <c r="C2004" s="3"/>
      <c r="K2004" s="4"/>
      <c r="L2004" s="4"/>
    </row>
    <row r="2005" spans="3:12">
      <c r="C2005" s="3"/>
      <c r="K2005" s="4"/>
      <c r="L2005" s="4"/>
    </row>
    <row r="2006" spans="3:12">
      <c r="C2006" s="3"/>
      <c r="K2006" s="4"/>
      <c r="L2006" s="4"/>
    </row>
    <row r="2007" spans="3:12">
      <c r="C2007" s="3"/>
      <c r="K2007" s="4"/>
      <c r="L2007" s="4"/>
    </row>
    <row r="2008" spans="3:12">
      <c r="C2008" s="3"/>
      <c r="K2008" s="4"/>
      <c r="L2008" s="4"/>
    </row>
    <row r="2009" spans="3:12">
      <c r="C2009" s="3"/>
      <c r="K2009" s="4"/>
      <c r="L2009" s="4"/>
    </row>
    <row r="2010" spans="3:12">
      <c r="C2010" s="3"/>
      <c r="K2010" s="4"/>
      <c r="L2010" s="4"/>
    </row>
    <row r="2011" spans="3:12">
      <c r="C2011" s="3"/>
      <c r="K2011" s="4"/>
      <c r="L2011" s="4"/>
    </row>
    <row r="2012" spans="3:12">
      <c r="C2012" s="3"/>
      <c r="K2012" s="4"/>
      <c r="L2012" s="4"/>
    </row>
    <row r="2013" spans="3:12">
      <c r="C2013" s="3"/>
      <c r="K2013" s="4"/>
      <c r="L2013" s="4"/>
    </row>
    <row r="2014" spans="3:12">
      <c r="C2014" s="3"/>
      <c r="K2014" s="4"/>
      <c r="L2014" s="4"/>
    </row>
    <row r="2015" spans="3:12">
      <c r="C2015" s="3"/>
      <c r="K2015" s="4"/>
      <c r="L2015" s="4"/>
    </row>
    <row r="2016" spans="3:12">
      <c r="C2016" s="3"/>
      <c r="K2016" s="4"/>
      <c r="L2016" s="4"/>
    </row>
    <row r="2017" spans="3:12">
      <c r="C2017" s="3"/>
      <c r="K2017" s="4"/>
      <c r="L2017" s="4"/>
    </row>
    <row r="2018" spans="3:12">
      <c r="C2018" s="3"/>
      <c r="K2018" s="4"/>
      <c r="L2018" s="4"/>
    </row>
    <row r="2019" spans="3:12">
      <c r="C2019" s="3"/>
      <c r="K2019" s="4"/>
      <c r="L2019" s="4"/>
    </row>
    <row r="2020" spans="3:12">
      <c r="C2020" s="3"/>
      <c r="K2020" s="4"/>
      <c r="L2020" s="4"/>
    </row>
    <row r="2021" spans="3:12">
      <c r="C2021" s="3"/>
      <c r="K2021" s="4"/>
      <c r="L2021" s="4"/>
    </row>
    <row r="2022" spans="3:12">
      <c r="C2022" s="3"/>
      <c r="K2022" s="4"/>
      <c r="L2022" s="4"/>
    </row>
    <row r="2023" spans="3:12">
      <c r="C2023" s="3"/>
      <c r="K2023" s="4"/>
      <c r="L2023" s="4"/>
    </row>
    <row r="2024" spans="3:12">
      <c r="C2024" s="3"/>
      <c r="K2024" s="4"/>
      <c r="L2024" s="4"/>
    </row>
    <row r="2025" spans="3:12">
      <c r="C2025" s="3"/>
      <c r="K2025" s="4"/>
      <c r="L2025" s="4"/>
    </row>
    <row r="2026" spans="3:12">
      <c r="C2026" s="3"/>
      <c r="K2026" s="4"/>
      <c r="L2026" s="4"/>
    </row>
    <row r="2027" spans="3:12">
      <c r="C2027" s="3"/>
      <c r="K2027" s="4"/>
      <c r="L2027" s="4"/>
    </row>
    <row r="2028" spans="3:12">
      <c r="C2028" s="3"/>
      <c r="K2028" s="4"/>
      <c r="L2028" s="4"/>
    </row>
    <row r="2029" spans="3:12">
      <c r="C2029" s="3"/>
      <c r="K2029" s="4"/>
      <c r="L2029" s="4"/>
    </row>
    <row r="2030" spans="3:12">
      <c r="C2030" s="3"/>
      <c r="K2030" s="4"/>
      <c r="L2030" s="4"/>
    </row>
    <row r="2031" spans="3:12">
      <c r="C2031" s="3"/>
      <c r="K2031" s="4"/>
      <c r="L2031" s="4"/>
    </row>
    <row r="2032" spans="3:12">
      <c r="C2032" s="3"/>
      <c r="K2032" s="4"/>
      <c r="L2032" s="4"/>
    </row>
    <row r="2033" spans="3:12">
      <c r="C2033" s="3"/>
      <c r="K2033" s="4"/>
      <c r="L2033" s="4"/>
    </row>
    <row r="2034" spans="3:12">
      <c r="C2034" s="3"/>
      <c r="K2034" s="4"/>
      <c r="L2034" s="4"/>
    </row>
    <row r="2035" spans="3:12">
      <c r="C2035" s="3"/>
      <c r="K2035" s="4"/>
      <c r="L2035" s="4"/>
    </row>
    <row r="2036" spans="3:12">
      <c r="C2036" s="3"/>
      <c r="K2036" s="4"/>
      <c r="L2036" s="4"/>
    </row>
    <row r="2037" spans="3:12">
      <c r="C2037" s="3"/>
      <c r="K2037" s="4"/>
      <c r="L2037" s="4"/>
    </row>
    <row r="2038" spans="3:12">
      <c r="C2038" s="3"/>
      <c r="K2038" s="4"/>
      <c r="L2038" s="4"/>
    </row>
    <row r="2039" spans="3:12">
      <c r="C2039" s="3"/>
      <c r="K2039" s="4"/>
      <c r="L2039" s="4"/>
    </row>
    <row r="2040" spans="3:12">
      <c r="C2040" s="3"/>
      <c r="K2040" s="4"/>
      <c r="L2040" s="4"/>
    </row>
    <row r="2041" spans="3:12">
      <c r="C2041" s="3"/>
      <c r="K2041" s="4"/>
      <c r="L2041" s="4"/>
    </row>
    <row r="2042" spans="3:12">
      <c r="C2042" s="3"/>
      <c r="K2042" s="4"/>
      <c r="L2042" s="4"/>
    </row>
    <row r="2043" spans="3:12">
      <c r="C2043" s="3"/>
      <c r="K2043" s="4"/>
      <c r="L2043" s="4"/>
    </row>
    <row r="2044" spans="3:12">
      <c r="C2044" s="3"/>
      <c r="K2044" s="4"/>
      <c r="L2044" s="4"/>
    </row>
    <row r="2045" spans="3:12">
      <c r="C2045" s="3"/>
      <c r="K2045" s="4"/>
      <c r="L2045" s="4"/>
    </row>
    <row r="2046" spans="3:12">
      <c r="C2046" s="3"/>
      <c r="K2046" s="4"/>
      <c r="L2046" s="4"/>
    </row>
    <row r="2047" spans="3:12">
      <c r="C2047" s="3"/>
      <c r="K2047" s="4"/>
      <c r="L2047" s="4"/>
    </row>
    <row r="2048" spans="3:12">
      <c r="C2048" s="3"/>
      <c r="K2048" s="4"/>
      <c r="L2048" s="4"/>
    </row>
    <row r="2049" spans="3:12">
      <c r="C2049" s="3"/>
      <c r="K2049" s="4"/>
      <c r="L2049" s="4"/>
    </row>
    <row r="2050" spans="3:12">
      <c r="C2050" s="3"/>
      <c r="K2050" s="4"/>
      <c r="L2050" s="4"/>
    </row>
    <row r="2051" spans="3:12">
      <c r="C2051" s="3"/>
      <c r="K2051" s="4"/>
      <c r="L2051" s="4"/>
    </row>
    <row r="2052" spans="3:12">
      <c r="C2052" s="3"/>
      <c r="K2052" s="4"/>
      <c r="L2052" s="4"/>
    </row>
    <row r="2053" spans="3:12">
      <c r="C2053" s="3"/>
      <c r="K2053" s="4"/>
      <c r="L2053" s="4"/>
    </row>
    <row r="2054" spans="3:12">
      <c r="C2054" s="3"/>
      <c r="K2054" s="4"/>
      <c r="L2054" s="4"/>
    </row>
    <row r="2055" spans="3:12">
      <c r="C2055" s="3"/>
      <c r="K2055" s="4"/>
      <c r="L2055" s="4"/>
    </row>
    <row r="2056" spans="3:12">
      <c r="C2056" s="3"/>
      <c r="K2056" s="4"/>
      <c r="L2056" s="4"/>
    </row>
    <row r="2057" spans="3:12">
      <c r="C2057" s="3"/>
      <c r="K2057" s="4"/>
      <c r="L2057" s="4"/>
    </row>
    <row r="2058" spans="3:12">
      <c r="C2058" s="3"/>
      <c r="K2058" s="4"/>
      <c r="L2058" s="4"/>
    </row>
    <row r="2059" spans="3:12">
      <c r="C2059" s="3"/>
      <c r="K2059" s="4"/>
      <c r="L2059" s="4"/>
    </row>
    <row r="2060" spans="3:12">
      <c r="C2060" s="3"/>
      <c r="K2060" s="4"/>
      <c r="L2060" s="4"/>
    </row>
    <row r="2061" spans="3:12">
      <c r="C2061" s="3"/>
      <c r="K2061" s="4"/>
      <c r="L2061" s="4"/>
    </row>
    <row r="2062" spans="3:12">
      <c r="C2062" s="3"/>
      <c r="K2062" s="4"/>
      <c r="L2062" s="4"/>
    </row>
    <row r="2063" spans="3:12">
      <c r="C2063" s="3"/>
      <c r="K2063" s="4"/>
      <c r="L2063" s="4"/>
    </row>
    <row r="2064" spans="3:12">
      <c r="C2064" s="3"/>
      <c r="K2064" s="4"/>
      <c r="L2064" s="4"/>
    </row>
    <row r="2065" spans="3:12">
      <c r="C2065" s="3"/>
      <c r="K2065" s="4"/>
      <c r="L2065" s="4"/>
    </row>
    <row r="2066" spans="3:12">
      <c r="C2066" s="3"/>
      <c r="K2066" s="4"/>
      <c r="L2066" s="4"/>
    </row>
    <row r="2067" spans="3:12">
      <c r="C2067" s="3"/>
      <c r="K2067" s="4"/>
      <c r="L2067" s="4"/>
    </row>
    <row r="2068" spans="3:12">
      <c r="C2068" s="3"/>
      <c r="K2068" s="4"/>
      <c r="L2068" s="4"/>
    </row>
    <row r="2069" spans="3:12">
      <c r="C2069" s="3"/>
      <c r="K2069" s="4"/>
      <c r="L2069" s="4"/>
    </row>
    <row r="2070" spans="3:12">
      <c r="C2070" s="3"/>
      <c r="K2070" s="4"/>
      <c r="L2070" s="4"/>
    </row>
    <row r="2071" spans="3:12">
      <c r="C2071" s="3"/>
      <c r="K2071" s="4"/>
      <c r="L2071" s="4"/>
    </row>
    <row r="2072" spans="3:12">
      <c r="C2072" s="3"/>
      <c r="K2072" s="4"/>
      <c r="L2072" s="4"/>
    </row>
    <row r="2073" spans="3:12">
      <c r="C2073" s="3"/>
      <c r="K2073" s="4"/>
      <c r="L2073" s="4"/>
    </row>
    <row r="2074" spans="3:12">
      <c r="C2074" s="3"/>
      <c r="K2074" s="4"/>
      <c r="L2074" s="4"/>
    </row>
    <row r="2075" spans="3:12">
      <c r="C2075" s="3"/>
      <c r="K2075" s="4"/>
      <c r="L2075" s="4"/>
    </row>
    <row r="2076" spans="3:12">
      <c r="C2076" s="3"/>
      <c r="K2076" s="4"/>
      <c r="L2076" s="4"/>
    </row>
    <row r="2077" spans="3:12">
      <c r="C2077" s="3"/>
      <c r="K2077" s="4"/>
      <c r="L2077" s="4"/>
    </row>
    <row r="2078" spans="3:12">
      <c r="C2078" s="3"/>
      <c r="K2078" s="4"/>
      <c r="L2078" s="4"/>
    </row>
    <row r="2079" spans="3:12">
      <c r="C2079" s="3"/>
      <c r="K2079" s="4"/>
      <c r="L2079" s="4"/>
    </row>
    <row r="2080" spans="3:12">
      <c r="C2080" s="3"/>
      <c r="K2080" s="4"/>
      <c r="L2080" s="4"/>
    </row>
    <row r="2081" spans="3:12">
      <c r="C2081" s="3"/>
      <c r="K2081" s="4"/>
      <c r="L2081" s="4"/>
    </row>
    <row r="2082" spans="3:12">
      <c r="C2082" s="3"/>
      <c r="K2082" s="4"/>
      <c r="L2082" s="4"/>
    </row>
    <row r="2083" spans="3:12">
      <c r="C2083" s="3"/>
      <c r="K2083" s="4"/>
      <c r="L2083" s="4"/>
    </row>
    <row r="2084" spans="3:12">
      <c r="C2084" s="3"/>
      <c r="K2084" s="4"/>
      <c r="L2084" s="4"/>
    </row>
    <row r="2085" spans="3:12">
      <c r="C2085" s="3"/>
      <c r="K2085" s="4"/>
      <c r="L2085" s="4"/>
    </row>
    <row r="2086" spans="3:12">
      <c r="C2086" s="3"/>
      <c r="K2086" s="4"/>
      <c r="L2086" s="4"/>
    </row>
    <row r="2087" spans="3:12">
      <c r="C2087" s="3"/>
      <c r="K2087" s="4"/>
      <c r="L2087" s="4"/>
    </row>
    <row r="2088" spans="3:12">
      <c r="C2088" s="3"/>
      <c r="K2088" s="4"/>
      <c r="L2088" s="4"/>
    </row>
    <row r="2089" spans="3:12">
      <c r="C2089" s="3"/>
      <c r="K2089" s="4"/>
      <c r="L2089" s="4"/>
    </row>
    <row r="2090" spans="3:12">
      <c r="C2090" s="3"/>
      <c r="K2090" s="4"/>
      <c r="L2090" s="4"/>
    </row>
    <row r="2091" spans="3:12">
      <c r="C2091" s="3"/>
      <c r="K2091" s="4"/>
      <c r="L2091" s="4"/>
    </row>
    <row r="2092" spans="3:12">
      <c r="C2092" s="3"/>
      <c r="K2092" s="4"/>
      <c r="L2092" s="4"/>
    </row>
    <row r="2093" spans="3:12">
      <c r="C2093" s="3"/>
      <c r="K2093" s="4"/>
      <c r="L2093" s="4"/>
    </row>
    <row r="2094" spans="3:12">
      <c r="C2094" s="3"/>
      <c r="K2094" s="4"/>
      <c r="L2094" s="4"/>
    </row>
    <row r="2095" spans="3:12">
      <c r="C2095" s="3"/>
      <c r="K2095" s="4"/>
      <c r="L2095" s="4"/>
    </row>
    <row r="2096" spans="3:12">
      <c r="C2096" s="3"/>
      <c r="K2096" s="4"/>
      <c r="L2096" s="4"/>
    </row>
    <row r="2097" spans="3:12">
      <c r="C2097" s="3"/>
      <c r="K2097" s="4"/>
      <c r="L2097" s="4"/>
    </row>
    <row r="2098" spans="3:12">
      <c r="C2098" s="3"/>
      <c r="K2098" s="4"/>
      <c r="L2098" s="4"/>
    </row>
    <row r="2099" spans="3:12">
      <c r="C2099" s="3"/>
      <c r="K2099" s="4"/>
      <c r="L2099" s="4"/>
    </row>
    <row r="2100" spans="3:12">
      <c r="C2100" s="3"/>
      <c r="K2100" s="4"/>
      <c r="L2100" s="4"/>
    </row>
    <row r="2101" spans="3:12">
      <c r="C2101" s="3"/>
      <c r="K2101" s="4"/>
      <c r="L2101" s="4"/>
    </row>
    <row r="2102" spans="3:12">
      <c r="C2102" s="3"/>
      <c r="K2102" s="4"/>
      <c r="L2102" s="4"/>
    </row>
    <row r="2103" spans="3:12">
      <c r="C2103" s="3"/>
      <c r="K2103" s="4"/>
      <c r="L2103" s="4"/>
    </row>
    <row r="2104" spans="3:12">
      <c r="C2104" s="3"/>
      <c r="K2104" s="4"/>
      <c r="L2104" s="4"/>
    </row>
    <row r="2105" spans="3:12">
      <c r="C2105" s="3"/>
      <c r="K2105" s="4"/>
      <c r="L2105" s="4"/>
    </row>
    <row r="2106" spans="3:12">
      <c r="C2106" s="3"/>
      <c r="K2106" s="4"/>
      <c r="L2106" s="4"/>
    </row>
    <row r="2107" spans="3:12">
      <c r="C2107" s="3"/>
      <c r="K2107" s="4"/>
      <c r="L2107" s="4"/>
    </row>
    <row r="2108" spans="3:12">
      <c r="C2108" s="3"/>
      <c r="K2108" s="4"/>
      <c r="L2108" s="4"/>
    </row>
    <row r="2109" spans="3:12">
      <c r="C2109" s="3"/>
      <c r="K2109" s="4"/>
      <c r="L2109" s="4"/>
    </row>
    <row r="2110" spans="3:12">
      <c r="C2110" s="3"/>
      <c r="K2110" s="4"/>
      <c r="L2110" s="4"/>
    </row>
    <row r="2111" spans="3:12">
      <c r="C2111" s="3"/>
      <c r="K2111" s="4"/>
      <c r="L2111" s="4"/>
    </row>
    <row r="2112" spans="3:12">
      <c r="C2112" s="3"/>
      <c r="K2112" s="4"/>
      <c r="L2112" s="4"/>
    </row>
    <row r="2113" spans="3:12">
      <c r="C2113" s="3"/>
      <c r="K2113" s="4"/>
      <c r="L2113" s="4"/>
    </row>
    <row r="2114" spans="3:12">
      <c r="C2114" s="3"/>
      <c r="K2114" s="4"/>
      <c r="L2114" s="4"/>
    </row>
    <row r="2115" spans="3:12">
      <c r="C2115" s="3"/>
      <c r="K2115" s="4"/>
      <c r="L2115" s="4"/>
    </row>
    <row r="2116" spans="3:12">
      <c r="C2116" s="3"/>
      <c r="K2116" s="4"/>
      <c r="L2116" s="4"/>
    </row>
    <row r="2117" spans="3:12">
      <c r="C2117" s="3"/>
      <c r="K2117" s="4"/>
      <c r="L2117" s="4"/>
    </row>
    <row r="2118" spans="3:12">
      <c r="C2118" s="3"/>
      <c r="K2118" s="4"/>
      <c r="L2118" s="4"/>
    </row>
    <row r="2119" spans="3:12">
      <c r="C2119" s="3"/>
      <c r="K2119" s="4"/>
      <c r="L2119" s="4"/>
    </row>
    <row r="2120" spans="3:12">
      <c r="C2120" s="3"/>
      <c r="K2120" s="4"/>
      <c r="L2120" s="4"/>
    </row>
    <row r="2121" spans="3:12">
      <c r="C2121" s="3"/>
      <c r="K2121" s="4"/>
      <c r="L2121" s="4"/>
    </row>
    <row r="2122" spans="3:12">
      <c r="C2122" s="3"/>
      <c r="K2122" s="4"/>
      <c r="L2122" s="4"/>
    </row>
    <row r="2123" spans="3:12">
      <c r="C2123" s="3"/>
      <c r="K2123" s="4"/>
      <c r="L2123" s="4"/>
    </row>
    <row r="2124" spans="3:12">
      <c r="C2124" s="3"/>
      <c r="K2124" s="4"/>
      <c r="L2124" s="4"/>
    </row>
    <row r="2125" spans="3:12">
      <c r="C2125" s="3"/>
      <c r="K2125" s="4"/>
      <c r="L2125" s="4"/>
    </row>
    <row r="2126" spans="3:12">
      <c r="C2126" s="3"/>
      <c r="K2126" s="4"/>
      <c r="L2126" s="4"/>
    </row>
    <row r="2127" spans="3:12">
      <c r="C2127" s="3"/>
      <c r="K2127" s="4"/>
      <c r="L2127" s="4"/>
    </row>
    <row r="2128" spans="3:12">
      <c r="C2128" s="3"/>
      <c r="K2128" s="4"/>
      <c r="L2128" s="4"/>
    </row>
    <row r="2129" spans="3:12">
      <c r="C2129" s="3"/>
      <c r="K2129" s="4"/>
      <c r="L2129" s="4"/>
    </row>
    <row r="2130" spans="3:12">
      <c r="C2130" s="3"/>
      <c r="K2130" s="4"/>
      <c r="L2130" s="4"/>
    </row>
    <row r="2131" spans="3:12">
      <c r="C2131" s="3"/>
      <c r="K2131" s="4"/>
      <c r="L2131" s="4"/>
    </row>
    <row r="2132" spans="3:12">
      <c r="C2132" s="3"/>
      <c r="K2132" s="4"/>
      <c r="L2132" s="4"/>
    </row>
    <row r="2133" spans="3:12">
      <c r="C2133" s="3"/>
      <c r="K2133" s="4"/>
      <c r="L2133" s="4"/>
    </row>
    <row r="2134" spans="3:12">
      <c r="C2134" s="3"/>
      <c r="K2134" s="4"/>
      <c r="L2134" s="4"/>
    </row>
    <row r="2135" spans="3:12">
      <c r="C2135" s="3"/>
      <c r="K2135" s="4"/>
      <c r="L2135" s="4"/>
    </row>
    <row r="2136" spans="3:12">
      <c r="C2136" s="3"/>
      <c r="K2136" s="4"/>
      <c r="L2136" s="4"/>
    </row>
    <row r="2137" spans="3:12">
      <c r="C2137" s="3"/>
      <c r="K2137" s="4"/>
      <c r="L2137" s="4"/>
    </row>
    <row r="2138" spans="3:12">
      <c r="C2138" s="3"/>
      <c r="K2138" s="4"/>
      <c r="L2138" s="4"/>
    </row>
    <row r="2139" spans="3:12">
      <c r="C2139" s="3"/>
      <c r="K2139" s="4"/>
      <c r="L2139" s="4"/>
    </row>
    <row r="2140" spans="3:12">
      <c r="C2140" s="3"/>
      <c r="K2140" s="4"/>
      <c r="L2140" s="4"/>
    </row>
    <row r="2141" spans="3:12">
      <c r="C2141" s="3"/>
      <c r="K2141" s="4"/>
      <c r="L2141" s="4"/>
    </row>
    <row r="2142" spans="3:12">
      <c r="C2142" s="3"/>
      <c r="K2142" s="4"/>
      <c r="L2142" s="4"/>
    </row>
    <row r="2143" spans="3:12">
      <c r="C2143" s="3"/>
      <c r="K2143" s="4"/>
      <c r="L2143" s="4"/>
    </row>
    <row r="2144" spans="3:12">
      <c r="C2144" s="3"/>
      <c r="K2144" s="4"/>
      <c r="L2144" s="4"/>
    </row>
    <row r="2145" spans="3:12">
      <c r="C2145" s="3"/>
      <c r="K2145" s="4"/>
      <c r="L2145" s="4"/>
    </row>
    <row r="2146" spans="3:12">
      <c r="C2146" s="3"/>
      <c r="K2146" s="4"/>
      <c r="L2146" s="4"/>
    </row>
    <row r="2147" spans="3:12">
      <c r="C2147" s="3"/>
      <c r="K2147" s="4"/>
      <c r="L2147" s="4"/>
    </row>
    <row r="2148" spans="3:12">
      <c r="C2148" s="3"/>
      <c r="K2148" s="4"/>
      <c r="L2148" s="4"/>
    </row>
    <row r="2149" spans="3:12">
      <c r="C2149" s="3"/>
      <c r="K2149" s="4"/>
      <c r="L2149" s="4"/>
    </row>
    <row r="2150" spans="3:12">
      <c r="C2150" s="3"/>
      <c r="K2150" s="4"/>
      <c r="L2150" s="4"/>
    </row>
    <row r="2151" spans="3:12">
      <c r="C2151" s="3"/>
      <c r="K2151" s="4"/>
      <c r="L2151" s="4"/>
    </row>
    <row r="2152" spans="3:12">
      <c r="C2152" s="3"/>
      <c r="K2152" s="4"/>
      <c r="L2152" s="4"/>
    </row>
    <row r="2153" spans="3:12">
      <c r="C2153" s="3"/>
      <c r="K2153" s="4"/>
      <c r="L2153" s="4"/>
    </row>
    <row r="2154" spans="3:12">
      <c r="C2154" s="3"/>
      <c r="K2154" s="4"/>
      <c r="L2154" s="4"/>
    </row>
    <row r="2155" spans="3:12">
      <c r="C2155" s="3"/>
      <c r="K2155" s="4"/>
      <c r="L2155" s="4"/>
    </row>
    <row r="2156" spans="3:12">
      <c r="C2156" s="3"/>
      <c r="K2156" s="4"/>
      <c r="L2156" s="4"/>
    </row>
    <row r="2157" spans="3:12">
      <c r="C2157" s="3"/>
      <c r="K2157" s="4"/>
      <c r="L2157" s="4"/>
    </row>
    <row r="2158" spans="3:12">
      <c r="C2158" s="3"/>
      <c r="K2158" s="4"/>
      <c r="L2158" s="4"/>
    </row>
    <row r="2159" spans="3:12">
      <c r="C2159" s="3"/>
      <c r="K2159" s="4"/>
      <c r="L2159" s="4"/>
    </row>
    <row r="2160" spans="3:12">
      <c r="C2160" s="3"/>
      <c r="K2160" s="4"/>
      <c r="L2160" s="4"/>
    </row>
    <row r="2161" spans="3:12">
      <c r="C2161" s="3"/>
      <c r="K2161" s="4"/>
      <c r="L2161" s="4"/>
    </row>
    <row r="2162" spans="3:12">
      <c r="C2162" s="3"/>
      <c r="K2162" s="4"/>
      <c r="L2162" s="4"/>
    </row>
    <row r="2163" spans="3:12">
      <c r="C2163" s="3"/>
      <c r="K2163" s="4"/>
      <c r="L2163" s="4"/>
    </row>
    <row r="2164" spans="3:12">
      <c r="C2164" s="3"/>
      <c r="K2164" s="4"/>
      <c r="L2164" s="4"/>
    </row>
    <row r="2165" spans="3:12">
      <c r="C2165" s="3"/>
      <c r="K2165" s="4"/>
      <c r="L2165" s="4"/>
    </row>
    <row r="2166" spans="3:12">
      <c r="C2166" s="3"/>
      <c r="K2166" s="4"/>
      <c r="L2166" s="4"/>
    </row>
    <row r="2167" spans="3:12">
      <c r="C2167" s="3"/>
      <c r="K2167" s="4"/>
      <c r="L2167" s="4"/>
    </row>
    <row r="2168" spans="3:12">
      <c r="C2168" s="3"/>
      <c r="K2168" s="4"/>
      <c r="L2168" s="4"/>
    </row>
    <row r="2169" spans="3:12">
      <c r="C2169" s="3"/>
      <c r="K2169" s="4"/>
      <c r="L2169" s="4"/>
    </row>
    <row r="2170" spans="3:12">
      <c r="C2170" s="3"/>
      <c r="K2170" s="4"/>
      <c r="L2170" s="4"/>
    </row>
    <row r="2171" spans="3:12">
      <c r="C2171" s="3"/>
      <c r="K2171" s="4"/>
      <c r="L2171" s="4"/>
    </row>
    <row r="2172" spans="3:12">
      <c r="C2172" s="3"/>
      <c r="K2172" s="4"/>
      <c r="L2172" s="4"/>
    </row>
    <row r="2173" spans="3:12">
      <c r="C2173" s="3"/>
      <c r="K2173" s="4"/>
      <c r="L2173" s="4"/>
    </row>
    <row r="2174" spans="3:12">
      <c r="C2174" s="3"/>
      <c r="K2174" s="4"/>
      <c r="L2174" s="4"/>
    </row>
    <row r="2175" spans="3:12">
      <c r="C2175" s="3"/>
      <c r="K2175" s="4"/>
      <c r="L2175" s="4"/>
    </row>
    <row r="2176" spans="3:12">
      <c r="C2176" s="3"/>
      <c r="K2176" s="4"/>
      <c r="L2176" s="4"/>
    </row>
    <row r="2177" spans="3:12">
      <c r="C2177" s="3"/>
      <c r="K2177" s="4"/>
      <c r="L2177" s="4"/>
    </row>
    <row r="2178" spans="3:12">
      <c r="C2178" s="3"/>
      <c r="K2178" s="4"/>
      <c r="L2178" s="4"/>
    </row>
    <row r="2179" spans="3:12">
      <c r="C2179" s="3"/>
      <c r="K2179" s="4"/>
      <c r="L2179" s="4"/>
    </row>
    <row r="2180" spans="3:12">
      <c r="C2180" s="3"/>
      <c r="K2180" s="4"/>
      <c r="L2180" s="4"/>
    </row>
    <row r="2181" spans="3:12">
      <c r="C2181" s="3"/>
      <c r="K2181" s="4"/>
      <c r="L2181" s="4"/>
    </row>
    <row r="2182" spans="3:12">
      <c r="C2182" s="3"/>
      <c r="K2182" s="4"/>
      <c r="L2182" s="4"/>
    </row>
    <row r="2183" spans="3:12">
      <c r="C2183" s="3"/>
      <c r="K2183" s="4"/>
      <c r="L2183" s="4"/>
    </row>
    <row r="2184" spans="3:12">
      <c r="C2184" s="3"/>
      <c r="K2184" s="4"/>
      <c r="L2184" s="4"/>
    </row>
    <row r="2185" spans="3:12">
      <c r="C2185" s="3"/>
      <c r="K2185" s="4"/>
      <c r="L2185" s="4"/>
    </row>
    <row r="2186" spans="3:12">
      <c r="C2186" s="3"/>
      <c r="K2186" s="4"/>
      <c r="L2186" s="4"/>
    </row>
    <row r="2187" spans="3:12">
      <c r="C2187" s="3"/>
      <c r="K2187" s="4"/>
      <c r="L2187" s="4"/>
    </row>
    <row r="2188" spans="3:12">
      <c r="C2188" s="3"/>
      <c r="K2188" s="4"/>
      <c r="L2188" s="4"/>
    </row>
    <row r="2189" spans="3:12">
      <c r="C2189" s="3"/>
      <c r="K2189" s="4"/>
      <c r="L2189" s="4"/>
    </row>
    <row r="2190" spans="3:12">
      <c r="C2190" s="3"/>
      <c r="K2190" s="4"/>
      <c r="L2190" s="4"/>
    </row>
    <row r="2191" spans="3:12">
      <c r="C2191" s="3"/>
      <c r="K2191" s="4"/>
      <c r="L2191" s="4"/>
    </row>
    <row r="2192" spans="3:12">
      <c r="C2192" s="3"/>
      <c r="K2192" s="4"/>
      <c r="L2192" s="4"/>
    </row>
    <row r="2193" spans="3:12">
      <c r="C2193" s="3"/>
      <c r="K2193" s="4"/>
      <c r="L2193" s="4"/>
    </row>
    <row r="2194" spans="3:12">
      <c r="C2194" s="3"/>
      <c r="K2194" s="4"/>
      <c r="L2194" s="4"/>
    </row>
    <row r="2195" spans="3:12">
      <c r="C2195" s="3"/>
      <c r="K2195" s="4"/>
      <c r="L2195" s="4"/>
    </row>
    <row r="2196" spans="3:12">
      <c r="C2196" s="3"/>
      <c r="K2196" s="4"/>
      <c r="L2196" s="4"/>
    </row>
    <row r="2197" spans="3:12">
      <c r="C2197" s="3"/>
      <c r="K2197" s="4"/>
      <c r="L2197" s="4"/>
    </row>
    <row r="2198" spans="3:12">
      <c r="C2198" s="3"/>
      <c r="K2198" s="4"/>
      <c r="L2198" s="4"/>
    </row>
    <row r="2199" spans="3:12">
      <c r="C2199" s="3"/>
      <c r="K2199" s="4"/>
      <c r="L2199" s="4"/>
    </row>
    <row r="2200" spans="3:12">
      <c r="C2200" s="3"/>
      <c r="K2200" s="4"/>
      <c r="L2200" s="4"/>
    </row>
    <row r="2201" spans="3:12">
      <c r="C2201" s="3"/>
      <c r="K2201" s="4"/>
      <c r="L2201" s="4"/>
    </row>
    <row r="2202" spans="3:12">
      <c r="C2202" s="3"/>
      <c r="K2202" s="4"/>
      <c r="L2202" s="4"/>
    </row>
    <row r="2203" spans="3:12">
      <c r="C2203" s="3"/>
      <c r="K2203" s="4"/>
      <c r="L2203" s="4"/>
    </row>
    <row r="2204" spans="3:12">
      <c r="C2204" s="3"/>
      <c r="K2204" s="4"/>
      <c r="L2204" s="4"/>
    </row>
    <row r="2205" spans="3:12">
      <c r="C2205" s="3"/>
      <c r="K2205" s="4"/>
      <c r="L2205" s="4"/>
    </row>
    <row r="2206" spans="3:12">
      <c r="C2206" s="3"/>
      <c r="K2206" s="4"/>
      <c r="L2206" s="4"/>
    </row>
    <row r="2207" spans="3:12">
      <c r="C2207" s="3"/>
      <c r="K2207" s="4"/>
      <c r="L2207" s="4"/>
    </row>
    <row r="2208" spans="3:12">
      <c r="C2208" s="3"/>
      <c r="K2208" s="4"/>
      <c r="L2208" s="4"/>
    </row>
    <row r="2209" spans="3:12">
      <c r="C2209" s="3"/>
      <c r="K2209" s="4"/>
      <c r="L2209" s="4"/>
    </row>
    <row r="2210" spans="3:12">
      <c r="C2210" s="3"/>
      <c r="K2210" s="4"/>
      <c r="L2210" s="4"/>
    </row>
    <row r="2211" spans="3:12">
      <c r="C2211" s="3"/>
      <c r="K2211" s="4"/>
      <c r="L2211" s="4"/>
    </row>
    <row r="2212" spans="3:12">
      <c r="C2212" s="3"/>
      <c r="K2212" s="4"/>
      <c r="L2212" s="4"/>
    </row>
    <row r="2213" spans="3:12">
      <c r="C2213" s="3"/>
      <c r="K2213" s="4"/>
      <c r="L2213" s="4"/>
    </row>
    <row r="2214" spans="3:12">
      <c r="C2214" s="3"/>
      <c r="K2214" s="4"/>
      <c r="L2214" s="4"/>
    </row>
    <row r="2215" spans="3:12">
      <c r="C2215" s="3"/>
      <c r="K2215" s="4"/>
      <c r="L2215" s="4"/>
    </row>
    <row r="2216" spans="3:12">
      <c r="C2216" s="3"/>
      <c r="K2216" s="4"/>
      <c r="L2216" s="4"/>
    </row>
    <row r="2217" spans="3:12">
      <c r="C2217" s="3"/>
      <c r="K2217" s="4"/>
      <c r="L2217" s="4"/>
    </row>
    <row r="2218" spans="3:12">
      <c r="C2218" s="3"/>
      <c r="K2218" s="4"/>
      <c r="L2218" s="4"/>
    </row>
    <row r="2219" spans="3:12">
      <c r="C2219" s="3"/>
      <c r="K2219" s="4"/>
      <c r="L2219" s="4"/>
    </row>
    <row r="2220" spans="3:12">
      <c r="C2220" s="3"/>
      <c r="K2220" s="4"/>
      <c r="L2220" s="4"/>
    </row>
    <row r="2221" spans="3:12">
      <c r="C2221" s="3"/>
      <c r="K2221" s="4"/>
      <c r="L2221" s="4"/>
    </row>
    <row r="2222" spans="3:12">
      <c r="C2222" s="3"/>
      <c r="K2222" s="4"/>
      <c r="L2222" s="4"/>
    </row>
    <row r="2223" spans="3:12">
      <c r="C2223" s="3"/>
      <c r="K2223" s="4"/>
      <c r="L2223" s="4"/>
    </row>
    <row r="2224" spans="3:12">
      <c r="C2224" s="3"/>
      <c r="K2224" s="4"/>
      <c r="L2224" s="4"/>
    </row>
    <row r="2225" spans="3:12">
      <c r="C2225" s="3"/>
      <c r="K2225" s="4"/>
      <c r="L2225" s="4"/>
    </row>
    <row r="2226" spans="3:12">
      <c r="C2226" s="3"/>
      <c r="K2226" s="4"/>
      <c r="L2226" s="4"/>
    </row>
    <row r="2227" spans="3:12">
      <c r="C2227" s="3"/>
      <c r="K2227" s="4"/>
      <c r="L2227" s="4"/>
    </row>
    <row r="2228" spans="3:12">
      <c r="C2228" s="3"/>
      <c r="K2228" s="4"/>
      <c r="L2228" s="4"/>
    </row>
    <row r="2229" spans="3:12">
      <c r="C2229" s="3"/>
      <c r="K2229" s="4"/>
      <c r="L2229" s="4"/>
    </row>
    <row r="2230" spans="3:12">
      <c r="C2230" s="3"/>
      <c r="K2230" s="4"/>
      <c r="L2230" s="4"/>
    </row>
    <row r="2231" spans="3:12">
      <c r="C2231" s="3"/>
      <c r="K2231" s="4"/>
      <c r="L2231" s="4"/>
    </row>
    <row r="2232" spans="3:12">
      <c r="C2232" s="3"/>
      <c r="K2232" s="4"/>
      <c r="L2232" s="4"/>
    </row>
    <row r="2233" spans="3:12">
      <c r="C2233" s="3"/>
      <c r="K2233" s="4"/>
      <c r="L2233" s="4"/>
    </row>
    <row r="2234" spans="3:12">
      <c r="C2234" s="3"/>
      <c r="K2234" s="4"/>
      <c r="L2234" s="4"/>
    </row>
    <row r="2235" spans="3:12">
      <c r="C2235" s="3"/>
      <c r="K2235" s="4"/>
      <c r="L2235" s="4"/>
    </row>
    <row r="2236" spans="3:12">
      <c r="C2236" s="3"/>
      <c r="K2236" s="4"/>
      <c r="L2236" s="4"/>
    </row>
    <row r="2237" spans="3:12">
      <c r="C2237" s="3"/>
      <c r="K2237" s="4"/>
      <c r="L2237" s="4"/>
    </row>
    <row r="2238" spans="3:12">
      <c r="C2238" s="3"/>
      <c r="K2238" s="4"/>
      <c r="L2238" s="4"/>
    </row>
    <row r="2239" spans="3:12">
      <c r="C2239" s="3"/>
      <c r="K2239" s="4"/>
      <c r="L2239" s="4"/>
    </row>
    <row r="2240" spans="3:12">
      <c r="C2240" s="3"/>
      <c r="K2240" s="4"/>
      <c r="L2240" s="4"/>
    </row>
    <row r="2241" spans="3:12">
      <c r="C2241" s="3"/>
      <c r="K2241" s="4"/>
      <c r="L2241" s="4"/>
    </row>
    <row r="2242" spans="3:12">
      <c r="C2242" s="3"/>
      <c r="K2242" s="4"/>
      <c r="L2242" s="4"/>
    </row>
    <row r="2243" spans="3:12">
      <c r="C2243" s="3"/>
      <c r="K2243" s="4"/>
      <c r="L2243" s="4"/>
    </row>
    <row r="2244" spans="3:12">
      <c r="C2244" s="3"/>
      <c r="K2244" s="4"/>
      <c r="L2244" s="4"/>
    </row>
    <row r="2245" spans="3:12">
      <c r="C2245" s="3"/>
      <c r="K2245" s="4"/>
      <c r="L2245" s="4"/>
    </row>
    <row r="2246" spans="3:12">
      <c r="C2246" s="3"/>
      <c r="K2246" s="4"/>
      <c r="L2246" s="4"/>
    </row>
    <row r="2247" spans="3:12">
      <c r="C2247" s="3"/>
      <c r="K2247" s="4"/>
      <c r="L2247" s="4"/>
    </row>
    <row r="2248" spans="3:12">
      <c r="C2248" s="3"/>
      <c r="K2248" s="4"/>
      <c r="L2248" s="4"/>
    </row>
    <row r="2249" spans="3:12">
      <c r="C2249" s="3"/>
      <c r="K2249" s="4"/>
      <c r="L2249" s="4"/>
    </row>
    <row r="2250" spans="3:12">
      <c r="C2250" s="3"/>
      <c r="K2250" s="4"/>
      <c r="L2250" s="4"/>
    </row>
    <row r="2251" spans="3:12">
      <c r="C2251" s="3"/>
      <c r="K2251" s="4"/>
      <c r="L2251" s="4"/>
    </row>
    <row r="2252" spans="3:12">
      <c r="C2252" s="3"/>
      <c r="K2252" s="4"/>
      <c r="L2252" s="4"/>
    </row>
    <row r="2253" spans="3:12">
      <c r="C2253" s="3"/>
      <c r="K2253" s="4"/>
      <c r="L2253" s="4"/>
    </row>
    <row r="2254" spans="3:12">
      <c r="C2254" s="3"/>
      <c r="K2254" s="4"/>
      <c r="L2254" s="4"/>
    </row>
    <row r="2255" spans="3:12">
      <c r="C2255" s="3"/>
      <c r="K2255" s="4"/>
      <c r="L2255" s="4"/>
    </row>
    <row r="2256" spans="3:12">
      <c r="C2256" s="3"/>
      <c r="K2256" s="4"/>
      <c r="L2256" s="4"/>
    </row>
    <row r="2257" spans="3:12">
      <c r="C2257" s="3"/>
      <c r="K2257" s="4"/>
      <c r="L2257" s="4"/>
    </row>
    <row r="2258" spans="3:12">
      <c r="C2258" s="3"/>
      <c r="K2258" s="4"/>
      <c r="L2258" s="4"/>
    </row>
    <row r="2259" spans="3:12">
      <c r="C2259" s="3"/>
      <c r="K2259" s="4"/>
      <c r="L2259" s="4"/>
    </row>
    <row r="2260" spans="3:12">
      <c r="C2260" s="3"/>
      <c r="K2260" s="4"/>
      <c r="L2260" s="4"/>
    </row>
    <row r="2261" spans="3:12">
      <c r="C2261" s="3"/>
      <c r="K2261" s="4"/>
      <c r="L2261" s="4"/>
    </row>
    <row r="2262" spans="3:12">
      <c r="C2262" s="3"/>
      <c r="K2262" s="4"/>
      <c r="L2262" s="4"/>
    </row>
    <row r="2263" spans="3:12">
      <c r="C2263" s="3"/>
      <c r="K2263" s="4"/>
      <c r="L2263" s="4"/>
    </row>
    <row r="2264" spans="3:12">
      <c r="C2264" s="3"/>
      <c r="K2264" s="4"/>
      <c r="L2264" s="4"/>
    </row>
    <row r="2265" spans="3:12">
      <c r="C2265" s="3"/>
      <c r="K2265" s="4"/>
      <c r="L2265" s="4"/>
    </row>
    <row r="2266" spans="3:12">
      <c r="C2266" s="3"/>
      <c r="K2266" s="4"/>
      <c r="L2266" s="4"/>
    </row>
    <row r="2267" spans="3:12">
      <c r="C2267" s="3"/>
      <c r="K2267" s="4"/>
      <c r="L2267" s="4"/>
    </row>
    <row r="2268" spans="3:12">
      <c r="C2268" s="3"/>
      <c r="K2268" s="4"/>
      <c r="L2268" s="4"/>
    </row>
    <row r="2269" spans="3:12">
      <c r="C2269" s="3"/>
      <c r="K2269" s="4"/>
      <c r="L2269" s="4"/>
    </row>
    <row r="2270" spans="3:12">
      <c r="C2270" s="3"/>
      <c r="K2270" s="4"/>
      <c r="L2270" s="4"/>
    </row>
    <row r="2271" spans="3:12">
      <c r="C2271" s="3"/>
      <c r="K2271" s="4"/>
      <c r="L2271" s="4"/>
    </row>
    <row r="2272" spans="3:12">
      <c r="C2272" s="3"/>
      <c r="K2272" s="4"/>
      <c r="L2272" s="4"/>
    </row>
    <row r="2273" spans="3:12">
      <c r="C2273" s="3"/>
      <c r="K2273" s="4"/>
      <c r="L2273" s="4"/>
    </row>
    <row r="2274" spans="3:12">
      <c r="C2274" s="3"/>
      <c r="K2274" s="4"/>
      <c r="L2274" s="4"/>
    </row>
    <row r="2275" spans="3:12">
      <c r="C2275" s="3"/>
      <c r="K2275" s="4"/>
      <c r="L2275" s="4"/>
    </row>
    <row r="2276" spans="3:12">
      <c r="C2276" s="3"/>
      <c r="K2276" s="4"/>
      <c r="L2276" s="4"/>
    </row>
    <row r="2277" spans="3:12">
      <c r="C2277" s="3"/>
      <c r="K2277" s="4"/>
      <c r="L2277" s="4"/>
    </row>
    <row r="2278" spans="3:12">
      <c r="C2278" s="3"/>
      <c r="K2278" s="4"/>
      <c r="L2278" s="4"/>
    </row>
    <row r="2279" spans="3:12">
      <c r="C2279" s="3"/>
      <c r="K2279" s="4"/>
      <c r="L2279" s="4"/>
    </row>
    <row r="2280" spans="3:12">
      <c r="C2280" s="3"/>
      <c r="K2280" s="4"/>
      <c r="L2280" s="4"/>
    </row>
    <row r="2281" spans="3:12">
      <c r="C2281" s="3"/>
      <c r="K2281" s="4"/>
      <c r="L2281" s="4"/>
    </row>
    <row r="2282" spans="3:12">
      <c r="C2282" s="3"/>
      <c r="K2282" s="4"/>
      <c r="L2282" s="4"/>
    </row>
    <row r="2283" spans="3:12">
      <c r="C2283" s="3"/>
      <c r="K2283" s="4"/>
      <c r="L2283" s="4"/>
    </row>
    <row r="2284" spans="3:12">
      <c r="C2284" s="3"/>
      <c r="K2284" s="4"/>
      <c r="L2284" s="4"/>
    </row>
    <row r="2285" spans="3:12">
      <c r="C2285" s="3"/>
      <c r="K2285" s="4"/>
      <c r="L2285" s="4"/>
    </row>
    <row r="2286" spans="3:12">
      <c r="C2286" s="3"/>
      <c r="K2286" s="4"/>
      <c r="L2286" s="4"/>
    </row>
    <row r="2287" spans="3:12">
      <c r="C2287" s="3"/>
      <c r="K2287" s="4"/>
      <c r="L2287" s="4"/>
    </row>
    <row r="2288" spans="3:12">
      <c r="C2288" s="3"/>
      <c r="K2288" s="4"/>
      <c r="L2288" s="4"/>
    </row>
    <row r="2289" spans="3:12">
      <c r="C2289" s="3"/>
      <c r="K2289" s="4"/>
      <c r="L2289" s="4"/>
    </row>
    <row r="2290" spans="3:12">
      <c r="C2290" s="3"/>
      <c r="K2290" s="4"/>
      <c r="L2290" s="4"/>
    </row>
    <row r="2291" spans="3:12">
      <c r="C2291" s="3"/>
      <c r="K2291" s="4"/>
      <c r="L2291" s="4"/>
    </row>
    <row r="2292" spans="3:12">
      <c r="C2292" s="3"/>
      <c r="K2292" s="4"/>
      <c r="L2292" s="4"/>
    </row>
    <row r="2293" spans="3:12">
      <c r="C2293" s="3"/>
      <c r="K2293" s="4"/>
      <c r="L2293" s="4"/>
    </row>
    <row r="2294" spans="3:12">
      <c r="C2294" s="3"/>
      <c r="K2294" s="4"/>
      <c r="L2294" s="4"/>
    </row>
    <row r="2295" spans="3:12">
      <c r="C2295" s="3"/>
      <c r="K2295" s="4"/>
      <c r="L2295" s="4"/>
    </row>
    <row r="2296" spans="3:12">
      <c r="C2296" s="3"/>
      <c r="K2296" s="4"/>
      <c r="L2296" s="4"/>
    </row>
    <row r="2297" spans="3:12">
      <c r="C2297" s="3"/>
      <c r="K2297" s="4"/>
      <c r="L2297" s="4"/>
    </row>
    <row r="2298" spans="3:12">
      <c r="C2298" s="3"/>
      <c r="K2298" s="4"/>
      <c r="L2298" s="4"/>
    </row>
    <row r="2299" spans="3:12">
      <c r="C2299" s="3"/>
      <c r="K2299" s="4"/>
      <c r="L2299" s="4"/>
    </row>
    <row r="2300" spans="3:12">
      <c r="C2300" s="3"/>
      <c r="K2300" s="4"/>
      <c r="L2300" s="4"/>
    </row>
    <row r="2301" spans="3:12">
      <c r="C2301" s="3"/>
      <c r="K2301" s="4"/>
      <c r="L2301" s="4"/>
    </row>
    <row r="2302" spans="3:12">
      <c r="C2302" s="3"/>
      <c r="K2302" s="4"/>
      <c r="L2302" s="4"/>
    </row>
    <row r="2303" spans="3:12">
      <c r="C2303" s="3"/>
      <c r="K2303" s="4"/>
      <c r="L2303" s="4"/>
    </row>
    <row r="2304" spans="3:12">
      <c r="C2304" s="3"/>
      <c r="K2304" s="4"/>
      <c r="L2304" s="4"/>
    </row>
    <row r="2305" spans="3:12">
      <c r="C2305" s="3"/>
      <c r="K2305" s="4"/>
      <c r="L2305" s="4"/>
    </row>
    <row r="2306" spans="3:12">
      <c r="C2306" s="3"/>
      <c r="K2306" s="4"/>
      <c r="L2306" s="4"/>
    </row>
    <row r="2307" spans="3:12">
      <c r="C2307" s="3"/>
      <c r="K2307" s="4"/>
      <c r="L2307" s="4"/>
    </row>
    <row r="2308" spans="3:12">
      <c r="C2308" s="3"/>
      <c r="K2308" s="4"/>
      <c r="L2308" s="4"/>
    </row>
    <row r="2309" spans="3:12">
      <c r="C2309" s="3"/>
      <c r="K2309" s="4"/>
      <c r="L2309" s="4"/>
    </row>
    <row r="2310" spans="3:12">
      <c r="C2310" s="3"/>
      <c r="K2310" s="4"/>
      <c r="L2310" s="4"/>
    </row>
    <row r="2311" spans="3:12">
      <c r="C2311" s="3"/>
      <c r="K2311" s="4"/>
      <c r="L2311" s="4"/>
    </row>
    <row r="2312" spans="3:12">
      <c r="C2312" s="3"/>
      <c r="K2312" s="4"/>
      <c r="L2312" s="4"/>
    </row>
    <row r="2313" spans="3:12">
      <c r="C2313" s="3"/>
      <c r="K2313" s="4"/>
      <c r="L2313" s="4"/>
    </row>
    <row r="2314" spans="3:12">
      <c r="C2314" s="3"/>
      <c r="K2314" s="4"/>
      <c r="L2314" s="4"/>
    </row>
    <row r="2315" spans="3:12">
      <c r="C2315" s="3"/>
      <c r="K2315" s="4"/>
      <c r="L2315" s="4"/>
    </row>
    <row r="2316" spans="3:12">
      <c r="C2316" s="3"/>
      <c r="K2316" s="4"/>
      <c r="L2316" s="4"/>
    </row>
    <row r="2317" spans="3:12">
      <c r="C2317" s="3"/>
      <c r="K2317" s="4"/>
      <c r="L2317" s="4"/>
    </row>
    <row r="2318" spans="3:12">
      <c r="C2318" s="3"/>
      <c r="K2318" s="4"/>
      <c r="L2318" s="4"/>
    </row>
    <row r="2319" spans="3:12">
      <c r="C2319" s="3"/>
      <c r="K2319" s="4"/>
      <c r="L2319" s="4"/>
    </row>
    <row r="2320" spans="3:12">
      <c r="C2320" s="3"/>
      <c r="K2320" s="4"/>
      <c r="L2320" s="4"/>
    </row>
    <row r="2321" spans="3:12">
      <c r="C2321" s="3"/>
      <c r="K2321" s="4"/>
      <c r="L2321" s="4"/>
    </row>
    <row r="2322" spans="3:12">
      <c r="C2322" s="3"/>
      <c r="K2322" s="4"/>
      <c r="L2322" s="4"/>
    </row>
    <row r="2323" spans="3:12">
      <c r="C2323" s="3"/>
      <c r="K2323" s="4"/>
      <c r="L2323" s="4"/>
    </row>
    <row r="2324" spans="3:12">
      <c r="C2324" s="3"/>
      <c r="K2324" s="4"/>
      <c r="L2324" s="4"/>
    </row>
    <row r="2325" spans="3:12">
      <c r="C2325" s="3"/>
      <c r="K2325" s="4"/>
      <c r="L2325" s="4"/>
    </row>
    <row r="2326" spans="3:12">
      <c r="C2326" s="3"/>
      <c r="K2326" s="4"/>
      <c r="L2326" s="4"/>
    </row>
    <row r="2327" spans="3:12">
      <c r="C2327" s="3"/>
      <c r="K2327" s="4"/>
      <c r="L2327" s="4"/>
    </row>
    <row r="2328" spans="3:12">
      <c r="C2328" s="3"/>
      <c r="K2328" s="4"/>
      <c r="L2328" s="4"/>
    </row>
    <row r="2329" spans="3:12">
      <c r="C2329" s="3"/>
      <c r="K2329" s="4"/>
      <c r="L2329" s="4"/>
    </row>
    <row r="2330" spans="3:12">
      <c r="C2330" s="3"/>
      <c r="K2330" s="4"/>
      <c r="L2330" s="4"/>
    </row>
    <row r="2331" spans="3:12">
      <c r="C2331" s="3"/>
      <c r="K2331" s="4"/>
      <c r="L2331" s="4"/>
    </row>
    <row r="2332" spans="3:12">
      <c r="C2332" s="3"/>
      <c r="K2332" s="4"/>
      <c r="L2332" s="4"/>
    </row>
    <row r="2333" spans="3:12">
      <c r="C2333" s="3"/>
      <c r="K2333" s="4"/>
      <c r="L2333" s="4"/>
    </row>
    <row r="2334" spans="3:12">
      <c r="C2334" s="3"/>
      <c r="K2334" s="4"/>
      <c r="L2334" s="4"/>
    </row>
    <row r="2335" spans="3:12">
      <c r="C2335" s="3"/>
      <c r="K2335" s="4"/>
      <c r="L2335" s="4"/>
    </row>
    <row r="2336" spans="3:12">
      <c r="C2336" s="3"/>
      <c r="K2336" s="4"/>
      <c r="L2336" s="4"/>
    </row>
    <row r="2337" spans="3:12">
      <c r="C2337" s="3"/>
      <c r="K2337" s="4"/>
      <c r="L2337" s="4"/>
    </row>
    <row r="2338" spans="3:12">
      <c r="C2338" s="3"/>
      <c r="K2338" s="4"/>
      <c r="L2338" s="4"/>
    </row>
    <row r="2339" spans="3:12">
      <c r="C2339" s="3"/>
      <c r="K2339" s="4"/>
      <c r="L2339" s="4"/>
    </row>
    <row r="2340" spans="3:12">
      <c r="C2340" s="3"/>
      <c r="K2340" s="4"/>
      <c r="L2340" s="4"/>
    </row>
    <row r="2341" spans="3:12">
      <c r="C2341" s="3"/>
      <c r="K2341" s="4"/>
      <c r="L2341" s="4"/>
    </row>
    <row r="2342" spans="3:12">
      <c r="C2342" s="3"/>
      <c r="K2342" s="4"/>
      <c r="L2342" s="4"/>
    </row>
    <row r="2343" spans="3:12">
      <c r="C2343" s="3"/>
      <c r="K2343" s="4"/>
      <c r="L2343" s="4"/>
    </row>
    <row r="2344" spans="3:12">
      <c r="C2344" s="3"/>
      <c r="K2344" s="4"/>
      <c r="L2344" s="4"/>
    </row>
    <row r="2345" spans="3:12">
      <c r="C2345" s="3"/>
      <c r="K2345" s="4"/>
      <c r="L2345" s="4"/>
    </row>
    <row r="2346" spans="3:12">
      <c r="C2346" s="3"/>
      <c r="K2346" s="4"/>
      <c r="L2346" s="4"/>
    </row>
    <row r="2347" spans="3:12">
      <c r="C2347" s="3"/>
      <c r="K2347" s="4"/>
      <c r="L2347" s="4"/>
    </row>
    <row r="2348" spans="3:12">
      <c r="C2348" s="3"/>
      <c r="K2348" s="4"/>
      <c r="L2348" s="4"/>
    </row>
    <row r="2349" spans="3:12">
      <c r="C2349" s="3"/>
      <c r="K2349" s="4"/>
      <c r="L2349" s="4"/>
    </row>
    <row r="2350" spans="3:12">
      <c r="C2350" s="3"/>
      <c r="K2350" s="4"/>
      <c r="L2350" s="4"/>
    </row>
    <row r="2351" spans="3:12">
      <c r="C2351" s="3"/>
      <c r="K2351" s="4"/>
      <c r="L2351" s="4"/>
    </row>
    <row r="2352" spans="3:12">
      <c r="C2352" s="3"/>
      <c r="K2352" s="4"/>
      <c r="L2352" s="4"/>
    </row>
    <row r="2353" spans="3:12">
      <c r="C2353" s="3"/>
      <c r="K2353" s="4"/>
      <c r="L2353" s="4"/>
    </row>
    <row r="2354" spans="3:12">
      <c r="C2354" s="3"/>
      <c r="K2354" s="4"/>
      <c r="L2354" s="4"/>
    </row>
    <row r="2355" spans="3:12">
      <c r="C2355" s="3"/>
      <c r="K2355" s="4"/>
      <c r="L2355" s="4"/>
    </row>
    <row r="2356" spans="3:12">
      <c r="C2356" s="3"/>
      <c r="K2356" s="4"/>
      <c r="L2356" s="4"/>
    </row>
    <row r="2357" spans="3:12">
      <c r="C2357" s="3"/>
      <c r="K2357" s="4"/>
      <c r="L2357" s="4"/>
    </row>
    <row r="2358" spans="3:12">
      <c r="C2358" s="3"/>
      <c r="K2358" s="4"/>
      <c r="L2358" s="4"/>
    </row>
    <row r="2359" spans="3:12">
      <c r="C2359" s="3"/>
      <c r="K2359" s="4"/>
      <c r="L2359" s="4"/>
    </row>
    <row r="2360" spans="3:12">
      <c r="C2360" s="3"/>
      <c r="K2360" s="4"/>
      <c r="L2360" s="4"/>
    </row>
    <row r="2361" spans="3:12">
      <c r="C2361" s="3"/>
      <c r="K2361" s="4"/>
      <c r="L2361" s="4"/>
    </row>
    <row r="2362" spans="3:12">
      <c r="C2362" s="3"/>
      <c r="K2362" s="4"/>
      <c r="L2362" s="4"/>
    </row>
    <row r="2363" spans="3:12">
      <c r="C2363" s="3"/>
      <c r="K2363" s="4"/>
      <c r="L2363" s="4"/>
    </row>
    <row r="2364" spans="3:12">
      <c r="C2364" s="3"/>
      <c r="K2364" s="4"/>
      <c r="L2364" s="4"/>
    </row>
    <row r="2365" spans="3:12">
      <c r="C2365" s="3"/>
      <c r="K2365" s="4"/>
      <c r="L2365" s="4"/>
    </row>
    <row r="2366" spans="3:12">
      <c r="C2366" s="3"/>
      <c r="K2366" s="4"/>
      <c r="L2366" s="4"/>
    </row>
    <row r="2367" spans="3:12">
      <c r="C2367" s="3"/>
      <c r="K2367" s="4"/>
      <c r="L2367" s="4"/>
    </row>
    <row r="2368" spans="3:12">
      <c r="C2368" s="3"/>
      <c r="K2368" s="4"/>
      <c r="L2368" s="4"/>
    </row>
    <row r="2369" spans="3:12">
      <c r="C2369" s="3"/>
      <c r="K2369" s="4"/>
      <c r="L2369" s="4"/>
    </row>
    <row r="2370" spans="3:12">
      <c r="C2370" s="3"/>
      <c r="K2370" s="4"/>
      <c r="L2370" s="4"/>
    </row>
    <row r="2371" spans="3:12">
      <c r="C2371" s="3"/>
      <c r="K2371" s="4"/>
      <c r="L2371" s="4"/>
    </row>
    <row r="2372" spans="3:12">
      <c r="C2372" s="3"/>
      <c r="K2372" s="4"/>
      <c r="L2372" s="4"/>
    </row>
    <row r="2373" spans="3:12">
      <c r="C2373" s="3"/>
      <c r="K2373" s="4"/>
      <c r="L2373" s="4"/>
    </row>
    <row r="2374" spans="3:12">
      <c r="C2374" s="3"/>
      <c r="K2374" s="4"/>
      <c r="L2374" s="4"/>
    </row>
    <row r="2375" spans="3:12">
      <c r="C2375" s="3"/>
      <c r="K2375" s="4"/>
      <c r="L2375" s="4"/>
    </row>
    <row r="2376" spans="3:12">
      <c r="C2376" s="3"/>
      <c r="K2376" s="4"/>
      <c r="L2376" s="4"/>
    </row>
    <row r="2377" spans="3:12">
      <c r="C2377" s="3"/>
      <c r="K2377" s="4"/>
      <c r="L2377" s="4"/>
    </row>
    <row r="2378" spans="3:12">
      <c r="C2378" s="3"/>
      <c r="K2378" s="4"/>
      <c r="L2378" s="4"/>
    </row>
    <row r="2379" spans="3:12">
      <c r="C2379" s="3"/>
      <c r="K2379" s="4"/>
      <c r="L2379" s="4"/>
    </row>
    <row r="2380" spans="3:12">
      <c r="C2380" s="3"/>
      <c r="K2380" s="4"/>
      <c r="L2380" s="4"/>
    </row>
    <row r="2381" spans="3:12">
      <c r="C2381" s="3"/>
      <c r="K2381" s="4"/>
      <c r="L2381" s="4"/>
    </row>
    <row r="2382" spans="3:12">
      <c r="C2382" s="3"/>
      <c r="K2382" s="4"/>
      <c r="L2382" s="4"/>
    </row>
    <row r="2383" spans="3:12">
      <c r="C2383" s="3"/>
      <c r="K2383" s="4"/>
      <c r="L2383" s="4"/>
    </row>
    <row r="2384" spans="3:12">
      <c r="C2384" s="3"/>
      <c r="K2384" s="4"/>
      <c r="L2384" s="4"/>
    </row>
    <row r="2385" spans="3:12">
      <c r="C2385" s="3"/>
      <c r="K2385" s="4"/>
      <c r="L2385" s="4"/>
    </row>
    <row r="2386" spans="3:12">
      <c r="C2386" s="3"/>
      <c r="K2386" s="4"/>
      <c r="L2386" s="4"/>
    </row>
    <row r="2387" spans="3:12">
      <c r="C2387" s="3"/>
      <c r="K2387" s="4"/>
      <c r="L2387" s="4"/>
    </row>
    <row r="2388" spans="3:12">
      <c r="C2388" s="3"/>
      <c r="K2388" s="4"/>
      <c r="L2388" s="4"/>
    </row>
    <row r="2389" spans="3:12">
      <c r="C2389" s="3"/>
      <c r="K2389" s="4"/>
      <c r="L2389" s="4"/>
    </row>
    <row r="2390" spans="3:12">
      <c r="C2390" s="3"/>
      <c r="K2390" s="4"/>
      <c r="L2390" s="4"/>
    </row>
    <row r="2391" spans="3:12">
      <c r="C2391" s="3"/>
      <c r="K2391" s="4"/>
      <c r="L2391" s="4"/>
    </row>
    <row r="2392" spans="3:12">
      <c r="C2392" s="3"/>
      <c r="K2392" s="4"/>
      <c r="L2392" s="4"/>
    </row>
    <row r="2393" spans="3:12">
      <c r="C2393" s="3"/>
      <c r="K2393" s="4"/>
      <c r="L2393" s="4"/>
    </row>
    <row r="2394" spans="3:12">
      <c r="C2394" s="3"/>
      <c r="K2394" s="4"/>
      <c r="L2394" s="4"/>
    </row>
    <row r="2395" spans="3:12">
      <c r="C2395" s="3"/>
      <c r="K2395" s="4"/>
      <c r="L2395" s="4"/>
    </row>
    <row r="2396" spans="3:12">
      <c r="C2396" s="3"/>
      <c r="K2396" s="4"/>
      <c r="L2396" s="4"/>
    </row>
    <row r="2397" spans="3:12">
      <c r="C2397" s="3"/>
      <c r="K2397" s="4"/>
      <c r="L2397" s="4"/>
    </row>
    <row r="2398" spans="3:12">
      <c r="C2398" s="3"/>
      <c r="K2398" s="4"/>
      <c r="L2398" s="4"/>
    </row>
    <row r="2399" spans="3:12">
      <c r="C2399" s="3"/>
      <c r="K2399" s="4"/>
      <c r="L2399" s="4"/>
    </row>
    <row r="2400" spans="3:12">
      <c r="C2400" s="3"/>
      <c r="K2400" s="4"/>
      <c r="L2400" s="4"/>
    </row>
    <row r="2401" spans="3:12">
      <c r="C2401" s="3"/>
      <c r="K2401" s="4"/>
      <c r="L2401" s="4"/>
    </row>
    <row r="2402" spans="3:12">
      <c r="C2402" s="3"/>
      <c r="K2402" s="4"/>
      <c r="L2402" s="4"/>
    </row>
    <row r="2403" spans="3:12">
      <c r="C2403" s="3"/>
      <c r="K2403" s="4"/>
      <c r="L2403" s="4"/>
    </row>
    <row r="2404" spans="3:12">
      <c r="C2404" s="3"/>
      <c r="K2404" s="4"/>
      <c r="L2404" s="4"/>
    </row>
    <row r="2405" spans="3:12">
      <c r="C2405" s="3"/>
      <c r="K2405" s="4"/>
      <c r="L2405" s="4"/>
    </row>
    <row r="2406" spans="3:12">
      <c r="C2406" s="3"/>
      <c r="K2406" s="4"/>
      <c r="L2406" s="4"/>
    </row>
    <row r="2407" spans="3:12">
      <c r="C2407" s="3"/>
      <c r="K2407" s="4"/>
      <c r="L2407" s="4"/>
    </row>
    <row r="2408" spans="3:12">
      <c r="C2408" s="3"/>
      <c r="K2408" s="4"/>
      <c r="L2408" s="4"/>
    </row>
    <row r="2409" spans="3:12">
      <c r="C2409" s="3"/>
      <c r="K2409" s="4"/>
      <c r="L2409" s="4"/>
    </row>
    <row r="2410" spans="3:12">
      <c r="C2410" s="3"/>
      <c r="K2410" s="4"/>
      <c r="L2410" s="4"/>
    </row>
    <row r="2411" spans="3:12">
      <c r="C2411" s="3"/>
      <c r="K2411" s="4"/>
      <c r="L2411" s="4"/>
    </row>
    <row r="2412" spans="3:12">
      <c r="C2412" s="3"/>
      <c r="K2412" s="4"/>
      <c r="L2412" s="4"/>
    </row>
    <row r="2413" spans="3:12">
      <c r="C2413" s="3"/>
      <c r="K2413" s="4"/>
      <c r="L2413" s="4"/>
    </row>
    <row r="2414" spans="3:12">
      <c r="C2414" s="3"/>
      <c r="K2414" s="4"/>
      <c r="L2414" s="4"/>
    </row>
    <row r="2415" spans="3:12">
      <c r="C2415" s="3"/>
      <c r="K2415" s="4"/>
      <c r="L2415" s="4"/>
    </row>
    <row r="2416" spans="3:12">
      <c r="C2416" s="3"/>
      <c r="K2416" s="4"/>
      <c r="L2416" s="4"/>
    </row>
    <row r="2417" spans="3:12">
      <c r="C2417" s="3"/>
      <c r="K2417" s="4"/>
      <c r="L2417" s="4"/>
    </row>
    <row r="2418" spans="3:12">
      <c r="C2418" s="3"/>
      <c r="K2418" s="4"/>
      <c r="L2418" s="4"/>
    </row>
    <row r="2419" spans="3:12">
      <c r="C2419" s="3"/>
      <c r="K2419" s="4"/>
      <c r="L2419" s="4"/>
    </row>
    <row r="2420" spans="3:12">
      <c r="C2420" s="3"/>
      <c r="K2420" s="4"/>
      <c r="L2420" s="4"/>
    </row>
    <row r="2421" spans="3:12">
      <c r="C2421" s="3"/>
      <c r="K2421" s="4"/>
      <c r="L2421" s="4"/>
    </row>
    <row r="2422" spans="3:12">
      <c r="C2422" s="3"/>
      <c r="K2422" s="4"/>
      <c r="L2422" s="4"/>
    </row>
    <row r="2423" spans="3:12">
      <c r="C2423" s="3"/>
      <c r="K2423" s="4"/>
      <c r="L2423" s="4"/>
    </row>
    <row r="2424" spans="3:12">
      <c r="C2424" s="3"/>
      <c r="K2424" s="4"/>
      <c r="L2424" s="4"/>
    </row>
    <row r="2425" spans="3:12">
      <c r="C2425" s="3"/>
      <c r="K2425" s="4"/>
      <c r="L2425" s="4"/>
    </row>
    <row r="2426" spans="3:12">
      <c r="C2426" s="3"/>
      <c r="K2426" s="4"/>
      <c r="L2426" s="4"/>
    </row>
    <row r="2427" spans="3:12">
      <c r="C2427" s="3"/>
      <c r="K2427" s="4"/>
      <c r="L2427" s="4"/>
    </row>
    <row r="2428" spans="3:12">
      <c r="C2428" s="3"/>
      <c r="K2428" s="4"/>
      <c r="L2428" s="4"/>
    </row>
    <row r="2429" spans="3:12">
      <c r="C2429" s="3"/>
      <c r="K2429" s="4"/>
      <c r="L2429" s="4"/>
    </row>
    <row r="2430" spans="3:12">
      <c r="C2430" s="3"/>
      <c r="K2430" s="4"/>
      <c r="L2430" s="4"/>
    </row>
    <row r="2431" spans="3:12">
      <c r="C2431" s="3"/>
      <c r="K2431" s="4"/>
      <c r="L2431" s="4"/>
    </row>
    <row r="2432" spans="3:12">
      <c r="C2432" s="3"/>
      <c r="K2432" s="4"/>
      <c r="L2432" s="4"/>
    </row>
    <row r="2433" spans="3:12">
      <c r="C2433" s="3"/>
      <c r="K2433" s="4"/>
      <c r="L2433" s="4"/>
    </row>
    <row r="2434" spans="3:12">
      <c r="C2434" s="3"/>
      <c r="K2434" s="4"/>
      <c r="L2434" s="4"/>
    </row>
    <row r="2435" spans="3:12">
      <c r="C2435" s="3"/>
      <c r="K2435" s="4"/>
      <c r="L2435" s="4"/>
    </row>
    <row r="2436" spans="3:12">
      <c r="C2436" s="3"/>
      <c r="K2436" s="4"/>
      <c r="L2436" s="4"/>
    </row>
    <row r="2437" spans="3:12">
      <c r="C2437" s="3"/>
      <c r="K2437" s="4"/>
      <c r="L2437" s="4"/>
    </row>
    <row r="2438" spans="3:12">
      <c r="C2438" s="3"/>
      <c r="K2438" s="4"/>
      <c r="L2438" s="4"/>
    </row>
    <row r="2439" spans="3:12">
      <c r="C2439" s="3"/>
      <c r="K2439" s="4"/>
      <c r="L2439" s="4"/>
    </row>
    <row r="2440" spans="3:12">
      <c r="C2440" s="3"/>
      <c r="K2440" s="4"/>
      <c r="L2440" s="4"/>
    </row>
    <row r="2441" spans="3:12">
      <c r="C2441" s="3"/>
      <c r="K2441" s="4"/>
      <c r="L2441" s="4"/>
    </row>
    <row r="2442" spans="3:12">
      <c r="C2442" s="3"/>
      <c r="K2442" s="4"/>
      <c r="L2442" s="4"/>
    </row>
    <row r="2443" spans="3:12">
      <c r="C2443" s="3"/>
      <c r="K2443" s="4"/>
      <c r="L2443" s="4"/>
    </row>
    <row r="2444" spans="3:12">
      <c r="C2444" s="3"/>
      <c r="K2444" s="4"/>
      <c r="L2444" s="4"/>
    </row>
    <row r="2445" spans="3:12">
      <c r="C2445" s="3"/>
      <c r="K2445" s="4"/>
      <c r="L2445" s="4"/>
    </row>
    <row r="2446" spans="3:12">
      <c r="C2446" s="3"/>
      <c r="K2446" s="4"/>
      <c r="L2446" s="4"/>
    </row>
    <row r="2447" spans="3:12">
      <c r="C2447" s="3"/>
      <c r="K2447" s="4"/>
      <c r="L2447" s="4"/>
    </row>
    <row r="2448" spans="3:12">
      <c r="C2448" s="3"/>
      <c r="K2448" s="4"/>
      <c r="L2448" s="4"/>
    </row>
    <row r="2449" spans="3:12">
      <c r="C2449" s="3"/>
      <c r="K2449" s="4"/>
      <c r="L2449" s="4"/>
    </row>
    <row r="2450" spans="3:12">
      <c r="C2450" s="3"/>
      <c r="K2450" s="4"/>
      <c r="L2450" s="4"/>
    </row>
    <row r="2451" spans="3:12">
      <c r="C2451" s="3"/>
      <c r="K2451" s="4"/>
      <c r="L2451" s="4"/>
    </row>
    <row r="2452" spans="3:12">
      <c r="C2452" s="3"/>
      <c r="K2452" s="4"/>
      <c r="L2452" s="4"/>
    </row>
    <row r="2453" spans="3:12">
      <c r="C2453" s="3"/>
      <c r="K2453" s="4"/>
      <c r="L2453" s="4"/>
    </row>
    <row r="2454" spans="3:12">
      <c r="C2454" s="3"/>
      <c r="K2454" s="4"/>
      <c r="L2454" s="4"/>
    </row>
    <row r="2455" spans="3:12">
      <c r="C2455" s="3"/>
      <c r="K2455" s="4"/>
      <c r="L2455" s="4"/>
    </row>
    <row r="2456" spans="3:12">
      <c r="C2456" s="3"/>
      <c r="K2456" s="4"/>
      <c r="L2456" s="4"/>
    </row>
    <row r="2457" spans="3:12">
      <c r="C2457" s="3"/>
      <c r="K2457" s="4"/>
      <c r="L2457" s="4"/>
    </row>
    <row r="2458" spans="3:12">
      <c r="C2458" s="3"/>
      <c r="K2458" s="4"/>
      <c r="L2458" s="4"/>
    </row>
    <row r="2459" spans="3:12">
      <c r="C2459" s="3"/>
      <c r="K2459" s="4"/>
      <c r="L2459" s="4"/>
    </row>
    <row r="2460" spans="3:12">
      <c r="C2460" s="3"/>
      <c r="K2460" s="4"/>
      <c r="L2460" s="4"/>
    </row>
    <row r="2461" spans="3:12">
      <c r="C2461" s="3"/>
      <c r="K2461" s="4"/>
      <c r="L2461" s="4"/>
    </row>
    <row r="2462" spans="3:12">
      <c r="C2462" s="3"/>
      <c r="K2462" s="4"/>
      <c r="L2462" s="4"/>
    </row>
    <row r="2463" spans="3:12">
      <c r="C2463" s="3"/>
      <c r="K2463" s="4"/>
      <c r="L2463" s="4"/>
    </row>
    <row r="2464" spans="3:12">
      <c r="C2464" s="3"/>
      <c r="K2464" s="4"/>
      <c r="L2464" s="4"/>
    </row>
    <row r="2465" spans="3:12">
      <c r="C2465" s="3"/>
      <c r="K2465" s="4"/>
      <c r="L2465" s="4"/>
    </row>
    <row r="2466" spans="3:12">
      <c r="C2466" s="3"/>
      <c r="K2466" s="4"/>
      <c r="L2466" s="4"/>
    </row>
    <row r="2467" spans="3:12">
      <c r="C2467" s="3"/>
      <c r="K2467" s="4"/>
      <c r="L2467" s="4"/>
    </row>
    <row r="2468" spans="3:12">
      <c r="C2468" s="3"/>
      <c r="K2468" s="4"/>
      <c r="L2468" s="4"/>
    </row>
    <row r="2469" spans="3:12">
      <c r="C2469" s="3"/>
      <c r="K2469" s="4"/>
      <c r="L2469" s="4"/>
    </row>
    <row r="2470" spans="3:12">
      <c r="C2470" s="3"/>
      <c r="K2470" s="4"/>
      <c r="L2470" s="4"/>
    </row>
    <row r="2471" spans="3:12">
      <c r="C2471" s="3"/>
      <c r="K2471" s="4"/>
      <c r="L2471" s="4"/>
    </row>
    <row r="2472" spans="3:12">
      <c r="C2472" s="3"/>
      <c r="K2472" s="4"/>
      <c r="L2472" s="4"/>
    </row>
    <row r="2473" spans="3:12">
      <c r="C2473" s="3"/>
      <c r="K2473" s="4"/>
      <c r="L2473" s="4"/>
    </row>
    <row r="2474" spans="3:12">
      <c r="C2474" s="3"/>
      <c r="K2474" s="4"/>
      <c r="L2474" s="4"/>
    </row>
    <row r="2475" spans="3:12">
      <c r="C2475" s="3"/>
      <c r="K2475" s="4"/>
      <c r="L2475" s="4"/>
    </row>
    <row r="2476" spans="3:12">
      <c r="C2476" s="3"/>
      <c r="K2476" s="4"/>
      <c r="L2476" s="4"/>
    </row>
    <row r="2477" spans="3:12">
      <c r="C2477" s="3"/>
      <c r="K2477" s="4"/>
      <c r="L2477" s="4"/>
    </row>
    <row r="2478" spans="3:12">
      <c r="C2478" s="3"/>
      <c r="K2478" s="4"/>
      <c r="L2478" s="4"/>
    </row>
    <row r="2479" spans="3:12">
      <c r="C2479" s="3"/>
      <c r="K2479" s="4"/>
      <c r="L2479" s="4"/>
    </row>
    <row r="2480" spans="3:12">
      <c r="C2480" s="3"/>
      <c r="K2480" s="4"/>
      <c r="L2480" s="4"/>
    </row>
    <row r="2481" spans="3:12">
      <c r="C2481" s="3"/>
      <c r="K2481" s="4"/>
      <c r="L2481" s="4"/>
    </row>
    <row r="2482" spans="3:12">
      <c r="C2482" s="3"/>
      <c r="K2482" s="4"/>
      <c r="L2482" s="4"/>
    </row>
    <row r="2483" spans="3:12">
      <c r="C2483" s="3"/>
      <c r="K2483" s="4"/>
      <c r="L2483" s="4"/>
    </row>
    <row r="2484" spans="3:12">
      <c r="C2484" s="3"/>
      <c r="K2484" s="4"/>
      <c r="L2484" s="4"/>
    </row>
    <row r="2485" spans="3:12">
      <c r="C2485" s="3"/>
      <c r="K2485" s="4"/>
      <c r="L2485" s="4"/>
    </row>
    <row r="2486" spans="3:12">
      <c r="C2486" s="3"/>
      <c r="K2486" s="4"/>
      <c r="L2486" s="4"/>
    </row>
    <row r="2487" spans="3:12">
      <c r="C2487" s="3"/>
      <c r="K2487" s="4"/>
      <c r="L2487" s="4"/>
    </row>
    <row r="2488" spans="3:12">
      <c r="C2488" s="3"/>
      <c r="K2488" s="4"/>
      <c r="L2488" s="4"/>
    </row>
    <row r="2489" spans="3:12">
      <c r="C2489" s="3"/>
      <c r="K2489" s="4"/>
      <c r="L2489" s="4"/>
    </row>
    <row r="2490" spans="3:12">
      <c r="C2490" s="3"/>
      <c r="K2490" s="4"/>
      <c r="L2490" s="4"/>
    </row>
    <row r="2491" spans="3:12">
      <c r="C2491" s="3"/>
      <c r="K2491" s="4"/>
      <c r="L2491" s="4"/>
    </row>
    <row r="2492" spans="3:12">
      <c r="C2492" s="3"/>
      <c r="K2492" s="4"/>
      <c r="L2492" s="4"/>
    </row>
    <row r="2493" spans="3:12">
      <c r="C2493" s="3"/>
      <c r="K2493" s="4"/>
      <c r="L2493" s="4"/>
    </row>
    <row r="2494" spans="3:12">
      <c r="C2494" s="3"/>
      <c r="K2494" s="4"/>
      <c r="L2494" s="4"/>
    </row>
    <row r="2495" spans="3:12">
      <c r="C2495" s="3"/>
      <c r="K2495" s="4"/>
      <c r="L2495" s="4"/>
    </row>
    <row r="2496" spans="3:12">
      <c r="C2496" s="3"/>
      <c r="K2496" s="4"/>
      <c r="L2496" s="4"/>
    </row>
    <row r="2497" spans="3:12">
      <c r="C2497" s="3"/>
      <c r="K2497" s="4"/>
      <c r="L2497" s="4"/>
    </row>
    <row r="2498" spans="3:12">
      <c r="C2498" s="3"/>
      <c r="K2498" s="4"/>
      <c r="L2498" s="4"/>
    </row>
    <row r="2499" spans="3:12">
      <c r="C2499" s="3"/>
      <c r="K2499" s="4"/>
      <c r="L2499" s="4"/>
    </row>
    <row r="2500" spans="3:12">
      <c r="C2500" s="3"/>
      <c r="K2500" s="4"/>
      <c r="L2500" s="4"/>
    </row>
    <row r="2501" spans="3:12">
      <c r="C2501" s="3"/>
      <c r="K2501" s="4"/>
      <c r="L2501" s="4"/>
    </row>
    <row r="2502" spans="3:12">
      <c r="C2502" s="3"/>
      <c r="K2502" s="4"/>
      <c r="L2502" s="4"/>
    </row>
    <row r="2503" spans="3:12">
      <c r="C2503" s="3"/>
      <c r="K2503" s="4"/>
      <c r="L2503" s="4"/>
    </row>
    <row r="2504" spans="3:12">
      <c r="C2504" s="3"/>
      <c r="K2504" s="4"/>
      <c r="L2504" s="4"/>
    </row>
    <row r="2505" spans="3:12">
      <c r="C2505" s="3"/>
      <c r="K2505" s="4"/>
      <c r="L2505" s="4"/>
    </row>
    <row r="2506" spans="3:12">
      <c r="C2506" s="3"/>
      <c r="K2506" s="4"/>
      <c r="L2506" s="4"/>
    </row>
    <row r="2507" spans="3:12">
      <c r="C2507" s="3"/>
      <c r="K2507" s="4"/>
      <c r="L2507" s="4"/>
    </row>
    <row r="2508" spans="3:12">
      <c r="C2508" s="3"/>
      <c r="K2508" s="4"/>
      <c r="L2508" s="4"/>
    </row>
    <row r="2509" spans="3:12">
      <c r="C2509" s="3"/>
      <c r="K2509" s="4"/>
      <c r="L2509" s="4"/>
    </row>
    <row r="2510" spans="3:12">
      <c r="C2510" s="3"/>
      <c r="K2510" s="4"/>
      <c r="L2510" s="4"/>
    </row>
    <row r="2511" spans="3:12">
      <c r="C2511" s="3"/>
      <c r="K2511" s="4"/>
      <c r="L2511" s="4"/>
    </row>
    <row r="2512" spans="3:12">
      <c r="C2512" s="3"/>
      <c r="K2512" s="4"/>
      <c r="L2512" s="4"/>
    </row>
    <row r="2513" spans="3:12">
      <c r="C2513" s="3"/>
      <c r="K2513" s="4"/>
      <c r="L2513" s="4"/>
    </row>
    <row r="2514" spans="3:12">
      <c r="C2514" s="3"/>
      <c r="K2514" s="4"/>
      <c r="L2514" s="4"/>
    </row>
    <row r="2515" spans="3:12">
      <c r="C2515" s="3"/>
      <c r="K2515" s="4"/>
      <c r="L2515" s="4"/>
    </row>
    <row r="2516" spans="3:12">
      <c r="C2516" s="3"/>
      <c r="K2516" s="4"/>
      <c r="L2516" s="4"/>
    </row>
    <row r="2517" spans="3:12">
      <c r="C2517" s="3"/>
      <c r="K2517" s="4"/>
      <c r="L2517" s="4"/>
    </row>
    <row r="2518" spans="3:12">
      <c r="C2518" s="3"/>
      <c r="K2518" s="4"/>
      <c r="L2518" s="4"/>
    </row>
    <row r="2519" spans="3:12">
      <c r="C2519" s="3"/>
      <c r="K2519" s="4"/>
      <c r="L2519" s="4"/>
    </row>
    <row r="2520" spans="3:12">
      <c r="C2520" s="3"/>
      <c r="K2520" s="4"/>
      <c r="L2520" s="4"/>
    </row>
    <row r="2521" spans="3:12">
      <c r="C2521" s="3"/>
      <c r="K2521" s="4"/>
      <c r="L2521" s="4"/>
    </row>
    <row r="2522" spans="3:12">
      <c r="C2522" s="3"/>
      <c r="K2522" s="4"/>
      <c r="L2522" s="4"/>
    </row>
    <row r="2523" spans="3:12">
      <c r="C2523" s="3"/>
      <c r="K2523" s="4"/>
      <c r="L2523" s="4"/>
    </row>
    <row r="2524" spans="3:12">
      <c r="C2524" s="3"/>
      <c r="K2524" s="4"/>
      <c r="L2524" s="4"/>
    </row>
    <row r="2525" spans="3:12">
      <c r="C2525" s="3"/>
      <c r="K2525" s="4"/>
      <c r="L2525" s="4"/>
    </row>
    <row r="2526" spans="3:12">
      <c r="C2526" s="3"/>
      <c r="K2526" s="4"/>
      <c r="L2526" s="4"/>
    </row>
    <row r="2527" spans="3:12">
      <c r="C2527" s="3"/>
      <c r="K2527" s="4"/>
      <c r="L2527" s="4"/>
    </row>
    <row r="2528" spans="3:12">
      <c r="C2528" s="3"/>
      <c r="K2528" s="4"/>
      <c r="L2528" s="4"/>
    </row>
    <row r="2529" spans="3:12">
      <c r="C2529" s="3"/>
      <c r="K2529" s="4"/>
      <c r="L2529" s="4"/>
    </row>
    <row r="2530" spans="3:12">
      <c r="C2530" s="3"/>
      <c r="K2530" s="4"/>
      <c r="L2530" s="4"/>
    </row>
    <row r="2531" spans="3:12">
      <c r="C2531" s="3"/>
      <c r="K2531" s="4"/>
      <c r="L2531" s="4"/>
    </row>
    <row r="2532" spans="3:12">
      <c r="C2532" s="3"/>
      <c r="K2532" s="4"/>
      <c r="L2532" s="4"/>
    </row>
    <row r="2533" spans="3:12">
      <c r="C2533" s="3"/>
      <c r="K2533" s="4"/>
      <c r="L2533" s="4"/>
    </row>
    <row r="2534" spans="3:12">
      <c r="C2534" s="3"/>
      <c r="K2534" s="4"/>
      <c r="L2534" s="4"/>
    </row>
    <row r="2535" spans="3:12">
      <c r="C2535" s="3"/>
      <c r="K2535" s="4"/>
      <c r="L2535" s="4"/>
    </row>
    <row r="2536" spans="3:12">
      <c r="C2536" s="3"/>
      <c r="K2536" s="4"/>
      <c r="L2536" s="4"/>
    </row>
    <row r="2537" spans="3:12">
      <c r="C2537" s="3"/>
      <c r="K2537" s="4"/>
      <c r="L2537" s="4"/>
    </row>
    <row r="2538" spans="3:12">
      <c r="C2538" s="3"/>
      <c r="K2538" s="4"/>
      <c r="L2538" s="4"/>
    </row>
    <row r="2539" spans="3:12">
      <c r="C2539" s="3"/>
      <c r="K2539" s="4"/>
      <c r="L2539" s="4"/>
    </row>
    <row r="2540" spans="3:12">
      <c r="C2540" s="3"/>
      <c r="K2540" s="4"/>
      <c r="L2540" s="4"/>
    </row>
    <row r="2541" spans="3:12">
      <c r="C2541" s="3"/>
      <c r="K2541" s="4"/>
      <c r="L2541" s="4"/>
    </row>
    <row r="2542" spans="3:12">
      <c r="C2542" s="3"/>
      <c r="K2542" s="4"/>
      <c r="L2542" s="4"/>
    </row>
    <row r="2543" spans="3:12">
      <c r="C2543" s="3"/>
      <c r="K2543" s="4"/>
      <c r="L2543" s="4"/>
    </row>
    <row r="2544" spans="3:12">
      <c r="C2544" s="3"/>
      <c r="K2544" s="4"/>
      <c r="L2544" s="4"/>
    </row>
    <row r="2545" spans="3:12">
      <c r="C2545" s="3"/>
      <c r="K2545" s="4"/>
      <c r="L2545" s="4"/>
    </row>
    <row r="2546" spans="3:12">
      <c r="C2546" s="3"/>
      <c r="K2546" s="4"/>
      <c r="L2546" s="4"/>
    </row>
    <row r="2547" spans="3:12">
      <c r="C2547" s="3"/>
      <c r="K2547" s="4"/>
      <c r="L2547" s="4"/>
    </row>
    <row r="2548" spans="3:12">
      <c r="C2548" s="3"/>
      <c r="K2548" s="4"/>
      <c r="L2548" s="4"/>
    </row>
    <row r="2549" spans="3:12">
      <c r="C2549" s="3"/>
      <c r="K2549" s="4"/>
      <c r="L2549" s="4"/>
    </row>
    <row r="2550" spans="3:12">
      <c r="C2550" s="3"/>
      <c r="K2550" s="4"/>
      <c r="L2550" s="4"/>
    </row>
    <row r="2551" spans="3:12">
      <c r="C2551" s="3"/>
      <c r="K2551" s="4"/>
      <c r="L2551" s="4"/>
    </row>
    <row r="2552" spans="3:12">
      <c r="C2552" s="3"/>
      <c r="K2552" s="4"/>
      <c r="L2552" s="4"/>
    </row>
    <row r="2553" spans="3:12">
      <c r="C2553" s="3"/>
      <c r="K2553" s="4"/>
      <c r="L2553" s="4"/>
    </row>
    <row r="2554" spans="3:12">
      <c r="C2554" s="3"/>
      <c r="K2554" s="4"/>
      <c r="L2554" s="4"/>
    </row>
    <row r="2555" spans="3:12">
      <c r="C2555" s="3"/>
      <c r="K2555" s="4"/>
      <c r="L2555" s="4"/>
    </row>
    <row r="2556" spans="3:12">
      <c r="C2556" s="3"/>
      <c r="K2556" s="4"/>
      <c r="L2556" s="4"/>
    </row>
    <row r="2557" spans="3:12">
      <c r="C2557" s="3"/>
      <c r="K2557" s="4"/>
      <c r="L2557" s="4"/>
    </row>
    <row r="2558" spans="3:12">
      <c r="C2558" s="3"/>
      <c r="K2558" s="4"/>
      <c r="L2558" s="4"/>
    </row>
    <row r="2559" spans="3:12">
      <c r="C2559" s="3"/>
      <c r="K2559" s="4"/>
      <c r="L2559" s="4"/>
    </row>
    <row r="2560" spans="3:12">
      <c r="C2560" s="3"/>
      <c r="K2560" s="4"/>
      <c r="L2560" s="4"/>
    </row>
    <row r="2561" spans="3:12">
      <c r="C2561" s="3"/>
      <c r="K2561" s="4"/>
      <c r="L2561" s="4"/>
    </row>
    <row r="2562" spans="3:12">
      <c r="C2562" s="3"/>
      <c r="K2562" s="4"/>
      <c r="L2562" s="4"/>
    </row>
    <row r="2563" spans="3:12">
      <c r="C2563" s="3"/>
      <c r="K2563" s="4"/>
      <c r="L2563" s="4"/>
    </row>
    <row r="2564" spans="3:12">
      <c r="C2564" s="3"/>
      <c r="K2564" s="4"/>
      <c r="L2564" s="4"/>
    </row>
    <row r="2565" spans="3:12">
      <c r="C2565" s="3"/>
      <c r="K2565" s="4"/>
      <c r="L2565" s="4"/>
    </row>
    <row r="2566" spans="3:12">
      <c r="C2566" s="3"/>
      <c r="K2566" s="4"/>
      <c r="L2566" s="4"/>
    </row>
    <row r="2567" spans="3:12">
      <c r="C2567" s="3"/>
      <c r="K2567" s="4"/>
      <c r="L2567" s="4"/>
    </row>
    <row r="2568" spans="3:12">
      <c r="C2568" s="3"/>
      <c r="K2568" s="4"/>
      <c r="L2568" s="4"/>
    </row>
    <row r="2569" spans="3:12">
      <c r="C2569" s="3"/>
      <c r="K2569" s="4"/>
      <c r="L2569" s="4"/>
    </row>
    <row r="2570" spans="3:12">
      <c r="C2570" s="3"/>
      <c r="K2570" s="4"/>
      <c r="L2570" s="4"/>
    </row>
    <row r="2571" spans="3:12">
      <c r="C2571" s="3"/>
      <c r="K2571" s="4"/>
      <c r="L2571" s="4"/>
    </row>
    <row r="2572" spans="3:12">
      <c r="C2572" s="3"/>
      <c r="K2572" s="4"/>
      <c r="L2572" s="4"/>
    </row>
    <row r="2573" spans="3:12">
      <c r="C2573" s="3"/>
      <c r="K2573" s="4"/>
      <c r="L2573" s="4"/>
    </row>
    <row r="2574" spans="3:12">
      <c r="C2574" s="3"/>
      <c r="K2574" s="4"/>
      <c r="L2574" s="4"/>
    </row>
    <row r="2575" spans="3:12">
      <c r="C2575" s="3"/>
      <c r="K2575" s="4"/>
      <c r="L2575" s="4"/>
    </row>
    <row r="2576" spans="3:12">
      <c r="C2576" s="3"/>
      <c r="K2576" s="4"/>
      <c r="L2576" s="4"/>
    </row>
    <row r="2577" spans="3:12">
      <c r="C2577" s="3"/>
      <c r="K2577" s="4"/>
      <c r="L2577" s="4"/>
    </row>
    <row r="2578" spans="3:12">
      <c r="C2578" s="3"/>
      <c r="K2578" s="4"/>
      <c r="L2578" s="4"/>
    </row>
    <row r="2579" spans="3:12">
      <c r="C2579" s="3"/>
      <c r="K2579" s="4"/>
      <c r="L2579" s="4"/>
    </row>
    <row r="2580" spans="3:12">
      <c r="C2580" s="3"/>
      <c r="K2580" s="4"/>
      <c r="L2580" s="4"/>
    </row>
    <row r="2581" spans="3:12">
      <c r="C2581" s="3"/>
      <c r="K2581" s="4"/>
      <c r="L2581" s="4"/>
    </row>
    <row r="2582" spans="3:12">
      <c r="C2582" s="3"/>
      <c r="K2582" s="4"/>
      <c r="L2582" s="4"/>
    </row>
    <row r="2583" spans="3:12">
      <c r="C2583" s="3"/>
      <c r="K2583" s="4"/>
      <c r="L2583" s="4"/>
    </row>
    <row r="2584" spans="3:12">
      <c r="C2584" s="3"/>
      <c r="K2584" s="4"/>
      <c r="L2584" s="4"/>
    </row>
    <row r="2585" spans="3:12">
      <c r="C2585" s="3"/>
      <c r="K2585" s="4"/>
      <c r="L2585" s="4"/>
    </row>
    <row r="2586" spans="3:12">
      <c r="C2586" s="3"/>
      <c r="K2586" s="4"/>
      <c r="L2586" s="4"/>
    </row>
    <row r="2587" spans="3:12">
      <c r="C2587" s="3"/>
      <c r="K2587" s="4"/>
      <c r="L2587" s="4"/>
    </row>
    <row r="2588" spans="3:12">
      <c r="C2588" s="3"/>
      <c r="K2588" s="4"/>
      <c r="L2588" s="4"/>
    </row>
    <row r="2589" spans="3:12">
      <c r="C2589" s="3"/>
      <c r="K2589" s="4"/>
      <c r="L2589" s="4"/>
    </row>
    <row r="2590" spans="3:12">
      <c r="C2590" s="3"/>
      <c r="K2590" s="4"/>
      <c r="L2590" s="4"/>
    </row>
    <row r="2591" spans="3:12">
      <c r="C2591" s="3"/>
      <c r="K2591" s="4"/>
      <c r="L2591" s="4"/>
    </row>
    <row r="2592" spans="3:12">
      <c r="C2592" s="3"/>
      <c r="K2592" s="4"/>
      <c r="L2592" s="4"/>
    </row>
    <row r="2593" spans="3:12">
      <c r="C2593" s="3"/>
      <c r="K2593" s="4"/>
      <c r="L2593" s="4"/>
    </row>
    <row r="2594" spans="3:12">
      <c r="C2594" s="3"/>
      <c r="K2594" s="4"/>
      <c r="L2594" s="4"/>
    </row>
    <row r="2595" spans="3:12">
      <c r="C2595" s="3"/>
      <c r="K2595" s="4"/>
      <c r="L2595" s="4"/>
    </row>
    <row r="2596" spans="3:12">
      <c r="C2596" s="3"/>
      <c r="K2596" s="4"/>
      <c r="L2596" s="4"/>
    </row>
    <row r="2597" spans="3:12">
      <c r="C2597" s="3"/>
      <c r="K2597" s="4"/>
      <c r="L2597" s="4"/>
    </row>
    <row r="2598" spans="3:12">
      <c r="C2598" s="3"/>
      <c r="K2598" s="4"/>
      <c r="L2598" s="4"/>
    </row>
    <row r="2599" spans="3:12">
      <c r="C2599" s="3"/>
      <c r="K2599" s="4"/>
      <c r="L2599" s="4"/>
    </row>
    <row r="2600" spans="3:12">
      <c r="C2600" s="3"/>
      <c r="K2600" s="4"/>
      <c r="L2600" s="4"/>
    </row>
    <row r="2601" spans="3:12">
      <c r="C2601" s="3"/>
      <c r="K2601" s="4"/>
      <c r="L2601" s="4"/>
    </row>
    <row r="2602" spans="3:12">
      <c r="C2602" s="3"/>
      <c r="K2602" s="4"/>
      <c r="L2602" s="4"/>
    </row>
    <row r="2603" spans="3:12">
      <c r="C2603" s="3"/>
      <c r="K2603" s="4"/>
      <c r="L2603" s="4"/>
    </row>
    <row r="2604" spans="3:12">
      <c r="C2604" s="3"/>
      <c r="K2604" s="4"/>
      <c r="L2604" s="4"/>
    </row>
    <row r="2605" spans="3:12">
      <c r="C2605" s="3"/>
      <c r="K2605" s="4"/>
      <c r="L2605" s="4"/>
    </row>
    <row r="2606" spans="3:12">
      <c r="C2606" s="3"/>
      <c r="K2606" s="4"/>
      <c r="L2606" s="4"/>
    </row>
    <row r="2607" spans="3:12">
      <c r="C2607" s="3"/>
      <c r="K2607" s="4"/>
      <c r="L2607" s="4"/>
    </row>
    <row r="2608" spans="3:12">
      <c r="C2608" s="3"/>
      <c r="K2608" s="4"/>
      <c r="L2608" s="4"/>
    </row>
    <row r="2609" spans="3:12">
      <c r="C2609" s="3"/>
      <c r="K2609" s="4"/>
      <c r="L2609" s="4"/>
    </row>
    <row r="2610" spans="3:12">
      <c r="C2610" s="3"/>
      <c r="K2610" s="4"/>
      <c r="L2610" s="4"/>
    </row>
    <row r="2611" spans="3:12">
      <c r="C2611" s="3"/>
      <c r="K2611" s="4"/>
      <c r="L2611" s="4"/>
    </row>
    <row r="2612" spans="3:12">
      <c r="C2612" s="3"/>
      <c r="K2612" s="4"/>
      <c r="L2612" s="4"/>
    </row>
    <row r="2613" spans="3:12">
      <c r="C2613" s="3"/>
      <c r="K2613" s="4"/>
      <c r="L2613" s="4"/>
    </row>
    <row r="2614" spans="3:12">
      <c r="C2614" s="3"/>
      <c r="K2614" s="4"/>
      <c r="L2614" s="4"/>
    </row>
    <row r="2615" spans="3:12">
      <c r="C2615" s="3"/>
      <c r="K2615" s="4"/>
      <c r="L2615" s="4"/>
    </row>
    <row r="2616" spans="3:12">
      <c r="C2616" s="3"/>
      <c r="K2616" s="4"/>
      <c r="L2616" s="4"/>
    </row>
    <row r="2617" spans="3:12">
      <c r="C2617" s="3"/>
      <c r="K2617" s="4"/>
      <c r="L2617" s="4"/>
    </row>
    <row r="2618" spans="3:12">
      <c r="C2618" s="3"/>
      <c r="K2618" s="4"/>
      <c r="L2618" s="4"/>
    </row>
    <row r="2619" spans="3:12">
      <c r="C2619" s="3"/>
      <c r="K2619" s="4"/>
      <c r="L2619" s="4"/>
    </row>
    <row r="2620" spans="3:12">
      <c r="C2620" s="3"/>
      <c r="K2620" s="4"/>
      <c r="L2620" s="4"/>
    </row>
    <row r="2621" spans="3:12">
      <c r="C2621" s="3"/>
      <c r="K2621" s="4"/>
      <c r="L2621" s="4"/>
    </row>
    <row r="2622" spans="3:12">
      <c r="C2622" s="3"/>
      <c r="K2622" s="4"/>
      <c r="L2622" s="4"/>
    </row>
    <row r="2623" spans="3:12">
      <c r="C2623" s="3"/>
      <c r="K2623" s="4"/>
      <c r="L2623" s="4"/>
    </row>
    <row r="2624" spans="3:12">
      <c r="C2624" s="3"/>
      <c r="K2624" s="4"/>
      <c r="L2624" s="4"/>
    </row>
    <row r="2625" spans="3:12">
      <c r="C2625" s="3"/>
      <c r="K2625" s="4"/>
      <c r="L2625" s="4"/>
    </row>
    <row r="2626" spans="3:12">
      <c r="C2626" s="3"/>
      <c r="K2626" s="4"/>
      <c r="L2626" s="4"/>
    </row>
    <row r="2627" spans="3:12">
      <c r="C2627" s="3"/>
      <c r="K2627" s="4"/>
      <c r="L2627" s="4"/>
    </row>
    <row r="2628" spans="3:12">
      <c r="C2628" s="3"/>
      <c r="K2628" s="4"/>
      <c r="L2628" s="4"/>
    </row>
    <row r="2629" spans="3:12">
      <c r="C2629" s="3"/>
      <c r="K2629" s="4"/>
      <c r="L2629" s="4"/>
    </row>
    <row r="2630" spans="3:12">
      <c r="C2630" s="3"/>
      <c r="K2630" s="4"/>
      <c r="L2630" s="4"/>
    </row>
    <row r="2631" spans="3:12">
      <c r="C2631" s="3"/>
      <c r="K2631" s="4"/>
      <c r="L2631" s="4"/>
    </row>
    <row r="2632" spans="3:12">
      <c r="C2632" s="3"/>
      <c r="K2632" s="4"/>
      <c r="L2632" s="4"/>
    </row>
    <row r="2633" spans="3:12">
      <c r="C2633" s="3"/>
      <c r="K2633" s="4"/>
      <c r="L2633" s="4"/>
    </row>
    <row r="2634" spans="3:12">
      <c r="C2634" s="3"/>
      <c r="K2634" s="4"/>
      <c r="L2634" s="4"/>
    </row>
    <row r="2635" spans="3:12">
      <c r="C2635" s="3"/>
      <c r="K2635" s="4"/>
      <c r="L2635" s="4"/>
    </row>
    <row r="2636" spans="3:12">
      <c r="C2636" s="3"/>
      <c r="K2636" s="4"/>
      <c r="L2636" s="4"/>
    </row>
    <row r="2637" spans="3:12">
      <c r="C2637" s="3"/>
      <c r="K2637" s="4"/>
      <c r="L2637" s="4"/>
    </row>
    <row r="2638" spans="3:12">
      <c r="C2638" s="3"/>
      <c r="K2638" s="4"/>
      <c r="L2638" s="4"/>
    </row>
    <row r="2639" spans="3:12">
      <c r="C2639" s="3"/>
      <c r="K2639" s="4"/>
      <c r="L2639" s="4"/>
    </row>
    <row r="2640" spans="3:12">
      <c r="C2640" s="3"/>
      <c r="K2640" s="4"/>
      <c r="L2640" s="4"/>
    </row>
    <row r="2641" spans="3:12">
      <c r="C2641" s="3"/>
      <c r="K2641" s="4"/>
      <c r="L2641" s="4"/>
    </row>
    <row r="2642" spans="3:12">
      <c r="C2642" s="3"/>
      <c r="K2642" s="4"/>
      <c r="L2642" s="4"/>
    </row>
    <row r="2643" spans="3:12">
      <c r="C2643" s="3"/>
      <c r="K2643" s="4"/>
      <c r="L2643" s="4"/>
    </row>
    <row r="2644" spans="3:12">
      <c r="C2644" s="3"/>
      <c r="K2644" s="4"/>
      <c r="L2644" s="4"/>
    </row>
    <row r="2645" spans="3:12">
      <c r="C2645" s="3"/>
      <c r="K2645" s="4"/>
      <c r="L2645" s="4"/>
    </row>
    <row r="2646" spans="3:12">
      <c r="C2646" s="3"/>
      <c r="K2646" s="4"/>
      <c r="L2646" s="4"/>
    </row>
    <row r="2647" spans="3:12">
      <c r="C2647" s="3"/>
      <c r="K2647" s="4"/>
      <c r="L2647" s="4"/>
    </row>
    <row r="2648" spans="3:12">
      <c r="C2648" s="3"/>
      <c r="K2648" s="4"/>
      <c r="L2648" s="4"/>
    </row>
    <row r="2649" spans="3:12">
      <c r="C2649" s="3"/>
      <c r="K2649" s="4"/>
      <c r="L2649" s="4"/>
    </row>
    <row r="2650" spans="3:12">
      <c r="C2650" s="3"/>
      <c r="K2650" s="4"/>
      <c r="L2650" s="4"/>
    </row>
    <row r="2651" spans="3:12">
      <c r="C2651" s="3"/>
      <c r="K2651" s="4"/>
      <c r="L2651" s="4"/>
    </row>
    <row r="2652" spans="3:12">
      <c r="C2652" s="3"/>
      <c r="K2652" s="4"/>
      <c r="L2652" s="4"/>
    </row>
    <row r="2653" spans="3:12">
      <c r="C2653" s="3"/>
      <c r="K2653" s="4"/>
      <c r="L2653" s="4"/>
    </row>
    <row r="2654" spans="3:12">
      <c r="C2654" s="3"/>
      <c r="K2654" s="4"/>
      <c r="L2654" s="4"/>
    </row>
    <row r="2655" spans="3:12">
      <c r="C2655" s="3"/>
      <c r="K2655" s="4"/>
      <c r="L2655" s="4"/>
    </row>
    <row r="2656" spans="3:12">
      <c r="C2656" s="3"/>
      <c r="K2656" s="4"/>
      <c r="L2656" s="4"/>
    </row>
    <row r="2657" spans="3:12">
      <c r="C2657" s="3"/>
      <c r="K2657" s="4"/>
      <c r="L2657" s="4"/>
    </row>
    <row r="2658" spans="3:12">
      <c r="C2658" s="3"/>
      <c r="K2658" s="4"/>
      <c r="L2658" s="4"/>
    </row>
    <row r="2659" spans="3:12">
      <c r="C2659" s="3"/>
      <c r="K2659" s="4"/>
      <c r="L2659" s="4"/>
    </row>
    <row r="2660" spans="3:12">
      <c r="C2660" s="3"/>
      <c r="K2660" s="4"/>
      <c r="L2660" s="4"/>
    </row>
    <row r="2661" spans="3:12">
      <c r="C2661" s="3"/>
      <c r="K2661" s="4"/>
      <c r="L2661" s="4"/>
    </row>
    <row r="2662" spans="3:12">
      <c r="C2662" s="3"/>
      <c r="K2662" s="4"/>
      <c r="L2662" s="4"/>
    </row>
    <row r="2663" spans="3:12">
      <c r="C2663" s="3"/>
      <c r="K2663" s="4"/>
      <c r="L2663" s="4"/>
    </row>
    <row r="2664" spans="3:12">
      <c r="C2664" s="3"/>
      <c r="K2664" s="4"/>
      <c r="L2664" s="4"/>
    </row>
    <row r="2665" spans="3:12">
      <c r="C2665" s="3"/>
      <c r="K2665" s="4"/>
      <c r="L2665" s="4"/>
    </row>
    <row r="2666" spans="3:12">
      <c r="C2666" s="3"/>
      <c r="K2666" s="4"/>
      <c r="L2666" s="4"/>
    </row>
    <row r="2667" spans="3:12">
      <c r="C2667" s="3"/>
      <c r="K2667" s="4"/>
      <c r="L2667" s="4"/>
    </row>
    <row r="2668" spans="3:12">
      <c r="C2668" s="3"/>
      <c r="K2668" s="4"/>
      <c r="L2668" s="4"/>
    </row>
    <row r="2669" spans="3:12">
      <c r="C2669" s="3"/>
      <c r="K2669" s="4"/>
      <c r="L2669" s="4"/>
    </row>
    <row r="2670" spans="3:12">
      <c r="C2670" s="3"/>
      <c r="K2670" s="4"/>
      <c r="L2670" s="4"/>
    </row>
    <row r="2671" spans="3:12">
      <c r="C2671" s="3"/>
      <c r="K2671" s="4"/>
      <c r="L2671" s="4"/>
    </row>
    <row r="2672" spans="3:12">
      <c r="C2672" s="3"/>
      <c r="K2672" s="4"/>
      <c r="L2672" s="4"/>
    </row>
    <row r="2673" spans="3:12">
      <c r="C2673" s="3"/>
      <c r="K2673" s="4"/>
      <c r="L2673" s="4"/>
    </row>
    <row r="2674" spans="3:12">
      <c r="C2674" s="3"/>
      <c r="K2674" s="4"/>
      <c r="L2674" s="4"/>
    </row>
    <row r="2675" spans="3:12">
      <c r="C2675" s="3"/>
      <c r="K2675" s="4"/>
      <c r="L2675" s="4"/>
    </row>
    <row r="2676" spans="3:12">
      <c r="C2676" s="3"/>
      <c r="K2676" s="4"/>
      <c r="L2676" s="4"/>
    </row>
    <row r="2677" spans="3:12">
      <c r="C2677" s="3"/>
      <c r="K2677" s="4"/>
      <c r="L2677" s="4"/>
    </row>
    <row r="2678" spans="3:12">
      <c r="C2678" s="3"/>
      <c r="K2678" s="4"/>
      <c r="L2678" s="4"/>
    </row>
    <row r="2679" spans="3:12">
      <c r="C2679" s="3"/>
      <c r="K2679" s="4"/>
      <c r="L2679" s="4"/>
    </row>
    <row r="2680" spans="3:12">
      <c r="C2680" s="3"/>
      <c r="K2680" s="4"/>
      <c r="L2680" s="4"/>
    </row>
    <row r="2681" spans="3:12">
      <c r="C2681" s="3"/>
      <c r="K2681" s="4"/>
      <c r="L2681" s="4"/>
    </row>
    <row r="2682" spans="3:12">
      <c r="C2682" s="3"/>
      <c r="K2682" s="4"/>
      <c r="L2682" s="4"/>
    </row>
    <row r="2683" spans="3:12">
      <c r="C2683" s="3"/>
      <c r="K2683" s="4"/>
      <c r="L2683" s="4"/>
    </row>
    <row r="2684" spans="3:12">
      <c r="C2684" s="3"/>
      <c r="K2684" s="4"/>
      <c r="L2684" s="4"/>
    </row>
    <row r="2685" spans="3:12">
      <c r="C2685" s="3"/>
      <c r="K2685" s="4"/>
      <c r="L2685" s="4"/>
    </row>
    <row r="2686" spans="3:12">
      <c r="C2686" s="3"/>
      <c r="K2686" s="4"/>
      <c r="L2686" s="4"/>
    </row>
    <row r="2687" spans="3:12">
      <c r="C2687" s="3"/>
      <c r="K2687" s="4"/>
      <c r="L2687" s="4"/>
    </row>
    <row r="2688" spans="3:12">
      <c r="C2688" s="3"/>
      <c r="K2688" s="4"/>
      <c r="L2688" s="4"/>
    </row>
    <row r="2689" spans="3:12">
      <c r="C2689" s="3"/>
      <c r="K2689" s="4"/>
      <c r="L2689" s="4"/>
    </row>
    <row r="2690" spans="3:12">
      <c r="C2690" s="3"/>
      <c r="K2690" s="4"/>
      <c r="L2690" s="4"/>
    </row>
    <row r="2691" spans="3:12">
      <c r="C2691" s="3"/>
      <c r="K2691" s="4"/>
      <c r="L2691" s="4"/>
    </row>
    <row r="2692" spans="3:12">
      <c r="C2692" s="3"/>
      <c r="K2692" s="4"/>
      <c r="L2692" s="4"/>
    </row>
    <row r="2693" spans="3:12">
      <c r="C2693" s="3"/>
      <c r="K2693" s="4"/>
      <c r="L2693" s="4"/>
    </row>
    <row r="2694" spans="3:12">
      <c r="C2694" s="3"/>
      <c r="K2694" s="4"/>
      <c r="L2694" s="4"/>
    </row>
    <row r="2695" spans="3:12">
      <c r="C2695" s="3"/>
      <c r="K2695" s="4"/>
      <c r="L2695" s="4"/>
    </row>
    <row r="2696" spans="3:12">
      <c r="C2696" s="3"/>
      <c r="K2696" s="4"/>
      <c r="L2696" s="4"/>
    </row>
    <row r="2697" spans="3:12">
      <c r="C2697" s="3"/>
      <c r="K2697" s="4"/>
      <c r="L2697" s="4"/>
    </row>
    <row r="2698" spans="3:12">
      <c r="C2698" s="3"/>
      <c r="K2698" s="4"/>
      <c r="L2698" s="4"/>
    </row>
    <row r="2699" spans="3:12">
      <c r="C2699" s="3"/>
      <c r="K2699" s="4"/>
      <c r="L2699" s="4"/>
    </row>
    <row r="2700" spans="3:12">
      <c r="C2700" s="3"/>
      <c r="K2700" s="4"/>
      <c r="L2700" s="4"/>
    </row>
    <row r="2701" spans="3:12">
      <c r="C2701" s="3"/>
      <c r="K2701" s="4"/>
      <c r="L2701" s="4"/>
    </row>
    <row r="2702" spans="3:12">
      <c r="C2702" s="3"/>
      <c r="K2702" s="4"/>
      <c r="L2702" s="4"/>
    </row>
    <row r="2703" spans="3:12">
      <c r="C2703" s="3"/>
      <c r="K2703" s="4"/>
      <c r="L2703" s="4"/>
    </row>
    <row r="2704" spans="3:12">
      <c r="C2704" s="3"/>
      <c r="K2704" s="4"/>
      <c r="L2704" s="4"/>
    </row>
    <row r="2705" spans="3:12">
      <c r="C2705" s="3"/>
      <c r="K2705" s="4"/>
      <c r="L2705" s="4"/>
    </row>
    <row r="2706" spans="3:12">
      <c r="C2706" s="3"/>
      <c r="K2706" s="4"/>
      <c r="L2706" s="4"/>
    </row>
    <row r="2707" spans="3:12">
      <c r="C2707" s="3"/>
      <c r="K2707" s="4"/>
      <c r="L2707" s="4"/>
    </row>
    <row r="2708" spans="3:12">
      <c r="C2708" s="3"/>
      <c r="K2708" s="4"/>
      <c r="L2708" s="4"/>
    </row>
    <row r="2709" spans="3:12">
      <c r="C2709" s="3"/>
      <c r="K2709" s="4"/>
      <c r="L2709" s="4"/>
    </row>
    <row r="2710" spans="3:12">
      <c r="C2710" s="3"/>
      <c r="K2710" s="4"/>
      <c r="L2710" s="4"/>
    </row>
    <row r="2711" spans="3:12">
      <c r="C2711" s="3"/>
      <c r="K2711" s="4"/>
      <c r="L2711" s="4"/>
    </row>
    <row r="2712" spans="3:12">
      <c r="C2712" s="3"/>
      <c r="K2712" s="4"/>
      <c r="L2712" s="4"/>
    </row>
    <row r="2713" spans="3:12">
      <c r="C2713" s="3"/>
      <c r="K2713" s="4"/>
      <c r="L2713" s="4"/>
    </row>
    <row r="2714" spans="3:12">
      <c r="C2714" s="3"/>
      <c r="K2714" s="4"/>
      <c r="L2714" s="4"/>
    </row>
    <row r="2715" spans="3:12">
      <c r="C2715" s="3"/>
      <c r="K2715" s="4"/>
      <c r="L2715" s="4"/>
    </row>
    <row r="2716" spans="3:12">
      <c r="C2716" s="3"/>
      <c r="K2716" s="4"/>
      <c r="L2716" s="4"/>
    </row>
    <row r="2717" spans="3:12">
      <c r="C2717" s="3"/>
      <c r="K2717" s="4"/>
      <c r="L2717" s="4"/>
    </row>
    <row r="2718" spans="3:12">
      <c r="C2718" s="3"/>
      <c r="K2718" s="4"/>
      <c r="L2718" s="4"/>
    </row>
    <row r="2719" spans="3:12">
      <c r="C2719" s="3"/>
      <c r="K2719" s="4"/>
      <c r="L2719" s="4"/>
    </row>
    <row r="2720" spans="3:12">
      <c r="C2720" s="3"/>
      <c r="K2720" s="4"/>
      <c r="L2720" s="4"/>
    </row>
    <row r="2721" spans="3:12">
      <c r="C2721" s="3"/>
      <c r="K2721" s="4"/>
      <c r="L2721" s="4"/>
    </row>
    <row r="2722" spans="3:12">
      <c r="C2722" s="3"/>
      <c r="K2722" s="4"/>
      <c r="L2722" s="4"/>
    </row>
    <row r="2723" spans="3:12">
      <c r="C2723" s="3"/>
      <c r="K2723" s="4"/>
      <c r="L2723" s="4"/>
    </row>
    <row r="2724" spans="3:12">
      <c r="C2724" s="3"/>
      <c r="K2724" s="4"/>
      <c r="L2724" s="4"/>
    </row>
    <row r="2725" spans="3:12">
      <c r="C2725" s="3"/>
      <c r="K2725" s="4"/>
      <c r="L2725" s="4"/>
    </row>
    <row r="2726" spans="3:12">
      <c r="C2726" s="3"/>
      <c r="K2726" s="4"/>
      <c r="L2726" s="4"/>
    </row>
    <row r="2727" spans="3:12">
      <c r="C2727" s="3"/>
      <c r="K2727" s="4"/>
      <c r="L2727" s="4"/>
    </row>
    <row r="2728" spans="3:12">
      <c r="C2728" s="3"/>
      <c r="K2728" s="4"/>
      <c r="L2728" s="4"/>
    </row>
    <row r="2729" spans="3:12">
      <c r="C2729" s="3"/>
      <c r="K2729" s="4"/>
      <c r="L2729" s="4"/>
    </row>
    <row r="2730" spans="3:12">
      <c r="C2730" s="3"/>
      <c r="K2730" s="4"/>
      <c r="L2730" s="4"/>
    </row>
    <row r="2731" spans="3:12">
      <c r="C2731" s="3"/>
      <c r="K2731" s="4"/>
      <c r="L2731" s="4"/>
    </row>
    <row r="2732" spans="3:12">
      <c r="C2732" s="3"/>
      <c r="K2732" s="4"/>
      <c r="L2732" s="4"/>
    </row>
    <row r="2733" spans="3:12">
      <c r="C2733" s="3"/>
      <c r="K2733" s="4"/>
      <c r="L2733" s="4"/>
    </row>
    <row r="2734" spans="3:12">
      <c r="C2734" s="3"/>
      <c r="K2734" s="4"/>
      <c r="L2734" s="4"/>
    </row>
    <row r="2735" spans="3:12">
      <c r="C2735" s="3"/>
      <c r="K2735" s="4"/>
      <c r="L2735" s="4"/>
    </row>
    <row r="2736" spans="3:12">
      <c r="C2736" s="3"/>
      <c r="K2736" s="4"/>
      <c r="L2736" s="4"/>
    </row>
    <row r="2737" spans="3:12">
      <c r="C2737" s="3"/>
      <c r="K2737" s="4"/>
      <c r="L2737" s="4"/>
    </row>
    <row r="2738" spans="3:12">
      <c r="C2738" s="3"/>
      <c r="K2738" s="4"/>
      <c r="L2738" s="4"/>
    </row>
    <row r="2739" spans="3:12">
      <c r="C2739" s="3"/>
      <c r="K2739" s="4"/>
      <c r="L2739" s="4"/>
    </row>
    <row r="2740" spans="3:12">
      <c r="C2740" s="3"/>
      <c r="K2740" s="4"/>
      <c r="L2740" s="4"/>
    </row>
    <row r="2741" spans="3:12">
      <c r="C2741" s="3"/>
      <c r="K2741" s="4"/>
      <c r="L2741" s="4"/>
    </row>
    <row r="2742" spans="3:12">
      <c r="C2742" s="3"/>
      <c r="K2742" s="4"/>
      <c r="L2742" s="4"/>
    </row>
    <row r="2743" spans="3:12">
      <c r="C2743" s="3"/>
      <c r="K2743" s="4"/>
      <c r="L2743" s="4"/>
    </row>
    <row r="2744" spans="3:12">
      <c r="C2744" s="3"/>
      <c r="K2744" s="4"/>
      <c r="L2744" s="4"/>
    </row>
    <row r="2745" spans="3:12">
      <c r="C2745" s="3"/>
      <c r="K2745" s="4"/>
      <c r="L2745" s="4"/>
    </row>
    <row r="2746" spans="3:12">
      <c r="C2746" s="3"/>
      <c r="K2746" s="4"/>
      <c r="L2746" s="4"/>
    </row>
    <row r="2747" spans="3:12">
      <c r="C2747" s="3"/>
      <c r="K2747" s="4"/>
      <c r="L2747" s="4"/>
    </row>
    <row r="2748" spans="3:12">
      <c r="C2748" s="3"/>
      <c r="K2748" s="4"/>
      <c r="L2748" s="4"/>
    </row>
    <row r="2749" spans="3:12">
      <c r="C2749" s="3"/>
      <c r="K2749" s="4"/>
      <c r="L2749" s="4"/>
    </row>
    <row r="2750" spans="3:12">
      <c r="C2750" s="3"/>
      <c r="K2750" s="4"/>
      <c r="L2750" s="4"/>
    </row>
    <row r="2751" spans="3:12">
      <c r="C2751" s="3"/>
      <c r="K2751" s="4"/>
      <c r="L2751" s="4"/>
    </row>
    <row r="2752" spans="3:12">
      <c r="C2752" s="3"/>
      <c r="K2752" s="4"/>
      <c r="L2752" s="4"/>
    </row>
    <row r="2753" spans="3:12">
      <c r="C2753" s="3"/>
      <c r="K2753" s="4"/>
      <c r="L2753" s="4"/>
    </row>
    <row r="2754" spans="3:12">
      <c r="C2754" s="3"/>
      <c r="K2754" s="4"/>
      <c r="L2754" s="4"/>
    </row>
    <row r="2755" spans="3:12">
      <c r="C2755" s="3"/>
      <c r="K2755" s="4"/>
      <c r="L2755" s="4"/>
    </row>
    <row r="2756" spans="3:12">
      <c r="C2756" s="3"/>
      <c r="K2756" s="4"/>
      <c r="L2756" s="4"/>
    </row>
    <row r="2757" spans="3:12">
      <c r="C2757" s="3"/>
      <c r="K2757" s="4"/>
      <c r="L2757" s="4"/>
    </row>
    <row r="2758" spans="3:12">
      <c r="C2758" s="3"/>
      <c r="K2758" s="4"/>
      <c r="L2758" s="4"/>
    </row>
    <row r="2759" spans="3:12">
      <c r="C2759" s="3"/>
      <c r="K2759" s="4"/>
      <c r="L2759" s="4"/>
    </row>
    <row r="2760" spans="3:12">
      <c r="C2760" s="3"/>
      <c r="K2760" s="4"/>
      <c r="L2760" s="4"/>
    </row>
    <row r="2761" spans="3:12">
      <c r="C2761" s="3"/>
      <c r="K2761" s="4"/>
      <c r="L2761" s="4"/>
    </row>
    <row r="2762" spans="3:12">
      <c r="C2762" s="3"/>
      <c r="K2762" s="4"/>
      <c r="L2762" s="4"/>
    </row>
    <row r="2763" spans="3:12">
      <c r="C2763" s="3"/>
      <c r="K2763" s="4"/>
      <c r="L2763" s="4"/>
    </row>
    <row r="2764" spans="3:12">
      <c r="C2764" s="3"/>
      <c r="K2764" s="4"/>
      <c r="L2764" s="4"/>
    </row>
    <row r="2765" spans="3:12">
      <c r="C2765" s="3"/>
      <c r="K2765" s="4"/>
      <c r="L2765" s="4"/>
    </row>
    <row r="2766" spans="3:12">
      <c r="C2766" s="3"/>
      <c r="K2766" s="4"/>
      <c r="L2766" s="4"/>
    </row>
    <row r="2767" spans="3:12">
      <c r="C2767" s="3"/>
      <c r="K2767" s="4"/>
      <c r="L2767" s="4"/>
    </row>
    <row r="2768" spans="3:12">
      <c r="C2768" s="3"/>
      <c r="K2768" s="4"/>
      <c r="L2768" s="4"/>
    </row>
    <row r="2769" spans="3:12">
      <c r="C2769" s="3"/>
      <c r="K2769" s="4"/>
      <c r="L2769" s="4"/>
    </row>
    <row r="2770" spans="3:12">
      <c r="C2770" s="3"/>
      <c r="K2770" s="4"/>
      <c r="L2770" s="4"/>
    </row>
    <row r="2771" spans="3:12">
      <c r="C2771" s="3"/>
      <c r="K2771" s="4"/>
      <c r="L2771" s="4"/>
    </row>
    <row r="2772" spans="3:12">
      <c r="C2772" s="3"/>
      <c r="K2772" s="4"/>
      <c r="L2772" s="4"/>
    </row>
    <row r="2773" spans="3:12">
      <c r="C2773" s="3"/>
      <c r="K2773" s="4"/>
      <c r="L2773" s="4"/>
    </row>
    <row r="2774" spans="3:12">
      <c r="C2774" s="3"/>
      <c r="K2774" s="4"/>
      <c r="L2774" s="4"/>
    </row>
    <row r="2775" spans="3:12">
      <c r="C2775" s="3"/>
      <c r="K2775" s="4"/>
      <c r="L2775" s="4"/>
    </row>
    <row r="2776" spans="3:12">
      <c r="C2776" s="3"/>
      <c r="K2776" s="4"/>
      <c r="L2776" s="4"/>
    </row>
    <row r="2777" spans="3:12">
      <c r="C2777" s="3"/>
      <c r="K2777" s="4"/>
      <c r="L2777" s="4"/>
    </row>
    <row r="2778" spans="3:12">
      <c r="C2778" s="3"/>
      <c r="K2778" s="4"/>
      <c r="L2778" s="4"/>
    </row>
    <row r="2779" spans="3:12">
      <c r="C2779" s="3"/>
      <c r="K2779" s="4"/>
      <c r="L2779" s="4"/>
    </row>
    <row r="2780" spans="3:12">
      <c r="C2780" s="3"/>
      <c r="K2780" s="4"/>
      <c r="L2780" s="4"/>
    </row>
    <row r="2781" spans="3:12">
      <c r="C2781" s="3"/>
      <c r="K2781" s="4"/>
      <c r="L2781" s="4"/>
    </row>
    <row r="2782" spans="3:12">
      <c r="C2782" s="3"/>
      <c r="K2782" s="4"/>
      <c r="L2782" s="4"/>
    </row>
    <row r="2783" spans="3:12">
      <c r="C2783" s="3"/>
      <c r="K2783" s="4"/>
      <c r="L2783" s="4"/>
    </row>
    <row r="2784" spans="3:12">
      <c r="C2784" s="3"/>
      <c r="K2784" s="4"/>
      <c r="L2784" s="4"/>
    </row>
    <row r="2785" spans="3:12">
      <c r="C2785" s="3"/>
      <c r="K2785" s="4"/>
      <c r="L2785" s="4"/>
    </row>
    <row r="2786" spans="3:12">
      <c r="C2786" s="3"/>
      <c r="K2786" s="4"/>
      <c r="L2786" s="4"/>
    </row>
    <row r="2787" spans="3:12">
      <c r="C2787" s="3"/>
      <c r="K2787" s="4"/>
      <c r="L2787" s="4"/>
    </row>
    <row r="2788" spans="3:12">
      <c r="C2788" s="3"/>
      <c r="K2788" s="4"/>
      <c r="L2788" s="4"/>
    </row>
    <row r="2789" spans="3:12">
      <c r="C2789" s="3"/>
      <c r="K2789" s="4"/>
      <c r="L2789" s="4"/>
    </row>
    <row r="2790" spans="3:12">
      <c r="C2790" s="3"/>
      <c r="K2790" s="4"/>
      <c r="L2790" s="4"/>
    </row>
    <row r="2791" spans="3:12">
      <c r="C2791" s="3"/>
      <c r="K2791" s="4"/>
      <c r="L2791" s="4"/>
    </row>
    <row r="2792" spans="3:12">
      <c r="C2792" s="3"/>
      <c r="K2792" s="4"/>
      <c r="L2792" s="4"/>
    </row>
    <row r="2793" spans="3:12">
      <c r="C2793" s="3"/>
      <c r="K2793" s="4"/>
      <c r="L2793" s="4"/>
    </row>
    <row r="2794" spans="3:12">
      <c r="C2794" s="3"/>
      <c r="K2794" s="4"/>
      <c r="L2794" s="4"/>
    </row>
    <row r="2795" spans="3:12">
      <c r="C2795" s="3"/>
      <c r="K2795" s="4"/>
      <c r="L2795" s="4"/>
    </row>
    <row r="2796" spans="3:12">
      <c r="C2796" s="3"/>
      <c r="K2796" s="4"/>
      <c r="L2796" s="4"/>
    </row>
    <row r="2797" spans="3:12">
      <c r="C2797" s="3"/>
      <c r="K2797" s="4"/>
      <c r="L2797" s="4"/>
    </row>
    <row r="2798" spans="3:12">
      <c r="C2798" s="3"/>
      <c r="K2798" s="4"/>
      <c r="L2798" s="4"/>
    </row>
    <row r="2799" spans="3:12">
      <c r="C2799" s="3"/>
      <c r="K2799" s="4"/>
      <c r="L2799" s="4"/>
    </row>
    <row r="2800" spans="3:12">
      <c r="C2800" s="3"/>
      <c r="K2800" s="4"/>
      <c r="L2800" s="4"/>
    </row>
    <row r="2801" spans="3:12">
      <c r="C2801" s="3"/>
      <c r="K2801" s="4"/>
      <c r="L2801" s="4"/>
    </row>
    <row r="2802" spans="3:12">
      <c r="C2802" s="3"/>
      <c r="K2802" s="4"/>
      <c r="L2802" s="4"/>
    </row>
    <row r="2803" spans="3:12">
      <c r="C2803" s="3"/>
      <c r="K2803" s="4"/>
      <c r="L2803" s="4"/>
    </row>
    <row r="2804" spans="3:12">
      <c r="C2804" s="3"/>
      <c r="K2804" s="4"/>
      <c r="L2804" s="4"/>
    </row>
    <row r="2805" spans="3:12">
      <c r="C2805" s="3"/>
      <c r="K2805" s="4"/>
      <c r="L2805" s="4"/>
    </row>
    <row r="2806" spans="3:12">
      <c r="C2806" s="3"/>
      <c r="K2806" s="4"/>
      <c r="L2806" s="4"/>
    </row>
    <row r="2807" spans="3:12">
      <c r="C2807" s="3"/>
      <c r="K2807" s="4"/>
      <c r="L2807" s="4"/>
    </row>
    <row r="2808" spans="3:12">
      <c r="C2808" s="3"/>
      <c r="K2808" s="4"/>
      <c r="L2808" s="4"/>
    </row>
    <row r="2809" spans="3:12">
      <c r="C2809" s="3"/>
      <c r="K2809" s="4"/>
      <c r="L2809" s="4"/>
    </row>
    <row r="2810" spans="3:12">
      <c r="C2810" s="3"/>
      <c r="K2810" s="4"/>
      <c r="L2810" s="4"/>
    </row>
    <row r="2811" spans="3:12">
      <c r="C2811" s="3"/>
      <c r="K2811" s="4"/>
      <c r="L2811" s="4"/>
    </row>
    <row r="2812" spans="3:12">
      <c r="C2812" s="3"/>
      <c r="K2812" s="4"/>
      <c r="L2812" s="4"/>
    </row>
    <row r="2813" spans="3:12">
      <c r="C2813" s="3"/>
      <c r="K2813" s="4"/>
      <c r="L2813" s="4"/>
    </row>
    <row r="2814" spans="3:12">
      <c r="C2814" s="3"/>
      <c r="K2814" s="4"/>
      <c r="L2814" s="4"/>
    </row>
    <row r="2815" spans="3:12">
      <c r="C2815" s="3"/>
      <c r="K2815" s="4"/>
      <c r="L2815" s="4"/>
    </row>
    <row r="2816" spans="3:12">
      <c r="C2816" s="3"/>
      <c r="K2816" s="4"/>
      <c r="L2816" s="4"/>
    </row>
    <row r="2817" spans="3:12">
      <c r="C2817" s="3"/>
      <c r="K2817" s="4"/>
      <c r="L2817" s="4"/>
    </row>
    <row r="2818" spans="3:12">
      <c r="C2818" s="3"/>
      <c r="K2818" s="4"/>
      <c r="L2818" s="4"/>
    </row>
    <row r="2819" spans="3:12">
      <c r="C2819" s="3"/>
      <c r="K2819" s="4"/>
      <c r="L2819" s="4"/>
    </row>
    <row r="2820" spans="3:12">
      <c r="C2820" s="3"/>
      <c r="K2820" s="4"/>
      <c r="L2820" s="4"/>
    </row>
    <row r="2821" spans="3:12">
      <c r="C2821" s="3"/>
      <c r="K2821" s="4"/>
      <c r="L2821" s="4"/>
    </row>
    <row r="2822" spans="3:12">
      <c r="C2822" s="3"/>
      <c r="K2822" s="4"/>
      <c r="L2822" s="4"/>
    </row>
    <row r="2823" spans="3:12">
      <c r="C2823" s="3"/>
      <c r="K2823" s="4"/>
      <c r="L2823" s="4"/>
    </row>
    <row r="2824" spans="3:12">
      <c r="C2824" s="3"/>
      <c r="K2824" s="4"/>
      <c r="L2824" s="4"/>
    </row>
    <row r="2825" spans="3:12">
      <c r="C2825" s="3"/>
      <c r="K2825" s="4"/>
      <c r="L2825" s="4"/>
    </row>
    <row r="2826" spans="3:12">
      <c r="C2826" s="3"/>
      <c r="K2826" s="4"/>
      <c r="L2826" s="4"/>
    </row>
    <row r="2827" spans="3:12">
      <c r="C2827" s="3"/>
      <c r="K2827" s="4"/>
      <c r="L2827" s="4"/>
    </row>
    <row r="2828" spans="3:12">
      <c r="C2828" s="3"/>
      <c r="K2828" s="4"/>
      <c r="L2828" s="4"/>
    </row>
    <row r="2829" spans="3:12">
      <c r="C2829" s="3"/>
      <c r="K2829" s="4"/>
      <c r="L2829" s="4"/>
    </row>
    <row r="2830" spans="3:12">
      <c r="C2830" s="3"/>
      <c r="K2830" s="4"/>
      <c r="L2830" s="4"/>
    </row>
    <row r="2831" spans="3:12">
      <c r="C2831" s="3"/>
      <c r="K2831" s="4"/>
      <c r="L2831" s="4"/>
    </row>
    <row r="2832" spans="3:12">
      <c r="C2832" s="3"/>
      <c r="K2832" s="4"/>
      <c r="L2832" s="4"/>
    </row>
    <row r="2833" spans="3:12">
      <c r="C2833" s="3"/>
      <c r="K2833" s="4"/>
      <c r="L2833" s="4"/>
    </row>
    <row r="2834" spans="3:12">
      <c r="C2834" s="3"/>
      <c r="K2834" s="4"/>
      <c r="L2834" s="4"/>
    </row>
    <row r="2835" spans="3:12">
      <c r="C2835" s="3"/>
      <c r="K2835" s="4"/>
      <c r="L2835" s="4"/>
    </row>
    <row r="2836" spans="3:12">
      <c r="C2836" s="3"/>
      <c r="K2836" s="4"/>
      <c r="L2836" s="4"/>
    </row>
    <row r="2837" spans="3:12">
      <c r="C2837" s="3"/>
      <c r="K2837" s="4"/>
      <c r="L2837" s="4"/>
    </row>
    <row r="2838" spans="3:12">
      <c r="C2838" s="3"/>
      <c r="K2838" s="4"/>
      <c r="L2838" s="4"/>
    </row>
    <row r="2839" spans="3:12">
      <c r="C2839" s="3"/>
      <c r="K2839" s="4"/>
      <c r="L2839" s="4"/>
    </row>
    <row r="2840" spans="3:12">
      <c r="C2840" s="3"/>
      <c r="K2840" s="4"/>
      <c r="L2840" s="4"/>
    </row>
    <row r="2841" spans="3:12">
      <c r="C2841" s="3"/>
      <c r="K2841" s="4"/>
      <c r="L2841" s="4"/>
    </row>
    <row r="2842" spans="3:12">
      <c r="C2842" s="3"/>
      <c r="K2842" s="4"/>
      <c r="L2842" s="4"/>
    </row>
    <row r="2843" spans="3:12">
      <c r="C2843" s="3"/>
      <c r="K2843" s="4"/>
      <c r="L2843" s="4"/>
    </row>
    <row r="2844" spans="3:12">
      <c r="C2844" s="3"/>
      <c r="K2844" s="4"/>
      <c r="L2844" s="4"/>
    </row>
    <row r="2845" spans="3:12">
      <c r="C2845" s="3"/>
      <c r="K2845" s="4"/>
      <c r="L2845" s="4"/>
    </row>
    <row r="2846" spans="3:12">
      <c r="C2846" s="3"/>
      <c r="K2846" s="4"/>
      <c r="L2846" s="4"/>
    </row>
    <row r="2847" spans="3:12">
      <c r="C2847" s="3"/>
      <c r="K2847" s="4"/>
      <c r="L2847" s="4"/>
    </row>
    <row r="2848" spans="3:12">
      <c r="C2848" s="3"/>
      <c r="K2848" s="4"/>
      <c r="L2848" s="4"/>
    </row>
    <row r="2849" spans="3:12">
      <c r="C2849" s="3"/>
      <c r="K2849" s="4"/>
      <c r="L2849" s="4"/>
    </row>
    <row r="2850" spans="3:12">
      <c r="C2850" s="3"/>
      <c r="K2850" s="4"/>
      <c r="L2850" s="4"/>
    </row>
    <row r="2851" spans="3:12">
      <c r="C2851" s="3"/>
      <c r="K2851" s="4"/>
      <c r="L2851" s="4"/>
    </row>
    <row r="2852" spans="3:12">
      <c r="C2852" s="3"/>
      <c r="K2852" s="4"/>
      <c r="L2852" s="4"/>
    </row>
    <row r="2853" spans="3:12">
      <c r="C2853" s="3"/>
      <c r="K2853" s="4"/>
      <c r="L2853" s="4"/>
    </row>
    <row r="2854" spans="3:12">
      <c r="C2854" s="3"/>
      <c r="K2854" s="4"/>
      <c r="L2854" s="4"/>
    </row>
    <row r="2855" spans="3:12">
      <c r="C2855" s="3"/>
      <c r="K2855" s="4"/>
      <c r="L2855" s="4"/>
    </row>
    <row r="2856" spans="3:12">
      <c r="C2856" s="3"/>
      <c r="K2856" s="4"/>
      <c r="L2856" s="4"/>
    </row>
    <row r="2857" spans="3:12">
      <c r="C2857" s="3"/>
      <c r="K2857" s="4"/>
      <c r="L2857" s="4"/>
    </row>
    <row r="2858" spans="3:12">
      <c r="C2858" s="3"/>
      <c r="K2858" s="4"/>
      <c r="L2858" s="4"/>
    </row>
    <row r="2859" spans="3:12">
      <c r="C2859" s="3"/>
      <c r="K2859" s="4"/>
      <c r="L2859" s="4"/>
    </row>
    <row r="2860" spans="3:12">
      <c r="C2860" s="3"/>
      <c r="K2860" s="4"/>
      <c r="L2860" s="4"/>
    </row>
    <row r="2861" spans="3:12">
      <c r="C2861" s="3"/>
      <c r="K2861" s="4"/>
      <c r="L2861" s="4"/>
    </row>
    <row r="2862" spans="3:12">
      <c r="C2862" s="3"/>
      <c r="K2862" s="4"/>
      <c r="L2862" s="4"/>
    </row>
    <row r="2863" spans="3:12">
      <c r="C2863" s="3"/>
      <c r="K2863" s="4"/>
      <c r="L2863" s="4"/>
    </row>
    <row r="2864" spans="3:12">
      <c r="C2864" s="3"/>
      <c r="K2864" s="4"/>
      <c r="L2864" s="4"/>
    </row>
    <row r="2865" spans="3:12">
      <c r="C2865" s="3"/>
      <c r="K2865" s="4"/>
      <c r="L2865" s="4"/>
    </row>
    <row r="2866" spans="3:12">
      <c r="C2866" s="3"/>
      <c r="K2866" s="4"/>
      <c r="L2866" s="4"/>
    </row>
    <row r="2867" spans="3:12">
      <c r="C2867" s="3"/>
      <c r="K2867" s="4"/>
      <c r="L2867" s="4"/>
    </row>
    <row r="2868" spans="3:12">
      <c r="C2868" s="3"/>
      <c r="K2868" s="4"/>
      <c r="L2868" s="4"/>
    </row>
    <row r="2869" spans="3:12">
      <c r="C2869" s="3"/>
      <c r="K2869" s="4"/>
      <c r="L2869" s="4"/>
    </row>
    <row r="2870" spans="3:12">
      <c r="C2870" s="3"/>
      <c r="K2870" s="4"/>
      <c r="L2870" s="4"/>
    </row>
    <row r="2871" spans="3:12">
      <c r="C2871" s="3"/>
      <c r="K2871" s="4"/>
      <c r="L2871" s="4"/>
    </row>
    <row r="2872" spans="3:12">
      <c r="C2872" s="3"/>
      <c r="K2872" s="4"/>
      <c r="L2872" s="4"/>
    </row>
    <row r="2873" spans="3:12">
      <c r="C2873" s="3"/>
      <c r="K2873" s="4"/>
      <c r="L2873" s="4"/>
    </row>
    <row r="2874" spans="3:12">
      <c r="C2874" s="3"/>
      <c r="K2874" s="4"/>
      <c r="L2874" s="4"/>
    </row>
    <row r="2875" spans="3:12">
      <c r="C2875" s="3"/>
      <c r="K2875" s="4"/>
      <c r="L2875" s="4"/>
    </row>
    <row r="2876" spans="3:12">
      <c r="C2876" s="3"/>
      <c r="K2876" s="4"/>
      <c r="L2876" s="4"/>
    </row>
    <row r="2877" spans="3:12">
      <c r="C2877" s="3"/>
      <c r="K2877" s="4"/>
      <c r="L2877" s="4"/>
    </row>
    <row r="2878" spans="3:12">
      <c r="C2878" s="3"/>
      <c r="K2878" s="4"/>
      <c r="L2878" s="4"/>
    </row>
    <row r="2879" spans="3:12">
      <c r="C2879" s="3"/>
      <c r="K2879" s="4"/>
      <c r="L2879" s="4"/>
    </row>
    <row r="2880" spans="3:12">
      <c r="C2880" s="3"/>
      <c r="K2880" s="4"/>
      <c r="L2880" s="4"/>
    </row>
    <row r="2881" spans="3:12">
      <c r="C2881" s="3"/>
      <c r="K2881" s="4"/>
      <c r="L2881" s="4"/>
    </row>
    <row r="2882" spans="3:12">
      <c r="C2882" s="3"/>
      <c r="K2882" s="4"/>
      <c r="L2882" s="4"/>
    </row>
    <row r="2883" spans="3:12">
      <c r="C2883" s="3"/>
      <c r="K2883" s="4"/>
      <c r="L2883" s="4"/>
    </row>
    <row r="2884" spans="3:12">
      <c r="C2884" s="3"/>
      <c r="K2884" s="4"/>
      <c r="L2884" s="4"/>
    </row>
    <row r="2885" spans="3:12">
      <c r="C2885" s="3"/>
      <c r="K2885" s="4"/>
      <c r="L2885" s="4"/>
    </row>
    <row r="2886" spans="3:12">
      <c r="C2886" s="3"/>
      <c r="K2886" s="4"/>
      <c r="L2886" s="4"/>
    </row>
    <row r="2887" spans="3:12">
      <c r="C2887" s="3"/>
      <c r="K2887" s="4"/>
      <c r="L2887" s="4"/>
    </row>
    <row r="2888" spans="3:12">
      <c r="C2888" s="3"/>
      <c r="K2888" s="4"/>
      <c r="L2888" s="4"/>
    </row>
    <row r="2889" spans="3:12">
      <c r="C2889" s="3"/>
      <c r="K2889" s="4"/>
      <c r="L2889" s="4"/>
    </row>
    <row r="2890" spans="3:12">
      <c r="C2890" s="3"/>
      <c r="K2890" s="4"/>
      <c r="L2890" s="4"/>
    </row>
    <row r="2891" spans="3:12">
      <c r="C2891" s="3"/>
      <c r="K2891" s="4"/>
      <c r="L2891" s="4"/>
    </row>
    <row r="2892" spans="3:12">
      <c r="C2892" s="3"/>
      <c r="K2892" s="4"/>
      <c r="L2892" s="4"/>
    </row>
    <row r="2893" spans="3:12">
      <c r="C2893" s="3"/>
      <c r="K2893" s="4"/>
      <c r="L2893" s="4"/>
    </row>
    <row r="2894" spans="3:12">
      <c r="C2894" s="3"/>
      <c r="K2894" s="4"/>
      <c r="L2894" s="4"/>
    </row>
    <row r="2895" spans="3:12">
      <c r="C2895" s="3"/>
      <c r="K2895" s="4"/>
      <c r="L2895" s="4"/>
    </row>
    <row r="2896" spans="3:12">
      <c r="C2896" s="3"/>
      <c r="K2896" s="4"/>
      <c r="L2896" s="4"/>
    </row>
    <row r="2897" spans="3:12">
      <c r="C2897" s="3"/>
      <c r="K2897" s="4"/>
      <c r="L2897" s="4"/>
    </row>
    <row r="2898" spans="3:12">
      <c r="C2898" s="3"/>
      <c r="K2898" s="4"/>
      <c r="L2898" s="4"/>
    </row>
    <row r="2899" spans="3:12">
      <c r="C2899" s="3"/>
      <c r="K2899" s="4"/>
      <c r="L2899" s="4"/>
    </row>
    <row r="2900" spans="3:12">
      <c r="C2900" s="3"/>
      <c r="K2900" s="4"/>
      <c r="L2900" s="4"/>
    </row>
    <row r="2901" spans="3:12">
      <c r="C2901" s="3"/>
      <c r="K2901" s="4"/>
      <c r="L2901" s="4"/>
    </row>
    <row r="2902" spans="3:12">
      <c r="C2902" s="3"/>
      <c r="K2902" s="4"/>
      <c r="L2902" s="4"/>
    </row>
    <row r="2903" spans="3:12">
      <c r="C2903" s="3"/>
      <c r="K2903" s="4"/>
      <c r="L2903" s="4"/>
    </row>
    <row r="2904" spans="3:12">
      <c r="C2904" s="3"/>
      <c r="K2904" s="4"/>
      <c r="L2904" s="4"/>
    </row>
    <row r="2905" spans="3:12">
      <c r="C2905" s="3"/>
      <c r="K2905" s="4"/>
      <c r="L2905" s="4"/>
    </row>
    <row r="2906" spans="3:12">
      <c r="C2906" s="3"/>
      <c r="K2906" s="4"/>
      <c r="L2906" s="4"/>
    </row>
    <row r="2907" spans="3:12">
      <c r="C2907" s="3"/>
      <c r="K2907" s="4"/>
      <c r="L2907" s="4"/>
    </row>
    <row r="2908" spans="3:12">
      <c r="C2908" s="3"/>
      <c r="K2908" s="4"/>
      <c r="L2908" s="4"/>
    </row>
    <row r="2909" spans="3:12">
      <c r="C2909" s="3"/>
      <c r="K2909" s="4"/>
      <c r="L2909" s="4"/>
    </row>
    <row r="2910" spans="3:12">
      <c r="C2910" s="3"/>
      <c r="K2910" s="4"/>
      <c r="L2910" s="4"/>
    </row>
    <row r="2911" spans="3:12">
      <c r="C2911" s="3"/>
      <c r="K2911" s="4"/>
      <c r="L2911" s="4"/>
    </row>
    <row r="2912" spans="3:12">
      <c r="C2912" s="3"/>
      <c r="K2912" s="4"/>
      <c r="L2912" s="4"/>
    </row>
    <row r="2913" spans="3:12">
      <c r="C2913" s="3"/>
      <c r="K2913" s="4"/>
      <c r="L2913" s="4"/>
    </row>
    <row r="2914" spans="3:12">
      <c r="C2914" s="3"/>
      <c r="K2914" s="4"/>
      <c r="L2914" s="4"/>
    </row>
    <row r="2915" spans="3:12">
      <c r="C2915" s="3"/>
      <c r="K2915" s="4"/>
      <c r="L2915" s="4"/>
    </row>
    <row r="2916" spans="3:12">
      <c r="C2916" s="3"/>
      <c r="K2916" s="4"/>
      <c r="L2916" s="4"/>
    </row>
    <row r="2917" spans="3:12">
      <c r="C2917" s="3"/>
      <c r="K2917" s="4"/>
      <c r="L2917" s="4"/>
    </row>
    <row r="2918" spans="3:12">
      <c r="C2918" s="3"/>
      <c r="K2918" s="4"/>
      <c r="L2918" s="4"/>
    </row>
    <row r="2919" spans="3:12">
      <c r="C2919" s="3"/>
      <c r="K2919" s="4"/>
      <c r="L2919" s="4"/>
    </row>
    <row r="2920" spans="3:12">
      <c r="C2920" s="3"/>
      <c r="K2920" s="4"/>
      <c r="L2920" s="4"/>
    </row>
    <row r="2921" spans="3:12">
      <c r="C2921" s="3"/>
      <c r="K2921" s="4"/>
      <c r="L2921" s="4"/>
    </row>
    <row r="2922" spans="3:12">
      <c r="C2922" s="3"/>
      <c r="K2922" s="4"/>
      <c r="L2922" s="4"/>
    </row>
    <row r="2923" spans="3:12">
      <c r="C2923" s="3"/>
      <c r="K2923" s="4"/>
      <c r="L2923" s="4"/>
    </row>
    <row r="2924" spans="3:12">
      <c r="C2924" s="3"/>
      <c r="K2924" s="4"/>
      <c r="L2924" s="4"/>
    </row>
    <row r="2925" spans="3:12">
      <c r="C2925" s="3"/>
      <c r="K2925" s="4"/>
      <c r="L2925" s="4"/>
    </row>
    <row r="2926" spans="3:12">
      <c r="C2926" s="3"/>
      <c r="K2926" s="4"/>
      <c r="L2926" s="4"/>
    </row>
    <row r="2927" spans="3:12">
      <c r="C2927" s="3"/>
      <c r="K2927" s="4"/>
      <c r="L2927" s="4"/>
    </row>
    <row r="2928" spans="3:12">
      <c r="C2928" s="3"/>
      <c r="K2928" s="4"/>
      <c r="L2928" s="4"/>
    </row>
    <row r="2929" spans="3:12">
      <c r="C2929" s="3"/>
      <c r="K2929" s="4"/>
      <c r="L2929" s="4"/>
    </row>
    <row r="2930" spans="3:12">
      <c r="C2930" s="3"/>
      <c r="K2930" s="4"/>
      <c r="L2930" s="4"/>
    </row>
    <row r="2931" spans="3:12">
      <c r="C2931" s="3"/>
      <c r="K2931" s="4"/>
      <c r="L2931" s="4"/>
    </row>
    <row r="2932" spans="3:12">
      <c r="C2932" s="3"/>
      <c r="K2932" s="4"/>
      <c r="L2932" s="4"/>
    </row>
    <row r="2933" spans="3:12">
      <c r="C2933" s="3"/>
      <c r="K2933" s="4"/>
      <c r="L2933" s="4"/>
    </row>
    <row r="2934" spans="3:12">
      <c r="C2934" s="3"/>
      <c r="K2934" s="4"/>
      <c r="L2934" s="4"/>
    </row>
    <row r="2935" spans="3:12">
      <c r="C2935" s="3"/>
      <c r="K2935" s="4"/>
      <c r="L2935" s="4"/>
    </row>
    <row r="2936" spans="3:12">
      <c r="C2936" s="3"/>
      <c r="K2936" s="4"/>
      <c r="L2936" s="4"/>
    </row>
    <row r="2937" spans="3:12">
      <c r="C2937" s="3"/>
      <c r="K2937" s="4"/>
      <c r="L2937" s="4"/>
    </row>
    <row r="2938" spans="3:12">
      <c r="C2938" s="3"/>
      <c r="K2938" s="4"/>
      <c r="L2938" s="4"/>
    </row>
    <row r="2939" spans="3:12">
      <c r="C2939" s="3"/>
      <c r="K2939" s="4"/>
      <c r="L2939" s="4"/>
    </row>
    <row r="2940" spans="3:12">
      <c r="C2940" s="3"/>
      <c r="K2940" s="4"/>
      <c r="L2940" s="4"/>
    </row>
    <row r="2941" spans="3:12">
      <c r="C2941" s="3"/>
      <c r="K2941" s="4"/>
      <c r="L2941" s="4"/>
    </row>
    <row r="2942" spans="3:12">
      <c r="C2942" s="3"/>
      <c r="K2942" s="4"/>
      <c r="L2942" s="4"/>
    </row>
    <row r="2943" spans="3:12">
      <c r="C2943" s="3"/>
      <c r="K2943" s="4"/>
      <c r="L2943" s="4"/>
    </row>
    <row r="2944" spans="3:12">
      <c r="C2944" s="3"/>
      <c r="K2944" s="4"/>
      <c r="L2944" s="4"/>
    </row>
    <row r="2945" spans="3:12">
      <c r="C2945" s="3"/>
      <c r="K2945" s="4"/>
      <c r="L2945" s="4"/>
    </row>
    <row r="2946" spans="3:12">
      <c r="C2946" s="3"/>
      <c r="K2946" s="4"/>
      <c r="L2946" s="4"/>
    </row>
    <row r="2947" spans="3:12">
      <c r="C2947" s="3"/>
      <c r="K2947" s="4"/>
      <c r="L2947" s="4"/>
    </row>
    <row r="2948" spans="3:12">
      <c r="C2948" s="3"/>
      <c r="K2948" s="4"/>
      <c r="L2948" s="4"/>
    </row>
    <row r="2949" spans="3:12">
      <c r="C2949" s="3"/>
      <c r="K2949" s="4"/>
      <c r="L2949" s="4"/>
    </row>
    <row r="2950" spans="3:12">
      <c r="C2950" s="3"/>
      <c r="K2950" s="4"/>
      <c r="L2950" s="4"/>
    </row>
    <row r="2951" spans="3:12">
      <c r="C2951" s="3"/>
      <c r="K2951" s="4"/>
      <c r="L2951" s="4"/>
    </row>
    <row r="2952" spans="3:12">
      <c r="C2952" s="3"/>
      <c r="K2952" s="4"/>
      <c r="L2952" s="4"/>
    </row>
    <row r="2953" spans="3:12">
      <c r="C2953" s="3"/>
      <c r="K2953" s="4"/>
      <c r="L2953" s="4"/>
    </row>
    <row r="2954" spans="3:12">
      <c r="C2954" s="3"/>
      <c r="K2954" s="4"/>
      <c r="L2954" s="4"/>
    </row>
    <row r="2955" spans="3:12">
      <c r="C2955" s="3"/>
      <c r="K2955" s="4"/>
      <c r="L2955" s="4"/>
    </row>
    <row r="2956" spans="3:12">
      <c r="C2956" s="3"/>
      <c r="K2956" s="4"/>
      <c r="L2956" s="4"/>
    </row>
    <row r="2957" spans="3:12">
      <c r="C2957" s="3"/>
      <c r="K2957" s="4"/>
      <c r="L2957" s="4"/>
    </row>
    <row r="2958" spans="3:12">
      <c r="C2958" s="3"/>
      <c r="K2958" s="4"/>
      <c r="L2958" s="4"/>
    </row>
    <row r="2959" spans="3:12">
      <c r="C2959" s="3"/>
      <c r="K2959" s="4"/>
      <c r="L2959" s="4"/>
    </row>
    <row r="2960" spans="3:12">
      <c r="C2960" s="3"/>
      <c r="K2960" s="4"/>
      <c r="L2960" s="4"/>
    </row>
    <row r="2961" spans="3:12">
      <c r="C2961" s="3"/>
      <c r="K2961" s="4"/>
      <c r="L2961" s="4"/>
    </row>
    <row r="2962" spans="3:12">
      <c r="C2962" s="3"/>
      <c r="K2962" s="4"/>
      <c r="L2962" s="4"/>
    </row>
    <row r="2963" spans="3:12">
      <c r="C2963" s="3"/>
      <c r="K2963" s="4"/>
      <c r="L2963" s="4"/>
    </row>
    <row r="2964" spans="3:12">
      <c r="C2964" s="3"/>
      <c r="K2964" s="4"/>
      <c r="L2964" s="4"/>
    </row>
    <row r="2965" spans="3:12">
      <c r="C2965" s="3"/>
      <c r="K2965" s="4"/>
      <c r="L2965" s="4"/>
    </row>
    <row r="2966" spans="3:12">
      <c r="C2966" s="3"/>
      <c r="K2966" s="4"/>
      <c r="L2966" s="4"/>
    </row>
    <row r="2967" spans="3:12">
      <c r="C2967" s="3"/>
      <c r="K2967" s="4"/>
      <c r="L2967" s="4"/>
    </row>
    <row r="2968" spans="3:12">
      <c r="C2968" s="3"/>
      <c r="K2968" s="4"/>
      <c r="L2968" s="4"/>
    </row>
    <row r="2969" spans="3:12">
      <c r="C2969" s="3"/>
      <c r="K2969" s="4"/>
      <c r="L2969" s="4"/>
    </row>
    <row r="2970" spans="3:12">
      <c r="C2970" s="3"/>
      <c r="K2970" s="4"/>
      <c r="L2970" s="4"/>
    </row>
    <row r="2971" spans="3:12">
      <c r="C2971" s="3"/>
      <c r="K2971" s="4"/>
      <c r="L2971" s="4"/>
    </row>
    <row r="2972" spans="3:12">
      <c r="C2972" s="3"/>
      <c r="K2972" s="4"/>
      <c r="L2972" s="4"/>
    </row>
    <row r="2973" spans="3:12">
      <c r="C2973" s="3"/>
      <c r="K2973" s="4"/>
      <c r="L2973" s="4"/>
    </row>
    <row r="2974" spans="3:12">
      <c r="C2974" s="3"/>
      <c r="K2974" s="4"/>
      <c r="L2974" s="4"/>
    </row>
    <row r="2975" spans="3:12">
      <c r="C2975" s="3"/>
      <c r="K2975" s="4"/>
      <c r="L2975" s="4"/>
    </row>
    <row r="2976" spans="3:12">
      <c r="C2976" s="3"/>
      <c r="K2976" s="4"/>
      <c r="L2976" s="4"/>
    </row>
    <row r="2977" spans="3:12">
      <c r="C2977" s="3"/>
      <c r="K2977" s="4"/>
      <c r="L2977" s="4"/>
    </row>
    <row r="2978" spans="3:12">
      <c r="C2978" s="3"/>
      <c r="K2978" s="4"/>
      <c r="L2978" s="4"/>
    </row>
    <row r="2979" spans="3:12">
      <c r="C2979" s="3"/>
      <c r="K2979" s="4"/>
      <c r="L2979" s="4"/>
    </row>
    <row r="2980" spans="3:12">
      <c r="C2980" s="3"/>
      <c r="K2980" s="4"/>
      <c r="L2980" s="4"/>
    </row>
    <row r="2981" spans="3:12">
      <c r="C2981" s="3"/>
      <c r="K2981" s="4"/>
      <c r="L2981" s="4"/>
    </row>
    <row r="2982" spans="3:12">
      <c r="C2982" s="3"/>
      <c r="K2982" s="4"/>
      <c r="L2982" s="4"/>
    </row>
    <row r="2983" spans="3:12">
      <c r="C2983" s="3"/>
      <c r="K2983" s="4"/>
      <c r="L2983" s="4"/>
    </row>
    <row r="2984" spans="3:12">
      <c r="C2984" s="3"/>
      <c r="K2984" s="4"/>
      <c r="L2984" s="4"/>
    </row>
    <row r="2985" spans="3:12">
      <c r="C2985" s="3"/>
      <c r="K2985" s="4"/>
      <c r="L2985" s="4"/>
    </row>
    <row r="2986" spans="3:12">
      <c r="C2986" s="3"/>
      <c r="K2986" s="4"/>
      <c r="L2986" s="4"/>
    </row>
    <row r="2987" spans="3:12">
      <c r="C2987" s="3"/>
      <c r="K2987" s="4"/>
      <c r="L2987" s="4"/>
    </row>
    <row r="2988" spans="3:12">
      <c r="C2988" s="3"/>
      <c r="K2988" s="4"/>
      <c r="L2988" s="4"/>
    </row>
    <row r="2989" spans="3:12">
      <c r="C2989" s="3"/>
      <c r="K2989" s="4"/>
      <c r="L2989" s="4"/>
    </row>
    <row r="2990" spans="3:12">
      <c r="C2990" s="3"/>
      <c r="K2990" s="4"/>
      <c r="L2990" s="4"/>
    </row>
    <row r="2991" spans="3:12">
      <c r="C2991" s="3"/>
      <c r="K2991" s="4"/>
      <c r="L2991" s="4"/>
    </row>
    <row r="2992" spans="3:12">
      <c r="C2992" s="3"/>
      <c r="K2992" s="4"/>
      <c r="L2992" s="4"/>
    </row>
    <row r="2993" spans="3:12">
      <c r="C2993" s="3"/>
      <c r="K2993" s="4"/>
      <c r="L2993" s="4"/>
    </row>
    <row r="2994" spans="3:12">
      <c r="C2994" s="3"/>
      <c r="K2994" s="4"/>
      <c r="L2994" s="4"/>
    </row>
    <row r="2995" spans="3:12">
      <c r="C2995" s="3"/>
      <c r="K2995" s="4"/>
      <c r="L2995" s="4"/>
    </row>
    <row r="2996" spans="3:12">
      <c r="C2996" s="3"/>
      <c r="K2996" s="4"/>
      <c r="L2996" s="4"/>
    </row>
    <row r="2997" spans="3:12">
      <c r="C2997" s="3"/>
      <c r="K2997" s="4"/>
      <c r="L2997" s="4"/>
    </row>
    <row r="2998" spans="3:12">
      <c r="C2998" s="3"/>
      <c r="K2998" s="4"/>
      <c r="L2998" s="4"/>
    </row>
    <row r="2999" spans="3:12">
      <c r="C2999" s="3"/>
      <c r="K2999" s="4"/>
      <c r="L2999" s="4"/>
    </row>
    <row r="3000" spans="3:12">
      <c r="C3000" s="3"/>
      <c r="K3000" s="4"/>
      <c r="L3000" s="4"/>
    </row>
    <row r="3001" spans="3:12">
      <c r="C3001" s="3"/>
      <c r="K3001" s="4"/>
      <c r="L3001" s="4"/>
    </row>
    <row r="3002" spans="3:12">
      <c r="C3002" s="3"/>
      <c r="K3002" s="4"/>
      <c r="L3002" s="4"/>
    </row>
    <row r="3003" spans="3:12">
      <c r="C3003" s="3"/>
      <c r="K3003" s="4"/>
      <c r="L3003" s="4"/>
    </row>
    <row r="3004" spans="3:12">
      <c r="C3004" s="3"/>
      <c r="K3004" s="4"/>
      <c r="L3004" s="4"/>
    </row>
    <row r="3005" spans="3:12">
      <c r="C3005" s="3"/>
      <c r="K3005" s="4"/>
      <c r="L3005" s="4"/>
    </row>
    <row r="3006" spans="3:12">
      <c r="C3006" s="3"/>
      <c r="K3006" s="4"/>
      <c r="L3006" s="4"/>
    </row>
    <row r="3007" spans="3:12">
      <c r="C3007" s="3"/>
      <c r="K3007" s="4"/>
      <c r="L3007" s="4"/>
    </row>
    <row r="3008" spans="3:12">
      <c r="C3008" s="3"/>
      <c r="K3008" s="4"/>
      <c r="L3008" s="4"/>
    </row>
    <row r="3009" spans="3:12">
      <c r="C3009" s="3"/>
      <c r="K3009" s="4"/>
      <c r="L3009" s="4"/>
    </row>
    <row r="3010" spans="3:12">
      <c r="C3010" s="3"/>
      <c r="K3010" s="4"/>
      <c r="L3010" s="4"/>
    </row>
    <row r="3011" spans="3:12">
      <c r="C3011" s="3"/>
      <c r="K3011" s="4"/>
      <c r="L3011" s="4"/>
    </row>
    <row r="3012" spans="3:12">
      <c r="C3012" s="3"/>
      <c r="K3012" s="4"/>
      <c r="L3012" s="4"/>
    </row>
    <row r="3013" spans="3:12">
      <c r="C3013" s="3"/>
      <c r="K3013" s="4"/>
      <c r="L3013" s="4"/>
    </row>
    <row r="3014" spans="3:12">
      <c r="C3014" s="3"/>
      <c r="K3014" s="4"/>
      <c r="L3014" s="4"/>
    </row>
    <row r="3015" spans="3:12">
      <c r="C3015" s="3"/>
      <c r="K3015" s="4"/>
      <c r="L3015" s="4"/>
    </row>
    <row r="3016" spans="3:12">
      <c r="C3016" s="3"/>
      <c r="K3016" s="4"/>
      <c r="L3016" s="4"/>
    </row>
    <row r="3017" spans="3:12">
      <c r="C3017" s="3"/>
      <c r="K3017" s="4"/>
      <c r="L3017" s="4"/>
    </row>
    <row r="3018" spans="3:12">
      <c r="C3018" s="3"/>
      <c r="K3018" s="4"/>
      <c r="L3018" s="4"/>
    </row>
    <row r="3019" spans="3:12">
      <c r="C3019" s="3"/>
      <c r="K3019" s="4"/>
      <c r="L3019" s="4"/>
    </row>
    <row r="3020" spans="3:12">
      <c r="C3020" s="3"/>
      <c r="K3020" s="4"/>
      <c r="L3020" s="4"/>
    </row>
    <row r="3021" spans="3:12">
      <c r="C3021" s="3"/>
      <c r="K3021" s="4"/>
      <c r="L3021" s="4"/>
    </row>
    <row r="3022" spans="3:12">
      <c r="C3022" s="3"/>
      <c r="K3022" s="4"/>
      <c r="L3022" s="4"/>
    </row>
    <row r="3023" spans="3:12">
      <c r="C3023" s="3"/>
      <c r="K3023" s="4"/>
      <c r="L3023" s="4"/>
    </row>
    <row r="3024" spans="3:12">
      <c r="C3024" s="3"/>
      <c r="K3024" s="4"/>
      <c r="L3024" s="4"/>
    </row>
    <row r="3025" spans="3:12">
      <c r="C3025" s="3"/>
      <c r="K3025" s="4"/>
      <c r="L3025" s="4"/>
    </row>
    <row r="3026" spans="3:12">
      <c r="C3026" s="3"/>
      <c r="K3026" s="4"/>
      <c r="L3026" s="4"/>
    </row>
    <row r="3027" spans="3:12">
      <c r="C3027" s="3"/>
      <c r="K3027" s="4"/>
      <c r="L3027" s="4"/>
    </row>
    <row r="3028" spans="3:12">
      <c r="C3028" s="3"/>
      <c r="K3028" s="4"/>
      <c r="L3028" s="4"/>
    </row>
    <row r="3029" spans="3:12">
      <c r="C3029" s="3"/>
      <c r="K3029" s="4"/>
      <c r="L3029" s="4"/>
    </row>
    <row r="3030" spans="3:12">
      <c r="C3030" s="3"/>
      <c r="K3030" s="4"/>
      <c r="L3030" s="4"/>
    </row>
    <row r="3031" spans="3:12">
      <c r="C3031" s="3"/>
      <c r="K3031" s="4"/>
      <c r="L3031" s="4"/>
    </row>
    <row r="3032" spans="3:12">
      <c r="C3032" s="3"/>
      <c r="K3032" s="4"/>
      <c r="L3032" s="4"/>
    </row>
    <row r="3033" spans="3:12">
      <c r="C3033" s="3"/>
      <c r="K3033" s="4"/>
      <c r="L3033" s="4"/>
    </row>
    <row r="3034" spans="3:12">
      <c r="C3034" s="3"/>
      <c r="K3034" s="4"/>
      <c r="L3034" s="4"/>
    </row>
    <row r="3035" spans="3:12">
      <c r="C3035" s="3"/>
      <c r="K3035" s="4"/>
      <c r="L3035" s="4"/>
    </row>
    <row r="3036" spans="3:12">
      <c r="C3036" s="3"/>
      <c r="K3036" s="4"/>
      <c r="L3036" s="4"/>
    </row>
    <row r="3037" spans="3:12">
      <c r="C3037" s="3"/>
      <c r="K3037" s="4"/>
      <c r="L3037" s="4"/>
    </row>
    <row r="3038" spans="3:12">
      <c r="C3038" s="3"/>
      <c r="K3038" s="4"/>
      <c r="L3038" s="4"/>
    </row>
    <row r="3039" spans="3:12">
      <c r="C3039" s="3"/>
      <c r="K3039" s="4"/>
      <c r="L3039" s="4"/>
    </row>
    <row r="3040" spans="3:12">
      <c r="C3040" s="3"/>
      <c r="K3040" s="4"/>
      <c r="L3040" s="4"/>
    </row>
    <row r="3041" spans="3:12">
      <c r="C3041" s="3"/>
      <c r="K3041" s="4"/>
      <c r="L3041" s="4"/>
    </row>
    <row r="3042" spans="3:12">
      <c r="C3042" s="3"/>
      <c r="K3042" s="4"/>
      <c r="L3042" s="4"/>
    </row>
    <row r="3043" spans="3:12">
      <c r="C3043" s="3"/>
      <c r="K3043" s="4"/>
      <c r="L3043" s="4"/>
    </row>
    <row r="3044" spans="3:12">
      <c r="C3044" s="3"/>
      <c r="K3044" s="4"/>
      <c r="L3044" s="4"/>
    </row>
    <row r="3045" spans="3:12">
      <c r="C3045" s="3"/>
      <c r="K3045" s="4"/>
      <c r="L3045" s="4"/>
    </row>
    <row r="3046" spans="3:12">
      <c r="C3046" s="3"/>
      <c r="K3046" s="4"/>
      <c r="L3046" s="4"/>
    </row>
    <row r="3047" spans="3:12">
      <c r="C3047" s="3"/>
      <c r="K3047" s="4"/>
      <c r="L3047" s="4"/>
    </row>
    <row r="3048" spans="3:12">
      <c r="C3048" s="3"/>
      <c r="K3048" s="4"/>
      <c r="L3048" s="4"/>
    </row>
    <row r="3049" spans="3:12">
      <c r="C3049" s="3"/>
      <c r="K3049" s="4"/>
      <c r="L3049" s="4"/>
    </row>
    <row r="3050" spans="3:12">
      <c r="C3050" s="3"/>
      <c r="K3050" s="4"/>
      <c r="L3050" s="4"/>
    </row>
    <row r="3051" spans="3:12">
      <c r="C3051" s="3"/>
      <c r="K3051" s="4"/>
      <c r="L3051" s="4"/>
    </row>
    <row r="3052" spans="3:12">
      <c r="C3052" s="3"/>
      <c r="K3052" s="4"/>
      <c r="L3052" s="4"/>
    </row>
    <row r="3053" spans="3:12">
      <c r="C3053" s="3"/>
      <c r="K3053" s="4"/>
      <c r="L3053" s="4"/>
    </row>
    <row r="3054" spans="3:12">
      <c r="C3054" s="3"/>
      <c r="K3054" s="4"/>
      <c r="L3054" s="4"/>
    </row>
    <row r="3055" spans="3:12">
      <c r="C3055" s="3"/>
      <c r="K3055" s="4"/>
      <c r="L3055" s="4"/>
    </row>
    <row r="3056" spans="3:12">
      <c r="C3056" s="3"/>
      <c r="K3056" s="4"/>
      <c r="L3056" s="4"/>
    </row>
    <row r="3057" spans="3:12">
      <c r="C3057" s="3"/>
      <c r="K3057" s="4"/>
      <c r="L3057" s="4"/>
    </row>
    <row r="3058" spans="3:12">
      <c r="C3058" s="3"/>
      <c r="K3058" s="4"/>
      <c r="L3058" s="4"/>
    </row>
    <row r="3059" spans="3:12">
      <c r="C3059" s="3"/>
      <c r="K3059" s="4"/>
      <c r="L3059" s="4"/>
    </row>
    <row r="3060" spans="3:12">
      <c r="C3060" s="3"/>
      <c r="K3060" s="4"/>
      <c r="L3060" s="4"/>
    </row>
    <row r="3061" spans="3:12">
      <c r="C3061" s="3"/>
      <c r="K3061" s="4"/>
      <c r="L3061" s="4"/>
    </row>
    <row r="3062" spans="3:12">
      <c r="C3062" s="3"/>
      <c r="K3062" s="4"/>
      <c r="L3062" s="4"/>
    </row>
    <row r="3063" spans="3:12">
      <c r="C3063" s="3"/>
      <c r="K3063" s="4"/>
      <c r="L3063" s="4"/>
    </row>
    <row r="3064" spans="3:12">
      <c r="C3064" s="3"/>
      <c r="K3064" s="4"/>
      <c r="L3064" s="4"/>
    </row>
    <row r="3065" spans="3:12">
      <c r="C3065" s="3"/>
      <c r="K3065" s="4"/>
      <c r="L3065" s="4"/>
    </row>
    <row r="3066" spans="3:12">
      <c r="C3066" s="3"/>
      <c r="K3066" s="4"/>
      <c r="L3066" s="4"/>
    </row>
    <row r="3067" spans="3:12">
      <c r="C3067" s="3"/>
      <c r="K3067" s="4"/>
      <c r="L3067" s="4"/>
    </row>
    <row r="3068" spans="3:12">
      <c r="C3068" s="3"/>
      <c r="K3068" s="4"/>
      <c r="L3068" s="4"/>
    </row>
    <row r="3069" spans="3:12">
      <c r="C3069" s="3"/>
      <c r="K3069" s="4"/>
      <c r="L3069" s="4"/>
    </row>
    <row r="3070" spans="3:12">
      <c r="C3070" s="3"/>
      <c r="K3070" s="4"/>
      <c r="L3070" s="4"/>
    </row>
    <row r="3071" spans="3:12">
      <c r="C3071" s="3"/>
      <c r="K3071" s="4"/>
      <c r="L3071" s="4"/>
    </row>
    <row r="3072" spans="3:12">
      <c r="C3072" s="3"/>
      <c r="K3072" s="4"/>
      <c r="L3072" s="4"/>
    </row>
    <row r="3073" spans="3:12">
      <c r="C3073" s="3"/>
      <c r="K3073" s="4"/>
      <c r="L3073" s="4"/>
    </row>
    <row r="3074" spans="3:12">
      <c r="C3074" s="3"/>
      <c r="K3074" s="4"/>
      <c r="L3074" s="4"/>
    </row>
    <row r="3075" spans="3:12">
      <c r="C3075" s="3"/>
      <c r="K3075" s="4"/>
      <c r="L3075" s="4"/>
    </row>
    <row r="3076" spans="3:12">
      <c r="C3076" s="3"/>
      <c r="K3076" s="4"/>
      <c r="L3076" s="4"/>
    </row>
    <row r="3077" spans="3:12">
      <c r="C3077" s="3"/>
      <c r="K3077" s="4"/>
      <c r="L3077" s="4"/>
    </row>
    <row r="3078" spans="3:12">
      <c r="C3078" s="3"/>
      <c r="K3078" s="4"/>
      <c r="L3078" s="4"/>
    </row>
    <row r="3079" spans="3:12">
      <c r="C3079" s="3"/>
      <c r="K3079" s="4"/>
      <c r="L3079" s="4"/>
    </row>
    <row r="3080" spans="3:12">
      <c r="C3080" s="3"/>
      <c r="K3080" s="4"/>
      <c r="L3080" s="4"/>
    </row>
    <row r="3081" spans="3:12">
      <c r="C3081" s="3"/>
      <c r="K3081" s="4"/>
      <c r="L3081" s="4"/>
    </row>
    <row r="3082" spans="3:12">
      <c r="C3082" s="3"/>
      <c r="K3082" s="4"/>
      <c r="L3082" s="4"/>
    </row>
    <row r="3083" spans="3:12">
      <c r="C3083" s="3"/>
      <c r="K3083" s="4"/>
      <c r="L3083" s="4"/>
    </row>
    <row r="3084" spans="3:12">
      <c r="C3084" s="3"/>
      <c r="K3084" s="4"/>
      <c r="L3084" s="4"/>
    </row>
    <row r="3085" spans="3:12">
      <c r="C3085" s="3"/>
      <c r="K3085" s="4"/>
      <c r="L3085" s="4"/>
    </row>
    <row r="3086" spans="3:12">
      <c r="C3086" s="3"/>
      <c r="K3086" s="4"/>
      <c r="L3086" s="4"/>
    </row>
    <row r="3087" spans="3:12">
      <c r="C3087" s="3"/>
      <c r="K3087" s="4"/>
      <c r="L3087" s="4"/>
    </row>
    <row r="3088" spans="3:12">
      <c r="C3088" s="3"/>
      <c r="K3088" s="4"/>
      <c r="L3088" s="4"/>
    </row>
    <row r="3089" spans="3:12">
      <c r="C3089" s="3"/>
      <c r="K3089" s="4"/>
      <c r="L3089" s="4"/>
    </row>
    <row r="3090" spans="3:12">
      <c r="C3090" s="3"/>
      <c r="K3090" s="4"/>
      <c r="L3090" s="4"/>
    </row>
    <row r="3091" spans="3:12">
      <c r="C3091" s="3"/>
      <c r="K3091" s="4"/>
      <c r="L3091" s="4"/>
    </row>
    <row r="3092" spans="3:12">
      <c r="C3092" s="3"/>
      <c r="K3092" s="4"/>
      <c r="L3092" s="4"/>
    </row>
    <row r="3093" spans="3:12">
      <c r="C3093" s="3"/>
      <c r="K3093" s="4"/>
      <c r="L3093" s="4"/>
    </row>
    <row r="3094" spans="3:12">
      <c r="C3094" s="3"/>
      <c r="K3094" s="4"/>
      <c r="L3094" s="4"/>
    </row>
    <row r="3095" spans="3:12">
      <c r="C3095" s="3"/>
      <c r="K3095" s="4"/>
      <c r="L3095" s="4"/>
    </row>
    <row r="3096" spans="3:12">
      <c r="C3096" s="3"/>
      <c r="K3096" s="4"/>
      <c r="L3096" s="4"/>
    </row>
    <row r="3097" spans="3:12">
      <c r="C3097" s="3"/>
      <c r="K3097" s="4"/>
      <c r="L3097" s="4"/>
    </row>
    <row r="3098" spans="3:12">
      <c r="C3098" s="3"/>
      <c r="K3098" s="4"/>
      <c r="L3098" s="4"/>
    </row>
    <row r="3099" spans="3:12">
      <c r="C3099" s="3"/>
      <c r="K3099" s="4"/>
      <c r="L3099" s="4"/>
    </row>
    <row r="3100" spans="3:12">
      <c r="C3100" s="3"/>
      <c r="K3100" s="4"/>
      <c r="L3100" s="4"/>
    </row>
    <row r="3101" spans="3:12">
      <c r="C3101" s="3"/>
      <c r="K3101" s="4"/>
      <c r="L3101" s="4"/>
    </row>
    <row r="3102" spans="3:12">
      <c r="C3102" s="3"/>
      <c r="K3102" s="4"/>
      <c r="L3102" s="4"/>
    </row>
    <row r="3103" spans="3:12">
      <c r="C3103" s="3"/>
      <c r="K3103" s="4"/>
      <c r="L3103" s="4"/>
    </row>
    <row r="3104" spans="3:12">
      <c r="C3104" s="3"/>
      <c r="K3104" s="4"/>
      <c r="L3104" s="4"/>
    </row>
    <row r="3105" spans="3:12">
      <c r="C3105" s="3"/>
      <c r="K3105" s="4"/>
      <c r="L3105" s="4"/>
    </row>
    <row r="3106" spans="3:12">
      <c r="C3106" s="3"/>
      <c r="K3106" s="4"/>
      <c r="L3106" s="4"/>
    </row>
    <row r="3107" spans="3:12">
      <c r="C3107" s="3"/>
      <c r="K3107" s="4"/>
      <c r="L3107" s="4"/>
    </row>
    <row r="3108" spans="3:12">
      <c r="C3108" s="3"/>
      <c r="K3108" s="4"/>
      <c r="L3108" s="4"/>
    </row>
    <row r="3109" spans="3:12">
      <c r="C3109" s="3"/>
      <c r="K3109" s="4"/>
      <c r="L3109" s="4"/>
    </row>
    <row r="3110" spans="3:12">
      <c r="C3110" s="3"/>
      <c r="K3110" s="4"/>
      <c r="L3110" s="4"/>
    </row>
    <row r="3111" spans="3:12">
      <c r="C3111" s="3"/>
      <c r="K3111" s="4"/>
      <c r="L3111" s="4"/>
    </row>
    <row r="3112" spans="3:12">
      <c r="C3112" s="3"/>
      <c r="K3112" s="4"/>
      <c r="L3112" s="4"/>
    </row>
    <row r="3113" spans="3:12">
      <c r="C3113" s="3"/>
      <c r="K3113" s="4"/>
      <c r="L3113" s="4"/>
    </row>
    <row r="3114" spans="3:12">
      <c r="C3114" s="3"/>
      <c r="K3114" s="4"/>
      <c r="L3114" s="4"/>
    </row>
    <row r="3115" spans="3:12">
      <c r="C3115" s="3"/>
      <c r="K3115" s="4"/>
      <c r="L3115" s="4"/>
    </row>
    <row r="3116" spans="3:12">
      <c r="C3116" s="3"/>
      <c r="K3116" s="4"/>
      <c r="L3116" s="4"/>
    </row>
    <row r="3117" spans="3:12">
      <c r="C3117" s="3"/>
      <c r="K3117" s="4"/>
      <c r="L3117" s="4"/>
    </row>
    <row r="3118" spans="3:12">
      <c r="C3118" s="3"/>
      <c r="K3118" s="4"/>
      <c r="L3118" s="4"/>
    </row>
    <row r="3119" spans="3:12">
      <c r="C3119" s="3"/>
      <c r="K3119" s="4"/>
      <c r="L3119" s="4"/>
    </row>
    <row r="3120" spans="3:12">
      <c r="C3120" s="3"/>
      <c r="K3120" s="4"/>
      <c r="L3120" s="4"/>
    </row>
    <row r="3121" spans="3:12">
      <c r="C3121" s="3"/>
      <c r="K3121" s="4"/>
      <c r="L3121" s="4"/>
    </row>
    <row r="3122" spans="3:12">
      <c r="C3122" s="3"/>
      <c r="K3122" s="4"/>
      <c r="L3122" s="4"/>
    </row>
    <row r="3123" spans="3:12">
      <c r="C3123" s="3"/>
      <c r="K3123" s="4"/>
      <c r="L3123" s="4"/>
    </row>
    <row r="3124" spans="3:12">
      <c r="C3124" s="3"/>
      <c r="K3124" s="4"/>
      <c r="L3124" s="4"/>
    </row>
    <row r="3125" spans="3:12">
      <c r="C3125" s="3"/>
      <c r="K3125" s="4"/>
      <c r="L3125" s="4"/>
    </row>
    <row r="3126" spans="3:12">
      <c r="C3126" s="3"/>
      <c r="K3126" s="4"/>
      <c r="L3126" s="4"/>
    </row>
    <row r="3127" spans="3:12">
      <c r="C3127" s="3"/>
      <c r="K3127" s="4"/>
      <c r="L3127" s="4"/>
    </row>
    <row r="3128" spans="3:12">
      <c r="C3128" s="3"/>
      <c r="K3128" s="4"/>
      <c r="L3128" s="4"/>
    </row>
    <row r="3129" spans="3:12">
      <c r="C3129" s="3"/>
      <c r="K3129" s="4"/>
      <c r="L3129" s="4"/>
    </row>
    <row r="3130" spans="3:12">
      <c r="C3130" s="3"/>
      <c r="K3130" s="4"/>
      <c r="L3130" s="4"/>
    </row>
    <row r="3131" spans="3:12">
      <c r="C3131" s="3"/>
      <c r="K3131" s="4"/>
      <c r="L3131" s="4"/>
    </row>
    <row r="3132" spans="3:12">
      <c r="C3132" s="3"/>
      <c r="K3132" s="4"/>
      <c r="L3132" s="4"/>
    </row>
    <row r="3133" spans="3:12">
      <c r="C3133" s="3"/>
      <c r="K3133" s="4"/>
      <c r="L3133" s="4"/>
    </row>
    <row r="3134" spans="3:12">
      <c r="C3134" s="3"/>
      <c r="K3134" s="4"/>
      <c r="L3134" s="4"/>
    </row>
    <row r="3135" spans="3:12">
      <c r="C3135" s="3"/>
      <c r="K3135" s="4"/>
      <c r="L3135" s="4"/>
    </row>
    <row r="3136" spans="3:12">
      <c r="C3136" s="3"/>
      <c r="K3136" s="4"/>
      <c r="L3136" s="4"/>
    </row>
    <row r="3137" spans="3:12">
      <c r="C3137" s="3"/>
      <c r="K3137" s="4"/>
      <c r="L3137" s="4"/>
    </row>
    <row r="3138" spans="3:12">
      <c r="C3138" s="3"/>
      <c r="K3138" s="4"/>
      <c r="L3138" s="4"/>
    </row>
    <row r="3139" spans="3:12">
      <c r="C3139" s="3"/>
      <c r="K3139" s="4"/>
      <c r="L3139" s="4"/>
    </row>
    <row r="3140" spans="3:12">
      <c r="C3140" s="3"/>
      <c r="K3140" s="4"/>
      <c r="L3140" s="4"/>
    </row>
    <row r="3141" spans="3:12">
      <c r="C3141" s="3"/>
      <c r="K3141" s="4"/>
      <c r="L3141" s="4"/>
    </row>
    <row r="3142" spans="3:12">
      <c r="C3142" s="3"/>
      <c r="K3142" s="4"/>
      <c r="L3142" s="4"/>
    </row>
    <row r="3143" spans="3:12">
      <c r="C3143" s="3"/>
      <c r="K3143" s="4"/>
      <c r="L3143" s="4"/>
    </row>
    <row r="3144" spans="3:12">
      <c r="C3144" s="3"/>
      <c r="K3144" s="4"/>
      <c r="L3144" s="4"/>
    </row>
    <row r="3145" spans="3:12">
      <c r="C3145" s="3"/>
      <c r="K3145" s="4"/>
      <c r="L3145" s="4"/>
    </row>
    <row r="3146" spans="3:12">
      <c r="C3146" s="3"/>
      <c r="K3146" s="4"/>
      <c r="L3146" s="4"/>
    </row>
    <row r="3147" spans="3:12">
      <c r="C3147" s="3"/>
      <c r="K3147" s="4"/>
      <c r="L3147" s="4"/>
    </row>
    <row r="3148" spans="3:12">
      <c r="C3148" s="3"/>
      <c r="K3148" s="4"/>
      <c r="L3148" s="4"/>
    </row>
    <row r="3149" spans="3:12">
      <c r="C3149" s="3"/>
      <c r="K3149" s="4"/>
      <c r="L3149" s="4"/>
    </row>
    <row r="3150" spans="3:12">
      <c r="C3150" s="3"/>
      <c r="K3150" s="4"/>
      <c r="L3150" s="4"/>
    </row>
    <row r="3151" spans="3:12">
      <c r="C3151" s="3"/>
      <c r="K3151" s="4"/>
      <c r="L3151" s="4"/>
    </row>
    <row r="3152" spans="3:12">
      <c r="C3152" s="3"/>
      <c r="K3152" s="4"/>
      <c r="L3152" s="4"/>
    </row>
    <row r="3153" spans="3:12">
      <c r="C3153" s="3"/>
      <c r="K3153" s="4"/>
      <c r="L3153" s="4"/>
    </row>
    <row r="3154" spans="3:12">
      <c r="C3154" s="3"/>
      <c r="K3154" s="4"/>
      <c r="L3154" s="4"/>
    </row>
    <row r="3155" spans="3:12">
      <c r="C3155" s="3"/>
      <c r="K3155" s="4"/>
      <c r="L3155" s="4"/>
    </row>
    <row r="3156" spans="3:12">
      <c r="C3156" s="3"/>
      <c r="K3156" s="4"/>
      <c r="L3156" s="4"/>
    </row>
    <row r="3157" spans="3:12">
      <c r="C3157" s="3"/>
      <c r="K3157" s="4"/>
      <c r="L3157" s="4"/>
    </row>
    <row r="3158" spans="3:12">
      <c r="C3158" s="3"/>
      <c r="K3158" s="4"/>
      <c r="L3158" s="4"/>
    </row>
    <row r="3159" spans="3:12">
      <c r="C3159" s="3"/>
      <c r="K3159" s="4"/>
      <c r="L3159" s="4"/>
    </row>
    <row r="3160" spans="3:12">
      <c r="C3160" s="3"/>
      <c r="K3160" s="4"/>
      <c r="L3160" s="4"/>
    </row>
    <row r="3161" spans="3:12">
      <c r="C3161" s="3"/>
      <c r="K3161" s="4"/>
      <c r="L3161" s="4"/>
    </row>
    <row r="3162" spans="3:12">
      <c r="C3162" s="3"/>
      <c r="K3162" s="4"/>
      <c r="L3162" s="4"/>
    </row>
    <row r="3163" spans="3:12">
      <c r="C3163" s="3"/>
      <c r="K3163" s="4"/>
      <c r="L3163" s="4"/>
    </row>
    <row r="3164" spans="3:12">
      <c r="C3164" s="3"/>
      <c r="K3164" s="4"/>
      <c r="L3164" s="4"/>
    </row>
    <row r="3165" spans="3:12">
      <c r="C3165" s="3"/>
      <c r="K3165" s="4"/>
      <c r="L3165" s="4"/>
    </row>
    <row r="3166" spans="3:12">
      <c r="C3166" s="3"/>
      <c r="K3166" s="4"/>
      <c r="L3166" s="4"/>
    </row>
    <row r="3167" spans="3:12">
      <c r="C3167" s="3"/>
      <c r="K3167" s="4"/>
      <c r="L3167" s="4"/>
    </row>
    <row r="3168" spans="3:12">
      <c r="C3168" s="3"/>
      <c r="K3168" s="4"/>
      <c r="L3168" s="4"/>
    </row>
    <row r="3169" spans="3:12">
      <c r="C3169" s="3"/>
      <c r="K3169" s="4"/>
      <c r="L3169" s="4"/>
    </row>
    <row r="3170" spans="3:12">
      <c r="C3170" s="3"/>
      <c r="K3170" s="4"/>
      <c r="L3170" s="4"/>
    </row>
    <row r="3171" spans="3:12">
      <c r="C3171" s="3"/>
      <c r="K3171" s="4"/>
      <c r="L3171" s="4"/>
    </row>
    <row r="3172" spans="3:12">
      <c r="C3172" s="3"/>
      <c r="K3172" s="4"/>
      <c r="L3172" s="4"/>
    </row>
    <row r="3173" spans="3:12">
      <c r="C3173" s="3"/>
      <c r="K3173" s="4"/>
      <c r="L3173" s="4"/>
    </row>
    <row r="3174" spans="3:12">
      <c r="C3174" s="3"/>
      <c r="K3174" s="4"/>
      <c r="L3174" s="4"/>
    </row>
    <row r="3175" spans="3:12">
      <c r="C3175" s="3"/>
      <c r="K3175" s="4"/>
      <c r="L3175" s="4"/>
    </row>
    <row r="3176" spans="3:12">
      <c r="C3176" s="3"/>
      <c r="K3176" s="4"/>
      <c r="L3176" s="4"/>
    </row>
    <row r="3177" spans="3:12">
      <c r="C3177" s="3"/>
      <c r="K3177" s="4"/>
      <c r="L3177" s="4"/>
    </row>
    <row r="3178" spans="3:12">
      <c r="C3178" s="3"/>
      <c r="K3178" s="4"/>
      <c r="L3178" s="4"/>
    </row>
    <row r="3179" spans="3:12">
      <c r="C3179" s="3"/>
      <c r="K3179" s="4"/>
      <c r="L3179" s="4"/>
    </row>
    <row r="3180" spans="3:12">
      <c r="C3180" s="3"/>
      <c r="K3180" s="4"/>
      <c r="L3180" s="4"/>
    </row>
    <row r="3181" spans="3:12">
      <c r="C3181" s="3"/>
      <c r="K3181" s="4"/>
      <c r="L3181" s="4"/>
    </row>
    <row r="3182" spans="3:12">
      <c r="C3182" s="3"/>
      <c r="K3182" s="4"/>
      <c r="L3182" s="4"/>
    </row>
    <row r="3183" spans="3:12">
      <c r="C3183" s="3"/>
      <c r="K3183" s="4"/>
      <c r="L3183" s="4"/>
    </row>
    <row r="3184" spans="3:12">
      <c r="C3184" s="3"/>
      <c r="K3184" s="4"/>
      <c r="L3184" s="4"/>
    </row>
    <row r="3185" spans="3:12">
      <c r="C3185" s="3"/>
      <c r="K3185" s="4"/>
      <c r="L3185" s="4"/>
    </row>
    <row r="3186" spans="3:12">
      <c r="C3186" s="3"/>
      <c r="K3186" s="4"/>
      <c r="L3186" s="4"/>
    </row>
    <row r="3187" spans="3:12">
      <c r="C3187" s="3"/>
      <c r="K3187" s="4"/>
      <c r="L3187" s="4"/>
    </row>
    <row r="3188" spans="3:12">
      <c r="C3188" s="3"/>
      <c r="K3188" s="4"/>
      <c r="L3188" s="4"/>
    </row>
    <row r="3189" spans="3:12">
      <c r="C3189" s="3"/>
      <c r="K3189" s="4"/>
      <c r="L3189" s="4"/>
    </row>
    <row r="3190" spans="3:12">
      <c r="C3190" s="3"/>
      <c r="K3190" s="4"/>
      <c r="L3190" s="4"/>
    </row>
    <row r="3191" spans="3:12">
      <c r="C3191" s="3"/>
      <c r="K3191" s="4"/>
      <c r="L3191" s="4"/>
    </row>
    <row r="3192" spans="3:12">
      <c r="C3192" s="3"/>
      <c r="K3192" s="4"/>
      <c r="L3192" s="4"/>
    </row>
    <row r="3193" spans="3:12">
      <c r="C3193" s="3"/>
      <c r="K3193" s="4"/>
      <c r="L3193" s="4"/>
    </row>
    <row r="3194" spans="3:12">
      <c r="C3194" s="3"/>
      <c r="K3194" s="4"/>
      <c r="L3194" s="4"/>
    </row>
    <row r="3195" spans="3:12">
      <c r="C3195" s="3"/>
      <c r="K3195" s="4"/>
      <c r="L3195" s="4"/>
    </row>
    <row r="3196" spans="3:12">
      <c r="C3196" s="3"/>
      <c r="K3196" s="4"/>
      <c r="L3196" s="4"/>
    </row>
    <row r="3197" spans="3:12">
      <c r="C3197" s="3"/>
      <c r="K3197" s="4"/>
      <c r="L3197" s="4"/>
    </row>
    <row r="3198" spans="3:12">
      <c r="C3198" s="3"/>
      <c r="K3198" s="4"/>
      <c r="L3198" s="4"/>
    </row>
    <row r="3199" spans="3:12">
      <c r="C3199" s="3"/>
      <c r="K3199" s="4"/>
      <c r="L3199" s="4"/>
    </row>
    <row r="3200" spans="3:12">
      <c r="C3200" s="3"/>
      <c r="K3200" s="4"/>
      <c r="L3200" s="4"/>
    </row>
    <row r="3201" spans="3:12">
      <c r="C3201" s="3"/>
      <c r="K3201" s="4"/>
      <c r="L3201" s="4"/>
    </row>
    <row r="3202" spans="3:12">
      <c r="C3202" s="3"/>
      <c r="K3202" s="4"/>
      <c r="L3202" s="4"/>
    </row>
    <row r="3203" spans="3:12">
      <c r="C3203" s="3"/>
      <c r="K3203" s="4"/>
      <c r="L3203" s="4"/>
    </row>
    <row r="3204" spans="3:12">
      <c r="C3204" s="3"/>
      <c r="K3204" s="4"/>
      <c r="L3204" s="4"/>
    </row>
    <row r="3205" spans="3:12">
      <c r="C3205" s="3"/>
      <c r="K3205" s="4"/>
      <c r="L3205" s="4"/>
    </row>
    <row r="3206" spans="3:12">
      <c r="C3206" s="3"/>
      <c r="K3206" s="4"/>
      <c r="L3206" s="4"/>
    </row>
    <row r="3207" spans="3:12">
      <c r="C3207" s="3"/>
      <c r="K3207" s="4"/>
      <c r="L3207" s="4"/>
    </row>
    <row r="3208" spans="3:12">
      <c r="C3208" s="3"/>
      <c r="K3208" s="4"/>
      <c r="L3208" s="4"/>
    </row>
    <row r="3209" spans="3:12">
      <c r="C3209" s="3"/>
      <c r="K3209" s="4"/>
      <c r="L3209" s="4"/>
    </row>
    <row r="3210" spans="3:12">
      <c r="C3210" s="3"/>
      <c r="K3210" s="4"/>
      <c r="L3210" s="4"/>
    </row>
    <row r="3211" spans="3:12">
      <c r="C3211" s="3"/>
      <c r="K3211" s="4"/>
      <c r="L3211" s="4"/>
    </row>
    <row r="3212" spans="3:12">
      <c r="C3212" s="3"/>
      <c r="K3212" s="4"/>
      <c r="L3212" s="4"/>
    </row>
    <row r="3213" spans="3:12">
      <c r="C3213" s="3"/>
      <c r="K3213" s="4"/>
      <c r="L3213" s="4"/>
    </row>
    <row r="3214" spans="3:12">
      <c r="C3214" s="3"/>
      <c r="K3214" s="4"/>
      <c r="L3214" s="4"/>
    </row>
    <row r="3215" spans="3:12">
      <c r="C3215" s="3"/>
      <c r="K3215" s="4"/>
      <c r="L3215" s="4"/>
    </row>
    <row r="3216" spans="3:12">
      <c r="C3216" s="3"/>
      <c r="K3216" s="4"/>
      <c r="L3216" s="4"/>
    </row>
    <row r="3217" spans="3:12">
      <c r="C3217" s="3"/>
      <c r="K3217" s="4"/>
      <c r="L3217" s="4"/>
    </row>
    <row r="3218" spans="3:12">
      <c r="C3218" s="3"/>
      <c r="K3218" s="4"/>
      <c r="L3218" s="4"/>
    </row>
    <row r="3219" spans="3:12">
      <c r="C3219" s="3"/>
      <c r="K3219" s="4"/>
      <c r="L3219" s="4"/>
    </row>
    <row r="3220" spans="3:12">
      <c r="C3220" s="3"/>
      <c r="K3220" s="4"/>
      <c r="L3220" s="4"/>
    </row>
    <row r="3221" spans="3:12">
      <c r="C3221" s="3"/>
      <c r="K3221" s="4"/>
      <c r="L3221" s="4"/>
    </row>
    <row r="3222" spans="3:12">
      <c r="C3222" s="3"/>
      <c r="K3222" s="4"/>
      <c r="L3222" s="4"/>
    </row>
    <row r="3223" spans="3:12">
      <c r="C3223" s="3"/>
      <c r="K3223" s="4"/>
      <c r="L3223" s="4"/>
    </row>
    <row r="3224" spans="3:12">
      <c r="C3224" s="3"/>
      <c r="K3224" s="4"/>
      <c r="L3224" s="4"/>
    </row>
    <row r="3225" spans="3:12">
      <c r="C3225" s="3"/>
      <c r="K3225" s="4"/>
      <c r="L3225" s="4"/>
    </row>
    <row r="3226" spans="3:12">
      <c r="C3226" s="3"/>
      <c r="K3226" s="4"/>
      <c r="L3226" s="4"/>
    </row>
    <row r="3227" spans="3:12">
      <c r="C3227" s="3"/>
      <c r="K3227" s="4"/>
      <c r="L3227" s="4"/>
    </row>
    <row r="3228" spans="3:12">
      <c r="C3228" s="3"/>
      <c r="K3228" s="4"/>
      <c r="L3228" s="4"/>
    </row>
    <row r="3229" spans="3:12">
      <c r="C3229" s="3"/>
      <c r="K3229" s="4"/>
      <c r="L3229" s="4"/>
    </row>
    <row r="3230" spans="3:12">
      <c r="C3230" s="3"/>
      <c r="K3230" s="4"/>
      <c r="L3230" s="4"/>
    </row>
    <row r="3231" spans="3:12">
      <c r="C3231" s="3"/>
      <c r="K3231" s="4"/>
      <c r="L3231" s="4"/>
    </row>
    <row r="3232" spans="3:12">
      <c r="C3232" s="3"/>
      <c r="K3232" s="4"/>
      <c r="L3232" s="4"/>
    </row>
    <row r="3233" spans="3:12">
      <c r="C3233" s="3"/>
      <c r="K3233" s="4"/>
      <c r="L3233" s="4"/>
    </row>
    <row r="3234" spans="3:12">
      <c r="C3234" s="3"/>
      <c r="K3234" s="4"/>
      <c r="L3234" s="4"/>
    </row>
    <row r="3235" spans="3:12">
      <c r="C3235" s="3"/>
      <c r="K3235" s="4"/>
      <c r="L3235" s="4"/>
    </row>
    <row r="3236" spans="3:12">
      <c r="C3236" s="3"/>
      <c r="K3236" s="4"/>
      <c r="L3236" s="4"/>
    </row>
    <row r="3237" spans="3:12">
      <c r="C3237" s="3"/>
      <c r="K3237" s="4"/>
      <c r="L3237" s="4"/>
    </row>
    <row r="3238" spans="3:12">
      <c r="C3238" s="3"/>
      <c r="K3238" s="4"/>
      <c r="L3238" s="4"/>
    </row>
    <row r="3239" spans="3:12">
      <c r="C3239" s="3"/>
      <c r="K3239" s="4"/>
      <c r="L3239" s="4"/>
    </row>
    <row r="3240" spans="3:12">
      <c r="C3240" s="3"/>
      <c r="K3240" s="4"/>
      <c r="L3240" s="4"/>
    </row>
    <row r="3241" spans="3:12">
      <c r="C3241" s="3"/>
      <c r="K3241" s="4"/>
      <c r="L3241" s="4"/>
    </row>
    <row r="3242" spans="3:12">
      <c r="C3242" s="3"/>
      <c r="K3242" s="4"/>
      <c r="L3242" s="4"/>
    </row>
    <row r="3243" spans="3:12">
      <c r="C3243" s="3"/>
      <c r="K3243" s="4"/>
      <c r="L3243" s="4"/>
    </row>
    <row r="3244" spans="3:12">
      <c r="C3244" s="3"/>
      <c r="K3244" s="4"/>
      <c r="L3244" s="4"/>
    </row>
    <row r="3245" spans="3:12">
      <c r="C3245" s="3"/>
      <c r="K3245" s="4"/>
      <c r="L3245" s="4"/>
    </row>
    <row r="3246" spans="3:12">
      <c r="C3246" s="3"/>
      <c r="K3246" s="4"/>
      <c r="L3246" s="4"/>
    </row>
    <row r="3247" spans="3:12">
      <c r="C3247" s="3"/>
      <c r="K3247" s="4"/>
      <c r="L3247" s="4"/>
    </row>
    <row r="3248" spans="3:12">
      <c r="C3248" s="3"/>
      <c r="K3248" s="4"/>
      <c r="L3248" s="4"/>
    </row>
    <row r="3249" spans="3:12">
      <c r="C3249" s="3"/>
      <c r="K3249" s="4"/>
      <c r="L3249" s="4"/>
    </row>
    <row r="3250" spans="3:12">
      <c r="C3250" s="3"/>
      <c r="K3250" s="4"/>
      <c r="L3250" s="4"/>
    </row>
    <row r="3251" spans="3:12">
      <c r="C3251" s="3"/>
      <c r="K3251" s="4"/>
      <c r="L3251" s="4"/>
    </row>
    <row r="3252" spans="3:12">
      <c r="C3252" s="3"/>
      <c r="K3252" s="4"/>
      <c r="L3252" s="4"/>
    </row>
    <row r="3253" spans="3:12">
      <c r="C3253" s="3"/>
      <c r="K3253" s="4"/>
      <c r="L3253" s="4"/>
    </row>
    <row r="3254" spans="3:12">
      <c r="C3254" s="3"/>
      <c r="K3254" s="4"/>
      <c r="L3254" s="4"/>
    </row>
    <row r="3255" spans="3:12">
      <c r="C3255" s="3"/>
      <c r="K3255" s="4"/>
      <c r="L3255" s="4"/>
    </row>
    <row r="3256" spans="3:12">
      <c r="C3256" s="3"/>
      <c r="K3256" s="4"/>
      <c r="L3256" s="4"/>
    </row>
    <row r="3257" spans="3:12">
      <c r="C3257" s="3"/>
      <c r="K3257" s="4"/>
      <c r="L3257" s="4"/>
    </row>
    <row r="3258" spans="3:12">
      <c r="C3258" s="3"/>
      <c r="K3258" s="4"/>
      <c r="L3258" s="4"/>
    </row>
    <row r="3259" spans="3:12">
      <c r="C3259" s="3"/>
      <c r="K3259" s="4"/>
      <c r="L3259" s="4"/>
    </row>
    <row r="3260" spans="3:12">
      <c r="C3260" s="3"/>
      <c r="K3260" s="4"/>
      <c r="L3260" s="4"/>
    </row>
    <row r="3261" spans="3:12">
      <c r="C3261" s="3"/>
      <c r="K3261" s="4"/>
      <c r="L3261" s="4"/>
    </row>
    <row r="3262" spans="3:12">
      <c r="C3262" s="3"/>
      <c r="K3262" s="4"/>
      <c r="L3262" s="4"/>
    </row>
    <row r="3263" spans="3:12">
      <c r="C3263" s="3"/>
      <c r="K3263" s="4"/>
      <c r="L3263" s="4"/>
    </row>
    <row r="3264" spans="3:12">
      <c r="C3264" s="3"/>
      <c r="K3264" s="4"/>
      <c r="L3264" s="4"/>
    </row>
    <row r="3265" spans="3:12">
      <c r="C3265" s="3"/>
      <c r="K3265" s="4"/>
      <c r="L3265" s="4"/>
    </row>
    <row r="3266" spans="3:12">
      <c r="C3266" s="3"/>
      <c r="K3266" s="4"/>
      <c r="L3266" s="4"/>
    </row>
    <row r="3267" spans="3:12">
      <c r="C3267" s="3"/>
      <c r="K3267" s="4"/>
      <c r="L3267" s="4"/>
    </row>
    <row r="3268" spans="3:12">
      <c r="C3268" s="3"/>
      <c r="K3268" s="4"/>
      <c r="L3268" s="4"/>
    </row>
    <row r="3269" spans="3:12">
      <c r="C3269" s="3"/>
      <c r="K3269" s="4"/>
      <c r="L3269" s="4"/>
    </row>
    <row r="3270" spans="3:12">
      <c r="C3270" s="3"/>
      <c r="K3270" s="4"/>
      <c r="L3270" s="4"/>
    </row>
    <row r="3271" spans="3:12">
      <c r="C3271" s="3"/>
      <c r="K3271" s="4"/>
      <c r="L3271" s="4"/>
    </row>
    <row r="3272" spans="3:12">
      <c r="C3272" s="3"/>
      <c r="K3272" s="4"/>
      <c r="L3272" s="4"/>
    </row>
    <row r="3273" spans="3:12">
      <c r="C3273" s="3"/>
      <c r="K3273" s="4"/>
      <c r="L3273" s="4"/>
    </row>
    <row r="3274" spans="3:12">
      <c r="C3274" s="3"/>
      <c r="K3274" s="4"/>
      <c r="L3274" s="4"/>
    </row>
    <row r="3275" spans="3:12">
      <c r="C3275" s="3"/>
      <c r="K3275" s="4"/>
      <c r="L3275" s="4"/>
    </row>
    <row r="3276" spans="3:12">
      <c r="C3276" s="3"/>
      <c r="K3276" s="4"/>
      <c r="L3276" s="4"/>
    </row>
    <row r="3277" spans="3:12">
      <c r="C3277" s="3"/>
      <c r="K3277" s="4"/>
      <c r="L3277" s="4"/>
    </row>
    <row r="3278" spans="3:12">
      <c r="C3278" s="3"/>
      <c r="K3278" s="4"/>
      <c r="L3278" s="4"/>
    </row>
    <row r="3279" spans="3:12">
      <c r="C3279" s="3"/>
      <c r="K3279" s="4"/>
      <c r="L3279" s="4"/>
    </row>
    <row r="3280" spans="3:12">
      <c r="C3280" s="3"/>
      <c r="K3280" s="4"/>
      <c r="L3280" s="4"/>
    </row>
    <row r="3281" spans="3:12">
      <c r="C3281" s="3"/>
      <c r="K3281" s="4"/>
      <c r="L3281" s="4"/>
    </row>
    <row r="3282" spans="3:12">
      <c r="C3282" s="3"/>
      <c r="K3282" s="4"/>
      <c r="L3282" s="4"/>
    </row>
    <row r="3283" spans="3:12">
      <c r="C3283" s="3"/>
      <c r="K3283" s="4"/>
      <c r="L3283" s="4"/>
    </row>
    <row r="3284" spans="3:12">
      <c r="C3284" s="3"/>
      <c r="K3284" s="4"/>
      <c r="L3284" s="4"/>
    </row>
    <row r="3285" spans="3:12">
      <c r="C3285" s="3"/>
      <c r="K3285" s="4"/>
      <c r="L3285" s="4"/>
    </row>
    <row r="3286" spans="3:12">
      <c r="C3286" s="3"/>
      <c r="K3286" s="4"/>
      <c r="L3286" s="4"/>
    </row>
    <row r="3287" spans="3:12">
      <c r="C3287" s="3"/>
      <c r="K3287" s="4"/>
      <c r="L3287" s="4"/>
    </row>
    <row r="3288" spans="3:12">
      <c r="C3288" s="3"/>
      <c r="K3288" s="4"/>
      <c r="L3288" s="4"/>
    </row>
    <row r="3289" spans="3:12">
      <c r="C3289" s="3"/>
      <c r="K3289" s="4"/>
      <c r="L3289" s="4"/>
    </row>
    <row r="3290" spans="3:12">
      <c r="C3290" s="3"/>
      <c r="K3290" s="4"/>
      <c r="L3290" s="4"/>
    </row>
    <row r="3291" spans="3:12">
      <c r="C3291" s="3"/>
      <c r="K3291" s="4"/>
      <c r="L3291" s="4"/>
    </row>
    <row r="3292" spans="3:12">
      <c r="C3292" s="3"/>
      <c r="K3292" s="4"/>
      <c r="L3292" s="4"/>
    </row>
    <row r="3293" spans="3:12">
      <c r="C3293" s="3"/>
      <c r="K3293" s="4"/>
      <c r="L3293" s="4"/>
    </row>
    <row r="3294" spans="3:12">
      <c r="C3294" s="3"/>
      <c r="K3294" s="4"/>
      <c r="L3294" s="4"/>
    </row>
    <row r="3295" spans="3:12">
      <c r="C3295" s="3"/>
      <c r="K3295" s="4"/>
      <c r="L3295" s="4"/>
    </row>
    <row r="3296" spans="3:12">
      <c r="C3296" s="3"/>
      <c r="K3296" s="4"/>
      <c r="L3296" s="4"/>
    </row>
    <row r="3297" spans="3:12">
      <c r="C3297" s="3"/>
      <c r="K3297" s="4"/>
      <c r="L3297" s="4"/>
    </row>
    <row r="3298" spans="3:12">
      <c r="C3298" s="3"/>
      <c r="K3298" s="4"/>
      <c r="L3298" s="4"/>
    </row>
    <row r="3299" spans="3:12">
      <c r="C3299" s="3"/>
      <c r="K3299" s="4"/>
      <c r="L3299" s="4"/>
    </row>
    <row r="3300" spans="3:12">
      <c r="C3300" s="3"/>
      <c r="K3300" s="4"/>
      <c r="L3300" s="4"/>
    </row>
    <row r="3301" spans="3:12">
      <c r="C3301" s="3"/>
      <c r="K3301" s="4"/>
      <c r="L3301" s="4"/>
    </row>
    <row r="3302" spans="3:12">
      <c r="C3302" s="3"/>
      <c r="K3302" s="4"/>
      <c r="L3302" s="4"/>
    </row>
    <row r="3303" spans="3:12">
      <c r="C3303" s="3"/>
      <c r="K3303" s="4"/>
      <c r="L3303" s="4"/>
    </row>
    <row r="3304" spans="3:12">
      <c r="C3304" s="3"/>
      <c r="K3304" s="4"/>
      <c r="L3304" s="4"/>
    </row>
    <row r="3305" spans="3:12">
      <c r="C3305" s="3"/>
      <c r="K3305" s="4"/>
      <c r="L3305" s="4"/>
    </row>
    <row r="3306" spans="3:12">
      <c r="C3306" s="3"/>
      <c r="K3306" s="4"/>
      <c r="L3306" s="4"/>
    </row>
    <row r="3307" spans="3:12">
      <c r="C3307" s="3"/>
      <c r="K3307" s="4"/>
      <c r="L3307" s="4"/>
    </row>
    <row r="3308" spans="3:12">
      <c r="C3308" s="3"/>
      <c r="K3308" s="4"/>
      <c r="L3308" s="4"/>
    </row>
    <row r="3309" spans="3:12">
      <c r="C3309" s="3"/>
      <c r="K3309" s="4"/>
      <c r="L3309" s="4"/>
    </row>
    <row r="3310" spans="3:12">
      <c r="C3310" s="3"/>
      <c r="K3310" s="4"/>
      <c r="L3310" s="4"/>
    </row>
    <row r="3311" spans="3:12">
      <c r="C3311" s="3"/>
      <c r="K3311" s="4"/>
      <c r="L3311" s="4"/>
    </row>
    <row r="3312" spans="3:12">
      <c r="C3312" s="3"/>
      <c r="K3312" s="4"/>
      <c r="L3312" s="4"/>
    </row>
    <row r="3313" spans="3:12">
      <c r="C3313" s="3"/>
      <c r="K3313" s="4"/>
      <c r="L3313" s="4"/>
    </row>
    <row r="3314" spans="3:12">
      <c r="C3314" s="3"/>
      <c r="K3314" s="4"/>
      <c r="L3314" s="4"/>
    </row>
    <row r="3315" spans="3:12">
      <c r="C3315" s="3"/>
      <c r="K3315" s="4"/>
      <c r="L3315" s="4"/>
    </row>
    <row r="3316" spans="3:12">
      <c r="C3316" s="3"/>
      <c r="K3316" s="4"/>
      <c r="L3316" s="4"/>
    </row>
    <row r="3317" spans="3:12">
      <c r="C3317" s="3"/>
      <c r="K3317" s="4"/>
      <c r="L3317" s="4"/>
    </row>
    <row r="3318" spans="3:12">
      <c r="C3318" s="3"/>
      <c r="K3318" s="4"/>
      <c r="L3318" s="4"/>
    </row>
    <row r="3319" spans="3:12">
      <c r="C3319" s="3"/>
      <c r="K3319" s="4"/>
      <c r="L3319" s="4"/>
    </row>
    <row r="3320" spans="3:12">
      <c r="C3320" s="3"/>
      <c r="K3320" s="4"/>
      <c r="L3320" s="4"/>
    </row>
    <row r="3321" spans="3:12">
      <c r="C3321" s="3"/>
      <c r="K3321" s="4"/>
      <c r="L3321" s="4"/>
    </row>
    <row r="3322" spans="3:12">
      <c r="C3322" s="3"/>
      <c r="K3322" s="4"/>
      <c r="L3322" s="4"/>
    </row>
    <row r="3323" spans="3:12">
      <c r="C3323" s="3"/>
      <c r="K3323" s="4"/>
      <c r="L3323" s="4"/>
    </row>
    <row r="3324" spans="3:12">
      <c r="C3324" s="3"/>
      <c r="K3324" s="4"/>
      <c r="L3324" s="4"/>
    </row>
    <row r="3325" spans="3:12">
      <c r="C3325" s="3"/>
      <c r="K3325" s="4"/>
      <c r="L3325" s="4"/>
    </row>
    <row r="3326" spans="3:12">
      <c r="C3326" s="3"/>
      <c r="K3326" s="4"/>
      <c r="L3326" s="4"/>
    </row>
    <row r="3327" spans="3:12">
      <c r="C3327" s="3"/>
      <c r="K3327" s="4"/>
      <c r="L3327" s="4"/>
    </row>
    <row r="3328" spans="3:12">
      <c r="C3328" s="3"/>
      <c r="K3328" s="4"/>
      <c r="L3328" s="4"/>
    </row>
    <row r="3329" spans="3:12">
      <c r="C3329" s="3"/>
      <c r="K3329" s="4"/>
      <c r="L3329" s="4"/>
    </row>
    <row r="3330" spans="3:12">
      <c r="C3330" s="3"/>
      <c r="K3330" s="4"/>
      <c r="L3330" s="4"/>
    </row>
    <row r="3331" spans="3:12">
      <c r="C3331" s="3"/>
      <c r="K3331" s="4"/>
      <c r="L3331" s="4"/>
    </row>
    <row r="3332" spans="3:12">
      <c r="C3332" s="3"/>
      <c r="K3332" s="4"/>
      <c r="L3332" s="4"/>
    </row>
    <row r="3333" spans="3:12">
      <c r="C3333" s="3"/>
      <c r="K3333" s="4"/>
      <c r="L3333" s="4"/>
    </row>
    <row r="3334" spans="3:12">
      <c r="C3334" s="3"/>
      <c r="K3334" s="4"/>
      <c r="L3334" s="4"/>
    </row>
    <row r="3335" spans="3:12">
      <c r="C3335" s="3"/>
      <c r="K3335" s="4"/>
      <c r="L3335" s="4"/>
    </row>
    <row r="3336" spans="3:12">
      <c r="C3336" s="3"/>
      <c r="K3336" s="4"/>
      <c r="L3336" s="4"/>
    </row>
    <row r="3337" spans="3:12">
      <c r="C3337" s="3"/>
      <c r="K3337" s="4"/>
      <c r="L3337" s="4"/>
    </row>
    <row r="3338" spans="3:12">
      <c r="C3338" s="3"/>
      <c r="K3338" s="4"/>
      <c r="L3338" s="4"/>
    </row>
    <row r="3339" spans="3:12">
      <c r="C3339" s="3"/>
      <c r="K3339" s="4"/>
      <c r="L3339" s="4"/>
    </row>
    <row r="3340" spans="3:12">
      <c r="C3340" s="3"/>
      <c r="K3340" s="4"/>
      <c r="L3340" s="4"/>
    </row>
    <row r="3341" spans="3:12">
      <c r="C3341" s="3"/>
      <c r="K3341" s="4"/>
      <c r="L3341" s="4"/>
    </row>
    <row r="3342" spans="3:12">
      <c r="C3342" s="3"/>
      <c r="K3342" s="4"/>
      <c r="L3342" s="4"/>
    </row>
    <row r="3343" spans="3:12">
      <c r="C3343" s="3"/>
      <c r="K3343" s="4"/>
      <c r="L3343" s="4"/>
    </row>
    <row r="3344" spans="3:12">
      <c r="C3344" s="3"/>
      <c r="K3344" s="4"/>
      <c r="L3344" s="4"/>
    </row>
    <row r="3345" spans="3:12">
      <c r="C3345" s="3"/>
      <c r="K3345" s="4"/>
      <c r="L3345" s="4"/>
    </row>
    <row r="3346" spans="3:12">
      <c r="C3346" s="3"/>
      <c r="K3346" s="4"/>
      <c r="L3346" s="4"/>
    </row>
    <row r="3347" spans="3:12">
      <c r="C3347" s="3"/>
      <c r="K3347" s="4"/>
      <c r="L3347" s="4"/>
    </row>
    <row r="3348" spans="3:12">
      <c r="C3348" s="3"/>
      <c r="K3348" s="4"/>
      <c r="L3348" s="4"/>
    </row>
    <row r="3349" spans="3:12">
      <c r="C3349" s="3"/>
      <c r="K3349" s="4"/>
      <c r="L3349" s="4"/>
    </row>
    <row r="3350" spans="3:12">
      <c r="C3350" s="3"/>
      <c r="K3350" s="4"/>
      <c r="L3350" s="4"/>
    </row>
    <row r="3351" spans="3:12">
      <c r="C3351" s="3"/>
      <c r="K3351" s="4"/>
      <c r="L3351" s="4"/>
    </row>
    <row r="3352" spans="3:12">
      <c r="C3352" s="3"/>
      <c r="K3352" s="4"/>
      <c r="L3352" s="4"/>
    </row>
    <row r="3353" spans="3:12">
      <c r="C3353" s="3"/>
      <c r="K3353" s="4"/>
      <c r="L3353" s="4"/>
    </row>
    <row r="3354" spans="3:12">
      <c r="C3354" s="3"/>
      <c r="K3354" s="4"/>
      <c r="L3354" s="4"/>
    </row>
    <row r="3355" spans="3:12">
      <c r="C3355" s="3"/>
      <c r="K3355" s="4"/>
      <c r="L3355" s="4"/>
    </row>
    <row r="3356" spans="3:12">
      <c r="C3356" s="3"/>
      <c r="K3356" s="4"/>
      <c r="L3356" s="4"/>
    </row>
    <row r="3357" spans="3:12">
      <c r="C3357" s="3"/>
      <c r="K3357" s="4"/>
      <c r="L3357" s="4"/>
    </row>
    <row r="3358" spans="3:12">
      <c r="C3358" s="3"/>
      <c r="K3358" s="4"/>
      <c r="L3358" s="4"/>
    </row>
    <row r="3359" spans="3:12">
      <c r="C3359" s="3"/>
      <c r="K3359" s="4"/>
      <c r="L3359" s="4"/>
    </row>
    <row r="3360" spans="3:12">
      <c r="C3360" s="3"/>
      <c r="K3360" s="4"/>
      <c r="L3360" s="4"/>
    </row>
    <row r="3361" spans="3:12">
      <c r="C3361" s="3"/>
      <c r="K3361" s="4"/>
      <c r="L3361" s="4"/>
    </row>
    <row r="3362" spans="3:12">
      <c r="C3362" s="3"/>
      <c r="K3362" s="4"/>
      <c r="L3362" s="4"/>
    </row>
    <row r="3363" spans="3:12">
      <c r="C3363" s="3"/>
      <c r="K3363" s="4"/>
      <c r="L3363" s="4"/>
    </row>
    <row r="3364" spans="3:12">
      <c r="C3364" s="3"/>
      <c r="K3364" s="4"/>
      <c r="L3364" s="4"/>
    </row>
    <row r="3365" spans="3:12">
      <c r="C3365" s="3"/>
      <c r="K3365" s="4"/>
      <c r="L3365" s="4"/>
    </row>
    <row r="3366" spans="3:12">
      <c r="C3366" s="3"/>
      <c r="K3366" s="4"/>
      <c r="L3366" s="4"/>
    </row>
    <row r="3367" spans="3:12">
      <c r="C3367" s="3"/>
      <c r="K3367" s="4"/>
      <c r="L3367" s="4"/>
    </row>
    <row r="3368" spans="3:12">
      <c r="C3368" s="3"/>
      <c r="K3368" s="4"/>
      <c r="L3368" s="4"/>
    </row>
    <row r="3369" spans="3:12">
      <c r="C3369" s="3"/>
      <c r="K3369" s="4"/>
      <c r="L3369" s="4"/>
    </row>
    <row r="3370" spans="3:12">
      <c r="C3370" s="3"/>
      <c r="K3370" s="4"/>
      <c r="L3370" s="4"/>
    </row>
    <row r="3371" spans="3:12">
      <c r="C3371" s="3"/>
      <c r="K3371" s="4"/>
      <c r="L3371" s="4"/>
    </row>
    <row r="3372" spans="3:12">
      <c r="C3372" s="3"/>
      <c r="K3372" s="4"/>
      <c r="L3372" s="4"/>
    </row>
    <row r="3373" spans="3:12">
      <c r="C3373" s="3"/>
      <c r="K3373" s="4"/>
      <c r="L3373" s="4"/>
    </row>
    <row r="3374" spans="3:12">
      <c r="C3374" s="3"/>
      <c r="K3374" s="4"/>
      <c r="L3374" s="4"/>
    </row>
    <row r="3375" spans="3:12">
      <c r="C3375" s="3"/>
      <c r="K3375" s="4"/>
      <c r="L3375" s="4"/>
    </row>
    <row r="3376" spans="3:12">
      <c r="C3376" s="3"/>
      <c r="K3376" s="4"/>
      <c r="L3376" s="4"/>
    </row>
    <row r="3377" spans="3:12">
      <c r="C3377" s="3"/>
      <c r="K3377" s="4"/>
      <c r="L3377" s="4"/>
    </row>
    <row r="3378" spans="3:12">
      <c r="C3378" s="3"/>
      <c r="K3378" s="4"/>
      <c r="L3378" s="4"/>
    </row>
    <row r="3379" spans="3:12">
      <c r="C3379" s="3"/>
      <c r="K3379" s="4"/>
      <c r="L3379" s="4"/>
    </row>
    <row r="3380" spans="3:12">
      <c r="C3380" s="3"/>
      <c r="K3380" s="4"/>
      <c r="L3380" s="4"/>
    </row>
    <row r="3381" spans="3:12">
      <c r="C3381" s="3"/>
      <c r="K3381" s="4"/>
      <c r="L3381" s="4"/>
    </row>
    <row r="3382" spans="3:12">
      <c r="C3382" s="3"/>
      <c r="K3382" s="4"/>
      <c r="L3382" s="4"/>
    </row>
    <row r="3383" spans="3:12">
      <c r="C3383" s="3"/>
      <c r="K3383" s="4"/>
      <c r="L3383" s="4"/>
    </row>
    <row r="3384" spans="3:12">
      <c r="C3384" s="3"/>
      <c r="K3384" s="4"/>
      <c r="L3384" s="4"/>
    </row>
    <row r="3385" spans="3:12">
      <c r="C3385" s="3"/>
      <c r="K3385" s="4"/>
      <c r="L3385" s="4"/>
    </row>
    <row r="3386" spans="3:12">
      <c r="C3386" s="3"/>
      <c r="K3386" s="4"/>
      <c r="L3386" s="4"/>
    </row>
    <row r="3387" spans="3:12">
      <c r="C3387" s="3"/>
      <c r="K3387" s="4"/>
      <c r="L3387" s="4"/>
    </row>
    <row r="3388" spans="3:12">
      <c r="C3388" s="3"/>
      <c r="K3388" s="4"/>
      <c r="L3388" s="4"/>
    </row>
    <row r="3389" spans="3:12">
      <c r="C3389" s="3"/>
      <c r="K3389" s="4"/>
      <c r="L3389" s="4"/>
    </row>
    <row r="3390" spans="3:12">
      <c r="C3390" s="3"/>
      <c r="K3390" s="4"/>
      <c r="L3390" s="4"/>
    </row>
    <row r="3391" spans="3:12">
      <c r="C3391" s="3"/>
      <c r="K3391" s="4"/>
      <c r="L3391" s="4"/>
    </row>
    <row r="3392" spans="3:12">
      <c r="C3392" s="3"/>
      <c r="K3392" s="4"/>
      <c r="L3392" s="4"/>
    </row>
    <row r="3393" spans="3:12">
      <c r="C3393" s="3"/>
      <c r="K3393" s="4"/>
      <c r="L3393" s="4"/>
    </row>
    <row r="3394" spans="3:12">
      <c r="C3394" s="3"/>
      <c r="K3394" s="4"/>
      <c r="L3394" s="4"/>
    </row>
    <row r="3395" spans="3:12">
      <c r="C3395" s="3"/>
      <c r="K3395" s="4"/>
      <c r="L3395" s="4"/>
    </row>
    <row r="3396" spans="3:12">
      <c r="C3396" s="3"/>
      <c r="K3396" s="4"/>
      <c r="L3396" s="4"/>
    </row>
    <row r="3397" spans="3:12">
      <c r="C3397" s="3"/>
      <c r="K3397" s="4"/>
      <c r="L3397" s="4"/>
    </row>
    <row r="3398" spans="3:12">
      <c r="C3398" s="3"/>
      <c r="K3398" s="4"/>
      <c r="L3398" s="4"/>
    </row>
    <row r="3399" spans="3:12">
      <c r="C3399" s="3"/>
      <c r="K3399" s="4"/>
      <c r="L3399" s="4"/>
    </row>
    <row r="3400" spans="3:12">
      <c r="C3400" s="3"/>
      <c r="K3400" s="4"/>
      <c r="L3400" s="4"/>
    </row>
    <row r="3401" spans="3:12">
      <c r="C3401" s="3"/>
      <c r="K3401" s="4"/>
      <c r="L3401" s="4"/>
    </row>
    <row r="3402" spans="3:12">
      <c r="C3402" s="3"/>
      <c r="K3402" s="4"/>
      <c r="L3402" s="4"/>
    </row>
    <row r="3403" spans="3:12">
      <c r="C3403" s="3"/>
      <c r="K3403" s="4"/>
      <c r="L3403" s="4"/>
    </row>
    <row r="3404" spans="3:12">
      <c r="C3404" s="3"/>
      <c r="K3404" s="4"/>
      <c r="L3404" s="4"/>
    </row>
    <row r="3405" spans="3:12">
      <c r="C3405" s="3"/>
      <c r="K3405" s="4"/>
      <c r="L3405" s="4"/>
    </row>
    <row r="3406" spans="3:12">
      <c r="C3406" s="3"/>
      <c r="K3406" s="4"/>
      <c r="L3406" s="4"/>
    </row>
    <row r="3407" spans="3:12">
      <c r="C3407" s="3"/>
      <c r="K3407" s="4"/>
      <c r="L3407" s="4"/>
    </row>
    <row r="3408" spans="3:12">
      <c r="C3408" s="3"/>
      <c r="K3408" s="4"/>
      <c r="L3408" s="4"/>
    </row>
    <row r="3409" spans="3:12">
      <c r="C3409" s="3"/>
      <c r="K3409" s="4"/>
      <c r="L3409" s="4"/>
    </row>
    <row r="3410" spans="3:12">
      <c r="C3410" s="3"/>
      <c r="K3410" s="4"/>
      <c r="L3410" s="4"/>
    </row>
    <row r="3411" spans="3:12">
      <c r="C3411" s="3"/>
      <c r="K3411" s="4"/>
      <c r="L3411" s="4"/>
    </row>
    <row r="3412" spans="3:12">
      <c r="C3412" s="3"/>
      <c r="K3412" s="4"/>
      <c r="L3412" s="4"/>
    </row>
    <row r="3413" spans="3:12">
      <c r="C3413" s="3"/>
      <c r="K3413" s="4"/>
      <c r="L3413" s="4"/>
    </row>
    <row r="3414" spans="3:12">
      <c r="C3414" s="3"/>
      <c r="K3414" s="4"/>
      <c r="L3414" s="4"/>
    </row>
    <row r="3415" spans="3:12">
      <c r="C3415" s="3"/>
      <c r="K3415" s="4"/>
      <c r="L3415" s="4"/>
    </row>
    <row r="3416" spans="3:12">
      <c r="C3416" s="3"/>
      <c r="K3416" s="4"/>
      <c r="L3416" s="4"/>
    </row>
    <row r="3417" spans="3:12">
      <c r="C3417" s="3"/>
      <c r="K3417" s="4"/>
      <c r="L3417" s="4"/>
    </row>
    <row r="3418" spans="3:12">
      <c r="C3418" s="3"/>
      <c r="K3418" s="4"/>
      <c r="L3418" s="4"/>
    </row>
    <row r="3419" spans="3:12">
      <c r="C3419" s="3"/>
      <c r="K3419" s="4"/>
      <c r="L3419" s="4"/>
    </row>
    <row r="3420" spans="3:12">
      <c r="C3420" s="3"/>
      <c r="K3420" s="4"/>
      <c r="L3420" s="4"/>
    </row>
    <row r="3421" spans="3:12">
      <c r="C3421" s="3"/>
      <c r="K3421" s="4"/>
      <c r="L3421" s="4"/>
    </row>
    <row r="3422" spans="3:12">
      <c r="C3422" s="3"/>
      <c r="K3422" s="4"/>
      <c r="L3422" s="4"/>
    </row>
    <row r="3423" spans="3:12">
      <c r="C3423" s="3"/>
      <c r="K3423" s="4"/>
      <c r="L3423" s="4"/>
    </row>
    <row r="3424" spans="3:12">
      <c r="C3424" s="3"/>
      <c r="K3424" s="4"/>
      <c r="L3424" s="4"/>
    </row>
    <row r="3425" spans="3:12">
      <c r="C3425" s="3"/>
      <c r="K3425" s="4"/>
      <c r="L3425" s="4"/>
    </row>
    <row r="3426" spans="3:12">
      <c r="C3426" s="3"/>
      <c r="K3426" s="4"/>
      <c r="L3426" s="4"/>
    </row>
    <row r="3427" spans="3:12">
      <c r="C3427" s="3"/>
      <c r="K3427" s="4"/>
      <c r="L3427" s="4"/>
    </row>
    <row r="3428" spans="3:12">
      <c r="C3428" s="3"/>
      <c r="K3428" s="4"/>
      <c r="L3428" s="4"/>
    </row>
    <row r="3429" spans="3:12">
      <c r="C3429" s="3"/>
      <c r="K3429" s="4"/>
      <c r="L3429" s="4"/>
    </row>
    <row r="3430" spans="3:12">
      <c r="C3430" s="3"/>
      <c r="K3430" s="4"/>
      <c r="L3430" s="4"/>
    </row>
    <row r="3431" spans="3:12">
      <c r="C3431" s="3"/>
      <c r="K3431" s="4"/>
      <c r="L3431" s="4"/>
    </row>
    <row r="3432" spans="3:12">
      <c r="C3432" s="3"/>
      <c r="K3432" s="4"/>
      <c r="L3432" s="4"/>
    </row>
    <row r="3433" spans="3:12">
      <c r="C3433" s="3"/>
      <c r="K3433" s="4"/>
      <c r="L3433" s="4"/>
    </row>
    <row r="3434" spans="3:12">
      <c r="C3434" s="3"/>
      <c r="K3434" s="4"/>
      <c r="L3434" s="4"/>
    </row>
    <row r="3435" spans="3:12">
      <c r="C3435" s="3"/>
      <c r="K3435" s="4"/>
      <c r="L3435" s="4"/>
    </row>
    <row r="3436" spans="3:12">
      <c r="C3436" s="3"/>
      <c r="K3436" s="4"/>
      <c r="L3436" s="4"/>
    </row>
    <row r="3437" spans="3:12">
      <c r="C3437" s="3"/>
      <c r="K3437" s="4"/>
      <c r="L3437" s="4"/>
    </row>
    <row r="3438" spans="3:12">
      <c r="C3438" s="3"/>
      <c r="K3438" s="4"/>
      <c r="L3438" s="4"/>
    </row>
    <row r="3439" spans="3:12">
      <c r="C3439" s="3"/>
      <c r="K3439" s="4"/>
      <c r="L3439" s="4"/>
    </row>
    <row r="3440" spans="3:12">
      <c r="C3440" s="3"/>
      <c r="K3440" s="4"/>
      <c r="L3440" s="4"/>
    </row>
    <row r="3441" spans="3:12">
      <c r="C3441" s="3"/>
      <c r="K3441" s="4"/>
      <c r="L3441" s="4"/>
    </row>
    <row r="3442" spans="3:12">
      <c r="C3442" s="3"/>
      <c r="K3442" s="4"/>
      <c r="L3442" s="4"/>
    </row>
    <row r="3443" spans="3:12">
      <c r="C3443" s="3"/>
      <c r="K3443" s="4"/>
      <c r="L3443" s="4"/>
    </row>
    <row r="3444" spans="3:12">
      <c r="C3444" s="3"/>
      <c r="K3444" s="4"/>
      <c r="L3444" s="4"/>
    </row>
    <row r="3445" spans="3:12">
      <c r="C3445" s="3"/>
      <c r="K3445" s="4"/>
      <c r="L3445" s="4"/>
    </row>
    <row r="3446" spans="3:12">
      <c r="C3446" s="3"/>
      <c r="K3446" s="4"/>
      <c r="L3446" s="4"/>
    </row>
    <row r="3447" spans="3:12">
      <c r="C3447" s="3"/>
      <c r="K3447" s="4"/>
      <c r="L3447" s="4"/>
    </row>
    <row r="3448" spans="3:12">
      <c r="C3448" s="3"/>
      <c r="K3448" s="4"/>
      <c r="L3448" s="4"/>
    </row>
    <row r="3449" spans="3:12">
      <c r="C3449" s="3"/>
      <c r="K3449" s="4"/>
      <c r="L3449" s="4"/>
    </row>
    <row r="3450" spans="3:12">
      <c r="C3450" s="3"/>
      <c r="K3450" s="4"/>
      <c r="L3450" s="4"/>
    </row>
    <row r="3451" spans="3:12">
      <c r="C3451" s="3"/>
      <c r="K3451" s="4"/>
      <c r="L3451" s="4"/>
    </row>
    <row r="3452" spans="3:12">
      <c r="C3452" s="3"/>
      <c r="K3452" s="4"/>
      <c r="L3452" s="4"/>
    </row>
    <row r="3453" spans="3:12">
      <c r="C3453" s="3"/>
      <c r="K3453" s="4"/>
      <c r="L3453" s="4"/>
    </row>
    <row r="3454" spans="3:12">
      <c r="C3454" s="3"/>
      <c r="K3454" s="4"/>
      <c r="L3454" s="4"/>
    </row>
    <row r="3455" spans="3:12">
      <c r="C3455" s="3"/>
      <c r="K3455" s="4"/>
      <c r="L3455" s="4"/>
    </row>
    <row r="3456" spans="3:12">
      <c r="C3456" s="3"/>
      <c r="K3456" s="4"/>
      <c r="L3456" s="4"/>
    </row>
    <row r="3457" spans="3:12">
      <c r="C3457" s="3"/>
      <c r="K3457" s="4"/>
      <c r="L3457" s="4"/>
    </row>
    <row r="3458" spans="3:12">
      <c r="C3458" s="3"/>
      <c r="K3458" s="4"/>
      <c r="L3458" s="4"/>
    </row>
    <row r="3459" spans="3:12">
      <c r="C3459" s="3"/>
      <c r="K3459" s="4"/>
      <c r="L3459" s="4"/>
    </row>
    <row r="3460" spans="3:12">
      <c r="C3460" s="3"/>
      <c r="K3460" s="4"/>
      <c r="L3460" s="4"/>
    </row>
    <row r="3461" spans="3:12">
      <c r="C3461" s="3"/>
      <c r="K3461" s="4"/>
      <c r="L3461" s="4"/>
    </row>
    <row r="3462" spans="3:12">
      <c r="C3462" s="3"/>
      <c r="K3462" s="4"/>
      <c r="L3462" s="4"/>
    </row>
    <row r="3463" spans="3:12">
      <c r="C3463" s="3"/>
      <c r="K3463" s="4"/>
      <c r="L3463" s="4"/>
    </row>
    <row r="3464" spans="3:12">
      <c r="C3464" s="3"/>
      <c r="K3464" s="4"/>
      <c r="L3464" s="4"/>
    </row>
    <row r="3465" spans="3:12">
      <c r="C3465" s="3"/>
      <c r="K3465" s="4"/>
      <c r="L3465" s="4"/>
    </row>
    <row r="3466" spans="3:12">
      <c r="C3466" s="3"/>
      <c r="K3466" s="4"/>
      <c r="L3466" s="4"/>
    </row>
    <row r="3467" spans="3:12">
      <c r="C3467" s="3"/>
      <c r="K3467" s="4"/>
      <c r="L3467" s="4"/>
    </row>
    <row r="3468" spans="3:12">
      <c r="C3468" s="3"/>
      <c r="K3468" s="4"/>
      <c r="L3468" s="4"/>
    </row>
    <row r="3469" spans="3:12">
      <c r="C3469" s="3"/>
      <c r="K3469" s="4"/>
      <c r="L3469" s="4"/>
    </row>
    <row r="3470" spans="3:12">
      <c r="C3470" s="3"/>
      <c r="K3470" s="4"/>
      <c r="L3470" s="4"/>
    </row>
    <row r="3471" spans="3:12">
      <c r="C3471" s="3"/>
      <c r="K3471" s="4"/>
      <c r="L3471" s="4"/>
    </row>
    <row r="3472" spans="3:12">
      <c r="C3472" s="3"/>
      <c r="K3472" s="4"/>
      <c r="L3472" s="4"/>
    </row>
    <row r="3473" spans="3:12">
      <c r="C3473" s="3"/>
      <c r="K3473" s="4"/>
      <c r="L3473" s="4"/>
    </row>
    <row r="3474" spans="3:12">
      <c r="C3474" s="3"/>
      <c r="K3474" s="4"/>
      <c r="L3474" s="4"/>
    </row>
    <row r="3475" spans="3:12">
      <c r="C3475" s="3"/>
      <c r="K3475" s="4"/>
      <c r="L3475" s="4"/>
    </row>
    <row r="3476" spans="3:12">
      <c r="C3476" s="3"/>
      <c r="K3476" s="4"/>
      <c r="L3476" s="4"/>
    </row>
    <row r="3477" spans="3:12">
      <c r="C3477" s="3"/>
      <c r="K3477" s="4"/>
      <c r="L3477" s="4"/>
    </row>
    <row r="3478" spans="3:12">
      <c r="C3478" s="3"/>
      <c r="K3478" s="4"/>
      <c r="L3478" s="4"/>
    </row>
    <row r="3479" spans="3:12">
      <c r="C3479" s="3"/>
      <c r="K3479" s="4"/>
      <c r="L3479" s="4"/>
    </row>
    <row r="3480" spans="3:12">
      <c r="C3480" s="3"/>
      <c r="K3480" s="4"/>
      <c r="L3480" s="4"/>
    </row>
    <row r="3481" spans="3:12">
      <c r="C3481" s="3"/>
      <c r="K3481" s="4"/>
      <c r="L3481" s="4"/>
    </row>
    <row r="3482" spans="3:12">
      <c r="C3482" s="3"/>
      <c r="K3482" s="4"/>
      <c r="L3482" s="4"/>
    </row>
    <row r="3483" spans="3:12">
      <c r="C3483" s="3"/>
      <c r="K3483" s="4"/>
      <c r="L3483" s="4"/>
    </row>
    <row r="3484" spans="3:12">
      <c r="C3484" s="3"/>
      <c r="K3484" s="4"/>
      <c r="L3484" s="4"/>
    </row>
    <row r="3485" spans="3:12">
      <c r="C3485" s="3"/>
      <c r="K3485" s="4"/>
      <c r="L3485" s="4"/>
    </row>
    <row r="3486" spans="3:12">
      <c r="C3486" s="3"/>
      <c r="K3486" s="4"/>
      <c r="L3486" s="4"/>
    </row>
    <row r="3487" spans="3:12">
      <c r="C3487" s="3"/>
      <c r="K3487" s="4"/>
      <c r="L3487" s="4"/>
    </row>
    <row r="3488" spans="3:12">
      <c r="C3488" s="3"/>
      <c r="K3488" s="4"/>
      <c r="L3488" s="4"/>
    </row>
    <row r="3489" spans="3:12">
      <c r="C3489" s="3"/>
      <c r="K3489" s="4"/>
      <c r="L3489" s="4"/>
    </row>
    <row r="3490" spans="3:12">
      <c r="C3490" s="3"/>
      <c r="K3490" s="4"/>
      <c r="L3490" s="4"/>
    </row>
    <row r="3491" spans="3:12">
      <c r="C3491" s="3"/>
      <c r="K3491" s="4"/>
      <c r="L3491" s="4"/>
    </row>
    <row r="3492" spans="3:12">
      <c r="C3492" s="3"/>
      <c r="K3492" s="4"/>
      <c r="L3492" s="4"/>
    </row>
    <row r="3493" spans="3:12">
      <c r="C3493" s="3"/>
      <c r="K3493" s="4"/>
      <c r="L3493" s="4"/>
    </row>
    <row r="3494" spans="3:12">
      <c r="C3494" s="3"/>
      <c r="K3494" s="4"/>
      <c r="L3494" s="4"/>
    </row>
    <row r="3495" spans="3:12">
      <c r="C3495" s="3"/>
      <c r="K3495" s="4"/>
      <c r="L3495" s="4"/>
    </row>
    <row r="3496" spans="3:12">
      <c r="C3496" s="3"/>
      <c r="K3496" s="4"/>
      <c r="L3496" s="4"/>
    </row>
    <row r="3497" spans="3:12">
      <c r="C3497" s="3"/>
      <c r="K3497" s="4"/>
      <c r="L3497" s="4"/>
    </row>
    <row r="3498" spans="3:12">
      <c r="C3498" s="3"/>
      <c r="K3498" s="4"/>
      <c r="L3498" s="4"/>
    </row>
    <row r="3499" spans="3:12">
      <c r="C3499" s="3"/>
      <c r="K3499" s="4"/>
      <c r="L3499" s="4"/>
    </row>
    <row r="3500" spans="3:12">
      <c r="C3500" s="3"/>
      <c r="K3500" s="4"/>
      <c r="L3500" s="4"/>
    </row>
    <row r="3501" spans="3:12">
      <c r="C3501" s="3"/>
      <c r="K3501" s="4"/>
      <c r="L3501" s="4"/>
    </row>
    <row r="3502" spans="3:12">
      <c r="C3502" s="3"/>
      <c r="K3502" s="4"/>
      <c r="L3502" s="4"/>
    </row>
    <row r="3503" spans="3:12">
      <c r="C3503" s="3"/>
      <c r="K3503" s="4"/>
      <c r="L3503" s="4"/>
    </row>
    <row r="3504" spans="3:12">
      <c r="C3504" s="3"/>
      <c r="K3504" s="4"/>
      <c r="L3504" s="4"/>
    </row>
    <row r="3505" spans="3:12">
      <c r="C3505" s="3"/>
      <c r="K3505" s="4"/>
      <c r="L3505" s="4"/>
    </row>
    <row r="3506" spans="3:12">
      <c r="C3506" s="3"/>
      <c r="K3506" s="4"/>
      <c r="L3506" s="4"/>
    </row>
    <row r="3507" spans="3:12">
      <c r="C3507" s="3"/>
      <c r="K3507" s="4"/>
      <c r="L3507" s="4"/>
    </row>
    <row r="3508" spans="3:12">
      <c r="C3508" s="3"/>
      <c r="K3508" s="4"/>
      <c r="L3508" s="4"/>
    </row>
    <row r="3509" spans="3:12">
      <c r="C3509" s="3"/>
      <c r="K3509" s="4"/>
      <c r="L3509" s="4"/>
    </row>
    <row r="3510" spans="3:12">
      <c r="C3510" s="3"/>
      <c r="K3510" s="4"/>
      <c r="L3510" s="4"/>
    </row>
    <row r="3511" spans="3:12">
      <c r="C3511" s="3"/>
      <c r="K3511" s="4"/>
      <c r="L3511" s="4"/>
    </row>
    <row r="3512" spans="3:12">
      <c r="C3512" s="3"/>
      <c r="K3512" s="4"/>
      <c r="L3512" s="4"/>
    </row>
    <row r="3513" spans="3:12">
      <c r="C3513" s="3"/>
      <c r="K3513" s="4"/>
      <c r="L3513" s="4"/>
    </row>
    <row r="3514" spans="3:12">
      <c r="C3514" s="3"/>
      <c r="K3514" s="4"/>
      <c r="L3514" s="4"/>
    </row>
    <row r="3515" spans="3:12">
      <c r="C3515" s="3"/>
      <c r="K3515" s="4"/>
      <c r="L3515" s="4"/>
    </row>
    <row r="3516" spans="3:12">
      <c r="C3516" s="3"/>
      <c r="K3516" s="4"/>
      <c r="L3516" s="4"/>
    </row>
    <row r="3517" spans="3:12">
      <c r="C3517" s="3"/>
      <c r="K3517" s="4"/>
      <c r="L3517" s="4"/>
    </row>
    <row r="3518" spans="3:12">
      <c r="C3518" s="3"/>
      <c r="K3518" s="4"/>
      <c r="L3518" s="4"/>
    </row>
    <row r="3519" spans="3:12">
      <c r="C3519" s="3"/>
      <c r="K3519" s="4"/>
      <c r="L3519" s="4"/>
    </row>
    <row r="3520" spans="3:12">
      <c r="C3520" s="3"/>
      <c r="K3520" s="4"/>
      <c r="L3520" s="4"/>
    </row>
    <row r="3521" spans="3:12">
      <c r="C3521" s="3"/>
      <c r="K3521" s="4"/>
      <c r="L3521" s="4"/>
    </row>
    <row r="3522" spans="3:12">
      <c r="C3522" s="3"/>
      <c r="K3522" s="4"/>
      <c r="L3522" s="4"/>
    </row>
    <row r="3523" spans="3:12">
      <c r="C3523" s="3"/>
      <c r="K3523" s="4"/>
      <c r="L3523" s="4"/>
    </row>
    <row r="3524" spans="3:12">
      <c r="C3524" s="3"/>
      <c r="K3524" s="4"/>
      <c r="L3524" s="4"/>
    </row>
    <row r="3525" spans="3:12">
      <c r="C3525" s="3"/>
      <c r="K3525" s="4"/>
      <c r="L3525" s="4"/>
    </row>
    <row r="3526" spans="3:12">
      <c r="C3526" s="3"/>
      <c r="K3526" s="4"/>
      <c r="L3526" s="4"/>
    </row>
    <row r="3527" spans="3:12">
      <c r="C3527" s="3"/>
      <c r="K3527" s="4"/>
      <c r="L3527" s="4"/>
    </row>
    <row r="3528" spans="3:12">
      <c r="C3528" s="3"/>
      <c r="K3528" s="4"/>
      <c r="L3528" s="4"/>
    </row>
    <row r="3529" spans="3:12">
      <c r="C3529" s="3"/>
      <c r="K3529" s="4"/>
      <c r="L3529" s="4"/>
    </row>
    <row r="3530" spans="3:12">
      <c r="C3530" s="3"/>
      <c r="K3530" s="4"/>
      <c r="L3530" s="4"/>
    </row>
    <row r="3531" spans="3:12">
      <c r="C3531" s="3"/>
      <c r="K3531" s="4"/>
      <c r="L3531" s="4"/>
    </row>
    <row r="3532" spans="3:12">
      <c r="C3532" s="3"/>
      <c r="K3532" s="4"/>
      <c r="L3532" s="4"/>
    </row>
    <row r="3533" spans="3:12">
      <c r="C3533" s="3"/>
      <c r="K3533" s="4"/>
      <c r="L3533" s="4"/>
    </row>
    <row r="3534" spans="3:12">
      <c r="C3534" s="3"/>
      <c r="K3534" s="4"/>
      <c r="L3534" s="4"/>
    </row>
    <row r="3535" spans="3:12">
      <c r="C3535" s="3"/>
      <c r="K3535" s="4"/>
      <c r="L3535" s="4"/>
    </row>
    <row r="3536" spans="3:12">
      <c r="C3536" s="3"/>
      <c r="K3536" s="4"/>
      <c r="L3536" s="4"/>
    </row>
    <row r="3537" spans="3:12">
      <c r="C3537" s="3"/>
      <c r="K3537" s="4"/>
      <c r="L3537" s="4"/>
    </row>
    <row r="3538" spans="3:12">
      <c r="C3538" s="3"/>
      <c r="K3538" s="4"/>
      <c r="L3538" s="4"/>
    </row>
    <row r="3539" spans="3:12">
      <c r="C3539" s="3"/>
      <c r="K3539" s="4"/>
      <c r="L3539" s="4"/>
    </row>
    <row r="3540" spans="3:12">
      <c r="C3540" s="3"/>
      <c r="K3540" s="4"/>
      <c r="L3540" s="4"/>
    </row>
    <row r="3541" spans="3:12">
      <c r="C3541" s="3"/>
      <c r="K3541" s="4"/>
      <c r="L3541" s="4"/>
    </row>
    <row r="3542" spans="3:12">
      <c r="C3542" s="3"/>
      <c r="K3542" s="4"/>
      <c r="L3542" s="4"/>
    </row>
    <row r="3543" spans="3:12">
      <c r="C3543" s="3"/>
      <c r="K3543" s="4"/>
      <c r="L3543" s="4"/>
    </row>
    <row r="3544" spans="3:12">
      <c r="C3544" s="3"/>
      <c r="K3544" s="4"/>
      <c r="L3544" s="4"/>
    </row>
    <row r="3545" spans="3:12">
      <c r="C3545" s="3"/>
      <c r="K3545" s="4"/>
      <c r="L3545" s="4"/>
    </row>
    <row r="3546" spans="3:12">
      <c r="C3546" s="3"/>
      <c r="K3546" s="4"/>
      <c r="L3546" s="4"/>
    </row>
    <row r="3547" spans="3:12">
      <c r="C3547" s="3"/>
      <c r="K3547" s="4"/>
      <c r="L3547" s="4"/>
    </row>
    <row r="3548" spans="3:12">
      <c r="C3548" s="3"/>
      <c r="K3548" s="4"/>
      <c r="L3548" s="4"/>
    </row>
    <row r="3549" spans="3:12">
      <c r="C3549" s="3"/>
      <c r="K3549" s="4"/>
      <c r="L3549" s="4"/>
    </row>
    <row r="3550" spans="3:12">
      <c r="C3550" s="3"/>
      <c r="K3550" s="4"/>
      <c r="L3550" s="4"/>
    </row>
    <row r="3551" spans="3:12">
      <c r="C3551" s="3"/>
      <c r="K3551" s="4"/>
      <c r="L3551" s="4"/>
    </row>
    <row r="3552" spans="3:12">
      <c r="C3552" s="3"/>
      <c r="K3552" s="4"/>
      <c r="L3552" s="4"/>
    </row>
    <row r="3553" spans="3:12">
      <c r="C3553" s="3"/>
      <c r="K3553" s="4"/>
      <c r="L3553" s="4"/>
    </row>
    <row r="3554" spans="3:12">
      <c r="C3554" s="3"/>
      <c r="K3554" s="4"/>
      <c r="L3554" s="4"/>
    </row>
    <row r="3555" spans="3:12">
      <c r="C3555" s="3"/>
      <c r="K3555" s="4"/>
      <c r="L3555" s="4"/>
    </row>
    <row r="3556" spans="3:12">
      <c r="C3556" s="3"/>
      <c r="K3556" s="4"/>
      <c r="L3556" s="4"/>
    </row>
    <row r="3557" spans="3:12">
      <c r="C3557" s="3"/>
      <c r="K3557" s="4"/>
      <c r="L3557" s="4"/>
    </row>
    <row r="3558" spans="3:12">
      <c r="C3558" s="3"/>
      <c r="K3558" s="4"/>
      <c r="L3558" s="4"/>
    </row>
    <row r="3559" spans="3:12">
      <c r="C3559" s="3"/>
      <c r="K3559" s="4"/>
      <c r="L3559" s="4"/>
    </row>
    <row r="3560" spans="3:12">
      <c r="C3560" s="3"/>
      <c r="K3560" s="4"/>
      <c r="L3560" s="4"/>
    </row>
    <row r="3561" spans="3:12">
      <c r="C3561" s="3"/>
      <c r="K3561" s="4"/>
      <c r="L3561" s="4"/>
    </row>
    <row r="3562" spans="3:12">
      <c r="C3562" s="3"/>
      <c r="K3562" s="4"/>
      <c r="L3562" s="4"/>
    </row>
    <row r="3563" spans="3:12">
      <c r="C3563" s="3"/>
      <c r="K3563" s="4"/>
      <c r="L3563" s="4"/>
    </row>
    <row r="3564" spans="3:12">
      <c r="C3564" s="3"/>
      <c r="K3564" s="4"/>
      <c r="L3564" s="4"/>
    </row>
    <row r="3565" spans="3:12">
      <c r="C3565" s="3"/>
      <c r="K3565" s="4"/>
      <c r="L3565" s="4"/>
    </row>
    <row r="3566" spans="3:12">
      <c r="C3566" s="3"/>
      <c r="K3566" s="4"/>
      <c r="L3566" s="4"/>
    </row>
    <row r="3567" spans="3:12">
      <c r="C3567" s="3"/>
      <c r="K3567" s="4"/>
      <c r="L3567" s="4"/>
    </row>
    <row r="3568" spans="3:12">
      <c r="C3568" s="3"/>
      <c r="K3568" s="4"/>
      <c r="L3568" s="4"/>
    </row>
    <row r="3569" spans="3:12">
      <c r="C3569" s="3"/>
      <c r="K3569" s="4"/>
      <c r="L3569" s="4"/>
    </row>
    <row r="3570" spans="3:12">
      <c r="C3570" s="3"/>
      <c r="K3570" s="4"/>
      <c r="L3570" s="4"/>
    </row>
    <row r="3571" spans="3:12">
      <c r="C3571" s="3"/>
      <c r="K3571" s="4"/>
      <c r="L3571" s="4"/>
    </row>
    <row r="3572" spans="3:12">
      <c r="C3572" s="3"/>
      <c r="K3572" s="4"/>
      <c r="L3572" s="4"/>
    </row>
    <row r="3573" spans="3:12">
      <c r="C3573" s="3"/>
      <c r="K3573" s="4"/>
      <c r="L3573" s="4"/>
    </row>
    <row r="3574" spans="3:12">
      <c r="C3574" s="3"/>
      <c r="K3574" s="4"/>
      <c r="L3574" s="4"/>
    </row>
    <row r="3575" spans="3:12">
      <c r="C3575" s="3"/>
      <c r="K3575" s="4"/>
      <c r="L3575" s="4"/>
    </row>
    <row r="3576" spans="3:12">
      <c r="C3576" s="3"/>
      <c r="K3576" s="4"/>
      <c r="L3576" s="4"/>
    </row>
    <row r="3577" spans="3:12">
      <c r="C3577" s="3"/>
      <c r="K3577" s="4"/>
      <c r="L3577" s="4"/>
    </row>
    <row r="3578" spans="3:12">
      <c r="C3578" s="3"/>
      <c r="K3578" s="4"/>
      <c r="L3578" s="4"/>
    </row>
    <row r="3579" spans="3:12">
      <c r="C3579" s="3"/>
      <c r="K3579" s="4"/>
      <c r="L3579" s="4"/>
    </row>
    <row r="3580" spans="3:12">
      <c r="C3580" s="3"/>
      <c r="K3580" s="4"/>
      <c r="L3580" s="4"/>
    </row>
    <row r="3581" spans="3:12">
      <c r="C3581" s="3"/>
      <c r="K3581" s="4"/>
      <c r="L3581" s="4"/>
    </row>
    <row r="3582" spans="3:12">
      <c r="C3582" s="3"/>
      <c r="K3582" s="4"/>
      <c r="L3582" s="4"/>
    </row>
    <row r="3583" spans="3:12">
      <c r="C3583" s="3"/>
      <c r="K3583" s="4"/>
      <c r="L3583" s="4"/>
    </row>
    <row r="3584" spans="3:12">
      <c r="C3584" s="3"/>
      <c r="K3584" s="4"/>
      <c r="L3584" s="4"/>
    </row>
    <row r="3585" spans="3:12">
      <c r="C3585" s="3"/>
      <c r="K3585" s="4"/>
      <c r="L3585" s="4"/>
    </row>
    <row r="3586" spans="3:12">
      <c r="C3586" s="3"/>
      <c r="K3586" s="4"/>
      <c r="L3586" s="4"/>
    </row>
    <row r="3587" spans="3:12">
      <c r="C3587" s="3"/>
      <c r="K3587" s="4"/>
      <c r="L3587" s="4"/>
    </row>
    <row r="3588" spans="3:12">
      <c r="C3588" s="3"/>
      <c r="K3588" s="4"/>
      <c r="L3588" s="4"/>
    </row>
    <row r="3589" spans="3:12">
      <c r="C3589" s="3"/>
      <c r="K3589" s="4"/>
      <c r="L3589" s="4"/>
    </row>
    <row r="3590" spans="3:12">
      <c r="C3590" s="3"/>
      <c r="K3590" s="4"/>
      <c r="L3590" s="4"/>
    </row>
    <row r="3591" spans="3:12">
      <c r="C3591" s="3"/>
      <c r="K3591" s="4"/>
      <c r="L3591" s="4"/>
    </row>
    <row r="3592" spans="3:12">
      <c r="C3592" s="3"/>
      <c r="K3592" s="4"/>
      <c r="L3592" s="4"/>
    </row>
    <row r="3593" spans="3:12">
      <c r="C3593" s="3"/>
      <c r="K3593" s="4"/>
      <c r="L3593" s="4"/>
    </row>
    <row r="3594" spans="3:12">
      <c r="C3594" s="3"/>
      <c r="K3594" s="4"/>
      <c r="L3594" s="4"/>
    </row>
    <row r="3595" spans="3:12">
      <c r="C3595" s="3"/>
      <c r="K3595" s="4"/>
      <c r="L3595" s="4"/>
    </row>
    <row r="3596" spans="3:12">
      <c r="C3596" s="3"/>
      <c r="K3596" s="4"/>
      <c r="L3596" s="4"/>
    </row>
    <row r="3597" spans="3:12">
      <c r="C3597" s="3"/>
      <c r="K3597" s="4"/>
      <c r="L3597" s="4"/>
    </row>
    <row r="3598" spans="3:12">
      <c r="C3598" s="3"/>
      <c r="K3598" s="4"/>
      <c r="L3598" s="4"/>
    </row>
    <row r="3599" spans="3:12">
      <c r="C3599" s="3"/>
      <c r="K3599" s="4"/>
      <c r="L3599" s="4"/>
    </row>
    <row r="3600" spans="3:12">
      <c r="C3600" s="3"/>
      <c r="K3600" s="4"/>
      <c r="L3600" s="4"/>
    </row>
    <row r="3601" spans="3:12">
      <c r="C3601" s="3"/>
      <c r="K3601" s="4"/>
      <c r="L3601" s="4"/>
    </row>
    <row r="3602" spans="3:12">
      <c r="C3602" s="3"/>
      <c r="K3602" s="4"/>
      <c r="L3602" s="4"/>
    </row>
    <row r="3603" spans="3:12">
      <c r="C3603" s="3"/>
      <c r="K3603" s="4"/>
      <c r="L3603" s="4"/>
    </row>
    <row r="3604" spans="3:12">
      <c r="C3604" s="3"/>
      <c r="K3604" s="4"/>
      <c r="L3604" s="4"/>
    </row>
    <row r="3605" spans="3:12">
      <c r="C3605" s="3"/>
      <c r="K3605" s="4"/>
      <c r="L3605" s="4"/>
    </row>
    <row r="3606" spans="3:12">
      <c r="C3606" s="3"/>
      <c r="K3606" s="4"/>
      <c r="L3606" s="4"/>
    </row>
    <row r="3607" spans="3:12">
      <c r="C3607" s="3"/>
      <c r="K3607" s="4"/>
      <c r="L3607" s="4"/>
    </row>
    <row r="3608" spans="3:12">
      <c r="C3608" s="3"/>
      <c r="K3608" s="4"/>
      <c r="L3608" s="4"/>
    </row>
    <row r="3609" spans="3:12">
      <c r="C3609" s="3"/>
      <c r="K3609" s="4"/>
      <c r="L3609" s="4"/>
    </row>
    <row r="3610" spans="3:12">
      <c r="C3610" s="3"/>
      <c r="K3610" s="4"/>
      <c r="L3610" s="4"/>
    </row>
    <row r="3611" spans="3:12">
      <c r="C3611" s="3"/>
      <c r="K3611" s="4"/>
      <c r="L3611" s="4"/>
    </row>
    <row r="3612" spans="3:12">
      <c r="C3612" s="3"/>
      <c r="K3612" s="4"/>
      <c r="L3612" s="4"/>
    </row>
    <row r="3613" spans="3:12">
      <c r="C3613" s="3"/>
      <c r="K3613" s="4"/>
      <c r="L3613" s="4"/>
    </row>
    <row r="3614" spans="3:12">
      <c r="C3614" s="3"/>
      <c r="K3614" s="4"/>
      <c r="L3614" s="4"/>
    </row>
    <row r="3615" spans="3:12">
      <c r="C3615" s="3"/>
      <c r="K3615" s="4"/>
      <c r="L3615" s="4"/>
    </row>
    <row r="3616" spans="3:12">
      <c r="C3616" s="3"/>
      <c r="K3616" s="4"/>
      <c r="L3616" s="4"/>
    </row>
    <row r="3617" spans="3:12">
      <c r="C3617" s="3"/>
      <c r="K3617" s="4"/>
      <c r="L3617" s="4"/>
    </row>
    <row r="3618" spans="3:12">
      <c r="C3618" s="3"/>
      <c r="K3618" s="4"/>
      <c r="L3618" s="4"/>
    </row>
    <row r="3619" spans="3:12">
      <c r="C3619" s="3"/>
      <c r="K3619" s="4"/>
      <c r="L3619" s="4"/>
    </row>
    <row r="3620" spans="3:12">
      <c r="C3620" s="3"/>
      <c r="K3620" s="4"/>
      <c r="L3620" s="4"/>
    </row>
    <row r="3621" spans="3:12">
      <c r="C3621" s="3"/>
      <c r="K3621" s="4"/>
      <c r="L3621" s="4"/>
    </row>
    <row r="3622" spans="3:12">
      <c r="C3622" s="3"/>
      <c r="K3622" s="4"/>
      <c r="L3622" s="4"/>
    </row>
    <row r="3623" spans="3:12">
      <c r="C3623" s="3"/>
      <c r="K3623" s="4"/>
      <c r="L3623" s="4"/>
    </row>
    <row r="3624" spans="3:12">
      <c r="C3624" s="3"/>
      <c r="K3624" s="4"/>
      <c r="L3624" s="4"/>
    </row>
    <row r="3625" spans="3:12">
      <c r="C3625" s="3"/>
      <c r="K3625" s="4"/>
      <c r="L3625" s="4"/>
    </row>
    <row r="3626" spans="3:12">
      <c r="C3626" s="3"/>
      <c r="K3626" s="4"/>
      <c r="L3626" s="4"/>
    </row>
    <row r="3627" spans="3:12">
      <c r="C3627" s="3"/>
      <c r="K3627" s="4"/>
      <c r="L3627" s="4"/>
    </row>
    <row r="3628" spans="3:12">
      <c r="C3628" s="3"/>
      <c r="K3628" s="4"/>
      <c r="L3628" s="4"/>
    </row>
    <row r="3629" spans="3:12">
      <c r="C3629" s="3"/>
      <c r="K3629" s="4"/>
      <c r="L3629" s="4"/>
    </row>
    <row r="3630" spans="3:12">
      <c r="C3630" s="3"/>
      <c r="K3630" s="4"/>
      <c r="L3630" s="4"/>
    </row>
    <row r="3631" spans="3:12">
      <c r="C3631" s="3"/>
      <c r="K3631" s="4"/>
      <c r="L3631" s="4"/>
    </row>
    <row r="3632" spans="3:12">
      <c r="C3632" s="3"/>
      <c r="K3632" s="4"/>
      <c r="L3632" s="4"/>
    </row>
    <row r="3633" spans="3:12">
      <c r="C3633" s="3"/>
      <c r="K3633" s="4"/>
      <c r="L3633" s="4"/>
    </row>
    <row r="3634" spans="3:12">
      <c r="C3634" s="3"/>
      <c r="K3634" s="4"/>
      <c r="L3634" s="4"/>
    </row>
    <row r="3635" spans="3:12">
      <c r="C3635" s="3"/>
      <c r="K3635" s="4"/>
      <c r="L3635" s="4"/>
    </row>
    <row r="3636" spans="3:12">
      <c r="C3636" s="3"/>
      <c r="K3636" s="4"/>
      <c r="L3636" s="4"/>
    </row>
    <row r="3637" spans="3:12">
      <c r="C3637" s="3"/>
      <c r="K3637" s="4"/>
      <c r="L3637" s="4"/>
    </row>
    <row r="3638" spans="3:12">
      <c r="C3638" s="3"/>
      <c r="K3638" s="4"/>
      <c r="L3638" s="4"/>
    </row>
    <row r="3639" spans="3:12">
      <c r="C3639" s="3"/>
      <c r="K3639" s="4"/>
      <c r="L3639" s="4"/>
    </row>
    <row r="3640" spans="3:12">
      <c r="C3640" s="3"/>
      <c r="K3640" s="4"/>
      <c r="L3640" s="4"/>
    </row>
    <row r="3641" spans="3:12">
      <c r="C3641" s="3"/>
      <c r="K3641" s="4"/>
      <c r="L3641" s="4"/>
    </row>
    <row r="3642" spans="3:12">
      <c r="C3642" s="3"/>
      <c r="K3642" s="4"/>
      <c r="L3642" s="4"/>
    </row>
    <row r="3643" spans="3:12">
      <c r="C3643" s="3"/>
      <c r="K3643" s="4"/>
      <c r="L3643" s="4"/>
    </row>
    <row r="3644" spans="3:12">
      <c r="C3644" s="3"/>
      <c r="K3644" s="4"/>
      <c r="L3644" s="4"/>
    </row>
    <row r="3645" spans="3:12">
      <c r="C3645" s="3"/>
      <c r="K3645" s="4"/>
      <c r="L3645" s="4"/>
    </row>
    <row r="3646" spans="3:12">
      <c r="C3646" s="3"/>
      <c r="K3646" s="4"/>
      <c r="L3646" s="4"/>
    </row>
    <row r="3647" spans="3:12">
      <c r="C3647" s="3"/>
      <c r="K3647" s="4"/>
      <c r="L3647" s="4"/>
    </row>
    <row r="3648" spans="3:12">
      <c r="C3648" s="3"/>
      <c r="K3648" s="4"/>
      <c r="L3648" s="4"/>
    </row>
    <row r="3649" spans="3:12">
      <c r="C3649" s="3"/>
      <c r="K3649" s="4"/>
      <c r="L3649" s="4"/>
    </row>
    <row r="3650" spans="3:12">
      <c r="C3650" s="3"/>
      <c r="K3650" s="4"/>
      <c r="L3650" s="4"/>
    </row>
    <row r="3651" spans="3:12">
      <c r="C3651" s="3"/>
      <c r="K3651" s="4"/>
      <c r="L3651" s="4"/>
    </row>
    <row r="3652" spans="3:12">
      <c r="C3652" s="3"/>
      <c r="K3652" s="4"/>
      <c r="L3652" s="4"/>
    </row>
    <row r="3653" spans="3:12">
      <c r="C3653" s="3"/>
      <c r="K3653" s="4"/>
      <c r="L3653" s="4"/>
    </row>
    <row r="3654" spans="3:12">
      <c r="C3654" s="3"/>
      <c r="K3654" s="4"/>
      <c r="L3654" s="4"/>
    </row>
    <row r="3655" spans="3:12">
      <c r="C3655" s="3"/>
      <c r="K3655" s="4"/>
      <c r="L3655" s="4"/>
    </row>
    <row r="3656" spans="3:12">
      <c r="C3656" s="3"/>
      <c r="K3656" s="4"/>
      <c r="L3656" s="4"/>
    </row>
    <row r="3657" spans="3:12">
      <c r="C3657" s="3"/>
      <c r="K3657" s="4"/>
      <c r="L3657" s="4"/>
    </row>
    <row r="3658" spans="3:12">
      <c r="C3658" s="3"/>
      <c r="K3658" s="4"/>
      <c r="L3658" s="4"/>
    </row>
    <row r="3659" spans="3:12">
      <c r="C3659" s="3"/>
      <c r="K3659" s="4"/>
      <c r="L3659" s="4"/>
    </row>
    <row r="3660" spans="3:12">
      <c r="C3660" s="3"/>
      <c r="K3660" s="4"/>
      <c r="L3660" s="4"/>
    </row>
    <row r="3661" spans="3:12">
      <c r="C3661" s="3"/>
      <c r="K3661" s="4"/>
      <c r="L3661" s="4"/>
    </row>
    <row r="3662" spans="3:12">
      <c r="C3662" s="3"/>
      <c r="K3662" s="4"/>
      <c r="L3662" s="4"/>
    </row>
    <row r="3663" spans="3:12">
      <c r="C3663" s="3"/>
      <c r="K3663" s="4"/>
      <c r="L3663" s="4"/>
    </row>
    <row r="3664" spans="3:12">
      <c r="C3664" s="3"/>
      <c r="K3664" s="4"/>
      <c r="L3664" s="4"/>
    </row>
    <row r="3665" spans="3:12">
      <c r="C3665" s="3"/>
      <c r="K3665" s="4"/>
      <c r="L3665" s="4"/>
    </row>
    <row r="3666" spans="3:12">
      <c r="C3666" s="3"/>
      <c r="K3666" s="4"/>
      <c r="L3666" s="4"/>
    </row>
    <row r="3667" spans="3:12">
      <c r="C3667" s="3"/>
      <c r="K3667" s="4"/>
      <c r="L3667" s="4"/>
    </row>
    <row r="3668" spans="3:12">
      <c r="C3668" s="3"/>
      <c r="K3668" s="4"/>
      <c r="L3668" s="4"/>
    </row>
    <row r="3669" spans="3:12">
      <c r="C3669" s="3"/>
      <c r="K3669" s="4"/>
      <c r="L3669" s="4"/>
    </row>
    <row r="3670" spans="3:12">
      <c r="C3670" s="3"/>
      <c r="K3670" s="4"/>
      <c r="L3670" s="4"/>
    </row>
    <row r="3671" spans="3:12">
      <c r="C3671" s="3"/>
      <c r="K3671" s="4"/>
      <c r="L3671" s="4"/>
    </row>
    <row r="3672" spans="3:12">
      <c r="C3672" s="3"/>
      <c r="K3672" s="4"/>
      <c r="L3672" s="4"/>
    </row>
    <row r="3673" spans="3:12">
      <c r="C3673" s="3"/>
      <c r="K3673" s="4"/>
      <c r="L3673" s="4"/>
    </row>
    <row r="3674" spans="3:12">
      <c r="C3674" s="3"/>
      <c r="K3674" s="4"/>
      <c r="L3674" s="4"/>
    </row>
    <row r="3675" spans="3:12">
      <c r="C3675" s="3"/>
      <c r="K3675" s="4"/>
      <c r="L3675" s="4"/>
    </row>
    <row r="3676" spans="3:12">
      <c r="C3676" s="3"/>
      <c r="K3676" s="4"/>
      <c r="L3676" s="4"/>
    </row>
    <row r="3677" spans="3:12">
      <c r="C3677" s="3"/>
      <c r="K3677" s="4"/>
      <c r="L3677" s="4"/>
    </row>
    <row r="3678" spans="3:12">
      <c r="C3678" s="3"/>
      <c r="K3678" s="4"/>
      <c r="L3678" s="4"/>
    </row>
    <row r="3679" spans="3:12">
      <c r="C3679" s="3"/>
      <c r="K3679" s="4"/>
      <c r="L3679" s="4"/>
    </row>
    <row r="3680" spans="3:12">
      <c r="C3680" s="3"/>
      <c r="K3680" s="4"/>
      <c r="L3680" s="4"/>
    </row>
    <row r="3681" spans="3:12">
      <c r="C3681" s="3"/>
      <c r="K3681" s="4"/>
      <c r="L3681" s="4"/>
    </row>
    <row r="3682" spans="3:12">
      <c r="C3682" s="3"/>
      <c r="K3682" s="4"/>
      <c r="L3682" s="4"/>
    </row>
    <row r="3683" spans="3:12">
      <c r="C3683" s="3"/>
      <c r="K3683" s="4"/>
      <c r="L3683" s="4"/>
    </row>
    <row r="3684" spans="3:12">
      <c r="C3684" s="3"/>
      <c r="K3684" s="4"/>
      <c r="L3684" s="4"/>
    </row>
    <row r="3685" spans="3:12">
      <c r="C3685" s="3"/>
      <c r="K3685" s="4"/>
      <c r="L3685" s="4"/>
    </row>
    <row r="3686" spans="3:12">
      <c r="C3686" s="3"/>
      <c r="K3686" s="4"/>
      <c r="L3686" s="4"/>
    </row>
    <row r="3687" spans="3:12">
      <c r="C3687" s="3"/>
      <c r="K3687" s="4"/>
      <c r="L3687" s="4"/>
    </row>
    <row r="3688" spans="3:12">
      <c r="C3688" s="3"/>
      <c r="K3688" s="4"/>
      <c r="L3688" s="4"/>
    </row>
    <row r="3689" spans="3:12">
      <c r="C3689" s="3"/>
      <c r="K3689" s="4"/>
      <c r="L3689" s="4"/>
    </row>
    <row r="3690" spans="3:12">
      <c r="C3690" s="3"/>
      <c r="K3690" s="4"/>
      <c r="L3690" s="4"/>
    </row>
    <row r="3691" spans="3:12">
      <c r="C3691" s="3"/>
      <c r="K3691" s="4"/>
      <c r="L3691" s="4"/>
    </row>
    <row r="3692" spans="3:12">
      <c r="C3692" s="3"/>
      <c r="K3692" s="4"/>
      <c r="L3692" s="4"/>
    </row>
    <row r="3693" spans="3:12">
      <c r="C3693" s="3"/>
      <c r="K3693" s="4"/>
      <c r="L3693" s="4"/>
    </row>
    <row r="3694" spans="3:12">
      <c r="C3694" s="3"/>
      <c r="K3694" s="4"/>
      <c r="L3694" s="4"/>
    </row>
    <row r="3695" spans="3:12">
      <c r="C3695" s="3"/>
      <c r="K3695" s="4"/>
      <c r="L3695" s="4"/>
    </row>
    <row r="3696" spans="3:12">
      <c r="C3696" s="3"/>
      <c r="K3696" s="4"/>
      <c r="L3696" s="4"/>
    </row>
    <row r="3697" spans="3:12">
      <c r="C3697" s="3"/>
      <c r="K3697" s="4"/>
      <c r="L3697" s="4"/>
    </row>
    <row r="3698" spans="3:12">
      <c r="C3698" s="3"/>
      <c r="K3698" s="4"/>
      <c r="L3698" s="4"/>
    </row>
    <row r="3699" spans="3:12">
      <c r="C3699" s="3"/>
      <c r="K3699" s="4"/>
      <c r="L3699" s="4"/>
    </row>
    <row r="3700" spans="3:12">
      <c r="C3700" s="3"/>
      <c r="K3700" s="4"/>
      <c r="L3700" s="4"/>
    </row>
    <row r="3701" spans="3:12">
      <c r="C3701" s="3"/>
      <c r="K3701" s="4"/>
      <c r="L3701" s="4"/>
    </row>
    <row r="3702" spans="3:12">
      <c r="C3702" s="3"/>
      <c r="K3702" s="4"/>
      <c r="L3702" s="4"/>
    </row>
    <row r="3703" spans="3:12">
      <c r="C3703" s="3"/>
      <c r="K3703" s="4"/>
      <c r="L3703" s="4"/>
    </row>
    <row r="3704" spans="3:12">
      <c r="C3704" s="3"/>
      <c r="K3704" s="4"/>
      <c r="L3704" s="4"/>
    </row>
    <row r="3705" spans="3:12">
      <c r="C3705" s="3"/>
      <c r="K3705" s="4"/>
      <c r="L3705" s="4"/>
    </row>
    <row r="3706" spans="3:12">
      <c r="C3706" s="3"/>
      <c r="K3706" s="4"/>
      <c r="L3706" s="4"/>
    </row>
    <row r="3707" spans="3:12">
      <c r="C3707" s="3"/>
      <c r="K3707" s="4"/>
      <c r="L3707" s="4"/>
    </row>
    <row r="3708" spans="3:12">
      <c r="C3708" s="3"/>
      <c r="K3708" s="4"/>
      <c r="L3708" s="4"/>
    </row>
    <row r="3709" spans="3:12">
      <c r="C3709" s="3"/>
      <c r="K3709" s="4"/>
      <c r="L3709" s="4"/>
    </row>
    <row r="3710" spans="3:12">
      <c r="C3710" s="3"/>
      <c r="K3710" s="4"/>
      <c r="L3710" s="4"/>
    </row>
    <row r="3711" spans="3:12">
      <c r="C3711" s="3"/>
      <c r="K3711" s="4"/>
      <c r="L3711" s="4"/>
    </row>
    <row r="3712" spans="3:12">
      <c r="C3712" s="3"/>
      <c r="K3712" s="4"/>
      <c r="L3712" s="4"/>
    </row>
    <row r="3713" spans="3:12">
      <c r="C3713" s="3"/>
      <c r="K3713" s="4"/>
      <c r="L3713" s="4"/>
    </row>
    <row r="3714" spans="3:12">
      <c r="C3714" s="3"/>
      <c r="K3714" s="4"/>
      <c r="L3714" s="4"/>
    </row>
    <row r="3715" spans="3:12">
      <c r="C3715" s="3"/>
      <c r="K3715" s="4"/>
      <c r="L3715" s="4"/>
    </row>
    <row r="3716" spans="3:12">
      <c r="C3716" s="3"/>
      <c r="K3716" s="4"/>
      <c r="L3716" s="4"/>
    </row>
    <row r="3717" spans="3:12">
      <c r="C3717" s="3"/>
      <c r="K3717" s="4"/>
      <c r="L3717" s="4"/>
    </row>
    <row r="3718" spans="3:12">
      <c r="C3718" s="3"/>
      <c r="K3718" s="4"/>
      <c r="L3718" s="4"/>
    </row>
    <row r="3719" spans="3:12">
      <c r="C3719" s="3"/>
      <c r="K3719" s="4"/>
      <c r="L3719" s="4"/>
    </row>
    <row r="3720" spans="3:12">
      <c r="C3720" s="3"/>
      <c r="K3720" s="4"/>
      <c r="L3720" s="4"/>
    </row>
    <row r="3721" spans="3:12">
      <c r="C3721" s="3"/>
      <c r="K3721" s="4"/>
      <c r="L3721" s="4"/>
    </row>
    <row r="3722" spans="3:12">
      <c r="C3722" s="3"/>
      <c r="K3722" s="4"/>
      <c r="L3722" s="4"/>
    </row>
    <row r="3723" spans="3:12">
      <c r="C3723" s="3"/>
      <c r="K3723" s="4"/>
      <c r="L3723" s="4"/>
    </row>
    <row r="3724" spans="3:12">
      <c r="C3724" s="3"/>
      <c r="K3724" s="4"/>
      <c r="L3724" s="4"/>
    </row>
    <row r="3725" spans="3:12">
      <c r="C3725" s="3"/>
      <c r="K3725" s="4"/>
      <c r="L3725" s="4"/>
    </row>
    <row r="3726" spans="3:12">
      <c r="C3726" s="3"/>
      <c r="K3726" s="4"/>
      <c r="L3726" s="4"/>
    </row>
    <row r="3727" spans="3:12">
      <c r="C3727" s="3"/>
      <c r="K3727" s="4"/>
      <c r="L3727" s="4"/>
    </row>
    <row r="3728" spans="3:12">
      <c r="C3728" s="3"/>
      <c r="K3728" s="4"/>
      <c r="L3728" s="4"/>
    </row>
    <row r="3729" spans="3:12">
      <c r="C3729" s="3"/>
      <c r="K3729" s="4"/>
      <c r="L3729" s="4"/>
    </row>
    <row r="3730" spans="3:12">
      <c r="C3730" s="3"/>
      <c r="K3730" s="4"/>
      <c r="L3730" s="4"/>
    </row>
    <row r="3731" spans="3:12">
      <c r="C3731" s="3"/>
      <c r="K3731" s="4"/>
      <c r="L3731" s="4"/>
    </row>
    <row r="3732" spans="3:12">
      <c r="C3732" s="3"/>
      <c r="K3732" s="4"/>
      <c r="L3732" s="4"/>
    </row>
    <row r="3733" spans="3:12">
      <c r="C3733" s="3"/>
      <c r="K3733" s="4"/>
      <c r="L3733" s="4"/>
    </row>
    <row r="3734" spans="3:12">
      <c r="C3734" s="3"/>
      <c r="K3734" s="4"/>
      <c r="L3734" s="4"/>
    </row>
    <row r="3735" spans="3:12">
      <c r="C3735" s="3"/>
      <c r="K3735" s="4"/>
      <c r="L3735" s="4"/>
    </row>
    <row r="3736" spans="3:12">
      <c r="C3736" s="3"/>
      <c r="K3736" s="4"/>
      <c r="L3736" s="4"/>
    </row>
    <row r="3737" spans="3:12">
      <c r="C3737" s="3"/>
      <c r="K3737" s="4"/>
      <c r="L3737" s="4"/>
    </row>
    <row r="3738" spans="3:12">
      <c r="C3738" s="3"/>
      <c r="K3738" s="4"/>
      <c r="L3738" s="4"/>
    </row>
    <row r="3739" spans="3:12">
      <c r="C3739" s="3"/>
      <c r="K3739" s="4"/>
      <c r="L3739" s="4"/>
    </row>
    <row r="3740" spans="3:12">
      <c r="C3740" s="3"/>
      <c r="K3740" s="4"/>
      <c r="L3740" s="4"/>
    </row>
    <row r="3741" spans="3:12">
      <c r="C3741" s="3"/>
      <c r="K3741" s="4"/>
      <c r="L3741" s="4"/>
    </row>
    <row r="3742" spans="3:12">
      <c r="C3742" s="3"/>
      <c r="K3742" s="4"/>
      <c r="L3742" s="4"/>
    </row>
    <row r="3743" spans="3:12">
      <c r="C3743" s="3"/>
      <c r="K3743" s="4"/>
      <c r="L3743" s="4"/>
    </row>
    <row r="3744" spans="3:12">
      <c r="C3744" s="3"/>
      <c r="K3744" s="4"/>
      <c r="L3744" s="4"/>
    </row>
    <row r="3745" spans="3:12">
      <c r="C3745" s="3"/>
      <c r="K3745" s="4"/>
      <c r="L3745" s="4"/>
    </row>
    <row r="3746" spans="3:12">
      <c r="C3746" s="3"/>
      <c r="K3746" s="4"/>
      <c r="L3746" s="4"/>
    </row>
    <row r="3747" spans="3:12">
      <c r="C3747" s="3"/>
      <c r="K3747" s="4"/>
      <c r="L3747" s="4"/>
    </row>
    <row r="3748" spans="3:12">
      <c r="C3748" s="3"/>
      <c r="K3748" s="4"/>
      <c r="L3748" s="4"/>
    </row>
    <row r="3749" spans="3:12">
      <c r="C3749" s="3"/>
      <c r="K3749" s="4"/>
      <c r="L3749" s="4"/>
    </row>
    <row r="3750" spans="3:12">
      <c r="C3750" s="3"/>
      <c r="K3750" s="4"/>
      <c r="L3750" s="4"/>
    </row>
    <row r="3751" spans="3:12">
      <c r="C3751" s="3"/>
      <c r="K3751" s="4"/>
      <c r="L3751" s="4"/>
    </row>
    <row r="3752" spans="3:12">
      <c r="C3752" s="3"/>
      <c r="K3752" s="4"/>
      <c r="L3752" s="4"/>
    </row>
    <row r="3753" spans="3:12">
      <c r="C3753" s="3"/>
      <c r="K3753" s="4"/>
      <c r="L3753" s="4"/>
    </row>
    <row r="3754" spans="3:12">
      <c r="C3754" s="3"/>
      <c r="K3754" s="4"/>
      <c r="L3754" s="4"/>
    </row>
    <row r="3755" spans="3:12">
      <c r="C3755" s="3"/>
      <c r="K3755" s="4"/>
      <c r="L3755" s="4"/>
    </row>
    <row r="3756" spans="3:12">
      <c r="C3756" s="3"/>
      <c r="K3756" s="4"/>
      <c r="L3756" s="4"/>
    </row>
    <row r="3757" spans="3:12">
      <c r="C3757" s="3"/>
      <c r="K3757" s="4"/>
      <c r="L3757" s="4"/>
    </row>
    <row r="3758" spans="3:12">
      <c r="C3758" s="3"/>
      <c r="K3758" s="4"/>
      <c r="L3758" s="4"/>
    </row>
    <row r="3759" spans="3:12">
      <c r="C3759" s="3"/>
      <c r="K3759" s="4"/>
      <c r="L3759" s="4"/>
    </row>
    <row r="3760" spans="3:12">
      <c r="C3760" s="3"/>
      <c r="K3760" s="4"/>
      <c r="L3760" s="4"/>
    </row>
    <row r="3761" spans="3:12">
      <c r="C3761" s="3"/>
      <c r="K3761" s="4"/>
      <c r="L3761" s="4"/>
    </row>
    <row r="3762" spans="3:12">
      <c r="C3762" s="3"/>
      <c r="K3762" s="4"/>
      <c r="L3762" s="4"/>
    </row>
    <row r="3763" spans="3:12">
      <c r="C3763" s="3"/>
      <c r="K3763" s="4"/>
      <c r="L3763" s="4"/>
    </row>
    <row r="3764" spans="3:12">
      <c r="C3764" s="3"/>
      <c r="K3764" s="4"/>
      <c r="L3764" s="4"/>
    </row>
    <row r="3765" spans="3:12">
      <c r="C3765" s="3"/>
      <c r="K3765" s="4"/>
      <c r="L3765" s="4"/>
    </row>
    <row r="3766" spans="3:12">
      <c r="C3766" s="3"/>
      <c r="K3766" s="4"/>
      <c r="L3766" s="4"/>
    </row>
    <row r="3767" spans="3:12">
      <c r="C3767" s="3"/>
      <c r="K3767" s="4"/>
      <c r="L3767" s="4"/>
    </row>
    <row r="3768" spans="3:12">
      <c r="C3768" s="3"/>
      <c r="K3768" s="4"/>
      <c r="L3768" s="4"/>
    </row>
    <row r="3769" spans="3:12">
      <c r="C3769" s="3"/>
      <c r="K3769" s="4"/>
      <c r="L3769" s="4"/>
    </row>
    <row r="3770" spans="3:12">
      <c r="C3770" s="3"/>
      <c r="K3770" s="4"/>
      <c r="L3770" s="4"/>
    </row>
    <row r="3771" spans="3:12">
      <c r="C3771" s="3"/>
      <c r="K3771" s="4"/>
      <c r="L3771" s="4"/>
    </row>
    <row r="3772" spans="3:12">
      <c r="C3772" s="3"/>
      <c r="K3772" s="4"/>
      <c r="L3772" s="4"/>
    </row>
    <row r="3773" spans="3:12">
      <c r="C3773" s="3"/>
      <c r="K3773" s="4"/>
      <c r="L3773" s="4"/>
    </row>
    <row r="3774" spans="3:12">
      <c r="C3774" s="3"/>
      <c r="K3774" s="4"/>
      <c r="L3774" s="4"/>
    </row>
    <row r="3775" spans="3:12">
      <c r="C3775" s="3"/>
      <c r="K3775" s="4"/>
      <c r="L3775" s="4"/>
    </row>
    <row r="3776" spans="3:12">
      <c r="C3776" s="3"/>
      <c r="K3776" s="4"/>
      <c r="L3776" s="4"/>
    </row>
    <row r="3777" spans="3:12">
      <c r="C3777" s="3"/>
      <c r="K3777" s="4"/>
      <c r="L3777" s="4"/>
    </row>
    <row r="3778" spans="3:12">
      <c r="C3778" s="3"/>
      <c r="K3778" s="4"/>
      <c r="L3778" s="4"/>
    </row>
    <row r="3779" spans="3:12">
      <c r="C3779" s="3"/>
      <c r="K3779" s="4"/>
      <c r="L3779" s="4"/>
    </row>
    <row r="3780" spans="3:12">
      <c r="C3780" s="3"/>
      <c r="K3780" s="4"/>
      <c r="L3780" s="4"/>
    </row>
    <row r="3781" spans="3:12">
      <c r="C3781" s="3"/>
      <c r="K3781" s="4"/>
      <c r="L3781" s="4"/>
    </row>
    <row r="3782" spans="3:12">
      <c r="C3782" s="3"/>
      <c r="K3782" s="4"/>
      <c r="L3782" s="4"/>
    </row>
    <row r="3783" spans="3:12">
      <c r="C3783" s="3"/>
      <c r="K3783" s="4"/>
      <c r="L3783" s="4"/>
    </row>
    <row r="3784" spans="3:12">
      <c r="C3784" s="3"/>
      <c r="K3784" s="4"/>
      <c r="L3784" s="4"/>
    </row>
    <row r="3785" spans="3:12">
      <c r="C3785" s="3"/>
      <c r="K3785" s="4"/>
      <c r="L3785" s="4"/>
    </row>
    <row r="3786" spans="3:12">
      <c r="C3786" s="3"/>
      <c r="K3786" s="4"/>
      <c r="L3786" s="4"/>
    </row>
    <row r="3787" spans="3:12">
      <c r="C3787" s="3"/>
      <c r="K3787" s="4"/>
      <c r="L3787" s="4"/>
    </row>
    <row r="3788" spans="3:12">
      <c r="C3788" s="3"/>
      <c r="K3788" s="4"/>
      <c r="L3788" s="4"/>
    </row>
    <row r="3789" spans="3:12">
      <c r="C3789" s="3"/>
      <c r="K3789" s="4"/>
      <c r="L3789" s="4"/>
    </row>
    <row r="3790" spans="3:12">
      <c r="C3790" s="3"/>
      <c r="K3790" s="4"/>
      <c r="L3790" s="4"/>
    </row>
    <row r="3791" spans="3:12">
      <c r="C3791" s="3"/>
      <c r="K3791" s="4"/>
      <c r="L3791" s="4"/>
    </row>
    <row r="3792" spans="3:12">
      <c r="C3792" s="3"/>
      <c r="K3792" s="4"/>
      <c r="L3792" s="4"/>
    </row>
    <row r="3793" spans="3:12">
      <c r="C3793" s="3"/>
      <c r="K3793" s="4"/>
      <c r="L3793" s="4"/>
    </row>
    <row r="3794" spans="3:12">
      <c r="C3794" s="3"/>
      <c r="K3794" s="4"/>
      <c r="L3794" s="4"/>
    </row>
    <row r="3795" spans="3:12">
      <c r="C3795" s="3"/>
      <c r="K3795" s="4"/>
      <c r="L3795" s="4"/>
    </row>
    <row r="3796" spans="3:12">
      <c r="C3796" s="3"/>
      <c r="K3796" s="4"/>
      <c r="L3796" s="4"/>
    </row>
    <row r="3797" spans="3:12">
      <c r="C3797" s="3"/>
      <c r="K3797" s="4"/>
      <c r="L3797" s="4"/>
    </row>
    <row r="3798" spans="3:12">
      <c r="C3798" s="3"/>
      <c r="K3798" s="4"/>
      <c r="L3798" s="4"/>
    </row>
    <row r="3799" spans="3:12">
      <c r="C3799" s="3"/>
      <c r="K3799" s="4"/>
      <c r="L3799" s="4"/>
    </row>
    <row r="3800" spans="3:12">
      <c r="C3800" s="3"/>
      <c r="K3800" s="4"/>
      <c r="L3800" s="4"/>
    </row>
    <row r="3801" spans="3:12">
      <c r="C3801" s="3"/>
      <c r="K3801" s="4"/>
      <c r="L3801" s="4"/>
    </row>
    <row r="3802" spans="3:12">
      <c r="C3802" s="3"/>
      <c r="K3802" s="4"/>
      <c r="L3802" s="4"/>
    </row>
    <row r="3803" spans="3:12">
      <c r="C3803" s="3"/>
      <c r="K3803" s="4"/>
      <c r="L3803" s="4"/>
    </row>
    <row r="3804" spans="3:12">
      <c r="C3804" s="3"/>
      <c r="K3804" s="4"/>
      <c r="L3804" s="4"/>
    </row>
    <row r="3805" spans="3:12">
      <c r="C3805" s="3"/>
      <c r="K3805" s="4"/>
      <c r="L3805" s="4"/>
    </row>
    <row r="3806" spans="3:12">
      <c r="C3806" s="3"/>
      <c r="K3806" s="4"/>
      <c r="L3806" s="4"/>
    </row>
    <row r="3807" spans="3:12">
      <c r="C3807" s="3"/>
      <c r="K3807" s="4"/>
      <c r="L3807" s="4"/>
    </row>
    <row r="3808" spans="3:12">
      <c r="C3808" s="3"/>
      <c r="K3808" s="4"/>
      <c r="L3808" s="4"/>
    </row>
    <row r="3809" spans="3:12">
      <c r="C3809" s="3"/>
      <c r="K3809" s="4"/>
      <c r="L3809" s="4"/>
    </row>
    <row r="3810" spans="3:12">
      <c r="C3810" s="3"/>
      <c r="K3810" s="4"/>
      <c r="L3810" s="4"/>
    </row>
    <row r="3811" spans="3:12">
      <c r="C3811" s="3"/>
      <c r="K3811" s="4"/>
      <c r="L3811" s="4"/>
    </row>
    <row r="3812" spans="3:12">
      <c r="C3812" s="3"/>
      <c r="K3812" s="4"/>
      <c r="L3812" s="4"/>
    </row>
    <row r="3813" spans="3:12">
      <c r="C3813" s="3"/>
      <c r="K3813" s="4"/>
      <c r="L3813" s="4"/>
    </row>
    <row r="3814" spans="3:12">
      <c r="C3814" s="3"/>
      <c r="K3814" s="4"/>
      <c r="L3814" s="4"/>
    </row>
    <row r="3815" spans="3:12">
      <c r="C3815" s="3"/>
      <c r="K3815" s="4"/>
      <c r="L3815" s="4"/>
    </row>
    <row r="3816" spans="3:12">
      <c r="C3816" s="3"/>
      <c r="K3816" s="4"/>
      <c r="L3816" s="4"/>
    </row>
    <row r="3817" spans="3:12">
      <c r="C3817" s="3"/>
      <c r="K3817" s="4"/>
      <c r="L3817" s="4"/>
    </row>
    <row r="3818" spans="3:12">
      <c r="C3818" s="3"/>
      <c r="K3818" s="4"/>
      <c r="L3818" s="4"/>
    </row>
    <row r="3819" spans="3:12">
      <c r="C3819" s="3"/>
      <c r="K3819" s="4"/>
      <c r="L3819" s="4"/>
    </row>
    <row r="3820" spans="3:12">
      <c r="C3820" s="3"/>
      <c r="K3820" s="4"/>
      <c r="L3820" s="4"/>
    </row>
    <row r="3821" spans="3:12">
      <c r="C3821" s="3"/>
      <c r="K3821" s="4"/>
      <c r="L3821" s="4"/>
    </row>
    <row r="3822" spans="3:12">
      <c r="C3822" s="3"/>
      <c r="K3822" s="4"/>
      <c r="L3822" s="4"/>
    </row>
    <row r="3823" spans="3:12">
      <c r="C3823" s="3"/>
      <c r="K3823" s="4"/>
      <c r="L3823" s="4"/>
    </row>
    <row r="3824" spans="3:12">
      <c r="C3824" s="3"/>
      <c r="K3824" s="4"/>
      <c r="L3824" s="4"/>
    </row>
    <row r="3825" spans="3:12">
      <c r="C3825" s="3"/>
      <c r="K3825" s="4"/>
      <c r="L3825" s="4"/>
    </row>
    <row r="3826" spans="3:12">
      <c r="C3826" s="3"/>
      <c r="K3826" s="4"/>
      <c r="L3826" s="4"/>
    </row>
    <row r="3827" spans="3:12">
      <c r="C3827" s="3"/>
      <c r="K3827" s="4"/>
      <c r="L3827" s="4"/>
    </row>
    <row r="3828" spans="3:12">
      <c r="C3828" s="3"/>
      <c r="K3828" s="4"/>
      <c r="L3828" s="4"/>
    </row>
    <row r="3829" spans="3:12">
      <c r="C3829" s="3"/>
      <c r="K3829" s="4"/>
      <c r="L3829" s="4"/>
    </row>
    <row r="3830" spans="3:12">
      <c r="C3830" s="3"/>
      <c r="K3830" s="4"/>
      <c r="L3830" s="4"/>
    </row>
    <row r="3831" spans="3:12">
      <c r="C3831" s="3"/>
      <c r="K3831" s="4"/>
      <c r="L3831" s="4"/>
    </row>
    <row r="3832" spans="3:12">
      <c r="C3832" s="3"/>
      <c r="K3832" s="4"/>
      <c r="L3832" s="4"/>
    </row>
    <row r="3833" spans="3:12">
      <c r="C3833" s="3"/>
      <c r="K3833" s="4"/>
      <c r="L3833" s="4"/>
    </row>
    <row r="3834" spans="3:12">
      <c r="C3834" s="3"/>
      <c r="K3834" s="4"/>
      <c r="L3834" s="4"/>
    </row>
    <row r="3835" spans="3:12">
      <c r="C3835" s="3"/>
      <c r="K3835" s="4"/>
      <c r="L3835" s="4"/>
    </row>
    <row r="3836" spans="3:12">
      <c r="C3836" s="3"/>
      <c r="K3836" s="4"/>
      <c r="L3836" s="4"/>
    </row>
    <row r="3837" spans="3:12">
      <c r="C3837" s="3"/>
      <c r="K3837" s="4"/>
      <c r="L3837" s="4"/>
    </row>
    <row r="3838" spans="3:12">
      <c r="C3838" s="3"/>
      <c r="K3838" s="4"/>
      <c r="L3838" s="4"/>
    </row>
    <row r="3839" spans="3:12">
      <c r="C3839" s="3"/>
      <c r="K3839" s="4"/>
      <c r="L3839" s="4"/>
    </row>
    <row r="3840" spans="3:12">
      <c r="C3840" s="3"/>
      <c r="K3840" s="4"/>
      <c r="L3840" s="4"/>
    </row>
    <row r="3841" spans="3:12">
      <c r="C3841" s="3"/>
      <c r="K3841" s="4"/>
      <c r="L3841" s="4"/>
    </row>
    <row r="3842" spans="3:12">
      <c r="C3842" s="3"/>
      <c r="K3842" s="4"/>
      <c r="L3842" s="4"/>
    </row>
    <row r="3843" spans="3:12">
      <c r="C3843" s="3"/>
      <c r="K3843" s="4"/>
      <c r="L3843" s="4"/>
    </row>
    <row r="3844" spans="3:12">
      <c r="C3844" s="3"/>
      <c r="K3844" s="4"/>
      <c r="L3844" s="4"/>
    </row>
    <row r="3845" spans="3:12">
      <c r="C3845" s="3"/>
      <c r="K3845" s="4"/>
      <c r="L3845" s="4"/>
    </row>
    <row r="3846" spans="3:12">
      <c r="C3846" s="3"/>
      <c r="K3846" s="4"/>
      <c r="L3846" s="4"/>
    </row>
    <row r="3847" spans="3:12">
      <c r="C3847" s="3"/>
      <c r="K3847" s="4"/>
      <c r="L3847" s="4"/>
    </row>
    <row r="3848" spans="3:12">
      <c r="C3848" s="3"/>
      <c r="K3848" s="4"/>
      <c r="L3848" s="4"/>
    </row>
    <row r="3849" spans="3:12">
      <c r="C3849" s="3"/>
      <c r="K3849" s="4"/>
      <c r="L3849" s="4"/>
    </row>
    <row r="3850" spans="3:12">
      <c r="C3850" s="3"/>
      <c r="K3850" s="4"/>
      <c r="L3850" s="4"/>
    </row>
    <row r="3851" spans="3:12">
      <c r="C3851" s="3"/>
      <c r="K3851" s="4"/>
      <c r="L3851" s="4"/>
    </row>
    <row r="3852" spans="3:12">
      <c r="C3852" s="3"/>
      <c r="K3852" s="4"/>
      <c r="L3852" s="4"/>
    </row>
    <row r="3853" spans="3:12">
      <c r="C3853" s="3"/>
      <c r="K3853" s="4"/>
      <c r="L3853" s="4"/>
    </row>
    <row r="3854" spans="3:12">
      <c r="C3854" s="3"/>
      <c r="K3854" s="4"/>
      <c r="L3854" s="4"/>
    </row>
    <row r="3855" spans="3:12">
      <c r="C3855" s="3"/>
      <c r="K3855" s="4"/>
      <c r="L3855" s="4"/>
    </row>
    <row r="3856" spans="3:12">
      <c r="C3856" s="3"/>
      <c r="K3856" s="4"/>
      <c r="L3856" s="4"/>
    </row>
    <row r="3857" spans="3:12">
      <c r="C3857" s="3"/>
      <c r="K3857" s="4"/>
      <c r="L3857" s="4"/>
    </row>
    <row r="3858" spans="3:12">
      <c r="C3858" s="3"/>
      <c r="K3858" s="4"/>
      <c r="L3858" s="4"/>
    </row>
    <row r="3859" spans="3:12">
      <c r="C3859" s="3"/>
      <c r="K3859" s="4"/>
      <c r="L3859" s="4"/>
    </row>
    <row r="3860" spans="3:12">
      <c r="C3860" s="3"/>
      <c r="K3860" s="4"/>
      <c r="L3860" s="4"/>
    </row>
    <row r="3861" spans="3:12">
      <c r="C3861" s="3"/>
      <c r="K3861" s="4"/>
      <c r="L3861" s="4"/>
    </row>
    <row r="3862" spans="3:12">
      <c r="C3862" s="3"/>
      <c r="K3862" s="4"/>
      <c r="L3862" s="4"/>
    </row>
    <row r="3863" spans="3:12">
      <c r="C3863" s="3"/>
      <c r="K3863" s="4"/>
      <c r="L3863" s="4"/>
    </row>
    <row r="3864" spans="3:12">
      <c r="C3864" s="3"/>
      <c r="K3864" s="4"/>
      <c r="L3864" s="4"/>
    </row>
    <row r="3865" spans="3:12">
      <c r="C3865" s="3"/>
      <c r="K3865" s="4"/>
      <c r="L3865" s="4"/>
    </row>
    <row r="3866" spans="3:12">
      <c r="C3866" s="3"/>
      <c r="K3866" s="4"/>
      <c r="L3866" s="4"/>
    </row>
    <row r="3867" spans="3:12">
      <c r="C3867" s="3"/>
      <c r="K3867" s="4"/>
      <c r="L3867" s="4"/>
    </row>
    <row r="3868" spans="3:12">
      <c r="C3868" s="3"/>
      <c r="K3868" s="4"/>
      <c r="L3868" s="4"/>
    </row>
    <row r="3869" spans="3:12">
      <c r="C3869" s="3"/>
      <c r="K3869" s="4"/>
      <c r="L3869" s="4"/>
    </row>
    <row r="3870" spans="3:12">
      <c r="C3870" s="3"/>
      <c r="K3870" s="4"/>
      <c r="L3870" s="4"/>
    </row>
    <row r="3871" spans="3:12">
      <c r="C3871" s="3"/>
      <c r="K3871" s="4"/>
      <c r="L3871" s="4"/>
    </row>
    <row r="3872" spans="3:12">
      <c r="C3872" s="3"/>
      <c r="K3872" s="4"/>
      <c r="L3872" s="4"/>
    </row>
    <row r="3873" spans="3:12">
      <c r="C3873" s="3"/>
      <c r="K3873" s="4"/>
      <c r="L3873" s="4"/>
    </row>
    <row r="3874" spans="3:12">
      <c r="C3874" s="3"/>
      <c r="K3874" s="4"/>
      <c r="L3874" s="4"/>
    </row>
    <row r="3875" spans="3:12">
      <c r="C3875" s="3"/>
      <c r="K3875" s="4"/>
      <c r="L3875" s="4"/>
    </row>
    <row r="3876" spans="3:12">
      <c r="C3876" s="3"/>
      <c r="K3876" s="4"/>
      <c r="L3876" s="4"/>
    </row>
    <row r="3877" spans="3:12">
      <c r="C3877" s="3"/>
      <c r="K3877" s="4"/>
      <c r="L3877" s="4"/>
    </row>
    <row r="3878" spans="3:12">
      <c r="C3878" s="3"/>
      <c r="K3878" s="4"/>
      <c r="L3878" s="4"/>
    </row>
    <row r="3879" spans="3:12">
      <c r="C3879" s="3"/>
      <c r="K3879" s="4"/>
      <c r="L3879" s="4"/>
    </row>
    <row r="3880" spans="3:12">
      <c r="C3880" s="3"/>
      <c r="K3880" s="4"/>
      <c r="L3880" s="4"/>
    </row>
    <row r="3881" spans="3:12">
      <c r="C3881" s="3"/>
      <c r="K3881" s="4"/>
      <c r="L3881" s="4"/>
    </row>
    <row r="3882" spans="3:12">
      <c r="C3882" s="3"/>
      <c r="K3882" s="4"/>
      <c r="L3882" s="4"/>
    </row>
    <row r="3883" spans="3:12">
      <c r="C3883" s="3"/>
      <c r="K3883" s="4"/>
      <c r="L3883" s="4"/>
    </row>
    <row r="3884" spans="3:12">
      <c r="C3884" s="3"/>
      <c r="K3884" s="4"/>
      <c r="L3884" s="4"/>
    </row>
    <row r="3885" spans="3:12">
      <c r="C3885" s="3"/>
      <c r="K3885" s="4"/>
      <c r="L3885" s="4"/>
    </row>
    <row r="3886" spans="3:12">
      <c r="C3886" s="3"/>
      <c r="K3886" s="4"/>
      <c r="L3886" s="4"/>
    </row>
    <row r="3887" spans="3:12">
      <c r="C3887" s="3"/>
      <c r="K3887" s="4"/>
      <c r="L3887" s="4"/>
    </row>
    <row r="3888" spans="3:12">
      <c r="C3888" s="3"/>
      <c r="K3888" s="4"/>
      <c r="L3888" s="4"/>
    </row>
    <row r="3889" spans="3:12">
      <c r="C3889" s="3"/>
      <c r="K3889" s="4"/>
      <c r="L3889" s="4"/>
    </row>
    <row r="3890" spans="3:12">
      <c r="C3890" s="3"/>
      <c r="K3890" s="4"/>
      <c r="L3890" s="4"/>
    </row>
    <row r="3891" spans="3:12">
      <c r="C3891" s="3"/>
      <c r="K3891" s="4"/>
      <c r="L3891" s="4"/>
    </row>
    <row r="3892" spans="3:12">
      <c r="C3892" s="3"/>
      <c r="K3892" s="4"/>
      <c r="L3892" s="4"/>
    </row>
    <row r="3893" spans="3:12">
      <c r="C3893" s="3"/>
      <c r="K3893" s="4"/>
      <c r="L3893" s="4"/>
    </row>
    <row r="3894" spans="3:12">
      <c r="C3894" s="3"/>
      <c r="K3894" s="4"/>
      <c r="L3894" s="4"/>
    </row>
    <row r="3895" spans="3:12">
      <c r="C3895" s="3"/>
      <c r="K3895" s="4"/>
      <c r="L3895" s="4"/>
    </row>
    <row r="3896" spans="3:12">
      <c r="C3896" s="3"/>
      <c r="K3896" s="4"/>
      <c r="L3896" s="4"/>
    </row>
    <row r="3897" spans="3:12">
      <c r="C3897" s="3"/>
      <c r="K3897" s="4"/>
      <c r="L3897" s="4"/>
    </row>
    <row r="3898" spans="3:12">
      <c r="C3898" s="3"/>
      <c r="K3898" s="4"/>
      <c r="L3898" s="4"/>
    </row>
    <row r="3899" spans="3:12">
      <c r="C3899" s="3"/>
      <c r="K3899" s="4"/>
      <c r="L3899" s="4"/>
    </row>
    <row r="3900" spans="3:12">
      <c r="C3900" s="3"/>
      <c r="K3900" s="4"/>
      <c r="L3900" s="4"/>
    </row>
    <row r="3901" spans="3:12">
      <c r="C3901" s="3"/>
      <c r="K3901" s="4"/>
      <c r="L3901" s="4"/>
    </row>
    <row r="3902" spans="3:12">
      <c r="C3902" s="3"/>
      <c r="K3902" s="4"/>
      <c r="L3902" s="4"/>
    </row>
    <row r="3903" spans="3:12">
      <c r="C3903" s="3"/>
      <c r="K3903" s="4"/>
      <c r="L3903" s="4"/>
    </row>
    <row r="3904" spans="3:12">
      <c r="C3904" s="3"/>
      <c r="K3904" s="4"/>
      <c r="L3904" s="4"/>
    </row>
    <row r="3905" spans="3:12">
      <c r="C3905" s="3"/>
      <c r="K3905" s="4"/>
      <c r="L3905" s="4"/>
    </row>
    <row r="3906" spans="3:12">
      <c r="C3906" s="3"/>
      <c r="K3906" s="4"/>
      <c r="L3906" s="4"/>
    </row>
    <row r="3907" spans="3:12">
      <c r="C3907" s="3"/>
      <c r="K3907" s="4"/>
      <c r="L3907" s="4"/>
    </row>
    <row r="3908" spans="3:12">
      <c r="C3908" s="3"/>
      <c r="K3908" s="4"/>
      <c r="L3908" s="4"/>
    </row>
    <row r="3909" spans="3:12">
      <c r="C3909" s="3"/>
      <c r="K3909" s="4"/>
      <c r="L3909" s="4"/>
    </row>
    <row r="3910" spans="3:12">
      <c r="C3910" s="3"/>
      <c r="K3910" s="4"/>
      <c r="L3910" s="4"/>
    </row>
    <row r="3911" spans="3:12">
      <c r="C3911" s="3"/>
      <c r="K3911" s="4"/>
      <c r="L3911" s="4"/>
    </row>
    <row r="3912" spans="3:12">
      <c r="C3912" s="3"/>
      <c r="K3912" s="4"/>
      <c r="L3912" s="4"/>
    </row>
    <row r="3913" spans="3:12">
      <c r="C3913" s="3"/>
      <c r="K3913" s="4"/>
      <c r="L3913" s="4"/>
    </row>
    <row r="3914" spans="3:12">
      <c r="C3914" s="3"/>
      <c r="K3914" s="4"/>
      <c r="L3914" s="4"/>
    </row>
    <row r="3915" spans="3:12">
      <c r="C3915" s="3"/>
      <c r="K3915" s="4"/>
      <c r="L3915" s="4"/>
    </row>
    <row r="3916" spans="3:12">
      <c r="C3916" s="3"/>
      <c r="K3916" s="4"/>
      <c r="L3916" s="4"/>
    </row>
    <row r="3917" spans="3:12">
      <c r="C3917" s="3"/>
      <c r="K3917" s="4"/>
      <c r="L3917" s="4"/>
    </row>
    <row r="3918" spans="3:12">
      <c r="C3918" s="3"/>
      <c r="K3918" s="4"/>
      <c r="L3918" s="4"/>
    </row>
    <row r="3919" spans="3:12">
      <c r="C3919" s="3"/>
      <c r="K3919" s="4"/>
      <c r="L3919" s="4"/>
    </row>
    <row r="3920" spans="3:12">
      <c r="C3920" s="3"/>
      <c r="K3920" s="4"/>
      <c r="L3920" s="4"/>
    </row>
    <row r="3921" spans="3:12">
      <c r="C3921" s="3"/>
      <c r="K3921" s="4"/>
      <c r="L3921" s="4"/>
    </row>
    <row r="3922" spans="3:12">
      <c r="C3922" s="3"/>
      <c r="K3922" s="4"/>
      <c r="L3922" s="4"/>
    </row>
    <row r="3923" spans="3:12">
      <c r="C3923" s="3"/>
      <c r="K3923" s="4"/>
      <c r="L3923" s="4"/>
    </row>
    <row r="3924" spans="3:12">
      <c r="C3924" s="3"/>
      <c r="K3924" s="4"/>
      <c r="L3924" s="4"/>
    </row>
    <row r="3925" spans="3:12">
      <c r="C3925" s="3"/>
      <c r="K3925" s="4"/>
      <c r="L3925" s="4"/>
    </row>
    <row r="3926" spans="3:12">
      <c r="C3926" s="3"/>
      <c r="K3926" s="4"/>
      <c r="L3926" s="4"/>
    </row>
    <row r="3927" spans="3:12">
      <c r="C3927" s="3"/>
      <c r="K3927" s="4"/>
      <c r="L3927" s="4"/>
    </row>
    <row r="3928" spans="3:12">
      <c r="C3928" s="3"/>
      <c r="K3928" s="4"/>
      <c r="L3928" s="4"/>
    </row>
    <row r="3929" spans="3:12">
      <c r="C3929" s="3"/>
      <c r="K3929" s="4"/>
      <c r="L3929" s="4"/>
    </row>
    <row r="3930" spans="3:12">
      <c r="C3930" s="3"/>
      <c r="K3930" s="4"/>
      <c r="L3930" s="4"/>
    </row>
    <row r="3931" spans="3:12">
      <c r="C3931" s="3"/>
      <c r="K3931" s="4"/>
      <c r="L3931" s="4"/>
    </row>
    <row r="3932" spans="3:12">
      <c r="C3932" s="3"/>
      <c r="K3932" s="4"/>
      <c r="L3932" s="4"/>
    </row>
    <row r="3933" spans="3:12">
      <c r="C3933" s="3"/>
      <c r="K3933" s="4"/>
      <c r="L3933" s="4"/>
    </row>
    <row r="3934" spans="3:12">
      <c r="C3934" s="3"/>
      <c r="K3934" s="4"/>
      <c r="L3934" s="4"/>
    </row>
    <row r="3935" spans="3:12">
      <c r="C3935" s="3"/>
      <c r="K3935" s="4"/>
      <c r="L3935" s="4"/>
    </row>
    <row r="3936" spans="3:12">
      <c r="C3936" s="3"/>
      <c r="K3936" s="4"/>
      <c r="L3936" s="4"/>
    </row>
    <row r="3937" spans="3:12">
      <c r="C3937" s="3"/>
      <c r="K3937" s="4"/>
      <c r="L3937" s="4"/>
    </row>
    <row r="3938" spans="3:12">
      <c r="C3938" s="3"/>
      <c r="K3938" s="4"/>
      <c r="L3938" s="4"/>
    </row>
    <row r="3939" spans="3:12">
      <c r="C3939" s="3"/>
      <c r="K3939" s="4"/>
      <c r="L3939" s="4"/>
    </row>
    <row r="3940" spans="3:12">
      <c r="C3940" s="3"/>
      <c r="K3940" s="4"/>
      <c r="L3940" s="4"/>
    </row>
    <row r="3941" spans="3:12">
      <c r="C3941" s="3"/>
      <c r="K3941" s="4"/>
      <c r="L3941" s="4"/>
    </row>
    <row r="3942" spans="3:12">
      <c r="C3942" s="3"/>
      <c r="K3942" s="4"/>
      <c r="L3942" s="4"/>
    </row>
    <row r="3943" spans="3:12">
      <c r="C3943" s="3"/>
      <c r="K3943" s="4"/>
      <c r="L3943" s="4"/>
    </row>
    <row r="3944" spans="3:12">
      <c r="C3944" s="3"/>
      <c r="K3944" s="4"/>
      <c r="L3944" s="4"/>
    </row>
    <row r="3945" spans="3:12">
      <c r="C3945" s="3"/>
      <c r="K3945" s="4"/>
      <c r="L3945" s="4"/>
    </row>
    <row r="3946" spans="3:12">
      <c r="C3946" s="3"/>
      <c r="K3946" s="4"/>
      <c r="L3946" s="4"/>
    </row>
    <row r="3947" spans="3:12">
      <c r="C3947" s="3"/>
      <c r="K3947" s="4"/>
      <c r="L3947" s="4"/>
    </row>
    <row r="3948" spans="3:12">
      <c r="C3948" s="3"/>
      <c r="K3948" s="4"/>
      <c r="L3948" s="4"/>
    </row>
    <row r="3949" spans="3:12">
      <c r="C3949" s="3"/>
      <c r="K3949" s="4"/>
      <c r="L3949" s="4"/>
    </row>
    <row r="3950" spans="3:12">
      <c r="C3950" s="3"/>
      <c r="K3950" s="4"/>
      <c r="L3950" s="4"/>
    </row>
    <row r="3951" spans="3:12">
      <c r="C3951" s="3"/>
      <c r="K3951" s="4"/>
      <c r="L3951" s="4"/>
    </row>
    <row r="3952" spans="3:12">
      <c r="C3952" s="3"/>
      <c r="K3952" s="4"/>
      <c r="L3952" s="4"/>
    </row>
    <row r="3953" spans="3:12">
      <c r="C3953" s="3"/>
      <c r="K3953" s="4"/>
      <c r="L3953" s="4"/>
    </row>
    <row r="3954" spans="3:12">
      <c r="C3954" s="3"/>
      <c r="K3954" s="4"/>
      <c r="L3954" s="4"/>
    </row>
    <row r="3955" spans="3:12">
      <c r="C3955" s="3"/>
      <c r="K3955" s="4"/>
      <c r="L3955" s="4"/>
    </row>
    <row r="3956" spans="3:12">
      <c r="C3956" s="3"/>
      <c r="K3956" s="4"/>
      <c r="L3956" s="4"/>
    </row>
    <row r="3957" spans="3:12">
      <c r="C3957" s="3"/>
      <c r="K3957" s="4"/>
      <c r="L3957" s="4"/>
    </row>
    <row r="3958" spans="3:12">
      <c r="C3958" s="3"/>
      <c r="K3958" s="4"/>
      <c r="L3958" s="4"/>
    </row>
    <row r="3959" spans="3:12">
      <c r="C3959" s="3"/>
      <c r="K3959" s="4"/>
      <c r="L3959" s="4"/>
    </row>
    <row r="3960" spans="3:12">
      <c r="C3960" s="3"/>
      <c r="K3960" s="4"/>
      <c r="L3960" s="4"/>
    </row>
    <row r="3961" spans="3:12">
      <c r="C3961" s="3"/>
      <c r="K3961" s="4"/>
      <c r="L3961" s="4"/>
    </row>
    <row r="3962" spans="3:12">
      <c r="C3962" s="3"/>
      <c r="K3962" s="4"/>
      <c r="L3962" s="4"/>
    </row>
    <row r="3963" spans="3:12">
      <c r="C3963" s="3"/>
      <c r="K3963" s="4"/>
      <c r="L3963" s="4"/>
    </row>
    <row r="3964" spans="3:12">
      <c r="C3964" s="3"/>
      <c r="K3964" s="4"/>
      <c r="L3964" s="4"/>
    </row>
    <row r="3965" spans="3:12">
      <c r="C3965" s="3"/>
      <c r="K3965" s="4"/>
      <c r="L3965" s="4"/>
    </row>
    <row r="3966" spans="3:12">
      <c r="C3966" s="3"/>
      <c r="K3966" s="4"/>
      <c r="L3966" s="4"/>
    </row>
    <row r="3967" spans="3:12">
      <c r="C3967" s="3"/>
      <c r="K3967" s="4"/>
      <c r="L3967" s="4"/>
    </row>
    <row r="3968" spans="3:12">
      <c r="C3968" s="3"/>
      <c r="K3968" s="4"/>
      <c r="L3968" s="4"/>
    </row>
    <row r="3969" spans="3:12">
      <c r="C3969" s="3"/>
      <c r="K3969" s="4"/>
      <c r="L3969" s="4"/>
    </row>
    <row r="3970" spans="3:12">
      <c r="C3970" s="3"/>
      <c r="K3970" s="4"/>
      <c r="L3970" s="4"/>
    </row>
    <row r="3971" spans="3:12">
      <c r="C3971" s="3"/>
      <c r="K3971" s="4"/>
      <c r="L3971" s="4"/>
    </row>
    <row r="3972" spans="3:12">
      <c r="C3972" s="3"/>
      <c r="K3972" s="4"/>
      <c r="L3972" s="4"/>
    </row>
    <row r="3973" spans="3:12">
      <c r="C3973" s="3"/>
      <c r="K3973" s="4"/>
      <c r="L3973" s="4"/>
    </row>
    <row r="3974" spans="3:12">
      <c r="C3974" s="3"/>
      <c r="K3974" s="4"/>
      <c r="L3974" s="4"/>
    </row>
    <row r="3975" spans="3:12">
      <c r="C3975" s="3"/>
      <c r="K3975" s="4"/>
      <c r="L3975" s="4"/>
    </row>
    <row r="3976" spans="3:12">
      <c r="C3976" s="3"/>
      <c r="K3976" s="4"/>
      <c r="L3976" s="4"/>
    </row>
    <row r="3977" spans="3:12">
      <c r="C3977" s="3"/>
      <c r="K3977" s="4"/>
      <c r="L3977" s="4"/>
    </row>
    <row r="3978" spans="3:12">
      <c r="C3978" s="3"/>
      <c r="K3978" s="4"/>
      <c r="L3978" s="4"/>
    </row>
    <row r="3979" spans="3:12">
      <c r="C3979" s="3"/>
      <c r="K3979" s="4"/>
      <c r="L3979" s="4"/>
    </row>
    <row r="3980" spans="3:12">
      <c r="C3980" s="3"/>
      <c r="K3980" s="4"/>
      <c r="L3980" s="4"/>
    </row>
    <row r="3981" spans="3:12">
      <c r="C3981" s="3"/>
      <c r="K3981" s="4"/>
      <c r="L3981" s="4"/>
    </row>
    <row r="3982" spans="3:12">
      <c r="C3982" s="3"/>
      <c r="K3982" s="4"/>
      <c r="L3982" s="4"/>
    </row>
    <row r="3983" spans="3:12">
      <c r="C3983" s="3"/>
      <c r="K3983" s="4"/>
      <c r="L3983" s="4"/>
    </row>
    <row r="3984" spans="3:12">
      <c r="C3984" s="3"/>
      <c r="K3984" s="4"/>
      <c r="L3984" s="4"/>
    </row>
    <row r="3985" spans="3:12">
      <c r="C3985" s="3"/>
      <c r="K3985" s="4"/>
      <c r="L3985" s="4"/>
    </row>
    <row r="3986" spans="3:12">
      <c r="C3986" s="3"/>
      <c r="K3986" s="4"/>
      <c r="L3986" s="4"/>
    </row>
    <row r="3987" spans="3:12">
      <c r="C3987" s="3"/>
      <c r="K3987" s="4"/>
      <c r="L3987" s="4"/>
    </row>
    <row r="3988" spans="3:12">
      <c r="C3988" s="3"/>
      <c r="K3988" s="4"/>
      <c r="L3988" s="4"/>
    </row>
    <row r="3989" spans="3:12">
      <c r="C3989" s="3"/>
      <c r="K3989" s="4"/>
      <c r="L3989" s="4"/>
    </row>
    <row r="3990" spans="3:12">
      <c r="C3990" s="3"/>
      <c r="K3990" s="4"/>
      <c r="L3990" s="4"/>
    </row>
    <row r="3991" spans="3:12">
      <c r="C3991" s="3"/>
      <c r="K3991" s="4"/>
      <c r="L3991" s="4"/>
    </row>
    <row r="3992" spans="3:12">
      <c r="C3992" s="3"/>
      <c r="K3992" s="4"/>
      <c r="L3992" s="4"/>
    </row>
    <row r="3993" spans="3:12">
      <c r="C3993" s="3"/>
      <c r="K3993" s="4"/>
      <c r="L3993" s="4"/>
    </row>
    <row r="3994" spans="3:12">
      <c r="C3994" s="3"/>
      <c r="K3994" s="4"/>
      <c r="L3994" s="4"/>
    </row>
    <row r="3995" spans="3:12">
      <c r="C3995" s="3"/>
      <c r="K3995" s="4"/>
      <c r="L3995" s="4"/>
    </row>
    <row r="3996" spans="3:12">
      <c r="C3996" s="3"/>
      <c r="K3996" s="4"/>
      <c r="L3996" s="4"/>
    </row>
    <row r="3997" spans="3:12">
      <c r="C3997" s="3"/>
      <c r="K3997" s="4"/>
      <c r="L3997" s="4"/>
    </row>
    <row r="3998" spans="3:12">
      <c r="C3998" s="3"/>
      <c r="K3998" s="4"/>
      <c r="L3998" s="4"/>
    </row>
    <row r="3999" spans="3:12">
      <c r="C3999" s="3"/>
      <c r="K3999" s="4"/>
      <c r="L3999" s="4"/>
    </row>
    <row r="4000" spans="3:12">
      <c r="C4000" s="3"/>
      <c r="K4000" s="4"/>
      <c r="L4000" s="4"/>
    </row>
    <row r="4001" spans="3:12">
      <c r="C4001" s="3"/>
      <c r="K4001" s="4"/>
      <c r="L4001" s="4"/>
    </row>
    <row r="4002" spans="3:12">
      <c r="C4002" s="3"/>
      <c r="K4002" s="4"/>
      <c r="L4002" s="4"/>
    </row>
    <row r="4003" spans="3:12">
      <c r="C4003" s="3"/>
      <c r="K4003" s="4"/>
      <c r="L4003" s="4"/>
    </row>
    <row r="4004" spans="3:12">
      <c r="C4004" s="3"/>
      <c r="K4004" s="4"/>
      <c r="L4004" s="4"/>
    </row>
    <row r="4005" spans="3:12">
      <c r="C4005" s="3"/>
      <c r="K4005" s="4"/>
      <c r="L4005" s="4"/>
    </row>
    <row r="4006" spans="3:12">
      <c r="C4006" s="3"/>
      <c r="K4006" s="4"/>
      <c r="L4006" s="4"/>
    </row>
    <row r="4007" spans="3:12">
      <c r="C4007" s="3"/>
      <c r="K4007" s="4"/>
      <c r="L4007" s="4"/>
    </row>
    <row r="4008" spans="3:12">
      <c r="C4008" s="3"/>
      <c r="K4008" s="4"/>
      <c r="L4008" s="4"/>
    </row>
    <row r="4009" spans="3:12">
      <c r="C4009" s="3"/>
      <c r="K4009" s="4"/>
      <c r="L4009" s="4"/>
    </row>
    <row r="4010" spans="3:12">
      <c r="C4010" s="3"/>
      <c r="K4010" s="4"/>
      <c r="L4010" s="4"/>
    </row>
    <row r="4011" spans="3:12">
      <c r="C4011" s="3"/>
      <c r="K4011" s="4"/>
      <c r="L4011" s="4"/>
    </row>
    <row r="4012" spans="3:12">
      <c r="C4012" s="3"/>
      <c r="K4012" s="4"/>
      <c r="L4012" s="4"/>
    </row>
    <row r="4013" spans="3:12">
      <c r="C4013" s="3"/>
      <c r="K4013" s="4"/>
      <c r="L4013" s="4"/>
    </row>
    <row r="4014" spans="3:12">
      <c r="C4014" s="3"/>
      <c r="K4014" s="4"/>
      <c r="L4014" s="4"/>
    </row>
    <row r="4015" spans="3:12">
      <c r="C4015" s="3"/>
      <c r="K4015" s="4"/>
      <c r="L4015" s="4"/>
    </row>
    <row r="4016" spans="3:12">
      <c r="C4016" s="3"/>
      <c r="K4016" s="4"/>
      <c r="L4016" s="4"/>
    </row>
    <row r="4017" spans="3:12">
      <c r="C4017" s="3"/>
      <c r="K4017" s="4"/>
      <c r="L4017" s="4"/>
    </row>
    <row r="4018" spans="3:12">
      <c r="C4018" s="3"/>
      <c r="K4018" s="4"/>
      <c r="L4018" s="4"/>
    </row>
    <row r="4019" spans="3:12">
      <c r="C4019" s="3"/>
      <c r="K4019" s="4"/>
      <c r="L4019" s="4"/>
    </row>
    <row r="4020" spans="3:12">
      <c r="C4020" s="3"/>
      <c r="K4020" s="4"/>
      <c r="L4020" s="4"/>
    </row>
    <row r="4021" spans="3:12">
      <c r="C4021" s="3"/>
      <c r="K4021" s="4"/>
      <c r="L4021" s="4"/>
    </row>
    <row r="4022" spans="3:12">
      <c r="C4022" s="3"/>
      <c r="K4022" s="4"/>
      <c r="L4022" s="4"/>
    </row>
    <row r="4023" spans="3:12">
      <c r="C4023" s="3"/>
      <c r="K4023" s="4"/>
      <c r="L4023" s="4"/>
    </row>
    <row r="4024" spans="3:12">
      <c r="C4024" s="3"/>
      <c r="K4024" s="4"/>
      <c r="L4024" s="4"/>
    </row>
    <row r="4025" spans="3:12">
      <c r="C4025" s="3"/>
      <c r="K4025" s="4"/>
      <c r="L4025" s="4"/>
    </row>
    <row r="4026" spans="3:12">
      <c r="C4026" s="3"/>
      <c r="K4026" s="4"/>
      <c r="L4026" s="4"/>
    </row>
    <row r="4027" spans="3:12">
      <c r="C4027" s="3"/>
      <c r="K4027" s="4"/>
      <c r="L4027" s="4"/>
    </row>
    <row r="4028" spans="3:12">
      <c r="C4028" s="3"/>
      <c r="K4028" s="4"/>
      <c r="L4028" s="4"/>
    </row>
    <row r="4029" spans="3:12">
      <c r="C4029" s="3"/>
      <c r="K4029" s="4"/>
      <c r="L4029" s="4"/>
    </row>
    <row r="4030" spans="3:12">
      <c r="C4030" s="3"/>
      <c r="K4030" s="4"/>
      <c r="L4030" s="4"/>
    </row>
    <row r="4031" spans="3:12">
      <c r="C4031" s="3"/>
      <c r="K4031" s="4"/>
      <c r="L4031" s="4"/>
    </row>
    <row r="4032" spans="3:12">
      <c r="C4032" s="3"/>
      <c r="K4032" s="4"/>
      <c r="L4032" s="4"/>
    </row>
    <row r="4033" spans="3:12">
      <c r="C4033" s="3"/>
      <c r="K4033" s="4"/>
      <c r="L4033" s="4"/>
    </row>
    <row r="4034" spans="3:12">
      <c r="C4034" s="3"/>
      <c r="K4034" s="4"/>
      <c r="L4034" s="4"/>
    </row>
    <row r="4035" spans="3:12">
      <c r="C4035" s="3"/>
      <c r="K4035" s="4"/>
      <c r="L4035" s="4"/>
    </row>
    <row r="4036" spans="3:12">
      <c r="C4036" s="3"/>
      <c r="K4036" s="4"/>
      <c r="L4036" s="4"/>
    </row>
    <row r="4037" spans="3:12">
      <c r="C4037" s="3"/>
      <c r="K4037" s="4"/>
      <c r="L4037" s="4"/>
    </row>
    <row r="4038" spans="3:12">
      <c r="C4038" s="3"/>
      <c r="K4038" s="4"/>
      <c r="L4038" s="4"/>
    </row>
    <row r="4039" spans="3:12">
      <c r="C4039" s="3"/>
      <c r="K4039" s="4"/>
      <c r="L4039" s="4"/>
    </row>
    <row r="4040" spans="3:12">
      <c r="C4040" s="3"/>
      <c r="K4040" s="4"/>
      <c r="L4040" s="4"/>
    </row>
    <row r="4041" spans="3:12">
      <c r="C4041" s="3"/>
      <c r="K4041" s="4"/>
      <c r="L4041" s="4"/>
    </row>
    <row r="4042" spans="3:12">
      <c r="C4042" s="3"/>
      <c r="K4042" s="4"/>
      <c r="L4042" s="4"/>
    </row>
    <row r="4043" spans="3:12">
      <c r="C4043" s="3"/>
      <c r="K4043" s="4"/>
      <c r="L4043" s="4"/>
    </row>
    <row r="4044" spans="3:12">
      <c r="C4044" s="3"/>
      <c r="K4044" s="4"/>
      <c r="L4044" s="4"/>
    </row>
    <row r="4045" spans="3:12">
      <c r="C4045" s="3"/>
      <c r="K4045" s="4"/>
      <c r="L4045" s="4"/>
    </row>
    <row r="4046" spans="3:12">
      <c r="C4046" s="3"/>
      <c r="K4046" s="4"/>
      <c r="L4046" s="4"/>
    </row>
    <row r="4047" spans="3:12">
      <c r="C4047" s="3"/>
      <c r="K4047" s="4"/>
      <c r="L4047" s="4"/>
    </row>
    <row r="4048" spans="3:12">
      <c r="C4048" s="3"/>
      <c r="K4048" s="4"/>
      <c r="L4048" s="4"/>
    </row>
    <row r="4049" spans="3:12">
      <c r="C4049" s="3"/>
      <c r="K4049" s="4"/>
      <c r="L4049" s="4"/>
    </row>
    <row r="4050" spans="3:12">
      <c r="C4050" s="3"/>
      <c r="K4050" s="4"/>
      <c r="L4050" s="4"/>
    </row>
    <row r="4051" spans="3:12">
      <c r="C4051" s="3"/>
      <c r="K4051" s="4"/>
      <c r="L4051" s="4"/>
    </row>
    <row r="4052" spans="3:12">
      <c r="C4052" s="3"/>
      <c r="K4052" s="4"/>
      <c r="L4052" s="4"/>
    </row>
    <row r="4053" spans="3:12">
      <c r="C4053" s="3"/>
      <c r="K4053" s="4"/>
      <c r="L4053" s="4"/>
    </row>
    <row r="4054" spans="3:12">
      <c r="C4054" s="3"/>
      <c r="K4054" s="4"/>
      <c r="L4054" s="4"/>
    </row>
    <row r="4055" spans="3:12">
      <c r="C4055" s="3"/>
      <c r="K4055" s="4"/>
      <c r="L4055" s="4"/>
    </row>
    <row r="4056" spans="3:12">
      <c r="C4056" s="3"/>
      <c r="K4056" s="4"/>
      <c r="L4056" s="4"/>
    </row>
    <row r="4057" spans="3:12">
      <c r="C4057" s="3"/>
      <c r="K4057" s="4"/>
      <c r="L4057" s="4"/>
    </row>
    <row r="4058" spans="3:12">
      <c r="C4058" s="3"/>
      <c r="K4058" s="4"/>
      <c r="L4058" s="4"/>
    </row>
    <row r="4059" spans="3:12">
      <c r="C4059" s="3"/>
      <c r="K4059" s="4"/>
      <c r="L4059" s="4"/>
    </row>
    <row r="4060" spans="3:12">
      <c r="C4060" s="3"/>
      <c r="K4060" s="4"/>
      <c r="L4060" s="4"/>
    </row>
    <row r="4061" spans="3:12">
      <c r="C4061" s="3"/>
      <c r="K4061" s="4"/>
      <c r="L4061" s="4"/>
    </row>
    <row r="4062" spans="3:12">
      <c r="C4062" s="3"/>
      <c r="K4062" s="4"/>
      <c r="L4062" s="4"/>
    </row>
    <row r="4063" spans="3:12">
      <c r="C4063" s="3"/>
      <c r="K4063" s="4"/>
      <c r="L4063" s="4"/>
    </row>
    <row r="4064" spans="3:12">
      <c r="C4064" s="3"/>
      <c r="K4064" s="4"/>
      <c r="L4064" s="4"/>
    </row>
    <row r="4065" spans="3:12">
      <c r="C4065" s="3"/>
      <c r="K4065" s="4"/>
      <c r="L4065" s="4"/>
    </row>
    <row r="4066" spans="3:12">
      <c r="C4066" s="3"/>
      <c r="K4066" s="4"/>
      <c r="L4066" s="4"/>
    </row>
    <row r="4067" spans="3:12">
      <c r="C4067" s="3"/>
      <c r="K4067" s="4"/>
      <c r="L4067" s="4"/>
    </row>
    <row r="4068" spans="3:12">
      <c r="C4068" s="3"/>
      <c r="K4068" s="4"/>
      <c r="L4068" s="4"/>
    </row>
    <row r="4069" spans="3:12">
      <c r="C4069" s="3"/>
      <c r="K4069" s="4"/>
      <c r="L4069" s="4"/>
    </row>
    <row r="4070" spans="3:12">
      <c r="C4070" s="3"/>
      <c r="K4070" s="4"/>
      <c r="L4070" s="4"/>
    </row>
    <row r="4071" spans="3:12">
      <c r="C4071" s="3"/>
      <c r="K4071" s="4"/>
      <c r="L4071" s="4"/>
    </row>
    <row r="4072" spans="3:12">
      <c r="C4072" s="3"/>
      <c r="K4072" s="4"/>
      <c r="L4072" s="4"/>
    </row>
    <row r="4073" spans="3:12">
      <c r="C4073" s="3"/>
      <c r="K4073" s="4"/>
      <c r="L4073" s="4"/>
    </row>
    <row r="4074" spans="3:12">
      <c r="C4074" s="3"/>
      <c r="K4074" s="4"/>
      <c r="L4074" s="4"/>
    </row>
    <row r="4075" spans="3:12">
      <c r="C4075" s="3"/>
      <c r="K4075" s="4"/>
      <c r="L4075" s="4"/>
    </row>
    <row r="4076" spans="3:12">
      <c r="C4076" s="3"/>
      <c r="K4076" s="4"/>
      <c r="L4076" s="4"/>
    </row>
    <row r="4077" spans="3:12">
      <c r="C4077" s="3"/>
      <c r="K4077" s="4"/>
      <c r="L4077" s="4"/>
    </row>
    <row r="4078" spans="3:12">
      <c r="C4078" s="3"/>
      <c r="K4078" s="4"/>
      <c r="L4078" s="4"/>
    </row>
    <row r="4079" spans="3:12">
      <c r="C4079" s="3"/>
      <c r="K4079" s="4"/>
      <c r="L4079" s="4"/>
    </row>
    <row r="4080" spans="3:12">
      <c r="C4080" s="3"/>
      <c r="K4080" s="4"/>
      <c r="L4080" s="4"/>
    </row>
    <row r="4081" spans="3:12">
      <c r="C4081" s="3"/>
      <c r="K4081" s="4"/>
      <c r="L4081" s="4"/>
    </row>
    <row r="4082" spans="3:12">
      <c r="C4082" s="3"/>
      <c r="K4082" s="4"/>
      <c r="L4082" s="4"/>
    </row>
    <row r="4083" spans="3:12">
      <c r="C4083" s="3"/>
      <c r="K4083" s="4"/>
      <c r="L4083" s="4"/>
    </row>
    <row r="4084" spans="3:12">
      <c r="C4084" s="3"/>
      <c r="K4084" s="4"/>
      <c r="L4084" s="4"/>
    </row>
    <row r="4085" spans="3:12">
      <c r="C4085" s="3"/>
      <c r="K4085" s="4"/>
      <c r="L4085" s="4"/>
    </row>
    <row r="4086" spans="3:12">
      <c r="C4086" s="3"/>
      <c r="K4086" s="4"/>
      <c r="L4086" s="4"/>
    </row>
    <row r="4087" spans="3:12">
      <c r="C4087" s="3"/>
      <c r="K4087" s="4"/>
      <c r="L4087" s="4"/>
    </row>
    <row r="4088" spans="3:12">
      <c r="C4088" s="3"/>
      <c r="K4088" s="4"/>
      <c r="L4088" s="4"/>
    </row>
    <row r="4089" spans="3:12">
      <c r="C4089" s="3"/>
      <c r="K4089" s="4"/>
      <c r="L4089" s="4"/>
    </row>
    <row r="4090" spans="3:12">
      <c r="C4090" s="3"/>
      <c r="K4090" s="4"/>
      <c r="L4090" s="4"/>
    </row>
    <row r="4091" spans="3:12">
      <c r="C4091" s="3"/>
      <c r="K4091" s="4"/>
      <c r="L4091" s="4"/>
    </row>
    <row r="4092" spans="3:12">
      <c r="C4092" s="3"/>
      <c r="K4092" s="4"/>
      <c r="L4092" s="4"/>
    </row>
    <row r="4093" spans="3:12">
      <c r="C4093" s="3"/>
      <c r="K4093" s="4"/>
      <c r="L4093" s="4"/>
    </row>
    <row r="4094" spans="3:12">
      <c r="C4094" s="3"/>
      <c r="K4094" s="4"/>
      <c r="L4094" s="4"/>
    </row>
    <row r="4095" spans="3:12">
      <c r="C4095" s="3"/>
      <c r="K4095" s="4"/>
      <c r="L4095" s="4"/>
    </row>
    <row r="4096" spans="3:12">
      <c r="C4096" s="3"/>
      <c r="K4096" s="4"/>
      <c r="L4096" s="4"/>
    </row>
    <row r="4097" spans="3:12">
      <c r="C4097" s="3"/>
      <c r="K4097" s="4"/>
      <c r="L4097" s="4"/>
    </row>
    <row r="4098" spans="3:12">
      <c r="C4098" s="3"/>
      <c r="K4098" s="4"/>
      <c r="L4098" s="4"/>
    </row>
    <row r="4099" spans="3:12">
      <c r="C4099" s="3"/>
      <c r="K4099" s="4"/>
      <c r="L4099" s="4"/>
    </row>
    <row r="4100" spans="3:12">
      <c r="C4100" s="3"/>
      <c r="K4100" s="4"/>
      <c r="L4100" s="4"/>
    </row>
    <row r="4101" spans="3:12">
      <c r="C4101" s="3"/>
      <c r="K4101" s="4"/>
      <c r="L4101" s="4"/>
    </row>
    <row r="4102" spans="3:12">
      <c r="C4102" s="3"/>
      <c r="K4102" s="4"/>
      <c r="L4102" s="4"/>
    </row>
    <row r="4103" spans="3:12">
      <c r="C4103" s="3"/>
      <c r="K4103" s="4"/>
      <c r="L4103" s="4"/>
    </row>
    <row r="4104" spans="3:12">
      <c r="C4104" s="3"/>
      <c r="K4104" s="4"/>
      <c r="L4104" s="4"/>
    </row>
    <row r="4105" spans="3:12">
      <c r="C4105" s="3"/>
      <c r="K4105" s="4"/>
      <c r="L4105" s="4"/>
    </row>
    <row r="4106" spans="3:12">
      <c r="C4106" s="3"/>
      <c r="K4106" s="4"/>
      <c r="L4106" s="4"/>
    </row>
    <row r="4107" spans="3:12">
      <c r="C4107" s="3"/>
      <c r="K4107" s="4"/>
      <c r="L4107" s="4"/>
    </row>
    <row r="4108" spans="3:12">
      <c r="C4108" s="3"/>
      <c r="K4108" s="4"/>
      <c r="L4108" s="4"/>
    </row>
    <row r="4109" spans="3:12">
      <c r="C4109" s="3"/>
      <c r="K4109" s="4"/>
      <c r="L4109" s="4"/>
    </row>
    <row r="4110" spans="3:12">
      <c r="C4110" s="3"/>
      <c r="K4110" s="4"/>
      <c r="L4110" s="4"/>
    </row>
    <row r="4111" spans="3:12">
      <c r="C4111" s="3"/>
      <c r="K4111" s="4"/>
      <c r="L4111" s="4"/>
    </row>
    <row r="4112" spans="3:12">
      <c r="C4112" s="3"/>
      <c r="K4112" s="4"/>
      <c r="L4112" s="4"/>
    </row>
    <row r="4113" spans="3:12">
      <c r="C4113" s="3"/>
      <c r="K4113" s="4"/>
      <c r="L4113" s="4"/>
    </row>
    <row r="4114" spans="3:12">
      <c r="C4114" s="3"/>
      <c r="K4114" s="4"/>
      <c r="L4114" s="4"/>
    </row>
    <row r="4115" spans="3:12">
      <c r="C4115" s="3"/>
      <c r="K4115" s="4"/>
      <c r="L4115" s="4"/>
    </row>
    <row r="4116" spans="3:12">
      <c r="C4116" s="3"/>
      <c r="K4116" s="4"/>
      <c r="L4116" s="4"/>
    </row>
    <row r="4117" spans="3:12">
      <c r="C4117" s="3"/>
      <c r="K4117" s="4"/>
      <c r="L4117" s="4"/>
    </row>
    <row r="4118" spans="3:12">
      <c r="C4118" s="3"/>
      <c r="K4118" s="4"/>
      <c r="L4118" s="4"/>
    </row>
    <row r="4119" spans="3:12">
      <c r="C4119" s="3"/>
      <c r="K4119" s="4"/>
      <c r="L4119" s="4"/>
    </row>
    <row r="4120" spans="3:12">
      <c r="C4120" s="3"/>
      <c r="K4120" s="4"/>
      <c r="L4120" s="4"/>
    </row>
    <row r="4121" spans="3:12">
      <c r="C4121" s="3"/>
      <c r="K4121" s="4"/>
      <c r="L4121" s="4"/>
    </row>
    <row r="4122" spans="3:12">
      <c r="C4122" s="3"/>
      <c r="K4122" s="4"/>
      <c r="L4122" s="4"/>
    </row>
    <row r="4123" spans="3:12">
      <c r="C4123" s="3"/>
      <c r="K4123" s="4"/>
      <c r="L4123" s="4"/>
    </row>
    <row r="4124" spans="3:12">
      <c r="C4124" s="3"/>
      <c r="K4124" s="4"/>
      <c r="L4124" s="4"/>
    </row>
    <row r="4125" spans="3:12">
      <c r="C4125" s="3"/>
      <c r="K4125" s="4"/>
      <c r="L4125" s="4"/>
    </row>
    <row r="4126" spans="3:12">
      <c r="C4126" s="3"/>
      <c r="K4126" s="4"/>
      <c r="L4126" s="4"/>
    </row>
    <row r="4127" spans="3:12">
      <c r="C4127" s="3"/>
      <c r="K4127" s="4"/>
      <c r="L4127" s="4"/>
    </row>
    <row r="4128" spans="3:12">
      <c r="C4128" s="3"/>
      <c r="K4128" s="4"/>
      <c r="L4128" s="4"/>
    </row>
    <row r="4129" spans="3:12">
      <c r="C4129" s="3"/>
      <c r="K4129" s="4"/>
      <c r="L4129" s="4"/>
    </row>
    <row r="4130" spans="3:12">
      <c r="C4130" s="3"/>
      <c r="K4130" s="4"/>
      <c r="L4130" s="4"/>
    </row>
    <row r="4131" spans="3:12">
      <c r="C4131" s="3"/>
      <c r="K4131" s="4"/>
      <c r="L4131" s="4"/>
    </row>
    <row r="4132" spans="3:12">
      <c r="C4132" s="3"/>
      <c r="K4132" s="4"/>
      <c r="L4132" s="4"/>
    </row>
    <row r="4133" spans="3:12">
      <c r="C4133" s="3"/>
      <c r="K4133" s="4"/>
      <c r="L4133" s="4"/>
    </row>
    <row r="4134" spans="3:12">
      <c r="C4134" s="3"/>
      <c r="K4134" s="4"/>
      <c r="L4134" s="4"/>
    </row>
    <row r="4135" spans="3:12">
      <c r="C4135" s="3"/>
      <c r="K4135" s="4"/>
      <c r="L4135" s="4"/>
    </row>
    <row r="4136" spans="3:12">
      <c r="C4136" s="3"/>
      <c r="K4136" s="4"/>
      <c r="L4136" s="4"/>
    </row>
    <row r="4137" spans="3:12">
      <c r="C4137" s="3"/>
      <c r="K4137" s="4"/>
      <c r="L4137" s="4"/>
    </row>
    <row r="4138" spans="3:12">
      <c r="C4138" s="3"/>
      <c r="K4138" s="4"/>
      <c r="L4138" s="4"/>
    </row>
    <row r="4139" spans="3:12">
      <c r="C4139" s="3"/>
      <c r="K4139" s="4"/>
      <c r="L4139" s="4"/>
    </row>
    <row r="4140" spans="3:12">
      <c r="C4140" s="3"/>
      <c r="K4140" s="4"/>
      <c r="L4140" s="4"/>
    </row>
    <row r="4141" spans="3:12">
      <c r="C4141" s="3"/>
      <c r="K4141" s="4"/>
      <c r="L4141" s="4"/>
    </row>
    <row r="4142" spans="3:12">
      <c r="C4142" s="3"/>
      <c r="K4142" s="4"/>
      <c r="L4142" s="4"/>
    </row>
    <row r="4143" spans="3:12">
      <c r="C4143" s="3"/>
      <c r="K4143" s="4"/>
      <c r="L4143" s="4"/>
    </row>
    <row r="4144" spans="3:12">
      <c r="C4144" s="3"/>
      <c r="K4144" s="4"/>
      <c r="L4144" s="4"/>
    </row>
    <row r="4145" spans="3:12">
      <c r="C4145" s="3"/>
      <c r="K4145" s="4"/>
      <c r="L4145" s="4"/>
    </row>
    <row r="4146" spans="3:12">
      <c r="C4146" s="3"/>
      <c r="K4146" s="4"/>
      <c r="L4146" s="4"/>
    </row>
    <row r="4147" spans="3:12">
      <c r="C4147" s="3"/>
      <c r="K4147" s="4"/>
      <c r="L4147" s="4"/>
    </row>
    <row r="4148" spans="3:12">
      <c r="C4148" s="3"/>
      <c r="K4148" s="4"/>
      <c r="L4148" s="4"/>
    </row>
    <row r="4149" spans="3:12">
      <c r="C4149" s="3"/>
      <c r="K4149" s="4"/>
      <c r="L4149" s="4"/>
    </row>
    <row r="4150" spans="3:12">
      <c r="C4150" s="3"/>
      <c r="K4150" s="4"/>
      <c r="L4150" s="4"/>
    </row>
    <row r="4151" spans="3:12">
      <c r="C4151" s="3"/>
      <c r="K4151" s="4"/>
      <c r="L4151" s="4"/>
    </row>
    <row r="4152" spans="3:12">
      <c r="C4152" s="3"/>
      <c r="K4152" s="4"/>
      <c r="L4152" s="4"/>
    </row>
    <row r="4153" spans="3:12">
      <c r="C4153" s="3"/>
      <c r="K4153" s="4"/>
      <c r="L4153" s="4"/>
    </row>
    <row r="4154" spans="3:12">
      <c r="C4154" s="3"/>
      <c r="K4154" s="4"/>
      <c r="L4154" s="4"/>
    </row>
    <row r="4155" spans="3:12">
      <c r="C4155" s="3"/>
      <c r="K4155" s="4"/>
      <c r="L4155" s="4"/>
    </row>
    <row r="4156" spans="3:12">
      <c r="C4156" s="3"/>
      <c r="K4156" s="4"/>
      <c r="L4156" s="4"/>
    </row>
    <row r="4157" spans="3:12">
      <c r="C4157" s="3"/>
      <c r="K4157" s="4"/>
      <c r="L4157" s="4"/>
    </row>
    <row r="4158" spans="3:12">
      <c r="C4158" s="3"/>
      <c r="K4158" s="4"/>
      <c r="L4158" s="4"/>
    </row>
    <row r="4159" spans="3:12">
      <c r="C4159" s="3"/>
      <c r="K4159" s="4"/>
      <c r="L4159" s="4"/>
    </row>
    <row r="4160" spans="3:12">
      <c r="C4160" s="3"/>
      <c r="K4160" s="4"/>
      <c r="L4160" s="4"/>
    </row>
    <row r="4161" spans="3:12">
      <c r="C4161" s="3"/>
      <c r="K4161" s="4"/>
      <c r="L4161" s="4"/>
    </row>
    <row r="4162" spans="3:12">
      <c r="C4162" s="3"/>
      <c r="K4162" s="4"/>
      <c r="L4162" s="4"/>
    </row>
    <row r="4163" spans="3:12">
      <c r="C4163" s="3"/>
      <c r="K4163" s="4"/>
      <c r="L4163" s="4"/>
    </row>
    <row r="4164" spans="3:12">
      <c r="C4164" s="3"/>
      <c r="K4164" s="4"/>
      <c r="L4164" s="4"/>
    </row>
    <row r="4165" spans="3:12">
      <c r="C4165" s="3"/>
      <c r="K4165" s="4"/>
      <c r="L4165" s="4"/>
    </row>
    <row r="4166" spans="3:12">
      <c r="C4166" s="3"/>
      <c r="K4166" s="4"/>
      <c r="L4166" s="4"/>
    </row>
    <row r="4167" spans="3:12">
      <c r="C4167" s="3"/>
      <c r="K4167" s="4"/>
      <c r="L4167" s="4"/>
    </row>
    <row r="4168" spans="3:12">
      <c r="C4168" s="3"/>
      <c r="K4168" s="4"/>
      <c r="L4168" s="4"/>
    </row>
    <row r="4169" spans="3:12">
      <c r="C4169" s="3"/>
      <c r="K4169" s="4"/>
      <c r="L4169" s="4"/>
    </row>
    <row r="4170" spans="3:12">
      <c r="C4170" s="3"/>
      <c r="K4170" s="4"/>
      <c r="L4170" s="4"/>
    </row>
    <row r="4171" spans="3:12">
      <c r="C4171" s="3"/>
      <c r="K4171" s="4"/>
      <c r="L4171" s="4"/>
    </row>
    <row r="4172" spans="3:12">
      <c r="C4172" s="3"/>
      <c r="K4172" s="4"/>
      <c r="L4172" s="4"/>
    </row>
    <row r="4173" spans="3:12">
      <c r="C4173" s="3"/>
      <c r="K4173" s="4"/>
      <c r="L4173" s="4"/>
    </row>
    <row r="4174" spans="3:12">
      <c r="C4174" s="3"/>
      <c r="K4174" s="4"/>
      <c r="L4174" s="4"/>
    </row>
    <row r="4175" spans="3:12">
      <c r="C4175" s="3"/>
      <c r="K4175" s="4"/>
      <c r="L4175" s="4"/>
    </row>
    <row r="4176" spans="3:12">
      <c r="C4176" s="3"/>
      <c r="K4176" s="4"/>
      <c r="L4176" s="4"/>
    </row>
    <row r="4177" spans="3:12">
      <c r="C4177" s="3"/>
      <c r="K4177" s="4"/>
      <c r="L4177" s="4"/>
    </row>
    <row r="4178" spans="3:12">
      <c r="C4178" s="3"/>
      <c r="K4178" s="4"/>
      <c r="L4178" s="4"/>
    </row>
    <row r="4179" spans="3:12">
      <c r="C4179" s="3"/>
      <c r="K4179" s="4"/>
      <c r="L4179" s="4"/>
    </row>
    <row r="4180" spans="3:12">
      <c r="C4180" s="3"/>
      <c r="K4180" s="4"/>
      <c r="L4180" s="4"/>
    </row>
    <row r="4181" spans="3:12">
      <c r="C4181" s="3"/>
      <c r="K4181" s="4"/>
      <c r="L4181" s="4"/>
    </row>
    <row r="4182" spans="3:12">
      <c r="C4182" s="3"/>
      <c r="K4182" s="4"/>
      <c r="L4182" s="4"/>
    </row>
    <row r="4183" spans="3:12">
      <c r="C4183" s="3"/>
      <c r="K4183" s="4"/>
      <c r="L4183" s="4"/>
    </row>
    <row r="4184" spans="3:12">
      <c r="C4184" s="3"/>
      <c r="K4184" s="4"/>
      <c r="L4184" s="4"/>
    </row>
    <row r="4185" spans="3:12">
      <c r="C4185" s="3"/>
      <c r="K4185" s="4"/>
      <c r="L4185" s="4"/>
    </row>
    <row r="4186" spans="3:12">
      <c r="C4186" s="3"/>
      <c r="K4186" s="4"/>
      <c r="L4186" s="4"/>
    </row>
    <row r="4187" spans="3:12">
      <c r="C4187" s="3"/>
      <c r="K4187" s="4"/>
      <c r="L4187" s="4"/>
    </row>
    <row r="4188" spans="3:12">
      <c r="C4188" s="3"/>
      <c r="K4188" s="4"/>
      <c r="L4188" s="4"/>
    </row>
    <row r="4189" spans="3:12">
      <c r="C4189" s="3"/>
      <c r="K4189" s="4"/>
      <c r="L4189" s="4"/>
    </row>
    <row r="4190" spans="3:12">
      <c r="C4190" s="3"/>
      <c r="K4190" s="4"/>
      <c r="L4190" s="4"/>
    </row>
    <row r="4191" spans="3:12">
      <c r="C4191" s="3"/>
      <c r="K4191" s="4"/>
      <c r="L4191" s="4"/>
    </row>
    <row r="4192" spans="3:12">
      <c r="C4192" s="3"/>
      <c r="K4192" s="4"/>
      <c r="L4192" s="4"/>
    </row>
    <row r="4193" spans="3:12">
      <c r="C4193" s="3"/>
      <c r="K4193" s="4"/>
      <c r="L4193" s="4"/>
    </row>
    <row r="4194" spans="3:12">
      <c r="C4194" s="3"/>
      <c r="K4194" s="4"/>
      <c r="L4194" s="4"/>
    </row>
    <row r="4195" spans="3:12">
      <c r="C4195" s="3"/>
      <c r="K4195" s="4"/>
      <c r="L4195" s="4"/>
    </row>
    <row r="4196" spans="3:12">
      <c r="C4196" s="3"/>
      <c r="K4196" s="4"/>
      <c r="L4196" s="4"/>
    </row>
    <row r="4197" spans="3:12">
      <c r="C4197" s="3"/>
      <c r="K4197" s="4"/>
      <c r="L4197" s="4"/>
    </row>
    <row r="4198" spans="3:12">
      <c r="C4198" s="3"/>
      <c r="K4198" s="4"/>
      <c r="L4198" s="4"/>
    </row>
    <row r="4199" spans="3:12">
      <c r="C4199" s="3"/>
      <c r="K4199" s="4"/>
      <c r="L4199" s="4"/>
    </row>
    <row r="4200" spans="3:12">
      <c r="C4200" s="3"/>
      <c r="K4200" s="4"/>
      <c r="L4200" s="4"/>
    </row>
    <row r="4201" spans="3:12">
      <c r="C4201" s="3"/>
      <c r="K4201" s="4"/>
      <c r="L4201" s="4"/>
    </row>
    <row r="4202" spans="3:12">
      <c r="C4202" s="3"/>
      <c r="K4202" s="4"/>
      <c r="L4202" s="4"/>
    </row>
    <row r="4203" spans="3:12">
      <c r="C4203" s="3"/>
      <c r="K4203" s="4"/>
      <c r="L4203" s="4"/>
    </row>
    <row r="4204" spans="3:12">
      <c r="C4204" s="3"/>
      <c r="K4204" s="4"/>
      <c r="L4204" s="4"/>
    </row>
    <row r="4205" spans="3:12">
      <c r="C4205" s="3"/>
      <c r="K4205" s="4"/>
      <c r="L4205" s="4"/>
    </row>
    <row r="4206" spans="3:12">
      <c r="C4206" s="3"/>
      <c r="K4206" s="4"/>
      <c r="L4206" s="4"/>
    </row>
    <row r="4207" spans="3:12">
      <c r="C4207" s="3"/>
      <c r="K4207" s="4"/>
      <c r="L4207" s="4"/>
    </row>
    <row r="4208" spans="3:12">
      <c r="C4208" s="3"/>
      <c r="K4208" s="4"/>
      <c r="L4208" s="4"/>
    </row>
    <row r="4209" spans="3:12">
      <c r="C4209" s="3"/>
      <c r="K4209" s="4"/>
      <c r="L4209" s="4"/>
    </row>
    <row r="4210" spans="3:12">
      <c r="C4210" s="3"/>
      <c r="K4210" s="4"/>
      <c r="L4210" s="4"/>
    </row>
    <row r="4211" spans="3:12">
      <c r="C4211" s="3"/>
      <c r="K4211" s="4"/>
      <c r="L4211" s="4"/>
    </row>
    <row r="4212" spans="3:12">
      <c r="C4212" s="3"/>
      <c r="K4212" s="4"/>
      <c r="L4212" s="4"/>
    </row>
    <row r="4213" spans="3:12">
      <c r="C4213" s="3"/>
      <c r="K4213" s="4"/>
      <c r="L4213" s="4"/>
    </row>
    <row r="4214" spans="3:12">
      <c r="C4214" s="3"/>
      <c r="K4214" s="4"/>
      <c r="L4214" s="4"/>
    </row>
    <row r="4215" spans="3:12">
      <c r="C4215" s="3"/>
      <c r="K4215" s="4"/>
      <c r="L4215" s="4"/>
    </row>
    <row r="4216" spans="3:12">
      <c r="C4216" s="3"/>
      <c r="K4216" s="4"/>
      <c r="L4216" s="4"/>
    </row>
    <row r="4217" spans="3:12">
      <c r="C4217" s="3"/>
      <c r="K4217" s="4"/>
      <c r="L4217" s="4"/>
    </row>
    <row r="4218" spans="3:12">
      <c r="C4218" s="3"/>
      <c r="K4218" s="4"/>
      <c r="L4218" s="4"/>
    </row>
    <row r="4219" spans="3:12">
      <c r="C4219" s="3"/>
      <c r="K4219" s="4"/>
      <c r="L4219" s="4"/>
    </row>
    <row r="4220" spans="3:12">
      <c r="C4220" s="3"/>
      <c r="K4220" s="4"/>
      <c r="L4220" s="4"/>
    </row>
    <row r="4221" spans="3:12">
      <c r="C4221" s="3"/>
      <c r="K4221" s="4"/>
      <c r="L4221" s="4"/>
    </row>
    <row r="4222" spans="3:12">
      <c r="C4222" s="3"/>
      <c r="K4222" s="4"/>
      <c r="L4222" s="4"/>
    </row>
    <row r="4223" spans="3:12">
      <c r="C4223" s="3"/>
      <c r="K4223" s="4"/>
      <c r="L4223" s="4"/>
    </row>
    <row r="4224" spans="3:12">
      <c r="C4224" s="3"/>
      <c r="K4224" s="4"/>
      <c r="L4224" s="4"/>
    </row>
    <row r="4225" spans="3:12">
      <c r="C4225" s="3"/>
      <c r="K4225" s="4"/>
      <c r="L4225" s="4"/>
    </row>
    <row r="4226" spans="3:12">
      <c r="C4226" s="3"/>
      <c r="K4226" s="4"/>
      <c r="L4226" s="4"/>
    </row>
    <row r="4227" spans="3:12">
      <c r="C4227" s="3"/>
      <c r="K4227" s="4"/>
      <c r="L4227" s="4"/>
    </row>
    <row r="4228" spans="3:12">
      <c r="C4228" s="3"/>
      <c r="K4228" s="4"/>
      <c r="L4228" s="4"/>
    </row>
    <row r="4229" spans="3:12">
      <c r="C4229" s="3"/>
      <c r="K4229" s="4"/>
      <c r="L4229" s="4"/>
    </row>
    <row r="4230" spans="3:12">
      <c r="C4230" s="3"/>
      <c r="K4230" s="4"/>
      <c r="L4230" s="4"/>
    </row>
    <row r="4231" spans="3:12">
      <c r="C4231" s="3"/>
      <c r="K4231" s="4"/>
      <c r="L4231" s="4"/>
    </row>
    <row r="4232" spans="3:12">
      <c r="C4232" s="3"/>
      <c r="K4232" s="4"/>
      <c r="L4232" s="4"/>
    </row>
    <row r="4233" spans="3:12">
      <c r="C4233" s="3"/>
      <c r="K4233" s="4"/>
      <c r="L4233" s="4"/>
    </row>
    <row r="4234" spans="3:12">
      <c r="C4234" s="3"/>
      <c r="K4234" s="4"/>
      <c r="L4234" s="4"/>
    </row>
    <row r="4235" spans="3:12">
      <c r="C4235" s="3"/>
      <c r="K4235" s="4"/>
      <c r="L4235" s="4"/>
    </row>
    <row r="4236" spans="3:12">
      <c r="C4236" s="3"/>
      <c r="K4236" s="4"/>
      <c r="L4236" s="4"/>
    </row>
    <row r="4237" spans="3:12">
      <c r="C4237" s="3"/>
      <c r="K4237" s="4"/>
      <c r="L4237" s="4"/>
    </row>
    <row r="4238" spans="3:12">
      <c r="C4238" s="3"/>
      <c r="K4238" s="4"/>
      <c r="L4238" s="4"/>
    </row>
    <row r="4239" spans="3:12">
      <c r="C4239" s="3"/>
      <c r="K4239" s="4"/>
      <c r="L4239" s="4"/>
    </row>
    <row r="4240" spans="3:12">
      <c r="C4240" s="3"/>
      <c r="K4240" s="4"/>
      <c r="L4240" s="4"/>
    </row>
    <row r="4241" spans="3:12">
      <c r="C4241" s="3"/>
      <c r="K4241" s="4"/>
      <c r="L4241" s="4"/>
    </row>
    <row r="4242" spans="3:12">
      <c r="C4242" s="3"/>
      <c r="K4242" s="4"/>
      <c r="L4242" s="4"/>
    </row>
    <row r="4243" spans="3:12">
      <c r="C4243" s="3"/>
      <c r="K4243" s="4"/>
      <c r="L4243" s="4"/>
    </row>
    <row r="4244" spans="3:12">
      <c r="C4244" s="3"/>
      <c r="K4244" s="4"/>
      <c r="L4244" s="4"/>
    </row>
    <row r="4245" spans="3:12">
      <c r="C4245" s="3"/>
      <c r="K4245" s="4"/>
      <c r="L4245" s="4"/>
    </row>
    <row r="4246" spans="3:12">
      <c r="C4246" s="3"/>
      <c r="K4246" s="4"/>
      <c r="L4246" s="4"/>
    </row>
    <row r="4247" spans="3:12">
      <c r="C4247" s="3"/>
      <c r="K4247" s="4"/>
      <c r="L4247" s="4"/>
    </row>
    <row r="4248" spans="3:12">
      <c r="C4248" s="3"/>
      <c r="K4248" s="4"/>
      <c r="L4248" s="4"/>
    </row>
    <row r="4249" spans="3:12">
      <c r="C4249" s="3"/>
      <c r="K4249" s="4"/>
      <c r="L4249" s="4"/>
    </row>
    <row r="4250" spans="3:12">
      <c r="C4250" s="3"/>
      <c r="K4250" s="4"/>
      <c r="L4250" s="4"/>
    </row>
    <row r="4251" spans="3:12">
      <c r="C4251" s="3"/>
      <c r="K4251" s="4"/>
      <c r="L4251" s="4"/>
    </row>
    <row r="4252" spans="3:12">
      <c r="C4252" s="3"/>
      <c r="K4252" s="4"/>
      <c r="L4252" s="4"/>
    </row>
    <row r="4253" spans="3:12">
      <c r="C4253" s="3"/>
      <c r="K4253" s="4"/>
      <c r="L4253" s="4"/>
    </row>
    <row r="4254" spans="3:12">
      <c r="C4254" s="3"/>
      <c r="K4254" s="4"/>
      <c r="L4254" s="4"/>
    </row>
    <row r="4255" spans="3:12">
      <c r="C4255" s="3"/>
      <c r="K4255" s="4"/>
      <c r="L4255" s="4"/>
    </row>
    <row r="4256" spans="3:12">
      <c r="C4256" s="3"/>
      <c r="K4256" s="4"/>
      <c r="L4256" s="4"/>
    </row>
    <row r="4257" spans="3:12">
      <c r="C4257" s="3"/>
      <c r="K4257" s="4"/>
      <c r="L4257" s="4"/>
    </row>
    <row r="4258" spans="3:12">
      <c r="C4258" s="3"/>
      <c r="K4258" s="4"/>
      <c r="L4258" s="4"/>
    </row>
    <row r="4259" spans="3:12">
      <c r="C4259" s="3"/>
      <c r="K4259" s="4"/>
      <c r="L4259" s="4"/>
    </row>
    <row r="4260" spans="3:12">
      <c r="C4260" s="3"/>
      <c r="K4260" s="4"/>
      <c r="L4260" s="4"/>
    </row>
    <row r="4261" spans="3:12">
      <c r="C4261" s="3"/>
      <c r="K4261" s="4"/>
      <c r="L4261" s="4"/>
    </row>
    <row r="4262" spans="3:12">
      <c r="C4262" s="3"/>
      <c r="K4262" s="4"/>
      <c r="L4262" s="4"/>
    </row>
    <row r="4263" spans="3:12">
      <c r="C4263" s="3"/>
      <c r="K4263" s="4"/>
      <c r="L4263" s="4"/>
    </row>
    <row r="4264" spans="3:12">
      <c r="C4264" s="3"/>
      <c r="K4264" s="4"/>
      <c r="L4264" s="4"/>
    </row>
    <row r="4265" spans="3:12">
      <c r="C4265" s="3"/>
      <c r="K4265" s="4"/>
      <c r="L4265" s="4"/>
    </row>
    <row r="4266" spans="3:12">
      <c r="C4266" s="3"/>
      <c r="K4266" s="4"/>
      <c r="L4266" s="4"/>
    </row>
    <row r="4267" spans="3:12">
      <c r="C4267" s="3"/>
      <c r="K4267" s="4"/>
      <c r="L4267" s="4"/>
    </row>
    <row r="4268" spans="3:12">
      <c r="C4268" s="3"/>
      <c r="K4268" s="4"/>
      <c r="L4268" s="4"/>
    </row>
    <row r="4269" spans="3:12">
      <c r="C4269" s="3"/>
      <c r="K4269" s="4"/>
      <c r="L4269" s="4"/>
    </row>
    <row r="4270" spans="3:12">
      <c r="C4270" s="3"/>
      <c r="K4270" s="4"/>
      <c r="L4270" s="4"/>
    </row>
    <row r="4271" spans="3:12">
      <c r="C4271" s="3"/>
      <c r="K4271" s="4"/>
      <c r="L4271" s="4"/>
    </row>
    <row r="4272" spans="3:12">
      <c r="C4272" s="3"/>
      <c r="K4272" s="4"/>
      <c r="L4272" s="4"/>
    </row>
    <row r="4273" spans="3:12">
      <c r="C4273" s="3"/>
      <c r="K4273" s="4"/>
      <c r="L4273" s="4"/>
    </row>
    <row r="4274" spans="3:12">
      <c r="C4274" s="3"/>
      <c r="K4274" s="4"/>
      <c r="L4274" s="4"/>
    </row>
    <row r="4275" spans="3:12">
      <c r="C4275" s="3"/>
      <c r="K4275" s="4"/>
      <c r="L4275" s="4"/>
    </row>
    <row r="4276" spans="3:12">
      <c r="C4276" s="3"/>
      <c r="K4276" s="4"/>
      <c r="L4276" s="4"/>
    </row>
    <row r="4277" spans="3:12">
      <c r="C4277" s="3"/>
      <c r="K4277" s="4"/>
      <c r="L4277" s="4"/>
    </row>
    <row r="4278" spans="3:12">
      <c r="C4278" s="3"/>
      <c r="K4278" s="4"/>
      <c r="L4278" s="4"/>
    </row>
    <row r="4279" spans="3:12">
      <c r="C4279" s="3"/>
      <c r="K4279" s="4"/>
      <c r="L4279" s="4"/>
    </row>
    <row r="4280" spans="3:12">
      <c r="C4280" s="3"/>
      <c r="K4280" s="4"/>
      <c r="L4280" s="4"/>
    </row>
    <row r="4281" spans="3:12">
      <c r="C4281" s="3"/>
      <c r="K4281" s="4"/>
      <c r="L4281" s="4"/>
    </row>
    <row r="4282" spans="3:12">
      <c r="C4282" s="3"/>
      <c r="K4282" s="4"/>
      <c r="L4282" s="4"/>
    </row>
    <row r="4283" spans="3:12">
      <c r="C4283" s="3"/>
      <c r="K4283" s="4"/>
      <c r="L4283" s="4"/>
    </row>
    <row r="4284" spans="3:12">
      <c r="C4284" s="3"/>
      <c r="K4284" s="4"/>
      <c r="L4284" s="4"/>
    </row>
    <row r="4285" spans="3:12">
      <c r="C4285" s="3"/>
      <c r="K4285" s="4"/>
      <c r="L4285" s="4"/>
    </row>
    <row r="4286" spans="3:12">
      <c r="C4286" s="3"/>
      <c r="K4286" s="4"/>
      <c r="L4286" s="4"/>
    </row>
    <row r="4287" spans="3:12">
      <c r="C4287" s="3"/>
      <c r="K4287" s="4"/>
      <c r="L4287" s="4"/>
    </row>
    <row r="4288" spans="3:12">
      <c r="C4288" s="3"/>
      <c r="K4288" s="4"/>
      <c r="L4288" s="4"/>
    </row>
    <row r="4289" spans="3:12">
      <c r="C4289" s="3"/>
      <c r="K4289" s="4"/>
      <c r="L4289" s="4"/>
    </row>
    <row r="4290" spans="3:12">
      <c r="C4290" s="3"/>
      <c r="K4290" s="4"/>
      <c r="L4290" s="4"/>
    </row>
    <row r="4291" spans="3:12">
      <c r="C4291" s="3"/>
      <c r="K4291" s="4"/>
      <c r="L4291" s="4"/>
    </row>
    <row r="4292" spans="3:12">
      <c r="C4292" s="3"/>
      <c r="K4292" s="4"/>
      <c r="L4292" s="4"/>
    </row>
    <row r="4293" spans="3:12">
      <c r="C4293" s="3"/>
      <c r="K4293" s="4"/>
      <c r="L4293" s="4"/>
    </row>
    <row r="4294" spans="3:12">
      <c r="C4294" s="3"/>
      <c r="K4294" s="4"/>
      <c r="L4294" s="4"/>
    </row>
    <row r="4295" spans="3:12">
      <c r="C4295" s="3"/>
      <c r="K4295" s="4"/>
      <c r="L4295" s="4"/>
    </row>
    <row r="4296" spans="3:12">
      <c r="C4296" s="3"/>
      <c r="K4296" s="4"/>
      <c r="L4296" s="4"/>
    </row>
    <row r="4297" spans="3:12">
      <c r="C4297" s="3"/>
      <c r="K4297" s="4"/>
      <c r="L4297" s="4"/>
    </row>
    <row r="4298" spans="3:12">
      <c r="C4298" s="3"/>
      <c r="K4298" s="4"/>
      <c r="L4298" s="4"/>
    </row>
    <row r="4299" spans="3:12">
      <c r="C4299" s="3"/>
      <c r="K4299" s="4"/>
      <c r="L4299" s="4"/>
    </row>
    <row r="4300" spans="3:12">
      <c r="C4300" s="3"/>
      <c r="K4300" s="4"/>
      <c r="L4300" s="4"/>
    </row>
    <row r="4301" spans="3:12">
      <c r="C4301" s="3"/>
      <c r="K4301" s="4"/>
      <c r="L4301" s="4"/>
    </row>
    <row r="4302" spans="3:12">
      <c r="C4302" s="3"/>
      <c r="K4302" s="4"/>
      <c r="L4302" s="4"/>
    </row>
    <row r="4303" spans="3:12">
      <c r="C4303" s="3"/>
      <c r="K4303" s="4"/>
      <c r="L4303" s="4"/>
    </row>
    <row r="4304" spans="3:12">
      <c r="C4304" s="3"/>
      <c r="K4304" s="4"/>
      <c r="L4304" s="4"/>
    </row>
    <row r="4305" spans="3:12">
      <c r="C4305" s="3"/>
      <c r="K4305" s="4"/>
      <c r="L4305" s="4"/>
    </row>
    <row r="4306" spans="3:12">
      <c r="C4306" s="3"/>
      <c r="K4306" s="4"/>
      <c r="L4306" s="4"/>
    </row>
    <row r="4307" spans="3:12">
      <c r="C4307" s="3"/>
      <c r="K4307" s="4"/>
      <c r="L4307" s="4"/>
    </row>
    <row r="4308" spans="3:12">
      <c r="C4308" s="3"/>
      <c r="K4308" s="4"/>
      <c r="L4308" s="4"/>
    </row>
    <row r="4309" spans="3:12">
      <c r="C4309" s="3"/>
      <c r="K4309" s="4"/>
      <c r="L4309" s="4"/>
    </row>
    <row r="4310" spans="3:12">
      <c r="C4310" s="3"/>
      <c r="K4310" s="4"/>
      <c r="L4310" s="4"/>
    </row>
    <row r="4311" spans="3:12">
      <c r="C4311" s="3"/>
      <c r="K4311" s="4"/>
      <c r="L4311" s="4"/>
    </row>
    <row r="4312" spans="3:12">
      <c r="C4312" s="3"/>
      <c r="K4312" s="4"/>
      <c r="L4312" s="4"/>
    </row>
    <row r="4313" spans="3:12">
      <c r="C4313" s="3"/>
      <c r="K4313" s="4"/>
      <c r="L4313" s="4"/>
    </row>
    <row r="4314" spans="3:12">
      <c r="C4314" s="3"/>
      <c r="K4314" s="4"/>
      <c r="L4314" s="4"/>
    </row>
    <row r="4315" spans="3:12">
      <c r="C4315" s="3"/>
      <c r="K4315" s="4"/>
      <c r="L4315" s="4"/>
    </row>
    <row r="4316" spans="3:12">
      <c r="C4316" s="3"/>
      <c r="K4316" s="4"/>
      <c r="L4316" s="4"/>
    </row>
    <row r="4317" spans="3:12">
      <c r="C4317" s="3"/>
      <c r="K4317" s="4"/>
      <c r="L4317" s="4"/>
    </row>
    <row r="4318" spans="3:12">
      <c r="C4318" s="3"/>
      <c r="K4318" s="4"/>
      <c r="L4318" s="4"/>
    </row>
    <row r="4319" spans="3:12">
      <c r="C4319" s="3"/>
      <c r="K4319" s="4"/>
      <c r="L4319" s="4"/>
    </row>
    <row r="4320" spans="3:12">
      <c r="C4320" s="3"/>
      <c r="K4320" s="4"/>
      <c r="L4320" s="4"/>
    </row>
    <row r="4321" spans="3:12">
      <c r="C4321" s="3"/>
      <c r="K4321" s="4"/>
      <c r="L4321" s="4"/>
    </row>
    <row r="4322" spans="3:12">
      <c r="C4322" s="3"/>
      <c r="K4322" s="4"/>
      <c r="L4322" s="4"/>
    </row>
    <row r="4323" spans="3:12">
      <c r="C4323" s="3"/>
      <c r="K4323" s="4"/>
      <c r="L4323" s="4"/>
    </row>
    <row r="4324" spans="3:12">
      <c r="C4324" s="3"/>
      <c r="K4324" s="4"/>
      <c r="L4324" s="4"/>
    </row>
    <row r="4325" spans="3:12">
      <c r="C4325" s="3"/>
      <c r="K4325" s="4"/>
      <c r="L4325" s="4"/>
    </row>
    <row r="4326" spans="3:12">
      <c r="C4326" s="3"/>
      <c r="K4326" s="4"/>
      <c r="L4326" s="4"/>
    </row>
    <row r="4327" spans="3:12">
      <c r="C4327" s="3"/>
      <c r="K4327" s="4"/>
      <c r="L4327" s="4"/>
    </row>
    <row r="4328" spans="3:12">
      <c r="C4328" s="3"/>
      <c r="K4328" s="4"/>
      <c r="L4328" s="4"/>
    </row>
    <row r="4329" spans="3:12">
      <c r="C4329" s="3"/>
      <c r="K4329" s="4"/>
      <c r="L4329" s="4"/>
    </row>
    <row r="4330" spans="3:12">
      <c r="C4330" s="3"/>
      <c r="K4330" s="4"/>
      <c r="L4330" s="4"/>
    </row>
    <row r="4331" spans="3:12">
      <c r="C4331" s="3"/>
      <c r="K4331" s="4"/>
      <c r="L4331" s="4"/>
    </row>
    <row r="4332" spans="3:12">
      <c r="C4332" s="3"/>
      <c r="K4332" s="4"/>
      <c r="L4332" s="4"/>
    </row>
    <row r="4333" spans="3:12">
      <c r="C4333" s="3"/>
      <c r="K4333" s="4"/>
      <c r="L4333" s="4"/>
    </row>
    <row r="4334" spans="3:12">
      <c r="C4334" s="3"/>
      <c r="K4334" s="4"/>
      <c r="L4334" s="4"/>
    </row>
    <row r="4335" spans="3:12">
      <c r="C4335" s="3"/>
      <c r="K4335" s="4"/>
      <c r="L4335" s="4"/>
    </row>
    <row r="4336" spans="3:12">
      <c r="C4336" s="3"/>
      <c r="K4336" s="4"/>
      <c r="L4336" s="4"/>
    </row>
    <row r="4337" spans="3:12">
      <c r="C4337" s="3"/>
      <c r="K4337" s="4"/>
      <c r="L4337" s="4"/>
    </row>
    <row r="4338" spans="3:12">
      <c r="C4338" s="3"/>
      <c r="K4338" s="4"/>
      <c r="L4338" s="4"/>
    </row>
    <row r="4339" spans="3:12">
      <c r="C4339" s="3"/>
      <c r="K4339" s="4"/>
      <c r="L4339" s="4"/>
    </row>
    <row r="4340" spans="3:12">
      <c r="C4340" s="3"/>
      <c r="K4340" s="4"/>
      <c r="L4340" s="4"/>
    </row>
    <row r="4341" spans="3:12">
      <c r="C4341" s="3"/>
      <c r="K4341" s="4"/>
      <c r="L4341" s="4"/>
    </row>
    <row r="4342" spans="3:12">
      <c r="C4342" s="3"/>
      <c r="K4342" s="4"/>
      <c r="L4342" s="4"/>
    </row>
    <row r="4343" spans="3:12">
      <c r="C4343" s="3"/>
      <c r="K4343" s="4"/>
      <c r="L4343" s="4"/>
    </row>
    <row r="4344" spans="3:12">
      <c r="C4344" s="3"/>
      <c r="K4344" s="4"/>
      <c r="L4344" s="4"/>
    </row>
    <row r="4345" spans="3:12">
      <c r="C4345" s="3"/>
      <c r="K4345" s="4"/>
      <c r="L4345" s="4"/>
    </row>
    <row r="4346" spans="3:12">
      <c r="C4346" s="3"/>
      <c r="K4346" s="4"/>
      <c r="L4346" s="4"/>
    </row>
    <row r="4347" spans="3:12">
      <c r="C4347" s="3"/>
      <c r="K4347" s="4"/>
      <c r="L4347" s="4"/>
    </row>
    <row r="4348" spans="3:12">
      <c r="C4348" s="3"/>
      <c r="K4348" s="4"/>
      <c r="L4348" s="4"/>
    </row>
    <row r="4349" spans="3:12">
      <c r="C4349" s="3"/>
      <c r="K4349" s="4"/>
      <c r="L4349" s="4"/>
    </row>
    <row r="4350" spans="3:12">
      <c r="C4350" s="3"/>
      <c r="K4350" s="4"/>
      <c r="L4350" s="4"/>
    </row>
    <row r="4351" spans="3:12">
      <c r="C4351" s="3"/>
      <c r="K4351" s="4"/>
      <c r="L4351" s="4"/>
    </row>
    <row r="4352" spans="3:12">
      <c r="C4352" s="3"/>
      <c r="K4352" s="4"/>
      <c r="L4352" s="4"/>
    </row>
    <row r="4353" spans="3:12">
      <c r="C4353" s="3"/>
      <c r="K4353" s="4"/>
      <c r="L4353" s="4"/>
    </row>
    <row r="4354" spans="3:12">
      <c r="C4354" s="3"/>
      <c r="K4354" s="4"/>
      <c r="L4354" s="4"/>
    </row>
    <row r="4355" spans="3:12">
      <c r="C4355" s="3"/>
      <c r="K4355" s="4"/>
      <c r="L4355" s="4"/>
    </row>
    <row r="4356" spans="3:12">
      <c r="C4356" s="3"/>
      <c r="K4356" s="4"/>
      <c r="L4356" s="4"/>
    </row>
    <row r="4357" spans="3:12">
      <c r="C4357" s="3"/>
      <c r="K4357" s="4"/>
      <c r="L4357" s="4"/>
    </row>
    <row r="4358" spans="3:12">
      <c r="C4358" s="3"/>
      <c r="K4358" s="4"/>
      <c r="L4358" s="4"/>
    </row>
    <row r="4359" spans="3:12">
      <c r="C4359" s="3"/>
      <c r="K4359" s="4"/>
      <c r="L4359" s="4"/>
    </row>
    <row r="4360" spans="3:12">
      <c r="C4360" s="3"/>
      <c r="K4360" s="4"/>
      <c r="L4360" s="4"/>
    </row>
    <row r="4361" spans="3:12">
      <c r="C4361" s="3"/>
      <c r="K4361" s="4"/>
      <c r="L4361" s="4"/>
    </row>
    <row r="4362" spans="3:12">
      <c r="C4362" s="3"/>
      <c r="K4362" s="4"/>
      <c r="L4362" s="4"/>
    </row>
    <row r="4363" spans="3:12">
      <c r="C4363" s="3"/>
      <c r="K4363" s="4"/>
      <c r="L4363" s="4"/>
    </row>
    <row r="4364" spans="3:12">
      <c r="C4364" s="3"/>
      <c r="K4364" s="4"/>
      <c r="L4364" s="4"/>
    </row>
    <row r="4365" spans="3:12">
      <c r="C4365" s="3"/>
      <c r="K4365" s="4"/>
      <c r="L4365" s="4"/>
    </row>
    <row r="4366" spans="3:12">
      <c r="C4366" s="3"/>
      <c r="K4366" s="4"/>
      <c r="L4366" s="4"/>
    </row>
    <row r="4367" spans="3:12">
      <c r="C4367" s="3"/>
      <c r="K4367" s="4"/>
      <c r="L4367" s="4"/>
    </row>
    <row r="4368" spans="3:12">
      <c r="C4368" s="3"/>
      <c r="K4368" s="4"/>
      <c r="L4368" s="4"/>
    </row>
    <row r="4369" spans="3:12">
      <c r="C4369" s="3"/>
      <c r="K4369" s="4"/>
      <c r="L4369" s="4"/>
    </row>
    <row r="4370" spans="3:12">
      <c r="C4370" s="3"/>
      <c r="K4370" s="4"/>
      <c r="L4370" s="4"/>
    </row>
    <row r="4371" spans="3:12">
      <c r="C4371" s="3"/>
      <c r="K4371" s="4"/>
      <c r="L4371" s="4"/>
    </row>
    <row r="4372" spans="3:12">
      <c r="C4372" s="3"/>
      <c r="K4372" s="4"/>
      <c r="L4372" s="4"/>
    </row>
    <row r="4373" spans="3:12">
      <c r="C4373" s="3"/>
      <c r="K4373" s="4"/>
      <c r="L4373" s="4"/>
    </row>
    <row r="4374" spans="3:12">
      <c r="C4374" s="3"/>
      <c r="K4374" s="4"/>
      <c r="L4374" s="4"/>
    </row>
    <row r="4375" spans="3:12">
      <c r="C4375" s="3"/>
      <c r="K4375" s="4"/>
      <c r="L4375" s="4"/>
    </row>
    <row r="4376" spans="3:12">
      <c r="C4376" s="3"/>
      <c r="K4376" s="4"/>
      <c r="L4376" s="4"/>
    </row>
    <row r="4377" spans="3:12">
      <c r="C4377" s="3"/>
      <c r="K4377" s="4"/>
      <c r="L4377" s="4"/>
    </row>
    <row r="4378" spans="3:12">
      <c r="C4378" s="3"/>
      <c r="K4378" s="4"/>
      <c r="L4378" s="4"/>
    </row>
    <row r="4379" spans="3:12">
      <c r="C4379" s="3"/>
      <c r="K4379" s="4"/>
      <c r="L4379" s="4"/>
    </row>
    <row r="4380" spans="3:12">
      <c r="C4380" s="3"/>
      <c r="K4380" s="4"/>
      <c r="L4380" s="4"/>
    </row>
    <row r="4381" spans="3:12">
      <c r="C4381" s="3"/>
      <c r="K4381" s="4"/>
      <c r="L4381" s="4"/>
    </row>
    <row r="4382" spans="3:12">
      <c r="C4382" s="3"/>
      <c r="K4382" s="4"/>
      <c r="L4382" s="4"/>
    </row>
    <row r="4383" spans="3:12">
      <c r="C4383" s="3"/>
      <c r="K4383" s="4"/>
      <c r="L4383" s="4"/>
    </row>
    <row r="4384" spans="3:12">
      <c r="C4384" s="3"/>
      <c r="K4384" s="4"/>
      <c r="L4384" s="4"/>
    </row>
    <row r="4385" spans="3:12">
      <c r="C4385" s="3"/>
      <c r="K4385" s="4"/>
      <c r="L4385" s="4"/>
    </row>
    <row r="4386" spans="3:12">
      <c r="C4386" s="3"/>
      <c r="K4386" s="4"/>
      <c r="L4386" s="4"/>
    </row>
    <row r="4387" spans="3:12">
      <c r="C4387" s="3"/>
      <c r="K4387" s="4"/>
      <c r="L4387" s="4"/>
    </row>
    <row r="4388" spans="3:12">
      <c r="C4388" s="3"/>
      <c r="K4388" s="4"/>
      <c r="L4388" s="4"/>
    </row>
    <row r="4389" spans="3:12">
      <c r="C4389" s="3"/>
      <c r="K4389" s="4"/>
      <c r="L4389" s="4"/>
    </row>
    <row r="4390" spans="3:12">
      <c r="C4390" s="3"/>
      <c r="K4390" s="4"/>
      <c r="L4390" s="4"/>
    </row>
    <row r="4391" spans="3:12">
      <c r="C4391" s="3"/>
      <c r="K4391" s="4"/>
      <c r="L4391" s="4"/>
    </row>
    <row r="4392" spans="3:12">
      <c r="C4392" s="3"/>
      <c r="K4392" s="4"/>
      <c r="L4392" s="4"/>
    </row>
    <row r="4393" spans="3:12">
      <c r="C4393" s="3"/>
      <c r="K4393" s="4"/>
      <c r="L4393" s="4"/>
    </row>
    <row r="4394" spans="3:12">
      <c r="C4394" s="3"/>
      <c r="K4394" s="4"/>
      <c r="L4394" s="4"/>
    </row>
    <row r="4395" spans="3:12">
      <c r="C4395" s="3"/>
      <c r="K4395" s="4"/>
      <c r="L4395" s="4"/>
    </row>
    <row r="4396" spans="3:12">
      <c r="C4396" s="3"/>
      <c r="K4396" s="4"/>
      <c r="L4396" s="4"/>
    </row>
    <row r="4397" spans="3:12">
      <c r="C4397" s="3"/>
      <c r="K4397" s="4"/>
      <c r="L4397" s="4"/>
    </row>
    <row r="4398" spans="3:12">
      <c r="C4398" s="3"/>
      <c r="K4398" s="4"/>
      <c r="L4398" s="4"/>
    </row>
    <row r="4399" spans="3:12">
      <c r="C4399" s="3"/>
      <c r="K4399" s="4"/>
      <c r="L4399" s="4"/>
    </row>
    <row r="4400" spans="3:12">
      <c r="C4400" s="3"/>
      <c r="K4400" s="4"/>
      <c r="L4400" s="4"/>
    </row>
    <row r="4401" spans="3:12">
      <c r="C4401" s="3"/>
      <c r="K4401" s="4"/>
      <c r="L4401" s="4"/>
    </row>
    <row r="4402" spans="3:12">
      <c r="C4402" s="3"/>
      <c r="K4402" s="4"/>
      <c r="L4402" s="4"/>
    </row>
    <row r="4403" spans="3:12">
      <c r="C4403" s="3"/>
      <c r="K4403" s="4"/>
      <c r="L4403" s="4"/>
    </row>
    <row r="4404" spans="3:12">
      <c r="C4404" s="3"/>
      <c r="K4404" s="4"/>
      <c r="L4404" s="4"/>
    </row>
    <row r="4405" spans="3:12">
      <c r="C4405" s="3"/>
      <c r="K4405" s="4"/>
      <c r="L4405" s="4"/>
    </row>
    <row r="4406" spans="3:12">
      <c r="C4406" s="3"/>
      <c r="K4406" s="4"/>
      <c r="L4406" s="4"/>
    </row>
    <row r="4407" spans="3:12">
      <c r="C4407" s="3"/>
      <c r="K4407" s="4"/>
      <c r="L4407" s="4"/>
    </row>
    <row r="4408" spans="3:12">
      <c r="C4408" s="3"/>
      <c r="K4408" s="4"/>
      <c r="L4408" s="4"/>
    </row>
    <row r="4409" spans="3:12">
      <c r="C4409" s="3"/>
      <c r="K4409" s="4"/>
      <c r="L4409" s="4"/>
    </row>
    <row r="4410" spans="3:12">
      <c r="C4410" s="3"/>
      <c r="K4410" s="4"/>
      <c r="L4410" s="4"/>
    </row>
    <row r="4411" spans="3:12">
      <c r="C4411" s="3"/>
      <c r="K4411" s="4"/>
      <c r="L4411" s="4"/>
    </row>
    <row r="4412" spans="3:12">
      <c r="C4412" s="3"/>
      <c r="K4412" s="4"/>
      <c r="L4412" s="4"/>
    </row>
    <row r="4413" spans="3:12">
      <c r="C4413" s="3"/>
      <c r="K4413" s="4"/>
      <c r="L4413" s="4"/>
    </row>
    <row r="4414" spans="3:12">
      <c r="C4414" s="3"/>
      <c r="K4414" s="4"/>
      <c r="L4414" s="4"/>
    </row>
    <row r="4415" spans="3:12">
      <c r="C4415" s="3"/>
      <c r="K4415" s="4"/>
      <c r="L4415" s="4"/>
    </row>
    <row r="4416" spans="3:12">
      <c r="C4416" s="3"/>
      <c r="K4416" s="4"/>
      <c r="L4416" s="4"/>
    </row>
    <row r="4417" spans="3:12">
      <c r="C4417" s="3"/>
      <c r="K4417" s="4"/>
      <c r="L4417" s="4"/>
    </row>
    <row r="4418" spans="3:12">
      <c r="C4418" s="3"/>
      <c r="K4418" s="4"/>
      <c r="L4418" s="4"/>
    </row>
    <row r="4419" spans="3:12">
      <c r="C4419" s="3"/>
      <c r="K4419" s="4"/>
      <c r="L4419" s="4"/>
    </row>
    <row r="4420" spans="3:12">
      <c r="C4420" s="3"/>
      <c r="K4420" s="4"/>
      <c r="L4420" s="4"/>
    </row>
    <row r="4421" spans="3:12">
      <c r="C4421" s="3"/>
      <c r="K4421" s="4"/>
      <c r="L4421" s="4"/>
    </row>
    <row r="4422" spans="3:12">
      <c r="C4422" s="3"/>
      <c r="K4422" s="4"/>
      <c r="L4422" s="4"/>
    </row>
    <row r="4423" spans="3:12">
      <c r="C4423" s="3"/>
      <c r="K4423" s="4"/>
      <c r="L4423" s="4"/>
    </row>
    <row r="4424" spans="3:12">
      <c r="C4424" s="3"/>
      <c r="K4424" s="4"/>
      <c r="L4424" s="4"/>
    </row>
    <row r="4425" spans="3:12">
      <c r="C4425" s="3"/>
      <c r="K4425" s="4"/>
      <c r="L4425" s="4"/>
    </row>
    <row r="4426" spans="3:12">
      <c r="C4426" s="3"/>
      <c r="K4426" s="4"/>
      <c r="L4426" s="4"/>
    </row>
    <row r="4427" spans="3:12">
      <c r="C4427" s="3"/>
      <c r="K4427" s="4"/>
      <c r="L4427" s="4"/>
    </row>
    <row r="4428" spans="3:12">
      <c r="C4428" s="3"/>
      <c r="K4428" s="4"/>
      <c r="L4428" s="4"/>
    </row>
    <row r="4429" spans="3:12">
      <c r="C4429" s="3"/>
      <c r="K4429" s="4"/>
      <c r="L4429" s="4"/>
    </row>
    <row r="4430" spans="3:12">
      <c r="C4430" s="3"/>
      <c r="K4430" s="4"/>
      <c r="L4430" s="4"/>
    </row>
    <row r="4431" spans="3:12">
      <c r="C4431" s="3"/>
      <c r="K4431" s="4"/>
      <c r="L4431" s="4"/>
    </row>
    <row r="4432" spans="3:12">
      <c r="C4432" s="3"/>
      <c r="K4432" s="4"/>
      <c r="L4432" s="4"/>
    </row>
    <row r="4433" spans="3:12">
      <c r="C4433" s="3"/>
      <c r="K4433" s="4"/>
      <c r="L4433" s="4"/>
    </row>
    <row r="4434" spans="3:12">
      <c r="C4434" s="3"/>
      <c r="K4434" s="4"/>
      <c r="L4434" s="4"/>
    </row>
    <row r="4435" spans="3:12">
      <c r="C4435" s="3"/>
      <c r="K4435" s="4"/>
      <c r="L4435" s="4"/>
    </row>
    <row r="4436" spans="3:12">
      <c r="C4436" s="3"/>
      <c r="K4436" s="4"/>
      <c r="L4436" s="4"/>
    </row>
    <row r="4437" spans="3:12">
      <c r="C4437" s="3"/>
      <c r="K4437" s="4"/>
      <c r="L4437" s="4"/>
    </row>
    <row r="4438" spans="3:12">
      <c r="C4438" s="3"/>
      <c r="K4438" s="4"/>
      <c r="L4438" s="4"/>
    </row>
    <row r="4439" spans="3:12">
      <c r="C4439" s="3"/>
      <c r="K4439" s="4"/>
      <c r="L4439" s="4"/>
    </row>
    <row r="4440" spans="3:12">
      <c r="C4440" s="3"/>
      <c r="K4440" s="4"/>
      <c r="L4440" s="4"/>
    </row>
    <row r="4441" spans="3:12">
      <c r="C4441" s="3"/>
      <c r="K4441" s="4"/>
      <c r="L4441" s="4"/>
    </row>
    <row r="4442" spans="3:12">
      <c r="C4442" s="3"/>
      <c r="K4442" s="4"/>
      <c r="L4442" s="4"/>
    </row>
    <row r="4443" spans="3:12">
      <c r="C4443" s="3"/>
      <c r="K4443" s="4"/>
      <c r="L4443" s="4"/>
    </row>
    <row r="4444" spans="3:12">
      <c r="C4444" s="3"/>
      <c r="K4444" s="4"/>
      <c r="L4444" s="4"/>
    </row>
    <row r="4445" spans="3:12">
      <c r="C4445" s="3"/>
      <c r="K4445" s="4"/>
      <c r="L4445" s="4"/>
    </row>
    <row r="4446" spans="3:12">
      <c r="C4446" s="3"/>
      <c r="K4446" s="4"/>
      <c r="L4446" s="4"/>
    </row>
    <row r="4447" spans="3:12">
      <c r="C4447" s="3"/>
      <c r="K4447" s="4"/>
      <c r="L4447" s="4"/>
    </row>
    <row r="4448" spans="3:12">
      <c r="C4448" s="3"/>
      <c r="K4448" s="4"/>
      <c r="L4448" s="4"/>
    </row>
    <row r="4449" spans="3:12">
      <c r="C4449" s="3"/>
      <c r="K4449" s="4"/>
      <c r="L4449" s="4"/>
    </row>
    <row r="4450" spans="3:12">
      <c r="C4450" s="3"/>
      <c r="K4450" s="4"/>
      <c r="L4450" s="4"/>
    </row>
    <row r="4451" spans="3:12">
      <c r="C4451" s="3"/>
      <c r="K4451" s="4"/>
      <c r="L4451" s="4"/>
    </row>
    <row r="4452" spans="3:12">
      <c r="C4452" s="3"/>
      <c r="K4452" s="4"/>
      <c r="L4452" s="4"/>
    </row>
    <row r="4453" spans="3:12">
      <c r="C4453" s="3"/>
      <c r="K4453" s="4"/>
      <c r="L4453" s="4"/>
    </row>
    <row r="4454" spans="3:12">
      <c r="C4454" s="3"/>
      <c r="K4454" s="4"/>
      <c r="L4454" s="4"/>
    </row>
    <row r="4455" spans="3:12">
      <c r="C4455" s="3"/>
      <c r="K4455" s="4"/>
      <c r="L4455" s="4"/>
    </row>
    <row r="4456" spans="3:12">
      <c r="C4456" s="3"/>
      <c r="K4456" s="4"/>
      <c r="L4456" s="4"/>
    </row>
    <row r="4457" spans="3:12">
      <c r="C4457" s="3"/>
      <c r="K4457" s="4"/>
      <c r="L4457" s="4"/>
    </row>
    <row r="4458" spans="3:12">
      <c r="C4458" s="3"/>
      <c r="K4458" s="4"/>
      <c r="L4458" s="4"/>
    </row>
    <row r="4459" spans="3:12">
      <c r="C4459" s="3"/>
      <c r="K4459" s="4"/>
      <c r="L4459" s="4"/>
    </row>
    <row r="4460" spans="3:12">
      <c r="C4460" s="3"/>
      <c r="K4460" s="4"/>
      <c r="L4460" s="4"/>
    </row>
    <row r="4461" spans="3:12">
      <c r="C4461" s="3"/>
      <c r="K4461" s="4"/>
      <c r="L4461" s="4"/>
    </row>
    <row r="4462" spans="3:12">
      <c r="C4462" s="3"/>
      <c r="K4462" s="4"/>
      <c r="L4462" s="4"/>
    </row>
    <row r="4463" spans="3:12">
      <c r="C4463" s="3"/>
      <c r="K4463" s="4"/>
      <c r="L4463" s="4"/>
    </row>
    <row r="4464" spans="3:12">
      <c r="C4464" s="3"/>
      <c r="K4464" s="4"/>
      <c r="L4464" s="4"/>
    </row>
    <row r="4465" spans="3:12">
      <c r="C4465" s="3"/>
      <c r="K4465" s="4"/>
      <c r="L4465" s="4"/>
    </row>
    <row r="4466" spans="3:12">
      <c r="C4466" s="3"/>
      <c r="K4466" s="4"/>
      <c r="L4466" s="4"/>
    </row>
    <row r="4467" spans="3:12">
      <c r="C4467" s="3"/>
      <c r="K4467" s="4"/>
      <c r="L4467" s="4"/>
    </row>
    <row r="4468" spans="3:12">
      <c r="C4468" s="3"/>
      <c r="K4468" s="4"/>
      <c r="L4468" s="4"/>
    </row>
    <row r="4469" spans="3:12">
      <c r="C4469" s="3"/>
      <c r="K4469" s="4"/>
      <c r="L4469" s="4"/>
    </row>
    <row r="4470" spans="3:12">
      <c r="C4470" s="3"/>
      <c r="K4470" s="4"/>
      <c r="L4470" s="4"/>
    </row>
    <row r="4471" spans="3:12">
      <c r="C4471" s="3"/>
      <c r="K4471" s="4"/>
      <c r="L4471" s="4"/>
    </row>
    <row r="4472" spans="3:12">
      <c r="C4472" s="3"/>
      <c r="K4472" s="4"/>
      <c r="L4472" s="4"/>
    </row>
    <row r="4473" spans="3:12">
      <c r="C4473" s="3"/>
      <c r="K4473" s="4"/>
      <c r="L4473" s="4"/>
    </row>
    <row r="4474" spans="3:12">
      <c r="C4474" s="3"/>
      <c r="K4474" s="4"/>
      <c r="L4474" s="4"/>
    </row>
    <row r="4475" spans="3:12">
      <c r="C4475" s="3"/>
      <c r="K4475" s="4"/>
      <c r="L4475" s="4"/>
    </row>
    <row r="4476" spans="3:12">
      <c r="C4476" s="3"/>
      <c r="K4476" s="4"/>
      <c r="L4476" s="4"/>
    </row>
    <row r="4477" spans="3:12">
      <c r="C4477" s="3"/>
      <c r="K4477" s="4"/>
      <c r="L4477" s="4"/>
    </row>
    <row r="4478" spans="3:12">
      <c r="C4478" s="3"/>
      <c r="K4478" s="4"/>
      <c r="L4478" s="4"/>
    </row>
    <row r="4479" spans="3:12">
      <c r="C4479" s="3"/>
      <c r="K4479" s="4"/>
      <c r="L4479" s="4"/>
    </row>
    <row r="4480" spans="3:12">
      <c r="C4480" s="3"/>
      <c r="K4480" s="4"/>
      <c r="L4480" s="4"/>
    </row>
    <row r="4481" spans="3:12">
      <c r="C4481" s="3"/>
      <c r="K4481" s="4"/>
      <c r="L4481" s="4"/>
    </row>
    <row r="4482" spans="3:12">
      <c r="C4482" s="3"/>
      <c r="K4482" s="4"/>
      <c r="L4482" s="4"/>
    </row>
    <row r="4483" spans="3:12">
      <c r="C4483" s="3"/>
      <c r="K4483" s="4"/>
      <c r="L4483" s="4"/>
    </row>
    <row r="4484" spans="3:12">
      <c r="C4484" s="3"/>
      <c r="K4484" s="4"/>
      <c r="L4484" s="4"/>
    </row>
    <row r="4485" spans="3:12">
      <c r="C4485" s="3"/>
      <c r="K4485" s="4"/>
      <c r="L4485" s="4"/>
    </row>
    <row r="4486" spans="3:12">
      <c r="C4486" s="3"/>
      <c r="K4486" s="4"/>
      <c r="L4486" s="4"/>
    </row>
    <row r="4487" spans="3:12">
      <c r="C4487" s="3"/>
      <c r="K4487" s="4"/>
      <c r="L4487" s="4"/>
    </row>
    <row r="4488" spans="3:12">
      <c r="C4488" s="3"/>
      <c r="K4488" s="4"/>
      <c r="L4488" s="4"/>
    </row>
    <row r="4489" spans="3:12">
      <c r="C4489" s="3"/>
      <c r="K4489" s="4"/>
      <c r="L4489" s="4"/>
    </row>
    <row r="4490" spans="3:12">
      <c r="C4490" s="3"/>
      <c r="K4490" s="4"/>
      <c r="L4490" s="4"/>
    </row>
    <row r="4491" spans="3:12">
      <c r="C4491" s="3"/>
      <c r="K4491" s="4"/>
      <c r="L4491" s="4"/>
    </row>
    <row r="4492" spans="3:12">
      <c r="C4492" s="3"/>
      <c r="K4492" s="4"/>
      <c r="L4492" s="4"/>
    </row>
    <row r="4493" spans="3:12">
      <c r="C4493" s="3"/>
      <c r="K4493" s="4"/>
      <c r="L4493" s="4"/>
    </row>
    <row r="4494" spans="3:12">
      <c r="C4494" s="3"/>
      <c r="K4494" s="4"/>
      <c r="L4494" s="4"/>
    </row>
    <row r="4495" spans="3:12">
      <c r="C4495" s="3"/>
      <c r="K4495" s="4"/>
      <c r="L4495" s="4"/>
    </row>
    <row r="4496" spans="3:12">
      <c r="C4496" s="3"/>
      <c r="K4496" s="4"/>
      <c r="L4496" s="4"/>
    </row>
    <row r="4497" spans="3:12">
      <c r="C4497" s="3"/>
      <c r="K4497" s="4"/>
      <c r="L4497" s="4"/>
    </row>
    <row r="4498" spans="3:12">
      <c r="C4498" s="3"/>
      <c r="K4498" s="4"/>
      <c r="L4498" s="4"/>
    </row>
    <row r="4499" spans="3:12">
      <c r="C4499" s="3"/>
      <c r="K4499" s="4"/>
      <c r="L4499" s="4"/>
    </row>
    <row r="4500" spans="3:12">
      <c r="C4500" s="3"/>
      <c r="K4500" s="4"/>
      <c r="L4500" s="4"/>
    </row>
    <row r="4501" spans="3:12">
      <c r="C4501" s="3"/>
      <c r="K4501" s="4"/>
      <c r="L4501" s="4"/>
    </row>
    <row r="4502" spans="3:12">
      <c r="C4502" s="3"/>
      <c r="K4502" s="4"/>
      <c r="L4502" s="4"/>
    </row>
    <row r="4503" spans="3:12">
      <c r="C4503" s="3"/>
      <c r="K4503" s="4"/>
      <c r="L4503" s="4"/>
    </row>
    <row r="4504" spans="3:12">
      <c r="C4504" s="3"/>
      <c r="K4504" s="4"/>
      <c r="L4504" s="4"/>
    </row>
    <row r="4505" spans="3:12">
      <c r="C4505" s="3"/>
      <c r="K4505" s="4"/>
      <c r="L4505" s="4"/>
    </row>
    <row r="4506" spans="3:12">
      <c r="C4506" s="3"/>
      <c r="K4506" s="4"/>
      <c r="L4506" s="4"/>
    </row>
    <row r="4507" spans="3:12">
      <c r="C4507" s="3"/>
      <c r="K4507" s="4"/>
      <c r="L4507" s="4"/>
    </row>
    <row r="4508" spans="3:12">
      <c r="C4508" s="3"/>
      <c r="K4508" s="4"/>
      <c r="L4508" s="4"/>
    </row>
    <row r="4509" spans="3:12">
      <c r="C4509" s="3"/>
      <c r="K4509" s="4"/>
      <c r="L4509" s="4"/>
    </row>
    <row r="4510" spans="3:12">
      <c r="C4510" s="3"/>
      <c r="K4510" s="4"/>
      <c r="L4510" s="4"/>
    </row>
    <row r="4511" spans="3:12">
      <c r="C4511" s="3"/>
      <c r="K4511" s="4"/>
      <c r="L4511" s="4"/>
    </row>
    <row r="4512" spans="3:12">
      <c r="C4512" s="3"/>
      <c r="K4512" s="4"/>
      <c r="L4512" s="4"/>
    </row>
    <row r="4513" spans="3:12">
      <c r="C4513" s="3"/>
      <c r="K4513" s="4"/>
      <c r="L4513" s="4"/>
    </row>
    <row r="4514" spans="3:12">
      <c r="C4514" s="3"/>
      <c r="K4514" s="4"/>
      <c r="L4514" s="4"/>
    </row>
    <row r="4515" spans="3:12">
      <c r="C4515" s="3"/>
      <c r="K4515" s="4"/>
      <c r="L4515" s="4"/>
    </row>
    <row r="4516" spans="3:12">
      <c r="C4516" s="3"/>
      <c r="K4516" s="4"/>
      <c r="L4516" s="4"/>
    </row>
    <row r="4517" spans="3:12">
      <c r="C4517" s="3"/>
      <c r="K4517" s="4"/>
      <c r="L4517" s="4"/>
    </row>
    <row r="4518" spans="3:12">
      <c r="C4518" s="3"/>
      <c r="K4518" s="4"/>
      <c r="L4518" s="4"/>
    </row>
    <row r="4519" spans="3:12">
      <c r="C4519" s="3"/>
      <c r="K4519" s="4"/>
      <c r="L4519" s="4"/>
    </row>
    <row r="4520" spans="3:12">
      <c r="C4520" s="3"/>
      <c r="K4520" s="4"/>
      <c r="L4520" s="4"/>
    </row>
    <row r="4521" spans="3:12">
      <c r="C4521" s="3"/>
      <c r="K4521" s="4"/>
      <c r="L4521" s="4"/>
    </row>
    <row r="4522" spans="3:12">
      <c r="C4522" s="3"/>
      <c r="K4522" s="4"/>
      <c r="L4522" s="4"/>
    </row>
    <row r="4523" spans="3:12">
      <c r="C4523" s="3"/>
      <c r="K4523" s="4"/>
      <c r="L4523" s="4"/>
    </row>
    <row r="4524" spans="3:12">
      <c r="C4524" s="3"/>
      <c r="K4524" s="4"/>
      <c r="L4524" s="4"/>
    </row>
    <row r="4525" spans="3:12">
      <c r="C4525" s="3"/>
      <c r="K4525" s="4"/>
      <c r="L4525" s="4"/>
    </row>
    <row r="4526" spans="3:12">
      <c r="C4526" s="3"/>
      <c r="K4526" s="4"/>
      <c r="L4526" s="4"/>
    </row>
    <row r="4527" spans="3:12">
      <c r="C4527" s="3"/>
      <c r="K4527" s="4"/>
      <c r="L4527" s="4"/>
    </row>
    <row r="4528" spans="3:12">
      <c r="C4528" s="3"/>
      <c r="K4528" s="4"/>
      <c r="L4528" s="4"/>
    </row>
    <row r="4529" spans="3:12">
      <c r="C4529" s="3"/>
      <c r="K4529" s="4"/>
      <c r="L4529" s="4"/>
    </row>
    <row r="4530" spans="3:12">
      <c r="C4530" s="3"/>
      <c r="K4530" s="4"/>
      <c r="L4530" s="4"/>
    </row>
    <row r="4531" spans="3:12">
      <c r="C4531" s="3"/>
      <c r="K4531" s="4"/>
      <c r="L4531" s="4"/>
    </row>
    <row r="4532" spans="3:12">
      <c r="C4532" s="3"/>
      <c r="K4532" s="4"/>
      <c r="L4532" s="4"/>
    </row>
    <row r="4533" spans="3:12">
      <c r="C4533" s="3"/>
      <c r="K4533" s="4"/>
      <c r="L4533" s="4"/>
    </row>
    <row r="4534" spans="3:12">
      <c r="C4534" s="3"/>
      <c r="K4534" s="4"/>
      <c r="L4534" s="4"/>
    </row>
    <row r="4535" spans="3:12">
      <c r="C4535" s="3"/>
      <c r="K4535" s="4"/>
      <c r="L4535" s="4"/>
    </row>
    <row r="4536" spans="3:12">
      <c r="C4536" s="3"/>
      <c r="K4536" s="4"/>
      <c r="L4536" s="4"/>
    </row>
    <row r="4537" spans="3:12">
      <c r="C4537" s="3"/>
      <c r="K4537" s="4"/>
      <c r="L4537" s="4"/>
    </row>
    <row r="4538" spans="3:12">
      <c r="C4538" s="3"/>
      <c r="K4538" s="4"/>
      <c r="L4538" s="4"/>
    </row>
    <row r="4539" spans="3:12">
      <c r="C4539" s="3"/>
      <c r="K4539" s="4"/>
      <c r="L4539" s="4"/>
    </row>
    <row r="4540" spans="3:12">
      <c r="C4540" s="3"/>
      <c r="K4540" s="4"/>
      <c r="L4540" s="4"/>
    </row>
    <row r="4541" spans="3:12">
      <c r="C4541" s="3"/>
      <c r="K4541" s="4"/>
      <c r="L4541" s="4"/>
    </row>
    <row r="4542" spans="3:12">
      <c r="C4542" s="3"/>
      <c r="K4542" s="4"/>
      <c r="L4542" s="4"/>
    </row>
    <row r="4543" spans="3:12">
      <c r="C4543" s="3"/>
      <c r="K4543" s="4"/>
      <c r="L4543" s="4"/>
    </row>
    <row r="4544" spans="3:12">
      <c r="C4544" s="3"/>
      <c r="K4544" s="4"/>
      <c r="L4544" s="4"/>
    </row>
    <row r="4545" spans="3:12">
      <c r="C4545" s="3"/>
      <c r="K4545" s="4"/>
      <c r="L4545" s="4"/>
    </row>
    <row r="4546" spans="3:12">
      <c r="C4546" s="3"/>
      <c r="K4546" s="4"/>
      <c r="L4546" s="4"/>
    </row>
    <row r="4547" spans="3:12">
      <c r="C4547" s="3"/>
      <c r="K4547" s="4"/>
      <c r="L4547" s="4"/>
    </row>
    <row r="4548" spans="3:12">
      <c r="C4548" s="3"/>
      <c r="K4548" s="4"/>
      <c r="L4548" s="4"/>
    </row>
    <row r="4549" spans="3:12">
      <c r="C4549" s="3"/>
      <c r="K4549" s="4"/>
      <c r="L4549" s="4"/>
    </row>
    <row r="4550" spans="3:12">
      <c r="C4550" s="3"/>
      <c r="K4550" s="4"/>
      <c r="L4550" s="4"/>
    </row>
    <row r="4551" spans="3:12">
      <c r="C4551" s="3"/>
      <c r="K4551" s="4"/>
      <c r="L4551" s="4"/>
    </row>
    <row r="4552" spans="3:12">
      <c r="C4552" s="3"/>
      <c r="K4552" s="4"/>
      <c r="L4552" s="4"/>
    </row>
    <row r="4553" spans="3:12">
      <c r="C4553" s="3"/>
      <c r="K4553" s="4"/>
      <c r="L4553" s="4"/>
    </row>
    <row r="4554" spans="3:12">
      <c r="C4554" s="3"/>
      <c r="K4554" s="4"/>
      <c r="L4554" s="4"/>
    </row>
    <row r="4555" spans="3:12">
      <c r="C4555" s="3"/>
      <c r="K4555" s="4"/>
      <c r="L4555" s="4"/>
    </row>
    <row r="4556" spans="3:12">
      <c r="C4556" s="3"/>
      <c r="K4556" s="4"/>
      <c r="L4556" s="4"/>
    </row>
    <row r="4557" spans="3:12">
      <c r="C4557" s="3"/>
      <c r="K4557" s="4"/>
      <c r="L4557" s="4"/>
    </row>
    <row r="4558" spans="3:12">
      <c r="C4558" s="3"/>
      <c r="K4558" s="4"/>
      <c r="L4558" s="4"/>
    </row>
    <row r="4559" spans="3:12">
      <c r="C4559" s="3"/>
      <c r="K4559" s="4"/>
      <c r="L4559" s="4"/>
    </row>
    <row r="4560" spans="3:12">
      <c r="C4560" s="3"/>
      <c r="K4560" s="4"/>
      <c r="L4560" s="4"/>
    </row>
    <row r="4561" spans="3:12">
      <c r="C4561" s="3"/>
      <c r="K4561" s="4"/>
      <c r="L4561" s="4"/>
    </row>
    <row r="4562" spans="3:12">
      <c r="C4562" s="3"/>
      <c r="K4562" s="4"/>
      <c r="L4562" s="4"/>
    </row>
    <row r="4563" spans="3:12">
      <c r="C4563" s="3"/>
      <c r="K4563" s="4"/>
      <c r="L4563" s="4"/>
    </row>
    <row r="4564" spans="3:12">
      <c r="C4564" s="3"/>
      <c r="K4564" s="4"/>
      <c r="L4564" s="4"/>
    </row>
    <row r="4565" spans="3:12">
      <c r="C4565" s="3"/>
      <c r="K4565" s="4"/>
      <c r="L4565" s="4"/>
    </row>
    <row r="4566" spans="3:12">
      <c r="C4566" s="3"/>
      <c r="K4566" s="4"/>
      <c r="L4566" s="4"/>
    </row>
    <row r="4567" spans="3:12">
      <c r="C4567" s="3"/>
      <c r="K4567" s="4"/>
      <c r="L4567" s="4"/>
    </row>
    <row r="4568" spans="3:12">
      <c r="C4568" s="3"/>
      <c r="K4568" s="4"/>
      <c r="L4568" s="4"/>
    </row>
    <row r="4569" spans="3:12">
      <c r="C4569" s="3"/>
      <c r="K4569" s="4"/>
      <c r="L4569" s="4"/>
    </row>
    <row r="4570" spans="3:12">
      <c r="C4570" s="3"/>
      <c r="K4570" s="4"/>
      <c r="L4570" s="4"/>
    </row>
    <row r="4571" spans="3:12">
      <c r="C4571" s="3"/>
      <c r="K4571" s="4"/>
      <c r="L4571" s="4"/>
    </row>
    <row r="4572" spans="3:12">
      <c r="C4572" s="3"/>
      <c r="K4572" s="4"/>
      <c r="L4572" s="4"/>
    </row>
    <row r="4573" spans="3:12">
      <c r="C4573" s="3"/>
      <c r="K4573" s="4"/>
      <c r="L4573" s="4"/>
    </row>
    <row r="4574" spans="3:12">
      <c r="C4574" s="3"/>
      <c r="K4574" s="4"/>
      <c r="L4574" s="4"/>
    </row>
    <row r="4575" spans="3:12">
      <c r="C4575" s="3"/>
      <c r="K4575" s="4"/>
      <c r="L4575" s="4"/>
    </row>
    <row r="4576" spans="3:12">
      <c r="C4576" s="3"/>
      <c r="K4576" s="4"/>
      <c r="L4576" s="4"/>
    </row>
    <row r="4577" spans="3:12">
      <c r="C4577" s="3"/>
      <c r="K4577" s="4"/>
      <c r="L4577" s="4"/>
    </row>
    <row r="4578" spans="3:12">
      <c r="C4578" s="3"/>
      <c r="K4578" s="4"/>
      <c r="L4578" s="4"/>
    </row>
    <row r="4579" spans="3:12">
      <c r="C4579" s="3"/>
      <c r="K4579" s="4"/>
      <c r="L4579" s="4"/>
    </row>
    <row r="4580" spans="3:12">
      <c r="C4580" s="3"/>
      <c r="K4580" s="4"/>
      <c r="L4580" s="4"/>
    </row>
    <row r="4581" spans="3:12">
      <c r="C4581" s="3"/>
      <c r="K4581" s="4"/>
      <c r="L4581" s="4"/>
    </row>
    <row r="4582" spans="3:12">
      <c r="C4582" s="3"/>
      <c r="K4582" s="4"/>
      <c r="L4582" s="4"/>
    </row>
    <row r="4583" spans="3:12">
      <c r="C4583" s="3"/>
      <c r="K4583" s="4"/>
      <c r="L4583" s="4"/>
    </row>
    <row r="4584" spans="3:12">
      <c r="C4584" s="3"/>
      <c r="K4584" s="4"/>
      <c r="L4584" s="4"/>
    </row>
    <row r="4585" spans="3:12">
      <c r="C4585" s="3"/>
      <c r="K4585" s="4"/>
      <c r="L4585" s="4"/>
    </row>
    <row r="4586" spans="3:12">
      <c r="C4586" s="3"/>
      <c r="K4586" s="4"/>
      <c r="L4586" s="4"/>
    </row>
    <row r="4587" spans="3:12">
      <c r="C4587" s="3"/>
      <c r="K4587" s="4"/>
      <c r="L4587" s="4"/>
    </row>
    <row r="4588" spans="3:12">
      <c r="C4588" s="3"/>
      <c r="K4588" s="4"/>
      <c r="L4588" s="4"/>
    </row>
    <row r="4589" spans="3:12">
      <c r="C4589" s="3"/>
      <c r="K4589" s="4"/>
      <c r="L4589" s="4"/>
    </row>
    <row r="4590" spans="3:12">
      <c r="C4590" s="3"/>
      <c r="K4590" s="4"/>
      <c r="L4590" s="4"/>
    </row>
    <row r="4591" spans="3:12">
      <c r="C4591" s="3"/>
      <c r="K4591" s="4"/>
      <c r="L4591" s="4"/>
    </row>
    <row r="4592" spans="3:12">
      <c r="C4592" s="3"/>
      <c r="K4592" s="4"/>
      <c r="L4592" s="4"/>
    </row>
    <row r="4593" spans="3:12">
      <c r="C4593" s="3"/>
      <c r="K4593" s="4"/>
      <c r="L4593" s="4"/>
    </row>
    <row r="4594" spans="3:12">
      <c r="C4594" s="3"/>
      <c r="K4594" s="4"/>
      <c r="L4594" s="4"/>
    </row>
    <row r="4595" spans="3:12">
      <c r="C4595" s="3"/>
      <c r="K4595" s="4"/>
      <c r="L4595" s="4"/>
    </row>
    <row r="4596" spans="3:12">
      <c r="C4596" s="3"/>
      <c r="K4596" s="4"/>
      <c r="L4596" s="4"/>
    </row>
    <row r="4597" spans="3:12">
      <c r="C4597" s="3"/>
      <c r="K4597" s="4"/>
      <c r="L4597" s="4"/>
    </row>
    <row r="4598" spans="3:12">
      <c r="C4598" s="3"/>
      <c r="K4598" s="4"/>
      <c r="L4598" s="4"/>
    </row>
    <row r="4599" spans="3:12">
      <c r="C4599" s="3"/>
      <c r="K4599" s="4"/>
      <c r="L4599" s="4"/>
    </row>
    <row r="4600" spans="3:12">
      <c r="C4600" s="3"/>
      <c r="K4600" s="4"/>
      <c r="L4600" s="4"/>
    </row>
    <row r="4601" spans="3:12">
      <c r="C4601" s="3"/>
      <c r="K4601" s="4"/>
      <c r="L4601" s="4"/>
    </row>
    <row r="4602" spans="3:12">
      <c r="C4602" s="3"/>
      <c r="K4602" s="4"/>
      <c r="L4602" s="4"/>
    </row>
    <row r="4603" spans="3:12">
      <c r="C4603" s="3"/>
      <c r="K4603" s="4"/>
      <c r="L4603" s="4"/>
    </row>
    <row r="4604" spans="3:12">
      <c r="C4604" s="3"/>
      <c r="K4604" s="4"/>
      <c r="L4604" s="4"/>
    </row>
    <row r="4605" spans="3:12">
      <c r="C4605" s="3"/>
      <c r="K4605" s="4"/>
      <c r="L4605" s="4"/>
    </row>
    <row r="4606" spans="3:12">
      <c r="C4606" s="3"/>
      <c r="K4606" s="4"/>
      <c r="L4606" s="4"/>
    </row>
    <row r="4607" spans="3:12">
      <c r="C4607" s="3"/>
      <c r="K4607" s="4"/>
      <c r="L4607" s="4"/>
    </row>
    <row r="4608" spans="3:12">
      <c r="C4608" s="3"/>
      <c r="K4608" s="4"/>
      <c r="L4608" s="4"/>
    </row>
    <row r="4609" spans="3:12">
      <c r="C4609" s="3"/>
      <c r="K4609" s="4"/>
      <c r="L4609" s="4"/>
    </row>
    <row r="4610" spans="3:12">
      <c r="C4610" s="3"/>
      <c r="K4610" s="4"/>
      <c r="L4610" s="4"/>
    </row>
    <row r="4611" spans="3:12">
      <c r="C4611" s="3"/>
      <c r="K4611" s="4"/>
      <c r="L4611" s="4"/>
    </row>
    <row r="4612" spans="3:12">
      <c r="C4612" s="3"/>
      <c r="K4612" s="4"/>
      <c r="L4612" s="4"/>
    </row>
    <row r="4613" spans="3:12">
      <c r="C4613" s="3"/>
      <c r="K4613" s="4"/>
      <c r="L4613" s="4"/>
    </row>
    <row r="4614" spans="3:12">
      <c r="C4614" s="3"/>
      <c r="K4614" s="4"/>
      <c r="L4614" s="4"/>
    </row>
    <row r="4615" spans="3:12">
      <c r="C4615" s="3"/>
      <c r="K4615" s="4"/>
      <c r="L4615" s="4"/>
    </row>
    <row r="4616" spans="3:12">
      <c r="C4616" s="3"/>
      <c r="K4616" s="4"/>
      <c r="L4616" s="4"/>
    </row>
    <row r="4617" spans="3:12">
      <c r="C4617" s="3"/>
      <c r="K4617" s="4"/>
      <c r="L4617" s="4"/>
    </row>
    <row r="4618" spans="3:12">
      <c r="C4618" s="3"/>
      <c r="K4618" s="4"/>
      <c r="L4618" s="4"/>
    </row>
    <row r="4619" spans="3:12">
      <c r="C4619" s="3"/>
      <c r="K4619" s="4"/>
      <c r="L4619" s="4"/>
    </row>
    <row r="4620" spans="3:12">
      <c r="C4620" s="3"/>
      <c r="K4620" s="4"/>
      <c r="L4620" s="4"/>
    </row>
    <row r="4621" spans="3:12">
      <c r="C4621" s="3"/>
      <c r="K4621" s="4"/>
      <c r="L4621" s="4"/>
    </row>
    <row r="4622" spans="3:12">
      <c r="C4622" s="3"/>
      <c r="K4622" s="4"/>
      <c r="L4622" s="4"/>
    </row>
    <row r="4623" spans="3:12">
      <c r="C4623" s="3"/>
      <c r="K4623" s="4"/>
      <c r="L4623" s="4"/>
    </row>
    <row r="4624" spans="3:12">
      <c r="C4624" s="3"/>
      <c r="K4624" s="4"/>
      <c r="L4624" s="4"/>
    </row>
    <row r="4625" spans="3:12">
      <c r="C4625" s="3"/>
      <c r="K4625" s="4"/>
      <c r="L4625" s="4"/>
    </row>
    <row r="4626" spans="3:12">
      <c r="C4626" s="3"/>
      <c r="K4626" s="4"/>
      <c r="L4626" s="4"/>
    </row>
    <row r="4627" spans="3:12">
      <c r="C4627" s="3"/>
      <c r="K4627" s="4"/>
      <c r="L4627" s="4"/>
    </row>
    <row r="4628" spans="3:12">
      <c r="C4628" s="3"/>
      <c r="K4628" s="4"/>
      <c r="L4628" s="4"/>
    </row>
    <row r="4629" spans="3:12">
      <c r="C4629" s="3"/>
      <c r="K4629" s="4"/>
      <c r="L4629" s="4"/>
    </row>
    <row r="4630" spans="3:12">
      <c r="C4630" s="3"/>
      <c r="K4630" s="4"/>
      <c r="L4630" s="4"/>
    </row>
    <row r="4631" spans="3:12">
      <c r="C4631" s="3"/>
      <c r="K4631" s="4"/>
      <c r="L4631" s="4"/>
    </row>
    <row r="4632" spans="3:12">
      <c r="C4632" s="3"/>
      <c r="K4632" s="4"/>
      <c r="L4632" s="4"/>
    </row>
    <row r="4633" spans="3:12">
      <c r="C4633" s="3"/>
      <c r="K4633" s="4"/>
      <c r="L4633" s="4"/>
    </row>
    <row r="4634" spans="3:12">
      <c r="C4634" s="3"/>
      <c r="K4634" s="4"/>
      <c r="L4634" s="4"/>
    </row>
    <row r="4635" spans="3:12">
      <c r="C4635" s="3"/>
      <c r="K4635" s="4"/>
      <c r="L4635" s="4"/>
    </row>
    <row r="4636" spans="3:12">
      <c r="C4636" s="3"/>
      <c r="K4636" s="4"/>
      <c r="L4636" s="4"/>
    </row>
    <row r="4637" spans="3:12">
      <c r="C4637" s="3"/>
      <c r="K4637" s="4"/>
      <c r="L4637" s="4"/>
    </row>
    <row r="4638" spans="3:12">
      <c r="C4638" s="3"/>
      <c r="K4638" s="4"/>
      <c r="L4638" s="4"/>
    </row>
    <row r="4639" spans="3:12">
      <c r="C4639" s="3"/>
      <c r="K4639" s="4"/>
      <c r="L4639" s="4"/>
    </row>
    <row r="4640" spans="3:12">
      <c r="C4640" s="3"/>
      <c r="K4640" s="4"/>
      <c r="L4640" s="4"/>
    </row>
    <row r="4641" spans="3:12">
      <c r="C4641" s="3"/>
      <c r="K4641" s="4"/>
      <c r="L4641" s="4"/>
    </row>
    <row r="4642" spans="3:12">
      <c r="C4642" s="3"/>
      <c r="K4642" s="4"/>
      <c r="L4642" s="4"/>
    </row>
    <row r="4643" spans="3:12">
      <c r="C4643" s="3"/>
      <c r="K4643" s="4"/>
      <c r="L4643" s="4"/>
    </row>
    <row r="4644" spans="3:12">
      <c r="C4644" s="3"/>
      <c r="K4644" s="4"/>
      <c r="L4644" s="4"/>
    </row>
    <row r="4645" spans="3:12">
      <c r="C4645" s="3"/>
      <c r="K4645" s="4"/>
      <c r="L4645" s="4"/>
    </row>
    <row r="4646" spans="3:12">
      <c r="C4646" s="3"/>
      <c r="K4646" s="4"/>
      <c r="L4646" s="4"/>
    </row>
    <row r="4647" spans="3:12">
      <c r="C4647" s="3"/>
      <c r="K4647" s="4"/>
      <c r="L4647" s="4"/>
    </row>
    <row r="4648" spans="3:12">
      <c r="C4648" s="3"/>
      <c r="K4648" s="4"/>
      <c r="L4648" s="4"/>
    </row>
    <row r="4649" spans="3:12">
      <c r="C4649" s="3"/>
      <c r="K4649" s="4"/>
      <c r="L4649" s="4"/>
    </row>
    <row r="4650" spans="3:12">
      <c r="C4650" s="3"/>
      <c r="K4650" s="4"/>
      <c r="L4650" s="4"/>
    </row>
    <row r="4651" spans="3:12">
      <c r="C4651" s="3"/>
      <c r="K4651" s="4"/>
      <c r="L4651" s="4"/>
    </row>
    <row r="4652" spans="3:12">
      <c r="C4652" s="3"/>
      <c r="K4652" s="4"/>
      <c r="L4652" s="4"/>
    </row>
    <row r="4653" spans="3:12">
      <c r="C4653" s="3"/>
      <c r="K4653" s="4"/>
      <c r="L4653" s="4"/>
    </row>
    <row r="4654" spans="3:12">
      <c r="C4654" s="3"/>
      <c r="K4654" s="4"/>
      <c r="L4654" s="4"/>
    </row>
    <row r="4655" spans="3:12">
      <c r="C4655" s="3"/>
      <c r="K4655" s="4"/>
      <c r="L4655" s="4"/>
    </row>
    <row r="4656" spans="3:12">
      <c r="C4656" s="3"/>
      <c r="K4656" s="4"/>
      <c r="L4656" s="4"/>
    </row>
    <row r="4657" spans="3:12">
      <c r="C4657" s="3"/>
      <c r="K4657" s="4"/>
      <c r="L4657" s="4"/>
    </row>
    <row r="4658" spans="3:12">
      <c r="C4658" s="3"/>
      <c r="K4658" s="4"/>
      <c r="L4658" s="4"/>
    </row>
    <row r="4659" spans="3:12">
      <c r="C4659" s="3"/>
      <c r="K4659" s="4"/>
      <c r="L4659" s="4"/>
    </row>
    <row r="4660" spans="3:12">
      <c r="C4660" s="3"/>
      <c r="K4660" s="4"/>
      <c r="L4660" s="4"/>
    </row>
    <row r="4661" spans="3:12">
      <c r="C4661" s="3"/>
      <c r="K4661" s="4"/>
      <c r="L4661" s="4"/>
    </row>
    <row r="4662" spans="3:12">
      <c r="C4662" s="3"/>
      <c r="K4662" s="4"/>
      <c r="L4662" s="4"/>
    </row>
    <row r="4663" spans="3:12">
      <c r="C4663" s="3"/>
      <c r="K4663" s="4"/>
      <c r="L4663" s="4"/>
    </row>
    <row r="4664" spans="3:12">
      <c r="C4664" s="3"/>
      <c r="K4664" s="4"/>
      <c r="L4664" s="4"/>
    </row>
    <row r="4665" spans="3:12">
      <c r="C4665" s="3"/>
      <c r="K4665" s="4"/>
      <c r="L4665" s="4"/>
    </row>
    <row r="4666" spans="3:12">
      <c r="C4666" s="3"/>
      <c r="K4666" s="4"/>
      <c r="L4666" s="4"/>
    </row>
    <row r="4667" spans="3:12">
      <c r="C4667" s="3"/>
      <c r="K4667" s="4"/>
      <c r="L4667" s="4"/>
    </row>
    <row r="4668" spans="3:12">
      <c r="C4668" s="3"/>
      <c r="K4668" s="4"/>
      <c r="L4668" s="4"/>
    </row>
    <row r="4669" spans="3:12">
      <c r="C4669" s="3"/>
      <c r="K4669" s="4"/>
      <c r="L4669" s="4"/>
    </row>
    <row r="4670" spans="3:12">
      <c r="C4670" s="3"/>
      <c r="K4670" s="4"/>
      <c r="L4670" s="4"/>
    </row>
    <row r="4671" spans="3:12">
      <c r="C4671" s="3"/>
      <c r="K4671" s="4"/>
      <c r="L4671" s="4"/>
    </row>
    <row r="4672" spans="3:12">
      <c r="C4672" s="3"/>
      <c r="K4672" s="4"/>
      <c r="L4672" s="4"/>
    </row>
    <row r="4673" spans="3:12">
      <c r="C4673" s="3"/>
      <c r="K4673" s="4"/>
      <c r="L4673" s="4"/>
    </row>
    <row r="4674" spans="3:12">
      <c r="C4674" s="3"/>
      <c r="K4674" s="4"/>
      <c r="L4674" s="4"/>
    </row>
    <row r="4675" spans="3:12">
      <c r="C4675" s="3"/>
      <c r="K4675" s="4"/>
      <c r="L4675" s="4"/>
    </row>
    <row r="4676" spans="3:12">
      <c r="C4676" s="3"/>
      <c r="K4676" s="4"/>
      <c r="L4676" s="4"/>
    </row>
    <row r="4677" spans="3:12">
      <c r="C4677" s="3"/>
      <c r="K4677" s="4"/>
      <c r="L4677" s="4"/>
    </row>
    <row r="4678" spans="3:12">
      <c r="C4678" s="3"/>
      <c r="K4678" s="4"/>
      <c r="L4678" s="4"/>
    </row>
    <row r="4679" spans="3:12">
      <c r="C4679" s="3"/>
      <c r="K4679" s="4"/>
      <c r="L4679" s="4"/>
    </row>
    <row r="4680" spans="3:12">
      <c r="C4680" s="3"/>
      <c r="K4680" s="4"/>
      <c r="L4680" s="4"/>
    </row>
    <row r="4681" spans="3:12">
      <c r="C4681" s="3"/>
      <c r="K4681" s="4"/>
      <c r="L4681" s="4"/>
    </row>
    <row r="4682" spans="3:12">
      <c r="C4682" s="3"/>
      <c r="K4682" s="4"/>
      <c r="L4682" s="4"/>
    </row>
    <row r="4683" spans="3:12">
      <c r="C4683" s="3"/>
      <c r="K4683" s="4"/>
      <c r="L4683" s="4"/>
    </row>
    <row r="4684" spans="3:12">
      <c r="C4684" s="3"/>
      <c r="K4684" s="4"/>
      <c r="L4684" s="4"/>
    </row>
    <row r="4685" spans="3:12">
      <c r="C4685" s="3"/>
      <c r="K4685" s="4"/>
      <c r="L4685" s="4"/>
    </row>
    <row r="4686" spans="3:12">
      <c r="C4686" s="3"/>
      <c r="K4686" s="4"/>
      <c r="L4686" s="4"/>
    </row>
    <row r="4687" spans="3:12">
      <c r="C4687" s="3"/>
      <c r="K4687" s="4"/>
      <c r="L4687" s="4"/>
    </row>
    <row r="4688" spans="3:12">
      <c r="C4688" s="3"/>
      <c r="K4688" s="4"/>
      <c r="L4688" s="4"/>
    </row>
    <row r="4689" spans="3:12">
      <c r="C4689" s="3"/>
      <c r="K4689" s="4"/>
      <c r="L4689" s="4"/>
    </row>
    <row r="4690" spans="3:12">
      <c r="C4690" s="3"/>
      <c r="K4690" s="4"/>
      <c r="L4690" s="4"/>
    </row>
    <row r="4691" spans="3:12">
      <c r="C4691" s="3"/>
      <c r="K4691" s="4"/>
      <c r="L4691" s="4"/>
    </row>
    <row r="4692" spans="3:12">
      <c r="C4692" s="3"/>
      <c r="K4692" s="4"/>
      <c r="L4692" s="4"/>
    </row>
    <row r="4693" spans="3:12">
      <c r="C4693" s="3"/>
      <c r="K4693" s="4"/>
      <c r="L4693" s="4"/>
    </row>
    <row r="4694" spans="3:12">
      <c r="C4694" s="3"/>
      <c r="K4694" s="4"/>
      <c r="L4694" s="4"/>
    </row>
    <row r="4695" spans="3:12">
      <c r="C4695" s="3"/>
      <c r="K4695" s="4"/>
      <c r="L4695" s="4"/>
    </row>
    <row r="4696" spans="3:12">
      <c r="C4696" s="3"/>
      <c r="K4696" s="4"/>
      <c r="L4696" s="4"/>
    </row>
    <row r="4697" spans="3:12">
      <c r="C4697" s="3"/>
      <c r="K4697" s="4"/>
      <c r="L4697" s="4"/>
    </row>
    <row r="4698" spans="3:12">
      <c r="C4698" s="3"/>
      <c r="K4698" s="4"/>
      <c r="L4698" s="4"/>
    </row>
    <row r="4699" spans="3:12">
      <c r="C4699" s="3"/>
      <c r="K4699" s="4"/>
      <c r="L4699" s="4"/>
    </row>
    <row r="4700" spans="3:12">
      <c r="C4700" s="3"/>
      <c r="K4700" s="4"/>
      <c r="L4700" s="4"/>
    </row>
    <row r="4701" spans="3:12">
      <c r="C4701" s="3"/>
      <c r="K4701" s="4"/>
      <c r="L4701" s="4"/>
    </row>
    <row r="4702" spans="3:12">
      <c r="C4702" s="3"/>
      <c r="K4702" s="4"/>
      <c r="L4702" s="4"/>
    </row>
    <row r="4703" spans="3:12">
      <c r="C4703" s="3"/>
      <c r="K4703" s="4"/>
      <c r="L4703" s="4"/>
    </row>
    <row r="4704" spans="3:12">
      <c r="C4704" s="3"/>
      <c r="K4704" s="4"/>
      <c r="L4704" s="4"/>
    </row>
    <row r="4705" spans="3:12">
      <c r="C4705" s="3"/>
      <c r="K4705" s="4"/>
      <c r="L4705" s="4"/>
    </row>
    <row r="4706" spans="3:12">
      <c r="C4706" s="3"/>
      <c r="K4706" s="4"/>
      <c r="L4706" s="4"/>
    </row>
    <row r="4707" spans="3:12">
      <c r="C4707" s="3"/>
      <c r="K4707" s="4"/>
      <c r="L4707" s="4"/>
    </row>
    <row r="4708" spans="3:12">
      <c r="C4708" s="3"/>
      <c r="K4708" s="4"/>
      <c r="L4708" s="4"/>
    </row>
    <row r="4709" spans="3:12">
      <c r="C4709" s="3"/>
      <c r="K4709" s="4"/>
      <c r="L4709" s="4"/>
    </row>
    <row r="4710" spans="3:12">
      <c r="C4710" s="3"/>
      <c r="K4710" s="4"/>
      <c r="L4710" s="4"/>
    </row>
    <row r="4711" spans="3:12">
      <c r="C4711" s="3"/>
      <c r="K4711" s="4"/>
      <c r="L4711" s="4"/>
    </row>
    <row r="4712" spans="3:12">
      <c r="C4712" s="3"/>
      <c r="K4712" s="4"/>
      <c r="L4712" s="4"/>
    </row>
    <row r="4713" spans="3:12">
      <c r="C4713" s="3"/>
      <c r="K4713" s="4"/>
      <c r="L4713" s="4"/>
    </row>
    <row r="4714" spans="3:12">
      <c r="C4714" s="3"/>
      <c r="K4714" s="4"/>
      <c r="L4714" s="4"/>
    </row>
    <row r="4715" spans="3:12">
      <c r="C4715" s="3"/>
      <c r="K4715" s="4"/>
      <c r="L4715" s="4"/>
    </row>
    <row r="4716" spans="3:12">
      <c r="C4716" s="3"/>
      <c r="K4716" s="4"/>
      <c r="L4716" s="4"/>
    </row>
    <row r="4717" spans="3:12">
      <c r="C4717" s="3"/>
      <c r="K4717" s="4"/>
      <c r="L4717" s="4"/>
    </row>
    <row r="4718" spans="3:12">
      <c r="C4718" s="3"/>
      <c r="K4718" s="4"/>
      <c r="L4718" s="4"/>
    </row>
    <row r="4719" spans="3:12">
      <c r="C4719" s="3"/>
      <c r="K4719" s="4"/>
      <c r="L4719" s="4"/>
    </row>
    <row r="4720" spans="3:12">
      <c r="C4720" s="3"/>
      <c r="K4720" s="4"/>
      <c r="L4720" s="4"/>
    </row>
    <row r="4721" spans="3:12">
      <c r="C4721" s="3"/>
      <c r="K4721" s="4"/>
      <c r="L4721" s="4"/>
    </row>
    <row r="4722" spans="3:12">
      <c r="C4722" s="3"/>
      <c r="K4722" s="4"/>
      <c r="L4722" s="4"/>
    </row>
    <row r="4723" spans="3:12">
      <c r="C4723" s="3"/>
      <c r="K4723" s="4"/>
      <c r="L4723" s="4"/>
    </row>
    <row r="4724" spans="3:12">
      <c r="C4724" s="3"/>
      <c r="K4724" s="4"/>
      <c r="L4724" s="4"/>
    </row>
    <row r="4725" spans="3:12">
      <c r="C4725" s="3"/>
      <c r="K4725" s="4"/>
      <c r="L4725" s="4"/>
    </row>
    <row r="4726" spans="3:12">
      <c r="C4726" s="3"/>
      <c r="K4726" s="4"/>
      <c r="L4726" s="4"/>
    </row>
    <row r="4727" spans="3:12">
      <c r="C4727" s="3"/>
      <c r="K4727" s="4"/>
      <c r="L4727" s="4"/>
    </row>
    <row r="4728" spans="3:12">
      <c r="C4728" s="3"/>
      <c r="K4728" s="4"/>
      <c r="L4728" s="4"/>
    </row>
    <row r="4729" spans="3:12">
      <c r="C4729" s="3"/>
      <c r="K4729" s="4"/>
      <c r="L4729" s="4"/>
    </row>
    <row r="4730" spans="3:12">
      <c r="C4730" s="3"/>
      <c r="K4730" s="4"/>
      <c r="L4730" s="4"/>
    </row>
    <row r="4731" spans="3:12">
      <c r="C4731" s="3"/>
      <c r="K4731" s="4"/>
      <c r="L4731" s="4"/>
    </row>
    <row r="4732" spans="3:12">
      <c r="C4732" s="3"/>
      <c r="K4732" s="4"/>
      <c r="L4732" s="4"/>
    </row>
    <row r="4733" spans="3:12">
      <c r="C4733" s="3"/>
      <c r="K4733" s="4"/>
      <c r="L4733" s="4"/>
    </row>
    <row r="4734" spans="3:12">
      <c r="C4734" s="3"/>
      <c r="K4734" s="4"/>
      <c r="L4734" s="4"/>
    </row>
    <row r="4735" spans="3:12">
      <c r="C4735" s="3"/>
      <c r="K4735" s="4"/>
      <c r="L4735" s="4"/>
    </row>
    <row r="4736" spans="3:12">
      <c r="C4736" s="3"/>
      <c r="K4736" s="4"/>
      <c r="L4736" s="4"/>
    </row>
    <row r="4737" spans="3:12">
      <c r="C4737" s="3"/>
      <c r="K4737" s="4"/>
      <c r="L4737" s="4"/>
    </row>
    <row r="4738" spans="3:12">
      <c r="C4738" s="3"/>
      <c r="K4738" s="4"/>
      <c r="L4738" s="4"/>
    </row>
    <row r="4739" spans="3:12">
      <c r="C4739" s="3"/>
      <c r="K4739" s="4"/>
      <c r="L4739" s="4"/>
    </row>
    <row r="4740" spans="3:12">
      <c r="C4740" s="3"/>
      <c r="K4740" s="4"/>
      <c r="L4740" s="4"/>
    </row>
    <row r="4741" spans="3:12">
      <c r="C4741" s="3"/>
      <c r="K4741" s="4"/>
      <c r="L4741" s="4"/>
    </row>
    <row r="4742" spans="3:12">
      <c r="C4742" s="3"/>
      <c r="K4742" s="4"/>
      <c r="L4742" s="4"/>
    </row>
    <row r="4743" spans="3:12">
      <c r="C4743" s="3"/>
      <c r="K4743" s="4"/>
      <c r="L4743" s="4"/>
    </row>
    <row r="4744" spans="3:12">
      <c r="C4744" s="3"/>
      <c r="K4744" s="4"/>
      <c r="L4744" s="4"/>
    </row>
    <row r="4745" spans="3:12">
      <c r="C4745" s="3"/>
      <c r="K4745" s="4"/>
      <c r="L4745" s="4"/>
    </row>
    <row r="4746" spans="3:12">
      <c r="C4746" s="3"/>
      <c r="K4746" s="4"/>
      <c r="L4746" s="4"/>
    </row>
    <row r="4747" spans="3:12">
      <c r="C4747" s="3"/>
      <c r="K4747" s="4"/>
      <c r="L4747" s="4"/>
    </row>
    <row r="4748" spans="3:12">
      <c r="C4748" s="3"/>
      <c r="K4748" s="4"/>
      <c r="L4748" s="4"/>
    </row>
    <row r="4749" spans="3:12">
      <c r="C4749" s="3"/>
      <c r="K4749" s="4"/>
      <c r="L4749" s="4"/>
    </row>
    <row r="4750" spans="3:12">
      <c r="C4750" s="3"/>
      <c r="K4750" s="4"/>
      <c r="L4750" s="4"/>
    </row>
    <row r="4751" spans="3:12">
      <c r="C4751" s="3"/>
      <c r="K4751" s="4"/>
      <c r="L4751" s="4"/>
    </row>
    <row r="4752" spans="3:12">
      <c r="C4752" s="3"/>
      <c r="K4752" s="4"/>
      <c r="L4752" s="4"/>
    </row>
    <row r="4753" spans="3:12">
      <c r="C4753" s="3"/>
      <c r="K4753" s="4"/>
      <c r="L4753" s="4"/>
    </row>
    <row r="4754" spans="3:12">
      <c r="C4754" s="3"/>
      <c r="K4754" s="4"/>
      <c r="L4754" s="4"/>
    </row>
    <row r="4755" spans="3:12">
      <c r="C4755" s="3"/>
      <c r="K4755" s="4"/>
      <c r="L4755" s="4"/>
    </row>
    <row r="4756" spans="3:12">
      <c r="C4756" s="3"/>
      <c r="K4756" s="4"/>
      <c r="L4756" s="4"/>
    </row>
    <row r="4757" spans="3:12">
      <c r="C4757" s="3"/>
      <c r="K4757" s="4"/>
      <c r="L4757" s="4"/>
    </row>
    <row r="4758" spans="3:12">
      <c r="C4758" s="3"/>
      <c r="K4758" s="4"/>
      <c r="L4758" s="4"/>
    </row>
    <row r="4759" spans="3:12">
      <c r="C4759" s="3"/>
      <c r="K4759" s="4"/>
      <c r="L4759" s="4"/>
    </row>
    <row r="4760" spans="3:12">
      <c r="C4760" s="3"/>
      <c r="K4760" s="4"/>
      <c r="L4760" s="4"/>
    </row>
    <row r="4761" spans="3:12">
      <c r="C4761" s="3"/>
      <c r="K4761" s="4"/>
      <c r="L4761" s="4"/>
    </row>
    <row r="4762" spans="3:12">
      <c r="C4762" s="3"/>
      <c r="K4762" s="4"/>
      <c r="L4762" s="4"/>
    </row>
    <row r="4763" spans="3:12">
      <c r="C4763" s="3"/>
      <c r="K4763" s="4"/>
      <c r="L4763" s="4"/>
    </row>
    <row r="4764" spans="3:12">
      <c r="C4764" s="3"/>
      <c r="K4764" s="4"/>
      <c r="L4764" s="4"/>
    </row>
    <row r="4765" spans="3:12">
      <c r="C4765" s="3"/>
      <c r="K4765" s="4"/>
      <c r="L4765" s="4"/>
    </row>
    <row r="4766" spans="3:12">
      <c r="C4766" s="3"/>
      <c r="K4766" s="4"/>
      <c r="L4766" s="4"/>
    </row>
    <row r="4767" spans="3:12">
      <c r="C4767" s="3"/>
      <c r="K4767" s="4"/>
      <c r="L4767" s="4"/>
    </row>
    <row r="4768" spans="3:12">
      <c r="C4768" s="3"/>
      <c r="K4768" s="4"/>
      <c r="L4768" s="4"/>
    </row>
    <row r="4769" spans="3:12">
      <c r="C4769" s="3"/>
      <c r="K4769" s="4"/>
      <c r="L4769" s="4"/>
    </row>
    <row r="4770" spans="3:12">
      <c r="C4770" s="3"/>
      <c r="K4770" s="4"/>
      <c r="L4770" s="4"/>
    </row>
    <row r="4771" spans="3:12">
      <c r="C4771" s="3"/>
      <c r="K4771" s="4"/>
      <c r="L4771" s="4"/>
    </row>
    <row r="4772" spans="3:12">
      <c r="C4772" s="3"/>
      <c r="K4772" s="4"/>
      <c r="L4772" s="4"/>
    </row>
    <row r="4773" spans="3:12">
      <c r="C4773" s="3"/>
      <c r="K4773" s="4"/>
      <c r="L4773" s="4"/>
    </row>
    <row r="4774" spans="3:12">
      <c r="C4774" s="3"/>
      <c r="K4774" s="4"/>
      <c r="L4774" s="4"/>
    </row>
    <row r="4775" spans="3:12">
      <c r="C4775" s="3"/>
      <c r="K4775" s="4"/>
      <c r="L4775" s="4"/>
    </row>
    <row r="4776" spans="3:12">
      <c r="C4776" s="3"/>
      <c r="K4776" s="4"/>
      <c r="L4776" s="4"/>
    </row>
    <row r="4777" spans="3:12">
      <c r="C4777" s="3"/>
      <c r="K4777" s="4"/>
      <c r="L4777" s="4"/>
    </row>
    <row r="4778" spans="3:12">
      <c r="C4778" s="3"/>
      <c r="K4778" s="4"/>
      <c r="L4778" s="4"/>
    </row>
    <row r="4779" spans="3:12">
      <c r="C4779" s="3"/>
      <c r="K4779" s="4"/>
      <c r="L4779" s="4"/>
    </row>
    <row r="4780" spans="3:12">
      <c r="C4780" s="3"/>
      <c r="K4780" s="4"/>
      <c r="L4780" s="4"/>
    </row>
    <row r="4781" spans="3:12">
      <c r="C4781" s="3"/>
      <c r="K4781" s="4"/>
      <c r="L4781" s="4"/>
    </row>
    <row r="4782" spans="3:12">
      <c r="C4782" s="3"/>
      <c r="K4782" s="4"/>
      <c r="L4782" s="4"/>
    </row>
    <row r="4783" spans="3:12">
      <c r="C4783" s="3"/>
      <c r="K4783" s="4"/>
      <c r="L4783" s="4"/>
    </row>
    <row r="4784" spans="3:12">
      <c r="C4784" s="3"/>
      <c r="K4784" s="4"/>
      <c r="L4784" s="4"/>
    </row>
    <row r="4785" spans="3:12">
      <c r="C4785" s="3"/>
      <c r="K4785" s="4"/>
      <c r="L4785" s="4"/>
    </row>
    <row r="4786" spans="3:12">
      <c r="C4786" s="3"/>
      <c r="K4786" s="4"/>
      <c r="L4786" s="4"/>
    </row>
    <row r="4787" spans="3:12">
      <c r="C4787" s="3"/>
      <c r="K4787" s="4"/>
      <c r="L4787" s="4"/>
    </row>
    <row r="4788" spans="3:12">
      <c r="C4788" s="3"/>
      <c r="K4788" s="4"/>
      <c r="L4788" s="4"/>
    </row>
    <row r="4789" spans="3:12">
      <c r="C4789" s="3"/>
      <c r="K4789" s="4"/>
      <c r="L4789" s="4"/>
    </row>
    <row r="4790" spans="3:12">
      <c r="C4790" s="3"/>
      <c r="K4790" s="4"/>
      <c r="L4790" s="4"/>
    </row>
    <row r="4791" spans="3:12">
      <c r="C4791" s="3"/>
      <c r="K4791" s="4"/>
      <c r="L4791" s="4"/>
    </row>
    <row r="4792" spans="3:12">
      <c r="C4792" s="3"/>
      <c r="K4792" s="4"/>
      <c r="L4792" s="4"/>
    </row>
    <row r="4793" spans="3:12">
      <c r="C4793" s="3"/>
      <c r="K4793" s="4"/>
      <c r="L4793" s="4"/>
    </row>
    <row r="4794" spans="3:12">
      <c r="C4794" s="3"/>
      <c r="K4794" s="4"/>
      <c r="L4794" s="4"/>
    </row>
    <row r="4795" spans="3:12">
      <c r="C4795" s="3"/>
      <c r="K4795" s="4"/>
      <c r="L4795" s="4"/>
    </row>
    <row r="4796" spans="3:12">
      <c r="C4796" s="3"/>
      <c r="K4796" s="4"/>
      <c r="L4796" s="4"/>
    </row>
    <row r="4797" spans="3:12">
      <c r="C4797" s="3"/>
      <c r="K4797" s="4"/>
      <c r="L4797" s="4"/>
    </row>
    <row r="4798" spans="3:12">
      <c r="C4798" s="3"/>
      <c r="K4798" s="4"/>
      <c r="L4798" s="4"/>
    </row>
    <row r="4799" spans="3:12">
      <c r="C4799" s="3"/>
      <c r="K4799" s="4"/>
      <c r="L4799" s="4"/>
    </row>
    <row r="4800" spans="3:12">
      <c r="C4800" s="3"/>
      <c r="K4800" s="4"/>
      <c r="L4800" s="4"/>
    </row>
    <row r="4801" spans="3:12">
      <c r="C4801" s="3"/>
      <c r="K4801" s="4"/>
      <c r="L4801" s="4"/>
    </row>
    <row r="4802" spans="3:12">
      <c r="C4802" s="3"/>
      <c r="K4802" s="4"/>
      <c r="L4802" s="4"/>
    </row>
    <row r="4803" spans="3:12">
      <c r="C4803" s="3"/>
      <c r="K4803" s="4"/>
      <c r="L4803" s="4"/>
    </row>
    <row r="4804" spans="3:12">
      <c r="C4804" s="3"/>
      <c r="K4804" s="4"/>
      <c r="L4804" s="4"/>
    </row>
    <row r="4805" spans="3:12">
      <c r="C4805" s="3"/>
      <c r="K4805" s="4"/>
      <c r="L4805" s="4"/>
    </row>
    <row r="4806" spans="3:12">
      <c r="C4806" s="3"/>
      <c r="K4806" s="4"/>
      <c r="L4806" s="4"/>
    </row>
    <row r="4807" spans="3:12">
      <c r="C4807" s="3"/>
      <c r="K4807" s="4"/>
      <c r="L4807" s="4"/>
    </row>
    <row r="4808" spans="3:12">
      <c r="C4808" s="3"/>
      <c r="K4808" s="4"/>
      <c r="L4808" s="4"/>
    </row>
    <row r="4809" spans="3:12">
      <c r="C4809" s="3"/>
      <c r="K4809" s="4"/>
      <c r="L4809" s="4"/>
    </row>
    <row r="4810" spans="3:12">
      <c r="C4810" s="3"/>
      <c r="K4810" s="4"/>
      <c r="L4810" s="4"/>
    </row>
    <row r="4811" spans="3:12">
      <c r="C4811" s="3"/>
      <c r="K4811" s="4"/>
      <c r="L4811" s="4"/>
    </row>
    <row r="4812" spans="3:12">
      <c r="C4812" s="3"/>
      <c r="K4812" s="4"/>
      <c r="L4812" s="4"/>
    </row>
    <row r="4813" spans="3:12">
      <c r="C4813" s="3"/>
      <c r="K4813" s="4"/>
      <c r="L4813" s="4"/>
    </row>
    <row r="4814" spans="3:12">
      <c r="C4814" s="3"/>
      <c r="K4814" s="4"/>
      <c r="L4814" s="4"/>
    </row>
    <row r="4815" spans="3:12">
      <c r="C4815" s="3"/>
      <c r="K4815" s="4"/>
      <c r="L4815" s="4"/>
    </row>
    <row r="4816" spans="3:12">
      <c r="C4816" s="3"/>
      <c r="K4816" s="4"/>
      <c r="L4816" s="4"/>
    </row>
    <row r="4817" spans="3:12">
      <c r="C4817" s="3"/>
      <c r="K4817" s="4"/>
      <c r="L4817" s="4"/>
    </row>
    <row r="4818" spans="3:12">
      <c r="C4818" s="3"/>
      <c r="K4818" s="4"/>
      <c r="L4818" s="4"/>
    </row>
    <row r="4819" spans="3:12">
      <c r="C4819" s="3"/>
      <c r="K4819" s="4"/>
      <c r="L4819" s="4"/>
    </row>
    <row r="4820" spans="3:12">
      <c r="C4820" s="3"/>
      <c r="K4820" s="4"/>
      <c r="L4820" s="4"/>
    </row>
    <row r="4821" spans="3:12">
      <c r="C4821" s="3"/>
      <c r="K4821" s="4"/>
      <c r="L4821" s="4"/>
    </row>
    <row r="4822" spans="3:12">
      <c r="C4822" s="3"/>
      <c r="K4822" s="4"/>
      <c r="L4822" s="4"/>
    </row>
    <row r="4823" spans="3:12">
      <c r="C4823" s="3"/>
      <c r="K4823" s="4"/>
      <c r="L4823" s="4"/>
    </row>
    <row r="4824" spans="3:12">
      <c r="C4824" s="3"/>
      <c r="K4824" s="4"/>
      <c r="L4824" s="4"/>
    </row>
    <row r="4825" spans="3:12">
      <c r="C4825" s="3"/>
      <c r="K4825" s="4"/>
      <c r="L4825" s="4"/>
    </row>
    <row r="4826" spans="3:12">
      <c r="C4826" s="3"/>
      <c r="K4826" s="4"/>
      <c r="L4826" s="4"/>
    </row>
    <row r="4827" spans="3:12">
      <c r="C4827" s="3"/>
      <c r="K4827" s="4"/>
      <c r="L4827" s="4"/>
    </row>
    <row r="4828" spans="3:12">
      <c r="C4828" s="3"/>
      <c r="K4828" s="4"/>
      <c r="L4828" s="4"/>
    </row>
    <row r="4829" spans="3:12">
      <c r="C4829" s="3"/>
      <c r="K4829" s="4"/>
      <c r="L4829" s="4"/>
    </row>
    <row r="4830" spans="3:12">
      <c r="C4830" s="3"/>
      <c r="K4830" s="4"/>
      <c r="L4830" s="4"/>
    </row>
    <row r="4831" spans="3:12">
      <c r="C4831" s="3"/>
      <c r="K4831" s="4"/>
      <c r="L4831" s="4"/>
    </row>
    <row r="4832" spans="3:12">
      <c r="C4832" s="3"/>
      <c r="K4832" s="4"/>
      <c r="L4832" s="4"/>
    </row>
    <row r="4833" spans="3:12">
      <c r="C4833" s="3"/>
      <c r="K4833" s="4"/>
      <c r="L4833" s="4"/>
    </row>
    <row r="4834" spans="3:12">
      <c r="C4834" s="3"/>
      <c r="K4834" s="4"/>
      <c r="L4834" s="4"/>
    </row>
    <row r="4835" spans="3:12">
      <c r="C4835" s="3"/>
      <c r="K4835" s="4"/>
      <c r="L4835" s="4"/>
    </row>
    <row r="4836" spans="3:12">
      <c r="C4836" s="3"/>
      <c r="K4836" s="4"/>
      <c r="L4836" s="4"/>
    </row>
    <row r="4837" spans="3:12">
      <c r="C4837" s="3"/>
      <c r="K4837" s="4"/>
      <c r="L4837" s="4"/>
    </row>
    <row r="4838" spans="3:12">
      <c r="C4838" s="3"/>
      <c r="K4838" s="4"/>
      <c r="L4838" s="4"/>
    </row>
    <row r="4839" spans="3:12">
      <c r="C4839" s="3"/>
      <c r="K4839" s="4"/>
      <c r="L4839" s="4"/>
    </row>
    <row r="4840" spans="3:12">
      <c r="C4840" s="3"/>
      <c r="K4840" s="4"/>
      <c r="L4840" s="4"/>
    </row>
    <row r="4841" spans="3:12">
      <c r="C4841" s="3"/>
      <c r="K4841" s="4"/>
      <c r="L4841" s="4"/>
    </row>
    <row r="4842" spans="3:12">
      <c r="C4842" s="3"/>
      <c r="K4842" s="4"/>
      <c r="L4842" s="4"/>
    </row>
    <row r="4843" spans="3:12">
      <c r="C4843" s="3"/>
      <c r="K4843" s="4"/>
      <c r="L4843" s="4"/>
    </row>
    <row r="4844" spans="3:12">
      <c r="C4844" s="3"/>
      <c r="K4844" s="4"/>
      <c r="L4844" s="4"/>
    </row>
    <row r="4845" spans="3:12">
      <c r="C4845" s="3"/>
      <c r="K4845" s="4"/>
      <c r="L4845" s="4"/>
    </row>
    <row r="4846" spans="3:12">
      <c r="C4846" s="3"/>
      <c r="K4846" s="4"/>
      <c r="L4846" s="4"/>
    </row>
    <row r="4847" spans="3:12">
      <c r="C4847" s="3"/>
      <c r="K4847" s="4"/>
      <c r="L4847" s="4"/>
    </row>
    <row r="4848" spans="3:12">
      <c r="C4848" s="3"/>
      <c r="K4848" s="4"/>
      <c r="L4848" s="4"/>
    </row>
    <row r="4849" spans="3:12">
      <c r="C4849" s="3"/>
      <c r="K4849" s="4"/>
      <c r="L4849" s="4"/>
    </row>
    <row r="4850" spans="3:12">
      <c r="C4850" s="3"/>
      <c r="K4850" s="4"/>
      <c r="L4850" s="4"/>
    </row>
    <row r="4851" spans="3:12">
      <c r="C4851" s="3"/>
      <c r="K4851" s="4"/>
      <c r="L4851" s="4"/>
    </row>
    <row r="4852" spans="3:12">
      <c r="C4852" s="3"/>
      <c r="K4852" s="4"/>
      <c r="L4852" s="4"/>
    </row>
    <row r="4853" spans="3:12">
      <c r="C4853" s="3"/>
      <c r="K4853" s="4"/>
      <c r="L4853" s="4"/>
    </row>
    <row r="4854" spans="3:12">
      <c r="C4854" s="3"/>
      <c r="K4854" s="4"/>
      <c r="L4854" s="4"/>
    </row>
    <row r="4855" spans="3:12">
      <c r="C4855" s="3"/>
      <c r="K4855" s="4"/>
      <c r="L4855" s="4"/>
    </row>
    <row r="4856" spans="3:12">
      <c r="C4856" s="3"/>
      <c r="K4856" s="4"/>
      <c r="L4856" s="4"/>
    </row>
    <row r="4857" spans="3:12">
      <c r="C4857" s="3"/>
      <c r="K4857" s="4"/>
      <c r="L4857" s="4"/>
    </row>
    <row r="4858" spans="3:12">
      <c r="C4858" s="3"/>
      <c r="K4858" s="4"/>
      <c r="L4858" s="4"/>
    </row>
    <row r="4859" spans="3:12">
      <c r="C4859" s="3"/>
      <c r="K4859" s="4"/>
      <c r="L4859" s="4"/>
    </row>
    <row r="4860" spans="3:12">
      <c r="C4860" s="3"/>
      <c r="K4860" s="4"/>
      <c r="L4860" s="4"/>
    </row>
    <row r="4861" spans="3:12">
      <c r="C4861" s="3"/>
      <c r="K4861" s="4"/>
      <c r="L4861" s="4"/>
    </row>
    <row r="4862" spans="3:12">
      <c r="C4862" s="3"/>
      <c r="K4862" s="4"/>
      <c r="L4862" s="4"/>
    </row>
    <row r="4863" spans="3:12">
      <c r="C4863" s="3"/>
      <c r="K4863" s="4"/>
      <c r="L4863" s="4"/>
    </row>
    <row r="4864" spans="3:12">
      <c r="C4864" s="3"/>
      <c r="K4864" s="4"/>
      <c r="L4864" s="4"/>
    </row>
    <row r="4865" spans="3:12">
      <c r="C4865" s="3"/>
      <c r="K4865" s="4"/>
      <c r="L4865" s="4"/>
    </row>
    <row r="4866" spans="3:12">
      <c r="C4866" s="3"/>
      <c r="K4866" s="4"/>
      <c r="L4866" s="4"/>
    </row>
    <row r="4867" spans="3:12">
      <c r="C4867" s="3"/>
      <c r="K4867" s="4"/>
      <c r="L4867" s="4"/>
    </row>
    <row r="4868" spans="3:12">
      <c r="C4868" s="3"/>
      <c r="K4868" s="4"/>
      <c r="L4868" s="4"/>
    </row>
    <row r="4869" spans="3:12">
      <c r="C4869" s="3"/>
      <c r="K4869" s="4"/>
      <c r="L4869" s="4"/>
    </row>
    <row r="4870" spans="3:12">
      <c r="C4870" s="3"/>
      <c r="K4870" s="4"/>
      <c r="L4870" s="4"/>
    </row>
    <row r="4871" spans="3:12">
      <c r="C4871" s="3"/>
      <c r="K4871" s="4"/>
      <c r="L4871" s="4"/>
    </row>
    <row r="4872" spans="3:12">
      <c r="C4872" s="3"/>
      <c r="K4872" s="4"/>
      <c r="L4872" s="4"/>
    </row>
    <row r="4873" spans="3:12">
      <c r="C4873" s="3"/>
      <c r="K4873" s="4"/>
      <c r="L4873" s="4"/>
    </row>
    <row r="4874" spans="3:12">
      <c r="C4874" s="3"/>
      <c r="K4874" s="4"/>
      <c r="L4874" s="4"/>
    </row>
    <row r="4875" spans="3:12">
      <c r="C4875" s="3"/>
      <c r="K4875" s="4"/>
      <c r="L4875" s="4"/>
    </row>
    <row r="4876" spans="3:12">
      <c r="C4876" s="3"/>
      <c r="K4876" s="4"/>
      <c r="L4876" s="4"/>
    </row>
    <row r="4877" spans="3:12">
      <c r="C4877" s="3"/>
      <c r="K4877" s="4"/>
      <c r="L4877" s="4"/>
    </row>
    <row r="4878" spans="3:12">
      <c r="C4878" s="3"/>
      <c r="K4878" s="4"/>
      <c r="L4878" s="4"/>
    </row>
    <row r="4879" spans="3:12">
      <c r="C4879" s="3"/>
      <c r="K4879" s="4"/>
      <c r="L4879" s="4"/>
    </row>
    <row r="4880" spans="3:12">
      <c r="C4880" s="3"/>
      <c r="K4880" s="4"/>
      <c r="L4880" s="4"/>
    </row>
    <row r="4881" spans="3:12">
      <c r="C4881" s="3"/>
      <c r="K4881" s="4"/>
      <c r="L4881" s="4"/>
    </row>
    <row r="4882" spans="3:12">
      <c r="C4882" s="3"/>
      <c r="K4882" s="4"/>
      <c r="L4882" s="4"/>
    </row>
    <row r="4883" spans="3:12">
      <c r="C4883" s="3"/>
      <c r="K4883" s="4"/>
      <c r="L4883" s="4"/>
    </row>
    <row r="4884" spans="3:12">
      <c r="C4884" s="3"/>
      <c r="K4884" s="4"/>
      <c r="L4884" s="4"/>
    </row>
    <row r="4885" spans="3:12">
      <c r="C4885" s="3"/>
      <c r="K4885" s="4"/>
      <c r="L4885" s="4"/>
    </row>
    <row r="4886" spans="3:12">
      <c r="C4886" s="3"/>
      <c r="K4886" s="4"/>
      <c r="L4886" s="4"/>
    </row>
    <row r="4887" spans="3:12">
      <c r="C4887" s="3"/>
      <c r="K4887" s="4"/>
      <c r="L4887" s="4"/>
    </row>
    <row r="4888" spans="3:12">
      <c r="C4888" s="3"/>
      <c r="K4888" s="4"/>
      <c r="L4888" s="4"/>
    </row>
    <row r="4889" spans="3:12">
      <c r="C4889" s="3"/>
      <c r="K4889" s="4"/>
      <c r="L4889" s="4"/>
    </row>
    <row r="4890" spans="3:12">
      <c r="C4890" s="3"/>
      <c r="K4890" s="4"/>
      <c r="L4890" s="4"/>
    </row>
    <row r="4891" spans="3:12">
      <c r="C4891" s="3"/>
      <c r="K4891" s="4"/>
      <c r="L4891" s="4"/>
    </row>
    <row r="4892" spans="3:12">
      <c r="C4892" s="3"/>
      <c r="K4892" s="4"/>
      <c r="L4892" s="4"/>
    </row>
    <row r="4893" spans="3:12">
      <c r="C4893" s="3"/>
      <c r="K4893" s="4"/>
      <c r="L4893" s="4"/>
    </row>
    <row r="4894" spans="3:12">
      <c r="C4894" s="3"/>
      <c r="K4894" s="4"/>
      <c r="L4894" s="4"/>
    </row>
    <row r="4895" spans="3:12">
      <c r="C4895" s="3"/>
      <c r="K4895" s="4"/>
      <c r="L4895" s="4"/>
    </row>
    <row r="4896" spans="3:12">
      <c r="C4896" s="3"/>
      <c r="K4896" s="4"/>
      <c r="L4896" s="4"/>
    </row>
    <row r="4897" spans="3:12">
      <c r="C4897" s="3"/>
      <c r="K4897" s="4"/>
      <c r="L4897" s="4"/>
    </row>
    <row r="4898" spans="3:12">
      <c r="C4898" s="3"/>
      <c r="K4898" s="4"/>
      <c r="L4898" s="4"/>
    </row>
    <row r="4899" spans="3:12">
      <c r="C4899" s="3"/>
      <c r="K4899" s="4"/>
      <c r="L4899" s="4"/>
    </row>
    <row r="4900" spans="3:12">
      <c r="C4900" s="3"/>
      <c r="K4900" s="4"/>
      <c r="L4900" s="4"/>
    </row>
    <row r="4901" spans="3:12">
      <c r="C4901" s="3"/>
      <c r="K4901" s="4"/>
      <c r="L4901" s="4"/>
    </row>
    <row r="4902" spans="3:12">
      <c r="C4902" s="3"/>
      <c r="K4902" s="4"/>
      <c r="L4902" s="4"/>
    </row>
    <row r="4903" spans="3:12">
      <c r="C4903" s="3"/>
      <c r="K4903" s="4"/>
      <c r="L4903" s="4"/>
    </row>
    <row r="4904" spans="3:12">
      <c r="C4904" s="3"/>
      <c r="K4904" s="4"/>
      <c r="L4904" s="4"/>
    </row>
    <row r="4905" spans="3:12">
      <c r="C4905" s="3"/>
      <c r="K4905" s="4"/>
      <c r="L4905" s="4"/>
    </row>
    <row r="4906" spans="3:12">
      <c r="C4906" s="3"/>
      <c r="K4906" s="4"/>
      <c r="L4906" s="4"/>
    </row>
    <row r="4907" spans="3:12">
      <c r="C4907" s="3"/>
      <c r="K4907" s="4"/>
      <c r="L4907" s="4"/>
    </row>
    <row r="4908" spans="3:12">
      <c r="C4908" s="3"/>
      <c r="K4908" s="4"/>
      <c r="L4908" s="4"/>
    </row>
    <row r="4909" spans="3:12">
      <c r="C4909" s="3"/>
      <c r="K4909" s="4"/>
      <c r="L4909" s="4"/>
    </row>
    <row r="4910" spans="3:12">
      <c r="C4910" s="3"/>
      <c r="K4910" s="4"/>
      <c r="L4910" s="4"/>
    </row>
    <row r="4911" spans="3:12">
      <c r="C4911" s="3"/>
      <c r="K4911" s="4"/>
      <c r="L4911" s="4"/>
    </row>
    <row r="4912" spans="3:12">
      <c r="C4912" s="3"/>
      <c r="K4912" s="4"/>
      <c r="L4912" s="4"/>
    </row>
    <row r="4913" spans="3:12">
      <c r="C4913" s="3"/>
      <c r="K4913" s="4"/>
      <c r="L4913" s="4"/>
    </row>
    <row r="4914" spans="3:12">
      <c r="C4914" s="3"/>
      <c r="K4914" s="4"/>
      <c r="L4914" s="4"/>
    </row>
    <row r="4915" spans="3:12">
      <c r="C4915" s="3"/>
      <c r="K4915" s="4"/>
      <c r="L4915" s="4"/>
    </row>
    <row r="4916" spans="3:12">
      <c r="C4916" s="3"/>
      <c r="K4916" s="4"/>
      <c r="L4916" s="4"/>
    </row>
    <row r="4917" spans="3:12">
      <c r="C4917" s="3"/>
      <c r="K4917" s="4"/>
      <c r="L4917" s="4"/>
    </row>
    <row r="4918" spans="3:12">
      <c r="C4918" s="3"/>
      <c r="K4918" s="4"/>
      <c r="L4918" s="4"/>
    </row>
    <row r="4919" spans="3:12">
      <c r="C4919" s="3"/>
      <c r="K4919" s="4"/>
      <c r="L4919" s="4"/>
    </row>
    <row r="4920" spans="3:12">
      <c r="C4920" s="3"/>
      <c r="K4920" s="4"/>
      <c r="L4920" s="4"/>
    </row>
    <row r="4921" spans="3:12">
      <c r="C4921" s="3"/>
      <c r="K4921" s="4"/>
      <c r="L4921" s="4"/>
    </row>
    <row r="4922" spans="3:12">
      <c r="C4922" s="3"/>
      <c r="K4922" s="4"/>
      <c r="L4922" s="4"/>
    </row>
    <row r="4923" spans="3:12">
      <c r="C4923" s="3"/>
      <c r="K4923" s="4"/>
      <c r="L4923" s="4"/>
    </row>
    <row r="4924" spans="3:12">
      <c r="C4924" s="3"/>
      <c r="K4924" s="4"/>
      <c r="L4924" s="4"/>
    </row>
    <row r="4925" spans="3:12">
      <c r="C4925" s="3"/>
      <c r="K4925" s="4"/>
      <c r="L4925" s="4"/>
    </row>
    <row r="4926" spans="3:12">
      <c r="C4926" s="3"/>
      <c r="K4926" s="4"/>
      <c r="L4926" s="4"/>
    </row>
    <row r="4927" spans="3:12">
      <c r="C4927" s="3"/>
      <c r="K4927" s="4"/>
      <c r="L4927" s="4"/>
    </row>
    <row r="4928" spans="3:12">
      <c r="C4928" s="3"/>
      <c r="K4928" s="4"/>
      <c r="L4928" s="4"/>
    </row>
    <row r="4929" spans="3:12">
      <c r="C4929" s="3"/>
      <c r="K4929" s="4"/>
      <c r="L4929" s="4"/>
    </row>
    <row r="4930" spans="3:12">
      <c r="C4930" s="3"/>
      <c r="K4930" s="4"/>
      <c r="L4930" s="4"/>
    </row>
    <row r="4931" spans="3:12">
      <c r="C4931" s="3"/>
      <c r="K4931" s="4"/>
      <c r="L4931" s="4"/>
    </row>
    <row r="4932" spans="3:12">
      <c r="C4932" s="3"/>
      <c r="K4932" s="4"/>
      <c r="L4932" s="4"/>
    </row>
    <row r="4933" spans="3:12">
      <c r="C4933" s="3"/>
      <c r="K4933" s="4"/>
      <c r="L4933" s="4"/>
    </row>
    <row r="4934" spans="3:12">
      <c r="C4934" s="3"/>
      <c r="K4934" s="4"/>
      <c r="L4934" s="4"/>
    </row>
    <row r="4935" spans="3:12">
      <c r="C4935" s="3"/>
      <c r="K4935" s="4"/>
      <c r="L4935" s="4"/>
    </row>
    <row r="4936" spans="3:12">
      <c r="C4936" s="3"/>
      <c r="K4936" s="4"/>
      <c r="L4936" s="4"/>
    </row>
    <row r="4937" spans="3:12">
      <c r="C4937" s="3"/>
      <c r="K4937" s="4"/>
      <c r="L4937" s="4"/>
    </row>
    <row r="4938" spans="3:12">
      <c r="C4938" s="3"/>
      <c r="K4938" s="4"/>
      <c r="L4938" s="4"/>
    </row>
    <row r="4939" spans="3:12">
      <c r="C4939" s="3"/>
      <c r="K4939" s="4"/>
      <c r="L4939" s="4"/>
    </row>
    <row r="4940" spans="3:12">
      <c r="C4940" s="3"/>
      <c r="K4940" s="4"/>
      <c r="L4940" s="4"/>
    </row>
    <row r="4941" spans="3:12">
      <c r="C4941" s="3"/>
      <c r="K4941" s="4"/>
      <c r="L4941" s="4"/>
    </row>
    <row r="4942" spans="3:12">
      <c r="C4942" s="3"/>
      <c r="K4942" s="4"/>
      <c r="L4942" s="4"/>
    </row>
    <row r="4943" spans="3:12">
      <c r="C4943" s="3"/>
      <c r="K4943" s="4"/>
      <c r="L4943" s="4"/>
    </row>
    <row r="4944" spans="3:12">
      <c r="C4944" s="3"/>
      <c r="K4944" s="4"/>
      <c r="L4944" s="4"/>
    </row>
    <row r="4945" spans="3:12">
      <c r="C4945" s="3"/>
      <c r="K4945" s="4"/>
      <c r="L4945" s="4"/>
    </row>
    <row r="4946" spans="3:12">
      <c r="C4946" s="3"/>
      <c r="K4946" s="4"/>
      <c r="L4946" s="4"/>
    </row>
    <row r="4947" spans="3:12">
      <c r="C4947" s="3"/>
      <c r="K4947" s="4"/>
      <c r="L4947" s="4"/>
    </row>
    <row r="4948" spans="3:12">
      <c r="C4948" s="3"/>
      <c r="K4948" s="4"/>
      <c r="L4948" s="4"/>
    </row>
    <row r="4949" spans="3:12">
      <c r="C4949" s="3"/>
      <c r="K4949" s="4"/>
      <c r="L4949" s="4"/>
    </row>
    <row r="4950" spans="3:12">
      <c r="C4950" s="3"/>
      <c r="K4950" s="4"/>
      <c r="L4950" s="4"/>
    </row>
    <row r="4951" spans="3:12">
      <c r="C4951" s="3"/>
      <c r="K4951" s="4"/>
      <c r="L4951" s="4"/>
    </row>
    <row r="4952" spans="3:12">
      <c r="C4952" s="3"/>
      <c r="K4952" s="4"/>
      <c r="L4952" s="4"/>
    </row>
    <row r="4953" spans="3:12">
      <c r="C4953" s="3"/>
      <c r="K4953" s="4"/>
      <c r="L4953" s="4"/>
    </row>
    <row r="4954" spans="3:12">
      <c r="C4954" s="3"/>
      <c r="K4954" s="4"/>
      <c r="L4954" s="4"/>
    </row>
    <row r="4955" spans="3:12">
      <c r="C4955" s="3"/>
      <c r="K4955" s="4"/>
      <c r="L4955" s="4"/>
    </row>
    <row r="4956" spans="3:12">
      <c r="C4956" s="3"/>
      <c r="K4956" s="4"/>
      <c r="L4956" s="4"/>
    </row>
    <row r="4957" spans="3:12">
      <c r="C4957" s="3"/>
      <c r="K4957" s="4"/>
      <c r="L4957" s="4"/>
    </row>
    <row r="4958" spans="3:12">
      <c r="C4958" s="3"/>
      <c r="K4958" s="4"/>
      <c r="L4958" s="4"/>
    </row>
    <row r="4959" spans="3:12">
      <c r="C4959" s="3"/>
      <c r="K4959" s="4"/>
      <c r="L4959" s="4"/>
    </row>
    <row r="4960" spans="3:12">
      <c r="C4960" s="3"/>
      <c r="K4960" s="4"/>
      <c r="L4960" s="4"/>
    </row>
    <row r="4961" spans="3:12">
      <c r="C4961" s="3"/>
      <c r="K4961" s="4"/>
      <c r="L4961" s="4"/>
    </row>
    <row r="4962" spans="3:12">
      <c r="C4962" s="3"/>
      <c r="K4962" s="4"/>
      <c r="L4962" s="4"/>
    </row>
    <row r="4963" spans="3:12">
      <c r="C4963" s="3"/>
      <c r="K4963" s="4"/>
      <c r="L4963" s="4"/>
    </row>
    <row r="4964" spans="3:12">
      <c r="C4964" s="3"/>
      <c r="K4964" s="4"/>
      <c r="L4964" s="4"/>
    </row>
    <row r="4965" spans="3:12">
      <c r="C4965" s="3"/>
      <c r="K4965" s="4"/>
      <c r="L4965" s="4"/>
    </row>
    <row r="4966" spans="3:12">
      <c r="C4966" s="3"/>
      <c r="K4966" s="4"/>
      <c r="L4966" s="4"/>
    </row>
    <row r="4967" spans="3:12">
      <c r="C4967" s="3"/>
      <c r="K4967" s="4"/>
      <c r="L4967" s="4"/>
    </row>
    <row r="4968" spans="3:12">
      <c r="C4968" s="3"/>
      <c r="K4968" s="4"/>
      <c r="L4968" s="4"/>
    </row>
    <row r="4969" spans="3:12">
      <c r="C4969" s="3"/>
      <c r="K4969" s="4"/>
      <c r="L4969" s="4"/>
    </row>
    <row r="4970" spans="3:12">
      <c r="C4970" s="3"/>
      <c r="K4970" s="4"/>
      <c r="L4970" s="4"/>
    </row>
    <row r="4971" spans="3:12">
      <c r="C4971" s="3"/>
      <c r="K4971" s="4"/>
      <c r="L4971" s="4"/>
    </row>
    <row r="4972" spans="3:12">
      <c r="C4972" s="3"/>
      <c r="K4972" s="4"/>
      <c r="L4972" s="4"/>
    </row>
    <row r="4973" spans="3:12">
      <c r="C4973" s="3"/>
      <c r="K4973" s="4"/>
      <c r="L4973" s="4"/>
    </row>
    <row r="4974" spans="3:12">
      <c r="C4974" s="3"/>
      <c r="K4974" s="4"/>
      <c r="L4974" s="4"/>
    </row>
    <row r="4975" spans="3:12">
      <c r="C4975" s="3"/>
      <c r="K4975" s="4"/>
      <c r="L4975" s="4"/>
    </row>
    <row r="4976" spans="3:12">
      <c r="C4976" s="3"/>
      <c r="K4976" s="4"/>
      <c r="L4976" s="4"/>
    </row>
    <row r="4977" spans="3:12">
      <c r="C4977" s="3"/>
      <c r="K4977" s="4"/>
      <c r="L4977" s="4"/>
    </row>
    <row r="4978" spans="3:12">
      <c r="C4978" s="3"/>
      <c r="K4978" s="4"/>
      <c r="L4978" s="4"/>
    </row>
    <row r="4979" spans="3:12">
      <c r="C4979" s="3"/>
      <c r="K4979" s="4"/>
      <c r="L4979" s="4"/>
    </row>
    <row r="4980" spans="3:12">
      <c r="C4980" s="3"/>
      <c r="K4980" s="4"/>
      <c r="L4980" s="4"/>
    </row>
    <row r="4981" spans="3:12">
      <c r="C4981" s="3"/>
      <c r="K4981" s="4"/>
      <c r="L4981" s="4"/>
    </row>
    <row r="4982" spans="3:12">
      <c r="C4982" s="3"/>
      <c r="K4982" s="4"/>
      <c r="L4982" s="4"/>
    </row>
    <row r="4983" spans="3:12">
      <c r="C4983" s="3"/>
      <c r="K4983" s="4"/>
      <c r="L4983" s="4"/>
    </row>
    <row r="4984" spans="3:12">
      <c r="C4984" s="3"/>
      <c r="K4984" s="4"/>
      <c r="L4984" s="4"/>
    </row>
    <row r="4985" spans="3:12">
      <c r="C4985" s="3"/>
      <c r="K4985" s="4"/>
      <c r="L4985" s="4"/>
    </row>
    <row r="4986" spans="3:12">
      <c r="C4986" s="3"/>
      <c r="K4986" s="4"/>
      <c r="L4986" s="4"/>
    </row>
    <row r="4987" spans="3:12">
      <c r="C4987" s="3"/>
      <c r="K4987" s="4"/>
      <c r="L4987" s="4"/>
    </row>
    <row r="4988" spans="3:12">
      <c r="C4988" s="3"/>
      <c r="K4988" s="4"/>
      <c r="L4988" s="4"/>
    </row>
    <row r="4989" spans="3:12">
      <c r="C4989" s="3"/>
      <c r="K4989" s="4"/>
      <c r="L4989" s="4"/>
    </row>
    <row r="4990" spans="3:12">
      <c r="C4990" s="3"/>
      <c r="K4990" s="4"/>
      <c r="L4990" s="4"/>
    </row>
    <row r="4991" spans="3:12">
      <c r="C4991" s="3"/>
      <c r="K4991" s="4"/>
      <c r="L4991" s="4"/>
    </row>
    <row r="4992" spans="3:12">
      <c r="C4992" s="3"/>
      <c r="K4992" s="4"/>
      <c r="L4992" s="4"/>
    </row>
    <row r="4993" spans="3:12">
      <c r="C4993" s="3"/>
      <c r="K4993" s="4"/>
      <c r="L4993" s="4"/>
    </row>
    <row r="4994" spans="3:12">
      <c r="C4994" s="3"/>
      <c r="K4994" s="4"/>
      <c r="L4994" s="4"/>
    </row>
    <row r="4995" spans="3:12">
      <c r="C4995" s="3"/>
      <c r="K4995" s="4"/>
      <c r="L4995" s="4"/>
    </row>
    <row r="4996" spans="3:12">
      <c r="C4996" s="3"/>
      <c r="K4996" s="4"/>
      <c r="L4996" s="4"/>
    </row>
    <row r="4997" spans="3:12">
      <c r="C4997" s="3"/>
      <c r="K4997" s="4"/>
      <c r="L4997" s="4"/>
    </row>
    <row r="4998" spans="3:12">
      <c r="C4998" s="3"/>
      <c r="K4998" s="4"/>
      <c r="L4998" s="4"/>
    </row>
    <row r="4999" spans="3:12">
      <c r="C4999" s="3"/>
      <c r="K4999" s="4"/>
      <c r="L4999" s="4"/>
    </row>
    <row r="5000" spans="3:12">
      <c r="C5000" s="3"/>
      <c r="K5000" s="4"/>
      <c r="L5000" s="4"/>
    </row>
    <row r="5001" spans="3:12">
      <c r="C5001" s="3"/>
      <c r="K5001" s="4"/>
      <c r="L5001" s="4"/>
    </row>
    <row r="5002" spans="3:12">
      <c r="C5002" s="3"/>
      <c r="K5002" s="4"/>
      <c r="L5002" s="4"/>
    </row>
    <row r="5003" spans="3:12">
      <c r="C5003" s="3"/>
      <c r="K5003" s="4"/>
      <c r="L5003" s="4"/>
    </row>
    <row r="5004" spans="3:12">
      <c r="C5004" s="3"/>
      <c r="K5004" s="4"/>
      <c r="L5004" s="4"/>
    </row>
    <row r="5005" spans="3:12">
      <c r="C5005" s="3"/>
      <c r="K5005" s="4"/>
      <c r="L5005" s="4"/>
    </row>
    <row r="5006" spans="3:12">
      <c r="C5006" s="3"/>
      <c r="K5006" s="4"/>
      <c r="L5006" s="4"/>
    </row>
    <row r="5007" spans="3:12">
      <c r="C5007" s="3"/>
      <c r="K5007" s="4"/>
      <c r="L5007" s="4"/>
    </row>
    <row r="5008" spans="3:12">
      <c r="C5008" s="3"/>
      <c r="K5008" s="4"/>
      <c r="L5008" s="4"/>
    </row>
    <row r="5009" spans="3:12">
      <c r="C5009" s="3"/>
      <c r="K5009" s="4"/>
      <c r="L5009" s="4"/>
    </row>
    <row r="5010" spans="3:12">
      <c r="C5010" s="3"/>
      <c r="K5010" s="4"/>
      <c r="L5010" s="4"/>
    </row>
    <row r="5011" spans="3:12">
      <c r="C5011" s="3"/>
      <c r="K5011" s="4"/>
      <c r="L5011" s="4"/>
    </row>
    <row r="5012" spans="3:12">
      <c r="C5012" s="3"/>
      <c r="K5012" s="4"/>
      <c r="L5012" s="4"/>
    </row>
    <row r="5013" spans="3:12">
      <c r="C5013" s="3"/>
      <c r="K5013" s="4"/>
      <c r="L5013" s="4"/>
    </row>
    <row r="5014" spans="3:12">
      <c r="C5014" s="3"/>
      <c r="K5014" s="4"/>
      <c r="L5014" s="4"/>
    </row>
    <row r="5015" spans="3:12">
      <c r="C5015" s="3"/>
      <c r="K5015" s="4"/>
      <c r="L5015" s="4"/>
    </row>
    <row r="5016" spans="3:12">
      <c r="C5016" s="3"/>
      <c r="K5016" s="4"/>
      <c r="L5016" s="4"/>
    </row>
    <row r="5017" spans="3:12">
      <c r="C5017" s="3"/>
      <c r="K5017" s="4"/>
      <c r="L5017" s="4"/>
    </row>
    <row r="5018" spans="3:12">
      <c r="C5018" s="3"/>
      <c r="K5018" s="4"/>
      <c r="L5018" s="4"/>
    </row>
    <row r="5019" spans="3:12">
      <c r="C5019" s="3"/>
      <c r="K5019" s="4"/>
      <c r="L5019" s="4"/>
    </row>
    <row r="5020" spans="3:12">
      <c r="C5020" s="3"/>
      <c r="K5020" s="4"/>
      <c r="L5020" s="4"/>
    </row>
    <row r="5021" spans="3:12">
      <c r="C5021" s="3"/>
      <c r="K5021" s="4"/>
      <c r="L5021" s="4"/>
    </row>
    <row r="5022" spans="3:12">
      <c r="C5022" s="3"/>
      <c r="K5022" s="4"/>
      <c r="L5022" s="4"/>
    </row>
    <row r="5023" spans="3:12">
      <c r="C5023" s="3"/>
      <c r="K5023" s="4"/>
      <c r="L5023" s="4"/>
    </row>
    <row r="5024" spans="3:12">
      <c r="C5024" s="3"/>
      <c r="K5024" s="4"/>
      <c r="L5024" s="4"/>
    </row>
    <row r="5025" spans="3:12">
      <c r="C5025" s="3"/>
      <c r="K5025" s="4"/>
      <c r="L5025" s="4"/>
    </row>
    <row r="5026" spans="3:12">
      <c r="C5026" s="3"/>
      <c r="K5026" s="4"/>
      <c r="L5026" s="4"/>
    </row>
    <row r="5027" spans="3:12">
      <c r="C5027" s="3"/>
      <c r="K5027" s="4"/>
      <c r="L5027" s="4"/>
    </row>
    <row r="5028" spans="3:12">
      <c r="C5028" s="3"/>
      <c r="K5028" s="4"/>
      <c r="L5028" s="4"/>
    </row>
    <row r="5029" spans="3:12">
      <c r="C5029" s="3"/>
      <c r="K5029" s="4"/>
      <c r="L5029" s="4"/>
    </row>
    <row r="5030" spans="3:12">
      <c r="C5030" s="3"/>
      <c r="K5030" s="4"/>
      <c r="L5030" s="4"/>
    </row>
    <row r="5031" spans="3:12">
      <c r="C5031" s="3"/>
      <c r="K5031" s="4"/>
      <c r="L5031" s="4"/>
    </row>
    <row r="5032" spans="3:12">
      <c r="C5032" s="3"/>
      <c r="K5032" s="4"/>
      <c r="L5032" s="4"/>
    </row>
    <row r="5033" spans="3:12">
      <c r="C5033" s="3"/>
      <c r="K5033" s="4"/>
      <c r="L5033" s="4"/>
    </row>
    <row r="5034" spans="3:12">
      <c r="C5034" s="3"/>
      <c r="K5034" s="4"/>
      <c r="L5034" s="4"/>
    </row>
    <row r="5035" spans="3:12">
      <c r="C5035" s="3"/>
      <c r="K5035" s="4"/>
      <c r="L5035" s="4"/>
    </row>
    <row r="5036" spans="3:12">
      <c r="C5036" s="3"/>
      <c r="K5036" s="4"/>
      <c r="L5036" s="4"/>
    </row>
    <row r="5037" spans="3:12">
      <c r="C5037" s="3"/>
      <c r="K5037" s="4"/>
      <c r="L5037" s="4"/>
    </row>
    <row r="5038" spans="3:12">
      <c r="C5038" s="3"/>
      <c r="K5038" s="4"/>
      <c r="L5038" s="4"/>
    </row>
    <row r="5039" spans="3:12">
      <c r="C5039" s="3"/>
      <c r="K5039" s="4"/>
      <c r="L5039" s="4"/>
    </row>
    <row r="5040" spans="3:12">
      <c r="C5040" s="3"/>
      <c r="K5040" s="4"/>
      <c r="L5040" s="4"/>
    </row>
    <row r="5041" spans="3:12">
      <c r="C5041" s="3"/>
      <c r="K5041" s="4"/>
      <c r="L5041" s="4"/>
    </row>
    <row r="5042" spans="3:12">
      <c r="C5042" s="3"/>
      <c r="K5042" s="4"/>
      <c r="L5042" s="4"/>
    </row>
    <row r="5043" spans="3:12">
      <c r="C5043" s="3"/>
      <c r="K5043" s="4"/>
      <c r="L5043" s="4"/>
    </row>
    <row r="5044" spans="3:12">
      <c r="C5044" s="3"/>
      <c r="K5044" s="4"/>
      <c r="L5044" s="4"/>
    </row>
    <row r="5045" spans="3:12">
      <c r="C5045" s="3"/>
      <c r="K5045" s="4"/>
      <c r="L5045" s="4"/>
    </row>
    <row r="5046" spans="3:12">
      <c r="C5046" s="3"/>
      <c r="K5046" s="4"/>
      <c r="L5046" s="4"/>
    </row>
    <row r="5047" spans="3:12">
      <c r="C5047" s="3"/>
      <c r="K5047" s="4"/>
      <c r="L5047" s="4"/>
    </row>
    <row r="5048" spans="3:12">
      <c r="C5048" s="3"/>
      <c r="K5048" s="4"/>
      <c r="L5048" s="4"/>
    </row>
    <row r="5049" spans="3:12">
      <c r="C5049" s="3"/>
      <c r="K5049" s="4"/>
      <c r="L5049" s="4"/>
    </row>
    <row r="5050" spans="3:12">
      <c r="C5050" s="3"/>
      <c r="K5050" s="4"/>
      <c r="L5050" s="4"/>
    </row>
    <row r="5051" spans="3:12">
      <c r="C5051" s="3"/>
      <c r="K5051" s="4"/>
      <c r="L5051" s="4"/>
    </row>
    <row r="5052" spans="3:12">
      <c r="C5052" s="3"/>
      <c r="K5052" s="4"/>
      <c r="L5052" s="4"/>
    </row>
    <row r="5053" spans="3:12">
      <c r="C5053" s="3"/>
      <c r="K5053" s="4"/>
      <c r="L5053" s="4"/>
    </row>
    <row r="5054" spans="3:12">
      <c r="C5054" s="3"/>
      <c r="K5054" s="4"/>
      <c r="L5054" s="4"/>
    </row>
    <row r="5055" spans="3:12">
      <c r="C5055" s="3"/>
      <c r="K5055" s="4"/>
      <c r="L5055" s="4"/>
    </row>
    <row r="5056" spans="3:12">
      <c r="C5056" s="3"/>
      <c r="K5056" s="4"/>
      <c r="L5056" s="4"/>
    </row>
    <row r="5057" spans="3:12">
      <c r="C5057" s="3"/>
      <c r="K5057" s="4"/>
      <c r="L5057" s="4"/>
    </row>
    <row r="5058" spans="3:12">
      <c r="C5058" s="3"/>
      <c r="K5058" s="4"/>
      <c r="L5058" s="4"/>
    </row>
    <row r="5059" spans="3:12">
      <c r="C5059" s="3"/>
      <c r="K5059" s="4"/>
      <c r="L5059" s="4"/>
    </row>
    <row r="5060" spans="3:12">
      <c r="C5060" s="3"/>
      <c r="K5060" s="4"/>
      <c r="L5060" s="4"/>
    </row>
    <row r="5061" spans="3:12">
      <c r="C5061" s="3"/>
      <c r="K5061" s="4"/>
      <c r="L5061" s="4"/>
    </row>
    <row r="5062" spans="3:12">
      <c r="C5062" s="3"/>
      <c r="K5062" s="4"/>
      <c r="L5062" s="4"/>
    </row>
    <row r="5063" spans="3:12">
      <c r="C5063" s="3"/>
      <c r="K5063" s="4"/>
      <c r="L5063" s="4"/>
    </row>
    <row r="5064" spans="3:12">
      <c r="C5064" s="3"/>
      <c r="K5064" s="4"/>
      <c r="L5064" s="4"/>
    </row>
    <row r="5065" spans="3:12">
      <c r="C5065" s="3"/>
      <c r="K5065" s="4"/>
      <c r="L5065" s="4"/>
    </row>
    <row r="5066" spans="3:12">
      <c r="C5066" s="3"/>
      <c r="K5066" s="4"/>
      <c r="L5066" s="4"/>
    </row>
    <row r="5067" spans="3:12">
      <c r="C5067" s="3"/>
      <c r="K5067" s="4"/>
      <c r="L5067" s="4"/>
    </row>
    <row r="5068" spans="3:12">
      <c r="C5068" s="3"/>
      <c r="K5068" s="4"/>
      <c r="L5068" s="4"/>
    </row>
    <row r="5069" spans="3:12">
      <c r="C5069" s="3"/>
      <c r="K5069" s="4"/>
      <c r="L5069" s="4"/>
    </row>
    <row r="5070" spans="3:12">
      <c r="C5070" s="3"/>
      <c r="K5070" s="4"/>
      <c r="L5070" s="4"/>
    </row>
    <row r="5071" spans="3:12">
      <c r="C5071" s="3"/>
      <c r="K5071" s="4"/>
      <c r="L5071" s="4"/>
    </row>
    <row r="5072" spans="3:12">
      <c r="C5072" s="3"/>
      <c r="K5072" s="4"/>
      <c r="L5072" s="4"/>
    </row>
    <row r="5073" spans="3:12">
      <c r="C5073" s="3"/>
      <c r="K5073" s="4"/>
      <c r="L5073" s="4"/>
    </row>
    <row r="5074" spans="3:12">
      <c r="C5074" s="3"/>
      <c r="K5074" s="4"/>
      <c r="L5074" s="4"/>
    </row>
    <row r="5075" spans="3:12">
      <c r="C5075" s="3"/>
      <c r="K5075" s="4"/>
      <c r="L5075" s="4"/>
    </row>
    <row r="5076" spans="3:12">
      <c r="C5076" s="3"/>
      <c r="K5076" s="4"/>
      <c r="L5076" s="4"/>
    </row>
    <row r="5077" spans="3:12">
      <c r="C5077" s="3"/>
      <c r="K5077" s="4"/>
      <c r="L5077" s="4"/>
    </row>
    <row r="5078" spans="3:12">
      <c r="C5078" s="3"/>
      <c r="K5078" s="4"/>
      <c r="L5078" s="4"/>
    </row>
    <row r="5079" spans="3:12">
      <c r="C5079" s="3"/>
      <c r="K5079" s="4"/>
      <c r="L5079" s="4"/>
    </row>
    <row r="5080" spans="3:12">
      <c r="C5080" s="3"/>
      <c r="K5080" s="4"/>
      <c r="L5080" s="4"/>
    </row>
    <row r="5081" spans="3:12">
      <c r="C5081" s="3"/>
      <c r="K5081" s="4"/>
      <c r="L5081" s="4"/>
    </row>
    <row r="5082" spans="3:12">
      <c r="C5082" s="3"/>
      <c r="K5082" s="4"/>
      <c r="L5082" s="4"/>
    </row>
    <row r="5083" spans="3:12">
      <c r="C5083" s="3"/>
      <c r="K5083" s="4"/>
      <c r="L5083" s="4"/>
    </row>
    <row r="5084" spans="3:12">
      <c r="C5084" s="3"/>
      <c r="K5084" s="4"/>
      <c r="L5084" s="4"/>
    </row>
    <row r="5085" spans="3:12">
      <c r="C5085" s="3"/>
      <c r="K5085" s="4"/>
      <c r="L5085" s="4"/>
    </row>
    <row r="5086" spans="3:12">
      <c r="C5086" s="3"/>
      <c r="K5086" s="4"/>
      <c r="L5086" s="4"/>
    </row>
    <row r="5087" spans="3:12">
      <c r="C5087" s="3"/>
      <c r="K5087" s="4"/>
      <c r="L5087" s="4"/>
    </row>
    <row r="5088" spans="3:12">
      <c r="C5088" s="3"/>
      <c r="K5088" s="4"/>
      <c r="L5088" s="4"/>
    </row>
    <row r="5089" spans="3:12">
      <c r="C5089" s="3"/>
      <c r="K5089" s="4"/>
      <c r="L5089" s="4"/>
    </row>
    <row r="5090" spans="3:12">
      <c r="C5090" s="3"/>
      <c r="K5090" s="4"/>
      <c r="L5090" s="4"/>
    </row>
    <row r="5091" spans="3:12">
      <c r="C5091" s="3"/>
      <c r="K5091" s="4"/>
      <c r="L5091" s="4"/>
    </row>
    <row r="5092" spans="3:12">
      <c r="C5092" s="3"/>
      <c r="K5092" s="4"/>
      <c r="L5092" s="4"/>
    </row>
    <row r="5093" spans="3:12">
      <c r="C5093" s="3"/>
      <c r="K5093" s="4"/>
      <c r="L5093" s="4"/>
    </row>
    <row r="5094" spans="3:12">
      <c r="C5094" s="3"/>
      <c r="K5094" s="4"/>
      <c r="L5094" s="4"/>
    </row>
    <row r="5095" spans="3:12">
      <c r="C5095" s="3"/>
      <c r="K5095" s="4"/>
      <c r="L5095" s="4"/>
    </row>
    <row r="5096" spans="3:12">
      <c r="C5096" s="3"/>
      <c r="K5096" s="4"/>
      <c r="L5096" s="4"/>
    </row>
    <row r="5097" spans="3:12">
      <c r="C5097" s="3"/>
      <c r="K5097" s="4"/>
      <c r="L5097" s="4"/>
    </row>
    <row r="5098" spans="3:12">
      <c r="C5098" s="3"/>
      <c r="K5098" s="4"/>
      <c r="L5098" s="4"/>
    </row>
    <row r="5099" spans="3:12">
      <c r="C5099" s="3"/>
      <c r="K5099" s="4"/>
      <c r="L5099" s="4"/>
    </row>
    <row r="5100" spans="3:12">
      <c r="C5100" s="3"/>
      <c r="K5100" s="4"/>
      <c r="L5100" s="4"/>
    </row>
    <row r="5101" spans="3:12">
      <c r="C5101" s="3"/>
      <c r="K5101" s="4"/>
      <c r="L5101" s="4"/>
    </row>
    <row r="5102" spans="3:12">
      <c r="C5102" s="3"/>
      <c r="K5102" s="4"/>
      <c r="L5102" s="4"/>
    </row>
    <row r="5103" spans="3:12">
      <c r="C5103" s="3"/>
      <c r="K5103" s="4"/>
      <c r="L5103" s="4"/>
    </row>
    <row r="5104" spans="3:12">
      <c r="C5104" s="3"/>
      <c r="K5104" s="4"/>
      <c r="L5104" s="4"/>
    </row>
    <row r="5105" spans="3:12">
      <c r="C5105" s="3"/>
      <c r="K5105" s="4"/>
      <c r="L5105" s="4"/>
    </row>
    <row r="5106" spans="3:12">
      <c r="C5106" s="3"/>
      <c r="K5106" s="4"/>
      <c r="L5106" s="4"/>
    </row>
    <row r="5107" spans="3:12">
      <c r="C5107" s="3"/>
      <c r="K5107" s="4"/>
      <c r="L5107" s="4"/>
    </row>
    <row r="5108" spans="3:12">
      <c r="C5108" s="3"/>
      <c r="K5108" s="4"/>
      <c r="L5108" s="4"/>
    </row>
    <row r="5109" spans="3:12">
      <c r="C5109" s="3"/>
      <c r="K5109" s="4"/>
      <c r="L5109" s="4"/>
    </row>
    <row r="5110" spans="3:12">
      <c r="C5110" s="3"/>
      <c r="K5110" s="4"/>
      <c r="L5110" s="4"/>
    </row>
    <row r="5111" spans="3:12">
      <c r="C5111" s="3"/>
      <c r="K5111" s="4"/>
      <c r="L5111" s="4"/>
    </row>
    <row r="5112" spans="3:12">
      <c r="C5112" s="3"/>
      <c r="K5112" s="4"/>
      <c r="L5112" s="4"/>
    </row>
    <row r="5113" spans="3:12">
      <c r="C5113" s="3"/>
      <c r="K5113" s="4"/>
      <c r="L5113" s="4"/>
    </row>
    <row r="5114" spans="3:12">
      <c r="C5114" s="3"/>
      <c r="K5114" s="4"/>
      <c r="L5114" s="4"/>
    </row>
    <row r="5115" spans="3:12">
      <c r="C5115" s="3"/>
      <c r="K5115" s="4"/>
      <c r="L5115" s="4"/>
    </row>
    <row r="5116" spans="3:12">
      <c r="C5116" s="3"/>
      <c r="K5116" s="4"/>
      <c r="L5116" s="4"/>
    </row>
    <row r="5117" spans="3:12">
      <c r="C5117" s="3"/>
      <c r="K5117" s="4"/>
      <c r="L5117" s="4"/>
    </row>
    <row r="5118" spans="3:12">
      <c r="C5118" s="3"/>
      <c r="K5118" s="4"/>
      <c r="L5118" s="4"/>
    </row>
    <row r="5119" spans="3:12">
      <c r="C5119" s="3"/>
      <c r="K5119" s="4"/>
      <c r="L5119" s="4"/>
    </row>
    <row r="5120" spans="3:12">
      <c r="C5120" s="3"/>
      <c r="K5120" s="4"/>
      <c r="L5120" s="4"/>
    </row>
    <row r="5121" spans="3:12">
      <c r="C5121" s="3"/>
      <c r="K5121" s="4"/>
      <c r="L5121" s="4"/>
    </row>
    <row r="5122" spans="3:12">
      <c r="C5122" s="3"/>
      <c r="K5122" s="4"/>
      <c r="L5122" s="4"/>
    </row>
    <row r="5123" spans="3:12">
      <c r="C5123" s="3"/>
      <c r="K5123" s="4"/>
      <c r="L5123" s="4"/>
    </row>
    <row r="5124" spans="3:12">
      <c r="C5124" s="3"/>
      <c r="K5124" s="4"/>
      <c r="L5124" s="4"/>
    </row>
    <row r="5125" spans="3:12">
      <c r="C5125" s="3"/>
      <c r="K5125" s="4"/>
      <c r="L5125" s="4"/>
    </row>
    <row r="5126" spans="3:12">
      <c r="C5126" s="3"/>
      <c r="K5126" s="4"/>
      <c r="L5126" s="4"/>
    </row>
    <row r="5127" spans="3:12">
      <c r="C5127" s="3"/>
      <c r="K5127" s="4"/>
      <c r="L5127" s="4"/>
    </row>
    <row r="5128" spans="3:12">
      <c r="C5128" s="3"/>
      <c r="K5128" s="4"/>
      <c r="L5128" s="4"/>
    </row>
    <row r="5129" spans="3:12">
      <c r="C5129" s="3"/>
      <c r="K5129" s="4"/>
      <c r="L5129" s="4"/>
    </row>
    <row r="5130" spans="3:12">
      <c r="C5130" s="3"/>
      <c r="K5130" s="4"/>
      <c r="L5130" s="4"/>
    </row>
    <row r="5131" spans="3:12">
      <c r="C5131" s="3"/>
      <c r="K5131" s="4"/>
      <c r="L5131" s="4"/>
    </row>
    <row r="5132" spans="3:12">
      <c r="C5132" s="3"/>
      <c r="K5132" s="4"/>
      <c r="L5132" s="4"/>
    </row>
    <row r="5133" spans="3:12">
      <c r="C5133" s="3"/>
      <c r="K5133" s="4"/>
      <c r="L5133" s="4"/>
    </row>
    <row r="5134" spans="3:12">
      <c r="C5134" s="3"/>
      <c r="K5134" s="4"/>
      <c r="L5134" s="4"/>
    </row>
    <row r="5135" spans="3:12">
      <c r="C5135" s="3"/>
      <c r="K5135" s="4"/>
      <c r="L5135" s="4"/>
    </row>
    <row r="5136" spans="3:12">
      <c r="C5136" s="3"/>
      <c r="K5136" s="4"/>
      <c r="L5136" s="4"/>
    </row>
    <row r="5137" spans="3:12">
      <c r="C5137" s="3"/>
      <c r="K5137" s="4"/>
      <c r="L5137" s="4"/>
    </row>
    <row r="5138" spans="3:12">
      <c r="C5138" s="3"/>
      <c r="K5138" s="4"/>
      <c r="L5138" s="4"/>
    </row>
    <row r="5139" spans="3:12">
      <c r="C5139" s="3"/>
      <c r="K5139" s="4"/>
      <c r="L5139" s="4"/>
    </row>
    <row r="5140" spans="3:12">
      <c r="C5140" s="3"/>
      <c r="K5140" s="4"/>
      <c r="L5140" s="4"/>
    </row>
    <row r="5141" spans="3:12">
      <c r="C5141" s="3"/>
      <c r="K5141" s="4"/>
      <c r="L5141" s="4"/>
    </row>
    <row r="5142" spans="3:12">
      <c r="C5142" s="3"/>
      <c r="K5142" s="4"/>
      <c r="L5142" s="4"/>
    </row>
    <row r="5143" spans="3:12">
      <c r="C5143" s="3"/>
      <c r="K5143" s="4"/>
      <c r="L5143" s="4"/>
    </row>
    <row r="5144" spans="3:12">
      <c r="C5144" s="3"/>
      <c r="K5144" s="4"/>
      <c r="L5144" s="4"/>
    </row>
    <row r="5145" spans="3:12">
      <c r="C5145" s="3"/>
      <c r="K5145" s="4"/>
      <c r="L5145" s="4"/>
    </row>
    <row r="5146" spans="3:12">
      <c r="C5146" s="3"/>
      <c r="K5146" s="4"/>
      <c r="L5146" s="4"/>
    </row>
    <row r="5147" spans="3:12">
      <c r="C5147" s="3"/>
      <c r="K5147" s="4"/>
      <c r="L5147" s="4"/>
    </row>
    <row r="5148" spans="3:12">
      <c r="C5148" s="3"/>
      <c r="K5148" s="4"/>
      <c r="L5148" s="4"/>
    </row>
    <row r="5149" spans="3:12">
      <c r="C5149" s="3"/>
      <c r="K5149" s="4"/>
      <c r="L5149" s="4"/>
    </row>
    <row r="5150" spans="3:12">
      <c r="C5150" s="3"/>
      <c r="K5150" s="4"/>
      <c r="L5150" s="4"/>
    </row>
    <row r="5151" spans="3:12">
      <c r="C5151" s="3"/>
      <c r="K5151" s="4"/>
      <c r="L5151" s="4"/>
    </row>
    <row r="5152" spans="3:12">
      <c r="C5152" s="3"/>
      <c r="K5152" s="4"/>
      <c r="L5152" s="4"/>
    </row>
    <row r="5153" spans="3:12">
      <c r="C5153" s="3"/>
      <c r="K5153" s="4"/>
      <c r="L5153" s="4"/>
    </row>
    <row r="5154" spans="3:12">
      <c r="C5154" s="3"/>
      <c r="K5154" s="4"/>
      <c r="L5154" s="4"/>
    </row>
    <row r="5155" spans="3:12">
      <c r="C5155" s="3"/>
      <c r="K5155" s="4"/>
      <c r="L5155" s="4"/>
    </row>
    <row r="5156" spans="3:12">
      <c r="C5156" s="3"/>
      <c r="K5156" s="4"/>
      <c r="L5156" s="4"/>
    </row>
    <row r="5157" spans="3:12">
      <c r="C5157" s="3"/>
      <c r="K5157" s="4"/>
      <c r="L5157" s="4"/>
    </row>
    <row r="5158" spans="3:12">
      <c r="C5158" s="3"/>
      <c r="K5158" s="4"/>
      <c r="L5158" s="4"/>
    </row>
    <row r="5159" spans="3:12">
      <c r="C5159" s="3"/>
      <c r="K5159" s="4"/>
      <c r="L5159" s="4"/>
    </row>
    <row r="5160" spans="3:12">
      <c r="C5160" s="3"/>
      <c r="K5160" s="4"/>
      <c r="L5160" s="4"/>
    </row>
    <row r="5161" spans="3:12">
      <c r="C5161" s="3"/>
      <c r="K5161" s="4"/>
      <c r="L5161" s="4"/>
    </row>
    <row r="5162" spans="3:12">
      <c r="C5162" s="3"/>
      <c r="K5162" s="4"/>
      <c r="L5162" s="4"/>
    </row>
    <row r="5163" spans="3:12">
      <c r="C5163" s="3"/>
      <c r="K5163" s="4"/>
      <c r="L5163" s="4"/>
    </row>
    <row r="5164" spans="3:12">
      <c r="C5164" s="3"/>
      <c r="K5164" s="4"/>
      <c r="L5164" s="4"/>
    </row>
    <row r="5165" spans="3:12">
      <c r="C5165" s="3"/>
      <c r="K5165" s="4"/>
      <c r="L5165" s="4"/>
    </row>
    <row r="5166" spans="3:12">
      <c r="C5166" s="3"/>
      <c r="K5166" s="4"/>
      <c r="L5166" s="4"/>
    </row>
    <row r="5167" spans="3:12">
      <c r="C5167" s="3"/>
      <c r="K5167" s="4"/>
      <c r="L5167" s="4"/>
    </row>
    <row r="5168" spans="3:12">
      <c r="C5168" s="3"/>
      <c r="K5168" s="4"/>
      <c r="L5168" s="4"/>
    </row>
    <row r="5169" spans="3:12">
      <c r="C5169" s="3"/>
      <c r="K5169" s="4"/>
      <c r="L5169" s="4"/>
    </row>
    <row r="5170" spans="3:12">
      <c r="C5170" s="3"/>
      <c r="K5170" s="4"/>
      <c r="L5170" s="4"/>
    </row>
    <row r="5171" spans="3:12">
      <c r="C5171" s="3"/>
      <c r="K5171" s="4"/>
      <c r="L5171" s="4"/>
    </row>
    <row r="5172" spans="3:12">
      <c r="C5172" s="3"/>
      <c r="K5172" s="4"/>
      <c r="L5172" s="4"/>
    </row>
    <row r="5173" spans="3:12">
      <c r="C5173" s="3"/>
      <c r="K5173" s="4"/>
      <c r="L5173" s="4"/>
    </row>
    <row r="5174" spans="3:12">
      <c r="C5174" s="3"/>
      <c r="K5174" s="4"/>
      <c r="L5174" s="4"/>
    </row>
    <row r="5175" spans="3:12">
      <c r="C5175" s="3"/>
      <c r="K5175" s="4"/>
      <c r="L5175" s="4"/>
    </row>
    <row r="5176" spans="3:12">
      <c r="C5176" s="3"/>
      <c r="K5176" s="4"/>
      <c r="L5176" s="4"/>
    </row>
    <row r="5177" spans="3:12">
      <c r="C5177" s="3"/>
      <c r="K5177" s="4"/>
      <c r="L5177" s="4"/>
    </row>
    <row r="5178" spans="3:12">
      <c r="C5178" s="3"/>
      <c r="K5178" s="4"/>
      <c r="L5178" s="4"/>
    </row>
    <row r="5179" spans="3:12">
      <c r="C5179" s="3"/>
      <c r="K5179" s="4"/>
      <c r="L5179" s="4"/>
    </row>
    <row r="5180" spans="3:12">
      <c r="C5180" s="3"/>
      <c r="K5180" s="4"/>
      <c r="L5180" s="4"/>
    </row>
    <row r="5181" spans="3:12">
      <c r="C5181" s="3"/>
      <c r="K5181" s="4"/>
      <c r="L5181" s="4"/>
    </row>
    <row r="5182" spans="3:12">
      <c r="C5182" s="3"/>
      <c r="K5182" s="4"/>
      <c r="L5182" s="4"/>
    </row>
    <row r="5183" spans="3:12">
      <c r="C5183" s="3"/>
      <c r="K5183" s="4"/>
      <c r="L5183" s="4"/>
    </row>
    <row r="5184" spans="3:12">
      <c r="C5184" s="3"/>
      <c r="K5184" s="4"/>
      <c r="L5184" s="4"/>
    </row>
    <row r="5185" spans="3:12">
      <c r="C5185" s="3"/>
      <c r="K5185" s="4"/>
      <c r="L5185" s="4"/>
    </row>
    <row r="5186" spans="3:12">
      <c r="C5186" s="3"/>
      <c r="K5186" s="4"/>
      <c r="L5186" s="4"/>
    </row>
    <row r="5187" spans="3:12">
      <c r="C5187" s="3"/>
      <c r="K5187" s="4"/>
      <c r="L5187" s="4"/>
    </row>
    <row r="5188" spans="3:12">
      <c r="C5188" s="3"/>
      <c r="K5188" s="4"/>
      <c r="L5188" s="4"/>
    </row>
    <row r="5189" spans="3:12">
      <c r="C5189" s="3"/>
      <c r="K5189" s="4"/>
      <c r="L5189" s="4"/>
    </row>
    <row r="5190" spans="3:12">
      <c r="C5190" s="3"/>
      <c r="K5190" s="4"/>
      <c r="L5190" s="4"/>
    </row>
    <row r="5191" spans="3:12">
      <c r="C5191" s="3"/>
      <c r="K5191" s="4"/>
      <c r="L5191" s="4"/>
    </row>
    <row r="5192" spans="3:12">
      <c r="C5192" s="3"/>
      <c r="K5192" s="4"/>
      <c r="L5192" s="4"/>
    </row>
    <row r="5193" spans="3:12">
      <c r="C5193" s="3"/>
      <c r="K5193" s="4"/>
      <c r="L5193" s="4"/>
    </row>
    <row r="5194" spans="3:12">
      <c r="C5194" s="3"/>
      <c r="K5194" s="4"/>
      <c r="L5194" s="4"/>
    </row>
    <row r="5195" spans="3:12">
      <c r="C5195" s="3"/>
      <c r="K5195" s="4"/>
      <c r="L5195" s="4"/>
    </row>
    <row r="5196" spans="3:12">
      <c r="C5196" s="3"/>
      <c r="K5196" s="4"/>
      <c r="L5196" s="4"/>
    </row>
    <row r="5197" spans="3:12">
      <c r="C5197" s="3"/>
      <c r="K5197" s="4"/>
      <c r="L5197" s="4"/>
    </row>
    <row r="5198" spans="3:12">
      <c r="C5198" s="3"/>
      <c r="K5198" s="4"/>
      <c r="L5198" s="4"/>
    </row>
    <row r="5199" spans="3:12">
      <c r="C5199" s="3"/>
      <c r="K5199" s="4"/>
      <c r="L5199" s="4"/>
    </row>
    <row r="5200" spans="3:12">
      <c r="C5200" s="3"/>
      <c r="K5200" s="4"/>
      <c r="L5200" s="4"/>
    </row>
    <row r="5201" spans="3:12">
      <c r="C5201" s="3"/>
      <c r="K5201" s="4"/>
      <c r="L5201" s="4"/>
    </row>
    <row r="5202" spans="3:12">
      <c r="C5202" s="3"/>
      <c r="K5202" s="4"/>
      <c r="L5202" s="4"/>
    </row>
    <row r="5203" spans="3:12">
      <c r="C5203" s="3"/>
      <c r="K5203" s="4"/>
      <c r="L5203" s="4"/>
    </row>
    <row r="5204" spans="3:12">
      <c r="C5204" s="3"/>
      <c r="K5204" s="4"/>
      <c r="L5204" s="4"/>
    </row>
    <row r="5205" spans="3:12">
      <c r="C5205" s="3"/>
      <c r="K5205" s="4"/>
      <c r="L5205" s="4"/>
    </row>
    <row r="5206" spans="3:12">
      <c r="C5206" s="3"/>
      <c r="K5206" s="4"/>
      <c r="L5206" s="4"/>
    </row>
    <row r="5207" spans="3:12">
      <c r="C5207" s="3"/>
      <c r="K5207" s="4"/>
      <c r="L5207" s="4"/>
    </row>
    <row r="5208" spans="3:12">
      <c r="C5208" s="3"/>
      <c r="K5208" s="4"/>
      <c r="L5208" s="4"/>
    </row>
    <row r="5209" spans="3:12">
      <c r="C5209" s="3"/>
      <c r="K5209" s="4"/>
      <c r="L5209" s="4"/>
    </row>
    <row r="5210" spans="3:12">
      <c r="C5210" s="3"/>
      <c r="K5210" s="4"/>
      <c r="L5210" s="4"/>
    </row>
    <row r="5211" spans="3:12">
      <c r="C5211" s="3"/>
      <c r="K5211" s="4"/>
      <c r="L5211" s="4"/>
    </row>
    <row r="5212" spans="3:12">
      <c r="C5212" s="3"/>
      <c r="K5212" s="4"/>
      <c r="L5212" s="4"/>
    </row>
    <row r="5213" spans="3:12">
      <c r="C5213" s="3"/>
      <c r="K5213" s="4"/>
      <c r="L5213" s="4"/>
    </row>
    <row r="5214" spans="3:12">
      <c r="C5214" s="3"/>
      <c r="K5214" s="4"/>
      <c r="L5214" s="4"/>
    </row>
    <row r="5215" spans="3:12">
      <c r="C5215" s="3"/>
      <c r="K5215" s="4"/>
      <c r="L5215" s="4"/>
    </row>
    <row r="5216" spans="3:12">
      <c r="C5216" s="3"/>
      <c r="K5216" s="4"/>
      <c r="L5216" s="4"/>
    </row>
    <row r="5217" spans="3:12">
      <c r="C5217" s="3"/>
      <c r="K5217" s="4"/>
      <c r="L5217" s="4"/>
    </row>
    <row r="5218" spans="3:12">
      <c r="C5218" s="3"/>
      <c r="K5218" s="4"/>
      <c r="L5218" s="4"/>
    </row>
    <row r="5219" spans="3:12">
      <c r="C5219" s="3"/>
      <c r="K5219" s="4"/>
      <c r="L5219" s="4"/>
    </row>
    <row r="5220" spans="3:12">
      <c r="C5220" s="3"/>
      <c r="K5220" s="4"/>
      <c r="L5220" s="4"/>
    </row>
    <row r="5221" spans="3:12">
      <c r="C5221" s="3"/>
      <c r="K5221" s="4"/>
      <c r="L5221" s="4"/>
    </row>
    <row r="5222" spans="3:12">
      <c r="C5222" s="3"/>
      <c r="K5222" s="4"/>
      <c r="L5222" s="4"/>
    </row>
    <row r="5223" spans="3:12">
      <c r="C5223" s="3"/>
      <c r="K5223" s="4"/>
      <c r="L5223" s="4"/>
    </row>
    <row r="5224" spans="3:12">
      <c r="C5224" s="3"/>
      <c r="K5224" s="4"/>
      <c r="L5224" s="4"/>
    </row>
    <row r="5225" spans="3:12">
      <c r="C5225" s="3"/>
      <c r="K5225" s="4"/>
      <c r="L5225" s="4"/>
    </row>
    <row r="5226" spans="3:12">
      <c r="C5226" s="3"/>
      <c r="K5226" s="4"/>
      <c r="L5226" s="4"/>
    </row>
    <row r="5227" spans="3:12">
      <c r="C5227" s="3"/>
      <c r="K5227" s="4"/>
      <c r="L5227" s="4"/>
    </row>
    <row r="5228" spans="3:12">
      <c r="C5228" s="3"/>
      <c r="K5228" s="4"/>
      <c r="L5228" s="4"/>
    </row>
    <row r="5229" spans="3:12">
      <c r="C5229" s="3"/>
      <c r="K5229" s="4"/>
      <c r="L5229" s="4"/>
    </row>
    <row r="5230" spans="3:12">
      <c r="C5230" s="3"/>
      <c r="K5230" s="4"/>
      <c r="L5230" s="4"/>
    </row>
    <row r="5231" spans="3:12">
      <c r="C5231" s="3"/>
      <c r="K5231" s="4"/>
      <c r="L5231" s="4"/>
    </row>
    <row r="5232" spans="3:12">
      <c r="C5232" s="3"/>
      <c r="K5232" s="4"/>
      <c r="L5232" s="4"/>
    </row>
    <row r="5233" spans="3:12">
      <c r="C5233" s="3"/>
      <c r="K5233" s="4"/>
      <c r="L5233" s="4"/>
    </row>
    <row r="5234" spans="3:12">
      <c r="C5234" s="3"/>
      <c r="K5234" s="4"/>
      <c r="L5234" s="4"/>
    </row>
    <row r="5235" spans="3:12">
      <c r="C5235" s="3"/>
      <c r="K5235" s="4"/>
      <c r="L5235" s="4"/>
    </row>
    <row r="5236" spans="3:12">
      <c r="C5236" s="3"/>
      <c r="K5236" s="4"/>
      <c r="L5236" s="4"/>
    </row>
    <row r="5237" spans="3:12">
      <c r="C5237" s="3"/>
      <c r="K5237" s="4"/>
      <c r="L5237" s="4"/>
    </row>
    <row r="5238" spans="3:12">
      <c r="C5238" s="3"/>
      <c r="K5238" s="4"/>
      <c r="L5238" s="4"/>
    </row>
    <row r="5239" spans="3:12">
      <c r="C5239" s="3"/>
      <c r="K5239" s="4"/>
      <c r="L5239" s="4"/>
    </row>
    <row r="5240" spans="3:12">
      <c r="C5240" s="3"/>
      <c r="K5240" s="4"/>
      <c r="L5240" s="4"/>
    </row>
    <row r="5241" spans="3:12">
      <c r="C5241" s="3"/>
      <c r="K5241" s="4"/>
      <c r="L5241" s="4"/>
    </row>
    <row r="5242" spans="3:12">
      <c r="C5242" s="3"/>
      <c r="K5242" s="4"/>
      <c r="L5242" s="4"/>
    </row>
    <row r="5243" spans="3:12">
      <c r="C5243" s="3"/>
      <c r="K5243" s="4"/>
      <c r="L5243" s="4"/>
    </row>
    <row r="5244" spans="3:12">
      <c r="C5244" s="3"/>
      <c r="K5244" s="4"/>
      <c r="L5244" s="4"/>
    </row>
    <row r="5245" spans="3:12">
      <c r="C5245" s="3"/>
      <c r="K5245" s="4"/>
      <c r="L5245" s="4"/>
    </row>
    <row r="5246" spans="3:12">
      <c r="C5246" s="3"/>
      <c r="K5246" s="4"/>
      <c r="L5246" s="4"/>
    </row>
    <row r="5247" spans="3:12">
      <c r="C5247" s="3"/>
      <c r="K5247" s="4"/>
      <c r="L5247" s="4"/>
    </row>
    <row r="5248" spans="3:12">
      <c r="C5248" s="3"/>
      <c r="K5248" s="4"/>
      <c r="L5248" s="4"/>
    </row>
    <row r="5249" spans="3:12">
      <c r="C5249" s="3"/>
      <c r="K5249" s="4"/>
      <c r="L5249" s="4"/>
    </row>
    <row r="5250" spans="3:12">
      <c r="C5250" s="3"/>
      <c r="K5250" s="4"/>
      <c r="L5250" s="4"/>
    </row>
    <row r="5251" spans="3:12">
      <c r="C5251" s="3"/>
      <c r="K5251" s="4"/>
      <c r="L5251" s="4"/>
    </row>
    <row r="5252" spans="3:12">
      <c r="C5252" s="3"/>
      <c r="K5252" s="4"/>
      <c r="L5252" s="4"/>
    </row>
    <row r="5253" spans="3:12">
      <c r="C5253" s="3"/>
      <c r="K5253" s="4"/>
      <c r="L5253" s="4"/>
    </row>
    <row r="5254" spans="3:12">
      <c r="C5254" s="3"/>
      <c r="K5254" s="4"/>
      <c r="L5254" s="4"/>
    </row>
    <row r="5255" spans="3:12">
      <c r="C5255" s="3"/>
      <c r="K5255" s="4"/>
      <c r="L5255" s="4"/>
    </row>
    <row r="5256" spans="3:12">
      <c r="C5256" s="3"/>
      <c r="K5256" s="4"/>
      <c r="L5256" s="4"/>
    </row>
    <row r="5257" spans="3:12">
      <c r="C5257" s="3"/>
      <c r="K5257" s="4"/>
      <c r="L5257" s="4"/>
    </row>
    <row r="5258" spans="3:12">
      <c r="C5258" s="3"/>
      <c r="K5258" s="4"/>
      <c r="L5258" s="4"/>
    </row>
    <row r="5259" spans="3:12">
      <c r="C5259" s="3"/>
      <c r="K5259" s="4"/>
      <c r="L5259" s="4"/>
    </row>
    <row r="5260" spans="3:12">
      <c r="C5260" s="3"/>
      <c r="K5260" s="4"/>
      <c r="L5260" s="4"/>
    </row>
    <row r="5261" spans="3:12">
      <c r="C5261" s="3"/>
      <c r="K5261" s="4"/>
      <c r="L5261" s="4"/>
    </row>
    <row r="5262" spans="3:12">
      <c r="C5262" s="3"/>
      <c r="K5262" s="4"/>
      <c r="L5262" s="4"/>
    </row>
    <row r="5263" spans="3:12">
      <c r="C5263" s="3"/>
      <c r="K5263" s="4"/>
      <c r="L5263" s="4"/>
    </row>
    <row r="5264" spans="3:12">
      <c r="C5264" s="3"/>
      <c r="K5264" s="4"/>
      <c r="L5264" s="4"/>
    </row>
    <row r="5265" spans="3:12">
      <c r="C5265" s="3"/>
      <c r="K5265" s="4"/>
      <c r="L5265" s="4"/>
    </row>
    <row r="5266" spans="3:12">
      <c r="C5266" s="3"/>
      <c r="K5266" s="4"/>
      <c r="L5266" s="4"/>
    </row>
    <row r="5267" spans="3:12">
      <c r="C5267" s="3"/>
      <c r="K5267" s="4"/>
      <c r="L5267" s="4"/>
    </row>
    <row r="5268" spans="3:12">
      <c r="C5268" s="3"/>
      <c r="K5268" s="4"/>
      <c r="L5268" s="4"/>
    </row>
    <row r="5269" spans="3:12">
      <c r="C5269" s="3"/>
      <c r="K5269" s="4"/>
      <c r="L5269" s="4"/>
    </row>
    <row r="5270" spans="3:12">
      <c r="C5270" s="3"/>
      <c r="K5270" s="4"/>
      <c r="L5270" s="4"/>
    </row>
    <row r="5271" spans="3:12">
      <c r="C5271" s="3"/>
      <c r="K5271" s="4"/>
      <c r="L5271" s="4"/>
    </row>
    <row r="5272" spans="3:12">
      <c r="C5272" s="3"/>
      <c r="K5272" s="4"/>
      <c r="L5272" s="4"/>
    </row>
    <row r="5273" spans="3:12">
      <c r="C5273" s="3"/>
      <c r="K5273" s="4"/>
      <c r="L5273" s="4"/>
    </row>
    <row r="5274" spans="3:12">
      <c r="C5274" s="3"/>
      <c r="K5274" s="4"/>
      <c r="L5274" s="4"/>
    </row>
    <row r="5275" spans="3:12">
      <c r="C5275" s="3"/>
      <c r="K5275" s="4"/>
      <c r="L5275" s="4"/>
    </row>
    <row r="5276" spans="3:12">
      <c r="C5276" s="3"/>
      <c r="K5276" s="4"/>
      <c r="L5276" s="4"/>
    </row>
    <row r="5277" spans="3:12">
      <c r="C5277" s="3"/>
      <c r="K5277" s="4"/>
      <c r="L5277" s="4"/>
    </row>
    <row r="5278" spans="3:12">
      <c r="C5278" s="3"/>
      <c r="K5278" s="4"/>
      <c r="L5278" s="4"/>
    </row>
    <row r="5279" spans="3:12">
      <c r="C5279" s="3"/>
      <c r="K5279" s="4"/>
      <c r="L5279" s="4"/>
    </row>
    <row r="5280" spans="3:12">
      <c r="C5280" s="3"/>
      <c r="K5280" s="4"/>
      <c r="L5280" s="4"/>
    </row>
    <row r="5281" spans="3:12">
      <c r="C5281" s="3"/>
      <c r="K5281" s="4"/>
      <c r="L5281" s="4"/>
    </row>
    <row r="5282" spans="3:12">
      <c r="C5282" s="3"/>
      <c r="K5282" s="4"/>
      <c r="L5282" s="4"/>
    </row>
    <row r="5283" spans="3:12">
      <c r="C5283" s="3"/>
      <c r="K5283" s="4"/>
      <c r="L5283" s="4"/>
    </row>
    <row r="5284" spans="3:12">
      <c r="C5284" s="3"/>
      <c r="K5284" s="4"/>
      <c r="L5284" s="4"/>
    </row>
    <row r="5285" spans="3:12">
      <c r="C5285" s="3"/>
      <c r="K5285" s="4"/>
      <c r="L5285" s="4"/>
    </row>
    <row r="5286" spans="3:12">
      <c r="C5286" s="3"/>
      <c r="K5286" s="4"/>
      <c r="L5286" s="4"/>
    </row>
    <row r="5287" spans="3:12">
      <c r="C5287" s="3"/>
      <c r="K5287" s="4"/>
      <c r="L5287" s="4"/>
    </row>
    <row r="5288" spans="3:12">
      <c r="C5288" s="3"/>
      <c r="K5288" s="4"/>
      <c r="L5288" s="4"/>
    </row>
    <row r="5289" spans="3:12">
      <c r="C5289" s="3"/>
      <c r="K5289" s="4"/>
      <c r="L5289" s="4"/>
    </row>
    <row r="5290" spans="3:12">
      <c r="C5290" s="3"/>
      <c r="K5290" s="4"/>
      <c r="L5290" s="4"/>
    </row>
    <row r="5291" spans="3:12">
      <c r="C5291" s="3"/>
      <c r="K5291" s="4"/>
      <c r="L5291" s="4"/>
    </row>
    <row r="5292" spans="3:12">
      <c r="C5292" s="3"/>
      <c r="K5292" s="4"/>
      <c r="L5292" s="4"/>
    </row>
    <row r="5293" spans="3:12">
      <c r="C5293" s="3"/>
      <c r="K5293" s="4"/>
      <c r="L5293" s="4"/>
    </row>
    <row r="5294" spans="3:12">
      <c r="C5294" s="3"/>
      <c r="K5294" s="4"/>
      <c r="L5294" s="4"/>
    </row>
    <row r="5295" spans="3:12">
      <c r="C5295" s="3"/>
      <c r="K5295" s="4"/>
      <c r="L5295" s="4"/>
    </row>
    <row r="5296" spans="3:12">
      <c r="C5296" s="3"/>
      <c r="K5296" s="4"/>
      <c r="L5296" s="4"/>
    </row>
    <row r="5297" spans="3:12">
      <c r="C5297" s="3"/>
      <c r="K5297" s="4"/>
      <c r="L5297" s="4"/>
    </row>
    <row r="5298" spans="3:12">
      <c r="C5298" s="3"/>
      <c r="K5298" s="4"/>
      <c r="L5298" s="4"/>
    </row>
    <row r="5299" spans="3:12">
      <c r="C5299" s="3"/>
      <c r="K5299" s="4"/>
      <c r="L5299" s="4"/>
    </row>
    <row r="5300" spans="3:12">
      <c r="C5300" s="3"/>
      <c r="K5300" s="4"/>
      <c r="L5300" s="4"/>
    </row>
    <row r="5301" spans="3:12">
      <c r="C5301" s="3"/>
      <c r="K5301" s="4"/>
      <c r="L5301" s="4"/>
    </row>
    <row r="5302" spans="3:12">
      <c r="C5302" s="3"/>
      <c r="K5302" s="4"/>
      <c r="L5302" s="4"/>
    </row>
    <row r="5303" spans="3:12">
      <c r="C5303" s="3"/>
      <c r="K5303" s="4"/>
      <c r="L5303" s="4"/>
    </row>
    <row r="5304" spans="3:12">
      <c r="C5304" s="3"/>
      <c r="K5304" s="4"/>
      <c r="L5304" s="4"/>
    </row>
    <row r="5305" spans="3:12">
      <c r="C5305" s="3"/>
      <c r="K5305" s="4"/>
      <c r="L5305" s="4"/>
    </row>
    <row r="5306" spans="3:12">
      <c r="C5306" s="3"/>
      <c r="K5306" s="4"/>
      <c r="L5306" s="4"/>
    </row>
    <row r="5307" spans="3:12">
      <c r="C5307" s="3"/>
      <c r="K5307" s="4"/>
      <c r="L5307" s="4"/>
    </row>
    <row r="5308" spans="3:12">
      <c r="C5308" s="3"/>
      <c r="K5308" s="4"/>
      <c r="L5308" s="4"/>
    </row>
    <row r="5309" spans="3:12">
      <c r="C5309" s="3"/>
      <c r="K5309" s="4"/>
      <c r="L5309" s="4"/>
    </row>
    <row r="5310" spans="3:12">
      <c r="C5310" s="3"/>
      <c r="K5310" s="4"/>
      <c r="L5310" s="4"/>
    </row>
    <row r="5311" spans="3:12">
      <c r="C5311" s="3"/>
      <c r="K5311" s="4"/>
      <c r="L5311" s="4"/>
    </row>
    <row r="5312" spans="3:12">
      <c r="C5312" s="3"/>
      <c r="K5312" s="4"/>
      <c r="L5312" s="4"/>
    </row>
    <row r="5313" spans="3:12">
      <c r="C5313" s="3"/>
      <c r="K5313" s="4"/>
      <c r="L5313" s="4"/>
    </row>
    <row r="5314" spans="3:12">
      <c r="C5314" s="3"/>
      <c r="K5314" s="4"/>
      <c r="L5314" s="4"/>
    </row>
    <row r="5315" spans="3:12">
      <c r="C5315" s="3"/>
      <c r="K5315" s="4"/>
      <c r="L5315" s="4"/>
    </row>
    <row r="5316" spans="3:12">
      <c r="C5316" s="3"/>
      <c r="K5316" s="4"/>
      <c r="L5316" s="4"/>
    </row>
    <row r="5317" spans="3:12">
      <c r="C5317" s="3"/>
      <c r="K5317" s="4"/>
      <c r="L5317" s="4"/>
    </row>
    <row r="5318" spans="3:12">
      <c r="C5318" s="3"/>
      <c r="K5318" s="4"/>
      <c r="L5318" s="4"/>
    </row>
    <row r="5319" spans="3:12">
      <c r="C5319" s="3"/>
      <c r="K5319" s="4"/>
      <c r="L5319" s="4"/>
    </row>
    <row r="5320" spans="3:12">
      <c r="C5320" s="3"/>
      <c r="K5320" s="4"/>
      <c r="L5320" s="4"/>
    </row>
    <row r="5321" spans="3:12">
      <c r="C5321" s="3"/>
      <c r="K5321" s="4"/>
      <c r="L5321" s="4"/>
    </row>
    <row r="5322" spans="3:12">
      <c r="C5322" s="3"/>
      <c r="K5322" s="4"/>
      <c r="L5322" s="4"/>
    </row>
    <row r="5323" spans="3:12">
      <c r="C5323" s="3"/>
      <c r="K5323" s="4"/>
      <c r="L5323" s="4"/>
    </row>
    <row r="5324" spans="3:12">
      <c r="C5324" s="3"/>
      <c r="K5324" s="4"/>
      <c r="L5324" s="4"/>
    </row>
    <row r="5325" spans="3:12">
      <c r="C5325" s="3"/>
      <c r="K5325" s="4"/>
      <c r="L5325" s="4"/>
    </row>
    <row r="5326" spans="3:12">
      <c r="C5326" s="3"/>
      <c r="K5326" s="4"/>
      <c r="L5326" s="4"/>
    </row>
    <row r="5327" spans="3:12">
      <c r="C5327" s="3"/>
      <c r="K5327" s="4"/>
      <c r="L5327" s="4"/>
    </row>
    <row r="5328" spans="3:12">
      <c r="C5328" s="3"/>
      <c r="K5328" s="4"/>
      <c r="L5328" s="4"/>
    </row>
    <row r="5329" spans="3:12">
      <c r="C5329" s="3"/>
      <c r="K5329" s="4"/>
      <c r="L5329" s="4"/>
    </row>
    <row r="5330" spans="3:12">
      <c r="C5330" s="3"/>
      <c r="K5330" s="4"/>
      <c r="L5330" s="4"/>
    </row>
    <row r="5331" spans="3:12">
      <c r="C5331" s="3"/>
      <c r="K5331" s="4"/>
      <c r="L5331" s="4"/>
    </row>
    <row r="5332" spans="3:12">
      <c r="C5332" s="3"/>
      <c r="K5332" s="4"/>
      <c r="L5332" s="4"/>
    </row>
    <row r="5333" spans="3:12">
      <c r="C5333" s="3"/>
      <c r="K5333" s="4"/>
      <c r="L5333" s="4"/>
    </row>
    <row r="5334" spans="3:12">
      <c r="C5334" s="3"/>
      <c r="K5334" s="4"/>
      <c r="L5334" s="4"/>
    </row>
    <row r="5335" spans="3:12">
      <c r="C5335" s="3"/>
      <c r="K5335" s="4"/>
      <c r="L5335" s="4"/>
    </row>
    <row r="5336" spans="3:12">
      <c r="C5336" s="3"/>
      <c r="K5336" s="4"/>
      <c r="L5336" s="4"/>
    </row>
    <row r="5337" spans="3:12">
      <c r="C5337" s="3"/>
      <c r="K5337" s="4"/>
      <c r="L5337" s="4"/>
    </row>
    <row r="5338" spans="3:12">
      <c r="C5338" s="3"/>
      <c r="K5338" s="4"/>
      <c r="L5338" s="4"/>
    </row>
    <row r="5339" spans="3:12">
      <c r="C5339" s="3"/>
      <c r="K5339" s="4"/>
      <c r="L5339" s="4"/>
    </row>
    <row r="5340" spans="3:12">
      <c r="C5340" s="3"/>
      <c r="K5340" s="4"/>
      <c r="L5340" s="4"/>
    </row>
    <row r="5341" spans="3:12">
      <c r="C5341" s="3"/>
      <c r="K5341" s="4"/>
      <c r="L5341" s="4"/>
    </row>
    <row r="5342" spans="3:12">
      <c r="C5342" s="3"/>
      <c r="K5342" s="4"/>
      <c r="L5342" s="4"/>
    </row>
    <row r="5343" spans="3:12">
      <c r="C5343" s="3"/>
      <c r="K5343" s="4"/>
      <c r="L5343" s="4"/>
    </row>
    <row r="5344" spans="3:12">
      <c r="C5344" s="3"/>
      <c r="K5344" s="4"/>
      <c r="L5344" s="4"/>
    </row>
    <row r="5345" spans="3:12">
      <c r="C5345" s="3"/>
      <c r="K5345" s="4"/>
      <c r="L5345" s="4"/>
    </row>
    <row r="5346" spans="3:12">
      <c r="C5346" s="3"/>
      <c r="K5346" s="4"/>
      <c r="L5346" s="4"/>
    </row>
    <row r="5347" spans="3:12">
      <c r="C5347" s="3"/>
      <c r="K5347" s="4"/>
      <c r="L5347" s="4"/>
    </row>
    <row r="5348" spans="3:12">
      <c r="C5348" s="3"/>
      <c r="K5348" s="4"/>
      <c r="L5348" s="4"/>
    </row>
    <row r="5349" spans="3:12">
      <c r="C5349" s="3"/>
      <c r="K5349" s="4"/>
      <c r="L5349" s="4"/>
    </row>
    <row r="5350" spans="3:12">
      <c r="C5350" s="3"/>
      <c r="K5350" s="4"/>
      <c r="L5350" s="4"/>
    </row>
    <row r="5351" spans="3:12">
      <c r="C5351" s="3"/>
      <c r="K5351" s="4"/>
      <c r="L5351" s="4"/>
    </row>
    <row r="5352" spans="3:12">
      <c r="C5352" s="3"/>
      <c r="K5352" s="4"/>
      <c r="L5352" s="4"/>
    </row>
    <row r="5353" spans="3:12">
      <c r="C5353" s="3"/>
      <c r="K5353" s="4"/>
      <c r="L5353" s="4"/>
    </row>
    <row r="5354" spans="3:12">
      <c r="C5354" s="3"/>
      <c r="K5354" s="4"/>
      <c r="L5354" s="4"/>
    </row>
    <row r="5355" spans="3:12">
      <c r="C5355" s="3"/>
      <c r="K5355" s="4"/>
      <c r="L5355" s="4"/>
    </row>
    <row r="5356" spans="3:12">
      <c r="C5356" s="3"/>
      <c r="K5356" s="4"/>
      <c r="L5356" s="4"/>
    </row>
    <row r="5357" spans="3:12">
      <c r="C5357" s="3"/>
      <c r="K5357" s="4"/>
      <c r="L5357" s="4"/>
    </row>
    <row r="5358" spans="3:12">
      <c r="C5358" s="3"/>
      <c r="K5358" s="4"/>
      <c r="L5358" s="4"/>
    </row>
    <row r="5359" spans="3:12">
      <c r="C5359" s="3"/>
      <c r="K5359" s="4"/>
      <c r="L5359" s="4"/>
    </row>
    <row r="5360" spans="3:12">
      <c r="C5360" s="3"/>
      <c r="K5360" s="4"/>
      <c r="L5360" s="4"/>
    </row>
    <row r="5361" spans="3:12">
      <c r="C5361" s="3"/>
      <c r="K5361" s="4"/>
      <c r="L5361" s="4"/>
    </row>
    <row r="5362" spans="3:12">
      <c r="C5362" s="3"/>
      <c r="K5362" s="4"/>
      <c r="L5362" s="4"/>
    </row>
    <row r="5363" spans="3:12">
      <c r="C5363" s="3"/>
      <c r="K5363" s="4"/>
      <c r="L5363" s="4"/>
    </row>
    <row r="5364" spans="3:12">
      <c r="C5364" s="3"/>
      <c r="K5364" s="4"/>
      <c r="L5364" s="4"/>
    </row>
    <row r="5365" spans="3:12">
      <c r="C5365" s="3"/>
      <c r="K5365" s="4"/>
      <c r="L5365" s="4"/>
    </row>
    <row r="5366" spans="3:12">
      <c r="C5366" s="3"/>
      <c r="K5366" s="4"/>
      <c r="L5366" s="4"/>
    </row>
    <row r="5367" spans="3:12">
      <c r="C5367" s="3"/>
      <c r="K5367" s="4"/>
      <c r="L5367" s="4"/>
    </row>
    <row r="5368" spans="3:12">
      <c r="C5368" s="3"/>
      <c r="K5368" s="4"/>
      <c r="L5368" s="4"/>
    </row>
    <row r="5369" spans="3:12">
      <c r="C5369" s="3"/>
      <c r="K5369" s="4"/>
      <c r="L5369" s="4"/>
    </row>
    <row r="5370" spans="3:12">
      <c r="C5370" s="3"/>
      <c r="K5370" s="4"/>
      <c r="L5370" s="4"/>
    </row>
    <row r="5371" spans="3:12">
      <c r="C5371" s="3"/>
      <c r="K5371" s="4"/>
      <c r="L5371" s="4"/>
    </row>
    <row r="5372" spans="3:12">
      <c r="C5372" s="3"/>
      <c r="K5372" s="4"/>
      <c r="L5372" s="4"/>
    </row>
    <row r="5373" spans="3:12">
      <c r="C5373" s="3"/>
      <c r="K5373" s="4"/>
      <c r="L5373" s="4"/>
    </row>
    <row r="5374" spans="3:12">
      <c r="C5374" s="3"/>
      <c r="K5374" s="4"/>
      <c r="L5374" s="4"/>
    </row>
    <row r="5375" spans="3:12">
      <c r="C5375" s="3"/>
      <c r="K5375" s="4"/>
      <c r="L5375" s="4"/>
    </row>
    <row r="5376" spans="3:12">
      <c r="C5376" s="3"/>
      <c r="K5376" s="4"/>
      <c r="L5376" s="4"/>
    </row>
    <row r="5377" spans="3:12">
      <c r="C5377" s="3"/>
      <c r="K5377" s="4"/>
      <c r="L5377" s="4"/>
    </row>
    <row r="5378" spans="3:12">
      <c r="C5378" s="3"/>
      <c r="K5378" s="4"/>
      <c r="L5378" s="4"/>
    </row>
    <row r="5379" spans="3:12">
      <c r="C5379" s="3"/>
      <c r="K5379" s="4"/>
      <c r="L5379" s="4"/>
    </row>
    <row r="5380" spans="3:12">
      <c r="C5380" s="3"/>
      <c r="K5380" s="4"/>
      <c r="L5380" s="4"/>
    </row>
    <row r="5381" spans="3:12">
      <c r="C5381" s="3"/>
      <c r="K5381" s="4"/>
      <c r="L5381" s="4"/>
    </row>
    <row r="5382" spans="3:12">
      <c r="C5382" s="3"/>
      <c r="K5382" s="4"/>
      <c r="L5382" s="4"/>
    </row>
    <row r="5383" spans="3:12">
      <c r="C5383" s="3"/>
      <c r="K5383" s="4"/>
      <c r="L5383" s="4"/>
    </row>
    <row r="5384" spans="3:12">
      <c r="C5384" s="3"/>
      <c r="K5384" s="4"/>
      <c r="L5384" s="4"/>
    </row>
    <row r="5385" spans="3:12">
      <c r="C5385" s="3"/>
      <c r="K5385" s="4"/>
      <c r="L5385" s="4"/>
    </row>
    <row r="5386" spans="3:12">
      <c r="C5386" s="3"/>
      <c r="K5386" s="4"/>
      <c r="L5386" s="4"/>
    </row>
    <row r="5387" spans="3:12">
      <c r="C5387" s="3"/>
      <c r="K5387" s="4"/>
      <c r="L5387" s="4"/>
    </row>
    <row r="5388" spans="3:12">
      <c r="C5388" s="3"/>
      <c r="K5388" s="4"/>
      <c r="L5388" s="4"/>
    </row>
    <row r="5389" spans="3:12">
      <c r="C5389" s="3"/>
      <c r="K5389" s="4"/>
      <c r="L5389" s="4"/>
    </row>
    <row r="5390" spans="3:12">
      <c r="C5390" s="3"/>
      <c r="K5390" s="4"/>
      <c r="L5390" s="4"/>
    </row>
    <row r="5391" spans="3:12">
      <c r="C5391" s="3"/>
      <c r="K5391" s="4"/>
      <c r="L5391" s="4"/>
    </row>
    <row r="5392" spans="3:12">
      <c r="C5392" s="3"/>
      <c r="K5392" s="4"/>
      <c r="L5392" s="4"/>
    </row>
    <row r="5393" spans="3:12">
      <c r="C5393" s="3"/>
      <c r="K5393" s="4"/>
      <c r="L5393" s="4"/>
    </row>
    <row r="5394" spans="3:12">
      <c r="C5394" s="3"/>
      <c r="K5394" s="4"/>
      <c r="L5394" s="4"/>
    </row>
    <row r="5395" spans="3:12">
      <c r="C5395" s="3"/>
      <c r="K5395" s="4"/>
      <c r="L5395" s="4"/>
    </row>
    <row r="5396" spans="3:12">
      <c r="C5396" s="3"/>
      <c r="K5396" s="4"/>
      <c r="L5396" s="4"/>
    </row>
    <row r="5397" spans="3:12">
      <c r="C5397" s="3"/>
      <c r="K5397" s="4"/>
      <c r="L5397" s="4"/>
    </row>
    <row r="5398" spans="3:12">
      <c r="C5398" s="3"/>
      <c r="K5398" s="4"/>
      <c r="L5398" s="4"/>
    </row>
    <row r="5399" spans="3:12">
      <c r="C5399" s="3"/>
      <c r="K5399" s="4"/>
      <c r="L5399" s="4"/>
    </row>
    <row r="5400" spans="3:12">
      <c r="C5400" s="3"/>
      <c r="K5400" s="4"/>
      <c r="L5400" s="4"/>
    </row>
    <row r="5401" spans="3:12">
      <c r="C5401" s="3"/>
      <c r="K5401" s="4"/>
      <c r="L5401" s="4"/>
    </row>
    <row r="5402" spans="3:12">
      <c r="C5402" s="3"/>
      <c r="K5402" s="4"/>
      <c r="L5402" s="4"/>
    </row>
    <row r="5403" spans="3:12">
      <c r="C5403" s="3"/>
      <c r="K5403" s="4"/>
      <c r="L5403" s="4"/>
    </row>
    <row r="5404" spans="3:12">
      <c r="C5404" s="3"/>
      <c r="K5404" s="4"/>
      <c r="L5404" s="4"/>
    </row>
    <row r="5405" spans="3:12">
      <c r="C5405" s="3"/>
      <c r="K5405" s="4"/>
      <c r="L5405" s="4"/>
    </row>
    <row r="5406" spans="3:12">
      <c r="C5406" s="3"/>
      <c r="K5406" s="4"/>
      <c r="L5406" s="4"/>
    </row>
    <row r="5407" spans="3:12">
      <c r="C5407" s="3"/>
      <c r="K5407" s="4"/>
      <c r="L5407" s="4"/>
    </row>
    <row r="5408" spans="3:12">
      <c r="C5408" s="3"/>
      <c r="K5408" s="4"/>
      <c r="L5408" s="4"/>
    </row>
    <row r="5409" spans="3:12">
      <c r="C5409" s="3"/>
      <c r="K5409" s="4"/>
      <c r="L5409" s="4"/>
    </row>
    <row r="5410" spans="3:12">
      <c r="C5410" s="3"/>
      <c r="K5410" s="4"/>
      <c r="L5410" s="4"/>
    </row>
    <row r="5411" spans="3:12">
      <c r="C5411" s="3"/>
      <c r="K5411" s="4"/>
      <c r="L5411" s="4"/>
    </row>
    <row r="5412" spans="3:12">
      <c r="C5412" s="3"/>
      <c r="K5412" s="4"/>
      <c r="L5412" s="4"/>
    </row>
    <row r="5413" spans="3:12">
      <c r="C5413" s="3"/>
      <c r="K5413" s="4"/>
      <c r="L5413" s="4"/>
    </row>
    <row r="5414" spans="3:12">
      <c r="C5414" s="3"/>
      <c r="K5414" s="4"/>
      <c r="L5414" s="4"/>
    </row>
    <row r="5415" spans="3:12">
      <c r="C5415" s="3"/>
      <c r="K5415" s="4"/>
      <c r="L5415" s="4"/>
    </row>
    <row r="5416" spans="3:12">
      <c r="C5416" s="3"/>
      <c r="K5416" s="4"/>
      <c r="L5416" s="4"/>
    </row>
    <row r="5417" spans="3:12">
      <c r="C5417" s="3"/>
      <c r="K5417" s="4"/>
      <c r="L5417" s="4"/>
    </row>
    <row r="5418" spans="3:12">
      <c r="C5418" s="3"/>
      <c r="K5418" s="4"/>
      <c r="L5418" s="4"/>
    </row>
    <row r="5419" spans="3:12">
      <c r="C5419" s="3"/>
      <c r="K5419" s="4"/>
      <c r="L5419" s="4"/>
    </row>
    <row r="5420" spans="3:12">
      <c r="C5420" s="3"/>
      <c r="K5420" s="4"/>
      <c r="L5420" s="4"/>
    </row>
    <row r="5421" spans="3:12">
      <c r="C5421" s="3"/>
      <c r="K5421" s="4"/>
      <c r="L5421" s="4"/>
    </row>
    <row r="5422" spans="3:12">
      <c r="C5422" s="3"/>
      <c r="K5422" s="4"/>
      <c r="L5422" s="4"/>
    </row>
    <row r="5423" spans="3:12">
      <c r="C5423" s="3"/>
      <c r="K5423" s="4"/>
      <c r="L5423" s="4"/>
    </row>
    <row r="5424" spans="3:12">
      <c r="C5424" s="3"/>
      <c r="K5424" s="4"/>
      <c r="L5424" s="4"/>
    </row>
    <row r="5425" spans="3:12">
      <c r="C5425" s="3"/>
      <c r="K5425" s="4"/>
      <c r="L5425" s="4"/>
    </row>
    <row r="5426" spans="3:12">
      <c r="C5426" s="3"/>
      <c r="K5426" s="4"/>
      <c r="L5426" s="4"/>
    </row>
    <row r="5427" spans="3:12">
      <c r="C5427" s="3"/>
      <c r="K5427" s="4"/>
      <c r="L5427" s="4"/>
    </row>
    <row r="5428" spans="3:12">
      <c r="C5428" s="3"/>
      <c r="K5428" s="4"/>
      <c r="L5428" s="4"/>
    </row>
    <row r="5429" spans="3:12">
      <c r="C5429" s="3"/>
      <c r="K5429" s="4"/>
      <c r="L5429" s="4"/>
    </row>
    <row r="5430" spans="3:12">
      <c r="C5430" s="3"/>
      <c r="K5430" s="4"/>
      <c r="L5430" s="4"/>
    </row>
    <row r="5431" spans="3:12">
      <c r="C5431" s="3"/>
      <c r="K5431" s="4"/>
      <c r="L5431" s="4"/>
    </row>
    <row r="5432" spans="3:12">
      <c r="C5432" s="3"/>
      <c r="K5432" s="4"/>
      <c r="L5432" s="4"/>
    </row>
    <row r="5433" spans="3:12">
      <c r="C5433" s="3"/>
      <c r="K5433" s="4"/>
      <c r="L5433" s="4"/>
    </row>
    <row r="5434" spans="3:12">
      <c r="C5434" s="3"/>
      <c r="K5434" s="4"/>
      <c r="L5434" s="4"/>
    </row>
    <row r="5435" spans="3:12">
      <c r="C5435" s="3"/>
      <c r="K5435" s="4"/>
      <c r="L5435" s="4"/>
    </row>
    <row r="5436" spans="3:12">
      <c r="C5436" s="3"/>
      <c r="K5436" s="4"/>
      <c r="L5436" s="4"/>
    </row>
    <row r="5437" spans="3:12">
      <c r="C5437" s="3"/>
      <c r="K5437" s="4"/>
      <c r="L5437" s="4"/>
    </row>
    <row r="5438" spans="3:12">
      <c r="C5438" s="3"/>
      <c r="K5438" s="4"/>
      <c r="L5438" s="4"/>
    </row>
    <row r="5439" spans="3:12">
      <c r="C5439" s="3"/>
      <c r="K5439" s="4"/>
      <c r="L5439" s="4"/>
    </row>
    <row r="5440" spans="3:12">
      <c r="C5440" s="3"/>
      <c r="K5440" s="4"/>
      <c r="L5440" s="4"/>
    </row>
    <row r="5441" spans="3:12">
      <c r="C5441" s="3"/>
      <c r="K5441" s="4"/>
      <c r="L5441" s="4"/>
    </row>
    <row r="5442" spans="3:12">
      <c r="C5442" s="3"/>
      <c r="K5442" s="4"/>
      <c r="L5442" s="4"/>
    </row>
    <row r="5443" spans="3:12">
      <c r="C5443" s="3"/>
      <c r="K5443" s="4"/>
      <c r="L5443" s="4"/>
    </row>
    <row r="5444" spans="3:12">
      <c r="C5444" s="3"/>
      <c r="K5444" s="4"/>
      <c r="L5444" s="4"/>
    </row>
    <row r="5445" spans="3:12">
      <c r="C5445" s="3"/>
      <c r="K5445" s="4"/>
      <c r="L5445" s="4"/>
    </row>
    <row r="5446" spans="3:12">
      <c r="C5446" s="3"/>
      <c r="K5446" s="4"/>
      <c r="L5446" s="4"/>
    </row>
    <row r="5447" spans="3:12">
      <c r="C5447" s="3"/>
      <c r="K5447" s="4"/>
      <c r="L5447" s="4"/>
    </row>
    <row r="5448" spans="3:12">
      <c r="C5448" s="3"/>
      <c r="K5448" s="4"/>
      <c r="L5448" s="4"/>
    </row>
    <row r="5449" spans="3:12">
      <c r="C5449" s="3"/>
      <c r="K5449" s="4"/>
      <c r="L5449" s="4"/>
    </row>
    <row r="5450" spans="3:12">
      <c r="C5450" s="3"/>
      <c r="K5450" s="4"/>
      <c r="L5450" s="4"/>
    </row>
    <row r="5451" spans="3:12">
      <c r="C5451" s="3"/>
      <c r="K5451" s="4"/>
      <c r="L5451" s="4"/>
    </row>
    <row r="5452" spans="3:12">
      <c r="C5452" s="3"/>
      <c r="K5452" s="4"/>
      <c r="L5452" s="4"/>
    </row>
    <row r="5453" spans="3:12">
      <c r="C5453" s="3"/>
      <c r="K5453" s="4"/>
      <c r="L5453" s="4"/>
    </row>
    <row r="5454" spans="3:12">
      <c r="C5454" s="3"/>
      <c r="K5454" s="4"/>
      <c r="L5454" s="4"/>
    </row>
    <row r="5455" spans="3:12">
      <c r="C5455" s="3"/>
      <c r="K5455" s="4"/>
      <c r="L5455" s="4"/>
    </row>
    <row r="5456" spans="3:12">
      <c r="C5456" s="3"/>
      <c r="K5456" s="4"/>
      <c r="L5456" s="4"/>
    </row>
    <row r="5457" spans="3:12">
      <c r="C5457" s="3"/>
      <c r="K5457" s="4"/>
      <c r="L5457" s="4"/>
    </row>
    <row r="5458" spans="3:12">
      <c r="C5458" s="3"/>
      <c r="K5458" s="4"/>
      <c r="L5458" s="4"/>
    </row>
    <row r="5459" spans="3:12">
      <c r="C5459" s="3"/>
      <c r="K5459" s="4"/>
      <c r="L5459" s="4"/>
    </row>
    <row r="5460" spans="3:12">
      <c r="C5460" s="3"/>
      <c r="K5460" s="4"/>
      <c r="L5460" s="4"/>
    </row>
    <row r="5461" spans="3:12">
      <c r="C5461" s="3"/>
      <c r="K5461" s="4"/>
      <c r="L5461" s="4"/>
    </row>
    <row r="5462" spans="3:12">
      <c r="C5462" s="3"/>
      <c r="K5462" s="4"/>
      <c r="L5462" s="4"/>
    </row>
    <row r="5463" spans="3:12">
      <c r="C5463" s="3"/>
      <c r="K5463" s="4"/>
      <c r="L5463" s="4"/>
    </row>
    <row r="5464" spans="3:12">
      <c r="C5464" s="3"/>
      <c r="K5464" s="4"/>
      <c r="L5464" s="4"/>
    </row>
    <row r="5465" spans="3:12">
      <c r="C5465" s="3"/>
      <c r="K5465" s="4"/>
      <c r="L5465" s="4"/>
    </row>
    <row r="5466" spans="3:12">
      <c r="C5466" s="3"/>
      <c r="K5466" s="4"/>
      <c r="L5466" s="4"/>
    </row>
    <row r="5467" spans="3:12">
      <c r="C5467" s="3"/>
      <c r="K5467" s="4"/>
      <c r="L5467" s="4"/>
    </row>
    <row r="5468" spans="3:12">
      <c r="C5468" s="3"/>
      <c r="K5468" s="4"/>
      <c r="L5468" s="4"/>
    </row>
    <row r="5469" spans="3:12">
      <c r="C5469" s="3"/>
      <c r="K5469" s="4"/>
      <c r="L5469" s="4"/>
    </row>
    <row r="5470" spans="3:12">
      <c r="C5470" s="3"/>
      <c r="K5470" s="4"/>
      <c r="L5470" s="4"/>
    </row>
    <row r="5471" spans="3:12">
      <c r="C5471" s="3"/>
      <c r="K5471" s="4"/>
      <c r="L5471" s="4"/>
    </row>
    <row r="5472" spans="3:12">
      <c r="C5472" s="3"/>
      <c r="K5472" s="4"/>
      <c r="L5472" s="4"/>
    </row>
    <row r="5473" spans="3:12">
      <c r="C5473" s="3"/>
      <c r="K5473" s="4"/>
      <c r="L5473" s="4"/>
    </row>
    <row r="5474" spans="3:12">
      <c r="C5474" s="3"/>
      <c r="K5474" s="4"/>
      <c r="L5474" s="4"/>
    </row>
    <row r="5475" spans="3:12">
      <c r="C5475" s="3"/>
      <c r="K5475" s="4"/>
      <c r="L5475" s="4"/>
    </row>
    <row r="5476" spans="3:12">
      <c r="C5476" s="3"/>
      <c r="K5476" s="4"/>
      <c r="L5476" s="4"/>
    </row>
    <row r="5477" spans="3:12">
      <c r="C5477" s="3"/>
      <c r="K5477" s="4"/>
      <c r="L5477" s="4"/>
    </row>
    <row r="5478" spans="3:12">
      <c r="C5478" s="3"/>
      <c r="K5478" s="4"/>
      <c r="L5478" s="4"/>
    </row>
    <row r="5479" spans="3:12">
      <c r="C5479" s="3"/>
      <c r="K5479" s="4"/>
      <c r="L5479" s="4"/>
    </row>
    <row r="5480" spans="3:12">
      <c r="C5480" s="3"/>
      <c r="K5480" s="4"/>
      <c r="L5480" s="4"/>
    </row>
  </sheetData>
  <hyperlinks>
    <hyperlink ref="B5" r:id="rId1" xr:uid="{00000000-0004-0000-0100-000000000000}"/>
    <hyperlink ref="B22" r:id="rId2" xr:uid="{00000000-0004-0000-0100-000001000000}"/>
    <hyperlink ref="B37" r:id="rId3" xr:uid="{00000000-0004-0000-0100-000002000000}"/>
  </hyperlinks>
  <pageMargins left="0" right="0" top="0" bottom="0" header="0" footer="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
  <sheetViews>
    <sheetView workbookViewId="0"/>
  </sheetViews>
  <sheetFormatPr defaultColWidth="14.44140625" defaultRowHeight="15" customHeight="1"/>
  <sheetData/>
  <pageMargins left="0" right="0" top="0" bottom="0" header="0" footer="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X1786"/>
  <sheetViews>
    <sheetView workbookViewId="0">
      <pane xSplit="3" ySplit="2" topLeftCell="D3" activePane="bottomRight" state="frozen"/>
      <selection pane="topRight" activeCell="D1" sqref="D1"/>
      <selection pane="bottomLeft" activeCell="A3" sqref="A3"/>
      <selection pane="bottomRight" activeCell="D3" sqref="D3"/>
    </sheetView>
  </sheetViews>
  <sheetFormatPr defaultColWidth="14.44140625" defaultRowHeight="15" customHeight="1"/>
  <cols>
    <col min="1" max="1" width="5.44140625" customWidth="1"/>
    <col min="6" max="6" width="43.88671875" customWidth="1"/>
    <col min="11" max="11" width="22.6640625" customWidth="1"/>
    <col min="13" max="14" width="17.44140625" customWidth="1"/>
    <col min="15" max="15" width="14.44140625" hidden="1"/>
    <col min="18" max="18" width="15.44140625" customWidth="1"/>
    <col min="19" max="19" width="62.88671875" customWidth="1"/>
    <col min="20" max="20" width="15.44140625" hidden="1" customWidth="1"/>
    <col min="21" max="21" width="31.44140625" customWidth="1"/>
    <col min="22" max="22" width="23.109375" customWidth="1"/>
    <col min="23" max="24" width="15.44140625" customWidth="1"/>
  </cols>
  <sheetData>
    <row r="1" spans="1:24">
      <c r="A1" s="98" t="s">
        <v>840</v>
      </c>
      <c r="B1" s="96" t="s">
        <v>841</v>
      </c>
      <c r="C1" s="96" t="s">
        <v>842</v>
      </c>
      <c r="D1" s="96" t="s">
        <v>843</v>
      </c>
      <c r="E1" s="96" t="s">
        <v>844</v>
      </c>
      <c r="F1" s="96" t="s">
        <v>845</v>
      </c>
      <c r="G1" s="96" t="s">
        <v>846</v>
      </c>
      <c r="H1" s="96" t="s">
        <v>847</v>
      </c>
      <c r="I1" s="96" t="s">
        <v>848</v>
      </c>
      <c r="J1" s="96" t="s">
        <v>849</v>
      </c>
      <c r="K1" s="96" t="s">
        <v>850</v>
      </c>
      <c r="L1" s="96" t="s">
        <v>851</v>
      </c>
      <c r="M1" s="96" t="s">
        <v>852</v>
      </c>
      <c r="N1" s="96" t="s">
        <v>853</v>
      </c>
      <c r="O1" s="96" t="s">
        <v>854</v>
      </c>
      <c r="P1" s="95" t="s">
        <v>855</v>
      </c>
      <c r="Q1" s="95" t="s">
        <v>856</v>
      </c>
      <c r="R1" s="95" t="s">
        <v>857</v>
      </c>
      <c r="S1" s="95" t="s">
        <v>858</v>
      </c>
      <c r="T1" s="95" t="s">
        <v>859</v>
      </c>
      <c r="U1" s="95" t="s">
        <v>860</v>
      </c>
      <c r="V1" s="96" t="s">
        <v>861</v>
      </c>
      <c r="W1" s="96" t="s">
        <v>862</v>
      </c>
      <c r="X1" s="95" t="s">
        <v>863</v>
      </c>
    </row>
    <row r="2" spans="1:24">
      <c r="A2" s="97"/>
      <c r="B2" s="97"/>
      <c r="C2" s="97"/>
      <c r="D2" s="97"/>
      <c r="E2" s="97"/>
      <c r="F2" s="97"/>
      <c r="G2" s="97"/>
      <c r="H2" s="97"/>
      <c r="I2" s="97"/>
      <c r="J2" s="97"/>
      <c r="K2" s="97"/>
      <c r="L2" s="97"/>
      <c r="M2" s="97"/>
      <c r="N2" s="97"/>
      <c r="O2" s="97"/>
      <c r="P2" s="94"/>
      <c r="Q2" s="94"/>
      <c r="R2" s="94"/>
      <c r="S2" s="94"/>
      <c r="T2" s="94"/>
      <c r="U2" s="94"/>
      <c r="V2" s="97"/>
      <c r="W2" s="97"/>
      <c r="X2" s="94"/>
    </row>
    <row r="3" spans="1:24">
      <c r="A3" s="15">
        <v>1</v>
      </c>
      <c r="B3" s="15">
        <f ca="1">IFERROR(__xludf.DUMMYFUNCTION("query(Rekap!A2:AD1786,""Select B,E,F,G,D,H,U,V,W where C='PKM Gagasan Futuristik Konstruktif'"")"),2389)</f>
        <v>2389</v>
      </c>
      <c r="C3" s="16" t="str">
        <f ca="1">IFERROR(__xludf.DUMMYFUNCTION("""COMPUTED_VALUE"""),"CAHYO MAULANA ASROFI")</f>
        <v>CAHYO MAULANA ASROFI</v>
      </c>
      <c r="D3" s="16" t="str">
        <f ca="1">IFERROR(__xludf.DUMMYFUNCTION("""COMPUTED_VALUE"""),"2035201086")</f>
        <v>2035201086</v>
      </c>
      <c r="E3" s="16" t="str">
        <f ca="1">IFERROR(__xludf.DUMMYFUNCTION("""COMPUTED_VALUE"""),"Departemen Teknik Infrastruktur Sipil")</f>
        <v>Departemen Teknik Infrastruktur Sipil</v>
      </c>
      <c r="F3" s="16" t="str">
        <f ca="1">IFERROR(__xludf.DUMMYFUNCTION("""COMPUTED_VALUE"""),"Konsep Pendinginan Rumah Berbasis Pot in Pot Terintegrasi Internet of Things Demi Mewujudkkan Target SDGs Net-Zero Emissions pada 2050.")</f>
        <v>Konsep Pendinginan Rumah Berbasis Pot in Pot Terintegrasi Internet of Things Demi Mewujudkkan Target SDGs Net-Zero Emissions pada 2050.</v>
      </c>
      <c r="G3" s="16" t="str">
        <f ca="1">IFERROR(__xludf.DUMMYFUNCTION("""COMPUTED_VALUE"""),"Vania Mitha Pratiwi, S.T., M.T.")</f>
        <v>Vania Mitha Pratiwi, S.T., M.T.</v>
      </c>
      <c r="H3" s="16" t="str">
        <f ca="1">IFERROR(__xludf.DUMMYFUNCTION("""COMPUTED_VALUE"""),"Dr. I Gusti Ngurah Satriyadi Hernanda, S.T., M.T.")</f>
        <v>Dr. I Gusti Ngurah Satriyadi Hernanda, S.T., M.T.</v>
      </c>
      <c r="I3" s="16" t="str">
        <f ca="1">IFERROR(__xludf.DUMMYFUNCTION("""COMPUTED_VALUE"""),"Dr.Eng. Yuda Apri Hermawan, S.T., M.T.")</f>
        <v>Dr.Eng. Yuda Apri Hermawan, S.T., M.T.</v>
      </c>
      <c r="J3" s="16"/>
      <c r="K3" s="17" t="s">
        <v>864</v>
      </c>
      <c r="L3" s="18" t="s">
        <v>865</v>
      </c>
      <c r="M3" s="19" t="b">
        <v>1</v>
      </c>
      <c r="N3" s="19" t="b">
        <v>1</v>
      </c>
      <c r="O3" s="1" t="s">
        <v>866</v>
      </c>
      <c r="P3" s="7" t="str">
        <f ca="1">IFERROR(__xludf.DUMMYFUNCTION("iferror(vlookup(B3,importrange(""https://docs.google.com/spreadsheets/d/1boHyJQ4e2FU0QG8MHwEi6qjX4hvZWVCHcFfXjq7bbMc/edit?resourcekey#gid=923248883"",""Prop!$C$1:$M""),12,0),IFERROR(vlookup(B3,importrange(""https://docs.google.com/spreadsheets/d/1boHyJQ4e"&amp;"2FU0QG8MHwEi6qjX4hvZWVCHcFfXjq7bbMc/edit?resourcekey#gid=923248883"",""Prop!$N$1:$X""),11,0),iferror(vlookup(B3,importrange(""https://docs.google.com/spreadsheets/d/1boHyJQ4e2FU0QG8MHwEi6qjX4hvZWVCHcFfXjq7bbMc/edit?resourcekey#gid=923248883"",""Prop!$Y$1:"&amp;"$AI""),11,0),iferror(vlookup(B3,importrange(""https://docs.google.com/spreadsheets/d/1boHyJQ4e2FU0QG8MHwEi6qjX4hvZWVCHcFfXjq7bbMc/edit?resourcekey#gid=923248883"",""Prop!$AJ$1:$AT""),11,0),iferror(vlookup(B3,importrange(""https://docs.google.com/spreadshe"&amp;"ets/d/1boHyJQ4e2FU0QG8MHwEi6qjX4hvZWVCHcFfXjq7bbMc/edit?resourcekey#gid=923248883"",""Prop!$AU$1:$BE""),11,0),iferror(vlookup(B3,importrange(""https://docs.google.com/spreadsheets/d/1boHyJQ4e2FU0QG8MHwEi6qjX4hvZWVCHcFfXjq7bbMc/edit?resourcekey#gid=9232488"&amp;"83"",""Prop!$BF$1:$BP""),11,0),iferror(vlookup(B3,importrange(""https://docs.google.com/spreadsheets/d/1boHyJQ4e2FU0QG8MHwEi6qjX4hvZWVCHcFfXjq7bbMc/edit?resourcekey#gid=923248883"",""Prop!$BQ$1:$CA""),11,0),iferror(vlookup(B3,importrange(""https://docs.go"&amp;"ogle.com/spreadsheets/d/1boHyJQ4e2FU0QG8MHwEi6qjX4hvZWVCHcFfXjq7bbMc/edit?resourcekey#gid=923248883"",""Prop!$CB$1:$CL""),11,0),iferror(vlookup(B3,importrange(""https://docs.google.com/spreadsheets/d/1boHyJQ4e2FU0QG8MHwEi6qjX4hvZWVCHcFfXjq7bbMc/edit?resou"&amp;"rcekey#gid=923248883"",""Prop!$CM$1:$CX""),12,0),iferror(vlookup(B3,importrange(""https://docs.google.com/spreadsheets/d/1boHyJQ4e2FU0QG8MHwEi6qjX4hvZWVCHcFfXjq7bbMc/edit?resourcekey#gid=923248883"",""Prop!$CV$1:$DI""),11,0)))))))))))"),"https://drive.google.com/open?id=1An9Yo3RNF7-5S04uTiv-3F8d03k51TMG")</f>
        <v>https://drive.google.com/open?id=1An9Yo3RNF7-5S04uTiv-3F8d03k51TMG</v>
      </c>
      <c r="Q3" s="7" t="str">
        <f ca="1">IFERROR(__xludf.DUMMYFUNCTION("iferror(vlookup(B3,importrange(""https://docs.google.com/spreadsheets/d/1p53T2AuvvIqhP7Nf-bo3Uhj8cbKYRPpZdsrBv3x3bAQ/edit?resourcekey#gid=1321652304"",""Prop!$C$1:$M""),11,0),IFERROR(vlookup(B3,importrange(""https://docs.google.com/spreadsheets/d/1p53T2Au"&amp;"vvIqhP7Nf-bo3Uhj8cbKYRPpZdsrBv3x3bAQ/edit?resourcekey#gid=1321652304"",""Prop!$N$1:$X""),11,0),iferror(vlookup(B3,importrange(""https://docs.google.com/spreadsheets/d/1p53T2AuvvIqhP7Nf-bo3Uhj8cbKYRPpZdsrBv3x3bAQ/edit?resourcekey#gid=1321652304"",""Prop!$Y"&amp;"$1:$AI""),11,0),iferror(vlookup(B3,importrange(""https://docs.google.com/spreadsheets/d/1p53T2AuvvIqhP7Nf-bo3Uhj8cbKYRPpZdsrBv3x3bAQ/edit?resourcekey#gid=1321652304"",""Prop!$AJ$1:$AT""),11,0),iferror(vlookup(B3,importrange(""https://docs.google.com/sprea"&amp;"dsheets/d/1p53T2AuvvIqhP7Nf-bo3Uhj8cbKYRPpZdsrBv3x3bAQ/edit?resourcekey#gid=1321652304"",""Prop!$AU$1:$BE""),11,0),iferror(vlookup(B3,importrange(""https://docs.google.com/spreadsheets/d/1p53T2AuvvIqhP7Nf-bo3Uhj8cbKYRPpZdsrBv3x3bAQ/edit?resourcekey#gid=13"&amp;"21652304"",""Prop!$BF$1:$BP""),11,0),iferror(vlookup(B3,importrange(""https://docs.google.com/spreadsheets/d/1p53T2AuvvIqhP7Nf-bo3Uhj8cbKYRPpZdsrBv3x3bAQ/edit?resourcekey#gid=1321652304"",""Prop!$BQ$1:$CA""),11,0),iferror(vlookup(B3,importrange(""https://"&amp;"docs.google.com/spreadsheets/d/1p53T2AuvvIqhP7Nf-bo3Uhj8cbKYRPpZdsrBv3x3bAQ/edit?resourcekey#gid=1321652304"",""Prop!$CB$1:$CL""),11,0),iferror(vlookup(B3,importrange(""https://docs.google.com/spreadsheets/d/1p53T2AuvvIqhP7Nf-bo3Uhj8cbKYRPpZdsrBv3x3bAQ/ed"&amp;"it?resourcekey#gid=1321652304"",""Prop!$CM$1:$CX""),12,0),iferror(vlookup(B3,importrange(""https://docs.google.com/spreadsheets/d/1p53T2AuvvIqhP7Nf-bo3Uhj8cbKYRPpZdsrBv3x3bAQ/edit?resourcekey#gid=1321652304"",""Prop!$CY$1:$DI""),11,0)))))))))))"),"https://drive.google.com/open?id=1n99WzOkGi2DY8S4xkxTV0PcSN_DpF5ir")</f>
        <v>https://drive.google.com/open?id=1n99WzOkGi2DY8S4xkxTV0PcSN_DpF5ir</v>
      </c>
      <c r="R3" s="20" t="s">
        <v>867</v>
      </c>
      <c r="S3" s="20" t="str">
        <f ca="1">IFERROR(__xludf.DUMMYFUNCTION("IFERROR(vlookup(B3,IMPORTRANGE(""https://docs.google.com/spreadsheets/d/1g_jfYYK_KeipEDNDUgqgrsxK94XiocfNQIcP-v1QVhI/edit?resourcekey#gid=233272945"",""Nilai!B:CT""),66,0),"" "")"),"1. cek konten judul agar terliat kreatifitasnya
2. pastikan urgensi ide
3. pastikan konten video bukan deskriptif, namun yang inspiratif")</f>
        <v>1. cek konten judul agar terliat kreatifitasnya
2. pastikan urgensi ide
3. pastikan konten video bukan deskriptif, namun yang inspiratif</v>
      </c>
      <c r="T3" s="20" t="str">
        <f ca="1">IFERROR(__xludf.DUMMYFUNCTION("IFERROR(vlookup(B3,IMPORTRANGE(""https://docs.google.com/spreadsheets/d/1g_jfYYK_KeipEDNDUgqgrsxK94XiocfNQIcP-v1QVhI/edit?resourcekey#gid=233272945"",""Nilai!B:CT""),97,0),"" "")"),"LAYAK UPLOAD KE SIMBELMAWA DENGAN REVISI")</f>
        <v>LAYAK UPLOAD KE SIMBELMAWA DENGAN REVISI</v>
      </c>
      <c r="U3" s="21" t="s">
        <v>786</v>
      </c>
      <c r="V3" s="16" t="s">
        <v>868</v>
      </c>
      <c r="W3" s="18" t="s">
        <v>869</v>
      </c>
      <c r="X3" s="22" t="b">
        <v>1</v>
      </c>
    </row>
    <row r="4" spans="1:24">
      <c r="A4" s="15">
        <v>2</v>
      </c>
      <c r="B4" s="15">
        <f ca="1">IFERROR(__xludf.DUMMYFUNCTION("""COMPUTED_VALUE"""),3768)</f>
        <v>3768</v>
      </c>
      <c r="C4" s="16" t="str">
        <f ca="1">IFERROR(__xludf.DUMMYFUNCTION("""COMPUTED_VALUE"""),"KEYZA PUTRI MANDELA")</f>
        <v>KEYZA PUTRI MANDELA</v>
      </c>
      <c r="D4" s="16" t="str">
        <f ca="1">IFERROR(__xludf.DUMMYFUNCTION("""COMPUTED_VALUE"""),"5029201019")</f>
        <v>5029201019</v>
      </c>
      <c r="E4" s="16" t="str">
        <f ca="1">IFERROR(__xludf.DUMMYFUNCTION("""COMPUTED_VALUE"""),"Departemen Desain Interior")</f>
        <v>Departemen Desain Interior</v>
      </c>
      <c r="F4" s="16" t="str">
        <f ca="1">IFERROR(__xludf.DUMMYFUNCTION("""COMPUTED_VALUE"""),"Rumah Anti Banjir Berkonsep Sustainable Green Architecture dengan Struktural Rumah Panggung Palembang untuk Inovasi Pembangunan Hunian yang Berkelanjutan")</f>
        <v>Rumah Anti Banjir Berkonsep Sustainable Green Architecture dengan Struktural Rumah Panggung Palembang untuk Inovasi Pembangunan Hunian yang Berkelanjutan</v>
      </c>
      <c r="G4" s="16" t="str">
        <f ca="1">IFERROR(__xludf.DUMMYFUNCTION("""COMPUTED_VALUE"""),"Anggra Ayu Rucitra, S.T., M.MT")</f>
        <v>Anggra Ayu Rucitra, S.T., M.MT</v>
      </c>
      <c r="H4" s="16" t="str">
        <f ca="1">IFERROR(__xludf.DUMMYFUNCTION("""COMPUTED_VALUE"""),"Dr. I Gusti Ngurah Satriyadi Hernanda, S.T., M.T.")</f>
        <v>Dr. I Gusti Ngurah Satriyadi Hernanda, S.T., M.T.</v>
      </c>
      <c r="I4" s="16" t="str">
        <f ca="1">IFERROR(__xludf.DUMMYFUNCTION("""COMPUTED_VALUE"""),"Dr.Eng. Yuda Apri Hermawan, S.T., M.T.")</f>
        <v>Dr.Eng. Yuda Apri Hermawan, S.T., M.T.</v>
      </c>
      <c r="J4" s="16"/>
      <c r="K4" s="17" t="s">
        <v>864</v>
      </c>
      <c r="L4" s="18" t="s">
        <v>865</v>
      </c>
      <c r="M4" s="19" t="b">
        <v>1</v>
      </c>
      <c r="N4" s="19" t="b">
        <v>0</v>
      </c>
      <c r="O4" s="1" t="s">
        <v>866</v>
      </c>
      <c r="P4" s="7" t="str">
        <f ca="1">IFERROR(__xludf.DUMMYFUNCTION("iferror(vlookup(B4,importrange(""https://docs.google.com/spreadsheets/d/1boHyJQ4e2FU0QG8MHwEi6qjX4hvZWVCHcFfXjq7bbMc/edit?resourcekey#gid=923248883"",""Prop!$C$1:$M""),12,0),IFERROR(vlookup(B4,importrange(""https://docs.google.com/spreadsheets/d/1boHyJQ4e"&amp;"2FU0QG8MHwEi6qjX4hvZWVCHcFfXjq7bbMc/edit?resourcekey#gid=923248883"",""Prop!$N$1:$X""),11,0),iferror(vlookup(B4,importrange(""https://docs.google.com/spreadsheets/d/1boHyJQ4e2FU0QG8MHwEi6qjX4hvZWVCHcFfXjq7bbMc/edit?resourcekey#gid=923248883"",""Prop!$Y$1:"&amp;"$AI""),11,0),iferror(vlookup(B4,importrange(""https://docs.google.com/spreadsheets/d/1boHyJQ4e2FU0QG8MHwEi6qjX4hvZWVCHcFfXjq7bbMc/edit?resourcekey#gid=923248883"",""Prop!$AJ$1:$AT""),11,0),iferror(vlookup(B4,importrange(""https://docs.google.com/spreadshe"&amp;"ets/d/1boHyJQ4e2FU0QG8MHwEi6qjX4hvZWVCHcFfXjq7bbMc/edit?resourcekey#gid=923248883"",""Prop!$AU$1:$BE""),11,0),iferror(vlookup(B4,importrange(""https://docs.google.com/spreadsheets/d/1boHyJQ4e2FU0QG8MHwEi6qjX4hvZWVCHcFfXjq7bbMc/edit?resourcekey#gid=9232488"&amp;"83"",""Prop!$BF$1:$BP""),11,0),iferror(vlookup(B4,importrange(""https://docs.google.com/spreadsheets/d/1boHyJQ4e2FU0QG8MHwEi6qjX4hvZWVCHcFfXjq7bbMc/edit?resourcekey#gid=923248883"",""Prop!$BQ$1:$CA""),11,0),iferror(vlookup(B4,importrange(""https://docs.go"&amp;"ogle.com/spreadsheets/d/1boHyJQ4e2FU0QG8MHwEi6qjX4hvZWVCHcFfXjq7bbMc/edit?resourcekey#gid=923248883"",""Prop!$CB$1:$CL""),11,0),iferror(vlookup(B4,importrange(""https://docs.google.com/spreadsheets/d/1boHyJQ4e2FU0QG8MHwEi6qjX4hvZWVCHcFfXjq7bbMc/edit?resou"&amp;"rcekey#gid=923248883"",""Prop!$CM$1:$CX""),12,0),iferror(vlookup(B4,importrange(""https://docs.google.com/spreadsheets/d/1boHyJQ4e2FU0QG8MHwEi6qjX4hvZWVCHcFfXjq7bbMc/edit?resourcekey#gid=923248883"",""Prop!$CV$1:$DI""),11,0)))))))))))"),"https://drive.google.com/open?id=1Su8Wk_PSAinzMkeF-n5p3IVm76kCbKGX")</f>
        <v>https://drive.google.com/open?id=1Su8Wk_PSAinzMkeF-n5p3IVm76kCbKGX</v>
      </c>
      <c r="Q4" s="7" t="str">
        <f ca="1">IFERROR(__xludf.DUMMYFUNCTION("iferror(vlookup(B4,importrange(""https://docs.google.com/spreadsheets/d/1p53T2AuvvIqhP7Nf-bo3Uhj8cbKYRPpZdsrBv3x3bAQ/edit?resourcekey#gid=1321652304"",""Prop!$C$1:$M""),11,0),IFERROR(vlookup(B4,importrange(""https://docs.google.com/spreadsheets/d/1p53T2Au"&amp;"vvIqhP7Nf-bo3Uhj8cbKYRPpZdsrBv3x3bAQ/edit?resourcekey#gid=1321652304"",""Prop!$N$1:$X""),11,0),iferror(vlookup(B4,importrange(""https://docs.google.com/spreadsheets/d/1p53T2AuvvIqhP7Nf-bo3Uhj8cbKYRPpZdsrBv3x3bAQ/edit?resourcekey#gid=1321652304"",""Prop!$Y"&amp;"$1:$AI""),11,0),iferror(vlookup(B4,importrange(""https://docs.google.com/spreadsheets/d/1p53T2AuvvIqhP7Nf-bo3Uhj8cbKYRPpZdsrBv3x3bAQ/edit?resourcekey#gid=1321652304"",""Prop!$AJ$1:$AT""),11,0),iferror(vlookup(B4,importrange(""https://docs.google.com/sprea"&amp;"dsheets/d/1p53T2AuvvIqhP7Nf-bo3Uhj8cbKYRPpZdsrBv3x3bAQ/edit?resourcekey#gid=1321652304"",""Prop!$AU$1:$BE""),11,0),iferror(vlookup(B4,importrange(""https://docs.google.com/spreadsheets/d/1p53T2AuvvIqhP7Nf-bo3Uhj8cbKYRPpZdsrBv3x3bAQ/edit?resourcekey#gid=13"&amp;"21652304"",""Prop!$BF$1:$BP""),11,0),iferror(vlookup(B4,importrange(""https://docs.google.com/spreadsheets/d/1p53T2AuvvIqhP7Nf-bo3Uhj8cbKYRPpZdsrBv3x3bAQ/edit?resourcekey#gid=1321652304"",""Prop!$BQ$1:$CA""),11,0),iferror(vlookup(B4,importrange(""https://"&amp;"docs.google.com/spreadsheets/d/1p53T2AuvvIqhP7Nf-bo3Uhj8cbKYRPpZdsrBv3x3bAQ/edit?resourcekey#gid=1321652304"",""Prop!$CB$1:$CL""),11,0),iferror(vlookup(B4,importrange(""https://docs.google.com/spreadsheets/d/1p53T2AuvvIqhP7Nf-bo3Uhj8cbKYRPpZdsrBv3x3bAQ/ed"&amp;"it?resourcekey#gid=1321652304"",""Prop!$CM$1:$CX""),12,0),iferror(vlookup(B4,importrange(""https://docs.google.com/spreadsheets/d/1p53T2AuvvIqhP7Nf-bo3Uhj8cbKYRPpZdsrBv3x3bAQ/edit?resourcekey#gid=1321652304"",""Prop!$CY$1:$DI""),11,0)))))))))))"),"https://drive.google.com/open?id=187X8VEShazmfJKGrVKuWLlMFNLXhx3zt")</f>
        <v>https://drive.google.com/open?id=187X8VEShazmfJKGrVKuWLlMFNLXhx3zt</v>
      </c>
      <c r="R4" s="20" t="s">
        <v>867</v>
      </c>
      <c r="S4" s="20" t="str">
        <f ca="1">IFERROR(__xludf.DUMMYFUNCTION("IFERROR(vlookup(B4,IMPORTRANGE(""https://docs.google.com/spreadsheets/d/1g_jfYYK_KeipEDNDUgqgrsxK94XiocfNQIcP-v1QVhI/edit?resourcekey#gid=233272945"",""Nilai!B:CT""),66,0),"" "")")," ")</f>
        <v xml:space="preserve"> </v>
      </c>
      <c r="T4" s="20" t="str">
        <f ca="1">IFERROR(__xludf.DUMMYFUNCTION("IFERROR(vlookup(B4,IMPORTRANGE(""https://docs.google.com/spreadsheets/d/1g_jfYYK_KeipEDNDUgqgrsxK94XiocfNQIcP-v1QVhI/edit?resourcekey#gid=233272945"",""Nilai!B:CT""),97,0),"" "")")," ")</f>
        <v xml:space="preserve"> </v>
      </c>
      <c r="U4" s="21" t="s">
        <v>786</v>
      </c>
      <c r="V4" s="16" t="s">
        <v>868</v>
      </c>
      <c r="W4" s="18" t="s">
        <v>869</v>
      </c>
      <c r="X4" s="22" t="b">
        <v>0</v>
      </c>
    </row>
    <row r="5" spans="1:24">
      <c r="A5" s="15">
        <v>3</v>
      </c>
      <c r="B5" s="15">
        <f ca="1">IFERROR(__xludf.DUMMYFUNCTION("""COMPUTED_VALUE"""),3762)</f>
        <v>3762</v>
      </c>
      <c r="C5" s="16" t="str">
        <f ca="1">IFERROR(__xludf.DUMMYFUNCTION("""COMPUTED_VALUE"""),"PUTU NADYA ISWARIDEWI")</f>
        <v>PUTU NADYA ISWARIDEWI</v>
      </c>
      <c r="D5" s="16" t="str">
        <f ca="1">IFERROR(__xludf.DUMMYFUNCTION("""COMPUTED_VALUE"""),"5029201038")</f>
        <v>5029201038</v>
      </c>
      <c r="E5" s="16" t="str">
        <f ca="1">IFERROR(__xludf.DUMMYFUNCTION("""COMPUTED_VALUE"""),"Departemen Desain Interior")</f>
        <v>Departemen Desain Interior</v>
      </c>
      <c r="F5" s="16" t="str">
        <f ca="1">IFERROR(__xludf.DUMMYFUNCTION("""COMPUTED_VALUE"""),"Hunian Tanggap Banjir Rob Bersistem Mezzanine sebagai Safe Room Ramah Anak dengan Fasilitas Pemenuhan Kebutuhan Esensial Terintegrasi bagi Masyarakat Pesisir")</f>
        <v>Hunian Tanggap Banjir Rob Bersistem Mezzanine sebagai Safe Room Ramah Anak dengan Fasilitas Pemenuhan Kebutuhan Esensial Terintegrasi bagi Masyarakat Pesisir</v>
      </c>
      <c r="G5" s="16" t="str">
        <f ca="1">IFERROR(__xludf.DUMMYFUNCTION("""COMPUTED_VALUE"""),"Okta Putra Setio Ardianto, S.T., M.T.")</f>
        <v>Okta Putra Setio Ardianto, S.T., M.T.</v>
      </c>
      <c r="H5" s="16" t="str">
        <f ca="1">IFERROR(__xludf.DUMMYFUNCTION("""COMPUTED_VALUE"""),"Dr. I Gusti Ngurah Satriyadi Hernanda, S.T., M.T.")</f>
        <v>Dr. I Gusti Ngurah Satriyadi Hernanda, S.T., M.T.</v>
      </c>
      <c r="I5" s="16" t="str">
        <f ca="1">IFERROR(__xludf.DUMMYFUNCTION("""COMPUTED_VALUE"""),"Dr.Eng. Yuda Apri Hermawan, S.T., M.T.")</f>
        <v>Dr.Eng. Yuda Apri Hermawan, S.T., M.T.</v>
      </c>
      <c r="J5" s="16"/>
      <c r="K5" s="17" t="s">
        <v>864</v>
      </c>
      <c r="L5" s="18" t="s">
        <v>865</v>
      </c>
      <c r="M5" s="19" t="b">
        <v>1</v>
      </c>
      <c r="N5" s="19" t="b">
        <v>1</v>
      </c>
      <c r="O5" s="1" t="s">
        <v>866</v>
      </c>
      <c r="P5" s="7" t="str">
        <f ca="1">IFERROR(__xludf.DUMMYFUNCTION("iferror(vlookup(B5,importrange(""https://docs.google.com/spreadsheets/d/1boHyJQ4e2FU0QG8MHwEi6qjX4hvZWVCHcFfXjq7bbMc/edit?resourcekey#gid=923248883"",""Prop!$C$1:$M""),12,0),IFERROR(vlookup(B5,importrange(""https://docs.google.com/spreadsheets/d/1boHyJQ4e"&amp;"2FU0QG8MHwEi6qjX4hvZWVCHcFfXjq7bbMc/edit?resourcekey#gid=923248883"",""Prop!$N$1:$X""),11,0),iferror(vlookup(B5,importrange(""https://docs.google.com/spreadsheets/d/1boHyJQ4e2FU0QG8MHwEi6qjX4hvZWVCHcFfXjq7bbMc/edit?resourcekey#gid=923248883"",""Prop!$Y$1:"&amp;"$AI""),11,0),iferror(vlookup(B5,importrange(""https://docs.google.com/spreadsheets/d/1boHyJQ4e2FU0QG8MHwEi6qjX4hvZWVCHcFfXjq7bbMc/edit?resourcekey#gid=923248883"",""Prop!$AJ$1:$AT""),11,0),iferror(vlookup(B5,importrange(""https://docs.google.com/spreadshe"&amp;"ets/d/1boHyJQ4e2FU0QG8MHwEi6qjX4hvZWVCHcFfXjq7bbMc/edit?resourcekey#gid=923248883"",""Prop!$AU$1:$BE""),11,0),iferror(vlookup(B5,importrange(""https://docs.google.com/spreadsheets/d/1boHyJQ4e2FU0QG8MHwEi6qjX4hvZWVCHcFfXjq7bbMc/edit?resourcekey#gid=9232488"&amp;"83"",""Prop!$BF$1:$BP""),11,0),iferror(vlookup(B5,importrange(""https://docs.google.com/spreadsheets/d/1boHyJQ4e2FU0QG8MHwEi6qjX4hvZWVCHcFfXjq7bbMc/edit?resourcekey#gid=923248883"",""Prop!$BQ$1:$CA""),11,0),iferror(vlookup(B5,importrange(""https://docs.go"&amp;"ogle.com/spreadsheets/d/1boHyJQ4e2FU0QG8MHwEi6qjX4hvZWVCHcFfXjq7bbMc/edit?resourcekey#gid=923248883"",""Prop!$CB$1:$CL""),11,0),iferror(vlookup(B5,importrange(""https://docs.google.com/spreadsheets/d/1boHyJQ4e2FU0QG8MHwEi6qjX4hvZWVCHcFfXjq7bbMc/edit?resou"&amp;"rcekey#gid=923248883"",""Prop!$CM$1:$CX""),12,0),iferror(vlookup(B5,importrange(""https://docs.google.com/spreadsheets/d/1boHyJQ4e2FU0QG8MHwEi6qjX4hvZWVCHcFfXjq7bbMc/edit?resourcekey#gid=923248883"",""Prop!$CV$1:$DI""),11,0)))))))))))"),"https://drive.google.com/open?id=1xweBkQbeu2-7IM9_QcKcd_3Bzjur7_yG")</f>
        <v>https://drive.google.com/open?id=1xweBkQbeu2-7IM9_QcKcd_3Bzjur7_yG</v>
      </c>
      <c r="Q5" s="7" t="str">
        <f ca="1">IFERROR(__xludf.DUMMYFUNCTION("iferror(vlookup(B5,importrange(""https://docs.google.com/spreadsheets/d/1p53T2AuvvIqhP7Nf-bo3Uhj8cbKYRPpZdsrBv3x3bAQ/edit?resourcekey#gid=1321652304"",""Prop!$C$1:$M""),11,0),IFERROR(vlookup(B5,importrange(""https://docs.google.com/spreadsheets/d/1p53T2Au"&amp;"vvIqhP7Nf-bo3Uhj8cbKYRPpZdsrBv3x3bAQ/edit?resourcekey#gid=1321652304"",""Prop!$N$1:$X""),11,0),iferror(vlookup(B5,importrange(""https://docs.google.com/spreadsheets/d/1p53T2AuvvIqhP7Nf-bo3Uhj8cbKYRPpZdsrBv3x3bAQ/edit?resourcekey#gid=1321652304"",""Prop!$Y"&amp;"$1:$AI""),11,0),iferror(vlookup(B5,importrange(""https://docs.google.com/spreadsheets/d/1p53T2AuvvIqhP7Nf-bo3Uhj8cbKYRPpZdsrBv3x3bAQ/edit?resourcekey#gid=1321652304"",""Prop!$AJ$1:$AT""),11,0),iferror(vlookup(B5,importrange(""https://docs.google.com/sprea"&amp;"dsheets/d/1p53T2AuvvIqhP7Nf-bo3Uhj8cbKYRPpZdsrBv3x3bAQ/edit?resourcekey#gid=1321652304"",""Prop!$AU$1:$BE""),11,0),iferror(vlookup(B5,importrange(""https://docs.google.com/spreadsheets/d/1p53T2AuvvIqhP7Nf-bo3Uhj8cbKYRPpZdsrBv3x3bAQ/edit?resourcekey#gid=13"&amp;"21652304"",""Prop!$BF$1:$BP""),11,0),iferror(vlookup(B5,importrange(""https://docs.google.com/spreadsheets/d/1p53T2AuvvIqhP7Nf-bo3Uhj8cbKYRPpZdsrBv3x3bAQ/edit?resourcekey#gid=1321652304"",""Prop!$BQ$1:$CA""),11,0),iferror(vlookup(B5,importrange(""https://"&amp;"docs.google.com/spreadsheets/d/1p53T2AuvvIqhP7Nf-bo3Uhj8cbKYRPpZdsrBv3x3bAQ/edit?resourcekey#gid=1321652304"",""Prop!$CB$1:$CL""),11,0),iferror(vlookup(B5,importrange(""https://docs.google.com/spreadsheets/d/1p53T2AuvvIqhP7Nf-bo3Uhj8cbKYRPpZdsrBv3x3bAQ/ed"&amp;"it?resourcekey#gid=1321652304"",""Prop!$CM$1:$CX""),12,0),iferror(vlookup(B5,importrange(""https://docs.google.com/spreadsheets/d/1p53T2AuvvIqhP7Nf-bo3Uhj8cbKYRPpZdsrBv3x3bAQ/edit?resourcekey#gid=1321652304"",""Prop!$CY$1:$DI""),11,0)))))))))))"),"https://drive.google.com/open?id=11D3HzYCQRD24ZFjPaCG4Xcnr_h8atsV9")</f>
        <v>https://drive.google.com/open?id=11D3HzYCQRD24ZFjPaCG4Xcnr_h8atsV9</v>
      </c>
      <c r="R5" s="20" t="s">
        <v>867</v>
      </c>
      <c r="S5" s="20" t="str">
        <f ca="1">IFERROR(__xludf.DUMMYFUNCTION("IFERROR(vlookup(B5,IMPORTRANGE(""https://docs.google.com/spreadsheets/d/1g_jfYYK_KeipEDNDUgqgrsxK94XiocfNQIcP-v1QVhI/edit?resourcekey#gid=233272945"",""Nilai!B:CT""),66,0),"" "")"),"1. ide ini akan lebih urgent dan memiliki tantangan intelektual bila diarahkan untuk permukiman kumuh di kawasan rawan banjir atau rob
2. perkuat keterbaruan dan kekuatan ipteks dari ide ini")</f>
        <v>1. ide ini akan lebih urgent dan memiliki tantangan intelektual bila diarahkan untuk permukiman kumuh di kawasan rawan banjir atau rob
2. perkuat keterbaruan dan kekuatan ipteks dari ide ini</v>
      </c>
      <c r="T5" s="20" t="str">
        <f ca="1">IFERROR(__xludf.DUMMYFUNCTION("IFERROR(vlookup(B5,IMPORTRANGE(""https://docs.google.com/spreadsheets/d/1g_jfYYK_KeipEDNDUgqgrsxK94XiocfNQIcP-v1QVhI/edit?resourcekey#gid=233272945"",""Nilai!B:CT""),97,0),"" "")"),"LAYAK UPLOAD KE SIMBELMAWA DENGAN REVISI")</f>
        <v>LAYAK UPLOAD KE SIMBELMAWA DENGAN REVISI</v>
      </c>
      <c r="U5" s="21" t="s">
        <v>786</v>
      </c>
      <c r="V5" s="16" t="s">
        <v>868</v>
      </c>
      <c r="W5" s="18" t="s">
        <v>870</v>
      </c>
      <c r="X5" s="22" t="b">
        <v>1</v>
      </c>
    </row>
    <row r="6" spans="1:24">
      <c r="A6" s="15">
        <v>4</v>
      </c>
      <c r="B6" s="15">
        <f ca="1">IFERROR(__xludf.DUMMYFUNCTION("""COMPUTED_VALUE"""),2424)</f>
        <v>2424</v>
      </c>
      <c r="C6" s="16" t="str">
        <f ca="1">IFERROR(__xludf.DUMMYFUNCTION("""COMPUTED_VALUE"""),"DIYON ADI SANTOSO")</f>
        <v>DIYON ADI SANTOSO</v>
      </c>
      <c r="D6" s="16" t="str">
        <f ca="1">IFERROR(__xludf.DUMMYFUNCTION("""COMPUTED_VALUE"""),"5007201207")</f>
        <v>5007201207</v>
      </c>
      <c r="E6" s="16" t="str">
        <f ca="1">IFERROR(__xludf.DUMMYFUNCTION("""COMPUTED_VALUE"""),"Departemen Teknik Mesin")</f>
        <v>Departemen Teknik Mesin</v>
      </c>
      <c r="F6" s="16" t="str">
        <f ca="1">IFERROR(__xludf.DUMMYFUNCTION("""COMPUTED_VALUE"""),"Konsep Terminal Masa Depan untuk Autonomous Bus dengan Kecanggihan IoT dan Pemanfaatan Mobilitas sebagai Sumber Energi Listrik Mandiri ")</f>
        <v xml:space="preserve">Konsep Terminal Masa Depan untuk Autonomous Bus dengan Kecanggihan IoT dan Pemanfaatan Mobilitas sebagai Sumber Energi Listrik Mandiri </v>
      </c>
      <c r="G6" s="16" t="str">
        <f ca="1">IFERROR(__xludf.DUMMYFUNCTION("""COMPUTED_VALUE"""),"Alief Wikarta, ST., MSc.Eng. Ph.D")</f>
        <v>Alief Wikarta, ST., MSc.Eng. Ph.D</v>
      </c>
      <c r="H6" s="16" t="str">
        <f ca="1">IFERROR(__xludf.DUMMYFUNCTION("""COMPUTED_VALUE"""),"Dr. I Gusti Ngurah Satriyadi Hernanda, S.T., M.T.")</f>
        <v>Dr. I Gusti Ngurah Satriyadi Hernanda, S.T., M.T.</v>
      </c>
      <c r="I6" s="16" t="str">
        <f ca="1">IFERROR(__xludf.DUMMYFUNCTION("""COMPUTED_VALUE"""),"Dr.Eng. Yuda Apri Hermawan, S.T., M.T.")</f>
        <v>Dr.Eng. Yuda Apri Hermawan, S.T., M.T.</v>
      </c>
      <c r="J6" s="16"/>
      <c r="K6" s="17" t="s">
        <v>864</v>
      </c>
      <c r="L6" s="18" t="s">
        <v>865</v>
      </c>
      <c r="M6" s="19" t="b">
        <v>1</v>
      </c>
      <c r="N6" s="19" t="b">
        <v>1</v>
      </c>
      <c r="O6" s="1" t="s">
        <v>866</v>
      </c>
      <c r="P6" s="7" t="str">
        <f ca="1">IFERROR(__xludf.DUMMYFUNCTION("iferror(vlookup(B6,importrange(""https://docs.google.com/spreadsheets/d/1boHyJQ4e2FU0QG8MHwEi6qjX4hvZWVCHcFfXjq7bbMc/edit?resourcekey#gid=923248883"",""Prop!$C$1:$M""),12,0),IFERROR(vlookup(B6,importrange(""https://docs.google.com/spreadsheets/d/1boHyJQ4e"&amp;"2FU0QG8MHwEi6qjX4hvZWVCHcFfXjq7bbMc/edit?resourcekey#gid=923248883"",""Prop!$N$1:$X""),11,0),iferror(vlookup(B6,importrange(""https://docs.google.com/spreadsheets/d/1boHyJQ4e2FU0QG8MHwEi6qjX4hvZWVCHcFfXjq7bbMc/edit?resourcekey#gid=923248883"",""Prop!$Y$1:"&amp;"$AI""),11,0),iferror(vlookup(B6,importrange(""https://docs.google.com/spreadsheets/d/1boHyJQ4e2FU0QG8MHwEi6qjX4hvZWVCHcFfXjq7bbMc/edit?resourcekey#gid=923248883"",""Prop!$AJ$1:$AT""),11,0),iferror(vlookup(B6,importrange(""https://docs.google.com/spreadshe"&amp;"ets/d/1boHyJQ4e2FU0QG8MHwEi6qjX4hvZWVCHcFfXjq7bbMc/edit?resourcekey#gid=923248883"",""Prop!$AU$1:$BE""),11,0),iferror(vlookup(B6,importrange(""https://docs.google.com/spreadsheets/d/1boHyJQ4e2FU0QG8MHwEi6qjX4hvZWVCHcFfXjq7bbMc/edit?resourcekey#gid=9232488"&amp;"83"",""Prop!$BF$1:$BP""),11,0),iferror(vlookup(B6,importrange(""https://docs.google.com/spreadsheets/d/1boHyJQ4e2FU0QG8MHwEi6qjX4hvZWVCHcFfXjq7bbMc/edit?resourcekey#gid=923248883"",""Prop!$BQ$1:$CA""),11,0),iferror(vlookup(B6,importrange(""https://docs.go"&amp;"ogle.com/spreadsheets/d/1boHyJQ4e2FU0QG8MHwEi6qjX4hvZWVCHcFfXjq7bbMc/edit?resourcekey#gid=923248883"",""Prop!$CB$1:$CL""),11,0),iferror(vlookup(B6,importrange(""https://docs.google.com/spreadsheets/d/1boHyJQ4e2FU0QG8MHwEi6qjX4hvZWVCHcFfXjq7bbMc/edit?resou"&amp;"rcekey#gid=923248883"",""Prop!$CM$1:$CX""),12,0),iferror(vlookup(B6,importrange(""https://docs.google.com/spreadsheets/d/1boHyJQ4e2FU0QG8MHwEi6qjX4hvZWVCHcFfXjq7bbMc/edit?resourcekey#gid=923248883"",""Prop!$CV$1:$DI""),11,0)))))))))))"),"https://drive.google.com/open?id=1yNvjPNv5SEc0TUxeJ4MisUY1z5YEEcFD")</f>
        <v>https://drive.google.com/open?id=1yNvjPNv5SEc0TUxeJ4MisUY1z5YEEcFD</v>
      </c>
      <c r="Q6" s="7" t="str">
        <f ca="1">IFERROR(__xludf.DUMMYFUNCTION("iferror(vlookup(B6,importrange(""https://docs.google.com/spreadsheets/d/1p53T2AuvvIqhP7Nf-bo3Uhj8cbKYRPpZdsrBv3x3bAQ/edit?resourcekey#gid=1321652304"",""Prop!$C$1:$M""),11,0),IFERROR(vlookup(B6,importrange(""https://docs.google.com/spreadsheets/d/1p53T2Au"&amp;"vvIqhP7Nf-bo3Uhj8cbKYRPpZdsrBv3x3bAQ/edit?resourcekey#gid=1321652304"",""Prop!$N$1:$X""),11,0),iferror(vlookup(B6,importrange(""https://docs.google.com/spreadsheets/d/1p53T2AuvvIqhP7Nf-bo3Uhj8cbKYRPpZdsrBv3x3bAQ/edit?resourcekey#gid=1321652304"",""Prop!$Y"&amp;"$1:$AI""),11,0),iferror(vlookup(B6,importrange(""https://docs.google.com/spreadsheets/d/1p53T2AuvvIqhP7Nf-bo3Uhj8cbKYRPpZdsrBv3x3bAQ/edit?resourcekey#gid=1321652304"",""Prop!$AJ$1:$AT""),11,0),iferror(vlookup(B6,importrange(""https://docs.google.com/sprea"&amp;"dsheets/d/1p53T2AuvvIqhP7Nf-bo3Uhj8cbKYRPpZdsrBv3x3bAQ/edit?resourcekey#gid=1321652304"",""Prop!$AU$1:$BE""),11,0),iferror(vlookup(B6,importrange(""https://docs.google.com/spreadsheets/d/1p53T2AuvvIqhP7Nf-bo3Uhj8cbKYRPpZdsrBv3x3bAQ/edit?resourcekey#gid=13"&amp;"21652304"",""Prop!$BF$1:$BP""),11,0),iferror(vlookup(B6,importrange(""https://docs.google.com/spreadsheets/d/1p53T2AuvvIqhP7Nf-bo3Uhj8cbKYRPpZdsrBv3x3bAQ/edit?resourcekey#gid=1321652304"",""Prop!$BQ$1:$CA""),11,0),iferror(vlookup(B6,importrange(""https://"&amp;"docs.google.com/spreadsheets/d/1p53T2AuvvIqhP7Nf-bo3Uhj8cbKYRPpZdsrBv3x3bAQ/edit?resourcekey#gid=1321652304"",""Prop!$CB$1:$CL""),11,0),iferror(vlookup(B6,importrange(""https://docs.google.com/spreadsheets/d/1p53T2AuvvIqhP7Nf-bo3Uhj8cbKYRPpZdsrBv3x3bAQ/ed"&amp;"it?resourcekey#gid=1321652304"",""Prop!$CM$1:$CX""),12,0),iferror(vlookup(B6,importrange(""https://docs.google.com/spreadsheets/d/1p53T2AuvvIqhP7Nf-bo3Uhj8cbKYRPpZdsrBv3x3bAQ/edit?resourcekey#gid=1321652304"",""Prop!$CY$1:$DI""),11,0)))))))))))"),"https://drive.google.com/open?id=1eV1eYsKOE1Onx_xzuazYVAs_BBv1Y7tk")</f>
        <v>https://drive.google.com/open?id=1eV1eYsKOE1Onx_xzuazYVAs_BBv1Y7tk</v>
      </c>
      <c r="R6" s="20" t="s">
        <v>867</v>
      </c>
      <c r="S6" s="20" t="str">
        <f ca="1">IFERROR(__xludf.DUMMYFUNCTION("IFERROR(vlookup(B6,IMPORTRANGE(""https://docs.google.com/spreadsheets/d/1g_jfYYK_KeipEDNDUgqgrsxK94XiocfNQIcP-v1QVhI/edit?resourcekey#gid=233272945"",""Nilai!B:CT""),66,0),"" "")"),"1. ide dengan piezoelektrik sdh sering dilakukan, jelaskan keterbaruan ide ini
2. konten video agar imajinatif dan inspiratif, bukan deskripsi gagasan")</f>
        <v>1. ide dengan piezoelektrik sdh sering dilakukan, jelaskan keterbaruan ide ini
2. konten video agar imajinatif dan inspiratif, bukan deskripsi gagasan</v>
      </c>
      <c r="T6" s="20" t="str">
        <f ca="1">IFERROR(__xludf.DUMMYFUNCTION("IFERROR(vlookup(B6,IMPORTRANGE(""https://docs.google.com/spreadsheets/d/1g_jfYYK_KeipEDNDUgqgrsxK94XiocfNQIcP-v1QVhI/edit?resourcekey#gid=233272945"",""Nilai!B:CT""),97,0),"" "")"),"LAYAK UPLOAD KE SIMBELMAWA DENGAN REVISI")</f>
        <v>LAYAK UPLOAD KE SIMBELMAWA DENGAN REVISI</v>
      </c>
      <c r="U6" s="21"/>
      <c r="V6" s="16" t="s">
        <v>868</v>
      </c>
      <c r="W6" s="18" t="s">
        <v>870</v>
      </c>
      <c r="X6" s="22" t="b">
        <v>1</v>
      </c>
    </row>
    <row r="7" spans="1:24">
      <c r="A7" s="15">
        <v>5</v>
      </c>
      <c r="B7" s="15">
        <f ca="1">IFERROR(__xludf.DUMMYFUNCTION("""COMPUTED_VALUE"""),2761)</f>
        <v>2761</v>
      </c>
      <c r="C7" s="16" t="str">
        <f ca="1">IFERROR(__xludf.DUMMYFUNCTION("""COMPUTED_VALUE"""),"HUWAIZA I DARISMAN")</f>
        <v>HUWAIZA I DARISMAN</v>
      </c>
      <c r="D7" s="16" t="str">
        <f ca="1">IFERROR(__xludf.DUMMYFUNCTION("""COMPUTED_VALUE"""),"5012201118")</f>
        <v>5012201118</v>
      </c>
      <c r="E7" s="16" t="str">
        <f ca="1">IFERROR(__xludf.DUMMYFUNCTION("""COMPUTED_VALUE"""),"Departemen Teknik Sipil")</f>
        <v>Departemen Teknik Sipil</v>
      </c>
      <c r="F7" s="16" t="str">
        <f ca="1">IFERROR(__xludf.DUMMYFUNCTION("""COMPUTED_VALUE"""),"Penerapan Low Maintenance Rainwater Harvesting System di komunitas pesisir pulau Ende sebagai Pilot Project Ecovillage SDGs ke-6 di Indonesia.")</f>
        <v>Penerapan Low Maintenance Rainwater Harvesting System di komunitas pesisir pulau Ende sebagai Pilot Project Ecovillage SDGs ke-6 di Indonesia.</v>
      </c>
      <c r="G7" s="16" t="str">
        <f ca="1">IFERROR(__xludf.DUMMYFUNCTION("""COMPUTED_VALUE"""),"Dr.techn. Umboro Lasminto, S.T., M.Sc.")</f>
        <v>Dr.techn. Umboro Lasminto, S.T., M.Sc.</v>
      </c>
      <c r="H7" s="16" t="str">
        <f ca="1">IFERROR(__xludf.DUMMYFUNCTION("""COMPUTED_VALUE"""),"Dr. I Gusti Ngurah Satriyadi Hernanda, S.T., M.T.")</f>
        <v>Dr. I Gusti Ngurah Satriyadi Hernanda, S.T., M.T.</v>
      </c>
      <c r="I7" s="16" t="str">
        <f ca="1">IFERROR(__xludf.DUMMYFUNCTION("""COMPUTED_VALUE"""),"Dion Hayu Fandiantoro, S.T., M.Eng.")</f>
        <v>Dion Hayu Fandiantoro, S.T., M.Eng.</v>
      </c>
      <c r="J7" s="16"/>
      <c r="K7" s="17" t="s">
        <v>864</v>
      </c>
      <c r="L7" s="18" t="s">
        <v>865</v>
      </c>
      <c r="M7" s="19" t="b">
        <v>0</v>
      </c>
      <c r="N7" s="19" t="b">
        <v>1</v>
      </c>
      <c r="O7" s="1" t="s">
        <v>866</v>
      </c>
      <c r="P7" s="7" t="str">
        <f ca="1">IFERROR(__xludf.DUMMYFUNCTION("iferror(vlookup(B7,importrange(""https://docs.google.com/spreadsheets/d/1boHyJQ4e2FU0QG8MHwEi6qjX4hvZWVCHcFfXjq7bbMc/edit?resourcekey#gid=923248883"",""Prop!$C$1:$M""),12,0),IFERROR(vlookup(B7,importrange(""https://docs.google.com/spreadsheets/d/1boHyJQ4e"&amp;"2FU0QG8MHwEi6qjX4hvZWVCHcFfXjq7bbMc/edit?resourcekey#gid=923248883"",""Prop!$N$1:$X""),11,0),iferror(vlookup(B7,importrange(""https://docs.google.com/spreadsheets/d/1boHyJQ4e2FU0QG8MHwEi6qjX4hvZWVCHcFfXjq7bbMc/edit?resourcekey#gid=923248883"",""Prop!$Y$1:"&amp;"$AI""),11,0),iferror(vlookup(B7,importrange(""https://docs.google.com/spreadsheets/d/1boHyJQ4e2FU0QG8MHwEi6qjX4hvZWVCHcFfXjq7bbMc/edit?resourcekey#gid=923248883"",""Prop!$AJ$1:$AT""),11,0),iferror(vlookup(B7,importrange(""https://docs.google.com/spreadshe"&amp;"ets/d/1boHyJQ4e2FU0QG8MHwEi6qjX4hvZWVCHcFfXjq7bbMc/edit?resourcekey#gid=923248883"",""Prop!$AU$1:$BE""),11,0),iferror(vlookup(B7,importrange(""https://docs.google.com/spreadsheets/d/1boHyJQ4e2FU0QG8MHwEi6qjX4hvZWVCHcFfXjq7bbMc/edit?resourcekey#gid=9232488"&amp;"83"",""Prop!$BF$1:$BP""),11,0),iferror(vlookup(B7,importrange(""https://docs.google.com/spreadsheets/d/1boHyJQ4e2FU0QG8MHwEi6qjX4hvZWVCHcFfXjq7bbMc/edit?resourcekey#gid=923248883"",""Prop!$BQ$1:$CA""),11,0),iferror(vlookup(B7,importrange(""https://docs.go"&amp;"ogle.com/spreadsheets/d/1boHyJQ4e2FU0QG8MHwEi6qjX4hvZWVCHcFfXjq7bbMc/edit?resourcekey#gid=923248883"",""Prop!$CB$1:$CL""),11,0),iferror(vlookup(B7,importrange(""https://docs.google.com/spreadsheets/d/1boHyJQ4e2FU0QG8MHwEi6qjX4hvZWVCHcFfXjq7bbMc/edit?resou"&amp;"rcekey#gid=923248883"",""Prop!$CM$1:$CX""),12,0),iferror(vlookup(B7,importrange(""https://docs.google.com/spreadsheets/d/1boHyJQ4e2FU0QG8MHwEi6qjX4hvZWVCHcFfXjq7bbMc/edit?resourcekey#gid=923248883"",""Prop!$CV$1:$DI""),11,0)))))))))))"),"https://drive.google.com/open?id=1M_XnhxGMeon_VeDmjfKD_Rcpsc1JHJKf")</f>
        <v>https://drive.google.com/open?id=1M_XnhxGMeon_VeDmjfKD_Rcpsc1JHJKf</v>
      </c>
      <c r="Q7" s="7" t="str">
        <f ca="1">IFERROR(__xludf.DUMMYFUNCTION("iferror(vlookup(B7,importrange(""https://docs.google.com/spreadsheets/d/1p53T2AuvvIqhP7Nf-bo3Uhj8cbKYRPpZdsrBv3x3bAQ/edit?resourcekey#gid=1321652304"",""Prop!$C$1:$M""),11,0),IFERROR(vlookup(B7,importrange(""https://docs.google.com/spreadsheets/d/1p53T2Au"&amp;"vvIqhP7Nf-bo3Uhj8cbKYRPpZdsrBv3x3bAQ/edit?resourcekey#gid=1321652304"",""Prop!$N$1:$X""),11,0),iferror(vlookup(B7,importrange(""https://docs.google.com/spreadsheets/d/1p53T2AuvvIqhP7Nf-bo3Uhj8cbKYRPpZdsrBv3x3bAQ/edit?resourcekey#gid=1321652304"",""Prop!$Y"&amp;"$1:$AI""),11,0),iferror(vlookup(B7,importrange(""https://docs.google.com/spreadsheets/d/1p53T2AuvvIqhP7Nf-bo3Uhj8cbKYRPpZdsrBv3x3bAQ/edit?resourcekey#gid=1321652304"",""Prop!$AJ$1:$AT""),11,0),iferror(vlookup(B7,importrange(""https://docs.google.com/sprea"&amp;"dsheets/d/1p53T2AuvvIqhP7Nf-bo3Uhj8cbKYRPpZdsrBv3x3bAQ/edit?resourcekey#gid=1321652304"",""Prop!$AU$1:$BE""),11,0),iferror(vlookup(B7,importrange(""https://docs.google.com/spreadsheets/d/1p53T2AuvvIqhP7Nf-bo3Uhj8cbKYRPpZdsrBv3x3bAQ/edit?resourcekey#gid=13"&amp;"21652304"",""Prop!$BF$1:$BP""),11,0),iferror(vlookup(B7,importrange(""https://docs.google.com/spreadsheets/d/1p53T2AuvvIqhP7Nf-bo3Uhj8cbKYRPpZdsrBv3x3bAQ/edit?resourcekey#gid=1321652304"",""Prop!$BQ$1:$CA""),11,0),iferror(vlookup(B7,importrange(""https://"&amp;"docs.google.com/spreadsheets/d/1p53T2AuvvIqhP7Nf-bo3Uhj8cbKYRPpZdsrBv3x3bAQ/edit?resourcekey#gid=1321652304"",""Prop!$CB$1:$CL""),11,0),iferror(vlookup(B7,importrange(""https://docs.google.com/spreadsheets/d/1p53T2AuvvIqhP7Nf-bo3Uhj8cbKYRPpZdsrBv3x3bAQ/ed"&amp;"it?resourcekey#gid=1321652304"",""Prop!$CM$1:$CX""),12,0),iferror(vlookup(B7,importrange(""https://docs.google.com/spreadsheets/d/1p53T2AuvvIqhP7Nf-bo3Uhj8cbKYRPpZdsrBv3x3bAQ/edit?resourcekey#gid=1321652304"",""Prop!$CY$1:$DI""),11,0)))))))))))"),"https://drive.google.com/open?id=12ajFla9kiua3RKk_mHfqNtJzEC9djNid")</f>
        <v>https://drive.google.com/open?id=12ajFla9kiua3RKk_mHfqNtJzEC9djNid</v>
      </c>
      <c r="R7" s="20" t="s">
        <v>867</v>
      </c>
      <c r="S7" s="20" t="str">
        <f ca="1">IFERROR(__xludf.DUMMYFUNCTION("IFERROR(vlookup(B7,IMPORTRANGE(""https://docs.google.com/spreadsheets/d/1g_jfYYK_KeipEDNDUgqgrsxK94XiocfNQIcP-v1QVhI/edit?resourcekey#gid=233272945"",""Nilai!B:CT""),66,0),"" "")"),"1. masih ada kesalahan administrasi
2. sesuaikan judul
3. perjelas keterbaruan gagasan
4. konten video yang inspiratif")</f>
        <v>1. masih ada kesalahan administrasi
2. sesuaikan judul
3. perjelas keterbaruan gagasan
4. konten video yang inspiratif</v>
      </c>
      <c r="T7" s="20" t="str">
        <f ca="1">IFERROR(__xludf.DUMMYFUNCTION("IFERROR(vlookup(B7,IMPORTRANGE(""https://docs.google.com/spreadsheets/d/1g_jfYYK_KeipEDNDUgqgrsxK94XiocfNQIcP-v1QVhI/edit?resourcekey#gid=233272945"",""Nilai!B:CT""),97,0),"" "")"),"LAYAK UPLOAD KE SIMBELMAWA DENGAN REVISI")</f>
        <v>LAYAK UPLOAD KE SIMBELMAWA DENGAN REVISI</v>
      </c>
      <c r="U7" s="21" t="s">
        <v>786</v>
      </c>
      <c r="V7" s="16" t="s">
        <v>868</v>
      </c>
      <c r="W7" s="18" t="s">
        <v>870</v>
      </c>
      <c r="X7" s="22" t="b">
        <v>1</v>
      </c>
    </row>
    <row r="8" spans="1:24">
      <c r="A8" s="15">
        <v>6</v>
      </c>
      <c r="B8" s="15">
        <f ca="1">IFERROR(__xludf.DUMMYFUNCTION("""COMPUTED_VALUE"""),3481)</f>
        <v>3481</v>
      </c>
      <c r="C8" s="16" t="str">
        <f ca="1">IFERROR(__xludf.DUMMYFUNCTION("""COMPUTED_VALUE"""),"M. Syafiq Fadli Rahm")</f>
        <v>M. Syafiq Fadli Rahm</v>
      </c>
      <c r="D8" s="16" t="str">
        <f ca="1">IFERROR(__xludf.DUMMYFUNCTION("""COMPUTED_VALUE"""),"5020211039")</f>
        <v>5020211039</v>
      </c>
      <c r="E8" s="16" t="str">
        <f ca="1">IFERROR(__xludf.DUMMYFUNCTION("""COMPUTED_VALUE"""),"Departemen Teknik Kelautan")</f>
        <v>Departemen Teknik Kelautan</v>
      </c>
      <c r="F8" s="16" t="str">
        <f ca="1">IFERROR(__xludf.DUMMYFUNCTION("""COMPUTED_VALUE"""),"PariJagat: ROV Penyaring dan Degradator Mikroplastik Berbasis Biodegradation")</f>
        <v>PariJagat: ROV Penyaring dan Degradator Mikroplastik Berbasis Biodegradation</v>
      </c>
      <c r="G8" s="16" t="str">
        <f ca="1">IFERROR(__xludf.DUMMYFUNCTION("""COMPUTED_VALUE"""),"Dr. Shade Rahmawati, S.T., M.T.")</f>
        <v>Dr. Shade Rahmawati, S.T., M.T.</v>
      </c>
      <c r="H8" s="16" t="str">
        <f ca="1">IFERROR(__xludf.DUMMYFUNCTION("""COMPUTED_VALUE"""),"Okta Putra Setio Ardianto, S.T., M.T.")</f>
        <v>Okta Putra Setio Ardianto, S.T., M.T.</v>
      </c>
      <c r="I8" s="16" t="str">
        <f ca="1">IFERROR(__xludf.DUMMYFUNCTION("""COMPUTED_VALUE"""),"Dion Hayu Fandiantoro, S.T., M.Eng.")</f>
        <v>Dion Hayu Fandiantoro, S.T., M.Eng.</v>
      </c>
      <c r="J8" s="16"/>
      <c r="K8" s="17" t="s">
        <v>864</v>
      </c>
      <c r="L8" s="18" t="s">
        <v>871</v>
      </c>
      <c r="M8" s="19" t="b">
        <v>1</v>
      </c>
      <c r="N8" s="19" t="b">
        <v>1</v>
      </c>
      <c r="O8" s="1" t="s">
        <v>866</v>
      </c>
      <c r="P8" s="7" t="str">
        <f ca="1">IFERROR(__xludf.DUMMYFUNCTION("iferror(vlookup(B8,importrange(""https://docs.google.com/spreadsheets/d/1boHyJQ4e2FU0QG8MHwEi6qjX4hvZWVCHcFfXjq7bbMc/edit?resourcekey#gid=923248883"",""Prop!$C$1:$M""),12,0),IFERROR(vlookup(B8,importrange(""https://docs.google.com/spreadsheets/d/1boHyJQ4e"&amp;"2FU0QG8MHwEi6qjX4hvZWVCHcFfXjq7bbMc/edit?resourcekey#gid=923248883"",""Prop!$N$1:$X""),11,0),iferror(vlookup(B8,importrange(""https://docs.google.com/spreadsheets/d/1boHyJQ4e2FU0QG8MHwEi6qjX4hvZWVCHcFfXjq7bbMc/edit?resourcekey#gid=923248883"",""Prop!$Y$1:"&amp;"$AI""),11,0),iferror(vlookup(B8,importrange(""https://docs.google.com/spreadsheets/d/1boHyJQ4e2FU0QG8MHwEi6qjX4hvZWVCHcFfXjq7bbMc/edit?resourcekey#gid=923248883"",""Prop!$AJ$1:$AT""),11,0),iferror(vlookup(B8,importrange(""https://docs.google.com/spreadshe"&amp;"ets/d/1boHyJQ4e2FU0QG8MHwEi6qjX4hvZWVCHcFfXjq7bbMc/edit?resourcekey#gid=923248883"",""Prop!$AU$1:$BE""),11,0),iferror(vlookup(B8,importrange(""https://docs.google.com/spreadsheets/d/1boHyJQ4e2FU0QG8MHwEi6qjX4hvZWVCHcFfXjq7bbMc/edit?resourcekey#gid=9232488"&amp;"83"",""Prop!$BF$1:$BP""),11,0),iferror(vlookup(B8,importrange(""https://docs.google.com/spreadsheets/d/1boHyJQ4e2FU0QG8MHwEi6qjX4hvZWVCHcFfXjq7bbMc/edit?resourcekey#gid=923248883"",""Prop!$BQ$1:$CA""),11,0),iferror(vlookup(B8,importrange(""https://docs.go"&amp;"ogle.com/spreadsheets/d/1boHyJQ4e2FU0QG8MHwEi6qjX4hvZWVCHcFfXjq7bbMc/edit?resourcekey#gid=923248883"",""Prop!$CB$1:$CL""),11,0),iferror(vlookup(B8,importrange(""https://docs.google.com/spreadsheets/d/1boHyJQ4e2FU0QG8MHwEi6qjX4hvZWVCHcFfXjq7bbMc/edit?resou"&amp;"rcekey#gid=923248883"",""Prop!$CM$1:$CX""),12,0),iferror(vlookup(B8,importrange(""https://docs.google.com/spreadsheets/d/1boHyJQ4e2FU0QG8MHwEi6qjX4hvZWVCHcFfXjq7bbMc/edit?resourcekey#gid=923248883"",""Prop!$CV$1:$DI""),11,0)))))))))))"),"https://drive.google.com/open?id=1-m7aOnFHpTMBUrMxfUVa8fECbujneXFU")</f>
        <v>https://drive.google.com/open?id=1-m7aOnFHpTMBUrMxfUVa8fECbujneXFU</v>
      </c>
      <c r="Q8" s="7" t="str">
        <f ca="1">IFERROR(__xludf.DUMMYFUNCTION("iferror(vlookup(B8,importrange(""https://docs.google.com/spreadsheets/d/1p53T2AuvvIqhP7Nf-bo3Uhj8cbKYRPpZdsrBv3x3bAQ/edit?resourcekey#gid=1321652304"",""Prop!$C$1:$M""),11,0),IFERROR(vlookup(B8,importrange(""https://docs.google.com/spreadsheets/d/1p53T2Au"&amp;"vvIqhP7Nf-bo3Uhj8cbKYRPpZdsrBv3x3bAQ/edit?resourcekey#gid=1321652304"",""Prop!$N$1:$X""),11,0),iferror(vlookup(B8,importrange(""https://docs.google.com/spreadsheets/d/1p53T2AuvvIqhP7Nf-bo3Uhj8cbKYRPpZdsrBv3x3bAQ/edit?resourcekey#gid=1321652304"",""Prop!$Y"&amp;"$1:$AI""),11,0),iferror(vlookup(B8,importrange(""https://docs.google.com/spreadsheets/d/1p53T2AuvvIqhP7Nf-bo3Uhj8cbKYRPpZdsrBv3x3bAQ/edit?resourcekey#gid=1321652304"",""Prop!$AJ$1:$AT""),11,0),iferror(vlookup(B8,importrange(""https://docs.google.com/sprea"&amp;"dsheets/d/1p53T2AuvvIqhP7Nf-bo3Uhj8cbKYRPpZdsrBv3x3bAQ/edit?resourcekey#gid=1321652304"",""Prop!$AU$1:$BE""),11,0),iferror(vlookup(B8,importrange(""https://docs.google.com/spreadsheets/d/1p53T2AuvvIqhP7Nf-bo3Uhj8cbKYRPpZdsrBv3x3bAQ/edit?resourcekey#gid=13"&amp;"21652304"",""Prop!$BF$1:$BP""),11,0),iferror(vlookup(B8,importrange(""https://docs.google.com/spreadsheets/d/1p53T2AuvvIqhP7Nf-bo3Uhj8cbKYRPpZdsrBv3x3bAQ/edit?resourcekey#gid=1321652304"",""Prop!$BQ$1:$CA""),11,0),iferror(vlookup(B8,importrange(""https://"&amp;"docs.google.com/spreadsheets/d/1p53T2AuvvIqhP7Nf-bo3Uhj8cbKYRPpZdsrBv3x3bAQ/edit?resourcekey#gid=1321652304"",""Prop!$CB$1:$CL""),11,0),iferror(vlookup(B8,importrange(""https://docs.google.com/spreadsheets/d/1p53T2AuvvIqhP7Nf-bo3Uhj8cbKYRPpZdsrBv3x3bAQ/ed"&amp;"it?resourcekey#gid=1321652304"",""Prop!$CM$1:$CX""),12,0),iferror(vlookup(B8,importrange(""https://docs.google.com/spreadsheets/d/1p53T2AuvvIqhP7Nf-bo3Uhj8cbKYRPpZdsrBv3x3bAQ/edit?resourcekey#gid=1321652304"",""Prop!$CY$1:$DI""),11,0)))))))))))"),"https://drive.google.com/open?id=1R62IROQtIwtkfA2ShEiHItqtx05w5NjH")</f>
        <v>https://drive.google.com/open?id=1R62IROQtIwtkfA2ShEiHItqtx05w5NjH</v>
      </c>
      <c r="R8" s="20" t="s">
        <v>867</v>
      </c>
      <c r="S8" s="20" t="str">
        <f ca="1">IFERROR(__xludf.DUMMYFUNCTION("IFERROR(vlookup(B8,IMPORTRANGE(""https://docs.google.com/spreadsheets/d/1g_jfYYK_KeipEDNDUgqgrsxK94XiocfNQIcP-v1QVhI/edit?resourcekey#gid=233272945"",""Nilai!B:CT""),66,0),"" "")")," ")</f>
        <v xml:space="preserve"> </v>
      </c>
      <c r="T8" s="20" t="str">
        <f ca="1">IFERROR(__xludf.DUMMYFUNCTION("IFERROR(vlookup(B8,IMPORTRANGE(""https://docs.google.com/spreadsheets/d/1g_jfYYK_KeipEDNDUgqgrsxK94XiocfNQIcP-v1QVhI/edit?resourcekey#gid=233272945"",""Nilai!B:CT""),97,0),"" "")")," ")</f>
        <v xml:space="preserve"> </v>
      </c>
      <c r="U8" s="21" t="s">
        <v>786</v>
      </c>
      <c r="V8" s="16" t="s">
        <v>868</v>
      </c>
      <c r="W8" s="18" t="s">
        <v>870</v>
      </c>
      <c r="X8" s="22" t="b">
        <v>1</v>
      </c>
    </row>
    <row r="9" spans="1:24">
      <c r="A9" s="15">
        <v>7</v>
      </c>
      <c r="B9" s="15">
        <f ca="1">IFERROR(__xludf.DUMMYFUNCTION("""COMPUTED_VALUE"""),2182)</f>
        <v>2182</v>
      </c>
      <c r="C9" s="16" t="str">
        <f ca="1">IFERROR(__xludf.DUMMYFUNCTION("""COMPUTED_VALUE"""),"BHARA ALFHANIAWAN")</f>
        <v>BHARA ALFHANIAWAN</v>
      </c>
      <c r="D9" s="16" t="str">
        <f ca="1">IFERROR(__xludf.DUMMYFUNCTION("""COMPUTED_VALUE"""),"07111940000167")</f>
        <v>07111940000167</v>
      </c>
      <c r="E9" s="16" t="str">
        <f ca="1">IFERROR(__xludf.DUMMYFUNCTION("""COMPUTED_VALUE"""),"Departemen Teknik Elektro")</f>
        <v>Departemen Teknik Elektro</v>
      </c>
      <c r="F9" s="16" t="str">
        <f ca="1">IFERROR(__xludf.DUMMYFUNCTION("""COMPUTED_VALUE"""),"Pemanfaatan 6G Integrated Access and Backhaul dalam Realisasi Human Health Digital Twin Terintegrasi AI")</f>
        <v>Pemanfaatan 6G Integrated Access and Backhaul dalam Realisasi Human Health Digital Twin Terintegrasi AI</v>
      </c>
      <c r="G9" s="16" t="str">
        <f ca="1">IFERROR(__xludf.DUMMYFUNCTION("""COMPUTED_VALUE"""),"Prof. Ir. Gamantyo Hendrantoro, M.Eng., Ph.D.")</f>
        <v>Prof. Ir. Gamantyo Hendrantoro, M.Eng., Ph.D.</v>
      </c>
      <c r="H9" s="16" t="str">
        <f ca="1">IFERROR(__xludf.DUMMYFUNCTION("""COMPUTED_VALUE"""),"Putu Gde Ariastita, S.T., M.T.")</f>
        <v>Putu Gde Ariastita, S.T., M.T.</v>
      </c>
      <c r="I9" s="16" t="str">
        <f ca="1">IFERROR(__xludf.DUMMYFUNCTION("""COMPUTED_VALUE"""),"Nur Azizah, S.Si., M.Stat.")</f>
        <v>Nur Azizah, S.Si., M.Stat.</v>
      </c>
      <c r="J9" s="16"/>
      <c r="K9" s="17" t="s">
        <v>872</v>
      </c>
      <c r="L9" s="18" t="s">
        <v>871</v>
      </c>
      <c r="M9" s="19" t="b">
        <v>1</v>
      </c>
      <c r="N9" s="19" t="b">
        <v>1</v>
      </c>
      <c r="O9" s="1" t="s">
        <v>866</v>
      </c>
      <c r="P9" s="7" t="str">
        <f ca="1">IFERROR(__xludf.DUMMYFUNCTION("iferror(vlookup(B9,importrange(""https://docs.google.com/spreadsheets/d/1boHyJQ4e2FU0QG8MHwEi6qjX4hvZWVCHcFfXjq7bbMc/edit?resourcekey#gid=923248883"",""Prop!$C$1:$M""),12,0),IFERROR(vlookup(B9,importrange(""https://docs.google.com/spreadsheets/d/1boHyJQ4e"&amp;"2FU0QG8MHwEi6qjX4hvZWVCHcFfXjq7bbMc/edit?resourcekey#gid=923248883"",""Prop!$N$1:$X""),11,0),iferror(vlookup(B9,importrange(""https://docs.google.com/spreadsheets/d/1boHyJQ4e2FU0QG8MHwEi6qjX4hvZWVCHcFfXjq7bbMc/edit?resourcekey#gid=923248883"",""Prop!$Y$1:"&amp;"$AI""),11,0),iferror(vlookup(B9,importrange(""https://docs.google.com/spreadsheets/d/1boHyJQ4e2FU0QG8MHwEi6qjX4hvZWVCHcFfXjq7bbMc/edit?resourcekey#gid=923248883"",""Prop!$AJ$1:$AT""),11,0),iferror(vlookup(B9,importrange(""https://docs.google.com/spreadshe"&amp;"ets/d/1boHyJQ4e2FU0QG8MHwEi6qjX4hvZWVCHcFfXjq7bbMc/edit?resourcekey#gid=923248883"",""Prop!$AU$1:$BE""),11,0),iferror(vlookup(B9,importrange(""https://docs.google.com/spreadsheets/d/1boHyJQ4e2FU0QG8MHwEi6qjX4hvZWVCHcFfXjq7bbMc/edit?resourcekey#gid=9232488"&amp;"83"",""Prop!$BF$1:$BP""),11,0),iferror(vlookup(B9,importrange(""https://docs.google.com/spreadsheets/d/1boHyJQ4e2FU0QG8MHwEi6qjX4hvZWVCHcFfXjq7bbMc/edit?resourcekey#gid=923248883"",""Prop!$BQ$1:$CA""),11,0),iferror(vlookup(B9,importrange(""https://docs.go"&amp;"ogle.com/spreadsheets/d/1boHyJQ4e2FU0QG8MHwEi6qjX4hvZWVCHcFfXjq7bbMc/edit?resourcekey#gid=923248883"",""Prop!$CB$1:$CL""),11,0),iferror(vlookup(B9,importrange(""https://docs.google.com/spreadsheets/d/1boHyJQ4e2FU0QG8MHwEi6qjX4hvZWVCHcFfXjq7bbMc/edit?resou"&amp;"rcekey#gid=923248883"",""Prop!$CM$1:$CX""),12,0),iferror(vlookup(B9,importrange(""https://docs.google.com/spreadsheets/d/1boHyJQ4e2FU0QG8MHwEi6qjX4hvZWVCHcFfXjq7bbMc/edit?resourcekey#gid=923248883"",""Prop!$CV$1:$DI""),11,0)))))))))))"),"https://drive.google.com/open?id=1up0jDZdz5P_7eM7-rTRbLrtWwiue-9P3")</f>
        <v>https://drive.google.com/open?id=1up0jDZdz5P_7eM7-rTRbLrtWwiue-9P3</v>
      </c>
      <c r="Q9" s="7" t="str">
        <f ca="1">IFERROR(__xludf.DUMMYFUNCTION("iferror(vlookup(B9,importrange(""https://docs.google.com/spreadsheets/d/1p53T2AuvvIqhP7Nf-bo3Uhj8cbKYRPpZdsrBv3x3bAQ/edit?resourcekey#gid=1321652304"",""Prop!$C$1:$M""),11,0),IFERROR(vlookup(B9,importrange(""https://docs.google.com/spreadsheets/d/1p53T2Au"&amp;"vvIqhP7Nf-bo3Uhj8cbKYRPpZdsrBv3x3bAQ/edit?resourcekey#gid=1321652304"",""Prop!$N$1:$X""),11,0),iferror(vlookup(B9,importrange(""https://docs.google.com/spreadsheets/d/1p53T2AuvvIqhP7Nf-bo3Uhj8cbKYRPpZdsrBv3x3bAQ/edit?resourcekey#gid=1321652304"",""Prop!$Y"&amp;"$1:$AI""),11,0),iferror(vlookup(B9,importrange(""https://docs.google.com/spreadsheets/d/1p53T2AuvvIqhP7Nf-bo3Uhj8cbKYRPpZdsrBv3x3bAQ/edit?resourcekey#gid=1321652304"",""Prop!$AJ$1:$AT""),11,0),iferror(vlookup(B9,importrange(""https://docs.google.com/sprea"&amp;"dsheets/d/1p53T2AuvvIqhP7Nf-bo3Uhj8cbKYRPpZdsrBv3x3bAQ/edit?resourcekey#gid=1321652304"",""Prop!$AU$1:$BE""),11,0),iferror(vlookup(B9,importrange(""https://docs.google.com/spreadsheets/d/1p53T2AuvvIqhP7Nf-bo3Uhj8cbKYRPpZdsrBv3x3bAQ/edit?resourcekey#gid=13"&amp;"21652304"",""Prop!$BF$1:$BP""),11,0),iferror(vlookup(B9,importrange(""https://docs.google.com/spreadsheets/d/1p53T2AuvvIqhP7Nf-bo3Uhj8cbKYRPpZdsrBv3x3bAQ/edit?resourcekey#gid=1321652304"",""Prop!$BQ$1:$CA""),11,0),iferror(vlookup(B9,importrange(""https://"&amp;"docs.google.com/spreadsheets/d/1p53T2AuvvIqhP7Nf-bo3Uhj8cbKYRPpZdsrBv3x3bAQ/edit?resourcekey#gid=1321652304"",""Prop!$CB$1:$CL""),11,0),iferror(vlookup(B9,importrange(""https://docs.google.com/spreadsheets/d/1p53T2AuvvIqhP7Nf-bo3Uhj8cbKYRPpZdsrBv3x3bAQ/ed"&amp;"it?resourcekey#gid=1321652304"",""Prop!$CM$1:$CX""),12,0),iferror(vlookup(B9,importrange(""https://docs.google.com/spreadsheets/d/1p53T2AuvvIqhP7Nf-bo3Uhj8cbKYRPpZdsrBv3x3bAQ/edit?resourcekey#gid=1321652304"",""Prop!$CY$1:$DI""),11,0)))))))))))"),"https://drive.google.com/open?id=1QP_8Htqk6SfJPMT2p8iKLob_teHYbUFo")</f>
        <v>https://drive.google.com/open?id=1QP_8Htqk6SfJPMT2p8iKLob_teHYbUFo</v>
      </c>
      <c r="R9" s="20" t="s">
        <v>867</v>
      </c>
      <c r="S9" s="20" t="str">
        <f ca="1">IFERROR(__xludf.DUMMYFUNCTION("IFERROR(vlookup(B9,IMPORTRANGE(""https://docs.google.com/spreadsheets/d/1g_jfYYK_KeipEDNDUgqgrsxK94XiocfNQIcP-v1QVhI/edit?resourcekey#gid=233272945"",""Nilai!B:CT""),66,0),"" "")"),"1. perbaiki redaksi judul sesuai catatan di proposal
2. pastikan konten film nya tdk hanya deskriptif, namun mententuh sisi emosional dan inspiratif")</f>
        <v>1. perbaiki redaksi judul sesuai catatan di proposal
2. pastikan konten film nya tdk hanya deskriptif, namun mententuh sisi emosional dan inspiratif</v>
      </c>
      <c r="T9" s="20" t="str">
        <f ca="1">IFERROR(__xludf.DUMMYFUNCTION("IFERROR(vlookup(B9,IMPORTRANGE(""https://docs.google.com/spreadsheets/d/1g_jfYYK_KeipEDNDUgqgrsxK94XiocfNQIcP-v1QVhI/edit?resourcekey#gid=233272945"",""Nilai!B:CT""),97,0),"" "")"),"LAYAK UPLOAD KE SIMBELMAWA DENGAN REVISI")</f>
        <v>LAYAK UPLOAD KE SIMBELMAWA DENGAN REVISI</v>
      </c>
      <c r="U9" s="21" t="s">
        <v>786</v>
      </c>
      <c r="V9" s="16" t="s">
        <v>868</v>
      </c>
      <c r="W9" s="18" t="s">
        <v>873</v>
      </c>
      <c r="X9" s="22" t="b">
        <v>1</v>
      </c>
    </row>
    <row r="10" spans="1:24">
      <c r="A10" s="15">
        <v>8</v>
      </c>
      <c r="B10" s="15">
        <f ca="1">IFERROR(__xludf.DUMMYFUNCTION("""COMPUTED_VALUE"""),3889)</f>
        <v>3889</v>
      </c>
      <c r="C10" s="16" t="str">
        <f ca="1">IFERROR(__xludf.DUMMYFUNCTION("""COMPUTED_VALUE"""),"NASYATUL IFADAH")</f>
        <v>NASYATUL IFADAH</v>
      </c>
      <c r="D10" s="16" t="str">
        <f ca="1">IFERROR(__xludf.DUMMYFUNCTION("""COMPUTED_VALUE"""),"5029201049")</f>
        <v>5029201049</v>
      </c>
      <c r="E10" s="16" t="str">
        <f ca="1">IFERROR(__xludf.DUMMYFUNCTION("""COMPUTED_VALUE"""),"Departemen Desain Interior")</f>
        <v>Departemen Desain Interior</v>
      </c>
      <c r="F10" s="16" t="str">
        <f ca="1">IFERROR(__xludf.DUMMYFUNCTION("""COMPUTED_VALUE"""),"Desain Smart Home dengan Memanfaatkan Energi Surya untuk Menunjang Kehidupan Manusia dengan Disabilitas Fisik ")</f>
        <v xml:space="preserve">Desain Smart Home dengan Memanfaatkan Energi Surya untuk Menunjang Kehidupan Manusia dengan Disabilitas Fisik </v>
      </c>
      <c r="G10" s="16" t="str">
        <f ca="1">IFERROR(__xludf.DUMMYFUNCTION("""COMPUTED_VALUE"""),"Anggra Ayu Rucitra, S.T., M.MT")</f>
        <v>Anggra Ayu Rucitra, S.T., M.MT</v>
      </c>
      <c r="H10" s="16" t="str">
        <f ca="1">IFERROR(__xludf.DUMMYFUNCTION("""COMPUTED_VALUE"""),"Dr. I Gusti Ngurah Satriyadi Hernanda, S.T., M.T.")</f>
        <v>Dr. I Gusti Ngurah Satriyadi Hernanda, S.T., M.T.</v>
      </c>
      <c r="I10" s="16" t="str">
        <f ca="1">IFERROR(__xludf.DUMMYFUNCTION("""COMPUTED_VALUE"""),"Dion Hayu Fandiantoro, S.T., M.Eng.")</f>
        <v>Dion Hayu Fandiantoro, S.T., M.Eng.</v>
      </c>
      <c r="J10" s="16"/>
      <c r="K10" s="17" t="s">
        <v>872</v>
      </c>
      <c r="L10" s="18" t="s">
        <v>871</v>
      </c>
      <c r="M10" s="19" t="b">
        <v>0</v>
      </c>
      <c r="N10" s="19" t="b">
        <v>1</v>
      </c>
      <c r="O10" s="1" t="s">
        <v>866</v>
      </c>
      <c r="P10" s="7" t="str">
        <f ca="1">IFERROR(__xludf.DUMMYFUNCTION("iferror(vlookup(B10,importrange(""https://docs.google.com/spreadsheets/d/1boHyJQ4e2FU0QG8MHwEi6qjX4hvZWVCHcFfXjq7bbMc/edit?resourcekey#gid=923248883"",""Prop!$C$1:$M""),12,0),IFERROR(vlookup(B10,importrange(""https://docs.google.com/spreadsheets/d/1boHyJQ"&amp;"4e2FU0QG8MHwEi6qjX4hvZWVCHcFfXjq7bbMc/edit?resourcekey#gid=923248883"",""Prop!$N$1:$X""),11,0),iferror(vlookup(B10,importrange(""https://docs.google.com/spreadsheets/d/1boHyJQ4e2FU0QG8MHwEi6qjX4hvZWVCHcFfXjq7bbMc/edit?resourcekey#gid=923248883"",""Prop!$Y"&amp;"$1:$AI""),11,0),iferror(vlookup(B10,importrange(""https://docs.google.com/spreadsheets/d/1boHyJQ4e2FU0QG8MHwEi6qjX4hvZWVCHcFfXjq7bbMc/edit?resourcekey#gid=923248883"",""Prop!$AJ$1:$AT""),11,0),iferror(vlookup(B10,importrange(""https://docs.google.com/spre"&amp;"adsheets/d/1boHyJQ4e2FU0QG8MHwEi6qjX4hvZWVCHcFfXjq7bbMc/edit?resourcekey#gid=923248883"",""Prop!$AU$1:$BE""),11,0),iferror(vlookup(B10,importrange(""https://docs.google.com/spreadsheets/d/1boHyJQ4e2FU0QG8MHwEi6qjX4hvZWVCHcFfXjq7bbMc/edit?resourcekey#gid=9"&amp;"23248883"",""Prop!$BF$1:$BP""),11,0),iferror(vlookup(B10,importrange(""https://docs.google.com/spreadsheets/d/1boHyJQ4e2FU0QG8MHwEi6qjX4hvZWVCHcFfXjq7bbMc/edit?resourcekey#gid=923248883"",""Prop!$BQ$1:$CA""),11,0),iferror(vlookup(B10,importrange(""https:/"&amp;"/docs.google.com/spreadsheets/d/1boHyJQ4e2FU0QG8MHwEi6qjX4hvZWVCHcFfXjq7bbMc/edit?resourcekey#gid=923248883"",""Prop!$CB$1:$CL""),11,0),iferror(vlookup(B10,importrange(""https://docs.google.com/spreadsheets/d/1boHyJQ4e2FU0QG8MHwEi6qjX4hvZWVCHcFfXjq7bbMc/e"&amp;"dit?resourcekey#gid=923248883"",""Prop!$CM$1:$CX""),12,0),iferror(vlookup(B10,importrange(""https://docs.google.com/spreadsheets/d/1boHyJQ4e2FU0QG8MHwEi6qjX4hvZWVCHcFfXjq7bbMc/edit?resourcekey#gid=923248883"",""Prop!$CV$1:$DI""),11,0)))))))))))"),"https://drive.google.com/open?id=1i6FVV--jQGUhxjIMFEEGXN5oPx8K5LQm")</f>
        <v>https://drive.google.com/open?id=1i6FVV--jQGUhxjIMFEEGXN5oPx8K5LQm</v>
      </c>
      <c r="Q10" s="7" t="str">
        <f ca="1">IFERROR(__xludf.DUMMYFUNCTION("iferror(vlookup(B10,importrange(""https://docs.google.com/spreadsheets/d/1p53T2AuvvIqhP7Nf-bo3Uhj8cbKYRPpZdsrBv3x3bAQ/edit?resourcekey#gid=1321652304"",""Prop!$C$1:$M""),11,0),IFERROR(vlookup(B10,importrange(""https://docs.google.com/spreadsheets/d/1p53T2"&amp;"AuvvIqhP7Nf-bo3Uhj8cbKYRPpZdsrBv3x3bAQ/edit?resourcekey#gid=1321652304"",""Prop!$N$1:$X""),11,0),iferror(vlookup(B10,importrange(""https://docs.google.com/spreadsheets/d/1p53T2AuvvIqhP7Nf-bo3Uhj8cbKYRPpZdsrBv3x3bAQ/edit?resourcekey#gid=1321652304"",""Prop"&amp;"!$Y$1:$AI""),11,0),iferror(vlookup(B10,importrange(""https://docs.google.com/spreadsheets/d/1p53T2AuvvIqhP7Nf-bo3Uhj8cbKYRPpZdsrBv3x3bAQ/edit?resourcekey#gid=1321652304"",""Prop!$AJ$1:$AT""),11,0),iferror(vlookup(B10,importrange(""https://docs.google.com/"&amp;"spreadsheets/d/1p53T2AuvvIqhP7Nf-bo3Uhj8cbKYRPpZdsrBv3x3bAQ/edit?resourcekey#gid=1321652304"",""Prop!$AU$1:$BE""),11,0),iferror(vlookup(B10,importrange(""https://docs.google.com/spreadsheets/d/1p53T2AuvvIqhP7Nf-bo3Uhj8cbKYRPpZdsrBv3x3bAQ/edit?resourcekey#"&amp;"gid=1321652304"",""Prop!$BF$1:$BP""),11,0),iferror(vlookup(B10,importrange(""https://docs.google.com/spreadsheets/d/1p53T2AuvvIqhP7Nf-bo3Uhj8cbKYRPpZdsrBv3x3bAQ/edit?resourcekey#gid=1321652304"",""Prop!$BQ$1:$CA""),11,0),iferror(vlookup(B10,importrange("""&amp;"https://docs.google.com/spreadsheets/d/1p53T2AuvvIqhP7Nf-bo3Uhj8cbKYRPpZdsrBv3x3bAQ/edit?resourcekey#gid=1321652304"",""Prop!$CB$1:$CL""),11,0),iferror(vlookup(B10,importrange(""https://docs.google.com/spreadsheets/d/1p53T2AuvvIqhP7Nf-bo3Uhj8cbKYRPpZdsrBv"&amp;"3x3bAQ/edit?resourcekey#gid=1321652304"",""Prop!$CM$1:$CX""),12,0),iferror(vlookup(B10,importrange(""https://docs.google.com/spreadsheets/d/1p53T2AuvvIqhP7Nf-bo3Uhj8cbKYRPpZdsrBv3x3bAQ/edit?resourcekey#gid=1321652304"",""Prop!$CY$1:$DI""),11,0)))))))))))"),"https://drive.google.com/open?id=1at32rHZq6SqsvU8WwRoUQZRYeCsNLYiR")</f>
        <v>https://drive.google.com/open?id=1at32rHZq6SqsvU8WwRoUQZRYeCsNLYiR</v>
      </c>
      <c r="R10" s="20" t="s">
        <v>867</v>
      </c>
      <c r="S10" s="20" t="str">
        <f ca="1">IFERROR(__xludf.DUMMYFUNCTION("IFERROR(vlookup(B10,IMPORTRANGE(""https://docs.google.com/spreadsheets/d/1g_jfYYK_KeipEDNDUgqgrsxK94XiocfNQIcP-v1QVhI/edit?resourcekey#gid=233272945"",""Nilai!B:CT""),66,0),"" "")"),"1. permasalahan cukup urgent, namun ide yang ditawarkan sdh relatif umum dan sederhana. kurang terlihat keterbaruan dan keunggulan ipteks nya")</f>
        <v>1. permasalahan cukup urgent, namun ide yang ditawarkan sdh relatif umum dan sederhana. kurang terlihat keterbaruan dan keunggulan ipteks nya</v>
      </c>
      <c r="T10" s="20" t="str">
        <f ca="1">IFERROR(__xludf.DUMMYFUNCTION("IFERROR(vlookup(B10,IMPORTRANGE(""https://docs.google.com/spreadsheets/d/1g_jfYYK_KeipEDNDUgqgrsxK94XiocfNQIcP-v1QVhI/edit?resourcekey#gid=233272945"",""Nilai!B:CT""),97,0),"" "")"),"TIDAK LAYAK UPLOAD KE SIMBELMAWA")</f>
        <v>TIDAK LAYAK UPLOAD KE SIMBELMAWA</v>
      </c>
      <c r="U10" s="21" t="s">
        <v>786</v>
      </c>
      <c r="V10" s="16" t="s">
        <v>868</v>
      </c>
      <c r="W10" s="18" t="s">
        <v>873</v>
      </c>
      <c r="X10" s="22" t="b">
        <v>1</v>
      </c>
    </row>
    <row r="11" spans="1:24">
      <c r="A11" s="15">
        <v>9</v>
      </c>
      <c r="B11" s="15">
        <f ca="1">IFERROR(__xludf.DUMMYFUNCTION("""COMPUTED_VALUE"""),3982)</f>
        <v>3982</v>
      </c>
      <c r="C11" s="16" t="str">
        <f ca="1">IFERROR(__xludf.DUMMYFUNCTION("""COMPUTED_VALUE"""),"Ailsashofa Alfadhila")</f>
        <v>Ailsashofa Alfadhila</v>
      </c>
      <c r="D11" s="16" t="str">
        <f ca="1">IFERROR(__xludf.DUMMYFUNCTION("""COMPUTED_VALUE"""),"08411940000003")</f>
        <v>08411940000003</v>
      </c>
      <c r="E11" s="16" t="str">
        <f ca="1">IFERROR(__xludf.DUMMYFUNCTION("""COMPUTED_VALUE"""),"Departemen Desain Interior")</f>
        <v>Departemen Desain Interior</v>
      </c>
      <c r="F11" s="16" t="str">
        <f ca="1">IFERROR(__xludf.DUMMYFUNCTION("""COMPUTED_VALUE"""),"Inovasi Desain Public Space dengan Pizoelectric Energy dan Smart Umbrella Mewujudkan Zero Net Building serta Meminimalisir Gas Emisi Karbon Perkotaan")</f>
        <v>Inovasi Desain Public Space dengan Pizoelectric Energy dan Smart Umbrella Mewujudkan Zero Net Building serta Meminimalisir Gas Emisi Karbon Perkotaan</v>
      </c>
      <c r="G11" s="16" t="str">
        <f ca="1">IFERROR(__xludf.DUMMYFUNCTION("""COMPUTED_VALUE"""),"Caesario Ari Budianto, S.T., M.T.")</f>
        <v>Caesario Ari Budianto, S.T., M.T.</v>
      </c>
      <c r="H11" s="16" t="str">
        <f ca="1">IFERROR(__xludf.DUMMYFUNCTION("""COMPUTED_VALUE"""),"Dr. I Gusti Ngurah Satriyadi Hernanda, S.T., M.T.")</f>
        <v>Dr. I Gusti Ngurah Satriyadi Hernanda, S.T., M.T.</v>
      </c>
      <c r="I11" s="16" t="str">
        <f ca="1">IFERROR(__xludf.DUMMYFUNCTION("""COMPUTED_VALUE"""),"Fardilla Rizqiyah, ST, MT")</f>
        <v>Fardilla Rizqiyah, ST, MT</v>
      </c>
      <c r="J11" s="16"/>
      <c r="K11" s="17" t="s">
        <v>872</v>
      </c>
      <c r="L11" s="18" t="s">
        <v>871</v>
      </c>
      <c r="M11" s="19" t="b">
        <v>1</v>
      </c>
      <c r="N11" s="19" t="b">
        <v>1</v>
      </c>
      <c r="O11" s="1" t="s">
        <v>874</v>
      </c>
      <c r="P11" s="7" t="str">
        <f ca="1">IFERROR(__xludf.DUMMYFUNCTION("iferror(vlookup(B11,importrange(""https://docs.google.com/spreadsheets/d/1boHyJQ4e2FU0QG8MHwEi6qjX4hvZWVCHcFfXjq7bbMc/edit?resourcekey#gid=923248883"",""Prop!$C$1:$M""),12,0),IFERROR(vlookup(B11,importrange(""https://docs.google.com/spreadsheets/d/1boHyJQ"&amp;"4e2FU0QG8MHwEi6qjX4hvZWVCHcFfXjq7bbMc/edit?resourcekey#gid=923248883"",""Prop!$N$1:$X""),11,0),iferror(vlookup(B11,importrange(""https://docs.google.com/spreadsheets/d/1boHyJQ4e2FU0QG8MHwEi6qjX4hvZWVCHcFfXjq7bbMc/edit?resourcekey#gid=923248883"",""Prop!$Y"&amp;"$1:$AI""),11,0),iferror(vlookup(B11,importrange(""https://docs.google.com/spreadsheets/d/1boHyJQ4e2FU0QG8MHwEi6qjX4hvZWVCHcFfXjq7bbMc/edit?resourcekey#gid=923248883"",""Prop!$AJ$1:$AT""),11,0),iferror(vlookup(B11,importrange(""https://docs.google.com/spre"&amp;"adsheets/d/1boHyJQ4e2FU0QG8MHwEi6qjX4hvZWVCHcFfXjq7bbMc/edit?resourcekey#gid=923248883"",""Prop!$AU$1:$BE""),11,0),iferror(vlookup(B11,importrange(""https://docs.google.com/spreadsheets/d/1boHyJQ4e2FU0QG8MHwEi6qjX4hvZWVCHcFfXjq7bbMc/edit?resourcekey#gid=9"&amp;"23248883"",""Prop!$BF$1:$BP""),11,0),iferror(vlookup(B11,importrange(""https://docs.google.com/spreadsheets/d/1boHyJQ4e2FU0QG8MHwEi6qjX4hvZWVCHcFfXjq7bbMc/edit?resourcekey#gid=923248883"",""Prop!$BQ$1:$CA""),11,0),iferror(vlookup(B11,importrange(""https:/"&amp;"/docs.google.com/spreadsheets/d/1boHyJQ4e2FU0QG8MHwEi6qjX4hvZWVCHcFfXjq7bbMc/edit?resourcekey#gid=923248883"",""Prop!$CB$1:$CL""),11,0),iferror(vlookup(B11,importrange(""https://docs.google.com/spreadsheets/d/1boHyJQ4e2FU0QG8MHwEi6qjX4hvZWVCHcFfXjq7bbMc/e"&amp;"dit?resourcekey#gid=923248883"",""Prop!$CM$1:$CX""),12,0),iferror(vlookup(B11,importrange(""https://docs.google.com/spreadsheets/d/1boHyJQ4e2FU0QG8MHwEi6qjX4hvZWVCHcFfXjq7bbMc/edit?resourcekey#gid=923248883"",""Prop!$CV$1:$DI""),11,0)))))))))))"),"https://drive.google.com/open?id=1-rzW4ywEtHuHEDgbVGJvRjLKnPMBATau")</f>
        <v>https://drive.google.com/open?id=1-rzW4ywEtHuHEDgbVGJvRjLKnPMBATau</v>
      </c>
      <c r="Q11" s="7" t="str">
        <f ca="1">IFERROR(__xludf.DUMMYFUNCTION("iferror(vlookup(B11,importrange(""https://docs.google.com/spreadsheets/d/1p53T2AuvvIqhP7Nf-bo3Uhj8cbKYRPpZdsrBv3x3bAQ/edit?resourcekey#gid=1321652304"",""Prop!$C$1:$M""),11,0),IFERROR(vlookup(B11,importrange(""https://docs.google.com/spreadsheets/d/1p53T2"&amp;"AuvvIqhP7Nf-bo3Uhj8cbKYRPpZdsrBv3x3bAQ/edit?resourcekey#gid=1321652304"",""Prop!$N$1:$X""),11,0),iferror(vlookup(B11,importrange(""https://docs.google.com/spreadsheets/d/1p53T2AuvvIqhP7Nf-bo3Uhj8cbKYRPpZdsrBv3x3bAQ/edit?resourcekey#gid=1321652304"",""Prop"&amp;"!$Y$1:$AI""),11,0),iferror(vlookup(B11,importrange(""https://docs.google.com/spreadsheets/d/1p53T2AuvvIqhP7Nf-bo3Uhj8cbKYRPpZdsrBv3x3bAQ/edit?resourcekey#gid=1321652304"",""Prop!$AJ$1:$AT""),11,0),iferror(vlookup(B11,importrange(""https://docs.google.com/"&amp;"spreadsheets/d/1p53T2AuvvIqhP7Nf-bo3Uhj8cbKYRPpZdsrBv3x3bAQ/edit?resourcekey#gid=1321652304"",""Prop!$AU$1:$BE""),11,0),iferror(vlookup(B11,importrange(""https://docs.google.com/spreadsheets/d/1p53T2AuvvIqhP7Nf-bo3Uhj8cbKYRPpZdsrBv3x3bAQ/edit?resourcekey#"&amp;"gid=1321652304"",""Prop!$BF$1:$BP""),11,0),iferror(vlookup(B11,importrange(""https://docs.google.com/spreadsheets/d/1p53T2AuvvIqhP7Nf-bo3Uhj8cbKYRPpZdsrBv3x3bAQ/edit?resourcekey#gid=1321652304"",""Prop!$BQ$1:$CA""),11,0),iferror(vlookup(B11,importrange("""&amp;"https://docs.google.com/spreadsheets/d/1p53T2AuvvIqhP7Nf-bo3Uhj8cbKYRPpZdsrBv3x3bAQ/edit?resourcekey#gid=1321652304"",""Prop!$CB$1:$CL""),11,0),iferror(vlookup(B11,importrange(""https://docs.google.com/spreadsheets/d/1p53T2AuvvIqhP7Nf-bo3Uhj8cbKYRPpZdsrBv"&amp;"3x3bAQ/edit?resourcekey#gid=1321652304"",""Prop!$CM$1:$CX""),12,0),iferror(vlookup(B11,importrange(""https://docs.google.com/spreadsheets/d/1p53T2AuvvIqhP7Nf-bo3Uhj8cbKYRPpZdsrBv3x3bAQ/edit?resourcekey#gid=1321652304"",""Prop!$CY$1:$DI""),11,0)))))))))))"),"https://drive.google.com/open?id=1fDCRvtMhbJbdTqmMsmL55OKcjdGcAI5b")</f>
        <v>https://drive.google.com/open?id=1fDCRvtMhbJbdTqmMsmL55OKcjdGcAI5b</v>
      </c>
      <c r="R11" s="20" t="s">
        <v>867</v>
      </c>
      <c r="S11" s="20" t="str">
        <f ca="1">IFERROR(__xludf.DUMMYFUNCTION("IFERROR(vlookup(B11,IMPORTRANGE(""https://docs.google.com/spreadsheets/d/1g_jfYYK_KeipEDNDUgqgrsxK94XiocfNQIcP-v1QVhI/edit?resourcekey#gid=233272945"",""Nilai!B:CT""),66,0),"" "")"),"1. Kata ""Desain"" pada judul dihapus
2. sebaiknya ada persnil yang paham IoT dan elektrik (dari Elektro)
3. Video dibuat lebih ilustratif dan bukan deskriptif")</f>
        <v>1. Kata "Desain" pada judul dihapus
2. sebaiknya ada persnil yang paham IoT dan elektrik (dari Elektro)
3. Video dibuat lebih ilustratif dan bukan deskriptif</v>
      </c>
      <c r="T11" s="20" t="str">
        <f ca="1">IFERROR(__xludf.DUMMYFUNCTION("IFERROR(vlookup(B11,IMPORTRANGE(""https://docs.google.com/spreadsheets/d/1g_jfYYK_KeipEDNDUgqgrsxK94XiocfNQIcP-v1QVhI/edit?resourcekey#gid=233272945"",""Nilai!B:CT""),97,0),"" "")"),"LAYAK UPLOAD KE SIMBELMAWA DENGAN REVISI")</f>
        <v>LAYAK UPLOAD KE SIMBELMAWA DENGAN REVISI</v>
      </c>
      <c r="U11" s="21" t="s">
        <v>786</v>
      </c>
      <c r="V11" s="16" t="s">
        <v>868</v>
      </c>
      <c r="W11" s="18" t="s">
        <v>873</v>
      </c>
      <c r="X11" s="22" t="b">
        <v>0</v>
      </c>
    </row>
    <row r="12" spans="1:24">
      <c r="A12" s="15">
        <v>10</v>
      </c>
      <c r="B12" s="15">
        <f ca="1">IFERROR(__xludf.DUMMYFUNCTION("""COMPUTED_VALUE"""),4104)</f>
        <v>4104</v>
      </c>
      <c r="C12" s="16" t="str">
        <f ca="1">IFERROR(__xludf.DUMMYFUNCTION("""COMPUTED_VALUE"""),"BELINDAH APRILEA TAN")</f>
        <v>BELINDAH APRILEA TAN</v>
      </c>
      <c r="D12" s="16" t="str">
        <f ca="1">IFERROR(__xludf.DUMMYFUNCTION("""COMPUTED_VALUE"""),"5013211044")</f>
        <v>5013211044</v>
      </c>
      <c r="E12" s="16" t="str">
        <f ca="1">IFERROR(__xludf.DUMMYFUNCTION("""COMPUTED_VALUE"""),"Departemen Arsitektur")</f>
        <v>Departemen Arsitektur</v>
      </c>
      <c r="F12" s="16" t="str">
        <f ca="1">IFERROR(__xludf.DUMMYFUNCTION("""COMPUTED_VALUE"""),"Pemanfaatan Shaft Sebagai Lahan Vertikultur dengan Sistem Smart Building Guna Mengatasi Defisit Pangan di Ibu Kota Baru
")</f>
        <v xml:space="preserve">Pemanfaatan Shaft Sebagai Lahan Vertikultur dengan Sistem Smart Building Guna Mengatasi Defisit Pangan di Ibu Kota Baru
</v>
      </c>
      <c r="G12" s="16" t="str">
        <f ca="1">IFERROR(__xludf.DUMMYFUNCTION("""COMPUTED_VALUE"""),"Rabbani Kharismawan, S.T., M.T.")</f>
        <v>Rabbani Kharismawan, S.T., M.T.</v>
      </c>
      <c r="H12" s="16" t="str">
        <f ca="1">IFERROR(__xludf.DUMMYFUNCTION("""COMPUTED_VALUE"""),"Okta Putra Setio Ardianto, S.T., M.T.")</f>
        <v>Okta Putra Setio Ardianto, S.T., M.T.</v>
      </c>
      <c r="I12" s="16" t="str">
        <f ca="1">IFERROR(__xludf.DUMMYFUNCTION("""COMPUTED_VALUE"""),"Dion Hayu Fandiantoro, S.T., M.Eng.")</f>
        <v>Dion Hayu Fandiantoro, S.T., M.Eng.</v>
      </c>
      <c r="J12" s="16"/>
      <c r="K12" s="17" t="s">
        <v>872</v>
      </c>
      <c r="L12" s="18" t="s">
        <v>871</v>
      </c>
      <c r="M12" s="19" t="b">
        <v>1</v>
      </c>
      <c r="N12" s="19" t="b">
        <v>1</v>
      </c>
      <c r="O12" s="1" t="s">
        <v>874</v>
      </c>
      <c r="P12" s="7" t="str">
        <f ca="1">IFERROR(__xludf.DUMMYFUNCTION("iferror(vlookup(B12,importrange(""https://docs.google.com/spreadsheets/d/1boHyJQ4e2FU0QG8MHwEi6qjX4hvZWVCHcFfXjq7bbMc/edit?resourcekey#gid=923248883"",""Prop!$C$1:$M""),12,0),IFERROR(vlookup(B12,importrange(""https://docs.google.com/spreadsheets/d/1boHyJQ"&amp;"4e2FU0QG8MHwEi6qjX4hvZWVCHcFfXjq7bbMc/edit?resourcekey#gid=923248883"",""Prop!$N$1:$X""),11,0),iferror(vlookup(B12,importrange(""https://docs.google.com/spreadsheets/d/1boHyJQ4e2FU0QG8MHwEi6qjX4hvZWVCHcFfXjq7bbMc/edit?resourcekey#gid=923248883"",""Prop!$Y"&amp;"$1:$AI""),11,0),iferror(vlookup(B12,importrange(""https://docs.google.com/spreadsheets/d/1boHyJQ4e2FU0QG8MHwEi6qjX4hvZWVCHcFfXjq7bbMc/edit?resourcekey#gid=923248883"",""Prop!$AJ$1:$AT""),11,0),iferror(vlookup(B12,importrange(""https://docs.google.com/spre"&amp;"adsheets/d/1boHyJQ4e2FU0QG8MHwEi6qjX4hvZWVCHcFfXjq7bbMc/edit?resourcekey#gid=923248883"",""Prop!$AU$1:$BE""),11,0),iferror(vlookup(B12,importrange(""https://docs.google.com/spreadsheets/d/1boHyJQ4e2FU0QG8MHwEi6qjX4hvZWVCHcFfXjq7bbMc/edit?resourcekey#gid=9"&amp;"23248883"",""Prop!$BF$1:$BP""),11,0),iferror(vlookup(B12,importrange(""https://docs.google.com/spreadsheets/d/1boHyJQ4e2FU0QG8MHwEi6qjX4hvZWVCHcFfXjq7bbMc/edit?resourcekey#gid=923248883"",""Prop!$BQ$1:$CA""),11,0),iferror(vlookup(B12,importrange(""https:/"&amp;"/docs.google.com/spreadsheets/d/1boHyJQ4e2FU0QG8MHwEi6qjX4hvZWVCHcFfXjq7bbMc/edit?resourcekey#gid=923248883"",""Prop!$CB$1:$CL""),11,0),iferror(vlookup(B12,importrange(""https://docs.google.com/spreadsheets/d/1boHyJQ4e2FU0QG8MHwEi6qjX4hvZWVCHcFfXjq7bbMc/e"&amp;"dit?resourcekey#gid=923248883"",""Prop!$CM$1:$CX""),12,0),iferror(vlookup(B12,importrange(""https://docs.google.com/spreadsheets/d/1boHyJQ4e2FU0QG8MHwEi6qjX4hvZWVCHcFfXjq7bbMc/edit?resourcekey#gid=923248883"",""Prop!$CV$1:$DI""),11,0)))))))))))"),"https://drive.google.com/open?id=1QS8s_AsqcvfnSHotL3lyRP8iAKfuS5rR")</f>
        <v>https://drive.google.com/open?id=1QS8s_AsqcvfnSHotL3lyRP8iAKfuS5rR</v>
      </c>
      <c r="Q12" s="7" t="str">
        <f ca="1">IFERROR(__xludf.DUMMYFUNCTION("iferror(vlookup(B12,importrange(""https://docs.google.com/spreadsheets/d/1p53T2AuvvIqhP7Nf-bo3Uhj8cbKYRPpZdsrBv3x3bAQ/edit?resourcekey#gid=1321652304"",""Prop!$C$1:$M""),11,0),IFERROR(vlookup(B12,importrange(""https://docs.google.com/spreadsheets/d/1p53T2"&amp;"AuvvIqhP7Nf-bo3Uhj8cbKYRPpZdsrBv3x3bAQ/edit?resourcekey#gid=1321652304"",""Prop!$N$1:$X""),11,0),iferror(vlookup(B12,importrange(""https://docs.google.com/spreadsheets/d/1p53T2AuvvIqhP7Nf-bo3Uhj8cbKYRPpZdsrBv3x3bAQ/edit?resourcekey#gid=1321652304"",""Prop"&amp;"!$Y$1:$AI""),11,0),iferror(vlookup(B12,importrange(""https://docs.google.com/spreadsheets/d/1p53T2AuvvIqhP7Nf-bo3Uhj8cbKYRPpZdsrBv3x3bAQ/edit?resourcekey#gid=1321652304"",""Prop!$AJ$1:$AT""),11,0),iferror(vlookup(B12,importrange(""https://docs.google.com/"&amp;"spreadsheets/d/1p53T2AuvvIqhP7Nf-bo3Uhj8cbKYRPpZdsrBv3x3bAQ/edit?resourcekey#gid=1321652304"",""Prop!$AU$1:$BE""),11,0),iferror(vlookup(B12,importrange(""https://docs.google.com/spreadsheets/d/1p53T2AuvvIqhP7Nf-bo3Uhj8cbKYRPpZdsrBv3x3bAQ/edit?resourcekey#"&amp;"gid=1321652304"",""Prop!$BF$1:$BP""),11,0),iferror(vlookup(B12,importrange(""https://docs.google.com/spreadsheets/d/1p53T2AuvvIqhP7Nf-bo3Uhj8cbKYRPpZdsrBv3x3bAQ/edit?resourcekey#gid=1321652304"",""Prop!$BQ$1:$CA""),11,0),iferror(vlookup(B12,importrange("""&amp;"https://docs.google.com/spreadsheets/d/1p53T2AuvvIqhP7Nf-bo3Uhj8cbKYRPpZdsrBv3x3bAQ/edit?resourcekey#gid=1321652304"",""Prop!$CB$1:$CL""),11,0),iferror(vlookup(B12,importrange(""https://docs.google.com/spreadsheets/d/1p53T2AuvvIqhP7Nf-bo3Uhj8cbKYRPpZdsrBv"&amp;"3x3bAQ/edit?resourcekey#gid=1321652304"",""Prop!$CM$1:$CX""),12,0),iferror(vlookup(B12,importrange(""https://docs.google.com/spreadsheets/d/1p53T2AuvvIqhP7Nf-bo3Uhj8cbKYRPpZdsrBv3x3bAQ/edit?resourcekey#gid=1321652304"",""Prop!$CY$1:$DI""),11,0)))))))))))"),"https://drive.google.com/open?id=12MgQ5wD1wmqyW1sPQY__oygLBjAk3TJi")</f>
        <v>https://drive.google.com/open?id=12MgQ5wD1wmqyW1sPQY__oygLBjAk3TJi</v>
      </c>
      <c r="R12" s="20" t="s">
        <v>867</v>
      </c>
      <c r="S12" s="20" t="str">
        <f ca="1">IFERROR(__xludf.DUMMYFUNCTION("IFERROR(vlookup(B12,IMPORTRANGE(""https://docs.google.com/spreadsheets/d/1g_jfYYK_KeipEDNDUgqgrsxK94XiocfNQIcP-v1QVhI/edit?resourcekey#gid=233272945"",""Nilai!B:CT""),66,0),"" "")"),"1, ide seperti ini sudah cukup umum di skema GFT, walaupun beda skema, namun secara ide sdh relatif umum
2. pertanian memiliki nilai produksi yang rendah, dengan teknologi yang spt ini spt nya tidak ekonomis
3. bila ide ini dikaitkan dg ekowisata berbasis"&amp;" pertanian mungkin bisa lebih ekonomis")</f>
        <v>1, ide seperti ini sudah cukup umum di skema GFT, walaupun beda skema, namun secara ide sdh relatif umum
2. pertanian memiliki nilai produksi yang rendah, dengan teknologi yang spt ini spt nya tidak ekonomis
3. bila ide ini dikaitkan dg ekowisata berbasis pertanian mungkin bisa lebih ekonomis</v>
      </c>
      <c r="T12" s="20" t="str">
        <f ca="1">IFERROR(__xludf.DUMMYFUNCTION("IFERROR(vlookup(B12,IMPORTRANGE(""https://docs.google.com/spreadsheets/d/1g_jfYYK_KeipEDNDUgqgrsxK94XiocfNQIcP-v1QVhI/edit?resourcekey#gid=233272945"",""Nilai!B:CT""),97,0),"" "")"),"TIDAK LAYAK UPLOAD KE SIMBELMAWA")</f>
        <v>TIDAK LAYAK UPLOAD KE SIMBELMAWA</v>
      </c>
      <c r="U12" s="21" t="s">
        <v>786</v>
      </c>
      <c r="V12" s="16" t="s">
        <v>868</v>
      </c>
      <c r="W12" s="18" t="s">
        <v>873</v>
      </c>
      <c r="X12" s="22" t="b">
        <v>0</v>
      </c>
    </row>
    <row r="13" spans="1:24">
      <c r="A13" s="15">
        <v>11</v>
      </c>
      <c r="B13" s="15">
        <f ca="1">IFERROR(__xludf.DUMMYFUNCTION("""COMPUTED_VALUE"""),3770)</f>
        <v>3770</v>
      </c>
      <c r="C13" s="16" t="str">
        <f ca="1">IFERROR(__xludf.DUMMYFUNCTION("""COMPUTED_VALUE"""),"FADILLA RATRI NURISHA")</f>
        <v>FADILLA RATRI NURISHA</v>
      </c>
      <c r="D13" s="16" t="str">
        <f ca="1">IFERROR(__xludf.DUMMYFUNCTION("""COMPUTED_VALUE"""),"5029201009")</f>
        <v>5029201009</v>
      </c>
      <c r="E13" s="16" t="str">
        <f ca="1">IFERROR(__xludf.DUMMYFUNCTION("""COMPUTED_VALUE"""),"Departemen Desain Interior")</f>
        <v>Departemen Desain Interior</v>
      </c>
      <c r="F13" s="16" t="str">
        <f ca="1">IFERROR(__xludf.DUMMYFUNCTION("""COMPUTED_VALUE"""),"Desain Hunian Cerdas Terintegrasi IoT sebagai Upaya Penanggulangan Dampak Asap Kebakaran Hutan di Wilayah Ibu Kota Negara (IKN)
")</f>
        <v xml:space="preserve">Desain Hunian Cerdas Terintegrasi IoT sebagai Upaya Penanggulangan Dampak Asap Kebakaran Hutan di Wilayah Ibu Kota Negara (IKN)
</v>
      </c>
      <c r="G13" s="16" t="str">
        <f ca="1">IFERROR(__xludf.DUMMYFUNCTION("""COMPUTED_VALUE"""),"Okta Putra Setio Ardianto, S.T., M.T.")</f>
        <v>Okta Putra Setio Ardianto, S.T., M.T.</v>
      </c>
      <c r="H13" s="16" t="str">
        <f ca="1">IFERROR(__xludf.DUMMYFUNCTION("""COMPUTED_VALUE"""),"Dr. I Gusti Ngurah Satriyadi Hernanda, S.T., M.T.")</f>
        <v>Dr. I Gusti Ngurah Satriyadi Hernanda, S.T., M.T.</v>
      </c>
      <c r="I13" s="16" t="str">
        <f ca="1">IFERROR(__xludf.DUMMYFUNCTION("""COMPUTED_VALUE"""),"Dr.Eng. Yuda Apri Hermawan, S.T., M.T.")</f>
        <v>Dr.Eng. Yuda Apri Hermawan, S.T., M.T.</v>
      </c>
      <c r="J13" s="16"/>
      <c r="K13" s="17" t="s">
        <v>872</v>
      </c>
      <c r="L13" s="18" t="s">
        <v>875</v>
      </c>
      <c r="M13" s="19" t="b">
        <v>1</v>
      </c>
      <c r="N13" s="19" t="b">
        <v>1</v>
      </c>
      <c r="O13" s="1" t="s">
        <v>874</v>
      </c>
      <c r="P13" s="7" t="str">
        <f ca="1">IFERROR(__xludf.DUMMYFUNCTION("iferror(vlookup(B13,importrange(""https://docs.google.com/spreadsheets/d/1boHyJQ4e2FU0QG8MHwEi6qjX4hvZWVCHcFfXjq7bbMc/edit?resourcekey#gid=923248883"",""Prop!$C$1:$M""),12,0),IFERROR(vlookup(B13,importrange(""https://docs.google.com/spreadsheets/d/1boHyJQ"&amp;"4e2FU0QG8MHwEi6qjX4hvZWVCHcFfXjq7bbMc/edit?resourcekey#gid=923248883"",""Prop!$N$1:$X""),11,0),iferror(vlookup(B13,importrange(""https://docs.google.com/spreadsheets/d/1boHyJQ4e2FU0QG8MHwEi6qjX4hvZWVCHcFfXjq7bbMc/edit?resourcekey#gid=923248883"",""Prop!$Y"&amp;"$1:$AI""),11,0),iferror(vlookup(B13,importrange(""https://docs.google.com/spreadsheets/d/1boHyJQ4e2FU0QG8MHwEi6qjX4hvZWVCHcFfXjq7bbMc/edit?resourcekey#gid=923248883"",""Prop!$AJ$1:$AT""),11,0),iferror(vlookup(B13,importrange(""https://docs.google.com/spre"&amp;"adsheets/d/1boHyJQ4e2FU0QG8MHwEi6qjX4hvZWVCHcFfXjq7bbMc/edit?resourcekey#gid=923248883"",""Prop!$AU$1:$BE""),11,0),iferror(vlookup(B13,importrange(""https://docs.google.com/spreadsheets/d/1boHyJQ4e2FU0QG8MHwEi6qjX4hvZWVCHcFfXjq7bbMc/edit?resourcekey#gid=9"&amp;"23248883"",""Prop!$BF$1:$BP""),11,0),iferror(vlookup(B13,importrange(""https://docs.google.com/spreadsheets/d/1boHyJQ4e2FU0QG8MHwEi6qjX4hvZWVCHcFfXjq7bbMc/edit?resourcekey#gid=923248883"",""Prop!$BQ$1:$CA""),11,0),iferror(vlookup(B13,importrange(""https:/"&amp;"/docs.google.com/spreadsheets/d/1boHyJQ4e2FU0QG8MHwEi6qjX4hvZWVCHcFfXjq7bbMc/edit?resourcekey#gid=923248883"",""Prop!$CB$1:$CL""),11,0),iferror(vlookup(B13,importrange(""https://docs.google.com/spreadsheets/d/1boHyJQ4e2FU0QG8MHwEi6qjX4hvZWVCHcFfXjq7bbMc/e"&amp;"dit?resourcekey#gid=923248883"",""Prop!$CM$1:$CX""),12,0),iferror(vlookup(B13,importrange(""https://docs.google.com/spreadsheets/d/1boHyJQ4e2FU0QG8MHwEi6qjX4hvZWVCHcFfXjq7bbMc/edit?resourcekey#gid=923248883"",""Prop!$CV$1:$DI""),11,0)))))))))))"),"https://drive.google.com/open?id=1O2joHMn2Fac41qvVLQ7Zp6jPcIRPC83C")</f>
        <v>https://drive.google.com/open?id=1O2joHMn2Fac41qvVLQ7Zp6jPcIRPC83C</v>
      </c>
      <c r="Q13" s="7" t="str">
        <f ca="1">IFERROR(__xludf.DUMMYFUNCTION("iferror(vlookup(B13,importrange(""https://docs.google.com/spreadsheets/d/1p53T2AuvvIqhP7Nf-bo3Uhj8cbKYRPpZdsrBv3x3bAQ/edit?resourcekey#gid=1321652304"",""Prop!$C$1:$M""),11,0),IFERROR(vlookup(B13,importrange(""https://docs.google.com/spreadsheets/d/1p53T2"&amp;"AuvvIqhP7Nf-bo3Uhj8cbKYRPpZdsrBv3x3bAQ/edit?resourcekey#gid=1321652304"",""Prop!$N$1:$X""),11,0),iferror(vlookup(B13,importrange(""https://docs.google.com/spreadsheets/d/1p53T2AuvvIqhP7Nf-bo3Uhj8cbKYRPpZdsrBv3x3bAQ/edit?resourcekey#gid=1321652304"",""Prop"&amp;"!$Y$1:$AI""),11,0),iferror(vlookup(B13,importrange(""https://docs.google.com/spreadsheets/d/1p53T2AuvvIqhP7Nf-bo3Uhj8cbKYRPpZdsrBv3x3bAQ/edit?resourcekey#gid=1321652304"",""Prop!$AJ$1:$AT""),11,0),iferror(vlookup(B13,importrange(""https://docs.google.com/"&amp;"spreadsheets/d/1p53T2AuvvIqhP7Nf-bo3Uhj8cbKYRPpZdsrBv3x3bAQ/edit?resourcekey#gid=1321652304"",""Prop!$AU$1:$BE""),11,0),iferror(vlookup(B13,importrange(""https://docs.google.com/spreadsheets/d/1p53T2AuvvIqhP7Nf-bo3Uhj8cbKYRPpZdsrBv3x3bAQ/edit?resourcekey#"&amp;"gid=1321652304"",""Prop!$BF$1:$BP""),11,0),iferror(vlookup(B13,importrange(""https://docs.google.com/spreadsheets/d/1p53T2AuvvIqhP7Nf-bo3Uhj8cbKYRPpZdsrBv3x3bAQ/edit?resourcekey#gid=1321652304"",""Prop!$BQ$1:$CA""),11,0),iferror(vlookup(B13,importrange("""&amp;"https://docs.google.com/spreadsheets/d/1p53T2AuvvIqhP7Nf-bo3Uhj8cbKYRPpZdsrBv3x3bAQ/edit?resourcekey#gid=1321652304"",""Prop!$CB$1:$CL""),11,0),iferror(vlookup(B13,importrange(""https://docs.google.com/spreadsheets/d/1p53T2AuvvIqhP7Nf-bo3Uhj8cbKYRPpZdsrBv"&amp;"3x3bAQ/edit?resourcekey#gid=1321652304"",""Prop!$CM$1:$CX""),12,0),iferror(vlookup(B13,importrange(""https://docs.google.com/spreadsheets/d/1p53T2AuvvIqhP7Nf-bo3Uhj8cbKYRPpZdsrBv3x3bAQ/edit?resourcekey#gid=1321652304"",""Prop!$CY$1:$DI""),11,0)))))))))))"),"https://drive.google.com/open?id=1XtMOCm1LWdw_SFytpQV4Se7iHSamsKbO")</f>
        <v>https://drive.google.com/open?id=1XtMOCm1LWdw_SFytpQV4Se7iHSamsKbO</v>
      </c>
      <c r="R13" s="20" t="s">
        <v>867</v>
      </c>
      <c r="S13" s="20" t="str">
        <f ca="1">IFERROR(__xludf.DUMMYFUNCTION("IFERROR(vlookup(B13,IMPORTRANGE(""https://docs.google.com/spreadsheets/d/1g_jfYYK_KeipEDNDUgqgrsxK94XiocfNQIcP-v1QVhI/edit?resourcekey#gid=233272945"",""Nilai!B:CT""),66,0),"" "")"),"1. perkuat keterbaruan gagasan di bab pendahuluan
2. konten video yang inspiratif, bukan deskriptif")</f>
        <v>1. perkuat keterbaruan gagasan di bab pendahuluan
2. konten video yang inspiratif, bukan deskriptif</v>
      </c>
      <c r="T13" s="20" t="str">
        <f ca="1">IFERROR(__xludf.DUMMYFUNCTION("IFERROR(vlookup(B13,IMPORTRANGE(""https://docs.google.com/spreadsheets/d/1g_jfYYK_KeipEDNDUgqgrsxK94XiocfNQIcP-v1QVhI/edit?resourcekey#gid=233272945"",""Nilai!B:CT""),97,0),"" "")"),"LAYAK UPLOAD KE SIMBELMAWA DENGAN REVISI")</f>
        <v>LAYAK UPLOAD KE SIMBELMAWA DENGAN REVISI</v>
      </c>
      <c r="U13" s="21" t="s">
        <v>786</v>
      </c>
      <c r="V13" s="16" t="s">
        <v>868</v>
      </c>
      <c r="W13" s="18" t="s">
        <v>873</v>
      </c>
      <c r="X13" s="22" t="b">
        <v>1</v>
      </c>
    </row>
    <row r="14" spans="1:24">
      <c r="A14" s="15">
        <v>12</v>
      </c>
      <c r="B14" s="15">
        <f ca="1">IFERROR(__xludf.DUMMYFUNCTION("""COMPUTED_VALUE"""),3866)</f>
        <v>3866</v>
      </c>
      <c r="C14" s="16" t="str">
        <f ca="1">IFERROR(__xludf.DUMMYFUNCTION("""COMPUTED_VALUE"""),"SHEILA LITA")</f>
        <v>SHEILA LITA</v>
      </c>
      <c r="D14" s="16" t="str">
        <f ca="1">IFERROR(__xludf.DUMMYFUNCTION("""COMPUTED_VALUE"""),"08411940000056")</f>
        <v>08411940000056</v>
      </c>
      <c r="E14" s="16" t="str">
        <f ca="1">IFERROR(__xludf.DUMMYFUNCTION("""COMPUTED_VALUE"""),"Departemen Desain Interior")</f>
        <v>Departemen Desain Interior</v>
      </c>
      <c r="F14" s="16" t="str">
        <f ca="1">IFERROR(__xludf.DUMMYFUNCTION("""COMPUTED_VALUE"""),"Rancangan Sekolah Kebudayaan yang Interaktif Berbasis Teknologi sebagai Upaya Membawa Budaya Lokal ke Ranah Internasional")</f>
        <v>Rancangan Sekolah Kebudayaan yang Interaktif Berbasis Teknologi sebagai Upaya Membawa Budaya Lokal ke Ranah Internasional</v>
      </c>
      <c r="G14" s="16" t="str">
        <f ca="1">IFERROR(__xludf.DUMMYFUNCTION("""COMPUTED_VALUE"""),"Ir. Nanik Rachmaniyah, M.T.")</f>
        <v>Ir. Nanik Rachmaniyah, M.T.</v>
      </c>
      <c r="H14" s="16" t="str">
        <f ca="1">IFERROR(__xludf.DUMMYFUNCTION("""COMPUTED_VALUE"""),"Dr. I Gusti Ngurah Satriyadi Hernanda, S.T., M.T.")</f>
        <v>Dr. I Gusti Ngurah Satriyadi Hernanda, S.T., M.T.</v>
      </c>
      <c r="I14" s="16" t="str">
        <f ca="1">IFERROR(__xludf.DUMMYFUNCTION("""COMPUTED_VALUE"""),"Fardilla Rizqiyah, ST, MT")</f>
        <v>Fardilla Rizqiyah, ST, MT</v>
      </c>
      <c r="J14" s="16"/>
      <c r="K14" s="17" t="s">
        <v>872</v>
      </c>
      <c r="L14" s="18" t="s">
        <v>875</v>
      </c>
      <c r="M14" s="19" t="b">
        <v>0</v>
      </c>
      <c r="N14" s="19" t="b">
        <v>0</v>
      </c>
      <c r="O14" s="1" t="s">
        <v>874</v>
      </c>
      <c r="P14" s="7" t="str">
        <f ca="1">IFERROR(__xludf.DUMMYFUNCTION("iferror(vlookup(B14,importrange(""https://docs.google.com/spreadsheets/d/1boHyJQ4e2FU0QG8MHwEi6qjX4hvZWVCHcFfXjq7bbMc/edit?resourcekey#gid=923248883"",""Prop!$C$1:$M""),12,0),IFERROR(vlookup(B14,importrange(""https://docs.google.com/spreadsheets/d/1boHyJQ"&amp;"4e2FU0QG8MHwEi6qjX4hvZWVCHcFfXjq7bbMc/edit?resourcekey#gid=923248883"",""Prop!$N$1:$X""),11,0),iferror(vlookup(B14,importrange(""https://docs.google.com/spreadsheets/d/1boHyJQ4e2FU0QG8MHwEi6qjX4hvZWVCHcFfXjq7bbMc/edit?resourcekey#gid=923248883"",""Prop!$Y"&amp;"$1:$AI""),11,0),iferror(vlookup(B14,importrange(""https://docs.google.com/spreadsheets/d/1boHyJQ4e2FU0QG8MHwEi6qjX4hvZWVCHcFfXjq7bbMc/edit?resourcekey#gid=923248883"",""Prop!$AJ$1:$AT""),11,0),iferror(vlookup(B14,importrange(""https://docs.google.com/spre"&amp;"adsheets/d/1boHyJQ4e2FU0QG8MHwEi6qjX4hvZWVCHcFfXjq7bbMc/edit?resourcekey#gid=923248883"",""Prop!$AU$1:$BE""),11,0),iferror(vlookup(B14,importrange(""https://docs.google.com/spreadsheets/d/1boHyJQ4e2FU0QG8MHwEi6qjX4hvZWVCHcFfXjq7bbMc/edit?resourcekey#gid=9"&amp;"23248883"",""Prop!$BF$1:$BP""),11,0),iferror(vlookup(B14,importrange(""https://docs.google.com/spreadsheets/d/1boHyJQ4e2FU0QG8MHwEi6qjX4hvZWVCHcFfXjq7bbMc/edit?resourcekey#gid=923248883"",""Prop!$BQ$1:$CA""),11,0),iferror(vlookup(B14,importrange(""https:/"&amp;"/docs.google.com/spreadsheets/d/1boHyJQ4e2FU0QG8MHwEi6qjX4hvZWVCHcFfXjq7bbMc/edit?resourcekey#gid=923248883"",""Prop!$CB$1:$CL""),11,0),iferror(vlookup(B14,importrange(""https://docs.google.com/spreadsheets/d/1boHyJQ4e2FU0QG8MHwEi6qjX4hvZWVCHcFfXjq7bbMc/e"&amp;"dit?resourcekey#gid=923248883"",""Prop!$CM$1:$CX""),12,0),iferror(vlookup(B14,importrange(""https://docs.google.com/spreadsheets/d/1boHyJQ4e2FU0QG8MHwEi6qjX4hvZWVCHcFfXjq7bbMc/edit?resourcekey#gid=923248883"",""Prop!$CV$1:$DI""),11,0)))))))))))"),"https://drive.google.com/open?id=19o1vy430GVAyqZJotdPmm9Hn6aHhb2vx")</f>
        <v>https://drive.google.com/open?id=19o1vy430GVAyqZJotdPmm9Hn6aHhb2vx</v>
      </c>
      <c r="Q14" s="7" t="str">
        <f ca="1">IFERROR(__xludf.DUMMYFUNCTION("iferror(vlookup(B14,importrange(""https://docs.google.com/spreadsheets/d/1p53T2AuvvIqhP7Nf-bo3Uhj8cbKYRPpZdsrBv3x3bAQ/edit?resourcekey#gid=1321652304"",""Prop!$C$1:$M""),11,0),IFERROR(vlookup(B14,importrange(""https://docs.google.com/spreadsheets/d/1p53T2"&amp;"AuvvIqhP7Nf-bo3Uhj8cbKYRPpZdsrBv3x3bAQ/edit?resourcekey#gid=1321652304"",""Prop!$N$1:$X""),11,0),iferror(vlookup(B14,importrange(""https://docs.google.com/spreadsheets/d/1p53T2AuvvIqhP7Nf-bo3Uhj8cbKYRPpZdsrBv3x3bAQ/edit?resourcekey#gid=1321652304"",""Prop"&amp;"!$Y$1:$AI""),11,0),iferror(vlookup(B14,importrange(""https://docs.google.com/spreadsheets/d/1p53T2AuvvIqhP7Nf-bo3Uhj8cbKYRPpZdsrBv3x3bAQ/edit?resourcekey#gid=1321652304"",""Prop!$AJ$1:$AT""),11,0),iferror(vlookup(B14,importrange(""https://docs.google.com/"&amp;"spreadsheets/d/1p53T2AuvvIqhP7Nf-bo3Uhj8cbKYRPpZdsrBv3x3bAQ/edit?resourcekey#gid=1321652304"",""Prop!$AU$1:$BE""),11,0),iferror(vlookup(B14,importrange(""https://docs.google.com/spreadsheets/d/1p53T2AuvvIqhP7Nf-bo3Uhj8cbKYRPpZdsrBv3x3bAQ/edit?resourcekey#"&amp;"gid=1321652304"",""Prop!$BF$1:$BP""),11,0),iferror(vlookup(B14,importrange(""https://docs.google.com/spreadsheets/d/1p53T2AuvvIqhP7Nf-bo3Uhj8cbKYRPpZdsrBv3x3bAQ/edit?resourcekey#gid=1321652304"",""Prop!$BQ$1:$CA""),11,0),iferror(vlookup(B14,importrange("""&amp;"https://docs.google.com/spreadsheets/d/1p53T2AuvvIqhP7Nf-bo3Uhj8cbKYRPpZdsrBv3x3bAQ/edit?resourcekey#gid=1321652304"",""Prop!$CB$1:$CL""),11,0),iferror(vlookup(B14,importrange(""https://docs.google.com/spreadsheets/d/1p53T2AuvvIqhP7Nf-bo3Uhj8cbKYRPpZdsrBv"&amp;"3x3bAQ/edit?resourcekey#gid=1321652304"",""Prop!$CM$1:$CX""),12,0),iferror(vlookup(B14,importrange(""https://docs.google.com/spreadsheets/d/1p53T2AuvvIqhP7Nf-bo3Uhj8cbKYRPpZdsrBv3x3bAQ/edit?resourcekey#gid=1321652304"",""Prop!$CY$1:$DI""),11,0)))))))))))"),"https://drive.google.com/open?id=1RmR4I9GAd_3PtOhBYP-Ug5Eb7DL8vCOW")</f>
        <v>https://drive.google.com/open?id=1RmR4I9GAd_3PtOhBYP-Ug5Eb7DL8vCOW</v>
      </c>
      <c r="R14" s="20" t="s">
        <v>867</v>
      </c>
      <c r="S14" s="20" t="str">
        <f ca="1">IFERROR(__xludf.DUMMYFUNCTION("IFERROR(vlookup(B14,IMPORTRANGE(""https://docs.google.com/spreadsheets/d/1g_jfYYK_KeipEDNDUgqgrsxK94XiocfNQIcP-v1QVhI/edit?resourcekey#gid=233272945"",""Nilai!B:CT""),66,0),"" "")"),"1. judul sebaiknya tdk ada kata ""rancangan""
2. ipteks yang digunakan sebaiknya berbasis metaverse, sehingga lebih cepat bisa lebih inklusif dan mudah diakses dari masyarakat luar negeri")</f>
        <v>1. judul sebaiknya tdk ada kata "rancangan"
2. ipteks yang digunakan sebaiknya berbasis metaverse, sehingga lebih cepat bisa lebih inklusif dan mudah diakses dari masyarakat luar negeri</v>
      </c>
      <c r="T14" s="20" t="str">
        <f ca="1">IFERROR(__xludf.DUMMYFUNCTION("IFERROR(vlookup(B14,IMPORTRANGE(""https://docs.google.com/spreadsheets/d/1g_jfYYK_KeipEDNDUgqgrsxK94XiocfNQIcP-v1QVhI/edit?resourcekey#gid=233272945"",""Nilai!B:CT""),97,0),"" "")"),"LAYAK UPLOAD KE SIMBELMAWA DENGAN REVISI")</f>
        <v>LAYAK UPLOAD KE SIMBELMAWA DENGAN REVISI</v>
      </c>
      <c r="U14" s="21" t="s">
        <v>786</v>
      </c>
      <c r="V14" s="16" t="s">
        <v>868</v>
      </c>
      <c r="W14" s="18" t="s">
        <v>876</v>
      </c>
      <c r="X14" s="22" t="b">
        <v>1</v>
      </c>
    </row>
    <row r="15" spans="1:24">
      <c r="A15" s="15">
        <v>13</v>
      </c>
      <c r="B15" s="15">
        <f ca="1">IFERROR(__xludf.DUMMYFUNCTION("""COMPUTED_VALUE"""),2470)</f>
        <v>2470</v>
      </c>
      <c r="C15" s="16" t="str">
        <f ca="1">IFERROR(__xludf.DUMMYFUNCTION("""COMPUTED_VALUE"""),"Dhenie Prakash Prasetyo")</f>
        <v>Dhenie Prakash Prasetyo</v>
      </c>
      <c r="D15" s="16" t="str">
        <f ca="1">IFERROR(__xludf.DUMMYFUNCTION("""COMPUTED_VALUE"""),"07111940000063")</f>
        <v>07111940000063</v>
      </c>
      <c r="E15" s="16" t="str">
        <f ca="1">IFERROR(__xludf.DUMMYFUNCTION("""COMPUTED_VALUE"""),"Departemen Teknik Elektro")</f>
        <v>Departemen Teknik Elektro</v>
      </c>
      <c r="F15" s="16" t="str">
        <f ca="1">IFERROR(__xludf.DUMMYFUNCTION("""COMPUTED_VALUE"""),"Sistem Transportasi Berbasis Fuel Cell dan Hidrogen Generator di Ibu Kota Baru Indonesia Sebagai Perwujudan Net Zero Emission 2050")</f>
        <v>Sistem Transportasi Berbasis Fuel Cell dan Hidrogen Generator di Ibu Kota Baru Indonesia Sebagai Perwujudan Net Zero Emission 2050</v>
      </c>
      <c r="G15" s="16" t="str">
        <f ca="1">IFERROR(__xludf.DUMMYFUNCTION("""COMPUTED_VALUE"""),"Vita Lystianingrum Budiharto Putri, S.T., M.Sc., Ph.D.")</f>
        <v>Vita Lystianingrum Budiharto Putri, S.T., M.Sc., Ph.D.</v>
      </c>
      <c r="H15" s="16" t="str">
        <f ca="1">IFERROR(__xludf.DUMMYFUNCTION("""COMPUTED_VALUE"""),"Putu Gde Ariastita, S.T., M.T.")</f>
        <v>Putu Gde Ariastita, S.T., M.T.</v>
      </c>
      <c r="I15" s="16" t="str">
        <f ca="1">IFERROR(__xludf.DUMMYFUNCTION("""COMPUTED_VALUE"""),"Fardilla Rizqiyah, ST, MT")</f>
        <v>Fardilla Rizqiyah, ST, MT</v>
      </c>
      <c r="J15" s="16"/>
      <c r="K15" s="17" t="s">
        <v>877</v>
      </c>
      <c r="L15" s="18" t="s">
        <v>875</v>
      </c>
      <c r="M15" s="19" t="b">
        <v>1</v>
      </c>
      <c r="N15" s="19" t="b">
        <v>1</v>
      </c>
      <c r="O15" s="1" t="s">
        <v>874</v>
      </c>
      <c r="P15" s="7" t="str">
        <f ca="1">IFERROR(__xludf.DUMMYFUNCTION("iferror(vlookup(B15,importrange(""https://docs.google.com/spreadsheets/d/1boHyJQ4e2FU0QG8MHwEi6qjX4hvZWVCHcFfXjq7bbMc/edit?resourcekey#gid=923248883"",""Prop!$C$1:$M""),12,0),IFERROR(vlookup(B15,importrange(""https://docs.google.com/spreadsheets/d/1boHyJQ"&amp;"4e2FU0QG8MHwEi6qjX4hvZWVCHcFfXjq7bbMc/edit?resourcekey#gid=923248883"",""Prop!$N$1:$X""),11,0),iferror(vlookup(B15,importrange(""https://docs.google.com/spreadsheets/d/1boHyJQ4e2FU0QG8MHwEi6qjX4hvZWVCHcFfXjq7bbMc/edit?resourcekey#gid=923248883"",""Prop!$Y"&amp;"$1:$AI""),11,0),iferror(vlookup(B15,importrange(""https://docs.google.com/spreadsheets/d/1boHyJQ4e2FU0QG8MHwEi6qjX4hvZWVCHcFfXjq7bbMc/edit?resourcekey#gid=923248883"",""Prop!$AJ$1:$AT""),11,0),iferror(vlookup(B15,importrange(""https://docs.google.com/spre"&amp;"adsheets/d/1boHyJQ4e2FU0QG8MHwEi6qjX4hvZWVCHcFfXjq7bbMc/edit?resourcekey#gid=923248883"",""Prop!$AU$1:$BE""),11,0),iferror(vlookup(B15,importrange(""https://docs.google.com/spreadsheets/d/1boHyJQ4e2FU0QG8MHwEi6qjX4hvZWVCHcFfXjq7bbMc/edit?resourcekey#gid=9"&amp;"23248883"",""Prop!$BF$1:$BP""),11,0),iferror(vlookup(B15,importrange(""https://docs.google.com/spreadsheets/d/1boHyJQ4e2FU0QG8MHwEi6qjX4hvZWVCHcFfXjq7bbMc/edit?resourcekey#gid=923248883"",""Prop!$BQ$1:$CA""),11,0),iferror(vlookup(B15,importrange(""https:/"&amp;"/docs.google.com/spreadsheets/d/1boHyJQ4e2FU0QG8MHwEi6qjX4hvZWVCHcFfXjq7bbMc/edit?resourcekey#gid=923248883"",""Prop!$CB$1:$CL""),11,0),iferror(vlookup(B15,importrange(""https://docs.google.com/spreadsheets/d/1boHyJQ4e2FU0QG8MHwEi6qjX4hvZWVCHcFfXjq7bbMc/e"&amp;"dit?resourcekey#gid=923248883"",""Prop!$CM$1:$CX""),12,0),iferror(vlookup(B15,importrange(""https://docs.google.com/spreadsheets/d/1boHyJQ4e2FU0QG8MHwEi6qjX4hvZWVCHcFfXjq7bbMc/edit?resourcekey#gid=923248883"",""Prop!$CV$1:$DI""),11,0)))))))))))"),"https://drive.google.com/open?id=19CwBDGNNOMKTBjIAuWYXrXBAp4TQH9DG")</f>
        <v>https://drive.google.com/open?id=19CwBDGNNOMKTBjIAuWYXrXBAp4TQH9DG</v>
      </c>
      <c r="Q15" s="7" t="str">
        <f ca="1">IFERROR(__xludf.DUMMYFUNCTION("iferror(vlookup(B15,importrange(""https://docs.google.com/spreadsheets/d/1p53T2AuvvIqhP7Nf-bo3Uhj8cbKYRPpZdsrBv3x3bAQ/edit?resourcekey#gid=1321652304"",""Prop!$C$1:$M""),11,0),IFERROR(vlookup(B15,importrange(""https://docs.google.com/spreadsheets/d/1p53T2"&amp;"AuvvIqhP7Nf-bo3Uhj8cbKYRPpZdsrBv3x3bAQ/edit?resourcekey#gid=1321652304"",""Prop!$N$1:$X""),11,0),iferror(vlookup(B15,importrange(""https://docs.google.com/spreadsheets/d/1p53T2AuvvIqhP7Nf-bo3Uhj8cbKYRPpZdsrBv3x3bAQ/edit?resourcekey#gid=1321652304"",""Prop"&amp;"!$Y$1:$AI""),11,0),iferror(vlookup(B15,importrange(""https://docs.google.com/spreadsheets/d/1p53T2AuvvIqhP7Nf-bo3Uhj8cbKYRPpZdsrBv3x3bAQ/edit?resourcekey#gid=1321652304"",""Prop!$AJ$1:$AT""),11,0),iferror(vlookup(B15,importrange(""https://docs.google.com/"&amp;"spreadsheets/d/1p53T2AuvvIqhP7Nf-bo3Uhj8cbKYRPpZdsrBv3x3bAQ/edit?resourcekey#gid=1321652304"",""Prop!$AU$1:$BE""),11,0),iferror(vlookup(B15,importrange(""https://docs.google.com/spreadsheets/d/1p53T2AuvvIqhP7Nf-bo3Uhj8cbKYRPpZdsrBv3x3bAQ/edit?resourcekey#"&amp;"gid=1321652304"",""Prop!$BF$1:$BP""),11,0),iferror(vlookup(B15,importrange(""https://docs.google.com/spreadsheets/d/1p53T2AuvvIqhP7Nf-bo3Uhj8cbKYRPpZdsrBv3x3bAQ/edit?resourcekey#gid=1321652304"",""Prop!$BQ$1:$CA""),11,0),iferror(vlookup(B15,importrange("""&amp;"https://docs.google.com/spreadsheets/d/1p53T2AuvvIqhP7Nf-bo3Uhj8cbKYRPpZdsrBv3x3bAQ/edit?resourcekey#gid=1321652304"",""Prop!$CB$1:$CL""),11,0),iferror(vlookup(B15,importrange(""https://docs.google.com/spreadsheets/d/1p53T2AuvvIqhP7Nf-bo3Uhj8cbKYRPpZdsrBv"&amp;"3x3bAQ/edit?resourcekey#gid=1321652304"",""Prop!$CM$1:$CX""),12,0),iferror(vlookup(B15,importrange(""https://docs.google.com/spreadsheets/d/1p53T2AuvvIqhP7Nf-bo3Uhj8cbKYRPpZdsrBv3x3bAQ/edit?resourcekey#gid=1321652304"",""Prop!$CY$1:$DI""),11,0)))))))))))"),"https://drive.google.com/open?id=1sjvge74up08kYj_Ujv1fE0marsAN8qL3")</f>
        <v>https://drive.google.com/open?id=1sjvge74up08kYj_Ujv1fE0marsAN8qL3</v>
      </c>
      <c r="R15" s="20" t="s">
        <v>867</v>
      </c>
      <c r="S15" s="20" t="str">
        <f ca="1">IFERROR(__xludf.DUMMYFUNCTION("IFERROR(vlookup(B15,IMPORTRANGE(""https://docs.google.com/spreadsheets/d/1g_jfYYK_KeipEDNDUgqgrsxK94XiocfNQIcP-v1QVhI/edit?resourcekey#gid=233272945"",""Nilai!B:CT""),66,0),"" "")"),"1. perkuat keterbaruan gagasan pada bab pendahuluan
2. konten video agar memperlihat situasi di IKN ")</f>
        <v xml:space="preserve">1. perkuat keterbaruan gagasan pada bab pendahuluan
2. konten video agar memperlihat situasi di IKN </v>
      </c>
      <c r="T15" s="20" t="str">
        <f ca="1">IFERROR(__xludf.DUMMYFUNCTION("IFERROR(vlookup(B15,IMPORTRANGE(""https://docs.google.com/spreadsheets/d/1g_jfYYK_KeipEDNDUgqgrsxK94XiocfNQIcP-v1QVhI/edit?resourcekey#gid=233272945"",""Nilai!B:CT""),97,0),"" "")"),"LAYAK UPLOAD KE SIMBELMAWA DENGAN REVISI")</f>
        <v>LAYAK UPLOAD KE SIMBELMAWA DENGAN REVISI</v>
      </c>
      <c r="U15" s="21" t="s">
        <v>786</v>
      </c>
      <c r="V15" s="16" t="s">
        <v>868</v>
      </c>
      <c r="W15" s="18" t="s">
        <v>876</v>
      </c>
      <c r="X15" s="22" t="b">
        <v>1</v>
      </c>
    </row>
    <row r="16" spans="1:24">
      <c r="A16" s="15">
        <v>14</v>
      </c>
      <c r="B16" s="15">
        <f ca="1">IFERROR(__xludf.DUMMYFUNCTION("""COMPUTED_VALUE"""),4003)</f>
        <v>4003</v>
      </c>
      <c r="C16" s="16" t="str">
        <f ca="1">IFERROR(__xludf.DUMMYFUNCTION("""COMPUTED_VALUE"""),"PUTRI HERDA SALMAH SALSABILAH")</f>
        <v>PUTRI HERDA SALMAH SALSABILAH</v>
      </c>
      <c r="D16" s="16" t="str">
        <f ca="1">IFERROR(__xludf.DUMMYFUNCTION("""COMPUTED_VALUE"""),"08411940000030")</f>
        <v>08411940000030</v>
      </c>
      <c r="E16" s="16" t="str">
        <f ca="1">IFERROR(__xludf.DUMMYFUNCTION("""COMPUTED_VALUE"""),"Departemen Desain Interior")</f>
        <v>Departemen Desain Interior</v>
      </c>
      <c r="F16" s="16" t="str">
        <f ca="1">IFERROR(__xludf.DUMMYFUNCTION("""COMPUTED_VALUE"""),"Museum Edukasi Berbasis Interactive Digital Installation sebagai Upaya Edukasi Maritim untuk Indonesia Emas 2045")</f>
        <v>Museum Edukasi Berbasis Interactive Digital Installation sebagai Upaya Edukasi Maritim untuk Indonesia Emas 2045</v>
      </c>
      <c r="G16" s="16" t="str">
        <f ca="1">IFERROR(__xludf.DUMMYFUNCTION("""COMPUTED_VALUE"""),"Ir. Nanik Rachmaniyah, M.T.")</f>
        <v>Ir. Nanik Rachmaniyah, M.T.</v>
      </c>
      <c r="H16" s="16" t="str">
        <f ca="1">IFERROR(__xludf.DUMMYFUNCTION("""COMPUTED_VALUE"""),"Dr. I Gusti Ngurah Satriyadi Hernanda, S.T., M.T.")</f>
        <v>Dr. I Gusti Ngurah Satriyadi Hernanda, S.T., M.T.</v>
      </c>
      <c r="I16" s="16" t="str">
        <f ca="1">IFERROR(__xludf.DUMMYFUNCTION("""COMPUTED_VALUE"""),"Daril Ridho Zuchrillah, S.T., M.T.")</f>
        <v>Daril Ridho Zuchrillah, S.T., M.T.</v>
      </c>
      <c r="J16" s="16"/>
      <c r="K16" s="17" t="s">
        <v>877</v>
      </c>
      <c r="L16" s="18" t="s">
        <v>875</v>
      </c>
      <c r="M16" s="19" t="b">
        <v>1</v>
      </c>
      <c r="N16" s="19" t="b">
        <v>1</v>
      </c>
      <c r="O16" s="1" t="s">
        <v>874</v>
      </c>
      <c r="P16" s="7" t="str">
        <f ca="1">IFERROR(__xludf.DUMMYFUNCTION("iferror(vlookup(B16,importrange(""https://docs.google.com/spreadsheets/d/1boHyJQ4e2FU0QG8MHwEi6qjX4hvZWVCHcFfXjq7bbMc/edit?resourcekey#gid=923248883"",""Prop!$C$1:$M""),12,0),IFERROR(vlookup(B16,importrange(""https://docs.google.com/spreadsheets/d/1boHyJQ"&amp;"4e2FU0QG8MHwEi6qjX4hvZWVCHcFfXjq7bbMc/edit?resourcekey#gid=923248883"",""Prop!$N$1:$X""),11,0),iferror(vlookup(B16,importrange(""https://docs.google.com/spreadsheets/d/1boHyJQ4e2FU0QG8MHwEi6qjX4hvZWVCHcFfXjq7bbMc/edit?resourcekey#gid=923248883"",""Prop!$Y"&amp;"$1:$AI""),11,0),iferror(vlookup(B16,importrange(""https://docs.google.com/spreadsheets/d/1boHyJQ4e2FU0QG8MHwEi6qjX4hvZWVCHcFfXjq7bbMc/edit?resourcekey#gid=923248883"",""Prop!$AJ$1:$AT""),11,0),iferror(vlookup(B16,importrange(""https://docs.google.com/spre"&amp;"adsheets/d/1boHyJQ4e2FU0QG8MHwEi6qjX4hvZWVCHcFfXjq7bbMc/edit?resourcekey#gid=923248883"",""Prop!$AU$1:$BE""),11,0),iferror(vlookup(B16,importrange(""https://docs.google.com/spreadsheets/d/1boHyJQ4e2FU0QG8MHwEi6qjX4hvZWVCHcFfXjq7bbMc/edit?resourcekey#gid=9"&amp;"23248883"",""Prop!$BF$1:$BP""),11,0),iferror(vlookup(B16,importrange(""https://docs.google.com/spreadsheets/d/1boHyJQ4e2FU0QG8MHwEi6qjX4hvZWVCHcFfXjq7bbMc/edit?resourcekey#gid=923248883"",""Prop!$BQ$1:$CA""),11,0),iferror(vlookup(B16,importrange(""https:/"&amp;"/docs.google.com/spreadsheets/d/1boHyJQ4e2FU0QG8MHwEi6qjX4hvZWVCHcFfXjq7bbMc/edit?resourcekey#gid=923248883"",""Prop!$CB$1:$CL""),11,0),iferror(vlookup(B16,importrange(""https://docs.google.com/spreadsheets/d/1boHyJQ4e2FU0QG8MHwEi6qjX4hvZWVCHcFfXjq7bbMc/e"&amp;"dit?resourcekey#gid=923248883"",""Prop!$CM$1:$CX""),12,0),iferror(vlookup(B16,importrange(""https://docs.google.com/spreadsheets/d/1boHyJQ4e2FU0QG8MHwEi6qjX4hvZWVCHcFfXjq7bbMc/edit?resourcekey#gid=923248883"",""Prop!$CV$1:$DI""),11,0)))))))))))"),"https://drive.google.com/open?id=1jLqpTR3US5rUEVN0H0__C0ZnbwJ2ed6p")</f>
        <v>https://drive.google.com/open?id=1jLqpTR3US5rUEVN0H0__C0ZnbwJ2ed6p</v>
      </c>
      <c r="Q16" s="7" t="str">
        <f ca="1">IFERROR(__xludf.DUMMYFUNCTION("iferror(vlookup(B16,importrange(""https://docs.google.com/spreadsheets/d/1p53T2AuvvIqhP7Nf-bo3Uhj8cbKYRPpZdsrBv3x3bAQ/edit?resourcekey#gid=1321652304"",""Prop!$C$1:$M""),11,0),IFERROR(vlookup(B16,importrange(""https://docs.google.com/spreadsheets/d/1p53T2"&amp;"AuvvIqhP7Nf-bo3Uhj8cbKYRPpZdsrBv3x3bAQ/edit?resourcekey#gid=1321652304"",""Prop!$N$1:$X""),11,0),iferror(vlookup(B16,importrange(""https://docs.google.com/spreadsheets/d/1p53T2AuvvIqhP7Nf-bo3Uhj8cbKYRPpZdsrBv3x3bAQ/edit?resourcekey#gid=1321652304"",""Prop"&amp;"!$Y$1:$AI""),11,0),iferror(vlookup(B16,importrange(""https://docs.google.com/spreadsheets/d/1p53T2AuvvIqhP7Nf-bo3Uhj8cbKYRPpZdsrBv3x3bAQ/edit?resourcekey#gid=1321652304"",""Prop!$AJ$1:$AT""),11,0),iferror(vlookup(B16,importrange(""https://docs.google.com/"&amp;"spreadsheets/d/1p53T2AuvvIqhP7Nf-bo3Uhj8cbKYRPpZdsrBv3x3bAQ/edit?resourcekey#gid=1321652304"",""Prop!$AU$1:$BE""),11,0),iferror(vlookup(B16,importrange(""https://docs.google.com/spreadsheets/d/1p53T2AuvvIqhP7Nf-bo3Uhj8cbKYRPpZdsrBv3x3bAQ/edit?resourcekey#"&amp;"gid=1321652304"",""Prop!$BF$1:$BP""),11,0),iferror(vlookup(B16,importrange(""https://docs.google.com/spreadsheets/d/1p53T2AuvvIqhP7Nf-bo3Uhj8cbKYRPpZdsrBv3x3bAQ/edit?resourcekey#gid=1321652304"",""Prop!$BQ$1:$CA""),11,0),iferror(vlookup(B16,importrange("""&amp;"https://docs.google.com/spreadsheets/d/1p53T2AuvvIqhP7Nf-bo3Uhj8cbKYRPpZdsrBv3x3bAQ/edit?resourcekey#gid=1321652304"",""Prop!$CB$1:$CL""),11,0),iferror(vlookup(B16,importrange(""https://docs.google.com/spreadsheets/d/1p53T2AuvvIqhP7Nf-bo3Uhj8cbKYRPpZdsrBv"&amp;"3x3bAQ/edit?resourcekey#gid=1321652304"",""Prop!$CM$1:$CX""),12,0),iferror(vlookup(B16,importrange(""https://docs.google.com/spreadsheets/d/1p53T2AuvvIqhP7Nf-bo3Uhj8cbKYRPpZdsrBv3x3bAQ/edit?resourcekey#gid=1321652304"",""Prop!$CY$1:$DI""),11,0)))))))))))"),"https://drive.google.com/open?id=1LGloD9Fme7CwsMp1VqAXfBwLxVMnEjjR")</f>
        <v>https://drive.google.com/open?id=1LGloD9Fme7CwsMp1VqAXfBwLxVMnEjjR</v>
      </c>
      <c r="R16" s="20" t="s">
        <v>867</v>
      </c>
      <c r="S16" s="20" t="str">
        <f ca="1">IFERROR(__xludf.DUMMYFUNCTION("IFERROR(vlookup(B16,IMPORTRANGE(""https://docs.google.com/spreadsheets/d/1g_jfYYK_KeipEDNDUgqgrsxK94XiocfNQIcP-v1QVhI/edit?resourcekey#gid=233272945"",""Nilai!B:CT""),66,0),"" "")"),"1. perjelas keterbaruan ide nya
2. masih kelebihan halaman")</f>
        <v>1. perjelas keterbaruan ide nya
2. masih kelebihan halaman</v>
      </c>
      <c r="T16" s="20" t="str">
        <f ca="1">IFERROR(__xludf.DUMMYFUNCTION("IFERROR(vlookup(B16,IMPORTRANGE(""https://docs.google.com/spreadsheets/d/1g_jfYYK_KeipEDNDUgqgrsxK94XiocfNQIcP-v1QVhI/edit?resourcekey#gid=233272945"",""Nilai!B:CT""),97,0),"" "")"),"LAYAK UPLOAD KE SIMBELMAWA DENGAN REVISI")</f>
        <v>LAYAK UPLOAD KE SIMBELMAWA DENGAN REVISI</v>
      </c>
      <c r="U16" s="21" t="s">
        <v>786</v>
      </c>
      <c r="V16" s="16" t="s">
        <v>868</v>
      </c>
      <c r="W16" s="18" t="s">
        <v>876</v>
      </c>
      <c r="X16" s="22" t="b">
        <v>0</v>
      </c>
    </row>
    <row r="17" spans="1:24">
      <c r="A17" s="15">
        <v>15</v>
      </c>
      <c r="B17" s="15">
        <f ca="1">IFERROR(__xludf.DUMMYFUNCTION("""COMPUTED_VALUE"""),2970)</f>
        <v>2970</v>
      </c>
      <c r="C17" s="16" t="str">
        <f ca="1">IFERROR(__xludf.DUMMYFUNCTION("""COMPUTED_VALUE"""),"RIZQULLAH IRWANTO")</f>
        <v>RIZQULLAH IRWANTO</v>
      </c>
      <c r="D17" s="16" t="str">
        <f ca="1">IFERROR(__xludf.DUMMYFUNCTION("""COMPUTED_VALUE"""),"5007201224")</f>
        <v>5007201224</v>
      </c>
      <c r="E17" s="16" t="str">
        <f ca="1">IFERROR(__xludf.DUMMYFUNCTION("""COMPUTED_VALUE"""),"Departemen Teknik Mesin")</f>
        <v>Departemen Teknik Mesin</v>
      </c>
      <c r="F17" s="16" t="str">
        <f ca="1">IFERROR(__xludf.DUMMYFUNCTION("""COMPUTED_VALUE"""),"Smart Residential Complex: Konsep Perumahan Mandiri Energi Pada Perkotaan NTT Berbasis Picohydro, Piezoelektrik, dan Solar Panel Sebagai Realisasi SDGS 2030")</f>
        <v>Smart Residential Complex: Konsep Perumahan Mandiri Energi Pada Perkotaan NTT Berbasis Picohydro, Piezoelektrik, dan Solar Panel Sebagai Realisasi SDGS 2030</v>
      </c>
      <c r="G17" s="16" t="str">
        <f ca="1">IFERROR(__xludf.DUMMYFUNCTION("""COMPUTED_VALUE"""),"Vivien Suphandani Djanali, ST., ME., PhD.")</f>
        <v>Vivien Suphandani Djanali, ST., ME., PhD.</v>
      </c>
      <c r="H17" s="16" t="str">
        <f ca="1">IFERROR(__xludf.DUMMYFUNCTION("""COMPUTED_VALUE"""),"Putu Gde Ariastita, S.T., M.T.")</f>
        <v>Putu Gde Ariastita, S.T., M.T.</v>
      </c>
      <c r="I17" s="16" t="str">
        <f ca="1">IFERROR(__xludf.DUMMYFUNCTION("""COMPUTED_VALUE"""),"Dion Hayu Fandiantoro, S.T., M.Eng.")</f>
        <v>Dion Hayu Fandiantoro, S.T., M.Eng.</v>
      </c>
      <c r="J17" s="16"/>
      <c r="K17" s="17" t="s">
        <v>877</v>
      </c>
      <c r="L17" s="18" t="s">
        <v>875</v>
      </c>
      <c r="M17" s="19" t="b">
        <v>0</v>
      </c>
      <c r="N17" s="19" t="b">
        <v>1</v>
      </c>
      <c r="O17" s="1" t="s">
        <v>874</v>
      </c>
      <c r="P17" s="7" t="str">
        <f ca="1">IFERROR(__xludf.DUMMYFUNCTION("iferror(vlookup(B17,importrange(""https://docs.google.com/spreadsheets/d/1boHyJQ4e2FU0QG8MHwEi6qjX4hvZWVCHcFfXjq7bbMc/edit?resourcekey#gid=923248883"",""Prop!$C$1:$M""),12,0),IFERROR(vlookup(B17,importrange(""https://docs.google.com/spreadsheets/d/1boHyJQ"&amp;"4e2FU0QG8MHwEi6qjX4hvZWVCHcFfXjq7bbMc/edit?resourcekey#gid=923248883"",""Prop!$N$1:$X""),11,0),iferror(vlookup(B17,importrange(""https://docs.google.com/spreadsheets/d/1boHyJQ4e2FU0QG8MHwEi6qjX4hvZWVCHcFfXjq7bbMc/edit?resourcekey#gid=923248883"",""Prop!$Y"&amp;"$1:$AI""),11,0),iferror(vlookup(B17,importrange(""https://docs.google.com/spreadsheets/d/1boHyJQ4e2FU0QG8MHwEi6qjX4hvZWVCHcFfXjq7bbMc/edit?resourcekey#gid=923248883"",""Prop!$AJ$1:$AT""),11,0),iferror(vlookup(B17,importrange(""https://docs.google.com/spre"&amp;"adsheets/d/1boHyJQ4e2FU0QG8MHwEi6qjX4hvZWVCHcFfXjq7bbMc/edit?resourcekey#gid=923248883"",""Prop!$AU$1:$BE""),11,0),iferror(vlookup(B17,importrange(""https://docs.google.com/spreadsheets/d/1boHyJQ4e2FU0QG8MHwEi6qjX4hvZWVCHcFfXjq7bbMc/edit?resourcekey#gid=9"&amp;"23248883"",""Prop!$BF$1:$BP""),11,0),iferror(vlookup(B17,importrange(""https://docs.google.com/spreadsheets/d/1boHyJQ4e2FU0QG8MHwEi6qjX4hvZWVCHcFfXjq7bbMc/edit?resourcekey#gid=923248883"",""Prop!$BQ$1:$CA""),11,0),iferror(vlookup(B17,importrange(""https:/"&amp;"/docs.google.com/spreadsheets/d/1boHyJQ4e2FU0QG8MHwEi6qjX4hvZWVCHcFfXjq7bbMc/edit?resourcekey#gid=923248883"",""Prop!$CB$1:$CL""),11,0),iferror(vlookup(B17,importrange(""https://docs.google.com/spreadsheets/d/1boHyJQ4e2FU0QG8MHwEi6qjX4hvZWVCHcFfXjq7bbMc/e"&amp;"dit?resourcekey#gid=923248883"",""Prop!$CM$1:$CX""),12,0),iferror(vlookup(B17,importrange(""https://docs.google.com/spreadsheets/d/1boHyJQ4e2FU0QG8MHwEi6qjX4hvZWVCHcFfXjq7bbMc/edit?resourcekey#gid=923248883"",""Prop!$CV$1:$DI""),11,0)))))))))))"),"https://drive.google.com/open?id=1cAxKlxoNGvk0J2X5HM_4CSJ4rl2hRhSv")</f>
        <v>https://drive.google.com/open?id=1cAxKlxoNGvk0J2X5HM_4CSJ4rl2hRhSv</v>
      </c>
      <c r="Q17" s="7" t="str">
        <f ca="1">IFERROR(__xludf.DUMMYFUNCTION("iferror(vlookup(B17,importrange(""https://docs.google.com/spreadsheets/d/1p53T2AuvvIqhP7Nf-bo3Uhj8cbKYRPpZdsrBv3x3bAQ/edit?resourcekey#gid=1321652304"",""Prop!$C$1:$M""),11,0),IFERROR(vlookup(B17,importrange(""https://docs.google.com/spreadsheets/d/1p53T2"&amp;"AuvvIqhP7Nf-bo3Uhj8cbKYRPpZdsrBv3x3bAQ/edit?resourcekey#gid=1321652304"",""Prop!$N$1:$X""),11,0),iferror(vlookup(B17,importrange(""https://docs.google.com/spreadsheets/d/1p53T2AuvvIqhP7Nf-bo3Uhj8cbKYRPpZdsrBv3x3bAQ/edit?resourcekey#gid=1321652304"",""Prop"&amp;"!$Y$1:$AI""),11,0),iferror(vlookup(B17,importrange(""https://docs.google.com/spreadsheets/d/1p53T2AuvvIqhP7Nf-bo3Uhj8cbKYRPpZdsrBv3x3bAQ/edit?resourcekey#gid=1321652304"",""Prop!$AJ$1:$AT""),11,0),iferror(vlookup(B17,importrange(""https://docs.google.com/"&amp;"spreadsheets/d/1p53T2AuvvIqhP7Nf-bo3Uhj8cbKYRPpZdsrBv3x3bAQ/edit?resourcekey#gid=1321652304"",""Prop!$AU$1:$BE""),11,0),iferror(vlookup(B17,importrange(""https://docs.google.com/spreadsheets/d/1p53T2AuvvIqhP7Nf-bo3Uhj8cbKYRPpZdsrBv3x3bAQ/edit?resourcekey#"&amp;"gid=1321652304"",""Prop!$BF$1:$BP""),11,0),iferror(vlookup(B17,importrange(""https://docs.google.com/spreadsheets/d/1p53T2AuvvIqhP7Nf-bo3Uhj8cbKYRPpZdsrBv3x3bAQ/edit?resourcekey#gid=1321652304"",""Prop!$BQ$1:$CA""),11,0),iferror(vlookup(B17,importrange("""&amp;"https://docs.google.com/spreadsheets/d/1p53T2AuvvIqhP7Nf-bo3Uhj8cbKYRPpZdsrBv3x3bAQ/edit?resourcekey#gid=1321652304"",""Prop!$CB$1:$CL""),11,0),iferror(vlookup(B17,importrange(""https://docs.google.com/spreadsheets/d/1p53T2AuvvIqhP7Nf-bo3Uhj8cbKYRPpZdsrBv"&amp;"3x3bAQ/edit?resourcekey#gid=1321652304"",""Prop!$CM$1:$CX""),12,0),iferror(vlookup(B17,importrange(""https://docs.google.com/spreadsheets/d/1p53T2AuvvIqhP7Nf-bo3Uhj8cbKYRPpZdsrBv3x3bAQ/edit?resourcekey#gid=1321652304"",""Prop!$CY$1:$DI""),11,0)))))))))))"),"https://drive.google.com/open?id=1srs3qYN9J6Izuvuk0p0-awZAKy0eiDWM")</f>
        <v>https://drive.google.com/open?id=1srs3qYN9J6Izuvuk0p0-awZAKy0eiDWM</v>
      </c>
      <c r="R17" s="20" t="s">
        <v>867</v>
      </c>
      <c r="S17" s="20" t="str">
        <f ca="1">IFERROR(__xludf.DUMMYFUNCTION("IFERROR(vlookup(B17,IMPORTRANGE(""https://docs.google.com/spreadsheets/d/1g_jfYYK_KeipEDNDUgqgrsxK94XiocfNQIcP-v1QVhI/edit?resourcekey#gid=233272945"",""Nilai!B:CT""),66,0),"" "")"),"yang perlu dijelaskan mengapa ide ini diterapkan di NTT, bukannya lebih baik di daerah padat penduduk, atau kawasan baru yang dibuka spt IKN, dll")</f>
        <v>yang perlu dijelaskan mengapa ide ini diterapkan di NTT, bukannya lebih baik di daerah padat penduduk, atau kawasan baru yang dibuka spt IKN, dll</v>
      </c>
      <c r="T17" s="20" t="str">
        <f ca="1">IFERROR(__xludf.DUMMYFUNCTION("IFERROR(vlookup(B17,IMPORTRANGE(""https://docs.google.com/spreadsheets/d/1g_jfYYK_KeipEDNDUgqgrsxK94XiocfNQIcP-v1QVhI/edit?resourcekey#gid=233272945"",""Nilai!B:CT""),97,0),"" "")"),"LAYAK UPLOAD KE SIMBELMAWA DENGAN REVISI")</f>
        <v>LAYAK UPLOAD KE SIMBELMAWA DENGAN REVISI</v>
      </c>
      <c r="U17" s="21" t="s">
        <v>786</v>
      </c>
      <c r="V17" s="16" t="s">
        <v>868</v>
      </c>
      <c r="W17" s="18" t="s">
        <v>876</v>
      </c>
      <c r="X17" s="22" t="b">
        <v>1</v>
      </c>
    </row>
    <row r="18" spans="1:24">
      <c r="A18" s="15">
        <v>16</v>
      </c>
      <c r="B18" s="15">
        <f ca="1">IFERROR(__xludf.DUMMYFUNCTION("""COMPUTED_VALUE"""),3771)</f>
        <v>3771</v>
      </c>
      <c r="C18" s="16" t="str">
        <f ca="1">IFERROR(__xludf.DUMMYFUNCTION("""COMPUTED_VALUE"""),"LUTFITA ASHRI AZAHRA")</f>
        <v>LUTFITA ASHRI AZAHRA</v>
      </c>
      <c r="D18" s="16" t="str">
        <f ca="1">IFERROR(__xludf.DUMMYFUNCTION("""COMPUTED_VALUE"""),"5029201003")</f>
        <v>5029201003</v>
      </c>
      <c r="E18" s="16" t="str">
        <f ca="1">IFERROR(__xludf.DUMMYFUNCTION("""COMPUTED_VALUE"""),"Departemen Desain Interior")</f>
        <v>Departemen Desain Interior</v>
      </c>
      <c r="F18" s="16" t="str">
        <f ca="1">IFERROR(__xludf.DUMMYFUNCTION("""COMPUTED_VALUE"""),"Hologramny : Karakter Virtual Berbasis Teknologi Hologram 3D Sebagai Inovasi Hunian Cerdas Untuk Media Terapi Penyembuhan Trauma Pasca Bencana
")</f>
        <v xml:space="preserve">Hologramny : Karakter Virtual Berbasis Teknologi Hologram 3D Sebagai Inovasi Hunian Cerdas Untuk Media Terapi Penyembuhan Trauma Pasca Bencana
</v>
      </c>
      <c r="G18" s="16" t="str">
        <f ca="1">IFERROR(__xludf.DUMMYFUNCTION("""COMPUTED_VALUE"""),"Dr. Ir. Susy Budi Astuti, M.T.")</f>
        <v>Dr. Ir. Susy Budi Astuti, M.T.</v>
      </c>
      <c r="H18" s="16" t="str">
        <f ca="1">IFERROR(__xludf.DUMMYFUNCTION("""COMPUTED_VALUE"""),"Dr. I Gusti Ngurah Satriyadi Hernanda, S.T., M.T.")</f>
        <v>Dr. I Gusti Ngurah Satriyadi Hernanda, S.T., M.T.</v>
      </c>
      <c r="I18" s="16" t="str">
        <f ca="1">IFERROR(__xludf.DUMMYFUNCTION("""COMPUTED_VALUE"""),"Dr.Eng. Yuda Apri Hermawan, S.T., M.T.")</f>
        <v>Dr.Eng. Yuda Apri Hermawan, S.T., M.T.</v>
      </c>
      <c r="J18" s="16"/>
      <c r="K18" s="17" t="s">
        <v>877</v>
      </c>
      <c r="L18" s="18" t="s">
        <v>875</v>
      </c>
      <c r="M18" s="19" t="b">
        <v>1</v>
      </c>
      <c r="N18" s="19" t="b">
        <v>1</v>
      </c>
      <c r="O18" s="1" t="s">
        <v>874</v>
      </c>
      <c r="P18" s="7" t="str">
        <f ca="1">IFERROR(__xludf.DUMMYFUNCTION("iferror(vlookup(B18,importrange(""https://docs.google.com/spreadsheets/d/1boHyJQ4e2FU0QG8MHwEi6qjX4hvZWVCHcFfXjq7bbMc/edit?resourcekey#gid=923248883"",""Prop!$C$1:$M""),12,0),IFERROR(vlookup(B18,importrange(""https://docs.google.com/spreadsheets/d/1boHyJQ"&amp;"4e2FU0QG8MHwEi6qjX4hvZWVCHcFfXjq7bbMc/edit?resourcekey#gid=923248883"",""Prop!$N$1:$X""),11,0),iferror(vlookup(B18,importrange(""https://docs.google.com/spreadsheets/d/1boHyJQ4e2FU0QG8MHwEi6qjX4hvZWVCHcFfXjq7bbMc/edit?resourcekey#gid=923248883"",""Prop!$Y"&amp;"$1:$AI""),11,0),iferror(vlookup(B18,importrange(""https://docs.google.com/spreadsheets/d/1boHyJQ4e2FU0QG8MHwEi6qjX4hvZWVCHcFfXjq7bbMc/edit?resourcekey#gid=923248883"",""Prop!$AJ$1:$AT""),11,0),iferror(vlookup(B18,importrange(""https://docs.google.com/spre"&amp;"adsheets/d/1boHyJQ4e2FU0QG8MHwEi6qjX4hvZWVCHcFfXjq7bbMc/edit?resourcekey#gid=923248883"",""Prop!$AU$1:$BE""),11,0),iferror(vlookup(B18,importrange(""https://docs.google.com/spreadsheets/d/1boHyJQ4e2FU0QG8MHwEi6qjX4hvZWVCHcFfXjq7bbMc/edit?resourcekey#gid=9"&amp;"23248883"",""Prop!$BF$1:$BP""),11,0),iferror(vlookup(B18,importrange(""https://docs.google.com/spreadsheets/d/1boHyJQ4e2FU0QG8MHwEi6qjX4hvZWVCHcFfXjq7bbMc/edit?resourcekey#gid=923248883"",""Prop!$BQ$1:$CA""),11,0),iferror(vlookup(B18,importrange(""https:/"&amp;"/docs.google.com/spreadsheets/d/1boHyJQ4e2FU0QG8MHwEi6qjX4hvZWVCHcFfXjq7bbMc/edit?resourcekey#gid=923248883"",""Prop!$CB$1:$CL""),11,0),iferror(vlookup(B18,importrange(""https://docs.google.com/spreadsheets/d/1boHyJQ4e2FU0QG8MHwEi6qjX4hvZWVCHcFfXjq7bbMc/e"&amp;"dit?resourcekey#gid=923248883"",""Prop!$CM$1:$CX""),12,0),iferror(vlookup(B18,importrange(""https://docs.google.com/spreadsheets/d/1boHyJQ4e2FU0QG8MHwEi6qjX4hvZWVCHcFfXjq7bbMc/edit?resourcekey#gid=923248883"",""Prop!$CV$1:$DI""),11,0)))))))))))"),"https://drive.google.com/open?id=1to-AxnHd46sIr80H_xfcZDlpcwFpHbxR")</f>
        <v>https://drive.google.com/open?id=1to-AxnHd46sIr80H_xfcZDlpcwFpHbxR</v>
      </c>
      <c r="Q18" s="7" t="str">
        <f ca="1">IFERROR(__xludf.DUMMYFUNCTION("iferror(vlookup(B18,importrange(""https://docs.google.com/spreadsheets/d/1p53T2AuvvIqhP7Nf-bo3Uhj8cbKYRPpZdsrBv3x3bAQ/edit?resourcekey#gid=1321652304"",""Prop!$C$1:$M""),11,0),IFERROR(vlookup(B18,importrange(""https://docs.google.com/spreadsheets/d/1p53T2"&amp;"AuvvIqhP7Nf-bo3Uhj8cbKYRPpZdsrBv3x3bAQ/edit?resourcekey#gid=1321652304"",""Prop!$N$1:$X""),11,0),iferror(vlookup(B18,importrange(""https://docs.google.com/spreadsheets/d/1p53T2AuvvIqhP7Nf-bo3Uhj8cbKYRPpZdsrBv3x3bAQ/edit?resourcekey#gid=1321652304"",""Prop"&amp;"!$Y$1:$AI""),11,0),iferror(vlookup(B18,importrange(""https://docs.google.com/spreadsheets/d/1p53T2AuvvIqhP7Nf-bo3Uhj8cbKYRPpZdsrBv3x3bAQ/edit?resourcekey#gid=1321652304"",""Prop!$AJ$1:$AT""),11,0),iferror(vlookup(B18,importrange(""https://docs.google.com/"&amp;"spreadsheets/d/1p53T2AuvvIqhP7Nf-bo3Uhj8cbKYRPpZdsrBv3x3bAQ/edit?resourcekey#gid=1321652304"",""Prop!$AU$1:$BE""),11,0),iferror(vlookup(B18,importrange(""https://docs.google.com/spreadsheets/d/1p53T2AuvvIqhP7Nf-bo3Uhj8cbKYRPpZdsrBv3x3bAQ/edit?resourcekey#"&amp;"gid=1321652304"",""Prop!$BF$1:$BP""),11,0),iferror(vlookup(B18,importrange(""https://docs.google.com/spreadsheets/d/1p53T2AuvvIqhP7Nf-bo3Uhj8cbKYRPpZdsrBv3x3bAQ/edit?resourcekey#gid=1321652304"",""Prop!$BQ$1:$CA""),11,0),iferror(vlookup(B18,importrange("""&amp;"https://docs.google.com/spreadsheets/d/1p53T2AuvvIqhP7Nf-bo3Uhj8cbKYRPpZdsrBv3x3bAQ/edit?resourcekey#gid=1321652304"",""Prop!$CB$1:$CL""),11,0),iferror(vlookup(B18,importrange(""https://docs.google.com/spreadsheets/d/1p53T2AuvvIqhP7Nf-bo3Uhj8cbKYRPpZdsrBv"&amp;"3x3bAQ/edit?resourcekey#gid=1321652304"",""Prop!$CM$1:$CX""),12,0),iferror(vlookup(B18,importrange(""https://docs.google.com/spreadsheets/d/1p53T2AuvvIqhP7Nf-bo3Uhj8cbKYRPpZdsrBv3x3bAQ/edit?resourcekey#gid=1321652304"",""Prop!$CY$1:$DI""),11,0)))))))))))"),"https://drive.google.com/open?id=1iHI7kJYWpYZrJjGCaxQ3zmMEr8eB4UDa")</f>
        <v>https://drive.google.com/open?id=1iHI7kJYWpYZrJjGCaxQ3zmMEr8eB4UDa</v>
      </c>
      <c r="R18" s="20" t="s">
        <v>867</v>
      </c>
      <c r="S18" s="20" t="str">
        <f ca="1">IFERROR(__xludf.DUMMYFUNCTION("IFERROR(vlookup(B18,IMPORTRANGE(""https://docs.google.com/spreadsheets/d/1g_jfYYK_KeipEDNDUgqgrsxK94XiocfNQIcP-v1QVhI/edit?resourcekey#gid=233272945"",""Nilai!B:CT""),66,0),"" "")"),"Aspek emosi tidak muncul dalam sinopsis yang diajukan, buat skenario yang lbh aestetic")</f>
        <v>Aspek emosi tidak muncul dalam sinopsis yang diajukan, buat skenario yang lbh aestetic</v>
      </c>
      <c r="T18" s="20" t="str">
        <f ca="1">IFERROR(__xludf.DUMMYFUNCTION("IFERROR(vlookup(B18,IMPORTRANGE(""https://docs.google.com/spreadsheets/d/1g_jfYYK_KeipEDNDUgqgrsxK94XiocfNQIcP-v1QVhI/edit?resourcekey#gid=233272945"",""Nilai!B:CT""),97,0),"" "")"),"LAYAK UPLOAD KE SIMBELMAWA DENGAN REVISI")</f>
        <v>LAYAK UPLOAD KE SIMBELMAWA DENGAN REVISI</v>
      </c>
      <c r="U18" s="21" t="s">
        <v>878</v>
      </c>
      <c r="V18" s="16" t="s">
        <v>868</v>
      </c>
      <c r="W18" s="18" t="s">
        <v>876</v>
      </c>
      <c r="X18" s="22" t="b">
        <v>1</v>
      </c>
    </row>
    <row r="19" spans="1:24">
      <c r="A19" s="15">
        <v>17</v>
      </c>
      <c r="B19" s="15">
        <f ca="1">IFERROR(__xludf.DUMMYFUNCTION("""COMPUTED_VALUE"""),2861)</f>
        <v>2861</v>
      </c>
      <c r="C19" s="16" t="str">
        <f ca="1">IFERROR(__xludf.DUMMYFUNCTION("""COMPUTED_VALUE"""),"BAGUS NARENDRA")</f>
        <v>BAGUS NARENDRA</v>
      </c>
      <c r="D19" s="16" t="str">
        <f ca="1">IFERROR(__xludf.DUMMYFUNCTION("""COMPUTED_VALUE"""),"5014211007")</f>
        <v>5014211007</v>
      </c>
      <c r="E19" s="16" t="str">
        <f ca="1">IFERROR(__xludf.DUMMYFUNCTION("""COMPUTED_VALUE"""),"Departemen Teknik Lingkungan")</f>
        <v>Departemen Teknik Lingkungan</v>
      </c>
      <c r="F19" s="16" t="str">
        <f ca="1">IFERROR(__xludf.DUMMYFUNCTION("""COMPUTED_VALUE"""),"Sistem Produksi Energi Bersih Berbahan Dasar Limbah dan Emisi CO2 Kendaraan Bermotor pada Rest Area Masa Depan
")</f>
        <v xml:space="preserve">Sistem Produksi Energi Bersih Berbahan Dasar Limbah dan Emisi CO2 Kendaraan Bermotor pada Rest Area Masa Depan
</v>
      </c>
      <c r="G19" s="16" t="str">
        <f ca="1">IFERROR(__xludf.DUMMYFUNCTION("""COMPUTED_VALUE"""),"Alfan Purnomo, S.T., M.T.")</f>
        <v>Alfan Purnomo, S.T., M.T.</v>
      </c>
      <c r="H19" s="16" t="str">
        <f ca="1">IFERROR(__xludf.DUMMYFUNCTION("""COMPUTED_VALUE"""),"Putu Gde Ariastita, S.T., M.T.")</f>
        <v>Putu Gde Ariastita, S.T., M.T.</v>
      </c>
      <c r="I19" s="16" t="str">
        <f ca="1">IFERROR(__xludf.DUMMYFUNCTION("""COMPUTED_VALUE"""),"Fardilla Rizqiyah, ST, MT")</f>
        <v>Fardilla Rizqiyah, ST, MT</v>
      </c>
      <c r="J19" s="16"/>
      <c r="K19" s="17" t="s">
        <v>877</v>
      </c>
      <c r="L19" s="18" t="s">
        <v>879</v>
      </c>
      <c r="M19" s="19" t="b">
        <v>1</v>
      </c>
      <c r="N19" s="19" t="b">
        <v>1</v>
      </c>
      <c r="O19" s="1" t="s">
        <v>880</v>
      </c>
      <c r="P19" s="7" t="str">
        <f ca="1">IFERROR(__xludf.DUMMYFUNCTION("iferror(vlookup(B19,importrange(""https://docs.google.com/spreadsheets/d/1boHyJQ4e2FU0QG8MHwEi6qjX4hvZWVCHcFfXjq7bbMc/edit?resourcekey#gid=923248883"",""Prop!$C$1:$M""),12,0),IFERROR(vlookup(B19,importrange(""https://docs.google.com/spreadsheets/d/1boHyJQ"&amp;"4e2FU0QG8MHwEi6qjX4hvZWVCHcFfXjq7bbMc/edit?resourcekey#gid=923248883"",""Prop!$N$1:$X""),11,0),iferror(vlookup(B19,importrange(""https://docs.google.com/spreadsheets/d/1boHyJQ4e2FU0QG8MHwEi6qjX4hvZWVCHcFfXjq7bbMc/edit?resourcekey#gid=923248883"",""Prop!$Y"&amp;"$1:$AI""),11,0),iferror(vlookup(B19,importrange(""https://docs.google.com/spreadsheets/d/1boHyJQ4e2FU0QG8MHwEi6qjX4hvZWVCHcFfXjq7bbMc/edit?resourcekey#gid=923248883"",""Prop!$AJ$1:$AT""),11,0),iferror(vlookup(B19,importrange(""https://docs.google.com/spre"&amp;"adsheets/d/1boHyJQ4e2FU0QG8MHwEi6qjX4hvZWVCHcFfXjq7bbMc/edit?resourcekey#gid=923248883"",""Prop!$AU$1:$BE""),11,0),iferror(vlookup(B19,importrange(""https://docs.google.com/spreadsheets/d/1boHyJQ4e2FU0QG8MHwEi6qjX4hvZWVCHcFfXjq7bbMc/edit?resourcekey#gid=9"&amp;"23248883"",""Prop!$BF$1:$BP""),11,0),iferror(vlookup(B19,importrange(""https://docs.google.com/spreadsheets/d/1boHyJQ4e2FU0QG8MHwEi6qjX4hvZWVCHcFfXjq7bbMc/edit?resourcekey#gid=923248883"",""Prop!$BQ$1:$CA""),11,0),iferror(vlookup(B19,importrange(""https:/"&amp;"/docs.google.com/spreadsheets/d/1boHyJQ4e2FU0QG8MHwEi6qjX4hvZWVCHcFfXjq7bbMc/edit?resourcekey#gid=923248883"",""Prop!$CB$1:$CL""),11,0),iferror(vlookup(B19,importrange(""https://docs.google.com/spreadsheets/d/1boHyJQ4e2FU0QG8MHwEi6qjX4hvZWVCHcFfXjq7bbMc/e"&amp;"dit?resourcekey#gid=923248883"",""Prop!$CM$1:$CX""),12,0),iferror(vlookup(B19,importrange(""https://docs.google.com/spreadsheets/d/1boHyJQ4e2FU0QG8MHwEi6qjX4hvZWVCHcFfXjq7bbMc/edit?resourcekey#gid=923248883"",""Prop!$CV$1:$DI""),11,0)))))))))))"),"https://drive.google.com/open?id=1uJkHCA9D6BhI_hdyMQj1oxY9uK8JiBYe")</f>
        <v>https://drive.google.com/open?id=1uJkHCA9D6BhI_hdyMQj1oxY9uK8JiBYe</v>
      </c>
      <c r="Q19" s="7" t="str">
        <f ca="1">IFERROR(__xludf.DUMMYFUNCTION("iferror(vlookup(B19,importrange(""https://docs.google.com/spreadsheets/d/1p53T2AuvvIqhP7Nf-bo3Uhj8cbKYRPpZdsrBv3x3bAQ/edit?resourcekey#gid=1321652304"",""Prop!$C$1:$M""),11,0),IFERROR(vlookup(B19,importrange(""https://docs.google.com/spreadsheets/d/1p53T2"&amp;"AuvvIqhP7Nf-bo3Uhj8cbKYRPpZdsrBv3x3bAQ/edit?resourcekey#gid=1321652304"",""Prop!$N$1:$X""),11,0),iferror(vlookup(B19,importrange(""https://docs.google.com/spreadsheets/d/1p53T2AuvvIqhP7Nf-bo3Uhj8cbKYRPpZdsrBv3x3bAQ/edit?resourcekey#gid=1321652304"",""Prop"&amp;"!$Y$1:$AI""),11,0),iferror(vlookup(B19,importrange(""https://docs.google.com/spreadsheets/d/1p53T2AuvvIqhP7Nf-bo3Uhj8cbKYRPpZdsrBv3x3bAQ/edit?resourcekey#gid=1321652304"",""Prop!$AJ$1:$AT""),11,0),iferror(vlookup(B19,importrange(""https://docs.google.com/"&amp;"spreadsheets/d/1p53T2AuvvIqhP7Nf-bo3Uhj8cbKYRPpZdsrBv3x3bAQ/edit?resourcekey#gid=1321652304"",""Prop!$AU$1:$BE""),11,0),iferror(vlookup(B19,importrange(""https://docs.google.com/spreadsheets/d/1p53T2AuvvIqhP7Nf-bo3Uhj8cbKYRPpZdsrBv3x3bAQ/edit?resourcekey#"&amp;"gid=1321652304"",""Prop!$BF$1:$BP""),11,0),iferror(vlookup(B19,importrange(""https://docs.google.com/spreadsheets/d/1p53T2AuvvIqhP7Nf-bo3Uhj8cbKYRPpZdsrBv3x3bAQ/edit?resourcekey#gid=1321652304"",""Prop!$BQ$1:$CA""),11,0),iferror(vlookup(B19,importrange("""&amp;"https://docs.google.com/spreadsheets/d/1p53T2AuvvIqhP7Nf-bo3Uhj8cbKYRPpZdsrBv3x3bAQ/edit?resourcekey#gid=1321652304"",""Prop!$CB$1:$CL""),11,0),iferror(vlookup(B19,importrange(""https://docs.google.com/spreadsheets/d/1p53T2AuvvIqhP7Nf-bo3Uhj8cbKYRPpZdsrBv"&amp;"3x3bAQ/edit?resourcekey#gid=1321652304"",""Prop!$CM$1:$CX""),12,0),iferror(vlookup(B19,importrange(""https://docs.google.com/spreadsheets/d/1p53T2AuvvIqhP7Nf-bo3Uhj8cbKYRPpZdsrBv3x3bAQ/edit?resourcekey#gid=1321652304"",""Prop!$CY$1:$DI""),11,0)))))))))))"),"https://drive.google.com/open?id=1FiniaYa4EJZOmnLTrG98dFjNJWXFUTpl")</f>
        <v>https://drive.google.com/open?id=1FiniaYa4EJZOmnLTrG98dFjNJWXFUTpl</v>
      </c>
      <c r="R19" s="20" t="s">
        <v>867</v>
      </c>
      <c r="S19" s="20" t="str">
        <f ca="1">IFERROR(__xludf.DUMMYFUNCTION("IFERROR(vlookup(B19,IMPORTRANGE(""https://docs.google.com/spreadsheets/d/1g_jfYYK_KeipEDNDUgqgrsxK94XiocfNQIcP-v1QVhI/edit?resourcekey#gid=233272945"",""Nilai!B:CT""),66,0),"" "")"),"1. ide sudah bagus
2. konten video agar dibuat lebih inspiratif, dan bisa menyentuh hal2 emosional")</f>
        <v>1. ide sudah bagus
2. konten video agar dibuat lebih inspiratif, dan bisa menyentuh hal2 emosional</v>
      </c>
      <c r="T19" s="20" t="str">
        <f ca="1">IFERROR(__xludf.DUMMYFUNCTION("IFERROR(vlookup(B19,IMPORTRANGE(""https://docs.google.com/spreadsheets/d/1g_jfYYK_KeipEDNDUgqgrsxK94XiocfNQIcP-v1QVhI/edit?resourcekey#gid=233272945"",""Nilai!B:CT""),97,0),"" "")"),"LAYAK UPLOAD KE SIMBELMAWA DENGAN REVISI")</f>
        <v>LAYAK UPLOAD KE SIMBELMAWA DENGAN REVISI</v>
      </c>
      <c r="U19" s="21" t="s">
        <v>878</v>
      </c>
      <c r="V19" s="16" t="s">
        <v>868</v>
      </c>
      <c r="W19" s="18" t="s">
        <v>881</v>
      </c>
      <c r="X19" s="22" t="b">
        <v>1</v>
      </c>
    </row>
    <row r="20" spans="1:24">
      <c r="A20" s="15">
        <v>18</v>
      </c>
      <c r="B20" s="15">
        <f ca="1">IFERROR(__xludf.DUMMYFUNCTION("""COMPUTED_VALUE"""),4105)</f>
        <v>4105</v>
      </c>
      <c r="C20" s="16" t="str">
        <f ca="1">IFERROR(__xludf.DUMMYFUNCTION("""COMPUTED_VALUE"""),"Natasya Candra Sinarta")</f>
        <v>Natasya Candra Sinarta</v>
      </c>
      <c r="D20" s="16" t="str">
        <f ca="1">IFERROR(__xludf.DUMMYFUNCTION("""COMPUTED_VALUE"""),"08411940000018")</f>
        <v>08411940000018</v>
      </c>
      <c r="E20" s="16" t="str">
        <f ca="1">IFERROR(__xludf.DUMMYFUNCTION("""COMPUTED_VALUE"""),"Departemen Desain Interior")</f>
        <v>Departemen Desain Interior</v>
      </c>
      <c r="F20" s="16" t="str">
        <f ca="1">IFERROR(__xludf.DUMMYFUNCTION("""COMPUTED_VALUE"""),"Motion Wayang bertema Paper Art untuk Kelestarian Budaya Indonesia")</f>
        <v>Motion Wayang bertema Paper Art untuk Kelestarian Budaya Indonesia</v>
      </c>
      <c r="G20" s="16" t="str">
        <f ca="1">IFERROR(__xludf.DUMMYFUNCTION("""COMPUTED_VALUE"""),"Ir. Budiono, M.Sn")</f>
        <v>Ir. Budiono, M.Sn</v>
      </c>
      <c r="H20" s="16" t="str">
        <f ca="1">IFERROR(__xludf.DUMMYFUNCTION("""COMPUTED_VALUE"""),"Dr. I Gusti Ngurah Satriyadi Hernanda, S.T., M.T.")</f>
        <v>Dr. I Gusti Ngurah Satriyadi Hernanda, S.T., M.T.</v>
      </c>
      <c r="I20" s="16" t="str">
        <f ca="1">IFERROR(__xludf.DUMMYFUNCTION("""COMPUTED_VALUE"""),"Dion Hayu Fandiantoro, S.T., M.Eng.")</f>
        <v>Dion Hayu Fandiantoro, S.T., M.Eng.</v>
      </c>
      <c r="J20" s="16"/>
      <c r="K20" s="17" t="s">
        <v>877</v>
      </c>
      <c r="L20" s="18" t="s">
        <v>879</v>
      </c>
      <c r="M20" s="19" t="b">
        <v>0</v>
      </c>
      <c r="N20" s="19" t="b">
        <v>0</v>
      </c>
      <c r="O20" s="1" t="s">
        <v>880</v>
      </c>
      <c r="P20" s="1" t="str">
        <f ca="1">IFERROR(__xludf.DUMMYFUNCTION("iferror(vlookup(B20,importrange(""https://docs.google.com/spreadsheets/d/1boHyJQ4e2FU0QG8MHwEi6qjX4hvZWVCHcFfXjq7bbMc/edit?resourcekey#gid=923248883"",""Prop!$C$1:$M""),12,0),IFERROR(vlookup(B20,importrange(""https://docs.google.com/spreadsheets/d/1boHyJQ"&amp;"4e2FU0QG8MHwEi6qjX4hvZWVCHcFfXjq7bbMc/edit?resourcekey#gid=923248883"",""Prop!$N$1:$X""),11,0),iferror(vlookup(B20,importrange(""https://docs.google.com/spreadsheets/d/1boHyJQ4e2FU0QG8MHwEi6qjX4hvZWVCHcFfXjq7bbMc/edit?resourcekey#gid=923248883"",""Prop!$Y"&amp;"$1:$AI""),11,0),iferror(vlookup(B20,importrange(""https://docs.google.com/spreadsheets/d/1boHyJQ4e2FU0QG8MHwEi6qjX4hvZWVCHcFfXjq7bbMc/edit?resourcekey#gid=923248883"",""Prop!$AJ$1:$AT""),11,0),iferror(vlookup(B20,importrange(""https://docs.google.com/spre"&amp;"adsheets/d/1boHyJQ4e2FU0QG8MHwEi6qjX4hvZWVCHcFfXjq7bbMc/edit?resourcekey#gid=923248883"",""Prop!$AU$1:$BE""),11,0),iferror(vlookup(B20,importrange(""https://docs.google.com/spreadsheets/d/1boHyJQ4e2FU0QG8MHwEi6qjX4hvZWVCHcFfXjq7bbMc/edit?resourcekey#gid=9"&amp;"23248883"",""Prop!$BF$1:$BP""),11,0),iferror(vlookup(B20,importrange(""https://docs.google.com/spreadsheets/d/1boHyJQ4e2FU0QG8MHwEi6qjX4hvZWVCHcFfXjq7bbMc/edit?resourcekey#gid=923248883"",""Prop!$BQ$1:$CA""),11,0),iferror(vlookup(B20,importrange(""https:/"&amp;"/docs.google.com/spreadsheets/d/1boHyJQ4e2FU0QG8MHwEi6qjX4hvZWVCHcFfXjq7bbMc/edit?resourcekey#gid=923248883"",""Prop!$CB$1:$CL""),11,0),iferror(vlookup(B20,importrange(""https://docs.google.com/spreadsheets/d/1boHyJQ4e2FU0QG8MHwEi6qjX4hvZWVCHcFfXjq7bbMc/e"&amp;"dit?resourcekey#gid=923248883"",""Prop!$CM$1:$CX""),12,0),iferror(vlookup(B20,importrange(""https://docs.google.com/spreadsheets/d/1boHyJQ4e2FU0QG8MHwEi6qjX4hvZWVCHcFfXjq7bbMc/edit?resourcekey#gid=923248883"",""Prop!$CV$1:$DI""),11,0)))))))))))"),"")</f>
        <v/>
      </c>
      <c r="Q20" s="1" t="str">
        <f ca="1">IFERROR(__xludf.DUMMYFUNCTION("iferror(vlookup(B20,importrange(""https://docs.google.com/spreadsheets/d/1p53T2AuvvIqhP7Nf-bo3Uhj8cbKYRPpZdsrBv3x3bAQ/edit?resourcekey#gid=1321652304"",""Prop!$C$1:$M""),11,0),IFERROR(vlookup(B20,importrange(""https://docs.google.com/spreadsheets/d/1p53T2"&amp;"AuvvIqhP7Nf-bo3Uhj8cbKYRPpZdsrBv3x3bAQ/edit?resourcekey#gid=1321652304"",""Prop!$N$1:$X""),11,0),iferror(vlookup(B20,importrange(""https://docs.google.com/spreadsheets/d/1p53T2AuvvIqhP7Nf-bo3Uhj8cbKYRPpZdsrBv3x3bAQ/edit?resourcekey#gid=1321652304"",""Prop"&amp;"!$Y$1:$AI""),11,0),iferror(vlookup(B20,importrange(""https://docs.google.com/spreadsheets/d/1p53T2AuvvIqhP7Nf-bo3Uhj8cbKYRPpZdsrBv3x3bAQ/edit?resourcekey#gid=1321652304"",""Prop!$AJ$1:$AT""),11,0),iferror(vlookup(B20,importrange(""https://docs.google.com/"&amp;"spreadsheets/d/1p53T2AuvvIqhP7Nf-bo3Uhj8cbKYRPpZdsrBv3x3bAQ/edit?resourcekey#gid=1321652304"",""Prop!$AU$1:$BE""),11,0),iferror(vlookup(B20,importrange(""https://docs.google.com/spreadsheets/d/1p53T2AuvvIqhP7Nf-bo3Uhj8cbKYRPpZdsrBv3x3bAQ/edit?resourcekey#"&amp;"gid=1321652304"",""Prop!$BF$1:$BP""),11,0),iferror(vlookup(B20,importrange(""https://docs.google.com/spreadsheets/d/1p53T2AuvvIqhP7Nf-bo3Uhj8cbKYRPpZdsrBv3x3bAQ/edit?resourcekey#gid=1321652304"",""Prop!$BQ$1:$CA""),11,0),iferror(vlookup(B20,importrange("""&amp;"https://docs.google.com/spreadsheets/d/1p53T2AuvvIqhP7Nf-bo3Uhj8cbKYRPpZdsrBv3x3bAQ/edit?resourcekey#gid=1321652304"",""Prop!$CB$1:$CL""),11,0),iferror(vlookup(B20,importrange(""https://docs.google.com/spreadsheets/d/1p53T2AuvvIqhP7Nf-bo3Uhj8cbKYRPpZdsrBv"&amp;"3x3bAQ/edit?resourcekey#gid=1321652304"",""Prop!$CM$1:$CX""),12,0),iferror(vlookup(B20,importrange(""https://docs.google.com/spreadsheets/d/1p53T2AuvvIqhP7Nf-bo3Uhj8cbKYRPpZdsrBv3x3bAQ/edit?resourcekey#gid=1321652304"",""Prop!$CY$1:$DI""),11,0)))))))))))"),"")</f>
        <v/>
      </c>
      <c r="R20" s="20" t="s">
        <v>867</v>
      </c>
      <c r="S20" s="20" t="str">
        <f ca="1">IFERROR(__xludf.DUMMYFUNCTION("IFERROR(vlookup(B20,IMPORTRANGE(""https://docs.google.com/spreadsheets/d/1g_jfYYK_KeipEDNDUgqgrsxK94XiocfNQIcP-v1QVhI/edit?resourcekey#gid=233272945"",""Nilai!B:CT""),66,0),"" "")")," ")</f>
        <v xml:space="preserve"> </v>
      </c>
      <c r="T20" s="20" t="str">
        <f ca="1">IFERROR(__xludf.DUMMYFUNCTION("IFERROR(vlookup(B20,IMPORTRANGE(""https://docs.google.com/spreadsheets/d/1g_jfYYK_KeipEDNDUgqgrsxK94XiocfNQIcP-v1QVhI/edit?resourcekey#gid=233272945"",""Nilai!B:CT""),97,0),"" "")")," ")</f>
        <v xml:space="preserve"> </v>
      </c>
      <c r="U20" s="21" t="s">
        <v>878</v>
      </c>
      <c r="V20" s="16" t="s">
        <v>868</v>
      </c>
      <c r="W20" s="18" t="s">
        <v>881</v>
      </c>
      <c r="X20" s="22" t="b">
        <v>0</v>
      </c>
    </row>
    <row r="21" spans="1:24">
      <c r="A21" s="15">
        <v>19</v>
      </c>
      <c r="B21" s="15">
        <f ca="1">IFERROR(__xludf.DUMMYFUNCTION("""COMPUTED_VALUE"""),3971)</f>
        <v>3971</v>
      </c>
      <c r="C21" s="16" t="str">
        <f ca="1">IFERROR(__xludf.DUMMYFUNCTION("""COMPUTED_VALUE"""),"Nur Aini Maulidia")</f>
        <v>Nur Aini Maulidia</v>
      </c>
      <c r="D21" s="16" t="str">
        <f ca="1">IFERROR(__xludf.DUMMYFUNCTION("""COMPUTED_VALUE"""),"03211940000020")</f>
        <v>03211940000020</v>
      </c>
      <c r="E21" s="16" t="str">
        <f ca="1">IFERROR(__xludf.DUMMYFUNCTION("""COMPUTED_VALUE"""),"Departemen Teknik Lingkungan")</f>
        <v>Departemen Teknik Lingkungan</v>
      </c>
      <c r="F21" s="16" t="str">
        <f ca="1">IFERROR(__xludf.DUMMYFUNCTION("""COMPUTED_VALUE"""),"Mewujudkan Kota Mandiri Energi dengan Pengelolaan Limbah Domestik Terintegrasi Menggunakan Sistem Pneumatik Berbasis Circular Economy Guna Mendukung Ketercapaian Sanitasi Layak")</f>
        <v>Mewujudkan Kota Mandiri Energi dengan Pengelolaan Limbah Domestik Terintegrasi Menggunakan Sistem Pneumatik Berbasis Circular Economy Guna Mendukung Ketercapaian Sanitasi Layak</v>
      </c>
      <c r="G21" s="16" t="str">
        <f ca="1">IFERROR(__xludf.DUMMYFUNCTION("""COMPUTED_VALUE"""),"Ainul Firdatun Nisaa, S.T., M.Sc.")</f>
        <v>Ainul Firdatun Nisaa, S.T., M.Sc.</v>
      </c>
      <c r="H21" s="16" t="str">
        <f ca="1">IFERROR(__xludf.DUMMYFUNCTION("""COMPUTED_VALUE"""),"Okta Putra Setio Ardianto, S.T., M.T.")</f>
        <v>Okta Putra Setio Ardianto, S.T., M.T.</v>
      </c>
      <c r="I21" s="16" t="str">
        <f ca="1">IFERROR(__xludf.DUMMYFUNCTION("""COMPUTED_VALUE"""),"Fardilla Rizqiyah, ST, MT")</f>
        <v>Fardilla Rizqiyah, ST, MT</v>
      </c>
      <c r="J21" s="16"/>
      <c r="K21" s="17" t="s">
        <v>877</v>
      </c>
      <c r="L21" s="18" t="s">
        <v>879</v>
      </c>
      <c r="M21" s="19" t="b">
        <v>1</v>
      </c>
      <c r="N21" s="19" t="b">
        <v>0</v>
      </c>
      <c r="O21" s="1" t="s">
        <v>880</v>
      </c>
      <c r="P21" s="7" t="str">
        <f ca="1">IFERROR(__xludf.DUMMYFUNCTION("iferror(vlookup(B21,importrange(""https://docs.google.com/spreadsheets/d/1boHyJQ4e2FU0QG8MHwEi6qjX4hvZWVCHcFfXjq7bbMc/edit?resourcekey#gid=923248883"",""Prop!$C$1:$M""),12,0),IFERROR(vlookup(B21,importrange(""https://docs.google.com/spreadsheets/d/1boHyJQ"&amp;"4e2FU0QG8MHwEi6qjX4hvZWVCHcFfXjq7bbMc/edit?resourcekey#gid=923248883"",""Prop!$N$1:$X""),11,0),iferror(vlookup(B21,importrange(""https://docs.google.com/spreadsheets/d/1boHyJQ4e2FU0QG8MHwEi6qjX4hvZWVCHcFfXjq7bbMc/edit?resourcekey#gid=923248883"",""Prop!$Y"&amp;"$1:$AI""),11,0),iferror(vlookup(B21,importrange(""https://docs.google.com/spreadsheets/d/1boHyJQ4e2FU0QG8MHwEi6qjX4hvZWVCHcFfXjq7bbMc/edit?resourcekey#gid=923248883"",""Prop!$AJ$1:$AT""),11,0),iferror(vlookup(B21,importrange(""https://docs.google.com/spre"&amp;"adsheets/d/1boHyJQ4e2FU0QG8MHwEi6qjX4hvZWVCHcFfXjq7bbMc/edit?resourcekey#gid=923248883"",""Prop!$AU$1:$BE""),11,0),iferror(vlookup(B21,importrange(""https://docs.google.com/spreadsheets/d/1boHyJQ4e2FU0QG8MHwEi6qjX4hvZWVCHcFfXjq7bbMc/edit?resourcekey#gid=9"&amp;"23248883"",""Prop!$BF$1:$BP""),11,0),iferror(vlookup(B21,importrange(""https://docs.google.com/spreadsheets/d/1boHyJQ4e2FU0QG8MHwEi6qjX4hvZWVCHcFfXjq7bbMc/edit?resourcekey#gid=923248883"",""Prop!$BQ$1:$CA""),11,0),iferror(vlookup(B21,importrange(""https:/"&amp;"/docs.google.com/spreadsheets/d/1boHyJQ4e2FU0QG8MHwEi6qjX4hvZWVCHcFfXjq7bbMc/edit?resourcekey#gid=923248883"",""Prop!$CB$1:$CL""),11,0),iferror(vlookup(B21,importrange(""https://docs.google.com/spreadsheets/d/1boHyJQ4e2FU0QG8MHwEi6qjX4hvZWVCHcFfXjq7bbMc/e"&amp;"dit?resourcekey#gid=923248883"",""Prop!$CM$1:$CX""),12,0),iferror(vlookup(B21,importrange(""https://docs.google.com/spreadsheets/d/1boHyJQ4e2FU0QG8MHwEi6qjX4hvZWVCHcFfXjq7bbMc/edit?resourcekey#gid=923248883"",""Prop!$CV$1:$DI""),11,0)))))))))))"),"https://drive.google.com/open?id=1TpKNiu4lIrzTn-fAVW3L7qUQ0bRoCKRT")</f>
        <v>https://drive.google.com/open?id=1TpKNiu4lIrzTn-fAVW3L7qUQ0bRoCKRT</v>
      </c>
      <c r="Q21" s="7" t="str">
        <f ca="1">IFERROR(__xludf.DUMMYFUNCTION("iferror(vlookup(B21,importrange(""https://docs.google.com/spreadsheets/d/1p53T2AuvvIqhP7Nf-bo3Uhj8cbKYRPpZdsrBv3x3bAQ/edit?resourcekey#gid=1321652304"",""Prop!$C$1:$M""),11,0),IFERROR(vlookup(B21,importrange(""https://docs.google.com/spreadsheets/d/1p53T2"&amp;"AuvvIqhP7Nf-bo3Uhj8cbKYRPpZdsrBv3x3bAQ/edit?resourcekey#gid=1321652304"",""Prop!$N$1:$X""),11,0),iferror(vlookup(B21,importrange(""https://docs.google.com/spreadsheets/d/1p53T2AuvvIqhP7Nf-bo3Uhj8cbKYRPpZdsrBv3x3bAQ/edit?resourcekey#gid=1321652304"",""Prop"&amp;"!$Y$1:$AI""),11,0),iferror(vlookup(B21,importrange(""https://docs.google.com/spreadsheets/d/1p53T2AuvvIqhP7Nf-bo3Uhj8cbKYRPpZdsrBv3x3bAQ/edit?resourcekey#gid=1321652304"",""Prop!$AJ$1:$AT""),11,0),iferror(vlookup(B21,importrange(""https://docs.google.com/"&amp;"spreadsheets/d/1p53T2AuvvIqhP7Nf-bo3Uhj8cbKYRPpZdsrBv3x3bAQ/edit?resourcekey#gid=1321652304"",""Prop!$AU$1:$BE""),11,0),iferror(vlookup(B21,importrange(""https://docs.google.com/spreadsheets/d/1p53T2AuvvIqhP7Nf-bo3Uhj8cbKYRPpZdsrBv3x3bAQ/edit?resourcekey#"&amp;"gid=1321652304"",""Prop!$BF$1:$BP""),11,0),iferror(vlookup(B21,importrange(""https://docs.google.com/spreadsheets/d/1p53T2AuvvIqhP7Nf-bo3Uhj8cbKYRPpZdsrBv3x3bAQ/edit?resourcekey#gid=1321652304"",""Prop!$BQ$1:$CA""),11,0),iferror(vlookup(B21,importrange("""&amp;"https://docs.google.com/spreadsheets/d/1p53T2AuvvIqhP7Nf-bo3Uhj8cbKYRPpZdsrBv3x3bAQ/edit?resourcekey#gid=1321652304"",""Prop!$CB$1:$CL""),11,0),iferror(vlookup(B21,importrange(""https://docs.google.com/spreadsheets/d/1p53T2AuvvIqhP7Nf-bo3Uhj8cbKYRPpZdsrBv"&amp;"3x3bAQ/edit?resourcekey#gid=1321652304"",""Prop!$CM$1:$CX""),12,0),iferror(vlookup(B21,importrange(""https://docs.google.com/spreadsheets/d/1p53T2AuvvIqhP7Nf-bo3Uhj8cbKYRPpZdsrBv3x3bAQ/edit?resourcekey#gid=1321652304"",""Prop!$CY$1:$DI""),11,0)))))))))))"),"https://drive.google.com/open?id=1a7235QgRC85voStR-Zg4e8Oy84x3e8LY")</f>
        <v>https://drive.google.com/open?id=1a7235QgRC85voStR-Zg4e8Oy84x3e8LY</v>
      </c>
      <c r="R21" s="20" t="s">
        <v>867</v>
      </c>
      <c r="S21" s="20" t="str">
        <f ca="1">IFERROR(__xludf.DUMMYFUNCTION("IFERROR(vlookup(B21,IMPORTRANGE(""https://docs.google.com/spreadsheets/d/1g_jfYYK_KeipEDNDUgqgrsxK94XiocfNQIcP-v1QVhI/edit?resourcekey#gid=233272945"",""Nilai!B:CT""),66,0),"" "")"),"1. konteks permasalahan selain dikaitkan dg isu SDGs, juga diakaitkan dengan target universal akses pemerintah RI yaitu tercapainya sanitasi perkotaan 100%. cek info lengkap di internet
2. perjelas keterbaruan dari ide ini dan manfaat lebih yang nanti aka"&amp;"n didapatkan
3. konten video dibuat lebih dinamis, emosional, inspiratif dan komunikatif, tdk hanya sekedar mendeskripsikan gagasannya
4. metode dipastikan dilakukan dengan luring")</f>
        <v>1. konteks permasalahan selain dikaitkan dg isu SDGs, juga diakaitkan dengan target universal akses pemerintah RI yaitu tercapainya sanitasi perkotaan 100%. cek info lengkap di internet
2. perjelas keterbaruan dari ide ini dan manfaat lebih yang nanti akan didapatkan
3. konten video dibuat lebih dinamis, emosional, inspiratif dan komunikatif, tdk hanya sekedar mendeskripsikan gagasannya
4. metode dipastikan dilakukan dengan luring</v>
      </c>
      <c r="T21" s="20" t="str">
        <f ca="1">IFERROR(__xludf.DUMMYFUNCTION("IFERROR(vlookup(B21,IMPORTRANGE(""https://docs.google.com/spreadsheets/d/1g_jfYYK_KeipEDNDUgqgrsxK94XiocfNQIcP-v1QVhI/edit?resourcekey#gid=233272945"",""Nilai!B:CT""),97,0),"" "")"),"LAYAK UPLOAD KE SIMBELMAWA DENGAN REVISI")</f>
        <v>LAYAK UPLOAD KE SIMBELMAWA DENGAN REVISI</v>
      </c>
      <c r="U21" s="21" t="s">
        <v>878</v>
      </c>
      <c r="V21" s="16" t="s">
        <v>868</v>
      </c>
      <c r="W21" s="18" t="s">
        <v>881</v>
      </c>
      <c r="X21" s="22" t="b">
        <v>1</v>
      </c>
    </row>
    <row r="22" spans="1:24">
      <c r="A22" s="15">
        <v>20</v>
      </c>
      <c r="B22" s="15">
        <f ca="1">IFERROR(__xludf.DUMMYFUNCTION("""COMPUTED_VALUE"""),3884)</f>
        <v>3884</v>
      </c>
      <c r="C22" s="16" t="str">
        <f ca="1">IFERROR(__xludf.DUMMYFUNCTION("""COMPUTED_VALUE"""),"HANY PATRICIA")</f>
        <v>HANY PATRICIA</v>
      </c>
      <c r="D22" s="16" t="str">
        <f ca="1">IFERROR(__xludf.DUMMYFUNCTION("""COMPUTED_VALUE"""),"5029201070")</f>
        <v>5029201070</v>
      </c>
      <c r="E22" s="16" t="str">
        <f ca="1">IFERROR(__xludf.DUMMYFUNCTION("""COMPUTED_VALUE"""),"Departemen Desain Interior")</f>
        <v>Departemen Desain Interior</v>
      </c>
      <c r="F22" s="16" t="str">
        <f ca="1">IFERROR(__xludf.DUMMYFUNCTION("""COMPUTED_VALUE"""),"“Hunian Cerdas untuk Keluarga Milenials Berkonsep Smart Eco Living pada Lahan Berkontur sebagai Upaya Siaga Bencana Tanah Longsor”")</f>
        <v>“Hunian Cerdas untuk Keluarga Milenials Berkonsep Smart Eco Living pada Lahan Berkontur sebagai Upaya Siaga Bencana Tanah Longsor”</v>
      </c>
      <c r="G22" s="16" t="str">
        <f ca="1">IFERROR(__xludf.DUMMYFUNCTION("""COMPUTED_VALUE"""),"Anggra Ayu Rucitra, S.T., M.MT")</f>
        <v>Anggra Ayu Rucitra, S.T., M.MT</v>
      </c>
      <c r="H22" s="16" t="str">
        <f ca="1">IFERROR(__xludf.DUMMYFUNCTION("""COMPUTED_VALUE"""),"Dr. I Gusti Ngurah Satriyadi Hernanda, S.T., M.T.")</f>
        <v>Dr. I Gusti Ngurah Satriyadi Hernanda, S.T., M.T.</v>
      </c>
      <c r="I22" s="16" t="str">
        <f ca="1">IFERROR(__xludf.DUMMYFUNCTION("""COMPUTED_VALUE"""),"Fardilla Rizqiyah, ST, MT")</f>
        <v>Fardilla Rizqiyah, ST, MT</v>
      </c>
      <c r="J22" s="16"/>
      <c r="K22" s="17" t="s">
        <v>882</v>
      </c>
      <c r="L22" s="18" t="s">
        <v>879</v>
      </c>
      <c r="M22" s="19" t="b">
        <v>0</v>
      </c>
      <c r="N22" s="19" t="b">
        <v>0</v>
      </c>
      <c r="O22" s="1" t="s">
        <v>880</v>
      </c>
      <c r="P22" s="7" t="str">
        <f ca="1">IFERROR(__xludf.DUMMYFUNCTION("iferror(vlookup(B22,importrange(""https://docs.google.com/spreadsheets/d/1boHyJQ4e2FU0QG8MHwEi6qjX4hvZWVCHcFfXjq7bbMc/edit?resourcekey#gid=923248883"",""Prop!$C$1:$M""),12,0),IFERROR(vlookup(B22,importrange(""https://docs.google.com/spreadsheets/d/1boHyJQ"&amp;"4e2FU0QG8MHwEi6qjX4hvZWVCHcFfXjq7bbMc/edit?resourcekey#gid=923248883"",""Prop!$N$1:$X""),11,0),iferror(vlookup(B22,importrange(""https://docs.google.com/spreadsheets/d/1boHyJQ4e2FU0QG8MHwEi6qjX4hvZWVCHcFfXjq7bbMc/edit?resourcekey#gid=923248883"",""Prop!$Y"&amp;"$1:$AI""),11,0),iferror(vlookup(B22,importrange(""https://docs.google.com/spreadsheets/d/1boHyJQ4e2FU0QG8MHwEi6qjX4hvZWVCHcFfXjq7bbMc/edit?resourcekey#gid=923248883"",""Prop!$AJ$1:$AT""),11,0),iferror(vlookup(B22,importrange(""https://docs.google.com/spre"&amp;"adsheets/d/1boHyJQ4e2FU0QG8MHwEi6qjX4hvZWVCHcFfXjq7bbMc/edit?resourcekey#gid=923248883"",""Prop!$AU$1:$BE""),11,0),iferror(vlookup(B22,importrange(""https://docs.google.com/spreadsheets/d/1boHyJQ4e2FU0QG8MHwEi6qjX4hvZWVCHcFfXjq7bbMc/edit?resourcekey#gid=9"&amp;"23248883"",""Prop!$BF$1:$BP""),11,0),iferror(vlookup(B22,importrange(""https://docs.google.com/spreadsheets/d/1boHyJQ4e2FU0QG8MHwEi6qjX4hvZWVCHcFfXjq7bbMc/edit?resourcekey#gid=923248883"",""Prop!$BQ$1:$CA""),11,0),iferror(vlookup(B22,importrange(""https:/"&amp;"/docs.google.com/spreadsheets/d/1boHyJQ4e2FU0QG8MHwEi6qjX4hvZWVCHcFfXjq7bbMc/edit?resourcekey#gid=923248883"",""Prop!$CB$1:$CL""),11,0),iferror(vlookup(B22,importrange(""https://docs.google.com/spreadsheets/d/1boHyJQ4e2FU0QG8MHwEi6qjX4hvZWVCHcFfXjq7bbMc/e"&amp;"dit?resourcekey#gid=923248883"",""Prop!$CM$1:$CX""),12,0),iferror(vlookup(B22,importrange(""https://docs.google.com/spreadsheets/d/1boHyJQ4e2FU0QG8MHwEi6qjX4hvZWVCHcFfXjq7bbMc/edit?resourcekey#gid=923248883"",""Prop!$CV$1:$DI""),11,0)))))))))))"),"https://drive.google.com/open?id=1y-Iyf0bDugAfZZhieAu_iVPN4JlQvu9j")</f>
        <v>https://drive.google.com/open?id=1y-Iyf0bDugAfZZhieAu_iVPN4JlQvu9j</v>
      </c>
      <c r="Q22" s="7" t="str">
        <f ca="1">IFERROR(__xludf.DUMMYFUNCTION("iferror(vlookup(B22,importrange(""https://docs.google.com/spreadsheets/d/1p53T2AuvvIqhP7Nf-bo3Uhj8cbKYRPpZdsrBv3x3bAQ/edit?resourcekey#gid=1321652304"",""Prop!$C$1:$M""),11,0),IFERROR(vlookup(B22,importrange(""https://docs.google.com/spreadsheets/d/1p53T2"&amp;"AuvvIqhP7Nf-bo3Uhj8cbKYRPpZdsrBv3x3bAQ/edit?resourcekey#gid=1321652304"",""Prop!$N$1:$X""),11,0),iferror(vlookup(B22,importrange(""https://docs.google.com/spreadsheets/d/1p53T2AuvvIqhP7Nf-bo3Uhj8cbKYRPpZdsrBv3x3bAQ/edit?resourcekey#gid=1321652304"",""Prop"&amp;"!$Y$1:$AI""),11,0),iferror(vlookup(B22,importrange(""https://docs.google.com/spreadsheets/d/1p53T2AuvvIqhP7Nf-bo3Uhj8cbKYRPpZdsrBv3x3bAQ/edit?resourcekey#gid=1321652304"",""Prop!$AJ$1:$AT""),11,0),iferror(vlookup(B22,importrange(""https://docs.google.com/"&amp;"spreadsheets/d/1p53T2AuvvIqhP7Nf-bo3Uhj8cbKYRPpZdsrBv3x3bAQ/edit?resourcekey#gid=1321652304"",""Prop!$AU$1:$BE""),11,0),iferror(vlookup(B22,importrange(""https://docs.google.com/spreadsheets/d/1p53T2AuvvIqhP7Nf-bo3Uhj8cbKYRPpZdsrBv3x3bAQ/edit?resourcekey#"&amp;"gid=1321652304"",""Prop!$BF$1:$BP""),11,0),iferror(vlookup(B22,importrange(""https://docs.google.com/spreadsheets/d/1p53T2AuvvIqhP7Nf-bo3Uhj8cbKYRPpZdsrBv3x3bAQ/edit?resourcekey#gid=1321652304"",""Prop!$BQ$1:$CA""),11,0),iferror(vlookup(B22,importrange("""&amp;"https://docs.google.com/spreadsheets/d/1p53T2AuvvIqhP7Nf-bo3Uhj8cbKYRPpZdsrBv3x3bAQ/edit?resourcekey#gid=1321652304"",""Prop!$CB$1:$CL""),11,0),iferror(vlookup(B22,importrange(""https://docs.google.com/spreadsheets/d/1p53T2AuvvIqhP7Nf-bo3Uhj8cbKYRPpZdsrBv"&amp;"3x3bAQ/edit?resourcekey#gid=1321652304"",""Prop!$CM$1:$CX""),12,0),iferror(vlookup(B22,importrange(""https://docs.google.com/spreadsheets/d/1p53T2AuvvIqhP7Nf-bo3Uhj8cbKYRPpZdsrBv3x3bAQ/edit?resourcekey#gid=1321652304"",""Prop!$CY$1:$DI""),11,0)))))))))))"),"https://drive.google.com/open?id=1dJvRiC8kUh5mH5DRJ77ZsPiIk9TyclxI")</f>
        <v>https://drive.google.com/open?id=1dJvRiC8kUh5mH5DRJ77ZsPiIk9TyclxI</v>
      </c>
      <c r="R22" s="20" t="s">
        <v>867</v>
      </c>
      <c r="S22" s="20" t="str">
        <f ca="1">IFERROR(__xludf.DUMMYFUNCTION("IFERROR(vlookup(B22,IMPORTRANGE(""https://docs.google.com/spreadsheets/d/1g_jfYYK_KeipEDNDUgqgrsxK94XiocfNQIcP-v1QVhI/edit?resourcekey#gid=233272945"",""Nilai!B:CT""),66,0),"" "")"),"anggaran terlalu minimal, aspek emosional kurang diunggulkan dalam sinopsis")</f>
        <v>anggaran terlalu minimal, aspek emosional kurang diunggulkan dalam sinopsis</v>
      </c>
      <c r="T22" s="20" t="str">
        <f ca="1">IFERROR(__xludf.DUMMYFUNCTION("IFERROR(vlookup(B22,IMPORTRANGE(""https://docs.google.com/spreadsheets/d/1g_jfYYK_KeipEDNDUgqgrsxK94XiocfNQIcP-v1QVhI/edit?resourcekey#gid=233272945"",""Nilai!B:CT""),97,0),"" "")"),"LAYAK UPLOAD KE SIMBELMAWA DENGAN REVISI")</f>
        <v>LAYAK UPLOAD KE SIMBELMAWA DENGAN REVISI</v>
      </c>
      <c r="U22" s="21" t="s">
        <v>878</v>
      </c>
      <c r="V22" s="16" t="s">
        <v>868</v>
      </c>
      <c r="W22" s="18" t="s">
        <v>881</v>
      </c>
      <c r="X22" s="22" t="b">
        <v>0</v>
      </c>
    </row>
    <row r="23" spans="1:24">
      <c r="A23" s="15">
        <v>21</v>
      </c>
      <c r="B23" s="15">
        <f ca="1">IFERROR(__xludf.DUMMYFUNCTION("""COMPUTED_VALUE"""),3826)</f>
        <v>3826</v>
      </c>
      <c r="C23" s="16" t="str">
        <f ca="1">IFERROR(__xludf.DUMMYFUNCTION("""COMPUTED_VALUE"""),"Yasmin Nur Helisa")</f>
        <v>Yasmin Nur Helisa</v>
      </c>
      <c r="D23" s="16" t="str">
        <f ca="1">IFERROR(__xludf.DUMMYFUNCTION("""COMPUTED_VALUE"""),"5010211136")</f>
        <v>5010211136</v>
      </c>
      <c r="E23" s="16" t="str">
        <f ca="1">IFERROR(__xludf.DUMMYFUNCTION("""COMPUTED_VALUE"""),"Departemen Teknik Sistem dan Industri")</f>
        <v>Departemen Teknik Sistem dan Industri</v>
      </c>
      <c r="F23" s="16" t="str">
        <f ca="1">IFERROR(__xludf.DUMMYFUNCTION("""COMPUTED_VALUE"""),"Imun Testing Melalui Micro-Needle Extraction Patches Untuk
Penyakit Autoimmune")</f>
        <v>Imun Testing Melalui Micro-Needle Extraction Patches Untuk
Penyakit Autoimmune</v>
      </c>
      <c r="G23" s="16" t="str">
        <f ca="1">IFERROR(__xludf.DUMMYFUNCTION("""COMPUTED_VALUE"""),"Dr. Adithya Sudiarno, S.T., M.T.")</f>
        <v>Dr. Adithya Sudiarno, S.T., M.T.</v>
      </c>
      <c r="H23" s="16" t="str">
        <f ca="1">IFERROR(__xludf.DUMMYFUNCTION("""COMPUTED_VALUE"""),"Putu Gde Ariastita, S.T., M.T.")</f>
        <v>Putu Gde Ariastita, S.T., M.T.</v>
      </c>
      <c r="I23" s="16" t="str">
        <f ca="1">IFERROR(__xludf.DUMMYFUNCTION("""COMPUTED_VALUE"""),"Nur Azizah, S.Si., M.Stat.")</f>
        <v>Nur Azizah, S.Si., M.Stat.</v>
      </c>
      <c r="J23" s="16"/>
      <c r="K23" s="17" t="s">
        <v>882</v>
      </c>
      <c r="L23" s="18" t="s">
        <v>879</v>
      </c>
      <c r="M23" s="19" t="b">
        <v>1</v>
      </c>
      <c r="N23" s="19" t="b">
        <v>1</v>
      </c>
      <c r="O23" s="1" t="s">
        <v>883</v>
      </c>
      <c r="P23" s="7" t="str">
        <f ca="1">IFERROR(__xludf.DUMMYFUNCTION("iferror(vlookup(B23,importrange(""https://docs.google.com/spreadsheets/d/1boHyJQ4e2FU0QG8MHwEi6qjX4hvZWVCHcFfXjq7bbMc/edit?resourcekey#gid=923248883"",""Prop!$C$1:$M""),12,0),IFERROR(vlookup(B23,importrange(""https://docs.google.com/spreadsheets/d/1boHyJQ"&amp;"4e2FU0QG8MHwEi6qjX4hvZWVCHcFfXjq7bbMc/edit?resourcekey#gid=923248883"",""Prop!$N$1:$X""),11,0),iferror(vlookup(B23,importrange(""https://docs.google.com/spreadsheets/d/1boHyJQ4e2FU0QG8MHwEi6qjX4hvZWVCHcFfXjq7bbMc/edit?resourcekey#gid=923248883"",""Prop!$Y"&amp;"$1:$AI""),11,0),iferror(vlookup(B23,importrange(""https://docs.google.com/spreadsheets/d/1boHyJQ4e2FU0QG8MHwEi6qjX4hvZWVCHcFfXjq7bbMc/edit?resourcekey#gid=923248883"",""Prop!$AJ$1:$AT""),11,0),iferror(vlookup(B23,importrange(""https://docs.google.com/spre"&amp;"adsheets/d/1boHyJQ4e2FU0QG8MHwEi6qjX4hvZWVCHcFfXjq7bbMc/edit?resourcekey#gid=923248883"",""Prop!$AU$1:$BE""),11,0),iferror(vlookup(B23,importrange(""https://docs.google.com/spreadsheets/d/1boHyJQ4e2FU0QG8MHwEi6qjX4hvZWVCHcFfXjq7bbMc/edit?resourcekey#gid=9"&amp;"23248883"",""Prop!$BF$1:$BP""),11,0),iferror(vlookup(B23,importrange(""https://docs.google.com/spreadsheets/d/1boHyJQ4e2FU0QG8MHwEi6qjX4hvZWVCHcFfXjq7bbMc/edit?resourcekey#gid=923248883"",""Prop!$BQ$1:$CA""),11,0),iferror(vlookup(B23,importrange(""https:/"&amp;"/docs.google.com/spreadsheets/d/1boHyJQ4e2FU0QG8MHwEi6qjX4hvZWVCHcFfXjq7bbMc/edit?resourcekey#gid=923248883"",""Prop!$CB$1:$CL""),11,0),iferror(vlookup(B23,importrange(""https://docs.google.com/spreadsheets/d/1boHyJQ4e2FU0QG8MHwEi6qjX4hvZWVCHcFfXjq7bbMc/e"&amp;"dit?resourcekey#gid=923248883"",""Prop!$CM$1:$CX""),12,0),iferror(vlookup(B23,importrange(""https://docs.google.com/spreadsheets/d/1boHyJQ4e2FU0QG8MHwEi6qjX4hvZWVCHcFfXjq7bbMc/edit?resourcekey#gid=923248883"",""Prop!$CV$1:$DI""),11,0)))))))))))"),"https://drive.google.com/open?id=1avYBK79uffWlRK6ihBCgXF97422qFnu6")</f>
        <v>https://drive.google.com/open?id=1avYBK79uffWlRK6ihBCgXF97422qFnu6</v>
      </c>
      <c r="Q23" s="7" t="str">
        <f ca="1">IFERROR(__xludf.DUMMYFUNCTION("iferror(vlookup(B23,importrange(""https://docs.google.com/spreadsheets/d/1p53T2AuvvIqhP7Nf-bo3Uhj8cbKYRPpZdsrBv3x3bAQ/edit?resourcekey#gid=1321652304"",""Prop!$C$1:$M""),11,0),IFERROR(vlookup(B23,importrange(""https://docs.google.com/spreadsheets/d/1p53T2"&amp;"AuvvIqhP7Nf-bo3Uhj8cbKYRPpZdsrBv3x3bAQ/edit?resourcekey#gid=1321652304"",""Prop!$N$1:$X""),11,0),iferror(vlookup(B23,importrange(""https://docs.google.com/spreadsheets/d/1p53T2AuvvIqhP7Nf-bo3Uhj8cbKYRPpZdsrBv3x3bAQ/edit?resourcekey#gid=1321652304"",""Prop"&amp;"!$Y$1:$AI""),11,0),iferror(vlookup(B23,importrange(""https://docs.google.com/spreadsheets/d/1p53T2AuvvIqhP7Nf-bo3Uhj8cbKYRPpZdsrBv3x3bAQ/edit?resourcekey#gid=1321652304"",""Prop!$AJ$1:$AT""),11,0),iferror(vlookup(B23,importrange(""https://docs.google.com/"&amp;"spreadsheets/d/1p53T2AuvvIqhP7Nf-bo3Uhj8cbKYRPpZdsrBv3x3bAQ/edit?resourcekey#gid=1321652304"",""Prop!$AU$1:$BE""),11,0),iferror(vlookup(B23,importrange(""https://docs.google.com/spreadsheets/d/1p53T2AuvvIqhP7Nf-bo3Uhj8cbKYRPpZdsrBv3x3bAQ/edit?resourcekey#"&amp;"gid=1321652304"",""Prop!$BF$1:$BP""),11,0),iferror(vlookup(B23,importrange(""https://docs.google.com/spreadsheets/d/1p53T2AuvvIqhP7Nf-bo3Uhj8cbKYRPpZdsrBv3x3bAQ/edit?resourcekey#gid=1321652304"",""Prop!$BQ$1:$CA""),11,0),iferror(vlookup(B23,importrange("""&amp;"https://docs.google.com/spreadsheets/d/1p53T2AuvvIqhP7Nf-bo3Uhj8cbKYRPpZdsrBv3x3bAQ/edit?resourcekey#gid=1321652304"",""Prop!$CB$1:$CL""),11,0),iferror(vlookup(B23,importrange(""https://docs.google.com/spreadsheets/d/1p53T2AuvvIqhP7Nf-bo3Uhj8cbKYRPpZdsrBv"&amp;"3x3bAQ/edit?resourcekey#gid=1321652304"",""Prop!$CM$1:$CX""),12,0),iferror(vlookup(B23,importrange(""https://docs.google.com/spreadsheets/d/1p53T2AuvvIqhP7Nf-bo3Uhj8cbKYRPpZdsrBv3x3bAQ/edit?resourcekey#gid=1321652304"",""Prop!$CY$1:$DI""),11,0)))))))))))"),"https://drive.google.com/open?id=1rHLxvfE0r2kp3bbIw0EvhQoVO3rhUlu9")</f>
        <v>https://drive.google.com/open?id=1rHLxvfE0r2kp3bbIw0EvhQoVO3rhUlu9</v>
      </c>
      <c r="R23" s="20" t="s">
        <v>867</v>
      </c>
      <c r="S23" s="20" t="str">
        <f ca="1">IFERROR(__xludf.DUMMYFUNCTION("IFERROR(vlookup(B23,IMPORTRANGE(""https://docs.google.com/spreadsheets/d/1g_jfYYK_KeipEDNDUgqgrsxK94XiocfNQIcP-v1QVhI/edit?resourcekey#gid=233272945"",""Nilai!B:CT""),66,0),"" "")"),"1. perjelas keterkaitannya dengan persoalan SDGs atau isu nasional
2. perjelas keterbaruan ide
3. konten video agar tdk deskriptif, tetapi yang menyentuh emosional, inspiratif dan komunikatif
4. metode luring")</f>
        <v>1. perjelas keterkaitannya dengan persoalan SDGs atau isu nasional
2. perjelas keterbaruan ide
3. konten video agar tdk deskriptif, tetapi yang menyentuh emosional, inspiratif dan komunikatif
4. metode luring</v>
      </c>
      <c r="T23" s="20" t="str">
        <f ca="1">IFERROR(__xludf.DUMMYFUNCTION("IFERROR(vlookup(B23,IMPORTRANGE(""https://docs.google.com/spreadsheets/d/1g_jfYYK_KeipEDNDUgqgrsxK94XiocfNQIcP-v1QVhI/edit?resourcekey#gid=233272945"",""Nilai!B:CT""),97,0),"" "")"),"LAYAK UPLOAD KE SIMBELMAWA DENGAN REVISI")</f>
        <v>LAYAK UPLOAD KE SIMBELMAWA DENGAN REVISI</v>
      </c>
      <c r="U23" s="21" t="s">
        <v>878</v>
      </c>
      <c r="V23" s="16" t="s">
        <v>868</v>
      </c>
      <c r="W23" s="18" t="s">
        <v>881</v>
      </c>
      <c r="X23" s="22" t="b">
        <v>1</v>
      </c>
    </row>
    <row r="24" spans="1:24">
      <c r="A24" s="15">
        <v>22</v>
      </c>
      <c r="B24" s="15">
        <f ca="1">IFERROR(__xludf.DUMMYFUNCTION("""COMPUTED_VALUE"""),3772)</f>
        <v>3772</v>
      </c>
      <c r="C24" s="16" t="str">
        <f ca="1">IFERROR(__xludf.DUMMYFUNCTION("""COMPUTED_VALUE"""),"MIRANDA SOPHIE SAPUTRA")</f>
        <v>MIRANDA SOPHIE SAPUTRA</v>
      </c>
      <c r="D24" s="16" t="str">
        <f ca="1">IFERROR(__xludf.DUMMYFUNCTION("""COMPUTED_VALUE"""),"5029201031")</f>
        <v>5029201031</v>
      </c>
      <c r="E24" s="16" t="str">
        <f ca="1">IFERROR(__xludf.DUMMYFUNCTION("""COMPUTED_VALUE"""),"Departemen Desain Interior")</f>
        <v>Departemen Desain Interior</v>
      </c>
      <c r="F24" s="16" t="str">
        <f ca="1">IFERROR(__xludf.DUMMYFUNCTION("""COMPUTED_VALUE"""),"Penggunaan Energi Listrik Ramah Lingkungan Dengan Pemanfaatan Limbah Pasca Covid dan Teknologi PLTSa Rumah Modern Ramah Penghuni Disabilitas")</f>
        <v>Penggunaan Energi Listrik Ramah Lingkungan Dengan Pemanfaatan Limbah Pasca Covid dan Teknologi PLTSa Rumah Modern Ramah Penghuni Disabilitas</v>
      </c>
      <c r="G24" s="16" t="str">
        <f ca="1">IFERROR(__xludf.DUMMYFUNCTION("""COMPUTED_VALUE"""),"Dr. Ir. Susy Budi Astuti, M.T.")</f>
        <v>Dr. Ir. Susy Budi Astuti, M.T.</v>
      </c>
      <c r="H24" s="16" t="str">
        <f ca="1">IFERROR(__xludf.DUMMYFUNCTION("""COMPUTED_VALUE"""),"Dr. I Gusti Ngurah Satriyadi Hernanda, S.T., M.T.")</f>
        <v>Dr. I Gusti Ngurah Satriyadi Hernanda, S.T., M.T.</v>
      </c>
      <c r="I24" s="16" t="str">
        <f ca="1">IFERROR(__xludf.DUMMYFUNCTION("""COMPUTED_VALUE"""),"Dr.Eng. Yuda Apri Hermawan, S.T., M.T.")</f>
        <v>Dr.Eng. Yuda Apri Hermawan, S.T., M.T.</v>
      </c>
      <c r="J24" s="16"/>
      <c r="K24" s="17" t="s">
        <v>882</v>
      </c>
      <c r="L24" s="18" t="s">
        <v>879</v>
      </c>
      <c r="M24" s="19" t="b">
        <v>0</v>
      </c>
      <c r="N24" s="19" t="b">
        <v>0</v>
      </c>
      <c r="O24" s="1" t="s">
        <v>883</v>
      </c>
      <c r="P24" s="7" t="str">
        <f ca="1">IFERROR(__xludf.DUMMYFUNCTION("iferror(vlookup(B24,importrange(""https://docs.google.com/spreadsheets/d/1boHyJQ4e2FU0QG8MHwEi6qjX4hvZWVCHcFfXjq7bbMc/edit?resourcekey#gid=923248883"",""Prop!$C$1:$M""),12,0),IFERROR(vlookup(B24,importrange(""https://docs.google.com/spreadsheets/d/1boHyJQ"&amp;"4e2FU0QG8MHwEi6qjX4hvZWVCHcFfXjq7bbMc/edit?resourcekey#gid=923248883"",""Prop!$N$1:$X""),11,0),iferror(vlookup(B24,importrange(""https://docs.google.com/spreadsheets/d/1boHyJQ4e2FU0QG8MHwEi6qjX4hvZWVCHcFfXjq7bbMc/edit?resourcekey#gid=923248883"",""Prop!$Y"&amp;"$1:$AI""),11,0),iferror(vlookup(B24,importrange(""https://docs.google.com/spreadsheets/d/1boHyJQ4e2FU0QG8MHwEi6qjX4hvZWVCHcFfXjq7bbMc/edit?resourcekey#gid=923248883"",""Prop!$AJ$1:$AT""),11,0),iferror(vlookup(B24,importrange(""https://docs.google.com/spre"&amp;"adsheets/d/1boHyJQ4e2FU0QG8MHwEi6qjX4hvZWVCHcFfXjq7bbMc/edit?resourcekey#gid=923248883"",""Prop!$AU$1:$BE""),11,0),iferror(vlookup(B24,importrange(""https://docs.google.com/spreadsheets/d/1boHyJQ4e2FU0QG8MHwEi6qjX4hvZWVCHcFfXjq7bbMc/edit?resourcekey#gid=9"&amp;"23248883"",""Prop!$BF$1:$BP""),11,0),iferror(vlookup(B24,importrange(""https://docs.google.com/spreadsheets/d/1boHyJQ4e2FU0QG8MHwEi6qjX4hvZWVCHcFfXjq7bbMc/edit?resourcekey#gid=923248883"",""Prop!$BQ$1:$CA""),11,0),iferror(vlookup(B24,importrange(""https:/"&amp;"/docs.google.com/spreadsheets/d/1boHyJQ4e2FU0QG8MHwEi6qjX4hvZWVCHcFfXjq7bbMc/edit?resourcekey#gid=923248883"",""Prop!$CB$1:$CL""),11,0),iferror(vlookup(B24,importrange(""https://docs.google.com/spreadsheets/d/1boHyJQ4e2FU0QG8MHwEi6qjX4hvZWVCHcFfXjq7bbMc/e"&amp;"dit?resourcekey#gid=923248883"",""Prop!$CM$1:$CX""),12,0),iferror(vlookup(B24,importrange(""https://docs.google.com/spreadsheets/d/1boHyJQ4e2FU0QG8MHwEi6qjX4hvZWVCHcFfXjq7bbMc/edit?resourcekey#gid=923248883"",""Prop!$CV$1:$DI""),11,0)))))))))))"),"https://drive.google.com/open?id=1LNQo_bRAvn5BxH9fh__rvitTyq6mMksI")</f>
        <v>https://drive.google.com/open?id=1LNQo_bRAvn5BxH9fh__rvitTyq6mMksI</v>
      </c>
      <c r="Q24" s="7" t="str">
        <f ca="1">IFERROR(__xludf.DUMMYFUNCTION("iferror(vlookup(B24,importrange(""https://docs.google.com/spreadsheets/d/1p53T2AuvvIqhP7Nf-bo3Uhj8cbKYRPpZdsrBv3x3bAQ/edit?resourcekey#gid=1321652304"",""Prop!$C$1:$M""),11,0),IFERROR(vlookup(B24,importrange(""https://docs.google.com/spreadsheets/d/1p53T2"&amp;"AuvvIqhP7Nf-bo3Uhj8cbKYRPpZdsrBv3x3bAQ/edit?resourcekey#gid=1321652304"",""Prop!$N$1:$X""),11,0),iferror(vlookup(B24,importrange(""https://docs.google.com/spreadsheets/d/1p53T2AuvvIqhP7Nf-bo3Uhj8cbKYRPpZdsrBv3x3bAQ/edit?resourcekey#gid=1321652304"",""Prop"&amp;"!$Y$1:$AI""),11,0),iferror(vlookup(B24,importrange(""https://docs.google.com/spreadsheets/d/1p53T2AuvvIqhP7Nf-bo3Uhj8cbKYRPpZdsrBv3x3bAQ/edit?resourcekey#gid=1321652304"",""Prop!$AJ$1:$AT""),11,0),iferror(vlookup(B24,importrange(""https://docs.google.com/"&amp;"spreadsheets/d/1p53T2AuvvIqhP7Nf-bo3Uhj8cbKYRPpZdsrBv3x3bAQ/edit?resourcekey#gid=1321652304"",""Prop!$AU$1:$BE""),11,0),iferror(vlookup(B24,importrange(""https://docs.google.com/spreadsheets/d/1p53T2AuvvIqhP7Nf-bo3Uhj8cbKYRPpZdsrBv3x3bAQ/edit?resourcekey#"&amp;"gid=1321652304"",""Prop!$BF$1:$BP""),11,0),iferror(vlookup(B24,importrange(""https://docs.google.com/spreadsheets/d/1p53T2AuvvIqhP7Nf-bo3Uhj8cbKYRPpZdsrBv3x3bAQ/edit?resourcekey#gid=1321652304"",""Prop!$BQ$1:$CA""),11,0),iferror(vlookup(B24,importrange("""&amp;"https://docs.google.com/spreadsheets/d/1p53T2AuvvIqhP7Nf-bo3Uhj8cbKYRPpZdsrBv3x3bAQ/edit?resourcekey#gid=1321652304"",""Prop!$CB$1:$CL""),11,0),iferror(vlookup(B24,importrange(""https://docs.google.com/spreadsheets/d/1p53T2AuvvIqhP7Nf-bo3Uhj8cbKYRPpZdsrBv"&amp;"3x3bAQ/edit?resourcekey#gid=1321652304"",""Prop!$CM$1:$CX""),12,0),iferror(vlookup(B24,importrange(""https://docs.google.com/spreadsheets/d/1p53T2AuvvIqhP7Nf-bo3Uhj8cbKYRPpZdsrBv3x3bAQ/edit?resourcekey#gid=1321652304"",""Prop!$CY$1:$DI""),11,0)))))))))))"),"https://drive.google.com/open?id=1KOYz_ov1AD4rTgVypHhwImT1sBIIl78P")</f>
        <v>https://drive.google.com/open?id=1KOYz_ov1AD4rTgVypHhwImT1sBIIl78P</v>
      </c>
      <c r="R24" s="20" t="s">
        <v>867</v>
      </c>
      <c r="S24" s="20" t="str">
        <f ca="1">IFERROR(__xludf.DUMMYFUNCTION("IFERROR(vlookup(B24,IMPORTRANGE(""https://docs.google.com/spreadsheets/d/1g_jfYYK_KeipEDNDUgqgrsxK94XiocfNQIcP-v1QVhI/edit?resourcekey#gid=233272945"",""Nilai!B:CT""),66,0),"" "")"),"breakdown anggaran belum ada, sisi emosi belum muncul")</f>
        <v>breakdown anggaran belum ada, sisi emosi belum muncul</v>
      </c>
      <c r="T24" s="20" t="str">
        <f ca="1">IFERROR(__xludf.DUMMYFUNCTION("IFERROR(vlookup(B24,IMPORTRANGE(""https://docs.google.com/spreadsheets/d/1g_jfYYK_KeipEDNDUgqgrsxK94XiocfNQIcP-v1QVhI/edit?resourcekey#gid=233272945"",""Nilai!B:CT""),97,0),"" "")"),"LAYAK UPLOAD KE SIMBELMAWA DENGAN REVISI")</f>
        <v>LAYAK UPLOAD KE SIMBELMAWA DENGAN REVISI</v>
      </c>
      <c r="U24" s="21" t="s">
        <v>878</v>
      </c>
      <c r="V24" s="16" t="s">
        <v>868</v>
      </c>
      <c r="W24" s="18" t="s">
        <v>884</v>
      </c>
      <c r="X24" s="22" t="b">
        <v>0</v>
      </c>
    </row>
    <row r="25" spans="1:24">
      <c r="A25" s="15">
        <v>23</v>
      </c>
      <c r="B25" s="15">
        <f ca="1">IFERROR(__xludf.DUMMYFUNCTION("""COMPUTED_VALUE"""),3931)</f>
        <v>3931</v>
      </c>
      <c r="C25" s="16" t="str">
        <f ca="1">IFERROR(__xludf.DUMMYFUNCTION("""COMPUTED_VALUE"""),"ANGGIT KUSUMA LARAS ATIE")</f>
        <v>ANGGIT KUSUMA LARAS ATIE</v>
      </c>
      <c r="D25" s="16" t="str">
        <f ca="1">IFERROR(__xludf.DUMMYFUNCTION("""COMPUTED_VALUE"""),"5029201002")</f>
        <v>5029201002</v>
      </c>
      <c r="E25" s="16" t="str">
        <f ca="1">IFERROR(__xludf.DUMMYFUNCTION("""COMPUTED_VALUE"""),"Departemen Desain Interior")</f>
        <v>Departemen Desain Interior</v>
      </c>
      <c r="F25" s="16" t="str">
        <f ca="1">IFERROR(__xludf.DUMMYFUNCTION("""COMPUTED_VALUE"""),"“Smiley: Inovasi Portable Traditional Games Box dengan Desain Sci-Fi Futuristic untuk Pemulihan Psikis Anak Korban Bencana Alam“")</f>
        <v>“Smiley: Inovasi Portable Traditional Games Box dengan Desain Sci-Fi Futuristic untuk Pemulihan Psikis Anak Korban Bencana Alam“</v>
      </c>
      <c r="G25" s="16" t="str">
        <f ca="1">IFERROR(__xludf.DUMMYFUNCTION("""COMPUTED_VALUE"""),"Dr. Mahendra Wardhana, S.T., M.T.")</f>
        <v>Dr. Mahendra Wardhana, S.T., M.T.</v>
      </c>
      <c r="H25" s="16" t="str">
        <f ca="1">IFERROR(__xludf.DUMMYFUNCTION("""COMPUTED_VALUE"""),"Dr. I Gusti Ngurah Satriyadi Hernanda, S.T., M.T.")</f>
        <v>Dr. I Gusti Ngurah Satriyadi Hernanda, S.T., M.T.</v>
      </c>
      <c r="I25" s="16" t="str">
        <f ca="1">IFERROR(__xludf.DUMMYFUNCTION("""COMPUTED_VALUE"""),"Fardilla Rizqiyah, ST, MT")</f>
        <v>Fardilla Rizqiyah, ST, MT</v>
      </c>
      <c r="J25" s="16"/>
      <c r="K25" s="17" t="s">
        <v>882</v>
      </c>
      <c r="L25" s="18" t="s">
        <v>885</v>
      </c>
      <c r="M25" s="19" t="b">
        <v>1</v>
      </c>
      <c r="N25" s="19" t="b">
        <v>1</v>
      </c>
      <c r="O25" s="1" t="s">
        <v>883</v>
      </c>
      <c r="P25" s="7" t="str">
        <f ca="1">IFERROR(__xludf.DUMMYFUNCTION("iferror(vlookup(B25,importrange(""https://docs.google.com/spreadsheets/d/1boHyJQ4e2FU0QG8MHwEi6qjX4hvZWVCHcFfXjq7bbMc/edit?resourcekey#gid=923248883"",""Prop!$C$1:$M""),12,0),IFERROR(vlookup(B25,importrange(""https://docs.google.com/spreadsheets/d/1boHyJQ"&amp;"4e2FU0QG8MHwEi6qjX4hvZWVCHcFfXjq7bbMc/edit?resourcekey#gid=923248883"",""Prop!$N$1:$X""),11,0),iferror(vlookup(B25,importrange(""https://docs.google.com/spreadsheets/d/1boHyJQ4e2FU0QG8MHwEi6qjX4hvZWVCHcFfXjq7bbMc/edit?resourcekey#gid=923248883"",""Prop!$Y"&amp;"$1:$AI""),11,0),iferror(vlookup(B25,importrange(""https://docs.google.com/spreadsheets/d/1boHyJQ4e2FU0QG8MHwEi6qjX4hvZWVCHcFfXjq7bbMc/edit?resourcekey#gid=923248883"",""Prop!$AJ$1:$AT""),11,0),iferror(vlookup(B25,importrange(""https://docs.google.com/spre"&amp;"adsheets/d/1boHyJQ4e2FU0QG8MHwEi6qjX4hvZWVCHcFfXjq7bbMc/edit?resourcekey#gid=923248883"",""Prop!$AU$1:$BE""),11,0),iferror(vlookup(B25,importrange(""https://docs.google.com/spreadsheets/d/1boHyJQ4e2FU0QG8MHwEi6qjX4hvZWVCHcFfXjq7bbMc/edit?resourcekey#gid=9"&amp;"23248883"",""Prop!$BF$1:$BP""),11,0),iferror(vlookup(B25,importrange(""https://docs.google.com/spreadsheets/d/1boHyJQ4e2FU0QG8MHwEi6qjX4hvZWVCHcFfXjq7bbMc/edit?resourcekey#gid=923248883"",""Prop!$BQ$1:$CA""),11,0),iferror(vlookup(B25,importrange(""https:/"&amp;"/docs.google.com/spreadsheets/d/1boHyJQ4e2FU0QG8MHwEi6qjX4hvZWVCHcFfXjq7bbMc/edit?resourcekey#gid=923248883"",""Prop!$CB$1:$CL""),11,0),iferror(vlookup(B25,importrange(""https://docs.google.com/spreadsheets/d/1boHyJQ4e2FU0QG8MHwEi6qjX4hvZWVCHcFfXjq7bbMc/e"&amp;"dit?resourcekey#gid=923248883"",""Prop!$CM$1:$CX""),12,0),iferror(vlookup(B25,importrange(""https://docs.google.com/spreadsheets/d/1boHyJQ4e2FU0QG8MHwEi6qjX4hvZWVCHcFfXjq7bbMc/edit?resourcekey#gid=923248883"",""Prop!$CV$1:$DI""),11,0)))))))))))"),"https://drive.google.com/open?id=136hkpqA8ylsVocm9vN26SvuIb8hrC817")</f>
        <v>https://drive.google.com/open?id=136hkpqA8ylsVocm9vN26SvuIb8hrC817</v>
      </c>
      <c r="Q25" s="7" t="str">
        <f ca="1">IFERROR(__xludf.DUMMYFUNCTION("iferror(vlookup(B25,importrange(""https://docs.google.com/spreadsheets/d/1p53T2AuvvIqhP7Nf-bo3Uhj8cbKYRPpZdsrBv3x3bAQ/edit?resourcekey#gid=1321652304"",""Prop!$C$1:$M""),11,0),IFERROR(vlookup(B25,importrange(""https://docs.google.com/spreadsheets/d/1p53T2"&amp;"AuvvIqhP7Nf-bo3Uhj8cbKYRPpZdsrBv3x3bAQ/edit?resourcekey#gid=1321652304"",""Prop!$N$1:$X""),11,0),iferror(vlookup(B25,importrange(""https://docs.google.com/spreadsheets/d/1p53T2AuvvIqhP7Nf-bo3Uhj8cbKYRPpZdsrBv3x3bAQ/edit?resourcekey#gid=1321652304"",""Prop"&amp;"!$Y$1:$AI""),11,0),iferror(vlookup(B25,importrange(""https://docs.google.com/spreadsheets/d/1p53T2AuvvIqhP7Nf-bo3Uhj8cbKYRPpZdsrBv3x3bAQ/edit?resourcekey#gid=1321652304"",""Prop!$AJ$1:$AT""),11,0),iferror(vlookup(B25,importrange(""https://docs.google.com/"&amp;"spreadsheets/d/1p53T2AuvvIqhP7Nf-bo3Uhj8cbKYRPpZdsrBv3x3bAQ/edit?resourcekey#gid=1321652304"",""Prop!$AU$1:$BE""),11,0),iferror(vlookup(B25,importrange(""https://docs.google.com/spreadsheets/d/1p53T2AuvvIqhP7Nf-bo3Uhj8cbKYRPpZdsrBv3x3bAQ/edit?resourcekey#"&amp;"gid=1321652304"",""Prop!$BF$1:$BP""),11,0),iferror(vlookup(B25,importrange(""https://docs.google.com/spreadsheets/d/1p53T2AuvvIqhP7Nf-bo3Uhj8cbKYRPpZdsrBv3x3bAQ/edit?resourcekey#gid=1321652304"",""Prop!$BQ$1:$CA""),11,0),iferror(vlookup(B25,importrange("""&amp;"https://docs.google.com/spreadsheets/d/1p53T2AuvvIqhP7Nf-bo3Uhj8cbKYRPpZdsrBv3x3bAQ/edit?resourcekey#gid=1321652304"",""Prop!$CB$1:$CL""),11,0),iferror(vlookup(B25,importrange(""https://docs.google.com/spreadsheets/d/1p53T2AuvvIqhP7Nf-bo3Uhj8cbKYRPpZdsrBv"&amp;"3x3bAQ/edit?resourcekey#gid=1321652304"",""Prop!$CM$1:$CX""),12,0),iferror(vlookup(B25,importrange(""https://docs.google.com/spreadsheets/d/1p53T2AuvvIqhP7Nf-bo3Uhj8cbKYRPpZdsrBv3x3bAQ/edit?resourcekey#gid=1321652304"",""Prop!$CY$1:$DI""),11,0)))))))))))"),"https://drive.google.com/open?id=1x3F7XS2otDivHQVIXxzT2gqGF92W8jGU")</f>
        <v>https://drive.google.com/open?id=1x3F7XS2otDivHQVIXxzT2gqGF92W8jGU</v>
      </c>
      <c r="R25" s="20" t="s">
        <v>867</v>
      </c>
      <c r="S25" s="20" t="str">
        <f ca="1">IFERROR(__xludf.DUMMYFUNCTION("IFERROR(vlookup(B25,IMPORTRANGE(""https://docs.google.com/spreadsheets/d/1g_jfYYK_KeipEDNDUgqgrsxK94XiocfNQIcP-v1QVhI/edit?resourcekey#gid=233272945"",""Nilai!B:CT""),66,0),"" "")"),"Ide relatif sederhana, dan kurang dijelaskan bukti ilmiah gagasan ini mampu meningkatkan edukasi anak2 terhadap bencana")</f>
        <v>Ide relatif sederhana, dan kurang dijelaskan bukti ilmiah gagasan ini mampu meningkatkan edukasi anak2 terhadap bencana</v>
      </c>
      <c r="T25" s="20" t="str">
        <f ca="1">IFERROR(__xludf.DUMMYFUNCTION("IFERROR(vlookup(B25,IMPORTRANGE(""https://docs.google.com/spreadsheets/d/1g_jfYYK_KeipEDNDUgqgrsxK94XiocfNQIcP-v1QVhI/edit?resourcekey#gid=233272945"",""Nilai!B:CT""),97,0),"" "")"),"TIDAK LAYAK UPLOAD KE SIMBELMAWA")</f>
        <v>TIDAK LAYAK UPLOAD KE SIMBELMAWA</v>
      </c>
      <c r="U25" s="21" t="s">
        <v>878</v>
      </c>
      <c r="V25" s="16" t="s">
        <v>868</v>
      </c>
      <c r="W25" s="18" t="s">
        <v>884</v>
      </c>
      <c r="X25" s="22" t="b">
        <v>1</v>
      </c>
    </row>
    <row r="26" spans="1:24">
      <c r="A26" s="15">
        <v>24</v>
      </c>
      <c r="B26" s="15">
        <f ca="1">IFERROR(__xludf.DUMMYFUNCTION("""COMPUTED_VALUE"""),3827)</f>
        <v>3827</v>
      </c>
      <c r="C26" s="16" t="str">
        <f ca="1">IFERROR(__xludf.DUMMYFUNCTION("""COMPUTED_VALUE"""),"Enfi Auliyatul Fauziah")</f>
        <v>Enfi Auliyatul Fauziah</v>
      </c>
      <c r="D26" s="16" t="str">
        <f ca="1">IFERROR(__xludf.DUMMYFUNCTION("""COMPUTED_VALUE"""),"08111940000025")</f>
        <v>08111940000025</v>
      </c>
      <c r="E26" s="16" t="str">
        <f ca="1">IFERROR(__xludf.DUMMYFUNCTION("""COMPUTED_VALUE"""),"Departemen Arsitektur")</f>
        <v>Departemen Arsitektur</v>
      </c>
      <c r="F26" s="16" t="str">
        <f ca="1">IFERROR(__xludf.DUMMYFUNCTION("""COMPUTED_VALUE"""),"Penerapan Arsitektur Bernafas sebagai Respon Pandemi Covid-19 pada Fasade Rumah Tinggal")</f>
        <v>Penerapan Arsitektur Bernafas sebagai Respon Pandemi Covid-19 pada Fasade Rumah Tinggal</v>
      </c>
      <c r="G26" s="16" t="str">
        <f ca="1">IFERROR(__xludf.DUMMYFUNCTION("""COMPUTED_VALUE"""),"Dr.Eng. Didit Novianto, S.T., M.Eng.")</f>
        <v>Dr.Eng. Didit Novianto, S.T., M.Eng.</v>
      </c>
      <c r="H26" s="16" t="str">
        <f ca="1">IFERROR(__xludf.DUMMYFUNCTION("""COMPUTED_VALUE"""),"Okta Putra Setio Ardianto, S.T., M.T.")</f>
        <v>Okta Putra Setio Ardianto, S.T., M.T.</v>
      </c>
      <c r="I26" s="16" t="str">
        <f ca="1">IFERROR(__xludf.DUMMYFUNCTION("""COMPUTED_VALUE"""),"Nur Azizah, S.Si., M.Stat.")</f>
        <v>Nur Azizah, S.Si., M.Stat.</v>
      </c>
      <c r="J26" s="16"/>
      <c r="K26" s="17" t="s">
        <v>882</v>
      </c>
      <c r="L26" s="18" t="s">
        <v>885</v>
      </c>
      <c r="M26" s="19" t="b">
        <v>1</v>
      </c>
      <c r="N26" s="19" t="b">
        <v>1</v>
      </c>
      <c r="O26" s="1" t="s">
        <v>883</v>
      </c>
      <c r="P26" s="7" t="str">
        <f ca="1">IFERROR(__xludf.DUMMYFUNCTION("iferror(vlookup(B26,importrange(""https://docs.google.com/spreadsheets/d/1boHyJQ4e2FU0QG8MHwEi6qjX4hvZWVCHcFfXjq7bbMc/edit?resourcekey#gid=923248883"",""Prop!$C$1:$M""),12,0),IFERROR(vlookup(B26,importrange(""https://docs.google.com/spreadsheets/d/1boHyJQ"&amp;"4e2FU0QG8MHwEi6qjX4hvZWVCHcFfXjq7bbMc/edit?resourcekey#gid=923248883"",""Prop!$N$1:$X""),11,0),iferror(vlookup(B26,importrange(""https://docs.google.com/spreadsheets/d/1boHyJQ4e2FU0QG8MHwEi6qjX4hvZWVCHcFfXjq7bbMc/edit?resourcekey#gid=923248883"",""Prop!$Y"&amp;"$1:$AI""),11,0),iferror(vlookup(B26,importrange(""https://docs.google.com/spreadsheets/d/1boHyJQ4e2FU0QG8MHwEi6qjX4hvZWVCHcFfXjq7bbMc/edit?resourcekey#gid=923248883"",""Prop!$AJ$1:$AT""),11,0),iferror(vlookup(B26,importrange(""https://docs.google.com/spre"&amp;"adsheets/d/1boHyJQ4e2FU0QG8MHwEi6qjX4hvZWVCHcFfXjq7bbMc/edit?resourcekey#gid=923248883"",""Prop!$AU$1:$BE""),11,0),iferror(vlookup(B26,importrange(""https://docs.google.com/spreadsheets/d/1boHyJQ4e2FU0QG8MHwEi6qjX4hvZWVCHcFfXjq7bbMc/edit?resourcekey#gid=9"&amp;"23248883"",""Prop!$BF$1:$BP""),11,0),iferror(vlookup(B26,importrange(""https://docs.google.com/spreadsheets/d/1boHyJQ4e2FU0QG8MHwEi6qjX4hvZWVCHcFfXjq7bbMc/edit?resourcekey#gid=923248883"",""Prop!$BQ$1:$CA""),11,0),iferror(vlookup(B26,importrange(""https:/"&amp;"/docs.google.com/spreadsheets/d/1boHyJQ4e2FU0QG8MHwEi6qjX4hvZWVCHcFfXjq7bbMc/edit?resourcekey#gid=923248883"",""Prop!$CB$1:$CL""),11,0),iferror(vlookup(B26,importrange(""https://docs.google.com/spreadsheets/d/1boHyJQ4e2FU0QG8MHwEi6qjX4hvZWVCHcFfXjq7bbMc/e"&amp;"dit?resourcekey#gid=923248883"",""Prop!$CM$1:$CX""),12,0),iferror(vlookup(B26,importrange(""https://docs.google.com/spreadsheets/d/1boHyJQ4e2FU0QG8MHwEi6qjX4hvZWVCHcFfXjq7bbMc/edit?resourcekey#gid=923248883"",""Prop!$CV$1:$DI""),11,0)))))))))))"),"https://drive.google.com/open?id=13cAAwIXrwNpmJPRUbBZAhKnt4Ci6ZAOe")</f>
        <v>https://drive.google.com/open?id=13cAAwIXrwNpmJPRUbBZAhKnt4Ci6ZAOe</v>
      </c>
      <c r="Q26" s="7" t="str">
        <f ca="1">IFERROR(__xludf.DUMMYFUNCTION("iferror(vlookup(B26,importrange(""https://docs.google.com/spreadsheets/d/1p53T2AuvvIqhP7Nf-bo3Uhj8cbKYRPpZdsrBv3x3bAQ/edit?resourcekey#gid=1321652304"",""Prop!$C$1:$M""),11,0),IFERROR(vlookup(B26,importrange(""https://docs.google.com/spreadsheets/d/1p53T2"&amp;"AuvvIqhP7Nf-bo3Uhj8cbKYRPpZdsrBv3x3bAQ/edit?resourcekey#gid=1321652304"",""Prop!$N$1:$X""),11,0),iferror(vlookup(B26,importrange(""https://docs.google.com/spreadsheets/d/1p53T2AuvvIqhP7Nf-bo3Uhj8cbKYRPpZdsrBv3x3bAQ/edit?resourcekey#gid=1321652304"",""Prop"&amp;"!$Y$1:$AI""),11,0),iferror(vlookup(B26,importrange(""https://docs.google.com/spreadsheets/d/1p53T2AuvvIqhP7Nf-bo3Uhj8cbKYRPpZdsrBv3x3bAQ/edit?resourcekey#gid=1321652304"",""Prop!$AJ$1:$AT""),11,0),iferror(vlookup(B26,importrange(""https://docs.google.com/"&amp;"spreadsheets/d/1p53T2AuvvIqhP7Nf-bo3Uhj8cbKYRPpZdsrBv3x3bAQ/edit?resourcekey#gid=1321652304"",""Prop!$AU$1:$BE""),11,0),iferror(vlookup(B26,importrange(""https://docs.google.com/spreadsheets/d/1p53T2AuvvIqhP7Nf-bo3Uhj8cbKYRPpZdsrBv3x3bAQ/edit?resourcekey#"&amp;"gid=1321652304"",""Prop!$BF$1:$BP""),11,0),iferror(vlookup(B26,importrange(""https://docs.google.com/spreadsheets/d/1p53T2AuvvIqhP7Nf-bo3Uhj8cbKYRPpZdsrBv3x3bAQ/edit?resourcekey#gid=1321652304"",""Prop!$BQ$1:$CA""),11,0),iferror(vlookup(B26,importrange("""&amp;"https://docs.google.com/spreadsheets/d/1p53T2AuvvIqhP7Nf-bo3Uhj8cbKYRPpZdsrBv3x3bAQ/edit?resourcekey#gid=1321652304"",""Prop!$CB$1:$CL""),11,0),iferror(vlookup(B26,importrange(""https://docs.google.com/spreadsheets/d/1p53T2AuvvIqhP7Nf-bo3Uhj8cbKYRPpZdsrBv"&amp;"3x3bAQ/edit?resourcekey#gid=1321652304"",""Prop!$CM$1:$CX""),12,0),iferror(vlookup(B26,importrange(""https://docs.google.com/spreadsheets/d/1p53T2AuvvIqhP7Nf-bo3Uhj8cbKYRPpZdsrBv3x3bAQ/edit?resourcekey#gid=1321652304"",""Prop!$CY$1:$DI""),11,0)))))))))))"),"https://drive.google.com/open?id=1NRFY-x8pKkr0eKlGTFxc3rlr2e-oayT5")</f>
        <v>https://drive.google.com/open?id=1NRFY-x8pKkr0eKlGTFxc3rlr2e-oayT5</v>
      </c>
      <c r="R26" s="20" t="s">
        <v>867</v>
      </c>
      <c r="S26" s="20" t="str">
        <f ca="1">IFERROR(__xludf.DUMMYFUNCTION("IFERROR(vlookup(B26,IMPORTRANGE(""https://docs.google.com/spreadsheets/d/1g_jfYYK_KeipEDNDUgqgrsxK94XiocfNQIcP-v1QVhI/edit?resourcekey#gid=233272945"",""Nilai!B:CT""),66,0),"" "")"),"1. konteks gagasan jangan hanya covid saja, karena akan segera berakhir
2. usulan pendanaan belum dibuat")</f>
        <v>1. konteks gagasan jangan hanya covid saja, karena akan segera berakhir
2. usulan pendanaan belum dibuat</v>
      </c>
      <c r="T26" s="20" t="str">
        <f ca="1">IFERROR(__xludf.DUMMYFUNCTION("IFERROR(vlookup(B26,IMPORTRANGE(""https://docs.google.com/spreadsheets/d/1g_jfYYK_KeipEDNDUgqgrsxK94XiocfNQIcP-v1QVhI/edit?resourcekey#gid=233272945"",""Nilai!B:CT""),97,0),"" "")"),"LAYAK UPLOAD KE SIMBELMAWA DENGAN REVISI")</f>
        <v>LAYAK UPLOAD KE SIMBELMAWA DENGAN REVISI</v>
      </c>
      <c r="U26" s="21" t="s">
        <v>878</v>
      </c>
      <c r="V26" s="16" t="s">
        <v>868</v>
      </c>
      <c r="W26" s="18" t="s">
        <v>884</v>
      </c>
      <c r="X26" s="22" t="b">
        <v>0</v>
      </c>
    </row>
    <row r="27" spans="1:24">
      <c r="A27" s="15">
        <v>25</v>
      </c>
      <c r="B27" s="15">
        <f ca="1">IFERROR(__xludf.DUMMYFUNCTION("""COMPUTED_VALUE"""),2594)</f>
        <v>2594</v>
      </c>
      <c r="C27" s="16" t="str">
        <f ca="1">IFERROR(__xludf.DUMMYFUNCTION("""COMPUTED_VALUE"""),"Yunida Arindy")</f>
        <v>Yunida Arindy</v>
      </c>
      <c r="D27" s="16" t="str">
        <f ca="1">IFERROR(__xludf.DUMMYFUNCTION("""COMPUTED_VALUE"""),"5031211057")</f>
        <v>5031211057</v>
      </c>
      <c r="E27" s="16" t="str">
        <f ca="1">IFERROR(__xludf.DUMMYFUNCTION("""COMPUTED_VALUE"""),"Departemen Manajemen Bisnis")</f>
        <v>Departemen Manajemen Bisnis</v>
      </c>
      <c r="F27" s="16" t="str">
        <f ca="1">IFERROR(__xludf.DUMMYFUNCTION("""COMPUTED_VALUE"""),"TARA: Teman Nusantara - Sistem Wisata Virtual Budaya Jawa Timur sebagai Sarana Promosi, Edukasi, sekaligus Pelestarian dalam Dunia Metaverse")</f>
        <v>TARA: Teman Nusantara - Sistem Wisata Virtual Budaya Jawa Timur sebagai Sarana Promosi, Edukasi, sekaligus Pelestarian dalam Dunia Metaverse</v>
      </c>
      <c r="G27" s="16" t="str">
        <f ca="1">IFERROR(__xludf.DUMMYFUNCTION("""COMPUTED_VALUE"""),"Mushonnifun Faiz Sugihartanto, S.T., M.Sc.")</f>
        <v>Mushonnifun Faiz Sugihartanto, S.T., M.Sc.</v>
      </c>
      <c r="H27" s="16" t="str">
        <f ca="1">IFERROR(__xludf.DUMMYFUNCTION("""COMPUTED_VALUE"""),"Putu Gde Ariastita, S.T., M.T.")</f>
        <v>Putu Gde Ariastita, S.T., M.T.</v>
      </c>
      <c r="I27" s="16" t="str">
        <f ca="1">IFERROR(__xludf.DUMMYFUNCTION("""COMPUTED_VALUE"""),"Nur Azizah, S.Si., M.Stat.")</f>
        <v>Nur Azizah, S.Si., M.Stat.</v>
      </c>
      <c r="J27" s="16"/>
      <c r="K27" s="17" t="s">
        <v>882</v>
      </c>
      <c r="L27" s="18" t="s">
        <v>885</v>
      </c>
      <c r="M27" s="19" t="b">
        <v>1</v>
      </c>
      <c r="N27" s="19" t="b">
        <v>1</v>
      </c>
      <c r="O27" s="1" t="s">
        <v>883</v>
      </c>
      <c r="P27" s="7" t="str">
        <f ca="1">IFERROR(__xludf.DUMMYFUNCTION("iferror(vlookup(B27,importrange(""https://docs.google.com/spreadsheets/d/1boHyJQ4e2FU0QG8MHwEi6qjX4hvZWVCHcFfXjq7bbMc/edit?resourcekey#gid=923248883"",""Prop!$C$1:$M""),12,0),IFERROR(vlookup(B27,importrange(""https://docs.google.com/spreadsheets/d/1boHyJQ"&amp;"4e2FU0QG8MHwEi6qjX4hvZWVCHcFfXjq7bbMc/edit?resourcekey#gid=923248883"",""Prop!$N$1:$X""),11,0),iferror(vlookup(B27,importrange(""https://docs.google.com/spreadsheets/d/1boHyJQ4e2FU0QG8MHwEi6qjX4hvZWVCHcFfXjq7bbMc/edit?resourcekey#gid=923248883"",""Prop!$Y"&amp;"$1:$AI""),11,0),iferror(vlookup(B27,importrange(""https://docs.google.com/spreadsheets/d/1boHyJQ4e2FU0QG8MHwEi6qjX4hvZWVCHcFfXjq7bbMc/edit?resourcekey#gid=923248883"",""Prop!$AJ$1:$AT""),11,0),iferror(vlookup(B27,importrange(""https://docs.google.com/spre"&amp;"adsheets/d/1boHyJQ4e2FU0QG8MHwEi6qjX4hvZWVCHcFfXjq7bbMc/edit?resourcekey#gid=923248883"",""Prop!$AU$1:$BE""),11,0),iferror(vlookup(B27,importrange(""https://docs.google.com/spreadsheets/d/1boHyJQ4e2FU0QG8MHwEi6qjX4hvZWVCHcFfXjq7bbMc/edit?resourcekey#gid=9"&amp;"23248883"",""Prop!$BF$1:$BP""),11,0),iferror(vlookup(B27,importrange(""https://docs.google.com/spreadsheets/d/1boHyJQ4e2FU0QG8MHwEi6qjX4hvZWVCHcFfXjq7bbMc/edit?resourcekey#gid=923248883"",""Prop!$BQ$1:$CA""),11,0),iferror(vlookup(B27,importrange(""https:/"&amp;"/docs.google.com/spreadsheets/d/1boHyJQ4e2FU0QG8MHwEi6qjX4hvZWVCHcFfXjq7bbMc/edit?resourcekey#gid=923248883"",""Prop!$CB$1:$CL""),11,0),iferror(vlookup(B27,importrange(""https://docs.google.com/spreadsheets/d/1boHyJQ4e2FU0QG8MHwEi6qjX4hvZWVCHcFfXjq7bbMc/e"&amp;"dit?resourcekey#gid=923248883"",""Prop!$CM$1:$CX""),12,0),iferror(vlookup(B27,importrange(""https://docs.google.com/spreadsheets/d/1boHyJQ4e2FU0QG8MHwEi6qjX4hvZWVCHcFfXjq7bbMc/edit?resourcekey#gid=923248883"",""Prop!$CV$1:$DI""),11,0)))))))))))"),"https://drive.google.com/open?id=1bZkOpSr631VAC4tCWMZL3HBUlQxB9ahF")</f>
        <v>https://drive.google.com/open?id=1bZkOpSr631VAC4tCWMZL3HBUlQxB9ahF</v>
      </c>
      <c r="Q27" s="7" t="str">
        <f ca="1">IFERROR(__xludf.DUMMYFUNCTION("iferror(vlookup(B27,importrange(""https://docs.google.com/spreadsheets/d/1p53T2AuvvIqhP7Nf-bo3Uhj8cbKYRPpZdsrBv3x3bAQ/edit?resourcekey#gid=1321652304"",""Prop!$C$1:$M""),11,0),IFERROR(vlookup(B27,importrange(""https://docs.google.com/spreadsheets/d/1p53T2"&amp;"AuvvIqhP7Nf-bo3Uhj8cbKYRPpZdsrBv3x3bAQ/edit?resourcekey#gid=1321652304"",""Prop!$N$1:$X""),11,0),iferror(vlookup(B27,importrange(""https://docs.google.com/spreadsheets/d/1p53T2AuvvIqhP7Nf-bo3Uhj8cbKYRPpZdsrBv3x3bAQ/edit?resourcekey#gid=1321652304"",""Prop"&amp;"!$Y$1:$AI""),11,0),iferror(vlookup(B27,importrange(""https://docs.google.com/spreadsheets/d/1p53T2AuvvIqhP7Nf-bo3Uhj8cbKYRPpZdsrBv3x3bAQ/edit?resourcekey#gid=1321652304"",""Prop!$AJ$1:$AT""),11,0),iferror(vlookup(B27,importrange(""https://docs.google.com/"&amp;"spreadsheets/d/1p53T2AuvvIqhP7Nf-bo3Uhj8cbKYRPpZdsrBv3x3bAQ/edit?resourcekey#gid=1321652304"",""Prop!$AU$1:$BE""),11,0),iferror(vlookup(B27,importrange(""https://docs.google.com/spreadsheets/d/1p53T2AuvvIqhP7Nf-bo3Uhj8cbKYRPpZdsrBv3x3bAQ/edit?resourcekey#"&amp;"gid=1321652304"",""Prop!$BF$1:$BP""),11,0),iferror(vlookup(B27,importrange(""https://docs.google.com/spreadsheets/d/1p53T2AuvvIqhP7Nf-bo3Uhj8cbKYRPpZdsrBv3x3bAQ/edit?resourcekey#gid=1321652304"",""Prop!$BQ$1:$CA""),11,0),iferror(vlookup(B27,importrange("""&amp;"https://docs.google.com/spreadsheets/d/1p53T2AuvvIqhP7Nf-bo3Uhj8cbKYRPpZdsrBv3x3bAQ/edit?resourcekey#gid=1321652304"",""Prop!$CB$1:$CL""),11,0),iferror(vlookup(B27,importrange(""https://docs.google.com/spreadsheets/d/1p53T2AuvvIqhP7Nf-bo3Uhj8cbKYRPpZdsrBv"&amp;"3x3bAQ/edit?resourcekey#gid=1321652304"",""Prop!$CM$1:$CX""),12,0),iferror(vlookup(B27,importrange(""https://docs.google.com/spreadsheets/d/1p53T2AuvvIqhP7Nf-bo3Uhj8cbKYRPpZdsrBv3x3bAQ/edit?resourcekey#gid=1321652304"",""Prop!$CY$1:$DI""),11,0)))))))))))"),"https://drive.google.com/open?id=1SUoROXGUhvDYMEFZ8FBFofVllUjeDgjf")</f>
        <v>https://drive.google.com/open?id=1SUoROXGUhvDYMEFZ8FBFofVllUjeDgjf</v>
      </c>
      <c r="R27" s="20" t="s">
        <v>867</v>
      </c>
      <c r="S27" s="20" t="str">
        <f ca="1">IFERROR(__xludf.DUMMYFUNCTION("IFERROR(vlookup(B27,IMPORTRANGE(""https://docs.google.com/spreadsheets/d/1g_jfYYK_KeipEDNDUgqgrsxK94XiocfNQIcP-v1QVhI/edit?resourcekey#gid=233272945"",""Nilai!B:CT""),66,0),"" "")"),"jumlah halaman lebih dari 10, aspek emosi tidak muncul, hanya fokus pada sistem, lbh cocok ke KC")</f>
        <v>jumlah halaman lebih dari 10, aspek emosi tidak muncul, hanya fokus pada sistem, lbh cocok ke KC</v>
      </c>
      <c r="T27" s="20" t="str">
        <f ca="1">IFERROR(__xludf.DUMMYFUNCTION("IFERROR(vlookup(B27,IMPORTRANGE(""https://docs.google.com/spreadsheets/d/1g_jfYYK_KeipEDNDUgqgrsxK94XiocfNQIcP-v1QVhI/edit?resourcekey#gid=233272945"",""Nilai!B:CT""),97,0),"" "")"),"TIDAK LAYAK UPLOAD KE SIMBELMAWA")</f>
        <v>TIDAK LAYAK UPLOAD KE SIMBELMAWA</v>
      </c>
      <c r="U27" s="21" t="s">
        <v>878</v>
      </c>
      <c r="V27" s="16" t="s">
        <v>868</v>
      </c>
      <c r="W27" s="18" t="s">
        <v>884</v>
      </c>
      <c r="X27" s="22" t="b">
        <v>1</v>
      </c>
    </row>
    <row r="28" spans="1:24">
      <c r="A28" s="15">
        <v>26</v>
      </c>
      <c r="B28" s="15">
        <f ca="1">IFERROR(__xludf.DUMMYFUNCTION("""COMPUTED_VALUE"""),2281)</f>
        <v>2281</v>
      </c>
      <c r="C28" s="16" t="str">
        <f ca="1">IFERROR(__xludf.DUMMYFUNCTION("""COMPUTED_VALUE"""),"FIKRI NURHIDAYAT")</f>
        <v>FIKRI NURHIDAYAT</v>
      </c>
      <c r="D28" s="16" t="str">
        <f ca="1">IFERROR(__xludf.DUMMYFUNCTION("""COMPUTED_VALUE"""),"02311840000094")</f>
        <v>02311840000094</v>
      </c>
      <c r="E28" s="16" t="str">
        <f ca="1">IFERROR(__xludf.DUMMYFUNCTION("""COMPUTED_VALUE"""),"Departemen Teknik Fisika")</f>
        <v>Departemen Teknik Fisika</v>
      </c>
      <c r="F28" s="16" t="str">
        <f ca="1">IFERROR(__xludf.DUMMYFUNCTION("""COMPUTED_VALUE"""),"Integrasi Manajemen Sampah Kota dengan Karakterisasi Pemilahan Sampah")</f>
        <v>Integrasi Manajemen Sampah Kota dengan Karakterisasi Pemilahan Sampah</v>
      </c>
      <c r="G28" s="16" t="str">
        <f ca="1">IFERROR(__xludf.DUMMYFUNCTION("""COMPUTED_VALUE"""),"Dr.-Ing. Doty Dewi Risanti, S.T., M.T.")</f>
        <v>Dr.-Ing. Doty Dewi Risanti, S.T., M.T.</v>
      </c>
      <c r="H28" s="16" t="str">
        <f ca="1">IFERROR(__xludf.DUMMYFUNCTION("""COMPUTED_VALUE"""),"Okta Putra Setio Ardianto, S.T., M.T.")</f>
        <v>Okta Putra Setio Ardianto, S.T., M.T.</v>
      </c>
      <c r="I28" s="16" t="str">
        <f ca="1">IFERROR(__xludf.DUMMYFUNCTION("""COMPUTED_VALUE"""),"Daril Ridho Zuchrillah, S.T., M.T.")</f>
        <v>Daril Ridho Zuchrillah, S.T., M.T.</v>
      </c>
      <c r="J28" s="16"/>
      <c r="K28" s="17" t="s">
        <v>882</v>
      </c>
      <c r="L28" s="18" t="s">
        <v>885</v>
      </c>
      <c r="M28" s="19" t="b">
        <v>0</v>
      </c>
      <c r="N28" s="19" t="b">
        <v>0</v>
      </c>
      <c r="O28" s="1" t="s">
        <v>883</v>
      </c>
      <c r="P28" s="7" t="str">
        <f ca="1">IFERROR(__xludf.DUMMYFUNCTION("iferror(vlookup(B28,importrange(""https://docs.google.com/spreadsheets/d/1boHyJQ4e2FU0QG8MHwEi6qjX4hvZWVCHcFfXjq7bbMc/edit?resourcekey#gid=923248883"",""Prop!$C$1:$M""),12,0),IFERROR(vlookup(B28,importrange(""https://docs.google.com/spreadsheets/d/1boHyJQ"&amp;"4e2FU0QG8MHwEi6qjX4hvZWVCHcFfXjq7bbMc/edit?resourcekey#gid=923248883"",""Prop!$N$1:$X""),11,0),iferror(vlookup(B28,importrange(""https://docs.google.com/spreadsheets/d/1boHyJQ4e2FU0QG8MHwEi6qjX4hvZWVCHcFfXjq7bbMc/edit?resourcekey#gid=923248883"",""Prop!$Y"&amp;"$1:$AI""),11,0),iferror(vlookup(B28,importrange(""https://docs.google.com/spreadsheets/d/1boHyJQ4e2FU0QG8MHwEi6qjX4hvZWVCHcFfXjq7bbMc/edit?resourcekey#gid=923248883"",""Prop!$AJ$1:$AT""),11,0),iferror(vlookup(B28,importrange(""https://docs.google.com/spre"&amp;"adsheets/d/1boHyJQ4e2FU0QG8MHwEi6qjX4hvZWVCHcFfXjq7bbMc/edit?resourcekey#gid=923248883"",""Prop!$AU$1:$BE""),11,0),iferror(vlookup(B28,importrange(""https://docs.google.com/spreadsheets/d/1boHyJQ4e2FU0QG8MHwEi6qjX4hvZWVCHcFfXjq7bbMc/edit?resourcekey#gid=9"&amp;"23248883"",""Prop!$BF$1:$BP""),11,0),iferror(vlookup(B28,importrange(""https://docs.google.com/spreadsheets/d/1boHyJQ4e2FU0QG8MHwEi6qjX4hvZWVCHcFfXjq7bbMc/edit?resourcekey#gid=923248883"",""Prop!$BQ$1:$CA""),11,0),iferror(vlookup(B28,importrange(""https:/"&amp;"/docs.google.com/spreadsheets/d/1boHyJQ4e2FU0QG8MHwEi6qjX4hvZWVCHcFfXjq7bbMc/edit?resourcekey#gid=923248883"",""Prop!$CB$1:$CL""),11,0),iferror(vlookup(B28,importrange(""https://docs.google.com/spreadsheets/d/1boHyJQ4e2FU0QG8MHwEi6qjX4hvZWVCHcFfXjq7bbMc/e"&amp;"dit?resourcekey#gid=923248883"",""Prop!$CM$1:$CX""),12,0),iferror(vlookup(B28,importrange(""https://docs.google.com/spreadsheets/d/1boHyJQ4e2FU0QG8MHwEi6qjX4hvZWVCHcFfXjq7bbMc/edit?resourcekey#gid=923248883"",""Prop!$CV$1:$DI""),11,0)))))))))))"),"https://drive.google.com/open?id=11wdUUVtoYrxfSYloHg0pOJhS6gEhENoB")</f>
        <v>https://drive.google.com/open?id=11wdUUVtoYrxfSYloHg0pOJhS6gEhENoB</v>
      </c>
      <c r="Q28" s="7" t="str">
        <f ca="1">IFERROR(__xludf.DUMMYFUNCTION("iferror(vlookup(B28,importrange(""https://docs.google.com/spreadsheets/d/1p53T2AuvvIqhP7Nf-bo3Uhj8cbKYRPpZdsrBv3x3bAQ/edit?resourcekey#gid=1321652304"",""Prop!$C$1:$M""),11,0),IFERROR(vlookup(B28,importrange(""https://docs.google.com/spreadsheets/d/1p53T2"&amp;"AuvvIqhP7Nf-bo3Uhj8cbKYRPpZdsrBv3x3bAQ/edit?resourcekey#gid=1321652304"",""Prop!$N$1:$X""),11,0),iferror(vlookup(B28,importrange(""https://docs.google.com/spreadsheets/d/1p53T2AuvvIqhP7Nf-bo3Uhj8cbKYRPpZdsrBv3x3bAQ/edit?resourcekey#gid=1321652304"",""Prop"&amp;"!$Y$1:$AI""),11,0),iferror(vlookup(B28,importrange(""https://docs.google.com/spreadsheets/d/1p53T2AuvvIqhP7Nf-bo3Uhj8cbKYRPpZdsrBv3x3bAQ/edit?resourcekey#gid=1321652304"",""Prop!$AJ$1:$AT""),11,0),iferror(vlookup(B28,importrange(""https://docs.google.com/"&amp;"spreadsheets/d/1p53T2AuvvIqhP7Nf-bo3Uhj8cbKYRPpZdsrBv3x3bAQ/edit?resourcekey#gid=1321652304"",""Prop!$AU$1:$BE""),11,0),iferror(vlookup(B28,importrange(""https://docs.google.com/spreadsheets/d/1p53T2AuvvIqhP7Nf-bo3Uhj8cbKYRPpZdsrBv3x3bAQ/edit?resourcekey#"&amp;"gid=1321652304"",""Prop!$BF$1:$BP""),11,0),iferror(vlookup(B28,importrange(""https://docs.google.com/spreadsheets/d/1p53T2AuvvIqhP7Nf-bo3Uhj8cbKYRPpZdsrBv3x3bAQ/edit?resourcekey#gid=1321652304"",""Prop!$BQ$1:$CA""),11,0),iferror(vlookup(B28,importrange("""&amp;"https://docs.google.com/spreadsheets/d/1p53T2AuvvIqhP7Nf-bo3Uhj8cbKYRPpZdsrBv3x3bAQ/edit?resourcekey#gid=1321652304"",""Prop!$CB$1:$CL""),11,0),iferror(vlookup(B28,importrange(""https://docs.google.com/spreadsheets/d/1p53T2AuvvIqhP7Nf-bo3Uhj8cbKYRPpZdsrBv"&amp;"3x3bAQ/edit?resourcekey#gid=1321652304"",""Prop!$CM$1:$CX""),12,0),iferror(vlookup(B28,importrange(""https://docs.google.com/spreadsheets/d/1p53T2AuvvIqhP7Nf-bo3Uhj8cbKYRPpZdsrBv3x3bAQ/edit?resourcekey#gid=1321652304"",""Prop!$CY$1:$DI""),11,0)))))))))))"),"https://drive.google.com/open?id=16xfgVa9uWnUE0xz50lHQ41BnaUIR9w5M")</f>
        <v>https://drive.google.com/open?id=16xfgVa9uWnUE0xz50lHQ41BnaUIR9w5M</v>
      </c>
      <c r="R28" s="20" t="s">
        <v>867</v>
      </c>
      <c r="S28" s="20" t="str">
        <f ca="1">IFERROR(__xludf.DUMMYFUNCTION("IFERROR(vlookup(B28,IMPORTRANGE(""https://docs.google.com/spreadsheets/d/1g_jfYYK_KeipEDNDUgqgrsxK94XiocfNQIcP-v1QVhI/edit?resourcekey#gid=233272945"",""Nilai!B:CT""),66,0),"" "")"),"1. judul skema pada nama file keliru
2. ide masih relatif umum, perlu dieksplorasi lagi keterbaruannya
3. konten video masih umum
4. metode masih kurang detail")</f>
        <v>1. judul skema pada nama file keliru
2. ide masih relatif umum, perlu dieksplorasi lagi keterbaruannya
3. konten video masih umum
4. metode masih kurang detail</v>
      </c>
      <c r="T28" s="20" t="str">
        <f ca="1">IFERROR(__xludf.DUMMYFUNCTION("IFERROR(vlookup(B28,IMPORTRANGE(""https://docs.google.com/spreadsheets/d/1g_jfYYK_KeipEDNDUgqgrsxK94XiocfNQIcP-v1QVhI/edit?resourcekey#gid=233272945"",""Nilai!B:CT""),97,0),"" "")"),"LAYAK UPLOAD KE SIMBELMAWA DENGAN REVISI")</f>
        <v>LAYAK UPLOAD KE SIMBELMAWA DENGAN REVISI</v>
      </c>
      <c r="U28" s="21" t="s">
        <v>878</v>
      </c>
      <c r="V28" s="16" t="s">
        <v>868</v>
      </c>
      <c r="W28" s="18" t="s">
        <v>886</v>
      </c>
      <c r="X28" s="22" t="b">
        <v>0</v>
      </c>
    </row>
    <row r="29" spans="1:24">
      <c r="A29" s="15">
        <v>27</v>
      </c>
      <c r="B29" s="15">
        <f ca="1">IFERROR(__xludf.DUMMYFUNCTION("""COMPUTED_VALUE"""),2180)</f>
        <v>2180</v>
      </c>
      <c r="C29" s="16" t="str">
        <f ca="1">IFERROR(__xludf.DUMMYFUNCTION("""COMPUTED_VALUE"""),"RAVEENA AISYAH VIRA")</f>
        <v>RAVEENA AISYAH VIRA</v>
      </c>
      <c r="D29" s="16" t="str">
        <f ca="1">IFERROR(__xludf.DUMMYFUNCTION("""COMPUTED_VALUE"""),"5012201092")</f>
        <v>5012201092</v>
      </c>
      <c r="E29" s="16" t="str">
        <f ca="1">IFERROR(__xludf.DUMMYFUNCTION("""COMPUTED_VALUE"""),"Departemen Teknik Sipil")</f>
        <v>Departemen Teknik Sipil</v>
      </c>
      <c r="F29" s="16" t="str">
        <f ca="1">IFERROR(__xludf.DUMMYFUNCTION("""COMPUTED_VALUE"""),"Inovasi Rumah 4 in 1 dengan Menggunakan Konstruksi Modular Panel, 
Ramah Gempa, Anti Banjir, dan Pemanfaatan Air Banjir
")</f>
        <v xml:space="preserve">Inovasi Rumah 4 in 1 dengan Menggunakan Konstruksi Modular Panel, 
Ramah Gempa, Anti Banjir, dan Pemanfaatan Air Banjir
</v>
      </c>
      <c r="G29" s="16" t="str">
        <f ca="1">IFERROR(__xludf.DUMMYFUNCTION("""COMPUTED_VALUE"""),"Prof. Tavio, S.T., M.T., Ph.D.")</f>
        <v>Prof. Tavio, S.T., M.T., Ph.D.</v>
      </c>
      <c r="H29" s="16" t="str">
        <f ca="1">IFERROR(__xludf.DUMMYFUNCTION("""COMPUTED_VALUE"""),"Putu Gde Ariastita, S.T., M.T.")</f>
        <v>Putu Gde Ariastita, S.T., M.T.</v>
      </c>
      <c r="I29" s="16" t="str">
        <f ca="1">IFERROR(__xludf.DUMMYFUNCTION("""COMPUTED_VALUE"""),"Nur Azizah, S.Si., M.Stat.")</f>
        <v>Nur Azizah, S.Si., M.Stat.</v>
      </c>
      <c r="J29" s="16"/>
      <c r="K29" s="17" t="s">
        <v>882</v>
      </c>
      <c r="L29" s="18" t="s">
        <v>885</v>
      </c>
      <c r="M29" s="19" t="b">
        <v>1</v>
      </c>
      <c r="N29" s="19" t="b">
        <v>1</v>
      </c>
      <c r="O29" s="1" t="s">
        <v>883</v>
      </c>
      <c r="P29" s="7" t="str">
        <f ca="1">IFERROR(__xludf.DUMMYFUNCTION("iferror(vlookup(B29,importrange(""https://docs.google.com/spreadsheets/d/1boHyJQ4e2FU0QG8MHwEi6qjX4hvZWVCHcFfXjq7bbMc/edit?resourcekey#gid=923248883"",""Prop!$C$1:$M""),12,0),IFERROR(vlookup(B29,importrange(""https://docs.google.com/spreadsheets/d/1boHyJQ"&amp;"4e2FU0QG8MHwEi6qjX4hvZWVCHcFfXjq7bbMc/edit?resourcekey#gid=923248883"",""Prop!$N$1:$X""),11,0),iferror(vlookup(B29,importrange(""https://docs.google.com/spreadsheets/d/1boHyJQ4e2FU0QG8MHwEi6qjX4hvZWVCHcFfXjq7bbMc/edit?resourcekey#gid=923248883"",""Prop!$Y"&amp;"$1:$AI""),11,0),iferror(vlookup(B29,importrange(""https://docs.google.com/spreadsheets/d/1boHyJQ4e2FU0QG8MHwEi6qjX4hvZWVCHcFfXjq7bbMc/edit?resourcekey#gid=923248883"",""Prop!$AJ$1:$AT""),11,0),iferror(vlookup(B29,importrange(""https://docs.google.com/spre"&amp;"adsheets/d/1boHyJQ4e2FU0QG8MHwEi6qjX4hvZWVCHcFfXjq7bbMc/edit?resourcekey#gid=923248883"",""Prop!$AU$1:$BE""),11,0),iferror(vlookup(B29,importrange(""https://docs.google.com/spreadsheets/d/1boHyJQ4e2FU0QG8MHwEi6qjX4hvZWVCHcFfXjq7bbMc/edit?resourcekey#gid=9"&amp;"23248883"",""Prop!$BF$1:$BP""),11,0),iferror(vlookup(B29,importrange(""https://docs.google.com/spreadsheets/d/1boHyJQ4e2FU0QG8MHwEi6qjX4hvZWVCHcFfXjq7bbMc/edit?resourcekey#gid=923248883"",""Prop!$BQ$1:$CA""),11,0),iferror(vlookup(B29,importrange(""https:/"&amp;"/docs.google.com/spreadsheets/d/1boHyJQ4e2FU0QG8MHwEi6qjX4hvZWVCHcFfXjq7bbMc/edit?resourcekey#gid=923248883"",""Prop!$CB$1:$CL""),11,0),iferror(vlookup(B29,importrange(""https://docs.google.com/spreadsheets/d/1boHyJQ4e2FU0QG8MHwEi6qjX4hvZWVCHcFfXjq7bbMc/e"&amp;"dit?resourcekey#gid=923248883"",""Prop!$CM$1:$CX""),12,0),iferror(vlookup(B29,importrange(""https://docs.google.com/spreadsheets/d/1boHyJQ4e2FU0QG8MHwEi6qjX4hvZWVCHcFfXjq7bbMc/edit?resourcekey#gid=923248883"",""Prop!$CV$1:$DI""),11,0)))))))))))"),"https://drive.google.com/open?id=1eKijdNPFQFzWy8FMqg3cVcgWhwmWrFkj")</f>
        <v>https://drive.google.com/open?id=1eKijdNPFQFzWy8FMqg3cVcgWhwmWrFkj</v>
      </c>
      <c r="Q29" s="7" t="str">
        <f ca="1">IFERROR(__xludf.DUMMYFUNCTION("iferror(vlookup(B29,importrange(""https://docs.google.com/spreadsheets/d/1p53T2AuvvIqhP7Nf-bo3Uhj8cbKYRPpZdsrBv3x3bAQ/edit?resourcekey#gid=1321652304"",""Prop!$C$1:$M""),11,0),IFERROR(vlookup(B29,importrange(""https://docs.google.com/spreadsheets/d/1p53T2"&amp;"AuvvIqhP7Nf-bo3Uhj8cbKYRPpZdsrBv3x3bAQ/edit?resourcekey#gid=1321652304"",""Prop!$N$1:$X""),11,0),iferror(vlookup(B29,importrange(""https://docs.google.com/spreadsheets/d/1p53T2AuvvIqhP7Nf-bo3Uhj8cbKYRPpZdsrBv3x3bAQ/edit?resourcekey#gid=1321652304"",""Prop"&amp;"!$Y$1:$AI""),11,0),iferror(vlookup(B29,importrange(""https://docs.google.com/spreadsheets/d/1p53T2AuvvIqhP7Nf-bo3Uhj8cbKYRPpZdsrBv3x3bAQ/edit?resourcekey#gid=1321652304"",""Prop!$AJ$1:$AT""),11,0),iferror(vlookup(B29,importrange(""https://docs.google.com/"&amp;"spreadsheets/d/1p53T2AuvvIqhP7Nf-bo3Uhj8cbKYRPpZdsrBv3x3bAQ/edit?resourcekey#gid=1321652304"",""Prop!$AU$1:$BE""),11,0),iferror(vlookup(B29,importrange(""https://docs.google.com/spreadsheets/d/1p53T2AuvvIqhP7Nf-bo3Uhj8cbKYRPpZdsrBv3x3bAQ/edit?resourcekey#"&amp;"gid=1321652304"",""Prop!$BF$1:$BP""),11,0),iferror(vlookup(B29,importrange(""https://docs.google.com/spreadsheets/d/1p53T2AuvvIqhP7Nf-bo3Uhj8cbKYRPpZdsrBv3x3bAQ/edit?resourcekey#gid=1321652304"",""Prop!$BQ$1:$CA""),11,0),iferror(vlookup(B29,importrange("""&amp;"https://docs.google.com/spreadsheets/d/1p53T2AuvvIqhP7Nf-bo3Uhj8cbKYRPpZdsrBv3x3bAQ/edit?resourcekey#gid=1321652304"",""Prop!$CB$1:$CL""),11,0),iferror(vlookup(B29,importrange(""https://docs.google.com/spreadsheets/d/1p53T2AuvvIqhP7Nf-bo3Uhj8cbKYRPpZdsrBv"&amp;"3x3bAQ/edit?resourcekey#gid=1321652304"",""Prop!$CM$1:$CX""),12,0),iferror(vlookup(B29,importrange(""https://docs.google.com/spreadsheets/d/1p53T2AuvvIqhP7Nf-bo3Uhj8cbKYRPpZdsrBv3x3bAQ/edit?resourcekey#gid=1321652304"",""Prop!$CY$1:$DI""),11,0)))))))))))"),"https://drive.google.com/open?id=1Xq5ItNLTTuDrhwsMUYtlQVuG1jmgl3XS")</f>
        <v>https://drive.google.com/open?id=1Xq5ItNLTTuDrhwsMUYtlQVuG1jmgl3XS</v>
      </c>
      <c r="R29" s="20" t="s">
        <v>867</v>
      </c>
      <c r="S29" s="20" t="str">
        <f ca="1">IFERROR(__xludf.DUMMYFUNCTION("IFERROR(vlookup(B29,IMPORTRANGE(""https://docs.google.com/spreadsheets/d/1g_jfYYK_KeipEDNDUgqgrsxK94XiocfNQIcP-v1QVhI/edit?resourcekey#gid=233272945"",""Nilai!B:CT""),66,0),"" "")"),"-")</f>
        <v>-</v>
      </c>
      <c r="T29" s="20" t="str">
        <f ca="1">IFERROR(__xludf.DUMMYFUNCTION("IFERROR(vlookup(B29,IMPORTRANGE(""https://docs.google.com/spreadsheets/d/1g_jfYYK_KeipEDNDUgqgrsxK94XiocfNQIcP-v1QVhI/edit?resourcekey#gid=233272945"",""Nilai!B:CT""),97,0),"" "")"),"LAYAK UPLOAD KE SIMBELMAWA DENGAN REVISI")</f>
        <v>LAYAK UPLOAD KE SIMBELMAWA DENGAN REVISI</v>
      </c>
      <c r="U29" s="21" t="s">
        <v>878</v>
      </c>
      <c r="V29" s="16" t="s">
        <v>868</v>
      </c>
      <c r="W29" s="18" t="s">
        <v>886</v>
      </c>
      <c r="X29" s="22" t="b">
        <v>1</v>
      </c>
    </row>
    <row r="30" spans="1:24">
      <c r="A30" s="15">
        <v>28</v>
      </c>
      <c r="B30" s="15">
        <f ca="1">IFERROR(__xludf.DUMMYFUNCTION("""COMPUTED_VALUE"""),3812)</f>
        <v>3812</v>
      </c>
      <c r="C30" s="16" t="str">
        <f ca="1">IFERROR(__xludf.DUMMYFUNCTION("""COMPUTED_VALUE"""),"ANANTA AJI FARDANA")</f>
        <v>ANANTA AJI FARDANA</v>
      </c>
      <c r="D30" s="16" t="str">
        <f ca="1">IFERROR(__xludf.DUMMYFUNCTION("""COMPUTED_VALUE"""),"5022201240")</f>
        <v>5022201240</v>
      </c>
      <c r="E30" s="16" t="str">
        <f ca="1">IFERROR(__xludf.DUMMYFUNCTION("""COMPUTED_VALUE"""),"Departemen Teknik Elektro")</f>
        <v>Departemen Teknik Elektro</v>
      </c>
      <c r="F30" s="16" t="str">
        <f ca="1">IFERROR(__xludf.DUMMYFUNCTION("""COMPUTED_VALUE"""),"Rancang Bangun Live Translation Penolong Keterbatasan Komunikasi Bagi Penyandang Disabilitas Tuna Wicara Menggunakan Virtual Reality Berbasis 5G")</f>
        <v>Rancang Bangun Live Translation Penolong Keterbatasan Komunikasi Bagi Penyandang Disabilitas Tuna Wicara Menggunakan Virtual Reality Berbasis 5G</v>
      </c>
      <c r="G30" s="16" t="str">
        <f ca="1">IFERROR(__xludf.DUMMYFUNCTION("""COMPUTED_VALUE"""),"Prof. Ir. Gamantyo Hendrantoro, M.Eng., Ph.D.")</f>
        <v>Prof. Ir. Gamantyo Hendrantoro, M.Eng., Ph.D.</v>
      </c>
      <c r="H30" s="16" t="str">
        <f ca="1">IFERROR(__xludf.DUMMYFUNCTION("""COMPUTED_VALUE"""),"Putu Gde Ariastita, S.T., M.T.")</f>
        <v>Putu Gde Ariastita, S.T., M.T.</v>
      </c>
      <c r="I30" s="16" t="str">
        <f ca="1">IFERROR(__xludf.DUMMYFUNCTION("""COMPUTED_VALUE"""),"Nur Azizah, S.Si., M.Stat.")</f>
        <v>Nur Azizah, S.Si., M.Stat.</v>
      </c>
      <c r="J30" s="16"/>
      <c r="K30" s="17" t="s">
        <v>882</v>
      </c>
      <c r="L30" s="18" t="s">
        <v>885</v>
      </c>
      <c r="M30" s="19" t="b">
        <v>1</v>
      </c>
      <c r="N30" s="19" t="b">
        <v>1</v>
      </c>
      <c r="O30" s="1" t="s">
        <v>883</v>
      </c>
      <c r="P30" s="7" t="str">
        <f ca="1">IFERROR(__xludf.DUMMYFUNCTION("iferror(vlookup(B30,importrange(""https://docs.google.com/spreadsheets/d/1boHyJQ4e2FU0QG8MHwEi6qjX4hvZWVCHcFfXjq7bbMc/edit?resourcekey#gid=923248883"",""Prop!$C$1:$M""),12,0),IFERROR(vlookup(B30,importrange(""https://docs.google.com/spreadsheets/d/1boHyJQ"&amp;"4e2FU0QG8MHwEi6qjX4hvZWVCHcFfXjq7bbMc/edit?resourcekey#gid=923248883"",""Prop!$N$1:$X""),11,0),iferror(vlookup(B30,importrange(""https://docs.google.com/spreadsheets/d/1boHyJQ4e2FU0QG8MHwEi6qjX4hvZWVCHcFfXjq7bbMc/edit?resourcekey#gid=923248883"",""Prop!$Y"&amp;"$1:$AI""),11,0),iferror(vlookup(B30,importrange(""https://docs.google.com/spreadsheets/d/1boHyJQ4e2FU0QG8MHwEi6qjX4hvZWVCHcFfXjq7bbMc/edit?resourcekey#gid=923248883"",""Prop!$AJ$1:$AT""),11,0),iferror(vlookup(B30,importrange(""https://docs.google.com/spre"&amp;"adsheets/d/1boHyJQ4e2FU0QG8MHwEi6qjX4hvZWVCHcFfXjq7bbMc/edit?resourcekey#gid=923248883"",""Prop!$AU$1:$BE""),11,0),iferror(vlookup(B30,importrange(""https://docs.google.com/spreadsheets/d/1boHyJQ4e2FU0QG8MHwEi6qjX4hvZWVCHcFfXjq7bbMc/edit?resourcekey#gid=9"&amp;"23248883"",""Prop!$BF$1:$BP""),11,0),iferror(vlookup(B30,importrange(""https://docs.google.com/spreadsheets/d/1boHyJQ4e2FU0QG8MHwEi6qjX4hvZWVCHcFfXjq7bbMc/edit?resourcekey#gid=923248883"",""Prop!$BQ$1:$CA""),11,0),iferror(vlookup(B30,importrange(""https:/"&amp;"/docs.google.com/spreadsheets/d/1boHyJQ4e2FU0QG8MHwEi6qjX4hvZWVCHcFfXjq7bbMc/edit?resourcekey#gid=923248883"",""Prop!$CB$1:$CL""),11,0),iferror(vlookup(B30,importrange(""https://docs.google.com/spreadsheets/d/1boHyJQ4e2FU0QG8MHwEi6qjX4hvZWVCHcFfXjq7bbMc/e"&amp;"dit?resourcekey#gid=923248883"",""Prop!$CM$1:$CX""),12,0),iferror(vlookup(B30,importrange(""https://docs.google.com/spreadsheets/d/1boHyJQ4e2FU0QG8MHwEi6qjX4hvZWVCHcFfXjq7bbMc/edit?resourcekey#gid=923248883"",""Prop!$CV$1:$DI""),11,0)))))))))))"),"https://drive.google.com/open?id=1m9iBbzzfh2XnDGksv30M3nJtua4xUZnY")</f>
        <v>https://drive.google.com/open?id=1m9iBbzzfh2XnDGksv30M3nJtua4xUZnY</v>
      </c>
      <c r="Q30" s="7" t="str">
        <f ca="1">IFERROR(__xludf.DUMMYFUNCTION("iferror(vlookup(B30,importrange(""https://docs.google.com/spreadsheets/d/1p53T2AuvvIqhP7Nf-bo3Uhj8cbKYRPpZdsrBv3x3bAQ/edit?resourcekey#gid=1321652304"",""Prop!$C$1:$M""),11,0),IFERROR(vlookup(B30,importrange(""https://docs.google.com/spreadsheets/d/1p53T2"&amp;"AuvvIqhP7Nf-bo3Uhj8cbKYRPpZdsrBv3x3bAQ/edit?resourcekey#gid=1321652304"",""Prop!$N$1:$X""),11,0),iferror(vlookup(B30,importrange(""https://docs.google.com/spreadsheets/d/1p53T2AuvvIqhP7Nf-bo3Uhj8cbKYRPpZdsrBv3x3bAQ/edit?resourcekey#gid=1321652304"",""Prop"&amp;"!$Y$1:$AI""),11,0),iferror(vlookup(B30,importrange(""https://docs.google.com/spreadsheets/d/1p53T2AuvvIqhP7Nf-bo3Uhj8cbKYRPpZdsrBv3x3bAQ/edit?resourcekey#gid=1321652304"",""Prop!$AJ$1:$AT""),11,0),iferror(vlookup(B30,importrange(""https://docs.google.com/"&amp;"spreadsheets/d/1p53T2AuvvIqhP7Nf-bo3Uhj8cbKYRPpZdsrBv3x3bAQ/edit?resourcekey#gid=1321652304"",""Prop!$AU$1:$BE""),11,0),iferror(vlookup(B30,importrange(""https://docs.google.com/spreadsheets/d/1p53T2AuvvIqhP7Nf-bo3Uhj8cbKYRPpZdsrBv3x3bAQ/edit?resourcekey#"&amp;"gid=1321652304"",""Prop!$BF$1:$BP""),11,0),iferror(vlookup(B30,importrange(""https://docs.google.com/spreadsheets/d/1p53T2AuvvIqhP7Nf-bo3Uhj8cbKYRPpZdsrBv3x3bAQ/edit?resourcekey#gid=1321652304"",""Prop!$BQ$1:$CA""),11,0),iferror(vlookup(B30,importrange("""&amp;"https://docs.google.com/spreadsheets/d/1p53T2AuvvIqhP7Nf-bo3Uhj8cbKYRPpZdsrBv3x3bAQ/edit?resourcekey#gid=1321652304"",""Prop!$CB$1:$CL""),11,0),iferror(vlookup(B30,importrange(""https://docs.google.com/spreadsheets/d/1p53T2AuvvIqhP7Nf-bo3Uhj8cbKYRPpZdsrBv"&amp;"3x3bAQ/edit?resourcekey#gid=1321652304"",""Prop!$CM$1:$CX""),12,0),iferror(vlookup(B30,importrange(""https://docs.google.com/spreadsheets/d/1p53T2AuvvIqhP7Nf-bo3Uhj8cbKYRPpZdsrBv3x3bAQ/edit?resourcekey#gid=1321652304"",""Prop!$CY$1:$DI""),11,0)))))))))))"),"https://drive.google.com/open?id=1Ic_SzNUfCPRIZzEV5ViLs3W9r7XQPFAw")</f>
        <v>https://drive.google.com/open?id=1Ic_SzNUfCPRIZzEV5ViLs3W9r7XQPFAw</v>
      </c>
      <c r="R30" s="20" t="s">
        <v>867</v>
      </c>
      <c r="S30" s="20" t="str">
        <f ca="1">IFERROR(__xludf.DUMMYFUNCTION("IFERROR(vlookup(B30,IMPORTRANGE(""https://docs.google.com/spreadsheets/d/1g_jfYYK_KeipEDNDUgqgrsxK94XiocfNQIcP-v1QVhI/edit?resourcekey#gid=233272945"",""Nilai!B:CT""),66,0),"" "")"),"1. perjelas keterbaruan ide ini di bab 1
2. deskripsikan gagasan dengan komprehensif di bab 1
3. pastikan konten video imaginatif dan inspiratif")</f>
        <v>1. perjelas keterbaruan ide ini di bab 1
2. deskripsikan gagasan dengan komprehensif di bab 1
3. pastikan konten video imaginatif dan inspiratif</v>
      </c>
      <c r="T30" s="20" t="str">
        <f ca="1">IFERROR(__xludf.DUMMYFUNCTION("IFERROR(vlookup(B30,IMPORTRANGE(""https://docs.google.com/spreadsheets/d/1g_jfYYK_KeipEDNDUgqgrsxK94XiocfNQIcP-v1QVhI/edit?resourcekey#gid=233272945"",""Nilai!B:CT""),97,0),"" "")"),"LAYAK UPLOAD KE SIMBELMAWA DENGAN REVISI")</f>
        <v>LAYAK UPLOAD KE SIMBELMAWA DENGAN REVISI</v>
      </c>
      <c r="U30" s="21" t="s">
        <v>878</v>
      </c>
      <c r="V30" s="16" t="s">
        <v>868</v>
      </c>
      <c r="W30" s="18" t="s">
        <v>886</v>
      </c>
      <c r="X30" s="22" t="b">
        <v>1</v>
      </c>
    </row>
    <row r="31" spans="1:24">
      <c r="A31" s="15">
        <v>29</v>
      </c>
      <c r="B31" s="15">
        <f ca="1">IFERROR(__xludf.DUMMYFUNCTION("""COMPUTED_VALUE"""),2292)</f>
        <v>2292</v>
      </c>
      <c r="C31" s="16" t="str">
        <f ca="1">IFERROR(__xludf.DUMMYFUNCTION("""COMPUTED_VALUE"""),"KAFA  `AISYANA  NI`MAH")</f>
        <v>KAFA  `AISYANA  NI`MAH</v>
      </c>
      <c r="D31" s="16" t="str">
        <f ca="1">IFERROR(__xludf.DUMMYFUNCTION("""COMPUTED_VALUE"""),"03411940000040")</f>
        <v>03411940000040</v>
      </c>
      <c r="E31" s="16" t="str">
        <f ca="1">IFERROR(__xludf.DUMMYFUNCTION("""COMPUTED_VALUE"""),"Departemen Teknik Geofisika")</f>
        <v>Departemen Teknik Geofisika</v>
      </c>
      <c r="F31" s="16" t="str">
        <f ca="1">IFERROR(__xludf.DUMMYFUNCTION("""COMPUTED_VALUE"""),"Smart Geothermal Greenhouse: Inovasi Teknologi berbasis Internet of Things Penunjang Ketahanan Pangan dan Pendayagunaan Energi Bersih")</f>
        <v>Smart Geothermal Greenhouse: Inovasi Teknologi berbasis Internet of Things Penunjang Ketahanan Pangan dan Pendayagunaan Energi Bersih</v>
      </c>
      <c r="G31" s="16" t="str">
        <f ca="1">IFERROR(__xludf.DUMMYFUNCTION("""COMPUTED_VALUE"""),"Juan Pandu Gya Nur Rochman, S.Si., M.T.")</f>
        <v>Juan Pandu Gya Nur Rochman, S.Si., M.T.</v>
      </c>
      <c r="H31" s="16" t="str">
        <f ca="1">IFERROR(__xludf.DUMMYFUNCTION("""COMPUTED_VALUE"""),"Okta Putra Setio Ardianto, S.T., M.T.")</f>
        <v>Okta Putra Setio Ardianto, S.T., M.T.</v>
      </c>
      <c r="I31" s="16" t="str">
        <f ca="1">IFERROR(__xludf.DUMMYFUNCTION("""COMPUTED_VALUE"""),"Dion Hayu Fandiantoro, S.T., M.Eng.")</f>
        <v>Dion Hayu Fandiantoro, S.T., M.Eng.</v>
      </c>
      <c r="J31" s="16"/>
      <c r="K31" s="17" t="s">
        <v>882</v>
      </c>
      <c r="L31" s="18" t="s">
        <v>885</v>
      </c>
      <c r="M31" s="19" t="b">
        <v>1</v>
      </c>
      <c r="N31" s="19" t="b">
        <v>1</v>
      </c>
      <c r="O31" s="1" t="s">
        <v>887</v>
      </c>
      <c r="P31" s="7" t="str">
        <f ca="1">IFERROR(__xludf.DUMMYFUNCTION("iferror(vlookup(B31,importrange(""https://docs.google.com/spreadsheets/d/1boHyJQ4e2FU0QG8MHwEi6qjX4hvZWVCHcFfXjq7bbMc/edit?resourcekey#gid=923248883"",""Prop!$C$1:$M""),12,0),IFERROR(vlookup(B31,importrange(""https://docs.google.com/spreadsheets/d/1boHyJQ"&amp;"4e2FU0QG8MHwEi6qjX4hvZWVCHcFfXjq7bbMc/edit?resourcekey#gid=923248883"",""Prop!$N$1:$X""),11,0),iferror(vlookup(B31,importrange(""https://docs.google.com/spreadsheets/d/1boHyJQ4e2FU0QG8MHwEi6qjX4hvZWVCHcFfXjq7bbMc/edit?resourcekey#gid=923248883"",""Prop!$Y"&amp;"$1:$AI""),11,0),iferror(vlookup(B31,importrange(""https://docs.google.com/spreadsheets/d/1boHyJQ4e2FU0QG8MHwEi6qjX4hvZWVCHcFfXjq7bbMc/edit?resourcekey#gid=923248883"",""Prop!$AJ$1:$AT""),11,0),iferror(vlookup(B31,importrange(""https://docs.google.com/spre"&amp;"adsheets/d/1boHyJQ4e2FU0QG8MHwEi6qjX4hvZWVCHcFfXjq7bbMc/edit?resourcekey#gid=923248883"",""Prop!$AU$1:$BE""),11,0),iferror(vlookup(B31,importrange(""https://docs.google.com/spreadsheets/d/1boHyJQ4e2FU0QG8MHwEi6qjX4hvZWVCHcFfXjq7bbMc/edit?resourcekey#gid=9"&amp;"23248883"",""Prop!$BF$1:$BP""),11,0),iferror(vlookup(B31,importrange(""https://docs.google.com/spreadsheets/d/1boHyJQ4e2FU0QG8MHwEi6qjX4hvZWVCHcFfXjq7bbMc/edit?resourcekey#gid=923248883"",""Prop!$BQ$1:$CA""),11,0),iferror(vlookup(B31,importrange(""https:/"&amp;"/docs.google.com/spreadsheets/d/1boHyJQ4e2FU0QG8MHwEi6qjX4hvZWVCHcFfXjq7bbMc/edit?resourcekey#gid=923248883"",""Prop!$CB$1:$CL""),11,0),iferror(vlookup(B31,importrange(""https://docs.google.com/spreadsheets/d/1boHyJQ4e2FU0QG8MHwEi6qjX4hvZWVCHcFfXjq7bbMc/e"&amp;"dit?resourcekey#gid=923248883"",""Prop!$CM$1:$CX""),12,0),iferror(vlookup(B31,importrange(""https://docs.google.com/spreadsheets/d/1boHyJQ4e2FU0QG8MHwEi6qjX4hvZWVCHcFfXjq7bbMc/edit?resourcekey#gid=923248883"",""Prop!$CV$1:$DI""),11,0)))))))))))"),"https://drive.google.com/open?id=1ArWowr7uIdeKbDIoYEVPnfsR0MAXzJRA")</f>
        <v>https://drive.google.com/open?id=1ArWowr7uIdeKbDIoYEVPnfsR0MAXzJRA</v>
      </c>
      <c r="Q31" s="7" t="str">
        <f ca="1">IFERROR(__xludf.DUMMYFUNCTION("iferror(vlookup(B31,importrange(""https://docs.google.com/spreadsheets/d/1p53T2AuvvIqhP7Nf-bo3Uhj8cbKYRPpZdsrBv3x3bAQ/edit?resourcekey#gid=1321652304"",""Prop!$C$1:$M""),11,0),IFERROR(vlookup(B31,importrange(""https://docs.google.com/spreadsheets/d/1p53T2"&amp;"AuvvIqhP7Nf-bo3Uhj8cbKYRPpZdsrBv3x3bAQ/edit?resourcekey#gid=1321652304"",""Prop!$N$1:$X""),11,0),iferror(vlookup(B31,importrange(""https://docs.google.com/spreadsheets/d/1p53T2AuvvIqhP7Nf-bo3Uhj8cbKYRPpZdsrBv3x3bAQ/edit?resourcekey#gid=1321652304"",""Prop"&amp;"!$Y$1:$AI""),11,0),iferror(vlookup(B31,importrange(""https://docs.google.com/spreadsheets/d/1p53T2AuvvIqhP7Nf-bo3Uhj8cbKYRPpZdsrBv3x3bAQ/edit?resourcekey#gid=1321652304"",""Prop!$AJ$1:$AT""),11,0),iferror(vlookup(B31,importrange(""https://docs.google.com/"&amp;"spreadsheets/d/1p53T2AuvvIqhP7Nf-bo3Uhj8cbKYRPpZdsrBv3x3bAQ/edit?resourcekey#gid=1321652304"",""Prop!$AU$1:$BE""),11,0),iferror(vlookup(B31,importrange(""https://docs.google.com/spreadsheets/d/1p53T2AuvvIqhP7Nf-bo3Uhj8cbKYRPpZdsrBv3x3bAQ/edit?resourcekey#"&amp;"gid=1321652304"",""Prop!$BF$1:$BP""),11,0),iferror(vlookup(B31,importrange(""https://docs.google.com/spreadsheets/d/1p53T2AuvvIqhP7Nf-bo3Uhj8cbKYRPpZdsrBv3x3bAQ/edit?resourcekey#gid=1321652304"",""Prop!$BQ$1:$CA""),11,0),iferror(vlookup(B31,importrange("""&amp;"https://docs.google.com/spreadsheets/d/1p53T2AuvvIqhP7Nf-bo3Uhj8cbKYRPpZdsrBv3x3bAQ/edit?resourcekey#gid=1321652304"",""Prop!$CB$1:$CL""),11,0),iferror(vlookup(B31,importrange(""https://docs.google.com/spreadsheets/d/1p53T2AuvvIqhP7Nf-bo3Uhj8cbKYRPpZdsrBv"&amp;"3x3bAQ/edit?resourcekey#gid=1321652304"",""Prop!$CM$1:$CX""),12,0),iferror(vlookup(B31,importrange(""https://docs.google.com/spreadsheets/d/1p53T2AuvvIqhP7Nf-bo3Uhj8cbKYRPpZdsrBv3x3bAQ/edit?resourcekey#gid=1321652304"",""Prop!$CY$1:$DI""),11,0)))))))))))"),"https://drive.google.com/open?id=10maYmh1fQsLgK4_EjSYPB7AX3934J6Nu")</f>
        <v>https://drive.google.com/open?id=10maYmh1fQsLgK4_EjSYPB7AX3934J6Nu</v>
      </c>
      <c r="R31" s="20" t="s">
        <v>867</v>
      </c>
      <c r="S31" s="20" t="str">
        <f ca="1">IFERROR(__xludf.DUMMYFUNCTION("IFERROR(vlookup(B31,IMPORTRANGE(""https://docs.google.com/spreadsheets/d/1g_jfYYK_KeipEDNDUgqgrsxK94XiocfNQIcP-v1QVhI/edit?resourcekey#gid=233272945"",""Nilai!B:CT""),66,0),"" "")"),"dalam sinopsis hedaknya muncul aspek emosi, sehingga tidak hanya berkesan GFT")</f>
        <v>dalam sinopsis hedaknya muncul aspek emosi, sehingga tidak hanya berkesan GFT</v>
      </c>
      <c r="T31" s="20" t="str">
        <f ca="1">IFERROR(__xludf.DUMMYFUNCTION("IFERROR(vlookup(B31,IMPORTRANGE(""https://docs.google.com/spreadsheets/d/1g_jfYYK_KeipEDNDUgqgrsxK94XiocfNQIcP-v1QVhI/edit?resourcekey#gid=233272945"",""Nilai!B:CT""),97,0),"" "")"),"LAYAK UPLOAD KE SIMBELMAWA DENGAN REVISI")</f>
        <v>LAYAK UPLOAD KE SIMBELMAWA DENGAN REVISI</v>
      </c>
      <c r="U31" s="21" t="s">
        <v>878</v>
      </c>
      <c r="V31" s="16" t="s">
        <v>868</v>
      </c>
      <c r="W31" s="18" t="s">
        <v>886</v>
      </c>
      <c r="X31" s="22" t="b">
        <v>1</v>
      </c>
    </row>
    <row r="32" spans="1:24">
      <c r="A32" s="15">
        <v>30</v>
      </c>
      <c r="B32" s="15">
        <f ca="1">IFERROR(__xludf.DUMMYFUNCTION("""COMPUTED_VALUE"""),4119)</f>
        <v>4119</v>
      </c>
      <c r="C32" s="16" t="str">
        <f ca="1">IFERROR(__xludf.DUMMYFUNCTION("""COMPUTED_VALUE"""),"DINDA TASYA RAMADANITA")</f>
        <v>DINDA TASYA RAMADANITA</v>
      </c>
      <c r="D32" s="16" t="str">
        <f ca="1">IFERROR(__xludf.DUMMYFUNCTION("""COMPUTED_VALUE"""),"08411940000032")</f>
        <v>08411940000032</v>
      </c>
      <c r="E32" s="16" t="str">
        <f ca="1">IFERROR(__xludf.DUMMYFUNCTION("""COMPUTED_VALUE"""),"Departemen Desain Interior")</f>
        <v>Departemen Desain Interior</v>
      </c>
      <c r="F32" s="16" t="str">
        <f ca="1">IFERROR(__xludf.DUMMYFUNCTION("""COMPUTED_VALUE"""),"Bird Paradise Resto sebagai Upaya untuk Melestarikan Burung-burung Endemik Indonesia yang Terancam Punah.")</f>
        <v>Bird Paradise Resto sebagai Upaya untuk Melestarikan Burung-burung Endemik Indonesia yang Terancam Punah.</v>
      </c>
      <c r="G32" s="16" t="str">
        <f ca="1">IFERROR(__xludf.DUMMYFUNCTION("""COMPUTED_VALUE"""),"Firman Hawari, S.Sn., M.Ds.")</f>
        <v>Firman Hawari, S.Sn., M.Ds.</v>
      </c>
      <c r="H32" s="16" t="str">
        <f ca="1">IFERROR(__xludf.DUMMYFUNCTION("""COMPUTED_VALUE"""),"Putu Gde Ariastita, S.T., M.T.")</f>
        <v>Putu Gde Ariastita, S.T., M.T.</v>
      </c>
      <c r="I32" s="16" t="str">
        <f ca="1">IFERROR(__xludf.DUMMYFUNCTION("""COMPUTED_VALUE"""),"Nur Azizah, S.Si., M.Stat.")</f>
        <v>Nur Azizah, S.Si., M.Stat.</v>
      </c>
      <c r="J32" s="16"/>
      <c r="K32" s="17" t="s">
        <v>888</v>
      </c>
      <c r="L32" s="23" t="s">
        <v>889</v>
      </c>
      <c r="M32" s="19" t="b">
        <v>0</v>
      </c>
      <c r="N32" s="19" t="b">
        <v>0</v>
      </c>
      <c r="O32" s="1" t="s">
        <v>887</v>
      </c>
      <c r="P32" s="1" t="str">
        <f ca="1">IFERROR(__xludf.DUMMYFUNCTION("iferror(vlookup(B32,importrange(""https://docs.google.com/spreadsheets/d/1boHyJQ4e2FU0QG8MHwEi6qjX4hvZWVCHcFfXjq7bbMc/edit?resourcekey#gid=923248883"",""Prop!$C$1:$M""),12,0),IFERROR(vlookup(B32,importrange(""https://docs.google.com/spreadsheets/d/1boHyJQ"&amp;"4e2FU0QG8MHwEi6qjX4hvZWVCHcFfXjq7bbMc/edit?resourcekey#gid=923248883"",""Prop!$N$1:$X""),11,0),iferror(vlookup(B32,importrange(""https://docs.google.com/spreadsheets/d/1boHyJQ4e2FU0QG8MHwEi6qjX4hvZWVCHcFfXjq7bbMc/edit?resourcekey#gid=923248883"",""Prop!$Y"&amp;"$1:$AI""),11,0),iferror(vlookup(B32,importrange(""https://docs.google.com/spreadsheets/d/1boHyJQ4e2FU0QG8MHwEi6qjX4hvZWVCHcFfXjq7bbMc/edit?resourcekey#gid=923248883"",""Prop!$AJ$1:$AT""),11,0),iferror(vlookup(B32,importrange(""https://docs.google.com/spre"&amp;"adsheets/d/1boHyJQ4e2FU0QG8MHwEi6qjX4hvZWVCHcFfXjq7bbMc/edit?resourcekey#gid=923248883"",""Prop!$AU$1:$BE""),11,0),iferror(vlookup(B32,importrange(""https://docs.google.com/spreadsheets/d/1boHyJQ4e2FU0QG8MHwEi6qjX4hvZWVCHcFfXjq7bbMc/edit?resourcekey#gid=9"&amp;"23248883"",""Prop!$BF$1:$BP""),11,0),iferror(vlookup(B32,importrange(""https://docs.google.com/spreadsheets/d/1boHyJQ4e2FU0QG8MHwEi6qjX4hvZWVCHcFfXjq7bbMc/edit?resourcekey#gid=923248883"",""Prop!$BQ$1:$CA""),11,0),iferror(vlookup(B32,importrange(""https:/"&amp;"/docs.google.com/spreadsheets/d/1boHyJQ4e2FU0QG8MHwEi6qjX4hvZWVCHcFfXjq7bbMc/edit?resourcekey#gid=923248883"",""Prop!$CB$1:$CL""),11,0),iferror(vlookup(B32,importrange(""https://docs.google.com/spreadsheets/d/1boHyJQ4e2FU0QG8MHwEi6qjX4hvZWVCHcFfXjq7bbMc/e"&amp;"dit?resourcekey#gid=923248883"",""Prop!$CM$1:$CX""),12,0),iferror(vlookup(B32,importrange(""https://docs.google.com/spreadsheets/d/1boHyJQ4e2FU0QG8MHwEi6qjX4hvZWVCHcFfXjq7bbMc/edit?resourcekey#gid=923248883"",""Prop!$CV$1:$DI""),11,0)))))))))))"),"")</f>
        <v/>
      </c>
      <c r="Q32" s="1" t="str">
        <f ca="1">IFERROR(__xludf.DUMMYFUNCTION("iferror(vlookup(B32,importrange(""https://docs.google.com/spreadsheets/d/1p53T2AuvvIqhP7Nf-bo3Uhj8cbKYRPpZdsrBv3x3bAQ/edit?resourcekey#gid=1321652304"",""Prop!$C$1:$M""),11,0),IFERROR(vlookup(B32,importrange(""https://docs.google.com/spreadsheets/d/1p53T2"&amp;"AuvvIqhP7Nf-bo3Uhj8cbKYRPpZdsrBv3x3bAQ/edit?resourcekey#gid=1321652304"",""Prop!$N$1:$X""),11,0),iferror(vlookup(B32,importrange(""https://docs.google.com/spreadsheets/d/1p53T2AuvvIqhP7Nf-bo3Uhj8cbKYRPpZdsrBv3x3bAQ/edit?resourcekey#gid=1321652304"",""Prop"&amp;"!$Y$1:$AI""),11,0),iferror(vlookup(B32,importrange(""https://docs.google.com/spreadsheets/d/1p53T2AuvvIqhP7Nf-bo3Uhj8cbKYRPpZdsrBv3x3bAQ/edit?resourcekey#gid=1321652304"",""Prop!$AJ$1:$AT""),11,0),iferror(vlookup(B32,importrange(""https://docs.google.com/"&amp;"spreadsheets/d/1p53T2AuvvIqhP7Nf-bo3Uhj8cbKYRPpZdsrBv3x3bAQ/edit?resourcekey#gid=1321652304"",""Prop!$AU$1:$BE""),11,0),iferror(vlookup(B32,importrange(""https://docs.google.com/spreadsheets/d/1p53T2AuvvIqhP7Nf-bo3Uhj8cbKYRPpZdsrBv3x3bAQ/edit?resourcekey#"&amp;"gid=1321652304"",""Prop!$BF$1:$BP""),11,0),iferror(vlookup(B32,importrange(""https://docs.google.com/spreadsheets/d/1p53T2AuvvIqhP7Nf-bo3Uhj8cbKYRPpZdsrBv3x3bAQ/edit?resourcekey#gid=1321652304"",""Prop!$BQ$1:$CA""),11,0),iferror(vlookup(B32,importrange("""&amp;"https://docs.google.com/spreadsheets/d/1p53T2AuvvIqhP7Nf-bo3Uhj8cbKYRPpZdsrBv3x3bAQ/edit?resourcekey#gid=1321652304"",""Prop!$CB$1:$CL""),11,0),iferror(vlookup(B32,importrange(""https://docs.google.com/spreadsheets/d/1p53T2AuvvIqhP7Nf-bo3Uhj8cbKYRPpZdsrBv"&amp;"3x3bAQ/edit?resourcekey#gid=1321652304"",""Prop!$CM$1:$CX""),12,0),iferror(vlookup(B32,importrange(""https://docs.google.com/spreadsheets/d/1p53T2AuvvIqhP7Nf-bo3Uhj8cbKYRPpZdsrBv3x3bAQ/edit?resourcekey#gid=1321652304"",""Prop!$CY$1:$DI""),11,0)))))))))))"),"")</f>
        <v/>
      </c>
      <c r="R32" s="20" t="s">
        <v>867</v>
      </c>
      <c r="S32" s="20" t="str">
        <f ca="1">IFERROR(__xludf.DUMMYFUNCTION("IFERROR(vlookup(B32,IMPORTRANGE(""https://docs.google.com/spreadsheets/d/1g_jfYYK_KeipEDNDUgqgrsxK94XiocfNQIcP-v1QVhI/edit?resourcekey#gid=233272945"",""Nilai!B:CT""),66,0),"" "")")," ")</f>
        <v xml:space="preserve"> </v>
      </c>
      <c r="T32" s="20" t="str">
        <f ca="1">IFERROR(__xludf.DUMMYFUNCTION("IFERROR(vlookup(B32,IMPORTRANGE(""https://docs.google.com/spreadsheets/d/1g_jfYYK_KeipEDNDUgqgrsxK94XiocfNQIcP-v1QVhI/edit?resourcekey#gid=233272945"",""Nilai!B:CT""),97,0),"" "")")," ")</f>
        <v xml:space="preserve"> </v>
      </c>
      <c r="U32" s="21" t="s">
        <v>878</v>
      </c>
      <c r="V32" s="16" t="s">
        <v>868</v>
      </c>
      <c r="W32" s="18" t="s">
        <v>890</v>
      </c>
      <c r="X32" s="22" t="b">
        <v>0</v>
      </c>
    </row>
    <row r="33" spans="1:24">
      <c r="A33" s="15">
        <v>31</v>
      </c>
      <c r="B33" s="15">
        <f ca="1">IFERROR(__xludf.DUMMYFUNCTION("""COMPUTED_VALUE"""),3996)</f>
        <v>3996</v>
      </c>
      <c r="C33" s="16" t="str">
        <f ca="1">IFERROR(__xludf.DUMMYFUNCTION("""COMPUTED_VALUE"""),"FACHRYAN DWI SULISTYO")</f>
        <v>FACHRYAN DWI SULISTYO</v>
      </c>
      <c r="D33" s="16" t="str">
        <f ca="1">IFERROR(__xludf.DUMMYFUNCTION("""COMPUTED_VALUE"""),"5029201039")</f>
        <v>5029201039</v>
      </c>
      <c r="E33" s="16" t="str">
        <f ca="1">IFERROR(__xludf.DUMMYFUNCTION("""COMPUTED_VALUE"""),"Departemen Desain Interior")</f>
        <v>Departemen Desain Interior</v>
      </c>
      <c r="F33" s="16" t="str">
        <f ca="1">IFERROR(__xludf.DUMMYFUNCTION("""COMPUTED_VALUE"""),"Bangunan Publik Portable Ramah Pendidikan Anak yang Adaptif Sebagai Solusi Banjir Rob di Kota Pekalongan dalam Merespon Dampak Climate Change")</f>
        <v>Bangunan Publik Portable Ramah Pendidikan Anak yang Adaptif Sebagai Solusi Banjir Rob di Kota Pekalongan dalam Merespon Dampak Climate Change</v>
      </c>
      <c r="G33" s="16" t="str">
        <f ca="1">IFERROR(__xludf.DUMMYFUNCTION("""COMPUTED_VALUE"""),"Okta Putra Setio Ardianto, S.T., M.T.")</f>
        <v>Okta Putra Setio Ardianto, S.T., M.T.</v>
      </c>
      <c r="H33" s="16" t="str">
        <f ca="1">IFERROR(__xludf.DUMMYFUNCTION("""COMPUTED_VALUE"""),"Dr. I Gusti Ngurah Satriyadi Hernanda, S.T., M.T.")</f>
        <v>Dr. I Gusti Ngurah Satriyadi Hernanda, S.T., M.T.</v>
      </c>
      <c r="I33" s="16" t="str">
        <f ca="1">IFERROR(__xludf.DUMMYFUNCTION("""COMPUTED_VALUE"""),"Fardilla Rizqiyah, ST, MT")</f>
        <v>Fardilla Rizqiyah, ST, MT</v>
      </c>
      <c r="J33" s="16"/>
      <c r="K33" s="17" t="s">
        <v>888</v>
      </c>
      <c r="L33" s="23" t="s">
        <v>889</v>
      </c>
      <c r="M33" s="19" t="b">
        <v>1</v>
      </c>
      <c r="N33" s="19" t="b">
        <v>0</v>
      </c>
      <c r="O33" s="1" t="s">
        <v>887</v>
      </c>
      <c r="P33" s="7" t="str">
        <f ca="1">IFERROR(__xludf.DUMMYFUNCTION("iferror(vlookup(B33,importrange(""https://docs.google.com/spreadsheets/d/1boHyJQ4e2FU0QG8MHwEi6qjX4hvZWVCHcFfXjq7bbMc/edit?resourcekey#gid=923248883"",""Prop!$C$1:$M""),12,0),IFERROR(vlookup(B33,importrange(""https://docs.google.com/spreadsheets/d/1boHyJQ"&amp;"4e2FU0QG8MHwEi6qjX4hvZWVCHcFfXjq7bbMc/edit?resourcekey#gid=923248883"",""Prop!$N$1:$X""),11,0),iferror(vlookup(B33,importrange(""https://docs.google.com/spreadsheets/d/1boHyJQ4e2FU0QG8MHwEi6qjX4hvZWVCHcFfXjq7bbMc/edit?resourcekey#gid=923248883"",""Prop!$Y"&amp;"$1:$AI""),11,0),iferror(vlookup(B33,importrange(""https://docs.google.com/spreadsheets/d/1boHyJQ4e2FU0QG8MHwEi6qjX4hvZWVCHcFfXjq7bbMc/edit?resourcekey#gid=923248883"",""Prop!$AJ$1:$AT""),11,0),iferror(vlookup(B33,importrange(""https://docs.google.com/spre"&amp;"adsheets/d/1boHyJQ4e2FU0QG8MHwEi6qjX4hvZWVCHcFfXjq7bbMc/edit?resourcekey#gid=923248883"",""Prop!$AU$1:$BE""),11,0),iferror(vlookup(B33,importrange(""https://docs.google.com/spreadsheets/d/1boHyJQ4e2FU0QG8MHwEi6qjX4hvZWVCHcFfXjq7bbMc/edit?resourcekey#gid=9"&amp;"23248883"",""Prop!$BF$1:$BP""),11,0),iferror(vlookup(B33,importrange(""https://docs.google.com/spreadsheets/d/1boHyJQ4e2FU0QG8MHwEi6qjX4hvZWVCHcFfXjq7bbMc/edit?resourcekey#gid=923248883"",""Prop!$BQ$1:$CA""),11,0),iferror(vlookup(B33,importrange(""https:/"&amp;"/docs.google.com/spreadsheets/d/1boHyJQ4e2FU0QG8MHwEi6qjX4hvZWVCHcFfXjq7bbMc/edit?resourcekey#gid=923248883"",""Prop!$CB$1:$CL""),11,0),iferror(vlookup(B33,importrange(""https://docs.google.com/spreadsheets/d/1boHyJQ4e2FU0QG8MHwEi6qjX4hvZWVCHcFfXjq7bbMc/e"&amp;"dit?resourcekey#gid=923248883"",""Prop!$CM$1:$CX""),12,0),iferror(vlookup(B33,importrange(""https://docs.google.com/spreadsheets/d/1boHyJQ4e2FU0QG8MHwEi6qjX4hvZWVCHcFfXjq7bbMc/edit?resourcekey#gid=923248883"",""Prop!$CV$1:$DI""),11,0)))))))))))"),"https://drive.google.com/open?id=1xb2Vu3uesiilD-P_tjNUTCPBrRb3pym7")</f>
        <v>https://drive.google.com/open?id=1xb2Vu3uesiilD-P_tjNUTCPBrRb3pym7</v>
      </c>
      <c r="Q33" s="7" t="str">
        <f ca="1">IFERROR(__xludf.DUMMYFUNCTION("iferror(vlookup(B33,importrange(""https://docs.google.com/spreadsheets/d/1p53T2AuvvIqhP7Nf-bo3Uhj8cbKYRPpZdsrBv3x3bAQ/edit?resourcekey#gid=1321652304"",""Prop!$C$1:$M""),11,0),IFERROR(vlookup(B33,importrange(""https://docs.google.com/spreadsheets/d/1p53T2"&amp;"AuvvIqhP7Nf-bo3Uhj8cbKYRPpZdsrBv3x3bAQ/edit?resourcekey#gid=1321652304"",""Prop!$N$1:$X""),11,0),iferror(vlookup(B33,importrange(""https://docs.google.com/spreadsheets/d/1p53T2AuvvIqhP7Nf-bo3Uhj8cbKYRPpZdsrBv3x3bAQ/edit?resourcekey#gid=1321652304"",""Prop"&amp;"!$Y$1:$AI""),11,0),iferror(vlookup(B33,importrange(""https://docs.google.com/spreadsheets/d/1p53T2AuvvIqhP7Nf-bo3Uhj8cbKYRPpZdsrBv3x3bAQ/edit?resourcekey#gid=1321652304"",""Prop!$AJ$1:$AT""),11,0),iferror(vlookup(B33,importrange(""https://docs.google.com/"&amp;"spreadsheets/d/1p53T2AuvvIqhP7Nf-bo3Uhj8cbKYRPpZdsrBv3x3bAQ/edit?resourcekey#gid=1321652304"",""Prop!$AU$1:$BE""),11,0),iferror(vlookup(B33,importrange(""https://docs.google.com/spreadsheets/d/1p53T2AuvvIqhP7Nf-bo3Uhj8cbKYRPpZdsrBv3x3bAQ/edit?resourcekey#"&amp;"gid=1321652304"",""Prop!$BF$1:$BP""),11,0),iferror(vlookup(B33,importrange(""https://docs.google.com/spreadsheets/d/1p53T2AuvvIqhP7Nf-bo3Uhj8cbKYRPpZdsrBv3x3bAQ/edit?resourcekey#gid=1321652304"",""Prop!$BQ$1:$CA""),11,0),iferror(vlookup(B33,importrange("""&amp;"https://docs.google.com/spreadsheets/d/1p53T2AuvvIqhP7Nf-bo3Uhj8cbKYRPpZdsrBv3x3bAQ/edit?resourcekey#gid=1321652304"",""Prop!$CB$1:$CL""),11,0),iferror(vlookup(B33,importrange(""https://docs.google.com/spreadsheets/d/1p53T2AuvvIqhP7Nf-bo3Uhj8cbKYRPpZdsrBv"&amp;"3x3bAQ/edit?resourcekey#gid=1321652304"",""Prop!$CM$1:$CX""),12,0),iferror(vlookup(B33,importrange(""https://docs.google.com/spreadsheets/d/1p53T2AuvvIqhP7Nf-bo3Uhj8cbKYRPpZdsrBv3x3bAQ/edit?resourcekey#gid=1321652304"",""Prop!$CY$1:$DI""),11,0)))))))))))"),"https://drive.google.com/open?id=1QH92k6s8pdByrgcl2a4pQgyX_3CoN3Z-")</f>
        <v>https://drive.google.com/open?id=1QH92k6s8pdByrgcl2a4pQgyX_3CoN3Z-</v>
      </c>
      <c r="R33" s="20" t="s">
        <v>867</v>
      </c>
      <c r="S33" s="20" t="str">
        <f ca="1">IFERROR(__xludf.DUMMYFUNCTION("IFERROR(vlookup(B33,IMPORTRANGE(""https://docs.google.com/spreadsheets/d/1g_jfYYK_KeipEDNDUgqgrsxK94XiocfNQIcP-v1QVhI/edit?resourcekey#gid=233272945"",""Nilai!B:CT""),66,0),"" "")"),"1. deskripsikan gagasannya di bab 1
2. gagasan coba diarahkan ke Fasilitas Pendidikan (SD, SMP, dll)
3. pastikan konten film yang inspiratif")</f>
        <v>1. deskripsikan gagasannya di bab 1
2. gagasan coba diarahkan ke Fasilitas Pendidikan (SD, SMP, dll)
3. pastikan konten film yang inspiratif</v>
      </c>
      <c r="T33" s="20" t="str">
        <f ca="1">IFERROR(__xludf.DUMMYFUNCTION("IFERROR(vlookup(B33,IMPORTRANGE(""https://docs.google.com/spreadsheets/d/1g_jfYYK_KeipEDNDUgqgrsxK94XiocfNQIcP-v1QVhI/edit?resourcekey#gid=233272945"",""Nilai!B:CT""),97,0),"" "")"),"LAYAK UPLOAD KE SIMBELMAWA DENGAN REVISI")</f>
        <v>LAYAK UPLOAD KE SIMBELMAWA DENGAN REVISI</v>
      </c>
      <c r="U33" s="21" t="s">
        <v>878</v>
      </c>
      <c r="V33" s="16" t="s">
        <v>868</v>
      </c>
      <c r="W33" s="18" t="s">
        <v>890</v>
      </c>
      <c r="X33" s="22" t="b">
        <v>1</v>
      </c>
    </row>
    <row r="34" spans="1:24">
      <c r="A34" s="15">
        <v>32</v>
      </c>
      <c r="B34" s="15">
        <f ca="1">IFERROR(__xludf.DUMMYFUNCTION("""COMPUTED_VALUE"""),3776)</f>
        <v>3776</v>
      </c>
      <c r="C34" s="16" t="str">
        <f ca="1">IFERROR(__xludf.DUMMYFUNCTION("""COMPUTED_VALUE"""),"ATTIRA DWISTHI UNTORO")</f>
        <v>ATTIRA DWISTHI UNTORO</v>
      </c>
      <c r="D34" s="16" t="str">
        <f ca="1">IFERROR(__xludf.DUMMYFUNCTION("""COMPUTED_VALUE"""),"5029201069")</f>
        <v>5029201069</v>
      </c>
      <c r="E34" s="16" t="str">
        <f ca="1">IFERROR(__xludf.DUMMYFUNCTION("""COMPUTED_VALUE"""),"Departemen Desain Interior")</f>
        <v>Departemen Desain Interior</v>
      </c>
      <c r="F34" s="16" t="str">
        <f ca="1">IFERROR(__xludf.DUMMYFUNCTION("""COMPUTED_VALUE"""),"Inovasi Micro-Bunker Ramah Lansia Untuk Hunian Tanggap Ancaman Letusan Gunung Merapi di Kabupaten Sleman")</f>
        <v>Inovasi Micro-Bunker Ramah Lansia Untuk Hunian Tanggap Ancaman Letusan Gunung Merapi di Kabupaten Sleman</v>
      </c>
      <c r="G34" s="16" t="str">
        <f ca="1">IFERROR(__xludf.DUMMYFUNCTION("""COMPUTED_VALUE"""),"Okta Putra Setio Ardianto, S.T., M.T.")</f>
        <v>Okta Putra Setio Ardianto, S.T., M.T.</v>
      </c>
      <c r="H34" s="16" t="str">
        <f ca="1">IFERROR(__xludf.DUMMYFUNCTION("""COMPUTED_VALUE"""),"Dr. I Gusti Ngurah Satriyadi Hernanda, S.T., M.T.")</f>
        <v>Dr. I Gusti Ngurah Satriyadi Hernanda, S.T., M.T.</v>
      </c>
      <c r="I34" s="16" t="str">
        <f ca="1">IFERROR(__xludf.DUMMYFUNCTION("""COMPUTED_VALUE"""),"Putu Gde Ariastita, S.T., M.T.")</f>
        <v>Putu Gde Ariastita, S.T., M.T.</v>
      </c>
      <c r="J34" s="16"/>
      <c r="K34" s="17" t="s">
        <v>888</v>
      </c>
      <c r="L34" s="23" t="s">
        <v>889</v>
      </c>
      <c r="M34" s="19" t="b">
        <v>1</v>
      </c>
      <c r="N34" s="19" t="b">
        <v>0</v>
      </c>
      <c r="O34" s="1" t="s">
        <v>887</v>
      </c>
      <c r="P34" s="7" t="str">
        <f ca="1">IFERROR(__xludf.DUMMYFUNCTION("iferror(vlookup(B34,importrange(""https://docs.google.com/spreadsheets/d/1boHyJQ4e2FU0QG8MHwEi6qjX4hvZWVCHcFfXjq7bbMc/edit?resourcekey#gid=923248883"",""Prop!$C$1:$M""),12,0),IFERROR(vlookup(B34,importrange(""https://docs.google.com/spreadsheets/d/1boHyJQ"&amp;"4e2FU0QG8MHwEi6qjX4hvZWVCHcFfXjq7bbMc/edit?resourcekey#gid=923248883"",""Prop!$N$1:$X""),11,0),iferror(vlookup(B34,importrange(""https://docs.google.com/spreadsheets/d/1boHyJQ4e2FU0QG8MHwEi6qjX4hvZWVCHcFfXjq7bbMc/edit?resourcekey#gid=923248883"",""Prop!$Y"&amp;"$1:$AI""),11,0),iferror(vlookup(B34,importrange(""https://docs.google.com/spreadsheets/d/1boHyJQ4e2FU0QG8MHwEi6qjX4hvZWVCHcFfXjq7bbMc/edit?resourcekey#gid=923248883"",""Prop!$AJ$1:$AT""),11,0),iferror(vlookup(B34,importrange(""https://docs.google.com/spre"&amp;"adsheets/d/1boHyJQ4e2FU0QG8MHwEi6qjX4hvZWVCHcFfXjq7bbMc/edit?resourcekey#gid=923248883"",""Prop!$AU$1:$BE""),11,0),iferror(vlookup(B34,importrange(""https://docs.google.com/spreadsheets/d/1boHyJQ4e2FU0QG8MHwEi6qjX4hvZWVCHcFfXjq7bbMc/edit?resourcekey#gid=9"&amp;"23248883"",""Prop!$BF$1:$BP""),11,0),iferror(vlookup(B34,importrange(""https://docs.google.com/spreadsheets/d/1boHyJQ4e2FU0QG8MHwEi6qjX4hvZWVCHcFfXjq7bbMc/edit?resourcekey#gid=923248883"",""Prop!$BQ$1:$CA""),11,0),iferror(vlookup(B34,importrange(""https:/"&amp;"/docs.google.com/spreadsheets/d/1boHyJQ4e2FU0QG8MHwEi6qjX4hvZWVCHcFfXjq7bbMc/edit?resourcekey#gid=923248883"",""Prop!$CB$1:$CL""),11,0),iferror(vlookup(B34,importrange(""https://docs.google.com/spreadsheets/d/1boHyJQ4e2FU0QG8MHwEi6qjX4hvZWVCHcFfXjq7bbMc/e"&amp;"dit?resourcekey#gid=923248883"",""Prop!$CM$1:$CX""),12,0),iferror(vlookup(B34,importrange(""https://docs.google.com/spreadsheets/d/1boHyJQ4e2FU0QG8MHwEi6qjX4hvZWVCHcFfXjq7bbMc/edit?resourcekey#gid=923248883"",""Prop!$CV$1:$DI""),11,0)))))))))))"),"https://drive.google.com/open?id=1STGFlRZtE-XsWPOZW3DCvOfbG8b_dXwp")</f>
        <v>https://drive.google.com/open?id=1STGFlRZtE-XsWPOZW3DCvOfbG8b_dXwp</v>
      </c>
      <c r="Q34" s="7" t="str">
        <f ca="1">IFERROR(__xludf.DUMMYFUNCTION("iferror(vlookup(B34,importrange(""https://docs.google.com/spreadsheets/d/1p53T2AuvvIqhP7Nf-bo3Uhj8cbKYRPpZdsrBv3x3bAQ/edit?resourcekey#gid=1321652304"",""Prop!$C$1:$M""),11,0),IFERROR(vlookup(B34,importrange(""https://docs.google.com/spreadsheets/d/1p53T2"&amp;"AuvvIqhP7Nf-bo3Uhj8cbKYRPpZdsrBv3x3bAQ/edit?resourcekey#gid=1321652304"",""Prop!$N$1:$X""),11,0),iferror(vlookup(B34,importrange(""https://docs.google.com/spreadsheets/d/1p53T2AuvvIqhP7Nf-bo3Uhj8cbKYRPpZdsrBv3x3bAQ/edit?resourcekey#gid=1321652304"",""Prop"&amp;"!$Y$1:$AI""),11,0),iferror(vlookup(B34,importrange(""https://docs.google.com/spreadsheets/d/1p53T2AuvvIqhP7Nf-bo3Uhj8cbKYRPpZdsrBv3x3bAQ/edit?resourcekey#gid=1321652304"",""Prop!$AJ$1:$AT""),11,0),iferror(vlookup(B34,importrange(""https://docs.google.com/"&amp;"spreadsheets/d/1p53T2AuvvIqhP7Nf-bo3Uhj8cbKYRPpZdsrBv3x3bAQ/edit?resourcekey#gid=1321652304"",""Prop!$AU$1:$BE""),11,0),iferror(vlookup(B34,importrange(""https://docs.google.com/spreadsheets/d/1p53T2AuvvIqhP7Nf-bo3Uhj8cbKYRPpZdsrBv3x3bAQ/edit?resourcekey#"&amp;"gid=1321652304"",""Prop!$BF$1:$BP""),11,0),iferror(vlookup(B34,importrange(""https://docs.google.com/spreadsheets/d/1p53T2AuvvIqhP7Nf-bo3Uhj8cbKYRPpZdsrBv3x3bAQ/edit?resourcekey#gid=1321652304"",""Prop!$BQ$1:$CA""),11,0),iferror(vlookup(B34,importrange("""&amp;"https://docs.google.com/spreadsheets/d/1p53T2AuvvIqhP7Nf-bo3Uhj8cbKYRPpZdsrBv3x3bAQ/edit?resourcekey#gid=1321652304"",""Prop!$CB$1:$CL""),11,0),iferror(vlookup(B34,importrange(""https://docs.google.com/spreadsheets/d/1p53T2AuvvIqhP7Nf-bo3Uhj8cbKYRPpZdsrBv"&amp;"3x3bAQ/edit?resourcekey#gid=1321652304"",""Prop!$CM$1:$CX""),12,0),iferror(vlookup(B34,importrange(""https://docs.google.com/spreadsheets/d/1p53T2AuvvIqhP7Nf-bo3Uhj8cbKYRPpZdsrBv3x3bAQ/edit?resourcekey#gid=1321652304"",""Prop!$CY$1:$DI""),11,0)))))))))))"),"https://drive.google.com/open?id=1cCcaOrymBRdI8ah_Gu5W09PrzXGsVBJD")</f>
        <v>https://drive.google.com/open?id=1cCcaOrymBRdI8ah_Gu5W09PrzXGsVBJD</v>
      </c>
      <c r="R34" s="20" t="s">
        <v>867</v>
      </c>
      <c r="S34" s="20" t="str">
        <f ca="1">IFERROR(__xludf.DUMMYFUNCTION("IFERROR(vlookup(B34,IMPORTRANGE(""https://docs.google.com/spreadsheets/d/1g_jfYYK_KeipEDNDUgqgrsxK94XiocfNQIcP-v1QVhI/edit?resourcekey#gid=233272945"",""Nilai!B:CT""),66,0),"" "")"),"1. perjelas keunikan dan keterbaruan ide ini
2. pastikan film yang akan dibuat bukan hal2 yang deskriptif, melainkan yang emosional, inspiratif, dan komunikatif")</f>
        <v>1. perjelas keunikan dan keterbaruan ide ini
2. pastikan film yang akan dibuat bukan hal2 yang deskriptif, melainkan yang emosional, inspiratif, dan komunikatif</v>
      </c>
      <c r="T34" s="20" t="str">
        <f ca="1">IFERROR(__xludf.DUMMYFUNCTION("IFERROR(vlookup(B34,IMPORTRANGE(""https://docs.google.com/spreadsheets/d/1g_jfYYK_KeipEDNDUgqgrsxK94XiocfNQIcP-v1QVhI/edit?resourcekey#gid=233272945"",""Nilai!B:CT""),97,0),"" "")"),"LAYAK UPLOAD KE SIMBELMAWA DENGAN REVISI")</f>
        <v>LAYAK UPLOAD KE SIMBELMAWA DENGAN REVISI</v>
      </c>
      <c r="U34" s="21" t="s">
        <v>878</v>
      </c>
      <c r="V34" s="16" t="s">
        <v>868</v>
      </c>
      <c r="W34" s="18" t="s">
        <v>890</v>
      </c>
      <c r="X34" s="22" t="b">
        <v>1</v>
      </c>
    </row>
    <row r="35" spans="1:24">
      <c r="A35" s="15">
        <v>33</v>
      </c>
      <c r="B35" s="15">
        <f ca="1">IFERROR(__xludf.DUMMYFUNCTION("""COMPUTED_VALUE"""),3777)</f>
        <v>3777</v>
      </c>
      <c r="C35" s="16" t="str">
        <f ca="1">IFERROR(__xludf.DUMMYFUNCTION("""COMPUTED_VALUE"""),"AMIRAH RIZQI HANIFAH")</f>
        <v>AMIRAH RIZQI HANIFAH</v>
      </c>
      <c r="D35" s="16" t="str">
        <f ca="1">IFERROR(__xludf.DUMMYFUNCTION("""COMPUTED_VALUE"""),"5029201021")</f>
        <v>5029201021</v>
      </c>
      <c r="E35" s="16" t="str">
        <f ca="1">IFERROR(__xludf.DUMMYFUNCTION("""COMPUTED_VALUE"""),"Departemen Desain Interior")</f>
        <v>Departemen Desain Interior</v>
      </c>
      <c r="F35" s="16" t="str">
        <f ca="1">IFERROR(__xludf.DUMMYFUNCTION("""COMPUTED_VALUE"""),"Desain Hunian Komunal Cerdas Khusus Lansia Korban Letusan Gunung Berapi Berkonsep Memorial House")</f>
        <v>Desain Hunian Komunal Cerdas Khusus Lansia Korban Letusan Gunung Berapi Berkonsep Memorial House</v>
      </c>
      <c r="G35" s="16" t="str">
        <f ca="1">IFERROR(__xludf.DUMMYFUNCTION("""COMPUTED_VALUE"""),"Dr. Mahendra Wardhana, S.T., M.T.")</f>
        <v>Dr. Mahendra Wardhana, S.T., M.T.</v>
      </c>
      <c r="H35" s="16" t="str">
        <f ca="1">IFERROR(__xludf.DUMMYFUNCTION("""COMPUTED_VALUE"""),"Dr. I Gusti Ngurah Satriyadi Hernanda, S.T., M.T.")</f>
        <v>Dr. I Gusti Ngurah Satriyadi Hernanda, S.T., M.T.</v>
      </c>
      <c r="I35" s="16" t="str">
        <f ca="1">IFERROR(__xludf.DUMMYFUNCTION("""COMPUTED_VALUE"""),"Putu Gde Ariastita, S.T., M.T.")</f>
        <v>Putu Gde Ariastita, S.T., M.T.</v>
      </c>
      <c r="J35" s="16"/>
      <c r="K35" s="17" t="s">
        <v>888</v>
      </c>
      <c r="L35" s="23" t="s">
        <v>889</v>
      </c>
      <c r="M35" s="19" t="b">
        <v>1</v>
      </c>
      <c r="N35" s="19" t="b">
        <v>0</v>
      </c>
      <c r="O35" s="1" t="s">
        <v>887</v>
      </c>
      <c r="P35" s="7" t="str">
        <f ca="1">IFERROR(__xludf.DUMMYFUNCTION("iferror(vlookup(B35,importrange(""https://docs.google.com/spreadsheets/d/1boHyJQ4e2FU0QG8MHwEi6qjX4hvZWVCHcFfXjq7bbMc/edit?resourcekey#gid=923248883"",""Prop!$C$1:$M""),12,0),IFERROR(vlookup(B35,importrange(""https://docs.google.com/spreadsheets/d/1boHyJQ"&amp;"4e2FU0QG8MHwEi6qjX4hvZWVCHcFfXjq7bbMc/edit?resourcekey#gid=923248883"",""Prop!$N$1:$X""),11,0),iferror(vlookup(B35,importrange(""https://docs.google.com/spreadsheets/d/1boHyJQ4e2FU0QG8MHwEi6qjX4hvZWVCHcFfXjq7bbMc/edit?resourcekey#gid=923248883"",""Prop!$Y"&amp;"$1:$AI""),11,0),iferror(vlookup(B35,importrange(""https://docs.google.com/spreadsheets/d/1boHyJQ4e2FU0QG8MHwEi6qjX4hvZWVCHcFfXjq7bbMc/edit?resourcekey#gid=923248883"",""Prop!$AJ$1:$AT""),11,0),iferror(vlookup(B35,importrange(""https://docs.google.com/spre"&amp;"adsheets/d/1boHyJQ4e2FU0QG8MHwEi6qjX4hvZWVCHcFfXjq7bbMc/edit?resourcekey#gid=923248883"",""Prop!$AU$1:$BE""),11,0),iferror(vlookup(B35,importrange(""https://docs.google.com/spreadsheets/d/1boHyJQ4e2FU0QG8MHwEi6qjX4hvZWVCHcFfXjq7bbMc/edit?resourcekey#gid=9"&amp;"23248883"",""Prop!$BF$1:$BP""),11,0),iferror(vlookup(B35,importrange(""https://docs.google.com/spreadsheets/d/1boHyJQ4e2FU0QG8MHwEi6qjX4hvZWVCHcFfXjq7bbMc/edit?resourcekey#gid=923248883"",""Prop!$BQ$1:$CA""),11,0),iferror(vlookup(B35,importrange(""https:/"&amp;"/docs.google.com/spreadsheets/d/1boHyJQ4e2FU0QG8MHwEi6qjX4hvZWVCHcFfXjq7bbMc/edit?resourcekey#gid=923248883"",""Prop!$CB$1:$CL""),11,0),iferror(vlookup(B35,importrange(""https://docs.google.com/spreadsheets/d/1boHyJQ4e2FU0QG8MHwEi6qjX4hvZWVCHcFfXjq7bbMc/e"&amp;"dit?resourcekey#gid=923248883"",""Prop!$CM$1:$CX""),12,0),iferror(vlookup(B35,importrange(""https://docs.google.com/spreadsheets/d/1boHyJQ4e2FU0QG8MHwEi6qjX4hvZWVCHcFfXjq7bbMc/edit?resourcekey#gid=923248883"",""Prop!$CV$1:$DI""),11,0)))))))))))"),"https://drive.google.com/open?id=1IizlpIlacGa88w5XBoDfKO1PFObiKGlN")</f>
        <v>https://drive.google.com/open?id=1IizlpIlacGa88w5XBoDfKO1PFObiKGlN</v>
      </c>
      <c r="Q35" s="7" t="str">
        <f ca="1">IFERROR(__xludf.DUMMYFUNCTION("iferror(vlookup(B35,importrange(""https://docs.google.com/spreadsheets/d/1p53T2AuvvIqhP7Nf-bo3Uhj8cbKYRPpZdsrBv3x3bAQ/edit?resourcekey#gid=1321652304"",""Prop!$C$1:$M""),11,0),IFERROR(vlookup(B35,importrange(""https://docs.google.com/spreadsheets/d/1p53T2"&amp;"AuvvIqhP7Nf-bo3Uhj8cbKYRPpZdsrBv3x3bAQ/edit?resourcekey#gid=1321652304"",""Prop!$N$1:$X""),11,0),iferror(vlookup(B35,importrange(""https://docs.google.com/spreadsheets/d/1p53T2AuvvIqhP7Nf-bo3Uhj8cbKYRPpZdsrBv3x3bAQ/edit?resourcekey#gid=1321652304"",""Prop"&amp;"!$Y$1:$AI""),11,0),iferror(vlookup(B35,importrange(""https://docs.google.com/spreadsheets/d/1p53T2AuvvIqhP7Nf-bo3Uhj8cbKYRPpZdsrBv3x3bAQ/edit?resourcekey#gid=1321652304"",""Prop!$AJ$1:$AT""),11,0),iferror(vlookup(B35,importrange(""https://docs.google.com/"&amp;"spreadsheets/d/1p53T2AuvvIqhP7Nf-bo3Uhj8cbKYRPpZdsrBv3x3bAQ/edit?resourcekey#gid=1321652304"",""Prop!$AU$1:$BE""),11,0),iferror(vlookup(B35,importrange(""https://docs.google.com/spreadsheets/d/1p53T2AuvvIqhP7Nf-bo3Uhj8cbKYRPpZdsrBv3x3bAQ/edit?resourcekey#"&amp;"gid=1321652304"",""Prop!$BF$1:$BP""),11,0),iferror(vlookup(B35,importrange(""https://docs.google.com/spreadsheets/d/1p53T2AuvvIqhP7Nf-bo3Uhj8cbKYRPpZdsrBv3x3bAQ/edit?resourcekey#gid=1321652304"",""Prop!$BQ$1:$CA""),11,0),iferror(vlookup(B35,importrange("""&amp;"https://docs.google.com/spreadsheets/d/1p53T2AuvvIqhP7Nf-bo3Uhj8cbKYRPpZdsrBv3x3bAQ/edit?resourcekey#gid=1321652304"",""Prop!$CB$1:$CL""),11,0),iferror(vlookup(B35,importrange(""https://docs.google.com/spreadsheets/d/1p53T2AuvvIqhP7Nf-bo3Uhj8cbKYRPpZdsrBv"&amp;"3x3bAQ/edit?resourcekey#gid=1321652304"",""Prop!$CM$1:$CX""),12,0),iferror(vlookup(B35,importrange(""https://docs.google.com/spreadsheets/d/1p53T2AuvvIqhP7Nf-bo3Uhj8cbKYRPpZdsrBv3x3bAQ/edit?resourcekey#gid=1321652304"",""Prop!$CY$1:$DI""),11,0)))))))))))"),"https://drive.google.com/open?id=1dQqCxa-L1JMDf4OdafdS7Pz2vf-FMQnd")</f>
        <v>https://drive.google.com/open?id=1dQqCxa-L1JMDf4OdafdS7Pz2vf-FMQnd</v>
      </c>
      <c r="R35" s="20" t="s">
        <v>867</v>
      </c>
      <c r="S35" s="20" t="str">
        <f ca="1">IFERROR(__xludf.DUMMYFUNCTION("IFERROR(vlookup(B35,IMPORTRANGE(""https://docs.google.com/spreadsheets/d/1g_jfYYK_KeipEDNDUgqgrsxK94XiocfNQIcP-v1QVhI/edit?resourcekey#gid=233272945"",""Nilai!B:CT""),66,0),"" "")"),"1. pada bab 1 jelaskan secara komprehensif idenya
2. perjelas skenario konsep agar tergambar konten film yang emosional dan inspiratif")</f>
        <v>1. pada bab 1 jelaskan secara komprehensif idenya
2. perjelas skenario konsep agar tergambar konten film yang emosional dan inspiratif</v>
      </c>
      <c r="T35" s="20" t="str">
        <f ca="1">IFERROR(__xludf.DUMMYFUNCTION("IFERROR(vlookup(B35,IMPORTRANGE(""https://docs.google.com/spreadsheets/d/1g_jfYYK_KeipEDNDUgqgrsxK94XiocfNQIcP-v1QVhI/edit?resourcekey#gid=233272945"",""Nilai!B:CT""),97,0),"" "")"),"LAYAK UPLOAD KE SIMBELMAWA DENGAN REVISI")</f>
        <v>LAYAK UPLOAD KE SIMBELMAWA DENGAN REVISI</v>
      </c>
      <c r="U35" s="21" t="s">
        <v>878</v>
      </c>
      <c r="V35" s="16" t="s">
        <v>868</v>
      </c>
      <c r="W35" s="18" t="s">
        <v>890</v>
      </c>
      <c r="X35" s="22" t="b">
        <v>1</v>
      </c>
    </row>
    <row r="36" spans="1:24">
      <c r="A36" s="15">
        <v>34</v>
      </c>
      <c r="B36" s="15">
        <f ca="1">IFERROR(__xludf.DUMMYFUNCTION("""COMPUTED_VALUE"""),2964)</f>
        <v>2964</v>
      </c>
      <c r="C36" s="16" t="str">
        <f ca="1">IFERROR(__xludf.DUMMYFUNCTION("""COMPUTED_VALUE"""),"EPINDONTA GINTING")</f>
        <v>EPINDONTA GINTING</v>
      </c>
      <c r="D36" s="16" t="str">
        <f ca="1">IFERROR(__xludf.DUMMYFUNCTION("""COMPUTED_VALUE"""),"5007201140")</f>
        <v>5007201140</v>
      </c>
      <c r="E36" s="16" t="str">
        <f ca="1">IFERROR(__xludf.DUMMYFUNCTION("""COMPUTED_VALUE"""),"Departemen Teknik Mesin")</f>
        <v>Departemen Teknik Mesin</v>
      </c>
      <c r="F36" s="16" t="str">
        <f ca="1">IFERROR(__xludf.DUMMYFUNCTION("""COMPUTED_VALUE"""),"Metatherapy : Tangan Prostetik Virtual yang Terintegrasi Metaverse Guna 
Merasakan Sensasi Tangan Asli dan Meningkatkan Efektifitas Rehabilitasi Pasien 
Pasca-Amputasi Upperlimb")</f>
        <v>Metatherapy : Tangan Prostetik Virtual yang Terintegrasi Metaverse Guna 
Merasakan Sensasi Tangan Asli dan Meningkatkan Efektifitas Rehabilitasi Pasien 
Pasca-Amputasi Upperlimb</v>
      </c>
      <c r="G36" s="16" t="str">
        <f ca="1">IFERROR(__xludf.DUMMYFUNCTION("""COMPUTED_VALUE"""),"Dr. Dhany Arifianto, S.T., M.Eng.")</f>
        <v>Dr. Dhany Arifianto, S.T., M.Eng.</v>
      </c>
      <c r="H36" s="16" t="str">
        <f ca="1">IFERROR(__xludf.DUMMYFUNCTION("""COMPUTED_VALUE"""),"Putu Gde Ariastita, S.T., M.T.")</f>
        <v>Putu Gde Ariastita, S.T., M.T.</v>
      </c>
      <c r="I36" s="16" t="str">
        <f ca="1">IFERROR(__xludf.DUMMYFUNCTION("""COMPUTED_VALUE"""),"Dion Hayu Fandiantoro, S.T., M.Eng.")</f>
        <v>Dion Hayu Fandiantoro, S.T., M.Eng.</v>
      </c>
      <c r="J36" s="16"/>
      <c r="K36" s="17" t="s">
        <v>888</v>
      </c>
      <c r="L36" s="23" t="s">
        <v>891</v>
      </c>
      <c r="M36" s="19" t="b">
        <v>0</v>
      </c>
      <c r="N36" s="19" t="b">
        <v>0</v>
      </c>
      <c r="O36" s="1" t="s">
        <v>887</v>
      </c>
      <c r="P36" s="7" t="str">
        <f ca="1">IFERROR(__xludf.DUMMYFUNCTION("iferror(vlookup(B36,importrange(""https://docs.google.com/spreadsheets/d/1boHyJQ4e2FU0QG8MHwEi6qjX4hvZWVCHcFfXjq7bbMc/edit?resourcekey#gid=923248883"",""Prop!$C$1:$M""),12,0),IFERROR(vlookup(B36,importrange(""https://docs.google.com/spreadsheets/d/1boHyJQ"&amp;"4e2FU0QG8MHwEi6qjX4hvZWVCHcFfXjq7bbMc/edit?resourcekey#gid=923248883"",""Prop!$N$1:$X""),11,0),iferror(vlookup(B36,importrange(""https://docs.google.com/spreadsheets/d/1boHyJQ4e2FU0QG8MHwEi6qjX4hvZWVCHcFfXjq7bbMc/edit?resourcekey#gid=923248883"",""Prop!$Y"&amp;"$1:$AI""),11,0),iferror(vlookup(B36,importrange(""https://docs.google.com/spreadsheets/d/1boHyJQ4e2FU0QG8MHwEi6qjX4hvZWVCHcFfXjq7bbMc/edit?resourcekey#gid=923248883"",""Prop!$AJ$1:$AT""),11,0),iferror(vlookup(B36,importrange(""https://docs.google.com/spre"&amp;"adsheets/d/1boHyJQ4e2FU0QG8MHwEi6qjX4hvZWVCHcFfXjq7bbMc/edit?resourcekey#gid=923248883"",""Prop!$AU$1:$BE""),11,0),iferror(vlookup(B36,importrange(""https://docs.google.com/spreadsheets/d/1boHyJQ4e2FU0QG8MHwEi6qjX4hvZWVCHcFfXjq7bbMc/edit?resourcekey#gid=9"&amp;"23248883"",""Prop!$BF$1:$BP""),11,0),iferror(vlookup(B36,importrange(""https://docs.google.com/spreadsheets/d/1boHyJQ4e2FU0QG8MHwEi6qjX4hvZWVCHcFfXjq7bbMc/edit?resourcekey#gid=923248883"",""Prop!$BQ$1:$CA""),11,0),iferror(vlookup(B36,importrange(""https:/"&amp;"/docs.google.com/spreadsheets/d/1boHyJQ4e2FU0QG8MHwEi6qjX4hvZWVCHcFfXjq7bbMc/edit?resourcekey#gid=923248883"",""Prop!$CB$1:$CL""),11,0),iferror(vlookup(B36,importrange(""https://docs.google.com/spreadsheets/d/1boHyJQ4e2FU0QG8MHwEi6qjX4hvZWVCHcFfXjq7bbMc/e"&amp;"dit?resourcekey#gid=923248883"",""Prop!$CM$1:$CX""),12,0),iferror(vlookup(B36,importrange(""https://docs.google.com/spreadsheets/d/1boHyJQ4e2FU0QG8MHwEi6qjX4hvZWVCHcFfXjq7bbMc/edit?resourcekey#gid=923248883"",""Prop!$CV$1:$DI""),11,0)))))))))))"),"https://drive.google.com/open?id=1VTHwLdU0ZprZWYbkMBaaE8jUh04gneZU")</f>
        <v>https://drive.google.com/open?id=1VTHwLdU0ZprZWYbkMBaaE8jUh04gneZU</v>
      </c>
      <c r="Q36" s="7" t="str">
        <f ca="1">IFERROR(__xludf.DUMMYFUNCTION("iferror(vlookup(B36,importrange(""https://docs.google.com/spreadsheets/d/1p53T2AuvvIqhP7Nf-bo3Uhj8cbKYRPpZdsrBv3x3bAQ/edit?resourcekey#gid=1321652304"",""Prop!$C$1:$M""),11,0),IFERROR(vlookup(B36,importrange(""https://docs.google.com/spreadsheets/d/1p53T2"&amp;"AuvvIqhP7Nf-bo3Uhj8cbKYRPpZdsrBv3x3bAQ/edit?resourcekey#gid=1321652304"",""Prop!$N$1:$X""),11,0),iferror(vlookup(B36,importrange(""https://docs.google.com/spreadsheets/d/1p53T2AuvvIqhP7Nf-bo3Uhj8cbKYRPpZdsrBv3x3bAQ/edit?resourcekey#gid=1321652304"",""Prop"&amp;"!$Y$1:$AI""),11,0),iferror(vlookup(B36,importrange(""https://docs.google.com/spreadsheets/d/1p53T2AuvvIqhP7Nf-bo3Uhj8cbKYRPpZdsrBv3x3bAQ/edit?resourcekey#gid=1321652304"",""Prop!$AJ$1:$AT""),11,0),iferror(vlookup(B36,importrange(""https://docs.google.com/"&amp;"spreadsheets/d/1p53T2AuvvIqhP7Nf-bo3Uhj8cbKYRPpZdsrBv3x3bAQ/edit?resourcekey#gid=1321652304"",""Prop!$AU$1:$BE""),11,0),iferror(vlookup(B36,importrange(""https://docs.google.com/spreadsheets/d/1p53T2AuvvIqhP7Nf-bo3Uhj8cbKYRPpZdsrBv3x3bAQ/edit?resourcekey#"&amp;"gid=1321652304"",""Prop!$BF$1:$BP""),11,0),iferror(vlookup(B36,importrange(""https://docs.google.com/spreadsheets/d/1p53T2AuvvIqhP7Nf-bo3Uhj8cbKYRPpZdsrBv3x3bAQ/edit?resourcekey#gid=1321652304"",""Prop!$BQ$1:$CA""),11,0),iferror(vlookup(B36,importrange("""&amp;"https://docs.google.com/spreadsheets/d/1p53T2AuvvIqhP7Nf-bo3Uhj8cbKYRPpZdsrBv3x3bAQ/edit?resourcekey#gid=1321652304"",""Prop!$CB$1:$CL""),11,0),iferror(vlookup(B36,importrange(""https://docs.google.com/spreadsheets/d/1p53T2AuvvIqhP7Nf-bo3Uhj8cbKYRPpZdsrBv"&amp;"3x3bAQ/edit?resourcekey#gid=1321652304"",""Prop!$CM$1:$CX""),12,0),iferror(vlookup(B36,importrange(""https://docs.google.com/spreadsheets/d/1p53T2AuvvIqhP7Nf-bo3Uhj8cbKYRPpZdsrBv3x3bAQ/edit?resourcekey#gid=1321652304"",""Prop!$CY$1:$DI""),11,0)))))))))))"),"https://drive.google.com/open?id=1KoeP95DD9GojEjDtQpwyyGmEfee8vV5l")</f>
        <v>https://drive.google.com/open?id=1KoeP95DD9GojEjDtQpwyyGmEfee8vV5l</v>
      </c>
      <c r="R36" s="20" t="s">
        <v>867</v>
      </c>
      <c r="S36" s="20" t="str">
        <f ca="1">IFERROR(__xludf.DUMMYFUNCTION("IFERROR(vlookup(B36,IMPORTRANGE(""https://docs.google.com/spreadsheets/d/1g_jfYYK_KeipEDNDUgqgrsxK94XiocfNQIcP-v1QVhI/edit?resourcekey#gid=233272945"",""Nilai!B:CT""),66,0),"" "")"),"1. ide sdh ok, hanya perjelas keterbaruan
2. format anggaran masih salah")</f>
        <v>1. ide sdh ok, hanya perjelas keterbaruan
2. format anggaran masih salah</v>
      </c>
      <c r="T36" s="20" t="str">
        <f ca="1">IFERROR(__xludf.DUMMYFUNCTION("IFERROR(vlookup(B36,IMPORTRANGE(""https://docs.google.com/spreadsheets/d/1g_jfYYK_KeipEDNDUgqgrsxK94XiocfNQIcP-v1QVhI/edit?resourcekey#gid=233272945"",""Nilai!B:CT""),97,0),"" "")"),"LAYAK UPLOAD KE SIMBELMAWA DENGAN REVISI")</f>
        <v>LAYAK UPLOAD KE SIMBELMAWA DENGAN REVISI</v>
      </c>
      <c r="U36" s="21" t="s">
        <v>878</v>
      </c>
      <c r="V36" s="16" t="s">
        <v>868</v>
      </c>
      <c r="W36" s="18" t="s">
        <v>890</v>
      </c>
      <c r="X36" s="22" t="b">
        <v>1</v>
      </c>
    </row>
    <row r="37" spans="1:24">
      <c r="A37" s="15">
        <v>35</v>
      </c>
      <c r="B37" s="15">
        <f ca="1">IFERROR(__xludf.DUMMYFUNCTION("""COMPUTED_VALUE"""),4056)</f>
        <v>4056</v>
      </c>
      <c r="C37" s="16" t="str">
        <f ca="1">IFERROR(__xludf.DUMMYFUNCTION("""COMPUTED_VALUE"""),"RAVLY ADE WIDYADHANA")</f>
        <v>RAVLY ADE WIDYADHANA</v>
      </c>
      <c r="D37" s="16" t="str">
        <f ca="1">IFERROR(__xludf.DUMMYFUNCTION("""COMPUTED_VALUE"""),"5029201043")</f>
        <v>5029201043</v>
      </c>
      <c r="E37" s="16" t="str">
        <f ca="1">IFERROR(__xludf.DUMMYFUNCTION("""COMPUTED_VALUE"""),"Departemen Desain Interior")</f>
        <v>Departemen Desain Interior</v>
      </c>
      <c r="F37" s="16" t="str">
        <f ca="1">IFERROR(__xludf.DUMMYFUNCTION("""COMPUTED_VALUE"""),"INOVASI HUNIAN RAMAH TUNADAKSA BERKONSEP SPIDER TUNNEL DAN AUTOMATIC DOOR DENGAN SISTEM SENSOR GETARAN TERHADAP GEMPA
")</f>
        <v xml:space="preserve">INOVASI HUNIAN RAMAH TUNADAKSA BERKONSEP SPIDER TUNNEL DAN AUTOMATIC DOOR DENGAN SISTEM SENSOR GETARAN TERHADAP GEMPA
</v>
      </c>
      <c r="G37" s="16" t="str">
        <f ca="1">IFERROR(__xludf.DUMMYFUNCTION("""COMPUTED_VALUE"""),"Aria Weny Anggraita, ST, MMT")</f>
        <v>Aria Weny Anggraita, ST, MMT</v>
      </c>
      <c r="H37" s="16" t="str">
        <f ca="1">IFERROR(__xludf.DUMMYFUNCTION("""COMPUTED_VALUE"""),"Putu Gde Ariastita, S.T., M.T.")</f>
        <v>Putu Gde Ariastita, S.T., M.T.</v>
      </c>
      <c r="I37" s="16" t="str">
        <f ca="1">IFERROR(__xludf.DUMMYFUNCTION("""COMPUTED_VALUE"""),"Nur Azizah, S.Si., M.Stat.")</f>
        <v>Nur Azizah, S.Si., M.Stat.</v>
      </c>
      <c r="J37" s="16"/>
      <c r="K37" s="17" t="s">
        <v>888</v>
      </c>
      <c r="L37" s="23" t="s">
        <v>891</v>
      </c>
      <c r="M37" s="19" t="b">
        <v>0</v>
      </c>
      <c r="N37" s="19" t="b">
        <v>0</v>
      </c>
      <c r="O37" s="1" t="s">
        <v>887</v>
      </c>
      <c r="P37" s="1" t="str">
        <f ca="1">IFERROR(__xludf.DUMMYFUNCTION("iferror(vlookup(B37,importrange(""https://docs.google.com/spreadsheets/d/1boHyJQ4e2FU0QG8MHwEi6qjX4hvZWVCHcFfXjq7bbMc/edit?resourcekey#gid=923248883"",""Prop!$C$1:$M""),12,0),IFERROR(vlookup(B37,importrange(""https://docs.google.com/spreadsheets/d/1boHyJQ"&amp;"4e2FU0QG8MHwEi6qjX4hvZWVCHcFfXjq7bbMc/edit?resourcekey#gid=923248883"",""Prop!$N$1:$X""),11,0),iferror(vlookup(B37,importrange(""https://docs.google.com/spreadsheets/d/1boHyJQ4e2FU0QG8MHwEi6qjX4hvZWVCHcFfXjq7bbMc/edit?resourcekey#gid=923248883"",""Prop!$Y"&amp;"$1:$AI""),11,0),iferror(vlookup(B37,importrange(""https://docs.google.com/spreadsheets/d/1boHyJQ4e2FU0QG8MHwEi6qjX4hvZWVCHcFfXjq7bbMc/edit?resourcekey#gid=923248883"",""Prop!$AJ$1:$AT""),11,0),iferror(vlookup(B37,importrange(""https://docs.google.com/spre"&amp;"adsheets/d/1boHyJQ4e2FU0QG8MHwEi6qjX4hvZWVCHcFfXjq7bbMc/edit?resourcekey#gid=923248883"",""Prop!$AU$1:$BE""),11,0),iferror(vlookup(B37,importrange(""https://docs.google.com/spreadsheets/d/1boHyJQ4e2FU0QG8MHwEi6qjX4hvZWVCHcFfXjq7bbMc/edit?resourcekey#gid=9"&amp;"23248883"",""Prop!$BF$1:$BP""),11,0),iferror(vlookup(B37,importrange(""https://docs.google.com/spreadsheets/d/1boHyJQ4e2FU0QG8MHwEi6qjX4hvZWVCHcFfXjq7bbMc/edit?resourcekey#gid=923248883"",""Prop!$BQ$1:$CA""),11,0),iferror(vlookup(B37,importrange(""https:/"&amp;"/docs.google.com/spreadsheets/d/1boHyJQ4e2FU0QG8MHwEi6qjX4hvZWVCHcFfXjq7bbMc/edit?resourcekey#gid=923248883"",""Prop!$CB$1:$CL""),11,0),iferror(vlookup(B37,importrange(""https://docs.google.com/spreadsheets/d/1boHyJQ4e2FU0QG8MHwEi6qjX4hvZWVCHcFfXjq7bbMc/e"&amp;"dit?resourcekey#gid=923248883"",""Prop!$CM$1:$CX""),12,0),iferror(vlookup(B37,importrange(""https://docs.google.com/spreadsheets/d/1boHyJQ4e2FU0QG8MHwEi6qjX4hvZWVCHcFfXjq7bbMc/edit?resourcekey#gid=923248883"",""Prop!$CV$1:$DI""),11,0)))))))))))"),"")</f>
        <v/>
      </c>
      <c r="Q37" s="1" t="str">
        <f ca="1">IFERROR(__xludf.DUMMYFUNCTION("iferror(vlookup(B37,importrange(""https://docs.google.com/spreadsheets/d/1p53T2AuvvIqhP7Nf-bo3Uhj8cbKYRPpZdsrBv3x3bAQ/edit?resourcekey#gid=1321652304"",""Prop!$C$1:$M""),11,0),IFERROR(vlookup(B37,importrange(""https://docs.google.com/spreadsheets/d/1p53T2"&amp;"AuvvIqhP7Nf-bo3Uhj8cbKYRPpZdsrBv3x3bAQ/edit?resourcekey#gid=1321652304"",""Prop!$N$1:$X""),11,0),iferror(vlookup(B37,importrange(""https://docs.google.com/spreadsheets/d/1p53T2AuvvIqhP7Nf-bo3Uhj8cbKYRPpZdsrBv3x3bAQ/edit?resourcekey#gid=1321652304"",""Prop"&amp;"!$Y$1:$AI""),11,0),iferror(vlookup(B37,importrange(""https://docs.google.com/spreadsheets/d/1p53T2AuvvIqhP7Nf-bo3Uhj8cbKYRPpZdsrBv3x3bAQ/edit?resourcekey#gid=1321652304"",""Prop!$AJ$1:$AT""),11,0),iferror(vlookup(B37,importrange(""https://docs.google.com/"&amp;"spreadsheets/d/1p53T2AuvvIqhP7Nf-bo3Uhj8cbKYRPpZdsrBv3x3bAQ/edit?resourcekey#gid=1321652304"",""Prop!$AU$1:$BE""),11,0),iferror(vlookup(B37,importrange(""https://docs.google.com/spreadsheets/d/1p53T2AuvvIqhP7Nf-bo3Uhj8cbKYRPpZdsrBv3x3bAQ/edit?resourcekey#"&amp;"gid=1321652304"",""Prop!$BF$1:$BP""),11,0),iferror(vlookup(B37,importrange(""https://docs.google.com/spreadsheets/d/1p53T2AuvvIqhP7Nf-bo3Uhj8cbKYRPpZdsrBv3x3bAQ/edit?resourcekey#gid=1321652304"",""Prop!$BQ$1:$CA""),11,0),iferror(vlookup(B37,importrange("""&amp;"https://docs.google.com/spreadsheets/d/1p53T2AuvvIqhP7Nf-bo3Uhj8cbKYRPpZdsrBv3x3bAQ/edit?resourcekey#gid=1321652304"",""Prop!$CB$1:$CL""),11,0),iferror(vlookup(B37,importrange(""https://docs.google.com/spreadsheets/d/1p53T2AuvvIqhP7Nf-bo3Uhj8cbKYRPpZdsrBv"&amp;"3x3bAQ/edit?resourcekey#gid=1321652304"",""Prop!$CM$1:$CX""),12,0),iferror(vlookup(B37,importrange(""https://docs.google.com/spreadsheets/d/1p53T2AuvvIqhP7Nf-bo3Uhj8cbKYRPpZdsrBv3x3bAQ/edit?resourcekey#gid=1321652304"",""Prop!$CY$1:$DI""),11,0)))))))))))"),"")</f>
        <v/>
      </c>
      <c r="R37" s="20" t="s">
        <v>867</v>
      </c>
      <c r="S37" s="20" t="str">
        <f ca="1">IFERROR(__xludf.DUMMYFUNCTION("IFERROR(vlookup(B37,IMPORTRANGE(""https://docs.google.com/spreadsheets/d/1g_jfYYK_KeipEDNDUgqgrsxK94XiocfNQIcP-v1QVhI/edit?resourcekey#gid=233272945"",""Nilai!B:CT""),66,0),"" "")")," ")</f>
        <v xml:space="preserve"> </v>
      </c>
      <c r="T37" s="20" t="str">
        <f ca="1">IFERROR(__xludf.DUMMYFUNCTION("IFERROR(vlookup(B37,IMPORTRANGE(""https://docs.google.com/spreadsheets/d/1g_jfYYK_KeipEDNDUgqgrsxK94XiocfNQIcP-v1QVhI/edit?resourcekey#gid=233272945"",""Nilai!B:CT""),97,0),"" "")")," ")</f>
        <v xml:space="preserve"> </v>
      </c>
      <c r="U37" s="21" t="s">
        <v>878</v>
      </c>
      <c r="V37" s="16" t="s">
        <v>868</v>
      </c>
      <c r="W37" s="18" t="s">
        <v>892</v>
      </c>
      <c r="X37" s="22" t="b">
        <v>0</v>
      </c>
    </row>
    <row r="38" spans="1:24">
      <c r="A38" s="15">
        <v>36</v>
      </c>
      <c r="B38" s="15">
        <f ca="1">IFERROR(__xludf.DUMMYFUNCTION("""COMPUTED_VALUE"""),2713)</f>
        <v>2713</v>
      </c>
      <c r="C38" s="16" t="str">
        <f ca="1">IFERROR(__xludf.DUMMYFUNCTION("""COMPUTED_VALUE"""),"Muhammad Farhan")</f>
        <v>Muhammad Farhan</v>
      </c>
      <c r="D38" s="16" t="str">
        <f ca="1">IFERROR(__xludf.DUMMYFUNCTION("""COMPUTED_VALUE"""),"5012201055")</f>
        <v>5012201055</v>
      </c>
      <c r="E38" s="16" t="str">
        <f ca="1">IFERROR(__xludf.DUMMYFUNCTION("""COMPUTED_VALUE"""),"Departemen Teknik Sipil")</f>
        <v>Departemen Teknik Sipil</v>
      </c>
      <c r="F38" s="16" t="str">
        <f ca="1">IFERROR(__xludf.DUMMYFUNCTION("""COMPUTED_VALUE"""),"Kantan-Way: Upaya Perlindungan Fauna Endemik Kalimantan
terhadap Ancaman Pembangunan Infrastruktur Transportasi Darat di
Wilayah IKN Baru")</f>
        <v>Kantan-Way: Upaya Perlindungan Fauna Endemik Kalimantan
terhadap Ancaman Pembangunan Infrastruktur Transportasi Darat di
Wilayah IKN Baru</v>
      </c>
      <c r="G38" s="16" t="str">
        <f ca="1">IFERROR(__xludf.DUMMYFUNCTION("""COMPUTED_VALUE"""),"Dr. Candra Irawan, S.T., M.T.")</f>
        <v>Dr. Candra Irawan, S.T., M.T.</v>
      </c>
      <c r="H38" s="16" t="str">
        <f ca="1">IFERROR(__xludf.DUMMYFUNCTION("""COMPUTED_VALUE"""),"Okta Putra Setio Ardianto, S.T., M.T.")</f>
        <v>Okta Putra Setio Ardianto, S.T., M.T.</v>
      </c>
      <c r="I38" s="16" t="str">
        <f ca="1">IFERROR(__xludf.DUMMYFUNCTION("""COMPUTED_VALUE"""),"Dion Hayu Fandiantoro, S.T., M.Eng.")</f>
        <v>Dion Hayu Fandiantoro, S.T., M.Eng.</v>
      </c>
      <c r="J38" s="16"/>
      <c r="K38" s="17" t="s">
        <v>888</v>
      </c>
      <c r="L38" s="23" t="s">
        <v>891</v>
      </c>
      <c r="M38" s="19" t="b">
        <v>1</v>
      </c>
      <c r="N38" s="19" t="b">
        <v>1</v>
      </c>
      <c r="O38" s="1" t="s">
        <v>887</v>
      </c>
      <c r="P38" s="7" t="str">
        <f ca="1">IFERROR(__xludf.DUMMYFUNCTION("iferror(vlookup(B38,importrange(""https://docs.google.com/spreadsheets/d/1boHyJQ4e2FU0QG8MHwEi6qjX4hvZWVCHcFfXjq7bbMc/edit?resourcekey#gid=923248883"",""Prop!$C$1:$M""),12,0),IFERROR(vlookup(B38,importrange(""https://docs.google.com/spreadsheets/d/1boHyJQ"&amp;"4e2FU0QG8MHwEi6qjX4hvZWVCHcFfXjq7bbMc/edit?resourcekey#gid=923248883"",""Prop!$N$1:$X""),11,0),iferror(vlookup(B38,importrange(""https://docs.google.com/spreadsheets/d/1boHyJQ4e2FU0QG8MHwEi6qjX4hvZWVCHcFfXjq7bbMc/edit?resourcekey#gid=923248883"",""Prop!$Y"&amp;"$1:$AI""),11,0),iferror(vlookup(B38,importrange(""https://docs.google.com/spreadsheets/d/1boHyJQ4e2FU0QG8MHwEi6qjX4hvZWVCHcFfXjq7bbMc/edit?resourcekey#gid=923248883"",""Prop!$AJ$1:$AT""),11,0),iferror(vlookup(B38,importrange(""https://docs.google.com/spre"&amp;"adsheets/d/1boHyJQ4e2FU0QG8MHwEi6qjX4hvZWVCHcFfXjq7bbMc/edit?resourcekey#gid=923248883"",""Prop!$AU$1:$BE""),11,0),iferror(vlookup(B38,importrange(""https://docs.google.com/spreadsheets/d/1boHyJQ4e2FU0QG8MHwEi6qjX4hvZWVCHcFfXjq7bbMc/edit?resourcekey#gid=9"&amp;"23248883"",""Prop!$BF$1:$BP""),11,0),iferror(vlookup(B38,importrange(""https://docs.google.com/spreadsheets/d/1boHyJQ4e2FU0QG8MHwEi6qjX4hvZWVCHcFfXjq7bbMc/edit?resourcekey#gid=923248883"",""Prop!$BQ$1:$CA""),11,0),iferror(vlookup(B38,importrange(""https:/"&amp;"/docs.google.com/spreadsheets/d/1boHyJQ4e2FU0QG8MHwEi6qjX4hvZWVCHcFfXjq7bbMc/edit?resourcekey#gid=923248883"",""Prop!$CB$1:$CL""),11,0),iferror(vlookup(B38,importrange(""https://docs.google.com/spreadsheets/d/1boHyJQ4e2FU0QG8MHwEi6qjX4hvZWVCHcFfXjq7bbMc/e"&amp;"dit?resourcekey#gid=923248883"",""Prop!$CM$1:$CX""),12,0),iferror(vlookup(B38,importrange(""https://docs.google.com/spreadsheets/d/1boHyJQ4e2FU0QG8MHwEi6qjX4hvZWVCHcFfXjq7bbMc/edit?resourcekey#gid=923248883"",""Prop!$CV$1:$DI""),11,0)))))))))))"),"https://drive.google.com/open?id=1EqDsZJFRnl0tuZ_WEDNb_Zq9thByoDeo")</f>
        <v>https://drive.google.com/open?id=1EqDsZJFRnl0tuZ_WEDNb_Zq9thByoDeo</v>
      </c>
      <c r="Q38" s="7" t="str">
        <f ca="1">IFERROR(__xludf.DUMMYFUNCTION("iferror(vlookup(B38,importrange(""https://docs.google.com/spreadsheets/d/1p53T2AuvvIqhP7Nf-bo3Uhj8cbKYRPpZdsrBv3x3bAQ/edit?resourcekey#gid=1321652304"",""Prop!$C$1:$M""),11,0),IFERROR(vlookup(B38,importrange(""https://docs.google.com/spreadsheets/d/1p53T2"&amp;"AuvvIqhP7Nf-bo3Uhj8cbKYRPpZdsrBv3x3bAQ/edit?resourcekey#gid=1321652304"",""Prop!$N$1:$X""),11,0),iferror(vlookup(B38,importrange(""https://docs.google.com/spreadsheets/d/1p53T2AuvvIqhP7Nf-bo3Uhj8cbKYRPpZdsrBv3x3bAQ/edit?resourcekey#gid=1321652304"",""Prop"&amp;"!$Y$1:$AI""),11,0),iferror(vlookup(B38,importrange(""https://docs.google.com/spreadsheets/d/1p53T2AuvvIqhP7Nf-bo3Uhj8cbKYRPpZdsrBv3x3bAQ/edit?resourcekey#gid=1321652304"",""Prop!$AJ$1:$AT""),11,0),iferror(vlookup(B38,importrange(""https://docs.google.com/"&amp;"spreadsheets/d/1p53T2AuvvIqhP7Nf-bo3Uhj8cbKYRPpZdsrBv3x3bAQ/edit?resourcekey#gid=1321652304"",""Prop!$AU$1:$BE""),11,0),iferror(vlookup(B38,importrange(""https://docs.google.com/spreadsheets/d/1p53T2AuvvIqhP7Nf-bo3Uhj8cbKYRPpZdsrBv3x3bAQ/edit?resourcekey#"&amp;"gid=1321652304"",""Prop!$BF$1:$BP""),11,0),iferror(vlookup(B38,importrange(""https://docs.google.com/spreadsheets/d/1p53T2AuvvIqhP7Nf-bo3Uhj8cbKYRPpZdsrBv3x3bAQ/edit?resourcekey#gid=1321652304"",""Prop!$BQ$1:$CA""),11,0),iferror(vlookup(B38,importrange("""&amp;"https://docs.google.com/spreadsheets/d/1p53T2AuvvIqhP7Nf-bo3Uhj8cbKYRPpZdsrBv3x3bAQ/edit?resourcekey#gid=1321652304"",""Prop!$CB$1:$CL""),11,0),iferror(vlookup(B38,importrange(""https://docs.google.com/spreadsheets/d/1p53T2AuvvIqhP7Nf-bo3Uhj8cbKYRPpZdsrBv"&amp;"3x3bAQ/edit?resourcekey#gid=1321652304"",""Prop!$CM$1:$CX""),12,0),iferror(vlookup(B38,importrange(""https://docs.google.com/spreadsheets/d/1p53T2AuvvIqhP7Nf-bo3Uhj8cbKYRPpZdsrBv3x3bAQ/edit?resourcekey#gid=1321652304"",""Prop!$CY$1:$DI""),11,0)))))))))))"),"https://drive.google.com/open?id=1RI8bmDz_u0J07PfaXsTcUHo71mOLJ2gs")</f>
        <v>https://drive.google.com/open?id=1RI8bmDz_u0J07PfaXsTcUHo71mOLJ2gs</v>
      </c>
      <c r="R38" s="20" t="s">
        <v>867</v>
      </c>
      <c r="S38" s="20" t="str">
        <f ca="1">IFERROR(__xludf.DUMMYFUNCTION("IFERROR(vlookup(B38,IMPORTRANGE(""https://docs.google.com/spreadsheets/d/1g_jfYYK_KeipEDNDUgqgrsxK94XiocfNQIcP-v1QVhI/edit?resourcekey#gid=233272945"",""Nilai!B:CT""),66,0),"" "")"),"Dalam sinopsis aspek emosi tidak muncul")</f>
        <v>Dalam sinopsis aspek emosi tidak muncul</v>
      </c>
      <c r="T38" s="20" t="str">
        <f ca="1">IFERROR(__xludf.DUMMYFUNCTION("IFERROR(vlookup(B38,IMPORTRANGE(""https://docs.google.com/spreadsheets/d/1g_jfYYK_KeipEDNDUgqgrsxK94XiocfNQIcP-v1QVhI/edit?resourcekey#gid=233272945"",""Nilai!B:CT""),97,0),"" "")"),"LAYAK UPLOAD KE SIMBELMAWA DENGAN REVISI")</f>
        <v>LAYAK UPLOAD KE SIMBELMAWA DENGAN REVISI</v>
      </c>
      <c r="U38" s="21" t="s">
        <v>878</v>
      </c>
      <c r="V38" s="16" t="s">
        <v>868</v>
      </c>
      <c r="W38" s="18" t="s">
        <v>892</v>
      </c>
      <c r="X38" s="22" t="b">
        <v>1</v>
      </c>
    </row>
    <row r="39" spans="1:24">
      <c r="A39" s="15">
        <v>37</v>
      </c>
      <c r="B39" s="15">
        <f ca="1">IFERROR(__xludf.DUMMYFUNCTION("""COMPUTED_VALUE"""),2413)</f>
        <v>2413</v>
      </c>
      <c r="C39" s="16" t="str">
        <f ca="1">IFERROR(__xludf.DUMMYFUNCTION("""COMPUTED_VALUE"""),"Rafi Fadhlurrohman")</f>
        <v>Rafi Fadhlurrohman</v>
      </c>
      <c r="D39" s="16" t="str">
        <f ca="1">IFERROR(__xludf.DUMMYFUNCTION("""COMPUTED_VALUE"""),"02111940000010")</f>
        <v>02111940000010</v>
      </c>
      <c r="E39" s="16" t="str">
        <f ca="1">IFERROR(__xludf.DUMMYFUNCTION("""COMPUTED_VALUE"""),"Departemen Teknik Mesin")</f>
        <v>Departemen Teknik Mesin</v>
      </c>
      <c r="F39" s="16" t="str">
        <f ca="1">IFERROR(__xludf.DUMMYFUNCTION("""COMPUTED_VALUE"""),"Medicine 3D Printing dengan Metode Fused Deposition Modelling (FDM) sebagai Solusi Efektif Produksi Obat  di Layanan Kesehatan Daerah 3T")</f>
        <v>Medicine 3D Printing dengan Metode Fused Deposition Modelling (FDM) sebagai Solusi Efektif Produksi Obat  di Layanan Kesehatan Daerah 3T</v>
      </c>
      <c r="G39" s="16" t="str">
        <f ca="1">IFERROR(__xludf.DUMMYFUNCTION("""COMPUTED_VALUE"""),"Dinny Harnany, S.T., M.Sc.")</f>
        <v>Dinny Harnany, S.T., M.Sc.</v>
      </c>
      <c r="H39" s="16" t="str">
        <f ca="1">IFERROR(__xludf.DUMMYFUNCTION("""COMPUTED_VALUE"""),"Okta Putra Setio Ardianto, S.T., M.T.")</f>
        <v>Okta Putra Setio Ardianto, S.T., M.T.</v>
      </c>
      <c r="I39" s="16" t="str">
        <f ca="1">IFERROR(__xludf.DUMMYFUNCTION("""COMPUTED_VALUE"""),"Dr.Eng. Yuda Apri Hermawan, S.T., M.T.")</f>
        <v>Dr.Eng. Yuda Apri Hermawan, S.T., M.T.</v>
      </c>
      <c r="J39" s="16"/>
      <c r="K39" s="17" t="s">
        <v>888</v>
      </c>
      <c r="L39" s="23" t="s">
        <v>891</v>
      </c>
      <c r="M39" s="19" t="b">
        <v>1</v>
      </c>
      <c r="N39" s="19" t="b">
        <v>0</v>
      </c>
      <c r="O39" s="1" t="s">
        <v>887</v>
      </c>
      <c r="P39" s="7" t="str">
        <f ca="1">IFERROR(__xludf.DUMMYFUNCTION("iferror(vlookup(B39,importrange(""https://docs.google.com/spreadsheets/d/1boHyJQ4e2FU0QG8MHwEi6qjX4hvZWVCHcFfXjq7bbMc/edit?resourcekey#gid=923248883"",""Prop!$C$1:$M""),12,0),IFERROR(vlookup(B39,importrange(""https://docs.google.com/spreadsheets/d/1boHyJQ"&amp;"4e2FU0QG8MHwEi6qjX4hvZWVCHcFfXjq7bbMc/edit?resourcekey#gid=923248883"",""Prop!$N$1:$X""),11,0),iferror(vlookup(B39,importrange(""https://docs.google.com/spreadsheets/d/1boHyJQ4e2FU0QG8MHwEi6qjX4hvZWVCHcFfXjq7bbMc/edit?resourcekey#gid=923248883"",""Prop!$Y"&amp;"$1:$AI""),11,0),iferror(vlookup(B39,importrange(""https://docs.google.com/spreadsheets/d/1boHyJQ4e2FU0QG8MHwEi6qjX4hvZWVCHcFfXjq7bbMc/edit?resourcekey#gid=923248883"",""Prop!$AJ$1:$AT""),11,0),iferror(vlookup(B39,importrange(""https://docs.google.com/spre"&amp;"adsheets/d/1boHyJQ4e2FU0QG8MHwEi6qjX4hvZWVCHcFfXjq7bbMc/edit?resourcekey#gid=923248883"",""Prop!$AU$1:$BE""),11,0),iferror(vlookup(B39,importrange(""https://docs.google.com/spreadsheets/d/1boHyJQ4e2FU0QG8MHwEi6qjX4hvZWVCHcFfXjq7bbMc/edit?resourcekey#gid=9"&amp;"23248883"",""Prop!$BF$1:$BP""),11,0),iferror(vlookup(B39,importrange(""https://docs.google.com/spreadsheets/d/1boHyJQ4e2FU0QG8MHwEi6qjX4hvZWVCHcFfXjq7bbMc/edit?resourcekey#gid=923248883"",""Prop!$BQ$1:$CA""),11,0),iferror(vlookup(B39,importrange(""https:/"&amp;"/docs.google.com/spreadsheets/d/1boHyJQ4e2FU0QG8MHwEi6qjX4hvZWVCHcFfXjq7bbMc/edit?resourcekey#gid=923248883"",""Prop!$CB$1:$CL""),11,0),iferror(vlookup(B39,importrange(""https://docs.google.com/spreadsheets/d/1boHyJQ4e2FU0QG8MHwEi6qjX4hvZWVCHcFfXjq7bbMc/e"&amp;"dit?resourcekey#gid=923248883"",""Prop!$CM$1:$CX""),12,0),iferror(vlookup(B39,importrange(""https://docs.google.com/spreadsheets/d/1boHyJQ4e2FU0QG8MHwEi6qjX4hvZWVCHcFfXjq7bbMc/edit?resourcekey#gid=923248883"",""Prop!$CV$1:$DI""),11,0)))))))))))"),"https://drive.google.com/open?id=1_IW5z1Jz17sj1xMnZqw2GhndQiXo6Zux")</f>
        <v>https://drive.google.com/open?id=1_IW5z1Jz17sj1xMnZqw2GhndQiXo6Zux</v>
      </c>
      <c r="Q39" s="7" t="str">
        <f ca="1">IFERROR(__xludf.DUMMYFUNCTION("iferror(vlookup(B39,importrange(""https://docs.google.com/spreadsheets/d/1p53T2AuvvIqhP7Nf-bo3Uhj8cbKYRPpZdsrBv3x3bAQ/edit?resourcekey#gid=1321652304"",""Prop!$C$1:$M""),11,0),IFERROR(vlookup(B39,importrange(""https://docs.google.com/spreadsheets/d/1p53T2"&amp;"AuvvIqhP7Nf-bo3Uhj8cbKYRPpZdsrBv3x3bAQ/edit?resourcekey#gid=1321652304"",""Prop!$N$1:$X""),11,0),iferror(vlookup(B39,importrange(""https://docs.google.com/spreadsheets/d/1p53T2AuvvIqhP7Nf-bo3Uhj8cbKYRPpZdsrBv3x3bAQ/edit?resourcekey#gid=1321652304"",""Prop"&amp;"!$Y$1:$AI""),11,0),iferror(vlookup(B39,importrange(""https://docs.google.com/spreadsheets/d/1p53T2AuvvIqhP7Nf-bo3Uhj8cbKYRPpZdsrBv3x3bAQ/edit?resourcekey#gid=1321652304"",""Prop!$AJ$1:$AT""),11,0),iferror(vlookup(B39,importrange(""https://docs.google.com/"&amp;"spreadsheets/d/1p53T2AuvvIqhP7Nf-bo3Uhj8cbKYRPpZdsrBv3x3bAQ/edit?resourcekey#gid=1321652304"",""Prop!$AU$1:$BE""),11,0),iferror(vlookup(B39,importrange(""https://docs.google.com/spreadsheets/d/1p53T2AuvvIqhP7Nf-bo3Uhj8cbKYRPpZdsrBv3x3bAQ/edit?resourcekey#"&amp;"gid=1321652304"",""Prop!$BF$1:$BP""),11,0),iferror(vlookup(B39,importrange(""https://docs.google.com/spreadsheets/d/1p53T2AuvvIqhP7Nf-bo3Uhj8cbKYRPpZdsrBv3x3bAQ/edit?resourcekey#gid=1321652304"",""Prop!$BQ$1:$CA""),11,0),iferror(vlookup(B39,importrange("""&amp;"https://docs.google.com/spreadsheets/d/1p53T2AuvvIqhP7Nf-bo3Uhj8cbKYRPpZdsrBv3x3bAQ/edit?resourcekey#gid=1321652304"",""Prop!$CB$1:$CL""),11,0),iferror(vlookup(B39,importrange(""https://docs.google.com/spreadsheets/d/1p53T2AuvvIqhP7Nf-bo3Uhj8cbKYRPpZdsrBv"&amp;"3x3bAQ/edit?resourcekey#gid=1321652304"",""Prop!$CM$1:$CX""),12,0),iferror(vlookup(B39,importrange(""https://docs.google.com/spreadsheets/d/1p53T2AuvvIqhP7Nf-bo3Uhj8cbKYRPpZdsrBv3x3bAQ/edit?resourcekey#gid=1321652304"",""Prop!$CY$1:$DI""),11,0)))))))))))"),"https://drive.google.com/open?id=1ZJLeAJa6EdCP9dvbeixKSHd_o3jH_Uqr")</f>
        <v>https://drive.google.com/open?id=1ZJLeAJa6EdCP9dvbeixKSHd_o3jH_Uqr</v>
      </c>
      <c r="R39" s="20" t="s">
        <v>867</v>
      </c>
      <c r="S39" s="20" t="str">
        <f ca="1">IFERROR(__xludf.DUMMYFUNCTION("IFERROR(vlookup(B39,IMPORTRANGE(""https://docs.google.com/spreadsheets/d/1g_jfYYK_KeipEDNDUgqgrsxK94XiocfNQIcP-v1QVhI/edit?resourcekey#gid=233272945"",""Nilai!B:CT""),66,0),"" "")"),"tidak muncul aspek emosional")</f>
        <v>tidak muncul aspek emosional</v>
      </c>
      <c r="T39" s="20" t="str">
        <f ca="1">IFERROR(__xludf.DUMMYFUNCTION("IFERROR(vlookup(B39,IMPORTRANGE(""https://docs.google.com/spreadsheets/d/1g_jfYYK_KeipEDNDUgqgrsxK94XiocfNQIcP-v1QVhI/edit?resourcekey#gid=233272945"",""Nilai!B:CT""),97,0),"" "")"),"TIDAK LAYAK UPLOAD KE SIMBELMAWA")</f>
        <v>TIDAK LAYAK UPLOAD KE SIMBELMAWA</v>
      </c>
      <c r="U39" s="21" t="s">
        <v>878</v>
      </c>
      <c r="V39" s="16" t="s">
        <v>868</v>
      </c>
      <c r="W39" s="18" t="s">
        <v>892</v>
      </c>
      <c r="X39" s="22" t="b">
        <v>1</v>
      </c>
    </row>
    <row r="40" spans="1:24">
      <c r="A40" s="15">
        <v>38</v>
      </c>
      <c r="B40" s="15">
        <f ca="1">IFERROR(__xludf.DUMMYFUNCTION("""COMPUTED_VALUE"""),3663)</f>
        <v>3663</v>
      </c>
      <c r="C40" s="16" t="str">
        <f ca="1">IFERROR(__xludf.DUMMYFUNCTION("""COMPUTED_VALUE"""),"NAJWA RANA ISWARI")</f>
        <v>NAJWA RANA ISWARI</v>
      </c>
      <c r="D40" s="16" t="str">
        <f ca="1">IFERROR(__xludf.DUMMYFUNCTION("""COMPUTED_VALUE"""),"5030211008")</f>
        <v>5030211008</v>
      </c>
      <c r="E40" s="16" t="str">
        <f ca="1">IFERROR(__xludf.DUMMYFUNCTION("""COMPUTED_VALUE"""),"Departemen Desain Komunikasi Visual")</f>
        <v>Departemen Desain Komunikasi Visual</v>
      </c>
      <c r="F40" s="16" t="str">
        <f ca="1">IFERROR(__xludf.DUMMYFUNCTION("""COMPUTED_VALUE"""),"Rekonstruksi Sejarah melalui Computer Generated Imagery untuk mendukung Metaverse berbasis Pendidikan")</f>
        <v>Rekonstruksi Sejarah melalui Computer Generated Imagery untuk mendukung Metaverse berbasis Pendidikan</v>
      </c>
      <c r="G40" s="16" t="str">
        <f ca="1">IFERROR(__xludf.DUMMYFUNCTION("""COMPUTED_VALUE"""),"Nugrahardi Ramadhani, SSn., MT")</f>
        <v>Nugrahardi Ramadhani, SSn., MT</v>
      </c>
      <c r="H40" s="16" t="str">
        <f ca="1">IFERROR(__xludf.DUMMYFUNCTION("""COMPUTED_VALUE"""),"Okta Putra Setio Ardianto, S.T., M.T.")</f>
        <v>Okta Putra Setio Ardianto, S.T., M.T.</v>
      </c>
      <c r="I40" s="16" t="str">
        <f ca="1">IFERROR(__xludf.DUMMYFUNCTION("""COMPUTED_VALUE"""),"Dion Hayu Fandiantoro, S.T., M.Eng.")</f>
        <v>Dion Hayu Fandiantoro, S.T., M.Eng.</v>
      </c>
      <c r="J40" s="16"/>
      <c r="K40" s="17" t="s">
        <v>888</v>
      </c>
      <c r="L40" s="23" t="s">
        <v>891</v>
      </c>
      <c r="M40" s="19" t="b">
        <v>0</v>
      </c>
      <c r="N40" s="19" t="b">
        <v>0</v>
      </c>
      <c r="O40" s="1" t="s">
        <v>887</v>
      </c>
      <c r="P40" s="24" t="str">
        <f ca="1">IFERROR(__xludf.DUMMYFUNCTION("iferror(vlookup(B40,importrange(""https://docs.google.com/spreadsheets/d/1boHyJQ4e2FU0QG8MHwEi6qjX4hvZWVCHcFfXjq7bbMc/edit?resourcekey#gid=923248883"",""Prop!$C$1:$M""),12,0),IFERROR(vlookup(B40,importrange(""https://docs.google.com/spreadsheets/d/1boHyJQ"&amp;"4e2FU0QG8MHwEi6qjX4hvZWVCHcFfXjq7bbMc/edit?resourcekey#gid=923248883"",""Prop!$N$1:$X""),11,0),iferror(vlookup(B40,importrange(""https://docs.google.com/spreadsheets/d/1boHyJQ4e2FU0QG8MHwEi6qjX4hvZWVCHcFfXjq7bbMc/edit?resourcekey#gid=923248883"",""Prop!$Y"&amp;"$1:$AI""),11,0),iferror(vlookup(B40,importrange(""https://docs.google.com/spreadsheets/d/1boHyJQ4e2FU0QG8MHwEi6qjX4hvZWVCHcFfXjq7bbMc/edit?resourcekey#gid=923248883"",""Prop!$AJ$1:$AT""),11,0),iferror(vlookup(B40,importrange(""https://docs.google.com/spre"&amp;"adsheets/d/1boHyJQ4e2FU0QG8MHwEi6qjX4hvZWVCHcFfXjq7bbMc/edit?resourcekey#gid=923248883"",""Prop!$AU$1:$BE""),11,0),iferror(vlookup(B40,importrange(""https://docs.google.com/spreadsheets/d/1boHyJQ4e2FU0QG8MHwEi6qjX4hvZWVCHcFfXjq7bbMc/edit?resourcekey#gid=9"&amp;"23248883"",""Prop!$BF$1:$BP""),11,0),iferror(vlookup(B40,importrange(""https://docs.google.com/spreadsheets/d/1boHyJQ4e2FU0QG8MHwEi6qjX4hvZWVCHcFfXjq7bbMc/edit?resourcekey#gid=923248883"",""Prop!$BQ$1:$CA""),11,0),iferror(vlookup(B40,importrange(""https:/"&amp;"/docs.google.com/spreadsheets/d/1boHyJQ4e2FU0QG8MHwEi6qjX4hvZWVCHcFfXjq7bbMc/edit?resourcekey#gid=923248883"",""Prop!$CB$1:$CL""),11,0),iferror(vlookup(B40,importrange(""https://docs.google.com/spreadsheets/d/1boHyJQ4e2FU0QG8MHwEi6qjX4hvZWVCHcFfXjq7bbMc/e"&amp;"dit?resourcekey#gid=923248883"",""Prop!$CM$1:$CX""),12,0),iferror(vlookup(B40,importrange(""https://docs.google.com/spreadsheets/d/1boHyJQ4e2FU0QG8MHwEi6qjX4hvZWVCHcFfXjq7bbMc/edit?resourcekey#gid=923248883"",""Prop!$CV$1:$DI""),11,0)))))))))))"),"")</f>
        <v/>
      </c>
      <c r="Q40" s="24" t="str">
        <f ca="1">IFERROR(__xludf.DUMMYFUNCTION("iferror(vlookup(B40,importrange(""https://docs.google.com/spreadsheets/d/1p53T2AuvvIqhP7Nf-bo3Uhj8cbKYRPpZdsrBv3x3bAQ/edit?resourcekey#gid=1321652304"",""Prop!$C$1:$M""),11,0),IFERROR(vlookup(B40,importrange(""https://docs.google.com/spreadsheets/d/1p53T2"&amp;"AuvvIqhP7Nf-bo3Uhj8cbKYRPpZdsrBv3x3bAQ/edit?resourcekey#gid=1321652304"",""Prop!$N$1:$X""),11,0),iferror(vlookup(B40,importrange(""https://docs.google.com/spreadsheets/d/1p53T2AuvvIqhP7Nf-bo3Uhj8cbKYRPpZdsrBv3x3bAQ/edit?resourcekey#gid=1321652304"",""Prop"&amp;"!$Y$1:$AI""),11,0),iferror(vlookup(B40,importrange(""https://docs.google.com/spreadsheets/d/1p53T2AuvvIqhP7Nf-bo3Uhj8cbKYRPpZdsrBv3x3bAQ/edit?resourcekey#gid=1321652304"",""Prop!$AJ$1:$AT""),11,0),iferror(vlookup(B40,importrange(""https://docs.google.com/"&amp;"spreadsheets/d/1p53T2AuvvIqhP7Nf-bo3Uhj8cbKYRPpZdsrBv3x3bAQ/edit?resourcekey#gid=1321652304"",""Prop!$AU$1:$BE""),11,0),iferror(vlookup(B40,importrange(""https://docs.google.com/spreadsheets/d/1p53T2AuvvIqhP7Nf-bo3Uhj8cbKYRPpZdsrBv3x3bAQ/edit?resourcekey#"&amp;"gid=1321652304"",""Prop!$BF$1:$BP""),11,0),iferror(vlookup(B40,importrange(""https://docs.google.com/spreadsheets/d/1p53T2AuvvIqhP7Nf-bo3Uhj8cbKYRPpZdsrBv3x3bAQ/edit?resourcekey#gid=1321652304"",""Prop!$BQ$1:$CA""),11,0),iferror(vlookup(B40,importrange("""&amp;"https://docs.google.com/spreadsheets/d/1p53T2AuvvIqhP7Nf-bo3Uhj8cbKYRPpZdsrBv3x3bAQ/edit?resourcekey#gid=1321652304"",""Prop!$CB$1:$CL""),11,0),iferror(vlookup(B40,importrange(""https://docs.google.com/spreadsheets/d/1p53T2AuvvIqhP7Nf-bo3Uhj8cbKYRPpZdsrBv"&amp;"3x3bAQ/edit?resourcekey#gid=1321652304"",""Prop!$CM$1:$CX""),12,0),iferror(vlookup(B40,importrange(""https://docs.google.com/spreadsheets/d/1p53T2AuvvIqhP7Nf-bo3Uhj8cbKYRPpZdsrBv3x3bAQ/edit?resourcekey#gid=1321652304"",""Prop!$CY$1:$DI""),11,0)))))))))))"),"")</f>
        <v/>
      </c>
      <c r="R40" s="20" t="s">
        <v>867</v>
      </c>
      <c r="S40" s="20" t="str">
        <f ca="1">IFERROR(__xludf.DUMMYFUNCTION("IFERROR(vlookup(B40,IMPORTRANGE(""https://docs.google.com/spreadsheets/d/1g_jfYYK_KeipEDNDUgqgrsxK94XiocfNQIcP-v1QVhI/edit?resourcekey#gid=233272945"",""Nilai!B:CT""),66,0),"" "")")," ")</f>
        <v xml:space="preserve"> </v>
      </c>
      <c r="T40" s="20" t="str">
        <f ca="1">IFERROR(__xludf.DUMMYFUNCTION("IFERROR(vlookup(B40,IMPORTRANGE(""https://docs.google.com/spreadsheets/d/1g_jfYYK_KeipEDNDUgqgrsxK94XiocfNQIcP-v1QVhI/edit?resourcekey#gid=233272945"",""Nilai!B:CT""),97,0),"" "")")," ")</f>
        <v xml:space="preserve"> </v>
      </c>
      <c r="U40" s="21" t="s">
        <v>878</v>
      </c>
      <c r="V40" s="16" t="s">
        <v>868</v>
      </c>
      <c r="W40" s="18" t="s">
        <v>892</v>
      </c>
      <c r="X40" s="22" t="b">
        <v>0</v>
      </c>
    </row>
    <row r="41" spans="1:24">
      <c r="A41" s="15"/>
      <c r="B41" s="15"/>
      <c r="C41" s="16"/>
      <c r="D41" s="16"/>
      <c r="E41" s="16"/>
      <c r="F41" s="16"/>
      <c r="G41" s="16"/>
      <c r="H41" s="16"/>
      <c r="I41" s="16"/>
      <c r="J41" s="16"/>
      <c r="K41" s="16"/>
      <c r="L41" s="16"/>
      <c r="M41" s="19"/>
      <c r="N41" s="19"/>
      <c r="O41" s="16"/>
      <c r="P41" s="1"/>
      <c r="Q41" s="1"/>
      <c r="R41" s="20"/>
      <c r="S41" s="20"/>
      <c r="T41" s="20"/>
      <c r="U41" s="1"/>
      <c r="V41" s="16"/>
      <c r="W41" s="1"/>
      <c r="X41" s="1"/>
    </row>
    <row r="42" spans="1:24">
      <c r="A42" s="15"/>
      <c r="B42" s="15"/>
      <c r="C42" s="16"/>
      <c r="D42" s="16"/>
      <c r="E42" s="16"/>
      <c r="F42" s="16"/>
      <c r="G42" s="16"/>
      <c r="H42" s="16"/>
      <c r="I42" s="16"/>
      <c r="J42" s="16"/>
      <c r="K42" s="16"/>
      <c r="L42" s="16"/>
      <c r="M42" s="25"/>
      <c r="N42" s="25"/>
      <c r="O42" s="16"/>
      <c r="P42" s="1"/>
      <c r="Q42" s="1"/>
      <c r="R42" s="20"/>
      <c r="S42" s="20"/>
      <c r="T42" s="20"/>
      <c r="U42" s="1"/>
      <c r="V42" s="16"/>
      <c r="W42" s="1"/>
      <c r="X42" s="1"/>
    </row>
    <row r="43" spans="1:24">
      <c r="A43" s="15"/>
      <c r="B43" s="15"/>
      <c r="C43" s="16"/>
      <c r="D43" s="16"/>
      <c r="E43" s="16"/>
      <c r="F43" s="16"/>
      <c r="G43" s="16"/>
      <c r="H43" s="16"/>
      <c r="I43" s="16"/>
      <c r="J43" s="16"/>
      <c r="K43" s="16"/>
      <c r="L43" s="16"/>
      <c r="M43" s="25"/>
      <c r="N43" s="25"/>
      <c r="O43" s="16"/>
      <c r="P43" s="1"/>
      <c r="Q43" s="1"/>
      <c r="R43" s="20"/>
      <c r="S43" s="20"/>
      <c r="T43" s="20"/>
      <c r="U43" s="1"/>
      <c r="V43" s="16"/>
      <c r="W43" s="1"/>
      <c r="X43" s="1"/>
    </row>
    <row r="44" spans="1:24">
      <c r="A44" s="15"/>
      <c r="B44" s="15"/>
      <c r="C44" s="16"/>
      <c r="D44" s="16"/>
      <c r="E44" s="16"/>
      <c r="F44" s="16"/>
      <c r="G44" s="16"/>
      <c r="H44" s="16"/>
      <c r="I44" s="16"/>
      <c r="J44" s="16"/>
      <c r="K44" s="16"/>
      <c r="L44" s="16"/>
      <c r="M44" s="25"/>
      <c r="N44" s="25"/>
      <c r="O44" s="16"/>
      <c r="P44" s="1"/>
      <c r="Q44" s="1"/>
      <c r="R44" s="20"/>
      <c r="S44" s="20"/>
      <c r="T44" s="20"/>
      <c r="U44" s="1"/>
      <c r="V44" s="16"/>
      <c r="W44" s="1"/>
      <c r="X44" s="1"/>
    </row>
    <row r="45" spans="1:24">
      <c r="A45" s="15"/>
      <c r="B45" s="15"/>
      <c r="C45" s="16"/>
      <c r="D45" s="16"/>
      <c r="E45" s="16"/>
      <c r="F45" s="16"/>
      <c r="G45" s="16"/>
      <c r="H45" s="16"/>
      <c r="I45" s="16"/>
      <c r="J45" s="16"/>
      <c r="K45" s="16"/>
      <c r="L45" s="16"/>
      <c r="M45" s="25"/>
      <c r="N45" s="25"/>
      <c r="O45" s="16"/>
      <c r="P45" s="1"/>
      <c r="Q45" s="1"/>
      <c r="R45" s="20"/>
      <c r="S45" s="20"/>
      <c r="T45" s="20"/>
      <c r="U45" s="1"/>
      <c r="V45" s="16"/>
      <c r="W45" s="1"/>
      <c r="X45" s="1"/>
    </row>
    <row r="46" spans="1:24">
      <c r="A46" s="15"/>
      <c r="B46" s="15"/>
      <c r="C46" s="16"/>
      <c r="D46" s="16"/>
      <c r="E46" s="16"/>
      <c r="F46" s="16"/>
      <c r="G46" s="16"/>
      <c r="H46" s="16"/>
      <c r="I46" s="16"/>
      <c r="J46" s="16"/>
      <c r="K46" s="16"/>
      <c r="L46" s="16"/>
      <c r="M46" s="25"/>
      <c r="N46" s="25"/>
      <c r="O46" s="16"/>
      <c r="P46" s="1"/>
      <c r="Q46" s="1"/>
      <c r="R46" s="20"/>
      <c r="S46" s="20"/>
      <c r="T46" s="20"/>
      <c r="U46" s="1"/>
      <c r="V46" s="16"/>
      <c r="W46" s="1"/>
      <c r="X46" s="1"/>
    </row>
    <row r="47" spans="1:24">
      <c r="A47" s="15"/>
      <c r="B47" s="15"/>
      <c r="C47" s="16"/>
      <c r="D47" s="16"/>
      <c r="E47" s="16"/>
      <c r="F47" s="16"/>
      <c r="G47" s="16"/>
      <c r="H47" s="16"/>
      <c r="I47" s="16"/>
      <c r="J47" s="16"/>
      <c r="K47" s="16"/>
      <c r="L47" s="16"/>
      <c r="M47" s="25"/>
      <c r="N47" s="25"/>
      <c r="O47" s="16"/>
      <c r="P47" s="1"/>
      <c r="Q47" s="1"/>
      <c r="R47" s="20"/>
      <c r="S47" s="20"/>
      <c r="T47" s="20"/>
      <c r="U47" s="1"/>
      <c r="V47" s="16"/>
      <c r="W47" s="1"/>
      <c r="X47" s="1"/>
    </row>
    <row r="48" spans="1:24">
      <c r="A48" s="15"/>
      <c r="B48" s="15"/>
      <c r="C48" s="16"/>
      <c r="D48" s="16"/>
      <c r="E48" s="16"/>
      <c r="F48" s="16"/>
      <c r="G48" s="16"/>
      <c r="H48" s="16"/>
      <c r="I48" s="16"/>
      <c r="J48" s="16"/>
      <c r="K48" s="16"/>
      <c r="L48" s="16"/>
      <c r="M48" s="25"/>
      <c r="N48" s="25"/>
      <c r="O48" s="16"/>
      <c r="P48" s="1"/>
      <c r="Q48" s="1"/>
      <c r="R48" s="20"/>
      <c r="S48" s="20"/>
      <c r="T48" s="20"/>
      <c r="U48" s="1"/>
      <c r="V48" s="16"/>
      <c r="W48" s="1"/>
      <c r="X48" s="1"/>
    </row>
    <row r="49" spans="1:24">
      <c r="A49" s="15"/>
      <c r="B49" s="15"/>
      <c r="C49" s="16"/>
      <c r="D49" s="16"/>
      <c r="E49" s="16"/>
      <c r="F49" s="16"/>
      <c r="G49" s="16"/>
      <c r="H49" s="16"/>
      <c r="I49" s="16"/>
      <c r="J49" s="16"/>
      <c r="K49" s="16"/>
      <c r="L49" s="16"/>
      <c r="M49" s="25"/>
      <c r="N49" s="25"/>
      <c r="O49" s="16"/>
      <c r="P49" s="1"/>
      <c r="Q49" s="1"/>
      <c r="R49" s="20"/>
      <c r="S49" s="20"/>
      <c r="T49" s="20"/>
      <c r="U49" s="1"/>
      <c r="V49" s="16"/>
      <c r="W49" s="1"/>
      <c r="X49" s="1"/>
    </row>
    <row r="50" spans="1:24">
      <c r="A50" s="15"/>
      <c r="B50" s="15"/>
      <c r="C50" s="16"/>
      <c r="D50" s="16"/>
      <c r="E50" s="16"/>
      <c r="F50" s="16"/>
      <c r="G50" s="16"/>
      <c r="H50" s="16"/>
      <c r="I50" s="16"/>
      <c r="J50" s="16"/>
      <c r="K50" s="16"/>
      <c r="L50" s="16"/>
      <c r="M50" s="25"/>
      <c r="N50" s="25"/>
      <c r="O50" s="16"/>
      <c r="P50" s="1"/>
      <c r="Q50" s="1"/>
      <c r="R50" s="20"/>
      <c r="S50" s="20"/>
      <c r="T50" s="20"/>
      <c r="U50" s="1"/>
      <c r="V50" s="16"/>
      <c r="W50" s="1"/>
      <c r="X50" s="1"/>
    </row>
    <row r="51" spans="1:24">
      <c r="A51" s="15"/>
      <c r="B51" s="15"/>
      <c r="C51" s="16"/>
      <c r="D51" s="16"/>
      <c r="E51" s="16"/>
      <c r="F51" s="16"/>
      <c r="G51" s="16"/>
      <c r="H51" s="16"/>
      <c r="I51" s="16"/>
      <c r="J51" s="16"/>
      <c r="K51" s="16"/>
      <c r="L51" s="16"/>
      <c r="M51" s="25"/>
      <c r="N51" s="25"/>
      <c r="O51" s="16"/>
      <c r="P51" s="1"/>
      <c r="Q51" s="1"/>
      <c r="R51" s="20"/>
      <c r="S51" s="20"/>
      <c r="T51" s="20"/>
      <c r="U51" s="1"/>
      <c r="V51" s="16"/>
      <c r="W51" s="1"/>
      <c r="X51" s="1"/>
    </row>
    <row r="52" spans="1:24">
      <c r="A52" s="15"/>
      <c r="B52" s="15"/>
      <c r="C52" s="16"/>
      <c r="D52" s="16"/>
      <c r="E52" s="16"/>
      <c r="F52" s="16"/>
      <c r="G52" s="16"/>
      <c r="H52" s="16"/>
      <c r="I52" s="16"/>
      <c r="J52" s="16"/>
      <c r="K52" s="16"/>
      <c r="L52" s="16"/>
      <c r="M52" s="25"/>
      <c r="N52" s="25"/>
      <c r="O52" s="16"/>
      <c r="P52" s="1"/>
      <c r="Q52" s="1"/>
      <c r="R52" s="20"/>
      <c r="S52" s="20"/>
      <c r="T52" s="20"/>
      <c r="U52" s="1"/>
      <c r="V52" s="16"/>
      <c r="W52" s="1"/>
      <c r="X52" s="1"/>
    </row>
    <row r="53" spans="1:24">
      <c r="A53" s="15"/>
      <c r="B53" s="15"/>
      <c r="C53" s="16"/>
      <c r="D53" s="16"/>
      <c r="E53" s="16"/>
      <c r="F53" s="16"/>
      <c r="G53" s="16"/>
      <c r="H53" s="16"/>
      <c r="I53" s="16"/>
      <c r="J53" s="16"/>
      <c r="K53" s="16"/>
      <c r="L53" s="16"/>
      <c r="M53" s="25"/>
      <c r="N53" s="25"/>
      <c r="O53" s="16"/>
      <c r="P53" s="1"/>
      <c r="Q53" s="1"/>
      <c r="R53" s="20"/>
      <c r="S53" s="20"/>
      <c r="T53" s="20"/>
      <c r="U53" s="1"/>
      <c r="V53" s="16"/>
      <c r="W53" s="1"/>
      <c r="X53" s="1"/>
    </row>
    <row r="54" spans="1:24">
      <c r="A54" s="15"/>
      <c r="B54" s="15"/>
      <c r="C54" s="16"/>
      <c r="D54" s="16"/>
      <c r="E54" s="16"/>
      <c r="F54" s="16"/>
      <c r="G54" s="16"/>
      <c r="H54" s="16"/>
      <c r="I54" s="16"/>
      <c r="J54" s="16"/>
      <c r="K54" s="16"/>
      <c r="L54" s="16"/>
      <c r="M54" s="25"/>
      <c r="N54" s="25"/>
      <c r="O54" s="16"/>
      <c r="P54" s="1"/>
      <c r="Q54" s="1"/>
      <c r="R54" s="20"/>
      <c r="S54" s="20"/>
      <c r="T54" s="20"/>
      <c r="U54" s="1"/>
      <c r="V54" s="16"/>
      <c r="W54" s="1"/>
      <c r="X54" s="1"/>
    </row>
    <row r="55" spans="1:24">
      <c r="A55" s="15"/>
      <c r="B55" s="15"/>
      <c r="C55" s="16"/>
      <c r="D55" s="16"/>
      <c r="E55" s="16"/>
      <c r="F55" s="16"/>
      <c r="G55" s="16"/>
      <c r="H55" s="16"/>
      <c r="I55" s="16"/>
      <c r="J55" s="16"/>
      <c r="K55" s="16"/>
      <c r="L55" s="16"/>
      <c r="M55" s="25"/>
      <c r="N55" s="25"/>
      <c r="O55" s="16"/>
      <c r="P55" s="1"/>
      <c r="Q55" s="1"/>
      <c r="R55" s="20"/>
      <c r="S55" s="20"/>
      <c r="T55" s="20"/>
      <c r="U55" s="1"/>
      <c r="V55" s="16"/>
      <c r="W55" s="1"/>
      <c r="X55" s="1"/>
    </row>
    <row r="56" spans="1:24">
      <c r="A56" s="15"/>
      <c r="B56" s="15"/>
      <c r="C56" s="16"/>
      <c r="D56" s="16"/>
      <c r="E56" s="16"/>
      <c r="F56" s="16"/>
      <c r="G56" s="16"/>
      <c r="H56" s="16"/>
      <c r="I56" s="16"/>
      <c r="J56" s="16"/>
      <c r="K56" s="16"/>
      <c r="L56" s="16"/>
      <c r="M56" s="25"/>
      <c r="N56" s="25"/>
      <c r="O56" s="16"/>
      <c r="P56" s="1"/>
      <c r="Q56" s="1"/>
      <c r="R56" s="20"/>
      <c r="S56" s="20"/>
      <c r="T56" s="20"/>
      <c r="U56" s="1"/>
      <c r="V56" s="16"/>
      <c r="W56" s="1"/>
      <c r="X56" s="1"/>
    </row>
    <row r="57" spans="1:24">
      <c r="A57" s="15"/>
      <c r="B57" s="15"/>
      <c r="C57" s="16"/>
      <c r="D57" s="16"/>
      <c r="E57" s="16"/>
      <c r="F57" s="16"/>
      <c r="G57" s="16"/>
      <c r="H57" s="16"/>
      <c r="I57" s="16"/>
      <c r="J57" s="16"/>
      <c r="K57" s="16"/>
      <c r="L57" s="16"/>
      <c r="M57" s="25"/>
      <c r="N57" s="25"/>
      <c r="O57" s="16"/>
      <c r="P57" s="1"/>
      <c r="Q57" s="1"/>
      <c r="R57" s="20"/>
      <c r="S57" s="20"/>
      <c r="T57" s="20"/>
      <c r="U57" s="1"/>
      <c r="V57" s="16"/>
      <c r="W57" s="1"/>
      <c r="X57" s="1"/>
    </row>
    <row r="58" spans="1:24">
      <c r="A58" s="15"/>
      <c r="B58" s="15"/>
      <c r="C58" s="16"/>
      <c r="D58" s="16"/>
      <c r="E58" s="16"/>
      <c r="F58" s="16"/>
      <c r="G58" s="16"/>
      <c r="H58" s="16"/>
      <c r="I58" s="16"/>
      <c r="J58" s="16"/>
      <c r="K58" s="16"/>
      <c r="L58" s="16"/>
      <c r="M58" s="25"/>
      <c r="N58" s="25"/>
      <c r="O58" s="16"/>
      <c r="P58" s="1"/>
      <c r="Q58" s="1"/>
      <c r="R58" s="20"/>
      <c r="S58" s="20"/>
      <c r="T58" s="20"/>
      <c r="U58" s="1"/>
      <c r="V58" s="16"/>
      <c r="W58" s="1"/>
      <c r="X58" s="1"/>
    </row>
    <row r="59" spans="1:24">
      <c r="A59" s="15"/>
      <c r="B59" s="15"/>
      <c r="C59" s="16"/>
      <c r="D59" s="16"/>
      <c r="E59" s="16"/>
      <c r="F59" s="16"/>
      <c r="G59" s="16"/>
      <c r="H59" s="16"/>
      <c r="I59" s="16"/>
      <c r="J59" s="16"/>
      <c r="K59" s="16"/>
      <c r="L59" s="16"/>
      <c r="M59" s="25"/>
      <c r="N59" s="25"/>
      <c r="O59" s="16"/>
      <c r="P59" s="1"/>
      <c r="Q59" s="1"/>
      <c r="R59" s="20"/>
      <c r="S59" s="20"/>
      <c r="T59" s="20"/>
      <c r="U59" s="1"/>
      <c r="V59" s="16"/>
      <c r="W59" s="1"/>
      <c r="X59" s="1"/>
    </row>
    <row r="60" spans="1:24">
      <c r="A60" s="15"/>
      <c r="B60" s="15"/>
      <c r="C60" s="16"/>
      <c r="D60" s="16"/>
      <c r="E60" s="16"/>
      <c r="F60" s="16"/>
      <c r="G60" s="16"/>
      <c r="H60" s="16"/>
      <c r="I60" s="16"/>
      <c r="J60" s="16"/>
      <c r="K60" s="16"/>
      <c r="L60" s="16"/>
      <c r="M60" s="25"/>
      <c r="N60" s="25"/>
      <c r="O60" s="16"/>
      <c r="P60" s="1"/>
      <c r="Q60" s="1"/>
      <c r="R60" s="20"/>
      <c r="S60" s="20"/>
      <c r="T60" s="20"/>
      <c r="U60" s="1"/>
      <c r="V60" s="16"/>
      <c r="W60" s="1"/>
      <c r="X60" s="1"/>
    </row>
    <row r="61" spans="1:24">
      <c r="A61" s="15"/>
      <c r="B61" s="15"/>
      <c r="C61" s="16"/>
      <c r="D61" s="16"/>
      <c r="E61" s="16"/>
      <c r="F61" s="16"/>
      <c r="G61" s="16"/>
      <c r="H61" s="16"/>
      <c r="I61" s="16"/>
      <c r="J61" s="16"/>
      <c r="K61" s="16"/>
      <c r="L61" s="16"/>
      <c r="M61" s="25"/>
      <c r="N61" s="25"/>
      <c r="O61" s="16"/>
      <c r="P61" s="1"/>
      <c r="Q61" s="1"/>
      <c r="R61" s="20"/>
      <c r="S61" s="20"/>
      <c r="T61" s="20"/>
      <c r="U61" s="1"/>
      <c r="V61" s="16"/>
      <c r="W61" s="1"/>
      <c r="X61" s="1"/>
    </row>
    <row r="62" spans="1:24">
      <c r="A62" s="15"/>
      <c r="B62" s="15"/>
      <c r="C62" s="16"/>
      <c r="D62" s="16"/>
      <c r="E62" s="16"/>
      <c r="F62" s="16"/>
      <c r="G62" s="16"/>
      <c r="H62" s="16"/>
      <c r="I62" s="16"/>
      <c r="J62" s="16"/>
      <c r="K62" s="16"/>
      <c r="L62" s="16"/>
      <c r="M62" s="25"/>
      <c r="N62" s="25"/>
      <c r="O62" s="16"/>
      <c r="P62" s="1"/>
      <c r="Q62" s="1"/>
      <c r="R62" s="20"/>
      <c r="S62" s="20"/>
      <c r="T62" s="20"/>
      <c r="U62" s="1"/>
      <c r="V62" s="16"/>
      <c r="W62" s="1"/>
      <c r="X62" s="1"/>
    </row>
    <row r="63" spans="1:24">
      <c r="A63" s="15"/>
      <c r="B63" s="15"/>
      <c r="C63" s="16"/>
      <c r="D63" s="16"/>
      <c r="E63" s="16"/>
      <c r="F63" s="16"/>
      <c r="G63" s="16"/>
      <c r="H63" s="16"/>
      <c r="I63" s="16"/>
      <c r="J63" s="16"/>
      <c r="K63" s="16"/>
      <c r="L63" s="16"/>
      <c r="M63" s="25"/>
      <c r="N63" s="25"/>
      <c r="O63" s="16"/>
      <c r="P63" s="1"/>
      <c r="Q63" s="1"/>
      <c r="R63" s="20"/>
      <c r="S63" s="20"/>
      <c r="T63" s="20"/>
      <c r="U63" s="1"/>
      <c r="V63" s="16"/>
      <c r="W63" s="1"/>
      <c r="X63" s="1"/>
    </row>
    <row r="64" spans="1:24">
      <c r="A64" s="15"/>
      <c r="B64" s="15"/>
      <c r="C64" s="16"/>
      <c r="D64" s="16"/>
      <c r="E64" s="16"/>
      <c r="F64" s="16"/>
      <c r="G64" s="16"/>
      <c r="H64" s="16"/>
      <c r="I64" s="16"/>
      <c r="J64" s="16"/>
      <c r="K64" s="16"/>
      <c r="L64" s="16"/>
      <c r="M64" s="25"/>
      <c r="N64" s="25"/>
      <c r="O64" s="16"/>
      <c r="P64" s="1"/>
      <c r="Q64" s="1"/>
      <c r="R64" s="20"/>
      <c r="S64" s="1"/>
      <c r="T64" s="1"/>
      <c r="U64" s="1"/>
      <c r="V64" s="16"/>
      <c r="W64" s="1"/>
      <c r="X64" s="1"/>
    </row>
    <row r="65" spans="1:24">
      <c r="A65" s="15"/>
      <c r="B65" s="15"/>
      <c r="C65" s="16"/>
      <c r="D65" s="16"/>
      <c r="E65" s="16"/>
      <c r="F65" s="16"/>
      <c r="G65" s="16"/>
      <c r="H65" s="16"/>
      <c r="I65" s="16"/>
      <c r="J65" s="16"/>
      <c r="K65" s="16"/>
      <c r="L65" s="16"/>
      <c r="M65" s="25"/>
      <c r="N65" s="25"/>
      <c r="O65" s="16"/>
      <c r="P65" s="1"/>
      <c r="Q65" s="1"/>
      <c r="R65" s="1"/>
      <c r="S65" s="1"/>
      <c r="T65" s="1"/>
      <c r="U65" s="1"/>
      <c r="V65" s="16"/>
      <c r="W65" s="1"/>
      <c r="X65" s="1"/>
    </row>
    <row r="66" spans="1:24">
      <c r="A66" s="15"/>
      <c r="B66" s="15"/>
      <c r="C66" s="16"/>
      <c r="D66" s="16"/>
      <c r="E66" s="16"/>
      <c r="F66" s="16"/>
      <c r="G66" s="16"/>
      <c r="H66" s="16"/>
      <c r="I66" s="16"/>
      <c r="J66" s="16"/>
      <c r="K66" s="16"/>
      <c r="L66" s="16"/>
      <c r="M66" s="25"/>
      <c r="N66" s="25"/>
      <c r="O66" s="16"/>
      <c r="P66" s="1"/>
      <c r="Q66" s="1"/>
      <c r="R66" s="1"/>
      <c r="S66" s="1"/>
      <c r="T66" s="1"/>
      <c r="U66" s="1"/>
      <c r="V66" s="16"/>
      <c r="W66" s="1"/>
      <c r="X66" s="1"/>
    </row>
    <row r="67" spans="1:24">
      <c r="A67" s="15"/>
      <c r="B67" s="15"/>
      <c r="C67" s="16"/>
      <c r="D67" s="16"/>
      <c r="E67" s="16"/>
      <c r="F67" s="16"/>
      <c r="G67" s="16"/>
      <c r="H67" s="16"/>
      <c r="I67" s="16"/>
      <c r="J67" s="16"/>
      <c r="K67" s="16"/>
      <c r="L67" s="16"/>
      <c r="M67" s="25"/>
      <c r="N67" s="25"/>
      <c r="O67" s="16"/>
      <c r="P67" s="1"/>
      <c r="Q67" s="1"/>
      <c r="R67" s="1"/>
      <c r="S67" s="1"/>
      <c r="T67" s="1"/>
      <c r="U67" s="1"/>
      <c r="V67" s="16"/>
      <c r="W67" s="1"/>
      <c r="X67" s="1"/>
    </row>
    <row r="68" spans="1:24">
      <c r="A68" s="15"/>
      <c r="B68" s="15"/>
      <c r="C68" s="16"/>
      <c r="D68" s="16"/>
      <c r="E68" s="16"/>
      <c r="F68" s="16"/>
      <c r="G68" s="16"/>
      <c r="H68" s="16"/>
      <c r="I68" s="16"/>
      <c r="J68" s="16"/>
      <c r="K68" s="16"/>
      <c r="L68" s="16"/>
      <c r="M68" s="25"/>
      <c r="N68" s="25"/>
      <c r="O68" s="16"/>
      <c r="P68" s="1"/>
      <c r="Q68" s="1"/>
      <c r="R68" s="1"/>
      <c r="S68" s="1"/>
      <c r="T68" s="1"/>
      <c r="U68" s="1"/>
      <c r="V68" s="16"/>
      <c r="W68" s="1"/>
      <c r="X68" s="1"/>
    </row>
    <row r="69" spans="1:24">
      <c r="A69" s="15"/>
      <c r="B69" s="15"/>
      <c r="C69" s="16"/>
      <c r="D69" s="16"/>
      <c r="E69" s="16"/>
      <c r="F69" s="16"/>
      <c r="G69" s="16"/>
      <c r="H69" s="16"/>
      <c r="I69" s="16"/>
      <c r="J69" s="16"/>
      <c r="K69" s="16"/>
      <c r="L69" s="16"/>
      <c r="M69" s="25"/>
      <c r="N69" s="25"/>
      <c r="O69" s="16"/>
      <c r="P69" s="1"/>
      <c r="Q69" s="1"/>
      <c r="R69" s="1"/>
      <c r="S69" s="1"/>
      <c r="T69" s="1"/>
      <c r="U69" s="1"/>
      <c r="V69" s="16"/>
      <c r="W69" s="1"/>
      <c r="X69" s="1"/>
    </row>
    <row r="70" spans="1:24">
      <c r="A70" s="15"/>
      <c r="B70" s="15"/>
      <c r="C70" s="16"/>
      <c r="D70" s="16"/>
      <c r="E70" s="16"/>
      <c r="F70" s="16"/>
      <c r="G70" s="16"/>
      <c r="H70" s="16"/>
      <c r="I70" s="16"/>
      <c r="J70" s="16"/>
      <c r="K70" s="16"/>
      <c r="L70" s="16"/>
      <c r="M70" s="25"/>
      <c r="N70" s="25"/>
      <c r="O70" s="16"/>
      <c r="P70" s="1"/>
      <c r="Q70" s="1"/>
      <c r="R70" s="1"/>
      <c r="S70" s="1"/>
      <c r="T70" s="1"/>
      <c r="U70" s="1"/>
      <c r="V70" s="16"/>
      <c r="W70" s="1"/>
      <c r="X70" s="1"/>
    </row>
    <row r="71" spans="1:24">
      <c r="A71" s="15"/>
      <c r="B71" s="15"/>
      <c r="C71" s="16"/>
      <c r="D71" s="16"/>
      <c r="E71" s="16"/>
      <c r="F71" s="16"/>
      <c r="G71" s="16"/>
      <c r="H71" s="16"/>
      <c r="I71" s="16"/>
      <c r="J71" s="16"/>
      <c r="K71" s="16"/>
      <c r="L71" s="16"/>
      <c r="M71" s="25"/>
      <c r="N71" s="25"/>
      <c r="O71" s="16"/>
      <c r="P71" s="1"/>
      <c r="Q71" s="1"/>
      <c r="R71" s="1"/>
      <c r="S71" s="1"/>
      <c r="T71" s="1"/>
      <c r="U71" s="1"/>
      <c r="V71" s="16"/>
      <c r="W71" s="1"/>
      <c r="X71" s="1"/>
    </row>
    <row r="72" spans="1:24">
      <c r="A72" s="15"/>
      <c r="B72" s="15"/>
      <c r="C72" s="16"/>
      <c r="D72" s="16"/>
      <c r="E72" s="16"/>
      <c r="F72" s="16"/>
      <c r="G72" s="16"/>
      <c r="H72" s="16"/>
      <c r="I72" s="16"/>
      <c r="J72" s="16"/>
      <c r="K72" s="16"/>
      <c r="L72" s="16"/>
      <c r="M72" s="25"/>
      <c r="N72" s="25"/>
      <c r="O72" s="16"/>
      <c r="P72" s="1"/>
      <c r="Q72" s="1"/>
      <c r="R72" s="1"/>
      <c r="S72" s="1"/>
      <c r="T72" s="1"/>
      <c r="U72" s="1"/>
      <c r="V72" s="16"/>
      <c r="W72" s="1"/>
      <c r="X72" s="1"/>
    </row>
    <row r="73" spans="1:24">
      <c r="A73" s="15"/>
      <c r="B73" s="15"/>
      <c r="C73" s="16"/>
      <c r="D73" s="16"/>
      <c r="E73" s="16"/>
      <c r="F73" s="16"/>
      <c r="G73" s="16"/>
      <c r="H73" s="16"/>
      <c r="I73" s="16"/>
      <c r="J73" s="16"/>
      <c r="K73" s="16"/>
      <c r="L73" s="16"/>
      <c r="M73" s="25"/>
      <c r="N73" s="25"/>
      <c r="O73" s="16"/>
      <c r="P73" s="1"/>
      <c r="Q73" s="1"/>
      <c r="R73" s="1"/>
      <c r="S73" s="1"/>
      <c r="T73" s="1"/>
      <c r="U73" s="1"/>
      <c r="V73" s="16"/>
      <c r="W73" s="1"/>
      <c r="X73" s="1"/>
    </row>
    <row r="74" spans="1:24">
      <c r="A74" s="15"/>
      <c r="B74" s="15"/>
      <c r="C74" s="16"/>
      <c r="D74" s="16"/>
      <c r="E74" s="16"/>
      <c r="F74" s="16"/>
      <c r="G74" s="16"/>
      <c r="H74" s="16"/>
      <c r="I74" s="16"/>
      <c r="J74" s="16"/>
      <c r="K74" s="16"/>
      <c r="L74" s="16"/>
      <c r="M74" s="25"/>
      <c r="N74" s="25"/>
      <c r="O74" s="16"/>
      <c r="P74" s="1"/>
      <c r="Q74" s="1"/>
      <c r="R74" s="1"/>
      <c r="S74" s="1"/>
      <c r="T74" s="1"/>
      <c r="U74" s="1"/>
      <c r="V74" s="16"/>
      <c r="W74" s="1"/>
      <c r="X74" s="1"/>
    </row>
    <row r="75" spans="1:24">
      <c r="A75" s="15"/>
      <c r="B75" s="15"/>
      <c r="C75" s="16"/>
      <c r="D75" s="16"/>
      <c r="E75" s="16"/>
      <c r="F75" s="16"/>
      <c r="G75" s="16"/>
      <c r="H75" s="16"/>
      <c r="I75" s="16"/>
      <c r="J75" s="16"/>
      <c r="K75" s="16"/>
      <c r="L75" s="16"/>
      <c r="M75" s="25"/>
      <c r="N75" s="25"/>
      <c r="O75" s="16"/>
      <c r="P75" s="1"/>
      <c r="Q75" s="1"/>
      <c r="R75" s="1"/>
      <c r="S75" s="1"/>
      <c r="T75" s="1"/>
      <c r="U75" s="1"/>
      <c r="V75" s="16"/>
      <c r="W75" s="1"/>
      <c r="X75" s="1"/>
    </row>
    <row r="76" spans="1:24">
      <c r="A76" s="15"/>
      <c r="B76" s="15"/>
      <c r="C76" s="16"/>
      <c r="D76" s="16"/>
      <c r="E76" s="16"/>
      <c r="F76" s="16"/>
      <c r="G76" s="16"/>
      <c r="H76" s="16"/>
      <c r="I76" s="16"/>
      <c r="J76" s="16"/>
      <c r="K76" s="16"/>
      <c r="L76" s="16"/>
      <c r="M76" s="25"/>
      <c r="N76" s="25"/>
      <c r="O76" s="16"/>
      <c r="P76" s="1"/>
      <c r="Q76" s="1"/>
      <c r="R76" s="1"/>
      <c r="S76" s="1"/>
      <c r="T76" s="1"/>
      <c r="U76" s="1"/>
      <c r="V76" s="16"/>
      <c r="W76" s="1"/>
      <c r="X76" s="1"/>
    </row>
    <row r="77" spans="1:24">
      <c r="A77" s="15"/>
      <c r="B77" s="15"/>
      <c r="C77" s="16"/>
      <c r="D77" s="16"/>
      <c r="E77" s="16"/>
      <c r="F77" s="16"/>
      <c r="G77" s="16"/>
      <c r="H77" s="16"/>
      <c r="I77" s="16"/>
      <c r="J77" s="16"/>
      <c r="K77" s="16"/>
      <c r="L77" s="16"/>
      <c r="M77" s="25"/>
      <c r="N77" s="25"/>
      <c r="O77" s="16"/>
      <c r="P77" s="1"/>
      <c r="Q77" s="1"/>
      <c r="R77" s="1"/>
      <c r="S77" s="1"/>
      <c r="T77" s="1"/>
      <c r="U77" s="1"/>
      <c r="V77" s="16"/>
      <c r="W77" s="1"/>
      <c r="X77" s="1"/>
    </row>
    <row r="78" spans="1:24">
      <c r="A78" s="15"/>
      <c r="B78" s="15"/>
      <c r="C78" s="16"/>
      <c r="D78" s="16"/>
      <c r="E78" s="16"/>
      <c r="F78" s="16"/>
      <c r="G78" s="16"/>
      <c r="H78" s="16"/>
      <c r="I78" s="16"/>
      <c r="J78" s="16"/>
      <c r="K78" s="16"/>
      <c r="L78" s="16"/>
      <c r="M78" s="25"/>
      <c r="N78" s="25"/>
      <c r="O78" s="16"/>
      <c r="P78" s="1"/>
      <c r="Q78" s="1"/>
      <c r="R78" s="1"/>
      <c r="S78" s="1"/>
      <c r="T78" s="1"/>
      <c r="U78" s="1"/>
      <c r="V78" s="16"/>
      <c r="W78" s="1"/>
      <c r="X78" s="1"/>
    </row>
    <row r="79" spans="1:24">
      <c r="A79" s="15"/>
      <c r="B79" s="15"/>
      <c r="C79" s="16"/>
      <c r="D79" s="16"/>
      <c r="E79" s="16"/>
      <c r="F79" s="16"/>
      <c r="G79" s="16"/>
      <c r="H79" s="16"/>
      <c r="I79" s="16"/>
      <c r="J79" s="16"/>
      <c r="K79" s="16"/>
      <c r="L79" s="16"/>
      <c r="M79" s="25"/>
      <c r="N79" s="25"/>
      <c r="O79" s="16"/>
      <c r="P79" s="1"/>
      <c r="Q79" s="1"/>
      <c r="R79" s="1"/>
      <c r="S79" s="1"/>
      <c r="T79" s="1"/>
      <c r="U79" s="1"/>
      <c r="V79" s="16"/>
      <c r="W79" s="1"/>
      <c r="X79" s="1"/>
    </row>
    <row r="80" spans="1:24">
      <c r="A80" s="15"/>
      <c r="B80" s="15"/>
      <c r="C80" s="16"/>
      <c r="D80" s="16"/>
      <c r="E80" s="16"/>
      <c r="F80" s="16"/>
      <c r="G80" s="16"/>
      <c r="H80" s="16"/>
      <c r="I80" s="16"/>
      <c r="J80" s="16"/>
      <c r="K80" s="16"/>
      <c r="L80" s="16"/>
      <c r="M80" s="25"/>
      <c r="N80" s="25"/>
      <c r="O80" s="16"/>
      <c r="P80" s="1"/>
      <c r="Q80" s="1"/>
      <c r="R80" s="1"/>
      <c r="S80" s="1"/>
      <c r="T80" s="1"/>
      <c r="U80" s="1"/>
      <c r="V80" s="16"/>
      <c r="W80" s="1"/>
      <c r="X80" s="1"/>
    </row>
    <row r="81" spans="1:24">
      <c r="A81" s="15"/>
      <c r="B81" s="15"/>
      <c r="C81" s="16"/>
      <c r="D81" s="16"/>
      <c r="E81" s="16"/>
      <c r="F81" s="16"/>
      <c r="G81" s="16"/>
      <c r="H81" s="16"/>
      <c r="I81" s="16"/>
      <c r="J81" s="16"/>
      <c r="K81" s="16"/>
      <c r="L81" s="16"/>
      <c r="M81" s="25"/>
      <c r="N81" s="25"/>
      <c r="O81" s="16"/>
      <c r="P81" s="1"/>
      <c r="Q81" s="1"/>
      <c r="R81" s="1"/>
      <c r="S81" s="1"/>
      <c r="T81" s="1"/>
      <c r="U81" s="1"/>
      <c r="V81" s="16"/>
      <c r="W81" s="1"/>
      <c r="X81" s="1"/>
    </row>
    <row r="82" spans="1:24">
      <c r="A82" s="15"/>
      <c r="B82" s="15"/>
      <c r="C82" s="16"/>
      <c r="D82" s="16"/>
      <c r="E82" s="16"/>
      <c r="F82" s="16"/>
      <c r="G82" s="16"/>
      <c r="H82" s="16"/>
      <c r="I82" s="16"/>
      <c r="J82" s="16"/>
      <c r="K82" s="16"/>
      <c r="L82" s="16"/>
      <c r="M82" s="25"/>
      <c r="N82" s="25"/>
      <c r="O82" s="16"/>
      <c r="P82" s="1"/>
      <c r="Q82" s="1"/>
      <c r="R82" s="1"/>
      <c r="S82" s="1"/>
      <c r="T82" s="1"/>
      <c r="U82" s="1"/>
      <c r="V82" s="16"/>
      <c r="W82" s="1"/>
      <c r="X82" s="1"/>
    </row>
    <row r="83" spans="1:24">
      <c r="A83" s="15"/>
      <c r="B83" s="15"/>
      <c r="C83" s="16"/>
      <c r="D83" s="16"/>
      <c r="E83" s="16"/>
      <c r="F83" s="16"/>
      <c r="G83" s="16"/>
      <c r="H83" s="16"/>
      <c r="I83" s="16"/>
      <c r="J83" s="16"/>
      <c r="K83" s="16"/>
      <c r="L83" s="16"/>
      <c r="M83" s="25"/>
      <c r="N83" s="25"/>
      <c r="O83" s="16"/>
      <c r="P83" s="1"/>
      <c r="Q83" s="1"/>
      <c r="R83" s="1"/>
      <c r="S83" s="1"/>
      <c r="T83" s="1"/>
      <c r="U83" s="1"/>
      <c r="V83" s="16"/>
      <c r="W83" s="1"/>
      <c r="X83" s="1"/>
    </row>
    <row r="84" spans="1:24">
      <c r="A84" s="15"/>
      <c r="B84" s="15"/>
      <c r="C84" s="16"/>
      <c r="D84" s="16"/>
      <c r="E84" s="16"/>
      <c r="F84" s="16"/>
      <c r="G84" s="16"/>
      <c r="H84" s="16"/>
      <c r="I84" s="16"/>
      <c r="J84" s="16"/>
      <c r="K84" s="16"/>
      <c r="L84" s="16"/>
      <c r="M84" s="25"/>
      <c r="N84" s="25"/>
      <c r="O84" s="16"/>
      <c r="P84" s="1"/>
      <c r="Q84" s="1"/>
      <c r="R84" s="1"/>
      <c r="S84" s="1"/>
      <c r="T84" s="1"/>
      <c r="U84" s="1"/>
      <c r="V84" s="16"/>
      <c r="W84" s="1"/>
      <c r="X84" s="1"/>
    </row>
    <row r="85" spans="1:24">
      <c r="A85" s="15"/>
      <c r="B85" s="15"/>
      <c r="C85" s="16"/>
      <c r="D85" s="16"/>
      <c r="E85" s="16"/>
      <c r="F85" s="16"/>
      <c r="G85" s="16"/>
      <c r="H85" s="16"/>
      <c r="I85" s="16"/>
      <c r="J85" s="16"/>
      <c r="K85" s="16"/>
      <c r="L85" s="16"/>
      <c r="M85" s="25"/>
      <c r="N85" s="25"/>
      <c r="O85" s="16"/>
      <c r="P85" s="1"/>
      <c r="Q85" s="1"/>
      <c r="R85" s="1"/>
      <c r="S85" s="1"/>
      <c r="T85" s="1"/>
      <c r="U85" s="1"/>
      <c r="V85" s="16"/>
      <c r="W85" s="1"/>
      <c r="X85" s="1"/>
    </row>
    <row r="86" spans="1:24">
      <c r="A86" s="15"/>
      <c r="B86" s="15"/>
      <c r="C86" s="16"/>
      <c r="D86" s="16"/>
      <c r="E86" s="16"/>
      <c r="F86" s="16"/>
      <c r="G86" s="16"/>
      <c r="H86" s="16"/>
      <c r="I86" s="16"/>
      <c r="J86" s="16"/>
      <c r="K86" s="16"/>
      <c r="L86" s="16"/>
      <c r="M86" s="25"/>
      <c r="N86" s="25"/>
      <c r="O86" s="16"/>
      <c r="P86" s="1"/>
      <c r="Q86" s="1"/>
      <c r="R86" s="1"/>
      <c r="S86" s="1"/>
      <c r="T86" s="1"/>
      <c r="U86" s="1"/>
      <c r="V86" s="16"/>
      <c r="W86" s="1"/>
      <c r="X86" s="1"/>
    </row>
    <row r="87" spans="1:24">
      <c r="A87" s="15"/>
      <c r="B87" s="15"/>
      <c r="C87" s="16"/>
      <c r="D87" s="16"/>
      <c r="E87" s="16"/>
      <c r="F87" s="16"/>
      <c r="G87" s="16"/>
      <c r="H87" s="16"/>
      <c r="I87" s="16"/>
      <c r="J87" s="16"/>
      <c r="K87" s="16"/>
      <c r="L87" s="16"/>
      <c r="M87" s="25"/>
      <c r="N87" s="25"/>
      <c r="O87" s="16"/>
      <c r="P87" s="1"/>
      <c r="Q87" s="1"/>
      <c r="R87" s="1"/>
      <c r="S87" s="1"/>
      <c r="T87" s="1"/>
      <c r="U87" s="1"/>
      <c r="V87" s="16"/>
      <c r="W87" s="1"/>
      <c r="X87" s="1"/>
    </row>
    <row r="88" spans="1:24">
      <c r="A88" s="15"/>
      <c r="B88" s="15"/>
      <c r="C88" s="16"/>
      <c r="D88" s="16"/>
      <c r="E88" s="16"/>
      <c r="F88" s="16"/>
      <c r="G88" s="16"/>
      <c r="H88" s="16"/>
      <c r="I88" s="16"/>
      <c r="J88" s="16"/>
      <c r="K88" s="16"/>
      <c r="L88" s="16"/>
      <c r="M88" s="25"/>
      <c r="N88" s="25"/>
      <c r="O88" s="16"/>
      <c r="P88" s="1"/>
      <c r="Q88" s="1"/>
      <c r="R88" s="1"/>
      <c r="S88" s="1"/>
      <c r="T88" s="1"/>
      <c r="U88" s="1"/>
      <c r="V88" s="16"/>
      <c r="W88" s="1"/>
      <c r="X88" s="1"/>
    </row>
    <row r="89" spans="1:24">
      <c r="A89" s="15"/>
      <c r="B89" s="15"/>
      <c r="C89" s="16"/>
      <c r="D89" s="16"/>
      <c r="E89" s="16"/>
      <c r="F89" s="16"/>
      <c r="G89" s="16"/>
      <c r="H89" s="16"/>
      <c r="I89" s="16"/>
      <c r="J89" s="16"/>
      <c r="K89" s="16"/>
      <c r="L89" s="16"/>
      <c r="M89" s="25"/>
      <c r="N89" s="25"/>
      <c r="O89" s="16"/>
      <c r="P89" s="1"/>
      <c r="Q89" s="1"/>
      <c r="R89" s="1"/>
      <c r="S89" s="1"/>
      <c r="T89" s="1"/>
      <c r="U89" s="1"/>
      <c r="V89" s="16"/>
      <c r="W89" s="1"/>
      <c r="X89" s="1"/>
    </row>
    <row r="90" spans="1:24">
      <c r="A90" s="15"/>
      <c r="B90" s="15"/>
      <c r="C90" s="16"/>
      <c r="D90" s="16"/>
      <c r="E90" s="16"/>
      <c r="F90" s="16"/>
      <c r="G90" s="16"/>
      <c r="H90" s="16"/>
      <c r="I90" s="16"/>
      <c r="J90" s="16"/>
      <c r="K90" s="16"/>
      <c r="L90" s="16"/>
      <c r="M90" s="25"/>
      <c r="N90" s="25"/>
      <c r="O90" s="16"/>
      <c r="P90" s="1"/>
      <c r="Q90" s="1"/>
      <c r="R90" s="1"/>
      <c r="S90" s="1"/>
      <c r="T90" s="1"/>
      <c r="U90" s="1"/>
      <c r="V90" s="16"/>
      <c r="W90" s="1"/>
      <c r="X90" s="1"/>
    </row>
    <row r="91" spans="1:24">
      <c r="A91" s="15"/>
      <c r="B91" s="15"/>
      <c r="C91" s="16"/>
      <c r="D91" s="16"/>
      <c r="E91" s="16"/>
      <c r="F91" s="16"/>
      <c r="G91" s="16"/>
      <c r="H91" s="16"/>
      <c r="I91" s="16"/>
      <c r="J91" s="16"/>
      <c r="K91" s="16"/>
      <c r="L91" s="16"/>
      <c r="M91" s="25"/>
      <c r="N91" s="25"/>
      <c r="O91" s="16"/>
      <c r="P91" s="1"/>
      <c r="Q91" s="1"/>
      <c r="R91" s="1"/>
      <c r="S91" s="1"/>
      <c r="T91" s="1"/>
      <c r="U91" s="1"/>
      <c r="V91" s="16"/>
      <c r="W91" s="1"/>
      <c r="X91" s="1"/>
    </row>
    <row r="92" spans="1:24">
      <c r="A92" s="15"/>
      <c r="B92" s="15"/>
      <c r="C92" s="16"/>
      <c r="D92" s="16"/>
      <c r="E92" s="16"/>
      <c r="F92" s="16"/>
      <c r="G92" s="16"/>
      <c r="H92" s="16"/>
      <c r="I92" s="16"/>
      <c r="J92" s="16"/>
      <c r="K92" s="16"/>
      <c r="L92" s="16"/>
      <c r="M92" s="25"/>
      <c r="N92" s="25"/>
      <c r="O92" s="16"/>
      <c r="P92" s="1"/>
      <c r="Q92" s="1"/>
      <c r="R92" s="1"/>
      <c r="S92" s="1"/>
      <c r="T92" s="1"/>
      <c r="U92" s="1"/>
      <c r="V92" s="16"/>
      <c r="W92" s="1"/>
      <c r="X92" s="1"/>
    </row>
    <row r="93" spans="1:24">
      <c r="A93" s="15"/>
      <c r="B93" s="15"/>
      <c r="C93" s="16"/>
      <c r="D93" s="16"/>
      <c r="E93" s="16"/>
      <c r="F93" s="16"/>
      <c r="G93" s="16"/>
      <c r="H93" s="16"/>
      <c r="I93" s="16"/>
      <c r="J93" s="16"/>
      <c r="K93" s="16"/>
      <c r="L93" s="16"/>
      <c r="M93" s="25"/>
      <c r="N93" s="25"/>
      <c r="O93" s="16"/>
      <c r="P93" s="1"/>
      <c r="Q93" s="1"/>
      <c r="R93" s="1"/>
      <c r="S93" s="1"/>
      <c r="T93" s="1"/>
      <c r="U93" s="1"/>
      <c r="V93" s="16"/>
      <c r="W93" s="1"/>
      <c r="X93" s="1"/>
    </row>
    <row r="94" spans="1:24">
      <c r="A94" s="15"/>
      <c r="B94" s="15"/>
      <c r="C94" s="16"/>
      <c r="D94" s="16"/>
      <c r="E94" s="16"/>
      <c r="F94" s="16"/>
      <c r="G94" s="16"/>
      <c r="H94" s="16"/>
      <c r="I94" s="16"/>
      <c r="J94" s="16"/>
      <c r="K94" s="16"/>
      <c r="L94" s="16"/>
      <c r="M94" s="25"/>
      <c r="N94" s="25"/>
      <c r="O94" s="16"/>
      <c r="P94" s="1"/>
      <c r="Q94" s="1"/>
      <c r="R94" s="1"/>
      <c r="S94" s="1"/>
      <c r="T94" s="1"/>
      <c r="U94" s="1"/>
      <c r="V94" s="16"/>
      <c r="W94" s="1"/>
      <c r="X94" s="1"/>
    </row>
    <row r="95" spans="1:24">
      <c r="A95" s="15"/>
      <c r="B95" s="15"/>
      <c r="C95" s="16"/>
      <c r="D95" s="16"/>
      <c r="E95" s="16"/>
      <c r="F95" s="16"/>
      <c r="G95" s="16"/>
      <c r="H95" s="16"/>
      <c r="I95" s="16"/>
      <c r="J95" s="16"/>
      <c r="K95" s="16"/>
      <c r="L95" s="16"/>
      <c r="M95" s="25"/>
      <c r="N95" s="25"/>
      <c r="O95" s="16"/>
      <c r="P95" s="1"/>
      <c r="Q95" s="1"/>
      <c r="R95" s="1"/>
      <c r="S95" s="1"/>
      <c r="T95" s="1"/>
      <c r="U95" s="1"/>
      <c r="V95" s="16"/>
      <c r="W95" s="1"/>
      <c r="X95" s="1"/>
    </row>
    <row r="96" spans="1:24">
      <c r="A96" s="15"/>
      <c r="B96" s="15"/>
      <c r="C96" s="16"/>
      <c r="D96" s="16"/>
      <c r="E96" s="16"/>
      <c r="F96" s="16"/>
      <c r="G96" s="16"/>
      <c r="H96" s="16"/>
      <c r="I96" s="16"/>
      <c r="J96" s="16"/>
      <c r="K96" s="16"/>
      <c r="L96" s="16"/>
      <c r="M96" s="25"/>
      <c r="N96" s="25"/>
      <c r="O96" s="16"/>
      <c r="P96" s="1"/>
      <c r="Q96" s="1"/>
      <c r="R96" s="1"/>
      <c r="S96" s="1"/>
      <c r="T96" s="1"/>
      <c r="U96" s="1"/>
      <c r="V96" s="16"/>
      <c r="W96" s="1"/>
      <c r="X96" s="1"/>
    </row>
    <row r="97" spans="1:24">
      <c r="A97" s="15"/>
      <c r="B97" s="15"/>
      <c r="C97" s="16"/>
      <c r="D97" s="16"/>
      <c r="E97" s="16"/>
      <c r="F97" s="16"/>
      <c r="G97" s="16"/>
      <c r="H97" s="16"/>
      <c r="I97" s="16"/>
      <c r="J97" s="16"/>
      <c r="K97" s="16"/>
      <c r="L97" s="16"/>
      <c r="M97" s="25"/>
      <c r="N97" s="25"/>
      <c r="O97" s="16"/>
      <c r="P97" s="1"/>
      <c r="Q97" s="1"/>
      <c r="R97" s="1"/>
      <c r="S97" s="1"/>
      <c r="T97" s="1"/>
      <c r="U97" s="1"/>
      <c r="V97" s="16"/>
      <c r="W97" s="1"/>
      <c r="X97" s="1"/>
    </row>
    <row r="98" spans="1:24">
      <c r="A98" s="15"/>
      <c r="B98" s="15"/>
      <c r="C98" s="16"/>
      <c r="D98" s="16"/>
      <c r="E98" s="16"/>
      <c r="F98" s="16"/>
      <c r="G98" s="16"/>
      <c r="H98" s="16"/>
      <c r="I98" s="16"/>
      <c r="J98" s="16"/>
      <c r="K98" s="16"/>
      <c r="L98" s="16"/>
      <c r="M98" s="25"/>
      <c r="N98" s="25"/>
      <c r="O98" s="16"/>
      <c r="P98" s="1"/>
      <c r="Q98" s="1"/>
      <c r="R98" s="1"/>
      <c r="S98" s="1"/>
      <c r="T98" s="1"/>
      <c r="U98" s="1"/>
      <c r="V98" s="16"/>
      <c r="W98" s="1"/>
      <c r="X98" s="1"/>
    </row>
    <row r="99" spans="1:24">
      <c r="A99" s="15"/>
      <c r="B99" s="15"/>
      <c r="C99" s="16"/>
      <c r="D99" s="16"/>
      <c r="E99" s="16"/>
      <c r="F99" s="16"/>
      <c r="G99" s="16"/>
      <c r="H99" s="16"/>
      <c r="I99" s="16"/>
      <c r="J99" s="16"/>
      <c r="K99" s="16"/>
      <c r="L99" s="16"/>
      <c r="M99" s="25"/>
      <c r="N99" s="25"/>
      <c r="O99" s="16"/>
      <c r="P99" s="1"/>
      <c r="Q99" s="1"/>
      <c r="R99" s="1"/>
      <c r="S99" s="1"/>
      <c r="T99" s="1"/>
      <c r="U99" s="1"/>
      <c r="V99" s="16"/>
      <c r="W99" s="1"/>
      <c r="X99" s="1"/>
    </row>
    <row r="100" spans="1:24">
      <c r="A100" s="15"/>
      <c r="B100" s="15"/>
      <c r="C100" s="16"/>
      <c r="D100" s="16"/>
      <c r="E100" s="16"/>
      <c r="F100" s="16"/>
      <c r="G100" s="16"/>
      <c r="H100" s="16"/>
      <c r="I100" s="16"/>
      <c r="J100" s="16"/>
      <c r="K100" s="16"/>
      <c r="L100" s="16"/>
      <c r="M100" s="25"/>
      <c r="N100" s="25"/>
      <c r="O100" s="16"/>
      <c r="P100" s="1"/>
      <c r="Q100" s="1"/>
      <c r="R100" s="1"/>
      <c r="S100" s="1"/>
      <c r="T100" s="1"/>
      <c r="U100" s="1"/>
      <c r="V100" s="16"/>
      <c r="W100" s="1"/>
      <c r="X100" s="1"/>
    </row>
    <row r="101" spans="1:24">
      <c r="A101" s="15"/>
      <c r="B101" s="15"/>
      <c r="C101" s="16"/>
      <c r="D101" s="16"/>
      <c r="E101" s="16"/>
      <c r="F101" s="16"/>
      <c r="G101" s="16"/>
      <c r="H101" s="16"/>
      <c r="I101" s="16"/>
      <c r="J101" s="16"/>
      <c r="K101" s="16"/>
      <c r="L101" s="16"/>
      <c r="M101" s="25"/>
      <c r="N101" s="25"/>
      <c r="O101" s="16"/>
      <c r="P101" s="1"/>
      <c r="Q101" s="1"/>
      <c r="R101" s="1"/>
      <c r="S101" s="1"/>
      <c r="T101" s="1"/>
      <c r="U101" s="1"/>
      <c r="V101" s="16"/>
      <c r="W101" s="1"/>
      <c r="X101" s="1"/>
    </row>
    <row r="102" spans="1:24">
      <c r="A102" s="15"/>
      <c r="B102" s="15"/>
      <c r="C102" s="16"/>
      <c r="D102" s="16"/>
      <c r="E102" s="16"/>
      <c r="F102" s="16"/>
      <c r="G102" s="16"/>
      <c r="H102" s="16"/>
      <c r="I102" s="16"/>
      <c r="J102" s="16"/>
      <c r="K102" s="16"/>
      <c r="L102" s="16"/>
      <c r="M102" s="25"/>
      <c r="N102" s="25"/>
      <c r="O102" s="16"/>
      <c r="P102" s="1"/>
      <c r="Q102" s="1"/>
      <c r="R102" s="1"/>
      <c r="S102" s="1"/>
      <c r="T102" s="1"/>
      <c r="U102" s="1"/>
      <c r="V102" s="16"/>
      <c r="W102" s="1"/>
      <c r="X102" s="1"/>
    </row>
    <row r="103" spans="1:24">
      <c r="A103" s="15"/>
      <c r="B103" s="15"/>
      <c r="C103" s="16"/>
      <c r="D103" s="16"/>
      <c r="E103" s="16"/>
      <c r="F103" s="16"/>
      <c r="G103" s="16"/>
      <c r="H103" s="16"/>
      <c r="I103" s="16"/>
      <c r="J103" s="16"/>
      <c r="K103" s="16"/>
      <c r="L103" s="16"/>
      <c r="M103" s="25"/>
      <c r="N103" s="25"/>
      <c r="O103" s="16"/>
      <c r="P103" s="1"/>
      <c r="Q103" s="1"/>
      <c r="R103" s="1"/>
      <c r="S103" s="1"/>
      <c r="T103" s="1"/>
      <c r="U103" s="1"/>
      <c r="V103" s="16"/>
      <c r="W103" s="1"/>
      <c r="X103" s="1"/>
    </row>
    <row r="104" spans="1:24">
      <c r="A104" s="15"/>
      <c r="B104" s="15"/>
      <c r="C104" s="16"/>
      <c r="D104" s="16"/>
      <c r="E104" s="16"/>
      <c r="F104" s="16"/>
      <c r="G104" s="16"/>
      <c r="H104" s="16"/>
      <c r="I104" s="16"/>
      <c r="J104" s="16"/>
      <c r="K104" s="16"/>
      <c r="L104" s="16"/>
      <c r="M104" s="25"/>
      <c r="N104" s="25"/>
      <c r="O104" s="16"/>
      <c r="P104" s="1"/>
      <c r="Q104" s="1"/>
      <c r="R104" s="1"/>
      <c r="S104" s="1"/>
      <c r="T104" s="1"/>
      <c r="U104" s="1"/>
      <c r="V104" s="16"/>
      <c r="W104" s="1"/>
      <c r="X104" s="1"/>
    </row>
    <row r="105" spans="1:24">
      <c r="A105" s="15"/>
      <c r="B105" s="15"/>
      <c r="C105" s="16"/>
      <c r="D105" s="16"/>
      <c r="E105" s="16"/>
      <c r="F105" s="16"/>
      <c r="G105" s="16"/>
      <c r="H105" s="16"/>
      <c r="I105" s="16"/>
      <c r="J105" s="16"/>
      <c r="K105" s="16"/>
      <c r="L105" s="16"/>
      <c r="M105" s="25"/>
      <c r="N105" s="25"/>
      <c r="O105" s="16"/>
      <c r="P105" s="1"/>
      <c r="Q105" s="1"/>
      <c r="R105" s="1"/>
      <c r="S105" s="1"/>
      <c r="T105" s="1"/>
      <c r="U105" s="1"/>
      <c r="V105" s="16"/>
      <c r="W105" s="1"/>
      <c r="X105" s="1"/>
    </row>
    <row r="106" spans="1:24">
      <c r="A106" s="15"/>
      <c r="B106" s="15"/>
      <c r="C106" s="16"/>
      <c r="D106" s="16"/>
      <c r="E106" s="16"/>
      <c r="F106" s="16"/>
      <c r="G106" s="16"/>
      <c r="H106" s="16"/>
      <c r="I106" s="16"/>
      <c r="J106" s="16"/>
      <c r="K106" s="16"/>
      <c r="L106" s="16"/>
      <c r="M106" s="25"/>
      <c r="N106" s="25"/>
      <c r="O106" s="16"/>
      <c r="P106" s="1"/>
      <c r="Q106" s="1"/>
      <c r="R106" s="1"/>
      <c r="S106" s="1"/>
      <c r="T106" s="1"/>
      <c r="U106" s="1"/>
      <c r="V106" s="16"/>
      <c r="W106" s="1"/>
      <c r="X106" s="1"/>
    </row>
    <row r="107" spans="1:24">
      <c r="A107" s="15"/>
      <c r="B107" s="15"/>
      <c r="C107" s="16"/>
      <c r="D107" s="16"/>
      <c r="E107" s="16"/>
      <c r="F107" s="16"/>
      <c r="G107" s="16"/>
      <c r="H107" s="16"/>
      <c r="I107" s="16"/>
      <c r="J107" s="16"/>
      <c r="K107" s="16"/>
      <c r="L107" s="16"/>
      <c r="M107" s="25"/>
      <c r="N107" s="25"/>
      <c r="O107" s="16"/>
      <c r="P107" s="1"/>
      <c r="Q107" s="1"/>
      <c r="R107" s="1"/>
      <c r="S107" s="1"/>
      <c r="T107" s="1"/>
      <c r="U107" s="1"/>
      <c r="V107" s="16"/>
      <c r="W107" s="1"/>
      <c r="X107" s="1"/>
    </row>
    <row r="108" spans="1:24">
      <c r="A108" s="15"/>
      <c r="B108" s="15"/>
      <c r="C108" s="16"/>
      <c r="D108" s="16"/>
      <c r="E108" s="16"/>
      <c r="F108" s="16"/>
      <c r="G108" s="16"/>
      <c r="H108" s="16"/>
      <c r="I108" s="16"/>
      <c r="J108" s="16"/>
      <c r="K108" s="16"/>
      <c r="L108" s="16"/>
      <c r="M108" s="25"/>
      <c r="N108" s="25"/>
      <c r="O108" s="16"/>
      <c r="P108" s="1"/>
      <c r="Q108" s="1"/>
      <c r="R108" s="1"/>
      <c r="S108" s="1"/>
      <c r="T108" s="1"/>
      <c r="U108" s="1"/>
      <c r="V108" s="16"/>
      <c r="W108" s="1"/>
      <c r="X108" s="1"/>
    </row>
    <row r="109" spans="1:24">
      <c r="A109" s="15"/>
      <c r="B109" s="15"/>
      <c r="C109" s="16"/>
      <c r="D109" s="16"/>
      <c r="E109" s="16"/>
      <c r="F109" s="16"/>
      <c r="G109" s="16"/>
      <c r="H109" s="16"/>
      <c r="I109" s="16"/>
      <c r="J109" s="16"/>
      <c r="K109" s="16"/>
      <c r="L109" s="16"/>
      <c r="M109" s="25"/>
      <c r="N109" s="25"/>
      <c r="O109" s="16"/>
      <c r="P109" s="1"/>
      <c r="Q109" s="1"/>
      <c r="R109" s="1"/>
      <c r="S109" s="1"/>
      <c r="T109" s="1"/>
      <c r="U109" s="1"/>
      <c r="V109" s="16"/>
      <c r="W109" s="1"/>
      <c r="X109" s="1"/>
    </row>
    <row r="110" spans="1:24">
      <c r="A110" s="15"/>
      <c r="B110" s="15"/>
      <c r="C110" s="16"/>
      <c r="D110" s="16"/>
      <c r="E110" s="16"/>
      <c r="F110" s="16"/>
      <c r="G110" s="16"/>
      <c r="H110" s="16"/>
      <c r="I110" s="16"/>
      <c r="J110" s="16"/>
      <c r="K110" s="16"/>
      <c r="L110" s="16"/>
      <c r="M110" s="25"/>
      <c r="N110" s="25"/>
      <c r="O110" s="16"/>
      <c r="P110" s="1"/>
      <c r="Q110" s="1"/>
      <c r="R110" s="1"/>
      <c r="S110" s="1"/>
      <c r="T110" s="1"/>
      <c r="U110" s="1"/>
      <c r="V110" s="16"/>
      <c r="W110" s="1"/>
      <c r="X110" s="1"/>
    </row>
    <row r="111" spans="1:24">
      <c r="A111" s="15"/>
      <c r="B111" s="15"/>
      <c r="C111" s="16"/>
      <c r="D111" s="16"/>
      <c r="E111" s="16"/>
      <c r="F111" s="16"/>
      <c r="G111" s="16"/>
      <c r="H111" s="16"/>
      <c r="I111" s="16"/>
      <c r="J111" s="16"/>
      <c r="K111" s="16"/>
      <c r="L111" s="16"/>
      <c r="M111" s="25"/>
      <c r="N111" s="25"/>
      <c r="O111" s="16"/>
      <c r="P111" s="1"/>
      <c r="Q111" s="1"/>
      <c r="R111" s="1"/>
      <c r="S111" s="1"/>
      <c r="T111" s="1"/>
      <c r="U111" s="1"/>
      <c r="V111" s="16"/>
      <c r="W111" s="1"/>
      <c r="X111" s="1"/>
    </row>
    <row r="112" spans="1:24">
      <c r="A112" s="15"/>
      <c r="B112" s="15"/>
      <c r="C112" s="16"/>
      <c r="D112" s="16"/>
      <c r="E112" s="16"/>
      <c r="F112" s="16"/>
      <c r="G112" s="16"/>
      <c r="H112" s="16"/>
      <c r="I112" s="16"/>
      <c r="J112" s="16"/>
      <c r="K112" s="16"/>
      <c r="L112" s="16"/>
      <c r="M112" s="25"/>
      <c r="N112" s="25"/>
      <c r="O112" s="16"/>
      <c r="P112" s="1"/>
      <c r="Q112" s="1"/>
      <c r="R112" s="1"/>
      <c r="S112" s="1"/>
      <c r="T112" s="1"/>
      <c r="U112" s="1"/>
      <c r="V112" s="16"/>
      <c r="W112" s="1"/>
      <c r="X112" s="1"/>
    </row>
    <row r="113" spans="1:24">
      <c r="A113" s="15"/>
      <c r="B113" s="15"/>
      <c r="C113" s="16"/>
      <c r="D113" s="16"/>
      <c r="E113" s="16"/>
      <c r="F113" s="16"/>
      <c r="G113" s="16"/>
      <c r="H113" s="16"/>
      <c r="I113" s="16"/>
      <c r="J113" s="16"/>
      <c r="K113" s="16"/>
      <c r="L113" s="16"/>
      <c r="M113" s="25"/>
      <c r="N113" s="25"/>
      <c r="O113" s="16"/>
      <c r="P113" s="1"/>
      <c r="Q113" s="1"/>
      <c r="R113" s="1"/>
      <c r="S113" s="1"/>
      <c r="T113" s="1"/>
      <c r="U113" s="1"/>
      <c r="V113" s="16"/>
      <c r="W113" s="1"/>
      <c r="X113" s="1"/>
    </row>
    <row r="114" spans="1:24">
      <c r="A114" s="15"/>
      <c r="B114" s="15"/>
      <c r="C114" s="16"/>
      <c r="D114" s="16"/>
      <c r="E114" s="16"/>
      <c r="F114" s="16"/>
      <c r="G114" s="16"/>
      <c r="H114" s="16"/>
      <c r="I114" s="16"/>
      <c r="J114" s="16"/>
      <c r="K114" s="16"/>
      <c r="L114" s="16"/>
      <c r="M114" s="25"/>
      <c r="N114" s="25"/>
      <c r="O114" s="16"/>
      <c r="P114" s="1"/>
      <c r="Q114" s="1"/>
      <c r="R114" s="1"/>
      <c r="S114" s="1"/>
      <c r="T114" s="1"/>
      <c r="U114" s="1"/>
      <c r="V114" s="16"/>
      <c r="W114" s="1"/>
      <c r="X114" s="1"/>
    </row>
    <row r="115" spans="1:24">
      <c r="A115" s="15"/>
      <c r="B115" s="15"/>
      <c r="C115" s="16"/>
      <c r="D115" s="16"/>
      <c r="E115" s="16"/>
      <c r="F115" s="16"/>
      <c r="G115" s="16"/>
      <c r="H115" s="16"/>
      <c r="I115" s="16"/>
      <c r="J115" s="16"/>
      <c r="K115" s="16"/>
      <c r="L115" s="16"/>
      <c r="M115" s="25"/>
      <c r="N115" s="25"/>
      <c r="O115" s="16"/>
      <c r="P115" s="1"/>
      <c r="Q115" s="1"/>
      <c r="R115" s="1"/>
      <c r="S115" s="1"/>
      <c r="T115" s="1"/>
      <c r="U115" s="1"/>
      <c r="V115" s="16"/>
      <c r="W115" s="1"/>
      <c r="X115" s="1"/>
    </row>
    <row r="116" spans="1:24">
      <c r="A116" s="15"/>
      <c r="B116" s="15"/>
      <c r="C116" s="16"/>
      <c r="D116" s="16"/>
      <c r="E116" s="16"/>
      <c r="F116" s="16"/>
      <c r="G116" s="16"/>
      <c r="H116" s="16"/>
      <c r="I116" s="16"/>
      <c r="J116" s="16"/>
      <c r="K116" s="16"/>
      <c r="L116" s="16"/>
      <c r="M116" s="25"/>
      <c r="N116" s="25"/>
      <c r="O116" s="16"/>
      <c r="P116" s="1"/>
      <c r="Q116" s="1"/>
      <c r="R116" s="1"/>
      <c r="S116" s="1"/>
      <c r="T116" s="1"/>
      <c r="U116" s="1"/>
      <c r="V116" s="16"/>
      <c r="W116" s="1"/>
      <c r="X116" s="1"/>
    </row>
    <row r="117" spans="1:24">
      <c r="A117" s="15"/>
      <c r="B117" s="15"/>
      <c r="C117" s="16"/>
      <c r="D117" s="16"/>
      <c r="E117" s="16"/>
      <c r="F117" s="16"/>
      <c r="G117" s="16"/>
      <c r="H117" s="16"/>
      <c r="I117" s="16"/>
      <c r="J117" s="16"/>
      <c r="K117" s="16"/>
      <c r="L117" s="16"/>
      <c r="M117" s="25"/>
      <c r="N117" s="25"/>
      <c r="O117" s="16"/>
      <c r="P117" s="1"/>
      <c r="Q117" s="1"/>
      <c r="R117" s="1"/>
      <c r="S117" s="1"/>
      <c r="T117" s="1"/>
      <c r="U117" s="1"/>
      <c r="V117" s="16"/>
      <c r="W117" s="1"/>
      <c r="X117" s="1"/>
    </row>
    <row r="118" spans="1:24">
      <c r="A118" s="15"/>
      <c r="B118" s="15"/>
      <c r="C118" s="16"/>
      <c r="D118" s="16"/>
      <c r="E118" s="16"/>
      <c r="F118" s="16"/>
      <c r="G118" s="16"/>
      <c r="H118" s="16"/>
      <c r="I118" s="16"/>
      <c r="J118" s="16"/>
      <c r="K118" s="16"/>
      <c r="L118" s="16"/>
      <c r="M118" s="25"/>
      <c r="N118" s="25"/>
      <c r="O118" s="16"/>
      <c r="P118" s="1"/>
      <c r="Q118" s="1"/>
      <c r="R118" s="1"/>
      <c r="S118" s="1"/>
      <c r="T118" s="1"/>
      <c r="U118" s="1"/>
      <c r="V118" s="16"/>
      <c r="W118" s="1"/>
      <c r="X118" s="1"/>
    </row>
    <row r="119" spans="1:24">
      <c r="A119" s="15"/>
      <c r="B119" s="15"/>
      <c r="C119" s="16"/>
      <c r="D119" s="16"/>
      <c r="E119" s="16"/>
      <c r="F119" s="16"/>
      <c r="G119" s="16"/>
      <c r="H119" s="16"/>
      <c r="I119" s="16"/>
      <c r="J119" s="16"/>
      <c r="K119" s="16"/>
      <c r="L119" s="16"/>
      <c r="M119" s="25"/>
      <c r="N119" s="25"/>
      <c r="O119" s="16"/>
      <c r="P119" s="1"/>
      <c r="Q119" s="1"/>
      <c r="R119" s="1"/>
      <c r="S119" s="1"/>
      <c r="T119" s="1"/>
      <c r="U119" s="1"/>
      <c r="V119" s="16"/>
      <c r="W119" s="1"/>
      <c r="X119" s="1"/>
    </row>
    <row r="120" spans="1:24">
      <c r="A120" s="15"/>
      <c r="B120" s="15"/>
      <c r="C120" s="16"/>
      <c r="D120" s="16"/>
      <c r="E120" s="16"/>
      <c r="F120" s="16"/>
      <c r="G120" s="16"/>
      <c r="H120" s="16"/>
      <c r="I120" s="16"/>
      <c r="J120" s="16"/>
      <c r="K120" s="16"/>
      <c r="L120" s="16"/>
      <c r="M120" s="25"/>
      <c r="N120" s="25"/>
      <c r="O120" s="16"/>
      <c r="P120" s="1"/>
      <c r="Q120" s="1"/>
      <c r="R120" s="1"/>
      <c r="S120" s="1"/>
      <c r="T120" s="1"/>
      <c r="U120" s="1"/>
      <c r="V120" s="16"/>
      <c r="W120" s="1"/>
      <c r="X120" s="1"/>
    </row>
    <row r="121" spans="1:24">
      <c r="A121" s="15"/>
      <c r="B121" s="15"/>
      <c r="C121" s="16"/>
      <c r="D121" s="16"/>
      <c r="E121" s="16"/>
      <c r="F121" s="16"/>
      <c r="G121" s="16"/>
      <c r="H121" s="16"/>
      <c r="I121" s="16"/>
      <c r="J121" s="16"/>
      <c r="K121" s="16"/>
      <c r="L121" s="16"/>
      <c r="M121" s="25"/>
      <c r="N121" s="25"/>
      <c r="O121" s="16"/>
      <c r="P121" s="1"/>
      <c r="Q121" s="1"/>
      <c r="R121" s="1"/>
      <c r="S121" s="1"/>
      <c r="T121" s="1"/>
      <c r="U121" s="1"/>
      <c r="V121" s="16"/>
      <c r="W121" s="1"/>
      <c r="X121" s="1"/>
    </row>
    <row r="122" spans="1:24">
      <c r="A122" s="15"/>
      <c r="B122" s="15"/>
      <c r="C122" s="16"/>
      <c r="D122" s="16"/>
      <c r="E122" s="16"/>
      <c r="F122" s="16"/>
      <c r="G122" s="16"/>
      <c r="H122" s="16"/>
      <c r="I122" s="16"/>
      <c r="J122" s="16"/>
      <c r="K122" s="16"/>
      <c r="L122" s="16"/>
      <c r="M122" s="25"/>
      <c r="N122" s="25"/>
      <c r="O122" s="16"/>
      <c r="P122" s="1"/>
      <c r="Q122" s="1"/>
      <c r="R122" s="1"/>
      <c r="S122" s="1"/>
      <c r="T122" s="1"/>
      <c r="U122" s="1"/>
      <c r="V122" s="16"/>
      <c r="W122" s="1"/>
      <c r="X122" s="1"/>
    </row>
    <row r="123" spans="1:24">
      <c r="A123" s="15"/>
      <c r="B123" s="15"/>
      <c r="C123" s="16"/>
      <c r="D123" s="16"/>
      <c r="E123" s="16"/>
      <c r="F123" s="16"/>
      <c r="G123" s="16"/>
      <c r="H123" s="16"/>
      <c r="I123" s="16"/>
      <c r="J123" s="16"/>
      <c r="K123" s="16"/>
      <c r="L123" s="16"/>
      <c r="M123" s="25"/>
      <c r="N123" s="25"/>
      <c r="O123" s="16"/>
      <c r="P123" s="1"/>
      <c r="Q123" s="1"/>
      <c r="R123" s="1"/>
      <c r="S123" s="1"/>
      <c r="T123" s="1"/>
      <c r="U123" s="1"/>
      <c r="V123" s="16"/>
      <c r="W123" s="1"/>
      <c r="X123" s="1"/>
    </row>
    <row r="124" spans="1:24">
      <c r="A124" s="15"/>
      <c r="B124" s="15"/>
      <c r="C124" s="16"/>
      <c r="D124" s="16"/>
      <c r="E124" s="16"/>
      <c r="F124" s="16"/>
      <c r="G124" s="16"/>
      <c r="H124" s="16"/>
      <c r="I124" s="16"/>
      <c r="J124" s="16"/>
      <c r="K124" s="16"/>
      <c r="L124" s="16"/>
      <c r="M124" s="25"/>
      <c r="N124" s="25"/>
      <c r="O124" s="16"/>
      <c r="P124" s="1"/>
      <c r="Q124" s="1"/>
      <c r="R124" s="1"/>
      <c r="S124" s="1"/>
      <c r="T124" s="1"/>
      <c r="U124" s="1"/>
      <c r="V124" s="16"/>
      <c r="W124" s="1"/>
      <c r="X124" s="1"/>
    </row>
    <row r="125" spans="1:24">
      <c r="A125" s="15"/>
      <c r="B125" s="15"/>
      <c r="C125" s="16"/>
      <c r="D125" s="16"/>
      <c r="E125" s="16"/>
      <c r="F125" s="16"/>
      <c r="G125" s="16"/>
      <c r="H125" s="16"/>
      <c r="I125" s="16"/>
      <c r="J125" s="16"/>
      <c r="K125" s="16"/>
      <c r="L125" s="16"/>
      <c r="M125" s="25"/>
      <c r="N125" s="25"/>
      <c r="O125" s="16"/>
      <c r="P125" s="1"/>
      <c r="Q125" s="1"/>
      <c r="R125" s="1"/>
      <c r="S125" s="1"/>
      <c r="T125" s="1"/>
      <c r="U125" s="1"/>
      <c r="V125" s="16"/>
      <c r="W125" s="1"/>
      <c r="X125" s="1"/>
    </row>
    <row r="126" spans="1:24">
      <c r="A126" s="15"/>
      <c r="B126" s="15"/>
      <c r="C126" s="16"/>
      <c r="D126" s="16"/>
      <c r="E126" s="16"/>
      <c r="F126" s="16"/>
      <c r="G126" s="16"/>
      <c r="H126" s="16"/>
      <c r="I126" s="16"/>
      <c r="J126" s="16"/>
      <c r="K126" s="16"/>
      <c r="L126" s="16"/>
      <c r="M126" s="25"/>
      <c r="N126" s="25"/>
      <c r="O126" s="16"/>
      <c r="P126" s="1"/>
      <c r="Q126" s="1"/>
      <c r="R126" s="1"/>
      <c r="S126" s="1"/>
      <c r="T126" s="1"/>
      <c r="U126" s="1"/>
      <c r="V126" s="16"/>
      <c r="W126" s="1"/>
      <c r="X126" s="1"/>
    </row>
    <row r="127" spans="1:24">
      <c r="A127" s="15"/>
      <c r="B127" s="15"/>
      <c r="C127" s="16"/>
      <c r="D127" s="16"/>
      <c r="E127" s="16"/>
      <c r="F127" s="16"/>
      <c r="G127" s="16"/>
      <c r="H127" s="16"/>
      <c r="I127" s="16"/>
      <c r="J127" s="16"/>
      <c r="K127" s="16"/>
      <c r="L127" s="16"/>
      <c r="M127" s="25"/>
      <c r="N127" s="25"/>
      <c r="O127" s="16"/>
      <c r="P127" s="1"/>
      <c r="Q127" s="1"/>
      <c r="R127" s="1"/>
      <c r="S127" s="1"/>
      <c r="T127" s="1"/>
      <c r="U127" s="1"/>
      <c r="V127" s="16"/>
      <c r="W127" s="1"/>
      <c r="X127" s="1"/>
    </row>
    <row r="128" spans="1:24">
      <c r="A128" s="15"/>
      <c r="B128" s="15"/>
      <c r="C128" s="16"/>
      <c r="D128" s="16"/>
      <c r="E128" s="16"/>
      <c r="F128" s="16"/>
      <c r="G128" s="16"/>
      <c r="H128" s="16"/>
      <c r="I128" s="16"/>
      <c r="J128" s="16"/>
      <c r="K128" s="16"/>
      <c r="L128" s="16"/>
      <c r="M128" s="25"/>
      <c r="N128" s="25"/>
      <c r="O128" s="16"/>
      <c r="P128" s="1"/>
      <c r="Q128" s="1"/>
      <c r="R128" s="1"/>
      <c r="S128" s="1"/>
      <c r="T128" s="1"/>
      <c r="U128" s="1"/>
      <c r="V128" s="16"/>
      <c r="W128" s="1"/>
      <c r="X128" s="1"/>
    </row>
    <row r="129" spans="1:24">
      <c r="A129" s="15"/>
      <c r="B129" s="15"/>
      <c r="C129" s="16"/>
      <c r="D129" s="16"/>
      <c r="E129" s="16"/>
      <c r="F129" s="16"/>
      <c r="G129" s="16"/>
      <c r="H129" s="16"/>
      <c r="I129" s="16"/>
      <c r="J129" s="16"/>
      <c r="K129" s="16"/>
      <c r="L129" s="16"/>
      <c r="M129" s="25"/>
      <c r="N129" s="25"/>
      <c r="O129" s="16"/>
      <c r="P129" s="1"/>
      <c r="Q129" s="1"/>
      <c r="R129" s="1"/>
      <c r="S129" s="1"/>
      <c r="T129" s="1"/>
      <c r="U129" s="1"/>
      <c r="V129" s="16"/>
      <c r="W129" s="1"/>
      <c r="X129" s="1"/>
    </row>
    <row r="130" spans="1:24">
      <c r="A130" s="15"/>
      <c r="B130" s="15"/>
      <c r="C130" s="16"/>
      <c r="D130" s="16"/>
      <c r="E130" s="16"/>
      <c r="F130" s="16"/>
      <c r="G130" s="16"/>
      <c r="H130" s="16"/>
      <c r="I130" s="16"/>
      <c r="J130" s="16"/>
      <c r="K130" s="16"/>
      <c r="L130" s="16"/>
      <c r="M130" s="25"/>
      <c r="N130" s="25"/>
      <c r="O130" s="16"/>
      <c r="P130" s="1"/>
      <c r="Q130" s="1"/>
      <c r="R130" s="1"/>
      <c r="S130" s="1"/>
      <c r="T130" s="1"/>
      <c r="U130" s="1"/>
      <c r="V130" s="16"/>
      <c r="W130" s="1"/>
      <c r="X130" s="1"/>
    </row>
    <row r="131" spans="1:24">
      <c r="A131" s="15"/>
      <c r="B131" s="15"/>
      <c r="C131" s="16"/>
      <c r="D131" s="16"/>
      <c r="E131" s="16"/>
      <c r="F131" s="16"/>
      <c r="G131" s="16"/>
      <c r="H131" s="16"/>
      <c r="I131" s="16"/>
      <c r="J131" s="16"/>
      <c r="K131" s="16"/>
      <c r="L131" s="16"/>
      <c r="M131" s="25"/>
      <c r="N131" s="25"/>
      <c r="O131" s="16"/>
      <c r="P131" s="1"/>
      <c r="Q131" s="1"/>
      <c r="R131" s="1"/>
      <c r="S131" s="1"/>
      <c r="T131" s="1"/>
      <c r="U131" s="1"/>
      <c r="V131" s="16"/>
      <c r="W131" s="1"/>
      <c r="X131" s="1"/>
    </row>
    <row r="132" spans="1:24">
      <c r="A132" s="15"/>
      <c r="B132" s="15"/>
      <c r="C132" s="16"/>
      <c r="D132" s="16"/>
      <c r="E132" s="16"/>
      <c r="F132" s="16"/>
      <c r="G132" s="16"/>
      <c r="H132" s="16"/>
      <c r="I132" s="16"/>
      <c r="J132" s="16"/>
      <c r="K132" s="16"/>
      <c r="L132" s="16"/>
      <c r="M132" s="25"/>
      <c r="N132" s="25"/>
      <c r="O132" s="16"/>
      <c r="P132" s="1"/>
      <c r="Q132" s="1"/>
      <c r="R132" s="1"/>
      <c r="S132" s="1"/>
      <c r="T132" s="1"/>
      <c r="U132" s="1"/>
      <c r="V132" s="16"/>
      <c r="W132" s="1"/>
      <c r="X132" s="1"/>
    </row>
    <row r="133" spans="1:24">
      <c r="A133" s="15"/>
      <c r="B133" s="15"/>
      <c r="C133" s="16"/>
      <c r="D133" s="16"/>
      <c r="E133" s="16"/>
      <c r="F133" s="16"/>
      <c r="G133" s="16"/>
      <c r="H133" s="16"/>
      <c r="I133" s="16"/>
      <c r="J133" s="16"/>
      <c r="K133" s="16"/>
      <c r="L133" s="16"/>
      <c r="M133" s="25"/>
      <c r="N133" s="25"/>
      <c r="O133" s="16"/>
      <c r="P133" s="1"/>
      <c r="Q133" s="1"/>
      <c r="R133" s="1"/>
      <c r="S133" s="1"/>
      <c r="T133" s="1"/>
      <c r="U133" s="1"/>
      <c r="V133" s="16"/>
      <c r="W133" s="1"/>
      <c r="X133" s="1"/>
    </row>
    <row r="134" spans="1:24">
      <c r="A134" s="15"/>
      <c r="B134" s="15"/>
      <c r="C134" s="16"/>
      <c r="D134" s="16"/>
      <c r="E134" s="16"/>
      <c r="F134" s="16"/>
      <c r="G134" s="16"/>
      <c r="H134" s="16"/>
      <c r="I134" s="16"/>
      <c r="J134" s="16"/>
      <c r="K134" s="16"/>
      <c r="L134" s="16"/>
      <c r="M134" s="25"/>
      <c r="N134" s="25"/>
      <c r="O134" s="16"/>
      <c r="P134" s="1"/>
      <c r="Q134" s="1"/>
      <c r="R134" s="1"/>
      <c r="S134" s="1"/>
      <c r="T134" s="1"/>
      <c r="U134" s="1"/>
      <c r="V134" s="16"/>
      <c r="W134" s="1"/>
      <c r="X134" s="1"/>
    </row>
    <row r="135" spans="1:24">
      <c r="A135" s="15"/>
      <c r="B135" s="15"/>
      <c r="C135" s="16"/>
      <c r="D135" s="16"/>
      <c r="E135" s="16"/>
      <c r="F135" s="16"/>
      <c r="G135" s="16"/>
      <c r="H135" s="16"/>
      <c r="I135" s="16"/>
      <c r="J135" s="16"/>
      <c r="K135" s="16"/>
      <c r="L135" s="16"/>
      <c r="M135" s="25"/>
      <c r="N135" s="25"/>
      <c r="O135" s="16"/>
      <c r="P135" s="1"/>
      <c r="Q135" s="1"/>
      <c r="R135" s="1"/>
      <c r="S135" s="1"/>
      <c r="T135" s="1"/>
      <c r="U135" s="1"/>
      <c r="V135" s="16"/>
      <c r="W135" s="1"/>
      <c r="X135" s="1"/>
    </row>
    <row r="136" spans="1:24">
      <c r="A136" s="15"/>
      <c r="B136" s="15"/>
      <c r="C136" s="16"/>
      <c r="D136" s="16"/>
      <c r="E136" s="16"/>
      <c r="F136" s="16"/>
      <c r="G136" s="16"/>
      <c r="H136" s="16"/>
      <c r="I136" s="16"/>
      <c r="J136" s="16"/>
      <c r="K136" s="16"/>
      <c r="L136" s="16"/>
      <c r="M136" s="25"/>
      <c r="N136" s="25"/>
      <c r="O136" s="16"/>
      <c r="P136" s="1"/>
      <c r="Q136" s="1"/>
      <c r="R136" s="1"/>
      <c r="S136" s="1"/>
      <c r="T136" s="1"/>
      <c r="U136" s="1"/>
      <c r="V136" s="16"/>
      <c r="W136" s="1"/>
      <c r="X136" s="1"/>
    </row>
    <row r="137" spans="1:24">
      <c r="A137" s="15"/>
      <c r="B137" s="15"/>
      <c r="C137" s="16"/>
      <c r="D137" s="16"/>
      <c r="E137" s="16"/>
      <c r="F137" s="16"/>
      <c r="G137" s="16"/>
      <c r="H137" s="16"/>
      <c r="I137" s="16"/>
      <c r="J137" s="16"/>
      <c r="K137" s="16"/>
      <c r="L137" s="16"/>
      <c r="M137" s="25"/>
      <c r="N137" s="25"/>
      <c r="O137" s="16"/>
      <c r="P137" s="1"/>
      <c r="Q137" s="1"/>
      <c r="R137" s="1"/>
      <c r="S137" s="1"/>
      <c r="T137" s="1"/>
      <c r="U137" s="1"/>
      <c r="V137" s="16"/>
      <c r="W137" s="1"/>
      <c r="X137" s="1"/>
    </row>
    <row r="138" spans="1:24">
      <c r="A138" s="15"/>
      <c r="B138" s="15"/>
      <c r="C138" s="16"/>
      <c r="D138" s="16"/>
      <c r="E138" s="16"/>
      <c r="F138" s="16"/>
      <c r="G138" s="16"/>
      <c r="H138" s="16"/>
      <c r="I138" s="16"/>
      <c r="J138" s="16"/>
      <c r="K138" s="16"/>
      <c r="L138" s="16"/>
      <c r="M138" s="25"/>
      <c r="N138" s="25"/>
      <c r="O138" s="16"/>
      <c r="P138" s="1"/>
      <c r="Q138" s="1"/>
      <c r="R138" s="1"/>
      <c r="S138" s="1"/>
      <c r="T138" s="1"/>
      <c r="U138" s="1"/>
      <c r="V138" s="16"/>
      <c r="W138" s="1"/>
      <c r="X138" s="1"/>
    </row>
    <row r="139" spans="1:24">
      <c r="A139" s="15"/>
      <c r="B139" s="15"/>
      <c r="C139" s="16"/>
      <c r="D139" s="16"/>
      <c r="E139" s="16"/>
      <c r="F139" s="16"/>
      <c r="G139" s="16"/>
      <c r="H139" s="16"/>
      <c r="I139" s="16"/>
      <c r="J139" s="16"/>
      <c r="K139" s="16"/>
      <c r="L139" s="16"/>
      <c r="M139" s="25"/>
      <c r="N139" s="25"/>
      <c r="O139" s="16"/>
      <c r="P139" s="1"/>
      <c r="Q139" s="1"/>
      <c r="R139" s="1"/>
      <c r="S139" s="1"/>
      <c r="T139" s="1"/>
      <c r="U139" s="1"/>
      <c r="V139" s="16"/>
      <c r="W139" s="1"/>
      <c r="X139" s="1"/>
    </row>
    <row r="140" spans="1:24">
      <c r="A140" s="15"/>
      <c r="B140" s="15"/>
      <c r="C140" s="16"/>
      <c r="D140" s="16"/>
      <c r="E140" s="16"/>
      <c r="F140" s="16"/>
      <c r="G140" s="16"/>
      <c r="H140" s="16"/>
      <c r="I140" s="16"/>
      <c r="J140" s="16"/>
      <c r="K140" s="16"/>
      <c r="L140" s="16"/>
      <c r="M140" s="25"/>
      <c r="N140" s="25"/>
      <c r="O140" s="16"/>
      <c r="P140" s="1"/>
      <c r="Q140" s="1"/>
      <c r="R140" s="1"/>
      <c r="S140" s="1"/>
      <c r="T140" s="1"/>
      <c r="U140" s="1"/>
      <c r="V140" s="16"/>
      <c r="W140" s="1"/>
      <c r="X140" s="1"/>
    </row>
    <row r="141" spans="1:24">
      <c r="A141" s="15"/>
      <c r="B141" s="15"/>
      <c r="C141" s="16"/>
      <c r="D141" s="16"/>
      <c r="E141" s="16"/>
      <c r="F141" s="16"/>
      <c r="G141" s="16"/>
      <c r="H141" s="16"/>
      <c r="I141" s="16"/>
      <c r="J141" s="16"/>
      <c r="K141" s="16"/>
      <c r="L141" s="16"/>
      <c r="M141" s="25"/>
      <c r="N141" s="25"/>
      <c r="O141" s="16"/>
      <c r="P141" s="1"/>
      <c r="Q141" s="1"/>
      <c r="R141" s="1"/>
      <c r="S141" s="1"/>
      <c r="T141" s="1"/>
      <c r="U141" s="1"/>
      <c r="V141" s="16"/>
      <c r="W141" s="1"/>
      <c r="X141" s="1"/>
    </row>
    <row r="142" spans="1:24">
      <c r="A142" s="15"/>
      <c r="B142" s="15"/>
      <c r="C142" s="16"/>
      <c r="D142" s="16"/>
      <c r="E142" s="16"/>
      <c r="F142" s="16"/>
      <c r="G142" s="16"/>
      <c r="H142" s="16"/>
      <c r="I142" s="16"/>
      <c r="J142" s="16"/>
      <c r="K142" s="16"/>
      <c r="L142" s="16"/>
      <c r="M142" s="25"/>
      <c r="N142" s="25"/>
      <c r="O142" s="16"/>
      <c r="P142" s="1"/>
      <c r="Q142" s="1"/>
      <c r="R142" s="1"/>
      <c r="S142" s="1"/>
      <c r="T142" s="1"/>
      <c r="U142" s="1"/>
      <c r="V142" s="16"/>
      <c r="W142" s="1"/>
      <c r="X142" s="1"/>
    </row>
    <row r="143" spans="1:24">
      <c r="A143" s="15"/>
      <c r="B143" s="15"/>
      <c r="C143" s="16"/>
      <c r="D143" s="16"/>
      <c r="E143" s="16"/>
      <c r="F143" s="16"/>
      <c r="G143" s="16"/>
      <c r="H143" s="16"/>
      <c r="I143" s="16"/>
      <c r="J143" s="16"/>
      <c r="K143" s="16"/>
      <c r="L143" s="16"/>
      <c r="M143" s="25"/>
      <c r="N143" s="25"/>
      <c r="O143" s="16"/>
      <c r="P143" s="1"/>
      <c r="Q143" s="1"/>
      <c r="R143" s="1"/>
      <c r="S143" s="1"/>
      <c r="T143" s="1"/>
      <c r="U143" s="1"/>
      <c r="V143" s="16"/>
      <c r="W143" s="1"/>
      <c r="X143" s="1"/>
    </row>
    <row r="144" spans="1:24">
      <c r="A144" s="15"/>
      <c r="B144" s="15"/>
      <c r="C144" s="16"/>
      <c r="D144" s="16"/>
      <c r="E144" s="16"/>
      <c r="F144" s="16"/>
      <c r="G144" s="16"/>
      <c r="H144" s="16"/>
      <c r="I144" s="16"/>
      <c r="J144" s="16"/>
      <c r="K144" s="16"/>
      <c r="L144" s="16"/>
      <c r="M144" s="25"/>
      <c r="N144" s="25"/>
      <c r="O144" s="16"/>
      <c r="P144" s="1"/>
      <c r="Q144" s="1"/>
      <c r="R144" s="1"/>
      <c r="S144" s="1"/>
      <c r="T144" s="1"/>
      <c r="U144" s="1"/>
      <c r="V144" s="16"/>
      <c r="W144" s="1"/>
      <c r="X144" s="1"/>
    </row>
    <row r="145" spans="1:24">
      <c r="A145" s="15"/>
      <c r="B145" s="15"/>
      <c r="C145" s="16"/>
      <c r="D145" s="16"/>
      <c r="E145" s="16"/>
      <c r="F145" s="16"/>
      <c r="G145" s="16"/>
      <c r="H145" s="16"/>
      <c r="I145" s="16"/>
      <c r="J145" s="16"/>
      <c r="K145" s="16"/>
      <c r="L145" s="16"/>
      <c r="M145" s="25"/>
      <c r="N145" s="25"/>
      <c r="O145" s="16"/>
      <c r="P145" s="1"/>
      <c r="Q145" s="1"/>
      <c r="R145" s="1"/>
      <c r="S145" s="1"/>
      <c r="T145" s="1"/>
      <c r="U145" s="1"/>
      <c r="V145" s="16"/>
      <c r="W145" s="1"/>
      <c r="X145" s="1"/>
    </row>
    <row r="146" spans="1:24">
      <c r="A146" s="15"/>
      <c r="B146" s="15"/>
      <c r="C146" s="16"/>
      <c r="D146" s="16"/>
      <c r="E146" s="16"/>
      <c r="F146" s="16"/>
      <c r="G146" s="16"/>
      <c r="H146" s="16"/>
      <c r="I146" s="16"/>
      <c r="J146" s="16"/>
      <c r="K146" s="16"/>
      <c r="L146" s="16"/>
      <c r="M146" s="25"/>
      <c r="N146" s="25"/>
      <c r="O146" s="16"/>
      <c r="P146" s="1"/>
      <c r="Q146" s="1"/>
      <c r="R146" s="1"/>
      <c r="S146" s="1"/>
      <c r="T146" s="1"/>
      <c r="U146" s="1"/>
      <c r="V146" s="16"/>
      <c r="W146" s="1"/>
      <c r="X146" s="1"/>
    </row>
    <row r="147" spans="1:24">
      <c r="A147" s="15"/>
      <c r="B147" s="15"/>
      <c r="C147" s="16"/>
      <c r="D147" s="16"/>
      <c r="E147" s="16"/>
      <c r="F147" s="16"/>
      <c r="G147" s="16"/>
      <c r="H147" s="16"/>
      <c r="I147" s="16"/>
      <c r="J147" s="16"/>
      <c r="K147" s="16"/>
      <c r="L147" s="16"/>
      <c r="M147" s="25"/>
      <c r="N147" s="25"/>
      <c r="O147" s="16"/>
      <c r="P147" s="1"/>
      <c r="Q147" s="1"/>
      <c r="R147" s="1"/>
      <c r="S147" s="1"/>
      <c r="T147" s="1"/>
      <c r="U147" s="1"/>
      <c r="V147" s="16"/>
      <c r="W147" s="1"/>
      <c r="X147" s="1"/>
    </row>
    <row r="148" spans="1:24">
      <c r="A148" s="15"/>
      <c r="B148" s="15"/>
      <c r="C148" s="16"/>
      <c r="D148" s="16"/>
      <c r="E148" s="16"/>
      <c r="F148" s="16"/>
      <c r="G148" s="16"/>
      <c r="H148" s="16"/>
      <c r="I148" s="16"/>
      <c r="J148" s="16"/>
      <c r="K148" s="16"/>
      <c r="L148" s="16"/>
      <c r="M148" s="25"/>
      <c r="N148" s="25"/>
      <c r="O148" s="16"/>
      <c r="P148" s="1"/>
      <c r="Q148" s="1"/>
      <c r="R148" s="1"/>
      <c r="S148" s="1"/>
      <c r="T148" s="1"/>
      <c r="U148" s="1"/>
      <c r="V148" s="16"/>
      <c r="W148" s="1"/>
      <c r="X148" s="1"/>
    </row>
    <row r="149" spans="1:24">
      <c r="A149" s="15"/>
      <c r="B149" s="15"/>
      <c r="C149" s="16"/>
      <c r="D149" s="16"/>
      <c r="E149" s="16"/>
      <c r="F149" s="16"/>
      <c r="G149" s="16"/>
      <c r="H149" s="16"/>
      <c r="I149" s="16"/>
      <c r="J149" s="16"/>
      <c r="K149" s="16"/>
      <c r="L149" s="16"/>
      <c r="M149" s="25"/>
      <c r="N149" s="25"/>
      <c r="O149" s="16"/>
      <c r="P149" s="1"/>
      <c r="Q149" s="1"/>
      <c r="R149" s="1"/>
      <c r="S149" s="1"/>
      <c r="T149" s="1"/>
      <c r="U149" s="1"/>
      <c r="V149" s="16"/>
      <c r="W149" s="1"/>
      <c r="X149" s="1"/>
    </row>
    <row r="150" spans="1:24">
      <c r="A150" s="15"/>
      <c r="B150" s="15"/>
      <c r="C150" s="16"/>
      <c r="D150" s="16"/>
      <c r="E150" s="16"/>
      <c r="F150" s="16"/>
      <c r="G150" s="16"/>
      <c r="H150" s="16"/>
      <c r="I150" s="16"/>
      <c r="J150" s="16"/>
      <c r="K150" s="16"/>
      <c r="L150" s="16"/>
      <c r="M150" s="25"/>
      <c r="N150" s="25"/>
      <c r="O150" s="16"/>
      <c r="P150" s="1"/>
      <c r="Q150" s="1"/>
      <c r="R150" s="1"/>
      <c r="S150" s="1"/>
      <c r="T150" s="1"/>
      <c r="U150" s="1"/>
      <c r="V150" s="16"/>
      <c r="W150" s="1"/>
      <c r="X150" s="1"/>
    </row>
    <row r="151" spans="1:24">
      <c r="A151" s="15"/>
      <c r="B151" s="15"/>
      <c r="C151" s="16"/>
      <c r="D151" s="16"/>
      <c r="E151" s="16"/>
      <c r="F151" s="16"/>
      <c r="G151" s="16"/>
      <c r="H151" s="16"/>
      <c r="I151" s="16"/>
      <c r="J151" s="16"/>
      <c r="K151" s="16"/>
      <c r="L151" s="16"/>
      <c r="M151" s="25"/>
      <c r="N151" s="25"/>
      <c r="O151" s="16"/>
      <c r="P151" s="1"/>
      <c r="Q151" s="1"/>
      <c r="R151" s="1"/>
      <c r="S151" s="1"/>
      <c r="T151" s="1"/>
      <c r="U151" s="1"/>
      <c r="V151" s="16"/>
      <c r="W151" s="1"/>
      <c r="X151" s="1"/>
    </row>
    <row r="152" spans="1:24">
      <c r="A152" s="15"/>
      <c r="B152" s="15"/>
      <c r="C152" s="16"/>
      <c r="D152" s="16"/>
      <c r="E152" s="16"/>
      <c r="F152" s="16"/>
      <c r="G152" s="16"/>
      <c r="H152" s="16"/>
      <c r="I152" s="16"/>
      <c r="J152" s="16"/>
      <c r="K152" s="16"/>
      <c r="L152" s="16"/>
      <c r="M152" s="25"/>
      <c r="N152" s="25"/>
      <c r="O152" s="16"/>
      <c r="P152" s="1"/>
      <c r="Q152" s="1"/>
      <c r="R152" s="1"/>
      <c r="S152" s="1"/>
      <c r="T152" s="1"/>
      <c r="U152" s="1"/>
      <c r="V152" s="16"/>
      <c r="W152" s="1"/>
      <c r="X152" s="1"/>
    </row>
    <row r="153" spans="1:24">
      <c r="A153" s="15"/>
      <c r="B153" s="15"/>
      <c r="C153" s="16"/>
      <c r="D153" s="16"/>
      <c r="E153" s="16"/>
      <c r="F153" s="16"/>
      <c r="G153" s="16"/>
      <c r="H153" s="16"/>
      <c r="I153" s="16"/>
      <c r="J153" s="16"/>
      <c r="K153" s="16"/>
      <c r="L153" s="16"/>
      <c r="M153" s="25"/>
      <c r="N153" s="25"/>
      <c r="O153" s="16"/>
      <c r="P153" s="1"/>
      <c r="Q153" s="1"/>
      <c r="R153" s="1"/>
      <c r="S153" s="1"/>
      <c r="T153" s="1"/>
      <c r="U153" s="1"/>
      <c r="V153" s="16"/>
      <c r="W153" s="1"/>
      <c r="X153" s="1"/>
    </row>
    <row r="154" spans="1:24">
      <c r="A154" s="15"/>
      <c r="B154" s="15"/>
      <c r="C154" s="16"/>
      <c r="D154" s="16"/>
      <c r="E154" s="16"/>
      <c r="F154" s="16"/>
      <c r="G154" s="16"/>
      <c r="H154" s="16"/>
      <c r="I154" s="16"/>
      <c r="J154" s="16"/>
      <c r="K154" s="16"/>
      <c r="L154" s="16"/>
      <c r="M154" s="25"/>
      <c r="N154" s="25"/>
      <c r="O154" s="16"/>
      <c r="P154" s="1"/>
      <c r="Q154" s="1"/>
      <c r="R154" s="1"/>
      <c r="S154" s="1"/>
      <c r="T154" s="1"/>
      <c r="U154" s="1"/>
      <c r="V154" s="16"/>
      <c r="W154" s="1"/>
      <c r="X154" s="1"/>
    </row>
    <row r="155" spans="1:24">
      <c r="A155" s="15"/>
      <c r="B155" s="15"/>
      <c r="C155" s="16"/>
      <c r="D155" s="16"/>
      <c r="E155" s="16"/>
      <c r="F155" s="16"/>
      <c r="G155" s="16"/>
      <c r="H155" s="16"/>
      <c r="I155" s="16"/>
      <c r="J155" s="16"/>
      <c r="K155" s="16"/>
      <c r="L155" s="16"/>
      <c r="M155" s="25"/>
      <c r="N155" s="25"/>
      <c r="O155" s="16"/>
      <c r="P155" s="1"/>
      <c r="Q155" s="1"/>
      <c r="R155" s="1"/>
      <c r="S155" s="1"/>
      <c r="T155" s="1"/>
      <c r="U155" s="1"/>
      <c r="V155" s="16"/>
      <c r="W155" s="1"/>
      <c r="X155" s="1"/>
    </row>
    <row r="156" spans="1:24">
      <c r="A156" s="15"/>
      <c r="B156" s="15"/>
      <c r="C156" s="16"/>
      <c r="D156" s="16"/>
      <c r="E156" s="16"/>
      <c r="F156" s="16"/>
      <c r="G156" s="16"/>
      <c r="H156" s="16"/>
      <c r="I156" s="16"/>
      <c r="J156" s="16"/>
      <c r="K156" s="16"/>
      <c r="L156" s="16"/>
      <c r="M156" s="25"/>
      <c r="N156" s="25"/>
      <c r="O156" s="16"/>
      <c r="P156" s="1"/>
      <c r="Q156" s="1"/>
      <c r="R156" s="1"/>
      <c r="S156" s="1"/>
      <c r="T156" s="1"/>
      <c r="U156" s="1"/>
      <c r="V156" s="16"/>
      <c r="W156" s="1"/>
      <c r="X156" s="1"/>
    </row>
    <row r="157" spans="1:24">
      <c r="A157" s="15"/>
      <c r="B157" s="15"/>
      <c r="C157" s="16"/>
      <c r="D157" s="16"/>
      <c r="E157" s="16"/>
      <c r="F157" s="16"/>
      <c r="G157" s="16"/>
      <c r="H157" s="16"/>
      <c r="I157" s="16"/>
      <c r="J157" s="16"/>
      <c r="K157" s="16"/>
      <c r="L157" s="16"/>
      <c r="M157" s="25"/>
      <c r="N157" s="25"/>
      <c r="O157" s="16"/>
      <c r="P157" s="1"/>
      <c r="Q157" s="1"/>
      <c r="R157" s="1"/>
      <c r="S157" s="1"/>
      <c r="T157" s="1"/>
      <c r="U157" s="1"/>
      <c r="V157" s="16"/>
      <c r="W157" s="1"/>
      <c r="X157" s="1"/>
    </row>
    <row r="158" spans="1:24">
      <c r="A158" s="15"/>
      <c r="B158" s="15"/>
      <c r="C158" s="16"/>
      <c r="D158" s="16"/>
      <c r="E158" s="16"/>
      <c r="F158" s="16"/>
      <c r="G158" s="16"/>
      <c r="H158" s="16"/>
      <c r="I158" s="16"/>
      <c r="J158" s="16"/>
      <c r="K158" s="16"/>
      <c r="L158" s="16"/>
      <c r="M158" s="25"/>
      <c r="N158" s="25"/>
      <c r="O158" s="16"/>
      <c r="P158" s="1"/>
      <c r="Q158" s="1"/>
      <c r="R158" s="1"/>
      <c r="S158" s="1"/>
      <c r="T158" s="1"/>
      <c r="U158" s="1"/>
      <c r="V158" s="16"/>
      <c r="W158" s="1"/>
      <c r="X158" s="1"/>
    </row>
    <row r="159" spans="1:24">
      <c r="A159" s="15"/>
      <c r="B159" s="15"/>
      <c r="C159" s="16"/>
      <c r="D159" s="16"/>
      <c r="E159" s="16"/>
      <c r="F159" s="16"/>
      <c r="G159" s="16"/>
      <c r="H159" s="16"/>
      <c r="I159" s="16"/>
      <c r="J159" s="16"/>
      <c r="K159" s="16"/>
      <c r="L159" s="16"/>
      <c r="M159" s="25"/>
      <c r="N159" s="25"/>
      <c r="O159" s="16"/>
      <c r="P159" s="1"/>
      <c r="Q159" s="1"/>
      <c r="R159" s="1"/>
      <c r="S159" s="1"/>
      <c r="T159" s="1"/>
      <c r="U159" s="1"/>
      <c r="V159" s="16"/>
      <c r="W159" s="1"/>
      <c r="X159" s="1"/>
    </row>
    <row r="160" spans="1:24">
      <c r="A160" s="15"/>
      <c r="B160" s="15"/>
      <c r="C160" s="16"/>
      <c r="D160" s="16"/>
      <c r="E160" s="16"/>
      <c r="F160" s="16"/>
      <c r="G160" s="16"/>
      <c r="H160" s="16"/>
      <c r="I160" s="16"/>
      <c r="J160" s="16"/>
      <c r="K160" s="16"/>
      <c r="L160" s="16"/>
      <c r="M160" s="25"/>
      <c r="N160" s="25"/>
      <c r="O160" s="16"/>
      <c r="P160" s="1"/>
      <c r="Q160" s="1"/>
      <c r="R160" s="1"/>
      <c r="S160" s="1"/>
      <c r="T160" s="1"/>
      <c r="U160" s="1"/>
      <c r="V160" s="16"/>
      <c r="W160" s="1"/>
      <c r="X160" s="1"/>
    </row>
    <row r="161" spans="1:24">
      <c r="A161" s="15"/>
      <c r="B161" s="15"/>
      <c r="C161" s="16"/>
      <c r="D161" s="16"/>
      <c r="E161" s="16"/>
      <c r="F161" s="16"/>
      <c r="G161" s="16"/>
      <c r="H161" s="16"/>
      <c r="I161" s="16"/>
      <c r="J161" s="16"/>
      <c r="K161" s="16"/>
      <c r="L161" s="16"/>
      <c r="M161" s="25"/>
      <c r="N161" s="25"/>
      <c r="O161" s="16"/>
      <c r="P161" s="1"/>
      <c r="Q161" s="1"/>
      <c r="R161" s="1"/>
      <c r="S161" s="1"/>
      <c r="T161" s="1"/>
      <c r="U161" s="1"/>
      <c r="V161" s="16"/>
      <c r="W161" s="1"/>
      <c r="X161" s="1"/>
    </row>
    <row r="162" spans="1:24">
      <c r="A162" s="15"/>
      <c r="B162" s="15"/>
      <c r="C162" s="16"/>
      <c r="D162" s="16"/>
      <c r="E162" s="16"/>
      <c r="F162" s="16"/>
      <c r="G162" s="16"/>
      <c r="H162" s="16"/>
      <c r="I162" s="16"/>
      <c r="J162" s="16"/>
      <c r="K162" s="16"/>
      <c r="L162" s="16"/>
      <c r="M162" s="25"/>
      <c r="N162" s="25"/>
      <c r="O162" s="16"/>
      <c r="P162" s="1"/>
      <c r="Q162" s="1"/>
      <c r="R162" s="1"/>
      <c r="S162" s="1"/>
      <c r="T162" s="1"/>
      <c r="U162" s="1"/>
      <c r="V162" s="16"/>
      <c r="W162" s="1"/>
      <c r="X162" s="1"/>
    </row>
    <row r="163" spans="1:24">
      <c r="A163" s="15"/>
      <c r="B163" s="15"/>
      <c r="C163" s="16"/>
      <c r="D163" s="16"/>
      <c r="E163" s="16"/>
      <c r="F163" s="16"/>
      <c r="G163" s="16"/>
      <c r="H163" s="16"/>
      <c r="I163" s="16"/>
      <c r="J163" s="16"/>
      <c r="K163" s="16"/>
      <c r="L163" s="16"/>
      <c r="M163" s="25"/>
      <c r="N163" s="25"/>
      <c r="O163" s="16"/>
      <c r="P163" s="1"/>
      <c r="Q163" s="1"/>
      <c r="R163" s="1"/>
      <c r="S163" s="1"/>
      <c r="T163" s="1"/>
      <c r="U163" s="1"/>
      <c r="V163" s="16"/>
      <c r="W163" s="1"/>
      <c r="X163" s="1"/>
    </row>
    <row r="164" spans="1:24">
      <c r="A164" s="15"/>
      <c r="B164" s="15"/>
      <c r="C164" s="16"/>
      <c r="D164" s="16"/>
      <c r="E164" s="16"/>
      <c r="F164" s="16"/>
      <c r="G164" s="16"/>
      <c r="H164" s="16"/>
      <c r="I164" s="16"/>
      <c r="J164" s="16"/>
      <c r="K164" s="16"/>
      <c r="L164" s="16"/>
      <c r="M164" s="25"/>
      <c r="N164" s="25"/>
      <c r="O164" s="16"/>
      <c r="P164" s="1"/>
      <c r="Q164" s="1"/>
      <c r="R164" s="1"/>
      <c r="S164" s="1"/>
      <c r="T164" s="1"/>
      <c r="U164" s="1"/>
      <c r="V164" s="16"/>
      <c r="W164" s="1"/>
      <c r="X164" s="1"/>
    </row>
    <row r="165" spans="1:24">
      <c r="A165" s="15"/>
      <c r="B165" s="15"/>
      <c r="C165" s="16"/>
      <c r="D165" s="16"/>
      <c r="E165" s="16"/>
      <c r="F165" s="16"/>
      <c r="G165" s="16"/>
      <c r="H165" s="16"/>
      <c r="I165" s="16"/>
      <c r="J165" s="16"/>
      <c r="K165" s="16"/>
      <c r="L165" s="16"/>
      <c r="M165" s="25"/>
      <c r="N165" s="25"/>
      <c r="O165" s="16"/>
      <c r="P165" s="1"/>
      <c r="Q165" s="1"/>
      <c r="R165" s="1"/>
      <c r="S165" s="1"/>
      <c r="T165" s="1"/>
      <c r="U165" s="1"/>
      <c r="V165" s="16"/>
      <c r="W165" s="1"/>
      <c r="X165" s="1"/>
    </row>
    <row r="166" spans="1:24">
      <c r="A166" s="15"/>
      <c r="B166" s="15"/>
      <c r="C166" s="16"/>
      <c r="D166" s="16"/>
      <c r="E166" s="16"/>
      <c r="F166" s="16"/>
      <c r="G166" s="16"/>
      <c r="H166" s="16"/>
      <c r="I166" s="16"/>
      <c r="J166" s="16"/>
      <c r="K166" s="16"/>
      <c r="L166" s="16"/>
      <c r="M166" s="25"/>
      <c r="N166" s="25"/>
      <c r="O166" s="16"/>
      <c r="P166" s="1"/>
      <c r="Q166" s="1"/>
      <c r="R166" s="1"/>
      <c r="S166" s="1"/>
      <c r="T166" s="1"/>
      <c r="U166" s="1"/>
      <c r="V166" s="16"/>
      <c r="W166" s="1"/>
      <c r="X166" s="1"/>
    </row>
    <row r="167" spans="1:24">
      <c r="A167" s="15"/>
      <c r="B167" s="15"/>
      <c r="C167" s="16"/>
      <c r="D167" s="16"/>
      <c r="E167" s="16"/>
      <c r="F167" s="16"/>
      <c r="G167" s="16"/>
      <c r="H167" s="16"/>
      <c r="I167" s="16"/>
      <c r="J167" s="16"/>
      <c r="K167" s="16"/>
      <c r="L167" s="16"/>
      <c r="M167" s="25"/>
      <c r="N167" s="25"/>
      <c r="O167" s="16"/>
      <c r="P167" s="1"/>
      <c r="Q167" s="1"/>
      <c r="R167" s="1"/>
      <c r="S167" s="1"/>
      <c r="T167" s="1"/>
      <c r="U167" s="1"/>
      <c r="V167" s="16"/>
      <c r="W167" s="1"/>
      <c r="X167" s="1"/>
    </row>
    <row r="168" spans="1:24">
      <c r="A168" s="15"/>
      <c r="B168" s="15"/>
      <c r="C168" s="16"/>
      <c r="D168" s="16"/>
      <c r="E168" s="16"/>
      <c r="F168" s="16"/>
      <c r="G168" s="16"/>
      <c r="H168" s="16"/>
      <c r="I168" s="16"/>
      <c r="J168" s="16"/>
      <c r="K168" s="16"/>
      <c r="L168" s="16"/>
      <c r="M168" s="25"/>
      <c r="N168" s="25"/>
      <c r="O168" s="16"/>
      <c r="P168" s="1"/>
      <c r="Q168" s="1"/>
      <c r="R168" s="1"/>
      <c r="S168" s="1"/>
      <c r="T168" s="1"/>
      <c r="U168" s="1"/>
      <c r="V168" s="16"/>
      <c r="W168" s="1"/>
      <c r="X168" s="1"/>
    </row>
    <row r="169" spans="1:24">
      <c r="A169" s="15"/>
      <c r="B169" s="15"/>
      <c r="C169" s="16"/>
      <c r="D169" s="16"/>
      <c r="E169" s="16"/>
      <c r="F169" s="16"/>
      <c r="G169" s="16"/>
      <c r="H169" s="16"/>
      <c r="I169" s="16"/>
      <c r="J169" s="16"/>
      <c r="K169" s="16"/>
      <c r="L169" s="16"/>
      <c r="M169" s="25"/>
      <c r="N169" s="25"/>
      <c r="O169" s="16"/>
      <c r="P169" s="1"/>
      <c r="Q169" s="1"/>
      <c r="R169" s="1"/>
      <c r="S169" s="1"/>
      <c r="T169" s="1"/>
      <c r="U169" s="1"/>
      <c r="V169" s="16"/>
      <c r="W169" s="1"/>
      <c r="X169" s="1"/>
    </row>
    <row r="170" spans="1:24">
      <c r="A170" s="15"/>
      <c r="B170" s="15"/>
      <c r="C170" s="16"/>
      <c r="D170" s="16"/>
      <c r="E170" s="16"/>
      <c r="F170" s="16"/>
      <c r="G170" s="16"/>
      <c r="H170" s="16"/>
      <c r="I170" s="16"/>
      <c r="J170" s="16"/>
      <c r="K170" s="16"/>
      <c r="L170" s="16"/>
      <c r="M170" s="25"/>
      <c r="N170" s="25"/>
      <c r="O170" s="16"/>
      <c r="P170" s="1"/>
      <c r="Q170" s="1"/>
      <c r="R170" s="1"/>
      <c r="S170" s="1"/>
      <c r="T170" s="1"/>
      <c r="U170" s="1"/>
      <c r="V170" s="16"/>
      <c r="W170" s="1"/>
      <c r="X170" s="1"/>
    </row>
    <row r="171" spans="1:24">
      <c r="A171" s="15"/>
      <c r="B171" s="15"/>
      <c r="C171" s="16"/>
      <c r="D171" s="16"/>
      <c r="E171" s="16"/>
      <c r="F171" s="16"/>
      <c r="G171" s="16"/>
      <c r="H171" s="16"/>
      <c r="I171" s="16"/>
      <c r="J171" s="16"/>
      <c r="K171" s="16"/>
      <c r="L171" s="16"/>
      <c r="M171" s="25"/>
      <c r="N171" s="25"/>
      <c r="O171" s="16"/>
      <c r="P171" s="1"/>
      <c r="Q171" s="1"/>
      <c r="R171" s="1"/>
      <c r="S171" s="1"/>
      <c r="T171" s="1"/>
      <c r="U171" s="1"/>
      <c r="V171" s="16"/>
      <c r="W171" s="1"/>
      <c r="X171" s="1"/>
    </row>
    <row r="172" spans="1:24">
      <c r="A172" s="15"/>
      <c r="B172" s="15"/>
      <c r="C172" s="16"/>
      <c r="D172" s="16"/>
      <c r="E172" s="16"/>
      <c r="F172" s="16"/>
      <c r="G172" s="16"/>
      <c r="H172" s="16"/>
      <c r="I172" s="16"/>
      <c r="J172" s="16"/>
      <c r="K172" s="16"/>
      <c r="L172" s="16"/>
      <c r="M172" s="25"/>
      <c r="N172" s="25"/>
      <c r="O172" s="16"/>
      <c r="P172" s="1"/>
      <c r="Q172" s="1"/>
      <c r="R172" s="1"/>
      <c r="S172" s="1"/>
      <c r="T172" s="1"/>
      <c r="U172" s="1"/>
      <c r="V172" s="16"/>
      <c r="W172" s="1"/>
      <c r="X172" s="1"/>
    </row>
    <row r="173" spans="1:24">
      <c r="A173" s="15"/>
      <c r="B173" s="15"/>
      <c r="C173" s="16"/>
      <c r="D173" s="16"/>
      <c r="E173" s="16"/>
      <c r="F173" s="16"/>
      <c r="G173" s="16"/>
      <c r="H173" s="16"/>
      <c r="I173" s="16"/>
      <c r="J173" s="16"/>
      <c r="K173" s="16"/>
      <c r="L173" s="16"/>
      <c r="M173" s="25"/>
      <c r="N173" s="25"/>
      <c r="O173" s="16"/>
      <c r="P173" s="1"/>
      <c r="Q173" s="1"/>
      <c r="R173" s="1"/>
      <c r="S173" s="1"/>
      <c r="T173" s="1"/>
      <c r="U173" s="1"/>
      <c r="V173" s="16"/>
      <c r="W173" s="1"/>
      <c r="X173" s="1"/>
    </row>
    <row r="174" spans="1:24">
      <c r="A174" s="15"/>
      <c r="B174" s="15"/>
      <c r="C174" s="16"/>
      <c r="D174" s="16"/>
      <c r="E174" s="16"/>
      <c r="F174" s="16"/>
      <c r="G174" s="16"/>
      <c r="H174" s="16"/>
      <c r="I174" s="16"/>
      <c r="J174" s="16"/>
      <c r="K174" s="16"/>
      <c r="L174" s="16"/>
      <c r="M174" s="25"/>
      <c r="N174" s="25"/>
      <c r="O174" s="16"/>
      <c r="P174" s="1"/>
      <c r="Q174" s="1"/>
      <c r="R174" s="1"/>
      <c r="S174" s="1"/>
      <c r="T174" s="1"/>
      <c r="U174" s="1"/>
      <c r="V174" s="16"/>
      <c r="W174" s="1"/>
      <c r="X174" s="1"/>
    </row>
    <row r="175" spans="1:24">
      <c r="A175" s="15"/>
      <c r="B175" s="15"/>
      <c r="C175" s="16"/>
      <c r="D175" s="16"/>
      <c r="E175" s="16"/>
      <c r="F175" s="16"/>
      <c r="G175" s="16"/>
      <c r="H175" s="16"/>
      <c r="I175" s="16"/>
      <c r="J175" s="16"/>
      <c r="K175" s="16"/>
      <c r="L175" s="16"/>
      <c r="M175" s="25"/>
      <c r="N175" s="25"/>
      <c r="O175" s="16"/>
      <c r="P175" s="1"/>
      <c r="Q175" s="1"/>
      <c r="R175" s="1"/>
      <c r="S175" s="1"/>
      <c r="T175" s="1"/>
      <c r="U175" s="1"/>
      <c r="V175" s="16"/>
      <c r="W175" s="1"/>
      <c r="X175" s="1"/>
    </row>
    <row r="176" spans="1:24">
      <c r="A176" s="15"/>
      <c r="B176" s="15"/>
      <c r="C176" s="16"/>
      <c r="D176" s="16"/>
      <c r="E176" s="16"/>
      <c r="F176" s="16"/>
      <c r="G176" s="16"/>
      <c r="H176" s="16"/>
      <c r="I176" s="16"/>
      <c r="J176" s="16"/>
      <c r="K176" s="16"/>
      <c r="L176" s="16"/>
      <c r="M176" s="25"/>
      <c r="N176" s="25"/>
      <c r="O176" s="16"/>
      <c r="P176" s="1"/>
      <c r="Q176" s="1"/>
      <c r="R176" s="1"/>
      <c r="S176" s="1"/>
      <c r="T176" s="1"/>
      <c r="U176" s="1"/>
      <c r="V176" s="16"/>
      <c r="W176" s="1"/>
      <c r="X176" s="1"/>
    </row>
    <row r="177" spans="1:24">
      <c r="A177" s="15"/>
      <c r="B177" s="15"/>
      <c r="C177" s="16"/>
      <c r="D177" s="16"/>
      <c r="E177" s="16"/>
      <c r="F177" s="16"/>
      <c r="G177" s="16"/>
      <c r="H177" s="16"/>
      <c r="I177" s="16"/>
      <c r="J177" s="16"/>
      <c r="K177" s="16"/>
      <c r="L177" s="16"/>
      <c r="M177" s="25"/>
      <c r="N177" s="25"/>
      <c r="O177" s="16"/>
      <c r="P177" s="1"/>
      <c r="Q177" s="1"/>
      <c r="R177" s="1"/>
      <c r="S177" s="1"/>
      <c r="T177" s="1"/>
      <c r="U177" s="1"/>
      <c r="V177" s="16"/>
      <c r="W177" s="1"/>
      <c r="X177" s="1"/>
    </row>
    <row r="178" spans="1:24">
      <c r="A178" s="15"/>
      <c r="B178" s="15"/>
      <c r="C178" s="16"/>
      <c r="D178" s="16"/>
      <c r="E178" s="16"/>
      <c r="F178" s="16"/>
      <c r="G178" s="16"/>
      <c r="H178" s="16"/>
      <c r="I178" s="16"/>
      <c r="J178" s="16"/>
      <c r="K178" s="16"/>
      <c r="L178" s="16"/>
      <c r="M178" s="25"/>
      <c r="N178" s="25"/>
      <c r="O178" s="16"/>
      <c r="P178" s="1"/>
      <c r="Q178" s="1"/>
      <c r="R178" s="1"/>
      <c r="S178" s="1"/>
      <c r="T178" s="1"/>
      <c r="U178" s="1"/>
      <c r="V178" s="16"/>
      <c r="W178" s="1"/>
      <c r="X178" s="1"/>
    </row>
    <row r="179" spans="1:24">
      <c r="A179" s="15"/>
      <c r="B179" s="15"/>
      <c r="C179" s="16"/>
      <c r="D179" s="16"/>
      <c r="E179" s="16"/>
      <c r="F179" s="16"/>
      <c r="G179" s="16"/>
      <c r="H179" s="16"/>
      <c r="I179" s="16"/>
      <c r="J179" s="16"/>
      <c r="K179" s="16"/>
      <c r="L179" s="16"/>
      <c r="M179" s="25"/>
      <c r="N179" s="25"/>
      <c r="O179" s="16"/>
      <c r="P179" s="1"/>
      <c r="Q179" s="1"/>
      <c r="R179" s="1"/>
      <c r="S179" s="1"/>
      <c r="T179" s="1"/>
      <c r="U179" s="1"/>
      <c r="V179" s="16"/>
      <c r="W179" s="1"/>
      <c r="X179" s="1"/>
    </row>
    <row r="180" spans="1:24">
      <c r="A180" s="15"/>
      <c r="B180" s="15"/>
      <c r="C180" s="16"/>
      <c r="D180" s="16"/>
      <c r="E180" s="16"/>
      <c r="F180" s="16"/>
      <c r="G180" s="16"/>
      <c r="H180" s="16"/>
      <c r="I180" s="16"/>
      <c r="J180" s="16"/>
      <c r="K180" s="16"/>
      <c r="L180" s="16"/>
      <c r="M180" s="25"/>
      <c r="N180" s="25"/>
      <c r="O180" s="16"/>
      <c r="P180" s="1"/>
      <c r="Q180" s="1"/>
      <c r="R180" s="1"/>
      <c r="S180" s="1"/>
      <c r="T180" s="1"/>
      <c r="U180" s="1"/>
      <c r="V180" s="16"/>
      <c r="W180" s="1"/>
      <c r="X180" s="1"/>
    </row>
    <row r="181" spans="1:24">
      <c r="A181" s="15"/>
      <c r="B181" s="15"/>
      <c r="C181" s="16"/>
      <c r="D181" s="16"/>
      <c r="E181" s="16"/>
      <c r="F181" s="16"/>
      <c r="G181" s="16"/>
      <c r="H181" s="16"/>
      <c r="I181" s="16"/>
      <c r="J181" s="16"/>
      <c r="K181" s="16"/>
      <c r="L181" s="16"/>
      <c r="M181" s="25"/>
      <c r="N181" s="25"/>
      <c r="O181" s="16"/>
      <c r="P181" s="1"/>
      <c r="Q181" s="1"/>
      <c r="R181" s="1"/>
      <c r="S181" s="1"/>
      <c r="T181" s="1"/>
      <c r="U181" s="1"/>
      <c r="V181" s="16"/>
      <c r="W181" s="1"/>
      <c r="X181" s="1"/>
    </row>
    <row r="182" spans="1:24">
      <c r="A182" s="15"/>
      <c r="B182" s="15"/>
      <c r="C182" s="16"/>
      <c r="D182" s="16"/>
      <c r="E182" s="16"/>
      <c r="F182" s="16"/>
      <c r="G182" s="16"/>
      <c r="H182" s="16"/>
      <c r="I182" s="16"/>
      <c r="J182" s="16"/>
      <c r="K182" s="16"/>
      <c r="L182" s="16"/>
      <c r="M182" s="25"/>
      <c r="N182" s="25"/>
      <c r="O182" s="16"/>
      <c r="P182" s="1"/>
      <c r="Q182" s="1"/>
      <c r="R182" s="1"/>
      <c r="S182" s="1"/>
      <c r="T182" s="1"/>
      <c r="U182" s="1"/>
      <c r="V182" s="16"/>
      <c r="W182" s="1"/>
      <c r="X182" s="1"/>
    </row>
    <row r="183" spans="1:24">
      <c r="A183" s="15"/>
      <c r="B183" s="15"/>
      <c r="C183" s="16"/>
      <c r="D183" s="16"/>
      <c r="E183" s="16"/>
      <c r="F183" s="16"/>
      <c r="G183" s="16"/>
      <c r="H183" s="16"/>
      <c r="I183" s="16"/>
      <c r="J183" s="16"/>
      <c r="K183" s="16"/>
      <c r="L183" s="16"/>
      <c r="M183" s="25"/>
      <c r="N183" s="25"/>
      <c r="O183" s="16"/>
      <c r="P183" s="1"/>
      <c r="Q183" s="1"/>
      <c r="R183" s="1"/>
      <c r="S183" s="1"/>
      <c r="T183" s="1"/>
      <c r="U183" s="1"/>
      <c r="V183" s="16"/>
      <c r="W183" s="1"/>
      <c r="X183" s="1"/>
    </row>
    <row r="184" spans="1:24">
      <c r="A184" s="15"/>
      <c r="B184" s="15"/>
      <c r="C184" s="16"/>
      <c r="D184" s="16"/>
      <c r="E184" s="16"/>
      <c r="F184" s="16"/>
      <c r="G184" s="16"/>
      <c r="H184" s="16"/>
      <c r="I184" s="16"/>
      <c r="J184" s="16"/>
      <c r="K184" s="16"/>
      <c r="L184" s="16"/>
      <c r="M184" s="25"/>
      <c r="N184" s="25"/>
      <c r="O184" s="16"/>
      <c r="P184" s="1"/>
      <c r="Q184" s="1"/>
      <c r="R184" s="1"/>
      <c r="S184" s="1"/>
      <c r="T184" s="1"/>
      <c r="U184" s="1"/>
      <c r="V184" s="16"/>
      <c r="W184" s="1"/>
      <c r="X184" s="1"/>
    </row>
    <row r="185" spans="1:24">
      <c r="A185" s="15"/>
      <c r="B185" s="15"/>
      <c r="C185" s="16"/>
      <c r="D185" s="16"/>
      <c r="E185" s="16"/>
      <c r="F185" s="16"/>
      <c r="G185" s="16"/>
      <c r="H185" s="16"/>
      <c r="I185" s="16"/>
      <c r="J185" s="16"/>
      <c r="K185" s="16"/>
      <c r="L185" s="16"/>
      <c r="M185" s="25"/>
      <c r="N185" s="25"/>
      <c r="O185" s="16"/>
      <c r="P185" s="1"/>
      <c r="Q185" s="1"/>
      <c r="R185" s="1"/>
      <c r="S185" s="1"/>
      <c r="T185" s="1"/>
      <c r="U185" s="1"/>
      <c r="V185" s="16"/>
      <c r="W185" s="1"/>
      <c r="X185" s="1"/>
    </row>
    <row r="186" spans="1:24">
      <c r="A186" s="15"/>
      <c r="B186" s="15"/>
      <c r="C186" s="16"/>
      <c r="D186" s="16"/>
      <c r="E186" s="16"/>
      <c r="F186" s="16"/>
      <c r="G186" s="16"/>
      <c r="H186" s="16"/>
      <c r="I186" s="16"/>
      <c r="J186" s="16"/>
      <c r="K186" s="16"/>
      <c r="L186" s="16"/>
      <c r="M186" s="25"/>
      <c r="N186" s="25"/>
      <c r="O186" s="16"/>
      <c r="P186" s="1"/>
      <c r="Q186" s="1"/>
      <c r="R186" s="1"/>
      <c r="S186" s="1"/>
      <c r="T186" s="1"/>
      <c r="U186" s="1"/>
      <c r="V186" s="16"/>
      <c r="W186" s="1"/>
      <c r="X186" s="1"/>
    </row>
    <row r="187" spans="1:24">
      <c r="A187" s="15"/>
      <c r="B187" s="15"/>
      <c r="C187" s="16"/>
      <c r="D187" s="16"/>
      <c r="E187" s="16"/>
      <c r="F187" s="16"/>
      <c r="G187" s="16"/>
      <c r="H187" s="16"/>
      <c r="I187" s="16"/>
      <c r="J187" s="16"/>
      <c r="K187" s="16"/>
      <c r="L187" s="16"/>
      <c r="M187" s="25"/>
      <c r="N187" s="25"/>
      <c r="O187" s="16"/>
      <c r="P187" s="1"/>
      <c r="Q187" s="1"/>
      <c r="R187" s="1"/>
      <c r="S187" s="1"/>
      <c r="T187" s="1"/>
      <c r="U187" s="1"/>
      <c r="V187" s="16"/>
      <c r="W187" s="1"/>
      <c r="X187" s="1"/>
    </row>
    <row r="188" spans="1:24">
      <c r="A188" s="15"/>
      <c r="B188" s="15"/>
      <c r="C188" s="16"/>
      <c r="D188" s="16"/>
      <c r="E188" s="16"/>
      <c r="F188" s="16"/>
      <c r="G188" s="16"/>
      <c r="H188" s="16"/>
      <c r="I188" s="16"/>
      <c r="J188" s="16"/>
      <c r="K188" s="16"/>
      <c r="L188" s="16"/>
      <c r="M188" s="25"/>
      <c r="N188" s="25"/>
      <c r="O188" s="16"/>
      <c r="P188" s="1"/>
      <c r="Q188" s="1"/>
      <c r="R188" s="1"/>
      <c r="S188" s="1"/>
      <c r="T188" s="1"/>
      <c r="U188" s="1"/>
      <c r="V188" s="16"/>
      <c r="W188" s="1"/>
      <c r="X188" s="1"/>
    </row>
    <row r="189" spans="1:24">
      <c r="A189" s="15"/>
      <c r="B189" s="15"/>
      <c r="C189" s="16"/>
      <c r="D189" s="16"/>
      <c r="E189" s="16"/>
      <c r="F189" s="16"/>
      <c r="G189" s="16"/>
      <c r="H189" s="16"/>
      <c r="I189" s="16"/>
      <c r="J189" s="16"/>
      <c r="K189" s="16"/>
      <c r="L189" s="16"/>
      <c r="M189" s="25"/>
      <c r="N189" s="25"/>
      <c r="O189" s="16"/>
      <c r="P189" s="1"/>
      <c r="Q189" s="1"/>
      <c r="R189" s="1"/>
      <c r="S189" s="1"/>
      <c r="T189" s="1"/>
      <c r="U189" s="1"/>
      <c r="V189" s="16"/>
      <c r="W189" s="1"/>
      <c r="X189" s="1"/>
    </row>
    <row r="190" spans="1:24">
      <c r="A190" s="15"/>
      <c r="B190" s="15"/>
      <c r="C190" s="16"/>
      <c r="D190" s="16"/>
      <c r="E190" s="16"/>
      <c r="F190" s="16"/>
      <c r="G190" s="16"/>
      <c r="H190" s="16"/>
      <c r="I190" s="16"/>
      <c r="J190" s="16"/>
      <c r="K190" s="16"/>
      <c r="L190" s="16"/>
      <c r="M190" s="25"/>
      <c r="N190" s="25"/>
      <c r="O190" s="16"/>
      <c r="P190" s="1"/>
      <c r="Q190" s="1"/>
      <c r="R190" s="1"/>
      <c r="S190" s="1"/>
      <c r="T190" s="1"/>
      <c r="U190" s="1"/>
      <c r="V190" s="16"/>
      <c r="W190" s="1"/>
      <c r="X190" s="1"/>
    </row>
    <row r="191" spans="1:24">
      <c r="A191" s="15"/>
      <c r="B191" s="15"/>
      <c r="C191" s="16"/>
      <c r="D191" s="16"/>
      <c r="E191" s="16"/>
      <c r="F191" s="16"/>
      <c r="G191" s="16"/>
      <c r="H191" s="16"/>
      <c r="I191" s="16"/>
      <c r="J191" s="16"/>
      <c r="K191" s="16"/>
      <c r="L191" s="16"/>
      <c r="M191" s="25"/>
      <c r="N191" s="25"/>
      <c r="O191" s="16"/>
      <c r="P191" s="1"/>
      <c r="Q191" s="1"/>
      <c r="R191" s="1"/>
      <c r="S191" s="1"/>
      <c r="T191" s="1"/>
      <c r="U191" s="1"/>
      <c r="V191" s="16"/>
      <c r="W191" s="1"/>
      <c r="X191" s="1"/>
    </row>
    <row r="192" spans="1:24">
      <c r="A192" s="15"/>
      <c r="B192" s="15"/>
      <c r="C192" s="16"/>
      <c r="D192" s="16"/>
      <c r="E192" s="16"/>
      <c r="F192" s="16"/>
      <c r="G192" s="16"/>
      <c r="H192" s="16"/>
      <c r="I192" s="16"/>
      <c r="J192" s="16"/>
      <c r="K192" s="16"/>
      <c r="L192" s="16"/>
      <c r="M192" s="25"/>
      <c r="N192" s="25"/>
      <c r="O192" s="16"/>
      <c r="P192" s="1"/>
      <c r="Q192" s="1"/>
      <c r="R192" s="1"/>
      <c r="S192" s="1"/>
      <c r="T192" s="1"/>
      <c r="U192" s="1"/>
      <c r="V192" s="16"/>
      <c r="W192" s="1"/>
      <c r="X192" s="1"/>
    </row>
    <row r="193" spans="1:24">
      <c r="A193" s="15"/>
      <c r="B193" s="15"/>
      <c r="C193" s="16"/>
      <c r="D193" s="16"/>
      <c r="E193" s="16"/>
      <c r="F193" s="16"/>
      <c r="G193" s="16"/>
      <c r="H193" s="16"/>
      <c r="I193" s="16"/>
      <c r="J193" s="16"/>
      <c r="K193" s="16"/>
      <c r="L193" s="16"/>
      <c r="M193" s="25"/>
      <c r="N193" s="25"/>
      <c r="O193" s="16"/>
      <c r="P193" s="1"/>
      <c r="Q193" s="1"/>
      <c r="R193" s="1"/>
      <c r="S193" s="1"/>
      <c r="T193" s="1"/>
      <c r="U193" s="1"/>
      <c r="V193" s="16"/>
      <c r="W193" s="1"/>
      <c r="X193" s="1"/>
    </row>
    <row r="194" spans="1:24">
      <c r="A194" s="15"/>
      <c r="B194" s="15"/>
      <c r="C194" s="16"/>
      <c r="D194" s="16"/>
      <c r="E194" s="16"/>
      <c r="F194" s="16"/>
      <c r="G194" s="16"/>
      <c r="H194" s="16"/>
      <c r="I194" s="16"/>
      <c r="J194" s="16"/>
      <c r="K194" s="16"/>
      <c r="L194" s="16"/>
      <c r="M194" s="25"/>
      <c r="N194" s="25"/>
      <c r="O194" s="16"/>
      <c r="P194" s="1"/>
      <c r="Q194" s="1"/>
      <c r="R194" s="1"/>
      <c r="S194" s="1"/>
      <c r="T194" s="1"/>
      <c r="U194" s="1"/>
      <c r="V194" s="16"/>
      <c r="W194" s="1"/>
      <c r="X194" s="1"/>
    </row>
    <row r="195" spans="1:24">
      <c r="A195" s="15"/>
      <c r="B195" s="15"/>
      <c r="C195" s="16"/>
      <c r="D195" s="16"/>
      <c r="E195" s="16"/>
      <c r="F195" s="16"/>
      <c r="G195" s="16"/>
      <c r="H195" s="16"/>
      <c r="I195" s="16"/>
      <c r="J195" s="16"/>
      <c r="K195" s="16"/>
      <c r="L195" s="16"/>
      <c r="M195" s="25"/>
      <c r="N195" s="25"/>
      <c r="O195" s="16"/>
      <c r="P195" s="1"/>
      <c r="Q195" s="1"/>
      <c r="R195" s="1"/>
      <c r="S195" s="1"/>
      <c r="T195" s="1"/>
      <c r="U195" s="1"/>
      <c r="V195" s="16"/>
      <c r="W195" s="1"/>
      <c r="X195" s="1"/>
    </row>
    <row r="196" spans="1:24">
      <c r="A196" s="15"/>
      <c r="B196" s="15"/>
      <c r="C196" s="16"/>
      <c r="D196" s="16"/>
      <c r="E196" s="16"/>
      <c r="F196" s="16"/>
      <c r="G196" s="16"/>
      <c r="H196" s="16"/>
      <c r="I196" s="16"/>
      <c r="J196" s="16"/>
      <c r="K196" s="16"/>
      <c r="L196" s="16"/>
      <c r="M196" s="25"/>
      <c r="N196" s="25"/>
      <c r="O196" s="16"/>
      <c r="P196" s="1"/>
      <c r="Q196" s="1"/>
      <c r="R196" s="1"/>
      <c r="S196" s="1"/>
      <c r="T196" s="1"/>
      <c r="U196" s="1"/>
      <c r="V196" s="16"/>
      <c r="W196" s="1"/>
      <c r="X196" s="1"/>
    </row>
    <row r="197" spans="1:24">
      <c r="A197" s="15"/>
      <c r="B197" s="15"/>
      <c r="C197" s="16"/>
      <c r="D197" s="16"/>
      <c r="E197" s="16"/>
      <c r="F197" s="16"/>
      <c r="G197" s="16"/>
      <c r="H197" s="16"/>
      <c r="I197" s="16"/>
      <c r="J197" s="16"/>
      <c r="K197" s="16"/>
      <c r="L197" s="16"/>
      <c r="M197" s="25"/>
      <c r="N197" s="25"/>
      <c r="O197" s="16"/>
      <c r="P197" s="1"/>
      <c r="Q197" s="1"/>
      <c r="R197" s="1"/>
      <c r="S197" s="1"/>
      <c r="T197" s="1"/>
      <c r="U197" s="1"/>
      <c r="V197" s="16"/>
      <c r="W197" s="1"/>
      <c r="X197" s="1"/>
    </row>
    <row r="198" spans="1:24">
      <c r="A198" s="15"/>
      <c r="B198" s="15"/>
      <c r="C198" s="16"/>
      <c r="D198" s="16"/>
      <c r="E198" s="16"/>
      <c r="F198" s="16"/>
      <c r="G198" s="16"/>
      <c r="H198" s="16"/>
      <c r="I198" s="16"/>
      <c r="J198" s="16"/>
      <c r="K198" s="16"/>
      <c r="L198" s="16"/>
      <c r="M198" s="25"/>
      <c r="N198" s="25"/>
      <c r="O198" s="16"/>
      <c r="P198" s="1"/>
      <c r="Q198" s="1"/>
      <c r="R198" s="1"/>
      <c r="S198" s="1"/>
      <c r="T198" s="1"/>
      <c r="U198" s="1"/>
      <c r="V198" s="16"/>
      <c r="W198" s="1"/>
      <c r="X198" s="1"/>
    </row>
    <row r="199" spans="1:24">
      <c r="A199" s="15"/>
      <c r="B199" s="15"/>
      <c r="C199" s="16"/>
      <c r="D199" s="16"/>
      <c r="E199" s="16"/>
      <c r="F199" s="16"/>
      <c r="G199" s="16"/>
      <c r="H199" s="16"/>
      <c r="I199" s="16"/>
      <c r="J199" s="16"/>
      <c r="K199" s="16"/>
      <c r="L199" s="16"/>
      <c r="M199" s="25"/>
      <c r="N199" s="25"/>
      <c r="O199" s="16"/>
      <c r="P199" s="1"/>
      <c r="Q199" s="1"/>
      <c r="R199" s="1"/>
      <c r="S199" s="1"/>
      <c r="T199" s="1"/>
      <c r="U199" s="1"/>
      <c r="V199" s="16"/>
      <c r="W199" s="1"/>
      <c r="X199" s="1"/>
    </row>
    <row r="200" spans="1:24">
      <c r="A200" s="15"/>
      <c r="B200" s="15"/>
      <c r="C200" s="16"/>
      <c r="D200" s="16"/>
      <c r="E200" s="16"/>
      <c r="F200" s="16"/>
      <c r="G200" s="16"/>
      <c r="H200" s="16"/>
      <c r="I200" s="16"/>
      <c r="J200" s="16"/>
      <c r="K200" s="16"/>
      <c r="L200" s="16"/>
      <c r="M200" s="25"/>
      <c r="N200" s="25"/>
      <c r="O200" s="16"/>
      <c r="P200" s="1"/>
      <c r="Q200" s="1"/>
      <c r="R200" s="1"/>
      <c r="S200" s="1"/>
      <c r="T200" s="1"/>
      <c r="U200" s="1"/>
      <c r="V200" s="16"/>
      <c r="W200" s="1"/>
      <c r="X200" s="1"/>
    </row>
    <row r="201" spans="1:24">
      <c r="A201" s="15"/>
      <c r="B201" s="15"/>
      <c r="C201" s="16"/>
      <c r="D201" s="16"/>
      <c r="E201" s="16"/>
      <c r="F201" s="16"/>
      <c r="G201" s="16"/>
      <c r="H201" s="16"/>
      <c r="I201" s="16"/>
      <c r="J201" s="16"/>
      <c r="K201" s="16"/>
      <c r="L201" s="16"/>
      <c r="M201" s="25"/>
      <c r="N201" s="25"/>
      <c r="O201" s="16"/>
      <c r="P201" s="1"/>
      <c r="Q201" s="1"/>
      <c r="R201" s="1"/>
      <c r="S201" s="1"/>
      <c r="T201" s="1"/>
      <c r="U201" s="1"/>
      <c r="V201" s="16"/>
      <c r="W201" s="1"/>
      <c r="X201" s="1"/>
    </row>
    <row r="202" spans="1:24">
      <c r="A202" s="15"/>
      <c r="B202" s="15"/>
      <c r="C202" s="16"/>
      <c r="D202" s="16"/>
      <c r="E202" s="16"/>
      <c r="F202" s="16"/>
      <c r="G202" s="16"/>
      <c r="H202" s="16"/>
      <c r="I202" s="16"/>
      <c r="J202" s="16"/>
      <c r="K202" s="16"/>
      <c r="L202" s="16"/>
      <c r="M202" s="25"/>
      <c r="N202" s="25"/>
      <c r="O202" s="16"/>
      <c r="P202" s="1"/>
      <c r="Q202" s="1"/>
      <c r="R202" s="1"/>
      <c r="S202" s="1"/>
      <c r="T202" s="1"/>
      <c r="U202" s="1"/>
      <c r="V202" s="16"/>
      <c r="W202" s="1"/>
      <c r="X202" s="1"/>
    </row>
    <row r="203" spans="1:24">
      <c r="A203" s="15"/>
      <c r="B203" s="15"/>
      <c r="C203" s="16"/>
      <c r="D203" s="16"/>
      <c r="E203" s="16"/>
      <c r="F203" s="16"/>
      <c r="G203" s="16"/>
      <c r="H203" s="16"/>
      <c r="I203" s="16"/>
      <c r="J203" s="16"/>
      <c r="K203" s="16"/>
      <c r="L203" s="16"/>
      <c r="M203" s="25"/>
      <c r="N203" s="25"/>
      <c r="O203" s="16"/>
      <c r="P203" s="1"/>
      <c r="Q203" s="1"/>
      <c r="R203" s="1"/>
      <c r="S203" s="1"/>
      <c r="T203" s="1"/>
      <c r="U203" s="1"/>
      <c r="V203" s="16"/>
      <c r="W203" s="1"/>
      <c r="X203" s="1"/>
    </row>
    <row r="204" spans="1:24">
      <c r="A204" s="15"/>
      <c r="B204" s="15"/>
      <c r="C204" s="16"/>
      <c r="D204" s="16"/>
      <c r="E204" s="16"/>
      <c r="F204" s="16"/>
      <c r="G204" s="16"/>
      <c r="H204" s="16"/>
      <c r="I204" s="16"/>
      <c r="J204" s="16"/>
      <c r="K204" s="16"/>
      <c r="L204" s="16"/>
      <c r="M204" s="25"/>
      <c r="N204" s="25"/>
      <c r="O204" s="16"/>
      <c r="P204" s="1"/>
      <c r="Q204" s="1"/>
      <c r="R204" s="1"/>
      <c r="S204" s="1"/>
      <c r="T204" s="1"/>
      <c r="U204" s="1"/>
      <c r="V204" s="16"/>
      <c r="W204" s="1"/>
      <c r="X204" s="1"/>
    </row>
    <row r="205" spans="1:24">
      <c r="A205" s="15"/>
      <c r="B205" s="15"/>
      <c r="C205" s="16"/>
      <c r="D205" s="16"/>
      <c r="E205" s="16"/>
      <c r="F205" s="16"/>
      <c r="G205" s="16"/>
      <c r="H205" s="16"/>
      <c r="I205" s="16"/>
      <c r="J205" s="16"/>
      <c r="K205" s="16"/>
      <c r="L205" s="16"/>
      <c r="M205" s="25"/>
      <c r="N205" s="25"/>
      <c r="O205" s="16"/>
      <c r="P205" s="1"/>
      <c r="Q205" s="1"/>
      <c r="R205" s="1"/>
      <c r="S205" s="1"/>
      <c r="T205" s="1"/>
      <c r="U205" s="1"/>
      <c r="V205" s="16"/>
      <c r="W205" s="1"/>
      <c r="X205" s="1"/>
    </row>
    <row r="206" spans="1:24">
      <c r="A206" s="15"/>
      <c r="B206" s="15"/>
      <c r="C206" s="16"/>
      <c r="D206" s="16"/>
      <c r="E206" s="16"/>
      <c r="F206" s="16"/>
      <c r="G206" s="16"/>
      <c r="H206" s="16"/>
      <c r="I206" s="16"/>
      <c r="J206" s="16"/>
      <c r="K206" s="16"/>
      <c r="L206" s="16"/>
      <c r="M206" s="25"/>
      <c r="N206" s="25"/>
      <c r="O206" s="16"/>
      <c r="P206" s="1"/>
      <c r="Q206" s="1"/>
      <c r="R206" s="1"/>
      <c r="S206" s="1"/>
      <c r="T206" s="1"/>
      <c r="U206" s="1"/>
      <c r="V206" s="16"/>
      <c r="W206" s="1"/>
      <c r="X206" s="1"/>
    </row>
    <row r="207" spans="1:24">
      <c r="A207" s="15"/>
      <c r="B207" s="15"/>
      <c r="C207" s="16"/>
      <c r="D207" s="16"/>
      <c r="E207" s="16"/>
      <c r="F207" s="16"/>
      <c r="G207" s="16"/>
      <c r="H207" s="16"/>
      <c r="I207" s="16"/>
      <c r="J207" s="16"/>
      <c r="K207" s="16"/>
      <c r="L207" s="16"/>
      <c r="M207" s="25"/>
      <c r="N207" s="25"/>
      <c r="O207" s="16"/>
      <c r="P207" s="1"/>
      <c r="Q207" s="1"/>
      <c r="R207" s="1"/>
      <c r="S207" s="1"/>
      <c r="T207" s="1"/>
      <c r="U207" s="1"/>
      <c r="V207" s="16"/>
      <c r="W207" s="1"/>
      <c r="X207" s="1"/>
    </row>
    <row r="208" spans="1:24">
      <c r="A208" s="15"/>
      <c r="B208" s="15"/>
      <c r="C208" s="16"/>
      <c r="D208" s="16"/>
      <c r="E208" s="16"/>
      <c r="F208" s="16"/>
      <c r="G208" s="16"/>
      <c r="H208" s="16"/>
      <c r="I208" s="16"/>
      <c r="J208" s="16"/>
      <c r="K208" s="16"/>
      <c r="L208" s="16"/>
      <c r="M208" s="25"/>
      <c r="N208" s="25"/>
      <c r="O208" s="16"/>
      <c r="P208" s="1"/>
      <c r="Q208" s="1"/>
      <c r="R208" s="1"/>
      <c r="S208" s="1"/>
      <c r="T208" s="1"/>
      <c r="U208" s="1"/>
      <c r="V208" s="16"/>
      <c r="W208" s="1"/>
      <c r="X208" s="1"/>
    </row>
    <row r="209" spans="1:24">
      <c r="A209" s="15"/>
      <c r="B209" s="15"/>
      <c r="C209" s="16"/>
      <c r="D209" s="16"/>
      <c r="E209" s="16"/>
      <c r="F209" s="16"/>
      <c r="G209" s="16"/>
      <c r="H209" s="16"/>
      <c r="I209" s="16"/>
      <c r="J209" s="16"/>
      <c r="K209" s="16"/>
      <c r="L209" s="16"/>
      <c r="M209" s="25"/>
      <c r="N209" s="25"/>
      <c r="O209" s="16"/>
      <c r="P209" s="1"/>
      <c r="Q209" s="1"/>
      <c r="R209" s="1"/>
      <c r="S209" s="1"/>
      <c r="T209" s="1"/>
      <c r="U209" s="1"/>
      <c r="V209" s="16"/>
      <c r="W209" s="1"/>
      <c r="X209" s="1"/>
    </row>
    <row r="210" spans="1:24">
      <c r="A210" s="15"/>
      <c r="B210" s="15"/>
      <c r="C210" s="16"/>
      <c r="D210" s="16"/>
      <c r="E210" s="16"/>
      <c r="F210" s="16"/>
      <c r="G210" s="16"/>
      <c r="H210" s="16"/>
      <c r="I210" s="16"/>
      <c r="J210" s="16"/>
      <c r="K210" s="16"/>
      <c r="L210" s="16"/>
      <c r="M210" s="25"/>
      <c r="N210" s="25"/>
      <c r="O210" s="16"/>
      <c r="P210" s="1"/>
      <c r="Q210" s="1"/>
      <c r="R210" s="1"/>
      <c r="S210" s="1"/>
      <c r="T210" s="1"/>
      <c r="U210" s="1"/>
      <c r="V210" s="16"/>
      <c r="W210" s="1"/>
      <c r="X210" s="1"/>
    </row>
    <row r="211" spans="1:24">
      <c r="A211" s="15"/>
      <c r="B211" s="15"/>
      <c r="C211" s="16"/>
      <c r="D211" s="16"/>
      <c r="E211" s="16"/>
      <c r="F211" s="16"/>
      <c r="G211" s="16"/>
      <c r="H211" s="16"/>
      <c r="I211" s="16"/>
      <c r="J211" s="16"/>
      <c r="K211" s="16"/>
      <c r="L211" s="16"/>
      <c r="M211" s="25"/>
      <c r="N211" s="25"/>
      <c r="O211" s="16"/>
      <c r="P211" s="1"/>
      <c r="Q211" s="1"/>
      <c r="R211" s="1"/>
      <c r="S211" s="1"/>
      <c r="T211" s="1"/>
      <c r="U211" s="1"/>
      <c r="V211" s="16"/>
      <c r="W211" s="1"/>
      <c r="X211" s="1"/>
    </row>
    <row r="212" spans="1:24">
      <c r="A212" s="15"/>
      <c r="B212" s="15"/>
      <c r="C212" s="16"/>
      <c r="D212" s="16"/>
      <c r="E212" s="16"/>
      <c r="F212" s="16"/>
      <c r="G212" s="16"/>
      <c r="H212" s="16"/>
      <c r="I212" s="16"/>
      <c r="J212" s="16"/>
      <c r="K212" s="16"/>
      <c r="L212" s="16"/>
      <c r="M212" s="25"/>
      <c r="N212" s="25"/>
      <c r="O212" s="16"/>
      <c r="P212" s="1"/>
      <c r="Q212" s="1"/>
      <c r="R212" s="1"/>
      <c r="S212" s="1"/>
      <c r="T212" s="1"/>
      <c r="U212" s="1"/>
      <c r="V212" s="16"/>
      <c r="W212" s="1"/>
      <c r="X212" s="1"/>
    </row>
    <row r="213" spans="1:24">
      <c r="A213" s="15"/>
      <c r="B213" s="15"/>
      <c r="C213" s="16"/>
      <c r="D213" s="16"/>
      <c r="E213" s="16"/>
      <c r="F213" s="16"/>
      <c r="G213" s="16"/>
      <c r="H213" s="16"/>
      <c r="I213" s="16"/>
      <c r="J213" s="16"/>
      <c r="K213" s="16"/>
      <c r="L213" s="16"/>
      <c r="M213" s="25"/>
      <c r="N213" s="25"/>
      <c r="O213" s="16"/>
      <c r="P213" s="1"/>
      <c r="Q213" s="1"/>
      <c r="R213" s="1"/>
      <c r="S213" s="1"/>
      <c r="T213" s="1"/>
      <c r="U213" s="1"/>
      <c r="V213" s="16"/>
      <c r="W213" s="1"/>
      <c r="X213" s="1"/>
    </row>
    <row r="214" spans="1:24">
      <c r="A214" s="15"/>
      <c r="B214" s="15"/>
      <c r="C214" s="16"/>
      <c r="D214" s="16"/>
      <c r="E214" s="16"/>
      <c r="F214" s="16"/>
      <c r="G214" s="16"/>
      <c r="H214" s="16"/>
      <c r="I214" s="16"/>
      <c r="J214" s="16"/>
      <c r="K214" s="16"/>
      <c r="L214" s="16"/>
      <c r="M214" s="25"/>
      <c r="N214" s="25"/>
      <c r="O214" s="16"/>
      <c r="P214" s="1"/>
      <c r="Q214" s="1"/>
      <c r="R214" s="1"/>
      <c r="S214" s="1"/>
      <c r="T214" s="1"/>
      <c r="U214" s="1"/>
      <c r="V214" s="16"/>
      <c r="W214" s="1"/>
      <c r="X214" s="1"/>
    </row>
    <row r="215" spans="1:24">
      <c r="A215" s="15"/>
      <c r="B215" s="15"/>
      <c r="C215" s="16"/>
      <c r="D215" s="16"/>
      <c r="E215" s="16"/>
      <c r="F215" s="16"/>
      <c r="G215" s="16"/>
      <c r="H215" s="16"/>
      <c r="I215" s="16"/>
      <c r="J215" s="16"/>
      <c r="K215" s="16"/>
      <c r="L215" s="16"/>
      <c r="M215" s="25"/>
      <c r="N215" s="25"/>
      <c r="O215" s="16"/>
      <c r="P215" s="1"/>
      <c r="Q215" s="1"/>
      <c r="R215" s="1"/>
      <c r="S215" s="1"/>
      <c r="T215" s="1"/>
      <c r="U215" s="1"/>
      <c r="V215" s="16"/>
      <c r="W215" s="1"/>
      <c r="X215" s="1"/>
    </row>
    <row r="216" spans="1:24">
      <c r="A216" s="15"/>
      <c r="B216" s="15"/>
      <c r="C216" s="16"/>
      <c r="D216" s="16"/>
      <c r="E216" s="16"/>
      <c r="F216" s="16"/>
      <c r="G216" s="16"/>
      <c r="H216" s="16"/>
      <c r="I216" s="16"/>
      <c r="J216" s="16"/>
      <c r="K216" s="16"/>
      <c r="L216" s="16"/>
      <c r="M216" s="25"/>
      <c r="N216" s="25"/>
      <c r="O216" s="16"/>
      <c r="P216" s="1"/>
      <c r="Q216" s="1"/>
      <c r="R216" s="1"/>
      <c r="S216" s="1"/>
      <c r="T216" s="1"/>
      <c r="U216" s="1"/>
      <c r="V216" s="16"/>
      <c r="W216" s="1"/>
      <c r="X216" s="1"/>
    </row>
    <row r="217" spans="1:24">
      <c r="A217" s="15"/>
      <c r="B217" s="15"/>
      <c r="C217" s="16"/>
      <c r="D217" s="16"/>
      <c r="E217" s="16"/>
      <c r="F217" s="16"/>
      <c r="G217" s="16"/>
      <c r="H217" s="16"/>
      <c r="I217" s="16"/>
      <c r="J217" s="16"/>
      <c r="K217" s="16"/>
      <c r="L217" s="16"/>
      <c r="M217" s="25"/>
      <c r="N217" s="25"/>
      <c r="O217" s="16"/>
      <c r="P217" s="1"/>
      <c r="Q217" s="1"/>
      <c r="R217" s="1"/>
      <c r="S217" s="1"/>
      <c r="T217" s="1"/>
      <c r="U217" s="1"/>
      <c r="V217" s="16"/>
      <c r="W217" s="1"/>
      <c r="X217" s="1"/>
    </row>
    <row r="218" spans="1:24">
      <c r="A218" s="15"/>
      <c r="B218" s="15"/>
      <c r="C218" s="16"/>
      <c r="D218" s="16"/>
      <c r="E218" s="16"/>
      <c r="F218" s="16"/>
      <c r="G218" s="16"/>
      <c r="H218" s="16"/>
      <c r="I218" s="16"/>
      <c r="J218" s="16"/>
      <c r="K218" s="16"/>
      <c r="L218" s="16"/>
      <c r="M218" s="25"/>
      <c r="N218" s="25"/>
      <c r="O218" s="16"/>
      <c r="P218" s="1"/>
      <c r="Q218" s="1"/>
      <c r="R218" s="1"/>
      <c r="S218" s="1"/>
      <c r="T218" s="1"/>
      <c r="U218" s="1"/>
      <c r="V218" s="16"/>
      <c r="W218" s="1"/>
      <c r="X218" s="1"/>
    </row>
    <row r="219" spans="1:24">
      <c r="A219" s="15"/>
      <c r="B219" s="15"/>
      <c r="C219" s="16"/>
      <c r="D219" s="16"/>
      <c r="E219" s="16"/>
      <c r="F219" s="16"/>
      <c r="G219" s="16"/>
      <c r="H219" s="16"/>
      <c r="I219" s="16"/>
      <c r="J219" s="16"/>
      <c r="K219" s="16"/>
      <c r="L219" s="16"/>
      <c r="M219" s="25"/>
      <c r="N219" s="25"/>
      <c r="O219" s="16"/>
      <c r="P219" s="1"/>
      <c r="Q219" s="1"/>
      <c r="R219" s="1"/>
      <c r="S219" s="1"/>
      <c r="T219" s="1"/>
      <c r="U219" s="1"/>
      <c r="V219" s="16"/>
      <c r="W219" s="1"/>
      <c r="X219" s="1"/>
    </row>
    <row r="220" spans="1:24">
      <c r="A220" s="15"/>
      <c r="B220" s="15"/>
      <c r="C220" s="16"/>
      <c r="D220" s="16"/>
      <c r="E220" s="16"/>
      <c r="F220" s="16"/>
      <c r="G220" s="16"/>
      <c r="H220" s="16"/>
      <c r="I220" s="16"/>
      <c r="J220" s="16"/>
      <c r="K220" s="16"/>
      <c r="L220" s="16"/>
      <c r="M220" s="25"/>
      <c r="N220" s="25"/>
      <c r="O220" s="16"/>
      <c r="P220" s="1"/>
      <c r="Q220" s="1"/>
      <c r="R220" s="1"/>
      <c r="S220" s="1"/>
      <c r="T220" s="1"/>
      <c r="U220" s="1"/>
      <c r="V220" s="16"/>
      <c r="W220" s="1"/>
      <c r="X220" s="1"/>
    </row>
    <row r="221" spans="1:24">
      <c r="A221" s="15"/>
      <c r="B221" s="15"/>
      <c r="C221" s="16"/>
      <c r="D221" s="16"/>
      <c r="E221" s="16"/>
      <c r="F221" s="16"/>
      <c r="G221" s="16"/>
      <c r="H221" s="16"/>
      <c r="I221" s="16"/>
      <c r="J221" s="16"/>
      <c r="K221" s="16"/>
      <c r="L221" s="16"/>
      <c r="M221" s="25"/>
      <c r="N221" s="25"/>
      <c r="O221" s="16"/>
      <c r="P221" s="1"/>
      <c r="Q221" s="1"/>
      <c r="R221" s="1"/>
      <c r="S221" s="1"/>
      <c r="T221" s="1"/>
      <c r="U221" s="1"/>
      <c r="V221" s="16"/>
      <c r="W221" s="1"/>
      <c r="X221" s="1"/>
    </row>
    <row r="222" spans="1:24">
      <c r="A222" s="15"/>
      <c r="B222" s="15"/>
      <c r="C222" s="16"/>
      <c r="D222" s="16"/>
      <c r="E222" s="16"/>
      <c r="F222" s="16"/>
      <c r="G222" s="16"/>
      <c r="H222" s="16"/>
      <c r="I222" s="16"/>
      <c r="J222" s="16"/>
      <c r="K222" s="16"/>
      <c r="L222" s="16"/>
      <c r="M222" s="25"/>
      <c r="N222" s="25"/>
      <c r="O222" s="16"/>
      <c r="P222" s="1"/>
      <c r="Q222" s="1"/>
      <c r="R222" s="1"/>
      <c r="S222" s="1"/>
      <c r="T222" s="1"/>
      <c r="U222" s="1"/>
      <c r="V222" s="16"/>
      <c r="W222" s="1"/>
      <c r="X222" s="1"/>
    </row>
    <row r="223" spans="1:24">
      <c r="A223" s="15"/>
      <c r="B223" s="15"/>
      <c r="C223" s="16"/>
      <c r="D223" s="16"/>
      <c r="E223" s="16"/>
      <c r="F223" s="16"/>
      <c r="G223" s="16"/>
      <c r="H223" s="16"/>
      <c r="I223" s="16"/>
      <c r="J223" s="16"/>
      <c r="K223" s="16"/>
      <c r="L223" s="16"/>
      <c r="M223" s="25"/>
      <c r="N223" s="25"/>
      <c r="O223" s="16"/>
      <c r="P223" s="1"/>
      <c r="Q223" s="1"/>
      <c r="R223" s="1"/>
      <c r="S223" s="1"/>
      <c r="T223" s="1"/>
      <c r="U223" s="1"/>
      <c r="V223" s="16"/>
      <c r="W223" s="1"/>
      <c r="X223" s="1"/>
    </row>
    <row r="224" spans="1:24">
      <c r="A224" s="15"/>
      <c r="B224" s="15"/>
      <c r="C224" s="16"/>
      <c r="D224" s="16"/>
      <c r="E224" s="16"/>
      <c r="F224" s="16"/>
      <c r="G224" s="16"/>
      <c r="H224" s="16"/>
      <c r="I224" s="16"/>
      <c r="J224" s="16"/>
      <c r="K224" s="16"/>
      <c r="L224" s="16"/>
      <c r="M224" s="25"/>
      <c r="N224" s="25"/>
      <c r="O224" s="16"/>
      <c r="P224" s="1"/>
      <c r="Q224" s="1"/>
      <c r="R224" s="1"/>
      <c r="S224" s="1"/>
      <c r="T224" s="1"/>
      <c r="U224" s="1"/>
      <c r="V224" s="16"/>
      <c r="W224" s="1"/>
      <c r="X224" s="1"/>
    </row>
    <row r="225" spans="1:24">
      <c r="A225" s="15"/>
      <c r="B225" s="15"/>
      <c r="C225" s="16"/>
      <c r="D225" s="16"/>
      <c r="E225" s="16"/>
      <c r="F225" s="16"/>
      <c r="G225" s="16"/>
      <c r="H225" s="16"/>
      <c r="I225" s="16"/>
      <c r="J225" s="16"/>
      <c r="K225" s="16"/>
      <c r="L225" s="16"/>
      <c r="M225" s="25"/>
      <c r="N225" s="25"/>
      <c r="O225" s="16"/>
      <c r="P225" s="1"/>
      <c r="Q225" s="1"/>
      <c r="R225" s="1"/>
      <c r="S225" s="1"/>
      <c r="T225" s="1"/>
      <c r="U225" s="1"/>
      <c r="V225" s="16"/>
      <c r="W225" s="1"/>
      <c r="X225" s="1"/>
    </row>
    <row r="226" spans="1:24">
      <c r="A226" s="15"/>
      <c r="B226" s="15"/>
      <c r="C226" s="16"/>
      <c r="D226" s="16"/>
      <c r="E226" s="16"/>
      <c r="F226" s="16"/>
      <c r="G226" s="16"/>
      <c r="H226" s="16"/>
      <c r="I226" s="16"/>
      <c r="J226" s="16"/>
      <c r="K226" s="16"/>
      <c r="L226" s="16"/>
      <c r="M226" s="25"/>
      <c r="N226" s="25"/>
      <c r="O226" s="16"/>
      <c r="P226" s="1"/>
      <c r="Q226" s="1"/>
      <c r="R226" s="1"/>
      <c r="S226" s="1"/>
      <c r="T226" s="1"/>
      <c r="U226" s="1"/>
      <c r="V226" s="16"/>
      <c r="W226" s="1"/>
      <c r="X226" s="1"/>
    </row>
    <row r="227" spans="1:24">
      <c r="A227" s="15"/>
      <c r="B227" s="15"/>
      <c r="C227" s="16"/>
      <c r="D227" s="16"/>
      <c r="E227" s="16"/>
      <c r="F227" s="16"/>
      <c r="G227" s="16"/>
      <c r="H227" s="16"/>
      <c r="I227" s="16"/>
      <c r="J227" s="16"/>
      <c r="K227" s="16"/>
      <c r="L227" s="16"/>
      <c r="M227" s="25"/>
      <c r="N227" s="25"/>
      <c r="O227" s="16"/>
      <c r="P227" s="1"/>
      <c r="Q227" s="1"/>
      <c r="R227" s="1"/>
      <c r="S227" s="1"/>
      <c r="T227" s="1"/>
      <c r="U227" s="1"/>
      <c r="V227" s="16"/>
      <c r="W227" s="1"/>
      <c r="X227" s="1"/>
    </row>
    <row r="228" spans="1:24">
      <c r="A228" s="15"/>
      <c r="B228" s="15"/>
      <c r="C228" s="16"/>
      <c r="D228" s="16"/>
      <c r="E228" s="16"/>
      <c r="F228" s="16"/>
      <c r="G228" s="16"/>
      <c r="H228" s="16"/>
      <c r="I228" s="16"/>
      <c r="J228" s="16"/>
      <c r="K228" s="16"/>
      <c r="L228" s="16"/>
      <c r="M228" s="25"/>
      <c r="N228" s="25"/>
      <c r="O228" s="16"/>
      <c r="P228" s="1"/>
      <c r="Q228" s="1"/>
      <c r="R228" s="1"/>
      <c r="S228" s="1"/>
      <c r="T228" s="1"/>
      <c r="U228" s="1"/>
      <c r="V228" s="16"/>
      <c r="W228" s="1"/>
      <c r="X228" s="1"/>
    </row>
    <row r="229" spans="1:24">
      <c r="A229" s="15"/>
      <c r="B229" s="15"/>
      <c r="C229" s="16"/>
      <c r="D229" s="16"/>
      <c r="E229" s="16"/>
      <c r="F229" s="16"/>
      <c r="G229" s="16"/>
      <c r="H229" s="16"/>
      <c r="I229" s="16"/>
      <c r="J229" s="16"/>
      <c r="K229" s="16"/>
      <c r="L229" s="16"/>
      <c r="M229" s="25"/>
      <c r="N229" s="25"/>
      <c r="O229" s="16"/>
      <c r="P229" s="1"/>
      <c r="Q229" s="1"/>
      <c r="R229" s="1"/>
      <c r="S229" s="1"/>
      <c r="T229" s="1"/>
      <c r="U229" s="1"/>
      <c r="V229" s="16"/>
      <c r="W229" s="1"/>
      <c r="X229" s="1"/>
    </row>
    <row r="230" spans="1:24">
      <c r="A230" s="15"/>
      <c r="B230" s="15"/>
      <c r="C230" s="16"/>
      <c r="D230" s="16"/>
      <c r="E230" s="16"/>
      <c r="F230" s="16"/>
      <c r="G230" s="16"/>
      <c r="H230" s="16"/>
      <c r="I230" s="16"/>
      <c r="J230" s="16"/>
      <c r="K230" s="16"/>
      <c r="L230" s="16"/>
      <c r="M230" s="25"/>
      <c r="N230" s="25"/>
      <c r="O230" s="16"/>
      <c r="P230" s="1"/>
      <c r="Q230" s="1"/>
      <c r="R230" s="1"/>
      <c r="S230" s="1"/>
      <c r="T230" s="1"/>
      <c r="U230" s="1"/>
      <c r="V230" s="16"/>
      <c r="W230" s="1"/>
      <c r="X230" s="1"/>
    </row>
    <row r="231" spans="1:24">
      <c r="A231" s="15"/>
      <c r="B231" s="15"/>
      <c r="C231" s="16"/>
      <c r="D231" s="16"/>
      <c r="E231" s="16"/>
      <c r="F231" s="16"/>
      <c r="G231" s="16"/>
      <c r="H231" s="16"/>
      <c r="I231" s="16"/>
      <c r="J231" s="16"/>
      <c r="K231" s="16"/>
      <c r="L231" s="16"/>
      <c r="M231" s="25"/>
      <c r="N231" s="25"/>
      <c r="O231" s="16"/>
      <c r="P231" s="1"/>
      <c r="Q231" s="1"/>
      <c r="R231" s="1"/>
      <c r="S231" s="1"/>
      <c r="T231" s="1"/>
      <c r="U231" s="1"/>
      <c r="V231" s="16"/>
      <c r="W231" s="1"/>
      <c r="X231" s="1"/>
    </row>
    <row r="232" spans="1:24">
      <c r="A232" s="15"/>
      <c r="B232" s="15"/>
      <c r="C232" s="16"/>
      <c r="D232" s="16"/>
      <c r="E232" s="16"/>
      <c r="F232" s="16"/>
      <c r="G232" s="16"/>
      <c r="H232" s="16"/>
      <c r="I232" s="16"/>
      <c r="J232" s="16"/>
      <c r="K232" s="16"/>
      <c r="L232" s="16"/>
      <c r="M232" s="25"/>
      <c r="N232" s="25"/>
      <c r="O232" s="16"/>
      <c r="P232" s="1"/>
      <c r="Q232" s="1"/>
      <c r="R232" s="1"/>
      <c r="S232" s="1"/>
      <c r="T232" s="1"/>
      <c r="U232" s="1"/>
      <c r="V232" s="16"/>
      <c r="W232" s="1"/>
      <c r="X232" s="1"/>
    </row>
    <row r="233" spans="1:24">
      <c r="A233" s="15"/>
      <c r="B233" s="15"/>
      <c r="C233" s="16"/>
      <c r="D233" s="16"/>
      <c r="E233" s="16"/>
      <c r="F233" s="16"/>
      <c r="G233" s="16"/>
      <c r="H233" s="16"/>
      <c r="I233" s="16"/>
      <c r="J233" s="16"/>
      <c r="K233" s="16"/>
      <c r="L233" s="16"/>
      <c r="M233" s="25"/>
      <c r="N233" s="25"/>
      <c r="O233" s="16"/>
      <c r="P233" s="1"/>
      <c r="Q233" s="1"/>
      <c r="R233" s="1"/>
      <c r="S233" s="1"/>
      <c r="T233" s="1"/>
      <c r="U233" s="1"/>
      <c r="V233" s="16"/>
      <c r="W233" s="1"/>
      <c r="X233" s="1"/>
    </row>
    <row r="234" spans="1:24">
      <c r="A234" s="15"/>
      <c r="B234" s="15"/>
      <c r="C234" s="16"/>
      <c r="D234" s="16"/>
      <c r="E234" s="16"/>
      <c r="F234" s="16"/>
      <c r="G234" s="16"/>
      <c r="H234" s="16"/>
      <c r="I234" s="16"/>
      <c r="J234" s="16"/>
      <c r="K234" s="16"/>
      <c r="L234" s="16"/>
      <c r="M234" s="25"/>
      <c r="N234" s="25"/>
      <c r="O234" s="16"/>
      <c r="P234" s="1"/>
      <c r="Q234" s="1"/>
      <c r="R234" s="1"/>
      <c r="S234" s="1"/>
      <c r="T234" s="1"/>
      <c r="U234" s="1"/>
      <c r="V234" s="16"/>
      <c r="W234" s="1"/>
      <c r="X234" s="1"/>
    </row>
    <row r="235" spans="1:24">
      <c r="A235" s="15"/>
      <c r="B235" s="15"/>
      <c r="C235" s="16"/>
      <c r="D235" s="16"/>
      <c r="E235" s="16"/>
      <c r="F235" s="16"/>
      <c r="G235" s="16"/>
      <c r="H235" s="16"/>
      <c r="I235" s="16"/>
      <c r="J235" s="16"/>
      <c r="K235" s="16"/>
      <c r="L235" s="16"/>
      <c r="M235" s="25"/>
      <c r="N235" s="25"/>
      <c r="O235" s="16"/>
      <c r="P235" s="1"/>
      <c r="Q235" s="1"/>
      <c r="R235" s="1"/>
      <c r="S235" s="1"/>
      <c r="T235" s="1"/>
      <c r="U235" s="1"/>
      <c r="V235" s="16"/>
      <c r="W235" s="1"/>
      <c r="X235" s="1"/>
    </row>
    <row r="236" spans="1:24">
      <c r="A236" s="15"/>
      <c r="B236" s="15"/>
      <c r="C236" s="16"/>
      <c r="D236" s="16"/>
      <c r="E236" s="16"/>
      <c r="F236" s="16"/>
      <c r="G236" s="16"/>
      <c r="H236" s="16"/>
      <c r="I236" s="16"/>
      <c r="J236" s="16"/>
      <c r="K236" s="16"/>
      <c r="L236" s="16"/>
      <c r="M236" s="25"/>
      <c r="N236" s="25"/>
      <c r="O236" s="16"/>
      <c r="P236" s="1"/>
      <c r="Q236" s="1"/>
      <c r="R236" s="1"/>
      <c r="S236" s="1"/>
      <c r="T236" s="1"/>
      <c r="U236" s="1"/>
      <c r="V236" s="16"/>
      <c r="W236" s="1"/>
      <c r="X236" s="1"/>
    </row>
    <row r="237" spans="1:24">
      <c r="A237" s="15"/>
      <c r="B237" s="15"/>
      <c r="C237" s="16"/>
      <c r="D237" s="16"/>
      <c r="E237" s="16"/>
      <c r="F237" s="16"/>
      <c r="G237" s="16"/>
      <c r="H237" s="16"/>
      <c r="I237" s="16"/>
      <c r="J237" s="16"/>
      <c r="K237" s="16"/>
      <c r="L237" s="16"/>
      <c r="M237" s="25"/>
      <c r="N237" s="25"/>
      <c r="O237" s="16"/>
      <c r="P237" s="1"/>
      <c r="Q237" s="1"/>
      <c r="R237" s="1"/>
      <c r="S237" s="1"/>
      <c r="T237" s="1"/>
      <c r="U237" s="1"/>
      <c r="V237" s="16"/>
      <c r="W237" s="1"/>
      <c r="X237" s="1"/>
    </row>
    <row r="238" spans="1:24">
      <c r="A238" s="15"/>
      <c r="B238" s="15"/>
      <c r="C238" s="16"/>
      <c r="D238" s="16"/>
      <c r="E238" s="16"/>
      <c r="F238" s="16"/>
      <c r="G238" s="16"/>
      <c r="H238" s="16"/>
      <c r="I238" s="16"/>
      <c r="J238" s="16"/>
      <c r="K238" s="16"/>
      <c r="L238" s="16"/>
      <c r="M238" s="25"/>
      <c r="N238" s="25"/>
      <c r="O238" s="16"/>
      <c r="P238" s="1"/>
      <c r="Q238" s="1"/>
      <c r="R238" s="1"/>
      <c r="S238" s="1"/>
      <c r="T238" s="1"/>
      <c r="U238" s="1"/>
      <c r="V238" s="16"/>
      <c r="W238" s="1"/>
      <c r="X238" s="1"/>
    </row>
    <row r="239" spans="1:24">
      <c r="A239" s="15"/>
      <c r="B239" s="15"/>
      <c r="C239" s="16"/>
      <c r="D239" s="16"/>
      <c r="E239" s="16"/>
      <c r="F239" s="16"/>
      <c r="G239" s="16"/>
      <c r="H239" s="16"/>
      <c r="I239" s="16"/>
      <c r="J239" s="16"/>
      <c r="K239" s="16"/>
      <c r="L239" s="16"/>
      <c r="M239" s="25"/>
      <c r="N239" s="25"/>
      <c r="O239" s="16"/>
      <c r="P239" s="1"/>
      <c r="Q239" s="1"/>
      <c r="R239" s="1"/>
      <c r="S239" s="1"/>
      <c r="T239" s="1"/>
      <c r="U239" s="1"/>
      <c r="V239" s="16"/>
      <c r="W239" s="1"/>
      <c r="X239" s="1"/>
    </row>
    <row r="240" spans="1:24">
      <c r="A240" s="15"/>
      <c r="B240" s="15"/>
      <c r="C240" s="16"/>
      <c r="D240" s="16"/>
      <c r="E240" s="16"/>
      <c r="F240" s="16"/>
      <c r="G240" s="16"/>
      <c r="H240" s="16"/>
      <c r="I240" s="16"/>
      <c r="J240" s="16"/>
      <c r="K240" s="16"/>
      <c r="L240" s="16"/>
      <c r="M240" s="25"/>
      <c r="N240" s="25"/>
      <c r="O240" s="16"/>
      <c r="P240" s="1"/>
      <c r="Q240" s="1"/>
      <c r="R240" s="1"/>
      <c r="S240" s="1"/>
      <c r="T240" s="1"/>
      <c r="U240" s="1"/>
      <c r="V240" s="16"/>
      <c r="W240" s="1"/>
      <c r="X240" s="1"/>
    </row>
    <row r="241" spans="1:24">
      <c r="A241" s="15"/>
      <c r="B241" s="15"/>
      <c r="C241" s="16"/>
      <c r="D241" s="16"/>
      <c r="E241" s="16"/>
      <c r="F241" s="16"/>
      <c r="G241" s="16"/>
      <c r="H241" s="16"/>
      <c r="I241" s="16"/>
      <c r="J241" s="16"/>
      <c r="K241" s="16"/>
      <c r="L241" s="16"/>
      <c r="M241" s="25"/>
      <c r="N241" s="25"/>
      <c r="O241" s="16"/>
      <c r="P241" s="1"/>
      <c r="Q241" s="1"/>
      <c r="R241" s="1"/>
      <c r="S241" s="1"/>
      <c r="T241" s="1"/>
      <c r="U241" s="1"/>
      <c r="V241" s="16"/>
      <c r="W241" s="1"/>
      <c r="X241" s="1"/>
    </row>
    <row r="242" spans="1:24">
      <c r="A242" s="15"/>
      <c r="B242" s="15"/>
      <c r="C242" s="16"/>
      <c r="D242" s="16"/>
      <c r="E242" s="16"/>
      <c r="F242" s="16"/>
      <c r="G242" s="16"/>
      <c r="H242" s="16"/>
      <c r="I242" s="16"/>
      <c r="J242" s="16"/>
      <c r="K242" s="16"/>
      <c r="L242" s="16"/>
      <c r="M242" s="25"/>
      <c r="N242" s="25"/>
      <c r="O242" s="16"/>
      <c r="P242" s="1"/>
      <c r="Q242" s="1"/>
      <c r="R242" s="1"/>
      <c r="S242" s="1"/>
      <c r="T242" s="1"/>
      <c r="U242" s="1"/>
      <c r="V242" s="16"/>
      <c r="W242" s="1"/>
      <c r="X242" s="1"/>
    </row>
    <row r="243" spans="1:24">
      <c r="A243" s="15"/>
      <c r="B243" s="15"/>
      <c r="C243" s="16"/>
      <c r="D243" s="16"/>
      <c r="E243" s="16"/>
      <c r="F243" s="16"/>
      <c r="G243" s="16"/>
      <c r="H243" s="16"/>
      <c r="I243" s="16"/>
      <c r="J243" s="16"/>
      <c r="K243" s="16"/>
      <c r="L243" s="16"/>
      <c r="M243" s="25"/>
      <c r="N243" s="25"/>
      <c r="O243" s="16"/>
      <c r="P243" s="1"/>
      <c r="Q243" s="1"/>
      <c r="R243" s="1"/>
      <c r="S243" s="1"/>
      <c r="T243" s="1"/>
      <c r="U243" s="1"/>
      <c r="V243" s="16"/>
      <c r="W243" s="1"/>
      <c r="X243" s="1"/>
    </row>
    <row r="244" spans="1:24">
      <c r="A244" s="15"/>
      <c r="B244" s="15"/>
      <c r="C244" s="16"/>
      <c r="D244" s="16"/>
      <c r="E244" s="16"/>
      <c r="F244" s="16"/>
      <c r="G244" s="16"/>
      <c r="H244" s="16"/>
      <c r="I244" s="16"/>
      <c r="J244" s="16"/>
      <c r="K244" s="16"/>
      <c r="L244" s="16"/>
      <c r="M244" s="25"/>
      <c r="N244" s="25"/>
      <c r="O244" s="16"/>
      <c r="P244" s="1"/>
      <c r="Q244" s="1"/>
      <c r="R244" s="1"/>
      <c r="S244" s="1"/>
      <c r="T244" s="1"/>
      <c r="U244" s="1"/>
      <c r="V244" s="16"/>
      <c r="W244" s="1"/>
      <c r="X244" s="1"/>
    </row>
    <row r="245" spans="1:24">
      <c r="A245" s="15"/>
      <c r="B245" s="15"/>
      <c r="C245" s="16"/>
      <c r="D245" s="16"/>
      <c r="E245" s="16"/>
      <c r="F245" s="16"/>
      <c r="G245" s="16"/>
      <c r="H245" s="16"/>
      <c r="I245" s="16"/>
      <c r="J245" s="16"/>
      <c r="K245" s="16"/>
      <c r="L245" s="16"/>
      <c r="M245" s="25"/>
      <c r="N245" s="25"/>
      <c r="O245" s="16"/>
      <c r="P245" s="1"/>
      <c r="Q245" s="1"/>
      <c r="R245" s="1"/>
      <c r="S245" s="1"/>
      <c r="T245" s="1"/>
      <c r="U245" s="1"/>
      <c r="V245" s="16"/>
      <c r="W245" s="1"/>
      <c r="X245" s="1"/>
    </row>
    <row r="246" spans="1:24">
      <c r="A246" s="15"/>
      <c r="B246" s="15"/>
      <c r="C246" s="16"/>
      <c r="D246" s="16"/>
      <c r="E246" s="16"/>
      <c r="F246" s="16"/>
      <c r="G246" s="16"/>
      <c r="H246" s="16"/>
      <c r="I246" s="16"/>
      <c r="J246" s="16"/>
      <c r="K246" s="16"/>
      <c r="L246" s="16"/>
      <c r="M246" s="25"/>
      <c r="N246" s="25"/>
      <c r="O246" s="16"/>
      <c r="P246" s="1"/>
      <c r="Q246" s="1"/>
      <c r="R246" s="1"/>
      <c r="S246" s="1"/>
      <c r="T246" s="1"/>
      <c r="U246" s="1"/>
      <c r="V246" s="16"/>
      <c r="W246" s="1"/>
      <c r="X246" s="1"/>
    </row>
    <row r="247" spans="1:24">
      <c r="A247" s="15"/>
      <c r="B247" s="15"/>
      <c r="C247" s="16"/>
      <c r="D247" s="16"/>
      <c r="E247" s="16"/>
      <c r="F247" s="16"/>
      <c r="G247" s="16"/>
      <c r="H247" s="16"/>
      <c r="I247" s="16"/>
      <c r="J247" s="16"/>
      <c r="K247" s="16"/>
      <c r="L247" s="16"/>
      <c r="M247" s="25"/>
      <c r="N247" s="25"/>
      <c r="O247" s="16"/>
      <c r="P247" s="1"/>
      <c r="Q247" s="1"/>
      <c r="R247" s="1"/>
      <c r="S247" s="1"/>
      <c r="T247" s="1"/>
      <c r="U247" s="1"/>
      <c r="V247" s="16"/>
      <c r="W247" s="1"/>
      <c r="X247" s="1"/>
    </row>
    <row r="248" spans="1:24">
      <c r="A248" s="15"/>
      <c r="B248" s="15"/>
      <c r="C248" s="16"/>
      <c r="D248" s="16"/>
      <c r="E248" s="16"/>
      <c r="F248" s="16"/>
      <c r="G248" s="16"/>
      <c r="H248" s="16"/>
      <c r="I248" s="16"/>
      <c r="J248" s="16"/>
      <c r="K248" s="16"/>
      <c r="L248" s="16"/>
      <c r="M248" s="25"/>
      <c r="N248" s="25"/>
      <c r="O248" s="16"/>
      <c r="P248" s="1"/>
      <c r="Q248" s="1"/>
      <c r="R248" s="1"/>
      <c r="S248" s="1"/>
      <c r="T248" s="1"/>
      <c r="U248" s="1"/>
      <c r="V248" s="16"/>
      <c r="W248" s="1"/>
      <c r="X248" s="1"/>
    </row>
    <row r="249" spans="1:24">
      <c r="A249" s="15"/>
      <c r="B249" s="15"/>
      <c r="C249" s="16"/>
      <c r="D249" s="16"/>
      <c r="E249" s="16"/>
      <c r="F249" s="16"/>
      <c r="G249" s="16"/>
      <c r="H249" s="16"/>
      <c r="I249" s="16"/>
      <c r="J249" s="16"/>
      <c r="K249" s="16"/>
      <c r="L249" s="16"/>
      <c r="M249" s="25"/>
      <c r="N249" s="25"/>
      <c r="O249" s="16"/>
      <c r="P249" s="1"/>
      <c r="Q249" s="1"/>
      <c r="R249" s="1"/>
      <c r="S249" s="1"/>
      <c r="T249" s="1"/>
      <c r="U249" s="1"/>
      <c r="V249" s="16"/>
      <c r="W249" s="1"/>
      <c r="X249" s="1"/>
    </row>
    <row r="250" spans="1:24">
      <c r="A250" s="15"/>
      <c r="B250" s="15"/>
      <c r="C250" s="16"/>
      <c r="D250" s="16"/>
      <c r="E250" s="16"/>
      <c r="F250" s="16"/>
      <c r="G250" s="16"/>
      <c r="H250" s="16"/>
      <c r="I250" s="16"/>
      <c r="J250" s="16"/>
      <c r="K250" s="16"/>
      <c r="L250" s="16"/>
      <c r="M250" s="25"/>
      <c r="N250" s="25"/>
      <c r="O250" s="16"/>
      <c r="P250" s="1"/>
      <c r="Q250" s="1"/>
      <c r="R250" s="1"/>
      <c r="S250" s="1"/>
      <c r="T250" s="1"/>
      <c r="U250" s="1"/>
      <c r="V250" s="16"/>
      <c r="W250" s="1"/>
      <c r="X250" s="1"/>
    </row>
    <row r="251" spans="1:24">
      <c r="A251" s="15"/>
      <c r="B251" s="15"/>
      <c r="C251" s="16"/>
      <c r="D251" s="16"/>
      <c r="E251" s="16"/>
      <c r="F251" s="16"/>
      <c r="G251" s="16"/>
      <c r="H251" s="16"/>
      <c r="I251" s="16"/>
      <c r="J251" s="16"/>
      <c r="K251" s="16"/>
      <c r="L251" s="16"/>
      <c r="M251" s="25"/>
      <c r="N251" s="25"/>
      <c r="O251" s="16"/>
      <c r="P251" s="1"/>
      <c r="Q251" s="1"/>
      <c r="R251" s="1"/>
      <c r="S251" s="1"/>
      <c r="T251" s="1"/>
      <c r="U251" s="1"/>
      <c r="V251" s="16"/>
      <c r="W251" s="1"/>
      <c r="X251" s="1"/>
    </row>
    <row r="252" spans="1:24">
      <c r="A252" s="15"/>
      <c r="B252" s="15"/>
      <c r="C252" s="16"/>
      <c r="D252" s="16"/>
      <c r="E252" s="16"/>
      <c r="F252" s="16"/>
      <c r="G252" s="16"/>
      <c r="H252" s="16"/>
      <c r="I252" s="16"/>
      <c r="J252" s="16"/>
      <c r="K252" s="16"/>
      <c r="L252" s="16"/>
      <c r="M252" s="25"/>
      <c r="N252" s="25"/>
      <c r="O252" s="16"/>
      <c r="P252" s="1"/>
      <c r="Q252" s="1"/>
      <c r="R252" s="1"/>
      <c r="S252" s="1"/>
      <c r="T252" s="1"/>
      <c r="U252" s="1"/>
      <c r="V252" s="16"/>
      <c r="W252" s="1"/>
      <c r="X252" s="1"/>
    </row>
    <row r="253" spans="1:24">
      <c r="A253" s="15"/>
      <c r="B253" s="15"/>
      <c r="C253" s="16"/>
      <c r="D253" s="16"/>
      <c r="E253" s="16"/>
      <c r="F253" s="16"/>
      <c r="G253" s="16"/>
      <c r="H253" s="16"/>
      <c r="I253" s="16"/>
      <c r="J253" s="16"/>
      <c r="K253" s="16"/>
      <c r="L253" s="16"/>
      <c r="M253" s="25"/>
      <c r="N253" s="25"/>
      <c r="O253" s="16"/>
      <c r="P253" s="1"/>
      <c r="Q253" s="1"/>
      <c r="R253" s="1"/>
      <c r="S253" s="1"/>
      <c r="T253" s="1"/>
      <c r="U253" s="1"/>
      <c r="V253" s="16"/>
      <c r="W253" s="1"/>
      <c r="X253" s="1"/>
    </row>
    <row r="254" spans="1:24">
      <c r="A254" s="15"/>
      <c r="B254" s="15"/>
      <c r="C254" s="16"/>
      <c r="D254" s="16"/>
      <c r="E254" s="16"/>
      <c r="F254" s="16"/>
      <c r="G254" s="16"/>
      <c r="H254" s="16"/>
      <c r="I254" s="16"/>
      <c r="J254" s="16"/>
      <c r="K254" s="16"/>
      <c r="L254" s="16"/>
      <c r="M254" s="25"/>
      <c r="N254" s="25"/>
      <c r="O254" s="16"/>
      <c r="P254" s="1"/>
      <c r="Q254" s="1"/>
      <c r="R254" s="1"/>
      <c r="S254" s="1"/>
      <c r="T254" s="1"/>
      <c r="U254" s="1"/>
      <c r="V254" s="16"/>
      <c r="W254" s="1"/>
      <c r="X254" s="1"/>
    </row>
    <row r="255" spans="1:24">
      <c r="A255" s="15"/>
      <c r="B255" s="15"/>
      <c r="C255" s="16"/>
      <c r="D255" s="16"/>
      <c r="E255" s="16"/>
      <c r="F255" s="16"/>
      <c r="G255" s="16"/>
      <c r="H255" s="16"/>
      <c r="I255" s="16"/>
      <c r="J255" s="16"/>
      <c r="K255" s="16"/>
      <c r="L255" s="16"/>
      <c r="M255" s="25"/>
      <c r="N255" s="25"/>
      <c r="O255" s="16"/>
      <c r="P255" s="1"/>
      <c r="Q255" s="1"/>
      <c r="R255" s="1"/>
      <c r="S255" s="1"/>
      <c r="T255" s="1"/>
      <c r="U255" s="1"/>
      <c r="V255" s="16"/>
      <c r="W255" s="1"/>
      <c r="X255" s="1"/>
    </row>
    <row r="256" spans="1:24">
      <c r="A256" s="15"/>
      <c r="B256" s="15"/>
      <c r="C256" s="16"/>
      <c r="D256" s="16"/>
      <c r="E256" s="16"/>
      <c r="F256" s="16"/>
      <c r="G256" s="16"/>
      <c r="H256" s="16"/>
      <c r="I256" s="16"/>
      <c r="J256" s="16"/>
      <c r="K256" s="16"/>
      <c r="L256" s="16"/>
      <c r="M256" s="25"/>
      <c r="N256" s="25"/>
      <c r="O256" s="16"/>
      <c r="P256" s="1"/>
      <c r="Q256" s="1"/>
      <c r="R256" s="1"/>
      <c r="S256" s="1"/>
      <c r="T256" s="1"/>
      <c r="U256" s="1"/>
      <c r="V256" s="16"/>
      <c r="W256" s="1"/>
      <c r="X256" s="1"/>
    </row>
    <row r="257" spans="1:24">
      <c r="A257" s="15"/>
      <c r="B257" s="15"/>
      <c r="C257" s="16"/>
      <c r="D257" s="16"/>
      <c r="E257" s="16"/>
      <c r="F257" s="16"/>
      <c r="G257" s="16"/>
      <c r="H257" s="16"/>
      <c r="I257" s="16"/>
      <c r="J257" s="16"/>
      <c r="K257" s="16"/>
      <c r="L257" s="16"/>
      <c r="M257" s="25"/>
      <c r="N257" s="25"/>
      <c r="O257" s="16"/>
      <c r="P257" s="1"/>
      <c r="Q257" s="1"/>
      <c r="R257" s="1"/>
      <c r="S257" s="1"/>
      <c r="T257" s="1"/>
      <c r="U257" s="1"/>
      <c r="V257" s="16"/>
      <c r="W257" s="1"/>
      <c r="X257" s="1"/>
    </row>
    <row r="258" spans="1:24">
      <c r="A258" s="15"/>
      <c r="B258" s="15"/>
      <c r="C258" s="16"/>
      <c r="D258" s="16"/>
      <c r="E258" s="16"/>
      <c r="F258" s="16"/>
      <c r="G258" s="16"/>
      <c r="H258" s="16"/>
      <c r="I258" s="16"/>
      <c r="J258" s="16"/>
      <c r="K258" s="16"/>
      <c r="L258" s="16"/>
      <c r="M258" s="25"/>
      <c r="N258" s="25"/>
      <c r="O258" s="16"/>
      <c r="P258" s="1"/>
      <c r="Q258" s="1"/>
      <c r="R258" s="1"/>
      <c r="S258" s="1"/>
      <c r="T258" s="1"/>
      <c r="U258" s="1"/>
      <c r="V258" s="16"/>
      <c r="W258" s="1"/>
      <c r="X258" s="1"/>
    </row>
    <row r="259" spans="1:24">
      <c r="A259" s="15"/>
      <c r="B259" s="15"/>
      <c r="C259" s="16"/>
      <c r="D259" s="16"/>
      <c r="E259" s="16"/>
      <c r="F259" s="16"/>
      <c r="G259" s="16"/>
      <c r="H259" s="16"/>
      <c r="I259" s="16"/>
      <c r="J259" s="16"/>
      <c r="K259" s="16"/>
      <c r="L259" s="16"/>
      <c r="M259" s="25"/>
      <c r="N259" s="25"/>
      <c r="O259" s="16"/>
      <c r="P259" s="1"/>
      <c r="Q259" s="1"/>
      <c r="R259" s="1"/>
      <c r="S259" s="1"/>
      <c r="T259" s="1"/>
      <c r="U259" s="1"/>
      <c r="V259" s="16"/>
      <c r="W259" s="1"/>
      <c r="X259" s="1"/>
    </row>
    <row r="260" spans="1:24">
      <c r="A260" s="15"/>
      <c r="B260" s="15"/>
      <c r="C260" s="16"/>
      <c r="D260" s="16"/>
      <c r="E260" s="16"/>
      <c r="F260" s="16"/>
      <c r="G260" s="16"/>
      <c r="H260" s="16"/>
      <c r="I260" s="16"/>
      <c r="J260" s="16"/>
      <c r="K260" s="16"/>
      <c r="L260" s="16"/>
      <c r="M260" s="25"/>
      <c r="N260" s="25"/>
      <c r="O260" s="16"/>
      <c r="P260" s="1"/>
      <c r="Q260" s="1"/>
      <c r="R260" s="1"/>
      <c r="S260" s="1"/>
      <c r="T260" s="1"/>
      <c r="U260" s="1"/>
      <c r="V260" s="16"/>
      <c r="W260" s="1"/>
      <c r="X260" s="1"/>
    </row>
    <row r="261" spans="1:24">
      <c r="A261" s="15"/>
      <c r="B261" s="15"/>
      <c r="C261" s="16"/>
      <c r="D261" s="16"/>
      <c r="E261" s="16"/>
      <c r="F261" s="16"/>
      <c r="G261" s="16"/>
      <c r="H261" s="16"/>
      <c r="I261" s="16"/>
      <c r="J261" s="16"/>
      <c r="K261" s="16"/>
      <c r="L261" s="16"/>
      <c r="M261" s="25"/>
      <c r="N261" s="25"/>
      <c r="O261" s="16"/>
      <c r="P261" s="1"/>
      <c r="Q261" s="1"/>
      <c r="R261" s="1"/>
      <c r="S261" s="1"/>
      <c r="T261" s="1"/>
      <c r="U261" s="1"/>
      <c r="V261" s="16"/>
      <c r="W261" s="1"/>
      <c r="X261" s="1"/>
    </row>
    <row r="262" spans="1:24">
      <c r="A262" s="15"/>
      <c r="B262" s="15"/>
      <c r="C262" s="16"/>
      <c r="D262" s="16"/>
      <c r="E262" s="16"/>
      <c r="F262" s="16"/>
      <c r="G262" s="16"/>
      <c r="H262" s="16"/>
      <c r="I262" s="16"/>
      <c r="J262" s="16"/>
      <c r="K262" s="16"/>
      <c r="L262" s="16"/>
      <c r="M262" s="25"/>
      <c r="N262" s="25"/>
      <c r="O262" s="16"/>
      <c r="P262" s="1"/>
      <c r="Q262" s="1"/>
      <c r="R262" s="1"/>
      <c r="S262" s="1"/>
      <c r="T262" s="1"/>
      <c r="U262" s="1"/>
      <c r="V262" s="16"/>
      <c r="W262" s="1"/>
      <c r="X262" s="1"/>
    </row>
    <row r="263" spans="1:24">
      <c r="A263" s="15"/>
      <c r="B263" s="15"/>
      <c r="C263" s="16"/>
      <c r="D263" s="16"/>
      <c r="E263" s="16"/>
      <c r="F263" s="16"/>
      <c r="G263" s="16"/>
      <c r="H263" s="16"/>
      <c r="I263" s="16"/>
      <c r="J263" s="16"/>
      <c r="K263" s="16"/>
      <c r="L263" s="16"/>
      <c r="M263" s="25"/>
      <c r="N263" s="25"/>
      <c r="O263" s="16"/>
      <c r="P263" s="1"/>
      <c r="Q263" s="1"/>
      <c r="R263" s="1"/>
      <c r="S263" s="1"/>
      <c r="T263" s="1"/>
      <c r="U263" s="1"/>
      <c r="V263" s="16"/>
      <c r="W263" s="1"/>
      <c r="X263" s="1"/>
    </row>
    <row r="264" spans="1:24">
      <c r="A264" s="15"/>
      <c r="B264" s="15"/>
      <c r="C264" s="16"/>
      <c r="D264" s="16"/>
      <c r="E264" s="16"/>
      <c r="F264" s="16"/>
      <c r="G264" s="16"/>
      <c r="H264" s="16"/>
      <c r="I264" s="16"/>
      <c r="J264" s="16"/>
      <c r="K264" s="16"/>
      <c r="L264" s="16"/>
      <c r="M264" s="25"/>
      <c r="N264" s="25"/>
      <c r="O264" s="16"/>
      <c r="P264" s="1"/>
      <c r="Q264" s="1"/>
      <c r="R264" s="1"/>
      <c r="S264" s="1"/>
      <c r="T264" s="1"/>
      <c r="U264" s="1"/>
      <c r="V264" s="16"/>
      <c r="W264" s="1"/>
      <c r="X264" s="1"/>
    </row>
    <row r="265" spans="1:24">
      <c r="A265" s="15"/>
      <c r="B265" s="15"/>
      <c r="C265" s="16"/>
      <c r="D265" s="16"/>
      <c r="E265" s="16"/>
      <c r="F265" s="16"/>
      <c r="G265" s="16"/>
      <c r="H265" s="16"/>
      <c r="I265" s="16"/>
      <c r="J265" s="16"/>
      <c r="K265" s="16"/>
      <c r="L265" s="16"/>
      <c r="M265" s="25"/>
      <c r="N265" s="25"/>
      <c r="O265" s="16"/>
      <c r="P265" s="1"/>
      <c r="Q265" s="1"/>
      <c r="R265" s="1"/>
      <c r="S265" s="1"/>
      <c r="T265" s="1"/>
      <c r="U265" s="1"/>
      <c r="V265" s="16"/>
      <c r="W265" s="1"/>
      <c r="X265" s="1"/>
    </row>
    <row r="266" spans="1:24">
      <c r="A266" s="15"/>
      <c r="B266" s="15"/>
      <c r="C266" s="16"/>
      <c r="D266" s="16"/>
      <c r="E266" s="16"/>
      <c r="F266" s="16"/>
      <c r="G266" s="16"/>
      <c r="H266" s="16"/>
      <c r="I266" s="16"/>
      <c r="J266" s="16"/>
      <c r="K266" s="16"/>
      <c r="L266" s="16"/>
      <c r="M266" s="25"/>
      <c r="N266" s="25"/>
      <c r="O266" s="16"/>
      <c r="P266" s="1"/>
      <c r="Q266" s="1"/>
      <c r="R266" s="1"/>
      <c r="S266" s="1"/>
      <c r="T266" s="1"/>
      <c r="U266" s="1"/>
      <c r="V266" s="16"/>
      <c r="W266" s="1"/>
      <c r="X266" s="1"/>
    </row>
    <row r="267" spans="1:24">
      <c r="A267" s="15"/>
      <c r="B267" s="15"/>
      <c r="C267" s="16"/>
      <c r="D267" s="16"/>
      <c r="E267" s="16"/>
      <c r="F267" s="16"/>
      <c r="G267" s="16"/>
      <c r="H267" s="16"/>
      <c r="I267" s="16"/>
      <c r="J267" s="16"/>
      <c r="K267" s="16"/>
      <c r="L267" s="16"/>
      <c r="M267" s="25"/>
      <c r="N267" s="25"/>
      <c r="O267" s="16"/>
      <c r="P267" s="1"/>
      <c r="Q267" s="1"/>
      <c r="R267" s="1"/>
      <c r="S267" s="1"/>
      <c r="T267" s="1"/>
      <c r="U267" s="1"/>
      <c r="V267" s="16"/>
      <c r="W267" s="1"/>
      <c r="X267" s="1"/>
    </row>
    <row r="268" spans="1:24">
      <c r="A268" s="15"/>
      <c r="B268" s="15"/>
      <c r="C268" s="16"/>
      <c r="D268" s="16"/>
      <c r="E268" s="16"/>
      <c r="F268" s="16"/>
      <c r="G268" s="16"/>
      <c r="H268" s="16"/>
      <c r="I268" s="16"/>
      <c r="J268" s="16"/>
      <c r="K268" s="16"/>
      <c r="L268" s="16"/>
      <c r="M268" s="25"/>
      <c r="N268" s="25"/>
      <c r="O268" s="16"/>
      <c r="P268" s="1"/>
      <c r="Q268" s="1"/>
      <c r="R268" s="1"/>
      <c r="S268" s="1"/>
      <c r="T268" s="1"/>
      <c r="U268" s="1"/>
      <c r="V268" s="16"/>
      <c r="W268" s="1"/>
      <c r="X268" s="1"/>
    </row>
    <row r="269" spans="1:24">
      <c r="A269" s="15"/>
      <c r="B269" s="15"/>
      <c r="C269" s="16"/>
      <c r="D269" s="16"/>
      <c r="E269" s="16"/>
      <c r="F269" s="16"/>
      <c r="G269" s="16"/>
      <c r="H269" s="16"/>
      <c r="I269" s="16"/>
      <c r="J269" s="16"/>
      <c r="K269" s="16"/>
      <c r="L269" s="16"/>
      <c r="M269" s="25"/>
      <c r="N269" s="25"/>
      <c r="O269" s="16"/>
      <c r="P269" s="1"/>
      <c r="Q269" s="1"/>
      <c r="R269" s="1"/>
      <c r="S269" s="1"/>
      <c r="T269" s="1"/>
      <c r="U269" s="1"/>
      <c r="V269" s="16"/>
      <c r="W269" s="1"/>
      <c r="X269" s="1"/>
    </row>
    <row r="270" spans="1:24">
      <c r="A270" s="15"/>
      <c r="B270" s="15"/>
      <c r="C270" s="16"/>
      <c r="D270" s="16"/>
      <c r="E270" s="16"/>
      <c r="F270" s="16"/>
      <c r="G270" s="16"/>
      <c r="H270" s="16"/>
      <c r="I270" s="16"/>
      <c r="J270" s="16"/>
      <c r="K270" s="16"/>
      <c r="L270" s="16"/>
      <c r="M270" s="25"/>
      <c r="N270" s="25"/>
      <c r="O270" s="16"/>
      <c r="P270" s="1"/>
      <c r="Q270" s="1"/>
      <c r="R270" s="1"/>
      <c r="S270" s="1"/>
      <c r="T270" s="1"/>
      <c r="U270" s="1"/>
      <c r="V270" s="16"/>
      <c r="W270" s="1"/>
      <c r="X270" s="1"/>
    </row>
    <row r="271" spans="1:24">
      <c r="A271" s="15"/>
      <c r="B271" s="15"/>
      <c r="C271" s="16"/>
      <c r="D271" s="16"/>
      <c r="E271" s="16"/>
      <c r="F271" s="16"/>
      <c r="G271" s="16"/>
      <c r="H271" s="16"/>
      <c r="I271" s="16"/>
      <c r="J271" s="16"/>
      <c r="K271" s="16"/>
      <c r="L271" s="16"/>
      <c r="M271" s="25"/>
      <c r="N271" s="25"/>
      <c r="O271" s="16"/>
      <c r="P271" s="1"/>
      <c r="Q271" s="1"/>
      <c r="R271" s="1"/>
      <c r="S271" s="1"/>
      <c r="T271" s="1"/>
      <c r="U271" s="1"/>
      <c r="V271" s="16"/>
      <c r="W271" s="1"/>
      <c r="X271" s="1"/>
    </row>
    <row r="272" spans="1:24">
      <c r="A272" s="15"/>
      <c r="B272" s="15"/>
      <c r="C272" s="16"/>
      <c r="D272" s="16"/>
      <c r="E272" s="16"/>
      <c r="F272" s="16"/>
      <c r="G272" s="16"/>
      <c r="H272" s="16"/>
      <c r="I272" s="16"/>
      <c r="J272" s="16"/>
      <c r="K272" s="16"/>
      <c r="L272" s="16"/>
      <c r="M272" s="25"/>
      <c r="N272" s="25"/>
      <c r="O272" s="16"/>
      <c r="P272" s="1"/>
      <c r="Q272" s="1"/>
      <c r="R272" s="1"/>
      <c r="S272" s="1"/>
      <c r="T272" s="1"/>
      <c r="U272" s="1"/>
      <c r="V272" s="16"/>
      <c r="W272" s="1"/>
      <c r="X272" s="1"/>
    </row>
    <row r="273" spans="1:24">
      <c r="A273" s="15"/>
      <c r="B273" s="15"/>
      <c r="C273" s="16"/>
      <c r="D273" s="16"/>
      <c r="E273" s="16"/>
      <c r="F273" s="16"/>
      <c r="G273" s="16"/>
      <c r="H273" s="16"/>
      <c r="I273" s="16"/>
      <c r="J273" s="16"/>
      <c r="K273" s="16"/>
      <c r="L273" s="16"/>
      <c r="M273" s="25"/>
      <c r="N273" s="25"/>
      <c r="O273" s="16"/>
      <c r="P273" s="1"/>
      <c r="Q273" s="1"/>
      <c r="R273" s="1"/>
      <c r="S273" s="1"/>
      <c r="T273" s="1"/>
      <c r="U273" s="1"/>
      <c r="V273" s="16"/>
      <c r="W273" s="1"/>
      <c r="X273" s="1"/>
    </row>
    <row r="274" spans="1:24">
      <c r="A274" s="15"/>
      <c r="B274" s="15"/>
      <c r="C274" s="16"/>
      <c r="D274" s="16"/>
      <c r="E274" s="16"/>
      <c r="F274" s="16"/>
      <c r="G274" s="16"/>
      <c r="H274" s="16"/>
      <c r="I274" s="16"/>
      <c r="J274" s="16"/>
      <c r="K274" s="16"/>
      <c r="L274" s="16"/>
      <c r="M274" s="25"/>
      <c r="N274" s="25"/>
      <c r="O274" s="16"/>
      <c r="P274" s="1"/>
      <c r="Q274" s="1"/>
      <c r="R274" s="1"/>
      <c r="S274" s="1"/>
      <c r="T274" s="1"/>
      <c r="U274" s="1"/>
      <c r="V274" s="16"/>
      <c r="W274" s="1"/>
      <c r="X274" s="1"/>
    </row>
    <row r="275" spans="1:24">
      <c r="A275" s="15"/>
      <c r="B275" s="15"/>
      <c r="C275" s="16"/>
      <c r="D275" s="16"/>
      <c r="E275" s="16"/>
      <c r="F275" s="16"/>
      <c r="G275" s="16"/>
      <c r="H275" s="16"/>
      <c r="I275" s="16"/>
      <c r="J275" s="16"/>
      <c r="K275" s="16"/>
      <c r="L275" s="16"/>
      <c r="M275" s="25"/>
      <c r="N275" s="25"/>
      <c r="O275" s="16"/>
      <c r="P275" s="1"/>
      <c r="Q275" s="1"/>
      <c r="R275" s="1"/>
      <c r="S275" s="1"/>
      <c r="T275" s="1"/>
      <c r="U275" s="1"/>
      <c r="V275" s="16"/>
      <c r="W275" s="1"/>
      <c r="X275" s="1"/>
    </row>
    <row r="276" spans="1:24">
      <c r="A276" s="15"/>
      <c r="B276" s="15"/>
      <c r="C276" s="16"/>
      <c r="D276" s="16"/>
      <c r="E276" s="16"/>
      <c r="F276" s="16"/>
      <c r="G276" s="16"/>
      <c r="H276" s="16"/>
      <c r="I276" s="16"/>
      <c r="J276" s="16"/>
      <c r="K276" s="16"/>
      <c r="L276" s="16"/>
      <c r="M276" s="25"/>
      <c r="N276" s="25"/>
      <c r="O276" s="16"/>
      <c r="P276" s="1"/>
      <c r="Q276" s="1"/>
      <c r="R276" s="1"/>
      <c r="S276" s="1"/>
      <c r="T276" s="1"/>
      <c r="U276" s="1"/>
      <c r="V276" s="16"/>
      <c r="W276" s="1"/>
      <c r="X276" s="1"/>
    </row>
    <row r="277" spans="1:24">
      <c r="A277" s="15"/>
      <c r="B277" s="15"/>
      <c r="C277" s="16"/>
      <c r="D277" s="16"/>
      <c r="E277" s="16"/>
      <c r="F277" s="16"/>
      <c r="G277" s="16"/>
      <c r="H277" s="16"/>
      <c r="I277" s="16"/>
      <c r="J277" s="16"/>
      <c r="K277" s="16"/>
      <c r="L277" s="16"/>
      <c r="M277" s="25"/>
      <c r="N277" s="25"/>
      <c r="O277" s="16"/>
      <c r="P277" s="1"/>
      <c r="Q277" s="1"/>
      <c r="R277" s="1"/>
      <c r="S277" s="1"/>
      <c r="T277" s="1"/>
      <c r="U277" s="1"/>
      <c r="V277" s="16"/>
      <c r="W277" s="1"/>
      <c r="X277" s="1"/>
    </row>
    <row r="278" spans="1:24">
      <c r="A278" s="15"/>
      <c r="B278" s="15"/>
      <c r="C278" s="16"/>
      <c r="D278" s="16"/>
      <c r="E278" s="16"/>
      <c r="F278" s="16"/>
      <c r="G278" s="16"/>
      <c r="H278" s="16"/>
      <c r="I278" s="16"/>
      <c r="J278" s="16"/>
      <c r="K278" s="16"/>
      <c r="L278" s="16"/>
      <c r="M278" s="25"/>
      <c r="N278" s="25"/>
      <c r="O278" s="16"/>
      <c r="P278" s="1"/>
      <c r="Q278" s="1"/>
      <c r="R278" s="1"/>
      <c r="S278" s="1"/>
      <c r="T278" s="1"/>
      <c r="U278" s="1"/>
      <c r="V278" s="16"/>
      <c r="W278" s="1"/>
      <c r="X278" s="1"/>
    </row>
    <row r="279" spans="1:24">
      <c r="A279" s="15"/>
      <c r="B279" s="15"/>
      <c r="C279" s="16"/>
      <c r="D279" s="16"/>
      <c r="E279" s="16"/>
      <c r="F279" s="16"/>
      <c r="G279" s="16"/>
      <c r="H279" s="16"/>
      <c r="I279" s="16"/>
      <c r="J279" s="16"/>
      <c r="K279" s="16"/>
      <c r="L279" s="16"/>
      <c r="M279" s="25"/>
      <c r="N279" s="25"/>
      <c r="O279" s="16"/>
      <c r="P279" s="1"/>
      <c r="Q279" s="1"/>
      <c r="R279" s="1"/>
      <c r="S279" s="1"/>
      <c r="T279" s="1"/>
      <c r="U279" s="1"/>
      <c r="V279" s="16"/>
      <c r="W279" s="1"/>
      <c r="X279" s="1"/>
    </row>
    <row r="280" spans="1:24">
      <c r="A280" s="15"/>
      <c r="B280" s="15"/>
      <c r="C280" s="16"/>
      <c r="D280" s="16"/>
      <c r="E280" s="16"/>
      <c r="F280" s="16"/>
      <c r="G280" s="16"/>
      <c r="H280" s="16"/>
      <c r="I280" s="16"/>
      <c r="J280" s="16"/>
      <c r="K280" s="16"/>
      <c r="L280" s="16"/>
      <c r="M280" s="25"/>
      <c r="N280" s="25"/>
      <c r="O280" s="16"/>
      <c r="P280" s="1"/>
      <c r="Q280" s="1"/>
      <c r="R280" s="1"/>
      <c r="S280" s="1"/>
      <c r="T280" s="1"/>
      <c r="U280" s="1"/>
      <c r="V280" s="16"/>
      <c r="W280" s="1"/>
      <c r="X280" s="1"/>
    </row>
    <row r="281" spans="1:24">
      <c r="A281" s="15"/>
      <c r="B281" s="15"/>
      <c r="C281" s="16"/>
      <c r="D281" s="16"/>
      <c r="E281" s="16"/>
      <c r="F281" s="16"/>
      <c r="G281" s="16"/>
      <c r="H281" s="16"/>
      <c r="I281" s="16"/>
      <c r="J281" s="16"/>
      <c r="K281" s="16"/>
      <c r="L281" s="16"/>
      <c r="M281" s="25"/>
      <c r="N281" s="25"/>
      <c r="O281" s="16"/>
      <c r="P281" s="1"/>
      <c r="Q281" s="1"/>
      <c r="R281" s="1"/>
      <c r="S281" s="1"/>
      <c r="T281" s="1"/>
      <c r="U281" s="1"/>
      <c r="V281" s="16"/>
      <c r="W281" s="1"/>
      <c r="X281" s="1"/>
    </row>
    <row r="282" spans="1:24">
      <c r="A282" s="15"/>
      <c r="B282" s="15"/>
      <c r="C282" s="16"/>
      <c r="D282" s="16"/>
      <c r="E282" s="16"/>
      <c r="F282" s="16"/>
      <c r="G282" s="16"/>
      <c r="H282" s="16"/>
      <c r="I282" s="16"/>
      <c r="J282" s="16"/>
      <c r="K282" s="16"/>
      <c r="L282" s="16"/>
      <c r="M282" s="25"/>
      <c r="N282" s="25"/>
      <c r="O282" s="16"/>
      <c r="P282" s="1"/>
      <c r="Q282" s="1"/>
      <c r="R282" s="1"/>
      <c r="S282" s="1"/>
      <c r="T282" s="1"/>
      <c r="U282" s="1"/>
      <c r="V282" s="16"/>
      <c r="W282" s="1"/>
      <c r="X282" s="1"/>
    </row>
    <row r="283" spans="1:24">
      <c r="A283" s="15"/>
      <c r="B283" s="15"/>
      <c r="C283" s="16"/>
      <c r="D283" s="16"/>
      <c r="E283" s="16"/>
      <c r="F283" s="16"/>
      <c r="G283" s="16"/>
      <c r="H283" s="16"/>
      <c r="I283" s="16"/>
      <c r="J283" s="16"/>
      <c r="K283" s="16"/>
      <c r="L283" s="16"/>
      <c r="M283" s="25"/>
      <c r="N283" s="25"/>
      <c r="O283" s="16"/>
      <c r="P283" s="1"/>
      <c r="Q283" s="1"/>
      <c r="R283" s="1"/>
      <c r="S283" s="1"/>
      <c r="T283" s="1"/>
      <c r="U283" s="1"/>
      <c r="V283" s="16"/>
      <c r="W283" s="1"/>
      <c r="X283" s="1"/>
    </row>
    <row r="284" spans="1:24">
      <c r="A284" s="15"/>
      <c r="B284" s="15"/>
      <c r="C284" s="16"/>
      <c r="D284" s="16"/>
      <c r="E284" s="16"/>
      <c r="F284" s="16"/>
      <c r="G284" s="16"/>
      <c r="H284" s="16"/>
      <c r="I284" s="16"/>
      <c r="J284" s="16"/>
      <c r="K284" s="16"/>
      <c r="L284" s="16"/>
      <c r="M284" s="25"/>
      <c r="N284" s="25"/>
      <c r="O284" s="16"/>
      <c r="P284" s="1"/>
      <c r="Q284" s="1"/>
      <c r="R284" s="1"/>
      <c r="S284" s="1"/>
      <c r="T284" s="1"/>
      <c r="U284" s="1"/>
      <c r="V284" s="16"/>
      <c r="W284" s="1"/>
      <c r="X284" s="1"/>
    </row>
    <row r="285" spans="1:24">
      <c r="A285" s="15"/>
      <c r="B285" s="15"/>
      <c r="C285" s="16"/>
      <c r="D285" s="16"/>
      <c r="E285" s="16"/>
      <c r="F285" s="16"/>
      <c r="G285" s="16"/>
      <c r="H285" s="16"/>
      <c r="I285" s="16"/>
      <c r="J285" s="16"/>
      <c r="K285" s="16"/>
      <c r="L285" s="16"/>
      <c r="M285" s="25"/>
      <c r="N285" s="25"/>
      <c r="O285" s="16"/>
      <c r="P285" s="1"/>
      <c r="Q285" s="1"/>
      <c r="R285" s="1"/>
      <c r="S285" s="1"/>
      <c r="T285" s="1"/>
      <c r="U285" s="1"/>
      <c r="V285" s="16"/>
      <c r="W285" s="1"/>
      <c r="X285" s="1"/>
    </row>
    <row r="286" spans="1:24">
      <c r="A286" s="15"/>
      <c r="B286" s="15"/>
      <c r="C286" s="16"/>
      <c r="D286" s="16"/>
      <c r="E286" s="16"/>
      <c r="F286" s="16"/>
      <c r="G286" s="16"/>
      <c r="H286" s="16"/>
      <c r="I286" s="16"/>
      <c r="J286" s="16"/>
      <c r="K286" s="16"/>
      <c r="L286" s="16"/>
      <c r="M286" s="25"/>
      <c r="N286" s="25"/>
      <c r="O286" s="16"/>
      <c r="P286" s="1"/>
      <c r="Q286" s="1"/>
      <c r="R286" s="1"/>
      <c r="S286" s="1"/>
      <c r="T286" s="1"/>
      <c r="U286" s="1"/>
      <c r="V286" s="16"/>
      <c r="W286" s="1"/>
      <c r="X286" s="1"/>
    </row>
    <row r="287" spans="1:24">
      <c r="A287" s="15"/>
      <c r="B287" s="15"/>
      <c r="C287" s="16"/>
      <c r="D287" s="16"/>
      <c r="E287" s="16"/>
      <c r="F287" s="16"/>
      <c r="G287" s="16"/>
      <c r="H287" s="16"/>
      <c r="I287" s="16"/>
      <c r="J287" s="16"/>
      <c r="K287" s="16"/>
      <c r="L287" s="16"/>
      <c r="M287" s="25"/>
      <c r="N287" s="25"/>
      <c r="O287" s="16"/>
      <c r="P287" s="1"/>
      <c r="Q287" s="1"/>
      <c r="R287" s="1"/>
      <c r="S287" s="1"/>
      <c r="T287" s="1"/>
      <c r="U287" s="1"/>
      <c r="V287" s="16"/>
      <c r="W287" s="1"/>
      <c r="X287" s="1"/>
    </row>
    <row r="288" spans="1:24">
      <c r="A288" s="15"/>
      <c r="B288" s="15"/>
      <c r="C288" s="16"/>
      <c r="D288" s="16"/>
      <c r="E288" s="16"/>
      <c r="F288" s="16"/>
      <c r="G288" s="16"/>
      <c r="H288" s="16"/>
      <c r="I288" s="16"/>
      <c r="J288" s="16"/>
      <c r="K288" s="16"/>
      <c r="L288" s="16"/>
      <c r="M288" s="25"/>
      <c r="N288" s="25"/>
      <c r="O288" s="16"/>
      <c r="P288" s="1"/>
      <c r="Q288" s="1"/>
      <c r="R288" s="1"/>
      <c r="S288" s="1"/>
      <c r="T288" s="1"/>
      <c r="U288" s="1"/>
      <c r="V288" s="16"/>
      <c r="W288" s="1"/>
      <c r="X288" s="1"/>
    </row>
    <row r="289" spans="1:24">
      <c r="A289" s="15"/>
      <c r="B289" s="15"/>
      <c r="C289" s="16"/>
      <c r="D289" s="16"/>
      <c r="E289" s="16"/>
      <c r="F289" s="16"/>
      <c r="G289" s="16"/>
      <c r="H289" s="16"/>
      <c r="I289" s="16"/>
      <c r="J289" s="16"/>
      <c r="K289" s="16"/>
      <c r="L289" s="16"/>
      <c r="M289" s="25"/>
      <c r="N289" s="25"/>
      <c r="O289" s="16"/>
      <c r="P289" s="1"/>
      <c r="Q289" s="1"/>
      <c r="R289" s="1"/>
      <c r="S289" s="1"/>
      <c r="T289" s="1"/>
      <c r="U289" s="1"/>
      <c r="V289" s="16"/>
      <c r="W289" s="1"/>
      <c r="X289" s="1"/>
    </row>
    <row r="290" spans="1:24">
      <c r="A290" s="15"/>
      <c r="B290" s="15"/>
      <c r="C290" s="16"/>
      <c r="D290" s="16"/>
      <c r="E290" s="16"/>
      <c r="F290" s="16"/>
      <c r="G290" s="16"/>
      <c r="H290" s="16"/>
      <c r="I290" s="16"/>
      <c r="J290" s="16"/>
      <c r="K290" s="16"/>
      <c r="L290" s="16"/>
      <c r="M290" s="25"/>
      <c r="N290" s="25"/>
      <c r="O290" s="16"/>
      <c r="P290" s="1"/>
      <c r="Q290" s="1"/>
      <c r="R290" s="1"/>
      <c r="S290" s="1"/>
      <c r="T290" s="1"/>
      <c r="U290" s="1"/>
      <c r="V290" s="16"/>
      <c r="W290" s="1"/>
      <c r="X290" s="1"/>
    </row>
    <row r="291" spans="1:24">
      <c r="A291" s="15"/>
      <c r="B291" s="15"/>
      <c r="C291" s="16"/>
      <c r="D291" s="16"/>
      <c r="E291" s="16"/>
      <c r="F291" s="16"/>
      <c r="G291" s="16"/>
      <c r="H291" s="16"/>
      <c r="I291" s="16"/>
      <c r="J291" s="16"/>
      <c r="K291" s="16"/>
      <c r="L291" s="16"/>
      <c r="M291" s="25"/>
      <c r="N291" s="25"/>
      <c r="O291" s="16"/>
      <c r="P291" s="1"/>
      <c r="Q291" s="1"/>
      <c r="R291" s="1"/>
      <c r="S291" s="1"/>
      <c r="T291" s="1"/>
      <c r="U291" s="1"/>
      <c r="V291" s="16"/>
      <c r="W291" s="1"/>
      <c r="X291" s="1"/>
    </row>
    <row r="292" spans="1:24">
      <c r="A292" s="15"/>
      <c r="B292" s="15"/>
      <c r="C292" s="16"/>
      <c r="D292" s="16"/>
      <c r="E292" s="16"/>
      <c r="F292" s="16"/>
      <c r="G292" s="16"/>
      <c r="H292" s="16"/>
      <c r="I292" s="16"/>
      <c r="J292" s="16"/>
      <c r="K292" s="16"/>
      <c r="L292" s="16"/>
      <c r="M292" s="25"/>
      <c r="N292" s="25"/>
      <c r="O292" s="16"/>
      <c r="P292" s="1"/>
      <c r="Q292" s="1"/>
      <c r="R292" s="1"/>
      <c r="S292" s="1"/>
      <c r="T292" s="1"/>
      <c r="U292" s="1"/>
      <c r="V292" s="16"/>
      <c r="W292" s="1"/>
      <c r="X292" s="1"/>
    </row>
    <row r="293" spans="1:24">
      <c r="A293" s="15"/>
      <c r="B293" s="15"/>
      <c r="C293" s="16"/>
      <c r="D293" s="16"/>
      <c r="E293" s="16"/>
      <c r="F293" s="16"/>
      <c r="G293" s="16"/>
      <c r="H293" s="16"/>
      <c r="I293" s="16"/>
      <c r="J293" s="16"/>
      <c r="K293" s="16"/>
      <c r="L293" s="16"/>
      <c r="M293" s="25"/>
      <c r="N293" s="25"/>
      <c r="O293" s="16"/>
      <c r="P293" s="1"/>
      <c r="Q293" s="1"/>
      <c r="R293" s="1"/>
      <c r="S293" s="1"/>
      <c r="T293" s="1"/>
      <c r="U293" s="1"/>
      <c r="V293" s="16"/>
      <c r="W293" s="1"/>
      <c r="X293" s="1"/>
    </row>
    <row r="294" spans="1:24">
      <c r="A294" s="15"/>
      <c r="B294" s="15"/>
      <c r="C294" s="16"/>
      <c r="D294" s="16"/>
      <c r="E294" s="16"/>
      <c r="F294" s="16"/>
      <c r="G294" s="16"/>
      <c r="H294" s="16"/>
      <c r="I294" s="16"/>
      <c r="J294" s="16"/>
      <c r="K294" s="16"/>
      <c r="L294" s="16"/>
      <c r="M294" s="25"/>
      <c r="N294" s="25"/>
      <c r="O294" s="16"/>
      <c r="P294" s="1"/>
      <c r="Q294" s="1"/>
      <c r="R294" s="1"/>
      <c r="S294" s="1"/>
      <c r="T294" s="1"/>
      <c r="U294" s="1"/>
      <c r="V294" s="16"/>
      <c r="W294" s="1"/>
      <c r="X294" s="1"/>
    </row>
    <row r="295" spans="1:24">
      <c r="A295" s="15"/>
      <c r="B295" s="15"/>
      <c r="C295" s="16"/>
      <c r="D295" s="16"/>
      <c r="E295" s="16"/>
      <c r="F295" s="16"/>
      <c r="G295" s="16"/>
      <c r="H295" s="16"/>
      <c r="I295" s="16"/>
      <c r="J295" s="16"/>
      <c r="K295" s="16"/>
      <c r="L295" s="16"/>
      <c r="M295" s="25"/>
      <c r="N295" s="25"/>
      <c r="O295" s="16"/>
      <c r="P295" s="1"/>
      <c r="Q295" s="1"/>
      <c r="R295" s="1"/>
      <c r="S295" s="1"/>
      <c r="T295" s="1"/>
      <c r="U295" s="1"/>
      <c r="V295" s="16"/>
      <c r="W295" s="1"/>
      <c r="X295" s="1"/>
    </row>
    <row r="296" spans="1:24">
      <c r="A296" s="15"/>
      <c r="B296" s="15"/>
      <c r="C296" s="16"/>
      <c r="D296" s="16"/>
      <c r="E296" s="16"/>
      <c r="F296" s="16"/>
      <c r="G296" s="16"/>
      <c r="H296" s="16"/>
      <c r="I296" s="16"/>
      <c r="J296" s="16"/>
      <c r="K296" s="16"/>
      <c r="L296" s="16"/>
      <c r="M296" s="25"/>
      <c r="N296" s="25"/>
      <c r="O296" s="16"/>
      <c r="P296" s="1"/>
      <c r="Q296" s="1"/>
      <c r="R296" s="1"/>
      <c r="S296" s="1"/>
      <c r="T296" s="1"/>
      <c r="U296" s="1"/>
      <c r="V296" s="16"/>
      <c r="W296" s="1"/>
      <c r="X296" s="1"/>
    </row>
    <row r="297" spans="1:24">
      <c r="A297" s="15"/>
      <c r="B297" s="15"/>
      <c r="C297" s="16"/>
      <c r="D297" s="16"/>
      <c r="E297" s="16"/>
      <c r="F297" s="16"/>
      <c r="G297" s="16"/>
      <c r="H297" s="16"/>
      <c r="I297" s="16"/>
      <c r="J297" s="16"/>
      <c r="K297" s="16"/>
      <c r="L297" s="16"/>
      <c r="M297" s="25"/>
      <c r="N297" s="25"/>
      <c r="O297" s="16"/>
      <c r="P297" s="1"/>
      <c r="Q297" s="1"/>
      <c r="R297" s="1"/>
      <c r="S297" s="1"/>
      <c r="T297" s="1"/>
      <c r="U297" s="1"/>
      <c r="V297" s="16"/>
      <c r="W297" s="1"/>
      <c r="X297" s="1"/>
    </row>
    <row r="298" spans="1:24">
      <c r="A298" s="15"/>
      <c r="B298" s="15"/>
      <c r="C298" s="16"/>
      <c r="D298" s="16"/>
      <c r="E298" s="16"/>
      <c r="F298" s="16"/>
      <c r="G298" s="16"/>
      <c r="H298" s="16"/>
      <c r="I298" s="16"/>
      <c r="J298" s="16"/>
      <c r="K298" s="16"/>
      <c r="L298" s="16"/>
      <c r="M298" s="25"/>
      <c r="N298" s="25"/>
      <c r="O298" s="16"/>
      <c r="P298" s="1"/>
      <c r="Q298" s="1"/>
      <c r="R298" s="1"/>
      <c r="S298" s="1"/>
      <c r="T298" s="1"/>
      <c r="U298" s="1"/>
      <c r="V298" s="16"/>
      <c r="W298" s="1"/>
      <c r="X298" s="1"/>
    </row>
    <row r="299" spans="1:24">
      <c r="A299" s="15"/>
      <c r="B299" s="15"/>
      <c r="C299" s="16"/>
      <c r="D299" s="16"/>
      <c r="E299" s="16"/>
      <c r="F299" s="16"/>
      <c r="G299" s="16"/>
      <c r="H299" s="16"/>
      <c r="I299" s="16"/>
      <c r="J299" s="16"/>
      <c r="K299" s="16"/>
      <c r="L299" s="16"/>
      <c r="M299" s="25"/>
      <c r="N299" s="25"/>
      <c r="O299" s="16"/>
      <c r="P299" s="1"/>
      <c r="Q299" s="1"/>
      <c r="R299" s="1"/>
      <c r="S299" s="1"/>
      <c r="T299" s="1"/>
      <c r="U299" s="1"/>
      <c r="V299" s="16"/>
      <c r="W299" s="1"/>
      <c r="X299" s="1"/>
    </row>
    <row r="300" spans="1:24">
      <c r="A300" s="15"/>
      <c r="B300" s="15"/>
      <c r="C300" s="16"/>
      <c r="D300" s="16"/>
      <c r="E300" s="16"/>
      <c r="F300" s="16"/>
      <c r="G300" s="16"/>
      <c r="H300" s="16"/>
      <c r="I300" s="16"/>
      <c r="J300" s="16"/>
      <c r="K300" s="16"/>
      <c r="L300" s="16"/>
      <c r="M300" s="25"/>
      <c r="N300" s="25"/>
      <c r="O300" s="16"/>
      <c r="P300" s="1"/>
      <c r="Q300" s="1"/>
      <c r="R300" s="1"/>
      <c r="S300" s="1"/>
      <c r="T300" s="1"/>
      <c r="U300" s="1"/>
      <c r="V300" s="16"/>
      <c r="W300" s="1"/>
      <c r="X300" s="1"/>
    </row>
    <row r="301" spans="1:24">
      <c r="A301" s="15"/>
      <c r="B301" s="15"/>
      <c r="C301" s="16"/>
      <c r="D301" s="16"/>
      <c r="E301" s="16"/>
      <c r="F301" s="16"/>
      <c r="G301" s="16"/>
      <c r="H301" s="16"/>
      <c r="I301" s="16"/>
      <c r="J301" s="16"/>
      <c r="K301" s="16"/>
      <c r="L301" s="16"/>
      <c r="M301" s="25"/>
      <c r="N301" s="25"/>
      <c r="O301" s="16"/>
      <c r="P301" s="1"/>
      <c r="Q301" s="1"/>
      <c r="R301" s="1"/>
      <c r="S301" s="1"/>
      <c r="T301" s="1"/>
      <c r="U301" s="1"/>
      <c r="V301" s="16"/>
      <c r="W301" s="1"/>
      <c r="X301" s="1"/>
    </row>
    <row r="302" spans="1:24">
      <c r="A302" s="15"/>
      <c r="B302" s="15"/>
      <c r="C302" s="16"/>
      <c r="D302" s="16"/>
      <c r="E302" s="16"/>
      <c r="F302" s="16"/>
      <c r="G302" s="16"/>
      <c r="H302" s="16"/>
      <c r="I302" s="16"/>
      <c r="J302" s="16"/>
      <c r="K302" s="16"/>
      <c r="L302" s="16"/>
      <c r="M302" s="25"/>
      <c r="N302" s="25"/>
      <c r="O302" s="16"/>
      <c r="P302" s="1"/>
      <c r="Q302" s="1"/>
      <c r="R302" s="1"/>
      <c r="S302" s="1"/>
      <c r="T302" s="1"/>
      <c r="U302" s="1"/>
      <c r="V302" s="16"/>
      <c r="W302" s="1"/>
      <c r="X302" s="1"/>
    </row>
    <row r="303" spans="1:24">
      <c r="A303" s="15"/>
      <c r="B303" s="15"/>
      <c r="C303" s="16"/>
      <c r="D303" s="16"/>
      <c r="E303" s="16"/>
      <c r="F303" s="16"/>
      <c r="G303" s="16"/>
      <c r="H303" s="16"/>
      <c r="I303" s="16"/>
      <c r="J303" s="16"/>
      <c r="K303" s="16"/>
      <c r="L303" s="16"/>
      <c r="M303" s="25"/>
      <c r="N303" s="25"/>
      <c r="O303" s="16"/>
      <c r="P303" s="1"/>
      <c r="Q303" s="1"/>
      <c r="R303" s="1"/>
      <c r="S303" s="1"/>
      <c r="T303" s="1"/>
      <c r="U303" s="1"/>
      <c r="V303" s="16"/>
      <c r="W303" s="1"/>
      <c r="X303" s="1"/>
    </row>
    <row r="304" spans="1:24">
      <c r="A304" s="15"/>
      <c r="B304" s="15"/>
      <c r="C304" s="16"/>
      <c r="D304" s="16"/>
      <c r="E304" s="16"/>
      <c r="F304" s="16"/>
      <c r="G304" s="16"/>
      <c r="H304" s="16"/>
      <c r="I304" s="16"/>
      <c r="J304" s="16"/>
      <c r="K304" s="16"/>
      <c r="L304" s="16"/>
      <c r="M304" s="25"/>
      <c r="N304" s="25"/>
      <c r="O304" s="16"/>
      <c r="P304" s="1"/>
      <c r="Q304" s="1"/>
      <c r="R304" s="1"/>
      <c r="S304" s="1"/>
      <c r="T304" s="1"/>
      <c r="U304" s="1"/>
      <c r="V304" s="16"/>
      <c r="W304" s="1"/>
      <c r="X304" s="1"/>
    </row>
    <row r="305" spans="1:24">
      <c r="A305" s="15"/>
      <c r="B305" s="15"/>
      <c r="C305" s="16"/>
      <c r="D305" s="16"/>
      <c r="E305" s="16"/>
      <c r="F305" s="16"/>
      <c r="G305" s="16"/>
      <c r="H305" s="16"/>
      <c r="I305" s="16"/>
      <c r="J305" s="16"/>
      <c r="K305" s="16"/>
      <c r="L305" s="16"/>
      <c r="M305" s="25"/>
      <c r="N305" s="25"/>
      <c r="O305" s="16"/>
      <c r="P305" s="1"/>
      <c r="Q305" s="1"/>
      <c r="R305" s="1"/>
      <c r="S305" s="1"/>
      <c r="T305" s="1"/>
      <c r="U305" s="1"/>
      <c r="V305" s="16"/>
      <c r="W305" s="1"/>
      <c r="X305" s="1"/>
    </row>
    <row r="306" spans="1:24">
      <c r="A306" s="15"/>
      <c r="B306" s="15"/>
      <c r="C306" s="16"/>
      <c r="D306" s="16"/>
      <c r="E306" s="16"/>
      <c r="F306" s="16"/>
      <c r="G306" s="16"/>
      <c r="H306" s="16"/>
      <c r="I306" s="16"/>
      <c r="J306" s="16"/>
      <c r="K306" s="16"/>
      <c r="L306" s="16"/>
      <c r="M306" s="25"/>
      <c r="N306" s="25"/>
      <c r="O306" s="16"/>
      <c r="P306" s="1"/>
      <c r="Q306" s="1"/>
      <c r="R306" s="1"/>
      <c r="S306" s="1"/>
      <c r="T306" s="1"/>
      <c r="U306" s="1"/>
      <c r="V306" s="16"/>
      <c r="W306" s="1"/>
      <c r="X306" s="1"/>
    </row>
    <row r="307" spans="1:24">
      <c r="A307" s="15"/>
      <c r="B307" s="15"/>
      <c r="C307" s="16"/>
      <c r="D307" s="16"/>
      <c r="E307" s="16"/>
      <c r="F307" s="16"/>
      <c r="G307" s="16"/>
      <c r="H307" s="16"/>
      <c r="I307" s="16"/>
      <c r="J307" s="16"/>
      <c r="K307" s="16"/>
      <c r="L307" s="16"/>
      <c r="M307" s="25"/>
      <c r="N307" s="25"/>
      <c r="O307" s="16"/>
      <c r="P307" s="1"/>
      <c r="Q307" s="1"/>
      <c r="R307" s="1"/>
      <c r="S307" s="1"/>
      <c r="T307" s="1"/>
      <c r="U307" s="1"/>
      <c r="V307" s="16"/>
      <c r="W307" s="1"/>
      <c r="X307" s="1"/>
    </row>
    <row r="308" spans="1:24">
      <c r="A308" s="15"/>
      <c r="B308" s="15"/>
      <c r="C308" s="16"/>
      <c r="D308" s="16"/>
      <c r="E308" s="16"/>
      <c r="F308" s="16"/>
      <c r="G308" s="16"/>
      <c r="H308" s="16"/>
      <c r="I308" s="16"/>
      <c r="J308" s="16"/>
      <c r="K308" s="16"/>
      <c r="L308" s="16"/>
      <c r="M308" s="25"/>
      <c r="N308" s="25"/>
      <c r="O308" s="16"/>
      <c r="P308" s="1"/>
      <c r="Q308" s="1"/>
      <c r="R308" s="1"/>
      <c r="S308" s="1"/>
      <c r="T308" s="1"/>
      <c r="U308" s="1"/>
      <c r="V308" s="16"/>
      <c r="W308" s="1"/>
      <c r="X308" s="1"/>
    </row>
    <row r="309" spans="1:24">
      <c r="A309" s="15"/>
      <c r="B309" s="15"/>
      <c r="C309" s="16"/>
      <c r="D309" s="16"/>
      <c r="E309" s="16"/>
      <c r="F309" s="16"/>
      <c r="G309" s="16"/>
      <c r="H309" s="16"/>
      <c r="I309" s="16"/>
      <c r="J309" s="16"/>
      <c r="K309" s="16"/>
      <c r="L309" s="16"/>
      <c r="M309" s="25"/>
      <c r="N309" s="25"/>
      <c r="O309" s="16"/>
      <c r="P309" s="1"/>
      <c r="Q309" s="1"/>
      <c r="R309" s="1"/>
      <c r="S309" s="1"/>
      <c r="T309" s="1"/>
      <c r="U309" s="1"/>
      <c r="V309" s="16"/>
      <c r="W309" s="1"/>
      <c r="X309" s="1"/>
    </row>
    <row r="310" spans="1:24">
      <c r="A310" s="15"/>
      <c r="B310" s="15"/>
      <c r="C310" s="16"/>
      <c r="D310" s="16"/>
      <c r="E310" s="16"/>
      <c r="F310" s="16"/>
      <c r="G310" s="16"/>
      <c r="H310" s="16"/>
      <c r="I310" s="16"/>
      <c r="J310" s="16"/>
      <c r="K310" s="16"/>
      <c r="L310" s="16"/>
      <c r="M310" s="25"/>
      <c r="N310" s="25"/>
      <c r="O310" s="16"/>
      <c r="P310" s="1"/>
      <c r="Q310" s="1"/>
      <c r="R310" s="1"/>
      <c r="S310" s="1"/>
      <c r="T310" s="1"/>
      <c r="U310" s="1"/>
      <c r="V310" s="16"/>
      <c r="W310" s="1"/>
      <c r="X310" s="1"/>
    </row>
    <row r="311" spans="1:24">
      <c r="A311" s="15"/>
      <c r="B311" s="15"/>
      <c r="C311" s="16"/>
      <c r="D311" s="16"/>
      <c r="E311" s="16"/>
      <c r="F311" s="16"/>
      <c r="G311" s="16"/>
      <c r="H311" s="16"/>
      <c r="I311" s="16"/>
      <c r="J311" s="16"/>
      <c r="K311" s="16"/>
      <c r="L311" s="16"/>
      <c r="M311" s="25"/>
      <c r="N311" s="25"/>
      <c r="O311" s="16"/>
      <c r="P311" s="1"/>
      <c r="Q311" s="1"/>
      <c r="R311" s="1"/>
      <c r="S311" s="1"/>
      <c r="T311" s="1"/>
      <c r="U311" s="1"/>
      <c r="V311" s="16"/>
      <c r="W311" s="1"/>
      <c r="X311" s="1"/>
    </row>
    <row r="312" spans="1:24">
      <c r="A312" s="15"/>
      <c r="B312" s="15"/>
      <c r="C312" s="16"/>
      <c r="D312" s="16"/>
      <c r="E312" s="16"/>
      <c r="F312" s="16"/>
      <c r="G312" s="16"/>
      <c r="H312" s="16"/>
      <c r="I312" s="16"/>
      <c r="J312" s="16"/>
      <c r="K312" s="16"/>
      <c r="L312" s="16"/>
      <c r="M312" s="25"/>
      <c r="N312" s="25"/>
      <c r="O312" s="16"/>
      <c r="P312" s="1"/>
      <c r="Q312" s="1"/>
      <c r="R312" s="1"/>
      <c r="S312" s="1"/>
      <c r="T312" s="1"/>
      <c r="U312" s="1"/>
      <c r="V312" s="16"/>
      <c r="W312" s="1"/>
      <c r="X312" s="1"/>
    </row>
    <row r="313" spans="1:24">
      <c r="A313" s="15"/>
      <c r="B313" s="15"/>
      <c r="C313" s="16"/>
      <c r="D313" s="16"/>
      <c r="E313" s="16"/>
      <c r="F313" s="16"/>
      <c r="G313" s="16"/>
      <c r="H313" s="16"/>
      <c r="I313" s="16"/>
      <c r="J313" s="16"/>
      <c r="K313" s="16"/>
      <c r="L313" s="16"/>
      <c r="M313" s="25"/>
      <c r="N313" s="25"/>
      <c r="O313" s="16"/>
      <c r="P313" s="1"/>
      <c r="Q313" s="1"/>
      <c r="R313" s="1"/>
      <c r="S313" s="1"/>
      <c r="T313" s="1"/>
      <c r="U313" s="1"/>
      <c r="V313" s="16"/>
      <c r="W313" s="1"/>
      <c r="X313" s="1"/>
    </row>
    <row r="314" spans="1:24">
      <c r="A314" s="15"/>
      <c r="B314" s="15"/>
      <c r="C314" s="16"/>
      <c r="D314" s="16"/>
      <c r="E314" s="16"/>
      <c r="F314" s="16"/>
      <c r="G314" s="16"/>
      <c r="H314" s="16"/>
      <c r="I314" s="16"/>
      <c r="J314" s="16"/>
      <c r="K314" s="16"/>
      <c r="L314" s="16"/>
      <c r="M314" s="25"/>
      <c r="N314" s="25"/>
      <c r="O314" s="16"/>
      <c r="P314" s="1"/>
      <c r="Q314" s="1"/>
      <c r="R314" s="1"/>
      <c r="S314" s="1"/>
      <c r="T314" s="1"/>
      <c r="U314" s="1"/>
      <c r="V314" s="16"/>
      <c r="W314" s="1"/>
      <c r="X314" s="1"/>
    </row>
    <row r="315" spans="1:24">
      <c r="A315" s="15"/>
      <c r="B315" s="15"/>
      <c r="C315" s="16"/>
      <c r="D315" s="16"/>
      <c r="E315" s="16"/>
      <c r="F315" s="16"/>
      <c r="G315" s="16"/>
      <c r="H315" s="16"/>
      <c r="I315" s="16"/>
      <c r="J315" s="16"/>
      <c r="K315" s="16"/>
      <c r="L315" s="16"/>
      <c r="M315" s="25"/>
      <c r="N315" s="25"/>
      <c r="O315" s="16"/>
      <c r="P315" s="1"/>
      <c r="Q315" s="1"/>
      <c r="R315" s="1"/>
      <c r="S315" s="1"/>
      <c r="T315" s="1"/>
      <c r="U315" s="1"/>
      <c r="V315" s="16"/>
      <c r="W315" s="1"/>
      <c r="X315" s="1"/>
    </row>
    <row r="316" spans="1:24">
      <c r="A316" s="15"/>
      <c r="B316" s="15"/>
      <c r="C316" s="16"/>
      <c r="D316" s="16"/>
      <c r="E316" s="16"/>
      <c r="F316" s="16"/>
      <c r="G316" s="16"/>
      <c r="H316" s="16"/>
      <c r="I316" s="16"/>
      <c r="J316" s="16"/>
      <c r="K316" s="16"/>
      <c r="L316" s="16"/>
      <c r="M316" s="25"/>
      <c r="N316" s="25"/>
      <c r="O316" s="16"/>
      <c r="P316" s="1"/>
      <c r="Q316" s="1"/>
      <c r="R316" s="1"/>
      <c r="S316" s="1"/>
      <c r="T316" s="1"/>
      <c r="U316" s="1"/>
      <c r="V316" s="16"/>
      <c r="W316" s="1"/>
      <c r="X316" s="1"/>
    </row>
    <row r="317" spans="1:24">
      <c r="A317" s="15"/>
      <c r="B317" s="15"/>
      <c r="C317" s="16"/>
      <c r="D317" s="16"/>
      <c r="E317" s="16"/>
      <c r="F317" s="16"/>
      <c r="G317" s="16"/>
      <c r="H317" s="16"/>
      <c r="I317" s="16"/>
      <c r="J317" s="16"/>
      <c r="K317" s="16"/>
      <c r="L317" s="16"/>
      <c r="M317" s="25"/>
      <c r="N317" s="25"/>
      <c r="O317" s="16"/>
      <c r="P317" s="1"/>
      <c r="Q317" s="1"/>
      <c r="R317" s="1"/>
      <c r="S317" s="1"/>
      <c r="T317" s="1"/>
      <c r="U317" s="1"/>
      <c r="V317" s="16"/>
      <c r="W317" s="1"/>
      <c r="X317" s="1"/>
    </row>
    <row r="318" spans="1:24">
      <c r="A318" s="15"/>
      <c r="B318" s="15"/>
      <c r="C318" s="16"/>
      <c r="D318" s="16"/>
      <c r="E318" s="16"/>
      <c r="F318" s="16"/>
      <c r="G318" s="16"/>
      <c r="H318" s="16"/>
      <c r="I318" s="16"/>
      <c r="J318" s="16"/>
      <c r="K318" s="16"/>
      <c r="L318" s="16"/>
      <c r="M318" s="25"/>
      <c r="N318" s="25"/>
      <c r="O318" s="16"/>
      <c r="P318" s="1"/>
      <c r="Q318" s="1"/>
      <c r="R318" s="1"/>
      <c r="S318" s="1"/>
      <c r="T318" s="1"/>
      <c r="U318" s="1"/>
      <c r="V318" s="16"/>
      <c r="W318" s="1"/>
      <c r="X318" s="1"/>
    </row>
    <row r="319" spans="1:24">
      <c r="A319" s="15"/>
      <c r="B319" s="15"/>
      <c r="C319" s="16"/>
      <c r="D319" s="16"/>
      <c r="E319" s="16"/>
      <c r="F319" s="16"/>
      <c r="G319" s="16"/>
      <c r="H319" s="16"/>
      <c r="I319" s="16"/>
      <c r="J319" s="16"/>
      <c r="K319" s="16"/>
      <c r="L319" s="16"/>
      <c r="M319" s="25"/>
      <c r="N319" s="25"/>
      <c r="O319" s="16"/>
      <c r="P319" s="1"/>
      <c r="Q319" s="1"/>
      <c r="R319" s="1"/>
      <c r="S319" s="1"/>
      <c r="T319" s="1"/>
      <c r="U319" s="1"/>
      <c r="V319" s="16"/>
      <c r="W319" s="1"/>
      <c r="X319" s="1"/>
    </row>
    <row r="320" spans="1:24">
      <c r="A320" s="15"/>
      <c r="B320" s="15"/>
      <c r="C320" s="16"/>
      <c r="D320" s="16"/>
      <c r="E320" s="16"/>
      <c r="F320" s="16"/>
      <c r="G320" s="16"/>
      <c r="H320" s="16"/>
      <c r="I320" s="16"/>
      <c r="J320" s="16"/>
      <c r="K320" s="16"/>
      <c r="L320" s="16"/>
      <c r="M320" s="25"/>
      <c r="N320" s="25"/>
      <c r="O320" s="16"/>
      <c r="P320" s="1"/>
      <c r="Q320" s="1"/>
      <c r="R320" s="1"/>
      <c r="S320" s="1"/>
      <c r="T320" s="1"/>
      <c r="U320" s="1"/>
      <c r="V320" s="16"/>
      <c r="W320" s="1"/>
      <c r="X320" s="1"/>
    </row>
    <row r="321" spans="1:24">
      <c r="A321" s="15"/>
      <c r="B321" s="15"/>
      <c r="C321" s="16"/>
      <c r="D321" s="16"/>
      <c r="E321" s="16"/>
      <c r="F321" s="16"/>
      <c r="G321" s="16"/>
      <c r="H321" s="16"/>
      <c r="I321" s="16"/>
      <c r="J321" s="16"/>
      <c r="K321" s="16"/>
      <c r="L321" s="16"/>
      <c r="M321" s="25"/>
      <c r="N321" s="25"/>
      <c r="O321" s="16"/>
      <c r="P321" s="1"/>
      <c r="Q321" s="1"/>
      <c r="R321" s="1"/>
      <c r="S321" s="1"/>
      <c r="T321" s="1"/>
      <c r="U321" s="1"/>
      <c r="V321" s="16"/>
      <c r="W321" s="1"/>
      <c r="X321" s="1"/>
    </row>
    <row r="322" spans="1:24">
      <c r="A322" s="15"/>
      <c r="B322" s="15"/>
      <c r="C322" s="16"/>
      <c r="D322" s="16"/>
      <c r="E322" s="16"/>
      <c r="F322" s="16"/>
      <c r="G322" s="16"/>
      <c r="H322" s="16"/>
      <c r="I322" s="16"/>
      <c r="J322" s="16"/>
      <c r="K322" s="16"/>
      <c r="L322" s="16"/>
      <c r="M322" s="25"/>
      <c r="N322" s="25"/>
      <c r="O322" s="16"/>
      <c r="P322" s="1"/>
      <c r="Q322" s="1"/>
      <c r="R322" s="1"/>
      <c r="S322" s="1"/>
      <c r="T322" s="1"/>
      <c r="U322" s="1"/>
      <c r="V322" s="16"/>
      <c r="W322" s="1"/>
      <c r="X322" s="1"/>
    </row>
    <row r="323" spans="1:24">
      <c r="A323" s="15"/>
      <c r="B323" s="15"/>
      <c r="C323" s="16"/>
      <c r="D323" s="16"/>
      <c r="E323" s="16"/>
      <c r="F323" s="16"/>
      <c r="G323" s="16"/>
      <c r="H323" s="16"/>
      <c r="I323" s="16"/>
      <c r="J323" s="16"/>
      <c r="K323" s="16"/>
      <c r="L323" s="16"/>
      <c r="M323" s="25"/>
      <c r="N323" s="25"/>
      <c r="O323" s="16"/>
      <c r="P323" s="1"/>
      <c r="Q323" s="1"/>
      <c r="R323" s="1"/>
      <c r="S323" s="1"/>
      <c r="T323" s="1"/>
      <c r="U323" s="1"/>
      <c r="V323" s="16"/>
      <c r="W323" s="1"/>
      <c r="X323" s="1"/>
    </row>
    <row r="324" spans="1:24">
      <c r="A324" s="15"/>
      <c r="B324" s="15"/>
      <c r="C324" s="16"/>
      <c r="D324" s="16"/>
      <c r="E324" s="16"/>
      <c r="F324" s="16"/>
      <c r="G324" s="16"/>
      <c r="H324" s="16"/>
      <c r="I324" s="16"/>
      <c r="J324" s="16"/>
      <c r="K324" s="16"/>
      <c r="L324" s="16"/>
      <c r="M324" s="25"/>
      <c r="N324" s="25"/>
      <c r="O324" s="16"/>
      <c r="P324" s="1"/>
      <c r="Q324" s="1"/>
      <c r="R324" s="1"/>
      <c r="S324" s="1"/>
      <c r="T324" s="1"/>
      <c r="U324" s="1"/>
      <c r="V324" s="16"/>
      <c r="W324" s="1"/>
      <c r="X324" s="1"/>
    </row>
    <row r="325" spans="1:24">
      <c r="A325" s="15"/>
      <c r="B325" s="15"/>
      <c r="C325" s="16"/>
      <c r="D325" s="16"/>
      <c r="E325" s="16"/>
      <c r="F325" s="16"/>
      <c r="G325" s="16"/>
      <c r="H325" s="16"/>
      <c r="I325" s="16"/>
      <c r="J325" s="16"/>
      <c r="K325" s="16"/>
      <c r="L325" s="16"/>
      <c r="M325" s="25"/>
      <c r="N325" s="25"/>
      <c r="O325" s="16"/>
      <c r="P325" s="1"/>
      <c r="Q325" s="1"/>
      <c r="R325" s="1"/>
      <c r="S325" s="1"/>
      <c r="T325" s="1"/>
      <c r="U325" s="1"/>
      <c r="V325" s="16"/>
      <c r="W325" s="1"/>
      <c r="X325" s="1"/>
    </row>
    <row r="326" spans="1:24">
      <c r="A326" s="15"/>
      <c r="B326" s="15"/>
      <c r="C326" s="16"/>
      <c r="D326" s="16"/>
      <c r="E326" s="16"/>
      <c r="F326" s="16"/>
      <c r="G326" s="16"/>
      <c r="H326" s="16"/>
      <c r="I326" s="16"/>
      <c r="J326" s="16"/>
      <c r="K326" s="16"/>
      <c r="L326" s="16"/>
      <c r="M326" s="25"/>
      <c r="N326" s="25"/>
      <c r="O326" s="16"/>
      <c r="P326" s="1"/>
      <c r="Q326" s="1"/>
      <c r="R326" s="1"/>
      <c r="S326" s="1"/>
      <c r="T326" s="1"/>
      <c r="U326" s="1"/>
      <c r="V326" s="16"/>
      <c r="W326" s="1"/>
      <c r="X326" s="1"/>
    </row>
    <row r="327" spans="1:24">
      <c r="A327" s="15"/>
      <c r="B327" s="15"/>
      <c r="C327" s="16"/>
      <c r="D327" s="16"/>
      <c r="E327" s="16"/>
      <c r="F327" s="16"/>
      <c r="G327" s="16"/>
      <c r="H327" s="16"/>
      <c r="I327" s="16"/>
      <c r="J327" s="16"/>
      <c r="K327" s="16"/>
      <c r="L327" s="16"/>
      <c r="M327" s="25"/>
      <c r="N327" s="25"/>
      <c r="O327" s="16"/>
      <c r="P327" s="1"/>
      <c r="Q327" s="1"/>
      <c r="R327" s="1"/>
      <c r="S327" s="1"/>
      <c r="T327" s="1"/>
      <c r="U327" s="1"/>
      <c r="V327" s="16"/>
      <c r="W327" s="1"/>
      <c r="X327" s="1"/>
    </row>
    <row r="328" spans="1:24">
      <c r="A328" s="15"/>
      <c r="B328" s="15"/>
      <c r="C328" s="16"/>
      <c r="D328" s="16"/>
      <c r="E328" s="16"/>
      <c r="F328" s="16"/>
      <c r="G328" s="16"/>
      <c r="H328" s="16"/>
      <c r="I328" s="16"/>
      <c r="J328" s="16"/>
      <c r="K328" s="16"/>
      <c r="L328" s="16"/>
      <c r="M328" s="25"/>
      <c r="N328" s="25"/>
      <c r="O328" s="16"/>
      <c r="P328" s="1"/>
      <c r="Q328" s="1"/>
      <c r="R328" s="1"/>
      <c r="S328" s="1"/>
      <c r="T328" s="1"/>
      <c r="U328" s="1"/>
      <c r="V328" s="16"/>
      <c r="W328" s="1"/>
      <c r="X328" s="1"/>
    </row>
    <row r="329" spans="1:24">
      <c r="A329" s="15"/>
      <c r="B329" s="15"/>
      <c r="C329" s="16"/>
      <c r="D329" s="16"/>
      <c r="E329" s="16"/>
      <c r="F329" s="16"/>
      <c r="G329" s="16"/>
      <c r="H329" s="16"/>
      <c r="I329" s="16"/>
      <c r="J329" s="16"/>
      <c r="K329" s="16"/>
      <c r="L329" s="16"/>
      <c r="M329" s="25"/>
      <c r="N329" s="25"/>
      <c r="O329" s="16"/>
      <c r="P329" s="1"/>
      <c r="Q329" s="1"/>
      <c r="R329" s="1"/>
      <c r="S329" s="1"/>
      <c r="T329" s="1"/>
      <c r="U329" s="1"/>
      <c r="V329" s="16"/>
      <c r="W329" s="1"/>
      <c r="X329" s="1"/>
    </row>
    <row r="330" spans="1:24">
      <c r="A330" s="15"/>
      <c r="B330" s="15"/>
      <c r="C330" s="16"/>
      <c r="D330" s="16"/>
      <c r="E330" s="16"/>
      <c r="F330" s="16"/>
      <c r="G330" s="16"/>
      <c r="H330" s="16"/>
      <c r="I330" s="16"/>
      <c r="J330" s="16"/>
      <c r="K330" s="16"/>
      <c r="L330" s="16"/>
      <c r="M330" s="25"/>
      <c r="N330" s="25"/>
      <c r="O330" s="16"/>
      <c r="P330" s="1"/>
      <c r="Q330" s="1"/>
      <c r="R330" s="1"/>
      <c r="S330" s="1"/>
      <c r="T330" s="1"/>
      <c r="U330" s="1"/>
      <c r="V330" s="16"/>
      <c r="W330" s="1"/>
      <c r="X330" s="1"/>
    </row>
    <row r="331" spans="1:24">
      <c r="A331" s="15"/>
      <c r="B331" s="15"/>
      <c r="C331" s="16"/>
      <c r="D331" s="16"/>
      <c r="E331" s="16"/>
      <c r="F331" s="16"/>
      <c r="G331" s="16"/>
      <c r="H331" s="16"/>
      <c r="I331" s="16"/>
      <c r="J331" s="16"/>
      <c r="K331" s="16"/>
      <c r="L331" s="16"/>
      <c r="M331" s="25"/>
      <c r="N331" s="25"/>
      <c r="O331" s="16"/>
      <c r="P331" s="1"/>
      <c r="Q331" s="1"/>
      <c r="R331" s="1"/>
      <c r="S331" s="1"/>
      <c r="T331" s="1"/>
      <c r="U331" s="1"/>
      <c r="V331" s="16"/>
      <c r="W331" s="1"/>
      <c r="X331" s="1"/>
    </row>
    <row r="332" spans="1:24">
      <c r="A332" s="15"/>
      <c r="B332" s="15"/>
      <c r="C332" s="16"/>
      <c r="D332" s="16"/>
      <c r="E332" s="16"/>
      <c r="F332" s="16"/>
      <c r="G332" s="16"/>
      <c r="H332" s="16"/>
      <c r="I332" s="16"/>
      <c r="J332" s="16"/>
      <c r="K332" s="16"/>
      <c r="L332" s="16"/>
      <c r="M332" s="25"/>
      <c r="N332" s="25"/>
      <c r="O332" s="16"/>
      <c r="P332" s="1"/>
      <c r="Q332" s="1"/>
      <c r="R332" s="1"/>
      <c r="S332" s="1"/>
      <c r="T332" s="1"/>
      <c r="U332" s="1"/>
      <c r="V332" s="16"/>
      <c r="W332" s="1"/>
      <c r="X332" s="1"/>
    </row>
    <row r="333" spans="1:24">
      <c r="A333" s="15"/>
      <c r="B333" s="15"/>
      <c r="C333" s="16"/>
      <c r="D333" s="16"/>
      <c r="E333" s="16"/>
      <c r="F333" s="16"/>
      <c r="G333" s="16"/>
      <c r="H333" s="16"/>
      <c r="I333" s="16"/>
      <c r="J333" s="16"/>
      <c r="K333" s="16"/>
      <c r="L333" s="16"/>
      <c r="M333" s="25"/>
      <c r="N333" s="25"/>
      <c r="O333" s="16"/>
      <c r="P333" s="1"/>
      <c r="Q333" s="1"/>
      <c r="R333" s="1"/>
      <c r="S333" s="1"/>
      <c r="T333" s="1"/>
      <c r="U333" s="1"/>
      <c r="V333" s="16"/>
      <c r="W333" s="1"/>
      <c r="X333" s="1"/>
    </row>
    <row r="334" spans="1:24">
      <c r="A334" s="15"/>
      <c r="B334" s="15"/>
      <c r="C334" s="16"/>
      <c r="D334" s="16"/>
      <c r="E334" s="16"/>
      <c r="F334" s="16"/>
      <c r="G334" s="16"/>
      <c r="H334" s="16"/>
      <c r="I334" s="16"/>
      <c r="J334" s="16"/>
      <c r="K334" s="16"/>
      <c r="L334" s="16"/>
      <c r="M334" s="25"/>
      <c r="N334" s="25"/>
      <c r="O334" s="16"/>
      <c r="P334" s="1"/>
      <c r="Q334" s="1"/>
      <c r="R334" s="1"/>
      <c r="S334" s="1"/>
      <c r="T334" s="1"/>
      <c r="U334" s="1"/>
      <c r="V334" s="16"/>
      <c r="W334" s="1"/>
      <c r="X334" s="1"/>
    </row>
    <row r="335" spans="1:24">
      <c r="A335" s="15"/>
      <c r="B335" s="15"/>
      <c r="C335" s="16"/>
      <c r="D335" s="16"/>
      <c r="E335" s="16"/>
      <c r="F335" s="16"/>
      <c r="G335" s="16"/>
      <c r="H335" s="16"/>
      <c r="I335" s="16"/>
      <c r="J335" s="16"/>
      <c r="K335" s="16"/>
      <c r="L335" s="16"/>
      <c r="M335" s="25"/>
      <c r="N335" s="25"/>
      <c r="O335" s="16"/>
      <c r="P335" s="1"/>
      <c r="Q335" s="1"/>
      <c r="R335" s="1"/>
      <c r="S335" s="1"/>
      <c r="T335" s="1"/>
      <c r="U335" s="1"/>
      <c r="V335" s="16"/>
      <c r="W335" s="1"/>
      <c r="X335" s="1"/>
    </row>
    <row r="336" spans="1:24">
      <c r="A336" s="15"/>
      <c r="B336" s="15"/>
      <c r="C336" s="16"/>
      <c r="D336" s="16"/>
      <c r="E336" s="16"/>
      <c r="F336" s="16"/>
      <c r="G336" s="16"/>
      <c r="H336" s="16"/>
      <c r="I336" s="16"/>
      <c r="J336" s="16"/>
      <c r="K336" s="16"/>
      <c r="L336" s="16"/>
      <c r="M336" s="25"/>
      <c r="N336" s="25"/>
      <c r="O336" s="16"/>
      <c r="P336" s="1"/>
      <c r="Q336" s="1"/>
      <c r="R336" s="1"/>
      <c r="S336" s="1"/>
      <c r="T336" s="1"/>
      <c r="U336" s="1"/>
      <c r="V336" s="16"/>
      <c r="W336" s="1"/>
      <c r="X336" s="1"/>
    </row>
    <row r="337" spans="1:24">
      <c r="A337" s="15"/>
      <c r="B337" s="15"/>
      <c r="C337" s="16"/>
      <c r="D337" s="16"/>
      <c r="E337" s="16"/>
      <c r="F337" s="16"/>
      <c r="G337" s="16"/>
      <c r="H337" s="16"/>
      <c r="I337" s="16"/>
      <c r="J337" s="16"/>
      <c r="K337" s="16"/>
      <c r="L337" s="16"/>
      <c r="M337" s="25"/>
      <c r="N337" s="25"/>
      <c r="O337" s="16"/>
      <c r="P337" s="1"/>
      <c r="Q337" s="1"/>
      <c r="R337" s="1"/>
      <c r="S337" s="1"/>
      <c r="T337" s="1"/>
      <c r="U337" s="1"/>
      <c r="V337" s="16"/>
      <c r="W337" s="1"/>
      <c r="X337" s="1"/>
    </row>
    <row r="338" spans="1:24">
      <c r="A338" s="15"/>
      <c r="B338" s="15"/>
      <c r="C338" s="16"/>
      <c r="D338" s="16"/>
      <c r="E338" s="16"/>
      <c r="F338" s="16"/>
      <c r="G338" s="16"/>
      <c r="H338" s="16"/>
      <c r="I338" s="16"/>
      <c r="J338" s="16"/>
      <c r="K338" s="16"/>
      <c r="L338" s="16"/>
      <c r="M338" s="25"/>
      <c r="N338" s="25"/>
      <c r="O338" s="16"/>
      <c r="P338" s="1"/>
      <c r="Q338" s="1"/>
      <c r="R338" s="1"/>
      <c r="S338" s="1"/>
      <c r="T338" s="1"/>
      <c r="U338" s="1"/>
      <c r="V338" s="16"/>
      <c r="W338" s="1"/>
      <c r="X338" s="1"/>
    </row>
    <row r="339" spans="1:24">
      <c r="A339" s="15"/>
      <c r="B339" s="15"/>
      <c r="C339" s="16"/>
      <c r="D339" s="16"/>
      <c r="E339" s="16"/>
      <c r="F339" s="16"/>
      <c r="G339" s="16"/>
      <c r="H339" s="16"/>
      <c r="I339" s="16"/>
      <c r="J339" s="16"/>
      <c r="K339" s="16"/>
      <c r="L339" s="16"/>
      <c r="M339" s="25"/>
      <c r="N339" s="25"/>
      <c r="O339" s="16"/>
      <c r="P339" s="1"/>
      <c r="Q339" s="1"/>
      <c r="R339" s="1"/>
      <c r="S339" s="1"/>
      <c r="T339" s="1"/>
      <c r="U339" s="1"/>
      <c r="V339" s="16"/>
      <c r="W339" s="1"/>
      <c r="X339" s="1"/>
    </row>
    <row r="340" spans="1:24">
      <c r="A340" s="15"/>
      <c r="B340" s="15"/>
      <c r="C340" s="16"/>
      <c r="D340" s="16"/>
      <c r="E340" s="16"/>
      <c r="F340" s="16"/>
      <c r="G340" s="16"/>
      <c r="H340" s="16"/>
      <c r="I340" s="16"/>
      <c r="J340" s="16"/>
      <c r="K340" s="16"/>
      <c r="L340" s="16"/>
      <c r="M340" s="25"/>
      <c r="N340" s="25"/>
      <c r="O340" s="16"/>
      <c r="P340" s="1"/>
      <c r="Q340" s="1"/>
      <c r="R340" s="1"/>
      <c r="S340" s="1"/>
      <c r="T340" s="1"/>
      <c r="U340" s="1"/>
      <c r="V340" s="16"/>
      <c r="W340" s="1"/>
      <c r="X340" s="1"/>
    </row>
    <row r="341" spans="1:24">
      <c r="A341" s="15"/>
      <c r="B341" s="15"/>
      <c r="C341" s="16"/>
      <c r="D341" s="16"/>
      <c r="E341" s="16"/>
      <c r="F341" s="16"/>
      <c r="G341" s="16"/>
      <c r="H341" s="16"/>
      <c r="I341" s="16"/>
      <c r="J341" s="16"/>
      <c r="K341" s="16"/>
      <c r="L341" s="16"/>
      <c r="M341" s="25"/>
      <c r="N341" s="25"/>
      <c r="O341" s="16"/>
      <c r="P341" s="1"/>
      <c r="Q341" s="1"/>
      <c r="R341" s="1"/>
      <c r="S341" s="1"/>
      <c r="T341" s="1"/>
      <c r="U341" s="1"/>
      <c r="V341" s="16"/>
      <c r="W341" s="1"/>
      <c r="X341" s="1"/>
    </row>
    <row r="342" spans="1:24">
      <c r="A342" s="15"/>
      <c r="B342" s="15"/>
      <c r="C342" s="16"/>
      <c r="D342" s="16"/>
      <c r="E342" s="16"/>
      <c r="F342" s="16"/>
      <c r="G342" s="16"/>
      <c r="H342" s="16"/>
      <c r="I342" s="16"/>
      <c r="J342" s="16"/>
      <c r="K342" s="16"/>
      <c r="L342" s="16"/>
      <c r="M342" s="25"/>
      <c r="N342" s="25"/>
      <c r="O342" s="16"/>
      <c r="P342" s="1"/>
      <c r="Q342" s="1"/>
      <c r="R342" s="1"/>
      <c r="S342" s="1"/>
      <c r="T342" s="1"/>
      <c r="U342" s="1"/>
      <c r="V342" s="16"/>
      <c r="W342" s="1"/>
      <c r="X342" s="1"/>
    </row>
    <row r="343" spans="1:24">
      <c r="A343" s="15"/>
      <c r="B343" s="15"/>
      <c r="C343" s="16"/>
      <c r="D343" s="16"/>
      <c r="E343" s="16"/>
      <c r="F343" s="16"/>
      <c r="G343" s="16"/>
      <c r="H343" s="16"/>
      <c r="I343" s="16"/>
      <c r="J343" s="16"/>
      <c r="K343" s="16"/>
      <c r="L343" s="16"/>
      <c r="M343" s="25"/>
      <c r="N343" s="25"/>
      <c r="O343" s="16"/>
      <c r="P343" s="1"/>
      <c r="Q343" s="1"/>
      <c r="R343" s="1"/>
      <c r="S343" s="1"/>
      <c r="T343" s="1"/>
      <c r="U343" s="1"/>
      <c r="V343" s="16"/>
      <c r="W343" s="1"/>
      <c r="X343" s="1"/>
    </row>
    <row r="344" spans="1:24">
      <c r="A344" s="15"/>
      <c r="B344" s="15"/>
      <c r="C344" s="16"/>
      <c r="D344" s="16"/>
      <c r="E344" s="16"/>
      <c r="F344" s="16"/>
      <c r="G344" s="16"/>
      <c r="H344" s="16"/>
      <c r="I344" s="16"/>
      <c r="J344" s="16"/>
      <c r="K344" s="16"/>
      <c r="L344" s="16"/>
      <c r="M344" s="25"/>
      <c r="N344" s="25"/>
      <c r="O344" s="16"/>
      <c r="P344" s="1"/>
      <c r="Q344" s="1"/>
      <c r="R344" s="1"/>
      <c r="S344" s="1"/>
      <c r="T344" s="1"/>
      <c r="U344" s="1"/>
      <c r="V344" s="16"/>
      <c r="W344" s="1"/>
      <c r="X344" s="1"/>
    </row>
    <row r="345" spans="1:24">
      <c r="A345" s="15"/>
      <c r="B345" s="15"/>
      <c r="C345" s="16"/>
      <c r="D345" s="16"/>
      <c r="E345" s="16"/>
      <c r="F345" s="16"/>
      <c r="G345" s="16"/>
      <c r="H345" s="16"/>
      <c r="I345" s="16"/>
      <c r="J345" s="16"/>
      <c r="K345" s="16"/>
      <c r="L345" s="16"/>
      <c r="M345" s="25"/>
      <c r="N345" s="25"/>
      <c r="O345" s="16"/>
      <c r="P345" s="1"/>
      <c r="Q345" s="1"/>
      <c r="R345" s="1"/>
      <c r="S345" s="1"/>
      <c r="T345" s="1"/>
      <c r="U345" s="1"/>
      <c r="V345" s="16"/>
      <c r="W345" s="1"/>
      <c r="X345" s="1"/>
    </row>
    <row r="346" spans="1:24">
      <c r="A346" s="15"/>
      <c r="B346" s="15"/>
      <c r="C346" s="16"/>
      <c r="D346" s="16"/>
      <c r="E346" s="16"/>
      <c r="F346" s="16"/>
      <c r="G346" s="16"/>
      <c r="H346" s="16"/>
      <c r="I346" s="16"/>
      <c r="J346" s="16"/>
      <c r="K346" s="16"/>
      <c r="L346" s="16"/>
      <c r="M346" s="25"/>
      <c r="N346" s="25"/>
      <c r="O346" s="16"/>
      <c r="P346" s="1"/>
      <c r="Q346" s="1"/>
      <c r="R346" s="1"/>
      <c r="S346" s="1"/>
      <c r="T346" s="1"/>
      <c r="U346" s="1"/>
      <c r="V346" s="16"/>
      <c r="W346" s="1"/>
      <c r="X346" s="1"/>
    </row>
    <row r="347" spans="1:24">
      <c r="A347" s="15"/>
      <c r="B347" s="15"/>
      <c r="C347" s="16"/>
      <c r="D347" s="16"/>
      <c r="E347" s="16"/>
      <c r="F347" s="16"/>
      <c r="G347" s="16"/>
      <c r="H347" s="16"/>
      <c r="I347" s="16"/>
      <c r="J347" s="16"/>
      <c r="K347" s="16"/>
      <c r="L347" s="16"/>
      <c r="M347" s="25"/>
      <c r="N347" s="25"/>
      <c r="O347" s="16"/>
      <c r="P347" s="1"/>
      <c r="Q347" s="1"/>
      <c r="R347" s="1"/>
      <c r="S347" s="1"/>
      <c r="T347" s="1"/>
      <c r="U347" s="1"/>
      <c r="V347" s="16"/>
      <c r="W347" s="1"/>
      <c r="X347" s="1"/>
    </row>
    <row r="348" spans="1:24">
      <c r="A348" s="15"/>
      <c r="B348" s="15"/>
      <c r="C348" s="16"/>
      <c r="D348" s="16"/>
      <c r="E348" s="16"/>
      <c r="F348" s="16"/>
      <c r="G348" s="16"/>
      <c r="H348" s="16"/>
      <c r="I348" s="16"/>
      <c r="J348" s="16"/>
      <c r="K348" s="16"/>
      <c r="L348" s="16"/>
      <c r="M348" s="25"/>
      <c r="N348" s="25"/>
      <c r="O348" s="16"/>
      <c r="P348" s="1"/>
      <c r="Q348" s="1"/>
      <c r="R348" s="1"/>
      <c r="S348" s="1"/>
      <c r="T348" s="1"/>
      <c r="U348" s="1"/>
      <c r="V348" s="16"/>
      <c r="W348" s="1"/>
      <c r="X348" s="1"/>
    </row>
    <row r="349" spans="1:24">
      <c r="A349" s="15"/>
      <c r="B349" s="15"/>
      <c r="C349" s="16"/>
      <c r="D349" s="16"/>
      <c r="E349" s="16"/>
      <c r="F349" s="16"/>
      <c r="G349" s="16"/>
      <c r="H349" s="16"/>
      <c r="I349" s="16"/>
      <c r="J349" s="16"/>
      <c r="K349" s="16"/>
      <c r="L349" s="16"/>
      <c r="M349" s="25"/>
      <c r="N349" s="25"/>
      <c r="O349" s="16"/>
      <c r="P349" s="1"/>
      <c r="Q349" s="1"/>
      <c r="R349" s="1"/>
      <c r="S349" s="1"/>
      <c r="T349" s="1"/>
      <c r="U349" s="1"/>
      <c r="V349" s="16"/>
      <c r="W349" s="1"/>
      <c r="X349" s="1"/>
    </row>
    <row r="350" spans="1:24">
      <c r="A350" s="15"/>
      <c r="B350" s="15"/>
      <c r="C350" s="16"/>
      <c r="D350" s="16"/>
      <c r="E350" s="16"/>
      <c r="F350" s="16"/>
      <c r="G350" s="16"/>
      <c r="H350" s="16"/>
      <c r="I350" s="16"/>
      <c r="J350" s="16"/>
      <c r="K350" s="16"/>
      <c r="L350" s="16"/>
      <c r="M350" s="25"/>
      <c r="N350" s="25"/>
      <c r="O350" s="16"/>
      <c r="P350" s="1"/>
      <c r="Q350" s="1"/>
      <c r="R350" s="1"/>
      <c r="S350" s="1"/>
      <c r="T350" s="1"/>
      <c r="U350" s="1"/>
      <c r="V350" s="16"/>
      <c r="W350" s="1"/>
      <c r="X350" s="1"/>
    </row>
    <row r="351" spans="1:24">
      <c r="A351" s="15"/>
      <c r="B351" s="15"/>
      <c r="C351" s="16"/>
      <c r="D351" s="16"/>
      <c r="E351" s="16"/>
      <c r="F351" s="16"/>
      <c r="G351" s="16"/>
      <c r="H351" s="16"/>
      <c r="I351" s="16"/>
      <c r="J351" s="16"/>
      <c r="K351" s="16"/>
      <c r="L351" s="16"/>
      <c r="M351" s="25"/>
      <c r="N351" s="25"/>
      <c r="O351" s="16"/>
      <c r="P351" s="1"/>
      <c r="Q351" s="1"/>
      <c r="R351" s="1"/>
      <c r="S351" s="1"/>
      <c r="T351" s="1"/>
      <c r="U351" s="1"/>
      <c r="V351" s="16"/>
      <c r="W351" s="1"/>
      <c r="X351" s="1"/>
    </row>
    <row r="352" spans="1:24">
      <c r="A352" s="15"/>
      <c r="B352" s="15"/>
      <c r="C352" s="16"/>
      <c r="D352" s="16"/>
      <c r="E352" s="16"/>
      <c r="F352" s="16"/>
      <c r="G352" s="16"/>
      <c r="H352" s="16"/>
      <c r="I352" s="16"/>
      <c r="J352" s="16"/>
      <c r="K352" s="16"/>
      <c r="L352" s="16"/>
      <c r="M352" s="25"/>
      <c r="N352" s="25"/>
      <c r="O352" s="16"/>
      <c r="P352" s="1"/>
      <c r="Q352" s="1"/>
      <c r="R352" s="1"/>
      <c r="S352" s="1"/>
      <c r="T352" s="1"/>
      <c r="U352" s="1"/>
      <c r="V352" s="16"/>
      <c r="W352" s="1"/>
      <c r="X352" s="1"/>
    </row>
    <row r="353" spans="1:24">
      <c r="A353" s="15"/>
      <c r="B353" s="15"/>
      <c r="C353" s="16"/>
      <c r="D353" s="16"/>
      <c r="E353" s="16"/>
      <c r="F353" s="16"/>
      <c r="G353" s="16"/>
      <c r="H353" s="16"/>
      <c r="I353" s="16"/>
      <c r="J353" s="16"/>
      <c r="K353" s="16"/>
      <c r="L353" s="16"/>
      <c r="M353" s="25"/>
      <c r="N353" s="25"/>
      <c r="O353" s="16"/>
      <c r="P353" s="1"/>
      <c r="Q353" s="1"/>
      <c r="R353" s="1"/>
      <c r="S353" s="1"/>
      <c r="T353" s="1"/>
      <c r="U353" s="1"/>
      <c r="V353" s="16"/>
      <c r="W353" s="1"/>
      <c r="X353" s="1"/>
    </row>
    <row r="354" spans="1:24">
      <c r="A354" s="15"/>
      <c r="B354" s="15"/>
      <c r="C354" s="16"/>
      <c r="D354" s="16"/>
      <c r="E354" s="16"/>
      <c r="F354" s="16"/>
      <c r="G354" s="16"/>
      <c r="H354" s="16"/>
      <c r="I354" s="16"/>
      <c r="J354" s="16"/>
      <c r="K354" s="16"/>
      <c r="L354" s="16"/>
      <c r="M354" s="25"/>
      <c r="N354" s="25"/>
      <c r="O354" s="16"/>
      <c r="P354" s="1"/>
      <c r="Q354" s="1"/>
      <c r="R354" s="1"/>
      <c r="S354" s="1"/>
      <c r="T354" s="1"/>
      <c r="U354" s="1"/>
      <c r="V354" s="16"/>
      <c r="W354" s="1"/>
      <c r="X354" s="1"/>
    </row>
    <row r="355" spans="1:24">
      <c r="A355" s="15"/>
      <c r="B355" s="15"/>
      <c r="C355" s="16"/>
      <c r="D355" s="16"/>
      <c r="E355" s="16"/>
      <c r="F355" s="16"/>
      <c r="G355" s="16"/>
      <c r="H355" s="16"/>
      <c r="I355" s="16"/>
      <c r="J355" s="16"/>
      <c r="K355" s="16"/>
      <c r="L355" s="16"/>
      <c r="M355" s="25"/>
      <c r="N355" s="25"/>
      <c r="O355" s="16"/>
      <c r="P355" s="1"/>
      <c r="Q355" s="1"/>
      <c r="R355" s="1"/>
      <c r="S355" s="1"/>
      <c r="T355" s="1"/>
      <c r="U355" s="1"/>
      <c r="V355" s="16"/>
      <c r="W355" s="1"/>
      <c r="X355" s="1"/>
    </row>
    <row r="356" spans="1:24">
      <c r="A356" s="15"/>
      <c r="B356" s="15"/>
      <c r="C356" s="16"/>
      <c r="D356" s="16"/>
      <c r="E356" s="16"/>
      <c r="F356" s="16"/>
      <c r="G356" s="16"/>
      <c r="H356" s="16"/>
      <c r="I356" s="16"/>
      <c r="J356" s="16"/>
      <c r="K356" s="16"/>
      <c r="L356" s="16"/>
      <c r="M356" s="25"/>
      <c r="N356" s="25"/>
      <c r="O356" s="16"/>
      <c r="P356" s="1"/>
      <c r="Q356" s="1"/>
      <c r="R356" s="1"/>
      <c r="S356" s="1"/>
      <c r="T356" s="1"/>
      <c r="U356" s="1"/>
      <c r="V356" s="16"/>
      <c r="W356" s="1"/>
      <c r="X356" s="1"/>
    </row>
    <row r="357" spans="1:24">
      <c r="A357" s="15"/>
      <c r="B357" s="15"/>
      <c r="C357" s="16"/>
      <c r="D357" s="16"/>
      <c r="E357" s="16"/>
      <c r="F357" s="16"/>
      <c r="G357" s="16"/>
      <c r="H357" s="16"/>
      <c r="I357" s="16"/>
      <c r="J357" s="16"/>
      <c r="K357" s="16"/>
      <c r="L357" s="16"/>
      <c r="M357" s="25"/>
      <c r="N357" s="25"/>
      <c r="O357" s="16"/>
      <c r="P357" s="1"/>
      <c r="Q357" s="1"/>
      <c r="R357" s="1"/>
      <c r="S357" s="1"/>
      <c r="T357" s="1"/>
      <c r="U357" s="1"/>
      <c r="V357" s="16"/>
      <c r="W357" s="1"/>
      <c r="X357" s="1"/>
    </row>
    <row r="358" spans="1:24">
      <c r="A358" s="15"/>
      <c r="B358" s="15"/>
      <c r="C358" s="16"/>
      <c r="D358" s="16"/>
      <c r="E358" s="16"/>
      <c r="F358" s="16"/>
      <c r="G358" s="16"/>
      <c r="H358" s="16"/>
      <c r="I358" s="16"/>
      <c r="J358" s="16"/>
      <c r="K358" s="16"/>
      <c r="L358" s="16"/>
      <c r="M358" s="25"/>
      <c r="N358" s="25"/>
      <c r="O358" s="16"/>
      <c r="P358" s="1"/>
      <c r="Q358" s="1"/>
      <c r="R358" s="1"/>
      <c r="S358" s="1"/>
      <c r="T358" s="1"/>
      <c r="U358" s="1"/>
      <c r="V358" s="16"/>
      <c r="W358" s="1"/>
      <c r="X358" s="1"/>
    </row>
    <row r="359" spans="1:24">
      <c r="A359" s="15"/>
      <c r="B359" s="15"/>
      <c r="C359" s="16"/>
      <c r="D359" s="16"/>
      <c r="E359" s="16"/>
      <c r="F359" s="16"/>
      <c r="G359" s="16"/>
      <c r="H359" s="16"/>
      <c r="I359" s="16"/>
      <c r="J359" s="16"/>
      <c r="K359" s="16"/>
      <c r="L359" s="16"/>
      <c r="M359" s="25"/>
      <c r="N359" s="25"/>
      <c r="O359" s="16"/>
      <c r="P359" s="1"/>
      <c r="Q359" s="1"/>
      <c r="R359" s="1"/>
      <c r="S359" s="1"/>
      <c r="T359" s="1"/>
      <c r="U359" s="1"/>
      <c r="V359" s="16"/>
      <c r="W359" s="1"/>
      <c r="X359" s="1"/>
    </row>
    <row r="360" spans="1:24">
      <c r="A360" s="15"/>
      <c r="B360" s="15"/>
      <c r="C360" s="16"/>
      <c r="D360" s="16"/>
      <c r="E360" s="16"/>
      <c r="F360" s="16"/>
      <c r="G360" s="16"/>
      <c r="H360" s="16"/>
      <c r="I360" s="16"/>
      <c r="J360" s="16"/>
      <c r="K360" s="16"/>
      <c r="L360" s="16"/>
      <c r="M360" s="25"/>
      <c r="N360" s="25"/>
      <c r="O360" s="16"/>
      <c r="P360" s="1"/>
      <c r="Q360" s="1"/>
      <c r="R360" s="1"/>
      <c r="S360" s="1"/>
      <c r="T360" s="1"/>
      <c r="U360" s="1"/>
      <c r="V360" s="16"/>
      <c r="W360" s="1"/>
      <c r="X360" s="1"/>
    </row>
    <row r="361" spans="1:24">
      <c r="A361" s="15"/>
      <c r="B361" s="15"/>
      <c r="C361" s="16"/>
      <c r="D361" s="16"/>
      <c r="E361" s="16"/>
      <c r="F361" s="16"/>
      <c r="G361" s="16"/>
      <c r="H361" s="16"/>
      <c r="I361" s="16"/>
      <c r="J361" s="16"/>
      <c r="K361" s="16"/>
      <c r="L361" s="16"/>
      <c r="M361" s="25"/>
      <c r="N361" s="25"/>
      <c r="O361" s="16"/>
      <c r="P361" s="1"/>
      <c r="Q361" s="1"/>
      <c r="R361" s="1"/>
      <c r="S361" s="1"/>
      <c r="T361" s="1"/>
      <c r="U361" s="1"/>
      <c r="V361" s="16"/>
      <c r="W361" s="1"/>
      <c r="X361" s="1"/>
    </row>
    <row r="362" spans="1:24">
      <c r="A362" s="15"/>
      <c r="B362" s="15"/>
      <c r="C362" s="16"/>
      <c r="D362" s="16"/>
      <c r="E362" s="16"/>
      <c r="F362" s="16"/>
      <c r="G362" s="16"/>
      <c r="H362" s="16"/>
      <c r="I362" s="16"/>
      <c r="J362" s="16"/>
      <c r="K362" s="16"/>
      <c r="L362" s="16"/>
      <c r="M362" s="25"/>
      <c r="N362" s="25"/>
      <c r="O362" s="16"/>
      <c r="P362" s="1"/>
      <c r="Q362" s="1"/>
      <c r="R362" s="1"/>
      <c r="S362" s="1"/>
      <c r="T362" s="1"/>
      <c r="U362" s="1"/>
      <c r="V362" s="16"/>
      <c r="W362" s="1"/>
      <c r="X362" s="1"/>
    </row>
    <row r="363" spans="1:24">
      <c r="A363" s="15"/>
      <c r="B363" s="15"/>
      <c r="C363" s="16"/>
      <c r="D363" s="16"/>
      <c r="E363" s="16"/>
      <c r="F363" s="16"/>
      <c r="G363" s="16"/>
      <c r="H363" s="16"/>
      <c r="I363" s="16"/>
      <c r="J363" s="16"/>
      <c r="K363" s="16"/>
      <c r="L363" s="16"/>
      <c r="M363" s="25"/>
      <c r="N363" s="25"/>
      <c r="O363" s="16"/>
      <c r="P363" s="1"/>
      <c r="Q363" s="1"/>
      <c r="R363" s="1"/>
      <c r="S363" s="1"/>
      <c r="T363" s="1"/>
      <c r="U363" s="1"/>
      <c r="V363" s="16"/>
      <c r="W363" s="1"/>
      <c r="X363" s="1"/>
    </row>
    <row r="364" spans="1:24">
      <c r="A364" s="15"/>
      <c r="B364" s="15"/>
      <c r="C364" s="16"/>
      <c r="D364" s="16"/>
      <c r="E364" s="16"/>
      <c r="F364" s="16"/>
      <c r="G364" s="16"/>
      <c r="H364" s="16"/>
      <c r="I364" s="16"/>
      <c r="J364" s="16"/>
      <c r="K364" s="16"/>
      <c r="L364" s="16"/>
      <c r="M364" s="25"/>
      <c r="N364" s="25"/>
      <c r="O364" s="16"/>
      <c r="P364" s="1"/>
      <c r="Q364" s="1"/>
      <c r="R364" s="1"/>
      <c r="S364" s="1"/>
      <c r="T364" s="1"/>
      <c r="U364" s="1"/>
      <c r="V364" s="16"/>
      <c r="W364" s="1"/>
      <c r="X364" s="1"/>
    </row>
    <row r="365" spans="1:24">
      <c r="A365" s="15"/>
      <c r="B365" s="15"/>
      <c r="C365" s="16"/>
      <c r="D365" s="16"/>
      <c r="E365" s="16"/>
      <c r="F365" s="16"/>
      <c r="G365" s="16"/>
      <c r="H365" s="16"/>
      <c r="I365" s="16"/>
      <c r="J365" s="16"/>
      <c r="K365" s="16"/>
      <c r="L365" s="16"/>
      <c r="M365" s="25"/>
      <c r="N365" s="25"/>
      <c r="O365" s="16"/>
      <c r="P365" s="1"/>
      <c r="Q365" s="1"/>
      <c r="R365" s="1"/>
      <c r="S365" s="1"/>
      <c r="T365" s="1"/>
      <c r="U365" s="1"/>
      <c r="V365" s="16"/>
      <c r="W365" s="1"/>
      <c r="X365" s="1"/>
    </row>
    <row r="366" spans="1:24">
      <c r="A366" s="15"/>
      <c r="B366" s="15"/>
      <c r="C366" s="16"/>
      <c r="D366" s="16"/>
      <c r="E366" s="16"/>
      <c r="F366" s="16"/>
      <c r="G366" s="16"/>
      <c r="H366" s="16"/>
      <c r="I366" s="16"/>
      <c r="J366" s="16"/>
      <c r="K366" s="16"/>
      <c r="L366" s="16"/>
      <c r="M366" s="25"/>
      <c r="N366" s="25"/>
      <c r="O366" s="16"/>
      <c r="P366" s="1"/>
      <c r="Q366" s="1"/>
      <c r="R366" s="1"/>
      <c r="S366" s="1"/>
      <c r="T366" s="1"/>
      <c r="U366" s="1"/>
      <c r="V366" s="16"/>
      <c r="W366" s="1"/>
      <c r="X366" s="1"/>
    </row>
    <row r="367" spans="1:24">
      <c r="A367" s="15"/>
      <c r="B367" s="15"/>
      <c r="C367" s="16"/>
      <c r="D367" s="16"/>
      <c r="E367" s="16"/>
      <c r="F367" s="16"/>
      <c r="G367" s="16"/>
      <c r="H367" s="16"/>
      <c r="I367" s="16"/>
      <c r="J367" s="16"/>
      <c r="K367" s="16"/>
      <c r="L367" s="16"/>
      <c r="M367" s="25"/>
      <c r="N367" s="25"/>
      <c r="O367" s="16"/>
      <c r="P367" s="1"/>
      <c r="Q367" s="1"/>
      <c r="R367" s="1"/>
      <c r="S367" s="1"/>
      <c r="T367" s="1"/>
      <c r="U367" s="1"/>
      <c r="V367" s="16"/>
      <c r="W367" s="1"/>
      <c r="X367" s="1"/>
    </row>
    <row r="368" spans="1:24">
      <c r="A368" s="15"/>
      <c r="B368" s="15"/>
      <c r="C368" s="16"/>
      <c r="D368" s="16"/>
      <c r="E368" s="16"/>
      <c r="F368" s="16"/>
      <c r="G368" s="16"/>
      <c r="H368" s="16"/>
      <c r="I368" s="16"/>
      <c r="J368" s="16"/>
      <c r="K368" s="16"/>
      <c r="L368" s="16"/>
      <c r="M368" s="25"/>
      <c r="N368" s="25"/>
      <c r="O368" s="16"/>
      <c r="P368" s="1"/>
      <c r="Q368" s="1"/>
      <c r="R368" s="1"/>
      <c r="S368" s="1"/>
      <c r="T368" s="1"/>
      <c r="U368" s="1"/>
      <c r="V368" s="16"/>
      <c r="W368" s="1"/>
      <c r="X368" s="1"/>
    </row>
    <row r="369" spans="1:24">
      <c r="A369" s="15"/>
      <c r="B369" s="15"/>
      <c r="C369" s="16"/>
      <c r="D369" s="16"/>
      <c r="E369" s="16"/>
      <c r="F369" s="16"/>
      <c r="G369" s="16"/>
      <c r="H369" s="16"/>
      <c r="I369" s="16"/>
      <c r="J369" s="16"/>
      <c r="K369" s="16"/>
      <c r="L369" s="16"/>
      <c r="M369" s="25"/>
      <c r="N369" s="25"/>
      <c r="O369" s="16"/>
      <c r="P369" s="1"/>
      <c r="Q369" s="1"/>
      <c r="R369" s="1"/>
      <c r="S369" s="1"/>
      <c r="T369" s="1"/>
      <c r="U369" s="1"/>
      <c r="V369" s="16"/>
      <c r="W369" s="1"/>
      <c r="X369" s="1"/>
    </row>
    <row r="370" spans="1:24">
      <c r="A370" s="15"/>
      <c r="B370" s="15"/>
      <c r="C370" s="16"/>
      <c r="D370" s="16"/>
      <c r="E370" s="16"/>
      <c r="F370" s="16"/>
      <c r="G370" s="16"/>
      <c r="H370" s="16"/>
      <c r="I370" s="16"/>
      <c r="J370" s="16"/>
      <c r="K370" s="16"/>
      <c r="L370" s="16"/>
      <c r="M370" s="25"/>
      <c r="N370" s="25"/>
      <c r="O370" s="16"/>
      <c r="P370" s="1"/>
      <c r="Q370" s="1"/>
      <c r="R370" s="1"/>
      <c r="S370" s="1"/>
      <c r="T370" s="1"/>
      <c r="U370" s="1"/>
      <c r="V370" s="16"/>
      <c r="W370" s="1"/>
      <c r="X370" s="1"/>
    </row>
    <row r="371" spans="1:24">
      <c r="A371" s="15"/>
      <c r="B371" s="15"/>
      <c r="C371" s="16"/>
      <c r="D371" s="16"/>
      <c r="E371" s="16"/>
      <c r="F371" s="16"/>
      <c r="G371" s="16"/>
      <c r="H371" s="16"/>
      <c r="I371" s="16"/>
      <c r="J371" s="16"/>
      <c r="K371" s="16"/>
      <c r="L371" s="16"/>
      <c r="M371" s="25"/>
      <c r="N371" s="25"/>
      <c r="O371" s="16"/>
      <c r="P371" s="1"/>
      <c r="Q371" s="1"/>
      <c r="R371" s="1"/>
      <c r="S371" s="1"/>
      <c r="T371" s="1"/>
      <c r="U371" s="1"/>
      <c r="V371" s="16"/>
      <c r="W371" s="1"/>
      <c r="X371" s="1"/>
    </row>
    <row r="372" spans="1:24">
      <c r="A372" s="15"/>
      <c r="B372" s="15"/>
      <c r="C372" s="16"/>
      <c r="D372" s="16"/>
      <c r="E372" s="16"/>
      <c r="F372" s="16"/>
      <c r="G372" s="16"/>
      <c r="H372" s="16"/>
      <c r="I372" s="16"/>
      <c r="J372" s="16"/>
      <c r="K372" s="16"/>
      <c r="L372" s="16"/>
      <c r="M372" s="25"/>
      <c r="N372" s="25"/>
      <c r="O372" s="16"/>
      <c r="P372" s="1"/>
      <c r="Q372" s="1"/>
      <c r="R372" s="1"/>
      <c r="S372" s="1"/>
      <c r="T372" s="1"/>
      <c r="U372" s="1"/>
      <c r="V372" s="16"/>
      <c r="W372" s="1"/>
      <c r="X372" s="1"/>
    </row>
    <row r="373" spans="1:24">
      <c r="A373" s="15"/>
      <c r="B373" s="15"/>
      <c r="C373" s="16"/>
      <c r="D373" s="16"/>
      <c r="E373" s="16"/>
      <c r="F373" s="16"/>
      <c r="G373" s="16"/>
      <c r="H373" s="16"/>
      <c r="I373" s="16"/>
      <c r="J373" s="16"/>
      <c r="K373" s="16"/>
      <c r="L373" s="16"/>
      <c r="M373" s="25"/>
      <c r="N373" s="25"/>
      <c r="O373" s="16"/>
      <c r="P373" s="1"/>
      <c r="Q373" s="1"/>
      <c r="R373" s="1"/>
      <c r="S373" s="1"/>
      <c r="T373" s="1"/>
      <c r="U373" s="1"/>
      <c r="V373" s="16"/>
      <c r="W373" s="1"/>
      <c r="X373" s="1"/>
    </row>
    <row r="374" spans="1:24">
      <c r="A374" s="15"/>
      <c r="B374" s="15"/>
      <c r="C374" s="16"/>
      <c r="D374" s="16"/>
      <c r="E374" s="16"/>
      <c r="F374" s="16"/>
      <c r="G374" s="16"/>
      <c r="H374" s="16"/>
      <c r="I374" s="16"/>
      <c r="J374" s="16"/>
      <c r="K374" s="16"/>
      <c r="L374" s="16"/>
      <c r="M374" s="26"/>
      <c r="N374" s="26"/>
      <c r="O374" s="16"/>
      <c r="P374" s="1"/>
      <c r="Q374" s="1"/>
      <c r="R374" s="1"/>
      <c r="S374" s="1"/>
      <c r="T374" s="1"/>
      <c r="U374" s="1"/>
      <c r="V374" s="16"/>
      <c r="W374" s="1"/>
      <c r="X374" s="1"/>
    </row>
    <row r="375" spans="1:24">
      <c r="A375" s="15"/>
      <c r="B375" s="1"/>
      <c r="C375" s="1"/>
      <c r="D375" s="1"/>
      <c r="E375" s="1"/>
      <c r="F375" s="1"/>
      <c r="G375" s="1"/>
      <c r="H375" s="1"/>
      <c r="I375" s="1"/>
      <c r="J375" s="1"/>
      <c r="K375" s="1"/>
      <c r="L375" s="1"/>
      <c r="M375" s="26"/>
      <c r="N375" s="26"/>
      <c r="O375" s="1"/>
      <c r="P375" s="1"/>
      <c r="Q375" s="1"/>
      <c r="R375" s="1"/>
      <c r="S375" s="1"/>
      <c r="T375" s="1"/>
      <c r="U375" s="1"/>
      <c r="V375" s="16"/>
      <c r="W375" s="1"/>
      <c r="X375" s="1"/>
    </row>
    <row r="376" spans="1:24">
      <c r="A376" s="15"/>
      <c r="B376" s="1"/>
      <c r="C376" s="1"/>
      <c r="D376" s="1"/>
      <c r="E376" s="1"/>
      <c r="F376" s="1"/>
      <c r="G376" s="1"/>
      <c r="H376" s="1"/>
      <c r="I376" s="1"/>
      <c r="J376" s="1"/>
      <c r="K376" s="1"/>
      <c r="L376" s="1"/>
      <c r="M376" s="26"/>
      <c r="N376" s="26"/>
      <c r="O376" s="1"/>
      <c r="P376" s="1"/>
      <c r="Q376" s="1"/>
      <c r="R376" s="1"/>
      <c r="S376" s="1"/>
      <c r="T376" s="1"/>
      <c r="U376" s="1"/>
      <c r="V376" s="16"/>
      <c r="W376" s="1"/>
      <c r="X376" s="1"/>
    </row>
    <row r="377" spans="1:24">
      <c r="A377" s="15"/>
      <c r="B377" s="1"/>
      <c r="C377" s="1"/>
      <c r="D377" s="1"/>
      <c r="E377" s="1"/>
      <c r="F377" s="1"/>
      <c r="G377" s="1"/>
      <c r="H377" s="1"/>
      <c r="I377" s="1"/>
      <c r="J377" s="1"/>
      <c r="K377" s="1"/>
      <c r="L377" s="1"/>
      <c r="M377" s="26"/>
      <c r="N377" s="26"/>
      <c r="O377" s="1"/>
      <c r="P377" s="1"/>
      <c r="Q377" s="1"/>
      <c r="R377" s="1"/>
      <c r="S377" s="1"/>
      <c r="T377" s="1"/>
      <c r="U377" s="1"/>
      <c r="V377" s="16"/>
      <c r="W377" s="1"/>
      <c r="X377" s="1"/>
    </row>
    <row r="378" spans="1:24">
      <c r="A378" s="1"/>
      <c r="B378" s="93"/>
      <c r="C378" s="1"/>
      <c r="D378" s="1"/>
      <c r="E378" s="1"/>
      <c r="F378" s="93"/>
      <c r="G378" s="93"/>
      <c r="H378" s="93"/>
      <c r="I378" s="93"/>
      <c r="J378" s="93"/>
      <c r="K378" s="93"/>
      <c r="L378" s="93"/>
      <c r="M378" s="26"/>
      <c r="N378" s="26"/>
      <c r="O378" s="1"/>
      <c r="P378" s="1"/>
      <c r="Q378" s="1"/>
      <c r="R378" s="1"/>
      <c r="S378" s="1"/>
      <c r="T378" s="1"/>
      <c r="U378" s="1"/>
      <c r="V378" s="16"/>
      <c r="W378" s="1"/>
      <c r="X378" s="1"/>
    </row>
    <row r="379" spans="1:24">
      <c r="A379" s="1"/>
      <c r="B379" s="94"/>
      <c r="C379" s="1"/>
      <c r="D379" s="1"/>
      <c r="E379" s="1"/>
      <c r="F379" s="94"/>
      <c r="G379" s="94"/>
      <c r="H379" s="94"/>
      <c r="I379" s="94"/>
      <c r="J379" s="94"/>
      <c r="K379" s="94"/>
      <c r="L379" s="94"/>
      <c r="M379" s="26"/>
      <c r="N379" s="26"/>
      <c r="O379" s="1"/>
      <c r="P379" s="1"/>
      <c r="Q379" s="1"/>
      <c r="R379" s="1"/>
      <c r="S379" s="1"/>
      <c r="T379" s="1"/>
      <c r="U379" s="1"/>
      <c r="V379" s="16"/>
      <c r="W379" s="1"/>
      <c r="X379" s="1"/>
    </row>
    <row r="380" spans="1:24">
      <c r="A380" s="1"/>
      <c r="B380" s="94"/>
      <c r="C380" s="1"/>
      <c r="D380" s="1"/>
      <c r="E380" s="1"/>
      <c r="F380" s="94"/>
      <c r="G380" s="94"/>
      <c r="H380" s="94"/>
      <c r="I380" s="94"/>
      <c r="J380" s="94"/>
      <c r="K380" s="94"/>
      <c r="L380" s="94"/>
      <c r="M380" s="26"/>
      <c r="N380" s="26"/>
      <c r="O380" s="1"/>
      <c r="P380" s="1"/>
      <c r="Q380" s="1"/>
      <c r="R380" s="1"/>
      <c r="S380" s="1"/>
      <c r="T380" s="1"/>
      <c r="U380" s="1"/>
      <c r="V380" s="16"/>
      <c r="W380" s="1"/>
      <c r="X380" s="1"/>
    </row>
    <row r="381" spans="1:24">
      <c r="A381" s="1"/>
      <c r="B381" s="94"/>
      <c r="C381" s="1"/>
      <c r="D381" s="1"/>
      <c r="E381" s="1"/>
      <c r="F381" s="94"/>
      <c r="G381" s="94"/>
      <c r="H381" s="94"/>
      <c r="I381" s="94"/>
      <c r="J381" s="94"/>
      <c r="K381" s="94"/>
      <c r="L381" s="94"/>
      <c r="M381" s="26"/>
      <c r="N381" s="26"/>
      <c r="O381" s="1"/>
      <c r="P381" s="1"/>
      <c r="Q381" s="1"/>
      <c r="R381" s="1"/>
      <c r="S381" s="1"/>
      <c r="T381" s="1"/>
      <c r="U381" s="1"/>
      <c r="V381" s="16"/>
      <c r="W381" s="1"/>
      <c r="X381" s="1"/>
    </row>
    <row r="382" spans="1:24">
      <c r="A382" s="1"/>
      <c r="B382" s="94"/>
      <c r="C382" s="1"/>
      <c r="D382" s="1"/>
      <c r="E382" s="1"/>
      <c r="F382" s="94"/>
      <c r="G382" s="94"/>
      <c r="H382" s="94"/>
      <c r="I382" s="94"/>
      <c r="J382" s="94"/>
      <c r="K382" s="94"/>
      <c r="L382" s="94"/>
      <c r="M382" s="26"/>
      <c r="N382" s="26"/>
      <c r="O382" s="1"/>
      <c r="P382" s="1"/>
      <c r="Q382" s="1"/>
      <c r="R382" s="1"/>
      <c r="S382" s="1"/>
      <c r="T382" s="1"/>
      <c r="U382" s="1"/>
      <c r="V382" s="16"/>
      <c r="W382" s="1"/>
      <c r="X382" s="1"/>
    </row>
    <row r="383" spans="1:24">
      <c r="A383" s="1"/>
      <c r="B383" s="93"/>
      <c r="C383" s="1"/>
      <c r="D383" s="1"/>
      <c r="E383" s="1"/>
      <c r="F383" s="93"/>
      <c r="G383" s="93"/>
      <c r="H383" s="93"/>
      <c r="I383" s="93"/>
      <c r="J383" s="93"/>
      <c r="K383" s="93"/>
      <c r="L383" s="93"/>
      <c r="M383" s="26"/>
      <c r="N383" s="26"/>
      <c r="O383" s="1"/>
      <c r="P383" s="1"/>
      <c r="Q383" s="1"/>
      <c r="R383" s="1"/>
      <c r="S383" s="1"/>
      <c r="T383" s="1"/>
      <c r="U383" s="1"/>
      <c r="V383" s="16"/>
      <c r="W383" s="1"/>
      <c r="X383" s="1"/>
    </row>
    <row r="384" spans="1:24">
      <c r="A384" s="1"/>
      <c r="B384" s="94"/>
      <c r="C384" s="1"/>
      <c r="D384" s="1"/>
      <c r="E384" s="1"/>
      <c r="F384" s="94"/>
      <c r="G384" s="94"/>
      <c r="H384" s="94"/>
      <c r="I384" s="94"/>
      <c r="J384" s="94"/>
      <c r="K384" s="94"/>
      <c r="L384" s="94"/>
      <c r="M384" s="26"/>
      <c r="N384" s="26"/>
      <c r="O384" s="1"/>
      <c r="P384" s="1"/>
      <c r="Q384" s="1"/>
      <c r="R384" s="1"/>
      <c r="S384" s="1"/>
      <c r="T384" s="1"/>
      <c r="U384" s="1"/>
      <c r="V384" s="16"/>
      <c r="W384" s="1"/>
      <c r="X384" s="1"/>
    </row>
    <row r="385" spans="1:24">
      <c r="A385" s="1"/>
      <c r="B385" s="94"/>
      <c r="C385" s="1"/>
      <c r="D385" s="1"/>
      <c r="E385" s="1"/>
      <c r="F385" s="94"/>
      <c r="G385" s="94"/>
      <c r="H385" s="94"/>
      <c r="I385" s="94"/>
      <c r="J385" s="94"/>
      <c r="K385" s="94"/>
      <c r="L385" s="94"/>
      <c r="M385" s="26"/>
      <c r="N385" s="26"/>
      <c r="O385" s="1"/>
      <c r="P385" s="1"/>
      <c r="Q385" s="1"/>
      <c r="R385" s="1"/>
      <c r="S385" s="1"/>
      <c r="T385" s="1"/>
      <c r="U385" s="1"/>
      <c r="V385" s="16"/>
      <c r="W385" s="1"/>
      <c r="X385" s="1"/>
    </row>
    <row r="386" spans="1:24">
      <c r="A386" s="1"/>
      <c r="B386" s="94"/>
      <c r="C386" s="1"/>
      <c r="D386" s="1"/>
      <c r="E386" s="1"/>
      <c r="F386" s="94"/>
      <c r="G386" s="94"/>
      <c r="H386" s="94"/>
      <c r="I386" s="94"/>
      <c r="J386" s="94"/>
      <c r="K386" s="94"/>
      <c r="L386" s="94"/>
      <c r="M386" s="26"/>
      <c r="N386" s="26"/>
      <c r="O386" s="1"/>
      <c r="P386" s="1"/>
      <c r="Q386" s="1"/>
      <c r="R386" s="1"/>
      <c r="S386" s="1"/>
      <c r="T386" s="1"/>
      <c r="U386" s="1"/>
      <c r="V386" s="16"/>
      <c r="W386" s="1"/>
      <c r="X386" s="1"/>
    </row>
    <row r="387" spans="1:24">
      <c r="A387" s="1"/>
      <c r="B387" s="94"/>
      <c r="C387" s="1"/>
      <c r="D387" s="1"/>
      <c r="E387" s="1"/>
      <c r="F387" s="94"/>
      <c r="G387" s="94"/>
      <c r="H387" s="94"/>
      <c r="I387" s="94"/>
      <c r="J387" s="94"/>
      <c r="K387" s="94"/>
      <c r="L387" s="94"/>
      <c r="M387" s="26"/>
      <c r="N387" s="26"/>
      <c r="O387" s="1"/>
      <c r="P387" s="1"/>
      <c r="Q387" s="1"/>
      <c r="R387" s="1"/>
      <c r="S387" s="1"/>
      <c r="T387" s="1"/>
      <c r="U387" s="1"/>
      <c r="V387" s="16"/>
      <c r="W387" s="1"/>
      <c r="X387" s="1"/>
    </row>
    <row r="388" spans="1:24">
      <c r="A388" s="1"/>
      <c r="B388" s="93"/>
      <c r="C388" s="1"/>
      <c r="D388" s="1"/>
      <c r="E388" s="1"/>
      <c r="F388" s="93"/>
      <c r="G388" s="93"/>
      <c r="H388" s="93"/>
      <c r="I388" s="93"/>
      <c r="J388" s="93"/>
      <c r="K388" s="93"/>
      <c r="L388" s="93"/>
      <c r="M388" s="26"/>
      <c r="N388" s="26"/>
      <c r="O388" s="1"/>
      <c r="P388" s="1"/>
      <c r="Q388" s="1"/>
      <c r="R388" s="1"/>
      <c r="S388" s="1"/>
      <c r="T388" s="1"/>
      <c r="U388" s="1"/>
      <c r="V388" s="16"/>
      <c r="W388" s="1"/>
      <c r="X388" s="1"/>
    </row>
    <row r="389" spans="1:24">
      <c r="A389" s="1"/>
      <c r="B389" s="94"/>
      <c r="C389" s="1"/>
      <c r="D389" s="1"/>
      <c r="E389" s="1"/>
      <c r="F389" s="94"/>
      <c r="G389" s="94"/>
      <c r="H389" s="94"/>
      <c r="I389" s="94"/>
      <c r="J389" s="94"/>
      <c r="K389" s="94"/>
      <c r="L389" s="94"/>
      <c r="M389" s="26"/>
      <c r="N389" s="26"/>
      <c r="O389" s="1"/>
      <c r="P389" s="1"/>
      <c r="Q389" s="1"/>
      <c r="R389" s="1"/>
      <c r="S389" s="1"/>
      <c r="T389" s="1"/>
      <c r="U389" s="1"/>
      <c r="V389" s="16"/>
      <c r="W389" s="1"/>
      <c r="X389" s="1"/>
    </row>
    <row r="390" spans="1:24">
      <c r="A390" s="1"/>
      <c r="B390" s="94"/>
      <c r="C390" s="1"/>
      <c r="D390" s="1"/>
      <c r="E390" s="1"/>
      <c r="F390" s="94"/>
      <c r="G390" s="94"/>
      <c r="H390" s="94"/>
      <c r="I390" s="94"/>
      <c r="J390" s="94"/>
      <c r="K390" s="94"/>
      <c r="L390" s="94"/>
      <c r="M390" s="26"/>
      <c r="N390" s="26"/>
      <c r="O390" s="1"/>
      <c r="P390" s="1"/>
      <c r="Q390" s="1"/>
      <c r="R390" s="1"/>
      <c r="S390" s="1"/>
      <c r="T390" s="1"/>
      <c r="U390" s="1"/>
      <c r="V390" s="16"/>
      <c r="W390" s="1"/>
      <c r="X390" s="1"/>
    </row>
    <row r="391" spans="1:24">
      <c r="A391" s="1"/>
      <c r="B391" s="94"/>
      <c r="C391" s="1"/>
      <c r="D391" s="1"/>
      <c r="E391" s="1"/>
      <c r="F391" s="94"/>
      <c r="G391" s="94"/>
      <c r="H391" s="94"/>
      <c r="I391" s="94"/>
      <c r="J391" s="94"/>
      <c r="K391" s="94"/>
      <c r="L391" s="94"/>
      <c r="M391" s="26"/>
      <c r="N391" s="26"/>
      <c r="O391" s="1"/>
      <c r="P391" s="1"/>
      <c r="Q391" s="1"/>
      <c r="R391" s="1"/>
      <c r="S391" s="1"/>
      <c r="T391" s="1"/>
      <c r="U391" s="1"/>
      <c r="V391" s="16"/>
      <c r="W391" s="1"/>
      <c r="X391" s="1"/>
    </row>
    <row r="392" spans="1:24">
      <c r="A392" s="1"/>
      <c r="B392" s="94"/>
      <c r="C392" s="1"/>
      <c r="D392" s="1"/>
      <c r="E392" s="1"/>
      <c r="F392" s="94"/>
      <c r="G392" s="94"/>
      <c r="H392" s="94"/>
      <c r="I392" s="94"/>
      <c r="J392" s="94"/>
      <c r="K392" s="94"/>
      <c r="L392" s="94"/>
      <c r="M392" s="26"/>
      <c r="N392" s="26"/>
      <c r="O392" s="1"/>
      <c r="P392" s="1"/>
      <c r="Q392" s="1"/>
      <c r="R392" s="1"/>
      <c r="S392" s="1"/>
      <c r="T392" s="1"/>
      <c r="U392" s="1"/>
      <c r="V392" s="16"/>
      <c r="W392" s="1"/>
      <c r="X392" s="1"/>
    </row>
    <row r="393" spans="1:24">
      <c r="A393" s="1"/>
      <c r="B393" s="93"/>
      <c r="C393" s="1"/>
      <c r="D393" s="1"/>
      <c r="E393" s="1"/>
      <c r="F393" s="93"/>
      <c r="G393" s="93"/>
      <c r="H393" s="93"/>
      <c r="I393" s="93"/>
      <c r="J393" s="93"/>
      <c r="K393" s="93"/>
      <c r="L393" s="93"/>
      <c r="M393" s="26"/>
      <c r="N393" s="26"/>
      <c r="O393" s="1"/>
      <c r="P393" s="1"/>
      <c r="Q393" s="1"/>
      <c r="R393" s="1"/>
      <c r="S393" s="1"/>
      <c r="T393" s="1"/>
      <c r="U393" s="1"/>
      <c r="V393" s="16"/>
      <c r="W393" s="1"/>
      <c r="X393" s="1"/>
    </row>
    <row r="394" spans="1:24">
      <c r="A394" s="1"/>
      <c r="B394" s="94"/>
      <c r="C394" s="1"/>
      <c r="D394" s="1"/>
      <c r="E394" s="1"/>
      <c r="F394" s="94"/>
      <c r="G394" s="94"/>
      <c r="H394" s="94"/>
      <c r="I394" s="94"/>
      <c r="J394" s="94"/>
      <c r="K394" s="94"/>
      <c r="L394" s="94"/>
      <c r="M394" s="26"/>
      <c r="N394" s="26"/>
      <c r="O394" s="1"/>
      <c r="P394" s="1"/>
      <c r="Q394" s="1"/>
      <c r="R394" s="1"/>
      <c r="S394" s="1"/>
      <c r="T394" s="1"/>
      <c r="U394" s="1"/>
      <c r="V394" s="16"/>
      <c r="W394" s="1"/>
      <c r="X394" s="1"/>
    </row>
    <row r="395" spans="1:24">
      <c r="A395" s="1"/>
      <c r="B395" s="94"/>
      <c r="C395" s="1"/>
      <c r="D395" s="1"/>
      <c r="E395" s="1"/>
      <c r="F395" s="94"/>
      <c r="G395" s="94"/>
      <c r="H395" s="94"/>
      <c r="I395" s="94"/>
      <c r="J395" s="94"/>
      <c r="K395" s="94"/>
      <c r="L395" s="94"/>
      <c r="M395" s="26"/>
      <c r="N395" s="26"/>
      <c r="O395" s="1"/>
      <c r="P395" s="1"/>
      <c r="Q395" s="1"/>
      <c r="R395" s="1"/>
      <c r="S395" s="1"/>
      <c r="T395" s="1"/>
      <c r="U395" s="1"/>
      <c r="V395" s="16"/>
      <c r="W395" s="1"/>
      <c r="X395" s="1"/>
    </row>
    <row r="396" spans="1:24">
      <c r="A396" s="1"/>
      <c r="B396" s="94"/>
      <c r="C396" s="1"/>
      <c r="D396" s="1"/>
      <c r="E396" s="1"/>
      <c r="F396" s="94"/>
      <c r="G396" s="94"/>
      <c r="H396" s="94"/>
      <c r="I396" s="94"/>
      <c r="J396" s="94"/>
      <c r="K396" s="94"/>
      <c r="L396" s="94"/>
      <c r="M396" s="26"/>
      <c r="N396" s="26"/>
      <c r="O396" s="1"/>
      <c r="P396" s="1"/>
      <c r="Q396" s="1"/>
      <c r="R396" s="1"/>
      <c r="S396" s="1"/>
      <c r="T396" s="1"/>
      <c r="U396" s="1"/>
      <c r="V396" s="16"/>
      <c r="W396" s="1"/>
      <c r="X396" s="1"/>
    </row>
    <row r="397" spans="1:24">
      <c r="A397" s="1"/>
      <c r="B397" s="94"/>
      <c r="C397" s="1"/>
      <c r="D397" s="1"/>
      <c r="E397" s="1"/>
      <c r="F397" s="94"/>
      <c r="G397" s="94"/>
      <c r="H397" s="94"/>
      <c r="I397" s="94"/>
      <c r="J397" s="94"/>
      <c r="K397" s="94"/>
      <c r="L397" s="94"/>
      <c r="M397" s="26"/>
      <c r="N397" s="26"/>
      <c r="O397" s="1"/>
      <c r="P397" s="1"/>
      <c r="Q397" s="1"/>
      <c r="R397" s="1"/>
      <c r="S397" s="1"/>
      <c r="T397" s="1"/>
      <c r="U397" s="1"/>
      <c r="V397" s="16"/>
      <c r="W397" s="1"/>
      <c r="X397" s="1"/>
    </row>
    <row r="398" spans="1:24">
      <c r="A398" s="1"/>
      <c r="B398" s="93"/>
      <c r="C398" s="1"/>
      <c r="D398" s="1"/>
      <c r="E398" s="1"/>
      <c r="F398" s="93"/>
      <c r="G398" s="93"/>
      <c r="H398" s="93"/>
      <c r="I398" s="93"/>
      <c r="J398" s="93"/>
      <c r="K398" s="93"/>
      <c r="L398" s="93"/>
      <c r="M398" s="26"/>
      <c r="N398" s="26"/>
      <c r="O398" s="1"/>
      <c r="P398" s="1"/>
      <c r="Q398" s="1"/>
      <c r="R398" s="1"/>
      <c r="S398" s="1"/>
      <c r="T398" s="1"/>
      <c r="U398" s="1"/>
      <c r="V398" s="16"/>
      <c r="W398" s="1"/>
      <c r="X398" s="1"/>
    </row>
    <row r="399" spans="1:24">
      <c r="A399" s="1"/>
      <c r="B399" s="94"/>
      <c r="C399" s="1"/>
      <c r="D399" s="1"/>
      <c r="E399" s="1"/>
      <c r="F399" s="94"/>
      <c r="G399" s="94"/>
      <c r="H399" s="94"/>
      <c r="I399" s="94"/>
      <c r="J399" s="94"/>
      <c r="K399" s="94"/>
      <c r="L399" s="94"/>
      <c r="M399" s="26"/>
      <c r="N399" s="26"/>
      <c r="O399" s="1"/>
      <c r="P399" s="1"/>
      <c r="Q399" s="1"/>
      <c r="R399" s="1"/>
      <c r="S399" s="1"/>
      <c r="T399" s="1"/>
      <c r="U399" s="1"/>
      <c r="V399" s="16"/>
      <c r="W399" s="1"/>
      <c r="X399" s="1"/>
    </row>
    <row r="400" spans="1:24">
      <c r="A400" s="1"/>
      <c r="B400" s="94"/>
      <c r="C400" s="1"/>
      <c r="D400" s="1"/>
      <c r="E400" s="1"/>
      <c r="F400" s="94"/>
      <c r="G400" s="94"/>
      <c r="H400" s="94"/>
      <c r="I400" s="94"/>
      <c r="J400" s="94"/>
      <c r="K400" s="94"/>
      <c r="L400" s="94"/>
      <c r="M400" s="26"/>
      <c r="N400" s="26"/>
      <c r="O400" s="1"/>
      <c r="P400" s="1"/>
      <c r="Q400" s="1"/>
      <c r="R400" s="1"/>
      <c r="S400" s="1"/>
      <c r="T400" s="1"/>
      <c r="U400" s="1"/>
      <c r="V400" s="16"/>
      <c r="W400" s="1"/>
      <c r="X400" s="1"/>
    </row>
    <row r="401" spans="1:24">
      <c r="A401" s="1"/>
      <c r="B401" s="94"/>
      <c r="C401" s="1"/>
      <c r="D401" s="1"/>
      <c r="E401" s="1"/>
      <c r="F401" s="94"/>
      <c r="G401" s="94"/>
      <c r="H401" s="94"/>
      <c r="I401" s="94"/>
      <c r="J401" s="94"/>
      <c r="K401" s="94"/>
      <c r="L401" s="94"/>
      <c r="M401" s="26"/>
      <c r="N401" s="26"/>
      <c r="O401" s="1"/>
      <c r="P401" s="1"/>
      <c r="Q401" s="1"/>
      <c r="R401" s="1"/>
      <c r="S401" s="1"/>
      <c r="T401" s="1"/>
      <c r="U401" s="1"/>
      <c r="V401" s="16"/>
      <c r="W401" s="1"/>
      <c r="X401" s="1"/>
    </row>
    <row r="402" spans="1:24">
      <c r="A402" s="1"/>
      <c r="B402" s="94"/>
      <c r="C402" s="1"/>
      <c r="D402" s="1"/>
      <c r="E402" s="1"/>
      <c r="F402" s="94"/>
      <c r="G402" s="94"/>
      <c r="H402" s="94"/>
      <c r="I402" s="94"/>
      <c r="J402" s="94"/>
      <c r="K402" s="94"/>
      <c r="L402" s="94"/>
      <c r="M402" s="26"/>
      <c r="N402" s="26"/>
      <c r="O402" s="1"/>
      <c r="P402" s="1"/>
      <c r="Q402" s="1"/>
      <c r="R402" s="1"/>
      <c r="S402" s="1"/>
      <c r="T402" s="1"/>
      <c r="U402" s="1"/>
      <c r="V402" s="16"/>
      <c r="W402" s="1"/>
      <c r="X402" s="1"/>
    </row>
    <row r="403" spans="1:24">
      <c r="A403" s="1"/>
      <c r="B403" s="93"/>
      <c r="C403" s="1"/>
      <c r="D403" s="1"/>
      <c r="E403" s="1"/>
      <c r="F403" s="93"/>
      <c r="G403" s="93"/>
      <c r="H403" s="93"/>
      <c r="I403" s="93"/>
      <c r="J403" s="93"/>
      <c r="K403" s="93"/>
      <c r="L403" s="93"/>
      <c r="M403" s="26"/>
      <c r="N403" s="26"/>
      <c r="O403" s="1"/>
      <c r="P403" s="1"/>
      <c r="Q403" s="1"/>
      <c r="R403" s="1"/>
      <c r="S403" s="1"/>
      <c r="T403" s="1"/>
      <c r="U403" s="1"/>
      <c r="V403" s="16"/>
      <c r="W403" s="1"/>
      <c r="X403" s="1"/>
    </row>
    <row r="404" spans="1:24">
      <c r="A404" s="1"/>
      <c r="B404" s="94"/>
      <c r="C404" s="1"/>
      <c r="D404" s="1"/>
      <c r="E404" s="1"/>
      <c r="F404" s="94"/>
      <c r="G404" s="94"/>
      <c r="H404" s="94"/>
      <c r="I404" s="94"/>
      <c r="J404" s="94"/>
      <c r="K404" s="94"/>
      <c r="L404" s="94"/>
      <c r="M404" s="26"/>
      <c r="N404" s="26"/>
      <c r="O404" s="1"/>
      <c r="P404" s="1"/>
      <c r="Q404" s="1"/>
      <c r="R404" s="1"/>
      <c r="S404" s="1"/>
      <c r="T404" s="1"/>
      <c r="U404" s="1"/>
      <c r="V404" s="16"/>
      <c r="W404" s="1"/>
      <c r="X404" s="1"/>
    </row>
    <row r="405" spans="1:24">
      <c r="A405" s="1"/>
      <c r="B405" s="94"/>
      <c r="C405" s="1"/>
      <c r="D405" s="1"/>
      <c r="E405" s="1"/>
      <c r="F405" s="94"/>
      <c r="G405" s="94"/>
      <c r="H405" s="94"/>
      <c r="I405" s="94"/>
      <c r="J405" s="94"/>
      <c r="K405" s="94"/>
      <c r="L405" s="94"/>
      <c r="M405" s="26"/>
      <c r="N405" s="26"/>
      <c r="O405" s="1"/>
      <c r="P405" s="1"/>
      <c r="Q405" s="1"/>
      <c r="R405" s="1"/>
      <c r="S405" s="1"/>
      <c r="T405" s="1"/>
      <c r="U405" s="1"/>
      <c r="V405" s="16"/>
      <c r="W405" s="1"/>
      <c r="X405" s="1"/>
    </row>
    <row r="406" spans="1:24">
      <c r="A406" s="1"/>
      <c r="B406" s="94"/>
      <c r="C406" s="1"/>
      <c r="D406" s="1"/>
      <c r="E406" s="1"/>
      <c r="F406" s="94"/>
      <c r="G406" s="94"/>
      <c r="H406" s="94"/>
      <c r="I406" s="94"/>
      <c r="J406" s="94"/>
      <c r="K406" s="94"/>
      <c r="L406" s="94"/>
      <c r="M406" s="26"/>
      <c r="N406" s="26"/>
      <c r="O406" s="1"/>
      <c r="P406" s="1"/>
      <c r="Q406" s="1"/>
      <c r="R406" s="1"/>
      <c r="S406" s="1"/>
      <c r="T406" s="1"/>
      <c r="U406" s="1"/>
      <c r="V406" s="16"/>
      <c r="W406" s="1"/>
      <c r="X406" s="1"/>
    </row>
    <row r="407" spans="1:24">
      <c r="A407" s="1"/>
      <c r="B407" s="94"/>
      <c r="C407" s="1"/>
      <c r="D407" s="1"/>
      <c r="E407" s="1"/>
      <c r="F407" s="94"/>
      <c r="G407" s="94"/>
      <c r="H407" s="94"/>
      <c r="I407" s="94"/>
      <c r="J407" s="94"/>
      <c r="K407" s="94"/>
      <c r="L407" s="94"/>
      <c r="M407" s="26"/>
      <c r="N407" s="26"/>
      <c r="O407" s="1"/>
      <c r="P407" s="1"/>
      <c r="Q407" s="1"/>
      <c r="R407" s="1"/>
      <c r="S407" s="1"/>
      <c r="T407" s="1"/>
      <c r="U407" s="1"/>
      <c r="V407" s="16"/>
      <c r="W407" s="1"/>
      <c r="X407" s="1"/>
    </row>
    <row r="408" spans="1:24">
      <c r="A408" s="1"/>
      <c r="B408" s="93"/>
      <c r="C408" s="1"/>
      <c r="D408" s="1"/>
      <c r="E408" s="1"/>
      <c r="F408" s="93"/>
      <c r="G408" s="93"/>
      <c r="H408" s="93"/>
      <c r="I408" s="93"/>
      <c r="J408" s="93"/>
      <c r="K408" s="93"/>
      <c r="L408" s="93"/>
      <c r="M408" s="26"/>
      <c r="N408" s="26"/>
      <c r="O408" s="1"/>
      <c r="P408" s="1"/>
      <c r="Q408" s="1"/>
      <c r="R408" s="1"/>
      <c r="S408" s="1"/>
      <c r="T408" s="1"/>
      <c r="U408" s="1"/>
      <c r="V408" s="16"/>
      <c r="W408" s="1"/>
      <c r="X408" s="1"/>
    </row>
    <row r="409" spans="1:24">
      <c r="A409" s="1"/>
      <c r="B409" s="94"/>
      <c r="C409" s="1"/>
      <c r="D409" s="1"/>
      <c r="E409" s="1"/>
      <c r="F409" s="94"/>
      <c r="G409" s="94"/>
      <c r="H409" s="94"/>
      <c r="I409" s="94"/>
      <c r="J409" s="94"/>
      <c r="K409" s="94"/>
      <c r="L409" s="94"/>
      <c r="M409" s="26"/>
      <c r="N409" s="26"/>
      <c r="O409" s="1"/>
      <c r="P409" s="1"/>
      <c r="Q409" s="1"/>
      <c r="R409" s="1"/>
      <c r="S409" s="1"/>
      <c r="T409" s="1"/>
      <c r="U409" s="1"/>
      <c r="V409" s="16"/>
      <c r="W409" s="1"/>
      <c r="X409" s="1"/>
    </row>
    <row r="410" spans="1:24">
      <c r="A410" s="1"/>
      <c r="B410" s="94"/>
      <c r="C410" s="1"/>
      <c r="D410" s="1"/>
      <c r="E410" s="1"/>
      <c r="F410" s="94"/>
      <c r="G410" s="94"/>
      <c r="H410" s="94"/>
      <c r="I410" s="94"/>
      <c r="J410" s="94"/>
      <c r="K410" s="94"/>
      <c r="L410" s="94"/>
      <c r="M410" s="26"/>
      <c r="N410" s="26"/>
      <c r="O410" s="1"/>
      <c r="P410" s="1"/>
      <c r="Q410" s="1"/>
      <c r="R410" s="1"/>
      <c r="S410" s="1"/>
      <c r="T410" s="1"/>
      <c r="U410" s="1"/>
      <c r="V410" s="16"/>
      <c r="W410" s="1"/>
      <c r="X410" s="1"/>
    </row>
    <row r="411" spans="1:24">
      <c r="A411" s="1"/>
      <c r="B411" s="94"/>
      <c r="C411" s="1"/>
      <c r="D411" s="1"/>
      <c r="E411" s="1"/>
      <c r="F411" s="94"/>
      <c r="G411" s="94"/>
      <c r="H411" s="94"/>
      <c r="I411" s="94"/>
      <c r="J411" s="94"/>
      <c r="K411" s="94"/>
      <c r="L411" s="94"/>
      <c r="M411" s="26"/>
      <c r="N411" s="26"/>
      <c r="O411" s="1"/>
      <c r="P411" s="1"/>
      <c r="Q411" s="1"/>
      <c r="R411" s="1"/>
      <c r="S411" s="1"/>
      <c r="T411" s="1"/>
      <c r="U411" s="1"/>
      <c r="V411" s="16"/>
      <c r="W411" s="1"/>
      <c r="X411" s="1"/>
    </row>
    <row r="412" spans="1:24">
      <c r="A412" s="1"/>
      <c r="B412" s="94"/>
      <c r="C412" s="1"/>
      <c r="D412" s="1"/>
      <c r="E412" s="1"/>
      <c r="F412" s="94"/>
      <c r="G412" s="94"/>
      <c r="H412" s="94"/>
      <c r="I412" s="94"/>
      <c r="J412" s="94"/>
      <c r="K412" s="94"/>
      <c r="L412" s="94"/>
      <c r="M412" s="26"/>
      <c r="N412" s="26"/>
      <c r="O412" s="1"/>
      <c r="P412" s="1"/>
      <c r="Q412" s="1"/>
      <c r="R412" s="1"/>
      <c r="S412" s="1"/>
      <c r="T412" s="1"/>
      <c r="U412" s="1"/>
      <c r="V412" s="16"/>
      <c r="W412" s="1"/>
      <c r="X412" s="1"/>
    </row>
    <row r="413" spans="1:24">
      <c r="A413" s="1"/>
      <c r="B413" s="93"/>
      <c r="C413" s="1"/>
      <c r="D413" s="1"/>
      <c r="E413" s="1"/>
      <c r="F413" s="93"/>
      <c r="G413" s="93"/>
      <c r="H413" s="93"/>
      <c r="I413" s="93"/>
      <c r="J413" s="93"/>
      <c r="K413" s="93"/>
      <c r="L413" s="93"/>
      <c r="M413" s="26"/>
      <c r="N413" s="26"/>
      <c r="O413" s="1"/>
      <c r="P413" s="1"/>
      <c r="Q413" s="1"/>
      <c r="R413" s="1"/>
      <c r="S413" s="1"/>
      <c r="T413" s="1"/>
      <c r="U413" s="1"/>
      <c r="V413" s="16"/>
      <c r="W413" s="1"/>
      <c r="X413" s="1"/>
    </row>
    <row r="414" spans="1:24">
      <c r="A414" s="1"/>
      <c r="B414" s="94"/>
      <c r="C414" s="1"/>
      <c r="D414" s="1"/>
      <c r="E414" s="1"/>
      <c r="F414" s="94"/>
      <c r="G414" s="94"/>
      <c r="H414" s="94"/>
      <c r="I414" s="94"/>
      <c r="J414" s="94"/>
      <c r="K414" s="94"/>
      <c r="L414" s="94"/>
      <c r="M414" s="26"/>
      <c r="N414" s="26"/>
      <c r="O414" s="1"/>
      <c r="P414" s="1"/>
      <c r="Q414" s="1"/>
      <c r="R414" s="1"/>
      <c r="S414" s="1"/>
      <c r="T414" s="1"/>
      <c r="U414" s="1"/>
      <c r="V414" s="16"/>
      <c r="W414" s="1"/>
      <c r="X414" s="1"/>
    </row>
    <row r="415" spans="1:24">
      <c r="A415" s="1"/>
      <c r="B415" s="94"/>
      <c r="C415" s="1"/>
      <c r="D415" s="1"/>
      <c r="E415" s="1"/>
      <c r="F415" s="94"/>
      <c r="G415" s="94"/>
      <c r="H415" s="94"/>
      <c r="I415" s="94"/>
      <c r="J415" s="94"/>
      <c r="K415" s="94"/>
      <c r="L415" s="94"/>
      <c r="M415" s="26"/>
      <c r="N415" s="26"/>
      <c r="O415" s="1"/>
      <c r="P415" s="1"/>
      <c r="Q415" s="1"/>
      <c r="R415" s="1"/>
      <c r="S415" s="1"/>
      <c r="T415" s="1"/>
      <c r="U415" s="1"/>
      <c r="V415" s="16"/>
      <c r="W415" s="1"/>
      <c r="X415" s="1"/>
    </row>
    <row r="416" spans="1:24">
      <c r="A416" s="1"/>
      <c r="B416" s="94"/>
      <c r="C416" s="1"/>
      <c r="D416" s="1"/>
      <c r="E416" s="1"/>
      <c r="F416" s="94"/>
      <c r="G416" s="94"/>
      <c r="H416" s="94"/>
      <c r="I416" s="94"/>
      <c r="J416" s="94"/>
      <c r="K416" s="94"/>
      <c r="L416" s="94"/>
      <c r="M416" s="26"/>
      <c r="N416" s="26"/>
      <c r="O416" s="1"/>
      <c r="P416" s="1"/>
      <c r="Q416" s="1"/>
      <c r="R416" s="1"/>
      <c r="S416" s="1"/>
      <c r="T416" s="1"/>
      <c r="U416" s="1"/>
      <c r="V416" s="16"/>
      <c r="W416" s="1"/>
      <c r="X416" s="1"/>
    </row>
    <row r="417" spans="1:24">
      <c r="A417" s="1"/>
      <c r="B417" s="94"/>
      <c r="C417" s="1"/>
      <c r="D417" s="1"/>
      <c r="E417" s="1"/>
      <c r="F417" s="94"/>
      <c r="G417" s="94"/>
      <c r="H417" s="94"/>
      <c r="I417" s="94"/>
      <c r="J417" s="94"/>
      <c r="K417" s="94"/>
      <c r="L417" s="94"/>
      <c r="M417" s="26"/>
      <c r="N417" s="26"/>
      <c r="O417" s="1"/>
      <c r="P417" s="1"/>
      <c r="Q417" s="1"/>
      <c r="R417" s="1"/>
      <c r="S417" s="1"/>
      <c r="T417" s="1"/>
      <c r="U417" s="1"/>
      <c r="V417" s="16"/>
      <c r="W417" s="1"/>
      <c r="X417" s="1"/>
    </row>
    <row r="418" spans="1:24">
      <c r="A418" s="1"/>
      <c r="B418" s="93"/>
      <c r="C418" s="1"/>
      <c r="D418" s="1"/>
      <c r="E418" s="1"/>
      <c r="F418" s="93"/>
      <c r="G418" s="93"/>
      <c r="H418" s="93"/>
      <c r="I418" s="93"/>
      <c r="J418" s="93"/>
      <c r="K418" s="93"/>
      <c r="L418" s="93"/>
      <c r="M418" s="26"/>
      <c r="N418" s="26"/>
      <c r="O418" s="1"/>
      <c r="P418" s="1"/>
      <c r="Q418" s="1"/>
      <c r="R418" s="1"/>
      <c r="S418" s="1"/>
      <c r="T418" s="1"/>
      <c r="U418" s="1"/>
      <c r="V418" s="16"/>
      <c r="W418" s="1"/>
      <c r="X418" s="1"/>
    </row>
    <row r="419" spans="1:24">
      <c r="A419" s="1"/>
      <c r="B419" s="94"/>
      <c r="C419" s="1"/>
      <c r="D419" s="1"/>
      <c r="E419" s="1"/>
      <c r="F419" s="94"/>
      <c r="G419" s="94"/>
      <c r="H419" s="94"/>
      <c r="I419" s="94"/>
      <c r="J419" s="94"/>
      <c r="K419" s="94"/>
      <c r="L419" s="94"/>
      <c r="M419" s="26"/>
      <c r="N419" s="26"/>
      <c r="O419" s="1"/>
      <c r="P419" s="1"/>
      <c r="Q419" s="1"/>
      <c r="R419" s="1"/>
      <c r="S419" s="1"/>
      <c r="T419" s="1"/>
      <c r="U419" s="1"/>
      <c r="V419" s="16"/>
      <c r="W419" s="1"/>
      <c r="X419" s="1"/>
    </row>
    <row r="420" spans="1:24">
      <c r="A420" s="1"/>
      <c r="B420" s="94"/>
      <c r="C420" s="1"/>
      <c r="D420" s="1"/>
      <c r="E420" s="1"/>
      <c r="F420" s="94"/>
      <c r="G420" s="94"/>
      <c r="H420" s="94"/>
      <c r="I420" s="94"/>
      <c r="J420" s="94"/>
      <c r="K420" s="94"/>
      <c r="L420" s="94"/>
      <c r="M420" s="26"/>
      <c r="N420" s="26"/>
      <c r="O420" s="1"/>
      <c r="P420" s="1"/>
      <c r="Q420" s="1"/>
      <c r="R420" s="1"/>
      <c r="S420" s="1"/>
      <c r="T420" s="1"/>
      <c r="U420" s="1"/>
      <c r="V420" s="16"/>
      <c r="W420" s="1"/>
      <c r="X420" s="1"/>
    </row>
    <row r="421" spans="1:24">
      <c r="A421" s="1"/>
      <c r="B421" s="94"/>
      <c r="C421" s="1"/>
      <c r="D421" s="1"/>
      <c r="E421" s="1"/>
      <c r="F421" s="94"/>
      <c r="G421" s="94"/>
      <c r="H421" s="94"/>
      <c r="I421" s="94"/>
      <c r="J421" s="94"/>
      <c r="K421" s="94"/>
      <c r="L421" s="94"/>
      <c r="M421" s="26"/>
      <c r="N421" s="26"/>
      <c r="O421" s="1"/>
      <c r="P421" s="1"/>
      <c r="Q421" s="1"/>
      <c r="R421" s="1"/>
      <c r="S421" s="1"/>
      <c r="T421" s="1"/>
      <c r="U421" s="1"/>
      <c r="V421" s="16"/>
      <c r="W421" s="1"/>
      <c r="X421" s="1"/>
    </row>
    <row r="422" spans="1:24">
      <c r="A422" s="1"/>
      <c r="B422" s="94"/>
      <c r="C422" s="1"/>
      <c r="D422" s="1"/>
      <c r="E422" s="1"/>
      <c r="F422" s="94"/>
      <c r="G422" s="94"/>
      <c r="H422" s="94"/>
      <c r="I422" s="94"/>
      <c r="J422" s="94"/>
      <c r="K422" s="94"/>
      <c r="L422" s="94"/>
      <c r="M422" s="26"/>
      <c r="N422" s="26"/>
      <c r="O422" s="1"/>
      <c r="P422" s="1"/>
      <c r="Q422" s="1"/>
      <c r="R422" s="1"/>
      <c r="S422" s="1"/>
      <c r="T422" s="1"/>
      <c r="U422" s="1"/>
      <c r="V422" s="16"/>
      <c r="W422" s="1"/>
      <c r="X422" s="1"/>
    </row>
    <row r="423" spans="1:24">
      <c r="A423" s="1"/>
      <c r="B423" s="93"/>
      <c r="C423" s="1"/>
      <c r="D423" s="1"/>
      <c r="E423" s="1"/>
      <c r="F423" s="93"/>
      <c r="G423" s="93"/>
      <c r="H423" s="93"/>
      <c r="I423" s="93"/>
      <c r="J423" s="93"/>
      <c r="K423" s="93"/>
      <c r="L423" s="93"/>
      <c r="M423" s="26"/>
      <c r="N423" s="26"/>
      <c r="O423" s="1"/>
      <c r="P423" s="1"/>
      <c r="Q423" s="1"/>
      <c r="R423" s="1"/>
      <c r="S423" s="1"/>
      <c r="T423" s="1"/>
      <c r="U423" s="1"/>
      <c r="V423" s="16"/>
      <c r="W423" s="1"/>
      <c r="X423" s="1"/>
    </row>
    <row r="424" spans="1:24">
      <c r="A424" s="1"/>
      <c r="B424" s="94"/>
      <c r="C424" s="1"/>
      <c r="D424" s="1"/>
      <c r="E424" s="1"/>
      <c r="F424" s="94"/>
      <c r="G424" s="94"/>
      <c r="H424" s="94"/>
      <c r="I424" s="94"/>
      <c r="J424" s="94"/>
      <c r="K424" s="94"/>
      <c r="L424" s="94"/>
      <c r="M424" s="26"/>
      <c r="N424" s="26"/>
      <c r="O424" s="1"/>
      <c r="P424" s="1"/>
      <c r="Q424" s="1"/>
      <c r="R424" s="1"/>
      <c r="S424" s="1"/>
      <c r="T424" s="1"/>
      <c r="U424" s="1"/>
      <c r="V424" s="16"/>
      <c r="W424" s="1"/>
      <c r="X424" s="1"/>
    </row>
    <row r="425" spans="1:24">
      <c r="A425" s="1"/>
      <c r="B425" s="94"/>
      <c r="C425" s="1"/>
      <c r="D425" s="1"/>
      <c r="E425" s="1"/>
      <c r="F425" s="94"/>
      <c r="G425" s="94"/>
      <c r="H425" s="94"/>
      <c r="I425" s="94"/>
      <c r="J425" s="94"/>
      <c r="K425" s="94"/>
      <c r="L425" s="94"/>
      <c r="M425" s="26"/>
      <c r="N425" s="26"/>
      <c r="O425" s="1"/>
      <c r="P425" s="1"/>
      <c r="Q425" s="1"/>
      <c r="R425" s="1"/>
      <c r="S425" s="1"/>
      <c r="T425" s="1"/>
      <c r="U425" s="1"/>
      <c r="V425" s="16"/>
      <c r="W425" s="1"/>
      <c r="X425" s="1"/>
    </row>
    <row r="426" spans="1:24">
      <c r="A426" s="1"/>
      <c r="B426" s="94"/>
      <c r="C426" s="1"/>
      <c r="D426" s="1"/>
      <c r="E426" s="1"/>
      <c r="F426" s="94"/>
      <c r="G426" s="94"/>
      <c r="H426" s="94"/>
      <c r="I426" s="94"/>
      <c r="J426" s="94"/>
      <c r="K426" s="94"/>
      <c r="L426" s="94"/>
      <c r="M426" s="26"/>
      <c r="N426" s="26"/>
      <c r="O426" s="1"/>
      <c r="P426" s="1"/>
      <c r="Q426" s="1"/>
      <c r="R426" s="1"/>
      <c r="S426" s="1"/>
      <c r="T426" s="1"/>
      <c r="U426" s="1"/>
      <c r="V426" s="16"/>
      <c r="W426" s="1"/>
      <c r="X426" s="1"/>
    </row>
    <row r="427" spans="1:24">
      <c r="A427" s="1"/>
      <c r="B427" s="94"/>
      <c r="C427" s="1"/>
      <c r="D427" s="1"/>
      <c r="E427" s="1"/>
      <c r="F427" s="94"/>
      <c r="G427" s="94"/>
      <c r="H427" s="94"/>
      <c r="I427" s="94"/>
      <c r="J427" s="94"/>
      <c r="K427" s="94"/>
      <c r="L427" s="94"/>
      <c r="M427" s="26"/>
      <c r="N427" s="26"/>
      <c r="O427" s="1"/>
      <c r="P427" s="1"/>
      <c r="Q427" s="1"/>
      <c r="R427" s="1"/>
      <c r="S427" s="1"/>
      <c r="T427" s="1"/>
      <c r="U427" s="1"/>
      <c r="V427" s="16"/>
      <c r="W427" s="1"/>
      <c r="X427" s="1"/>
    </row>
    <row r="428" spans="1:24">
      <c r="A428" s="1"/>
      <c r="B428" s="93"/>
      <c r="C428" s="1"/>
      <c r="D428" s="1"/>
      <c r="E428" s="1"/>
      <c r="F428" s="93"/>
      <c r="G428" s="93"/>
      <c r="H428" s="93"/>
      <c r="I428" s="93"/>
      <c r="J428" s="93"/>
      <c r="K428" s="93"/>
      <c r="L428" s="93"/>
      <c r="M428" s="26"/>
      <c r="N428" s="26"/>
      <c r="O428" s="1"/>
      <c r="P428" s="1"/>
      <c r="Q428" s="1"/>
      <c r="R428" s="1"/>
      <c r="S428" s="1"/>
      <c r="T428" s="1"/>
      <c r="U428" s="1"/>
      <c r="V428" s="16"/>
      <c r="W428" s="1"/>
      <c r="X428" s="1"/>
    </row>
    <row r="429" spans="1:24">
      <c r="A429" s="1"/>
      <c r="B429" s="94"/>
      <c r="C429" s="1"/>
      <c r="D429" s="1"/>
      <c r="E429" s="1"/>
      <c r="F429" s="94"/>
      <c r="G429" s="94"/>
      <c r="H429" s="94"/>
      <c r="I429" s="94"/>
      <c r="J429" s="94"/>
      <c r="K429" s="94"/>
      <c r="L429" s="94"/>
      <c r="M429" s="26"/>
      <c r="N429" s="26"/>
      <c r="O429" s="1"/>
      <c r="P429" s="1"/>
      <c r="Q429" s="1"/>
      <c r="R429" s="1"/>
      <c r="S429" s="1"/>
      <c r="T429" s="1"/>
      <c r="U429" s="1"/>
      <c r="V429" s="16"/>
      <c r="W429" s="1"/>
      <c r="X429" s="1"/>
    </row>
    <row r="430" spans="1:24">
      <c r="A430" s="1"/>
      <c r="B430" s="94"/>
      <c r="C430" s="1"/>
      <c r="D430" s="1"/>
      <c r="E430" s="1"/>
      <c r="F430" s="94"/>
      <c r="G430" s="94"/>
      <c r="H430" s="94"/>
      <c r="I430" s="94"/>
      <c r="J430" s="94"/>
      <c r="K430" s="94"/>
      <c r="L430" s="94"/>
      <c r="M430" s="26"/>
      <c r="N430" s="26"/>
      <c r="O430" s="1"/>
      <c r="P430" s="1"/>
      <c r="Q430" s="1"/>
      <c r="R430" s="1"/>
      <c r="S430" s="1"/>
      <c r="T430" s="1"/>
      <c r="U430" s="1"/>
      <c r="V430" s="16"/>
      <c r="W430" s="1"/>
      <c r="X430" s="1"/>
    </row>
    <row r="431" spans="1:24">
      <c r="A431" s="1"/>
      <c r="B431" s="94"/>
      <c r="C431" s="1"/>
      <c r="D431" s="1"/>
      <c r="E431" s="1"/>
      <c r="F431" s="94"/>
      <c r="G431" s="94"/>
      <c r="H431" s="94"/>
      <c r="I431" s="94"/>
      <c r="J431" s="94"/>
      <c r="K431" s="94"/>
      <c r="L431" s="94"/>
      <c r="M431" s="26"/>
      <c r="N431" s="26"/>
      <c r="O431" s="1"/>
      <c r="P431" s="1"/>
      <c r="Q431" s="1"/>
      <c r="R431" s="1"/>
      <c r="S431" s="1"/>
      <c r="T431" s="1"/>
      <c r="U431" s="1"/>
      <c r="V431" s="16"/>
      <c r="W431" s="1"/>
      <c r="X431" s="1"/>
    </row>
    <row r="432" spans="1:24">
      <c r="A432" s="1"/>
      <c r="B432" s="94"/>
      <c r="C432" s="1"/>
      <c r="D432" s="1"/>
      <c r="E432" s="1"/>
      <c r="F432" s="94"/>
      <c r="G432" s="94"/>
      <c r="H432" s="94"/>
      <c r="I432" s="94"/>
      <c r="J432" s="94"/>
      <c r="K432" s="94"/>
      <c r="L432" s="94"/>
      <c r="M432" s="26"/>
      <c r="N432" s="26"/>
      <c r="O432" s="1"/>
      <c r="P432" s="1"/>
      <c r="Q432" s="1"/>
      <c r="R432" s="1"/>
      <c r="S432" s="1"/>
      <c r="T432" s="1"/>
      <c r="U432" s="1"/>
      <c r="V432" s="16"/>
      <c r="W432" s="1"/>
      <c r="X432" s="1"/>
    </row>
    <row r="433" spans="1:24">
      <c r="A433" s="1"/>
      <c r="B433" s="93"/>
      <c r="C433" s="1"/>
      <c r="D433" s="1"/>
      <c r="E433" s="1"/>
      <c r="F433" s="93"/>
      <c r="G433" s="93"/>
      <c r="H433" s="93"/>
      <c r="I433" s="93"/>
      <c r="J433" s="93"/>
      <c r="K433" s="93"/>
      <c r="L433" s="93"/>
      <c r="M433" s="26"/>
      <c r="N433" s="26"/>
      <c r="O433" s="1"/>
      <c r="P433" s="1"/>
      <c r="Q433" s="1"/>
      <c r="R433" s="1"/>
      <c r="S433" s="1"/>
      <c r="T433" s="1"/>
      <c r="U433" s="1"/>
      <c r="V433" s="16"/>
      <c r="W433" s="1"/>
      <c r="X433" s="1"/>
    </row>
    <row r="434" spans="1:24">
      <c r="A434" s="1"/>
      <c r="B434" s="94"/>
      <c r="C434" s="1"/>
      <c r="D434" s="1"/>
      <c r="E434" s="1"/>
      <c r="F434" s="94"/>
      <c r="G434" s="94"/>
      <c r="H434" s="94"/>
      <c r="I434" s="94"/>
      <c r="J434" s="94"/>
      <c r="K434" s="94"/>
      <c r="L434" s="94"/>
      <c r="M434" s="26"/>
      <c r="N434" s="26"/>
      <c r="O434" s="1"/>
      <c r="P434" s="1"/>
      <c r="Q434" s="1"/>
      <c r="R434" s="1"/>
      <c r="S434" s="1"/>
      <c r="T434" s="1"/>
      <c r="U434" s="1"/>
      <c r="V434" s="16"/>
      <c r="W434" s="1"/>
      <c r="X434" s="1"/>
    </row>
    <row r="435" spans="1:24">
      <c r="A435" s="1"/>
      <c r="B435" s="94"/>
      <c r="C435" s="1"/>
      <c r="D435" s="1"/>
      <c r="E435" s="1"/>
      <c r="F435" s="94"/>
      <c r="G435" s="94"/>
      <c r="H435" s="94"/>
      <c r="I435" s="94"/>
      <c r="J435" s="94"/>
      <c r="K435" s="94"/>
      <c r="L435" s="94"/>
      <c r="M435" s="26"/>
      <c r="N435" s="26"/>
      <c r="O435" s="1"/>
      <c r="P435" s="1"/>
      <c r="Q435" s="1"/>
      <c r="R435" s="1"/>
      <c r="S435" s="1"/>
      <c r="T435" s="1"/>
      <c r="U435" s="1"/>
      <c r="V435" s="16"/>
      <c r="W435" s="1"/>
      <c r="X435" s="1"/>
    </row>
    <row r="436" spans="1:24">
      <c r="A436" s="1"/>
      <c r="B436" s="94"/>
      <c r="C436" s="1"/>
      <c r="D436" s="1"/>
      <c r="E436" s="1"/>
      <c r="F436" s="94"/>
      <c r="G436" s="94"/>
      <c r="H436" s="94"/>
      <c r="I436" s="94"/>
      <c r="J436" s="94"/>
      <c r="K436" s="94"/>
      <c r="L436" s="94"/>
      <c r="M436" s="26"/>
      <c r="N436" s="26"/>
      <c r="O436" s="1"/>
      <c r="P436" s="1"/>
      <c r="Q436" s="1"/>
      <c r="R436" s="1"/>
      <c r="S436" s="1"/>
      <c r="T436" s="1"/>
      <c r="U436" s="1"/>
      <c r="V436" s="16"/>
      <c r="W436" s="1"/>
      <c r="X436" s="1"/>
    </row>
    <row r="437" spans="1:24">
      <c r="A437" s="1"/>
      <c r="B437" s="94"/>
      <c r="C437" s="1"/>
      <c r="D437" s="1"/>
      <c r="E437" s="1"/>
      <c r="F437" s="94"/>
      <c r="G437" s="94"/>
      <c r="H437" s="94"/>
      <c r="I437" s="94"/>
      <c r="J437" s="94"/>
      <c r="K437" s="94"/>
      <c r="L437" s="94"/>
      <c r="M437" s="26"/>
      <c r="N437" s="26"/>
      <c r="O437" s="1"/>
      <c r="P437" s="1"/>
      <c r="Q437" s="1"/>
      <c r="R437" s="1"/>
      <c r="S437" s="1"/>
      <c r="T437" s="1"/>
      <c r="U437" s="1"/>
      <c r="V437" s="16"/>
      <c r="W437" s="1"/>
      <c r="X437" s="1"/>
    </row>
    <row r="438" spans="1:24">
      <c r="A438" s="1"/>
      <c r="B438" s="93"/>
      <c r="C438" s="1"/>
      <c r="D438" s="1"/>
      <c r="E438" s="1"/>
      <c r="F438" s="93"/>
      <c r="G438" s="93"/>
      <c r="H438" s="93"/>
      <c r="I438" s="93"/>
      <c r="J438" s="93"/>
      <c r="K438" s="93"/>
      <c r="L438" s="93"/>
      <c r="M438" s="26"/>
      <c r="N438" s="26"/>
      <c r="O438" s="1"/>
      <c r="P438" s="1"/>
      <c r="Q438" s="1"/>
      <c r="R438" s="1"/>
      <c r="S438" s="1"/>
      <c r="T438" s="1"/>
      <c r="U438" s="1"/>
      <c r="V438" s="16"/>
      <c r="W438" s="1"/>
      <c r="X438" s="1"/>
    </row>
    <row r="439" spans="1:24">
      <c r="A439" s="1"/>
      <c r="B439" s="94"/>
      <c r="C439" s="1"/>
      <c r="D439" s="1"/>
      <c r="E439" s="1"/>
      <c r="F439" s="94"/>
      <c r="G439" s="94"/>
      <c r="H439" s="94"/>
      <c r="I439" s="94"/>
      <c r="J439" s="94"/>
      <c r="K439" s="94"/>
      <c r="L439" s="94"/>
      <c r="M439" s="26"/>
      <c r="N439" s="26"/>
      <c r="O439" s="1"/>
      <c r="P439" s="1"/>
      <c r="Q439" s="1"/>
      <c r="R439" s="1"/>
      <c r="S439" s="1"/>
      <c r="T439" s="1"/>
      <c r="U439" s="1"/>
      <c r="V439" s="16"/>
      <c r="W439" s="1"/>
      <c r="X439" s="1"/>
    </row>
    <row r="440" spans="1:24">
      <c r="A440" s="1"/>
      <c r="B440" s="94"/>
      <c r="C440" s="1"/>
      <c r="D440" s="1"/>
      <c r="E440" s="1"/>
      <c r="F440" s="94"/>
      <c r="G440" s="94"/>
      <c r="H440" s="94"/>
      <c r="I440" s="94"/>
      <c r="J440" s="94"/>
      <c r="K440" s="94"/>
      <c r="L440" s="94"/>
      <c r="M440" s="26"/>
      <c r="N440" s="26"/>
      <c r="O440" s="1"/>
      <c r="P440" s="1"/>
      <c r="Q440" s="1"/>
      <c r="R440" s="1"/>
      <c r="S440" s="1"/>
      <c r="T440" s="1"/>
      <c r="U440" s="1"/>
      <c r="V440" s="16"/>
      <c r="W440" s="1"/>
      <c r="X440" s="1"/>
    </row>
    <row r="441" spans="1:24">
      <c r="A441" s="1"/>
      <c r="B441" s="94"/>
      <c r="C441" s="1"/>
      <c r="D441" s="1"/>
      <c r="E441" s="1"/>
      <c r="F441" s="94"/>
      <c r="G441" s="94"/>
      <c r="H441" s="94"/>
      <c r="I441" s="94"/>
      <c r="J441" s="94"/>
      <c r="K441" s="94"/>
      <c r="L441" s="94"/>
      <c r="M441" s="26"/>
      <c r="N441" s="26"/>
      <c r="O441" s="1"/>
      <c r="P441" s="1"/>
      <c r="Q441" s="1"/>
      <c r="R441" s="1"/>
      <c r="S441" s="1"/>
      <c r="T441" s="1"/>
      <c r="U441" s="1"/>
      <c r="V441" s="16"/>
      <c r="W441" s="1"/>
      <c r="X441" s="1"/>
    </row>
    <row r="442" spans="1:24">
      <c r="A442" s="1"/>
      <c r="B442" s="94"/>
      <c r="C442" s="1"/>
      <c r="D442" s="1"/>
      <c r="E442" s="1"/>
      <c r="F442" s="94"/>
      <c r="G442" s="94"/>
      <c r="H442" s="94"/>
      <c r="I442" s="94"/>
      <c r="J442" s="94"/>
      <c r="K442" s="94"/>
      <c r="L442" s="94"/>
      <c r="M442" s="26"/>
      <c r="N442" s="26"/>
      <c r="O442" s="1"/>
      <c r="P442" s="1"/>
      <c r="Q442" s="1"/>
      <c r="R442" s="1"/>
      <c r="S442" s="1"/>
      <c r="T442" s="1"/>
      <c r="U442" s="1"/>
      <c r="V442" s="16"/>
      <c r="W442" s="1"/>
      <c r="X442" s="1"/>
    </row>
    <row r="443" spans="1:24">
      <c r="A443" s="1"/>
      <c r="B443" s="93"/>
      <c r="C443" s="1"/>
      <c r="D443" s="1"/>
      <c r="E443" s="1"/>
      <c r="F443" s="93"/>
      <c r="G443" s="93"/>
      <c r="H443" s="93"/>
      <c r="I443" s="93"/>
      <c r="J443" s="93"/>
      <c r="K443" s="93"/>
      <c r="L443" s="93"/>
      <c r="M443" s="26"/>
      <c r="N443" s="26"/>
      <c r="O443" s="1"/>
      <c r="P443" s="1"/>
      <c r="Q443" s="1"/>
      <c r="R443" s="1"/>
      <c r="S443" s="1"/>
      <c r="T443" s="1"/>
      <c r="U443" s="1"/>
      <c r="V443" s="16"/>
      <c r="W443" s="1"/>
      <c r="X443" s="1"/>
    </row>
    <row r="444" spans="1:24">
      <c r="A444" s="1"/>
      <c r="B444" s="94"/>
      <c r="C444" s="1"/>
      <c r="D444" s="1"/>
      <c r="E444" s="1"/>
      <c r="F444" s="94"/>
      <c r="G444" s="94"/>
      <c r="H444" s="94"/>
      <c r="I444" s="94"/>
      <c r="J444" s="94"/>
      <c r="K444" s="94"/>
      <c r="L444" s="94"/>
      <c r="M444" s="26"/>
      <c r="N444" s="26"/>
      <c r="O444" s="1"/>
      <c r="P444" s="1"/>
      <c r="Q444" s="1"/>
      <c r="R444" s="1"/>
      <c r="S444" s="1"/>
      <c r="T444" s="1"/>
      <c r="U444" s="1"/>
      <c r="V444" s="16"/>
      <c r="W444" s="1"/>
      <c r="X444" s="1"/>
    </row>
    <row r="445" spans="1:24">
      <c r="A445" s="1"/>
      <c r="B445" s="94"/>
      <c r="C445" s="1"/>
      <c r="D445" s="1"/>
      <c r="E445" s="1"/>
      <c r="F445" s="94"/>
      <c r="G445" s="94"/>
      <c r="H445" s="94"/>
      <c r="I445" s="94"/>
      <c r="J445" s="94"/>
      <c r="K445" s="94"/>
      <c r="L445" s="94"/>
      <c r="M445" s="26"/>
      <c r="N445" s="26"/>
      <c r="O445" s="1"/>
      <c r="P445" s="1"/>
      <c r="Q445" s="1"/>
      <c r="R445" s="1"/>
      <c r="S445" s="1"/>
      <c r="T445" s="1"/>
      <c r="U445" s="1"/>
      <c r="V445" s="16"/>
      <c r="W445" s="1"/>
      <c r="X445" s="1"/>
    </row>
    <row r="446" spans="1:24">
      <c r="A446" s="1"/>
      <c r="B446" s="94"/>
      <c r="C446" s="1"/>
      <c r="D446" s="1"/>
      <c r="E446" s="1"/>
      <c r="F446" s="94"/>
      <c r="G446" s="94"/>
      <c r="H446" s="94"/>
      <c r="I446" s="94"/>
      <c r="J446" s="94"/>
      <c r="K446" s="94"/>
      <c r="L446" s="94"/>
      <c r="M446" s="26"/>
      <c r="N446" s="26"/>
      <c r="O446" s="1"/>
      <c r="P446" s="1"/>
      <c r="Q446" s="1"/>
      <c r="R446" s="1"/>
      <c r="S446" s="1"/>
      <c r="T446" s="1"/>
      <c r="U446" s="1"/>
      <c r="V446" s="16"/>
      <c r="W446" s="1"/>
      <c r="X446" s="1"/>
    </row>
    <row r="447" spans="1:24">
      <c r="A447" s="1"/>
      <c r="B447" s="94"/>
      <c r="C447" s="1"/>
      <c r="D447" s="1"/>
      <c r="E447" s="1"/>
      <c r="F447" s="94"/>
      <c r="G447" s="94"/>
      <c r="H447" s="94"/>
      <c r="I447" s="94"/>
      <c r="J447" s="94"/>
      <c r="K447" s="94"/>
      <c r="L447" s="94"/>
      <c r="M447" s="26"/>
      <c r="N447" s="26"/>
      <c r="O447" s="1"/>
      <c r="P447" s="1"/>
      <c r="Q447" s="1"/>
      <c r="R447" s="1"/>
      <c r="S447" s="1"/>
      <c r="T447" s="1"/>
      <c r="U447" s="1"/>
      <c r="V447" s="16"/>
      <c r="W447" s="1"/>
      <c r="X447" s="1"/>
    </row>
    <row r="448" spans="1:24">
      <c r="A448" s="1"/>
      <c r="B448" s="93"/>
      <c r="C448" s="1"/>
      <c r="D448" s="1"/>
      <c r="E448" s="1"/>
      <c r="F448" s="93"/>
      <c r="G448" s="93"/>
      <c r="H448" s="93"/>
      <c r="I448" s="93"/>
      <c r="J448" s="93"/>
      <c r="K448" s="93"/>
      <c r="L448" s="93"/>
      <c r="M448" s="26"/>
      <c r="N448" s="26"/>
      <c r="O448" s="1"/>
      <c r="P448" s="1"/>
      <c r="Q448" s="1"/>
      <c r="R448" s="1"/>
      <c r="S448" s="1"/>
      <c r="T448" s="1"/>
      <c r="U448" s="1"/>
      <c r="V448" s="16"/>
      <c r="W448" s="1"/>
      <c r="X448" s="1"/>
    </row>
    <row r="449" spans="1:24">
      <c r="A449" s="1"/>
      <c r="B449" s="94"/>
      <c r="C449" s="1"/>
      <c r="D449" s="1"/>
      <c r="E449" s="1"/>
      <c r="F449" s="94"/>
      <c r="G449" s="94"/>
      <c r="H449" s="94"/>
      <c r="I449" s="94"/>
      <c r="J449" s="94"/>
      <c r="K449" s="94"/>
      <c r="L449" s="94"/>
      <c r="M449" s="26"/>
      <c r="N449" s="26"/>
      <c r="O449" s="1"/>
      <c r="P449" s="1"/>
      <c r="Q449" s="1"/>
      <c r="R449" s="1"/>
      <c r="S449" s="1"/>
      <c r="T449" s="1"/>
      <c r="U449" s="1"/>
      <c r="V449" s="16"/>
      <c r="W449" s="1"/>
      <c r="X449" s="1"/>
    </row>
    <row r="450" spans="1:24">
      <c r="A450" s="1"/>
      <c r="B450" s="94"/>
      <c r="C450" s="1"/>
      <c r="D450" s="1"/>
      <c r="E450" s="1"/>
      <c r="F450" s="94"/>
      <c r="G450" s="94"/>
      <c r="H450" s="94"/>
      <c r="I450" s="94"/>
      <c r="J450" s="94"/>
      <c r="K450" s="94"/>
      <c r="L450" s="94"/>
      <c r="M450" s="26"/>
      <c r="N450" s="26"/>
      <c r="O450" s="1"/>
      <c r="P450" s="1"/>
      <c r="Q450" s="1"/>
      <c r="R450" s="1"/>
      <c r="S450" s="1"/>
      <c r="T450" s="1"/>
      <c r="U450" s="1"/>
      <c r="V450" s="16"/>
      <c r="W450" s="1"/>
      <c r="X450" s="1"/>
    </row>
    <row r="451" spans="1:24">
      <c r="A451" s="1"/>
      <c r="B451" s="94"/>
      <c r="C451" s="1"/>
      <c r="D451" s="1"/>
      <c r="E451" s="1"/>
      <c r="F451" s="94"/>
      <c r="G451" s="94"/>
      <c r="H451" s="94"/>
      <c r="I451" s="94"/>
      <c r="J451" s="94"/>
      <c r="K451" s="94"/>
      <c r="L451" s="94"/>
      <c r="M451" s="26"/>
      <c r="N451" s="26"/>
      <c r="O451" s="1"/>
      <c r="P451" s="1"/>
      <c r="Q451" s="1"/>
      <c r="R451" s="1"/>
      <c r="S451" s="1"/>
      <c r="T451" s="1"/>
      <c r="U451" s="1"/>
      <c r="V451" s="16"/>
      <c r="W451" s="1"/>
      <c r="X451" s="1"/>
    </row>
    <row r="452" spans="1:24">
      <c r="A452" s="1"/>
      <c r="B452" s="94"/>
      <c r="C452" s="1"/>
      <c r="D452" s="1"/>
      <c r="E452" s="1"/>
      <c r="F452" s="94"/>
      <c r="G452" s="94"/>
      <c r="H452" s="94"/>
      <c r="I452" s="94"/>
      <c r="J452" s="94"/>
      <c r="K452" s="94"/>
      <c r="L452" s="94"/>
      <c r="M452" s="26"/>
      <c r="N452" s="26"/>
      <c r="O452" s="1"/>
      <c r="P452" s="1"/>
      <c r="Q452" s="1"/>
      <c r="R452" s="1"/>
      <c r="S452" s="1"/>
      <c r="T452" s="1"/>
      <c r="U452" s="1"/>
      <c r="V452" s="16"/>
      <c r="W452" s="1"/>
      <c r="X452" s="1"/>
    </row>
    <row r="453" spans="1:24">
      <c r="A453" s="1"/>
      <c r="B453" s="93"/>
      <c r="C453" s="1"/>
      <c r="D453" s="1"/>
      <c r="E453" s="1"/>
      <c r="F453" s="93"/>
      <c r="G453" s="93"/>
      <c r="H453" s="93"/>
      <c r="I453" s="93"/>
      <c r="J453" s="93"/>
      <c r="K453" s="93"/>
      <c r="L453" s="93"/>
      <c r="M453" s="26"/>
      <c r="N453" s="26"/>
      <c r="O453" s="1"/>
      <c r="P453" s="1"/>
      <c r="Q453" s="1"/>
      <c r="R453" s="1"/>
      <c r="S453" s="1"/>
      <c r="T453" s="1"/>
      <c r="U453" s="1"/>
      <c r="V453" s="16"/>
      <c r="W453" s="1"/>
      <c r="X453" s="1"/>
    </row>
    <row r="454" spans="1:24">
      <c r="A454" s="1"/>
      <c r="B454" s="94"/>
      <c r="C454" s="1"/>
      <c r="D454" s="1"/>
      <c r="E454" s="1"/>
      <c r="F454" s="94"/>
      <c r="G454" s="94"/>
      <c r="H454" s="94"/>
      <c r="I454" s="94"/>
      <c r="J454" s="94"/>
      <c r="K454" s="94"/>
      <c r="L454" s="94"/>
      <c r="M454" s="26"/>
      <c r="N454" s="26"/>
      <c r="O454" s="1"/>
      <c r="P454" s="1"/>
      <c r="Q454" s="1"/>
      <c r="R454" s="1"/>
      <c r="S454" s="1"/>
      <c r="T454" s="1"/>
      <c r="U454" s="1"/>
      <c r="V454" s="16"/>
      <c r="W454" s="1"/>
      <c r="X454" s="1"/>
    </row>
    <row r="455" spans="1:24">
      <c r="A455" s="1"/>
      <c r="B455" s="94"/>
      <c r="C455" s="1"/>
      <c r="D455" s="1"/>
      <c r="E455" s="1"/>
      <c r="F455" s="94"/>
      <c r="G455" s="94"/>
      <c r="H455" s="94"/>
      <c r="I455" s="94"/>
      <c r="J455" s="94"/>
      <c r="K455" s="94"/>
      <c r="L455" s="94"/>
      <c r="M455" s="26"/>
      <c r="N455" s="26"/>
      <c r="O455" s="1"/>
      <c r="P455" s="1"/>
      <c r="Q455" s="1"/>
      <c r="R455" s="1"/>
      <c r="S455" s="1"/>
      <c r="T455" s="1"/>
      <c r="U455" s="1"/>
      <c r="V455" s="16"/>
      <c r="W455" s="1"/>
      <c r="X455" s="1"/>
    </row>
    <row r="456" spans="1:24">
      <c r="A456" s="1"/>
      <c r="B456" s="94"/>
      <c r="C456" s="1"/>
      <c r="D456" s="1"/>
      <c r="E456" s="1"/>
      <c r="F456" s="94"/>
      <c r="G456" s="94"/>
      <c r="H456" s="94"/>
      <c r="I456" s="94"/>
      <c r="J456" s="94"/>
      <c r="K456" s="94"/>
      <c r="L456" s="94"/>
      <c r="M456" s="26"/>
      <c r="N456" s="26"/>
      <c r="O456" s="1"/>
      <c r="P456" s="1"/>
      <c r="Q456" s="1"/>
      <c r="R456" s="1"/>
      <c r="S456" s="1"/>
      <c r="T456" s="1"/>
      <c r="U456" s="1"/>
      <c r="V456" s="16"/>
      <c r="W456" s="1"/>
      <c r="X456" s="1"/>
    </row>
    <row r="457" spans="1:24">
      <c r="A457" s="1"/>
      <c r="B457" s="94"/>
      <c r="C457" s="1"/>
      <c r="D457" s="1"/>
      <c r="E457" s="1"/>
      <c r="F457" s="94"/>
      <c r="G457" s="94"/>
      <c r="H457" s="94"/>
      <c r="I457" s="94"/>
      <c r="J457" s="94"/>
      <c r="K457" s="94"/>
      <c r="L457" s="94"/>
      <c r="M457" s="26"/>
      <c r="N457" s="26"/>
      <c r="O457" s="1"/>
      <c r="P457" s="1"/>
      <c r="Q457" s="1"/>
      <c r="R457" s="1"/>
      <c r="S457" s="1"/>
      <c r="T457" s="1"/>
      <c r="U457" s="1"/>
      <c r="V457" s="16"/>
      <c r="W457" s="1"/>
      <c r="X457" s="1"/>
    </row>
    <row r="458" spans="1:24">
      <c r="A458" s="1"/>
      <c r="B458" s="93"/>
      <c r="C458" s="1"/>
      <c r="D458" s="1"/>
      <c r="E458" s="1"/>
      <c r="F458" s="93"/>
      <c r="G458" s="93"/>
      <c r="H458" s="93"/>
      <c r="I458" s="93"/>
      <c r="J458" s="93"/>
      <c r="K458" s="93"/>
      <c r="L458" s="93"/>
      <c r="M458" s="26"/>
      <c r="N458" s="26"/>
      <c r="O458" s="1"/>
      <c r="P458" s="1"/>
      <c r="Q458" s="1"/>
      <c r="R458" s="1"/>
      <c r="S458" s="1"/>
      <c r="T458" s="1"/>
      <c r="U458" s="1"/>
      <c r="V458" s="16"/>
      <c r="W458" s="1"/>
      <c r="X458" s="1"/>
    </row>
    <row r="459" spans="1:24">
      <c r="A459" s="1"/>
      <c r="B459" s="94"/>
      <c r="C459" s="1"/>
      <c r="D459" s="1"/>
      <c r="E459" s="1"/>
      <c r="F459" s="94"/>
      <c r="G459" s="94"/>
      <c r="H459" s="94"/>
      <c r="I459" s="94"/>
      <c r="J459" s="94"/>
      <c r="K459" s="94"/>
      <c r="L459" s="94"/>
      <c r="M459" s="26"/>
      <c r="N459" s="26"/>
      <c r="O459" s="1"/>
      <c r="P459" s="1"/>
      <c r="Q459" s="1"/>
      <c r="R459" s="1"/>
      <c r="S459" s="1"/>
      <c r="T459" s="1"/>
      <c r="U459" s="1"/>
      <c r="V459" s="16"/>
      <c r="W459" s="1"/>
      <c r="X459" s="1"/>
    </row>
    <row r="460" spans="1:24">
      <c r="A460" s="1"/>
      <c r="B460" s="94"/>
      <c r="C460" s="1"/>
      <c r="D460" s="1"/>
      <c r="E460" s="1"/>
      <c r="F460" s="94"/>
      <c r="G460" s="94"/>
      <c r="H460" s="94"/>
      <c r="I460" s="94"/>
      <c r="J460" s="94"/>
      <c r="K460" s="94"/>
      <c r="L460" s="94"/>
      <c r="M460" s="26"/>
      <c r="N460" s="26"/>
      <c r="O460" s="1"/>
      <c r="P460" s="1"/>
      <c r="Q460" s="1"/>
      <c r="R460" s="1"/>
      <c r="S460" s="1"/>
      <c r="T460" s="1"/>
      <c r="U460" s="1"/>
      <c r="V460" s="16"/>
      <c r="W460" s="1"/>
      <c r="X460" s="1"/>
    </row>
    <row r="461" spans="1:24">
      <c r="A461" s="1"/>
      <c r="B461" s="94"/>
      <c r="C461" s="1"/>
      <c r="D461" s="1"/>
      <c r="E461" s="1"/>
      <c r="F461" s="94"/>
      <c r="G461" s="94"/>
      <c r="H461" s="94"/>
      <c r="I461" s="94"/>
      <c r="J461" s="94"/>
      <c r="K461" s="94"/>
      <c r="L461" s="94"/>
      <c r="M461" s="26"/>
      <c r="N461" s="26"/>
      <c r="O461" s="1"/>
      <c r="P461" s="1"/>
      <c r="Q461" s="1"/>
      <c r="R461" s="1"/>
      <c r="S461" s="1"/>
      <c r="T461" s="1"/>
      <c r="U461" s="1"/>
      <c r="V461" s="16"/>
      <c r="W461" s="1"/>
      <c r="X461" s="1"/>
    </row>
    <row r="462" spans="1:24">
      <c r="A462" s="1"/>
      <c r="B462" s="94"/>
      <c r="C462" s="1"/>
      <c r="D462" s="1"/>
      <c r="E462" s="1"/>
      <c r="F462" s="94"/>
      <c r="G462" s="94"/>
      <c r="H462" s="94"/>
      <c r="I462" s="94"/>
      <c r="J462" s="94"/>
      <c r="K462" s="94"/>
      <c r="L462" s="94"/>
      <c r="M462" s="26"/>
      <c r="N462" s="26"/>
      <c r="O462" s="1"/>
      <c r="P462" s="1"/>
      <c r="Q462" s="1"/>
      <c r="R462" s="1"/>
      <c r="S462" s="1"/>
      <c r="T462" s="1"/>
      <c r="U462" s="1"/>
      <c r="V462" s="16"/>
      <c r="W462" s="1"/>
      <c r="X462" s="1"/>
    </row>
    <row r="463" spans="1:24">
      <c r="A463" s="1"/>
      <c r="B463" s="93"/>
      <c r="C463" s="1"/>
      <c r="D463" s="1"/>
      <c r="E463" s="1"/>
      <c r="F463" s="93"/>
      <c r="G463" s="93"/>
      <c r="H463" s="93"/>
      <c r="I463" s="93"/>
      <c r="J463" s="93"/>
      <c r="K463" s="93"/>
      <c r="L463" s="93"/>
      <c r="M463" s="26"/>
      <c r="N463" s="26"/>
      <c r="O463" s="1"/>
      <c r="P463" s="1"/>
      <c r="Q463" s="1"/>
      <c r="R463" s="1"/>
      <c r="S463" s="1"/>
      <c r="T463" s="1"/>
      <c r="U463" s="1"/>
      <c r="V463" s="16"/>
      <c r="W463" s="1"/>
      <c r="X463" s="1"/>
    </row>
    <row r="464" spans="1:24">
      <c r="A464" s="1"/>
      <c r="B464" s="94"/>
      <c r="C464" s="1"/>
      <c r="D464" s="1"/>
      <c r="E464" s="1"/>
      <c r="F464" s="94"/>
      <c r="G464" s="94"/>
      <c r="H464" s="94"/>
      <c r="I464" s="94"/>
      <c r="J464" s="94"/>
      <c r="K464" s="94"/>
      <c r="L464" s="94"/>
      <c r="M464" s="26"/>
      <c r="N464" s="26"/>
      <c r="O464" s="1"/>
      <c r="P464" s="1"/>
      <c r="Q464" s="1"/>
      <c r="R464" s="1"/>
      <c r="S464" s="1"/>
      <c r="T464" s="1"/>
      <c r="U464" s="1"/>
      <c r="V464" s="16"/>
      <c r="W464" s="1"/>
      <c r="X464" s="1"/>
    </row>
    <row r="465" spans="1:24">
      <c r="A465" s="1"/>
      <c r="B465" s="94"/>
      <c r="C465" s="1"/>
      <c r="D465" s="1"/>
      <c r="E465" s="1"/>
      <c r="F465" s="94"/>
      <c r="G465" s="94"/>
      <c r="H465" s="94"/>
      <c r="I465" s="94"/>
      <c r="J465" s="94"/>
      <c r="K465" s="94"/>
      <c r="L465" s="94"/>
      <c r="M465" s="26"/>
      <c r="N465" s="26"/>
      <c r="O465" s="1"/>
      <c r="P465" s="1"/>
      <c r="Q465" s="1"/>
      <c r="R465" s="1"/>
      <c r="S465" s="1"/>
      <c r="T465" s="1"/>
      <c r="U465" s="1"/>
      <c r="V465" s="16"/>
      <c r="W465" s="1"/>
      <c r="X465" s="1"/>
    </row>
    <row r="466" spans="1:24">
      <c r="A466" s="1"/>
      <c r="B466" s="94"/>
      <c r="C466" s="1"/>
      <c r="D466" s="1"/>
      <c r="E466" s="1"/>
      <c r="F466" s="94"/>
      <c r="G466" s="94"/>
      <c r="H466" s="94"/>
      <c r="I466" s="94"/>
      <c r="J466" s="94"/>
      <c r="K466" s="94"/>
      <c r="L466" s="94"/>
      <c r="M466" s="26"/>
      <c r="N466" s="26"/>
      <c r="O466" s="1"/>
      <c r="P466" s="1"/>
      <c r="Q466" s="1"/>
      <c r="R466" s="1"/>
      <c r="S466" s="1"/>
      <c r="T466" s="1"/>
      <c r="U466" s="1"/>
      <c r="V466" s="16"/>
      <c r="W466" s="1"/>
      <c r="X466" s="1"/>
    </row>
    <row r="467" spans="1:24">
      <c r="A467" s="1"/>
      <c r="B467" s="94"/>
      <c r="C467" s="1"/>
      <c r="D467" s="1"/>
      <c r="E467" s="1"/>
      <c r="F467" s="94"/>
      <c r="G467" s="94"/>
      <c r="H467" s="94"/>
      <c r="I467" s="94"/>
      <c r="J467" s="94"/>
      <c r="K467" s="94"/>
      <c r="L467" s="94"/>
      <c r="M467" s="26"/>
      <c r="N467" s="26"/>
      <c r="O467" s="1"/>
      <c r="P467" s="1"/>
      <c r="Q467" s="1"/>
      <c r="R467" s="1"/>
      <c r="S467" s="1"/>
      <c r="T467" s="1"/>
      <c r="U467" s="1"/>
      <c r="V467" s="16"/>
      <c r="W467" s="1"/>
      <c r="X467" s="1"/>
    </row>
    <row r="468" spans="1:24">
      <c r="A468" s="1"/>
      <c r="B468" s="93"/>
      <c r="C468" s="1"/>
      <c r="D468" s="1"/>
      <c r="E468" s="1"/>
      <c r="F468" s="93"/>
      <c r="G468" s="93"/>
      <c r="H468" s="93"/>
      <c r="I468" s="93"/>
      <c r="J468" s="93"/>
      <c r="K468" s="93"/>
      <c r="L468" s="93"/>
      <c r="M468" s="26"/>
      <c r="N468" s="26"/>
      <c r="O468" s="1"/>
      <c r="P468" s="1"/>
      <c r="Q468" s="1"/>
      <c r="R468" s="1"/>
      <c r="S468" s="1"/>
      <c r="T468" s="1"/>
      <c r="U468" s="1"/>
      <c r="V468" s="16"/>
      <c r="W468" s="1"/>
      <c r="X468" s="1"/>
    </row>
    <row r="469" spans="1:24">
      <c r="A469" s="1"/>
      <c r="B469" s="94"/>
      <c r="C469" s="1"/>
      <c r="D469" s="1"/>
      <c r="E469" s="1"/>
      <c r="F469" s="94"/>
      <c r="G469" s="94"/>
      <c r="H469" s="94"/>
      <c r="I469" s="94"/>
      <c r="J469" s="94"/>
      <c r="K469" s="94"/>
      <c r="L469" s="94"/>
      <c r="M469" s="26"/>
      <c r="N469" s="26"/>
      <c r="O469" s="1"/>
      <c r="P469" s="1"/>
      <c r="Q469" s="1"/>
      <c r="R469" s="1"/>
      <c r="S469" s="1"/>
      <c r="T469" s="1"/>
      <c r="U469" s="1"/>
      <c r="V469" s="16"/>
      <c r="W469" s="1"/>
      <c r="X469" s="1"/>
    </row>
    <row r="470" spans="1:24">
      <c r="A470" s="1"/>
      <c r="B470" s="94"/>
      <c r="C470" s="1"/>
      <c r="D470" s="1"/>
      <c r="E470" s="1"/>
      <c r="F470" s="94"/>
      <c r="G470" s="94"/>
      <c r="H470" s="94"/>
      <c r="I470" s="94"/>
      <c r="J470" s="94"/>
      <c r="K470" s="94"/>
      <c r="L470" s="94"/>
      <c r="M470" s="26"/>
      <c r="N470" s="26"/>
      <c r="O470" s="1"/>
      <c r="P470" s="1"/>
      <c r="Q470" s="1"/>
      <c r="R470" s="1"/>
      <c r="S470" s="1"/>
      <c r="T470" s="1"/>
      <c r="U470" s="1"/>
      <c r="V470" s="16"/>
      <c r="W470" s="1"/>
      <c r="X470" s="1"/>
    </row>
    <row r="471" spans="1:24">
      <c r="A471" s="1"/>
      <c r="B471" s="94"/>
      <c r="C471" s="1"/>
      <c r="D471" s="1"/>
      <c r="E471" s="1"/>
      <c r="F471" s="94"/>
      <c r="G471" s="94"/>
      <c r="H471" s="94"/>
      <c r="I471" s="94"/>
      <c r="J471" s="94"/>
      <c r="K471" s="94"/>
      <c r="L471" s="94"/>
      <c r="M471" s="26"/>
      <c r="N471" s="26"/>
      <c r="O471" s="1"/>
      <c r="P471" s="1"/>
      <c r="Q471" s="1"/>
      <c r="R471" s="1"/>
      <c r="S471" s="1"/>
      <c r="T471" s="1"/>
      <c r="U471" s="1"/>
      <c r="V471" s="16"/>
      <c r="W471" s="1"/>
      <c r="X471" s="1"/>
    </row>
    <row r="472" spans="1:24">
      <c r="A472" s="1"/>
      <c r="B472" s="94"/>
      <c r="C472" s="1"/>
      <c r="D472" s="1"/>
      <c r="E472" s="1"/>
      <c r="F472" s="94"/>
      <c r="G472" s="94"/>
      <c r="H472" s="94"/>
      <c r="I472" s="94"/>
      <c r="J472" s="94"/>
      <c r="K472" s="94"/>
      <c r="L472" s="94"/>
      <c r="M472" s="26"/>
      <c r="N472" s="26"/>
      <c r="O472" s="1"/>
      <c r="P472" s="1"/>
      <c r="Q472" s="1"/>
      <c r="R472" s="1"/>
      <c r="S472" s="1"/>
      <c r="T472" s="1"/>
      <c r="U472" s="1"/>
      <c r="V472" s="16"/>
      <c r="W472" s="1"/>
      <c r="X472" s="1"/>
    </row>
    <row r="473" spans="1:24">
      <c r="A473" s="1"/>
      <c r="B473" s="93"/>
      <c r="C473" s="1"/>
      <c r="D473" s="1"/>
      <c r="E473" s="1"/>
      <c r="F473" s="93"/>
      <c r="G473" s="93"/>
      <c r="H473" s="93"/>
      <c r="I473" s="93"/>
      <c r="J473" s="93"/>
      <c r="K473" s="93"/>
      <c r="L473" s="93"/>
      <c r="M473" s="26"/>
      <c r="N473" s="26"/>
      <c r="O473" s="1"/>
      <c r="P473" s="1"/>
      <c r="Q473" s="1"/>
      <c r="R473" s="1"/>
      <c r="S473" s="1"/>
      <c r="T473" s="1"/>
      <c r="U473" s="1"/>
      <c r="V473" s="16"/>
      <c r="W473" s="1"/>
      <c r="X473" s="1"/>
    </row>
    <row r="474" spans="1:24">
      <c r="A474" s="1"/>
      <c r="B474" s="94"/>
      <c r="C474" s="1"/>
      <c r="D474" s="1"/>
      <c r="E474" s="1"/>
      <c r="F474" s="94"/>
      <c r="G474" s="94"/>
      <c r="H474" s="94"/>
      <c r="I474" s="94"/>
      <c r="J474" s="94"/>
      <c r="K474" s="94"/>
      <c r="L474" s="94"/>
      <c r="M474" s="26"/>
      <c r="N474" s="26"/>
      <c r="O474" s="1"/>
      <c r="P474" s="1"/>
      <c r="Q474" s="1"/>
      <c r="R474" s="1"/>
      <c r="S474" s="1"/>
      <c r="T474" s="1"/>
      <c r="U474" s="1"/>
      <c r="V474" s="16"/>
      <c r="W474" s="1"/>
      <c r="X474" s="1"/>
    </row>
    <row r="475" spans="1:24">
      <c r="A475" s="1"/>
      <c r="B475" s="94"/>
      <c r="C475" s="1"/>
      <c r="D475" s="1"/>
      <c r="E475" s="1"/>
      <c r="F475" s="94"/>
      <c r="G475" s="94"/>
      <c r="H475" s="94"/>
      <c r="I475" s="94"/>
      <c r="J475" s="94"/>
      <c r="K475" s="94"/>
      <c r="L475" s="94"/>
      <c r="M475" s="26"/>
      <c r="N475" s="26"/>
      <c r="O475" s="1"/>
      <c r="P475" s="1"/>
      <c r="Q475" s="1"/>
      <c r="R475" s="1"/>
      <c r="S475" s="1"/>
      <c r="T475" s="1"/>
      <c r="U475" s="1"/>
      <c r="V475" s="16"/>
      <c r="W475" s="1"/>
      <c r="X475" s="1"/>
    </row>
    <row r="476" spans="1:24">
      <c r="A476" s="1"/>
      <c r="B476" s="94"/>
      <c r="C476" s="1"/>
      <c r="D476" s="1"/>
      <c r="E476" s="1"/>
      <c r="F476" s="94"/>
      <c r="G476" s="94"/>
      <c r="H476" s="94"/>
      <c r="I476" s="94"/>
      <c r="J476" s="94"/>
      <c r="K476" s="94"/>
      <c r="L476" s="94"/>
      <c r="M476" s="26"/>
      <c r="N476" s="26"/>
      <c r="O476" s="1"/>
      <c r="P476" s="1"/>
      <c r="Q476" s="1"/>
      <c r="R476" s="1"/>
      <c r="S476" s="1"/>
      <c r="T476" s="1"/>
      <c r="U476" s="1"/>
      <c r="V476" s="16"/>
      <c r="W476" s="1"/>
      <c r="X476" s="1"/>
    </row>
    <row r="477" spans="1:24">
      <c r="A477" s="1"/>
      <c r="B477" s="94"/>
      <c r="C477" s="1"/>
      <c r="D477" s="1"/>
      <c r="E477" s="1"/>
      <c r="F477" s="94"/>
      <c r="G477" s="94"/>
      <c r="H477" s="94"/>
      <c r="I477" s="94"/>
      <c r="J477" s="94"/>
      <c r="K477" s="94"/>
      <c r="L477" s="94"/>
      <c r="M477" s="26"/>
      <c r="N477" s="26"/>
      <c r="O477" s="1"/>
      <c r="P477" s="1"/>
      <c r="Q477" s="1"/>
      <c r="R477" s="1"/>
      <c r="S477" s="1"/>
      <c r="T477" s="1"/>
      <c r="U477" s="1"/>
      <c r="V477" s="16"/>
      <c r="W477" s="1"/>
      <c r="X477" s="1"/>
    </row>
    <row r="478" spans="1:24">
      <c r="A478" s="1"/>
      <c r="B478" s="93"/>
      <c r="C478" s="1"/>
      <c r="D478" s="1"/>
      <c r="E478" s="1"/>
      <c r="F478" s="93"/>
      <c r="G478" s="93"/>
      <c r="H478" s="93"/>
      <c r="I478" s="93"/>
      <c r="J478" s="93"/>
      <c r="K478" s="93"/>
      <c r="L478" s="93"/>
      <c r="M478" s="26"/>
      <c r="N478" s="26"/>
      <c r="O478" s="1"/>
      <c r="P478" s="1"/>
      <c r="Q478" s="1"/>
      <c r="R478" s="1"/>
      <c r="S478" s="1"/>
      <c r="T478" s="1"/>
      <c r="U478" s="1"/>
      <c r="V478" s="16"/>
      <c r="W478" s="1"/>
      <c r="X478" s="1"/>
    </row>
    <row r="479" spans="1:24">
      <c r="A479" s="1"/>
      <c r="B479" s="94"/>
      <c r="C479" s="1"/>
      <c r="D479" s="1"/>
      <c r="E479" s="1"/>
      <c r="F479" s="94"/>
      <c r="G479" s="94"/>
      <c r="H479" s="94"/>
      <c r="I479" s="94"/>
      <c r="J479" s="94"/>
      <c r="K479" s="94"/>
      <c r="L479" s="94"/>
      <c r="M479" s="26"/>
      <c r="N479" s="26"/>
      <c r="O479" s="1"/>
      <c r="P479" s="1"/>
      <c r="Q479" s="1"/>
      <c r="R479" s="1"/>
      <c r="S479" s="1"/>
      <c r="T479" s="1"/>
      <c r="U479" s="1"/>
      <c r="V479" s="16"/>
      <c r="W479" s="1"/>
      <c r="X479" s="1"/>
    </row>
    <row r="480" spans="1:24">
      <c r="A480" s="1"/>
      <c r="B480" s="94"/>
      <c r="C480" s="1"/>
      <c r="D480" s="1"/>
      <c r="E480" s="1"/>
      <c r="F480" s="94"/>
      <c r="G480" s="94"/>
      <c r="H480" s="94"/>
      <c r="I480" s="94"/>
      <c r="J480" s="94"/>
      <c r="K480" s="94"/>
      <c r="L480" s="94"/>
      <c r="M480" s="26"/>
      <c r="N480" s="26"/>
      <c r="O480" s="1"/>
      <c r="P480" s="1"/>
      <c r="Q480" s="1"/>
      <c r="R480" s="1"/>
      <c r="S480" s="1"/>
      <c r="T480" s="1"/>
      <c r="U480" s="1"/>
      <c r="V480" s="16"/>
      <c r="W480" s="1"/>
      <c r="X480" s="1"/>
    </row>
    <row r="481" spans="1:24">
      <c r="A481" s="1"/>
      <c r="B481" s="94"/>
      <c r="C481" s="1"/>
      <c r="D481" s="1"/>
      <c r="E481" s="1"/>
      <c r="F481" s="94"/>
      <c r="G481" s="94"/>
      <c r="H481" s="94"/>
      <c r="I481" s="94"/>
      <c r="J481" s="94"/>
      <c r="K481" s="94"/>
      <c r="L481" s="94"/>
      <c r="M481" s="26"/>
      <c r="N481" s="26"/>
      <c r="O481" s="1"/>
      <c r="P481" s="1"/>
      <c r="Q481" s="1"/>
      <c r="R481" s="1"/>
      <c r="S481" s="1"/>
      <c r="T481" s="1"/>
      <c r="U481" s="1"/>
      <c r="V481" s="16"/>
      <c r="W481" s="1"/>
      <c r="X481" s="1"/>
    </row>
    <row r="482" spans="1:24">
      <c r="A482" s="1"/>
      <c r="B482" s="94"/>
      <c r="C482" s="1"/>
      <c r="D482" s="1"/>
      <c r="E482" s="1"/>
      <c r="F482" s="94"/>
      <c r="G482" s="94"/>
      <c r="H482" s="94"/>
      <c r="I482" s="94"/>
      <c r="J482" s="94"/>
      <c r="K482" s="94"/>
      <c r="L482" s="94"/>
      <c r="M482" s="26"/>
      <c r="N482" s="26"/>
      <c r="O482" s="1"/>
      <c r="P482" s="1"/>
      <c r="Q482" s="1"/>
      <c r="R482" s="1"/>
      <c r="S482" s="1"/>
      <c r="T482" s="1"/>
      <c r="U482" s="1"/>
      <c r="V482" s="16"/>
      <c r="W482" s="1"/>
      <c r="X482" s="1"/>
    </row>
    <row r="483" spans="1:24">
      <c r="A483" s="1"/>
      <c r="B483" s="93"/>
      <c r="C483" s="1"/>
      <c r="D483" s="1"/>
      <c r="E483" s="1"/>
      <c r="F483" s="93"/>
      <c r="G483" s="93"/>
      <c r="H483" s="93"/>
      <c r="I483" s="93"/>
      <c r="J483" s="93"/>
      <c r="K483" s="93"/>
      <c r="L483" s="93"/>
      <c r="M483" s="26"/>
      <c r="N483" s="26"/>
      <c r="O483" s="1"/>
      <c r="P483" s="1"/>
      <c r="Q483" s="1"/>
      <c r="R483" s="1"/>
      <c r="S483" s="1"/>
      <c r="T483" s="1"/>
      <c r="U483" s="1"/>
      <c r="V483" s="16"/>
      <c r="W483" s="1"/>
      <c r="X483" s="1"/>
    </row>
    <row r="484" spans="1:24">
      <c r="A484" s="1"/>
      <c r="B484" s="94"/>
      <c r="C484" s="1"/>
      <c r="D484" s="1"/>
      <c r="E484" s="1"/>
      <c r="F484" s="94"/>
      <c r="G484" s="94"/>
      <c r="H484" s="94"/>
      <c r="I484" s="94"/>
      <c r="J484" s="94"/>
      <c r="K484" s="94"/>
      <c r="L484" s="94"/>
      <c r="M484" s="26"/>
      <c r="N484" s="26"/>
      <c r="O484" s="1"/>
      <c r="P484" s="1"/>
      <c r="Q484" s="1"/>
      <c r="R484" s="1"/>
      <c r="S484" s="1"/>
      <c r="T484" s="1"/>
      <c r="U484" s="1"/>
      <c r="V484" s="16"/>
      <c r="W484" s="1"/>
      <c r="X484" s="1"/>
    </row>
    <row r="485" spans="1:24">
      <c r="A485" s="1"/>
      <c r="B485" s="94"/>
      <c r="C485" s="1"/>
      <c r="D485" s="1"/>
      <c r="E485" s="1"/>
      <c r="F485" s="94"/>
      <c r="G485" s="94"/>
      <c r="H485" s="94"/>
      <c r="I485" s="94"/>
      <c r="J485" s="94"/>
      <c r="K485" s="94"/>
      <c r="L485" s="94"/>
      <c r="M485" s="26"/>
      <c r="N485" s="26"/>
      <c r="O485" s="1"/>
      <c r="P485" s="1"/>
      <c r="Q485" s="1"/>
      <c r="R485" s="1"/>
      <c r="S485" s="1"/>
      <c r="T485" s="1"/>
      <c r="U485" s="1"/>
      <c r="V485" s="16"/>
      <c r="W485" s="1"/>
      <c r="X485" s="1"/>
    </row>
    <row r="486" spans="1:24">
      <c r="A486" s="1"/>
      <c r="B486" s="94"/>
      <c r="C486" s="1"/>
      <c r="D486" s="1"/>
      <c r="E486" s="1"/>
      <c r="F486" s="94"/>
      <c r="G486" s="94"/>
      <c r="H486" s="94"/>
      <c r="I486" s="94"/>
      <c r="J486" s="94"/>
      <c r="K486" s="94"/>
      <c r="L486" s="94"/>
      <c r="M486" s="26"/>
      <c r="N486" s="26"/>
      <c r="O486" s="1"/>
      <c r="P486" s="1"/>
      <c r="Q486" s="1"/>
      <c r="R486" s="1"/>
      <c r="S486" s="1"/>
      <c r="T486" s="1"/>
      <c r="U486" s="1"/>
      <c r="V486" s="16"/>
      <c r="W486" s="1"/>
      <c r="X486" s="1"/>
    </row>
    <row r="487" spans="1:24">
      <c r="A487" s="1"/>
      <c r="B487" s="94"/>
      <c r="C487" s="1"/>
      <c r="D487" s="1"/>
      <c r="E487" s="1"/>
      <c r="F487" s="94"/>
      <c r="G487" s="94"/>
      <c r="H487" s="94"/>
      <c r="I487" s="94"/>
      <c r="J487" s="94"/>
      <c r="K487" s="94"/>
      <c r="L487" s="94"/>
      <c r="M487" s="26"/>
      <c r="N487" s="26"/>
      <c r="O487" s="1"/>
      <c r="P487" s="1"/>
      <c r="Q487" s="1"/>
      <c r="R487" s="1"/>
      <c r="S487" s="1"/>
      <c r="T487" s="1"/>
      <c r="U487" s="1"/>
      <c r="V487" s="16"/>
      <c r="W487" s="1"/>
      <c r="X487" s="1"/>
    </row>
    <row r="488" spans="1:24">
      <c r="A488" s="1"/>
      <c r="B488" s="93"/>
      <c r="C488" s="1"/>
      <c r="D488" s="1"/>
      <c r="E488" s="1"/>
      <c r="F488" s="93"/>
      <c r="G488" s="93"/>
      <c r="H488" s="93"/>
      <c r="I488" s="93"/>
      <c r="J488" s="93"/>
      <c r="K488" s="93"/>
      <c r="L488" s="93"/>
      <c r="M488" s="26"/>
      <c r="N488" s="26"/>
      <c r="O488" s="1"/>
      <c r="P488" s="1"/>
      <c r="Q488" s="1"/>
      <c r="R488" s="1"/>
      <c r="S488" s="1"/>
      <c r="T488" s="1"/>
      <c r="U488" s="1"/>
      <c r="V488" s="16"/>
      <c r="W488" s="1"/>
      <c r="X488" s="1"/>
    </row>
    <row r="489" spans="1:24">
      <c r="A489" s="1"/>
      <c r="B489" s="94"/>
      <c r="C489" s="1"/>
      <c r="D489" s="1"/>
      <c r="E489" s="1"/>
      <c r="F489" s="94"/>
      <c r="G489" s="94"/>
      <c r="H489" s="94"/>
      <c r="I489" s="94"/>
      <c r="J489" s="94"/>
      <c r="K489" s="94"/>
      <c r="L489" s="94"/>
      <c r="M489" s="26"/>
      <c r="N489" s="26"/>
      <c r="O489" s="1"/>
      <c r="P489" s="1"/>
      <c r="Q489" s="1"/>
      <c r="R489" s="1"/>
      <c r="S489" s="1"/>
      <c r="T489" s="1"/>
      <c r="U489" s="1"/>
      <c r="V489" s="16"/>
      <c r="W489" s="1"/>
      <c r="X489" s="1"/>
    </row>
    <row r="490" spans="1:24">
      <c r="A490" s="1"/>
      <c r="B490" s="94"/>
      <c r="C490" s="1"/>
      <c r="D490" s="1"/>
      <c r="E490" s="1"/>
      <c r="F490" s="94"/>
      <c r="G490" s="94"/>
      <c r="H490" s="94"/>
      <c r="I490" s="94"/>
      <c r="J490" s="94"/>
      <c r="K490" s="94"/>
      <c r="L490" s="94"/>
      <c r="M490" s="26"/>
      <c r="N490" s="26"/>
      <c r="O490" s="1"/>
      <c r="P490" s="1"/>
      <c r="Q490" s="1"/>
      <c r="R490" s="1"/>
      <c r="S490" s="1"/>
      <c r="T490" s="1"/>
      <c r="U490" s="1"/>
      <c r="V490" s="16"/>
      <c r="W490" s="1"/>
      <c r="X490" s="1"/>
    </row>
    <row r="491" spans="1:24">
      <c r="A491" s="1"/>
      <c r="B491" s="94"/>
      <c r="C491" s="1"/>
      <c r="D491" s="1"/>
      <c r="E491" s="1"/>
      <c r="F491" s="94"/>
      <c r="G491" s="94"/>
      <c r="H491" s="94"/>
      <c r="I491" s="94"/>
      <c r="J491" s="94"/>
      <c r="K491" s="94"/>
      <c r="L491" s="94"/>
      <c r="M491" s="26"/>
      <c r="N491" s="26"/>
      <c r="O491" s="1"/>
      <c r="P491" s="1"/>
      <c r="Q491" s="1"/>
      <c r="R491" s="1"/>
      <c r="S491" s="1"/>
      <c r="T491" s="1"/>
      <c r="U491" s="1"/>
      <c r="V491" s="16"/>
      <c r="W491" s="1"/>
      <c r="X491" s="1"/>
    </row>
    <row r="492" spans="1:24">
      <c r="A492" s="1"/>
      <c r="B492" s="94"/>
      <c r="C492" s="1"/>
      <c r="D492" s="1"/>
      <c r="E492" s="1"/>
      <c r="F492" s="94"/>
      <c r="G492" s="94"/>
      <c r="H492" s="94"/>
      <c r="I492" s="94"/>
      <c r="J492" s="94"/>
      <c r="K492" s="94"/>
      <c r="L492" s="94"/>
      <c r="M492" s="26"/>
      <c r="N492" s="26"/>
      <c r="O492" s="1"/>
      <c r="P492" s="1"/>
      <c r="Q492" s="1"/>
      <c r="R492" s="1"/>
      <c r="S492" s="1"/>
      <c r="T492" s="1"/>
      <c r="U492" s="1"/>
      <c r="V492" s="16"/>
      <c r="W492" s="1"/>
      <c r="X492" s="1"/>
    </row>
    <row r="493" spans="1:24">
      <c r="A493" s="1"/>
      <c r="B493" s="93"/>
      <c r="C493" s="1"/>
      <c r="D493" s="1"/>
      <c r="E493" s="1"/>
      <c r="F493" s="93"/>
      <c r="G493" s="93"/>
      <c r="H493" s="93"/>
      <c r="I493" s="93"/>
      <c r="J493" s="93"/>
      <c r="K493" s="93"/>
      <c r="L493" s="93"/>
      <c r="M493" s="26"/>
      <c r="N493" s="26"/>
      <c r="O493" s="1"/>
      <c r="P493" s="1"/>
      <c r="Q493" s="1"/>
      <c r="R493" s="1"/>
      <c r="S493" s="1"/>
      <c r="T493" s="1"/>
      <c r="U493" s="1"/>
      <c r="V493" s="16"/>
      <c r="W493" s="1"/>
      <c r="X493" s="1"/>
    </row>
    <row r="494" spans="1:24">
      <c r="A494" s="1"/>
      <c r="B494" s="94"/>
      <c r="C494" s="1"/>
      <c r="D494" s="1"/>
      <c r="E494" s="1"/>
      <c r="F494" s="94"/>
      <c r="G494" s="94"/>
      <c r="H494" s="94"/>
      <c r="I494" s="94"/>
      <c r="J494" s="94"/>
      <c r="K494" s="94"/>
      <c r="L494" s="94"/>
      <c r="M494" s="26"/>
      <c r="N494" s="26"/>
      <c r="O494" s="1"/>
      <c r="P494" s="1"/>
      <c r="Q494" s="1"/>
      <c r="R494" s="1"/>
      <c r="S494" s="1"/>
      <c r="T494" s="1"/>
      <c r="U494" s="1"/>
      <c r="V494" s="16"/>
      <c r="W494" s="1"/>
      <c r="X494" s="1"/>
    </row>
    <row r="495" spans="1:24">
      <c r="A495" s="1"/>
      <c r="B495" s="94"/>
      <c r="C495" s="1"/>
      <c r="D495" s="1"/>
      <c r="E495" s="1"/>
      <c r="F495" s="94"/>
      <c r="G495" s="94"/>
      <c r="H495" s="94"/>
      <c r="I495" s="94"/>
      <c r="J495" s="94"/>
      <c r="K495" s="94"/>
      <c r="L495" s="94"/>
      <c r="M495" s="26"/>
      <c r="N495" s="26"/>
      <c r="O495" s="1"/>
      <c r="P495" s="1"/>
      <c r="Q495" s="1"/>
      <c r="R495" s="1"/>
      <c r="S495" s="1"/>
      <c r="T495" s="1"/>
      <c r="U495" s="1"/>
      <c r="V495" s="16"/>
      <c r="W495" s="1"/>
      <c r="X495" s="1"/>
    </row>
    <row r="496" spans="1:24">
      <c r="A496" s="1"/>
      <c r="B496" s="94"/>
      <c r="C496" s="1"/>
      <c r="D496" s="1"/>
      <c r="E496" s="1"/>
      <c r="F496" s="94"/>
      <c r="G496" s="94"/>
      <c r="H496" s="94"/>
      <c r="I496" s="94"/>
      <c r="J496" s="94"/>
      <c r="K496" s="94"/>
      <c r="L496" s="94"/>
      <c r="M496" s="26"/>
      <c r="N496" s="26"/>
      <c r="O496" s="1"/>
      <c r="P496" s="1"/>
      <c r="Q496" s="1"/>
      <c r="R496" s="1"/>
      <c r="S496" s="1"/>
      <c r="T496" s="1"/>
      <c r="U496" s="1"/>
      <c r="V496" s="16"/>
      <c r="W496" s="1"/>
      <c r="X496" s="1"/>
    </row>
    <row r="497" spans="1:24">
      <c r="A497" s="1"/>
      <c r="B497" s="94"/>
      <c r="C497" s="1"/>
      <c r="D497" s="1"/>
      <c r="E497" s="1"/>
      <c r="F497" s="94"/>
      <c r="G497" s="94"/>
      <c r="H497" s="94"/>
      <c r="I497" s="94"/>
      <c r="J497" s="94"/>
      <c r="K497" s="94"/>
      <c r="L497" s="94"/>
      <c r="M497" s="26"/>
      <c r="N497" s="26"/>
      <c r="O497" s="1"/>
      <c r="P497" s="1"/>
      <c r="Q497" s="1"/>
      <c r="R497" s="1"/>
      <c r="S497" s="1"/>
      <c r="T497" s="1"/>
      <c r="U497" s="1"/>
      <c r="V497" s="16"/>
      <c r="W497" s="1"/>
      <c r="X497" s="1"/>
    </row>
    <row r="498" spans="1:24">
      <c r="A498" s="1"/>
      <c r="B498" s="93"/>
      <c r="C498" s="1"/>
      <c r="D498" s="1"/>
      <c r="E498" s="1"/>
      <c r="F498" s="93"/>
      <c r="G498" s="93"/>
      <c r="H498" s="93"/>
      <c r="I498" s="93"/>
      <c r="J498" s="93"/>
      <c r="K498" s="93"/>
      <c r="L498" s="93"/>
      <c r="M498" s="26"/>
      <c r="N498" s="26"/>
      <c r="O498" s="1"/>
      <c r="P498" s="1"/>
      <c r="Q498" s="1"/>
      <c r="R498" s="1"/>
      <c r="S498" s="1"/>
      <c r="T498" s="1"/>
      <c r="U498" s="1"/>
      <c r="V498" s="16"/>
      <c r="W498" s="1"/>
      <c r="X498" s="1"/>
    </row>
    <row r="499" spans="1:24">
      <c r="A499" s="1"/>
      <c r="B499" s="94"/>
      <c r="C499" s="1"/>
      <c r="D499" s="1"/>
      <c r="E499" s="1"/>
      <c r="F499" s="94"/>
      <c r="G499" s="94"/>
      <c r="H499" s="94"/>
      <c r="I499" s="94"/>
      <c r="J499" s="94"/>
      <c r="K499" s="94"/>
      <c r="L499" s="94"/>
      <c r="M499" s="26"/>
      <c r="N499" s="26"/>
      <c r="O499" s="1"/>
      <c r="P499" s="1"/>
      <c r="Q499" s="1"/>
      <c r="R499" s="1"/>
      <c r="S499" s="1"/>
      <c r="T499" s="1"/>
      <c r="U499" s="1"/>
      <c r="V499" s="16"/>
      <c r="W499" s="1"/>
      <c r="X499" s="1"/>
    </row>
    <row r="500" spans="1:24">
      <c r="A500" s="1"/>
      <c r="B500" s="94"/>
      <c r="C500" s="1"/>
      <c r="D500" s="1"/>
      <c r="E500" s="1"/>
      <c r="F500" s="94"/>
      <c r="G500" s="94"/>
      <c r="H500" s="94"/>
      <c r="I500" s="94"/>
      <c r="J500" s="94"/>
      <c r="K500" s="94"/>
      <c r="L500" s="94"/>
      <c r="M500" s="26"/>
      <c r="N500" s="26"/>
      <c r="O500" s="1"/>
      <c r="P500" s="1"/>
      <c r="Q500" s="1"/>
      <c r="R500" s="1"/>
      <c r="S500" s="1"/>
      <c r="T500" s="1"/>
      <c r="U500" s="1"/>
      <c r="V500" s="16"/>
      <c r="W500" s="1"/>
      <c r="X500" s="1"/>
    </row>
    <row r="501" spans="1:24">
      <c r="A501" s="1"/>
      <c r="B501" s="94"/>
      <c r="C501" s="1"/>
      <c r="D501" s="1"/>
      <c r="E501" s="1"/>
      <c r="F501" s="94"/>
      <c r="G501" s="94"/>
      <c r="H501" s="94"/>
      <c r="I501" s="94"/>
      <c r="J501" s="94"/>
      <c r="K501" s="94"/>
      <c r="L501" s="94"/>
      <c r="M501" s="26"/>
      <c r="N501" s="26"/>
      <c r="O501" s="1"/>
      <c r="P501" s="1"/>
      <c r="Q501" s="1"/>
      <c r="R501" s="1"/>
      <c r="S501" s="1"/>
      <c r="T501" s="1"/>
      <c r="U501" s="1"/>
      <c r="V501" s="16"/>
      <c r="W501" s="1"/>
      <c r="X501" s="1"/>
    </row>
    <row r="502" spans="1:24">
      <c r="A502" s="1"/>
      <c r="B502" s="94"/>
      <c r="C502" s="1"/>
      <c r="D502" s="1"/>
      <c r="E502" s="1"/>
      <c r="F502" s="94"/>
      <c r="G502" s="94"/>
      <c r="H502" s="94"/>
      <c r="I502" s="94"/>
      <c r="J502" s="94"/>
      <c r="K502" s="94"/>
      <c r="L502" s="94"/>
      <c r="M502" s="26"/>
      <c r="N502" s="26"/>
      <c r="O502" s="1"/>
      <c r="P502" s="1"/>
      <c r="Q502" s="1"/>
      <c r="R502" s="1"/>
      <c r="S502" s="1"/>
      <c r="T502" s="1"/>
      <c r="U502" s="1"/>
      <c r="V502" s="16"/>
      <c r="W502" s="1"/>
      <c r="X502" s="1"/>
    </row>
    <row r="503" spans="1:24">
      <c r="A503" s="1"/>
      <c r="B503" s="93"/>
      <c r="C503" s="1"/>
      <c r="D503" s="1"/>
      <c r="E503" s="1"/>
      <c r="F503" s="93"/>
      <c r="G503" s="93"/>
      <c r="H503" s="93"/>
      <c r="I503" s="93"/>
      <c r="J503" s="93"/>
      <c r="K503" s="93"/>
      <c r="L503" s="93"/>
      <c r="M503" s="26"/>
      <c r="N503" s="26"/>
      <c r="O503" s="1"/>
      <c r="P503" s="1"/>
      <c r="Q503" s="1"/>
      <c r="R503" s="1"/>
      <c r="S503" s="1"/>
      <c r="T503" s="1"/>
      <c r="U503" s="1"/>
      <c r="V503" s="16"/>
      <c r="W503" s="1"/>
      <c r="X503" s="1"/>
    </row>
    <row r="504" spans="1:24">
      <c r="A504" s="1"/>
      <c r="B504" s="94"/>
      <c r="C504" s="1"/>
      <c r="D504" s="1"/>
      <c r="E504" s="1"/>
      <c r="F504" s="94"/>
      <c r="G504" s="94"/>
      <c r="H504" s="94"/>
      <c r="I504" s="94"/>
      <c r="J504" s="94"/>
      <c r="K504" s="94"/>
      <c r="L504" s="94"/>
      <c r="M504" s="26"/>
      <c r="N504" s="26"/>
      <c r="O504" s="1"/>
      <c r="P504" s="1"/>
      <c r="Q504" s="1"/>
      <c r="R504" s="1"/>
      <c r="S504" s="1"/>
      <c r="T504" s="1"/>
      <c r="U504" s="1"/>
      <c r="V504" s="16"/>
      <c r="W504" s="1"/>
      <c r="X504" s="1"/>
    </row>
    <row r="505" spans="1:24">
      <c r="A505" s="1"/>
      <c r="B505" s="94"/>
      <c r="C505" s="1"/>
      <c r="D505" s="1"/>
      <c r="E505" s="1"/>
      <c r="F505" s="94"/>
      <c r="G505" s="94"/>
      <c r="H505" s="94"/>
      <c r="I505" s="94"/>
      <c r="J505" s="94"/>
      <c r="K505" s="94"/>
      <c r="L505" s="94"/>
      <c r="M505" s="26"/>
      <c r="N505" s="26"/>
      <c r="O505" s="1"/>
      <c r="P505" s="1"/>
      <c r="Q505" s="1"/>
      <c r="R505" s="1"/>
      <c r="S505" s="1"/>
      <c r="T505" s="1"/>
      <c r="U505" s="1"/>
      <c r="V505" s="16"/>
      <c r="W505" s="1"/>
      <c r="X505" s="1"/>
    </row>
    <row r="506" spans="1:24">
      <c r="A506" s="1"/>
      <c r="B506" s="94"/>
      <c r="C506" s="1"/>
      <c r="D506" s="1"/>
      <c r="E506" s="1"/>
      <c r="F506" s="94"/>
      <c r="G506" s="94"/>
      <c r="H506" s="94"/>
      <c r="I506" s="94"/>
      <c r="J506" s="94"/>
      <c r="K506" s="94"/>
      <c r="L506" s="94"/>
      <c r="M506" s="26"/>
      <c r="N506" s="26"/>
      <c r="O506" s="1"/>
      <c r="P506" s="1"/>
      <c r="Q506" s="1"/>
      <c r="R506" s="1"/>
      <c r="S506" s="1"/>
      <c r="T506" s="1"/>
      <c r="U506" s="1"/>
      <c r="V506" s="16"/>
      <c r="W506" s="1"/>
      <c r="X506" s="1"/>
    </row>
    <row r="507" spans="1:24">
      <c r="A507" s="1"/>
      <c r="B507" s="94"/>
      <c r="C507" s="1"/>
      <c r="D507" s="1"/>
      <c r="E507" s="1"/>
      <c r="F507" s="94"/>
      <c r="G507" s="94"/>
      <c r="H507" s="94"/>
      <c r="I507" s="94"/>
      <c r="J507" s="94"/>
      <c r="K507" s="94"/>
      <c r="L507" s="94"/>
      <c r="M507" s="26"/>
      <c r="N507" s="26"/>
      <c r="O507" s="1"/>
      <c r="P507" s="1"/>
      <c r="Q507" s="1"/>
      <c r="R507" s="1"/>
      <c r="S507" s="1"/>
      <c r="T507" s="1"/>
      <c r="U507" s="1"/>
      <c r="V507" s="16"/>
      <c r="W507" s="1"/>
      <c r="X507" s="1"/>
    </row>
    <row r="508" spans="1:24">
      <c r="A508" s="1"/>
      <c r="B508" s="93"/>
      <c r="C508" s="1"/>
      <c r="D508" s="1"/>
      <c r="E508" s="1"/>
      <c r="F508" s="93"/>
      <c r="G508" s="93"/>
      <c r="H508" s="93"/>
      <c r="I508" s="93"/>
      <c r="J508" s="93"/>
      <c r="K508" s="93"/>
      <c r="L508" s="93"/>
      <c r="M508" s="26"/>
      <c r="N508" s="26"/>
      <c r="O508" s="1"/>
      <c r="P508" s="1"/>
      <c r="Q508" s="1"/>
      <c r="R508" s="1"/>
      <c r="S508" s="1"/>
      <c r="T508" s="1"/>
      <c r="U508" s="1"/>
      <c r="V508" s="16"/>
      <c r="W508" s="1"/>
      <c r="X508" s="1"/>
    </row>
    <row r="509" spans="1:24">
      <c r="A509" s="1"/>
      <c r="B509" s="94"/>
      <c r="C509" s="1"/>
      <c r="D509" s="1"/>
      <c r="E509" s="1"/>
      <c r="F509" s="94"/>
      <c r="G509" s="94"/>
      <c r="H509" s="94"/>
      <c r="I509" s="94"/>
      <c r="J509" s="94"/>
      <c r="K509" s="94"/>
      <c r="L509" s="94"/>
      <c r="M509" s="26"/>
      <c r="N509" s="26"/>
      <c r="O509" s="1"/>
      <c r="P509" s="1"/>
      <c r="Q509" s="1"/>
      <c r="R509" s="1"/>
      <c r="S509" s="1"/>
      <c r="T509" s="1"/>
      <c r="U509" s="1"/>
      <c r="V509" s="16"/>
      <c r="W509" s="1"/>
      <c r="X509" s="1"/>
    </row>
    <row r="510" spans="1:24">
      <c r="A510" s="1"/>
      <c r="B510" s="94"/>
      <c r="C510" s="1"/>
      <c r="D510" s="1"/>
      <c r="E510" s="1"/>
      <c r="F510" s="94"/>
      <c r="G510" s="94"/>
      <c r="H510" s="94"/>
      <c r="I510" s="94"/>
      <c r="J510" s="94"/>
      <c r="K510" s="94"/>
      <c r="L510" s="94"/>
      <c r="M510" s="26"/>
      <c r="N510" s="26"/>
      <c r="O510" s="1"/>
      <c r="P510" s="1"/>
      <c r="Q510" s="1"/>
      <c r="R510" s="1"/>
      <c r="S510" s="1"/>
      <c r="T510" s="1"/>
      <c r="U510" s="1"/>
      <c r="V510" s="16"/>
      <c r="W510" s="1"/>
      <c r="X510" s="1"/>
    </row>
    <row r="511" spans="1:24">
      <c r="A511" s="1"/>
      <c r="B511" s="94"/>
      <c r="C511" s="1"/>
      <c r="D511" s="1"/>
      <c r="E511" s="1"/>
      <c r="F511" s="94"/>
      <c r="G511" s="94"/>
      <c r="H511" s="94"/>
      <c r="I511" s="94"/>
      <c r="J511" s="94"/>
      <c r="K511" s="94"/>
      <c r="L511" s="94"/>
      <c r="M511" s="26"/>
      <c r="N511" s="26"/>
      <c r="O511" s="1"/>
      <c r="P511" s="1"/>
      <c r="Q511" s="1"/>
      <c r="R511" s="1"/>
      <c r="S511" s="1"/>
      <c r="T511" s="1"/>
      <c r="U511" s="1"/>
      <c r="V511" s="16"/>
      <c r="W511" s="1"/>
      <c r="X511" s="1"/>
    </row>
    <row r="512" spans="1:24">
      <c r="A512" s="1"/>
      <c r="B512" s="94"/>
      <c r="C512" s="1"/>
      <c r="D512" s="1"/>
      <c r="E512" s="1"/>
      <c r="F512" s="94"/>
      <c r="G512" s="94"/>
      <c r="H512" s="94"/>
      <c r="I512" s="94"/>
      <c r="J512" s="94"/>
      <c r="K512" s="94"/>
      <c r="L512" s="94"/>
      <c r="M512" s="26"/>
      <c r="N512" s="26"/>
      <c r="O512" s="1"/>
      <c r="P512" s="1"/>
      <c r="Q512" s="1"/>
      <c r="R512" s="1"/>
      <c r="S512" s="1"/>
      <c r="T512" s="1"/>
      <c r="U512" s="1"/>
      <c r="V512" s="16"/>
      <c r="W512" s="1"/>
      <c r="X512" s="1"/>
    </row>
    <row r="513" spans="1:24">
      <c r="A513" s="1"/>
      <c r="B513" s="93"/>
      <c r="C513" s="1"/>
      <c r="D513" s="1"/>
      <c r="E513" s="1"/>
      <c r="F513" s="93"/>
      <c r="G513" s="93"/>
      <c r="H513" s="93"/>
      <c r="I513" s="93"/>
      <c r="J513" s="93"/>
      <c r="K513" s="93"/>
      <c r="L513" s="93"/>
      <c r="M513" s="26"/>
      <c r="N513" s="26"/>
      <c r="O513" s="1"/>
      <c r="P513" s="1"/>
      <c r="Q513" s="1"/>
      <c r="R513" s="1"/>
      <c r="S513" s="1"/>
      <c r="T513" s="1"/>
      <c r="U513" s="1"/>
      <c r="V513" s="16"/>
      <c r="W513" s="1"/>
      <c r="X513" s="1"/>
    </row>
    <row r="514" spans="1:24">
      <c r="A514" s="1"/>
      <c r="B514" s="94"/>
      <c r="C514" s="1"/>
      <c r="D514" s="1"/>
      <c r="E514" s="1"/>
      <c r="F514" s="94"/>
      <c r="G514" s="94"/>
      <c r="H514" s="94"/>
      <c r="I514" s="94"/>
      <c r="J514" s="94"/>
      <c r="K514" s="94"/>
      <c r="L514" s="94"/>
      <c r="M514" s="26"/>
      <c r="N514" s="26"/>
      <c r="O514" s="1"/>
      <c r="P514" s="1"/>
      <c r="Q514" s="1"/>
      <c r="R514" s="1"/>
      <c r="S514" s="1"/>
      <c r="T514" s="1"/>
      <c r="U514" s="1"/>
      <c r="V514" s="16"/>
      <c r="W514" s="1"/>
      <c r="X514" s="1"/>
    </row>
    <row r="515" spans="1:24">
      <c r="A515" s="1"/>
      <c r="B515" s="94"/>
      <c r="C515" s="1"/>
      <c r="D515" s="1"/>
      <c r="E515" s="1"/>
      <c r="F515" s="94"/>
      <c r="G515" s="94"/>
      <c r="H515" s="94"/>
      <c r="I515" s="94"/>
      <c r="J515" s="94"/>
      <c r="K515" s="94"/>
      <c r="L515" s="94"/>
      <c r="M515" s="26"/>
      <c r="N515" s="26"/>
      <c r="O515" s="1"/>
      <c r="P515" s="1"/>
      <c r="Q515" s="1"/>
      <c r="R515" s="1"/>
      <c r="S515" s="1"/>
      <c r="T515" s="1"/>
      <c r="U515" s="1"/>
      <c r="V515" s="16"/>
      <c r="W515" s="1"/>
      <c r="X515" s="1"/>
    </row>
    <row r="516" spans="1:24">
      <c r="A516" s="1"/>
      <c r="B516" s="94"/>
      <c r="C516" s="1"/>
      <c r="D516" s="1"/>
      <c r="E516" s="1"/>
      <c r="F516" s="94"/>
      <c r="G516" s="94"/>
      <c r="H516" s="94"/>
      <c r="I516" s="94"/>
      <c r="J516" s="94"/>
      <c r="K516" s="94"/>
      <c r="L516" s="94"/>
      <c r="M516" s="26"/>
      <c r="N516" s="26"/>
      <c r="O516" s="1"/>
      <c r="P516" s="1"/>
      <c r="Q516" s="1"/>
      <c r="R516" s="1"/>
      <c r="S516" s="1"/>
      <c r="T516" s="1"/>
      <c r="U516" s="1"/>
      <c r="V516" s="16"/>
      <c r="W516" s="1"/>
      <c r="X516" s="1"/>
    </row>
    <row r="517" spans="1:24">
      <c r="A517" s="1"/>
      <c r="B517" s="94"/>
      <c r="C517" s="1"/>
      <c r="D517" s="1"/>
      <c r="E517" s="1"/>
      <c r="F517" s="94"/>
      <c r="G517" s="94"/>
      <c r="H517" s="94"/>
      <c r="I517" s="94"/>
      <c r="J517" s="94"/>
      <c r="K517" s="94"/>
      <c r="L517" s="94"/>
      <c r="M517" s="26"/>
      <c r="N517" s="26"/>
      <c r="O517" s="1"/>
      <c r="P517" s="1"/>
      <c r="Q517" s="1"/>
      <c r="R517" s="1"/>
      <c r="S517" s="1"/>
      <c r="T517" s="1"/>
      <c r="U517" s="1"/>
      <c r="V517" s="16"/>
      <c r="W517" s="1"/>
      <c r="X517" s="1"/>
    </row>
    <row r="518" spans="1:24">
      <c r="A518" s="1"/>
      <c r="B518" s="93"/>
      <c r="C518" s="1"/>
      <c r="D518" s="1"/>
      <c r="E518" s="1"/>
      <c r="F518" s="93"/>
      <c r="G518" s="93"/>
      <c r="H518" s="93"/>
      <c r="I518" s="93"/>
      <c r="J518" s="93"/>
      <c r="K518" s="93"/>
      <c r="L518" s="93"/>
      <c r="M518" s="26"/>
      <c r="N518" s="26"/>
      <c r="O518" s="1"/>
      <c r="P518" s="1"/>
      <c r="Q518" s="1"/>
      <c r="R518" s="1"/>
      <c r="S518" s="1"/>
      <c r="T518" s="1"/>
      <c r="U518" s="1"/>
      <c r="V518" s="16"/>
      <c r="W518" s="1"/>
      <c r="X518" s="1"/>
    </row>
    <row r="519" spans="1:24">
      <c r="A519" s="1"/>
      <c r="B519" s="94"/>
      <c r="C519" s="1"/>
      <c r="D519" s="1"/>
      <c r="E519" s="1"/>
      <c r="F519" s="94"/>
      <c r="G519" s="94"/>
      <c r="H519" s="94"/>
      <c r="I519" s="94"/>
      <c r="J519" s="94"/>
      <c r="K519" s="94"/>
      <c r="L519" s="94"/>
      <c r="M519" s="26"/>
      <c r="N519" s="26"/>
      <c r="O519" s="1"/>
      <c r="P519" s="1"/>
      <c r="Q519" s="1"/>
      <c r="R519" s="1"/>
      <c r="S519" s="1"/>
      <c r="T519" s="1"/>
      <c r="U519" s="1"/>
      <c r="V519" s="16"/>
      <c r="W519" s="1"/>
      <c r="X519" s="1"/>
    </row>
    <row r="520" spans="1:24">
      <c r="A520" s="1"/>
      <c r="B520" s="94"/>
      <c r="C520" s="1"/>
      <c r="D520" s="1"/>
      <c r="E520" s="1"/>
      <c r="F520" s="94"/>
      <c r="G520" s="94"/>
      <c r="H520" s="94"/>
      <c r="I520" s="94"/>
      <c r="J520" s="94"/>
      <c r="K520" s="94"/>
      <c r="L520" s="94"/>
      <c r="M520" s="26"/>
      <c r="N520" s="26"/>
      <c r="O520" s="1"/>
      <c r="P520" s="1"/>
      <c r="Q520" s="1"/>
      <c r="R520" s="1"/>
      <c r="S520" s="1"/>
      <c r="T520" s="1"/>
      <c r="U520" s="1"/>
      <c r="V520" s="16"/>
      <c r="W520" s="1"/>
      <c r="X520" s="1"/>
    </row>
    <row r="521" spans="1:24">
      <c r="A521" s="1"/>
      <c r="B521" s="94"/>
      <c r="C521" s="1"/>
      <c r="D521" s="1"/>
      <c r="E521" s="1"/>
      <c r="F521" s="94"/>
      <c r="G521" s="94"/>
      <c r="H521" s="94"/>
      <c r="I521" s="94"/>
      <c r="J521" s="94"/>
      <c r="K521" s="94"/>
      <c r="L521" s="94"/>
      <c r="M521" s="26"/>
      <c r="N521" s="26"/>
      <c r="O521" s="1"/>
      <c r="P521" s="1"/>
      <c r="Q521" s="1"/>
      <c r="R521" s="1"/>
      <c r="S521" s="1"/>
      <c r="T521" s="1"/>
      <c r="U521" s="1"/>
      <c r="V521" s="16"/>
      <c r="W521" s="1"/>
      <c r="X521" s="1"/>
    </row>
    <row r="522" spans="1:24">
      <c r="A522" s="1"/>
      <c r="B522" s="94"/>
      <c r="C522" s="1"/>
      <c r="D522" s="1"/>
      <c r="E522" s="1"/>
      <c r="F522" s="94"/>
      <c r="G522" s="94"/>
      <c r="H522" s="94"/>
      <c r="I522" s="94"/>
      <c r="J522" s="94"/>
      <c r="K522" s="94"/>
      <c r="L522" s="94"/>
      <c r="M522" s="26"/>
      <c r="N522" s="26"/>
      <c r="O522" s="1"/>
      <c r="P522" s="1"/>
      <c r="Q522" s="1"/>
      <c r="R522" s="1"/>
      <c r="S522" s="1"/>
      <c r="T522" s="1"/>
      <c r="U522" s="1"/>
      <c r="V522" s="16"/>
      <c r="W522" s="1"/>
      <c r="X522" s="1"/>
    </row>
    <row r="523" spans="1:24">
      <c r="A523" s="1"/>
      <c r="B523" s="93"/>
      <c r="C523" s="1"/>
      <c r="D523" s="1"/>
      <c r="E523" s="1"/>
      <c r="F523" s="93"/>
      <c r="G523" s="93"/>
      <c r="H523" s="93"/>
      <c r="I523" s="93"/>
      <c r="J523" s="93"/>
      <c r="K523" s="93"/>
      <c r="L523" s="93"/>
      <c r="M523" s="26"/>
      <c r="N523" s="26"/>
      <c r="O523" s="1"/>
      <c r="P523" s="1"/>
      <c r="Q523" s="1"/>
      <c r="R523" s="1"/>
      <c r="S523" s="1"/>
      <c r="T523" s="1"/>
      <c r="U523" s="1"/>
      <c r="V523" s="16"/>
      <c r="W523" s="1"/>
      <c r="X523" s="1"/>
    </row>
    <row r="524" spans="1:24">
      <c r="A524" s="1"/>
      <c r="B524" s="94"/>
      <c r="C524" s="1"/>
      <c r="D524" s="1"/>
      <c r="E524" s="1"/>
      <c r="F524" s="94"/>
      <c r="G524" s="94"/>
      <c r="H524" s="94"/>
      <c r="I524" s="94"/>
      <c r="J524" s="94"/>
      <c r="K524" s="94"/>
      <c r="L524" s="94"/>
      <c r="M524" s="26"/>
      <c r="N524" s="26"/>
      <c r="O524" s="1"/>
      <c r="P524" s="1"/>
      <c r="Q524" s="1"/>
      <c r="R524" s="1"/>
      <c r="S524" s="1"/>
      <c r="T524" s="1"/>
      <c r="U524" s="1"/>
      <c r="V524" s="16"/>
      <c r="W524" s="1"/>
      <c r="X524" s="1"/>
    </row>
    <row r="525" spans="1:24">
      <c r="A525" s="1"/>
      <c r="B525" s="94"/>
      <c r="C525" s="1"/>
      <c r="D525" s="1"/>
      <c r="E525" s="1"/>
      <c r="F525" s="94"/>
      <c r="G525" s="94"/>
      <c r="H525" s="94"/>
      <c r="I525" s="94"/>
      <c r="J525" s="94"/>
      <c r="K525" s="94"/>
      <c r="L525" s="94"/>
      <c r="M525" s="26"/>
      <c r="N525" s="26"/>
      <c r="O525" s="1"/>
      <c r="P525" s="1"/>
      <c r="Q525" s="1"/>
      <c r="R525" s="1"/>
      <c r="S525" s="1"/>
      <c r="T525" s="1"/>
      <c r="U525" s="1"/>
      <c r="V525" s="16"/>
      <c r="W525" s="1"/>
      <c r="X525" s="1"/>
    </row>
    <row r="526" spans="1:24">
      <c r="A526" s="1"/>
      <c r="B526" s="94"/>
      <c r="C526" s="1"/>
      <c r="D526" s="1"/>
      <c r="E526" s="1"/>
      <c r="F526" s="94"/>
      <c r="G526" s="94"/>
      <c r="H526" s="94"/>
      <c r="I526" s="94"/>
      <c r="J526" s="94"/>
      <c r="K526" s="94"/>
      <c r="L526" s="94"/>
      <c r="M526" s="26"/>
      <c r="N526" s="26"/>
      <c r="O526" s="1"/>
      <c r="P526" s="1"/>
      <c r="Q526" s="1"/>
      <c r="R526" s="1"/>
      <c r="S526" s="1"/>
      <c r="T526" s="1"/>
      <c r="U526" s="1"/>
      <c r="V526" s="16"/>
      <c r="W526" s="1"/>
      <c r="X526" s="1"/>
    </row>
    <row r="527" spans="1:24">
      <c r="A527" s="1"/>
      <c r="B527" s="94"/>
      <c r="C527" s="1"/>
      <c r="D527" s="1"/>
      <c r="E527" s="1"/>
      <c r="F527" s="94"/>
      <c r="G527" s="94"/>
      <c r="H527" s="94"/>
      <c r="I527" s="94"/>
      <c r="J527" s="94"/>
      <c r="K527" s="94"/>
      <c r="L527" s="94"/>
      <c r="M527" s="26"/>
      <c r="N527" s="26"/>
      <c r="O527" s="1"/>
      <c r="P527" s="1"/>
      <c r="Q527" s="1"/>
      <c r="R527" s="1"/>
      <c r="S527" s="1"/>
      <c r="T527" s="1"/>
      <c r="U527" s="1"/>
      <c r="V527" s="16"/>
      <c r="W527" s="1"/>
      <c r="X527" s="1"/>
    </row>
    <row r="528" spans="1:24">
      <c r="A528" s="1"/>
      <c r="B528" s="93"/>
      <c r="C528" s="1"/>
      <c r="D528" s="1"/>
      <c r="E528" s="1"/>
      <c r="F528" s="93"/>
      <c r="G528" s="93"/>
      <c r="H528" s="93"/>
      <c r="I528" s="93"/>
      <c r="J528" s="93"/>
      <c r="K528" s="93"/>
      <c r="L528" s="93"/>
      <c r="M528" s="26"/>
      <c r="N528" s="26"/>
      <c r="O528" s="1"/>
      <c r="P528" s="1"/>
      <c r="Q528" s="1"/>
      <c r="R528" s="1"/>
      <c r="S528" s="1"/>
      <c r="T528" s="1"/>
      <c r="U528" s="1"/>
      <c r="V528" s="16"/>
      <c r="W528" s="1"/>
      <c r="X528" s="1"/>
    </row>
    <row r="529" spans="1:24">
      <c r="A529" s="1"/>
      <c r="B529" s="94"/>
      <c r="C529" s="1"/>
      <c r="D529" s="1"/>
      <c r="E529" s="1"/>
      <c r="F529" s="94"/>
      <c r="G529" s="94"/>
      <c r="H529" s="94"/>
      <c r="I529" s="94"/>
      <c r="J529" s="94"/>
      <c r="K529" s="94"/>
      <c r="L529" s="94"/>
      <c r="M529" s="26"/>
      <c r="N529" s="26"/>
      <c r="O529" s="1"/>
      <c r="P529" s="1"/>
      <c r="Q529" s="1"/>
      <c r="R529" s="1"/>
      <c r="S529" s="1"/>
      <c r="T529" s="1"/>
      <c r="U529" s="1"/>
      <c r="V529" s="16"/>
      <c r="W529" s="1"/>
      <c r="X529" s="1"/>
    </row>
    <row r="530" spans="1:24">
      <c r="A530" s="1"/>
      <c r="B530" s="94"/>
      <c r="C530" s="1"/>
      <c r="D530" s="1"/>
      <c r="E530" s="1"/>
      <c r="F530" s="94"/>
      <c r="G530" s="94"/>
      <c r="H530" s="94"/>
      <c r="I530" s="94"/>
      <c r="J530" s="94"/>
      <c r="K530" s="94"/>
      <c r="L530" s="94"/>
      <c r="M530" s="26"/>
      <c r="N530" s="26"/>
      <c r="O530" s="1"/>
      <c r="P530" s="1"/>
      <c r="Q530" s="1"/>
      <c r="R530" s="1"/>
      <c r="S530" s="1"/>
      <c r="T530" s="1"/>
      <c r="U530" s="1"/>
      <c r="V530" s="16"/>
      <c r="W530" s="1"/>
      <c r="X530" s="1"/>
    </row>
    <row r="531" spans="1:24">
      <c r="A531" s="1"/>
      <c r="B531" s="94"/>
      <c r="C531" s="1"/>
      <c r="D531" s="1"/>
      <c r="E531" s="1"/>
      <c r="F531" s="94"/>
      <c r="G531" s="94"/>
      <c r="H531" s="94"/>
      <c r="I531" s="94"/>
      <c r="J531" s="94"/>
      <c r="K531" s="94"/>
      <c r="L531" s="94"/>
      <c r="M531" s="26"/>
      <c r="N531" s="26"/>
      <c r="O531" s="1"/>
      <c r="P531" s="1"/>
      <c r="Q531" s="1"/>
      <c r="R531" s="1"/>
      <c r="S531" s="1"/>
      <c r="T531" s="1"/>
      <c r="U531" s="1"/>
      <c r="V531" s="16"/>
      <c r="W531" s="1"/>
      <c r="X531" s="1"/>
    </row>
    <row r="532" spans="1:24">
      <c r="A532" s="1"/>
      <c r="B532" s="94"/>
      <c r="C532" s="1"/>
      <c r="D532" s="1"/>
      <c r="E532" s="1"/>
      <c r="F532" s="94"/>
      <c r="G532" s="94"/>
      <c r="H532" s="94"/>
      <c r="I532" s="94"/>
      <c r="J532" s="94"/>
      <c r="K532" s="94"/>
      <c r="L532" s="94"/>
      <c r="M532" s="26"/>
      <c r="N532" s="26"/>
      <c r="O532" s="1"/>
      <c r="P532" s="1"/>
      <c r="Q532" s="1"/>
      <c r="R532" s="1"/>
      <c r="S532" s="1"/>
      <c r="T532" s="1"/>
      <c r="U532" s="1"/>
      <c r="V532" s="16"/>
      <c r="W532" s="1"/>
      <c r="X532" s="1"/>
    </row>
    <row r="533" spans="1:24">
      <c r="A533" s="1"/>
      <c r="B533" s="93"/>
      <c r="C533" s="1"/>
      <c r="D533" s="1"/>
      <c r="E533" s="1"/>
      <c r="F533" s="93"/>
      <c r="G533" s="93"/>
      <c r="H533" s="93"/>
      <c r="I533" s="93"/>
      <c r="J533" s="93"/>
      <c r="K533" s="93"/>
      <c r="L533" s="93"/>
      <c r="M533" s="26"/>
      <c r="N533" s="26"/>
      <c r="O533" s="1"/>
      <c r="P533" s="1"/>
      <c r="Q533" s="1"/>
      <c r="R533" s="1"/>
      <c r="S533" s="1"/>
      <c r="T533" s="1"/>
      <c r="U533" s="1"/>
      <c r="V533" s="16"/>
      <c r="W533" s="1"/>
      <c r="X533" s="1"/>
    </row>
    <row r="534" spans="1:24">
      <c r="A534" s="1"/>
      <c r="B534" s="94"/>
      <c r="C534" s="1"/>
      <c r="D534" s="1"/>
      <c r="E534" s="1"/>
      <c r="F534" s="94"/>
      <c r="G534" s="94"/>
      <c r="H534" s="94"/>
      <c r="I534" s="94"/>
      <c r="J534" s="94"/>
      <c r="K534" s="94"/>
      <c r="L534" s="94"/>
      <c r="M534" s="26"/>
      <c r="N534" s="26"/>
      <c r="O534" s="1"/>
      <c r="P534" s="1"/>
      <c r="Q534" s="1"/>
      <c r="R534" s="1"/>
      <c r="S534" s="1"/>
      <c r="T534" s="1"/>
      <c r="U534" s="1"/>
      <c r="V534" s="16"/>
      <c r="W534" s="1"/>
      <c r="X534" s="1"/>
    </row>
    <row r="535" spans="1:24">
      <c r="A535" s="1"/>
      <c r="B535" s="94"/>
      <c r="C535" s="1"/>
      <c r="D535" s="1"/>
      <c r="E535" s="1"/>
      <c r="F535" s="94"/>
      <c r="G535" s="94"/>
      <c r="H535" s="94"/>
      <c r="I535" s="94"/>
      <c r="J535" s="94"/>
      <c r="K535" s="94"/>
      <c r="L535" s="94"/>
      <c r="M535" s="26"/>
      <c r="N535" s="26"/>
      <c r="O535" s="1"/>
      <c r="P535" s="1"/>
      <c r="Q535" s="1"/>
      <c r="R535" s="1"/>
      <c r="S535" s="1"/>
      <c r="T535" s="1"/>
      <c r="U535" s="1"/>
      <c r="V535" s="16"/>
      <c r="W535" s="1"/>
      <c r="X535" s="1"/>
    </row>
    <row r="536" spans="1:24">
      <c r="A536" s="1"/>
      <c r="B536" s="94"/>
      <c r="C536" s="1"/>
      <c r="D536" s="1"/>
      <c r="E536" s="1"/>
      <c r="F536" s="94"/>
      <c r="G536" s="94"/>
      <c r="H536" s="94"/>
      <c r="I536" s="94"/>
      <c r="J536" s="94"/>
      <c r="K536" s="94"/>
      <c r="L536" s="94"/>
      <c r="M536" s="26"/>
      <c r="N536" s="26"/>
      <c r="O536" s="1"/>
      <c r="P536" s="1"/>
      <c r="Q536" s="1"/>
      <c r="R536" s="1"/>
      <c r="S536" s="1"/>
      <c r="T536" s="1"/>
      <c r="U536" s="1"/>
      <c r="V536" s="16"/>
      <c r="W536" s="1"/>
      <c r="X536" s="1"/>
    </row>
    <row r="537" spans="1:24">
      <c r="A537" s="1"/>
      <c r="B537" s="94"/>
      <c r="C537" s="1"/>
      <c r="D537" s="1"/>
      <c r="E537" s="1"/>
      <c r="F537" s="94"/>
      <c r="G537" s="94"/>
      <c r="H537" s="94"/>
      <c r="I537" s="94"/>
      <c r="J537" s="94"/>
      <c r="K537" s="94"/>
      <c r="L537" s="94"/>
      <c r="M537" s="26"/>
      <c r="N537" s="26"/>
      <c r="O537" s="1"/>
      <c r="P537" s="1"/>
      <c r="Q537" s="1"/>
      <c r="R537" s="1"/>
      <c r="S537" s="1"/>
      <c r="T537" s="1"/>
      <c r="U537" s="1"/>
      <c r="V537" s="16"/>
      <c r="W537" s="1"/>
      <c r="X537" s="1"/>
    </row>
    <row r="538" spans="1:24">
      <c r="A538" s="1"/>
      <c r="B538" s="93"/>
      <c r="C538" s="1"/>
      <c r="D538" s="1"/>
      <c r="E538" s="1"/>
      <c r="F538" s="93"/>
      <c r="G538" s="93"/>
      <c r="H538" s="93"/>
      <c r="I538" s="93"/>
      <c r="J538" s="93"/>
      <c r="K538" s="93"/>
      <c r="L538" s="93"/>
      <c r="M538" s="26"/>
      <c r="N538" s="26"/>
      <c r="O538" s="1"/>
      <c r="P538" s="1"/>
      <c r="Q538" s="1"/>
      <c r="R538" s="1"/>
      <c r="S538" s="1"/>
      <c r="T538" s="1"/>
      <c r="U538" s="1"/>
      <c r="V538" s="16"/>
      <c r="W538" s="1"/>
      <c r="X538" s="1"/>
    </row>
    <row r="539" spans="1:24">
      <c r="A539" s="1"/>
      <c r="B539" s="94"/>
      <c r="C539" s="1"/>
      <c r="D539" s="1"/>
      <c r="E539" s="1"/>
      <c r="F539" s="94"/>
      <c r="G539" s="94"/>
      <c r="H539" s="94"/>
      <c r="I539" s="94"/>
      <c r="J539" s="94"/>
      <c r="K539" s="94"/>
      <c r="L539" s="94"/>
      <c r="M539" s="26"/>
      <c r="N539" s="26"/>
      <c r="O539" s="1"/>
      <c r="P539" s="1"/>
      <c r="Q539" s="1"/>
      <c r="R539" s="1"/>
      <c r="S539" s="1"/>
      <c r="T539" s="1"/>
      <c r="U539" s="1"/>
      <c r="V539" s="16"/>
      <c r="W539" s="1"/>
      <c r="X539" s="1"/>
    </row>
    <row r="540" spans="1:24">
      <c r="A540" s="1"/>
      <c r="B540" s="94"/>
      <c r="C540" s="1"/>
      <c r="D540" s="1"/>
      <c r="E540" s="1"/>
      <c r="F540" s="94"/>
      <c r="G540" s="94"/>
      <c r="H540" s="94"/>
      <c r="I540" s="94"/>
      <c r="J540" s="94"/>
      <c r="K540" s="94"/>
      <c r="L540" s="94"/>
      <c r="M540" s="26"/>
      <c r="N540" s="26"/>
      <c r="O540" s="1"/>
      <c r="P540" s="1"/>
      <c r="Q540" s="1"/>
      <c r="R540" s="1"/>
      <c r="S540" s="1"/>
      <c r="T540" s="1"/>
      <c r="U540" s="1"/>
      <c r="V540" s="16"/>
      <c r="W540" s="1"/>
      <c r="X540" s="1"/>
    </row>
    <row r="541" spans="1:24">
      <c r="A541" s="1"/>
      <c r="B541" s="94"/>
      <c r="C541" s="1"/>
      <c r="D541" s="1"/>
      <c r="E541" s="1"/>
      <c r="F541" s="94"/>
      <c r="G541" s="94"/>
      <c r="H541" s="94"/>
      <c r="I541" s="94"/>
      <c r="J541" s="94"/>
      <c r="K541" s="94"/>
      <c r="L541" s="94"/>
      <c r="M541" s="26"/>
      <c r="N541" s="26"/>
      <c r="O541" s="1"/>
      <c r="P541" s="1"/>
      <c r="Q541" s="1"/>
      <c r="R541" s="1"/>
      <c r="S541" s="1"/>
      <c r="T541" s="1"/>
      <c r="U541" s="1"/>
      <c r="V541" s="16"/>
      <c r="W541" s="1"/>
      <c r="X541" s="1"/>
    </row>
    <row r="542" spans="1:24">
      <c r="A542" s="1"/>
      <c r="B542" s="94"/>
      <c r="C542" s="1"/>
      <c r="D542" s="1"/>
      <c r="E542" s="1"/>
      <c r="F542" s="94"/>
      <c r="G542" s="94"/>
      <c r="H542" s="94"/>
      <c r="I542" s="94"/>
      <c r="J542" s="94"/>
      <c r="K542" s="94"/>
      <c r="L542" s="94"/>
      <c r="M542" s="26"/>
      <c r="N542" s="26"/>
      <c r="O542" s="1"/>
      <c r="P542" s="1"/>
      <c r="Q542" s="1"/>
      <c r="R542" s="1"/>
      <c r="S542" s="1"/>
      <c r="T542" s="1"/>
      <c r="U542" s="1"/>
      <c r="V542" s="16"/>
      <c r="W542" s="1"/>
      <c r="X542" s="1"/>
    </row>
    <row r="543" spans="1:24">
      <c r="A543" s="1"/>
      <c r="B543" s="93"/>
      <c r="C543" s="1"/>
      <c r="D543" s="1"/>
      <c r="E543" s="1"/>
      <c r="F543" s="93"/>
      <c r="G543" s="93"/>
      <c r="H543" s="93"/>
      <c r="I543" s="93"/>
      <c r="J543" s="93"/>
      <c r="K543" s="93"/>
      <c r="L543" s="93"/>
      <c r="M543" s="26"/>
      <c r="N543" s="26"/>
      <c r="O543" s="1"/>
      <c r="P543" s="1"/>
      <c r="Q543" s="1"/>
      <c r="R543" s="1"/>
      <c r="S543" s="1"/>
      <c r="T543" s="1"/>
      <c r="U543" s="1"/>
      <c r="V543" s="16"/>
      <c r="W543" s="1"/>
      <c r="X543" s="1"/>
    </row>
    <row r="544" spans="1:24">
      <c r="A544" s="1"/>
      <c r="B544" s="94"/>
      <c r="C544" s="1"/>
      <c r="D544" s="1"/>
      <c r="E544" s="1"/>
      <c r="F544" s="94"/>
      <c r="G544" s="94"/>
      <c r="H544" s="94"/>
      <c r="I544" s="94"/>
      <c r="J544" s="94"/>
      <c r="K544" s="94"/>
      <c r="L544" s="94"/>
      <c r="M544" s="26"/>
      <c r="N544" s="26"/>
      <c r="O544" s="1"/>
      <c r="P544" s="1"/>
      <c r="Q544" s="1"/>
      <c r="R544" s="1"/>
      <c r="S544" s="1"/>
      <c r="T544" s="1"/>
      <c r="U544" s="1"/>
      <c r="V544" s="16"/>
      <c r="W544" s="1"/>
      <c r="X544" s="1"/>
    </row>
    <row r="545" spans="1:24">
      <c r="A545" s="1"/>
      <c r="B545" s="94"/>
      <c r="C545" s="1"/>
      <c r="D545" s="1"/>
      <c r="E545" s="1"/>
      <c r="F545" s="94"/>
      <c r="G545" s="94"/>
      <c r="H545" s="94"/>
      <c r="I545" s="94"/>
      <c r="J545" s="94"/>
      <c r="K545" s="94"/>
      <c r="L545" s="94"/>
      <c r="M545" s="26"/>
      <c r="N545" s="26"/>
      <c r="O545" s="1"/>
      <c r="P545" s="1"/>
      <c r="Q545" s="1"/>
      <c r="R545" s="1"/>
      <c r="S545" s="1"/>
      <c r="T545" s="1"/>
      <c r="U545" s="1"/>
      <c r="V545" s="16"/>
      <c r="W545" s="1"/>
      <c r="X545" s="1"/>
    </row>
    <row r="546" spans="1:24">
      <c r="A546" s="1"/>
      <c r="B546" s="94"/>
      <c r="C546" s="1"/>
      <c r="D546" s="1"/>
      <c r="E546" s="1"/>
      <c r="F546" s="94"/>
      <c r="G546" s="94"/>
      <c r="H546" s="94"/>
      <c r="I546" s="94"/>
      <c r="J546" s="94"/>
      <c r="K546" s="94"/>
      <c r="L546" s="94"/>
      <c r="M546" s="26"/>
      <c r="N546" s="26"/>
      <c r="O546" s="1"/>
      <c r="P546" s="1"/>
      <c r="Q546" s="1"/>
      <c r="R546" s="1"/>
      <c r="S546" s="1"/>
      <c r="T546" s="1"/>
      <c r="U546" s="1"/>
      <c r="V546" s="16"/>
      <c r="W546" s="1"/>
      <c r="X546" s="1"/>
    </row>
    <row r="547" spans="1:24">
      <c r="A547" s="1"/>
      <c r="B547" s="94"/>
      <c r="C547" s="1"/>
      <c r="D547" s="1"/>
      <c r="E547" s="1"/>
      <c r="F547" s="94"/>
      <c r="G547" s="94"/>
      <c r="H547" s="94"/>
      <c r="I547" s="94"/>
      <c r="J547" s="94"/>
      <c r="K547" s="94"/>
      <c r="L547" s="94"/>
      <c r="M547" s="26"/>
      <c r="N547" s="26"/>
      <c r="O547" s="1"/>
      <c r="P547" s="1"/>
      <c r="Q547" s="1"/>
      <c r="R547" s="1"/>
      <c r="S547" s="1"/>
      <c r="T547" s="1"/>
      <c r="U547" s="1"/>
      <c r="V547" s="16"/>
      <c r="W547" s="1"/>
      <c r="X547" s="1"/>
    </row>
    <row r="548" spans="1:24">
      <c r="A548" s="1"/>
      <c r="M548" s="26"/>
      <c r="N548" s="26"/>
      <c r="P548" s="1"/>
      <c r="Q548" s="1"/>
      <c r="R548" s="1"/>
      <c r="S548" s="1"/>
      <c r="T548" s="1"/>
      <c r="U548" s="1"/>
      <c r="V548" s="16"/>
      <c r="W548" s="1"/>
      <c r="X548" s="1"/>
    </row>
    <row r="549" spans="1:24">
      <c r="A549" s="1"/>
      <c r="M549" s="26"/>
      <c r="N549" s="26"/>
      <c r="P549" s="1"/>
      <c r="Q549" s="1"/>
      <c r="R549" s="1"/>
      <c r="S549" s="1"/>
      <c r="T549" s="1"/>
      <c r="U549" s="1"/>
      <c r="V549" s="16"/>
      <c r="W549" s="1"/>
      <c r="X549" s="1"/>
    </row>
    <row r="550" spans="1:24">
      <c r="A550" s="1"/>
      <c r="M550" s="26"/>
      <c r="N550" s="26"/>
      <c r="P550" s="1"/>
      <c r="Q550" s="1"/>
      <c r="R550" s="1"/>
      <c r="S550" s="1"/>
      <c r="T550" s="1"/>
      <c r="U550" s="1"/>
      <c r="V550" s="16"/>
      <c r="W550" s="1"/>
      <c r="X550" s="1"/>
    </row>
    <row r="551" spans="1:24">
      <c r="A551" s="1"/>
      <c r="M551" s="26"/>
      <c r="N551" s="26"/>
      <c r="P551" s="1"/>
      <c r="Q551" s="1"/>
      <c r="R551" s="1"/>
      <c r="S551" s="1"/>
      <c r="T551" s="1"/>
      <c r="U551" s="1"/>
      <c r="V551" s="16"/>
      <c r="W551" s="1"/>
      <c r="X551" s="1"/>
    </row>
    <row r="552" spans="1:24">
      <c r="A552" s="1"/>
      <c r="M552" s="26"/>
      <c r="N552" s="26"/>
      <c r="P552" s="1"/>
      <c r="Q552" s="1"/>
      <c r="R552" s="1"/>
      <c r="S552" s="1"/>
      <c r="T552" s="1"/>
      <c r="U552" s="1"/>
      <c r="V552" s="16"/>
      <c r="W552" s="1"/>
      <c r="X552" s="1"/>
    </row>
    <row r="553" spans="1:24">
      <c r="A553" s="1"/>
      <c r="M553" s="26"/>
      <c r="N553" s="26"/>
      <c r="P553" s="1"/>
      <c r="Q553" s="1"/>
      <c r="R553" s="1"/>
      <c r="S553" s="1"/>
      <c r="T553" s="1"/>
      <c r="U553" s="1"/>
      <c r="V553" s="16"/>
      <c r="W553" s="1"/>
      <c r="X553" s="1"/>
    </row>
    <row r="554" spans="1:24">
      <c r="A554" s="1"/>
      <c r="M554" s="26"/>
      <c r="N554" s="26"/>
      <c r="P554" s="1"/>
      <c r="Q554" s="1"/>
      <c r="R554" s="1"/>
      <c r="S554" s="1"/>
      <c r="T554" s="1"/>
      <c r="U554" s="1"/>
      <c r="V554" s="16"/>
      <c r="W554" s="1"/>
      <c r="X554" s="1"/>
    </row>
    <row r="555" spans="1:24">
      <c r="A555" s="1"/>
      <c r="M555" s="26"/>
      <c r="N555" s="26"/>
      <c r="P555" s="1"/>
      <c r="Q555" s="1"/>
      <c r="R555" s="1"/>
      <c r="S555" s="1"/>
      <c r="T555" s="1"/>
      <c r="U555" s="1"/>
      <c r="V555" s="16"/>
      <c r="W555" s="1"/>
      <c r="X555" s="1"/>
    </row>
    <row r="556" spans="1:24">
      <c r="A556" s="1"/>
      <c r="M556" s="26"/>
      <c r="N556" s="26"/>
      <c r="P556" s="1"/>
      <c r="Q556" s="1"/>
      <c r="R556" s="1"/>
      <c r="S556" s="1"/>
      <c r="T556" s="1"/>
      <c r="U556" s="1"/>
      <c r="V556" s="16"/>
      <c r="W556" s="1"/>
      <c r="X556" s="1"/>
    </row>
    <row r="557" spans="1:24">
      <c r="A557" s="1"/>
      <c r="M557" s="26"/>
      <c r="N557" s="26"/>
      <c r="P557" s="1"/>
      <c r="Q557" s="1"/>
      <c r="R557" s="1"/>
      <c r="S557" s="1"/>
      <c r="T557" s="1"/>
      <c r="U557" s="1"/>
      <c r="V557" s="16"/>
      <c r="W557" s="1"/>
      <c r="X557" s="1"/>
    </row>
    <row r="558" spans="1:24">
      <c r="A558" s="1"/>
      <c r="M558" s="26"/>
      <c r="N558" s="26"/>
      <c r="P558" s="1"/>
      <c r="Q558" s="1"/>
      <c r="R558" s="1"/>
      <c r="S558" s="1"/>
      <c r="T558" s="1"/>
      <c r="U558" s="1"/>
      <c r="V558" s="16"/>
      <c r="W558" s="1"/>
      <c r="X558" s="1"/>
    </row>
    <row r="559" spans="1:24">
      <c r="A559" s="1"/>
      <c r="M559" s="26"/>
      <c r="N559" s="26"/>
      <c r="P559" s="1"/>
      <c r="Q559" s="1"/>
      <c r="R559" s="1"/>
      <c r="S559" s="1"/>
      <c r="T559" s="1"/>
      <c r="U559" s="1"/>
      <c r="V559" s="16"/>
      <c r="W559" s="1"/>
      <c r="X559" s="1"/>
    </row>
    <row r="560" spans="1:24">
      <c r="A560" s="1"/>
      <c r="M560" s="26"/>
      <c r="N560" s="26"/>
      <c r="P560" s="1"/>
      <c r="Q560" s="1"/>
      <c r="R560" s="1"/>
      <c r="S560" s="1"/>
      <c r="T560" s="1"/>
      <c r="U560" s="1"/>
      <c r="V560" s="16"/>
      <c r="W560" s="1"/>
      <c r="X560" s="1"/>
    </row>
    <row r="561" spans="1:24">
      <c r="A561" s="1"/>
      <c r="M561" s="26"/>
      <c r="N561" s="26"/>
      <c r="P561" s="1"/>
      <c r="Q561" s="1"/>
      <c r="R561" s="1"/>
      <c r="S561" s="1"/>
      <c r="T561" s="1"/>
      <c r="U561" s="1"/>
      <c r="V561" s="16"/>
      <c r="W561" s="1"/>
      <c r="X561" s="1"/>
    </row>
    <row r="562" spans="1:24">
      <c r="A562" s="1"/>
      <c r="M562" s="26"/>
      <c r="N562" s="26"/>
      <c r="P562" s="1"/>
      <c r="Q562" s="1"/>
      <c r="R562" s="1"/>
      <c r="S562" s="1"/>
      <c r="T562" s="1"/>
      <c r="U562" s="1"/>
      <c r="V562" s="16"/>
      <c r="W562" s="1"/>
      <c r="X562" s="1"/>
    </row>
    <row r="563" spans="1:24">
      <c r="A563" s="1"/>
      <c r="M563" s="26"/>
      <c r="N563" s="26"/>
      <c r="P563" s="1"/>
      <c r="Q563" s="1"/>
      <c r="R563" s="1"/>
      <c r="S563" s="1"/>
      <c r="T563" s="1"/>
      <c r="U563" s="1"/>
      <c r="V563" s="16"/>
      <c r="W563" s="1"/>
      <c r="X563" s="1"/>
    </row>
    <row r="564" spans="1:24">
      <c r="A564" s="1"/>
      <c r="M564" s="26"/>
      <c r="N564" s="26"/>
      <c r="P564" s="1"/>
      <c r="Q564" s="1"/>
      <c r="R564" s="1"/>
      <c r="S564" s="1"/>
      <c r="T564" s="1"/>
      <c r="U564" s="1"/>
      <c r="V564" s="16"/>
      <c r="W564" s="1"/>
      <c r="X564" s="1"/>
    </row>
    <row r="565" spans="1:24">
      <c r="A565" s="1"/>
      <c r="M565" s="26"/>
      <c r="N565" s="26"/>
      <c r="P565" s="1"/>
      <c r="Q565" s="1"/>
      <c r="R565" s="1"/>
      <c r="S565" s="1"/>
      <c r="T565" s="1"/>
      <c r="U565" s="1"/>
      <c r="V565" s="16"/>
      <c r="W565" s="1"/>
      <c r="X565" s="1"/>
    </row>
    <row r="566" spans="1:24">
      <c r="A566" s="1"/>
      <c r="M566" s="26"/>
      <c r="N566" s="26"/>
      <c r="P566" s="1"/>
      <c r="Q566" s="1"/>
      <c r="R566" s="1"/>
      <c r="S566" s="1"/>
      <c r="T566" s="1"/>
      <c r="U566" s="1"/>
      <c r="V566" s="16"/>
      <c r="W566" s="1"/>
      <c r="X566" s="1"/>
    </row>
    <row r="567" spans="1:24">
      <c r="A567" s="1"/>
      <c r="M567" s="26"/>
      <c r="N567" s="26"/>
      <c r="P567" s="1"/>
      <c r="Q567" s="1"/>
      <c r="R567" s="1"/>
      <c r="S567" s="1"/>
      <c r="T567" s="1"/>
      <c r="U567" s="1"/>
      <c r="V567" s="16"/>
      <c r="W567" s="1"/>
      <c r="X567" s="1"/>
    </row>
    <row r="568" spans="1:24">
      <c r="A568" s="1"/>
      <c r="M568" s="26"/>
      <c r="N568" s="26"/>
      <c r="P568" s="1"/>
      <c r="Q568" s="1"/>
      <c r="R568" s="1"/>
      <c r="S568" s="1"/>
      <c r="T568" s="1"/>
      <c r="U568" s="1"/>
      <c r="V568" s="16"/>
      <c r="W568" s="1"/>
      <c r="X568" s="1"/>
    </row>
    <row r="569" spans="1:24">
      <c r="A569" s="1"/>
      <c r="M569" s="26"/>
      <c r="N569" s="26"/>
      <c r="P569" s="1"/>
      <c r="Q569" s="1"/>
      <c r="R569" s="1"/>
      <c r="S569" s="1"/>
      <c r="T569" s="1"/>
      <c r="U569" s="1"/>
      <c r="V569" s="16"/>
      <c r="W569" s="1"/>
      <c r="X569" s="1"/>
    </row>
    <row r="570" spans="1:24">
      <c r="A570" s="1"/>
      <c r="M570" s="26"/>
      <c r="N570" s="26"/>
      <c r="P570" s="1"/>
      <c r="Q570" s="1"/>
      <c r="R570" s="1"/>
      <c r="S570" s="1"/>
      <c r="T570" s="1"/>
      <c r="U570" s="1"/>
      <c r="V570" s="16"/>
      <c r="W570" s="1"/>
      <c r="X570" s="1"/>
    </row>
    <row r="571" spans="1:24">
      <c r="A571" s="1"/>
      <c r="M571" s="26"/>
      <c r="N571" s="26"/>
      <c r="P571" s="1"/>
      <c r="Q571" s="1"/>
      <c r="R571" s="1"/>
      <c r="S571" s="1"/>
      <c r="T571" s="1"/>
      <c r="U571" s="1"/>
      <c r="V571" s="16"/>
      <c r="W571" s="1"/>
      <c r="X571" s="1"/>
    </row>
    <row r="572" spans="1:24">
      <c r="A572" s="1"/>
      <c r="M572" s="26"/>
      <c r="N572" s="26"/>
      <c r="P572" s="1"/>
      <c r="Q572" s="1"/>
      <c r="R572" s="1"/>
      <c r="S572" s="1"/>
      <c r="T572" s="1"/>
      <c r="U572" s="1"/>
      <c r="V572" s="16"/>
      <c r="W572" s="1"/>
      <c r="X572" s="1"/>
    </row>
    <row r="573" spans="1:24">
      <c r="A573" s="1"/>
      <c r="M573" s="26"/>
      <c r="N573" s="26"/>
      <c r="P573" s="1"/>
      <c r="Q573" s="1"/>
      <c r="R573" s="1"/>
      <c r="S573" s="1"/>
      <c r="T573" s="1"/>
      <c r="U573" s="1"/>
      <c r="V573" s="16"/>
      <c r="W573" s="1"/>
      <c r="X573" s="1"/>
    </row>
    <row r="574" spans="1:24">
      <c r="A574" s="1"/>
      <c r="M574" s="26"/>
      <c r="N574" s="26"/>
      <c r="P574" s="1"/>
      <c r="Q574" s="1"/>
      <c r="R574" s="1"/>
      <c r="S574" s="1"/>
      <c r="T574" s="1"/>
      <c r="U574" s="1"/>
      <c r="V574" s="16"/>
      <c r="W574" s="1"/>
      <c r="X574" s="1"/>
    </row>
    <row r="575" spans="1:24">
      <c r="A575" s="1"/>
      <c r="M575" s="26"/>
      <c r="N575" s="26"/>
      <c r="P575" s="1"/>
      <c r="Q575" s="1"/>
      <c r="R575" s="1"/>
      <c r="S575" s="1"/>
      <c r="T575" s="1"/>
      <c r="U575" s="1"/>
      <c r="V575" s="16"/>
      <c r="W575" s="1"/>
      <c r="X575" s="1"/>
    </row>
    <row r="576" spans="1:24">
      <c r="A576" s="1"/>
      <c r="M576" s="26"/>
      <c r="N576" s="26"/>
      <c r="P576" s="1"/>
      <c r="Q576" s="1"/>
      <c r="R576" s="1"/>
      <c r="S576" s="1"/>
      <c r="T576" s="1"/>
      <c r="U576" s="1"/>
      <c r="V576" s="16"/>
      <c r="W576" s="1"/>
      <c r="X576" s="1"/>
    </row>
    <row r="577" spans="1:24">
      <c r="A577" s="1"/>
      <c r="M577" s="26"/>
      <c r="N577" s="26"/>
      <c r="P577" s="1"/>
      <c r="Q577" s="1"/>
      <c r="R577" s="1"/>
      <c r="S577" s="1"/>
      <c r="T577" s="1"/>
      <c r="U577" s="1"/>
      <c r="V577" s="16"/>
      <c r="W577" s="1"/>
      <c r="X577" s="1"/>
    </row>
    <row r="578" spans="1:24">
      <c r="A578" s="1"/>
      <c r="M578" s="26"/>
      <c r="N578" s="26"/>
      <c r="P578" s="1"/>
      <c r="Q578" s="1"/>
      <c r="R578" s="1"/>
      <c r="S578" s="1"/>
      <c r="T578" s="1"/>
      <c r="U578" s="1"/>
      <c r="V578" s="16"/>
      <c r="W578" s="1"/>
      <c r="X578" s="1"/>
    </row>
    <row r="579" spans="1:24">
      <c r="A579" s="1"/>
      <c r="M579" s="26"/>
      <c r="N579" s="26"/>
      <c r="P579" s="1"/>
      <c r="Q579" s="1"/>
      <c r="R579" s="1"/>
      <c r="S579" s="1"/>
      <c r="T579" s="1"/>
      <c r="U579" s="1"/>
      <c r="V579" s="16"/>
      <c r="W579" s="1"/>
      <c r="X579" s="1"/>
    </row>
    <row r="580" spans="1:24">
      <c r="A580" s="1"/>
      <c r="M580" s="26"/>
      <c r="N580" s="26"/>
      <c r="P580" s="1"/>
      <c r="Q580" s="1"/>
      <c r="R580" s="1"/>
      <c r="S580" s="1"/>
      <c r="T580" s="1"/>
      <c r="U580" s="1"/>
      <c r="V580" s="16"/>
      <c r="W580" s="1"/>
      <c r="X580" s="1"/>
    </row>
    <row r="581" spans="1:24">
      <c r="A581" s="1"/>
      <c r="M581" s="26"/>
      <c r="N581" s="26"/>
      <c r="P581" s="1"/>
      <c r="Q581" s="1"/>
      <c r="R581" s="1"/>
      <c r="S581" s="1"/>
      <c r="T581" s="1"/>
      <c r="U581" s="1"/>
      <c r="V581" s="16"/>
      <c r="W581" s="1"/>
      <c r="X581" s="1"/>
    </row>
    <row r="582" spans="1:24">
      <c r="A582" s="1"/>
      <c r="M582" s="26"/>
      <c r="N582" s="26"/>
      <c r="P582" s="1"/>
      <c r="Q582" s="1"/>
      <c r="R582" s="1"/>
      <c r="S582" s="1"/>
      <c r="T582" s="1"/>
      <c r="U582" s="1"/>
      <c r="V582" s="16"/>
      <c r="W582" s="1"/>
      <c r="X582" s="1"/>
    </row>
    <row r="583" spans="1:24">
      <c r="A583" s="1"/>
      <c r="M583" s="26"/>
      <c r="N583" s="26"/>
      <c r="P583" s="1"/>
      <c r="Q583" s="1"/>
      <c r="R583" s="1"/>
      <c r="S583" s="1"/>
      <c r="T583" s="1"/>
      <c r="U583" s="1"/>
      <c r="V583" s="16"/>
      <c r="W583" s="1"/>
      <c r="X583" s="1"/>
    </row>
    <row r="584" spans="1:24">
      <c r="A584" s="1"/>
      <c r="M584" s="26"/>
      <c r="N584" s="26"/>
      <c r="P584" s="1"/>
      <c r="Q584" s="1"/>
      <c r="R584" s="1"/>
      <c r="S584" s="1"/>
      <c r="T584" s="1"/>
      <c r="U584" s="1"/>
      <c r="V584" s="16"/>
      <c r="W584" s="1"/>
      <c r="X584" s="1"/>
    </row>
    <row r="585" spans="1:24">
      <c r="A585" s="1"/>
      <c r="M585" s="26"/>
      <c r="N585" s="26"/>
      <c r="P585" s="1"/>
      <c r="Q585" s="1"/>
      <c r="R585" s="1"/>
      <c r="S585" s="1"/>
      <c r="T585" s="1"/>
      <c r="U585" s="1"/>
      <c r="V585" s="16"/>
      <c r="W585" s="1"/>
      <c r="X585" s="1"/>
    </row>
    <row r="586" spans="1:24">
      <c r="A586" s="1"/>
      <c r="M586" s="26"/>
      <c r="N586" s="26"/>
      <c r="P586" s="1"/>
      <c r="Q586" s="1"/>
      <c r="R586" s="1"/>
      <c r="S586" s="1"/>
      <c r="T586" s="1"/>
      <c r="U586" s="1"/>
      <c r="V586" s="16"/>
      <c r="W586" s="1"/>
      <c r="X586" s="1"/>
    </row>
    <row r="587" spans="1:24">
      <c r="A587" s="1"/>
      <c r="M587" s="26"/>
      <c r="N587" s="26"/>
      <c r="P587" s="1"/>
      <c r="Q587" s="1"/>
      <c r="R587" s="1"/>
      <c r="S587" s="1"/>
      <c r="T587" s="1"/>
      <c r="U587" s="1"/>
      <c r="V587" s="16"/>
      <c r="W587" s="1"/>
      <c r="X587" s="1"/>
    </row>
    <row r="588" spans="1:24">
      <c r="A588" s="1"/>
      <c r="M588" s="26"/>
      <c r="N588" s="26"/>
      <c r="P588" s="1"/>
      <c r="Q588" s="1"/>
      <c r="R588" s="1"/>
      <c r="S588" s="1"/>
      <c r="T588" s="1"/>
      <c r="U588" s="1"/>
      <c r="V588" s="16"/>
      <c r="W588" s="1"/>
      <c r="X588" s="1"/>
    </row>
    <row r="589" spans="1:24">
      <c r="A589" s="1"/>
      <c r="M589" s="26"/>
      <c r="N589" s="26"/>
      <c r="P589" s="1"/>
      <c r="Q589" s="1"/>
      <c r="R589" s="1"/>
      <c r="S589" s="1"/>
      <c r="T589" s="1"/>
      <c r="U589" s="1"/>
      <c r="V589" s="16"/>
      <c r="W589" s="1"/>
      <c r="X589" s="1"/>
    </row>
    <row r="590" spans="1:24">
      <c r="A590" s="1"/>
      <c r="M590" s="26"/>
      <c r="N590" s="26"/>
      <c r="P590" s="1"/>
      <c r="Q590" s="1"/>
      <c r="R590" s="1"/>
      <c r="S590" s="1"/>
      <c r="T590" s="1"/>
      <c r="U590" s="1"/>
      <c r="V590" s="16"/>
      <c r="W590" s="1"/>
      <c r="X590" s="1"/>
    </row>
    <row r="591" spans="1:24">
      <c r="A591" s="1"/>
      <c r="M591" s="26"/>
      <c r="N591" s="26"/>
      <c r="P591" s="1"/>
      <c r="Q591" s="1"/>
      <c r="R591" s="1"/>
      <c r="S591" s="1"/>
      <c r="T591" s="1"/>
      <c r="U591" s="1"/>
      <c r="V591" s="16"/>
      <c r="W591" s="1"/>
      <c r="X591" s="1"/>
    </row>
    <row r="592" spans="1:24">
      <c r="A592" s="1"/>
      <c r="M592" s="26"/>
      <c r="N592" s="26"/>
      <c r="P592" s="1"/>
      <c r="Q592" s="1"/>
      <c r="R592" s="1"/>
      <c r="S592" s="1"/>
      <c r="T592" s="1"/>
      <c r="U592" s="1"/>
      <c r="V592" s="16"/>
      <c r="W592" s="1"/>
      <c r="X592" s="1"/>
    </row>
    <row r="593" spans="1:24">
      <c r="A593" s="1"/>
      <c r="M593" s="26"/>
      <c r="N593" s="26"/>
      <c r="P593" s="1"/>
      <c r="Q593" s="1"/>
      <c r="R593" s="1"/>
      <c r="S593" s="1"/>
      <c r="T593" s="1"/>
      <c r="U593" s="1"/>
      <c r="V593" s="16"/>
      <c r="W593" s="1"/>
      <c r="X593" s="1"/>
    </row>
    <row r="594" spans="1:24">
      <c r="A594" s="1"/>
      <c r="M594" s="26"/>
      <c r="N594" s="26"/>
      <c r="P594" s="1"/>
      <c r="Q594" s="1"/>
      <c r="R594" s="1"/>
      <c r="S594" s="1"/>
      <c r="T594" s="1"/>
      <c r="U594" s="1"/>
      <c r="V594" s="16"/>
      <c r="W594" s="1"/>
      <c r="X594" s="1"/>
    </row>
    <row r="595" spans="1:24">
      <c r="A595" s="1"/>
      <c r="M595" s="26"/>
      <c r="N595" s="26"/>
      <c r="P595" s="1"/>
      <c r="Q595" s="1"/>
      <c r="R595" s="1"/>
      <c r="S595" s="1"/>
      <c r="T595" s="1"/>
      <c r="U595" s="1"/>
      <c r="V595" s="16"/>
      <c r="W595" s="1"/>
      <c r="X595" s="1"/>
    </row>
    <row r="596" spans="1:24">
      <c r="A596" s="1"/>
      <c r="M596" s="26"/>
      <c r="N596" s="26"/>
      <c r="P596" s="1"/>
      <c r="Q596" s="1"/>
      <c r="R596" s="1"/>
      <c r="S596" s="1"/>
      <c r="T596" s="1"/>
      <c r="U596" s="1"/>
      <c r="V596" s="16"/>
      <c r="W596" s="1"/>
      <c r="X596" s="1"/>
    </row>
    <row r="597" spans="1:24">
      <c r="A597" s="1"/>
      <c r="M597" s="26"/>
      <c r="N597" s="26"/>
      <c r="P597" s="1"/>
      <c r="Q597" s="1"/>
      <c r="R597" s="1"/>
      <c r="S597" s="1"/>
      <c r="T597" s="1"/>
      <c r="U597" s="1"/>
      <c r="V597" s="16"/>
      <c r="W597" s="1"/>
      <c r="X597" s="1"/>
    </row>
    <row r="598" spans="1:24">
      <c r="A598" s="1"/>
      <c r="M598" s="26"/>
      <c r="N598" s="26"/>
      <c r="P598" s="1"/>
      <c r="Q598" s="1"/>
      <c r="R598" s="1"/>
      <c r="S598" s="1"/>
      <c r="T598" s="1"/>
      <c r="U598" s="1"/>
      <c r="V598" s="16"/>
      <c r="W598" s="1"/>
      <c r="X598" s="1"/>
    </row>
    <row r="599" spans="1:24">
      <c r="A599" s="1"/>
      <c r="M599" s="26"/>
      <c r="N599" s="26"/>
      <c r="P599" s="1"/>
      <c r="Q599" s="1"/>
      <c r="R599" s="1"/>
      <c r="S599" s="1"/>
      <c r="T599" s="1"/>
      <c r="U599" s="1"/>
      <c r="V599" s="16"/>
      <c r="W599" s="1"/>
      <c r="X599" s="1"/>
    </row>
    <row r="600" spans="1:24">
      <c r="A600" s="1"/>
      <c r="M600" s="26"/>
      <c r="N600" s="26"/>
      <c r="P600" s="1"/>
      <c r="Q600" s="1"/>
      <c r="R600" s="1"/>
      <c r="S600" s="1"/>
      <c r="T600" s="1"/>
      <c r="U600" s="1"/>
      <c r="V600" s="16"/>
      <c r="W600" s="1"/>
      <c r="X600" s="1"/>
    </row>
    <row r="601" spans="1:24">
      <c r="A601" s="1"/>
      <c r="M601" s="26"/>
      <c r="N601" s="26"/>
      <c r="P601" s="1"/>
      <c r="Q601" s="1"/>
      <c r="R601" s="1"/>
      <c r="S601" s="1"/>
      <c r="T601" s="1"/>
      <c r="U601" s="1"/>
      <c r="V601" s="16"/>
      <c r="W601" s="1"/>
      <c r="X601" s="1"/>
    </row>
    <row r="602" spans="1:24">
      <c r="A602" s="1"/>
      <c r="M602" s="26"/>
      <c r="N602" s="26"/>
      <c r="P602" s="1"/>
      <c r="Q602" s="1"/>
      <c r="R602" s="1"/>
      <c r="S602" s="1"/>
      <c r="T602" s="1"/>
      <c r="U602" s="1"/>
      <c r="V602" s="16"/>
      <c r="W602" s="1"/>
      <c r="X602" s="1"/>
    </row>
    <row r="603" spans="1:24">
      <c r="A603" s="1"/>
      <c r="M603" s="26"/>
      <c r="N603" s="26"/>
      <c r="P603" s="1"/>
      <c r="Q603" s="1"/>
      <c r="R603" s="1"/>
      <c r="S603" s="1"/>
      <c r="T603" s="1"/>
      <c r="U603" s="1"/>
      <c r="V603" s="16"/>
      <c r="W603" s="1"/>
      <c r="X603" s="1"/>
    </row>
    <row r="604" spans="1:24">
      <c r="A604" s="1"/>
      <c r="M604" s="26"/>
      <c r="N604" s="26"/>
      <c r="P604" s="1"/>
      <c r="Q604" s="1"/>
      <c r="R604" s="1"/>
      <c r="S604" s="1"/>
      <c r="T604" s="1"/>
      <c r="U604" s="1"/>
      <c r="V604" s="16"/>
      <c r="W604" s="1"/>
      <c r="X604" s="1"/>
    </row>
    <row r="605" spans="1:24">
      <c r="A605" s="1"/>
      <c r="M605" s="26"/>
      <c r="N605" s="26"/>
      <c r="P605" s="1"/>
      <c r="Q605" s="1"/>
      <c r="R605" s="1"/>
      <c r="S605" s="1"/>
      <c r="T605" s="1"/>
      <c r="U605" s="1"/>
      <c r="V605" s="16"/>
      <c r="W605" s="1"/>
      <c r="X605" s="1"/>
    </row>
    <row r="606" spans="1:24">
      <c r="A606" s="1"/>
      <c r="M606" s="26"/>
      <c r="N606" s="26"/>
      <c r="P606" s="1"/>
      <c r="Q606" s="1"/>
      <c r="R606" s="1"/>
      <c r="S606" s="1"/>
      <c r="T606" s="1"/>
      <c r="U606" s="1"/>
      <c r="V606" s="16"/>
      <c r="W606" s="1"/>
      <c r="X606" s="1"/>
    </row>
    <row r="607" spans="1:24">
      <c r="A607" s="1"/>
      <c r="M607" s="26"/>
      <c r="N607" s="26"/>
      <c r="P607" s="1"/>
      <c r="Q607" s="1"/>
      <c r="R607" s="1"/>
      <c r="S607" s="1"/>
      <c r="T607" s="1"/>
      <c r="U607" s="1"/>
      <c r="V607" s="16"/>
      <c r="W607" s="1"/>
      <c r="X607" s="1"/>
    </row>
    <row r="608" spans="1:24">
      <c r="A608" s="1"/>
      <c r="M608" s="26"/>
      <c r="N608" s="26"/>
      <c r="P608" s="1"/>
      <c r="Q608" s="1"/>
      <c r="R608" s="1"/>
      <c r="S608" s="1"/>
      <c r="T608" s="1"/>
      <c r="U608" s="1"/>
      <c r="V608" s="16"/>
      <c r="W608" s="1"/>
      <c r="X608" s="1"/>
    </row>
    <row r="609" spans="1:24">
      <c r="A609" s="1"/>
      <c r="M609" s="26"/>
      <c r="N609" s="26"/>
      <c r="P609" s="1"/>
      <c r="Q609" s="1"/>
      <c r="R609" s="1"/>
      <c r="S609" s="1"/>
      <c r="T609" s="1"/>
      <c r="U609" s="1"/>
      <c r="V609" s="16"/>
      <c r="W609" s="1"/>
      <c r="X609" s="1"/>
    </row>
    <row r="610" spans="1:24">
      <c r="A610" s="1"/>
      <c r="M610" s="26"/>
      <c r="N610" s="26"/>
      <c r="P610" s="1"/>
      <c r="Q610" s="1"/>
      <c r="R610" s="1"/>
      <c r="S610" s="1"/>
      <c r="T610" s="1"/>
      <c r="U610" s="1"/>
      <c r="V610" s="16"/>
      <c r="W610" s="1"/>
      <c r="X610" s="1"/>
    </row>
    <row r="611" spans="1:24">
      <c r="A611" s="1"/>
      <c r="M611" s="26"/>
      <c r="N611" s="26"/>
      <c r="P611" s="1"/>
      <c r="Q611" s="1"/>
      <c r="R611" s="1"/>
      <c r="S611" s="1"/>
      <c r="T611" s="1"/>
      <c r="U611" s="1"/>
      <c r="V611" s="16"/>
      <c r="W611" s="1"/>
      <c r="X611" s="1"/>
    </row>
    <row r="612" spans="1:24">
      <c r="A612" s="1"/>
      <c r="M612" s="26"/>
      <c r="N612" s="26"/>
      <c r="P612" s="1"/>
      <c r="Q612" s="1"/>
      <c r="R612" s="1"/>
      <c r="S612" s="1"/>
      <c r="T612" s="1"/>
      <c r="U612" s="1"/>
      <c r="V612" s="16"/>
      <c r="W612" s="1"/>
      <c r="X612" s="1"/>
    </row>
    <row r="613" spans="1:24">
      <c r="A613" s="1"/>
      <c r="M613" s="26"/>
      <c r="N613" s="26"/>
      <c r="P613" s="1"/>
      <c r="Q613" s="1"/>
      <c r="R613" s="1"/>
      <c r="S613" s="1"/>
      <c r="T613" s="1"/>
      <c r="U613" s="1"/>
      <c r="V613" s="16"/>
      <c r="W613" s="1"/>
      <c r="X613" s="1"/>
    </row>
    <row r="614" spans="1:24">
      <c r="A614" s="1"/>
      <c r="M614" s="26"/>
      <c r="N614" s="26"/>
      <c r="P614" s="1"/>
      <c r="Q614" s="1"/>
      <c r="R614" s="1"/>
      <c r="S614" s="1"/>
      <c r="T614" s="1"/>
      <c r="U614" s="1"/>
      <c r="V614" s="16"/>
      <c r="W614" s="1"/>
      <c r="X614" s="1"/>
    </row>
    <row r="615" spans="1:24">
      <c r="A615" s="1"/>
      <c r="M615" s="26"/>
      <c r="N615" s="26"/>
      <c r="P615" s="1"/>
      <c r="Q615" s="1"/>
      <c r="R615" s="1"/>
      <c r="S615" s="1"/>
      <c r="T615" s="1"/>
      <c r="U615" s="1"/>
      <c r="V615" s="16"/>
      <c r="W615" s="1"/>
      <c r="X615" s="1"/>
    </row>
    <row r="616" spans="1:24">
      <c r="A616" s="1"/>
      <c r="M616" s="26"/>
      <c r="N616" s="26"/>
      <c r="P616" s="1"/>
      <c r="Q616" s="1"/>
      <c r="R616" s="1"/>
      <c r="S616" s="1"/>
      <c r="T616" s="1"/>
      <c r="U616" s="1"/>
      <c r="V616" s="16"/>
      <c r="W616" s="1"/>
      <c r="X616" s="1"/>
    </row>
    <row r="617" spans="1:24">
      <c r="A617" s="1"/>
      <c r="M617" s="26"/>
      <c r="N617" s="26"/>
      <c r="P617" s="1"/>
      <c r="Q617" s="1"/>
      <c r="R617" s="1"/>
      <c r="S617" s="1"/>
      <c r="T617" s="1"/>
      <c r="U617" s="1"/>
      <c r="V617" s="16"/>
      <c r="W617" s="1"/>
      <c r="X617" s="1"/>
    </row>
    <row r="618" spans="1:24">
      <c r="A618" s="1"/>
      <c r="M618" s="26"/>
      <c r="N618" s="26"/>
      <c r="P618" s="1"/>
      <c r="Q618" s="1"/>
      <c r="R618" s="1"/>
      <c r="S618" s="1"/>
      <c r="T618" s="1"/>
      <c r="U618" s="1"/>
      <c r="V618" s="16"/>
      <c r="W618" s="1"/>
      <c r="X618" s="1"/>
    </row>
    <row r="619" spans="1:24">
      <c r="A619" s="1"/>
      <c r="M619" s="26"/>
      <c r="N619" s="26"/>
      <c r="P619" s="1"/>
      <c r="Q619" s="1"/>
      <c r="R619" s="1"/>
      <c r="S619" s="1"/>
      <c r="T619" s="1"/>
      <c r="U619" s="1"/>
      <c r="V619" s="16"/>
      <c r="W619" s="1"/>
      <c r="X619" s="1"/>
    </row>
    <row r="620" spans="1:24">
      <c r="A620" s="1"/>
      <c r="M620" s="26"/>
      <c r="N620" s="26"/>
      <c r="P620" s="1"/>
      <c r="Q620" s="1"/>
      <c r="R620" s="1"/>
      <c r="S620" s="1"/>
      <c r="T620" s="1"/>
      <c r="U620" s="1"/>
      <c r="V620" s="16"/>
      <c r="W620" s="1"/>
      <c r="X620" s="1"/>
    </row>
    <row r="621" spans="1:24">
      <c r="A621" s="1"/>
      <c r="M621" s="26"/>
      <c r="N621" s="26"/>
      <c r="P621" s="1"/>
      <c r="Q621" s="1"/>
      <c r="R621" s="1"/>
      <c r="S621" s="1"/>
      <c r="T621" s="1"/>
      <c r="U621" s="1"/>
      <c r="V621" s="16"/>
      <c r="W621" s="1"/>
      <c r="X621" s="1"/>
    </row>
    <row r="622" spans="1:24">
      <c r="A622" s="1"/>
      <c r="M622" s="26"/>
      <c r="N622" s="26"/>
      <c r="P622" s="1"/>
      <c r="Q622" s="1"/>
      <c r="R622" s="1"/>
      <c r="S622" s="1"/>
      <c r="T622" s="1"/>
      <c r="U622" s="1"/>
      <c r="V622" s="16"/>
      <c r="W622" s="1"/>
      <c r="X622" s="1"/>
    </row>
    <row r="623" spans="1:24">
      <c r="A623" s="1"/>
      <c r="M623" s="26"/>
      <c r="N623" s="26"/>
      <c r="P623" s="1"/>
      <c r="Q623" s="1"/>
      <c r="R623" s="1"/>
      <c r="S623" s="1"/>
      <c r="T623" s="1"/>
      <c r="U623" s="1"/>
      <c r="V623" s="16"/>
      <c r="W623" s="1"/>
      <c r="X623" s="1"/>
    </row>
    <row r="624" spans="1:24">
      <c r="A624" s="1"/>
      <c r="M624" s="26"/>
      <c r="N624" s="26"/>
      <c r="P624" s="1"/>
      <c r="Q624" s="1"/>
      <c r="R624" s="1"/>
      <c r="S624" s="1"/>
      <c r="T624" s="1"/>
      <c r="U624" s="1"/>
      <c r="V624" s="16"/>
      <c r="W624" s="1"/>
      <c r="X624" s="1"/>
    </row>
    <row r="625" spans="1:24">
      <c r="A625" s="1"/>
      <c r="M625" s="26"/>
      <c r="N625" s="26"/>
      <c r="P625" s="1"/>
      <c r="Q625" s="1"/>
      <c r="R625" s="1"/>
      <c r="S625" s="1"/>
      <c r="T625" s="1"/>
      <c r="U625" s="1"/>
      <c r="V625" s="16"/>
      <c r="W625" s="1"/>
      <c r="X625" s="1"/>
    </row>
    <row r="626" spans="1:24">
      <c r="A626" s="1"/>
      <c r="M626" s="26"/>
      <c r="N626" s="26"/>
      <c r="P626" s="1"/>
      <c r="Q626" s="1"/>
      <c r="R626" s="1"/>
      <c r="S626" s="1"/>
      <c r="T626" s="1"/>
      <c r="U626" s="1"/>
      <c r="V626" s="16"/>
      <c r="W626" s="1"/>
      <c r="X626" s="1"/>
    </row>
    <row r="627" spans="1:24">
      <c r="A627" s="1"/>
      <c r="M627" s="26"/>
      <c r="N627" s="26"/>
      <c r="P627" s="1"/>
      <c r="Q627" s="1"/>
      <c r="R627" s="1"/>
      <c r="S627" s="1"/>
      <c r="T627" s="1"/>
      <c r="U627" s="1"/>
      <c r="V627" s="16"/>
      <c r="W627" s="1"/>
      <c r="X627" s="1"/>
    </row>
    <row r="628" spans="1:24">
      <c r="A628" s="1"/>
      <c r="M628" s="26"/>
      <c r="N628" s="26"/>
      <c r="P628" s="1"/>
      <c r="Q628" s="1"/>
      <c r="R628" s="1"/>
      <c r="S628" s="1"/>
      <c r="T628" s="1"/>
      <c r="U628" s="1"/>
      <c r="V628" s="16"/>
      <c r="W628" s="1"/>
      <c r="X628" s="1"/>
    </row>
    <row r="629" spans="1:24">
      <c r="A629" s="1"/>
      <c r="M629" s="26"/>
      <c r="N629" s="26"/>
      <c r="P629" s="1"/>
      <c r="Q629" s="1"/>
      <c r="R629" s="1"/>
      <c r="S629" s="1"/>
      <c r="T629" s="1"/>
      <c r="U629" s="1"/>
      <c r="V629" s="16"/>
      <c r="W629" s="1"/>
      <c r="X629" s="1"/>
    </row>
    <row r="630" spans="1:24">
      <c r="A630" s="1"/>
      <c r="M630" s="26"/>
      <c r="N630" s="26"/>
      <c r="P630" s="1"/>
      <c r="Q630" s="1"/>
      <c r="R630" s="1"/>
      <c r="S630" s="1"/>
      <c r="T630" s="1"/>
      <c r="U630" s="1"/>
      <c r="V630" s="16"/>
      <c r="W630" s="1"/>
      <c r="X630" s="1"/>
    </row>
    <row r="631" spans="1:24">
      <c r="A631" s="1"/>
      <c r="M631" s="26"/>
      <c r="N631" s="26"/>
      <c r="P631" s="1"/>
      <c r="Q631" s="1"/>
      <c r="R631" s="1"/>
      <c r="S631" s="1"/>
      <c r="T631" s="1"/>
      <c r="U631" s="1"/>
      <c r="V631" s="16"/>
      <c r="W631" s="1"/>
      <c r="X631" s="1"/>
    </row>
    <row r="632" spans="1:24">
      <c r="A632" s="1"/>
      <c r="M632" s="26"/>
      <c r="N632" s="26"/>
      <c r="P632" s="1"/>
      <c r="Q632" s="1"/>
      <c r="R632" s="1"/>
      <c r="S632" s="1"/>
      <c r="T632" s="1"/>
      <c r="U632" s="1"/>
      <c r="V632" s="16"/>
      <c r="W632" s="1"/>
      <c r="X632" s="1"/>
    </row>
    <row r="633" spans="1:24">
      <c r="A633" s="1"/>
      <c r="M633" s="26"/>
      <c r="N633" s="26"/>
      <c r="P633" s="1"/>
      <c r="Q633" s="1"/>
      <c r="R633" s="1"/>
      <c r="S633" s="1"/>
      <c r="T633" s="1"/>
      <c r="U633" s="1"/>
      <c r="V633" s="16"/>
      <c r="W633" s="1"/>
      <c r="X633" s="1"/>
    </row>
    <row r="634" spans="1:24">
      <c r="A634" s="1"/>
      <c r="M634" s="26"/>
      <c r="N634" s="26"/>
      <c r="P634" s="1"/>
      <c r="Q634" s="1"/>
      <c r="R634" s="1"/>
      <c r="S634" s="1"/>
      <c r="T634" s="1"/>
      <c r="U634" s="1"/>
      <c r="V634" s="16"/>
      <c r="W634" s="1"/>
      <c r="X634" s="1"/>
    </row>
    <row r="635" spans="1:24">
      <c r="A635" s="1"/>
      <c r="M635" s="26"/>
      <c r="N635" s="26"/>
      <c r="P635" s="1"/>
      <c r="Q635" s="1"/>
      <c r="R635" s="1"/>
      <c r="S635" s="1"/>
      <c r="T635" s="1"/>
      <c r="U635" s="1"/>
      <c r="V635" s="16"/>
      <c r="W635" s="1"/>
      <c r="X635" s="1"/>
    </row>
    <row r="636" spans="1:24">
      <c r="A636" s="1"/>
      <c r="M636" s="26"/>
      <c r="N636" s="26"/>
      <c r="P636" s="1"/>
      <c r="Q636" s="1"/>
      <c r="R636" s="1"/>
      <c r="S636" s="1"/>
      <c r="T636" s="1"/>
      <c r="U636" s="1"/>
      <c r="V636" s="16"/>
      <c r="W636" s="1"/>
      <c r="X636" s="1"/>
    </row>
    <row r="637" spans="1:24">
      <c r="A637" s="1"/>
      <c r="M637" s="26"/>
      <c r="N637" s="26"/>
      <c r="P637" s="1"/>
      <c r="Q637" s="1"/>
      <c r="R637" s="1"/>
      <c r="S637" s="1"/>
      <c r="T637" s="1"/>
      <c r="U637" s="1"/>
      <c r="V637" s="16"/>
      <c r="W637" s="1"/>
      <c r="X637" s="1"/>
    </row>
    <row r="638" spans="1:24">
      <c r="A638" s="1"/>
      <c r="M638" s="26"/>
      <c r="N638" s="26"/>
      <c r="P638" s="1"/>
      <c r="Q638" s="1"/>
      <c r="R638" s="1"/>
      <c r="S638" s="1"/>
      <c r="T638" s="1"/>
      <c r="U638" s="1"/>
      <c r="V638" s="16"/>
      <c r="W638" s="1"/>
      <c r="X638" s="1"/>
    </row>
    <row r="639" spans="1:24">
      <c r="A639" s="1"/>
      <c r="M639" s="26"/>
      <c r="N639" s="26"/>
      <c r="P639" s="1"/>
      <c r="Q639" s="1"/>
      <c r="R639" s="1"/>
      <c r="S639" s="1"/>
      <c r="T639" s="1"/>
      <c r="U639" s="1"/>
      <c r="V639" s="16"/>
      <c r="W639" s="1"/>
      <c r="X639" s="1"/>
    </row>
    <row r="640" spans="1:24">
      <c r="A640" s="1"/>
      <c r="M640" s="26"/>
      <c r="N640" s="26"/>
      <c r="P640" s="1"/>
      <c r="Q640" s="1"/>
      <c r="R640" s="1"/>
      <c r="S640" s="1"/>
      <c r="T640" s="1"/>
      <c r="U640" s="1"/>
      <c r="V640" s="16"/>
      <c r="W640" s="1"/>
      <c r="X640" s="1"/>
    </row>
    <row r="641" spans="1:24">
      <c r="A641" s="1"/>
      <c r="M641" s="26"/>
      <c r="N641" s="26"/>
      <c r="P641" s="1"/>
      <c r="Q641" s="1"/>
      <c r="R641" s="1"/>
      <c r="S641" s="1"/>
      <c r="T641" s="1"/>
      <c r="U641" s="1"/>
      <c r="V641" s="16"/>
      <c r="W641" s="1"/>
      <c r="X641" s="1"/>
    </row>
    <row r="642" spans="1:24">
      <c r="A642" s="1"/>
      <c r="M642" s="26"/>
      <c r="N642" s="26"/>
      <c r="P642" s="1"/>
      <c r="Q642" s="1"/>
      <c r="R642" s="1"/>
      <c r="S642" s="1"/>
      <c r="T642" s="1"/>
      <c r="U642" s="1"/>
      <c r="V642" s="16"/>
      <c r="W642" s="1"/>
      <c r="X642" s="1"/>
    </row>
    <row r="643" spans="1:24">
      <c r="A643" s="1"/>
      <c r="M643" s="26"/>
      <c r="N643" s="26"/>
      <c r="P643" s="1"/>
      <c r="Q643" s="1"/>
      <c r="R643" s="1"/>
      <c r="S643" s="1"/>
      <c r="T643" s="1"/>
      <c r="U643" s="1"/>
      <c r="V643" s="16"/>
      <c r="W643" s="1"/>
      <c r="X643" s="1"/>
    </row>
    <row r="644" spans="1:24">
      <c r="A644" s="1"/>
      <c r="M644" s="26"/>
      <c r="N644" s="26"/>
      <c r="P644" s="1"/>
      <c r="Q644" s="1"/>
      <c r="R644" s="1"/>
      <c r="S644" s="1"/>
      <c r="T644" s="1"/>
      <c r="U644" s="1"/>
      <c r="V644" s="16"/>
      <c r="W644" s="1"/>
      <c r="X644" s="1"/>
    </row>
    <row r="645" spans="1:24">
      <c r="A645" s="1"/>
      <c r="M645" s="26"/>
      <c r="N645" s="26"/>
      <c r="P645" s="1"/>
      <c r="Q645" s="1"/>
      <c r="R645" s="1"/>
      <c r="S645" s="1"/>
      <c r="T645" s="1"/>
      <c r="U645" s="1"/>
      <c r="V645" s="16"/>
      <c r="W645" s="1"/>
      <c r="X645" s="1"/>
    </row>
    <row r="646" spans="1:24">
      <c r="A646" s="1"/>
      <c r="M646" s="26"/>
      <c r="N646" s="26"/>
      <c r="P646" s="1"/>
      <c r="Q646" s="1"/>
      <c r="R646" s="1"/>
      <c r="S646" s="1"/>
      <c r="T646" s="1"/>
      <c r="U646" s="1"/>
      <c r="V646" s="16"/>
      <c r="W646" s="1"/>
      <c r="X646" s="1"/>
    </row>
    <row r="647" spans="1:24">
      <c r="A647" s="1"/>
      <c r="M647" s="26"/>
      <c r="N647" s="26"/>
      <c r="P647" s="1"/>
      <c r="Q647" s="1"/>
      <c r="R647" s="1"/>
      <c r="S647" s="1"/>
      <c r="T647" s="1"/>
      <c r="U647" s="1"/>
      <c r="V647" s="16"/>
      <c r="W647" s="1"/>
      <c r="X647" s="1"/>
    </row>
    <row r="648" spans="1:24">
      <c r="A648" s="1"/>
      <c r="M648" s="26"/>
      <c r="N648" s="26"/>
      <c r="P648" s="1"/>
      <c r="Q648" s="1"/>
      <c r="R648" s="1"/>
      <c r="S648" s="1"/>
      <c r="T648" s="1"/>
      <c r="U648" s="1"/>
      <c r="V648" s="16"/>
      <c r="W648" s="1"/>
      <c r="X648" s="1"/>
    </row>
    <row r="649" spans="1:24">
      <c r="A649" s="1"/>
      <c r="M649" s="26"/>
      <c r="N649" s="26"/>
      <c r="P649" s="1"/>
      <c r="Q649" s="1"/>
      <c r="R649" s="1"/>
      <c r="S649" s="1"/>
      <c r="T649" s="1"/>
      <c r="U649" s="1"/>
      <c r="V649" s="16"/>
      <c r="W649" s="1"/>
      <c r="X649" s="1"/>
    </row>
    <row r="650" spans="1:24">
      <c r="A650" s="1"/>
      <c r="M650" s="26"/>
      <c r="N650" s="26"/>
      <c r="P650" s="1"/>
      <c r="Q650" s="1"/>
      <c r="R650" s="1"/>
      <c r="S650" s="1"/>
      <c r="T650" s="1"/>
      <c r="U650" s="1"/>
      <c r="V650" s="16"/>
      <c r="W650" s="1"/>
      <c r="X650" s="1"/>
    </row>
    <row r="651" spans="1:24">
      <c r="A651" s="1"/>
      <c r="M651" s="26"/>
      <c r="N651" s="26"/>
      <c r="P651" s="1"/>
      <c r="Q651" s="1"/>
      <c r="R651" s="1"/>
      <c r="S651" s="1"/>
      <c r="T651" s="1"/>
      <c r="U651" s="1"/>
      <c r="V651" s="16"/>
      <c r="W651" s="1"/>
      <c r="X651" s="1"/>
    </row>
    <row r="652" spans="1:24">
      <c r="A652" s="1"/>
      <c r="M652" s="26"/>
      <c r="N652" s="26"/>
      <c r="P652" s="1"/>
      <c r="Q652" s="1"/>
      <c r="R652" s="1"/>
      <c r="S652" s="1"/>
      <c r="T652" s="1"/>
      <c r="U652" s="1"/>
      <c r="V652" s="16"/>
      <c r="W652" s="1"/>
      <c r="X652" s="1"/>
    </row>
    <row r="653" spans="1:24">
      <c r="A653" s="1"/>
      <c r="M653" s="26"/>
      <c r="N653" s="26"/>
      <c r="P653" s="1"/>
      <c r="Q653" s="1"/>
      <c r="R653" s="1"/>
      <c r="S653" s="1"/>
      <c r="T653" s="1"/>
      <c r="U653" s="1"/>
      <c r="V653" s="16"/>
      <c r="W653" s="1"/>
      <c r="X653" s="1"/>
    </row>
    <row r="654" spans="1:24">
      <c r="A654" s="1"/>
      <c r="M654" s="26"/>
      <c r="N654" s="26"/>
      <c r="P654" s="1"/>
      <c r="Q654" s="1"/>
      <c r="R654" s="1"/>
      <c r="S654" s="1"/>
      <c r="T654" s="1"/>
      <c r="U654" s="1"/>
      <c r="V654" s="16"/>
      <c r="W654" s="1"/>
      <c r="X654" s="1"/>
    </row>
    <row r="655" spans="1:24">
      <c r="A655" s="1"/>
      <c r="M655" s="26"/>
      <c r="N655" s="26"/>
      <c r="P655" s="1"/>
      <c r="Q655" s="1"/>
      <c r="R655" s="1"/>
      <c r="S655" s="1"/>
      <c r="T655" s="1"/>
      <c r="U655" s="1"/>
      <c r="V655" s="16"/>
      <c r="W655" s="1"/>
      <c r="X655" s="1"/>
    </row>
    <row r="656" spans="1:24">
      <c r="A656" s="1"/>
      <c r="M656" s="26"/>
      <c r="N656" s="26"/>
      <c r="P656" s="1"/>
      <c r="Q656" s="1"/>
      <c r="R656" s="1"/>
      <c r="S656" s="1"/>
      <c r="T656" s="1"/>
      <c r="U656" s="1"/>
      <c r="V656" s="16"/>
      <c r="W656" s="1"/>
      <c r="X656" s="1"/>
    </row>
    <row r="657" spans="1:24">
      <c r="A657" s="1"/>
      <c r="M657" s="26"/>
      <c r="N657" s="26"/>
      <c r="P657" s="1"/>
      <c r="Q657" s="1"/>
      <c r="R657" s="1"/>
      <c r="S657" s="1"/>
      <c r="T657" s="1"/>
      <c r="U657" s="1"/>
      <c r="V657" s="16"/>
      <c r="W657" s="1"/>
      <c r="X657" s="1"/>
    </row>
    <row r="658" spans="1:24">
      <c r="A658" s="1"/>
      <c r="M658" s="26"/>
      <c r="N658" s="26"/>
      <c r="P658" s="1"/>
      <c r="Q658" s="1"/>
      <c r="R658" s="1"/>
      <c r="S658" s="1"/>
      <c r="T658" s="1"/>
      <c r="U658" s="1"/>
      <c r="V658" s="16"/>
      <c r="W658" s="1"/>
      <c r="X658" s="1"/>
    </row>
    <row r="659" spans="1:24">
      <c r="A659" s="1"/>
      <c r="M659" s="26"/>
      <c r="N659" s="26"/>
      <c r="P659" s="1"/>
      <c r="Q659" s="1"/>
      <c r="R659" s="1"/>
      <c r="S659" s="1"/>
      <c r="T659" s="1"/>
      <c r="U659" s="1"/>
      <c r="V659" s="16"/>
      <c r="W659" s="1"/>
      <c r="X659" s="1"/>
    </row>
    <row r="660" spans="1:24">
      <c r="A660" s="1"/>
      <c r="M660" s="26"/>
      <c r="N660" s="26"/>
      <c r="P660" s="1"/>
      <c r="Q660" s="1"/>
      <c r="R660" s="1"/>
      <c r="S660" s="1"/>
      <c r="T660" s="1"/>
      <c r="U660" s="1"/>
      <c r="V660" s="16"/>
      <c r="W660" s="1"/>
      <c r="X660" s="1"/>
    </row>
    <row r="661" spans="1:24">
      <c r="A661" s="1"/>
      <c r="M661" s="26"/>
      <c r="N661" s="26"/>
      <c r="P661" s="1"/>
      <c r="Q661" s="1"/>
      <c r="R661" s="1"/>
      <c r="S661" s="1"/>
      <c r="T661" s="1"/>
      <c r="U661" s="1"/>
      <c r="V661" s="16"/>
      <c r="W661" s="1"/>
      <c r="X661" s="1"/>
    </row>
    <row r="662" spans="1:24">
      <c r="A662" s="1"/>
      <c r="M662" s="26"/>
      <c r="N662" s="26"/>
      <c r="P662" s="1"/>
      <c r="Q662" s="1"/>
      <c r="R662" s="1"/>
      <c r="S662" s="1"/>
      <c r="T662" s="1"/>
      <c r="U662" s="1"/>
      <c r="V662" s="16"/>
      <c r="W662" s="1"/>
      <c r="X662" s="1"/>
    </row>
    <row r="663" spans="1:24">
      <c r="A663" s="1"/>
      <c r="M663" s="26"/>
      <c r="N663" s="26"/>
      <c r="P663" s="1"/>
      <c r="Q663" s="1"/>
      <c r="R663" s="1"/>
      <c r="S663" s="1"/>
      <c r="T663" s="1"/>
      <c r="U663" s="1"/>
      <c r="V663" s="16"/>
      <c r="W663" s="1"/>
      <c r="X663" s="1"/>
    </row>
    <row r="664" spans="1:24">
      <c r="A664" s="1"/>
      <c r="M664" s="26"/>
      <c r="N664" s="26"/>
      <c r="P664" s="1"/>
      <c r="Q664" s="1"/>
      <c r="R664" s="1"/>
      <c r="S664" s="1"/>
      <c r="T664" s="1"/>
      <c r="U664" s="1"/>
      <c r="V664" s="16"/>
      <c r="W664" s="1"/>
      <c r="X664" s="1"/>
    </row>
    <row r="665" spans="1:24">
      <c r="A665" s="1"/>
      <c r="M665" s="26"/>
      <c r="N665" s="26"/>
      <c r="P665" s="1"/>
      <c r="Q665" s="1"/>
      <c r="R665" s="1"/>
      <c r="S665" s="1"/>
      <c r="T665" s="1"/>
      <c r="U665" s="1"/>
      <c r="V665" s="16"/>
      <c r="W665" s="1"/>
      <c r="X665" s="1"/>
    </row>
    <row r="666" spans="1:24">
      <c r="A666" s="1"/>
      <c r="M666" s="26"/>
      <c r="N666" s="26"/>
      <c r="P666" s="1"/>
      <c r="Q666" s="1"/>
      <c r="R666" s="1"/>
      <c r="S666" s="1"/>
      <c r="T666" s="1"/>
      <c r="U666" s="1"/>
      <c r="V666" s="16"/>
      <c r="W666" s="1"/>
      <c r="X666" s="1"/>
    </row>
    <row r="667" spans="1:24">
      <c r="A667" s="1"/>
      <c r="M667" s="26"/>
      <c r="N667" s="26"/>
      <c r="P667" s="1"/>
      <c r="Q667" s="1"/>
      <c r="R667" s="1"/>
      <c r="S667" s="1"/>
      <c r="T667" s="1"/>
      <c r="U667" s="1"/>
      <c r="V667" s="16"/>
      <c r="W667" s="1"/>
      <c r="X667" s="1"/>
    </row>
    <row r="668" spans="1:24">
      <c r="A668" s="1"/>
      <c r="M668" s="26"/>
      <c r="N668" s="26"/>
      <c r="P668" s="1"/>
      <c r="Q668" s="1"/>
      <c r="R668" s="1"/>
      <c r="S668" s="1"/>
      <c r="T668" s="1"/>
      <c r="U668" s="1"/>
      <c r="V668" s="16"/>
      <c r="W668" s="1"/>
      <c r="X668" s="1"/>
    </row>
    <row r="669" spans="1:24">
      <c r="A669" s="1"/>
      <c r="M669" s="26"/>
      <c r="N669" s="26"/>
      <c r="P669" s="1"/>
      <c r="Q669" s="1"/>
      <c r="R669" s="1"/>
      <c r="S669" s="1"/>
      <c r="T669" s="1"/>
      <c r="U669" s="1"/>
      <c r="V669" s="16"/>
      <c r="W669" s="1"/>
      <c r="X669" s="1"/>
    </row>
    <row r="670" spans="1:24">
      <c r="A670" s="1"/>
      <c r="M670" s="26"/>
      <c r="N670" s="26"/>
      <c r="P670" s="1"/>
      <c r="Q670" s="1"/>
      <c r="R670" s="1"/>
      <c r="S670" s="1"/>
      <c r="T670" s="1"/>
      <c r="U670" s="1"/>
      <c r="V670" s="16"/>
      <c r="W670" s="1"/>
      <c r="X670" s="1"/>
    </row>
    <row r="671" spans="1:24">
      <c r="A671" s="1"/>
      <c r="M671" s="26"/>
      <c r="N671" s="26"/>
      <c r="P671" s="1"/>
      <c r="Q671" s="1"/>
      <c r="R671" s="1"/>
      <c r="S671" s="1"/>
      <c r="T671" s="1"/>
      <c r="U671" s="1"/>
      <c r="V671" s="16"/>
      <c r="W671" s="1"/>
      <c r="X671" s="1"/>
    </row>
    <row r="672" spans="1:24">
      <c r="A672" s="1"/>
      <c r="M672" s="26"/>
      <c r="N672" s="26"/>
      <c r="P672" s="1"/>
      <c r="Q672" s="1"/>
      <c r="R672" s="1"/>
      <c r="S672" s="1"/>
      <c r="T672" s="1"/>
      <c r="U672" s="1"/>
      <c r="V672" s="16"/>
      <c r="W672" s="1"/>
      <c r="X672" s="1"/>
    </row>
    <row r="673" spans="1:24">
      <c r="A673" s="1"/>
      <c r="M673" s="26"/>
      <c r="N673" s="26"/>
      <c r="P673" s="1"/>
      <c r="Q673" s="1"/>
      <c r="R673" s="1"/>
      <c r="S673" s="1"/>
      <c r="T673" s="1"/>
      <c r="U673" s="1"/>
      <c r="V673" s="16"/>
      <c r="W673" s="1"/>
      <c r="X673" s="1"/>
    </row>
    <row r="674" spans="1:24">
      <c r="A674" s="1"/>
      <c r="M674" s="26"/>
      <c r="N674" s="26"/>
      <c r="P674" s="1"/>
      <c r="Q674" s="1"/>
      <c r="R674" s="1"/>
      <c r="S674" s="1"/>
      <c r="T674" s="1"/>
      <c r="U674" s="1"/>
      <c r="V674" s="16"/>
      <c r="W674" s="1"/>
      <c r="X674" s="1"/>
    </row>
    <row r="675" spans="1:24">
      <c r="A675" s="1"/>
      <c r="M675" s="26"/>
      <c r="N675" s="26"/>
      <c r="P675" s="1"/>
      <c r="Q675" s="1"/>
      <c r="R675" s="1"/>
      <c r="S675" s="1"/>
      <c r="T675" s="1"/>
      <c r="U675" s="1"/>
      <c r="V675" s="16"/>
      <c r="W675" s="1"/>
      <c r="X675" s="1"/>
    </row>
    <row r="676" spans="1:24">
      <c r="A676" s="1"/>
      <c r="M676" s="26"/>
      <c r="N676" s="26"/>
      <c r="P676" s="1"/>
      <c r="Q676" s="1"/>
      <c r="R676" s="1"/>
      <c r="S676" s="1"/>
      <c r="T676" s="1"/>
      <c r="U676" s="1"/>
      <c r="V676" s="16"/>
      <c r="W676" s="1"/>
      <c r="X676" s="1"/>
    </row>
    <row r="677" spans="1:24">
      <c r="A677" s="1"/>
      <c r="M677" s="26"/>
      <c r="N677" s="26"/>
      <c r="P677" s="1"/>
      <c r="Q677" s="1"/>
      <c r="R677" s="1"/>
      <c r="S677" s="1"/>
      <c r="T677" s="1"/>
      <c r="U677" s="1"/>
      <c r="V677" s="16"/>
      <c r="W677" s="1"/>
      <c r="X677" s="1"/>
    </row>
    <row r="678" spans="1:24">
      <c r="A678" s="1"/>
      <c r="M678" s="26"/>
      <c r="N678" s="26"/>
      <c r="P678" s="1"/>
      <c r="Q678" s="1"/>
      <c r="R678" s="1"/>
      <c r="S678" s="1"/>
      <c r="T678" s="1"/>
      <c r="U678" s="1"/>
      <c r="V678" s="16"/>
      <c r="W678" s="1"/>
      <c r="X678" s="1"/>
    </row>
    <row r="679" spans="1:24">
      <c r="A679" s="1"/>
      <c r="M679" s="26"/>
      <c r="N679" s="26"/>
      <c r="P679" s="1"/>
      <c r="Q679" s="1"/>
      <c r="R679" s="1"/>
      <c r="S679" s="1"/>
      <c r="T679" s="1"/>
      <c r="U679" s="1"/>
      <c r="V679" s="16"/>
      <c r="W679" s="1"/>
      <c r="X679" s="1"/>
    </row>
    <row r="680" spans="1:24">
      <c r="A680" s="1"/>
      <c r="M680" s="26"/>
      <c r="N680" s="26"/>
      <c r="P680" s="1"/>
      <c r="Q680" s="1"/>
      <c r="R680" s="1"/>
      <c r="S680" s="1"/>
      <c r="T680" s="1"/>
      <c r="U680" s="1"/>
      <c r="V680" s="16"/>
      <c r="W680" s="1"/>
      <c r="X680" s="1"/>
    </row>
    <row r="681" spans="1:24">
      <c r="A681" s="1"/>
      <c r="M681" s="26"/>
      <c r="N681" s="26"/>
      <c r="P681" s="1"/>
      <c r="Q681" s="1"/>
      <c r="R681" s="1"/>
      <c r="S681" s="1"/>
      <c r="T681" s="1"/>
      <c r="U681" s="1"/>
      <c r="V681" s="16"/>
      <c r="W681" s="1"/>
      <c r="X681" s="1"/>
    </row>
    <row r="682" spans="1:24">
      <c r="A682" s="1"/>
      <c r="M682" s="26"/>
      <c r="N682" s="26"/>
      <c r="P682" s="1"/>
      <c r="Q682" s="1"/>
      <c r="R682" s="1"/>
      <c r="S682" s="1"/>
      <c r="T682" s="1"/>
      <c r="U682" s="1"/>
      <c r="V682" s="16"/>
      <c r="W682" s="1"/>
      <c r="X682" s="1"/>
    </row>
    <row r="683" spans="1:24">
      <c r="A683" s="1"/>
      <c r="M683" s="26"/>
      <c r="N683" s="26"/>
      <c r="P683" s="1"/>
      <c r="Q683" s="1"/>
      <c r="R683" s="1"/>
      <c r="S683" s="1"/>
      <c r="T683" s="1"/>
      <c r="U683" s="1"/>
      <c r="V683" s="16"/>
      <c r="W683" s="1"/>
      <c r="X683" s="1"/>
    </row>
    <row r="684" spans="1:24">
      <c r="A684" s="1"/>
      <c r="M684" s="26"/>
      <c r="N684" s="26"/>
      <c r="P684" s="1"/>
      <c r="Q684" s="1"/>
      <c r="R684" s="1"/>
      <c r="S684" s="1"/>
      <c r="T684" s="1"/>
      <c r="U684" s="1"/>
      <c r="V684" s="16"/>
      <c r="W684" s="1"/>
      <c r="X684" s="1"/>
    </row>
    <row r="685" spans="1:24">
      <c r="A685" s="1"/>
      <c r="M685" s="26"/>
      <c r="N685" s="26"/>
      <c r="P685" s="1"/>
      <c r="Q685" s="1"/>
      <c r="R685" s="1"/>
      <c r="S685" s="1"/>
      <c r="T685" s="1"/>
      <c r="U685" s="1"/>
      <c r="V685" s="16"/>
      <c r="W685" s="1"/>
      <c r="X685" s="1"/>
    </row>
    <row r="686" spans="1:24">
      <c r="A686" s="1"/>
      <c r="M686" s="26"/>
      <c r="N686" s="26"/>
      <c r="P686" s="1"/>
      <c r="Q686" s="1"/>
      <c r="R686" s="1"/>
      <c r="S686" s="1"/>
      <c r="T686" s="1"/>
      <c r="U686" s="1"/>
      <c r="V686" s="16"/>
      <c r="W686" s="1"/>
      <c r="X686" s="1"/>
    </row>
    <row r="687" spans="1:24">
      <c r="A687" s="1"/>
      <c r="M687" s="26"/>
      <c r="N687" s="26"/>
      <c r="P687" s="1"/>
      <c r="Q687" s="1"/>
      <c r="R687" s="1"/>
      <c r="S687" s="1"/>
      <c r="T687" s="1"/>
      <c r="U687" s="1"/>
      <c r="V687" s="16"/>
      <c r="W687" s="1"/>
      <c r="X687" s="1"/>
    </row>
    <row r="688" spans="1:24">
      <c r="A688" s="1"/>
      <c r="M688" s="26"/>
      <c r="N688" s="26"/>
      <c r="P688" s="1"/>
      <c r="Q688" s="1"/>
      <c r="R688" s="1"/>
      <c r="S688" s="1"/>
      <c r="T688" s="1"/>
      <c r="U688" s="1"/>
      <c r="V688" s="16"/>
      <c r="W688" s="1"/>
      <c r="X688" s="1"/>
    </row>
    <row r="689" spans="1:24">
      <c r="A689" s="1"/>
      <c r="M689" s="26"/>
      <c r="N689" s="26"/>
      <c r="P689" s="1"/>
      <c r="Q689" s="1"/>
      <c r="R689" s="1"/>
      <c r="S689" s="1"/>
      <c r="T689" s="1"/>
      <c r="U689" s="1"/>
      <c r="V689" s="16"/>
      <c r="W689" s="1"/>
      <c r="X689" s="1"/>
    </row>
    <row r="690" spans="1:24">
      <c r="A690" s="1"/>
      <c r="M690" s="26"/>
      <c r="N690" s="26"/>
      <c r="P690" s="1"/>
      <c r="Q690" s="1"/>
      <c r="R690" s="1"/>
      <c r="S690" s="1"/>
      <c r="T690" s="1"/>
      <c r="U690" s="1"/>
      <c r="V690" s="16"/>
      <c r="W690" s="1"/>
      <c r="X690" s="1"/>
    </row>
    <row r="691" spans="1:24">
      <c r="A691" s="1"/>
      <c r="M691" s="26"/>
      <c r="N691" s="26"/>
      <c r="P691" s="1"/>
      <c r="Q691" s="1"/>
      <c r="R691" s="1"/>
      <c r="S691" s="1"/>
      <c r="T691" s="1"/>
      <c r="U691" s="1"/>
      <c r="V691" s="16"/>
      <c r="W691" s="1"/>
      <c r="X691" s="1"/>
    </row>
    <row r="692" spans="1:24">
      <c r="A692" s="1"/>
      <c r="M692" s="26"/>
      <c r="N692" s="26"/>
      <c r="P692" s="1"/>
      <c r="Q692" s="1"/>
      <c r="R692" s="1"/>
      <c r="S692" s="1"/>
      <c r="T692" s="1"/>
      <c r="U692" s="1"/>
      <c r="V692" s="16"/>
      <c r="W692" s="1"/>
      <c r="X692" s="1"/>
    </row>
    <row r="693" spans="1:24">
      <c r="A693" s="1"/>
      <c r="M693" s="26"/>
      <c r="N693" s="26"/>
      <c r="P693" s="1"/>
      <c r="Q693" s="1"/>
      <c r="R693" s="1"/>
      <c r="S693" s="1"/>
      <c r="T693" s="1"/>
      <c r="U693" s="1"/>
      <c r="V693" s="16"/>
      <c r="W693" s="1"/>
      <c r="X693" s="1"/>
    </row>
    <row r="694" spans="1:24">
      <c r="A694" s="1"/>
      <c r="M694" s="26"/>
      <c r="N694" s="26"/>
      <c r="P694" s="1"/>
      <c r="Q694" s="1"/>
      <c r="R694" s="1"/>
      <c r="S694" s="1"/>
      <c r="T694" s="1"/>
      <c r="U694" s="1"/>
      <c r="V694" s="16"/>
      <c r="W694" s="1"/>
      <c r="X694" s="1"/>
    </row>
    <row r="695" spans="1:24">
      <c r="A695" s="1"/>
      <c r="M695" s="26"/>
      <c r="N695" s="26"/>
      <c r="P695" s="1"/>
      <c r="Q695" s="1"/>
      <c r="R695" s="1"/>
      <c r="S695" s="1"/>
      <c r="T695" s="1"/>
      <c r="U695" s="1"/>
      <c r="V695" s="16"/>
      <c r="W695" s="1"/>
      <c r="X695" s="1"/>
    </row>
    <row r="696" spans="1:24">
      <c r="A696" s="1"/>
      <c r="M696" s="26"/>
      <c r="N696" s="26"/>
      <c r="P696" s="1"/>
      <c r="Q696" s="1"/>
      <c r="R696" s="1"/>
      <c r="S696" s="1"/>
      <c r="T696" s="1"/>
      <c r="U696" s="1"/>
      <c r="V696" s="16"/>
      <c r="W696" s="1"/>
      <c r="X696" s="1"/>
    </row>
    <row r="697" spans="1:24">
      <c r="A697" s="1"/>
      <c r="M697" s="26"/>
      <c r="N697" s="26"/>
      <c r="P697" s="1"/>
      <c r="Q697" s="1"/>
      <c r="R697" s="1"/>
      <c r="S697" s="1"/>
      <c r="T697" s="1"/>
      <c r="U697" s="1"/>
      <c r="V697" s="16"/>
      <c r="W697" s="1"/>
      <c r="X697" s="1"/>
    </row>
    <row r="698" spans="1:24">
      <c r="A698" s="1"/>
      <c r="M698" s="26"/>
      <c r="N698" s="26"/>
      <c r="P698" s="1"/>
      <c r="Q698" s="1"/>
      <c r="R698" s="1"/>
      <c r="S698" s="1"/>
      <c r="T698" s="1"/>
      <c r="U698" s="1"/>
      <c r="V698" s="16"/>
      <c r="W698" s="1"/>
      <c r="X698" s="1"/>
    </row>
    <row r="699" spans="1:24">
      <c r="A699" s="1"/>
      <c r="M699" s="26"/>
      <c r="N699" s="26"/>
      <c r="P699" s="1"/>
      <c r="Q699" s="1"/>
      <c r="R699" s="1"/>
      <c r="S699" s="1"/>
      <c r="T699" s="1"/>
      <c r="U699" s="1"/>
      <c r="V699" s="16"/>
      <c r="W699" s="1"/>
      <c r="X699" s="1"/>
    </row>
    <row r="700" spans="1:24">
      <c r="A700" s="1"/>
      <c r="M700" s="26"/>
      <c r="N700" s="26"/>
      <c r="P700" s="1"/>
      <c r="Q700" s="1"/>
      <c r="R700" s="1"/>
      <c r="S700" s="1"/>
      <c r="T700" s="1"/>
      <c r="U700" s="1"/>
      <c r="V700" s="16"/>
      <c r="W700" s="1"/>
      <c r="X700" s="1"/>
    </row>
    <row r="701" spans="1:24">
      <c r="A701" s="1"/>
      <c r="M701" s="26"/>
      <c r="N701" s="26"/>
      <c r="P701" s="1"/>
      <c r="Q701" s="1"/>
      <c r="R701" s="1"/>
      <c r="S701" s="1"/>
      <c r="T701" s="1"/>
      <c r="U701" s="1"/>
      <c r="V701" s="16"/>
      <c r="W701" s="1"/>
      <c r="X701" s="1"/>
    </row>
    <row r="702" spans="1:24">
      <c r="A702" s="1"/>
      <c r="M702" s="26"/>
      <c r="N702" s="26"/>
      <c r="P702" s="1"/>
      <c r="Q702" s="1"/>
      <c r="R702" s="1"/>
      <c r="S702" s="1"/>
      <c r="T702" s="1"/>
      <c r="U702" s="1"/>
      <c r="V702" s="16"/>
      <c r="W702" s="1"/>
      <c r="X702" s="1"/>
    </row>
    <row r="703" spans="1:24">
      <c r="A703" s="1"/>
      <c r="M703" s="26"/>
      <c r="N703" s="26"/>
      <c r="P703" s="1"/>
      <c r="Q703" s="1"/>
      <c r="R703" s="1"/>
      <c r="S703" s="1"/>
      <c r="T703" s="1"/>
      <c r="U703" s="1"/>
      <c r="V703" s="16"/>
      <c r="W703" s="1"/>
      <c r="X703" s="1"/>
    </row>
    <row r="704" spans="1:24">
      <c r="A704" s="1"/>
      <c r="M704" s="26"/>
      <c r="N704" s="26"/>
      <c r="P704" s="1"/>
      <c r="Q704" s="1"/>
      <c r="R704" s="1"/>
      <c r="S704" s="1"/>
      <c r="T704" s="1"/>
      <c r="U704" s="1"/>
      <c r="V704" s="16"/>
      <c r="W704" s="1"/>
      <c r="X704" s="1"/>
    </row>
    <row r="705" spans="1:24">
      <c r="A705" s="1"/>
      <c r="M705" s="26"/>
      <c r="N705" s="26"/>
      <c r="P705" s="1"/>
      <c r="Q705" s="1"/>
      <c r="R705" s="1"/>
      <c r="S705" s="1"/>
      <c r="T705" s="1"/>
      <c r="U705" s="1"/>
      <c r="V705" s="16"/>
      <c r="W705" s="1"/>
      <c r="X705" s="1"/>
    </row>
    <row r="706" spans="1:24">
      <c r="A706" s="1"/>
      <c r="M706" s="26"/>
      <c r="N706" s="26"/>
      <c r="P706" s="1"/>
      <c r="Q706" s="1"/>
      <c r="R706" s="1"/>
      <c r="S706" s="1"/>
      <c r="T706" s="1"/>
      <c r="U706" s="1"/>
      <c r="V706" s="16"/>
      <c r="W706" s="1"/>
      <c r="X706" s="1"/>
    </row>
    <row r="707" spans="1:24">
      <c r="A707" s="1"/>
      <c r="M707" s="26"/>
      <c r="N707" s="26"/>
      <c r="P707" s="1"/>
      <c r="Q707" s="1"/>
      <c r="R707" s="1"/>
      <c r="S707" s="1"/>
      <c r="T707" s="1"/>
      <c r="U707" s="1"/>
      <c r="V707" s="16"/>
      <c r="W707" s="1"/>
      <c r="X707" s="1"/>
    </row>
    <row r="708" spans="1:24">
      <c r="A708" s="1"/>
      <c r="M708" s="26"/>
      <c r="N708" s="26"/>
      <c r="P708" s="1"/>
      <c r="Q708" s="1"/>
      <c r="R708" s="1"/>
      <c r="S708" s="1"/>
      <c r="T708" s="1"/>
      <c r="U708" s="1"/>
      <c r="V708" s="16"/>
      <c r="W708" s="1"/>
      <c r="X708" s="1"/>
    </row>
    <row r="709" spans="1:24">
      <c r="A709" s="1"/>
      <c r="M709" s="26"/>
      <c r="N709" s="26"/>
      <c r="P709" s="1"/>
      <c r="Q709" s="1"/>
      <c r="R709" s="1"/>
      <c r="S709" s="1"/>
      <c r="T709" s="1"/>
      <c r="U709" s="1"/>
      <c r="V709" s="16"/>
      <c r="W709" s="1"/>
      <c r="X709" s="1"/>
    </row>
    <row r="710" spans="1:24">
      <c r="A710" s="1"/>
      <c r="M710" s="26"/>
      <c r="N710" s="26"/>
      <c r="P710" s="1"/>
      <c r="Q710" s="1"/>
      <c r="R710" s="1"/>
      <c r="S710" s="1"/>
      <c r="T710" s="1"/>
      <c r="U710" s="1"/>
      <c r="V710" s="16"/>
      <c r="W710" s="1"/>
      <c r="X710" s="1"/>
    </row>
    <row r="711" spans="1:24">
      <c r="A711" s="1"/>
      <c r="M711" s="26"/>
      <c r="N711" s="26"/>
      <c r="P711" s="1"/>
      <c r="Q711" s="1"/>
      <c r="R711" s="1"/>
      <c r="S711" s="1"/>
      <c r="T711" s="1"/>
      <c r="U711" s="1"/>
      <c r="V711" s="16"/>
      <c r="W711" s="1"/>
      <c r="X711" s="1"/>
    </row>
    <row r="712" spans="1:24">
      <c r="A712" s="1"/>
      <c r="M712" s="26"/>
      <c r="N712" s="26"/>
      <c r="P712" s="1"/>
      <c r="Q712" s="1"/>
      <c r="R712" s="1"/>
      <c r="S712" s="1"/>
      <c r="T712" s="1"/>
      <c r="U712" s="1"/>
      <c r="V712" s="16"/>
      <c r="W712" s="1"/>
      <c r="X712" s="1"/>
    </row>
    <row r="713" spans="1:24">
      <c r="A713" s="1"/>
      <c r="M713" s="26"/>
      <c r="N713" s="26"/>
      <c r="P713" s="1"/>
      <c r="Q713" s="1"/>
      <c r="R713" s="1"/>
      <c r="S713" s="1"/>
      <c r="T713" s="1"/>
      <c r="U713" s="1"/>
      <c r="V713" s="16"/>
      <c r="W713" s="1"/>
      <c r="X713" s="1"/>
    </row>
    <row r="714" spans="1:24">
      <c r="A714" s="1"/>
      <c r="M714" s="26"/>
      <c r="N714" s="26"/>
      <c r="P714" s="1"/>
      <c r="Q714" s="1"/>
      <c r="R714" s="1"/>
      <c r="S714" s="1"/>
      <c r="T714" s="1"/>
      <c r="U714" s="1"/>
      <c r="V714" s="16"/>
      <c r="W714" s="1"/>
      <c r="X714" s="1"/>
    </row>
    <row r="715" spans="1:24">
      <c r="A715" s="1"/>
      <c r="M715" s="26"/>
      <c r="N715" s="26"/>
      <c r="P715" s="1"/>
      <c r="Q715" s="1"/>
      <c r="R715" s="1"/>
      <c r="S715" s="1"/>
      <c r="T715" s="1"/>
      <c r="U715" s="1"/>
      <c r="V715" s="16"/>
      <c r="W715" s="1"/>
      <c r="X715" s="1"/>
    </row>
    <row r="716" spans="1:24">
      <c r="A716" s="1"/>
      <c r="M716" s="26"/>
      <c r="N716" s="26"/>
      <c r="P716" s="1"/>
      <c r="Q716" s="1"/>
      <c r="R716" s="1"/>
      <c r="S716" s="1"/>
      <c r="T716" s="1"/>
      <c r="U716" s="1"/>
      <c r="V716" s="16"/>
      <c r="W716" s="1"/>
      <c r="X716" s="1"/>
    </row>
    <row r="717" spans="1:24">
      <c r="A717" s="1"/>
      <c r="M717" s="26"/>
      <c r="N717" s="26"/>
      <c r="P717" s="1"/>
      <c r="Q717" s="1"/>
      <c r="R717" s="1"/>
      <c r="S717" s="1"/>
      <c r="T717" s="1"/>
      <c r="U717" s="1"/>
      <c r="V717" s="16"/>
      <c r="W717" s="1"/>
      <c r="X717" s="1"/>
    </row>
    <row r="718" spans="1:24">
      <c r="A718" s="1"/>
      <c r="M718" s="26"/>
      <c r="N718" s="26"/>
      <c r="P718" s="1"/>
      <c r="Q718" s="1"/>
      <c r="R718" s="1"/>
      <c r="S718" s="1"/>
      <c r="T718" s="1"/>
      <c r="U718" s="1"/>
      <c r="V718" s="16"/>
      <c r="W718" s="1"/>
      <c r="X718" s="1"/>
    </row>
    <row r="719" spans="1:24">
      <c r="A719" s="1"/>
      <c r="M719" s="26"/>
      <c r="N719" s="26"/>
      <c r="P719" s="1"/>
      <c r="Q719" s="1"/>
      <c r="R719" s="1"/>
      <c r="S719" s="1"/>
      <c r="T719" s="1"/>
      <c r="U719" s="1"/>
      <c r="V719" s="16"/>
      <c r="W719" s="1"/>
      <c r="X719" s="1"/>
    </row>
    <row r="720" spans="1:24">
      <c r="A720" s="1"/>
      <c r="M720" s="26"/>
      <c r="N720" s="26"/>
      <c r="P720" s="1"/>
      <c r="Q720" s="1"/>
      <c r="R720" s="1"/>
      <c r="S720" s="1"/>
      <c r="T720" s="1"/>
      <c r="U720" s="1"/>
      <c r="V720" s="16"/>
      <c r="W720" s="1"/>
      <c r="X720" s="1"/>
    </row>
    <row r="721" spans="1:24">
      <c r="A721" s="1"/>
      <c r="M721" s="26"/>
      <c r="N721" s="26"/>
      <c r="P721" s="1"/>
      <c r="Q721" s="1"/>
      <c r="R721" s="1"/>
      <c r="S721" s="1"/>
      <c r="T721" s="1"/>
      <c r="U721" s="1"/>
      <c r="V721" s="16"/>
      <c r="W721" s="1"/>
      <c r="X721" s="1"/>
    </row>
    <row r="722" spans="1:24">
      <c r="A722" s="1"/>
      <c r="M722" s="26"/>
      <c r="N722" s="26"/>
      <c r="P722" s="1"/>
      <c r="Q722" s="1"/>
      <c r="R722" s="1"/>
      <c r="S722" s="1"/>
      <c r="T722" s="1"/>
      <c r="U722" s="1"/>
      <c r="V722" s="16"/>
      <c r="W722" s="1"/>
      <c r="X722" s="1"/>
    </row>
    <row r="723" spans="1:24">
      <c r="A723" s="1"/>
      <c r="M723" s="26"/>
      <c r="N723" s="26"/>
      <c r="P723" s="1"/>
      <c r="Q723" s="1"/>
      <c r="R723" s="1"/>
      <c r="S723" s="1"/>
      <c r="T723" s="1"/>
      <c r="U723" s="1"/>
      <c r="V723" s="16"/>
      <c r="W723" s="1"/>
      <c r="X723" s="1"/>
    </row>
    <row r="724" spans="1:24">
      <c r="A724" s="1"/>
      <c r="M724" s="26"/>
      <c r="N724" s="26"/>
      <c r="P724" s="1"/>
      <c r="Q724" s="1"/>
      <c r="R724" s="1"/>
      <c r="S724" s="1"/>
      <c r="T724" s="1"/>
      <c r="U724" s="1"/>
      <c r="V724" s="16"/>
      <c r="W724" s="1"/>
      <c r="X724" s="1"/>
    </row>
    <row r="725" spans="1:24">
      <c r="A725" s="1"/>
      <c r="M725" s="26"/>
      <c r="N725" s="26"/>
      <c r="P725" s="1"/>
      <c r="Q725" s="1"/>
      <c r="R725" s="1"/>
      <c r="S725" s="1"/>
      <c r="T725" s="1"/>
      <c r="U725" s="1"/>
      <c r="V725" s="16"/>
      <c r="W725" s="1"/>
      <c r="X725" s="1"/>
    </row>
    <row r="726" spans="1:24">
      <c r="A726" s="1"/>
      <c r="M726" s="26"/>
      <c r="N726" s="26"/>
      <c r="P726" s="1"/>
      <c r="Q726" s="1"/>
      <c r="R726" s="1"/>
      <c r="S726" s="1"/>
      <c r="T726" s="1"/>
      <c r="U726" s="1"/>
      <c r="V726" s="16"/>
      <c r="W726" s="1"/>
      <c r="X726" s="1"/>
    </row>
    <row r="727" spans="1:24">
      <c r="A727" s="1"/>
      <c r="M727" s="26"/>
      <c r="N727" s="26"/>
      <c r="P727" s="1"/>
      <c r="Q727" s="1"/>
      <c r="R727" s="1"/>
      <c r="S727" s="1"/>
      <c r="T727" s="1"/>
      <c r="U727" s="1"/>
      <c r="V727" s="16"/>
      <c r="W727" s="1"/>
      <c r="X727" s="1"/>
    </row>
    <row r="728" spans="1:24">
      <c r="A728" s="1"/>
      <c r="M728" s="26"/>
      <c r="N728" s="26"/>
      <c r="P728" s="1"/>
      <c r="Q728" s="1"/>
      <c r="R728" s="1"/>
      <c r="S728" s="1"/>
      <c r="T728" s="1"/>
      <c r="U728" s="1"/>
      <c r="V728" s="16"/>
      <c r="W728" s="1"/>
      <c r="X728" s="1"/>
    </row>
    <row r="729" spans="1:24">
      <c r="A729" s="1"/>
      <c r="M729" s="26"/>
      <c r="N729" s="26"/>
      <c r="P729" s="1"/>
      <c r="Q729" s="1"/>
      <c r="R729" s="1"/>
      <c r="S729" s="1"/>
      <c r="T729" s="1"/>
      <c r="U729" s="1"/>
      <c r="V729" s="16"/>
      <c r="W729" s="1"/>
      <c r="X729" s="1"/>
    </row>
    <row r="730" spans="1:24">
      <c r="A730" s="1"/>
      <c r="M730" s="26"/>
      <c r="N730" s="26"/>
      <c r="P730" s="1"/>
      <c r="Q730" s="1"/>
      <c r="R730" s="1"/>
      <c r="S730" s="1"/>
      <c r="T730" s="1"/>
      <c r="U730" s="1"/>
      <c r="V730" s="16"/>
      <c r="W730" s="1"/>
      <c r="X730" s="1"/>
    </row>
    <row r="731" spans="1:24">
      <c r="A731" s="1"/>
      <c r="M731" s="26"/>
      <c r="N731" s="26"/>
      <c r="P731" s="1"/>
      <c r="Q731" s="1"/>
      <c r="R731" s="1"/>
      <c r="S731" s="1"/>
      <c r="T731" s="1"/>
      <c r="U731" s="1"/>
      <c r="V731" s="16"/>
      <c r="W731" s="1"/>
      <c r="X731" s="1"/>
    </row>
    <row r="732" spans="1:24">
      <c r="A732" s="1"/>
      <c r="M732" s="26"/>
      <c r="N732" s="26"/>
      <c r="P732" s="1"/>
      <c r="Q732" s="1"/>
      <c r="R732" s="1"/>
      <c r="S732" s="1"/>
      <c r="T732" s="1"/>
      <c r="U732" s="1"/>
      <c r="V732" s="16"/>
      <c r="W732" s="1"/>
      <c r="X732" s="1"/>
    </row>
    <row r="733" spans="1:24">
      <c r="A733" s="1"/>
      <c r="M733" s="26"/>
      <c r="N733" s="26"/>
      <c r="P733" s="1"/>
      <c r="Q733" s="1"/>
      <c r="R733" s="1"/>
      <c r="S733" s="1"/>
      <c r="T733" s="1"/>
      <c r="U733" s="1"/>
      <c r="V733" s="16"/>
      <c r="W733" s="1"/>
      <c r="X733" s="1"/>
    </row>
    <row r="734" spans="1:24">
      <c r="A734" s="1"/>
      <c r="M734" s="26"/>
      <c r="N734" s="26"/>
      <c r="P734" s="1"/>
      <c r="Q734" s="1"/>
      <c r="R734" s="1"/>
      <c r="S734" s="1"/>
      <c r="T734" s="1"/>
      <c r="U734" s="1"/>
      <c r="V734" s="16"/>
      <c r="W734" s="1"/>
      <c r="X734" s="1"/>
    </row>
    <row r="735" spans="1:24">
      <c r="A735" s="1"/>
      <c r="M735" s="26"/>
      <c r="N735" s="26"/>
      <c r="P735" s="1"/>
      <c r="Q735" s="1"/>
      <c r="R735" s="1"/>
      <c r="S735" s="1"/>
      <c r="T735" s="1"/>
      <c r="U735" s="1"/>
      <c r="V735" s="16"/>
      <c r="W735" s="1"/>
      <c r="X735" s="1"/>
    </row>
    <row r="736" spans="1:24">
      <c r="A736" s="1"/>
      <c r="M736" s="26"/>
      <c r="N736" s="26"/>
      <c r="P736" s="1"/>
      <c r="Q736" s="1"/>
      <c r="R736" s="1"/>
      <c r="S736" s="1"/>
      <c r="T736" s="1"/>
      <c r="U736" s="1"/>
      <c r="V736" s="16"/>
      <c r="W736" s="1"/>
      <c r="X736" s="1"/>
    </row>
    <row r="737" spans="1:24">
      <c r="A737" s="1"/>
      <c r="M737" s="26"/>
      <c r="N737" s="26"/>
      <c r="P737" s="1"/>
      <c r="Q737" s="1"/>
      <c r="R737" s="1"/>
      <c r="S737" s="1"/>
      <c r="T737" s="1"/>
      <c r="U737" s="1"/>
      <c r="V737" s="16"/>
      <c r="W737" s="1"/>
      <c r="X737" s="1"/>
    </row>
    <row r="738" spans="1:24">
      <c r="A738" s="1"/>
      <c r="M738" s="26"/>
      <c r="N738" s="26"/>
      <c r="P738" s="1"/>
      <c r="Q738" s="1"/>
      <c r="R738" s="1"/>
      <c r="S738" s="1"/>
      <c r="T738" s="1"/>
      <c r="U738" s="1"/>
      <c r="V738" s="16"/>
      <c r="W738" s="1"/>
      <c r="X738" s="1"/>
    </row>
    <row r="739" spans="1:24">
      <c r="A739" s="1"/>
      <c r="M739" s="26"/>
      <c r="N739" s="26"/>
      <c r="P739" s="1"/>
      <c r="Q739" s="1"/>
      <c r="R739" s="1"/>
      <c r="S739" s="1"/>
      <c r="T739" s="1"/>
      <c r="U739" s="1"/>
      <c r="V739" s="16"/>
      <c r="W739" s="1"/>
      <c r="X739" s="1"/>
    </row>
    <row r="740" spans="1:24">
      <c r="A740" s="1"/>
      <c r="M740" s="26"/>
      <c r="N740" s="26"/>
      <c r="P740" s="1"/>
      <c r="Q740" s="1"/>
      <c r="R740" s="1"/>
      <c r="S740" s="1"/>
      <c r="T740" s="1"/>
      <c r="U740" s="1"/>
      <c r="V740" s="16"/>
      <c r="W740" s="1"/>
      <c r="X740" s="1"/>
    </row>
    <row r="741" spans="1:24">
      <c r="A741" s="1"/>
      <c r="M741" s="26"/>
      <c r="N741" s="26"/>
      <c r="P741" s="1"/>
      <c r="Q741" s="1"/>
      <c r="R741" s="1"/>
      <c r="S741" s="1"/>
      <c r="T741" s="1"/>
      <c r="U741" s="1"/>
      <c r="V741" s="16"/>
      <c r="W741" s="1"/>
      <c r="X741" s="1"/>
    </row>
    <row r="742" spans="1:24">
      <c r="A742" s="1"/>
      <c r="M742" s="26"/>
      <c r="N742" s="26"/>
      <c r="P742" s="1"/>
      <c r="Q742" s="1"/>
      <c r="R742" s="1"/>
      <c r="S742" s="1"/>
      <c r="T742" s="1"/>
      <c r="U742" s="1"/>
      <c r="V742" s="16"/>
      <c r="W742" s="1"/>
      <c r="X742" s="1"/>
    </row>
    <row r="743" spans="1:24">
      <c r="A743" s="1"/>
      <c r="M743" s="26"/>
      <c r="N743" s="26"/>
      <c r="P743" s="1"/>
      <c r="Q743" s="1"/>
      <c r="R743" s="1"/>
      <c r="S743" s="1"/>
      <c r="T743" s="1"/>
      <c r="U743" s="1"/>
      <c r="V743" s="16"/>
      <c r="W743" s="1"/>
      <c r="X743" s="1"/>
    </row>
    <row r="744" spans="1:24">
      <c r="A744" s="1"/>
      <c r="M744" s="26"/>
      <c r="N744" s="26"/>
      <c r="P744" s="1"/>
      <c r="Q744" s="1"/>
      <c r="R744" s="1"/>
      <c r="S744" s="1"/>
      <c r="T744" s="1"/>
      <c r="U744" s="1"/>
      <c r="V744" s="16"/>
      <c r="W744" s="1"/>
      <c r="X744" s="1"/>
    </row>
    <row r="745" spans="1:24">
      <c r="A745" s="1"/>
      <c r="M745" s="26"/>
      <c r="N745" s="26"/>
      <c r="P745" s="1"/>
      <c r="Q745" s="1"/>
      <c r="R745" s="1"/>
      <c r="S745" s="1"/>
      <c r="T745" s="1"/>
      <c r="U745" s="1"/>
      <c r="V745" s="16"/>
      <c r="W745" s="1"/>
      <c r="X745" s="1"/>
    </row>
    <row r="746" spans="1:24">
      <c r="A746" s="1"/>
      <c r="M746" s="26"/>
      <c r="N746" s="26"/>
      <c r="P746" s="1"/>
      <c r="Q746" s="1"/>
      <c r="R746" s="1"/>
      <c r="S746" s="1"/>
      <c r="T746" s="1"/>
      <c r="U746" s="1"/>
      <c r="V746" s="16"/>
      <c r="W746" s="1"/>
      <c r="X746" s="1"/>
    </row>
    <row r="747" spans="1:24">
      <c r="A747" s="1"/>
      <c r="M747" s="26"/>
      <c r="N747" s="26"/>
      <c r="P747" s="1"/>
      <c r="Q747" s="1"/>
      <c r="R747" s="1"/>
      <c r="S747" s="1"/>
      <c r="T747" s="1"/>
      <c r="U747" s="1"/>
      <c r="V747" s="16"/>
      <c r="W747" s="1"/>
      <c r="X747" s="1"/>
    </row>
    <row r="748" spans="1:24">
      <c r="A748" s="1"/>
      <c r="M748" s="26"/>
      <c r="N748" s="26"/>
      <c r="P748" s="1"/>
      <c r="Q748" s="1"/>
      <c r="R748" s="1"/>
      <c r="S748" s="1"/>
      <c r="T748" s="1"/>
      <c r="U748" s="1"/>
      <c r="V748" s="16"/>
      <c r="W748" s="1"/>
      <c r="X748" s="1"/>
    </row>
    <row r="749" spans="1:24">
      <c r="A749" s="1"/>
      <c r="M749" s="26"/>
      <c r="N749" s="26"/>
      <c r="P749" s="1"/>
      <c r="Q749" s="1"/>
      <c r="R749" s="1"/>
      <c r="S749" s="1"/>
      <c r="T749" s="1"/>
      <c r="U749" s="1"/>
      <c r="V749" s="16"/>
      <c r="W749" s="1"/>
      <c r="X749" s="1"/>
    </row>
    <row r="750" spans="1:24">
      <c r="A750" s="1"/>
      <c r="M750" s="26"/>
      <c r="N750" s="26"/>
      <c r="P750" s="1"/>
      <c r="Q750" s="1"/>
      <c r="R750" s="1"/>
      <c r="S750" s="1"/>
      <c r="T750" s="1"/>
      <c r="U750" s="1"/>
      <c r="V750" s="16"/>
      <c r="W750" s="1"/>
      <c r="X750" s="1"/>
    </row>
    <row r="751" spans="1:24">
      <c r="A751" s="1"/>
      <c r="M751" s="26"/>
      <c r="N751" s="26"/>
      <c r="P751" s="1"/>
      <c r="Q751" s="1"/>
      <c r="R751" s="1"/>
      <c r="S751" s="1"/>
      <c r="T751" s="1"/>
      <c r="U751" s="1"/>
      <c r="V751" s="16"/>
      <c r="W751" s="1"/>
      <c r="X751" s="1"/>
    </row>
    <row r="752" spans="1:24">
      <c r="A752" s="1"/>
      <c r="M752" s="26"/>
      <c r="N752" s="26"/>
      <c r="P752" s="1"/>
      <c r="Q752" s="1"/>
      <c r="R752" s="1"/>
      <c r="S752" s="1"/>
      <c r="T752" s="1"/>
      <c r="U752" s="1"/>
      <c r="V752" s="16"/>
      <c r="W752" s="1"/>
      <c r="X752" s="1"/>
    </row>
    <row r="753" spans="1:24">
      <c r="A753" s="1"/>
      <c r="M753" s="26"/>
      <c r="N753" s="26"/>
      <c r="P753" s="1"/>
      <c r="Q753" s="1"/>
      <c r="R753" s="1"/>
      <c r="S753" s="1"/>
      <c r="T753" s="1"/>
      <c r="U753" s="1"/>
      <c r="V753" s="16"/>
      <c r="W753" s="1"/>
      <c r="X753" s="1"/>
    </row>
    <row r="754" spans="1:24">
      <c r="A754" s="1"/>
      <c r="M754" s="26"/>
      <c r="N754" s="26"/>
      <c r="P754" s="1"/>
      <c r="Q754" s="1"/>
      <c r="R754" s="1"/>
      <c r="S754" s="1"/>
      <c r="T754" s="1"/>
      <c r="U754" s="1"/>
      <c r="V754" s="16"/>
      <c r="W754" s="1"/>
      <c r="X754" s="1"/>
    </row>
    <row r="755" spans="1:24">
      <c r="A755" s="1"/>
      <c r="M755" s="26"/>
      <c r="N755" s="26"/>
      <c r="P755" s="1"/>
      <c r="Q755" s="1"/>
      <c r="R755" s="1"/>
      <c r="S755" s="1"/>
      <c r="T755" s="1"/>
      <c r="U755" s="1"/>
      <c r="V755" s="16"/>
      <c r="W755" s="1"/>
      <c r="X755" s="1"/>
    </row>
    <row r="756" spans="1:24">
      <c r="A756" s="1"/>
      <c r="M756" s="26"/>
      <c r="N756" s="26"/>
      <c r="P756" s="1"/>
      <c r="Q756" s="1"/>
      <c r="R756" s="1"/>
      <c r="S756" s="1"/>
      <c r="T756" s="1"/>
      <c r="U756" s="1"/>
      <c r="V756" s="16"/>
      <c r="W756" s="1"/>
      <c r="X756" s="1"/>
    </row>
    <row r="757" spans="1:24">
      <c r="A757" s="1"/>
      <c r="M757" s="26"/>
      <c r="N757" s="26"/>
      <c r="P757" s="1"/>
      <c r="Q757" s="1"/>
      <c r="R757" s="1"/>
      <c r="S757" s="1"/>
      <c r="T757" s="1"/>
      <c r="U757" s="1"/>
      <c r="V757" s="16"/>
      <c r="W757" s="1"/>
      <c r="X757" s="1"/>
    </row>
    <row r="758" spans="1:24">
      <c r="A758" s="1"/>
      <c r="M758" s="26"/>
      <c r="N758" s="26"/>
      <c r="P758" s="1"/>
      <c r="Q758" s="1"/>
      <c r="R758" s="1"/>
      <c r="S758" s="1"/>
      <c r="T758" s="1"/>
      <c r="U758" s="1"/>
      <c r="V758" s="16"/>
      <c r="W758" s="1"/>
      <c r="X758" s="1"/>
    </row>
    <row r="759" spans="1:24">
      <c r="A759" s="1"/>
      <c r="M759" s="26"/>
      <c r="N759" s="26"/>
      <c r="P759" s="1"/>
      <c r="Q759" s="1"/>
      <c r="R759" s="1"/>
      <c r="S759" s="1"/>
      <c r="T759" s="1"/>
      <c r="U759" s="1"/>
      <c r="V759" s="16"/>
      <c r="W759" s="1"/>
      <c r="X759" s="1"/>
    </row>
    <row r="760" spans="1:24">
      <c r="A760" s="1"/>
      <c r="M760" s="26"/>
      <c r="N760" s="26"/>
      <c r="P760" s="1"/>
      <c r="Q760" s="1"/>
      <c r="R760" s="1"/>
      <c r="S760" s="1"/>
      <c r="T760" s="1"/>
      <c r="U760" s="1"/>
      <c r="V760" s="16"/>
      <c r="W760" s="1"/>
      <c r="X760" s="1"/>
    </row>
    <row r="761" spans="1:24">
      <c r="A761" s="1"/>
      <c r="M761" s="26"/>
      <c r="N761" s="26"/>
      <c r="P761" s="1"/>
      <c r="Q761" s="1"/>
      <c r="R761" s="1"/>
      <c r="S761" s="1"/>
      <c r="T761" s="1"/>
      <c r="U761" s="1"/>
      <c r="V761" s="16"/>
      <c r="W761" s="1"/>
      <c r="X761" s="1"/>
    </row>
    <row r="762" spans="1:24">
      <c r="A762" s="1"/>
      <c r="M762" s="26"/>
      <c r="N762" s="26"/>
      <c r="P762" s="1"/>
      <c r="Q762" s="1"/>
      <c r="R762" s="1"/>
      <c r="S762" s="1"/>
      <c r="T762" s="1"/>
      <c r="U762" s="1"/>
      <c r="V762" s="16"/>
      <c r="W762" s="1"/>
      <c r="X762" s="1"/>
    </row>
    <row r="763" spans="1:24">
      <c r="A763" s="1"/>
      <c r="M763" s="26"/>
      <c r="N763" s="26"/>
      <c r="P763" s="1"/>
      <c r="Q763" s="1"/>
      <c r="R763" s="1"/>
      <c r="S763" s="1"/>
      <c r="T763" s="1"/>
      <c r="U763" s="1"/>
      <c r="V763" s="16"/>
      <c r="W763" s="1"/>
      <c r="X763" s="1"/>
    </row>
    <row r="764" spans="1:24">
      <c r="A764" s="1"/>
      <c r="M764" s="26"/>
      <c r="N764" s="26"/>
      <c r="P764" s="1"/>
      <c r="Q764" s="1"/>
      <c r="R764" s="1"/>
      <c r="S764" s="1"/>
      <c r="T764" s="1"/>
      <c r="U764" s="1"/>
      <c r="V764" s="16"/>
      <c r="W764" s="1"/>
      <c r="X764" s="1"/>
    </row>
    <row r="765" spans="1:24">
      <c r="A765" s="1"/>
      <c r="M765" s="26"/>
      <c r="N765" s="26"/>
      <c r="P765" s="1"/>
      <c r="Q765" s="1"/>
      <c r="R765" s="1"/>
      <c r="S765" s="1"/>
      <c r="T765" s="1"/>
      <c r="U765" s="1"/>
      <c r="V765" s="16"/>
      <c r="W765" s="1"/>
      <c r="X765" s="1"/>
    </row>
    <row r="766" spans="1:24">
      <c r="A766" s="1"/>
      <c r="M766" s="26"/>
      <c r="N766" s="26"/>
      <c r="P766" s="1"/>
      <c r="Q766" s="1"/>
      <c r="R766" s="1"/>
      <c r="S766" s="1"/>
      <c r="T766" s="1"/>
      <c r="U766" s="1"/>
      <c r="V766" s="16"/>
      <c r="W766" s="1"/>
      <c r="X766" s="1"/>
    </row>
    <row r="767" spans="1:24">
      <c r="A767" s="1"/>
      <c r="M767" s="26"/>
      <c r="N767" s="26"/>
      <c r="P767" s="1"/>
      <c r="Q767" s="1"/>
      <c r="R767" s="1"/>
      <c r="S767" s="1"/>
      <c r="T767" s="1"/>
      <c r="U767" s="1"/>
      <c r="V767" s="16"/>
      <c r="W767" s="1"/>
      <c r="X767" s="1"/>
    </row>
    <row r="768" spans="1:24">
      <c r="A768" s="1"/>
      <c r="M768" s="26"/>
      <c r="N768" s="26"/>
      <c r="P768" s="1"/>
      <c r="Q768" s="1"/>
      <c r="R768" s="1"/>
      <c r="S768" s="1"/>
      <c r="T768" s="1"/>
      <c r="U768" s="1"/>
      <c r="V768" s="16"/>
      <c r="W768" s="1"/>
      <c r="X768" s="1"/>
    </row>
    <row r="769" spans="1:24">
      <c r="A769" s="1"/>
      <c r="M769" s="26"/>
      <c r="N769" s="26"/>
      <c r="P769" s="1"/>
      <c r="Q769" s="1"/>
      <c r="R769" s="1"/>
      <c r="S769" s="1"/>
      <c r="T769" s="1"/>
      <c r="U769" s="1"/>
      <c r="V769" s="16"/>
      <c r="W769" s="1"/>
      <c r="X769" s="1"/>
    </row>
    <row r="770" spans="1:24">
      <c r="A770" s="1"/>
      <c r="M770" s="26"/>
      <c r="N770" s="26"/>
      <c r="P770" s="1"/>
      <c r="Q770" s="1"/>
      <c r="R770" s="1"/>
      <c r="S770" s="1"/>
      <c r="T770" s="1"/>
      <c r="U770" s="1"/>
      <c r="V770" s="16"/>
      <c r="W770" s="1"/>
      <c r="X770" s="1"/>
    </row>
    <row r="771" spans="1:24">
      <c r="A771" s="1"/>
      <c r="M771" s="26"/>
      <c r="N771" s="26"/>
      <c r="P771" s="1"/>
      <c r="Q771" s="1"/>
      <c r="R771" s="1"/>
      <c r="S771" s="1"/>
      <c r="T771" s="1"/>
      <c r="U771" s="1"/>
      <c r="V771" s="16"/>
      <c r="W771" s="1"/>
      <c r="X771" s="1"/>
    </row>
    <row r="772" spans="1:24">
      <c r="A772" s="1"/>
      <c r="M772" s="26"/>
      <c r="N772" s="26"/>
      <c r="P772" s="1"/>
      <c r="Q772" s="1"/>
      <c r="R772" s="1"/>
      <c r="S772" s="1"/>
      <c r="T772" s="1"/>
      <c r="U772" s="1"/>
      <c r="V772" s="16"/>
      <c r="W772" s="1"/>
      <c r="X772" s="1"/>
    </row>
    <row r="773" spans="1:24">
      <c r="A773" s="1"/>
      <c r="M773" s="26"/>
      <c r="N773" s="26"/>
      <c r="P773" s="1"/>
      <c r="Q773" s="1"/>
      <c r="R773" s="1"/>
      <c r="S773" s="1"/>
      <c r="T773" s="1"/>
      <c r="U773" s="1"/>
      <c r="V773" s="16"/>
      <c r="W773" s="1"/>
      <c r="X773" s="1"/>
    </row>
    <row r="774" spans="1:24">
      <c r="A774" s="1"/>
      <c r="M774" s="26"/>
      <c r="N774" s="26"/>
      <c r="P774" s="1"/>
      <c r="Q774" s="1"/>
      <c r="R774" s="1"/>
      <c r="S774" s="1"/>
      <c r="T774" s="1"/>
      <c r="U774" s="1"/>
      <c r="V774" s="16"/>
      <c r="W774" s="1"/>
      <c r="X774" s="1"/>
    </row>
    <row r="775" spans="1:24">
      <c r="A775" s="1"/>
      <c r="M775" s="26"/>
      <c r="N775" s="26"/>
      <c r="P775" s="1"/>
      <c r="Q775" s="1"/>
      <c r="R775" s="1"/>
      <c r="S775" s="1"/>
      <c r="T775" s="1"/>
      <c r="U775" s="1"/>
      <c r="V775" s="16"/>
      <c r="W775" s="1"/>
      <c r="X775" s="1"/>
    </row>
    <row r="776" spans="1:24">
      <c r="A776" s="1"/>
      <c r="M776" s="26"/>
      <c r="N776" s="26"/>
      <c r="P776" s="1"/>
      <c r="Q776" s="1"/>
      <c r="R776" s="1"/>
      <c r="S776" s="1"/>
      <c r="T776" s="1"/>
      <c r="U776" s="1"/>
      <c r="V776" s="16"/>
      <c r="W776" s="1"/>
      <c r="X776" s="1"/>
    </row>
    <row r="777" spans="1:24">
      <c r="A777" s="1"/>
      <c r="M777" s="26"/>
      <c r="N777" s="26"/>
      <c r="P777" s="1"/>
      <c r="Q777" s="1"/>
      <c r="R777" s="1"/>
      <c r="S777" s="1"/>
      <c r="T777" s="1"/>
      <c r="U777" s="1"/>
      <c r="V777" s="16"/>
      <c r="W777" s="1"/>
      <c r="X777" s="1"/>
    </row>
    <row r="778" spans="1:24">
      <c r="A778" s="1"/>
      <c r="M778" s="26"/>
      <c r="N778" s="26"/>
      <c r="P778" s="1"/>
      <c r="Q778" s="1"/>
      <c r="R778" s="1"/>
      <c r="S778" s="1"/>
      <c r="T778" s="1"/>
      <c r="U778" s="1"/>
      <c r="V778" s="16"/>
      <c r="W778" s="1"/>
      <c r="X778" s="1"/>
    </row>
    <row r="779" spans="1:24">
      <c r="A779" s="1"/>
      <c r="M779" s="26"/>
      <c r="N779" s="26"/>
      <c r="P779" s="1"/>
      <c r="Q779" s="1"/>
      <c r="R779" s="1"/>
      <c r="S779" s="1"/>
      <c r="T779" s="1"/>
      <c r="U779" s="1"/>
      <c r="V779" s="16"/>
      <c r="W779" s="1"/>
      <c r="X779" s="1"/>
    </row>
    <row r="780" spans="1:24">
      <c r="A780" s="1"/>
      <c r="M780" s="26"/>
      <c r="N780" s="26"/>
      <c r="P780" s="1"/>
      <c r="Q780" s="1"/>
      <c r="R780" s="1"/>
      <c r="S780" s="1"/>
      <c r="T780" s="1"/>
      <c r="U780" s="1"/>
      <c r="V780" s="16"/>
      <c r="W780" s="1"/>
      <c r="X780" s="1"/>
    </row>
    <row r="781" spans="1:24">
      <c r="A781" s="1"/>
      <c r="M781" s="26"/>
      <c r="N781" s="26"/>
      <c r="P781" s="1"/>
      <c r="Q781" s="1"/>
      <c r="R781" s="1"/>
      <c r="S781" s="1"/>
      <c r="T781" s="1"/>
      <c r="U781" s="1"/>
      <c r="V781" s="16"/>
      <c r="W781" s="1"/>
      <c r="X781" s="1"/>
    </row>
    <row r="782" spans="1:24">
      <c r="A782" s="1"/>
      <c r="M782" s="26"/>
      <c r="N782" s="26"/>
      <c r="P782" s="1"/>
      <c r="Q782" s="1"/>
      <c r="R782" s="1"/>
      <c r="S782" s="1"/>
      <c r="T782" s="1"/>
      <c r="U782" s="1"/>
      <c r="V782" s="16"/>
      <c r="W782" s="1"/>
      <c r="X782" s="1"/>
    </row>
    <row r="783" spans="1:24">
      <c r="A783" s="1"/>
      <c r="M783" s="26"/>
      <c r="N783" s="26"/>
      <c r="P783" s="1"/>
      <c r="Q783" s="1"/>
      <c r="R783" s="1"/>
      <c r="S783" s="1"/>
      <c r="T783" s="1"/>
      <c r="U783" s="1"/>
      <c r="V783" s="16"/>
      <c r="W783" s="1"/>
      <c r="X783" s="1"/>
    </row>
    <row r="784" spans="1:24">
      <c r="A784" s="1"/>
      <c r="M784" s="26"/>
      <c r="N784" s="26"/>
      <c r="P784" s="1"/>
      <c r="Q784" s="1"/>
      <c r="R784" s="1"/>
      <c r="S784" s="1"/>
      <c r="T784" s="1"/>
      <c r="U784" s="1"/>
      <c r="V784" s="16"/>
      <c r="W784" s="1"/>
      <c r="X784" s="1"/>
    </row>
    <row r="785" spans="1:24">
      <c r="A785" s="1"/>
      <c r="M785" s="26"/>
      <c r="N785" s="26"/>
      <c r="P785" s="1"/>
      <c r="Q785" s="1"/>
      <c r="R785" s="1"/>
      <c r="S785" s="1"/>
      <c r="T785" s="1"/>
      <c r="U785" s="1"/>
      <c r="V785" s="16"/>
      <c r="W785" s="1"/>
      <c r="X785" s="1"/>
    </row>
    <row r="786" spans="1:24">
      <c r="A786" s="1"/>
      <c r="M786" s="26"/>
      <c r="N786" s="26"/>
      <c r="P786" s="1"/>
      <c r="Q786" s="1"/>
      <c r="R786" s="1"/>
      <c r="S786" s="1"/>
      <c r="T786" s="1"/>
      <c r="U786" s="1"/>
      <c r="V786" s="16"/>
      <c r="W786" s="1"/>
      <c r="X786" s="1"/>
    </row>
    <row r="787" spans="1:24">
      <c r="A787" s="1"/>
      <c r="M787" s="26"/>
      <c r="N787" s="26"/>
      <c r="P787" s="1"/>
      <c r="Q787" s="1"/>
      <c r="R787" s="1"/>
      <c r="S787" s="1"/>
      <c r="T787" s="1"/>
      <c r="U787" s="1"/>
      <c r="V787" s="16"/>
      <c r="W787" s="1"/>
      <c r="X787" s="1"/>
    </row>
    <row r="788" spans="1:24">
      <c r="A788" s="1"/>
      <c r="M788" s="26"/>
      <c r="N788" s="26"/>
      <c r="P788" s="1"/>
      <c r="Q788" s="1"/>
      <c r="R788" s="1"/>
      <c r="S788" s="1"/>
      <c r="T788" s="1"/>
      <c r="U788" s="1"/>
      <c r="V788" s="16"/>
      <c r="W788" s="1"/>
      <c r="X788" s="1"/>
    </row>
    <row r="789" spans="1:24">
      <c r="A789" s="1"/>
      <c r="M789" s="26"/>
      <c r="N789" s="26"/>
      <c r="P789" s="1"/>
      <c r="Q789" s="1"/>
      <c r="R789" s="1"/>
      <c r="S789" s="1"/>
      <c r="T789" s="1"/>
      <c r="U789" s="1"/>
      <c r="V789" s="16"/>
      <c r="W789" s="1"/>
      <c r="X789" s="1"/>
    </row>
    <row r="790" spans="1:24">
      <c r="A790" s="1"/>
      <c r="M790" s="26"/>
      <c r="N790" s="26"/>
      <c r="P790" s="1"/>
      <c r="Q790" s="1"/>
      <c r="R790" s="1"/>
      <c r="S790" s="1"/>
      <c r="T790" s="1"/>
      <c r="U790" s="1"/>
      <c r="V790" s="16"/>
      <c r="W790" s="1"/>
      <c r="X790" s="1"/>
    </row>
    <row r="791" spans="1:24">
      <c r="A791" s="1"/>
      <c r="M791" s="26"/>
      <c r="N791" s="26"/>
      <c r="P791" s="1"/>
      <c r="Q791" s="1"/>
      <c r="R791" s="1"/>
      <c r="S791" s="1"/>
      <c r="T791" s="1"/>
      <c r="U791" s="1"/>
      <c r="V791" s="16"/>
      <c r="W791" s="1"/>
      <c r="X791" s="1"/>
    </row>
    <row r="792" spans="1:24">
      <c r="A792" s="1"/>
      <c r="M792" s="26"/>
      <c r="N792" s="26"/>
      <c r="P792" s="1"/>
      <c r="Q792" s="1"/>
      <c r="R792" s="1"/>
      <c r="S792" s="1"/>
      <c r="T792" s="1"/>
      <c r="U792" s="1"/>
      <c r="V792" s="16"/>
      <c r="W792" s="1"/>
      <c r="X792" s="1"/>
    </row>
    <row r="793" spans="1:24">
      <c r="A793" s="1"/>
      <c r="M793" s="26"/>
      <c r="N793" s="26"/>
      <c r="P793" s="1"/>
      <c r="Q793" s="1"/>
      <c r="R793" s="1"/>
      <c r="S793" s="1"/>
      <c r="T793" s="1"/>
      <c r="U793" s="1"/>
      <c r="V793" s="16"/>
      <c r="W793" s="1"/>
      <c r="X793" s="1"/>
    </row>
    <row r="794" spans="1:24">
      <c r="A794" s="1"/>
      <c r="M794" s="26"/>
      <c r="N794" s="26"/>
      <c r="P794" s="1"/>
      <c r="Q794" s="1"/>
      <c r="R794" s="1"/>
      <c r="S794" s="1"/>
      <c r="T794" s="1"/>
      <c r="U794" s="1"/>
      <c r="V794" s="16"/>
      <c r="W794" s="1"/>
      <c r="X794" s="1"/>
    </row>
    <row r="795" spans="1:24">
      <c r="A795" s="1"/>
      <c r="M795" s="26"/>
      <c r="N795" s="26"/>
      <c r="P795" s="1"/>
      <c r="Q795" s="1"/>
      <c r="R795" s="1"/>
      <c r="S795" s="1"/>
      <c r="T795" s="1"/>
      <c r="U795" s="1"/>
      <c r="V795" s="16"/>
      <c r="W795" s="1"/>
      <c r="X795" s="1"/>
    </row>
    <row r="796" spans="1:24">
      <c r="A796" s="1"/>
      <c r="M796" s="26"/>
      <c r="N796" s="26"/>
      <c r="P796" s="1"/>
      <c r="Q796" s="1"/>
      <c r="R796" s="1"/>
      <c r="S796" s="1"/>
      <c r="T796" s="1"/>
      <c r="U796" s="1"/>
      <c r="V796" s="16"/>
      <c r="W796" s="1"/>
      <c r="X796" s="1"/>
    </row>
    <row r="797" spans="1:24">
      <c r="A797" s="1"/>
      <c r="M797" s="26"/>
      <c r="N797" s="26"/>
      <c r="P797" s="1"/>
      <c r="Q797" s="1"/>
      <c r="R797" s="1"/>
      <c r="S797" s="1"/>
      <c r="T797" s="1"/>
      <c r="U797" s="1"/>
      <c r="V797" s="16"/>
      <c r="W797" s="1"/>
      <c r="X797" s="1"/>
    </row>
    <row r="798" spans="1:24">
      <c r="A798" s="1"/>
      <c r="M798" s="26"/>
      <c r="N798" s="26"/>
      <c r="P798" s="1"/>
      <c r="Q798" s="1"/>
      <c r="R798" s="1"/>
      <c r="S798" s="1"/>
      <c r="T798" s="1"/>
      <c r="U798" s="1"/>
      <c r="V798" s="16"/>
      <c r="W798" s="1"/>
      <c r="X798" s="1"/>
    </row>
    <row r="799" spans="1:24">
      <c r="A799" s="1"/>
      <c r="M799" s="26"/>
      <c r="N799" s="26"/>
      <c r="P799" s="1"/>
      <c r="Q799" s="1"/>
      <c r="R799" s="1"/>
      <c r="S799" s="1"/>
      <c r="T799" s="1"/>
      <c r="U799" s="1"/>
      <c r="V799" s="16"/>
      <c r="W799" s="1"/>
      <c r="X799" s="1"/>
    </row>
    <row r="800" spans="1:24">
      <c r="A800" s="1"/>
      <c r="M800" s="26"/>
      <c r="N800" s="26"/>
      <c r="P800" s="1"/>
      <c r="Q800" s="1"/>
      <c r="R800" s="1"/>
      <c r="S800" s="1"/>
      <c r="T800" s="1"/>
      <c r="U800" s="1"/>
      <c r="V800" s="16"/>
      <c r="W800" s="1"/>
      <c r="X800" s="1"/>
    </row>
    <row r="801" spans="1:24">
      <c r="A801" s="1"/>
      <c r="M801" s="26"/>
      <c r="N801" s="26"/>
      <c r="P801" s="1"/>
      <c r="Q801" s="1"/>
      <c r="R801" s="1"/>
      <c r="S801" s="1"/>
      <c r="T801" s="1"/>
      <c r="U801" s="1"/>
      <c r="V801" s="16"/>
      <c r="W801" s="1"/>
      <c r="X801" s="1"/>
    </row>
    <row r="802" spans="1:24">
      <c r="A802" s="1"/>
      <c r="M802" s="26"/>
      <c r="N802" s="26"/>
      <c r="P802" s="1"/>
      <c r="Q802" s="1"/>
      <c r="R802" s="1"/>
      <c r="S802" s="1"/>
      <c r="T802" s="1"/>
      <c r="U802" s="1"/>
      <c r="V802" s="16"/>
      <c r="W802" s="1"/>
      <c r="X802" s="1"/>
    </row>
    <row r="803" spans="1:24">
      <c r="A803" s="1"/>
      <c r="M803" s="26"/>
      <c r="N803" s="26"/>
      <c r="P803" s="1"/>
      <c r="Q803" s="1"/>
      <c r="R803" s="1"/>
      <c r="S803" s="1"/>
      <c r="T803" s="1"/>
      <c r="U803" s="1"/>
      <c r="V803" s="16"/>
      <c r="W803" s="1"/>
      <c r="X803" s="1"/>
    </row>
    <row r="804" spans="1:24">
      <c r="A804" s="1"/>
      <c r="M804" s="26"/>
      <c r="N804" s="26"/>
      <c r="P804" s="1"/>
      <c r="Q804" s="1"/>
      <c r="R804" s="1"/>
      <c r="S804" s="1"/>
      <c r="T804" s="1"/>
      <c r="U804" s="1"/>
      <c r="V804" s="16"/>
      <c r="W804" s="1"/>
      <c r="X804" s="1"/>
    </row>
    <row r="805" spans="1:24">
      <c r="A805" s="1"/>
      <c r="M805" s="26"/>
      <c r="N805" s="26"/>
      <c r="P805" s="1"/>
      <c r="Q805" s="1"/>
      <c r="R805" s="1"/>
      <c r="S805" s="1"/>
      <c r="T805" s="1"/>
      <c r="U805" s="1"/>
      <c r="V805" s="16"/>
      <c r="W805" s="1"/>
      <c r="X805" s="1"/>
    </row>
    <row r="806" spans="1:24">
      <c r="A806" s="1"/>
      <c r="M806" s="26"/>
      <c r="N806" s="26"/>
      <c r="P806" s="1"/>
      <c r="Q806" s="1"/>
      <c r="R806" s="1"/>
      <c r="S806" s="1"/>
      <c r="T806" s="1"/>
      <c r="U806" s="1"/>
      <c r="V806" s="16"/>
      <c r="W806" s="1"/>
      <c r="X806" s="1"/>
    </row>
    <row r="807" spans="1:24">
      <c r="A807" s="1"/>
      <c r="M807" s="26"/>
      <c r="N807" s="26"/>
      <c r="P807" s="1"/>
      <c r="Q807" s="1"/>
      <c r="R807" s="1"/>
      <c r="S807" s="1"/>
      <c r="T807" s="1"/>
      <c r="U807" s="1"/>
      <c r="V807" s="16"/>
      <c r="W807" s="1"/>
      <c r="X807" s="1"/>
    </row>
    <row r="808" spans="1:24">
      <c r="A808" s="1"/>
      <c r="M808" s="26"/>
      <c r="N808" s="26"/>
      <c r="P808" s="1"/>
      <c r="Q808" s="1"/>
      <c r="R808" s="1"/>
      <c r="S808" s="1"/>
      <c r="T808" s="1"/>
      <c r="U808" s="1"/>
      <c r="V808" s="16"/>
      <c r="W808" s="1"/>
      <c r="X808" s="1"/>
    </row>
    <row r="809" spans="1:24">
      <c r="A809" s="1"/>
      <c r="M809" s="26"/>
      <c r="N809" s="26"/>
      <c r="P809" s="1"/>
      <c r="Q809" s="1"/>
      <c r="R809" s="1"/>
      <c r="S809" s="1"/>
      <c r="T809" s="1"/>
      <c r="U809" s="1"/>
      <c r="V809" s="16"/>
      <c r="W809" s="1"/>
      <c r="X809" s="1"/>
    </row>
    <row r="810" spans="1:24">
      <c r="A810" s="1"/>
      <c r="M810" s="26"/>
      <c r="N810" s="26"/>
      <c r="P810" s="1"/>
      <c r="Q810" s="1"/>
      <c r="R810" s="1"/>
      <c r="S810" s="1"/>
      <c r="T810" s="1"/>
      <c r="U810" s="1"/>
      <c r="V810" s="16"/>
      <c r="W810" s="1"/>
      <c r="X810" s="1"/>
    </row>
    <row r="811" spans="1:24">
      <c r="A811" s="1"/>
      <c r="M811" s="26"/>
      <c r="N811" s="26"/>
      <c r="P811" s="1"/>
      <c r="Q811" s="1"/>
      <c r="R811" s="1"/>
      <c r="S811" s="1"/>
      <c r="T811" s="1"/>
      <c r="U811" s="1"/>
      <c r="V811" s="16"/>
      <c r="W811" s="1"/>
      <c r="X811" s="1"/>
    </row>
    <row r="812" spans="1:24">
      <c r="A812" s="1"/>
      <c r="M812" s="26"/>
      <c r="N812" s="26"/>
      <c r="P812" s="1"/>
      <c r="Q812" s="1"/>
      <c r="R812" s="1"/>
      <c r="S812" s="1"/>
      <c r="T812" s="1"/>
      <c r="U812" s="1"/>
      <c r="V812" s="16"/>
      <c r="W812" s="1"/>
      <c r="X812" s="1"/>
    </row>
    <row r="813" spans="1:24">
      <c r="A813" s="1"/>
      <c r="M813" s="26"/>
      <c r="N813" s="26"/>
      <c r="P813" s="1"/>
      <c r="Q813" s="1"/>
      <c r="R813" s="1"/>
      <c r="S813" s="1"/>
      <c r="T813" s="1"/>
      <c r="U813" s="1"/>
      <c r="V813" s="16"/>
      <c r="W813" s="1"/>
      <c r="X813" s="1"/>
    </row>
    <row r="814" spans="1:24">
      <c r="A814" s="1"/>
      <c r="M814" s="26"/>
      <c r="N814" s="26"/>
      <c r="P814" s="1"/>
      <c r="Q814" s="1"/>
      <c r="R814" s="1"/>
      <c r="S814" s="1"/>
      <c r="T814" s="1"/>
      <c r="U814" s="1"/>
      <c r="V814" s="16"/>
      <c r="W814" s="1"/>
      <c r="X814" s="1"/>
    </row>
    <row r="815" spans="1:24">
      <c r="A815" s="1"/>
      <c r="M815" s="26"/>
      <c r="N815" s="26"/>
      <c r="P815" s="1"/>
      <c r="Q815" s="1"/>
      <c r="R815" s="1"/>
      <c r="S815" s="1"/>
      <c r="T815" s="1"/>
      <c r="U815" s="1"/>
      <c r="V815" s="16"/>
      <c r="W815" s="1"/>
      <c r="X815" s="1"/>
    </row>
    <row r="816" spans="1:24">
      <c r="A816" s="1"/>
      <c r="M816" s="26"/>
      <c r="N816" s="26"/>
      <c r="P816" s="1"/>
      <c r="Q816" s="1"/>
      <c r="R816" s="1"/>
      <c r="S816" s="1"/>
      <c r="T816" s="1"/>
      <c r="U816" s="1"/>
      <c r="V816" s="16"/>
      <c r="W816" s="1"/>
      <c r="X816" s="1"/>
    </row>
    <row r="817" spans="1:24">
      <c r="A817" s="1"/>
      <c r="M817" s="26"/>
      <c r="N817" s="26"/>
      <c r="P817" s="1"/>
      <c r="Q817" s="1"/>
      <c r="R817" s="1"/>
      <c r="S817" s="1"/>
      <c r="T817" s="1"/>
      <c r="U817" s="1"/>
      <c r="V817" s="16"/>
      <c r="W817" s="1"/>
      <c r="X817" s="1"/>
    </row>
    <row r="818" spans="1:24">
      <c r="A818" s="1"/>
      <c r="M818" s="26"/>
      <c r="N818" s="26"/>
      <c r="P818" s="1"/>
      <c r="Q818" s="1"/>
      <c r="R818" s="1"/>
      <c r="S818" s="1"/>
      <c r="T818" s="1"/>
      <c r="U818" s="1"/>
      <c r="V818" s="16"/>
      <c r="W818" s="1"/>
      <c r="X818" s="1"/>
    </row>
    <row r="819" spans="1:24">
      <c r="A819" s="1"/>
      <c r="M819" s="26"/>
      <c r="N819" s="26"/>
      <c r="P819" s="1"/>
      <c r="Q819" s="1"/>
      <c r="R819" s="1"/>
      <c r="S819" s="1"/>
      <c r="T819" s="1"/>
      <c r="U819" s="1"/>
      <c r="V819" s="16"/>
      <c r="W819" s="1"/>
      <c r="X819" s="1"/>
    </row>
    <row r="820" spans="1:24">
      <c r="A820" s="1"/>
      <c r="M820" s="26"/>
      <c r="N820" s="26"/>
      <c r="P820" s="1"/>
      <c r="Q820" s="1"/>
      <c r="R820" s="1"/>
      <c r="S820" s="1"/>
      <c r="T820" s="1"/>
      <c r="U820" s="1"/>
      <c r="V820" s="16"/>
      <c r="W820" s="1"/>
      <c r="X820" s="1"/>
    </row>
    <row r="821" spans="1:24">
      <c r="A821" s="1"/>
      <c r="M821" s="26"/>
      <c r="N821" s="26"/>
      <c r="P821" s="1"/>
      <c r="Q821" s="1"/>
      <c r="R821" s="1"/>
      <c r="S821" s="1"/>
      <c r="T821" s="1"/>
      <c r="U821" s="1"/>
      <c r="V821" s="16"/>
      <c r="W821" s="1"/>
      <c r="X821" s="1"/>
    </row>
    <row r="822" spans="1:24">
      <c r="A822" s="1"/>
      <c r="M822" s="26"/>
      <c r="N822" s="26"/>
      <c r="P822" s="1"/>
      <c r="Q822" s="1"/>
      <c r="R822" s="1"/>
      <c r="S822" s="1"/>
      <c r="T822" s="1"/>
      <c r="U822" s="1"/>
      <c r="V822" s="16"/>
      <c r="W822" s="1"/>
      <c r="X822" s="1"/>
    </row>
    <row r="823" spans="1:24">
      <c r="A823" s="1"/>
      <c r="M823" s="26"/>
      <c r="N823" s="26"/>
      <c r="P823" s="1"/>
      <c r="Q823" s="1"/>
      <c r="R823" s="1"/>
      <c r="S823" s="1"/>
      <c r="T823" s="1"/>
      <c r="U823" s="1"/>
      <c r="V823" s="16"/>
      <c r="W823" s="1"/>
      <c r="X823" s="1"/>
    </row>
    <row r="824" spans="1:24">
      <c r="A824" s="1"/>
      <c r="M824" s="26"/>
      <c r="N824" s="26"/>
      <c r="P824" s="1"/>
      <c r="Q824" s="1"/>
      <c r="R824" s="1"/>
      <c r="S824" s="1"/>
      <c r="T824" s="1"/>
      <c r="U824" s="1"/>
      <c r="V824" s="16"/>
      <c r="W824" s="1"/>
      <c r="X824" s="1"/>
    </row>
    <row r="825" spans="1:24">
      <c r="A825" s="1"/>
      <c r="M825" s="26"/>
      <c r="N825" s="26"/>
      <c r="P825" s="1"/>
      <c r="Q825" s="1"/>
      <c r="R825" s="1"/>
      <c r="S825" s="1"/>
      <c r="T825" s="1"/>
      <c r="U825" s="1"/>
      <c r="V825" s="16"/>
      <c r="W825" s="1"/>
      <c r="X825" s="1"/>
    </row>
    <row r="826" spans="1:24">
      <c r="A826" s="1"/>
      <c r="M826" s="26"/>
      <c r="N826" s="26"/>
      <c r="P826" s="1"/>
      <c r="Q826" s="1"/>
      <c r="R826" s="1"/>
      <c r="S826" s="1"/>
      <c r="T826" s="1"/>
      <c r="U826" s="1"/>
      <c r="V826" s="16"/>
      <c r="W826" s="1"/>
      <c r="X826" s="1"/>
    </row>
    <row r="827" spans="1:24">
      <c r="A827" s="1"/>
      <c r="M827" s="26"/>
      <c r="N827" s="26"/>
      <c r="P827" s="1"/>
      <c r="Q827" s="1"/>
      <c r="R827" s="1"/>
      <c r="S827" s="1"/>
      <c r="T827" s="1"/>
      <c r="U827" s="1"/>
      <c r="V827" s="16"/>
      <c r="W827" s="1"/>
      <c r="X827" s="1"/>
    </row>
    <row r="828" spans="1:24">
      <c r="A828" s="1"/>
      <c r="M828" s="26"/>
      <c r="N828" s="26"/>
      <c r="P828" s="1"/>
      <c r="Q828" s="1"/>
      <c r="R828" s="1"/>
      <c r="S828" s="1"/>
      <c r="T828" s="1"/>
      <c r="U828" s="1"/>
      <c r="V828" s="16"/>
      <c r="W828" s="1"/>
      <c r="X828" s="1"/>
    </row>
    <row r="829" spans="1:24">
      <c r="A829" s="1"/>
      <c r="M829" s="26"/>
      <c r="N829" s="26"/>
      <c r="P829" s="1"/>
      <c r="Q829" s="1"/>
      <c r="R829" s="1"/>
      <c r="S829" s="1"/>
      <c r="T829" s="1"/>
      <c r="U829" s="1"/>
      <c r="V829" s="16"/>
      <c r="W829" s="1"/>
      <c r="X829" s="1"/>
    </row>
    <row r="830" spans="1:24">
      <c r="A830" s="1"/>
      <c r="M830" s="26"/>
      <c r="N830" s="26"/>
      <c r="P830" s="1"/>
      <c r="Q830" s="1"/>
      <c r="R830" s="1"/>
      <c r="S830" s="1"/>
      <c r="T830" s="1"/>
      <c r="U830" s="1"/>
      <c r="V830" s="16"/>
      <c r="W830" s="1"/>
      <c r="X830" s="1"/>
    </row>
    <row r="831" spans="1:24">
      <c r="A831" s="1"/>
      <c r="M831" s="26"/>
      <c r="N831" s="26"/>
      <c r="P831" s="1"/>
      <c r="Q831" s="1"/>
      <c r="R831" s="1"/>
      <c r="S831" s="1"/>
      <c r="T831" s="1"/>
      <c r="U831" s="1"/>
      <c r="V831" s="16"/>
      <c r="W831" s="1"/>
      <c r="X831" s="1"/>
    </row>
    <row r="832" spans="1:24">
      <c r="A832" s="1"/>
      <c r="M832" s="26"/>
      <c r="N832" s="26"/>
      <c r="P832" s="1"/>
      <c r="Q832" s="1"/>
      <c r="R832" s="1"/>
      <c r="S832" s="1"/>
      <c r="T832" s="1"/>
      <c r="U832" s="1"/>
      <c r="V832" s="16"/>
      <c r="W832" s="1"/>
      <c r="X832" s="1"/>
    </row>
    <row r="833" spans="1:24">
      <c r="A833" s="1"/>
      <c r="M833" s="26"/>
      <c r="N833" s="26"/>
      <c r="P833" s="1"/>
      <c r="Q833" s="1"/>
      <c r="R833" s="1"/>
      <c r="S833" s="1"/>
      <c r="T833" s="1"/>
      <c r="U833" s="1"/>
      <c r="V833" s="16"/>
      <c r="W833" s="1"/>
      <c r="X833" s="1"/>
    </row>
    <row r="834" spans="1:24">
      <c r="A834" s="1"/>
      <c r="M834" s="26"/>
      <c r="N834" s="26"/>
      <c r="P834" s="1"/>
      <c r="Q834" s="1"/>
      <c r="R834" s="1"/>
      <c r="S834" s="1"/>
      <c r="T834" s="1"/>
      <c r="U834" s="1"/>
      <c r="V834" s="16"/>
      <c r="W834" s="1"/>
      <c r="X834" s="1"/>
    </row>
    <row r="835" spans="1:24">
      <c r="A835" s="1"/>
      <c r="M835" s="26"/>
      <c r="N835" s="26"/>
      <c r="P835" s="1"/>
      <c r="Q835" s="1"/>
      <c r="R835" s="1"/>
      <c r="S835" s="1"/>
      <c r="T835" s="1"/>
      <c r="U835" s="1"/>
      <c r="V835" s="16"/>
      <c r="W835" s="1"/>
      <c r="X835" s="1"/>
    </row>
    <row r="836" spans="1:24">
      <c r="A836" s="1"/>
      <c r="M836" s="26"/>
      <c r="N836" s="26"/>
      <c r="P836" s="1"/>
      <c r="Q836" s="1"/>
      <c r="R836" s="1"/>
      <c r="S836" s="1"/>
      <c r="T836" s="1"/>
      <c r="U836" s="1"/>
      <c r="V836" s="16"/>
      <c r="W836" s="1"/>
      <c r="X836" s="1"/>
    </row>
    <row r="837" spans="1:24">
      <c r="A837" s="1"/>
      <c r="M837" s="26"/>
      <c r="N837" s="26"/>
      <c r="P837" s="1"/>
      <c r="Q837" s="1"/>
      <c r="R837" s="1"/>
      <c r="S837" s="1"/>
      <c r="T837" s="1"/>
      <c r="U837" s="1"/>
      <c r="V837" s="16"/>
      <c r="W837" s="1"/>
      <c r="X837" s="1"/>
    </row>
    <row r="838" spans="1:24">
      <c r="A838" s="1"/>
      <c r="M838" s="26"/>
      <c r="N838" s="26"/>
      <c r="P838" s="1"/>
      <c r="Q838" s="1"/>
      <c r="R838" s="1"/>
      <c r="S838" s="1"/>
      <c r="T838" s="1"/>
      <c r="U838" s="1"/>
      <c r="V838" s="16"/>
      <c r="W838" s="1"/>
      <c r="X838" s="1"/>
    </row>
    <row r="839" spans="1:24">
      <c r="A839" s="1"/>
      <c r="M839" s="26"/>
      <c r="N839" s="26"/>
      <c r="P839" s="1"/>
      <c r="Q839" s="1"/>
      <c r="R839" s="1"/>
      <c r="S839" s="1"/>
      <c r="T839" s="1"/>
      <c r="U839" s="1"/>
      <c r="V839" s="16"/>
      <c r="W839" s="1"/>
      <c r="X839" s="1"/>
    </row>
    <row r="840" spans="1:24">
      <c r="A840" s="1"/>
      <c r="M840" s="26"/>
      <c r="N840" s="26"/>
      <c r="P840" s="1"/>
      <c r="Q840" s="1"/>
      <c r="R840" s="1"/>
      <c r="S840" s="1"/>
      <c r="T840" s="1"/>
      <c r="U840" s="1"/>
      <c r="V840" s="16"/>
      <c r="W840" s="1"/>
      <c r="X840" s="1"/>
    </row>
    <row r="841" spans="1:24">
      <c r="A841" s="1"/>
      <c r="M841" s="26"/>
      <c r="N841" s="26"/>
      <c r="P841" s="1"/>
      <c r="Q841" s="1"/>
      <c r="R841" s="1"/>
      <c r="S841" s="1"/>
      <c r="T841" s="1"/>
      <c r="U841" s="1"/>
      <c r="V841" s="16"/>
      <c r="W841" s="1"/>
      <c r="X841" s="1"/>
    </row>
    <row r="842" spans="1:24">
      <c r="A842" s="1"/>
      <c r="M842" s="26"/>
      <c r="N842" s="26"/>
      <c r="P842" s="1"/>
      <c r="Q842" s="1"/>
      <c r="R842" s="1"/>
      <c r="S842" s="1"/>
      <c r="T842" s="1"/>
      <c r="U842" s="1"/>
      <c r="V842" s="16"/>
      <c r="W842" s="1"/>
      <c r="X842" s="1"/>
    </row>
    <row r="843" spans="1:24">
      <c r="A843" s="1"/>
      <c r="M843" s="26"/>
      <c r="N843" s="26"/>
      <c r="P843" s="1"/>
      <c r="Q843" s="1"/>
      <c r="R843" s="1"/>
      <c r="S843" s="1"/>
      <c r="T843" s="1"/>
      <c r="U843" s="1"/>
      <c r="V843" s="16"/>
      <c r="W843" s="1"/>
      <c r="X843" s="1"/>
    </row>
    <row r="844" spans="1:24">
      <c r="A844" s="1"/>
      <c r="M844" s="26"/>
      <c r="N844" s="26"/>
      <c r="P844" s="1"/>
      <c r="Q844" s="1"/>
      <c r="R844" s="1"/>
      <c r="S844" s="1"/>
      <c r="T844" s="1"/>
      <c r="U844" s="1"/>
      <c r="V844" s="16"/>
      <c r="W844" s="1"/>
      <c r="X844" s="1"/>
    </row>
    <row r="845" spans="1:24">
      <c r="A845" s="1"/>
      <c r="M845" s="26"/>
      <c r="N845" s="26"/>
      <c r="P845" s="1"/>
      <c r="Q845" s="1"/>
      <c r="R845" s="1"/>
      <c r="S845" s="1"/>
      <c r="T845" s="1"/>
      <c r="U845" s="1"/>
      <c r="V845" s="16"/>
      <c r="W845" s="1"/>
      <c r="X845" s="1"/>
    </row>
    <row r="846" spans="1:24">
      <c r="A846" s="1"/>
      <c r="M846" s="26"/>
      <c r="N846" s="26"/>
      <c r="P846" s="1"/>
      <c r="Q846" s="1"/>
      <c r="R846" s="1"/>
      <c r="S846" s="1"/>
      <c r="T846" s="1"/>
      <c r="U846" s="1"/>
      <c r="V846" s="16"/>
      <c r="W846" s="1"/>
      <c r="X846" s="1"/>
    </row>
    <row r="847" spans="1:24">
      <c r="A847" s="1"/>
      <c r="M847" s="26"/>
      <c r="N847" s="26"/>
      <c r="P847" s="1"/>
      <c r="Q847" s="1"/>
      <c r="R847" s="1"/>
      <c r="S847" s="1"/>
      <c r="T847" s="1"/>
      <c r="U847" s="1"/>
      <c r="V847" s="16"/>
      <c r="W847" s="1"/>
      <c r="X847" s="1"/>
    </row>
    <row r="848" spans="1:24">
      <c r="A848" s="1"/>
      <c r="M848" s="26"/>
      <c r="N848" s="26"/>
      <c r="P848" s="1"/>
      <c r="Q848" s="1"/>
      <c r="R848" s="1"/>
      <c r="S848" s="1"/>
      <c r="T848" s="1"/>
      <c r="U848" s="1"/>
      <c r="V848" s="16"/>
      <c r="W848" s="1"/>
      <c r="X848" s="1"/>
    </row>
    <row r="849" spans="1:24">
      <c r="A849" s="1"/>
      <c r="M849" s="26"/>
      <c r="N849" s="26"/>
      <c r="P849" s="1"/>
      <c r="Q849" s="1"/>
      <c r="R849" s="1"/>
      <c r="S849" s="1"/>
      <c r="T849" s="1"/>
      <c r="U849" s="1"/>
      <c r="V849" s="16"/>
      <c r="W849" s="1"/>
      <c r="X849" s="1"/>
    </row>
    <row r="850" spans="1:24">
      <c r="A850" s="1"/>
      <c r="M850" s="26"/>
      <c r="N850" s="26"/>
      <c r="P850" s="1"/>
      <c r="Q850" s="1"/>
      <c r="R850" s="1"/>
      <c r="S850" s="1"/>
      <c r="T850" s="1"/>
      <c r="U850" s="1"/>
      <c r="V850" s="16"/>
      <c r="W850" s="1"/>
      <c r="X850" s="1"/>
    </row>
    <row r="851" spans="1:24">
      <c r="A851" s="1"/>
      <c r="M851" s="26"/>
      <c r="N851" s="26"/>
      <c r="P851" s="1"/>
      <c r="Q851" s="1"/>
      <c r="R851" s="1"/>
      <c r="S851" s="1"/>
      <c r="T851" s="1"/>
      <c r="U851" s="1"/>
      <c r="V851" s="16"/>
      <c r="W851" s="1"/>
      <c r="X851" s="1"/>
    </row>
    <row r="852" spans="1:24">
      <c r="A852" s="1"/>
      <c r="M852" s="26"/>
      <c r="N852" s="26"/>
      <c r="P852" s="1"/>
      <c r="Q852" s="1"/>
      <c r="R852" s="1"/>
      <c r="S852" s="1"/>
      <c r="T852" s="1"/>
      <c r="U852" s="1"/>
      <c r="V852" s="16"/>
      <c r="W852" s="1"/>
      <c r="X852" s="1"/>
    </row>
    <row r="853" spans="1:24">
      <c r="A853" s="1"/>
      <c r="M853" s="26"/>
      <c r="N853" s="26"/>
      <c r="P853" s="1"/>
      <c r="Q853" s="1"/>
      <c r="R853" s="1"/>
      <c r="S853" s="1"/>
      <c r="T853" s="1"/>
      <c r="U853" s="1"/>
      <c r="V853" s="16"/>
      <c r="W853" s="1"/>
      <c r="X853" s="1"/>
    </row>
    <row r="854" spans="1:24">
      <c r="A854" s="1"/>
      <c r="M854" s="26"/>
      <c r="N854" s="26"/>
      <c r="P854" s="1"/>
      <c r="Q854" s="1"/>
      <c r="R854" s="1"/>
      <c r="S854" s="1"/>
      <c r="T854" s="1"/>
      <c r="U854" s="1"/>
      <c r="V854" s="16"/>
      <c r="W854" s="1"/>
      <c r="X854" s="1"/>
    </row>
    <row r="855" spans="1:24">
      <c r="A855" s="1"/>
      <c r="M855" s="26"/>
      <c r="N855" s="26"/>
      <c r="P855" s="1"/>
      <c r="Q855" s="1"/>
      <c r="R855" s="1"/>
      <c r="S855" s="1"/>
      <c r="T855" s="1"/>
      <c r="U855" s="1"/>
      <c r="V855" s="16"/>
      <c r="W855" s="1"/>
      <c r="X855" s="1"/>
    </row>
    <row r="856" spans="1:24">
      <c r="A856" s="1"/>
      <c r="M856" s="26"/>
      <c r="N856" s="26"/>
      <c r="P856" s="1"/>
      <c r="Q856" s="1"/>
      <c r="R856" s="1"/>
      <c r="S856" s="1"/>
      <c r="T856" s="1"/>
      <c r="U856" s="1"/>
      <c r="V856" s="16"/>
      <c r="W856" s="1"/>
      <c r="X856" s="1"/>
    </row>
    <row r="857" spans="1:24">
      <c r="A857" s="1"/>
      <c r="M857" s="26"/>
      <c r="N857" s="26"/>
      <c r="P857" s="1"/>
      <c r="Q857" s="1"/>
      <c r="R857" s="1"/>
      <c r="S857" s="1"/>
      <c r="T857" s="1"/>
      <c r="U857" s="1"/>
      <c r="V857" s="16"/>
      <c r="W857" s="1"/>
      <c r="X857" s="1"/>
    </row>
    <row r="858" spans="1:24">
      <c r="A858" s="1"/>
      <c r="M858" s="26"/>
      <c r="N858" s="26"/>
      <c r="P858" s="1"/>
      <c r="Q858" s="1"/>
      <c r="R858" s="1"/>
      <c r="S858" s="1"/>
      <c r="T858" s="1"/>
      <c r="U858" s="1"/>
      <c r="V858" s="16"/>
      <c r="W858" s="1"/>
      <c r="X858" s="1"/>
    </row>
    <row r="859" spans="1:24">
      <c r="A859" s="1"/>
      <c r="M859" s="26"/>
      <c r="N859" s="26"/>
      <c r="P859" s="1"/>
      <c r="Q859" s="1"/>
      <c r="R859" s="1"/>
      <c r="S859" s="1"/>
      <c r="T859" s="1"/>
      <c r="U859" s="1"/>
      <c r="V859" s="16"/>
      <c r="W859" s="1"/>
      <c r="X859" s="1"/>
    </row>
    <row r="860" spans="1:24">
      <c r="A860" s="1"/>
      <c r="M860" s="26"/>
      <c r="N860" s="26"/>
      <c r="P860" s="1"/>
      <c r="Q860" s="1"/>
      <c r="R860" s="1"/>
      <c r="S860" s="1"/>
      <c r="T860" s="1"/>
      <c r="U860" s="1"/>
      <c r="V860" s="16"/>
      <c r="W860" s="1"/>
      <c r="X860" s="1"/>
    </row>
    <row r="861" spans="1:24">
      <c r="A861" s="1"/>
      <c r="M861" s="26"/>
      <c r="N861" s="26"/>
      <c r="P861" s="1"/>
      <c r="Q861" s="1"/>
      <c r="R861" s="1"/>
      <c r="S861" s="1"/>
      <c r="T861" s="1"/>
      <c r="U861" s="1"/>
      <c r="V861" s="16"/>
      <c r="W861" s="1"/>
      <c r="X861" s="1"/>
    </row>
    <row r="862" spans="1:24">
      <c r="A862" s="1"/>
      <c r="M862" s="26"/>
      <c r="N862" s="26"/>
      <c r="P862" s="1"/>
      <c r="Q862" s="1"/>
      <c r="R862" s="1"/>
      <c r="S862" s="1"/>
      <c r="T862" s="1"/>
      <c r="U862" s="1"/>
      <c r="V862" s="16"/>
      <c r="W862" s="1"/>
      <c r="X862" s="1"/>
    </row>
    <row r="863" spans="1:24">
      <c r="A863" s="1"/>
      <c r="M863" s="26"/>
      <c r="N863" s="26"/>
      <c r="P863" s="1"/>
      <c r="Q863" s="1"/>
      <c r="R863" s="1"/>
      <c r="S863" s="1"/>
      <c r="T863" s="1"/>
      <c r="U863" s="1"/>
      <c r="V863" s="16"/>
      <c r="W863" s="1"/>
      <c r="X863" s="1"/>
    </row>
    <row r="864" spans="1:24">
      <c r="A864" s="1"/>
      <c r="M864" s="26"/>
      <c r="N864" s="26"/>
      <c r="P864" s="1"/>
      <c r="Q864" s="1"/>
      <c r="R864" s="1"/>
      <c r="S864" s="1"/>
      <c r="T864" s="1"/>
      <c r="U864" s="1"/>
      <c r="V864" s="16"/>
      <c r="W864" s="1"/>
      <c r="X864" s="1"/>
    </row>
    <row r="865" spans="1:24">
      <c r="A865" s="1"/>
      <c r="M865" s="26"/>
      <c r="N865" s="26"/>
      <c r="P865" s="1"/>
      <c r="Q865" s="1"/>
      <c r="R865" s="1"/>
      <c r="S865" s="1"/>
      <c r="T865" s="1"/>
      <c r="U865" s="1"/>
      <c r="V865" s="16"/>
      <c r="W865" s="1"/>
      <c r="X865" s="1"/>
    </row>
    <row r="866" spans="1:24">
      <c r="A866" s="1"/>
      <c r="M866" s="26"/>
      <c r="N866" s="26"/>
      <c r="P866" s="1"/>
      <c r="Q866" s="1"/>
      <c r="R866" s="1"/>
      <c r="S866" s="1"/>
      <c r="T866" s="1"/>
      <c r="U866" s="1"/>
      <c r="V866" s="16"/>
      <c r="W866" s="1"/>
      <c r="X866" s="1"/>
    </row>
    <row r="867" spans="1:24">
      <c r="A867" s="1"/>
      <c r="M867" s="26"/>
      <c r="N867" s="26"/>
      <c r="P867" s="1"/>
      <c r="Q867" s="1"/>
      <c r="R867" s="1"/>
      <c r="S867" s="1"/>
      <c r="T867" s="1"/>
      <c r="U867" s="1"/>
      <c r="V867" s="16"/>
      <c r="W867" s="1"/>
      <c r="X867" s="1"/>
    </row>
    <row r="868" spans="1:24">
      <c r="A868" s="1"/>
      <c r="M868" s="26"/>
      <c r="N868" s="26"/>
      <c r="P868" s="1"/>
      <c r="Q868" s="1"/>
      <c r="R868" s="1"/>
      <c r="S868" s="1"/>
      <c r="T868" s="1"/>
      <c r="U868" s="1"/>
      <c r="V868" s="16"/>
      <c r="W868" s="1"/>
      <c r="X868" s="1"/>
    </row>
    <row r="869" spans="1:24">
      <c r="A869" s="1"/>
      <c r="M869" s="26"/>
      <c r="N869" s="26"/>
      <c r="P869" s="1"/>
      <c r="Q869" s="1"/>
      <c r="R869" s="1"/>
      <c r="S869" s="1"/>
      <c r="T869" s="1"/>
      <c r="U869" s="1"/>
      <c r="V869" s="16"/>
      <c r="W869" s="1"/>
      <c r="X869" s="1"/>
    </row>
    <row r="870" spans="1:24">
      <c r="A870" s="1"/>
      <c r="M870" s="26"/>
      <c r="N870" s="26"/>
      <c r="P870" s="1"/>
      <c r="Q870" s="1"/>
      <c r="R870" s="1"/>
      <c r="S870" s="1"/>
      <c r="T870" s="1"/>
      <c r="U870" s="1"/>
      <c r="V870" s="16"/>
      <c r="W870" s="1"/>
      <c r="X870" s="1"/>
    </row>
    <row r="871" spans="1:24">
      <c r="A871" s="1"/>
      <c r="M871" s="26"/>
      <c r="N871" s="26"/>
      <c r="P871" s="1"/>
      <c r="Q871" s="1"/>
      <c r="R871" s="1"/>
      <c r="S871" s="1"/>
      <c r="T871" s="1"/>
      <c r="U871" s="1"/>
      <c r="V871" s="16"/>
      <c r="W871" s="1"/>
      <c r="X871" s="1"/>
    </row>
    <row r="872" spans="1:24">
      <c r="A872" s="1"/>
      <c r="M872" s="26"/>
      <c r="N872" s="26"/>
      <c r="P872" s="1"/>
      <c r="Q872" s="1"/>
      <c r="R872" s="1"/>
      <c r="S872" s="1"/>
      <c r="T872" s="1"/>
      <c r="U872" s="1"/>
      <c r="V872" s="16"/>
      <c r="W872" s="1"/>
      <c r="X872" s="1"/>
    </row>
    <row r="873" spans="1:24">
      <c r="A873" s="1"/>
      <c r="M873" s="26"/>
      <c r="N873" s="26"/>
      <c r="P873" s="1"/>
      <c r="Q873" s="1"/>
      <c r="R873" s="1"/>
      <c r="S873" s="1"/>
      <c r="T873" s="1"/>
      <c r="U873" s="1"/>
      <c r="V873" s="16"/>
      <c r="W873" s="1"/>
      <c r="X873" s="1"/>
    </row>
    <row r="874" spans="1:24">
      <c r="A874" s="1"/>
      <c r="M874" s="26"/>
      <c r="N874" s="26"/>
      <c r="P874" s="1"/>
      <c r="Q874" s="1"/>
      <c r="R874" s="1"/>
      <c r="S874" s="1"/>
      <c r="T874" s="1"/>
      <c r="U874" s="1"/>
      <c r="V874" s="16"/>
      <c r="W874" s="1"/>
      <c r="X874" s="1"/>
    </row>
    <row r="875" spans="1:24">
      <c r="A875" s="1"/>
      <c r="M875" s="26"/>
      <c r="N875" s="26"/>
      <c r="P875" s="1"/>
      <c r="Q875" s="1"/>
      <c r="R875" s="1"/>
      <c r="S875" s="1"/>
      <c r="T875" s="1"/>
      <c r="U875" s="1"/>
      <c r="V875" s="16"/>
      <c r="W875" s="1"/>
      <c r="X875" s="1"/>
    </row>
    <row r="876" spans="1:24">
      <c r="A876" s="1"/>
      <c r="M876" s="26"/>
      <c r="N876" s="26"/>
      <c r="P876" s="1"/>
      <c r="Q876" s="1"/>
      <c r="R876" s="1"/>
      <c r="S876" s="1"/>
      <c r="T876" s="1"/>
      <c r="U876" s="1"/>
      <c r="V876" s="16"/>
      <c r="W876" s="1"/>
      <c r="X876" s="1"/>
    </row>
    <row r="877" spans="1:24">
      <c r="A877" s="1"/>
      <c r="M877" s="26"/>
      <c r="N877" s="26"/>
      <c r="P877" s="1"/>
      <c r="Q877" s="1"/>
      <c r="R877" s="1"/>
      <c r="S877" s="1"/>
      <c r="T877" s="1"/>
      <c r="U877" s="1"/>
      <c r="V877" s="16"/>
      <c r="W877" s="1"/>
      <c r="X877" s="1"/>
    </row>
    <row r="878" spans="1:24">
      <c r="A878" s="1"/>
      <c r="M878" s="26"/>
      <c r="N878" s="26"/>
      <c r="P878" s="1"/>
      <c r="Q878" s="1"/>
      <c r="R878" s="1"/>
      <c r="S878" s="1"/>
      <c r="T878" s="1"/>
      <c r="U878" s="1"/>
      <c r="V878" s="16"/>
      <c r="W878" s="1"/>
      <c r="X878" s="1"/>
    </row>
    <row r="879" spans="1:24">
      <c r="A879" s="1"/>
      <c r="M879" s="26"/>
      <c r="N879" s="26"/>
      <c r="P879" s="1"/>
      <c r="Q879" s="1"/>
      <c r="R879" s="1"/>
      <c r="S879" s="1"/>
      <c r="T879" s="1"/>
      <c r="U879" s="1"/>
      <c r="V879" s="16"/>
      <c r="W879" s="1"/>
      <c r="X879" s="1"/>
    </row>
    <row r="880" spans="1:24">
      <c r="A880" s="1"/>
      <c r="M880" s="26"/>
      <c r="N880" s="26"/>
      <c r="P880" s="1"/>
      <c r="Q880" s="1"/>
      <c r="R880" s="1"/>
      <c r="S880" s="1"/>
      <c r="T880" s="1"/>
      <c r="U880" s="1"/>
      <c r="V880" s="16"/>
      <c r="W880" s="1"/>
      <c r="X880" s="1"/>
    </row>
    <row r="881" spans="1:24">
      <c r="A881" s="1"/>
      <c r="M881" s="26"/>
      <c r="N881" s="26"/>
      <c r="P881" s="1"/>
      <c r="Q881" s="1"/>
      <c r="R881" s="1"/>
      <c r="S881" s="1"/>
      <c r="T881" s="1"/>
      <c r="U881" s="1"/>
      <c r="V881" s="16"/>
      <c r="W881" s="1"/>
      <c r="X881" s="1"/>
    </row>
    <row r="882" spans="1:24">
      <c r="A882" s="1"/>
      <c r="M882" s="26"/>
      <c r="N882" s="26"/>
      <c r="P882" s="1"/>
      <c r="Q882" s="1"/>
      <c r="R882" s="1"/>
      <c r="S882" s="1"/>
      <c r="T882" s="1"/>
      <c r="U882" s="1"/>
      <c r="V882" s="16"/>
      <c r="W882" s="1"/>
      <c r="X882" s="1"/>
    </row>
    <row r="883" spans="1:24">
      <c r="A883" s="1"/>
      <c r="M883" s="26"/>
      <c r="N883" s="26"/>
      <c r="P883" s="1"/>
      <c r="Q883" s="1"/>
      <c r="R883" s="1"/>
      <c r="S883" s="1"/>
      <c r="T883" s="1"/>
      <c r="U883" s="1"/>
      <c r="V883" s="16"/>
      <c r="W883" s="1"/>
      <c r="X883" s="1"/>
    </row>
    <row r="884" spans="1:24">
      <c r="A884" s="1"/>
      <c r="M884" s="26"/>
      <c r="N884" s="26"/>
      <c r="P884" s="1"/>
      <c r="Q884" s="1"/>
      <c r="R884" s="1"/>
      <c r="S884" s="1"/>
      <c r="T884" s="1"/>
      <c r="U884" s="1"/>
      <c r="V884" s="16"/>
      <c r="W884" s="1"/>
      <c r="X884" s="1"/>
    </row>
    <row r="885" spans="1:24">
      <c r="A885" s="1"/>
      <c r="M885" s="26"/>
      <c r="N885" s="26"/>
      <c r="P885" s="1"/>
      <c r="Q885" s="1"/>
      <c r="R885" s="1"/>
      <c r="S885" s="1"/>
      <c r="T885" s="1"/>
      <c r="U885" s="1"/>
      <c r="V885" s="16"/>
      <c r="W885" s="1"/>
      <c r="X885" s="1"/>
    </row>
    <row r="886" spans="1:24">
      <c r="A886" s="1"/>
      <c r="M886" s="26"/>
      <c r="N886" s="26"/>
      <c r="P886" s="1"/>
      <c r="Q886" s="1"/>
      <c r="R886" s="1"/>
      <c r="S886" s="1"/>
      <c r="T886" s="1"/>
      <c r="U886" s="1"/>
      <c r="V886" s="16"/>
      <c r="W886" s="1"/>
      <c r="X886" s="1"/>
    </row>
    <row r="887" spans="1:24">
      <c r="A887" s="1"/>
      <c r="M887" s="26"/>
      <c r="N887" s="26"/>
      <c r="P887" s="1"/>
      <c r="Q887" s="1"/>
      <c r="R887" s="1"/>
      <c r="S887" s="1"/>
      <c r="T887" s="1"/>
      <c r="U887" s="1"/>
      <c r="V887" s="16"/>
      <c r="W887" s="1"/>
      <c r="X887" s="1"/>
    </row>
    <row r="888" spans="1:24">
      <c r="A888" s="1"/>
      <c r="M888" s="26"/>
      <c r="N888" s="26"/>
      <c r="P888" s="1"/>
      <c r="Q888" s="1"/>
      <c r="R888" s="1"/>
      <c r="S888" s="1"/>
      <c r="T888" s="1"/>
      <c r="U888" s="1"/>
      <c r="V888" s="16"/>
      <c r="W888" s="1"/>
      <c r="X888" s="1"/>
    </row>
    <row r="889" spans="1:24">
      <c r="A889" s="1"/>
      <c r="M889" s="26"/>
      <c r="N889" s="26"/>
      <c r="P889" s="1"/>
      <c r="Q889" s="1"/>
      <c r="R889" s="1"/>
      <c r="S889" s="1"/>
      <c r="T889" s="1"/>
      <c r="U889" s="1"/>
      <c r="V889" s="16"/>
      <c r="W889" s="1"/>
      <c r="X889" s="1"/>
    </row>
    <row r="890" spans="1:24">
      <c r="A890" s="1"/>
      <c r="M890" s="26"/>
      <c r="N890" s="26"/>
      <c r="P890" s="1"/>
      <c r="Q890" s="1"/>
      <c r="R890" s="1"/>
      <c r="S890" s="1"/>
      <c r="T890" s="1"/>
      <c r="U890" s="1"/>
      <c r="V890" s="16"/>
      <c r="W890" s="1"/>
      <c r="X890" s="1"/>
    </row>
    <row r="891" spans="1:24">
      <c r="A891" s="1"/>
      <c r="M891" s="26"/>
      <c r="N891" s="26"/>
      <c r="P891" s="1"/>
      <c r="Q891" s="1"/>
      <c r="R891" s="1"/>
      <c r="S891" s="1"/>
      <c r="T891" s="1"/>
      <c r="U891" s="1"/>
      <c r="V891" s="16"/>
      <c r="W891" s="1"/>
      <c r="X891" s="1"/>
    </row>
    <row r="892" spans="1:24">
      <c r="A892" s="1"/>
      <c r="M892" s="26"/>
      <c r="N892" s="26"/>
      <c r="P892" s="1"/>
      <c r="Q892" s="1"/>
      <c r="R892" s="1"/>
      <c r="S892" s="1"/>
      <c r="T892" s="1"/>
      <c r="U892" s="1"/>
      <c r="V892" s="16"/>
      <c r="W892" s="1"/>
      <c r="X892" s="1"/>
    </row>
    <row r="893" spans="1:24">
      <c r="A893" s="1"/>
      <c r="M893" s="26"/>
      <c r="N893" s="26"/>
      <c r="P893" s="1"/>
      <c r="Q893" s="1"/>
      <c r="R893" s="1"/>
      <c r="S893" s="1"/>
      <c r="T893" s="1"/>
      <c r="U893" s="1"/>
      <c r="V893" s="16"/>
      <c r="W893" s="1"/>
      <c r="X893" s="1"/>
    </row>
    <row r="894" spans="1:24">
      <c r="A894" s="1"/>
      <c r="M894" s="26"/>
      <c r="N894" s="26"/>
      <c r="P894" s="1"/>
      <c r="Q894" s="1"/>
      <c r="R894" s="1"/>
      <c r="S894" s="1"/>
      <c r="T894" s="1"/>
      <c r="U894" s="1"/>
      <c r="V894" s="16"/>
      <c r="W894" s="1"/>
      <c r="X894" s="1"/>
    </row>
    <row r="895" spans="1:24">
      <c r="A895" s="1"/>
      <c r="M895" s="26"/>
      <c r="N895" s="26"/>
      <c r="P895" s="1"/>
      <c r="Q895" s="1"/>
      <c r="R895" s="1"/>
      <c r="S895" s="1"/>
      <c r="T895" s="1"/>
      <c r="U895" s="1"/>
      <c r="V895" s="16"/>
      <c r="W895" s="1"/>
      <c r="X895" s="1"/>
    </row>
    <row r="896" spans="1:24">
      <c r="A896" s="1"/>
      <c r="M896" s="26"/>
      <c r="N896" s="26"/>
      <c r="P896" s="1"/>
      <c r="Q896" s="1"/>
      <c r="R896" s="1"/>
      <c r="S896" s="1"/>
      <c r="T896" s="1"/>
      <c r="U896" s="1"/>
      <c r="V896" s="16"/>
      <c r="W896" s="1"/>
      <c r="X896" s="1"/>
    </row>
    <row r="897" spans="1:24">
      <c r="A897" s="1"/>
      <c r="M897" s="26"/>
      <c r="N897" s="26"/>
      <c r="P897" s="1"/>
      <c r="Q897" s="1"/>
      <c r="R897" s="1"/>
      <c r="S897" s="1"/>
      <c r="T897" s="1"/>
      <c r="U897" s="1"/>
      <c r="V897" s="16"/>
      <c r="W897" s="1"/>
      <c r="X897" s="1"/>
    </row>
    <row r="898" spans="1:24">
      <c r="A898" s="1"/>
      <c r="M898" s="26"/>
      <c r="N898" s="26"/>
      <c r="P898" s="1"/>
      <c r="Q898" s="1"/>
      <c r="R898" s="1"/>
      <c r="S898" s="1"/>
      <c r="T898" s="1"/>
      <c r="U898" s="1"/>
      <c r="V898" s="16"/>
      <c r="W898" s="1"/>
      <c r="X898" s="1"/>
    </row>
    <row r="899" spans="1:24">
      <c r="A899" s="1"/>
      <c r="M899" s="26"/>
      <c r="N899" s="26"/>
      <c r="P899" s="1"/>
      <c r="Q899" s="1"/>
      <c r="R899" s="1"/>
      <c r="S899" s="1"/>
      <c r="T899" s="1"/>
      <c r="U899" s="1"/>
      <c r="V899" s="16"/>
      <c r="W899" s="1"/>
      <c r="X899" s="1"/>
    </row>
    <row r="900" spans="1:24">
      <c r="A900" s="1"/>
      <c r="M900" s="26"/>
      <c r="N900" s="26"/>
      <c r="P900" s="1"/>
      <c r="Q900" s="1"/>
      <c r="R900" s="1"/>
      <c r="S900" s="1"/>
      <c r="T900" s="1"/>
      <c r="U900" s="1"/>
      <c r="V900" s="16"/>
      <c r="W900" s="1"/>
      <c r="X900" s="1"/>
    </row>
    <row r="901" spans="1:24">
      <c r="A901" s="1"/>
      <c r="M901" s="26"/>
      <c r="N901" s="26"/>
      <c r="P901" s="1"/>
      <c r="Q901" s="1"/>
      <c r="R901" s="1"/>
      <c r="S901" s="1"/>
      <c r="T901" s="1"/>
      <c r="U901" s="1"/>
      <c r="V901" s="16"/>
      <c r="W901" s="1"/>
      <c r="X901" s="1"/>
    </row>
    <row r="902" spans="1:24">
      <c r="A902" s="1"/>
      <c r="M902" s="26"/>
      <c r="N902" s="26"/>
      <c r="P902" s="1"/>
      <c r="Q902" s="1"/>
      <c r="R902" s="1"/>
      <c r="S902" s="1"/>
      <c r="T902" s="1"/>
      <c r="U902" s="1"/>
      <c r="V902" s="16"/>
      <c r="W902" s="1"/>
      <c r="X902" s="1"/>
    </row>
    <row r="903" spans="1:24">
      <c r="A903" s="1"/>
      <c r="M903" s="26"/>
      <c r="N903" s="26"/>
      <c r="P903" s="1"/>
      <c r="Q903" s="1"/>
      <c r="R903" s="1"/>
      <c r="S903" s="1"/>
      <c r="T903" s="1"/>
      <c r="U903" s="1"/>
      <c r="V903" s="16"/>
      <c r="W903" s="1"/>
      <c r="X903" s="1"/>
    </row>
    <row r="904" spans="1:24">
      <c r="A904" s="1"/>
      <c r="M904" s="26"/>
      <c r="N904" s="26"/>
      <c r="P904" s="1"/>
      <c r="Q904" s="1"/>
      <c r="R904" s="1"/>
      <c r="S904" s="1"/>
      <c r="T904" s="1"/>
      <c r="U904" s="1"/>
      <c r="V904" s="16"/>
      <c r="W904" s="1"/>
      <c r="X904" s="1"/>
    </row>
    <row r="905" spans="1:24">
      <c r="A905" s="1"/>
      <c r="M905" s="26"/>
      <c r="N905" s="26"/>
      <c r="P905" s="1"/>
      <c r="Q905" s="1"/>
      <c r="R905" s="1"/>
      <c r="S905" s="1"/>
      <c r="T905" s="1"/>
      <c r="U905" s="1"/>
      <c r="V905" s="16"/>
      <c r="W905" s="1"/>
      <c r="X905" s="1"/>
    </row>
    <row r="906" spans="1:24">
      <c r="A906" s="1"/>
      <c r="M906" s="26"/>
      <c r="N906" s="26"/>
      <c r="P906" s="1"/>
      <c r="Q906" s="1"/>
      <c r="R906" s="1"/>
      <c r="S906" s="1"/>
      <c r="T906" s="1"/>
      <c r="U906" s="1"/>
      <c r="V906" s="16"/>
      <c r="W906" s="1"/>
      <c r="X906" s="1"/>
    </row>
    <row r="907" spans="1:24">
      <c r="A907" s="1"/>
      <c r="M907" s="26"/>
      <c r="N907" s="26"/>
      <c r="P907" s="1"/>
      <c r="Q907" s="1"/>
      <c r="R907" s="1"/>
      <c r="S907" s="1"/>
      <c r="T907" s="1"/>
      <c r="U907" s="1"/>
      <c r="V907" s="16"/>
      <c r="W907" s="1"/>
      <c r="X907" s="1"/>
    </row>
    <row r="908" spans="1:24">
      <c r="A908" s="1"/>
      <c r="M908" s="26"/>
      <c r="N908" s="26"/>
      <c r="P908" s="1"/>
      <c r="Q908" s="1"/>
      <c r="R908" s="1"/>
      <c r="S908" s="1"/>
      <c r="T908" s="1"/>
      <c r="U908" s="1"/>
      <c r="V908" s="16"/>
      <c r="W908" s="1"/>
      <c r="X908" s="1"/>
    </row>
    <row r="909" spans="1:24">
      <c r="A909" s="1"/>
      <c r="M909" s="26"/>
      <c r="N909" s="26"/>
      <c r="P909" s="1"/>
      <c r="Q909" s="1"/>
      <c r="R909" s="1"/>
      <c r="S909" s="1"/>
      <c r="T909" s="1"/>
      <c r="U909" s="1"/>
      <c r="V909" s="16"/>
      <c r="W909" s="1"/>
      <c r="X909" s="1"/>
    </row>
    <row r="910" spans="1:24">
      <c r="A910" s="1"/>
      <c r="M910" s="26"/>
      <c r="N910" s="26"/>
      <c r="P910" s="1"/>
      <c r="Q910" s="1"/>
      <c r="R910" s="1"/>
      <c r="S910" s="1"/>
      <c r="T910" s="1"/>
      <c r="U910" s="1"/>
      <c r="V910" s="16"/>
      <c r="W910" s="1"/>
      <c r="X910" s="1"/>
    </row>
    <row r="911" spans="1:24">
      <c r="A911" s="1"/>
      <c r="M911" s="26"/>
      <c r="N911" s="26"/>
      <c r="P911" s="1"/>
      <c r="Q911" s="1"/>
      <c r="R911" s="1"/>
      <c r="S911" s="1"/>
      <c r="T911" s="1"/>
      <c r="U911" s="1"/>
      <c r="V911" s="16"/>
      <c r="W911" s="1"/>
      <c r="X911" s="1"/>
    </row>
    <row r="912" spans="1:24">
      <c r="A912" s="1"/>
      <c r="M912" s="26"/>
      <c r="N912" s="26"/>
      <c r="P912" s="1"/>
      <c r="Q912" s="1"/>
      <c r="R912" s="1"/>
      <c r="S912" s="1"/>
      <c r="T912" s="1"/>
      <c r="U912" s="1"/>
      <c r="V912" s="16"/>
      <c r="W912" s="1"/>
      <c r="X912" s="1"/>
    </row>
    <row r="913" spans="1:24">
      <c r="A913" s="1"/>
      <c r="M913" s="26"/>
      <c r="N913" s="26"/>
      <c r="P913" s="1"/>
      <c r="Q913" s="1"/>
      <c r="R913" s="1"/>
      <c r="S913" s="1"/>
      <c r="T913" s="1"/>
      <c r="U913" s="1"/>
      <c r="V913" s="16"/>
      <c r="W913" s="1"/>
      <c r="X913" s="1"/>
    </row>
    <row r="914" spans="1:24">
      <c r="A914" s="1"/>
      <c r="M914" s="26"/>
      <c r="N914" s="26"/>
      <c r="P914" s="1"/>
      <c r="Q914" s="1"/>
      <c r="R914" s="1"/>
      <c r="S914" s="1"/>
      <c r="T914" s="1"/>
      <c r="U914" s="1"/>
      <c r="V914" s="16"/>
      <c r="W914" s="1"/>
      <c r="X914" s="1"/>
    </row>
    <row r="915" spans="1:24">
      <c r="A915" s="1"/>
      <c r="M915" s="26"/>
      <c r="N915" s="26"/>
      <c r="P915" s="1"/>
      <c r="Q915" s="1"/>
      <c r="R915" s="1"/>
      <c r="S915" s="1"/>
      <c r="T915" s="1"/>
      <c r="U915" s="1"/>
      <c r="V915" s="16"/>
      <c r="W915" s="1"/>
      <c r="X915" s="1"/>
    </row>
    <row r="916" spans="1:24">
      <c r="A916" s="1"/>
      <c r="M916" s="26"/>
      <c r="N916" s="26"/>
      <c r="P916" s="1"/>
      <c r="Q916" s="1"/>
      <c r="R916" s="1"/>
      <c r="S916" s="1"/>
      <c r="T916" s="1"/>
      <c r="U916" s="1"/>
      <c r="V916" s="16"/>
      <c r="W916" s="1"/>
      <c r="X916" s="1"/>
    </row>
    <row r="917" spans="1:24">
      <c r="A917" s="1"/>
      <c r="M917" s="26"/>
      <c r="N917" s="26"/>
      <c r="P917" s="1"/>
      <c r="Q917" s="1"/>
      <c r="R917" s="1"/>
      <c r="S917" s="1"/>
      <c r="T917" s="1"/>
      <c r="U917" s="1"/>
      <c r="V917" s="16"/>
      <c r="W917" s="1"/>
      <c r="X917" s="1"/>
    </row>
    <row r="918" spans="1:24">
      <c r="A918" s="1"/>
      <c r="M918" s="26"/>
      <c r="N918" s="26"/>
      <c r="P918" s="1"/>
      <c r="Q918" s="1"/>
      <c r="R918" s="1"/>
      <c r="S918" s="1"/>
      <c r="T918" s="1"/>
      <c r="U918" s="1"/>
      <c r="V918" s="16"/>
      <c r="W918" s="1"/>
      <c r="X918" s="1"/>
    </row>
    <row r="919" spans="1:24">
      <c r="A919" s="1"/>
      <c r="M919" s="26"/>
      <c r="N919" s="26"/>
      <c r="P919" s="1"/>
      <c r="Q919" s="1"/>
      <c r="R919" s="1"/>
      <c r="S919" s="1"/>
      <c r="T919" s="1"/>
      <c r="U919" s="1"/>
      <c r="V919" s="16"/>
      <c r="W919" s="1"/>
      <c r="X919" s="1"/>
    </row>
    <row r="920" spans="1:24">
      <c r="A920" s="1"/>
      <c r="M920" s="26"/>
      <c r="N920" s="26"/>
      <c r="P920" s="1"/>
      <c r="Q920" s="1"/>
      <c r="R920" s="1"/>
      <c r="S920" s="1"/>
      <c r="T920" s="1"/>
      <c r="U920" s="1"/>
      <c r="V920" s="16"/>
      <c r="W920" s="1"/>
      <c r="X920" s="1"/>
    </row>
    <row r="921" spans="1:24">
      <c r="A921" s="1"/>
      <c r="M921" s="26"/>
      <c r="N921" s="26"/>
      <c r="P921" s="1"/>
      <c r="Q921" s="1"/>
      <c r="R921" s="1"/>
      <c r="S921" s="1"/>
      <c r="T921" s="1"/>
      <c r="U921" s="1"/>
      <c r="V921" s="16"/>
      <c r="W921" s="1"/>
      <c r="X921" s="1"/>
    </row>
    <row r="922" spans="1:24">
      <c r="A922" s="1"/>
      <c r="M922" s="26"/>
      <c r="N922" s="26"/>
      <c r="P922" s="1"/>
      <c r="Q922" s="1"/>
      <c r="R922" s="1"/>
      <c r="S922" s="1"/>
      <c r="T922" s="1"/>
      <c r="U922" s="1"/>
      <c r="V922" s="16"/>
      <c r="W922" s="1"/>
      <c r="X922" s="1"/>
    </row>
    <row r="923" spans="1:24">
      <c r="A923" s="1"/>
      <c r="M923" s="26"/>
      <c r="N923" s="26"/>
      <c r="P923" s="1"/>
      <c r="Q923" s="1"/>
      <c r="R923" s="1"/>
      <c r="S923" s="1"/>
      <c r="T923" s="1"/>
      <c r="U923" s="1"/>
      <c r="V923" s="16"/>
      <c r="W923" s="1"/>
      <c r="X923" s="1"/>
    </row>
    <row r="924" spans="1:24">
      <c r="A924" s="1"/>
      <c r="M924" s="26"/>
      <c r="N924" s="26"/>
      <c r="P924" s="1"/>
      <c r="Q924" s="1"/>
      <c r="R924" s="1"/>
      <c r="S924" s="1"/>
      <c r="T924" s="1"/>
      <c r="U924" s="1"/>
      <c r="V924" s="16"/>
      <c r="W924" s="1"/>
      <c r="X924" s="1"/>
    </row>
    <row r="925" spans="1:24">
      <c r="A925" s="1"/>
      <c r="M925" s="26"/>
      <c r="N925" s="26"/>
      <c r="P925" s="1"/>
      <c r="Q925" s="1"/>
      <c r="R925" s="1"/>
      <c r="S925" s="1"/>
      <c r="T925" s="1"/>
      <c r="U925" s="1"/>
      <c r="V925" s="16"/>
      <c r="W925" s="1"/>
      <c r="X925" s="1"/>
    </row>
    <row r="926" spans="1:24">
      <c r="A926" s="1"/>
      <c r="M926" s="26"/>
      <c r="N926" s="26"/>
      <c r="P926" s="1"/>
      <c r="Q926" s="1"/>
      <c r="R926" s="1"/>
      <c r="S926" s="1"/>
      <c r="T926" s="1"/>
      <c r="U926" s="1"/>
      <c r="V926" s="16"/>
      <c r="W926" s="1"/>
      <c r="X926" s="1"/>
    </row>
    <row r="927" spans="1:24">
      <c r="A927" s="1"/>
      <c r="M927" s="26"/>
      <c r="N927" s="26"/>
      <c r="P927" s="1"/>
      <c r="Q927" s="1"/>
      <c r="R927" s="1"/>
      <c r="S927" s="1"/>
      <c r="T927" s="1"/>
      <c r="U927" s="1"/>
      <c r="V927" s="16"/>
      <c r="W927" s="1"/>
      <c r="X927" s="1"/>
    </row>
    <row r="928" spans="1:24">
      <c r="A928" s="1"/>
      <c r="M928" s="26"/>
      <c r="N928" s="26"/>
      <c r="P928" s="1"/>
      <c r="Q928" s="1"/>
      <c r="R928" s="1"/>
      <c r="S928" s="1"/>
      <c r="T928" s="1"/>
      <c r="U928" s="1"/>
      <c r="V928" s="16"/>
      <c r="W928" s="1"/>
      <c r="X928" s="1"/>
    </row>
    <row r="929" spans="1:24">
      <c r="A929" s="1"/>
      <c r="M929" s="26"/>
      <c r="N929" s="26"/>
      <c r="P929" s="1"/>
      <c r="Q929" s="1"/>
      <c r="R929" s="1"/>
      <c r="S929" s="1"/>
      <c r="T929" s="1"/>
      <c r="U929" s="1"/>
      <c r="V929" s="16"/>
      <c r="W929" s="1"/>
      <c r="X929" s="1"/>
    </row>
    <row r="930" spans="1:24">
      <c r="A930" s="1"/>
      <c r="M930" s="26"/>
      <c r="N930" s="26"/>
      <c r="P930" s="1"/>
      <c r="Q930" s="1"/>
      <c r="R930" s="1"/>
      <c r="S930" s="1"/>
      <c r="T930" s="1"/>
      <c r="U930" s="1"/>
      <c r="V930" s="16"/>
      <c r="W930" s="1"/>
      <c r="X930" s="1"/>
    </row>
    <row r="931" spans="1:24">
      <c r="A931" s="1"/>
      <c r="M931" s="26"/>
      <c r="N931" s="26"/>
      <c r="P931" s="1"/>
      <c r="Q931" s="1"/>
      <c r="R931" s="1"/>
      <c r="S931" s="1"/>
      <c r="T931" s="1"/>
      <c r="U931" s="1"/>
      <c r="V931" s="16"/>
      <c r="W931" s="1"/>
      <c r="X931" s="1"/>
    </row>
    <row r="932" spans="1:24">
      <c r="A932" s="1"/>
      <c r="M932" s="26"/>
      <c r="N932" s="26"/>
      <c r="P932" s="1"/>
      <c r="Q932" s="1"/>
      <c r="R932" s="1"/>
      <c r="S932" s="1"/>
      <c r="T932" s="1"/>
      <c r="U932" s="1"/>
      <c r="V932" s="16"/>
      <c r="W932" s="1"/>
      <c r="X932" s="1"/>
    </row>
    <row r="933" spans="1:24">
      <c r="A933" s="1"/>
      <c r="M933" s="26"/>
      <c r="N933" s="26"/>
      <c r="P933" s="1"/>
      <c r="Q933" s="1"/>
      <c r="R933" s="1"/>
      <c r="S933" s="1"/>
      <c r="T933" s="1"/>
      <c r="U933" s="1"/>
      <c r="V933" s="16"/>
      <c r="W933" s="1"/>
      <c r="X933" s="1"/>
    </row>
    <row r="934" spans="1:24">
      <c r="A934" s="1"/>
      <c r="M934" s="26"/>
      <c r="N934" s="26"/>
      <c r="P934" s="1"/>
      <c r="Q934" s="1"/>
      <c r="R934" s="1"/>
      <c r="S934" s="1"/>
      <c r="T934" s="1"/>
      <c r="U934" s="1"/>
      <c r="V934" s="16"/>
      <c r="W934" s="1"/>
      <c r="X934" s="1"/>
    </row>
    <row r="935" spans="1:24">
      <c r="A935" s="1"/>
      <c r="M935" s="26"/>
      <c r="N935" s="26"/>
      <c r="P935" s="1"/>
      <c r="Q935" s="1"/>
      <c r="R935" s="1"/>
      <c r="S935" s="1"/>
      <c r="T935" s="1"/>
      <c r="U935" s="1"/>
      <c r="V935" s="16"/>
      <c r="W935" s="1"/>
      <c r="X935" s="1"/>
    </row>
    <row r="936" spans="1:24">
      <c r="A936" s="1"/>
      <c r="M936" s="26"/>
      <c r="N936" s="26"/>
      <c r="P936" s="1"/>
      <c r="Q936" s="1"/>
      <c r="R936" s="1"/>
      <c r="S936" s="1"/>
      <c r="T936" s="1"/>
      <c r="U936" s="1"/>
      <c r="V936" s="16"/>
      <c r="W936" s="1"/>
      <c r="X936" s="1"/>
    </row>
    <row r="937" spans="1:24">
      <c r="A937" s="1"/>
      <c r="M937" s="26"/>
      <c r="N937" s="26"/>
      <c r="P937" s="1"/>
      <c r="Q937" s="1"/>
      <c r="R937" s="1"/>
      <c r="S937" s="1"/>
      <c r="T937" s="1"/>
      <c r="U937" s="1"/>
      <c r="V937" s="16"/>
      <c r="W937" s="1"/>
      <c r="X937" s="1"/>
    </row>
    <row r="938" spans="1:24">
      <c r="A938" s="1"/>
      <c r="M938" s="26"/>
      <c r="N938" s="26"/>
      <c r="P938" s="1"/>
      <c r="Q938" s="1"/>
      <c r="R938" s="1"/>
      <c r="S938" s="1"/>
      <c r="T938" s="1"/>
      <c r="U938" s="1"/>
      <c r="V938" s="16"/>
      <c r="W938" s="1"/>
      <c r="X938" s="1"/>
    </row>
    <row r="939" spans="1:24">
      <c r="A939" s="1"/>
      <c r="M939" s="26"/>
      <c r="N939" s="26"/>
      <c r="P939" s="1"/>
      <c r="Q939" s="1"/>
      <c r="R939" s="1"/>
      <c r="S939" s="1"/>
      <c r="T939" s="1"/>
      <c r="U939" s="1"/>
      <c r="V939" s="16"/>
      <c r="W939" s="1"/>
      <c r="X939" s="1"/>
    </row>
    <row r="940" spans="1:24">
      <c r="A940" s="1"/>
      <c r="M940" s="26"/>
      <c r="N940" s="26"/>
      <c r="P940" s="1"/>
      <c r="Q940" s="1"/>
      <c r="R940" s="1"/>
      <c r="S940" s="1"/>
      <c r="T940" s="1"/>
      <c r="U940" s="1"/>
      <c r="V940" s="16"/>
      <c r="W940" s="1"/>
      <c r="X940" s="1"/>
    </row>
    <row r="941" spans="1:24">
      <c r="A941" s="1"/>
      <c r="M941" s="26"/>
      <c r="N941" s="26"/>
      <c r="P941" s="1"/>
      <c r="Q941" s="1"/>
      <c r="R941" s="1"/>
      <c r="S941" s="1"/>
      <c r="T941" s="1"/>
      <c r="U941" s="1"/>
      <c r="V941" s="16"/>
      <c r="W941" s="1"/>
      <c r="X941" s="1"/>
    </row>
    <row r="942" spans="1:24">
      <c r="A942" s="1"/>
      <c r="M942" s="26"/>
      <c r="N942" s="26"/>
      <c r="P942" s="1"/>
      <c r="Q942" s="1"/>
      <c r="R942" s="1"/>
      <c r="S942" s="1"/>
      <c r="T942" s="1"/>
      <c r="U942" s="1"/>
      <c r="V942" s="16"/>
      <c r="W942" s="1"/>
      <c r="X942" s="1"/>
    </row>
    <row r="943" spans="1:24">
      <c r="A943" s="1"/>
      <c r="M943" s="26"/>
      <c r="N943" s="26"/>
      <c r="P943" s="1"/>
      <c r="Q943" s="1"/>
      <c r="R943" s="1"/>
      <c r="S943" s="1"/>
      <c r="T943" s="1"/>
      <c r="U943" s="1"/>
      <c r="V943" s="16"/>
      <c r="W943" s="1"/>
      <c r="X943" s="1"/>
    </row>
    <row r="944" spans="1:24">
      <c r="A944" s="1"/>
      <c r="M944" s="26"/>
      <c r="N944" s="26"/>
      <c r="P944" s="1"/>
      <c r="Q944" s="1"/>
      <c r="R944" s="1"/>
      <c r="S944" s="1"/>
      <c r="T944" s="1"/>
      <c r="U944" s="1"/>
      <c r="V944" s="16"/>
      <c r="W944" s="1"/>
      <c r="X944" s="1"/>
    </row>
    <row r="945" spans="1:24">
      <c r="A945" s="1"/>
      <c r="M945" s="26"/>
      <c r="N945" s="26"/>
      <c r="P945" s="1"/>
      <c r="Q945" s="1"/>
      <c r="R945" s="1"/>
      <c r="S945" s="1"/>
      <c r="T945" s="1"/>
      <c r="U945" s="1"/>
      <c r="V945" s="16"/>
      <c r="W945" s="1"/>
      <c r="X945" s="1"/>
    </row>
    <row r="946" spans="1:24">
      <c r="A946" s="1"/>
      <c r="M946" s="26"/>
      <c r="N946" s="26"/>
      <c r="P946" s="1"/>
      <c r="Q946" s="1"/>
      <c r="R946" s="1"/>
      <c r="S946" s="1"/>
      <c r="T946" s="1"/>
      <c r="U946" s="1"/>
      <c r="V946" s="16"/>
      <c r="W946" s="1"/>
      <c r="X946" s="1"/>
    </row>
    <row r="947" spans="1:24">
      <c r="A947" s="1"/>
      <c r="M947" s="26"/>
      <c r="N947" s="26"/>
      <c r="P947" s="1"/>
      <c r="Q947" s="1"/>
      <c r="R947" s="1"/>
      <c r="S947" s="1"/>
      <c r="T947" s="1"/>
      <c r="U947" s="1"/>
      <c r="V947" s="16"/>
      <c r="W947" s="1"/>
      <c r="X947" s="1"/>
    </row>
    <row r="948" spans="1:24">
      <c r="A948" s="1"/>
      <c r="M948" s="26"/>
      <c r="N948" s="26"/>
      <c r="P948" s="1"/>
      <c r="Q948" s="1"/>
      <c r="R948" s="1"/>
      <c r="S948" s="1"/>
      <c r="T948" s="1"/>
      <c r="U948" s="1"/>
      <c r="V948" s="16"/>
      <c r="W948" s="1"/>
      <c r="X948" s="1"/>
    </row>
    <row r="949" spans="1:24">
      <c r="A949" s="1"/>
      <c r="M949" s="26"/>
      <c r="N949" s="26"/>
      <c r="P949" s="1"/>
      <c r="Q949" s="1"/>
      <c r="R949" s="1"/>
      <c r="S949" s="1"/>
      <c r="T949" s="1"/>
      <c r="U949" s="1"/>
      <c r="V949" s="16"/>
      <c r="W949" s="1"/>
      <c r="X949" s="1"/>
    </row>
    <row r="950" spans="1:24">
      <c r="A950" s="1"/>
      <c r="M950" s="26"/>
      <c r="N950" s="26"/>
      <c r="P950" s="1"/>
      <c r="Q950" s="1"/>
      <c r="R950" s="1"/>
      <c r="S950" s="1"/>
      <c r="T950" s="1"/>
      <c r="U950" s="1"/>
      <c r="V950" s="16"/>
      <c r="W950" s="1"/>
      <c r="X950" s="1"/>
    </row>
    <row r="951" spans="1:24">
      <c r="A951" s="1"/>
      <c r="M951" s="26"/>
      <c r="N951" s="26"/>
      <c r="P951" s="1"/>
      <c r="Q951" s="1"/>
      <c r="R951" s="1"/>
      <c r="S951" s="1"/>
      <c r="T951" s="1"/>
      <c r="U951" s="1"/>
      <c r="V951" s="16"/>
      <c r="W951" s="1"/>
      <c r="X951" s="1"/>
    </row>
    <row r="952" spans="1:24">
      <c r="A952" s="1"/>
      <c r="M952" s="26"/>
      <c r="N952" s="26"/>
      <c r="P952" s="1"/>
      <c r="Q952" s="1"/>
      <c r="R952" s="1"/>
      <c r="S952" s="1"/>
      <c r="T952" s="1"/>
      <c r="U952" s="1"/>
      <c r="V952" s="16"/>
      <c r="W952" s="1"/>
      <c r="X952" s="1"/>
    </row>
    <row r="953" spans="1:24">
      <c r="A953" s="1"/>
      <c r="M953" s="26"/>
      <c r="N953" s="26"/>
      <c r="P953" s="1"/>
      <c r="Q953" s="1"/>
      <c r="R953" s="1"/>
      <c r="S953" s="1"/>
      <c r="T953" s="1"/>
      <c r="U953" s="1"/>
      <c r="V953" s="16"/>
      <c r="W953" s="1"/>
      <c r="X953" s="1"/>
    </row>
    <row r="954" spans="1:24">
      <c r="A954" s="1"/>
      <c r="M954" s="26"/>
      <c r="N954" s="26"/>
      <c r="P954" s="1"/>
      <c r="Q954" s="1"/>
      <c r="R954" s="1"/>
      <c r="S954" s="1"/>
      <c r="T954" s="1"/>
      <c r="U954" s="1"/>
      <c r="V954" s="16"/>
      <c r="W954" s="1"/>
      <c r="X954" s="1"/>
    </row>
    <row r="955" spans="1:24">
      <c r="A955" s="1"/>
      <c r="M955" s="26"/>
      <c r="N955" s="26"/>
      <c r="P955" s="1"/>
      <c r="Q955" s="1"/>
      <c r="R955" s="1"/>
      <c r="S955" s="1"/>
      <c r="T955" s="1"/>
      <c r="U955" s="1"/>
      <c r="V955" s="16"/>
      <c r="W955" s="1"/>
      <c r="X955" s="1"/>
    </row>
    <row r="956" spans="1:24">
      <c r="A956" s="1"/>
      <c r="M956" s="26"/>
      <c r="N956" s="26"/>
      <c r="P956" s="1"/>
      <c r="Q956" s="1"/>
      <c r="R956" s="1"/>
      <c r="S956" s="1"/>
      <c r="T956" s="1"/>
      <c r="U956" s="1"/>
      <c r="V956" s="16"/>
      <c r="W956" s="1"/>
      <c r="X956" s="1"/>
    </row>
    <row r="957" spans="1:24">
      <c r="A957" s="1"/>
      <c r="M957" s="26"/>
      <c r="N957" s="26"/>
      <c r="P957" s="1"/>
      <c r="Q957" s="1"/>
      <c r="R957" s="1"/>
      <c r="S957" s="1"/>
      <c r="T957" s="1"/>
      <c r="U957" s="1"/>
      <c r="V957" s="16"/>
      <c r="W957" s="1"/>
      <c r="X957" s="1"/>
    </row>
    <row r="958" spans="1:24">
      <c r="A958" s="1"/>
      <c r="M958" s="26"/>
      <c r="N958" s="26"/>
      <c r="P958" s="1"/>
      <c r="Q958" s="1"/>
      <c r="R958" s="1"/>
      <c r="S958" s="1"/>
      <c r="T958" s="1"/>
      <c r="U958" s="1"/>
      <c r="V958" s="16"/>
      <c r="W958" s="1"/>
      <c r="X958" s="1"/>
    </row>
    <row r="959" spans="1:24">
      <c r="A959" s="1"/>
      <c r="M959" s="26"/>
      <c r="N959" s="26"/>
      <c r="P959" s="1"/>
      <c r="Q959" s="1"/>
      <c r="R959" s="1"/>
      <c r="S959" s="1"/>
      <c r="T959" s="1"/>
      <c r="U959" s="1"/>
      <c r="V959" s="16"/>
      <c r="W959" s="1"/>
      <c r="X959" s="1"/>
    </row>
    <row r="960" spans="1:24">
      <c r="A960" s="1"/>
      <c r="M960" s="26"/>
      <c r="N960" s="26"/>
      <c r="P960" s="1"/>
      <c r="Q960" s="1"/>
      <c r="R960" s="1"/>
      <c r="S960" s="1"/>
      <c r="T960" s="1"/>
      <c r="U960" s="1"/>
      <c r="V960" s="16"/>
      <c r="W960" s="1"/>
      <c r="X960" s="1"/>
    </row>
    <row r="961" spans="1:24">
      <c r="A961" s="1"/>
      <c r="M961" s="26"/>
      <c r="N961" s="26"/>
      <c r="P961" s="1"/>
      <c r="Q961" s="1"/>
      <c r="R961" s="1"/>
      <c r="S961" s="1"/>
      <c r="T961" s="1"/>
      <c r="U961" s="1"/>
      <c r="V961" s="16"/>
      <c r="W961" s="1"/>
      <c r="X961" s="1"/>
    </row>
    <row r="962" spans="1:24">
      <c r="A962" s="1"/>
      <c r="M962" s="26"/>
      <c r="N962" s="26"/>
      <c r="P962" s="1"/>
      <c r="Q962" s="1"/>
      <c r="R962" s="1"/>
      <c r="S962" s="1"/>
      <c r="T962" s="1"/>
      <c r="U962" s="1"/>
      <c r="V962" s="16"/>
      <c r="W962" s="1"/>
      <c r="X962" s="1"/>
    </row>
    <row r="963" spans="1:24">
      <c r="A963" s="1"/>
      <c r="M963" s="26"/>
      <c r="N963" s="26"/>
      <c r="P963" s="1"/>
      <c r="Q963" s="1"/>
      <c r="R963" s="1"/>
      <c r="S963" s="1"/>
      <c r="T963" s="1"/>
      <c r="U963" s="1"/>
      <c r="V963" s="16"/>
      <c r="W963" s="1"/>
      <c r="X963" s="1"/>
    </row>
    <row r="964" spans="1:24">
      <c r="A964" s="1"/>
      <c r="M964" s="26"/>
      <c r="N964" s="26"/>
      <c r="P964" s="1"/>
      <c r="Q964" s="1"/>
      <c r="R964" s="1"/>
      <c r="S964" s="1"/>
      <c r="T964" s="1"/>
      <c r="U964" s="1"/>
      <c r="V964" s="16"/>
      <c r="W964" s="1"/>
      <c r="X964" s="1"/>
    </row>
    <row r="965" spans="1:24">
      <c r="A965" s="1"/>
      <c r="M965" s="26"/>
      <c r="N965" s="26"/>
      <c r="P965" s="1"/>
      <c r="Q965" s="1"/>
      <c r="R965" s="1"/>
      <c r="S965" s="1"/>
      <c r="T965" s="1"/>
      <c r="U965" s="1"/>
      <c r="V965" s="16"/>
      <c r="W965" s="1"/>
      <c r="X965" s="1"/>
    </row>
    <row r="966" spans="1:24">
      <c r="A966" s="1"/>
      <c r="M966" s="26"/>
      <c r="N966" s="26"/>
      <c r="P966" s="1"/>
      <c r="Q966" s="1"/>
      <c r="R966" s="1"/>
      <c r="S966" s="1"/>
      <c r="T966" s="1"/>
      <c r="U966" s="1"/>
      <c r="V966" s="16"/>
      <c r="W966" s="1"/>
      <c r="X966" s="1"/>
    </row>
    <row r="967" spans="1:24">
      <c r="A967" s="1"/>
      <c r="M967" s="26"/>
      <c r="N967" s="26"/>
      <c r="P967" s="1"/>
      <c r="Q967" s="1"/>
      <c r="R967" s="1"/>
      <c r="S967" s="1"/>
      <c r="T967" s="1"/>
      <c r="U967" s="1"/>
      <c r="V967" s="16"/>
      <c r="W967" s="1"/>
      <c r="X967" s="1"/>
    </row>
    <row r="968" spans="1:24">
      <c r="A968" s="1"/>
      <c r="M968" s="26"/>
      <c r="N968" s="26"/>
      <c r="P968" s="1"/>
      <c r="Q968" s="1"/>
      <c r="R968" s="1"/>
      <c r="S968" s="1"/>
      <c r="T968" s="1"/>
      <c r="U968" s="1"/>
      <c r="V968" s="16"/>
      <c r="W968" s="1"/>
      <c r="X968" s="1"/>
    </row>
    <row r="969" spans="1:24">
      <c r="A969" s="1"/>
      <c r="M969" s="26"/>
      <c r="N969" s="26"/>
      <c r="P969" s="1"/>
      <c r="Q969" s="1"/>
      <c r="R969" s="1"/>
      <c r="S969" s="1"/>
      <c r="T969" s="1"/>
      <c r="U969" s="1"/>
      <c r="V969" s="16"/>
      <c r="W969" s="1"/>
      <c r="X969" s="1"/>
    </row>
    <row r="970" spans="1:24">
      <c r="A970" s="1"/>
      <c r="M970" s="26"/>
      <c r="N970" s="26"/>
      <c r="P970" s="1"/>
      <c r="Q970" s="1"/>
      <c r="R970" s="1"/>
      <c r="S970" s="1"/>
      <c r="T970" s="1"/>
      <c r="U970" s="1"/>
      <c r="V970" s="16"/>
      <c r="W970" s="1"/>
      <c r="X970" s="1"/>
    </row>
    <row r="971" spans="1:24">
      <c r="A971" s="1"/>
      <c r="M971" s="26"/>
      <c r="N971" s="26"/>
      <c r="P971" s="1"/>
      <c r="Q971" s="1"/>
      <c r="R971" s="1"/>
      <c r="S971" s="1"/>
      <c r="T971" s="1"/>
      <c r="U971" s="1"/>
      <c r="V971" s="16"/>
      <c r="W971" s="1"/>
      <c r="X971" s="1"/>
    </row>
    <row r="972" spans="1:24">
      <c r="A972" s="1"/>
      <c r="M972" s="26"/>
      <c r="N972" s="26"/>
      <c r="P972" s="1"/>
      <c r="Q972" s="1"/>
      <c r="R972" s="1"/>
      <c r="S972" s="1"/>
      <c r="T972" s="1"/>
      <c r="U972" s="1"/>
      <c r="V972" s="16"/>
      <c r="W972" s="1"/>
      <c r="X972" s="1"/>
    </row>
    <row r="973" spans="1:24">
      <c r="A973" s="1"/>
      <c r="M973" s="26"/>
      <c r="N973" s="26"/>
      <c r="P973" s="1"/>
      <c r="Q973" s="1"/>
      <c r="R973" s="1"/>
      <c r="S973" s="1"/>
      <c r="T973" s="1"/>
      <c r="U973" s="1"/>
      <c r="V973" s="16"/>
      <c r="W973" s="1"/>
      <c r="X973" s="1"/>
    </row>
    <row r="974" spans="1:24">
      <c r="A974" s="1"/>
      <c r="M974" s="26"/>
      <c r="N974" s="26"/>
      <c r="P974" s="1"/>
      <c r="Q974" s="1"/>
      <c r="R974" s="1"/>
      <c r="S974" s="1"/>
      <c r="T974" s="1"/>
      <c r="U974" s="1"/>
      <c r="V974" s="16"/>
      <c r="W974" s="1"/>
      <c r="X974" s="1"/>
    </row>
    <row r="975" spans="1:24">
      <c r="A975" s="1"/>
      <c r="M975" s="26"/>
      <c r="N975" s="26"/>
      <c r="P975" s="1"/>
      <c r="Q975" s="1"/>
      <c r="R975" s="1"/>
      <c r="S975" s="1"/>
      <c r="T975" s="1"/>
      <c r="U975" s="1"/>
      <c r="V975" s="16"/>
      <c r="W975" s="1"/>
      <c r="X975" s="1"/>
    </row>
    <row r="976" spans="1:24">
      <c r="A976" s="1"/>
      <c r="M976" s="26"/>
      <c r="N976" s="26"/>
      <c r="P976" s="1"/>
      <c r="Q976" s="1"/>
      <c r="R976" s="1"/>
      <c r="S976" s="1"/>
      <c r="T976" s="1"/>
      <c r="U976" s="1"/>
      <c r="V976" s="16"/>
      <c r="W976" s="1"/>
      <c r="X976" s="1"/>
    </row>
    <row r="977" spans="1:24">
      <c r="A977" s="1"/>
      <c r="M977" s="26"/>
      <c r="N977" s="26"/>
      <c r="P977" s="1"/>
      <c r="Q977" s="1"/>
      <c r="R977" s="1"/>
      <c r="S977" s="1"/>
      <c r="T977" s="1"/>
      <c r="U977" s="1"/>
      <c r="V977" s="16"/>
      <c r="W977" s="1"/>
      <c r="X977" s="1"/>
    </row>
    <row r="978" spans="1:24">
      <c r="A978" s="1"/>
      <c r="M978" s="26"/>
      <c r="N978" s="26"/>
      <c r="P978" s="1"/>
      <c r="Q978" s="1"/>
      <c r="R978" s="1"/>
      <c r="S978" s="1"/>
      <c r="T978" s="1"/>
      <c r="U978" s="1"/>
      <c r="V978" s="16"/>
      <c r="W978" s="1"/>
      <c r="X978" s="1"/>
    </row>
    <row r="979" spans="1:24">
      <c r="A979" s="1"/>
      <c r="M979" s="26"/>
      <c r="N979" s="26"/>
      <c r="P979" s="1"/>
      <c r="Q979" s="1"/>
      <c r="R979" s="1"/>
      <c r="S979" s="1"/>
      <c r="T979" s="1"/>
      <c r="U979" s="1"/>
      <c r="V979" s="16"/>
      <c r="W979" s="1"/>
      <c r="X979" s="1"/>
    </row>
    <row r="980" spans="1:24">
      <c r="A980" s="1"/>
      <c r="M980" s="26"/>
      <c r="N980" s="26"/>
      <c r="P980" s="1"/>
      <c r="Q980" s="1"/>
      <c r="R980" s="1"/>
      <c r="S980" s="1"/>
      <c r="T980" s="1"/>
      <c r="U980" s="1"/>
      <c r="V980" s="16"/>
      <c r="W980" s="1"/>
      <c r="X980" s="1"/>
    </row>
    <row r="981" spans="1:24">
      <c r="A981" s="1"/>
      <c r="M981" s="26"/>
      <c r="N981" s="26"/>
      <c r="P981" s="1"/>
      <c r="Q981" s="1"/>
      <c r="R981" s="1"/>
      <c r="S981" s="1"/>
      <c r="T981" s="1"/>
      <c r="U981" s="1"/>
      <c r="V981" s="16"/>
      <c r="W981" s="1"/>
      <c r="X981" s="1"/>
    </row>
    <row r="982" spans="1:24">
      <c r="A982" s="1"/>
      <c r="M982" s="26"/>
      <c r="N982" s="26"/>
      <c r="P982" s="1"/>
      <c r="Q982" s="1"/>
      <c r="R982" s="1"/>
      <c r="S982" s="1"/>
      <c r="T982" s="1"/>
      <c r="U982" s="1"/>
      <c r="V982" s="16"/>
      <c r="W982" s="1"/>
      <c r="X982" s="1"/>
    </row>
    <row r="983" spans="1:24">
      <c r="A983" s="1"/>
      <c r="M983" s="26"/>
      <c r="N983" s="26"/>
      <c r="P983" s="1"/>
      <c r="Q983" s="1"/>
      <c r="R983" s="1"/>
      <c r="S983" s="1"/>
      <c r="T983" s="1"/>
      <c r="U983" s="1"/>
      <c r="V983" s="16"/>
      <c r="W983" s="1"/>
      <c r="X983" s="1"/>
    </row>
    <row r="984" spans="1:24">
      <c r="A984" s="1"/>
      <c r="M984" s="26"/>
      <c r="N984" s="26"/>
      <c r="P984" s="1"/>
      <c r="Q984" s="1"/>
      <c r="R984" s="1"/>
      <c r="S984" s="1"/>
      <c r="T984" s="1"/>
      <c r="U984" s="1"/>
      <c r="V984" s="16"/>
      <c r="W984" s="1"/>
      <c r="X984" s="1"/>
    </row>
    <row r="985" spans="1:24">
      <c r="A985" s="1"/>
      <c r="M985" s="26"/>
      <c r="N985" s="26"/>
      <c r="P985" s="1"/>
      <c r="Q985" s="1"/>
      <c r="R985" s="1"/>
      <c r="S985" s="1"/>
      <c r="T985" s="1"/>
      <c r="U985" s="1"/>
      <c r="V985" s="16"/>
      <c r="W985" s="1"/>
      <c r="X985" s="1"/>
    </row>
    <row r="986" spans="1:24">
      <c r="A986" s="1"/>
      <c r="M986" s="26"/>
      <c r="N986" s="26"/>
      <c r="P986" s="1"/>
      <c r="Q986" s="1"/>
      <c r="R986" s="1"/>
      <c r="S986" s="1"/>
      <c r="T986" s="1"/>
      <c r="U986" s="1"/>
      <c r="V986" s="16"/>
      <c r="W986" s="1"/>
      <c r="X986" s="1"/>
    </row>
    <row r="987" spans="1:24">
      <c r="A987" s="1"/>
      <c r="M987" s="26"/>
      <c r="N987" s="26"/>
      <c r="P987" s="1"/>
      <c r="Q987" s="1"/>
      <c r="R987" s="1"/>
      <c r="S987" s="1"/>
      <c r="T987" s="1"/>
      <c r="U987" s="1"/>
      <c r="V987" s="16"/>
      <c r="W987" s="1"/>
      <c r="X987" s="1"/>
    </row>
    <row r="988" spans="1:24">
      <c r="A988" s="1"/>
      <c r="M988" s="26"/>
      <c r="N988" s="26"/>
      <c r="P988" s="1"/>
      <c r="Q988" s="1"/>
      <c r="R988" s="1"/>
      <c r="S988" s="1"/>
      <c r="T988" s="1"/>
      <c r="U988" s="1"/>
      <c r="V988" s="16"/>
      <c r="W988" s="1"/>
      <c r="X988" s="1"/>
    </row>
    <row r="989" spans="1:24">
      <c r="A989" s="1"/>
      <c r="M989" s="26"/>
      <c r="N989" s="26"/>
      <c r="P989" s="1"/>
      <c r="Q989" s="1"/>
      <c r="R989" s="1"/>
      <c r="S989" s="1"/>
      <c r="T989" s="1"/>
      <c r="U989" s="1"/>
      <c r="V989" s="16"/>
      <c r="W989" s="1"/>
      <c r="X989" s="1"/>
    </row>
    <row r="990" spans="1:24">
      <c r="A990" s="1"/>
      <c r="M990" s="26"/>
      <c r="N990" s="26"/>
      <c r="P990" s="1"/>
      <c r="Q990" s="1"/>
      <c r="R990" s="1"/>
      <c r="S990" s="1"/>
      <c r="T990" s="1"/>
      <c r="U990" s="1"/>
      <c r="V990" s="16"/>
      <c r="W990" s="1"/>
      <c r="X990" s="1"/>
    </row>
    <row r="991" spans="1:24">
      <c r="A991" s="1"/>
      <c r="M991" s="26"/>
      <c r="N991" s="26"/>
      <c r="P991" s="1"/>
      <c r="Q991" s="1"/>
      <c r="R991" s="1"/>
      <c r="S991" s="1"/>
      <c r="T991" s="1"/>
      <c r="U991" s="1"/>
      <c r="V991" s="16"/>
      <c r="W991" s="1"/>
      <c r="X991" s="1"/>
    </row>
    <row r="992" spans="1:24">
      <c r="A992" s="1"/>
      <c r="M992" s="26"/>
      <c r="N992" s="26"/>
      <c r="P992" s="1"/>
      <c r="Q992" s="1"/>
      <c r="R992" s="1"/>
      <c r="S992" s="1"/>
      <c r="T992" s="1"/>
      <c r="U992" s="1"/>
      <c r="V992" s="16"/>
      <c r="W992" s="1"/>
      <c r="X992" s="1"/>
    </row>
    <row r="993" spans="1:24">
      <c r="A993" s="1"/>
      <c r="M993" s="26"/>
      <c r="N993" s="26"/>
      <c r="P993" s="1"/>
      <c r="Q993" s="1"/>
      <c r="R993" s="1"/>
      <c r="S993" s="1"/>
      <c r="T993" s="1"/>
      <c r="U993" s="1"/>
      <c r="V993" s="16"/>
      <c r="W993" s="1"/>
      <c r="X993" s="1"/>
    </row>
    <row r="994" spans="1:24">
      <c r="A994" s="1"/>
      <c r="M994" s="26"/>
      <c r="N994" s="26"/>
      <c r="P994" s="1"/>
      <c r="Q994" s="1"/>
      <c r="R994" s="1"/>
      <c r="S994" s="1"/>
      <c r="T994" s="1"/>
      <c r="U994" s="1"/>
      <c r="V994" s="16"/>
      <c r="W994" s="1"/>
      <c r="X994" s="1"/>
    </row>
    <row r="995" spans="1:24">
      <c r="A995" s="1"/>
      <c r="M995" s="26"/>
      <c r="N995" s="26"/>
      <c r="P995" s="1"/>
      <c r="Q995" s="1"/>
      <c r="R995" s="1"/>
      <c r="S995" s="1"/>
      <c r="T995" s="1"/>
      <c r="U995" s="1"/>
      <c r="V995" s="16"/>
      <c r="W995" s="1"/>
      <c r="X995" s="1"/>
    </row>
    <row r="996" spans="1:24">
      <c r="A996" s="1"/>
      <c r="M996" s="26"/>
      <c r="N996" s="26"/>
      <c r="P996" s="1"/>
      <c r="Q996" s="1"/>
      <c r="R996" s="1"/>
      <c r="S996" s="1"/>
      <c r="T996" s="1"/>
      <c r="U996" s="1"/>
      <c r="V996" s="16"/>
      <c r="W996" s="1"/>
      <c r="X996" s="1"/>
    </row>
    <row r="997" spans="1:24">
      <c r="A997" s="1"/>
      <c r="M997" s="26"/>
      <c r="N997" s="26"/>
      <c r="P997" s="1"/>
      <c r="Q997" s="1"/>
      <c r="R997" s="1"/>
      <c r="S997" s="1"/>
      <c r="T997" s="1"/>
      <c r="U997" s="1"/>
      <c r="V997" s="16"/>
      <c r="W997" s="1"/>
      <c r="X997" s="1"/>
    </row>
    <row r="998" spans="1:24">
      <c r="A998" s="1"/>
      <c r="M998" s="26"/>
      <c r="N998" s="26"/>
      <c r="P998" s="1"/>
      <c r="Q998" s="1"/>
      <c r="R998" s="1"/>
      <c r="S998" s="1"/>
      <c r="T998" s="1"/>
      <c r="U998" s="1"/>
      <c r="V998" s="16"/>
      <c r="W998" s="1"/>
      <c r="X998" s="1"/>
    </row>
    <row r="999" spans="1:24">
      <c r="A999" s="1"/>
      <c r="M999" s="26"/>
      <c r="N999" s="26"/>
      <c r="P999" s="1"/>
      <c r="Q999" s="1"/>
      <c r="R999" s="1"/>
      <c r="S999" s="1"/>
      <c r="T999" s="1"/>
      <c r="U999" s="1"/>
      <c r="V999" s="16"/>
      <c r="W999" s="1"/>
      <c r="X999" s="1"/>
    </row>
    <row r="1000" spans="1:24">
      <c r="A1000" s="1"/>
      <c r="M1000" s="26"/>
      <c r="N1000" s="26"/>
      <c r="P1000" s="1"/>
      <c r="Q1000" s="1"/>
      <c r="R1000" s="1"/>
      <c r="S1000" s="1"/>
      <c r="T1000" s="1"/>
      <c r="U1000" s="1"/>
      <c r="V1000" s="16"/>
      <c r="W1000" s="1"/>
      <c r="X1000" s="1"/>
    </row>
    <row r="1001" spans="1:24">
      <c r="A1001" s="1"/>
      <c r="M1001" s="26"/>
      <c r="N1001" s="26"/>
      <c r="P1001" s="1"/>
      <c r="Q1001" s="1"/>
      <c r="R1001" s="1"/>
      <c r="S1001" s="1"/>
      <c r="T1001" s="1"/>
      <c r="U1001" s="1"/>
      <c r="V1001" s="16"/>
      <c r="W1001" s="1"/>
      <c r="X1001" s="1"/>
    </row>
    <row r="1002" spans="1:24">
      <c r="A1002" s="1"/>
      <c r="M1002" s="26"/>
      <c r="N1002" s="26"/>
      <c r="P1002" s="1"/>
      <c r="Q1002" s="1"/>
      <c r="R1002" s="1"/>
      <c r="S1002" s="1"/>
      <c r="T1002" s="1"/>
      <c r="U1002" s="1"/>
      <c r="V1002" s="16"/>
      <c r="W1002" s="1"/>
      <c r="X1002" s="1"/>
    </row>
    <row r="1003" spans="1:24">
      <c r="A1003" s="1"/>
      <c r="M1003" s="26"/>
      <c r="N1003" s="26"/>
      <c r="P1003" s="1"/>
      <c r="Q1003" s="1"/>
      <c r="R1003" s="1"/>
      <c r="S1003" s="1"/>
      <c r="T1003" s="1"/>
      <c r="U1003" s="1"/>
      <c r="V1003" s="16"/>
      <c r="W1003" s="1"/>
      <c r="X1003" s="1"/>
    </row>
    <row r="1004" spans="1:24">
      <c r="A1004" s="1"/>
      <c r="M1004" s="26"/>
      <c r="N1004" s="26"/>
      <c r="P1004" s="1"/>
      <c r="Q1004" s="1"/>
      <c r="R1004" s="1"/>
      <c r="S1004" s="1"/>
      <c r="T1004" s="1"/>
      <c r="U1004" s="1"/>
      <c r="V1004" s="16"/>
      <c r="W1004" s="1"/>
      <c r="X1004" s="1"/>
    </row>
    <row r="1005" spans="1:24">
      <c r="A1005" s="1"/>
      <c r="M1005" s="26"/>
      <c r="N1005" s="26"/>
      <c r="P1005" s="1"/>
      <c r="Q1005" s="1"/>
      <c r="R1005" s="1"/>
      <c r="S1005" s="1"/>
      <c r="T1005" s="1"/>
      <c r="U1005" s="1"/>
      <c r="V1005" s="16"/>
      <c r="W1005" s="1"/>
      <c r="X1005" s="1"/>
    </row>
    <row r="1006" spans="1:24">
      <c r="A1006" s="1"/>
      <c r="M1006" s="26"/>
      <c r="N1006" s="26"/>
      <c r="P1006" s="1"/>
      <c r="Q1006" s="1"/>
      <c r="R1006" s="1"/>
      <c r="S1006" s="1"/>
      <c r="T1006" s="1"/>
      <c r="U1006" s="1"/>
      <c r="V1006" s="16"/>
      <c r="W1006" s="1"/>
      <c r="X1006" s="1"/>
    </row>
    <row r="1007" spans="1:24">
      <c r="A1007" s="1"/>
      <c r="M1007" s="26"/>
      <c r="N1007" s="26"/>
      <c r="P1007" s="1"/>
      <c r="Q1007" s="1"/>
      <c r="R1007" s="1"/>
      <c r="S1007" s="1"/>
      <c r="T1007" s="1"/>
      <c r="U1007" s="1"/>
      <c r="V1007" s="16"/>
      <c r="W1007" s="1"/>
      <c r="X1007" s="1"/>
    </row>
    <row r="1008" spans="1:24">
      <c r="A1008" s="1"/>
      <c r="M1008" s="26"/>
      <c r="N1008" s="26"/>
      <c r="P1008" s="1"/>
      <c r="Q1008" s="1"/>
      <c r="R1008" s="1"/>
      <c r="S1008" s="1"/>
      <c r="T1008" s="1"/>
      <c r="U1008" s="1"/>
      <c r="V1008" s="16"/>
      <c r="W1008" s="1"/>
      <c r="X1008" s="1"/>
    </row>
    <row r="1009" spans="1:24">
      <c r="A1009" s="1"/>
      <c r="M1009" s="26"/>
      <c r="N1009" s="26"/>
      <c r="P1009" s="1"/>
      <c r="Q1009" s="1"/>
      <c r="R1009" s="1"/>
      <c r="S1009" s="1"/>
      <c r="T1009" s="1"/>
      <c r="U1009" s="1"/>
      <c r="V1009" s="16"/>
      <c r="W1009" s="1"/>
      <c r="X1009" s="1"/>
    </row>
    <row r="1010" spans="1:24">
      <c r="A1010" s="1"/>
      <c r="M1010" s="26"/>
      <c r="N1010" s="26"/>
      <c r="P1010" s="1"/>
      <c r="Q1010" s="1"/>
      <c r="R1010" s="1"/>
      <c r="S1010" s="1"/>
      <c r="T1010" s="1"/>
      <c r="U1010" s="1"/>
      <c r="V1010" s="16"/>
      <c r="W1010" s="1"/>
      <c r="X1010" s="1"/>
    </row>
    <row r="1011" spans="1:24">
      <c r="A1011" s="1"/>
      <c r="M1011" s="26"/>
      <c r="N1011" s="26"/>
      <c r="P1011" s="1"/>
      <c r="Q1011" s="1"/>
      <c r="R1011" s="1"/>
      <c r="S1011" s="1"/>
      <c r="T1011" s="1"/>
      <c r="U1011" s="1"/>
      <c r="V1011" s="16"/>
      <c r="W1011" s="1"/>
      <c r="X1011" s="1"/>
    </row>
    <row r="1012" spans="1:24">
      <c r="A1012" s="1"/>
      <c r="M1012" s="26"/>
      <c r="N1012" s="26"/>
      <c r="P1012" s="1"/>
      <c r="Q1012" s="1"/>
      <c r="R1012" s="1"/>
      <c r="S1012" s="1"/>
      <c r="T1012" s="1"/>
      <c r="U1012" s="1"/>
      <c r="V1012" s="16"/>
      <c r="W1012" s="1"/>
      <c r="X1012" s="1"/>
    </row>
    <row r="1013" spans="1:24">
      <c r="A1013" s="1"/>
      <c r="M1013" s="26"/>
      <c r="N1013" s="26"/>
      <c r="P1013" s="1"/>
      <c r="Q1013" s="1"/>
      <c r="R1013" s="1"/>
      <c r="S1013" s="1"/>
      <c r="T1013" s="1"/>
      <c r="U1013" s="1"/>
      <c r="V1013" s="16"/>
      <c r="W1013" s="1"/>
      <c r="X1013" s="1"/>
    </row>
    <row r="1014" spans="1:24">
      <c r="A1014" s="1"/>
      <c r="M1014" s="26"/>
      <c r="N1014" s="26"/>
      <c r="P1014" s="1"/>
      <c r="Q1014" s="1"/>
      <c r="R1014" s="1"/>
      <c r="S1014" s="1"/>
      <c r="T1014" s="1"/>
      <c r="U1014" s="1"/>
      <c r="V1014" s="16"/>
      <c r="W1014" s="1"/>
      <c r="X1014" s="1"/>
    </row>
    <row r="1015" spans="1:24">
      <c r="A1015" s="1"/>
      <c r="M1015" s="26"/>
      <c r="N1015" s="26"/>
      <c r="P1015" s="1"/>
      <c r="Q1015" s="1"/>
      <c r="R1015" s="1"/>
      <c r="S1015" s="1"/>
      <c r="T1015" s="1"/>
      <c r="U1015" s="1"/>
      <c r="V1015" s="16"/>
      <c r="W1015" s="1"/>
      <c r="X1015" s="1"/>
    </row>
    <row r="1016" spans="1:24">
      <c r="A1016" s="1"/>
      <c r="M1016" s="26"/>
      <c r="N1016" s="26"/>
      <c r="P1016" s="1"/>
      <c r="Q1016" s="1"/>
      <c r="R1016" s="1"/>
      <c r="S1016" s="1"/>
      <c r="T1016" s="1"/>
      <c r="U1016" s="1"/>
      <c r="V1016" s="16"/>
      <c r="W1016" s="1"/>
      <c r="X1016" s="1"/>
    </row>
    <row r="1017" spans="1:24">
      <c r="A1017" s="1"/>
      <c r="M1017" s="26"/>
      <c r="N1017" s="26"/>
      <c r="P1017" s="1"/>
      <c r="Q1017" s="1"/>
      <c r="R1017" s="1"/>
      <c r="S1017" s="1"/>
      <c r="T1017" s="1"/>
      <c r="U1017" s="1"/>
      <c r="V1017" s="16"/>
      <c r="W1017" s="1"/>
      <c r="X1017" s="1"/>
    </row>
    <row r="1018" spans="1:24">
      <c r="A1018" s="1"/>
      <c r="M1018" s="26"/>
      <c r="N1018" s="26"/>
      <c r="P1018" s="1"/>
      <c r="Q1018" s="1"/>
      <c r="R1018" s="1"/>
      <c r="S1018" s="1"/>
      <c r="T1018" s="1"/>
      <c r="U1018" s="1"/>
      <c r="V1018" s="16"/>
      <c r="W1018" s="1"/>
      <c r="X1018" s="1"/>
    </row>
    <row r="1019" spans="1:24">
      <c r="A1019" s="1"/>
      <c r="M1019" s="26"/>
      <c r="N1019" s="26"/>
      <c r="P1019" s="1"/>
      <c r="Q1019" s="1"/>
      <c r="R1019" s="1"/>
      <c r="S1019" s="1"/>
      <c r="T1019" s="1"/>
      <c r="U1019" s="1"/>
      <c r="V1019" s="16"/>
      <c r="W1019" s="1"/>
      <c r="X1019" s="1"/>
    </row>
    <row r="1020" spans="1:24">
      <c r="A1020" s="1"/>
      <c r="M1020" s="26"/>
      <c r="N1020" s="26"/>
      <c r="P1020" s="1"/>
      <c r="Q1020" s="1"/>
      <c r="R1020" s="1"/>
      <c r="S1020" s="1"/>
      <c r="T1020" s="1"/>
      <c r="U1020" s="1"/>
      <c r="V1020" s="16"/>
      <c r="W1020" s="1"/>
      <c r="X1020" s="1"/>
    </row>
    <row r="1021" spans="1:24">
      <c r="A1021" s="1"/>
      <c r="M1021" s="26"/>
      <c r="N1021" s="26"/>
      <c r="P1021" s="1"/>
      <c r="Q1021" s="1"/>
      <c r="R1021" s="1"/>
      <c r="S1021" s="1"/>
      <c r="T1021" s="1"/>
      <c r="U1021" s="1"/>
      <c r="V1021" s="16"/>
      <c r="W1021" s="1"/>
      <c r="X1021" s="1"/>
    </row>
    <row r="1022" spans="1:24">
      <c r="A1022" s="1"/>
      <c r="M1022" s="26"/>
      <c r="N1022" s="26"/>
      <c r="P1022" s="1"/>
      <c r="Q1022" s="1"/>
      <c r="R1022" s="1"/>
      <c r="S1022" s="1"/>
      <c r="T1022" s="1"/>
      <c r="U1022" s="1"/>
      <c r="V1022" s="16"/>
      <c r="W1022" s="1"/>
      <c r="X1022" s="1"/>
    </row>
    <row r="1023" spans="1:24">
      <c r="A1023" s="1"/>
      <c r="M1023" s="26"/>
      <c r="N1023" s="26"/>
      <c r="P1023" s="1"/>
      <c r="Q1023" s="1"/>
      <c r="R1023" s="1"/>
      <c r="S1023" s="1"/>
      <c r="T1023" s="1"/>
      <c r="U1023" s="1"/>
      <c r="V1023" s="16"/>
      <c r="W1023" s="1"/>
      <c r="X1023" s="1"/>
    </row>
    <row r="1024" spans="1:24">
      <c r="A1024" s="1"/>
      <c r="M1024" s="26"/>
      <c r="N1024" s="26"/>
      <c r="P1024" s="1"/>
      <c r="Q1024" s="1"/>
      <c r="R1024" s="1"/>
      <c r="S1024" s="1"/>
      <c r="T1024" s="1"/>
      <c r="U1024" s="1"/>
      <c r="V1024" s="16"/>
      <c r="W1024" s="1"/>
      <c r="X1024" s="1"/>
    </row>
    <row r="1025" spans="1:24">
      <c r="A1025" s="1"/>
      <c r="M1025" s="26"/>
      <c r="N1025" s="26"/>
      <c r="P1025" s="1"/>
      <c r="Q1025" s="1"/>
      <c r="R1025" s="1"/>
      <c r="S1025" s="1"/>
      <c r="T1025" s="1"/>
      <c r="U1025" s="1"/>
      <c r="V1025" s="16"/>
      <c r="W1025" s="1"/>
      <c r="X1025" s="1"/>
    </row>
    <row r="1026" spans="1:24">
      <c r="A1026" s="1"/>
      <c r="M1026" s="26"/>
      <c r="N1026" s="26"/>
      <c r="P1026" s="1"/>
      <c r="Q1026" s="1"/>
      <c r="R1026" s="1"/>
      <c r="S1026" s="1"/>
      <c r="T1026" s="1"/>
      <c r="U1026" s="1"/>
      <c r="V1026" s="16"/>
      <c r="W1026" s="1"/>
      <c r="X1026" s="1"/>
    </row>
    <row r="1027" spans="1:24">
      <c r="A1027" s="1"/>
      <c r="M1027" s="26"/>
      <c r="N1027" s="26"/>
      <c r="P1027" s="1"/>
      <c r="Q1027" s="1"/>
      <c r="R1027" s="1"/>
      <c r="S1027" s="1"/>
      <c r="T1027" s="1"/>
      <c r="U1027" s="1"/>
      <c r="V1027" s="16"/>
      <c r="W1027" s="1"/>
      <c r="X1027" s="1"/>
    </row>
    <row r="1028" spans="1:24">
      <c r="A1028" s="1"/>
      <c r="M1028" s="26"/>
      <c r="N1028" s="26"/>
      <c r="P1028" s="1"/>
      <c r="Q1028" s="1"/>
      <c r="R1028" s="1"/>
      <c r="S1028" s="1"/>
      <c r="T1028" s="1"/>
      <c r="U1028" s="1"/>
      <c r="V1028" s="16"/>
      <c r="W1028" s="1"/>
      <c r="X1028" s="1"/>
    </row>
    <row r="1029" spans="1:24">
      <c r="A1029" s="1"/>
      <c r="M1029" s="26"/>
      <c r="N1029" s="26"/>
      <c r="P1029" s="1"/>
      <c r="Q1029" s="1"/>
      <c r="R1029" s="1"/>
      <c r="S1029" s="1"/>
      <c r="T1029" s="1"/>
      <c r="U1029" s="1"/>
      <c r="V1029" s="16"/>
      <c r="W1029" s="1"/>
      <c r="X1029" s="1"/>
    </row>
    <row r="1030" spans="1:24">
      <c r="A1030" s="1"/>
      <c r="M1030" s="26"/>
      <c r="N1030" s="26"/>
      <c r="P1030" s="1"/>
      <c r="Q1030" s="1"/>
      <c r="R1030" s="1"/>
      <c r="S1030" s="1"/>
      <c r="T1030" s="1"/>
      <c r="U1030" s="1"/>
      <c r="V1030" s="16"/>
      <c r="W1030" s="1"/>
      <c r="X1030" s="1"/>
    </row>
    <row r="1031" spans="1:24">
      <c r="A1031" s="1"/>
      <c r="M1031" s="26"/>
      <c r="N1031" s="26"/>
      <c r="P1031" s="1"/>
      <c r="Q1031" s="1"/>
      <c r="R1031" s="1"/>
      <c r="S1031" s="1"/>
      <c r="T1031" s="1"/>
      <c r="U1031" s="1"/>
      <c r="V1031" s="16"/>
      <c r="W1031" s="1"/>
      <c r="X1031" s="1"/>
    </row>
    <row r="1032" spans="1:24">
      <c r="A1032" s="1"/>
      <c r="M1032" s="26"/>
      <c r="N1032" s="26"/>
      <c r="P1032" s="1"/>
      <c r="Q1032" s="1"/>
      <c r="R1032" s="1"/>
      <c r="S1032" s="1"/>
      <c r="T1032" s="1"/>
      <c r="U1032" s="1"/>
      <c r="V1032" s="16"/>
      <c r="W1032" s="1"/>
      <c r="X1032" s="1"/>
    </row>
    <row r="1033" spans="1:24">
      <c r="A1033" s="1"/>
      <c r="M1033" s="26"/>
      <c r="N1033" s="26"/>
      <c r="P1033" s="1"/>
      <c r="Q1033" s="1"/>
      <c r="R1033" s="1"/>
      <c r="S1033" s="1"/>
      <c r="T1033" s="1"/>
      <c r="U1033" s="1"/>
      <c r="V1033" s="16"/>
      <c r="W1033" s="1"/>
      <c r="X1033" s="1"/>
    </row>
    <row r="1034" spans="1:24">
      <c r="A1034" s="1"/>
      <c r="M1034" s="26"/>
      <c r="N1034" s="26"/>
      <c r="P1034" s="1"/>
      <c r="Q1034" s="1"/>
      <c r="R1034" s="1"/>
      <c r="S1034" s="1"/>
      <c r="T1034" s="1"/>
      <c r="U1034" s="1"/>
      <c r="V1034" s="16"/>
      <c r="W1034" s="1"/>
      <c r="X1034" s="1"/>
    </row>
    <row r="1035" spans="1:24">
      <c r="A1035" s="1"/>
      <c r="M1035" s="26"/>
      <c r="N1035" s="26"/>
      <c r="P1035" s="1"/>
      <c r="Q1035" s="1"/>
      <c r="R1035" s="1"/>
      <c r="S1035" s="1"/>
      <c r="T1035" s="1"/>
      <c r="U1035" s="1"/>
      <c r="V1035" s="16"/>
      <c r="W1035" s="1"/>
      <c r="X1035" s="1"/>
    </row>
    <row r="1036" spans="1:24">
      <c r="A1036" s="1"/>
      <c r="M1036" s="26"/>
      <c r="N1036" s="26"/>
      <c r="P1036" s="1"/>
      <c r="Q1036" s="1"/>
      <c r="R1036" s="1"/>
      <c r="S1036" s="1"/>
      <c r="T1036" s="1"/>
      <c r="U1036" s="1"/>
      <c r="V1036" s="16"/>
      <c r="W1036" s="1"/>
      <c r="X1036" s="1"/>
    </row>
    <row r="1037" spans="1:24">
      <c r="A1037" s="1"/>
      <c r="M1037" s="26"/>
      <c r="N1037" s="26"/>
      <c r="P1037" s="1"/>
      <c r="Q1037" s="1"/>
      <c r="R1037" s="1"/>
      <c r="S1037" s="1"/>
      <c r="T1037" s="1"/>
      <c r="U1037" s="1"/>
      <c r="V1037" s="16"/>
      <c r="W1037" s="1"/>
      <c r="X1037" s="1"/>
    </row>
    <row r="1038" spans="1:24">
      <c r="A1038" s="1"/>
      <c r="M1038" s="26"/>
      <c r="N1038" s="26"/>
      <c r="P1038" s="1"/>
      <c r="Q1038" s="1"/>
      <c r="R1038" s="1"/>
      <c r="S1038" s="1"/>
      <c r="T1038" s="1"/>
      <c r="U1038" s="1"/>
      <c r="V1038" s="16"/>
      <c r="W1038" s="1"/>
      <c r="X1038" s="1"/>
    </row>
    <row r="1039" spans="1:24">
      <c r="A1039" s="1"/>
      <c r="M1039" s="26"/>
      <c r="N1039" s="26"/>
      <c r="P1039" s="1"/>
      <c r="Q1039" s="1"/>
      <c r="R1039" s="1"/>
      <c r="S1039" s="1"/>
      <c r="T1039" s="1"/>
      <c r="U1039" s="1"/>
      <c r="V1039" s="16"/>
      <c r="W1039" s="1"/>
      <c r="X1039" s="1"/>
    </row>
    <row r="1040" spans="1:24">
      <c r="A1040" s="1"/>
      <c r="M1040" s="26"/>
      <c r="N1040" s="26"/>
      <c r="P1040" s="1"/>
      <c r="Q1040" s="1"/>
      <c r="R1040" s="1"/>
      <c r="S1040" s="1"/>
      <c r="T1040" s="1"/>
      <c r="U1040" s="1"/>
      <c r="V1040" s="16"/>
      <c r="W1040" s="1"/>
      <c r="X1040" s="1"/>
    </row>
    <row r="1041" spans="1:24">
      <c r="A1041" s="1"/>
      <c r="M1041" s="26"/>
      <c r="N1041" s="26"/>
      <c r="P1041" s="1"/>
      <c r="Q1041" s="1"/>
      <c r="R1041" s="1"/>
      <c r="S1041" s="1"/>
      <c r="T1041" s="1"/>
      <c r="U1041" s="1"/>
      <c r="V1041" s="16"/>
      <c r="W1041" s="1"/>
      <c r="X1041" s="1"/>
    </row>
    <row r="1042" spans="1:24">
      <c r="A1042" s="1"/>
      <c r="M1042" s="26"/>
      <c r="N1042" s="26"/>
      <c r="P1042" s="1"/>
      <c r="Q1042" s="1"/>
      <c r="R1042" s="1"/>
      <c r="S1042" s="1"/>
      <c r="T1042" s="1"/>
      <c r="U1042" s="1"/>
      <c r="V1042" s="16"/>
      <c r="W1042" s="1"/>
      <c r="X1042" s="1"/>
    </row>
    <row r="1043" spans="1:24">
      <c r="A1043" s="1"/>
      <c r="M1043" s="26"/>
      <c r="N1043" s="26"/>
      <c r="P1043" s="1"/>
      <c r="Q1043" s="1"/>
      <c r="R1043" s="1"/>
      <c r="S1043" s="1"/>
      <c r="T1043" s="1"/>
      <c r="U1043" s="1"/>
      <c r="V1043" s="16"/>
      <c r="W1043" s="1"/>
      <c r="X1043" s="1"/>
    </row>
    <row r="1044" spans="1:24">
      <c r="A1044" s="1"/>
      <c r="M1044" s="26"/>
      <c r="N1044" s="26"/>
      <c r="P1044" s="1"/>
      <c r="Q1044" s="1"/>
      <c r="R1044" s="1"/>
      <c r="S1044" s="1"/>
      <c r="T1044" s="1"/>
      <c r="U1044" s="1"/>
      <c r="V1044" s="16"/>
      <c r="W1044" s="1"/>
      <c r="X1044" s="1"/>
    </row>
    <row r="1045" spans="1:24">
      <c r="A1045" s="1"/>
      <c r="M1045" s="26"/>
      <c r="N1045" s="26"/>
      <c r="P1045" s="1"/>
      <c r="Q1045" s="1"/>
      <c r="R1045" s="1"/>
      <c r="S1045" s="1"/>
      <c r="T1045" s="1"/>
      <c r="U1045" s="1"/>
      <c r="V1045" s="16"/>
      <c r="W1045" s="1"/>
      <c r="X1045" s="1"/>
    </row>
    <row r="1046" spans="1:24">
      <c r="A1046" s="1"/>
      <c r="M1046" s="26"/>
      <c r="N1046" s="26"/>
      <c r="P1046" s="1"/>
      <c r="Q1046" s="1"/>
      <c r="R1046" s="1"/>
      <c r="S1046" s="1"/>
      <c r="T1046" s="1"/>
      <c r="U1046" s="1"/>
      <c r="V1046" s="16"/>
      <c r="W1046" s="1"/>
      <c r="X1046" s="1"/>
    </row>
    <row r="1047" spans="1:24">
      <c r="A1047" s="1"/>
      <c r="M1047" s="26"/>
      <c r="N1047" s="26"/>
      <c r="P1047" s="1"/>
      <c r="Q1047" s="1"/>
      <c r="R1047" s="1"/>
      <c r="S1047" s="1"/>
      <c r="T1047" s="1"/>
      <c r="U1047" s="1"/>
      <c r="V1047" s="16"/>
      <c r="W1047" s="1"/>
      <c r="X1047" s="1"/>
    </row>
    <row r="1048" spans="1:24">
      <c r="A1048" s="1"/>
      <c r="M1048" s="26"/>
      <c r="N1048" s="26"/>
      <c r="P1048" s="1"/>
      <c r="Q1048" s="1"/>
      <c r="R1048" s="1"/>
      <c r="S1048" s="1"/>
      <c r="T1048" s="1"/>
      <c r="U1048" s="1"/>
      <c r="V1048" s="16"/>
      <c r="W1048" s="1"/>
      <c r="X1048" s="1"/>
    </row>
    <row r="1049" spans="1:24">
      <c r="A1049" s="1"/>
      <c r="M1049" s="26"/>
      <c r="N1049" s="26"/>
      <c r="P1049" s="1"/>
      <c r="Q1049" s="1"/>
      <c r="R1049" s="1"/>
      <c r="S1049" s="1"/>
      <c r="T1049" s="1"/>
      <c r="U1049" s="1"/>
      <c r="V1049" s="16"/>
      <c r="W1049" s="1"/>
      <c r="X1049" s="1"/>
    </row>
    <row r="1050" spans="1:24">
      <c r="A1050" s="1"/>
      <c r="M1050" s="26"/>
      <c r="N1050" s="26"/>
      <c r="P1050" s="1"/>
      <c r="Q1050" s="1"/>
      <c r="R1050" s="1"/>
      <c r="S1050" s="1"/>
      <c r="T1050" s="1"/>
      <c r="U1050" s="1"/>
      <c r="V1050" s="16"/>
      <c r="W1050" s="1"/>
      <c r="X1050" s="1"/>
    </row>
    <row r="1051" spans="1:24">
      <c r="A1051" s="1"/>
      <c r="M1051" s="26"/>
      <c r="N1051" s="26"/>
      <c r="P1051" s="1"/>
      <c r="Q1051" s="1"/>
      <c r="R1051" s="1"/>
      <c r="S1051" s="1"/>
      <c r="T1051" s="1"/>
      <c r="U1051" s="1"/>
      <c r="V1051" s="16"/>
      <c r="W1051" s="1"/>
      <c r="X1051" s="1"/>
    </row>
    <row r="1052" spans="1:24">
      <c r="A1052" s="1"/>
      <c r="M1052" s="26"/>
      <c r="N1052" s="26"/>
      <c r="P1052" s="1"/>
      <c r="Q1052" s="1"/>
      <c r="R1052" s="1"/>
      <c r="S1052" s="1"/>
      <c r="T1052" s="1"/>
      <c r="U1052" s="1"/>
      <c r="V1052" s="16"/>
      <c r="W1052" s="1"/>
      <c r="X1052" s="1"/>
    </row>
    <row r="1053" spans="1:24">
      <c r="A1053" s="1"/>
      <c r="M1053" s="26"/>
      <c r="N1053" s="26"/>
      <c r="P1053" s="1"/>
      <c r="Q1053" s="1"/>
      <c r="R1053" s="1"/>
      <c r="S1053" s="1"/>
      <c r="T1053" s="1"/>
      <c r="U1053" s="1"/>
      <c r="V1053" s="16"/>
      <c r="W1053" s="1"/>
      <c r="X1053" s="1"/>
    </row>
    <row r="1054" spans="1:24">
      <c r="A1054" s="1"/>
      <c r="M1054" s="26"/>
      <c r="N1054" s="26"/>
      <c r="P1054" s="1"/>
      <c r="Q1054" s="1"/>
      <c r="R1054" s="1"/>
      <c r="S1054" s="1"/>
      <c r="T1054" s="1"/>
      <c r="U1054" s="1"/>
      <c r="V1054" s="16"/>
      <c r="W1054" s="1"/>
      <c r="X1054" s="1"/>
    </row>
    <row r="1055" spans="1:24">
      <c r="A1055" s="1"/>
      <c r="M1055" s="26"/>
      <c r="N1055" s="26"/>
      <c r="P1055" s="1"/>
      <c r="Q1055" s="1"/>
      <c r="R1055" s="1"/>
      <c r="S1055" s="1"/>
      <c r="T1055" s="1"/>
      <c r="U1055" s="1"/>
      <c r="V1055" s="16"/>
      <c r="W1055" s="1"/>
      <c r="X1055" s="1"/>
    </row>
    <row r="1056" spans="1:24">
      <c r="A1056" s="1"/>
      <c r="M1056" s="26"/>
      <c r="N1056" s="26"/>
      <c r="P1056" s="1"/>
      <c r="Q1056" s="1"/>
      <c r="R1056" s="1"/>
      <c r="S1056" s="1"/>
      <c r="T1056" s="1"/>
      <c r="U1056" s="1"/>
      <c r="V1056" s="16"/>
      <c r="W1056" s="1"/>
      <c r="X1056" s="1"/>
    </row>
    <row r="1057" spans="1:24">
      <c r="A1057" s="1"/>
      <c r="M1057" s="26"/>
      <c r="N1057" s="26"/>
      <c r="P1057" s="1"/>
      <c r="Q1057" s="1"/>
      <c r="R1057" s="1"/>
      <c r="S1057" s="1"/>
      <c r="T1057" s="1"/>
      <c r="U1057" s="1"/>
      <c r="V1057" s="16"/>
      <c r="W1057" s="1"/>
      <c r="X1057" s="1"/>
    </row>
    <row r="1058" spans="1:24">
      <c r="A1058" s="1"/>
      <c r="M1058" s="26"/>
      <c r="N1058" s="26"/>
      <c r="P1058" s="1"/>
      <c r="Q1058" s="1"/>
      <c r="R1058" s="1"/>
      <c r="S1058" s="1"/>
      <c r="T1058" s="1"/>
      <c r="U1058" s="1"/>
      <c r="V1058" s="16"/>
      <c r="W1058" s="1"/>
      <c r="X1058" s="1"/>
    </row>
    <row r="1059" spans="1:24">
      <c r="A1059" s="1"/>
      <c r="M1059" s="26"/>
      <c r="N1059" s="26"/>
      <c r="P1059" s="1"/>
      <c r="Q1059" s="1"/>
      <c r="R1059" s="1"/>
      <c r="S1059" s="1"/>
      <c r="T1059" s="1"/>
      <c r="U1059" s="1"/>
      <c r="V1059" s="16"/>
      <c r="W1059" s="1"/>
      <c r="X1059" s="1"/>
    </row>
    <row r="1060" spans="1:24">
      <c r="A1060" s="1"/>
      <c r="M1060" s="26"/>
      <c r="N1060" s="26"/>
      <c r="P1060" s="1"/>
      <c r="Q1060" s="1"/>
      <c r="R1060" s="1"/>
      <c r="S1060" s="1"/>
      <c r="T1060" s="1"/>
      <c r="U1060" s="1"/>
      <c r="V1060" s="16"/>
      <c r="W1060" s="1"/>
      <c r="X1060" s="1"/>
    </row>
    <row r="1061" spans="1:24">
      <c r="A1061" s="1"/>
      <c r="M1061" s="26"/>
      <c r="N1061" s="26"/>
      <c r="P1061" s="1"/>
      <c r="Q1061" s="1"/>
      <c r="R1061" s="1"/>
      <c r="S1061" s="1"/>
      <c r="T1061" s="1"/>
      <c r="U1061" s="1"/>
      <c r="V1061" s="16"/>
      <c r="W1061" s="1"/>
      <c r="X1061" s="1"/>
    </row>
    <row r="1062" spans="1:24">
      <c r="A1062" s="1"/>
      <c r="M1062" s="26"/>
      <c r="N1062" s="26"/>
      <c r="P1062" s="1"/>
      <c r="Q1062" s="1"/>
      <c r="R1062" s="1"/>
      <c r="S1062" s="1"/>
      <c r="T1062" s="1"/>
      <c r="U1062" s="1"/>
      <c r="V1062" s="16"/>
      <c r="W1062" s="1"/>
      <c r="X1062" s="1"/>
    </row>
    <row r="1063" spans="1:24">
      <c r="A1063" s="1"/>
      <c r="M1063" s="26"/>
      <c r="N1063" s="26"/>
      <c r="P1063" s="1"/>
      <c r="Q1063" s="1"/>
      <c r="R1063" s="1"/>
      <c r="S1063" s="1"/>
      <c r="T1063" s="1"/>
      <c r="U1063" s="1"/>
      <c r="V1063" s="16"/>
      <c r="W1063" s="1"/>
      <c r="X1063" s="1"/>
    </row>
    <row r="1064" spans="1:24">
      <c r="A1064" s="1"/>
      <c r="M1064" s="26"/>
      <c r="N1064" s="26"/>
      <c r="P1064" s="1"/>
      <c r="Q1064" s="1"/>
      <c r="R1064" s="1"/>
      <c r="S1064" s="1"/>
      <c r="T1064" s="1"/>
      <c r="U1064" s="1"/>
      <c r="V1064" s="16"/>
      <c r="W1064" s="1"/>
      <c r="X1064" s="1"/>
    </row>
    <row r="1065" spans="1:24">
      <c r="A1065" s="1"/>
      <c r="M1065" s="26"/>
      <c r="N1065" s="26"/>
      <c r="P1065" s="1"/>
      <c r="Q1065" s="1"/>
      <c r="R1065" s="1"/>
      <c r="S1065" s="1"/>
      <c r="T1065" s="1"/>
      <c r="U1065" s="1"/>
      <c r="V1065" s="16"/>
      <c r="W1065" s="1"/>
      <c r="X1065" s="1"/>
    </row>
    <row r="1066" spans="1:24">
      <c r="A1066" s="1"/>
      <c r="M1066" s="26"/>
      <c r="N1066" s="26"/>
      <c r="P1066" s="1"/>
      <c r="Q1066" s="1"/>
      <c r="R1066" s="1"/>
      <c r="S1066" s="1"/>
      <c r="T1066" s="1"/>
      <c r="U1066" s="1"/>
      <c r="V1066" s="16"/>
      <c r="W1066" s="1"/>
      <c r="X1066" s="1"/>
    </row>
    <row r="1067" spans="1:24">
      <c r="A1067" s="1"/>
      <c r="M1067" s="26"/>
      <c r="N1067" s="26"/>
      <c r="P1067" s="1"/>
      <c r="Q1067" s="1"/>
      <c r="R1067" s="1"/>
      <c r="S1067" s="1"/>
      <c r="T1067" s="1"/>
      <c r="U1067" s="1"/>
      <c r="V1067" s="16"/>
      <c r="W1067" s="1"/>
      <c r="X1067" s="1"/>
    </row>
    <row r="1068" spans="1:24">
      <c r="A1068" s="1"/>
      <c r="M1068" s="26"/>
      <c r="N1068" s="26"/>
      <c r="P1068" s="1"/>
      <c r="Q1068" s="1"/>
      <c r="R1068" s="1"/>
      <c r="S1068" s="1"/>
      <c r="T1068" s="1"/>
      <c r="U1068" s="1"/>
      <c r="V1068" s="16"/>
      <c r="W1068" s="1"/>
      <c r="X1068" s="1"/>
    </row>
    <row r="1069" spans="1:24">
      <c r="A1069" s="1"/>
      <c r="M1069" s="26"/>
      <c r="N1069" s="26"/>
      <c r="P1069" s="1"/>
      <c r="Q1069" s="1"/>
      <c r="R1069" s="1"/>
      <c r="S1069" s="1"/>
      <c r="T1069" s="1"/>
      <c r="U1069" s="1"/>
      <c r="V1069" s="16"/>
      <c r="W1069" s="1"/>
      <c r="X1069" s="1"/>
    </row>
    <row r="1070" spans="1:24">
      <c r="A1070" s="1"/>
      <c r="M1070" s="26"/>
      <c r="N1070" s="26"/>
      <c r="P1070" s="1"/>
      <c r="Q1070" s="1"/>
      <c r="R1070" s="1"/>
      <c r="S1070" s="1"/>
      <c r="T1070" s="1"/>
      <c r="U1070" s="1"/>
      <c r="V1070" s="16"/>
      <c r="W1070" s="1"/>
      <c r="X1070" s="1"/>
    </row>
    <row r="1071" spans="1:24">
      <c r="A1071" s="1"/>
      <c r="M1071" s="26"/>
      <c r="N1071" s="26"/>
      <c r="P1071" s="1"/>
      <c r="Q1071" s="1"/>
      <c r="R1071" s="1"/>
      <c r="S1071" s="1"/>
      <c r="T1071" s="1"/>
      <c r="U1071" s="1"/>
      <c r="V1071" s="16"/>
      <c r="W1071" s="1"/>
      <c r="X1071" s="1"/>
    </row>
    <row r="1072" spans="1:24">
      <c r="A1072" s="1"/>
      <c r="M1072" s="26"/>
      <c r="N1072" s="26"/>
      <c r="P1072" s="1"/>
      <c r="Q1072" s="1"/>
      <c r="R1072" s="1"/>
      <c r="S1072" s="1"/>
      <c r="T1072" s="1"/>
      <c r="U1072" s="1"/>
      <c r="V1072" s="16"/>
      <c r="W1072" s="1"/>
      <c r="X1072" s="1"/>
    </row>
    <row r="1073" spans="1:24">
      <c r="A1073" s="1"/>
      <c r="M1073" s="26"/>
      <c r="N1073" s="26"/>
      <c r="P1073" s="1"/>
      <c r="Q1073" s="1"/>
      <c r="R1073" s="1"/>
      <c r="S1073" s="1"/>
      <c r="T1073" s="1"/>
      <c r="U1073" s="1"/>
      <c r="V1073" s="16"/>
      <c r="W1073" s="1"/>
      <c r="X1073" s="1"/>
    </row>
    <row r="1074" spans="1:24">
      <c r="A1074" s="1"/>
      <c r="M1074" s="26"/>
      <c r="N1074" s="26"/>
      <c r="P1074" s="1"/>
      <c r="Q1074" s="1"/>
      <c r="R1074" s="1"/>
      <c r="S1074" s="1"/>
      <c r="T1074" s="1"/>
      <c r="U1074" s="1"/>
      <c r="V1074" s="16"/>
      <c r="W1074" s="1"/>
      <c r="X1074" s="1"/>
    </row>
    <row r="1075" spans="1:24">
      <c r="A1075" s="1"/>
      <c r="M1075" s="26"/>
      <c r="N1075" s="26"/>
      <c r="P1075" s="1"/>
      <c r="Q1075" s="1"/>
      <c r="R1075" s="1"/>
      <c r="S1075" s="1"/>
      <c r="T1075" s="1"/>
      <c r="U1075" s="1"/>
      <c r="V1075" s="16"/>
      <c r="W1075" s="1"/>
      <c r="X1075" s="1"/>
    </row>
    <row r="1076" spans="1:24">
      <c r="A1076" s="1"/>
      <c r="M1076" s="26"/>
      <c r="N1076" s="26"/>
      <c r="P1076" s="1"/>
      <c r="Q1076" s="1"/>
      <c r="R1076" s="1"/>
      <c r="S1076" s="1"/>
      <c r="T1076" s="1"/>
      <c r="U1076" s="1"/>
      <c r="V1076" s="16"/>
      <c r="W1076" s="1"/>
      <c r="X1076" s="1"/>
    </row>
    <row r="1077" spans="1:24">
      <c r="A1077" s="1"/>
      <c r="M1077" s="26"/>
      <c r="N1077" s="26"/>
      <c r="P1077" s="1"/>
      <c r="Q1077" s="1"/>
      <c r="R1077" s="1"/>
      <c r="S1077" s="1"/>
      <c r="T1077" s="1"/>
      <c r="U1077" s="1"/>
      <c r="V1077" s="16"/>
      <c r="W1077" s="1"/>
      <c r="X1077" s="1"/>
    </row>
    <row r="1078" spans="1:24">
      <c r="A1078" s="1"/>
      <c r="M1078" s="26"/>
      <c r="N1078" s="26"/>
      <c r="P1078" s="1"/>
      <c r="Q1078" s="1"/>
      <c r="R1078" s="1"/>
      <c r="S1078" s="1"/>
      <c r="T1078" s="1"/>
      <c r="U1078" s="1"/>
      <c r="V1078" s="16"/>
      <c r="W1078" s="1"/>
      <c r="X1078" s="1"/>
    </row>
    <row r="1079" spans="1:24">
      <c r="A1079" s="1"/>
      <c r="M1079" s="26"/>
      <c r="N1079" s="26"/>
      <c r="P1079" s="1"/>
      <c r="Q1079" s="1"/>
      <c r="R1079" s="1"/>
      <c r="S1079" s="1"/>
      <c r="T1079" s="1"/>
      <c r="U1079" s="1"/>
      <c r="V1079" s="16"/>
      <c r="W1079" s="1"/>
      <c r="X1079" s="1"/>
    </row>
    <row r="1080" spans="1:24">
      <c r="A1080" s="1"/>
      <c r="M1080" s="26"/>
      <c r="N1080" s="26"/>
      <c r="P1080" s="1"/>
      <c r="Q1080" s="1"/>
      <c r="R1080" s="1"/>
      <c r="S1080" s="1"/>
      <c r="T1080" s="1"/>
      <c r="U1080" s="1"/>
      <c r="V1080" s="16"/>
      <c r="W1080" s="1"/>
      <c r="X1080" s="1"/>
    </row>
    <row r="1081" spans="1:24">
      <c r="A1081" s="1"/>
      <c r="M1081" s="26"/>
      <c r="N1081" s="26"/>
      <c r="P1081" s="1"/>
      <c r="Q1081" s="1"/>
      <c r="R1081" s="1"/>
      <c r="S1081" s="1"/>
      <c r="T1081" s="1"/>
      <c r="U1081" s="1"/>
      <c r="V1081" s="16"/>
      <c r="W1081" s="1"/>
      <c r="X1081" s="1"/>
    </row>
    <row r="1082" spans="1:24">
      <c r="A1082" s="1"/>
      <c r="M1082" s="26"/>
      <c r="N1082" s="26"/>
      <c r="P1082" s="1"/>
      <c r="Q1082" s="1"/>
      <c r="R1082" s="1"/>
      <c r="S1082" s="1"/>
      <c r="T1082" s="1"/>
      <c r="U1082" s="1"/>
      <c r="V1082" s="16"/>
      <c r="W1082" s="1"/>
      <c r="X1082" s="1"/>
    </row>
    <row r="1083" spans="1:24">
      <c r="A1083" s="1"/>
      <c r="M1083" s="26"/>
      <c r="N1083" s="26"/>
      <c r="P1083" s="1"/>
      <c r="Q1083" s="1"/>
      <c r="R1083" s="1"/>
      <c r="S1083" s="1"/>
      <c r="T1083" s="1"/>
      <c r="U1083" s="1"/>
      <c r="V1083" s="16"/>
      <c r="W1083" s="1"/>
      <c r="X1083" s="1"/>
    </row>
    <row r="1084" spans="1:24">
      <c r="A1084" s="1"/>
      <c r="M1084" s="26"/>
      <c r="N1084" s="26"/>
      <c r="P1084" s="1"/>
      <c r="Q1084" s="1"/>
      <c r="R1084" s="1"/>
      <c r="S1084" s="1"/>
      <c r="T1084" s="1"/>
      <c r="U1084" s="1"/>
      <c r="V1084" s="16"/>
      <c r="W1084" s="1"/>
      <c r="X1084" s="1"/>
    </row>
    <row r="1085" spans="1:24">
      <c r="A1085" s="1"/>
      <c r="M1085" s="26"/>
      <c r="N1085" s="26"/>
      <c r="P1085" s="1"/>
      <c r="Q1085" s="1"/>
      <c r="R1085" s="1"/>
      <c r="S1085" s="1"/>
      <c r="T1085" s="1"/>
      <c r="U1085" s="1"/>
      <c r="V1085" s="16"/>
      <c r="W1085" s="1"/>
      <c r="X1085" s="1"/>
    </row>
    <row r="1086" spans="1:24">
      <c r="A1086" s="1"/>
      <c r="M1086" s="26"/>
      <c r="N1086" s="26"/>
      <c r="P1086" s="1"/>
      <c r="Q1086" s="1"/>
      <c r="R1086" s="1"/>
      <c r="S1086" s="1"/>
      <c r="T1086" s="1"/>
      <c r="U1086" s="1"/>
      <c r="V1086" s="16"/>
      <c r="W1086" s="1"/>
      <c r="X1086" s="1"/>
    </row>
    <row r="1087" spans="1:24">
      <c r="A1087" s="1"/>
      <c r="M1087" s="26"/>
      <c r="N1087" s="26"/>
      <c r="P1087" s="1"/>
      <c r="Q1087" s="1"/>
      <c r="R1087" s="1"/>
      <c r="S1087" s="1"/>
      <c r="T1087" s="1"/>
      <c r="U1087" s="1"/>
      <c r="V1087" s="16"/>
      <c r="W1087" s="1"/>
      <c r="X1087" s="1"/>
    </row>
    <row r="1088" spans="1:24">
      <c r="A1088" s="1"/>
      <c r="M1088" s="26"/>
      <c r="N1088" s="26"/>
      <c r="P1088" s="1"/>
      <c r="Q1088" s="1"/>
      <c r="R1088" s="1"/>
      <c r="S1088" s="1"/>
      <c r="T1088" s="1"/>
      <c r="U1088" s="1"/>
      <c r="V1088" s="16"/>
      <c r="W1088" s="1"/>
      <c r="X1088" s="1"/>
    </row>
    <row r="1089" spans="1:24">
      <c r="A1089" s="1"/>
      <c r="M1089" s="26"/>
      <c r="N1089" s="26"/>
      <c r="P1089" s="1"/>
      <c r="Q1089" s="1"/>
      <c r="R1089" s="1"/>
      <c r="S1089" s="1"/>
      <c r="T1089" s="1"/>
      <c r="U1089" s="1"/>
      <c r="V1089" s="16"/>
      <c r="W1089" s="1"/>
      <c r="X1089" s="1"/>
    </row>
    <row r="1090" spans="1:24">
      <c r="A1090" s="1"/>
      <c r="M1090" s="26"/>
      <c r="N1090" s="26"/>
      <c r="P1090" s="1"/>
      <c r="Q1090" s="1"/>
      <c r="R1090" s="1"/>
      <c r="S1090" s="1"/>
      <c r="T1090" s="1"/>
      <c r="U1090" s="1"/>
      <c r="V1090" s="16"/>
      <c r="W1090" s="1"/>
      <c r="X1090" s="1"/>
    </row>
    <row r="1091" spans="1:24">
      <c r="A1091" s="1"/>
      <c r="M1091" s="26"/>
      <c r="N1091" s="26"/>
      <c r="P1091" s="1"/>
      <c r="Q1091" s="1"/>
      <c r="R1091" s="1"/>
      <c r="S1091" s="1"/>
      <c r="T1091" s="1"/>
      <c r="U1091" s="1"/>
      <c r="V1091" s="16"/>
      <c r="W1091" s="1"/>
      <c r="X1091" s="1"/>
    </row>
    <row r="1092" spans="1:24">
      <c r="A1092" s="1"/>
      <c r="M1092" s="26"/>
      <c r="N1092" s="26"/>
      <c r="P1092" s="1"/>
      <c r="Q1092" s="1"/>
      <c r="R1092" s="1"/>
      <c r="S1092" s="1"/>
      <c r="T1092" s="1"/>
      <c r="U1092" s="1"/>
      <c r="V1092" s="16"/>
      <c r="W1092" s="1"/>
      <c r="X1092" s="1"/>
    </row>
    <row r="1093" spans="1:24">
      <c r="A1093" s="1"/>
      <c r="M1093" s="26"/>
      <c r="N1093" s="26"/>
      <c r="P1093" s="1"/>
      <c r="Q1093" s="1"/>
      <c r="R1093" s="1"/>
      <c r="S1093" s="1"/>
      <c r="T1093" s="1"/>
      <c r="U1093" s="1"/>
      <c r="V1093" s="16"/>
      <c r="W1093" s="1"/>
      <c r="X1093" s="1"/>
    </row>
    <row r="1094" spans="1:24">
      <c r="A1094" s="1"/>
      <c r="M1094" s="26"/>
      <c r="N1094" s="26"/>
      <c r="P1094" s="1"/>
      <c r="Q1094" s="1"/>
      <c r="R1094" s="1"/>
      <c r="S1094" s="1"/>
      <c r="T1094" s="1"/>
      <c r="U1094" s="1"/>
      <c r="V1094" s="16"/>
      <c r="W1094" s="1"/>
      <c r="X1094" s="1"/>
    </row>
    <row r="1095" spans="1:24">
      <c r="A1095" s="1"/>
      <c r="M1095" s="26"/>
      <c r="N1095" s="26"/>
      <c r="P1095" s="1"/>
      <c r="Q1095" s="1"/>
      <c r="R1095" s="1"/>
      <c r="S1095" s="1"/>
      <c r="T1095" s="1"/>
      <c r="U1095" s="1"/>
      <c r="V1095" s="16"/>
      <c r="W1095" s="1"/>
      <c r="X1095" s="1"/>
    </row>
    <row r="1096" spans="1:24">
      <c r="A1096" s="1"/>
      <c r="M1096" s="26"/>
      <c r="N1096" s="26"/>
      <c r="P1096" s="1"/>
      <c r="Q1096" s="1"/>
      <c r="R1096" s="1"/>
      <c r="S1096" s="1"/>
      <c r="T1096" s="1"/>
      <c r="U1096" s="1"/>
      <c r="V1096" s="16"/>
      <c r="W1096" s="1"/>
      <c r="X1096" s="1"/>
    </row>
    <row r="1097" spans="1:24">
      <c r="A1097" s="1"/>
      <c r="M1097" s="26"/>
      <c r="N1097" s="26"/>
      <c r="P1097" s="1"/>
      <c r="Q1097" s="1"/>
      <c r="R1097" s="1"/>
      <c r="S1097" s="1"/>
      <c r="T1097" s="1"/>
      <c r="U1097" s="1"/>
      <c r="V1097" s="16"/>
      <c r="W1097" s="1"/>
      <c r="X1097" s="1"/>
    </row>
    <row r="1098" spans="1:24">
      <c r="A1098" s="1"/>
      <c r="M1098" s="26"/>
      <c r="N1098" s="26"/>
      <c r="P1098" s="1"/>
      <c r="Q1098" s="1"/>
      <c r="R1098" s="1"/>
      <c r="S1098" s="1"/>
      <c r="T1098" s="1"/>
      <c r="U1098" s="1"/>
      <c r="V1098" s="16"/>
      <c r="W1098" s="1"/>
      <c r="X1098" s="1"/>
    </row>
    <row r="1099" spans="1:24">
      <c r="A1099" s="1"/>
      <c r="M1099" s="26"/>
      <c r="N1099" s="26"/>
      <c r="P1099" s="1"/>
      <c r="Q1099" s="1"/>
      <c r="R1099" s="1"/>
      <c r="S1099" s="1"/>
      <c r="T1099" s="1"/>
      <c r="U1099" s="1"/>
      <c r="V1099" s="16"/>
      <c r="W1099" s="1"/>
      <c r="X1099" s="1"/>
    </row>
    <row r="1100" spans="1:24">
      <c r="A1100" s="1"/>
      <c r="M1100" s="26"/>
      <c r="N1100" s="26"/>
      <c r="P1100" s="1"/>
      <c r="Q1100" s="1"/>
      <c r="R1100" s="1"/>
      <c r="S1100" s="1"/>
      <c r="T1100" s="1"/>
      <c r="U1100" s="1"/>
      <c r="V1100" s="16"/>
      <c r="W1100" s="1"/>
      <c r="X1100" s="1"/>
    </row>
    <row r="1101" spans="1:24">
      <c r="A1101" s="1"/>
      <c r="M1101" s="26"/>
      <c r="N1101" s="26"/>
      <c r="P1101" s="1"/>
      <c r="Q1101" s="1"/>
      <c r="R1101" s="1"/>
      <c r="S1101" s="1"/>
      <c r="T1101" s="1"/>
      <c r="U1101" s="1"/>
      <c r="V1101" s="16"/>
      <c r="W1101" s="1"/>
      <c r="X1101" s="1"/>
    </row>
    <row r="1102" spans="1:24">
      <c r="A1102" s="1"/>
      <c r="M1102" s="26"/>
      <c r="N1102" s="26"/>
      <c r="P1102" s="1"/>
      <c r="Q1102" s="1"/>
      <c r="R1102" s="1"/>
      <c r="S1102" s="1"/>
      <c r="T1102" s="1"/>
      <c r="U1102" s="1"/>
      <c r="V1102" s="16"/>
      <c r="W1102" s="1"/>
      <c r="X1102" s="1"/>
    </row>
    <row r="1103" spans="1:24">
      <c r="A1103" s="1"/>
      <c r="M1103" s="26"/>
      <c r="N1103" s="26"/>
      <c r="P1103" s="1"/>
      <c r="Q1103" s="1"/>
      <c r="R1103" s="1"/>
      <c r="S1103" s="1"/>
      <c r="T1103" s="1"/>
      <c r="U1103" s="1"/>
      <c r="V1103" s="16"/>
      <c r="W1103" s="1"/>
      <c r="X1103" s="1"/>
    </row>
    <row r="1104" spans="1:24">
      <c r="A1104" s="1"/>
      <c r="M1104" s="26"/>
      <c r="N1104" s="26"/>
      <c r="P1104" s="1"/>
      <c r="Q1104" s="1"/>
      <c r="R1104" s="1"/>
      <c r="S1104" s="1"/>
      <c r="T1104" s="1"/>
      <c r="U1104" s="1"/>
      <c r="V1104" s="16"/>
      <c r="W1104" s="1"/>
      <c r="X1104" s="1"/>
    </row>
    <row r="1105" spans="1:24">
      <c r="A1105" s="1"/>
      <c r="M1105" s="26"/>
      <c r="N1105" s="26"/>
      <c r="P1105" s="1"/>
      <c r="Q1105" s="1"/>
      <c r="R1105" s="1"/>
      <c r="S1105" s="1"/>
      <c r="T1105" s="1"/>
      <c r="U1105" s="1"/>
      <c r="V1105" s="16"/>
      <c r="W1105" s="1"/>
      <c r="X1105" s="1"/>
    </row>
    <row r="1106" spans="1:24">
      <c r="A1106" s="1"/>
      <c r="M1106" s="26"/>
      <c r="N1106" s="26"/>
      <c r="P1106" s="1"/>
      <c r="Q1106" s="1"/>
      <c r="R1106" s="1"/>
      <c r="S1106" s="1"/>
      <c r="T1106" s="1"/>
      <c r="U1106" s="1"/>
      <c r="V1106" s="16"/>
      <c r="W1106" s="1"/>
      <c r="X1106" s="1"/>
    </row>
    <row r="1107" spans="1:24">
      <c r="A1107" s="1"/>
      <c r="M1107" s="26"/>
      <c r="N1107" s="26"/>
      <c r="P1107" s="1"/>
      <c r="Q1107" s="1"/>
      <c r="R1107" s="1"/>
      <c r="S1107" s="1"/>
      <c r="T1107" s="1"/>
      <c r="U1107" s="1"/>
      <c r="V1107" s="16"/>
      <c r="W1107" s="1"/>
      <c r="X1107" s="1"/>
    </row>
    <row r="1108" spans="1:24">
      <c r="A1108" s="1"/>
      <c r="M1108" s="26"/>
      <c r="N1108" s="26"/>
      <c r="P1108" s="1"/>
      <c r="Q1108" s="1"/>
      <c r="R1108" s="1"/>
      <c r="S1108" s="1"/>
      <c r="T1108" s="1"/>
      <c r="U1108" s="1"/>
      <c r="V1108" s="16"/>
      <c r="W1108" s="1"/>
      <c r="X1108" s="1"/>
    </row>
    <row r="1109" spans="1:24">
      <c r="A1109" s="1"/>
      <c r="M1109" s="26"/>
      <c r="N1109" s="26"/>
      <c r="P1109" s="1"/>
      <c r="Q1109" s="1"/>
      <c r="R1109" s="1"/>
      <c r="S1109" s="1"/>
      <c r="T1109" s="1"/>
      <c r="U1109" s="1"/>
      <c r="V1109" s="16"/>
      <c r="W1109" s="1"/>
      <c r="X1109" s="1"/>
    </row>
    <row r="1110" spans="1:24">
      <c r="A1110" s="1"/>
      <c r="M1110" s="26"/>
      <c r="N1110" s="26"/>
      <c r="P1110" s="1"/>
      <c r="Q1110" s="1"/>
      <c r="R1110" s="1"/>
      <c r="S1110" s="1"/>
      <c r="T1110" s="1"/>
      <c r="U1110" s="1"/>
      <c r="V1110" s="16"/>
      <c r="W1110" s="1"/>
      <c r="X1110" s="1"/>
    </row>
    <row r="1111" spans="1:24">
      <c r="A1111" s="1"/>
      <c r="M1111" s="26"/>
      <c r="N1111" s="26"/>
      <c r="P1111" s="1"/>
      <c r="Q1111" s="1"/>
      <c r="R1111" s="1"/>
      <c r="S1111" s="1"/>
      <c r="T1111" s="1"/>
      <c r="U1111" s="1"/>
      <c r="V1111" s="16"/>
      <c r="W1111" s="1"/>
      <c r="X1111" s="1"/>
    </row>
    <row r="1112" spans="1:24">
      <c r="A1112" s="1"/>
      <c r="M1112" s="26"/>
      <c r="N1112" s="26"/>
      <c r="P1112" s="1"/>
      <c r="Q1112" s="1"/>
      <c r="R1112" s="1"/>
      <c r="S1112" s="1"/>
      <c r="T1112" s="1"/>
      <c r="U1112" s="1"/>
      <c r="V1112" s="16"/>
      <c r="W1112" s="1"/>
      <c r="X1112" s="1"/>
    </row>
    <row r="1113" spans="1:24">
      <c r="A1113" s="1"/>
      <c r="M1113" s="26"/>
      <c r="N1113" s="26"/>
      <c r="P1113" s="1"/>
      <c r="Q1113" s="1"/>
      <c r="R1113" s="1"/>
      <c r="S1113" s="1"/>
      <c r="T1113" s="1"/>
      <c r="U1113" s="1"/>
      <c r="V1113" s="16"/>
      <c r="W1113" s="1"/>
      <c r="X1113" s="1"/>
    </row>
    <row r="1114" spans="1:24">
      <c r="A1114" s="1"/>
      <c r="M1114" s="26"/>
      <c r="N1114" s="26"/>
      <c r="P1114" s="1"/>
      <c r="Q1114" s="1"/>
      <c r="R1114" s="1"/>
      <c r="S1114" s="1"/>
      <c r="T1114" s="1"/>
      <c r="U1114" s="1"/>
      <c r="V1114" s="16"/>
      <c r="W1114" s="1"/>
      <c r="X1114" s="1"/>
    </row>
    <row r="1115" spans="1:24">
      <c r="A1115" s="1"/>
      <c r="M1115" s="26"/>
      <c r="N1115" s="26"/>
      <c r="P1115" s="1"/>
      <c r="Q1115" s="1"/>
      <c r="R1115" s="1"/>
      <c r="S1115" s="1"/>
      <c r="T1115" s="1"/>
      <c r="U1115" s="1"/>
      <c r="V1115" s="16"/>
      <c r="W1115" s="1"/>
      <c r="X1115" s="1"/>
    </row>
    <row r="1116" spans="1:24">
      <c r="A1116" s="1"/>
      <c r="M1116" s="26"/>
      <c r="N1116" s="26"/>
      <c r="P1116" s="1"/>
      <c r="Q1116" s="1"/>
      <c r="R1116" s="1"/>
      <c r="S1116" s="1"/>
      <c r="T1116" s="1"/>
      <c r="U1116" s="1"/>
      <c r="V1116" s="16"/>
      <c r="W1116" s="1"/>
      <c r="X1116" s="1"/>
    </row>
    <row r="1117" spans="1:24">
      <c r="A1117" s="1"/>
      <c r="M1117" s="26"/>
      <c r="N1117" s="26"/>
      <c r="P1117" s="1"/>
      <c r="Q1117" s="1"/>
      <c r="R1117" s="1"/>
      <c r="S1117" s="1"/>
      <c r="T1117" s="1"/>
      <c r="U1117" s="1"/>
      <c r="V1117" s="16"/>
      <c r="W1117" s="1"/>
      <c r="X1117" s="1"/>
    </row>
    <row r="1118" spans="1:24">
      <c r="A1118" s="1"/>
      <c r="M1118" s="26"/>
      <c r="N1118" s="26"/>
      <c r="P1118" s="1"/>
      <c r="Q1118" s="1"/>
      <c r="R1118" s="1"/>
      <c r="S1118" s="1"/>
      <c r="T1118" s="1"/>
      <c r="U1118" s="1"/>
      <c r="V1118" s="16"/>
      <c r="W1118" s="1"/>
      <c r="X1118" s="1"/>
    </row>
    <row r="1119" spans="1:24">
      <c r="A1119" s="1"/>
      <c r="M1119" s="26"/>
      <c r="N1119" s="26"/>
      <c r="P1119" s="1"/>
      <c r="Q1119" s="1"/>
      <c r="R1119" s="1"/>
      <c r="S1119" s="1"/>
      <c r="T1119" s="1"/>
      <c r="U1119" s="1"/>
      <c r="V1119" s="16"/>
      <c r="W1119" s="1"/>
      <c r="X1119" s="1"/>
    </row>
    <row r="1120" spans="1:24">
      <c r="A1120" s="1"/>
      <c r="M1120" s="26"/>
      <c r="N1120" s="26"/>
      <c r="P1120" s="1"/>
      <c r="Q1120" s="1"/>
      <c r="R1120" s="1"/>
      <c r="S1120" s="1"/>
      <c r="T1120" s="1"/>
      <c r="U1120" s="1"/>
      <c r="V1120" s="16"/>
      <c r="W1120" s="1"/>
      <c r="X1120" s="1"/>
    </row>
    <row r="1121" spans="1:24">
      <c r="A1121" s="1"/>
      <c r="M1121" s="26"/>
      <c r="N1121" s="26"/>
      <c r="P1121" s="1"/>
      <c r="Q1121" s="1"/>
      <c r="R1121" s="1"/>
      <c r="S1121" s="1"/>
      <c r="T1121" s="1"/>
      <c r="U1121" s="1"/>
      <c r="V1121" s="16"/>
      <c r="W1121" s="1"/>
      <c r="X1121" s="1"/>
    </row>
    <row r="1122" spans="1:24">
      <c r="A1122" s="1"/>
      <c r="M1122" s="26"/>
      <c r="N1122" s="26"/>
      <c r="P1122" s="1"/>
      <c r="Q1122" s="1"/>
      <c r="R1122" s="1"/>
      <c r="S1122" s="1"/>
      <c r="T1122" s="1"/>
      <c r="U1122" s="1"/>
      <c r="V1122" s="16"/>
      <c r="W1122" s="1"/>
      <c r="X1122" s="1"/>
    </row>
    <row r="1123" spans="1:24">
      <c r="A1123" s="1"/>
      <c r="M1123" s="26"/>
      <c r="N1123" s="26"/>
      <c r="P1123" s="1"/>
      <c r="Q1123" s="1"/>
      <c r="R1123" s="1"/>
      <c r="S1123" s="1"/>
      <c r="T1123" s="1"/>
      <c r="U1123" s="1"/>
      <c r="V1123" s="16"/>
      <c r="W1123" s="1"/>
      <c r="X1123" s="1"/>
    </row>
    <row r="1124" spans="1:24">
      <c r="A1124" s="1"/>
      <c r="M1124" s="26"/>
      <c r="N1124" s="26"/>
      <c r="P1124" s="1"/>
      <c r="Q1124" s="1"/>
      <c r="R1124" s="1"/>
      <c r="S1124" s="1"/>
      <c r="T1124" s="1"/>
      <c r="U1124" s="1"/>
      <c r="V1124" s="16"/>
      <c r="W1124" s="1"/>
      <c r="X1124" s="1"/>
    </row>
    <row r="1125" spans="1:24">
      <c r="A1125" s="1"/>
      <c r="M1125" s="26"/>
      <c r="N1125" s="26"/>
      <c r="P1125" s="1"/>
      <c r="Q1125" s="1"/>
      <c r="R1125" s="1"/>
      <c r="S1125" s="1"/>
      <c r="T1125" s="1"/>
      <c r="U1125" s="1"/>
      <c r="V1125" s="16"/>
      <c r="W1125" s="1"/>
      <c r="X1125" s="1"/>
    </row>
    <row r="1126" spans="1:24">
      <c r="A1126" s="1"/>
      <c r="M1126" s="26"/>
      <c r="N1126" s="26"/>
      <c r="P1126" s="1"/>
      <c r="Q1126" s="1"/>
      <c r="R1126" s="1"/>
      <c r="S1126" s="1"/>
      <c r="T1126" s="1"/>
      <c r="U1126" s="1"/>
      <c r="V1126" s="16"/>
      <c r="W1126" s="1"/>
      <c r="X1126" s="1"/>
    </row>
    <row r="1127" spans="1:24">
      <c r="A1127" s="1"/>
      <c r="M1127" s="26"/>
      <c r="N1127" s="26"/>
      <c r="P1127" s="1"/>
      <c r="Q1127" s="1"/>
      <c r="R1127" s="1"/>
      <c r="S1127" s="1"/>
      <c r="T1127" s="1"/>
      <c r="U1127" s="1"/>
      <c r="V1127" s="16"/>
      <c r="W1127" s="1"/>
      <c r="X1127" s="1"/>
    </row>
    <row r="1128" spans="1:24">
      <c r="A1128" s="1"/>
      <c r="M1128" s="26"/>
      <c r="N1128" s="26"/>
      <c r="P1128" s="1"/>
      <c r="Q1128" s="1"/>
      <c r="R1128" s="1"/>
      <c r="S1128" s="1"/>
      <c r="T1128" s="1"/>
      <c r="U1128" s="1"/>
      <c r="V1128" s="16"/>
      <c r="W1128" s="1"/>
      <c r="X1128" s="1"/>
    </row>
    <row r="1129" spans="1:24">
      <c r="A1129" s="1"/>
      <c r="M1129" s="26"/>
      <c r="N1129" s="26"/>
      <c r="P1129" s="1"/>
      <c r="Q1129" s="1"/>
      <c r="R1129" s="1"/>
      <c r="S1129" s="1"/>
      <c r="T1129" s="1"/>
      <c r="U1129" s="1"/>
      <c r="V1129" s="16"/>
      <c r="W1129" s="1"/>
      <c r="X1129" s="1"/>
    </row>
    <row r="1130" spans="1:24">
      <c r="A1130" s="1"/>
      <c r="M1130" s="26"/>
      <c r="N1130" s="26"/>
      <c r="P1130" s="1"/>
      <c r="Q1130" s="1"/>
      <c r="R1130" s="1"/>
      <c r="S1130" s="1"/>
      <c r="T1130" s="1"/>
      <c r="U1130" s="1"/>
      <c r="V1130" s="16"/>
      <c r="W1130" s="1"/>
      <c r="X1130" s="1"/>
    </row>
    <row r="1131" spans="1:24">
      <c r="A1131" s="1"/>
      <c r="M1131" s="26"/>
      <c r="N1131" s="26"/>
      <c r="P1131" s="1"/>
      <c r="Q1131" s="1"/>
      <c r="R1131" s="1"/>
      <c r="S1131" s="1"/>
      <c r="T1131" s="1"/>
      <c r="U1131" s="1"/>
      <c r="V1131" s="16"/>
      <c r="W1131" s="1"/>
      <c r="X1131" s="1"/>
    </row>
    <row r="1132" spans="1:24">
      <c r="A1132" s="1"/>
      <c r="M1132" s="26"/>
      <c r="N1132" s="26"/>
      <c r="P1132" s="1"/>
      <c r="Q1132" s="1"/>
      <c r="R1132" s="1"/>
      <c r="S1132" s="1"/>
      <c r="T1132" s="1"/>
      <c r="U1132" s="1"/>
      <c r="V1132" s="16"/>
      <c r="W1132" s="1"/>
      <c r="X1132" s="1"/>
    </row>
    <row r="1133" spans="1:24">
      <c r="A1133" s="1"/>
      <c r="M1133" s="26"/>
      <c r="N1133" s="26"/>
      <c r="P1133" s="1"/>
      <c r="Q1133" s="1"/>
      <c r="R1133" s="1"/>
      <c r="S1133" s="1"/>
      <c r="T1133" s="1"/>
      <c r="U1133" s="1"/>
      <c r="V1133" s="16"/>
      <c r="W1133" s="1"/>
      <c r="X1133" s="1"/>
    </row>
    <row r="1134" spans="1:24">
      <c r="A1134" s="1"/>
      <c r="M1134" s="26"/>
      <c r="N1134" s="26"/>
      <c r="P1134" s="1"/>
      <c r="Q1134" s="1"/>
      <c r="R1134" s="1"/>
      <c r="S1134" s="1"/>
      <c r="T1134" s="1"/>
      <c r="U1134" s="1"/>
      <c r="V1134" s="16"/>
      <c r="W1134" s="1"/>
      <c r="X1134" s="1"/>
    </row>
    <row r="1135" spans="1:24">
      <c r="A1135" s="1"/>
      <c r="M1135" s="26"/>
      <c r="N1135" s="26"/>
      <c r="P1135" s="1"/>
      <c r="Q1135" s="1"/>
      <c r="R1135" s="1"/>
      <c r="S1135" s="1"/>
      <c r="T1135" s="1"/>
      <c r="U1135" s="1"/>
      <c r="V1135" s="16"/>
      <c r="W1135" s="1"/>
      <c r="X1135" s="1"/>
    </row>
    <row r="1136" spans="1:24">
      <c r="A1136" s="1"/>
      <c r="M1136" s="26"/>
      <c r="N1136" s="26"/>
      <c r="P1136" s="1"/>
      <c r="Q1136" s="1"/>
      <c r="R1136" s="1"/>
      <c r="S1136" s="1"/>
      <c r="T1136" s="1"/>
      <c r="U1136" s="1"/>
      <c r="V1136" s="16"/>
      <c r="W1136" s="1"/>
      <c r="X1136" s="1"/>
    </row>
    <row r="1137" spans="1:24">
      <c r="A1137" s="1"/>
      <c r="M1137" s="26"/>
      <c r="N1137" s="26"/>
      <c r="P1137" s="1"/>
      <c r="Q1137" s="1"/>
      <c r="R1137" s="1"/>
      <c r="S1137" s="1"/>
      <c r="T1137" s="1"/>
      <c r="U1137" s="1"/>
      <c r="V1137" s="16"/>
      <c r="W1137" s="1"/>
      <c r="X1137" s="1"/>
    </row>
    <row r="1138" spans="1:24">
      <c r="A1138" s="1"/>
      <c r="M1138" s="26"/>
      <c r="N1138" s="26"/>
      <c r="P1138" s="1"/>
      <c r="Q1138" s="1"/>
      <c r="R1138" s="1"/>
      <c r="S1138" s="1"/>
      <c r="T1138" s="1"/>
      <c r="U1138" s="1"/>
      <c r="V1138" s="16"/>
      <c r="W1138" s="1"/>
      <c r="X1138" s="1"/>
    </row>
    <row r="1139" spans="1:24">
      <c r="A1139" s="1"/>
      <c r="M1139" s="26"/>
      <c r="N1139" s="26"/>
      <c r="P1139" s="1"/>
      <c r="Q1139" s="1"/>
      <c r="R1139" s="1"/>
      <c r="S1139" s="1"/>
      <c r="T1139" s="1"/>
      <c r="U1139" s="1"/>
      <c r="V1139" s="16"/>
      <c r="W1139" s="1"/>
      <c r="X1139" s="1"/>
    </row>
    <row r="1140" spans="1:24">
      <c r="A1140" s="1"/>
      <c r="M1140" s="26"/>
      <c r="N1140" s="26"/>
      <c r="P1140" s="1"/>
      <c r="Q1140" s="1"/>
      <c r="R1140" s="1"/>
      <c r="S1140" s="1"/>
      <c r="T1140" s="1"/>
      <c r="U1140" s="1"/>
      <c r="V1140" s="16"/>
      <c r="W1140" s="1"/>
      <c r="X1140" s="1"/>
    </row>
    <row r="1141" spans="1:24">
      <c r="A1141" s="1"/>
      <c r="M1141" s="26"/>
      <c r="N1141" s="26"/>
      <c r="P1141" s="1"/>
      <c r="Q1141" s="1"/>
      <c r="R1141" s="1"/>
      <c r="S1141" s="1"/>
      <c r="T1141" s="1"/>
      <c r="U1141" s="1"/>
      <c r="V1141" s="16"/>
      <c r="W1141" s="1"/>
      <c r="X1141" s="1"/>
    </row>
    <row r="1142" spans="1:24">
      <c r="A1142" s="1"/>
      <c r="M1142" s="26"/>
      <c r="N1142" s="26"/>
      <c r="P1142" s="1"/>
      <c r="Q1142" s="1"/>
      <c r="R1142" s="1"/>
      <c r="S1142" s="1"/>
      <c r="T1142" s="1"/>
      <c r="U1142" s="1"/>
      <c r="V1142" s="16"/>
      <c r="W1142" s="1"/>
      <c r="X1142" s="1"/>
    </row>
    <row r="1143" spans="1:24">
      <c r="A1143" s="1"/>
      <c r="M1143" s="26"/>
      <c r="N1143" s="26"/>
      <c r="P1143" s="1"/>
      <c r="Q1143" s="1"/>
      <c r="R1143" s="1"/>
      <c r="S1143" s="1"/>
      <c r="T1143" s="1"/>
      <c r="U1143" s="1"/>
      <c r="V1143" s="16"/>
      <c r="W1143" s="1"/>
      <c r="X1143" s="1"/>
    </row>
    <row r="1144" spans="1:24">
      <c r="A1144" s="1"/>
      <c r="M1144" s="26"/>
      <c r="N1144" s="26"/>
      <c r="P1144" s="1"/>
      <c r="Q1144" s="1"/>
      <c r="R1144" s="1"/>
      <c r="S1144" s="1"/>
      <c r="T1144" s="1"/>
      <c r="U1144" s="1"/>
      <c r="V1144" s="16"/>
      <c r="W1144" s="1"/>
      <c r="X1144" s="1"/>
    </row>
    <row r="1145" spans="1:24">
      <c r="A1145" s="1"/>
      <c r="M1145" s="26"/>
      <c r="N1145" s="26"/>
      <c r="P1145" s="1"/>
      <c r="Q1145" s="1"/>
      <c r="R1145" s="1"/>
      <c r="S1145" s="1"/>
      <c r="T1145" s="1"/>
      <c r="U1145" s="1"/>
      <c r="V1145" s="16"/>
      <c r="W1145" s="1"/>
      <c r="X1145" s="1"/>
    </row>
    <row r="1146" spans="1:24">
      <c r="A1146" s="1"/>
      <c r="M1146" s="26"/>
      <c r="N1146" s="26"/>
      <c r="P1146" s="1"/>
      <c r="Q1146" s="1"/>
      <c r="R1146" s="1"/>
      <c r="S1146" s="1"/>
      <c r="T1146" s="1"/>
      <c r="U1146" s="1"/>
      <c r="V1146" s="16"/>
      <c r="W1146" s="1"/>
      <c r="X1146" s="1"/>
    </row>
    <row r="1147" spans="1:24">
      <c r="A1147" s="1"/>
      <c r="M1147" s="26"/>
      <c r="N1147" s="26"/>
      <c r="P1147" s="1"/>
      <c r="Q1147" s="1"/>
      <c r="R1147" s="1"/>
      <c r="S1147" s="1"/>
      <c r="T1147" s="1"/>
      <c r="U1147" s="1"/>
      <c r="V1147" s="16"/>
      <c r="W1147" s="1"/>
      <c r="X1147" s="1"/>
    </row>
    <row r="1148" spans="1:24">
      <c r="A1148" s="1"/>
      <c r="M1148" s="26"/>
      <c r="N1148" s="26"/>
      <c r="P1148" s="1"/>
      <c r="Q1148" s="1"/>
      <c r="R1148" s="1"/>
      <c r="S1148" s="1"/>
      <c r="T1148" s="1"/>
      <c r="U1148" s="1"/>
      <c r="V1148" s="16"/>
      <c r="W1148" s="1"/>
      <c r="X1148" s="1"/>
    </row>
    <row r="1149" spans="1:24">
      <c r="A1149" s="1"/>
      <c r="M1149" s="26"/>
      <c r="N1149" s="26"/>
      <c r="P1149" s="1"/>
      <c r="Q1149" s="1"/>
      <c r="R1149" s="1"/>
      <c r="S1149" s="1"/>
      <c r="T1149" s="1"/>
      <c r="U1149" s="1"/>
      <c r="V1149" s="16"/>
      <c r="W1149" s="1"/>
      <c r="X1149" s="1"/>
    </row>
    <row r="1150" spans="1:24">
      <c r="A1150" s="1"/>
      <c r="M1150" s="26"/>
      <c r="N1150" s="26"/>
      <c r="P1150" s="1"/>
      <c r="Q1150" s="1"/>
      <c r="R1150" s="1"/>
      <c r="S1150" s="1"/>
      <c r="T1150" s="1"/>
      <c r="U1150" s="1"/>
      <c r="V1150" s="16"/>
      <c r="W1150" s="1"/>
      <c r="X1150" s="1"/>
    </row>
    <row r="1151" spans="1:24">
      <c r="A1151" s="1"/>
      <c r="M1151" s="26"/>
      <c r="N1151" s="26"/>
      <c r="P1151" s="1"/>
      <c r="Q1151" s="1"/>
      <c r="R1151" s="1"/>
      <c r="S1151" s="1"/>
      <c r="T1151" s="1"/>
      <c r="U1151" s="1"/>
      <c r="V1151" s="16"/>
      <c r="W1151" s="1"/>
      <c r="X1151" s="1"/>
    </row>
    <row r="1152" spans="1:24">
      <c r="A1152" s="1"/>
      <c r="M1152" s="26"/>
      <c r="N1152" s="26"/>
      <c r="P1152" s="1"/>
      <c r="Q1152" s="1"/>
      <c r="R1152" s="1"/>
      <c r="S1152" s="1"/>
      <c r="T1152" s="1"/>
      <c r="U1152" s="1"/>
      <c r="V1152" s="16"/>
      <c r="W1152" s="1"/>
      <c r="X1152" s="1"/>
    </row>
    <row r="1153" spans="1:24">
      <c r="A1153" s="1"/>
      <c r="M1153" s="26"/>
      <c r="N1153" s="26"/>
      <c r="P1153" s="1"/>
      <c r="Q1153" s="1"/>
      <c r="R1153" s="1"/>
      <c r="S1153" s="1"/>
      <c r="T1153" s="1"/>
      <c r="U1153" s="1"/>
      <c r="V1153" s="16"/>
      <c r="W1153" s="1"/>
      <c r="X1153" s="1"/>
    </row>
    <row r="1154" spans="1:24">
      <c r="A1154" s="1"/>
      <c r="M1154" s="26"/>
      <c r="N1154" s="26"/>
      <c r="P1154" s="1"/>
      <c r="Q1154" s="1"/>
      <c r="R1154" s="1"/>
      <c r="S1154" s="1"/>
      <c r="T1154" s="1"/>
      <c r="U1154" s="1"/>
      <c r="V1154" s="16"/>
      <c r="W1154" s="1"/>
      <c r="X1154" s="1"/>
    </row>
    <row r="1155" spans="1:24">
      <c r="A1155" s="1"/>
      <c r="M1155" s="26"/>
      <c r="N1155" s="26"/>
      <c r="P1155" s="1"/>
      <c r="Q1155" s="1"/>
      <c r="R1155" s="1"/>
      <c r="S1155" s="1"/>
      <c r="T1155" s="1"/>
      <c r="U1155" s="1"/>
      <c r="V1155" s="16"/>
      <c r="W1155" s="1"/>
      <c r="X1155" s="1"/>
    </row>
    <row r="1156" spans="1:24">
      <c r="A1156" s="1"/>
      <c r="M1156" s="26"/>
      <c r="N1156" s="26"/>
      <c r="P1156" s="1"/>
      <c r="Q1156" s="1"/>
      <c r="R1156" s="1"/>
      <c r="S1156" s="1"/>
      <c r="T1156" s="1"/>
      <c r="U1156" s="1"/>
      <c r="V1156" s="16"/>
      <c r="W1156" s="1"/>
      <c r="X1156" s="1"/>
    </row>
    <row r="1157" spans="1:24">
      <c r="A1157" s="1"/>
      <c r="M1157" s="26"/>
      <c r="N1157" s="26"/>
      <c r="P1157" s="1"/>
      <c r="Q1157" s="1"/>
      <c r="R1157" s="1"/>
      <c r="S1157" s="1"/>
      <c r="T1157" s="1"/>
      <c r="U1157" s="1"/>
      <c r="V1157" s="16"/>
      <c r="W1157" s="1"/>
      <c r="X1157" s="1"/>
    </row>
    <row r="1158" spans="1:24">
      <c r="A1158" s="1"/>
      <c r="M1158" s="26"/>
      <c r="N1158" s="26"/>
      <c r="P1158" s="1"/>
      <c r="Q1158" s="1"/>
      <c r="R1158" s="1"/>
      <c r="S1158" s="1"/>
      <c r="T1158" s="1"/>
      <c r="U1158" s="1"/>
      <c r="V1158" s="16"/>
      <c r="W1158" s="1"/>
      <c r="X1158" s="1"/>
    </row>
    <row r="1159" spans="1:24">
      <c r="A1159" s="1"/>
      <c r="M1159" s="26"/>
      <c r="N1159" s="26"/>
      <c r="P1159" s="1"/>
      <c r="Q1159" s="1"/>
      <c r="R1159" s="1"/>
      <c r="S1159" s="1"/>
      <c r="T1159" s="1"/>
      <c r="U1159" s="1"/>
      <c r="V1159" s="16"/>
      <c r="W1159" s="1"/>
      <c r="X1159" s="1"/>
    </row>
    <row r="1160" spans="1:24">
      <c r="A1160" s="1"/>
      <c r="M1160" s="26"/>
      <c r="N1160" s="26"/>
      <c r="P1160" s="1"/>
      <c r="Q1160" s="1"/>
      <c r="R1160" s="1"/>
      <c r="S1160" s="1"/>
      <c r="T1160" s="1"/>
      <c r="U1160" s="1"/>
      <c r="V1160" s="16"/>
      <c r="W1160" s="1"/>
      <c r="X1160" s="1"/>
    </row>
    <row r="1161" spans="1:24">
      <c r="A1161" s="1"/>
      <c r="M1161" s="26"/>
      <c r="N1161" s="26"/>
      <c r="P1161" s="1"/>
      <c r="Q1161" s="1"/>
      <c r="R1161" s="1"/>
      <c r="S1161" s="1"/>
      <c r="T1161" s="1"/>
      <c r="U1161" s="1"/>
      <c r="V1161" s="16"/>
      <c r="W1161" s="1"/>
      <c r="X1161" s="1"/>
    </row>
    <row r="1162" spans="1:24">
      <c r="A1162" s="1"/>
      <c r="M1162" s="26"/>
      <c r="N1162" s="26"/>
      <c r="P1162" s="1"/>
      <c r="Q1162" s="1"/>
      <c r="R1162" s="1"/>
      <c r="S1162" s="1"/>
      <c r="T1162" s="1"/>
      <c r="U1162" s="1"/>
      <c r="V1162" s="16"/>
      <c r="W1162" s="1"/>
      <c r="X1162" s="1"/>
    </row>
    <row r="1163" spans="1:24">
      <c r="A1163" s="1"/>
      <c r="M1163" s="26"/>
      <c r="N1163" s="26"/>
      <c r="P1163" s="1"/>
      <c r="Q1163" s="1"/>
      <c r="R1163" s="1"/>
      <c r="S1163" s="1"/>
      <c r="T1163" s="1"/>
      <c r="U1163" s="1"/>
      <c r="V1163" s="16"/>
      <c r="W1163" s="1"/>
      <c r="X1163" s="1"/>
    </row>
    <row r="1164" spans="1:24">
      <c r="A1164" s="1"/>
      <c r="M1164" s="26"/>
      <c r="N1164" s="26"/>
      <c r="P1164" s="1"/>
      <c r="Q1164" s="1"/>
      <c r="R1164" s="1"/>
      <c r="S1164" s="1"/>
      <c r="T1164" s="1"/>
      <c r="U1164" s="1"/>
      <c r="V1164" s="16"/>
      <c r="W1164" s="1"/>
      <c r="X1164" s="1"/>
    </row>
    <row r="1165" spans="1:24">
      <c r="A1165" s="1"/>
      <c r="M1165" s="26"/>
      <c r="N1165" s="26"/>
      <c r="P1165" s="1"/>
      <c r="Q1165" s="1"/>
      <c r="R1165" s="1"/>
      <c r="S1165" s="1"/>
      <c r="T1165" s="1"/>
      <c r="U1165" s="1"/>
      <c r="V1165" s="16"/>
      <c r="W1165" s="1"/>
      <c r="X1165" s="1"/>
    </row>
    <row r="1166" spans="1:24">
      <c r="A1166" s="1"/>
      <c r="M1166" s="26"/>
      <c r="N1166" s="26"/>
      <c r="P1166" s="1"/>
      <c r="Q1166" s="1"/>
      <c r="R1166" s="1"/>
      <c r="S1166" s="1"/>
      <c r="T1166" s="1"/>
      <c r="U1166" s="1"/>
      <c r="V1166" s="16"/>
      <c r="W1166" s="1"/>
      <c r="X1166" s="1"/>
    </row>
    <row r="1167" spans="1:24">
      <c r="A1167" s="1"/>
      <c r="M1167" s="26"/>
      <c r="N1167" s="26"/>
      <c r="P1167" s="1"/>
      <c r="Q1167" s="1"/>
      <c r="R1167" s="1"/>
      <c r="S1167" s="1"/>
      <c r="T1167" s="1"/>
      <c r="U1167" s="1"/>
      <c r="V1167" s="16"/>
      <c r="W1167" s="1"/>
      <c r="X1167" s="1"/>
    </row>
    <row r="1168" spans="1:24">
      <c r="A1168" s="1"/>
      <c r="M1168" s="26"/>
      <c r="N1168" s="26"/>
      <c r="P1168" s="1"/>
      <c r="Q1168" s="1"/>
      <c r="R1168" s="1"/>
      <c r="S1168" s="1"/>
      <c r="T1168" s="1"/>
      <c r="U1168" s="1"/>
      <c r="V1168" s="16"/>
      <c r="W1168" s="1"/>
      <c r="X1168" s="1"/>
    </row>
    <row r="1169" spans="1:24">
      <c r="A1169" s="1"/>
      <c r="M1169" s="26"/>
      <c r="N1169" s="26"/>
      <c r="P1169" s="1"/>
      <c r="Q1169" s="1"/>
      <c r="R1169" s="1"/>
      <c r="S1169" s="1"/>
      <c r="T1169" s="1"/>
      <c r="U1169" s="1"/>
      <c r="V1169" s="16"/>
      <c r="W1169" s="1"/>
      <c r="X1169" s="1"/>
    </row>
    <row r="1170" spans="1:24">
      <c r="A1170" s="1"/>
      <c r="M1170" s="26"/>
      <c r="N1170" s="26"/>
      <c r="P1170" s="1"/>
      <c r="Q1170" s="1"/>
      <c r="R1170" s="1"/>
      <c r="S1170" s="1"/>
      <c r="T1170" s="1"/>
      <c r="U1170" s="1"/>
      <c r="V1170" s="16"/>
      <c r="W1170" s="1"/>
      <c r="X1170" s="1"/>
    </row>
    <row r="1171" spans="1:24">
      <c r="A1171" s="1"/>
      <c r="M1171" s="26"/>
      <c r="N1171" s="26"/>
      <c r="P1171" s="1"/>
      <c r="Q1171" s="1"/>
      <c r="R1171" s="1"/>
      <c r="S1171" s="1"/>
      <c r="T1171" s="1"/>
      <c r="U1171" s="1"/>
      <c r="V1171" s="16"/>
      <c r="W1171" s="1"/>
      <c r="X1171" s="1"/>
    </row>
    <row r="1172" spans="1:24">
      <c r="A1172" s="1"/>
      <c r="M1172" s="26"/>
      <c r="N1172" s="26"/>
      <c r="P1172" s="1"/>
      <c r="Q1172" s="1"/>
      <c r="R1172" s="1"/>
      <c r="S1172" s="1"/>
      <c r="T1172" s="1"/>
      <c r="U1172" s="1"/>
      <c r="V1172" s="16"/>
      <c r="W1172" s="1"/>
      <c r="X1172" s="1"/>
    </row>
    <row r="1173" spans="1:24">
      <c r="A1173" s="1"/>
      <c r="M1173" s="26"/>
      <c r="N1173" s="26"/>
      <c r="P1173" s="1"/>
      <c r="Q1173" s="1"/>
      <c r="R1173" s="1"/>
      <c r="S1173" s="1"/>
      <c r="T1173" s="1"/>
      <c r="U1173" s="1"/>
      <c r="V1173" s="16"/>
      <c r="W1173" s="1"/>
      <c r="X1173" s="1"/>
    </row>
    <row r="1174" spans="1:24">
      <c r="A1174" s="1"/>
      <c r="M1174" s="26"/>
      <c r="N1174" s="26"/>
      <c r="P1174" s="1"/>
      <c r="Q1174" s="1"/>
      <c r="R1174" s="1"/>
      <c r="S1174" s="1"/>
      <c r="T1174" s="1"/>
      <c r="U1174" s="1"/>
      <c r="V1174" s="16"/>
      <c r="W1174" s="1"/>
      <c r="X1174" s="1"/>
    </row>
    <row r="1175" spans="1:24">
      <c r="A1175" s="1"/>
      <c r="M1175" s="26"/>
      <c r="N1175" s="26"/>
      <c r="P1175" s="1"/>
      <c r="Q1175" s="1"/>
      <c r="R1175" s="1"/>
      <c r="S1175" s="1"/>
      <c r="T1175" s="1"/>
      <c r="U1175" s="1"/>
      <c r="V1175" s="16"/>
      <c r="W1175" s="1"/>
      <c r="X1175" s="1"/>
    </row>
    <row r="1176" spans="1:24">
      <c r="A1176" s="1"/>
      <c r="M1176" s="26"/>
      <c r="N1176" s="26"/>
      <c r="P1176" s="1"/>
      <c r="Q1176" s="1"/>
      <c r="R1176" s="1"/>
      <c r="S1176" s="1"/>
      <c r="T1176" s="1"/>
      <c r="U1176" s="1"/>
      <c r="V1176" s="16"/>
      <c r="W1176" s="1"/>
      <c r="X1176" s="1"/>
    </row>
    <row r="1177" spans="1:24">
      <c r="A1177" s="1"/>
      <c r="M1177" s="26"/>
      <c r="N1177" s="26"/>
      <c r="P1177" s="1"/>
      <c r="Q1177" s="1"/>
      <c r="R1177" s="1"/>
      <c r="S1177" s="1"/>
      <c r="T1177" s="1"/>
      <c r="U1177" s="1"/>
      <c r="V1177" s="16"/>
      <c r="W1177" s="1"/>
      <c r="X1177" s="1"/>
    </row>
    <row r="1178" spans="1:24">
      <c r="A1178" s="1"/>
      <c r="M1178" s="26"/>
      <c r="N1178" s="26"/>
      <c r="P1178" s="1"/>
      <c r="Q1178" s="1"/>
      <c r="R1178" s="1"/>
      <c r="S1178" s="1"/>
      <c r="T1178" s="1"/>
      <c r="U1178" s="1"/>
      <c r="V1178" s="16"/>
      <c r="W1178" s="1"/>
      <c r="X1178" s="1"/>
    </row>
    <row r="1179" spans="1:24">
      <c r="A1179" s="1"/>
      <c r="M1179" s="26"/>
      <c r="N1179" s="26"/>
      <c r="P1179" s="1"/>
      <c r="Q1179" s="1"/>
      <c r="R1179" s="1"/>
      <c r="S1179" s="1"/>
      <c r="T1179" s="1"/>
      <c r="U1179" s="1"/>
      <c r="V1179" s="16"/>
      <c r="W1179" s="1"/>
      <c r="X1179" s="1"/>
    </row>
    <row r="1180" spans="1:24">
      <c r="A1180" s="1"/>
      <c r="M1180" s="26"/>
      <c r="N1180" s="26"/>
      <c r="P1180" s="1"/>
      <c r="Q1180" s="1"/>
      <c r="R1180" s="1"/>
      <c r="S1180" s="1"/>
      <c r="T1180" s="1"/>
      <c r="U1180" s="1"/>
      <c r="V1180" s="16"/>
      <c r="W1180" s="1"/>
      <c r="X1180" s="1"/>
    </row>
    <row r="1181" spans="1:24">
      <c r="A1181" s="1"/>
      <c r="M1181" s="26"/>
      <c r="N1181" s="26"/>
      <c r="P1181" s="1"/>
      <c r="Q1181" s="1"/>
      <c r="R1181" s="1"/>
      <c r="S1181" s="1"/>
      <c r="T1181" s="1"/>
      <c r="U1181" s="1"/>
      <c r="V1181" s="16"/>
      <c r="W1181" s="1"/>
      <c r="X1181" s="1"/>
    </row>
    <row r="1182" spans="1:24">
      <c r="A1182" s="1"/>
      <c r="M1182" s="26"/>
      <c r="N1182" s="26"/>
      <c r="P1182" s="1"/>
      <c r="Q1182" s="1"/>
      <c r="R1182" s="1"/>
      <c r="S1182" s="1"/>
      <c r="T1182" s="1"/>
      <c r="U1182" s="1"/>
      <c r="V1182" s="16"/>
      <c r="W1182" s="1"/>
      <c r="X1182" s="1"/>
    </row>
    <row r="1183" spans="1:24">
      <c r="A1183" s="1"/>
      <c r="M1183" s="26"/>
      <c r="N1183" s="26"/>
      <c r="P1183" s="1"/>
      <c r="Q1183" s="1"/>
      <c r="R1183" s="1"/>
      <c r="S1183" s="1"/>
      <c r="T1183" s="1"/>
      <c r="U1183" s="1"/>
      <c r="V1183" s="16"/>
      <c r="W1183" s="1"/>
      <c r="X1183" s="1"/>
    </row>
    <row r="1184" spans="1:24">
      <c r="A1184" s="1"/>
      <c r="M1184" s="26"/>
      <c r="N1184" s="26"/>
      <c r="P1184" s="1"/>
      <c r="Q1184" s="1"/>
      <c r="R1184" s="1"/>
      <c r="S1184" s="1"/>
      <c r="T1184" s="1"/>
      <c r="U1184" s="1"/>
      <c r="V1184" s="16"/>
      <c r="W1184" s="1"/>
      <c r="X1184" s="1"/>
    </row>
    <row r="1185" spans="1:24">
      <c r="A1185" s="1"/>
      <c r="M1185" s="26"/>
      <c r="N1185" s="26"/>
      <c r="P1185" s="1"/>
      <c r="Q1185" s="1"/>
      <c r="R1185" s="1"/>
      <c r="S1185" s="1"/>
      <c r="T1185" s="1"/>
      <c r="U1185" s="1"/>
      <c r="V1185" s="16"/>
      <c r="W1185" s="1"/>
      <c r="X1185" s="1"/>
    </row>
    <row r="1186" spans="1:24">
      <c r="A1186" s="1"/>
      <c r="M1186" s="26"/>
      <c r="N1186" s="26"/>
      <c r="P1186" s="1"/>
      <c r="Q1186" s="1"/>
      <c r="R1186" s="1"/>
      <c r="S1186" s="1"/>
      <c r="T1186" s="1"/>
      <c r="U1186" s="1"/>
      <c r="V1186" s="16"/>
      <c r="W1186" s="1"/>
      <c r="X1186" s="1"/>
    </row>
    <row r="1187" spans="1:24">
      <c r="A1187" s="1"/>
      <c r="M1187" s="26"/>
      <c r="N1187" s="26"/>
      <c r="P1187" s="1"/>
      <c r="Q1187" s="1"/>
      <c r="R1187" s="1"/>
      <c r="S1187" s="1"/>
      <c r="T1187" s="1"/>
      <c r="U1187" s="1"/>
      <c r="V1187" s="16"/>
      <c r="W1187" s="1"/>
      <c r="X1187" s="1"/>
    </row>
    <row r="1188" spans="1:24">
      <c r="A1188" s="1"/>
      <c r="M1188" s="26"/>
      <c r="N1188" s="26"/>
      <c r="P1188" s="1"/>
      <c r="Q1188" s="1"/>
      <c r="R1188" s="1"/>
      <c r="S1188" s="1"/>
      <c r="T1188" s="1"/>
      <c r="U1188" s="1"/>
      <c r="V1188" s="16"/>
      <c r="W1188" s="1"/>
      <c r="X1188" s="1"/>
    </row>
    <row r="1189" spans="1:24">
      <c r="A1189" s="1"/>
      <c r="M1189" s="26"/>
      <c r="N1189" s="26"/>
      <c r="P1189" s="1"/>
      <c r="Q1189" s="1"/>
      <c r="R1189" s="1"/>
      <c r="S1189" s="1"/>
      <c r="T1189" s="1"/>
      <c r="U1189" s="1"/>
      <c r="V1189" s="16"/>
      <c r="W1189" s="1"/>
      <c r="X1189" s="1"/>
    </row>
    <row r="1190" spans="1:24">
      <c r="A1190" s="1"/>
      <c r="M1190" s="26"/>
      <c r="N1190" s="26"/>
      <c r="P1190" s="1"/>
      <c r="Q1190" s="1"/>
      <c r="R1190" s="1"/>
      <c r="S1190" s="1"/>
      <c r="T1190" s="1"/>
      <c r="U1190" s="1"/>
      <c r="V1190" s="16"/>
      <c r="W1190" s="1"/>
      <c r="X1190" s="1"/>
    </row>
    <row r="1191" spans="1:24">
      <c r="A1191" s="1"/>
      <c r="M1191" s="26"/>
      <c r="N1191" s="26"/>
      <c r="P1191" s="1"/>
      <c r="Q1191" s="1"/>
      <c r="R1191" s="1"/>
      <c r="S1191" s="1"/>
      <c r="T1191" s="1"/>
      <c r="U1191" s="1"/>
      <c r="V1191" s="16"/>
      <c r="W1191" s="1"/>
      <c r="X1191" s="1"/>
    </row>
    <row r="1192" spans="1:24">
      <c r="A1192" s="1"/>
      <c r="M1192" s="26"/>
      <c r="N1192" s="26"/>
      <c r="P1192" s="1"/>
      <c r="Q1192" s="1"/>
      <c r="R1192" s="1"/>
      <c r="S1192" s="1"/>
      <c r="T1192" s="1"/>
      <c r="U1192" s="1"/>
      <c r="V1192" s="16"/>
      <c r="W1192" s="1"/>
      <c r="X1192" s="1"/>
    </row>
    <row r="1193" spans="1:24">
      <c r="A1193" s="1"/>
      <c r="M1193" s="26"/>
      <c r="N1193" s="26"/>
      <c r="P1193" s="1"/>
      <c r="Q1193" s="1"/>
      <c r="R1193" s="1"/>
      <c r="S1193" s="1"/>
      <c r="T1193" s="1"/>
      <c r="U1193" s="1"/>
      <c r="V1193" s="16"/>
      <c r="W1193" s="1"/>
      <c r="X1193" s="1"/>
    </row>
    <row r="1194" spans="1:24">
      <c r="A1194" s="1"/>
      <c r="M1194" s="26"/>
      <c r="N1194" s="26"/>
      <c r="P1194" s="1"/>
      <c r="Q1194" s="1"/>
      <c r="R1194" s="1"/>
      <c r="S1194" s="1"/>
      <c r="T1194" s="1"/>
      <c r="U1194" s="1"/>
      <c r="V1194" s="16"/>
      <c r="W1194" s="1"/>
      <c r="X1194" s="1"/>
    </row>
    <row r="1195" spans="1:24">
      <c r="A1195" s="1"/>
      <c r="M1195" s="26"/>
      <c r="N1195" s="26"/>
      <c r="P1195" s="1"/>
      <c r="Q1195" s="1"/>
      <c r="R1195" s="1"/>
      <c r="S1195" s="1"/>
      <c r="T1195" s="1"/>
      <c r="U1195" s="1"/>
      <c r="V1195" s="16"/>
      <c r="W1195" s="1"/>
      <c r="X1195" s="1"/>
    </row>
    <row r="1196" spans="1:24">
      <c r="A1196" s="1"/>
      <c r="M1196" s="26"/>
      <c r="N1196" s="26"/>
      <c r="P1196" s="1"/>
      <c r="Q1196" s="1"/>
      <c r="R1196" s="1"/>
      <c r="S1196" s="1"/>
      <c r="T1196" s="1"/>
      <c r="U1196" s="1"/>
      <c r="V1196" s="16"/>
      <c r="W1196" s="1"/>
      <c r="X1196" s="1"/>
    </row>
    <row r="1197" spans="1:24">
      <c r="A1197" s="1"/>
      <c r="M1197" s="26"/>
      <c r="N1197" s="26"/>
      <c r="P1197" s="1"/>
      <c r="Q1197" s="1"/>
      <c r="R1197" s="1"/>
      <c r="S1197" s="1"/>
      <c r="T1197" s="1"/>
      <c r="U1197" s="1"/>
      <c r="V1197" s="16"/>
      <c r="W1197" s="1"/>
      <c r="X1197" s="1"/>
    </row>
    <row r="1198" spans="1:24">
      <c r="A1198" s="1"/>
      <c r="M1198" s="26"/>
      <c r="N1198" s="26"/>
      <c r="P1198" s="1"/>
      <c r="Q1198" s="1"/>
      <c r="R1198" s="1"/>
      <c r="S1198" s="1"/>
      <c r="T1198" s="1"/>
      <c r="U1198" s="1"/>
      <c r="V1198" s="16"/>
      <c r="W1198" s="1"/>
      <c r="X1198" s="1"/>
    </row>
    <row r="1199" spans="1:24">
      <c r="A1199" s="1"/>
      <c r="M1199" s="26"/>
      <c r="N1199" s="26"/>
      <c r="P1199" s="1"/>
      <c r="Q1199" s="1"/>
      <c r="R1199" s="1"/>
      <c r="S1199" s="1"/>
      <c r="T1199" s="1"/>
      <c r="U1199" s="1"/>
      <c r="V1199" s="16"/>
      <c r="W1199" s="1"/>
      <c r="X1199" s="1"/>
    </row>
    <row r="1200" spans="1:24">
      <c r="A1200" s="1"/>
      <c r="M1200" s="26"/>
      <c r="N1200" s="26"/>
      <c r="P1200" s="1"/>
      <c r="Q1200" s="1"/>
      <c r="R1200" s="1"/>
      <c r="S1200" s="1"/>
      <c r="T1200" s="1"/>
      <c r="U1200" s="1"/>
      <c r="V1200" s="16"/>
      <c r="W1200" s="1"/>
      <c r="X1200" s="1"/>
    </row>
    <row r="1201" spans="1:24">
      <c r="A1201" s="1"/>
      <c r="M1201" s="26"/>
      <c r="N1201" s="26"/>
      <c r="P1201" s="1"/>
      <c r="Q1201" s="1"/>
      <c r="R1201" s="1"/>
      <c r="S1201" s="1"/>
      <c r="T1201" s="1"/>
      <c r="U1201" s="1"/>
      <c r="V1201" s="16"/>
      <c r="W1201" s="1"/>
      <c r="X1201" s="1"/>
    </row>
    <row r="1202" spans="1:24">
      <c r="A1202" s="1"/>
      <c r="M1202" s="26"/>
      <c r="N1202" s="26"/>
      <c r="P1202" s="1"/>
      <c r="Q1202" s="1"/>
      <c r="R1202" s="1"/>
      <c r="S1202" s="1"/>
      <c r="T1202" s="1"/>
      <c r="U1202" s="1"/>
      <c r="V1202" s="16"/>
      <c r="W1202" s="1"/>
      <c r="X1202" s="1"/>
    </row>
    <row r="1203" spans="1:24">
      <c r="A1203" s="1"/>
      <c r="M1203" s="26"/>
      <c r="N1203" s="26"/>
      <c r="P1203" s="1"/>
      <c r="Q1203" s="1"/>
      <c r="R1203" s="1"/>
      <c r="S1203" s="1"/>
      <c r="T1203" s="1"/>
      <c r="U1203" s="1"/>
      <c r="V1203" s="16"/>
      <c r="W1203" s="1"/>
      <c r="X1203" s="1"/>
    </row>
    <row r="1204" spans="1:24">
      <c r="A1204" s="1"/>
      <c r="M1204" s="26"/>
      <c r="N1204" s="26"/>
      <c r="P1204" s="1"/>
      <c r="Q1204" s="1"/>
      <c r="R1204" s="1"/>
      <c r="S1204" s="1"/>
      <c r="T1204" s="1"/>
      <c r="U1204" s="1"/>
      <c r="V1204" s="16"/>
      <c r="W1204" s="1"/>
      <c r="X1204" s="1"/>
    </row>
    <row r="1205" spans="1:24">
      <c r="A1205" s="1"/>
      <c r="M1205" s="26"/>
      <c r="N1205" s="26"/>
      <c r="P1205" s="1"/>
      <c r="Q1205" s="1"/>
      <c r="R1205" s="1"/>
      <c r="S1205" s="1"/>
      <c r="T1205" s="1"/>
      <c r="U1205" s="1"/>
      <c r="V1205" s="16"/>
      <c r="W1205" s="1"/>
      <c r="X1205" s="1"/>
    </row>
    <row r="1206" spans="1:24">
      <c r="A1206" s="1"/>
      <c r="M1206" s="26"/>
      <c r="N1206" s="26"/>
      <c r="P1206" s="1"/>
      <c r="Q1206" s="1"/>
      <c r="R1206" s="1"/>
      <c r="S1206" s="1"/>
      <c r="T1206" s="1"/>
      <c r="U1206" s="1"/>
      <c r="V1206" s="16"/>
      <c r="W1206" s="1"/>
      <c r="X1206" s="1"/>
    </row>
    <row r="1207" spans="1:24">
      <c r="A1207" s="1"/>
      <c r="M1207" s="26"/>
      <c r="N1207" s="26"/>
      <c r="P1207" s="1"/>
      <c r="Q1207" s="1"/>
      <c r="R1207" s="1"/>
      <c r="S1207" s="1"/>
      <c r="T1207" s="1"/>
      <c r="U1207" s="1"/>
      <c r="V1207" s="16"/>
      <c r="W1207" s="1"/>
      <c r="X1207" s="1"/>
    </row>
    <row r="1208" spans="1:24">
      <c r="A1208" s="1"/>
      <c r="M1208" s="26"/>
      <c r="N1208" s="26"/>
      <c r="P1208" s="1"/>
      <c r="Q1208" s="1"/>
      <c r="R1208" s="1"/>
      <c r="S1208" s="1"/>
      <c r="T1208" s="1"/>
      <c r="U1208" s="1"/>
      <c r="V1208" s="16"/>
      <c r="W1208" s="1"/>
      <c r="X1208" s="1"/>
    </row>
    <row r="1209" spans="1:24">
      <c r="A1209" s="1"/>
      <c r="M1209" s="26"/>
      <c r="N1209" s="26"/>
      <c r="P1209" s="1"/>
      <c r="Q1209" s="1"/>
      <c r="R1209" s="1"/>
      <c r="S1209" s="1"/>
      <c r="T1209" s="1"/>
      <c r="U1209" s="1"/>
      <c r="V1209" s="16"/>
      <c r="W1209" s="1"/>
      <c r="X1209" s="1"/>
    </row>
    <row r="1210" spans="1:24">
      <c r="A1210" s="1"/>
      <c r="M1210" s="26"/>
      <c r="N1210" s="26"/>
      <c r="P1210" s="1"/>
      <c r="Q1210" s="1"/>
      <c r="R1210" s="1"/>
      <c r="S1210" s="1"/>
      <c r="T1210" s="1"/>
      <c r="U1210" s="1"/>
      <c r="V1210" s="16"/>
      <c r="W1210" s="1"/>
      <c r="X1210" s="1"/>
    </row>
    <row r="1211" spans="1:24">
      <c r="A1211" s="1"/>
      <c r="M1211" s="26"/>
      <c r="N1211" s="26"/>
      <c r="P1211" s="1"/>
      <c r="Q1211" s="1"/>
      <c r="R1211" s="1"/>
      <c r="S1211" s="1"/>
      <c r="T1211" s="1"/>
      <c r="U1211" s="1"/>
      <c r="V1211" s="16"/>
      <c r="W1211" s="1"/>
      <c r="X1211" s="1"/>
    </row>
    <row r="1212" spans="1:24">
      <c r="A1212" s="1"/>
      <c r="M1212" s="26"/>
      <c r="N1212" s="26"/>
      <c r="P1212" s="1"/>
      <c r="Q1212" s="1"/>
      <c r="R1212" s="1"/>
      <c r="S1212" s="1"/>
      <c r="T1212" s="1"/>
      <c r="U1212" s="1"/>
      <c r="V1212" s="16"/>
      <c r="W1212" s="1"/>
      <c r="X1212" s="1"/>
    </row>
    <row r="1213" spans="1:24">
      <c r="A1213" s="1"/>
      <c r="M1213" s="26"/>
      <c r="N1213" s="26"/>
      <c r="P1213" s="1"/>
      <c r="Q1213" s="1"/>
      <c r="R1213" s="1"/>
      <c r="S1213" s="1"/>
      <c r="T1213" s="1"/>
      <c r="U1213" s="1"/>
      <c r="V1213" s="16"/>
      <c r="W1213" s="1"/>
      <c r="X1213" s="1"/>
    </row>
    <row r="1214" spans="1:24">
      <c r="A1214" s="1"/>
      <c r="M1214" s="26"/>
      <c r="N1214" s="26"/>
      <c r="P1214" s="1"/>
      <c r="Q1214" s="1"/>
      <c r="R1214" s="1"/>
      <c r="S1214" s="1"/>
      <c r="T1214" s="1"/>
      <c r="U1214" s="1"/>
      <c r="V1214" s="16"/>
      <c r="W1214" s="1"/>
      <c r="X1214" s="1"/>
    </row>
    <row r="1215" spans="1:24">
      <c r="A1215" s="1"/>
      <c r="M1215" s="26"/>
      <c r="N1215" s="26"/>
      <c r="P1215" s="1"/>
      <c r="Q1215" s="1"/>
      <c r="R1215" s="1"/>
      <c r="S1215" s="1"/>
      <c r="T1215" s="1"/>
      <c r="U1215" s="1"/>
      <c r="V1215" s="16"/>
      <c r="W1215" s="1"/>
      <c r="X1215" s="1"/>
    </row>
    <row r="1216" spans="1:24">
      <c r="A1216" s="1"/>
      <c r="M1216" s="26"/>
      <c r="N1216" s="26"/>
      <c r="P1216" s="1"/>
      <c r="Q1216" s="1"/>
      <c r="R1216" s="1"/>
      <c r="S1216" s="1"/>
      <c r="T1216" s="1"/>
      <c r="U1216" s="1"/>
      <c r="V1216" s="16"/>
      <c r="W1216" s="1"/>
      <c r="X1216" s="1"/>
    </row>
    <row r="1217" spans="1:24">
      <c r="A1217" s="1"/>
      <c r="M1217" s="26"/>
      <c r="N1217" s="26"/>
      <c r="P1217" s="1"/>
      <c r="Q1217" s="1"/>
      <c r="R1217" s="1"/>
      <c r="S1217" s="1"/>
      <c r="T1217" s="1"/>
      <c r="U1217" s="1"/>
      <c r="V1217" s="16"/>
      <c r="W1217" s="1"/>
      <c r="X1217" s="1"/>
    </row>
    <row r="1218" spans="1:24">
      <c r="A1218" s="1"/>
      <c r="M1218" s="26"/>
      <c r="N1218" s="26"/>
      <c r="P1218" s="1"/>
      <c r="Q1218" s="1"/>
      <c r="R1218" s="1"/>
      <c r="S1218" s="1"/>
      <c r="T1218" s="1"/>
      <c r="U1218" s="1"/>
      <c r="V1218" s="16"/>
      <c r="W1218" s="1"/>
      <c r="X1218" s="1"/>
    </row>
    <row r="1219" spans="1:24">
      <c r="A1219" s="1"/>
      <c r="M1219" s="26"/>
      <c r="N1219" s="26"/>
      <c r="P1219" s="1"/>
      <c r="Q1219" s="1"/>
      <c r="R1219" s="1"/>
      <c r="S1219" s="1"/>
      <c r="T1219" s="1"/>
      <c r="U1219" s="1"/>
      <c r="V1219" s="16"/>
      <c r="W1219" s="1"/>
      <c r="X1219" s="1"/>
    </row>
    <row r="1220" spans="1:24">
      <c r="A1220" s="1"/>
      <c r="M1220" s="26"/>
      <c r="N1220" s="26"/>
      <c r="P1220" s="1"/>
      <c r="Q1220" s="1"/>
      <c r="R1220" s="1"/>
      <c r="S1220" s="1"/>
      <c r="T1220" s="1"/>
      <c r="U1220" s="1"/>
      <c r="V1220" s="16"/>
      <c r="W1220" s="1"/>
      <c r="X1220" s="1"/>
    </row>
    <row r="1221" spans="1:24">
      <c r="A1221" s="1"/>
      <c r="M1221" s="26"/>
      <c r="N1221" s="26"/>
      <c r="P1221" s="1"/>
      <c r="Q1221" s="1"/>
      <c r="R1221" s="1"/>
      <c r="S1221" s="1"/>
      <c r="T1221" s="1"/>
      <c r="U1221" s="1"/>
      <c r="V1221" s="16"/>
      <c r="W1221" s="1"/>
      <c r="X1221" s="1"/>
    </row>
    <row r="1222" spans="1:24">
      <c r="A1222" s="1"/>
      <c r="M1222" s="26"/>
      <c r="N1222" s="26"/>
      <c r="P1222" s="1"/>
      <c r="Q1222" s="1"/>
      <c r="R1222" s="1"/>
      <c r="S1222" s="1"/>
      <c r="T1222" s="1"/>
      <c r="U1222" s="1"/>
      <c r="V1222" s="16"/>
      <c r="W1222" s="1"/>
      <c r="X1222" s="1"/>
    </row>
    <row r="1223" spans="1:24">
      <c r="A1223" s="1"/>
      <c r="M1223" s="26"/>
      <c r="N1223" s="26"/>
      <c r="P1223" s="1"/>
      <c r="Q1223" s="1"/>
      <c r="R1223" s="1"/>
      <c r="S1223" s="1"/>
      <c r="T1223" s="1"/>
      <c r="U1223" s="1"/>
      <c r="V1223" s="16"/>
      <c r="W1223" s="1"/>
      <c r="X1223" s="1"/>
    </row>
    <row r="1224" spans="1:24">
      <c r="A1224" s="1"/>
      <c r="M1224" s="26"/>
      <c r="N1224" s="26"/>
      <c r="P1224" s="1"/>
      <c r="Q1224" s="1"/>
      <c r="R1224" s="1"/>
      <c r="S1224" s="1"/>
      <c r="T1224" s="1"/>
      <c r="U1224" s="1"/>
      <c r="V1224" s="16"/>
      <c r="W1224" s="1"/>
      <c r="X1224" s="1"/>
    </row>
    <row r="1225" spans="1:24">
      <c r="A1225" s="1"/>
      <c r="M1225" s="26"/>
      <c r="N1225" s="26"/>
      <c r="P1225" s="1"/>
      <c r="Q1225" s="1"/>
      <c r="R1225" s="1"/>
      <c r="S1225" s="1"/>
      <c r="T1225" s="1"/>
      <c r="U1225" s="1"/>
      <c r="V1225" s="16"/>
      <c r="W1225" s="1"/>
      <c r="X1225" s="1"/>
    </row>
    <row r="1226" spans="1:24">
      <c r="A1226" s="1"/>
      <c r="M1226" s="26"/>
      <c r="N1226" s="26"/>
      <c r="P1226" s="1"/>
      <c r="Q1226" s="1"/>
      <c r="R1226" s="1"/>
      <c r="S1226" s="1"/>
      <c r="T1226" s="1"/>
      <c r="U1226" s="1"/>
      <c r="V1226" s="16"/>
      <c r="W1226" s="1"/>
      <c r="X1226" s="1"/>
    </row>
    <row r="1227" spans="1:24">
      <c r="A1227" s="1"/>
      <c r="M1227" s="26"/>
      <c r="N1227" s="26"/>
      <c r="P1227" s="1"/>
      <c r="Q1227" s="1"/>
      <c r="R1227" s="1"/>
      <c r="S1227" s="1"/>
      <c r="T1227" s="1"/>
      <c r="U1227" s="1"/>
      <c r="V1227" s="16"/>
      <c r="W1227" s="1"/>
      <c r="X1227" s="1"/>
    </row>
    <row r="1228" spans="1:24">
      <c r="A1228" s="1"/>
      <c r="M1228" s="26"/>
      <c r="N1228" s="26"/>
      <c r="P1228" s="1"/>
      <c r="Q1228" s="1"/>
      <c r="R1228" s="1"/>
      <c r="S1228" s="1"/>
      <c r="T1228" s="1"/>
      <c r="U1228" s="1"/>
      <c r="V1228" s="16"/>
      <c r="W1228" s="1"/>
      <c r="X1228" s="1"/>
    </row>
    <row r="1229" spans="1:24">
      <c r="A1229" s="1"/>
      <c r="M1229" s="26"/>
      <c r="N1229" s="26"/>
      <c r="P1229" s="1"/>
      <c r="Q1229" s="1"/>
      <c r="R1229" s="1"/>
      <c r="S1229" s="1"/>
      <c r="T1229" s="1"/>
      <c r="U1229" s="1"/>
      <c r="V1229" s="16"/>
      <c r="W1229" s="1"/>
      <c r="X1229" s="1"/>
    </row>
    <row r="1230" spans="1:24">
      <c r="A1230" s="1"/>
      <c r="M1230" s="26"/>
      <c r="N1230" s="26"/>
      <c r="P1230" s="1"/>
      <c r="Q1230" s="1"/>
      <c r="R1230" s="1"/>
      <c r="S1230" s="1"/>
      <c r="T1230" s="1"/>
      <c r="U1230" s="1"/>
      <c r="V1230" s="16"/>
      <c r="W1230" s="1"/>
      <c r="X1230" s="1"/>
    </row>
    <row r="1231" spans="1:24">
      <c r="A1231" s="1"/>
      <c r="M1231" s="26"/>
      <c r="N1231" s="26"/>
      <c r="P1231" s="1"/>
      <c r="Q1231" s="1"/>
      <c r="R1231" s="1"/>
      <c r="S1231" s="1"/>
      <c r="T1231" s="1"/>
      <c r="U1231" s="1"/>
      <c r="V1231" s="16"/>
      <c r="W1231" s="1"/>
      <c r="X1231" s="1"/>
    </row>
    <row r="1232" spans="1:24">
      <c r="A1232" s="1"/>
      <c r="M1232" s="26"/>
      <c r="N1232" s="26"/>
      <c r="P1232" s="1"/>
      <c r="Q1232" s="1"/>
      <c r="R1232" s="1"/>
      <c r="S1232" s="1"/>
      <c r="T1232" s="1"/>
      <c r="U1232" s="1"/>
      <c r="V1232" s="16"/>
      <c r="W1232" s="1"/>
      <c r="X1232" s="1"/>
    </row>
    <row r="1233" spans="1:24">
      <c r="A1233" s="1"/>
      <c r="M1233" s="26"/>
      <c r="N1233" s="26"/>
      <c r="P1233" s="1"/>
      <c r="Q1233" s="1"/>
      <c r="R1233" s="1"/>
      <c r="S1233" s="1"/>
      <c r="T1233" s="1"/>
      <c r="U1233" s="1"/>
      <c r="V1233" s="16"/>
      <c r="W1233" s="1"/>
      <c r="X1233" s="1"/>
    </row>
    <row r="1234" spans="1:24">
      <c r="A1234" s="1"/>
      <c r="M1234" s="26"/>
      <c r="N1234" s="26"/>
      <c r="P1234" s="1"/>
      <c r="Q1234" s="1"/>
      <c r="R1234" s="1"/>
      <c r="S1234" s="1"/>
      <c r="T1234" s="1"/>
      <c r="U1234" s="1"/>
      <c r="V1234" s="16"/>
      <c r="W1234" s="1"/>
      <c r="X1234" s="1"/>
    </row>
    <row r="1235" spans="1:24">
      <c r="A1235" s="1"/>
      <c r="M1235" s="26"/>
      <c r="N1235" s="26"/>
      <c r="P1235" s="1"/>
      <c r="Q1235" s="1"/>
      <c r="R1235" s="1"/>
      <c r="S1235" s="1"/>
      <c r="T1235" s="1"/>
      <c r="U1235" s="1"/>
      <c r="V1235" s="16"/>
      <c r="W1235" s="1"/>
      <c r="X1235" s="1"/>
    </row>
    <row r="1236" spans="1:24">
      <c r="A1236" s="1"/>
      <c r="M1236" s="26"/>
      <c r="N1236" s="26"/>
      <c r="P1236" s="1"/>
      <c r="Q1236" s="1"/>
      <c r="R1236" s="1"/>
      <c r="S1236" s="1"/>
      <c r="T1236" s="1"/>
      <c r="U1236" s="1"/>
      <c r="V1236" s="16"/>
      <c r="W1236" s="1"/>
      <c r="X1236" s="1"/>
    </row>
    <row r="1237" spans="1:24">
      <c r="A1237" s="1"/>
      <c r="M1237" s="26"/>
      <c r="N1237" s="26"/>
      <c r="P1237" s="1"/>
      <c r="Q1237" s="1"/>
      <c r="R1237" s="1"/>
      <c r="S1237" s="1"/>
      <c r="T1237" s="1"/>
      <c r="U1237" s="1"/>
      <c r="V1237" s="16"/>
      <c r="W1237" s="1"/>
      <c r="X1237" s="1"/>
    </row>
    <row r="1238" spans="1:24">
      <c r="A1238" s="1"/>
      <c r="M1238" s="26"/>
      <c r="N1238" s="26"/>
      <c r="P1238" s="1"/>
      <c r="Q1238" s="1"/>
      <c r="R1238" s="1"/>
      <c r="S1238" s="1"/>
      <c r="T1238" s="1"/>
      <c r="U1238" s="1"/>
      <c r="V1238" s="16"/>
      <c r="W1238" s="1"/>
      <c r="X1238" s="1"/>
    </row>
    <row r="1239" spans="1:24">
      <c r="A1239" s="1"/>
      <c r="M1239" s="26"/>
      <c r="N1239" s="26"/>
      <c r="P1239" s="1"/>
      <c r="Q1239" s="1"/>
      <c r="R1239" s="1"/>
      <c r="S1239" s="1"/>
      <c r="T1239" s="1"/>
      <c r="U1239" s="1"/>
      <c r="V1239" s="16"/>
      <c r="W1239" s="1"/>
      <c r="X1239" s="1"/>
    </row>
    <row r="1240" spans="1:24">
      <c r="A1240" s="1"/>
      <c r="M1240" s="26"/>
      <c r="N1240" s="26"/>
      <c r="P1240" s="1"/>
      <c r="Q1240" s="1"/>
      <c r="R1240" s="1"/>
      <c r="S1240" s="1"/>
      <c r="T1240" s="1"/>
      <c r="U1240" s="1"/>
      <c r="V1240" s="16"/>
      <c r="W1240" s="1"/>
      <c r="X1240" s="1"/>
    </row>
    <row r="1241" spans="1:24">
      <c r="A1241" s="1"/>
      <c r="M1241" s="26"/>
      <c r="N1241" s="26"/>
      <c r="P1241" s="1"/>
      <c r="Q1241" s="1"/>
      <c r="R1241" s="1"/>
      <c r="S1241" s="1"/>
      <c r="T1241" s="1"/>
      <c r="U1241" s="1"/>
      <c r="V1241" s="16"/>
      <c r="W1241" s="1"/>
      <c r="X1241" s="1"/>
    </row>
    <row r="1242" spans="1:24">
      <c r="A1242" s="1"/>
      <c r="M1242" s="26"/>
      <c r="N1242" s="26"/>
      <c r="P1242" s="1"/>
      <c r="Q1242" s="1"/>
      <c r="R1242" s="1"/>
      <c r="S1242" s="1"/>
      <c r="T1242" s="1"/>
      <c r="U1242" s="1"/>
      <c r="V1242" s="16"/>
      <c r="W1242" s="1"/>
      <c r="X1242" s="1"/>
    </row>
    <row r="1243" spans="1:24">
      <c r="A1243" s="1"/>
      <c r="M1243" s="26"/>
      <c r="N1243" s="26"/>
      <c r="P1243" s="1"/>
      <c r="Q1243" s="1"/>
      <c r="R1243" s="1"/>
      <c r="S1243" s="1"/>
      <c r="T1243" s="1"/>
      <c r="U1243" s="1"/>
      <c r="V1243" s="16"/>
      <c r="W1243" s="1"/>
      <c r="X1243" s="1"/>
    </row>
    <row r="1244" spans="1:24">
      <c r="A1244" s="1"/>
      <c r="M1244" s="26"/>
      <c r="N1244" s="26"/>
      <c r="P1244" s="1"/>
      <c r="Q1244" s="1"/>
      <c r="R1244" s="1"/>
      <c r="S1244" s="1"/>
      <c r="T1244" s="1"/>
      <c r="U1244" s="1"/>
      <c r="V1244" s="16"/>
      <c r="W1244" s="1"/>
      <c r="X1244" s="1"/>
    </row>
    <row r="1245" spans="1:24">
      <c r="A1245" s="1"/>
      <c r="M1245" s="26"/>
      <c r="N1245" s="26"/>
      <c r="P1245" s="1"/>
      <c r="Q1245" s="1"/>
      <c r="R1245" s="1"/>
      <c r="S1245" s="1"/>
      <c r="T1245" s="1"/>
      <c r="U1245" s="1"/>
      <c r="V1245" s="16"/>
      <c r="W1245" s="1"/>
      <c r="X1245" s="1"/>
    </row>
    <row r="1246" spans="1:24">
      <c r="A1246" s="1"/>
      <c r="M1246" s="26"/>
      <c r="N1246" s="26"/>
      <c r="P1246" s="1"/>
      <c r="Q1246" s="1"/>
      <c r="R1246" s="1"/>
      <c r="S1246" s="1"/>
      <c r="T1246" s="1"/>
      <c r="U1246" s="1"/>
      <c r="V1246" s="16"/>
      <c r="W1246" s="1"/>
      <c r="X1246" s="1"/>
    </row>
    <row r="1247" spans="1:24">
      <c r="A1247" s="1"/>
      <c r="M1247" s="26"/>
      <c r="N1247" s="26"/>
      <c r="P1247" s="1"/>
      <c r="Q1247" s="1"/>
      <c r="R1247" s="1"/>
      <c r="S1247" s="1"/>
      <c r="T1247" s="1"/>
      <c r="U1247" s="1"/>
      <c r="V1247" s="16"/>
      <c r="W1247" s="1"/>
      <c r="X1247" s="1"/>
    </row>
    <row r="1248" spans="1:24">
      <c r="A1248" s="1"/>
      <c r="M1248" s="26"/>
      <c r="N1248" s="26"/>
      <c r="P1248" s="1"/>
      <c r="Q1248" s="1"/>
      <c r="R1248" s="1"/>
      <c r="S1248" s="1"/>
      <c r="T1248" s="1"/>
      <c r="U1248" s="1"/>
      <c r="V1248" s="16"/>
      <c r="W1248" s="1"/>
      <c r="X1248" s="1"/>
    </row>
    <row r="1249" spans="1:24">
      <c r="A1249" s="1"/>
      <c r="M1249" s="26"/>
      <c r="N1249" s="26"/>
      <c r="P1249" s="1"/>
      <c r="Q1249" s="1"/>
      <c r="R1249" s="1"/>
      <c r="S1249" s="1"/>
      <c r="T1249" s="1"/>
      <c r="U1249" s="1"/>
      <c r="V1249" s="16"/>
      <c r="W1249" s="1"/>
      <c r="X1249" s="1"/>
    </row>
    <row r="1250" spans="1:24">
      <c r="A1250" s="1"/>
      <c r="M1250" s="26"/>
      <c r="N1250" s="26"/>
      <c r="P1250" s="1"/>
      <c r="Q1250" s="1"/>
      <c r="R1250" s="1"/>
      <c r="S1250" s="1"/>
      <c r="T1250" s="1"/>
      <c r="U1250" s="1"/>
      <c r="V1250" s="16"/>
      <c r="W1250" s="1"/>
      <c r="X1250" s="1"/>
    </row>
    <row r="1251" spans="1:24">
      <c r="A1251" s="1"/>
      <c r="M1251" s="26"/>
      <c r="N1251" s="26"/>
      <c r="P1251" s="1"/>
      <c r="Q1251" s="1"/>
      <c r="R1251" s="1"/>
      <c r="S1251" s="1"/>
      <c r="T1251" s="1"/>
      <c r="U1251" s="1"/>
      <c r="V1251" s="16"/>
      <c r="W1251" s="1"/>
      <c r="X1251" s="1"/>
    </row>
    <row r="1252" spans="1:24">
      <c r="A1252" s="1"/>
      <c r="M1252" s="26"/>
      <c r="N1252" s="26"/>
      <c r="P1252" s="1"/>
      <c r="Q1252" s="1"/>
      <c r="R1252" s="1"/>
      <c r="S1252" s="1"/>
      <c r="T1252" s="1"/>
      <c r="U1252" s="1"/>
      <c r="V1252" s="16"/>
      <c r="W1252" s="1"/>
      <c r="X1252" s="1"/>
    </row>
    <row r="1253" spans="1:24">
      <c r="A1253" s="1"/>
      <c r="M1253" s="26"/>
      <c r="N1253" s="26"/>
      <c r="P1253" s="1"/>
      <c r="Q1253" s="1"/>
      <c r="R1253" s="1"/>
      <c r="S1253" s="1"/>
      <c r="T1253" s="1"/>
      <c r="U1253" s="1"/>
      <c r="V1253" s="16"/>
      <c r="W1253" s="1"/>
      <c r="X1253" s="1"/>
    </row>
    <row r="1254" spans="1:24">
      <c r="A1254" s="1"/>
      <c r="M1254" s="26"/>
      <c r="N1254" s="26"/>
      <c r="P1254" s="1"/>
      <c r="Q1254" s="1"/>
      <c r="R1254" s="1"/>
      <c r="S1254" s="1"/>
      <c r="T1254" s="1"/>
      <c r="U1254" s="1"/>
      <c r="V1254" s="16"/>
      <c r="W1254" s="1"/>
      <c r="X1254" s="1"/>
    </row>
    <row r="1255" spans="1:24">
      <c r="A1255" s="1"/>
      <c r="M1255" s="26"/>
      <c r="N1255" s="26"/>
      <c r="P1255" s="1"/>
      <c r="Q1255" s="1"/>
      <c r="R1255" s="1"/>
      <c r="S1255" s="1"/>
      <c r="T1255" s="1"/>
      <c r="U1255" s="1"/>
      <c r="V1255" s="16"/>
      <c r="W1255" s="1"/>
      <c r="X1255" s="1"/>
    </row>
    <row r="1256" spans="1:24">
      <c r="A1256" s="1"/>
      <c r="M1256" s="26"/>
      <c r="N1256" s="26"/>
      <c r="P1256" s="1"/>
      <c r="Q1256" s="1"/>
      <c r="R1256" s="1"/>
      <c r="S1256" s="1"/>
      <c r="T1256" s="1"/>
      <c r="U1256" s="1"/>
      <c r="V1256" s="16"/>
      <c r="W1256" s="1"/>
      <c r="X1256" s="1"/>
    </row>
    <row r="1257" spans="1:24">
      <c r="A1257" s="1"/>
      <c r="M1257" s="26"/>
      <c r="N1257" s="26"/>
      <c r="P1257" s="1"/>
      <c r="Q1257" s="1"/>
      <c r="R1257" s="1"/>
      <c r="S1257" s="1"/>
      <c r="T1257" s="1"/>
      <c r="U1257" s="1"/>
      <c r="V1257" s="16"/>
      <c r="W1257" s="1"/>
      <c r="X1257" s="1"/>
    </row>
    <row r="1258" spans="1:24">
      <c r="A1258" s="1"/>
      <c r="M1258" s="26"/>
      <c r="N1258" s="26"/>
      <c r="P1258" s="1"/>
      <c r="Q1258" s="1"/>
      <c r="R1258" s="1"/>
      <c r="S1258" s="1"/>
      <c r="T1258" s="1"/>
      <c r="U1258" s="1"/>
      <c r="V1258" s="16"/>
      <c r="W1258" s="1"/>
      <c r="X1258" s="1"/>
    </row>
    <row r="1259" spans="1:24">
      <c r="A1259" s="1"/>
      <c r="M1259" s="26"/>
      <c r="N1259" s="26"/>
      <c r="P1259" s="1"/>
      <c r="Q1259" s="1"/>
      <c r="R1259" s="1"/>
      <c r="S1259" s="1"/>
      <c r="T1259" s="1"/>
      <c r="U1259" s="1"/>
      <c r="V1259" s="16"/>
      <c r="W1259" s="1"/>
      <c r="X1259" s="1"/>
    </row>
    <row r="1260" spans="1:24">
      <c r="A1260" s="1"/>
      <c r="M1260" s="26"/>
      <c r="N1260" s="26"/>
      <c r="P1260" s="1"/>
      <c r="Q1260" s="1"/>
      <c r="R1260" s="1"/>
      <c r="S1260" s="1"/>
      <c r="T1260" s="1"/>
      <c r="U1260" s="1"/>
      <c r="V1260" s="16"/>
      <c r="W1260" s="1"/>
      <c r="X1260" s="1"/>
    </row>
    <row r="1261" spans="1:24">
      <c r="A1261" s="1"/>
      <c r="M1261" s="26"/>
      <c r="N1261" s="26"/>
      <c r="P1261" s="1"/>
      <c r="Q1261" s="1"/>
      <c r="R1261" s="1"/>
      <c r="S1261" s="1"/>
      <c r="T1261" s="1"/>
      <c r="U1261" s="1"/>
      <c r="V1261" s="16"/>
      <c r="W1261" s="1"/>
      <c r="X1261" s="1"/>
    </row>
    <row r="1262" spans="1:24">
      <c r="A1262" s="1"/>
      <c r="M1262" s="26"/>
      <c r="N1262" s="26"/>
      <c r="P1262" s="1"/>
      <c r="Q1262" s="1"/>
      <c r="R1262" s="1"/>
      <c r="S1262" s="1"/>
      <c r="T1262" s="1"/>
      <c r="U1262" s="1"/>
      <c r="V1262" s="16"/>
      <c r="W1262" s="1"/>
      <c r="X1262" s="1"/>
    </row>
    <row r="1263" spans="1:24">
      <c r="A1263" s="1"/>
      <c r="M1263" s="26"/>
      <c r="N1263" s="26"/>
      <c r="P1263" s="1"/>
      <c r="Q1263" s="1"/>
      <c r="R1263" s="1"/>
      <c r="S1263" s="1"/>
      <c r="T1263" s="1"/>
      <c r="U1263" s="1"/>
      <c r="V1263" s="16"/>
      <c r="W1263" s="1"/>
      <c r="X1263" s="1"/>
    </row>
    <row r="1264" spans="1:24">
      <c r="A1264" s="1"/>
      <c r="M1264" s="26"/>
      <c r="N1264" s="26"/>
      <c r="P1264" s="1"/>
      <c r="Q1264" s="1"/>
      <c r="R1264" s="1"/>
      <c r="S1264" s="1"/>
      <c r="T1264" s="1"/>
      <c r="U1264" s="1"/>
      <c r="V1264" s="16"/>
      <c r="W1264" s="1"/>
      <c r="X1264" s="1"/>
    </row>
    <row r="1265" spans="1:24">
      <c r="A1265" s="1"/>
      <c r="M1265" s="26"/>
      <c r="N1265" s="26"/>
      <c r="P1265" s="1"/>
      <c r="Q1265" s="1"/>
      <c r="R1265" s="1"/>
      <c r="S1265" s="1"/>
      <c r="T1265" s="1"/>
      <c r="U1265" s="1"/>
      <c r="V1265" s="16"/>
      <c r="W1265" s="1"/>
      <c r="X1265" s="1"/>
    </row>
    <row r="1266" spans="1:24">
      <c r="A1266" s="1"/>
      <c r="M1266" s="26"/>
      <c r="N1266" s="26"/>
      <c r="P1266" s="1"/>
      <c r="Q1266" s="1"/>
      <c r="R1266" s="1"/>
      <c r="S1266" s="1"/>
      <c r="T1266" s="1"/>
      <c r="U1266" s="1"/>
      <c r="V1266" s="16"/>
      <c r="W1266" s="1"/>
      <c r="X1266" s="1"/>
    </row>
    <row r="1267" spans="1:24">
      <c r="A1267" s="1"/>
      <c r="M1267" s="26"/>
      <c r="N1267" s="26"/>
      <c r="P1267" s="1"/>
      <c r="Q1267" s="1"/>
      <c r="R1267" s="1"/>
      <c r="S1267" s="1"/>
      <c r="T1267" s="1"/>
      <c r="U1267" s="1"/>
      <c r="V1267" s="16"/>
      <c r="W1267" s="1"/>
      <c r="X1267" s="1"/>
    </row>
    <row r="1268" spans="1:24">
      <c r="A1268" s="1"/>
      <c r="M1268" s="26"/>
      <c r="N1268" s="26"/>
      <c r="P1268" s="1"/>
      <c r="Q1268" s="1"/>
      <c r="R1268" s="1"/>
      <c r="S1268" s="1"/>
      <c r="T1268" s="1"/>
      <c r="U1268" s="1"/>
      <c r="V1268" s="16"/>
      <c r="W1268" s="1"/>
      <c r="X1268" s="1"/>
    </row>
    <row r="1269" spans="1:24">
      <c r="A1269" s="1"/>
      <c r="M1269" s="26"/>
      <c r="N1269" s="26"/>
      <c r="P1269" s="1"/>
      <c r="Q1269" s="1"/>
      <c r="R1269" s="1"/>
      <c r="S1269" s="1"/>
      <c r="T1269" s="1"/>
      <c r="U1269" s="1"/>
      <c r="V1269" s="16"/>
      <c r="W1269" s="1"/>
      <c r="X1269" s="1"/>
    </row>
    <row r="1270" spans="1:24">
      <c r="A1270" s="1"/>
      <c r="M1270" s="26"/>
      <c r="N1270" s="26"/>
      <c r="P1270" s="1"/>
      <c r="Q1270" s="1"/>
      <c r="R1270" s="1"/>
      <c r="S1270" s="1"/>
      <c r="T1270" s="1"/>
      <c r="U1270" s="1"/>
      <c r="V1270" s="16"/>
      <c r="W1270" s="1"/>
      <c r="X1270" s="1"/>
    </row>
    <row r="1271" spans="1:24">
      <c r="A1271" s="1"/>
      <c r="M1271" s="26"/>
      <c r="N1271" s="26"/>
      <c r="P1271" s="1"/>
      <c r="Q1271" s="1"/>
      <c r="R1271" s="1"/>
      <c r="S1271" s="1"/>
      <c r="T1271" s="1"/>
      <c r="U1271" s="1"/>
      <c r="V1271" s="16"/>
      <c r="W1271" s="1"/>
      <c r="X1271" s="1"/>
    </row>
    <row r="1272" spans="1:24">
      <c r="A1272" s="1"/>
      <c r="M1272" s="26"/>
      <c r="N1272" s="26"/>
      <c r="P1272" s="1"/>
      <c r="Q1272" s="1"/>
      <c r="R1272" s="1"/>
      <c r="S1272" s="1"/>
      <c r="T1272" s="1"/>
      <c r="U1272" s="1"/>
      <c r="V1272" s="16"/>
      <c r="W1272" s="1"/>
      <c r="X1272" s="1"/>
    </row>
    <row r="1273" spans="1:24">
      <c r="A1273" s="1"/>
      <c r="M1273" s="26"/>
      <c r="N1273" s="26"/>
      <c r="P1273" s="1"/>
      <c r="Q1273" s="1"/>
      <c r="R1273" s="1"/>
      <c r="S1273" s="1"/>
      <c r="T1273" s="1"/>
      <c r="U1273" s="1"/>
      <c r="V1273" s="16"/>
      <c r="W1273" s="1"/>
      <c r="X1273" s="1"/>
    </row>
    <row r="1274" spans="1:24">
      <c r="A1274" s="1"/>
      <c r="M1274" s="26"/>
      <c r="N1274" s="26"/>
      <c r="P1274" s="1"/>
      <c r="Q1274" s="1"/>
      <c r="R1274" s="1"/>
      <c r="S1274" s="1"/>
      <c r="T1274" s="1"/>
      <c r="U1274" s="1"/>
      <c r="V1274" s="16"/>
      <c r="W1274" s="1"/>
      <c r="X1274" s="1"/>
    </row>
    <row r="1275" spans="1:24">
      <c r="A1275" s="1"/>
      <c r="M1275" s="26"/>
      <c r="N1275" s="26"/>
      <c r="P1275" s="1"/>
      <c r="Q1275" s="1"/>
      <c r="R1275" s="1"/>
      <c r="S1275" s="1"/>
      <c r="T1275" s="1"/>
      <c r="U1275" s="1"/>
      <c r="V1275" s="16"/>
      <c r="W1275" s="1"/>
      <c r="X1275" s="1"/>
    </row>
    <row r="1276" spans="1:24">
      <c r="A1276" s="1"/>
      <c r="M1276" s="26"/>
      <c r="N1276" s="26"/>
      <c r="P1276" s="1"/>
      <c r="Q1276" s="1"/>
      <c r="R1276" s="1"/>
      <c r="S1276" s="1"/>
      <c r="T1276" s="1"/>
      <c r="U1276" s="1"/>
      <c r="V1276" s="16"/>
      <c r="W1276" s="1"/>
      <c r="X1276" s="1"/>
    </row>
    <row r="1277" spans="1:24">
      <c r="A1277" s="1"/>
      <c r="M1277" s="26"/>
      <c r="N1277" s="26"/>
      <c r="P1277" s="1"/>
      <c r="Q1277" s="1"/>
      <c r="R1277" s="1"/>
      <c r="S1277" s="1"/>
      <c r="T1277" s="1"/>
      <c r="U1277" s="1"/>
      <c r="V1277" s="16"/>
      <c r="W1277" s="1"/>
      <c r="X1277" s="1"/>
    </row>
    <row r="1278" spans="1:24">
      <c r="A1278" s="1"/>
      <c r="M1278" s="26"/>
      <c r="N1278" s="26"/>
      <c r="P1278" s="1"/>
      <c r="Q1278" s="1"/>
      <c r="R1278" s="1"/>
      <c r="S1278" s="1"/>
      <c r="T1278" s="1"/>
      <c r="U1278" s="1"/>
      <c r="V1278" s="16"/>
      <c r="W1278" s="1"/>
      <c r="X1278" s="1"/>
    </row>
    <row r="1279" spans="1:24">
      <c r="A1279" s="1"/>
      <c r="M1279" s="26"/>
      <c r="N1279" s="26"/>
      <c r="P1279" s="1"/>
      <c r="Q1279" s="1"/>
      <c r="R1279" s="1"/>
      <c r="S1279" s="1"/>
      <c r="T1279" s="1"/>
      <c r="U1279" s="1"/>
      <c r="V1279" s="16"/>
      <c r="W1279" s="1"/>
      <c r="X1279" s="1"/>
    </row>
    <row r="1280" spans="1:24">
      <c r="A1280" s="1"/>
      <c r="M1280" s="26"/>
      <c r="N1280" s="26"/>
      <c r="P1280" s="1"/>
      <c r="Q1280" s="1"/>
      <c r="R1280" s="1"/>
      <c r="S1280" s="1"/>
      <c r="T1280" s="1"/>
      <c r="U1280" s="1"/>
      <c r="V1280" s="16"/>
      <c r="W1280" s="1"/>
      <c r="X1280" s="1"/>
    </row>
    <row r="1281" spans="1:24">
      <c r="A1281" s="1"/>
      <c r="M1281" s="26"/>
      <c r="N1281" s="26"/>
      <c r="P1281" s="1"/>
      <c r="Q1281" s="1"/>
      <c r="R1281" s="1"/>
      <c r="S1281" s="1"/>
      <c r="T1281" s="1"/>
      <c r="U1281" s="1"/>
      <c r="V1281" s="16"/>
      <c r="W1281" s="1"/>
      <c r="X1281" s="1"/>
    </row>
    <row r="1282" spans="1:24">
      <c r="A1282" s="1"/>
      <c r="M1282" s="26"/>
      <c r="N1282" s="26"/>
      <c r="P1282" s="1"/>
      <c r="Q1282" s="1"/>
      <c r="R1282" s="1"/>
      <c r="S1282" s="1"/>
      <c r="T1282" s="1"/>
      <c r="U1282" s="1"/>
      <c r="V1282" s="16"/>
      <c r="W1282" s="1"/>
      <c r="X1282" s="1"/>
    </row>
    <row r="1283" spans="1:24">
      <c r="A1283" s="1"/>
      <c r="M1283" s="26"/>
      <c r="N1283" s="26"/>
      <c r="P1283" s="1"/>
      <c r="Q1283" s="1"/>
      <c r="R1283" s="1"/>
      <c r="S1283" s="1"/>
      <c r="T1283" s="1"/>
      <c r="U1283" s="1"/>
      <c r="V1283" s="16"/>
      <c r="W1283" s="1"/>
      <c r="X1283" s="1"/>
    </row>
    <row r="1284" spans="1:24">
      <c r="A1284" s="1"/>
      <c r="M1284" s="26"/>
      <c r="N1284" s="26"/>
      <c r="P1284" s="1"/>
      <c r="Q1284" s="1"/>
      <c r="R1284" s="1"/>
      <c r="S1284" s="1"/>
      <c r="T1284" s="1"/>
      <c r="U1284" s="1"/>
      <c r="V1284" s="16"/>
      <c r="W1284" s="1"/>
      <c r="X1284" s="1"/>
    </row>
    <row r="1285" spans="1:24">
      <c r="A1285" s="1"/>
      <c r="M1285" s="26"/>
      <c r="N1285" s="26"/>
      <c r="P1285" s="1"/>
      <c r="Q1285" s="1"/>
      <c r="R1285" s="1"/>
      <c r="S1285" s="1"/>
      <c r="T1285" s="1"/>
      <c r="U1285" s="1"/>
      <c r="V1285" s="16"/>
      <c r="W1285" s="1"/>
      <c r="X1285" s="1"/>
    </row>
    <row r="1286" spans="1:24">
      <c r="A1286" s="1"/>
      <c r="M1286" s="26"/>
      <c r="N1286" s="26"/>
      <c r="P1286" s="1"/>
      <c r="Q1286" s="1"/>
      <c r="R1286" s="1"/>
      <c r="S1286" s="1"/>
      <c r="T1286" s="1"/>
      <c r="U1286" s="1"/>
      <c r="V1286" s="16"/>
      <c r="W1286" s="1"/>
      <c r="X1286" s="1"/>
    </row>
    <row r="1287" spans="1:24">
      <c r="A1287" s="1"/>
      <c r="M1287" s="26"/>
      <c r="N1287" s="26"/>
      <c r="P1287" s="1"/>
      <c r="Q1287" s="1"/>
      <c r="R1287" s="1"/>
      <c r="S1287" s="1"/>
      <c r="T1287" s="1"/>
      <c r="U1287" s="1"/>
      <c r="V1287" s="16"/>
      <c r="W1287" s="1"/>
      <c r="X1287" s="1"/>
    </row>
    <row r="1288" spans="1:24">
      <c r="A1288" s="1"/>
      <c r="M1288" s="26"/>
      <c r="N1288" s="26"/>
      <c r="P1288" s="1"/>
      <c r="Q1288" s="1"/>
      <c r="R1288" s="1"/>
      <c r="S1288" s="1"/>
      <c r="T1288" s="1"/>
      <c r="U1288" s="1"/>
      <c r="V1288" s="16"/>
      <c r="W1288" s="1"/>
      <c r="X1288" s="1"/>
    </row>
    <row r="1289" spans="1:24">
      <c r="A1289" s="1"/>
      <c r="M1289" s="26"/>
      <c r="N1289" s="26"/>
      <c r="P1289" s="1"/>
      <c r="Q1289" s="1"/>
      <c r="R1289" s="1"/>
      <c r="S1289" s="1"/>
      <c r="T1289" s="1"/>
      <c r="U1289" s="1"/>
      <c r="V1289" s="16"/>
      <c r="W1289" s="1"/>
      <c r="X1289" s="1"/>
    </row>
    <row r="1290" spans="1:24">
      <c r="A1290" s="1"/>
      <c r="M1290" s="26"/>
      <c r="N1290" s="26"/>
      <c r="P1290" s="1"/>
      <c r="Q1290" s="1"/>
      <c r="R1290" s="1"/>
      <c r="S1290" s="1"/>
      <c r="T1290" s="1"/>
      <c r="U1290" s="1"/>
      <c r="V1290" s="16"/>
      <c r="W1290" s="1"/>
      <c r="X1290" s="1"/>
    </row>
    <row r="1291" spans="1:24">
      <c r="A1291" s="1"/>
      <c r="M1291" s="26"/>
      <c r="N1291" s="26"/>
      <c r="P1291" s="1"/>
      <c r="Q1291" s="1"/>
      <c r="R1291" s="1"/>
      <c r="S1291" s="1"/>
      <c r="T1291" s="1"/>
      <c r="U1291" s="1"/>
      <c r="V1291" s="16"/>
      <c r="W1291" s="1"/>
      <c r="X1291" s="1"/>
    </row>
    <row r="1292" spans="1:24">
      <c r="A1292" s="1"/>
      <c r="M1292" s="26"/>
      <c r="N1292" s="26"/>
      <c r="P1292" s="1"/>
      <c r="Q1292" s="1"/>
      <c r="R1292" s="1"/>
      <c r="S1292" s="1"/>
      <c r="T1292" s="1"/>
      <c r="U1292" s="1"/>
      <c r="V1292" s="16"/>
      <c r="W1292" s="1"/>
      <c r="X1292" s="1"/>
    </row>
    <row r="1293" spans="1:24">
      <c r="A1293" s="1"/>
      <c r="M1293" s="26"/>
      <c r="N1293" s="26"/>
      <c r="P1293" s="1"/>
      <c r="Q1293" s="1"/>
      <c r="R1293" s="1"/>
      <c r="S1293" s="1"/>
      <c r="T1293" s="1"/>
      <c r="U1293" s="1"/>
      <c r="V1293" s="16"/>
      <c r="W1293" s="1"/>
      <c r="X1293" s="1"/>
    </row>
    <row r="1294" spans="1:24">
      <c r="A1294" s="1"/>
      <c r="M1294" s="26"/>
      <c r="N1294" s="26"/>
      <c r="P1294" s="1"/>
      <c r="Q1294" s="1"/>
      <c r="R1294" s="1"/>
      <c r="S1294" s="1"/>
      <c r="T1294" s="1"/>
      <c r="U1294" s="1"/>
      <c r="V1294" s="16"/>
      <c r="W1294" s="1"/>
      <c r="X1294" s="1"/>
    </row>
    <row r="1295" spans="1:24">
      <c r="A1295" s="1"/>
      <c r="M1295" s="26"/>
      <c r="N1295" s="26"/>
      <c r="P1295" s="1"/>
      <c r="Q1295" s="1"/>
      <c r="R1295" s="1"/>
      <c r="S1295" s="1"/>
      <c r="T1295" s="1"/>
      <c r="U1295" s="1"/>
      <c r="V1295" s="16"/>
      <c r="W1295" s="1"/>
      <c r="X1295" s="1"/>
    </row>
    <row r="1296" spans="1:24">
      <c r="A1296" s="1"/>
      <c r="M1296" s="26"/>
      <c r="N1296" s="26"/>
      <c r="P1296" s="1"/>
      <c r="Q1296" s="1"/>
      <c r="R1296" s="1"/>
      <c r="S1296" s="1"/>
      <c r="T1296" s="1"/>
      <c r="U1296" s="1"/>
      <c r="V1296" s="16"/>
      <c r="W1296" s="1"/>
      <c r="X1296" s="1"/>
    </row>
    <row r="1297" spans="1:24">
      <c r="A1297" s="1"/>
      <c r="M1297" s="26"/>
      <c r="N1297" s="26"/>
      <c r="P1297" s="1"/>
      <c r="Q1297" s="1"/>
      <c r="R1297" s="1"/>
      <c r="S1297" s="1"/>
      <c r="T1297" s="1"/>
      <c r="U1297" s="1"/>
      <c r="V1297" s="16"/>
      <c r="W1297" s="1"/>
      <c r="X1297" s="1"/>
    </row>
    <row r="1298" spans="1:24">
      <c r="A1298" s="1"/>
      <c r="M1298" s="26"/>
      <c r="N1298" s="26"/>
      <c r="P1298" s="1"/>
      <c r="Q1298" s="1"/>
      <c r="R1298" s="1"/>
      <c r="S1298" s="1"/>
      <c r="T1298" s="1"/>
      <c r="U1298" s="1"/>
      <c r="V1298" s="16"/>
      <c r="W1298" s="1"/>
      <c r="X1298" s="1"/>
    </row>
    <row r="1299" spans="1:24">
      <c r="A1299" s="1"/>
      <c r="M1299" s="26"/>
      <c r="N1299" s="26"/>
      <c r="P1299" s="1"/>
      <c r="Q1299" s="1"/>
      <c r="R1299" s="1"/>
      <c r="S1299" s="1"/>
      <c r="T1299" s="1"/>
      <c r="U1299" s="1"/>
      <c r="V1299" s="16"/>
      <c r="W1299" s="1"/>
      <c r="X1299" s="1"/>
    </row>
    <row r="1300" spans="1:24">
      <c r="A1300" s="1"/>
      <c r="M1300" s="26"/>
      <c r="N1300" s="26"/>
      <c r="P1300" s="1"/>
      <c r="Q1300" s="1"/>
      <c r="R1300" s="1"/>
      <c r="S1300" s="1"/>
      <c r="T1300" s="1"/>
      <c r="U1300" s="1"/>
      <c r="V1300" s="16"/>
      <c r="W1300" s="1"/>
      <c r="X1300" s="1"/>
    </row>
    <row r="1301" spans="1:24">
      <c r="A1301" s="1"/>
      <c r="M1301" s="26"/>
      <c r="N1301" s="26"/>
      <c r="P1301" s="1"/>
      <c r="Q1301" s="1"/>
      <c r="R1301" s="1"/>
      <c r="S1301" s="1"/>
      <c r="T1301" s="1"/>
      <c r="U1301" s="1"/>
      <c r="V1301" s="16"/>
      <c r="W1301" s="1"/>
      <c r="X1301" s="1"/>
    </row>
    <row r="1302" spans="1:24">
      <c r="A1302" s="1"/>
      <c r="M1302" s="26"/>
      <c r="N1302" s="26"/>
      <c r="P1302" s="1"/>
      <c r="Q1302" s="1"/>
      <c r="R1302" s="1"/>
      <c r="S1302" s="1"/>
      <c r="T1302" s="1"/>
      <c r="U1302" s="1"/>
      <c r="V1302" s="16"/>
      <c r="W1302" s="1"/>
      <c r="X1302" s="1"/>
    </row>
    <row r="1303" spans="1:24">
      <c r="A1303" s="1"/>
      <c r="M1303" s="26"/>
      <c r="N1303" s="26"/>
      <c r="P1303" s="1"/>
      <c r="Q1303" s="1"/>
      <c r="R1303" s="1"/>
      <c r="S1303" s="1"/>
      <c r="T1303" s="1"/>
      <c r="U1303" s="1"/>
      <c r="V1303" s="16"/>
      <c r="W1303" s="1"/>
      <c r="X1303" s="1"/>
    </row>
    <row r="1304" spans="1:24">
      <c r="A1304" s="1"/>
      <c r="M1304" s="26"/>
      <c r="N1304" s="26"/>
      <c r="P1304" s="1"/>
      <c r="Q1304" s="1"/>
      <c r="R1304" s="1"/>
      <c r="S1304" s="1"/>
      <c r="T1304" s="1"/>
      <c r="U1304" s="1"/>
      <c r="V1304" s="16"/>
      <c r="W1304" s="1"/>
      <c r="X1304" s="1"/>
    </row>
    <row r="1305" spans="1:24">
      <c r="A1305" s="1"/>
      <c r="M1305" s="26"/>
      <c r="N1305" s="26"/>
      <c r="P1305" s="1"/>
      <c r="Q1305" s="1"/>
      <c r="R1305" s="1"/>
      <c r="S1305" s="1"/>
      <c r="T1305" s="1"/>
      <c r="U1305" s="1"/>
      <c r="V1305" s="16"/>
      <c r="W1305" s="1"/>
      <c r="X1305" s="1"/>
    </row>
    <row r="1306" spans="1:24">
      <c r="A1306" s="1"/>
      <c r="M1306" s="26"/>
      <c r="N1306" s="26"/>
      <c r="P1306" s="1"/>
      <c r="Q1306" s="1"/>
      <c r="R1306" s="1"/>
      <c r="S1306" s="1"/>
      <c r="T1306" s="1"/>
      <c r="U1306" s="1"/>
      <c r="V1306" s="16"/>
      <c r="W1306" s="1"/>
      <c r="X1306" s="1"/>
    </row>
    <row r="1307" spans="1:24">
      <c r="A1307" s="1"/>
      <c r="M1307" s="26"/>
      <c r="N1307" s="26"/>
      <c r="P1307" s="1"/>
      <c r="Q1307" s="1"/>
      <c r="R1307" s="1"/>
      <c r="S1307" s="1"/>
      <c r="T1307" s="1"/>
      <c r="U1307" s="1"/>
      <c r="V1307" s="16"/>
      <c r="W1307" s="1"/>
      <c r="X1307" s="1"/>
    </row>
    <row r="1308" spans="1:24">
      <c r="A1308" s="1"/>
      <c r="M1308" s="26"/>
      <c r="N1308" s="26"/>
      <c r="P1308" s="1"/>
      <c r="Q1308" s="1"/>
      <c r="R1308" s="1"/>
      <c r="S1308" s="1"/>
      <c r="T1308" s="1"/>
      <c r="U1308" s="1"/>
      <c r="V1308" s="16"/>
      <c r="W1308" s="1"/>
      <c r="X1308" s="1"/>
    </row>
    <row r="1309" spans="1:24">
      <c r="A1309" s="1"/>
      <c r="M1309" s="26"/>
      <c r="N1309" s="26"/>
      <c r="P1309" s="1"/>
      <c r="Q1309" s="1"/>
      <c r="R1309" s="1"/>
      <c r="S1309" s="1"/>
      <c r="T1309" s="1"/>
      <c r="U1309" s="1"/>
      <c r="V1309" s="16"/>
      <c r="W1309" s="1"/>
      <c r="X1309" s="1"/>
    </row>
    <row r="1310" spans="1:24">
      <c r="A1310" s="1"/>
      <c r="M1310" s="26"/>
      <c r="N1310" s="26"/>
      <c r="P1310" s="1"/>
      <c r="Q1310" s="1"/>
      <c r="R1310" s="1"/>
      <c r="S1310" s="1"/>
      <c r="T1310" s="1"/>
      <c r="U1310" s="1"/>
      <c r="V1310" s="16"/>
      <c r="W1310" s="1"/>
      <c r="X1310" s="1"/>
    </row>
    <row r="1311" spans="1:24">
      <c r="A1311" s="1"/>
      <c r="M1311" s="26"/>
      <c r="N1311" s="26"/>
      <c r="P1311" s="1"/>
      <c r="Q1311" s="1"/>
      <c r="R1311" s="1"/>
      <c r="S1311" s="1"/>
      <c r="T1311" s="1"/>
      <c r="U1311" s="1"/>
      <c r="V1311" s="16"/>
      <c r="W1311" s="1"/>
      <c r="X1311" s="1"/>
    </row>
    <row r="1312" spans="1:24">
      <c r="A1312" s="1"/>
      <c r="M1312" s="26"/>
      <c r="N1312" s="26"/>
      <c r="P1312" s="1"/>
      <c r="Q1312" s="1"/>
      <c r="R1312" s="1"/>
      <c r="S1312" s="1"/>
      <c r="T1312" s="1"/>
      <c r="U1312" s="1"/>
      <c r="V1312" s="16"/>
      <c r="W1312" s="1"/>
      <c r="X1312" s="1"/>
    </row>
    <row r="1313" spans="1:24">
      <c r="A1313" s="1"/>
      <c r="M1313" s="26"/>
      <c r="N1313" s="26"/>
      <c r="P1313" s="1"/>
      <c r="Q1313" s="1"/>
      <c r="R1313" s="1"/>
      <c r="S1313" s="1"/>
      <c r="T1313" s="1"/>
      <c r="U1313" s="1"/>
      <c r="V1313" s="16"/>
      <c r="W1313" s="1"/>
      <c r="X1313" s="1"/>
    </row>
    <row r="1314" spans="1:24">
      <c r="A1314" s="1"/>
      <c r="M1314" s="26"/>
      <c r="N1314" s="26"/>
      <c r="P1314" s="1"/>
      <c r="Q1314" s="1"/>
      <c r="R1314" s="1"/>
      <c r="S1314" s="1"/>
      <c r="T1314" s="1"/>
      <c r="U1314" s="1"/>
      <c r="V1314" s="16"/>
      <c r="W1314" s="1"/>
      <c r="X1314" s="1"/>
    </row>
    <row r="1315" spans="1:24">
      <c r="A1315" s="1"/>
      <c r="M1315" s="26"/>
      <c r="N1315" s="26"/>
      <c r="P1315" s="1"/>
      <c r="Q1315" s="1"/>
      <c r="R1315" s="1"/>
      <c r="S1315" s="1"/>
      <c r="T1315" s="1"/>
      <c r="U1315" s="1"/>
      <c r="V1315" s="16"/>
      <c r="W1315" s="1"/>
      <c r="X1315" s="1"/>
    </row>
    <row r="1316" spans="1:24">
      <c r="A1316" s="1"/>
      <c r="M1316" s="26"/>
      <c r="N1316" s="26"/>
      <c r="P1316" s="1"/>
      <c r="Q1316" s="1"/>
      <c r="R1316" s="1"/>
      <c r="S1316" s="1"/>
      <c r="T1316" s="1"/>
      <c r="U1316" s="1"/>
      <c r="V1316" s="16"/>
      <c r="W1316" s="1"/>
      <c r="X1316" s="1"/>
    </row>
    <row r="1317" spans="1:24">
      <c r="A1317" s="1"/>
      <c r="M1317" s="26"/>
      <c r="N1317" s="26"/>
      <c r="P1317" s="1"/>
      <c r="Q1317" s="1"/>
      <c r="R1317" s="1"/>
      <c r="S1317" s="1"/>
      <c r="T1317" s="1"/>
      <c r="U1317" s="1"/>
      <c r="V1317" s="16"/>
      <c r="W1317" s="1"/>
      <c r="X1317" s="1"/>
    </row>
    <row r="1318" spans="1:24">
      <c r="A1318" s="1"/>
      <c r="M1318" s="26"/>
      <c r="N1318" s="26"/>
      <c r="P1318" s="1"/>
      <c r="Q1318" s="1"/>
      <c r="R1318" s="1"/>
      <c r="S1318" s="1"/>
      <c r="T1318" s="1"/>
      <c r="U1318" s="1"/>
      <c r="V1318" s="16"/>
      <c r="W1318" s="1"/>
      <c r="X1318" s="1"/>
    </row>
    <row r="1319" spans="1:24">
      <c r="A1319" s="1"/>
      <c r="M1319" s="26"/>
      <c r="N1319" s="26"/>
      <c r="P1319" s="1"/>
      <c r="Q1319" s="1"/>
      <c r="R1319" s="1"/>
      <c r="S1319" s="1"/>
      <c r="T1319" s="1"/>
      <c r="U1319" s="1"/>
      <c r="V1319" s="16"/>
      <c r="W1319" s="1"/>
      <c r="X1319" s="1"/>
    </row>
    <row r="1320" spans="1:24">
      <c r="A1320" s="1"/>
      <c r="M1320" s="26"/>
      <c r="N1320" s="26"/>
      <c r="P1320" s="1"/>
      <c r="Q1320" s="1"/>
      <c r="R1320" s="1"/>
      <c r="S1320" s="1"/>
      <c r="T1320" s="1"/>
      <c r="U1320" s="1"/>
      <c r="V1320" s="16"/>
      <c r="W1320" s="1"/>
      <c r="X1320" s="1"/>
    </row>
    <row r="1321" spans="1:24">
      <c r="A1321" s="1"/>
      <c r="M1321" s="26"/>
      <c r="N1321" s="26"/>
      <c r="P1321" s="1"/>
      <c r="Q1321" s="1"/>
      <c r="R1321" s="1"/>
      <c r="S1321" s="1"/>
      <c r="T1321" s="1"/>
      <c r="U1321" s="1"/>
      <c r="V1321" s="16"/>
      <c r="W1321" s="1"/>
      <c r="X1321" s="1"/>
    </row>
    <row r="1322" spans="1:24">
      <c r="A1322" s="1"/>
      <c r="M1322" s="26"/>
      <c r="N1322" s="26"/>
      <c r="P1322" s="1"/>
      <c r="Q1322" s="1"/>
      <c r="R1322" s="1"/>
      <c r="S1322" s="1"/>
      <c r="T1322" s="1"/>
      <c r="U1322" s="1"/>
      <c r="V1322" s="16"/>
      <c r="W1322" s="1"/>
      <c r="X1322" s="1"/>
    </row>
    <row r="1323" spans="1:24">
      <c r="A1323" s="1"/>
      <c r="M1323" s="26"/>
      <c r="N1323" s="26"/>
      <c r="P1323" s="1"/>
      <c r="Q1323" s="1"/>
      <c r="R1323" s="1"/>
      <c r="S1323" s="1"/>
      <c r="T1323" s="1"/>
      <c r="U1323" s="1"/>
      <c r="V1323" s="16"/>
      <c r="W1323" s="1"/>
      <c r="X1323" s="1"/>
    </row>
    <row r="1324" spans="1:24">
      <c r="A1324" s="1"/>
      <c r="M1324" s="26"/>
      <c r="N1324" s="26"/>
      <c r="P1324" s="1"/>
      <c r="Q1324" s="1"/>
      <c r="R1324" s="1"/>
      <c r="S1324" s="1"/>
      <c r="T1324" s="1"/>
      <c r="U1324" s="1"/>
      <c r="V1324" s="16"/>
      <c r="W1324" s="1"/>
      <c r="X1324" s="1"/>
    </row>
    <row r="1325" spans="1:24">
      <c r="A1325" s="1"/>
      <c r="M1325" s="26"/>
      <c r="N1325" s="26"/>
      <c r="P1325" s="1"/>
      <c r="Q1325" s="1"/>
      <c r="R1325" s="1"/>
      <c r="S1325" s="1"/>
      <c r="T1325" s="1"/>
      <c r="U1325" s="1"/>
      <c r="V1325" s="16"/>
      <c r="W1325" s="1"/>
      <c r="X1325" s="1"/>
    </row>
    <row r="1326" spans="1:24">
      <c r="A1326" s="1"/>
      <c r="M1326" s="26"/>
      <c r="N1326" s="26"/>
      <c r="P1326" s="1"/>
      <c r="Q1326" s="1"/>
      <c r="R1326" s="1"/>
      <c r="S1326" s="1"/>
      <c r="T1326" s="1"/>
      <c r="U1326" s="1"/>
      <c r="V1326" s="16"/>
      <c r="W1326" s="1"/>
      <c r="X1326" s="1"/>
    </row>
    <row r="1327" spans="1:24">
      <c r="A1327" s="1"/>
      <c r="M1327" s="26"/>
      <c r="N1327" s="26"/>
      <c r="P1327" s="1"/>
      <c r="Q1327" s="1"/>
      <c r="R1327" s="1"/>
      <c r="S1327" s="1"/>
      <c r="T1327" s="1"/>
      <c r="U1327" s="1"/>
      <c r="V1327" s="16"/>
      <c r="W1327" s="1"/>
      <c r="X1327" s="1"/>
    </row>
    <row r="1328" spans="1:24">
      <c r="A1328" s="1"/>
      <c r="M1328" s="26"/>
      <c r="N1328" s="26"/>
      <c r="P1328" s="1"/>
      <c r="Q1328" s="1"/>
      <c r="R1328" s="1"/>
      <c r="S1328" s="1"/>
      <c r="T1328" s="1"/>
      <c r="U1328" s="1"/>
      <c r="V1328" s="16"/>
      <c r="W1328" s="1"/>
      <c r="X1328" s="1"/>
    </row>
    <row r="1329" spans="1:24">
      <c r="A1329" s="1"/>
      <c r="M1329" s="26"/>
      <c r="N1329" s="26"/>
      <c r="P1329" s="1"/>
      <c r="Q1329" s="1"/>
      <c r="R1329" s="1"/>
      <c r="S1329" s="1"/>
      <c r="T1329" s="1"/>
      <c r="U1329" s="1"/>
      <c r="V1329" s="16"/>
      <c r="W1329" s="1"/>
      <c r="X1329" s="1"/>
    </row>
    <row r="1330" spans="1:24">
      <c r="A1330" s="1"/>
      <c r="M1330" s="26"/>
      <c r="N1330" s="26"/>
      <c r="P1330" s="1"/>
      <c r="Q1330" s="1"/>
      <c r="R1330" s="1"/>
      <c r="S1330" s="1"/>
      <c r="T1330" s="1"/>
      <c r="U1330" s="1"/>
      <c r="V1330" s="16"/>
      <c r="W1330" s="1"/>
      <c r="X1330" s="1"/>
    </row>
    <row r="1331" spans="1:24">
      <c r="A1331" s="1"/>
      <c r="M1331" s="26"/>
      <c r="N1331" s="26"/>
      <c r="P1331" s="1"/>
      <c r="Q1331" s="1"/>
      <c r="R1331" s="1"/>
      <c r="S1331" s="1"/>
      <c r="T1331" s="1"/>
      <c r="U1331" s="1"/>
      <c r="V1331" s="16"/>
      <c r="W1331" s="1"/>
      <c r="X1331" s="1"/>
    </row>
    <row r="1332" spans="1:24">
      <c r="A1332" s="1"/>
      <c r="M1332" s="26"/>
      <c r="N1332" s="26"/>
      <c r="P1332" s="1"/>
      <c r="Q1332" s="1"/>
      <c r="R1332" s="1"/>
      <c r="S1332" s="1"/>
      <c r="T1332" s="1"/>
      <c r="U1332" s="1"/>
      <c r="V1332" s="16"/>
      <c r="W1332" s="1"/>
      <c r="X1332" s="1"/>
    </row>
    <row r="1333" spans="1:24">
      <c r="A1333" s="1"/>
      <c r="M1333" s="26"/>
      <c r="N1333" s="26"/>
      <c r="P1333" s="1"/>
      <c r="Q1333" s="1"/>
      <c r="R1333" s="1"/>
      <c r="S1333" s="1"/>
      <c r="T1333" s="1"/>
      <c r="U1333" s="1"/>
      <c r="V1333" s="16"/>
      <c r="W1333" s="1"/>
      <c r="X1333" s="1"/>
    </row>
    <row r="1334" spans="1:24">
      <c r="A1334" s="1"/>
      <c r="M1334" s="26"/>
      <c r="N1334" s="26"/>
      <c r="P1334" s="1"/>
      <c r="Q1334" s="1"/>
      <c r="R1334" s="1"/>
      <c r="S1334" s="1"/>
      <c r="T1334" s="1"/>
      <c r="U1334" s="1"/>
      <c r="V1334" s="16"/>
      <c r="W1334" s="1"/>
      <c r="X1334" s="1"/>
    </row>
    <row r="1335" spans="1:24">
      <c r="A1335" s="1"/>
      <c r="M1335" s="26"/>
      <c r="N1335" s="26"/>
      <c r="P1335" s="1"/>
      <c r="Q1335" s="1"/>
      <c r="R1335" s="1"/>
      <c r="S1335" s="1"/>
      <c r="T1335" s="1"/>
      <c r="U1335" s="1"/>
      <c r="V1335" s="16"/>
      <c r="W1335" s="1"/>
      <c r="X1335" s="1"/>
    </row>
    <row r="1336" spans="1:24">
      <c r="A1336" s="1"/>
      <c r="M1336" s="26"/>
      <c r="N1336" s="26"/>
      <c r="P1336" s="1"/>
      <c r="Q1336" s="1"/>
      <c r="R1336" s="1"/>
      <c r="S1336" s="1"/>
      <c r="T1336" s="1"/>
      <c r="U1336" s="1"/>
      <c r="V1336" s="16"/>
      <c r="W1336" s="1"/>
      <c r="X1336" s="1"/>
    </row>
    <row r="1337" spans="1:24">
      <c r="A1337" s="1"/>
      <c r="M1337" s="26"/>
      <c r="N1337" s="26"/>
      <c r="P1337" s="1"/>
      <c r="Q1337" s="1"/>
      <c r="R1337" s="1"/>
      <c r="S1337" s="1"/>
      <c r="T1337" s="1"/>
      <c r="U1337" s="1"/>
      <c r="V1337" s="16"/>
      <c r="W1337" s="1"/>
      <c r="X1337" s="1"/>
    </row>
    <row r="1338" spans="1:24">
      <c r="A1338" s="1"/>
      <c r="M1338" s="26"/>
      <c r="N1338" s="26"/>
      <c r="P1338" s="1"/>
      <c r="Q1338" s="1"/>
      <c r="R1338" s="1"/>
      <c r="S1338" s="1"/>
      <c r="T1338" s="1"/>
      <c r="U1338" s="1"/>
      <c r="V1338" s="16"/>
      <c r="W1338" s="1"/>
      <c r="X1338" s="1"/>
    </row>
    <row r="1339" spans="1:24">
      <c r="A1339" s="1"/>
      <c r="M1339" s="26"/>
      <c r="N1339" s="26"/>
      <c r="P1339" s="1"/>
      <c r="Q1339" s="1"/>
      <c r="R1339" s="1"/>
      <c r="S1339" s="1"/>
      <c r="T1339" s="1"/>
      <c r="U1339" s="1"/>
      <c r="V1339" s="16"/>
      <c r="W1339" s="1"/>
      <c r="X1339" s="1"/>
    </row>
    <row r="1340" spans="1:24">
      <c r="A1340" s="1"/>
      <c r="M1340" s="26"/>
      <c r="N1340" s="26"/>
      <c r="P1340" s="1"/>
      <c r="Q1340" s="1"/>
      <c r="R1340" s="1"/>
      <c r="S1340" s="1"/>
      <c r="T1340" s="1"/>
      <c r="U1340" s="1"/>
      <c r="V1340" s="16"/>
      <c r="W1340" s="1"/>
      <c r="X1340" s="1"/>
    </row>
    <row r="1341" spans="1:24">
      <c r="A1341" s="1"/>
      <c r="M1341" s="26"/>
      <c r="N1341" s="26"/>
      <c r="P1341" s="1"/>
      <c r="Q1341" s="1"/>
      <c r="R1341" s="1"/>
      <c r="S1341" s="1"/>
      <c r="T1341" s="1"/>
      <c r="U1341" s="1"/>
      <c r="V1341" s="16"/>
      <c r="W1341" s="1"/>
      <c r="X1341" s="1"/>
    </row>
    <row r="1342" spans="1:24">
      <c r="A1342" s="1"/>
      <c r="M1342" s="26"/>
      <c r="N1342" s="26"/>
      <c r="P1342" s="1"/>
      <c r="Q1342" s="1"/>
      <c r="R1342" s="1"/>
      <c r="S1342" s="1"/>
      <c r="T1342" s="1"/>
      <c r="U1342" s="1"/>
      <c r="V1342" s="16"/>
      <c r="W1342" s="1"/>
      <c r="X1342" s="1"/>
    </row>
    <row r="1343" spans="1:24">
      <c r="A1343" s="1"/>
      <c r="M1343" s="26"/>
      <c r="N1343" s="26"/>
      <c r="P1343" s="1"/>
      <c r="Q1343" s="1"/>
      <c r="R1343" s="1"/>
      <c r="S1343" s="1"/>
      <c r="T1343" s="1"/>
      <c r="U1343" s="1"/>
      <c r="V1343" s="16"/>
      <c r="W1343" s="1"/>
      <c r="X1343" s="1"/>
    </row>
    <row r="1344" spans="1:24">
      <c r="A1344" s="1"/>
      <c r="M1344" s="26"/>
      <c r="N1344" s="26"/>
      <c r="P1344" s="1"/>
      <c r="Q1344" s="1"/>
      <c r="R1344" s="1"/>
      <c r="S1344" s="1"/>
      <c r="T1344" s="1"/>
      <c r="U1344" s="1"/>
      <c r="V1344" s="16"/>
      <c r="W1344" s="1"/>
      <c r="X1344" s="1"/>
    </row>
    <row r="1345" spans="1:24">
      <c r="A1345" s="1"/>
      <c r="M1345" s="26"/>
      <c r="N1345" s="26"/>
      <c r="P1345" s="1"/>
      <c r="Q1345" s="1"/>
      <c r="R1345" s="1"/>
      <c r="S1345" s="1"/>
      <c r="T1345" s="1"/>
      <c r="U1345" s="1"/>
      <c r="V1345" s="16"/>
      <c r="W1345" s="1"/>
      <c r="X1345" s="1"/>
    </row>
    <row r="1346" spans="1:24">
      <c r="A1346" s="1"/>
      <c r="M1346" s="26"/>
      <c r="N1346" s="26"/>
      <c r="P1346" s="1"/>
      <c r="Q1346" s="1"/>
      <c r="R1346" s="1"/>
      <c r="S1346" s="1"/>
      <c r="T1346" s="1"/>
      <c r="U1346" s="1"/>
      <c r="V1346" s="16"/>
      <c r="W1346" s="1"/>
      <c r="X1346" s="1"/>
    </row>
    <row r="1347" spans="1:24">
      <c r="A1347" s="1"/>
      <c r="M1347" s="26"/>
      <c r="N1347" s="26"/>
      <c r="P1347" s="1"/>
      <c r="Q1347" s="1"/>
      <c r="R1347" s="1"/>
      <c r="S1347" s="1"/>
      <c r="T1347" s="1"/>
      <c r="U1347" s="1"/>
      <c r="V1347" s="16"/>
      <c r="W1347" s="1"/>
      <c r="X1347" s="1"/>
    </row>
    <row r="1348" spans="1:24">
      <c r="A1348" s="1"/>
      <c r="M1348" s="26"/>
      <c r="N1348" s="26"/>
      <c r="P1348" s="1"/>
      <c r="Q1348" s="1"/>
      <c r="R1348" s="1"/>
      <c r="S1348" s="1"/>
      <c r="T1348" s="1"/>
      <c r="U1348" s="1"/>
      <c r="V1348" s="16"/>
      <c r="W1348" s="1"/>
      <c r="X1348" s="1"/>
    </row>
    <row r="1349" spans="1:24">
      <c r="A1349" s="1"/>
      <c r="M1349" s="26"/>
      <c r="N1349" s="26"/>
      <c r="P1349" s="1"/>
      <c r="Q1349" s="1"/>
      <c r="R1349" s="1"/>
      <c r="S1349" s="1"/>
      <c r="T1349" s="1"/>
      <c r="U1349" s="1"/>
      <c r="V1349" s="16"/>
      <c r="W1349" s="1"/>
      <c r="X1349" s="1"/>
    </row>
    <row r="1350" spans="1:24">
      <c r="A1350" s="1"/>
      <c r="M1350" s="26"/>
      <c r="N1350" s="26"/>
      <c r="P1350" s="1"/>
      <c r="Q1350" s="1"/>
      <c r="R1350" s="1"/>
      <c r="S1350" s="1"/>
      <c r="T1350" s="1"/>
      <c r="U1350" s="1"/>
      <c r="V1350" s="16"/>
      <c r="W1350" s="1"/>
      <c r="X1350" s="1"/>
    </row>
    <row r="1351" spans="1:24">
      <c r="A1351" s="1"/>
      <c r="M1351" s="26"/>
      <c r="N1351" s="26"/>
      <c r="P1351" s="1"/>
      <c r="Q1351" s="1"/>
      <c r="R1351" s="1"/>
      <c r="S1351" s="1"/>
      <c r="T1351" s="1"/>
      <c r="U1351" s="1"/>
      <c r="V1351" s="16"/>
      <c r="W1351" s="1"/>
      <c r="X1351" s="1"/>
    </row>
    <row r="1352" spans="1:24">
      <c r="A1352" s="1"/>
      <c r="M1352" s="26"/>
      <c r="N1352" s="26"/>
      <c r="P1352" s="1"/>
      <c r="Q1352" s="1"/>
      <c r="R1352" s="1"/>
      <c r="S1352" s="1"/>
      <c r="T1352" s="1"/>
      <c r="U1352" s="1"/>
      <c r="V1352" s="16"/>
      <c r="W1352" s="1"/>
      <c r="X1352" s="1"/>
    </row>
    <row r="1353" spans="1:24">
      <c r="A1353" s="1"/>
      <c r="M1353" s="26"/>
      <c r="N1353" s="26"/>
      <c r="P1353" s="1"/>
      <c r="Q1353" s="1"/>
      <c r="R1353" s="1"/>
      <c r="S1353" s="1"/>
      <c r="T1353" s="1"/>
      <c r="U1353" s="1"/>
      <c r="V1353" s="16"/>
      <c r="W1353" s="1"/>
      <c r="X1353" s="1"/>
    </row>
    <row r="1354" spans="1:24">
      <c r="A1354" s="1"/>
      <c r="M1354" s="26"/>
      <c r="N1354" s="26"/>
      <c r="P1354" s="1"/>
      <c r="Q1354" s="1"/>
      <c r="R1354" s="1"/>
      <c r="S1354" s="1"/>
      <c r="T1354" s="1"/>
      <c r="U1354" s="1"/>
      <c r="V1354" s="16"/>
      <c r="W1354" s="1"/>
      <c r="X1354" s="1"/>
    </row>
    <row r="1355" spans="1:24">
      <c r="A1355" s="1"/>
      <c r="M1355" s="26"/>
      <c r="N1355" s="26"/>
      <c r="P1355" s="1"/>
      <c r="Q1355" s="1"/>
      <c r="R1355" s="1"/>
      <c r="S1355" s="1"/>
      <c r="T1355" s="1"/>
      <c r="U1355" s="1"/>
      <c r="V1355" s="16"/>
      <c r="W1355" s="1"/>
      <c r="X1355" s="1"/>
    </row>
    <row r="1356" spans="1:24">
      <c r="A1356" s="1"/>
      <c r="M1356" s="26"/>
      <c r="N1356" s="26"/>
      <c r="P1356" s="1"/>
      <c r="Q1356" s="1"/>
      <c r="R1356" s="1"/>
      <c r="S1356" s="1"/>
      <c r="T1356" s="1"/>
      <c r="U1356" s="1"/>
      <c r="V1356" s="16"/>
      <c r="W1356" s="1"/>
      <c r="X1356" s="1"/>
    </row>
    <row r="1357" spans="1:24">
      <c r="A1357" s="1"/>
      <c r="M1357" s="26"/>
      <c r="N1357" s="26"/>
      <c r="P1357" s="1"/>
      <c r="Q1357" s="1"/>
      <c r="R1357" s="1"/>
      <c r="S1357" s="1"/>
      <c r="T1357" s="1"/>
      <c r="U1357" s="1"/>
      <c r="V1357" s="16"/>
      <c r="W1357" s="1"/>
      <c r="X1357" s="1"/>
    </row>
    <row r="1358" spans="1:24">
      <c r="A1358" s="1"/>
      <c r="M1358" s="26"/>
      <c r="N1358" s="26"/>
      <c r="P1358" s="1"/>
      <c r="Q1358" s="1"/>
      <c r="R1358" s="1"/>
      <c r="S1358" s="1"/>
      <c r="T1358" s="1"/>
      <c r="U1358" s="1"/>
      <c r="V1358" s="16"/>
      <c r="W1358" s="1"/>
      <c r="X1358" s="1"/>
    </row>
    <row r="1359" spans="1:24">
      <c r="A1359" s="1"/>
      <c r="M1359" s="26"/>
      <c r="N1359" s="26"/>
      <c r="P1359" s="1"/>
      <c r="Q1359" s="1"/>
      <c r="R1359" s="1"/>
      <c r="S1359" s="1"/>
      <c r="T1359" s="1"/>
      <c r="U1359" s="1"/>
      <c r="V1359" s="16"/>
      <c r="W1359" s="1"/>
      <c r="X1359" s="1"/>
    </row>
    <row r="1360" spans="1:24">
      <c r="A1360" s="1"/>
      <c r="M1360" s="26"/>
      <c r="N1360" s="26"/>
      <c r="P1360" s="1"/>
      <c r="Q1360" s="1"/>
      <c r="R1360" s="1"/>
      <c r="S1360" s="1"/>
      <c r="T1360" s="1"/>
      <c r="U1360" s="1"/>
      <c r="V1360" s="16"/>
      <c r="W1360" s="1"/>
      <c r="X1360" s="1"/>
    </row>
    <row r="1361" spans="1:24">
      <c r="A1361" s="1"/>
      <c r="M1361" s="26"/>
      <c r="N1361" s="26"/>
      <c r="P1361" s="1"/>
      <c r="Q1361" s="1"/>
      <c r="R1361" s="1"/>
      <c r="S1361" s="1"/>
      <c r="T1361" s="1"/>
      <c r="U1361" s="1"/>
      <c r="V1361" s="16"/>
      <c r="W1361" s="1"/>
      <c r="X1361" s="1"/>
    </row>
    <row r="1362" spans="1:24">
      <c r="A1362" s="1"/>
      <c r="M1362" s="26"/>
      <c r="N1362" s="26"/>
      <c r="P1362" s="1"/>
      <c r="Q1362" s="1"/>
      <c r="R1362" s="1"/>
      <c r="S1362" s="1"/>
      <c r="T1362" s="1"/>
      <c r="U1362" s="1"/>
      <c r="V1362" s="16"/>
      <c r="W1362" s="1"/>
      <c r="X1362" s="1"/>
    </row>
    <row r="1363" spans="1:24">
      <c r="A1363" s="1"/>
      <c r="M1363" s="26"/>
      <c r="N1363" s="26"/>
      <c r="P1363" s="1"/>
      <c r="Q1363" s="1"/>
      <c r="R1363" s="1"/>
      <c r="S1363" s="1"/>
      <c r="T1363" s="1"/>
      <c r="U1363" s="1"/>
      <c r="V1363" s="16"/>
      <c r="W1363" s="1"/>
      <c r="X1363" s="1"/>
    </row>
    <row r="1364" spans="1:24">
      <c r="A1364" s="1"/>
      <c r="M1364" s="26"/>
      <c r="N1364" s="26"/>
      <c r="P1364" s="1"/>
      <c r="Q1364" s="1"/>
      <c r="R1364" s="1"/>
      <c r="S1364" s="1"/>
      <c r="T1364" s="1"/>
      <c r="U1364" s="1"/>
      <c r="V1364" s="16"/>
      <c r="W1364" s="1"/>
      <c r="X1364" s="1"/>
    </row>
    <row r="1365" spans="1:24">
      <c r="A1365" s="1"/>
      <c r="M1365" s="26"/>
      <c r="N1365" s="26"/>
      <c r="P1365" s="1"/>
      <c r="Q1365" s="1"/>
      <c r="R1365" s="1"/>
      <c r="S1365" s="1"/>
      <c r="T1365" s="1"/>
      <c r="U1365" s="1"/>
      <c r="V1365" s="16"/>
      <c r="W1365" s="1"/>
      <c r="X1365" s="1"/>
    </row>
    <row r="1366" spans="1:24">
      <c r="A1366" s="1"/>
      <c r="M1366" s="26"/>
      <c r="N1366" s="26"/>
      <c r="P1366" s="1"/>
      <c r="Q1366" s="1"/>
      <c r="R1366" s="1"/>
      <c r="S1366" s="1"/>
      <c r="T1366" s="1"/>
      <c r="U1366" s="1"/>
      <c r="V1366" s="16"/>
      <c r="W1366" s="1"/>
      <c r="X1366" s="1"/>
    </row>
    <row r="1367" spans="1:24">
      <c r="A1367" s="1"/>
      <c r="M1367" s="26"/>
      <c r="N1367" s="26"/>
      <c r="P1367" s="1"/>
      <c r="Q1367" s="1"/>
      <c r="R1367" s="1"/>
      <c r="S1367" s="1"/>
      <c r="T1367" s="1"/>
      <c r="U1367" s="1"/>
      <c r="V1367" s="16"/>
      <c r="W1367" s="1"/>
      <c r="X1367" s="1"/>
    </row>
    <row r="1368" spans="1:24">
      <c r="A1368" s="1"/>
      <c r="M1368" s="26"/>
      <c r="N1368" s="26"/>
      <c r="P1368" s="1"/>
      <c r="Q1368" s="1"/>
      <c r="R1368" s="1"/>
      <c r="S1368" s="1"/>
      <c r="T1368" s="1"/>
      <c r="U1368" s="1"/>
      <c r="V1368" s="16"/>
      <c r="W1368" s="1"/>
      <c r="X1368" s="1"/>
    </row>
    <row r="1369" spans="1:24">
      <c r="A1369" s="1"/>
      <c r="M1369" s="26"/>
      <c r="N1369" s="26"/>
      <c r="P1369" s="1"/>
      <c r="Q1369" s="1"/>
      <c r="R1369" s="1"/>
      <c r="S1369" s="1"/>
      <c r="T1369" s="1"/>
      <c r="U1369" s="1"/>
      <c r="V1369" s="16"/>
      <c r="W1369" s="1"/>
      <c r="X1369" s="1"/>
    </row>
    <row r="1370" spans="1:24">
      <c r="A1370" s="1"/>
      <c r="M1370" s="26"/>
      <c r="N1370" s="26"/>
      <c r="P1370" s="1"/>
      <c r="Q1370" s="1"/>
      <c r="R1370" s="1"/>
      <c r="S1370" s="1"/>
      <c r="T1370" s="1"/>
      <c r="U1370" s="1"/>
      <c r="V1370" s="16"/>
      <c r="W1370" s="1"/>
      <c r="X1370" s="1"/>
    </row>
    <row r="1371" spans="1:24">
      <c r="A1371" s="1"/>
      <c r="M1371" s="26"/>
      <c r="N1371" s="26"/>
      <c r="P1371" s="1"/>
      <c r="Q1371" s="1"/>
      <c r="R1371" s="1"/>
      <c r="S1371" s="1"/>
      <c r="T1371" s="1"/>
      <c r="U1371" s="1"/>
      <c r="V1371" s="16"/>
      <c r="W1371" s="1"/>
      <c r="X1371" s="1"/>
    </row>
    <row r="1372" spans="1:24">
      <c r="A1372" s="1"/>
      <c r="M1372" s="26"/>
      <c r="N1372" s="26"/>
      <c r="P1372" s="1"/>
      <c r="Q1372" s="1"/>
      <c r="R1372" s="1"/>
      <c r="S1372" s="1"/>
      <c r="T1372" s="1"/>
      <c r="U1372" s="1"/>
      <c r="V1372" s="16"/>
      <c r="W1372" s="1"/>
      <c r="X1372" s="1"/>
    </row>
    <row r="1373" spans="1:24">
      <c r="A1373" s="1"/>
      <c r="M1373" s="26"/>
      <c r="N1373" s="26"/>
      <c r="P1373" s="1"/>
      <c r="Q1373" s="1"/>
      <c r="R1373" s="1"/>
      <c r="S1373" s="1"/>
      <c r="T1373" s="1"/>
      <c r="U1373" s="1"/>
      <c r="V1373" s="16"/>
      <c r="W1373" s="1"/>
      <c r="X1373" s="1"/>
    </row>
    <row r="1374" spans="1:24">
      <c r="A1374" s="1"/>
      <c r="M1374" s="26"/>
      <c r="N1374" s="26"/>
      <c r="P1374" s="1"/>
      <c r="Q1374" s="1"/>
      <c r="R1374" s="1"/>
      <c r="S1374" s="1"/>
      <c r="T1374" s="1"/>
      <c r="U1374" s="1"/>
      <c r="V1374" s="16"/>
      <c r="W1374" s="1"/>
      <c r="X1374" s="1"/>
    </row>
    <row r="1375" spans="1:24">
      <c r="A1375" s="1"/>
      <c r="M1375" s="26"/>
      <c r="N1375" s="26"/>
      <c r="P1375" s="1"/>
      <c r="Q1375" s="1"/>
      <c r="R1375" s="1"/>
      <c r="S1375" s="1"/>
      <c r="T1375" s="1"/>
      <c r="U1375" s="1"/>
      <c r="V1375" s="16"/>
      <c r="W1375" s="1"/>
      <c r="X1375" s="1"/>
    </row>
    <row r="1376" spans="1:24">
      <c r="A1376" s="1"/>
      <c r="M1376" s="26"/>
      <c r="N1376" s="26"/>
      <c r="P1376" s="1"/>
      <c r="Q1376" s="1"/>
      <c r="R1376" s="1"/>
      <c r="S1376" s="1"/>
      <c r="T1376" s="1"/>
      <c r="U1376" s="1"/>
      <c r="V1376" s="16"/>
      <c r="W1376" s="1"/>
      <c r="X1376" s="1"/>
    </row>
    <row r="1377" spans="1:24">
      <c r="A1377" s="1"/>
      <c r="M1377" s="26"/>
      <c r="N1377" s="26"/>
      <c r="P1377" s="1"/>
      <c r="Q1377" s="1"/>
      <c r="R1377" s="1"/>
      <c r="S1377" s="1"/>
      <c r="T1377" s="1"/>
      <c r="U1377" s="1"/>
      <c r="V1377" s="16"/>
      <c r="W1377" s="1"/>
      <c r="X1377" s="1"/>
    </row>
    <row r="1378" spans="1:24">
      <c r="A1378" s="1"/>
      <c r="M1378" s="26"/>
      <c r="N1378" s="26"/>
      <c r="P1378" s="1"/>
      <c r="Q1378" s="1"/>
      <c r="R1378" s="1"/>
      <c r="S1378" s="1"/>
      <c r="T1378" s="1"/>
      <c r="U1378" s="1"/>
      <c r="V1378" s="16"/>
      <c r="W1378" s="1"/>
      <c r="X1378" s="1"/>
    </row>
    <row r="1379" spans="1:24">
      <c r="A1379" s="1"/>
      <c r="M1379" s="26"/>
      <c r="N1379" s="26"/>
      <c r="P1379" s="1"/>
      <c r="Q1379" s="1"/>
      <c r="R1379" s="1"/>
      <c r="S1379" s="1"/>
      <c r="T1379" s="1"/>
      <c r="U1379" s="1"/>
      <c r="V1379" s="16"/>
      <c r="W1379" s="1"/>
      <c r="X1379" s="1"/>
    </row>
    <row r="1380" spans="1:24">
      <c r="A1380" s="1"/>
      <c r="M1380" s="26"/>
      <c r="N1380" s="26"/>
      <c r="P1380" s="1"/>
      <c r="Q1380" s="1"/>
      <c r="R1380" s="1"/>
      <c r="S1380" s="1"/>
      <c r="T1380" s="1"/>
      <c r="U1380" s="1"/>
      <c r="V1380" s="16"/>
      <c r="W1380" s="1"/>
      <c r="X1380" s="1"/>
    </row>
    <row r="1381" spans="1:24">
      <c r="A1381" s="1"/>
      <c r="M1381" s="26"/>
      <c r="N1381" s="26"/>
      <c r="P1381" s="1"/>
      <c r="Q1381" s="1"/>
      <c r="R1381" s="1"/>
      <c r="S1381" s="1"/>
      <c r="T1381" s="1"/>
      <c r="U1381" s="1"/>
      <c r="V1381" s="16"/>
      <c r="W1381" s="1"/>
      <c r="X1381" s="1"/>
    </row>
    <row r="1382" spans="1:24">
      <c r="A1382" s="1"/>
      <c r="M1382" s="26"/>
      <c r="N1382" s="26"/>
      <c r="P1382" s="1"/>
      <c r="Q1382" s="1"/>
      <c r="R1382" s="1"/>
      <c r="S1382" s="1"/>
      <c r="T1382" s="1"/>
      <c r="U1382" s="1"/>
      <c r="V1382" s="16"/>
      <c r="W1382" s="1"/>
      <c r="X1382" s="1"/>
    </row>
    <row r="1383" spans="1:24">
      <c r="A1383" s="1"/>
      <c r="M1383" s="26"/>
      <c r="N1383" s="26"/>
      <c r="P1383" s="1"/>
      <c r="Q1383" s="1"/>
      <c r="R1383" s="1"/>
      <c r="S1383" s="1"/>
      <c r="T1383" s="1"/>
      <c r="U1383" s="1"/>
      <c r="V1383" s="16"/>
      <c r="W1383" s="1"/>
      <c r="X1383" s="1"/>
    </row>
    <row r="1384" spans="1:24">
      <c r="A1384" s="1"/>
      <c r="M1384" s="26"/>
      <c r="N1384" s="26"/>
      <c r="P1384" s="1"/>
      <c r="Q1384" s="1"/>
      <c r="R1384" s="1"/>
      <c r="S1384" s="1"/>
      <c r="T1384" s="1"/>
      <c r="U1384" s="1"/>
      <c r="V1384" s="16"/>
      <c r="W1384" s="1"/>
      <c r="X1384" s="1"/>
    </row>
    <row r="1385" spans="1:24">
      <c r="A1385" s="1"/>
      <c r="M1385" s="26"/>
      <c r="N1385" s="26"/>
      <c r="P1385" s="1"/>
      <c r="Q1385" s="1"/>
      <c r="R1385" s="1"/>
      <c r="S1385" s="1"/>
      <c r="T1385" s="1"/>
      <c r="U1385" s="1"/>
      <c r="V1385" s="16"/>
      <c r="W1385" s="1"/>
      <c r="X1385" s="1"/>
    </row>
    <row r="1386" spans="1:24">
      <c r="A1386" s="1"/>
      <c r="M1386" s="26"/>
      <c r="N1386" s="26"/>
      <c r="P1386" s="1"/>
      <c r="Q1386" s="1"/>
      <c r="R1386" s="1"/>
      <c r="S1386" s="1"/>
      <c r="T1386" s="1"/>
      <c r="U1386" s="1"/>
      <c r="V1386" s="16"/>
      <c r="W1386" s="1"/>
      <c r="X1386" s="1"/>
    </row>
    <row r="1387" spans="1:24">
      <c r="A1387" s="1"/>
      <c r="M1387" s="26"/>
      <c r="N1387" s="26"/>
      <c r="P1387" s="1"/>
      <c r="Q1387" s="1"/>
      <c r="R1387" s="1"/>
      <c r="S1387" s="1"/>
      <c r="T1387" s="1"/>
      <c r="U1387" s="1"/>
      <c r="V1387" s="16"/>
      <c r="W1387" s="1"/>
      <c r="X1387" s="1"/>
    </row>
    <row r="1388" spans="1:24">
      <c r="A1388" s="1"/>
      <c r="M1388" s="26"/>
      <c r="N1388" s="26"/>
      <c r="P1388" s="1"/>
      <c r="Q1388" s="1"/>
      <c r="R1388" s="1"/>
      <c r="S1388" s="1"/>
      <c r="T1388" s="1"/>
      <c r="U1388" s="1"/>
      <c r="V1388" s="16"/>
      <c r="W1388" s="1"/>
      <c r="X1388" s="1"/>
    </row>
    <row r="1389" spans="1:24">
      <c r="A1389" s="1"/>
      <c r="M1389" s="26"/>
      <c r="N1389" s="26"/>
      <c r="P1389" s="1"/>
      <c r="Q1389" s="1"/>
      <c r="R1389" s="1"/>
      <c r="S1389" s="1"/>
      <c r="T1389" s="1"/>
      <c r="U1389" s="1"/>
      <c r="V1389" s="16"/>
      <c r="W1389" s="1"/>
      <c r="X1389" s="1"/>
    </row>
    <row r="1390" spans="1:24">
      <c r="A1390" s="1"/>
      <c r="M1390" s="26"/>
      <c r="N1390" s="26"/>
      <c r="P1390" s="1"/>
      <c r="Q1390" s="1"/>
      <c r="R1390" s="1"/>
      <c r="S1390" s="1"/>
      <c r="T1390" s="1"/>
      <c r="U1390" s="1"/>
      <c r="V1390" s="16"/>
      <c r="W1390" s="1"/>
      <c r="X1390" s="1"/>
    </row>
    <row r="1391" spans="1:24">
      <c r="A1391" s="1"/>
      <c r="M1391" s="26"/>
      <c r="N1391" s="26"/>
      <c r="P1391" s="1"/>
      <c r="Q1391" s="1"/>
      <c r="R1391" s="1"/>
      <c r="S1391" s="1"/>
      <c r="T1391" s="1"/>
      <c r="U1391" s="1"/>
      <c r="V1391" s="16"/>
      <c r="W1391" s="1"/>
      <c r="X1391" s="1"/>
    </row>
    <row r="1392" spans="1:24">
      <c r="A1392" s="1"/>
      <c r="M1392" s="26"/>
      <c r="N1392" s="26"/>
      <c r="P1392" s="1"/>
      <c r="Q1392" s="1"/>
      <c r="R1392" s="1"/>
      <c r="S1392" s="1"/>
      <c r="T1392" s="1"/>
      <c r="U1392" s="1"/>
      <c r="V1392" s="16"/>
      <c r="W1392" s="1"/>
      <c r="X1392" s="1"/>
    </row>
    <row r="1393" spans="1:24">
      <c r="A1393" s="1"/>
      <c r="M1393" s="26"/>
      <c r="N1393" s="26"/>
      <c r="P1393" s="1"/>
      <c r="Q1393" s="1"/>
      <c r="R1393" s="1"/>
      <c r="S1393" s="1"/>
      <c r="T1393" s="1"/>
      <c r="U1393" s="1"/>
      <c r="V1393" s="16"/>
      <c r="W1393" s="1"/>
      <c r="X1393" s="1"/>
    </row>
    <row r="1394" spans="1:24">
      <c r="A1394" s="1"/>
      <c r="M1394" s="26"/>
      <c r="N1394" s="26"/>
      <c r="P1394" s="1"/>
      <c r="Q1394" s="1"/>
      <c r="R1394" s="1"/>
      <c r="S1394" s="1"/>
      <c r="T1394" s="1"/>
      <c r="U1394" s="1"/>
      <c r="V1394" s="16"/>
      <c r="W1394" s="1"/>
      <c r="X1394" s="1"/>
    </row>
    <row r="1395" spans="1:24">
      <c r="A1395" s="1"/>
      <c r="M1395" s="26"/>
      <c r="N1395" s="26"/>
      <c r="P1395" s="1"/>
      <c r="Q1395" s="1"/>
      <c r="R1395" s="1"/>
      <c r="S1395" s="1"/>
      <c r="T1395" s="1"/>
      <c r="U1395" s="1"/>
      <c r="V1395" s="16"/>
      <c r="W1395" s="1"/>
      <c r="X1395" s="1"/>
    </row>
    <row r="1396" spans="1:24">
      <c r="A1396" s="1"/>
      <c r="M1396" s="26"/>
      <c r="N1396" s="26"/>
      <c r="P1396" s="1"/>
      <c r="Q1396" s="1"/>
      <c r="R1396" s="1"/>
      <c r="S1396" s="1"/>
      <c r="T1396" s="1"/>
      <c r="U1396" s="1"/>
      <c r="V1396" s="16"/>
      <c r="W1396" s="1"/>
      <c r="X1396" s="1"/>
    </row>
    <row r="1397" spans="1:24">
      <c r="A1397" s="1"/>
      <c r="M1397" s="26"/>
      <c r="N1397" s="26"/>
      <c r="P1397" s="1"/>
      <c r="Q1397" s="1"/>
      <c r="R1397" s="1"/>
      <c r="S1397" s="1"/>
      <c r="T1397" s="1"/>
      <c r="U1397" s="1"/>
      <c r="V1397" s="16"/>
      <c r="W1397" s="1"/>
      <c r="X1397" s="1"/>
    </row>
    <row r="1398" spans="1:24">
      <c r="A1398" s="1"/>
      <c r="M1398" s="26"/>
      <c r="N1398" s="26"/>
      <c r="P1398" s="1"/>
      <c r="Q1398" s="1"/>
      <c r="R1398" s="1"/>
      <c r="S1398" s="1"/>
      <c r="T1398" s="1"/>
      <c r="U1398" s="1"/>
      <c r="V1398" s="16"/>
      <c r="W1398" s="1"/>
      <c r="X1398" s="1"/>
    </row>
    <row r="1399" spans="1:24">
      <c r="A1399" s="1"/>
      <c r="M1399" s="26"/>
      <c r="N1399" s="26"/>
      <c r="P1399" s="1"/>
      <c r="Q1399" s="1"/>
      <c r="R1399" s="1"/>
      <c r="S1399" s="1"/>
      <c r="T1399" s="1"/>
      <c r="U1399" s="1"/>
      <c r="V1399" s="16"/>
      <c r="W1399" s="1"/>
      <c r="X1399" s="1"/>
    </row>
    <row r="1400" spans="1:24">
      <c r="A1400" s="1"/>
      <c r="M1400" s="26"/>
      <c r="N1400" s="26"/>
      <c r="P1400" s="1"/>
      <c r="Q1400" s="1"/>
      <c r="R1400" s="1"/>
      <c r="S1400" s="1"/>
      <c r="T1400" s="1"/>
      <c r="U1400" s="1"/>
      <c r="V1400" s="16"/>
      <c r="W1400" s="1"/>
      <c r="X1400" s="1"/>
    </row>
    <row r="1401" spans="1:24">
      <c r="A1401" s="1"/>
      <c r="M1401" s="26"/>
      <c r="N1401" s="26"/>
      <c r="P1401" s="1"/>
      <c r="Q1401" s="1"/>
      <c r="R1401" s="1"/>
      <c r="S1401" s="1"/>
      <c r="T1401" s="1"/>
      <c r="U1401" s="1"/>
      <c r="V1401" s="16"/>
      <c r="W1401" s="1"/>
      <c r="X1401" s="1"/>
    </row>
    <row r="1402" spans="1:24">
      <c r="A1402" s="1"/>
      <c r="M1402" s="26"/>
      <c r="N1402" s="26"/>
      <c r="P1402" s="1"/>
      <c r="Q1402" s="1"/>
      <c r="R1402" s="1"/>
      <c r="S1402" s="1"/>
      <c r="T1402" s="1"/>
      <c r="U1402" s="1"/>
      <c r="V1402" s="16"/>
      <c r="W1402" s="1"/>
      <c r="X1402" s="1"/>
    </row>
    <row r="1403" spans="1:24">
      <c r="A1403" s="1"/>
      <c r="M1403" s="26"/>
      <c r="N1403" s="26"/>
      <c r="P1403" s="1"/>
      <c r="Q1403" s="1"/>
      <c r="R1403" s="1"/>
      <c r="S1403" s="1"/>
      <c r="T1403" s="1"/>
      <c r="U1403" s="1"/>
      <c r="V1403" s="16"/>
      <c r="W1403" s="1"/>
      <c r="X1403" s="1"/>
    </row>
    <row r="1404" spans="1:24">
      <c r="A1404" s="1"/>
      <c r="M1404" s="26"/>
      <c r="N1404" s="26"/>
      <c r="P1404" s="1"/>
      <c r="Q1404" s="1"/>
      <c r="R1404" s="1"/>
      <c r="S1404" s="1"/>
      <c r="T1404" s="1"/>
      <c r="U1404" s="1"/>
      <c r="V1404" s="16"/>
      <c r="W1404" s="1"/>
      <c r="X1404" s="1"/>
    </row>
    <row r="1405" spans="1:24">
      <c r="A1405" s="1"/>
      <c r="M1405" s="26"/>
      <c r="N1405" s="26"/>
      <c r="P1405" s="1"/>
      <c r="Q1405" s="1"/>
      <c r="R1405" s="1"/>
      <c r="S1405" s="1"/>
      <c r="T1405" s="1"/>
      <c r="U1405" s="1"/>
      <c r="V1405" s="16"/>
      <c r="W1405" s="1"/>
      <c r="X1405" s="1"/>
    </row>
    <row r="1406" spans="1:24">
      <c r="A1406" s="1"/>
      <c r="M1406" s="26"/>
      <c r="N1406" s="26"/>
      <c r="P1406" s="1"/>
      <c r="Q1406" s="1"/>
      <c r="R1406" s="1"/>
      <c r="S1406" s="1"/>
      <c r="T1406" s="1"/>
      <c r="U1406" s="1"/>
      <c r="V1406" s="16"/>
      <c r="W1406" s="1"/>
      <c r="X1406" s="1"/>
    </row>
    <row r="1407" spans="1:24">
      <c r="A1407" s="1"/>
      <c r="M1407" s="26"/>
      <c r="N1407" s="26"/>
      <c r="P1407" s="1"/>
      <c r="Q1407" s="1"/>
      <c r="R1407" s="1"/>
      <c r="S1407" s="1"/>
      <c r="T1407" s="1"/>
      <c r="U1407" s="1"/>
      <c r="V1407" s="16"/>
      <c r="W1407" s="1"/>
      <c r="X1407" s="1"/>
    </row>
    <row r="1408" spans="1:24">
      <c r="A1408" s="1"/>
      <c r="M1408" s="26"/>
      <c r="N1408" s="26"/>
      <c r="P1408" s="1"/>
      <c r="Q1408" s="1"/>
      <c r="R1408" s="1"/>
      <c r="S1408" s="1"/>
      <c r="T1408" s="1"/>
      <c r="U1408" s="1"/>
      <c r="V1408" s="16"/>
      <c r="W1408" s="1"/>
      <c r="X1408" s="1"/>
    </row>
    <row r="1409" spans="1:24">
      <c r="A1409" s="1"/>
      <c r="M1409" s="26"/>
      <c r="N1409" s="26"/>
      <c r="P1409" s="1"/>
      <c r="Q1409" s="1"/>
      <c r="R1409" s="1"/>
      <c r="S1409" s="1"/>
      <c r="T1409" s="1"/>
      <c r="U1409" s="1"/>
      <c r="V1409" s="16"/>
      <c r="W1409" s="1"/>
      <c r="X1409" s="1"/>
    </row>
    <row r="1410" spans="1:24">
      <c r="A1410" s="1"/>
      <c r="M1410" s="26"/>
      <c r="N1410" s="26"/>
      <c r="P1410" s="1"/>
      <c r="Q1410" s="1"/>
      <c r="R1410" s="1"/>
      <c r="S1410" s="1"/>
      <c r="T1410" s="1"/>
      <c r="U1410" s="1"/>
      <c r="V1410" s="16"/>
      <c r="W1410" s="1"/>
      <c r="X1410" s="1"/>
    </row>
    <row r="1411" spans="1:24">
      <c r="A1411" s="1"/>
      <c r="M1411" s="26"/>
      <c r="N1411" s="26"/>
      <c r="P1411" s="1"/>
      <c r="Q1411" s="1"/>
      <c r="R1411" s="1"/>
      <c r="S1411" s="1"/>
      <c r="T1411" s="1"/>
      <c r="U1411" s="1"/>
      <c r="V1411" s="16"/>
      <c r="W1411" s="1"/>
      <c r="X1411" s="1"/>
    </row>
    <row r="1412" spans="1:24">
      <c r="A1412" s="1"/>
      <c r="M1412" s="26"/>
      <c r="N1412" s="26"/>
      <c r="P1412" s="1"/>
      <c r="Q1412" s="1"/>
      <c r="R1412" s="1"/>
      <c r="S1412" s="1"/>
      <c r="T1412" s="1"/>
      <c r="U1412" s="1"/>
      <c r="V1412" s="16"/>
      <c r="W1412" s="1"/>
      <c r="X1412" s="1"/>
    </row>
    <row r="1413" spans="1:24">
      <c r="A1413" s="1"/>
      <c r="M1413" s="26"/>
      <c r="N1413" s="26"/>
      <c r="P1413" s="1"/>
      <c r="Q1413" s="1"/>
      <c r="R1413" s="1"/>
      <c r="S1413" s="1"/>
      <c r="T1413" s="1"/>
      <c r="U1413" s="1"/>
      <c r="V1413" s="16"/>
      <c r="W1413" s="1"/>
      <c r="X1413" s="1"/>
    </row>
    <row r="1414" spans="1:24">
      <c r="A1414" s="1"/>
      <c r="M1414" s="26"/>
      <c r="N1414" s="26"/>
      <c r="P1414" s="1"/>
      <c r="Q1414" s="1"/>
      <c r="R1414" s="1"/>
      <c r="S1414" s="1"/>
      <c r="T1414" s="1"/>
      <c r="U1414" s="1"/>
      <c r="V1414" s="16"/>
      <c r="W1414" s="1"/>
      <c r="X1414" s="1"/>
    </row>
    <row r="1415" spans="1:24">
      <c r="A1415" s="1"/>
      <c r="M1415" s="26"/>
      <c r="N1415" s="26"/>
      <c r="P1415" s="1"/>
      <c r="Q1415" s="1"/>
      <c r="R1415" s="1"/>
      <c r="S1415" s="1"/>
      <c r="T1415" s="1"/>
      <c r="U1415" s="1"/>
      <c r="V1415" s="16"/>
      <c r="W1415" s="1"/>
      <c r="X1415" s="1"/>
    </row>
    <row r="1416" spans="1:24">
      <c r="A1416" s="1"/>
      <c r="M1416" s="26"/>
      <c r="N1416" s="26"/>
      <c r="P1416" s="1"/>
      <c r="Q1416" s="1"/>
      <c r="R1416" s="1"/>
      <c r="S1416" s="1"/>
      <c r="T1416" s="1"/>
      <c r="U1416" s="1"/>
      <c r="V1416" s="16"/>
      <c r="W1416" s="1"/>
      <c r="X1416" s="1"/>
    </row>
    <row r="1417" spans="1:24">
      <c r="A1417" s="1"/>
      <c r="M1417" s="26"/>
      <c r="N1417" s="26"/>
      <c r="P1417" s="1"/>
      <c r="Q1417" s="1"/>
      <c r="R1417" s="1"/>
      <c r="S1417" s="1"/>
      <c r="T1417" s="1"/>
      <c r="U1417" s="1"/>
      <c r="V1417" s="16"/>
      <c r="W1417" s="1"/>
      <c r="X1417" s="1"/>
    </row>
    <row r="1418" spans="1:24">
      <c r="A1418" s="1"/>
      <c r="M1418" s="26"/>
      <c r="N1418" s="26"/>
      <c r="P1418" s="1"/>
      <c r="Q1418" s="1"/>
      <c r="R1418" s="1"/>
      <c r="S1418" s="1"/>
      <c r="T1418" s="1"/>
      <c r="U1418" s="1"/>
      <c r="V1418" s="16"/>
      <c r="W1418" s="1"/>
      <c r="X1418" s="1"/>
    </row>
    <row r="1419" spans="1:24">
      <c r="A1419" s="1"/>
      <c r="M1419" s="26"/>
      <c r="N1419" s="26"/>
      <c r="P1419" s="1"/>
      <c r="Q1419" s="1"/>
      <c r="R1419" s="1"/>
      <c r="S1419" s="1"/>
      <c r="T1419" s="1"/>
      <c r="U1419" s="1"/>
      <c r="V1419" s="16"/>
      <c r="W1419" s="1"/>
      <c r="X1419" s="1"/>
    </row>
    <row r="1420" spans="1:24">
      <c r="A1420" s="1"/>
      <c r="M1420" s="26"/>
      <c r="N1420" s="26"/>
      <c r="P1420" s="1"/>
      <c r="Q1420" s="1"/>
      <c r="R1420" s="1"/>
      <c r="S1420" s="1"/>
      <c r="T1420" s="1"/>
      <c r="U1420" s="1"/>
      <c r="V1420" s="16"/>
      <c r="W1420" s="1"/>
      <c r="X1420" s="1"/>
    </row>
    <row r="1421" spans="1:24">
      <c r="A1421" s="1"/>
      <c r="M1421" s="26"/>
      <c r="N1421" s="26"/>
      <c r="P1421" s="1"/>
      <c r="Q1421" s="1"/>
      <c r="R1421" s="1"/>
      <c r="S1421" s="1"/>
      <c r="T1421" s="1"/>
      <c r="U1421" s="1"/>
      <c r="V1421" s="16"/>
      <c r="W1421" s="1"/>
      <c r="X1421" s="1"/>
    </row>
    <row r="1422" spans="1:24">
      <c r="A1422" s="1"/>
      <c r="M1422" s="26"/>
      <c r="N1422" s="26"/>
      <c r="P1422" s="1"/>
      <c r="Q1422" s="1"/>
      <c r="R1422" s="1"/>
      <c r="S1422" s="1"/>
      <c r="T1422" s="1"/>
      <c r="U1422" s="1"/>
      <c r="V1422" s="16"/>
      <c r="W1422" s="1"/>
      <c r="X1422" s="1"/>
    </row>
    <row r="1423" spans="1:24">
      <c r="A1423" s="1"/>
      <c r="M1423" s="26"/>
      <c r="N1423" s="26"/>
      <c r="P1423" s="1"/>
      <c r="Q1423" s="1"/>
      <c r="R1423" s="1"/>
      <c r="S1423" s="1"/>
      <c r="T1423" s="1"/>
      <c r="U1423" s="1"/>
      <c r="V1423" s="16"/>
      <c r="W1423" s="1"/>
      <c r="X1423" s="1"/>
    </row>
    <row r="1424" spans="1:24">
      <c r="A1424" s="1"/>
      <c r="M1424" s="26"/>
      <c r="N1424" s="26"/>
      <c r="P1424" s="1"/>
      <c r="Q1424" s="1"/>
      <c r="R1424" s="1"/>
      <c r="S1424" s="1"/>
      <c r="T1424" s="1"/>
      <c r="U1424" s="1"/>
      <c r="V1424" s="16"/>
      <c r="W1424" s="1"/>
      <c r="X1424" s="1"/>
    </row>
    <row r="1425" spans="1:24">
      <c r="A1425" s="1"/>
      <c r="M1425" s="26"/>
      <c r="N1425" s="26"/>
      <c r="P1425" s="1"/>
      <c r="Q1425" s="1"/>
      <c r="R1425" s="1"/>
      <c r="S1425" s="1"/>
      <c r="T1425" s="1"/>
      <c r="U1425" s="1"/>
      <c r="V1425" s="16"/>
      <c r="W1425" s="1"/>
      <c r="X1425" s="1"/>
    </row>
    <row r="1426" spans="1:24">
      <c r="A1426" s="1"/>
      <c r="M1426" s="26"/>
      <c r="N1426" s="26"/>
      <c r="P1426" s="1"/>
      <c r="Q1426" s="1"/>
      <c r="R1426" s="1"/>
      <c r="S1426" s="1"/>
      <c r="T1426" s="1"/>
      <c r="U1426" s="1"/>
      <c r="V1426" s="16"/>
      <c r="W1426" s="1"/>
      <c r="X1426" s="1"/>
    </row>
    <row r="1427" spans="1:24">
      <c r="A1427" s="1"/>
      <c r="M1427" s="26"/>
      <c r="N1427" s="26"/>
      <c r="P1427" s="1"/>
      <c r="Q1427" s="1"/>
      <c r="R1427" s="1"/>
      <c r="S1427" s="1"/>
      <c r="T1427" s="1"/>
      <c r="U1427" s="1"/>
      <c r="V1427" s="16"/>
      <c r="W1427" s="1"/>
      <c r="X1427" s="1"/>
    </row>
    <row r="1428" spans="1:24">
      <c r="A1428" s="1"/>
      <c r="M1428" s="26"/>
      <c r="N1428" s="26"/>
      <c r="P1428" s="1"/>
      <c r="Q1428" s="1"/>
      <c r="R1428" s="1"/>
      <c r="S1428" s="1"/>
      <c r="T1428" s="1"/>
      <c r="U1428" s="1"/>
      <c r="V1428" s="16"/>
      <c r="W1428" s="1"/>
      <c r="X1428" s="1"/>
    </row>
    <row r="1429" spans="1:24">
      <c r="A1429" s="1"/>
      <c r="M1429" s="26"/>
      <c r="N1429" s="26"/>
      <c r="P1429" s="1"/>
      <c r="Q1429" s="1"/>
      <c r="R1429" s="1"/>
      <c r="S1429" s="1"/>
      <c r="T1429" s="1"/>
      <c r="U1429" s="1"/>
      <c r="V1429" s="16"/>
      <c r="W1429" s="1"/>
      <c r="X1429" s="1"/>
    </row>
    <row r="1430" spans="1:24">
      <c r="A1430" s="1"/>
      <c r="M1430" s="26"/>
      <c r="N1430" s="26"/>
      <c r="P1430" s="1"/>
      <c r="Q1430" s="1"/>
      <c r="R1430" s="1"/>
      <c r="S1430" s="1"/>
      <c r="T1430" s="1"/>
      <c r="U1430" s="1"/>
      <c r="V1430" s="16"/>
      <c r="W1430" s="1"/>
      <c r="X1430" s="1"/>
    </row>
    <row r="1431" spans="1:24">
      <c r="A1431" s="1"/>
      <c r="M1431" s="26"/>
      <c r="N1431" s="26"/>
      <c r="P1431" s="1"/>
      <c r="Q1431" s="1"/>
      <c r="R1431" s="1"/>
      <c r="S1431" s="1"/>
      <c r="T1431" s="1"/>
      <c r="U1431" s="1"/>
      <c r="V1431" s="16"/>
      <c r="W1431" s="1"/>
      <c r="X1431" s="1"/>
    </row>
    <row r="1432" spans="1:24">
      <c r="A1432" s="1"/>
      <c r="M1432" s="26"/>
      <c r="N1432" s="26"/>
      <c r="P1432" s="1"/>
      <c r="Q1432" s="1"/>
      <c r="R1432" s="1"/>
      <c r="S1432" s="1"/>
      <c r="T1432" s="1"/>
      <c r="U1432" s="1"/>
      <c r="V1432" s="16"/>
      <c r="W1432" s="1"/>
      <c r="X1432" s="1"/>
    </row>
    <row r="1433" spans="1:24">
      <c r="A1433" s="1"/>
      <c r="M1433" s="26"/>
      <c r="N1433" s="26"/>
      <c r="P1433" s="1"/>
      <c r="Q1433" s="1"/>
      <c r="R1433" s="1"/>
      <c r="S1433" s="1"/>
      <c r="T1433" s="1"/>
      <c r="U1433" s="1"/>
      <c r="V1433" s="16"/>
      <c r="W1433" s="1"/>
      <c r="X1433" s="1"/>
    </row>
    <row r="1434" spans="1:24">
      <c r="A1434" s="1"/>
      <c r="M1434" s="26"/>
      <c r="N1434" s="26"/>
      <c r="P1434" s="1"/>
      <c r="Q1434" s="1"/>
      <c r="R1434" s="1"/>
      <c r="S1434" s="1"/>
      <c r="T1434" s="1"/>
      <c r="U1434" s="1"/>
      <c r="V1434" s="16"/>
      <c r="W1434" s="1"/>
      <c r="X1434" s="1"/>
    </row>
    <row r="1435" spans="1:24">
      <c r="A1435" s="1"/>
      <c r="M1435" s="26"/>
      <c r="N1435" s="26"/>
      <c r="P1435" s="1"/>
      <c r="Q1435" s="1"/>
      <c r="R1435" s="1"/>
      <c r="S1435" s="1"/>
      <c r="T1435" s="1"/>
      <c r="U1435" s="1"/>
      <c r="V1435" s="16"/>
      <c r="W1435" s="1"/>
      <c r="X1435" s="1"/>
    </row>
    <row r="1436" spans="1:24">
      <c r="A1436" s="1"/>
      <c r="M1436" s="26"/>
      <c r="N1436" s="26"/>
      <c r="P1436" s="1"/>
      <c r="Q1436" s="1"/>
      <c r="R1436" s="1"/>
      <c r="S1436" s="1"/>
      <c r="T1436" s="1"/>
      <c r="U1436" s="1"/>
      <c r="V1436" s="16"/>
      <c r="W1436" s="1"/>
      <c r="X1436" s="1"/>
    </row>
    <row r="1437" spans="1:24">
      <c r="A1437" s="1"/>
      <c r="M1437" s="26"/>
      <c r="N1437" s="26"/>
      <c r="P1437" s="1"/>
      <c r="Q1437" s="1"/>
      <c r="R1437" s="1"/>
      <c r="S1437" s="1"/>
      <c r="T1437" s="1"/>
      <c r="U1437" s="1"/>
      <c r="V1437" s="16"/>
      <c r="W1437" s="1"/>
      <c r="X1437" s="1"/>
    </row>
    <row r="1438" spans="1:24">
      <c r="A1438" s="1"/>
      <c r="M1438" s="26"/>
      <c r="N1438" s="26"/>
      <c r="P1438" s="1"/>
      <c r="Q1438" s="1"/>
      <c r="R1438" s="1"/>
      <c r="S1438" s="1"/>
      <c r="T1438" s="1"/>
      <c r="U1438" s="1"/>
      <c r="V1438" s="16"/>
      <c r="W1438" s="1"/>
      <c r="X1438" s="1"/>
    </row>
    <row r="1439" spans="1:24">
      <c r="A1439" s="1"/>
      <c r="M1439" s="26"/>
      <c r="N1439" s="26"/>
      <c r="P1439" s="1"/>
      <c r="Q1439" s="1"/>
      <c r="R1439" s="1"/>
      <c r="S1439" s="1"/>
      <c r="T1439" s="1"/>
      <c r="U1439" s="1"/>
      <c r="V1439" s="16"/>
      <c r="W1439" s="1"/>
      <c r="X1439" s="1"/>
    </row>
    <row r="1440" spans="1:24">
      <c r="A1440" s="1"/>
      <c r="M1440" s="26"/>
      <c r="N1440" s="26"/>
      <c r="P1440" s="1"/>
      <c r="Q1440" s="1"/>
      <c r="R1440" s="1"/>
      <c r="S1440" s="1"/>
      <c r="T1440" s="1"/>
      <c r="U1440" s="1"/>
      <c r="V1440" s="16"/>
      <c r="W1440" s="1"/>
      <c r="X1440" s="1"/>
    </row>
    <row r="1441" spans="1:24">
      <c r="A1441" s="1"/>
      <c r="M1441" s="26"/>
      <c r="N1441" s="26"/>
      <c r="P1441" s="1"/>
      <c r="Q1441" s="1"/>
      <c r="R1441" s="1"/>
      <c r="S1441" s="1"/>
      <c r="T1441" s="1"/>
      <c r="U1441" s="1"/>
      <c r="V1441" s="16"/>
      <c r="W1441" s="1"/>
      <c r="X1441" s="1"/>
    </row>
    <row r="1442" spans="1:24">
      <c r="A1442" s="1"/>
      <c r="M1442" s="26"/>
      <c r="N1442" s="26"/>
      <c r="P1442" s="1"/>
      <c r="Q1442" s="1"/>
      <c r="R1442" s="1"/>
      <c r="S1442" s="1"/>
      <c r="T1442" s="1"/>
      <c r="U1442" s="1"/>
      <c r="V1442" s="16"/>
      <c r="W1442" s="1"/>
      <c r="X1442" s="1"/>
    </row>
    <row r="1443" spans="1:24">
      <c r="A1443" s="1"/>
      <c r="M1443" s="26"/>
      <c r="N1443" s="26"/>
      <c r="P1443" s="1"/>
      <c r="Q1443" s="1"/>
      <c r="R1443" s="1"/>
      <c r="S1443" s="1"/>
      <c r="T1443" s="1"/>
      <c r="U1443" s="1"/>
      <c r="V1443" s="16"/>
      <c r="W1443" s="1"/>
      <c r="X1443" s="1"/>
    </row>
    <row r="1444" spans="1:24">
      <c r="A1444" s="1"/>
      <c r="M1444" s="26"/>
      <c r="N1444" s="26"/>
      <c r="P1444" s="1"/>
      <c r="Q1444" s="1"/>
      <c r="R1444" s="1"/>
      <c r="S1444" s="1"/>
      <c r="T1444" s="1"/>
      <c r="U1444" s="1"/>
      <c r="V1444" s="16"/>
      <c r="W1444" s="1"/>
      <c r="X1444" s="1"/>
    </row>
    <row r="1445" spans="1:24">
      <c r="A1445" s="1"/>
      <c r="M1445" s="26"/>
      <c r="N1445" s="26"/>
      <c r="P1445" s="1"/>
      <c r="Q1445" s="1"/>
      <c r="R1445" s="1"/>
      <c r="S1445" s="1"/>
      <c r="T1445" s="1"/>
      <c r="U1445" s="1"/>
      <c r="V1445" s="16"/>
      <c r="W1445" s="1"/>
      <c r="X1445" s="1"/>
    </row>
    <row r="1446" spans="1:24">
      <c r="A1446" s="1"/>
      <c r="M1446" s="26"/>
      <c r="N1446" s="26"/>
      <c r="P1446" s="1"/>
      <c r="Q1446" s="1"/>
      <c r="R1446" s="1"/>
      <c r="S1446" s="1"/>
      <c r="T1446" s="1"/>
      <c r="U1446" s="1"/>
      <c r="V1446" s="16"/>
      <c r="W1446" s="1"/>
      <c r="X1446" s="1"/>
    </row>
    <row r="1447" spans="1:24">
      <c r="A1447" s="1"/>
      <c r="M1447" s="26"/>
      <c r="N1447" s="26"/>
      <c r="P1447" s="1"/>
      <c r="Q1447" s="1"/>
      <c r="R1447" s="1"/>
      <c r="S1447" s="1"/>
      <c r="T1447" s="1"/>
      <c r="U1447" s="1"/>
      <c r="V1447" s="16"/>
      <c r="W1447" s="1"/>
      <c r="X1447" s="1"/>
    </row>
    <row r="1448" spans="1:24">
      <c r="A1448" s="1"/>
      <c r="M1448" s="26"/>
      <c r="N1448" s="26"/>
      <c r="P1448" s="1"/>
      <c r="Q1448" s="1"/>
      <c r="R1448" s="1"/>
      <c r="S1448" s="1"/>
      <c r="T1448" s="1"/>
      <c r="U1448" s="1"/>
      <c r="V1448" s="16"/>
      <c r="W1448" s="1"/>
      <c r="X1448" s="1"/>
    </row>
    <row r="1449" spans="1:24">
      <c r="A1449" s="1"/>
      <c r="M1449" s="26"/>
      <c r="N1449" s="26"/>
      <c r="P1449" s="1"/>
      <c r="Q1449" s="1"/>
      <c r="R1449" s="1"/>
      <c r="S1449" s="1"/>
      <c r="T1449" s="1"/>
      <c r="U1449" s="1"/>
      <c r="V1449" s="16"/>
      <c r="W1449" s="1"/>
      <c r="X1449" s="1"/>
    </row>
    <row r="1450" spans="1:24">
      <c r="A1450" s="1"/>
      <c r="M1450" s="26"/>
      <c r="N1450" s="26"/>
      <c r="P1450" s="1"/>
      <c r="Q1450" s="1"/>
      <c r="R1450" s="1"/>
      <c r="S1450" s="1"/>
      <c r="T1450" s="1"/>
      <c r="U1450" s="1"/>
      <c r="V1450" s="16"/>
      <c r="W1450" s="1"/>
      <c r="X1450" s="1"/>
    </row>
    <row r="1451" spans="1:24">
      <c r="A1451" s="1"/>
      <c r="M1451" s="26"/>
      <c r="N1451" s="26"/>
      <c r="P1451" s="1"/>
      <c r="Q1451" s="1"/>
      <c r="R1451" s="1"/>
      <c r="S1451" s="1"/>
      <c r="T1451" s="1"/>
      <c r="U1451" s="1"/>
      <c r="V1451" s="16"/>
      <c r="W1451" s="1"/>
      <c r="X1451" s="1"/>
    </row>
    <row r="1452" spans="1:24">
      <c r="A1452" s="1"/>
      <c r="M1452" s="26"/>
      <c r="N1452" s="26"/>
      <c r="P1452" s="1"/>
      <c r="Q1452" s="1"/>
      <c r="R1452" s="1"/>
      <c r="S1452" s="1"/>
      <c r="T1452" s="1"/>
      <c r="U1452" s="1"/>
      <c r="V1452" s="16"/>
      <c r="W1452" s="1"/>
      <c r="X1452" s="1"/>
    </row>
    <row r="1453" spans="1:24">
      <c r="A1453" s="1"/>
      <c r="M1453" s="26"/>
      <c r="N1453" s="26"/>
      <c r="P1453" s="1"/>
      <c r="Q1453" s="1"/>
      <c r="R1453" s="1"/>
      <c r="S1453" s="1"/>
      <c r="T1453" s="1"/>
      <c r="U1453" s="1"/>
      <c r="V1453" s="16"/>
      <c r="W1453" s="1"/>
      <c r="X1453" s="1"/>
    </row>
    <row r="1454" spans="1:24">
      <c r="A1454" s="1"/>
      <c r="M1454" s="26"/>
      <c r="N1454" s="26"/>
      <c r="P1454" s="1"/>
      <c r="Q1454" s="1"/>
      <c r="R1454" s="1"/>
      <c r="S1454" s="1"/>
      <c r="T1454" s="1"/>
      <c r="U1454" s="1"/>
      <c r="V1454" s="16"/>
      <c r="W1454" s="1"/>
      <c r="X1454" s="1"/>
    </row>
    <row r="1455" spans="1:24">
      <c r="A1455" s="1"/>
      <c r="M1455" s="26"/>
      <c r="N1455" s="26"/>
      <c r="P1455" s="1"/>
      <c r="Q1455" s="1"/>
      <c r="R1455" s="1"/>
      <c r="S1455" s="1"/>
      <c r="T1455" s="1"/>
      <c r="U1455" s="1"/>
      <c r="V1455" s="16"/>
      <c r="W1455" s="1"/>
      <c r="X1455" s="1"/>
    </row>
    <row r="1456" spans="1:24">
      <c r="A1456" s="1"/>
      <c r="M1456" s="26"/>
      <c r="N1456" s="26"/>
      <c r="P1456" s="1"/>
      <c r="Q1456" s="1"/>
      <c r="R1456" s="1"/>
      <c r="S1456" s="1"/>
      <c r="T1456" s="1"/>
      <c r="U1456" s="1"/>
      <c r="V1456" s="16"/>
      <c r="W1456" s="1"/>
      <c r="X1456" s="1"/>
    </row>
    <row r="1457" spans="1:24">
      <c r="A1457" s="1"/>
      <c r="M1457" s="26"/>
      <c r="N1457" s="26"/>
      <c r="P1457" s="1"/>
      <c r="Q1457" s="1"/>
      <c r="R1457" s="1"/>
      <c r="S1457" s="1"/>
      <c r="T1457" s="1"/>
      <c r="U1457" s="1"/>
      <c r="V1457" s="16"/>
      <c r="W1457" s="1"/>
      <c r="X1457" s="1"/>
    </row>
    <row r="1458" spans="1:24">
      <c r="A1458" s="1"/>
      <c r="M1458" s="26"/>
      <c r="N1458" s="26"/>
      <c r="P1458" s="1"/>
      <c r="Q1458" s="1"/>
      <c r="R1458" s="1"/>
      <c r="S1458" s="1"/>
      <c r="T1458" s="1"/>
      <c r="U1458" s="1"/>
      <c r="V1458" s="16"/>
      <c r="W1458" s="1"/>
      <c r="X1458" s="1"/>
    </row>
    <row r="1459" spans="1:24">
      <c r="A1459" s="1"/>
      <c r="M1459" s="26"/>
      <c r="N1459" s="26"/>
      <c r="P1459" s="1"/>
      <c r="Q1459" s="1"/>
      <c r="R1459" s="1"/>
      <c r="S1459" s="1"/>
      <c r="T1459" s="1"/>
      <c r="U1459" s="1"/>
      <c r="V1459" s="16"/>
      <c r="W1459" s="1"/>
      <c r="X1459" s="1"/>
    </row>
    <row r="1460" spans="1:24">
      <c r="A1460" s="1"/>
      <c r="M1460" s="26"/>
      <c r="N1460" s="26"/>
      <c r="P1460" s="1"/>
      <c r="Q1460" s="1"/>
      <c r="R1460" s="1"/>
      <c r="S1460" s="1"/>
      <c r="T1460" s="1"/>
      <c r="U1460" s="1"/>
      <c r="V1460" s="16"/>
      <c r="W1460" s="1"/>
      <c r="X1460" s="1"/>
    </row>
    <row r="1461" spans="1:24">
      <c r="A1461" s="1"/>
      <c r="M1461" s="26"/>
      <c r="N1461" s="26"/>
      <c r="P1461" s="1"/>
      <c r="Q1461" s="1"/>
      <c r="R1461" s="1"/>
      <c r="S1461" s="1"/>
      <c r="T1461" s="1"/>
      <c r="U1461" s="1"/>
      <c r="V1461" s="16"/>
      <c r="W1461" s="1"/>
      <c r="X1461" s="1"/>
    </row>
    <row r="1462" spans="1:24">
      <c r="A1462" s="1"/>
      <c r="M1462" s="26"/>
      <c r="N1462" s="26"/>
      <c r="P1462" s="1"/>
      <c r="Q1462" s="1"/>
      <c r="R1462" s="1"/>
      <c r="S1462" s="1"/>
      <c r="T1462" s="1"/>
      <c r="U1462" s="1"/>
      <c r="V1462" s="16"/>
      <c r="W1462" s="1"/>
      <c r="X1462" s="1"/>
    </row>
    <row r="1463" spans="1:24">
      <c r="A1463" s="1"/>
      <c r="M1463" s="26"/>
      <c r="N1463" s="26"/>
      <c r="P1463" s="1"/>
      <c r="Q1463" s="1"/>
      <c r="R1463" s="1"/>
      <c r="S1463" s="1"/>
      <c r="T1463" s="1"/>
      <c r="U1463" s="1"/>
      <c r="V1463" s="16"/>
      <c r="W1463" s="1"/>
      <c r="X1463" s="1"/>
    </row>
    <row r="1464" spans="1:24">
      <c r="A1464" s="1"/>
      <c r="M1464" s="26"/>
      <c r="N1464" s="26"/>
      <c r="P1464" s="1"/>
      <c r="Q1464" s="1"/>
      <c r="R1464" s="1"/>
      <c r="S1464" s="1"/>
      <c r="T1464" s="1"/>
      <c r="U1464" s="1"/>
      <c r="V1464" s="16"/>
      <c r="W1464" s="1"/>
      <c r="X1464" s="1"/>
    </row>
    <row r="1465" spans="1:24">
      <c r="A1465" s="1"/>
      <c r="M1465" s="26"/>
      <c r="N1465" s="26"/>
      <c r="P1465" s="1"/>
      <c r="Q1465" s="1"/>
      <c r="R1465" s="1"/>
      <c r="S1465" s="1"/>
      <c r="T1465" s="1"/>
      <c r="U1465" s="1"/>
      <c r="V1465" s="16"/>
      <c r="W1465" s="1"/>
      <c r="X1465" s="1"/>
    </row>
    <row r="1466" spans="1:24">
      <c r="A1466" s="1"/>
      <c r="M1466" s="26"/>
      <c r="N1466" s="26"/>
      <c r="P1466" s="1"/>
      <c r="Q1466" s="1"/>
      <c r="R1466" s="1"/>
      <c r="S1466" s="1"/>
      <c r="T1466" s="1"/>
      <c r="U1466" s="1"/>
      <c r="V1466" s="16"/>
      <c r="W1466" s="1"/>
      <c r="X1466" s="1"/>
    </row>
    <row r="1467" spans="1:24">
      <c r="A1467" s="1"/>
      <c r="M1467" s="26"/>
      <c r="N1467" s="26"/>
      <c r="P1467" s="1"/>
      <c r="Q1467" s="1"/>
      <c r="R1467" s="1"/>
      <c r="S1467" s="1"/>
      <c r="T1467" s="1"/>
      <c r="U1467" s="1"/>
      <c r="V1467" s="16"/>
      <c r="W1467" s="1"/>
      <c r="X1467" s="1"/>
    </row>
    <row r="1468" spans="1:24">
      <c r="A1468" s="1"/>
      <c r="M1468" s="26"/>
      <c r="N1468" s="26"/>
      <c r="P1468" s="1"/>
      <c r="Q1468" s="1"/>
      <c r="R1468" s="1"/>
      <c r="S1468" s="1"/>
      <c r="T1468" s="1"/>
      <c r="U1468" s="1"/>
      <c r="V1468" s="16"/>
      <c r="W1468" s="1"/>
      <c r="X1468" s="1"/>
    </row>
    <row r="1469" spans="1:24">
      <c r="A1469" s="1"/>
      <c r="M1469" s="26"/>
      <c r="N1469" s="26"/>
      <c r="P1469" s="1"/>
      <c r="Q1469" s="1"/>
      <c r="R1469" s="1"/>
      <c r="S1469" s="1"/>
      <c r="T1469" s="1"/>
      <c r="U1469" s="1"/>
      <c r="V1469" s="16"/>
      <c r="W1469" s="1"/>
      <c r="X1469" s="1"/>
    </row>
    <row r="1470" spans="1:24">
      <c r="A1470" s="1"/>
      <c r="M1470" s="26"/>
      <c r="N1470" s="26"/>
      <c r="P1470" s="1"/>
      <c r="Q1470" s="1"/>
      <c r="R1470" s="1"/>
      <c r="S1470" s="1"/>
      <c r="T1470" s="1"/>
      <c r="U1470" s="1"/>
      <c r="V1470" s="16"/>
      <c r="W1470" s="1"/>
      <c r="X1470" s="1"/>
    </row>
    <row r="1471" spans="1:24">
      <c r="A1471" s="1"/>
      <c r="M1471" s="26"/>
      <c r="N1471" s="26"/>
      <c r="P1471" s="1"/>
      <c r="Q1471" s="1"/>
      <c r="R1471" s="1"/>
      <c r="S1471" s="1"/>
      <c r="T1471" s="1"/>
      <c r="U1471" s="1"/>
      <c r="V1471" s="16"/>
      <c r="W1471" s="1"/>
      <c r="X1471" s="1"/>
    </row>
    <row r="1472" spans="1:24">
      <c r="A1472" s="1"/>
      <c r="M1472" s="26"/>
      <c r="N1472" s="26"/>
      <c r="P1472" s="1"/>
      <c r="Q1472" s="1"/>
      <c r="R1472" s="1"/>
      <c r="S1472" s="1"/>
      <c r="T1472" s="1"/>
      <c r="U1472" s="1"/>
      <c r="V1472" s="16"/>
      <c r="W1472" s="1"/>
      <c r="X1472" s="1"/>
    </row>
    <row r="1473" spans="1:24">
      <c r="A1473" s="1"/>
      <c r="M1473" s="26"/>
      <c r="N1473" s="26"/>
      <c r="P1473" s="1"/>
      <c r="Q1473" s="1"/>
      <c r="R1473" s="1"/>
      <c r="S1473" s="1"/>
      <c r="T1473" s="1"/>
      <c r="U1473" s="1"/>
      <c r="V1473" s="16"/>
      <c r="W1473" s="1"/>
      <c r="X1473" s="1"/>
    </row>
    <row r="1474" spans="1:24">
      <c r="A1474" s="1"/>
      <c r="M1474" s="26"/>
      <c r="N1474" s="26"/>
      <c r="P1474" s="1"/>
      <c r="Q1474" s="1"/>
      <c r="R1474" s="1"/>
      <c r="S1474" s="1"/>
      <c r="T1474" s="1"/>
      <c r="U1474" s="1"/>
      <c r="V1474" s="16"/>
      <c r="W1474" s="1"/>
      <c r="X1474" s="1"/>
    </row>
    <row r="1475" spans="1:24">
      <c r="A1475" s="1"/>
      <c r="M1475" s="26"/>
      <c r="N1475" s="26"/>
      <c r="P1475" s="1"/>
      <c r="Q1475" s="1"/>
      <c r="R1475" s="1"/>
      <c r="S1475" s="1"/>
      <c r="T1475" s="1"/>
      <c r="U1475" s="1"/>
      <c r="V1475" s="16"/>
      <c r="W1475" s="1"/>
      <c r="X1475" s="1"/>
    </row>
    <row r="1476" spans="1:24">
      <c r="A1476" s="1"/>
      <c r="M1476" s="26"/>
      <c r="N1476" s="26"/>
      <c r="P1476" s="1"/>
      <c r="Q1476" s="1"/>
      <c r="R1476" s="1"/>
      <c r="S1476" s="1"/>
      <c r="T1476" s="1"/>
      <c r="U1476" s="1"/>
      <c r="V1476" s="16"/>
      <c r="W1476" s="1"/>
      <c r="X1476" s="1"/>
    </row>
    <row r="1477" spans="1:24">
      <c r="A1477" s="1"/>
      <c r="M1477" s="26"/>
      <c r="N1477" s="26"/>
      <c r="P1477" s="1"/>
      <c r="Q1477" s="1"/>
      <c r="R1477" s="1"/>
      <c r="S1477" s="1"/>
      <c r="T1477" s="1"/>
      <c r="U1477" s="1"/>
      <c r="V1477" s="16"/>
      <c r="W1477" s="1"/>
      <c r="X1477" s="1"/>
    </row>
    <row r="1478" spans="1:24">
      <c r="A1478" s="1"/>
      <c r="M1478" s="26"/>
      <c r="N1478" s="26"/>
      <c r="P1478" s="1"/>
      <c r="Q1478" s="1"/>
      <c r="R1478" s="1"/>
      <c r="S1478" s="1"/>
      <c r="T1478" s="1"/>
      <c r="U1478" s="1"/>
      <c r="V1478" s="16"/>
      <c r="W1478" s="1"/>
      <c r="X1478" s="1"/>
    </row>
    <row r="1479" spans="1:24">
      <c r="A1479" s="1"/>
      <c r="M1479" s="26"/>
      <c r="N1479" s="26"/>
      <c r="P1479" s="1"/>
      <c r="Q1479" s="1"/>
      <c r="R1479" s="1"/>
      <c r="S1479" s="1"/>
      <c r="T1479" s="1"/>
      <c r="U1479" s="1"/>
      <c r="V1479" s="16"/>
      <c r="W1479" s="1"/>
      <c r="X1479" s="1"/>
    </row>
    <row r="1480" spans="1:24">
      <c r="A1480" s="1"/>
      <c r="M1480" s="26"/>
      <c r="N1480" s="26"/>
      <c r="P1480" s="1"/>
      <c r="Q1480" s="1"/>
      <c r="R1480" s="1"/>
      <c r="S1480" s="1"/>
      <c r="T1480" s="1"/>
      <c r="U1480" s="1"/>
      <c r="V1480" s="16"/>
      <c r="W1480" s="1"/>
      <c r="X1480" s="1"/>
    </row>
    <row r="1481" spans="1:24">
      <c r="A1481" s="1"/>
      <c r="M1481" s="26"/>
      <c r="N1481" s="26"/>
      <c r="P1481" s="1"/>
      <c r="Q1481" s="1"/>
      <c r="R1481" s="1"/>
      <c r="S1481" s="1"/>
      <c r="T1481" s="1"/>
      <c r="U1481" s="1"/>
      <c r="V1481" s="16"/>
      <c r="W1481" s="1"/>
      <c r="X1481" s="1"/>
    </row>
    <row r="1482" spans="1:24">
      <c r="A1482" s="1"/>
      <c r="M1482" s="26"/>
      <c r="N1482" s="26"/>
      <c r="P1482" s="1"/>
      <c r="Q1482" s="1"/>
      <c r="R1482" s="1"/>
      <c r="S1482" s="1"/>
      <c r="T1482" s="1"/>
      <c r="U1482" s="1"/>
      <c r="V1482" s="16"/>
      <c r="W1482" s="1"/>
      <c r="X1482" s="1"/>
    </row>
    <row r="1483" spans="1:24">
      <c r="A1483" s="1"/>
      <c r="M1483" s="26"/>
      <c r="N1483" s="26"/>
      <c r="P1483" s="1"/>
      <c r="Q1483" s="1"/>
      <c r="R1483" s="1"/>
      <c r="S1483" s="1"/>
      <c r="T1483" s="1"/>
      <c r="U1483" s="1"/>
      <c r="V1483" s="16"/>
      <c r="W1483" s="1"/>
      <c r="X1483" s="1"/>
    </row>
    <row r="1484" spans="1:24">
      <c r="A1484" s="1"/>
      <c r="M1484" s="26"/>
      <c r="N1484" s="26"/>
      <c r="P1484" s="1"/>
      <c r="Q1484" s="1"/>
      <c r="R1484" s="1"/>
      <c r="S1484" s="1"/>
      <c r="T1484" s="1"/>
      <c r="U1484" s="1"/>
      <c r="V1484" s="16"/>
      <c r="W1484" s="1"/>
      <c r="X1484" s="1"/>
    </row>
    <row r="1485" spans="1:24">
      <c r="A1485" s="1"/>
      <c r="M1485" s="26"/>
      <c r="N1485" s="26"/>
      <c r="P1485" s="1"/>
      <c r="Q1485" s="1"/>
      <c r="R1485" s="1"/>
      <c r="S1485" s="1"/>
      <c r="T1485" s="1"/>
      <c r="U1485" s="1"/>
      <c r="V1485" s="16"/>
      <c r="W1485" s="1"/>
      <c r="X1485" s="1"/>
    </row>
    <row r="1486" spans="1:24">
      <c r="A1486" s="1"/>
      <c r="M1486" s="26"/>
      <c r="N1486" s="26"/>
      <c r="P1486" s="1"/>
      <c r="Q1486" s="1"/>
      <c r="R1486" s="1"/>
      <c r="S1486" s="1"/>
      <c r="T1486" s="1"/>
      <c r="U1486" s="1"/>
      <c r="V1486" s="16"/>
      <c r="W1486" s="1"/>
      <c r="X1486" s="1"/>
    </row>
    <row r="1487" spans="1:24">
      <c r="A1487" s="1"/>
      <c r="M1487" s="26"/>
      <c r="N1487" s="26"/>
      <c r="P1487" s="1"/>
      <c r="Q1487" s="1"/>
      <c r="R1487" s="1"/>
      <c r="S1487" s="1"/>
      <c r="T1487" s="1"/>
      <c r="U1487" s="1"/>
      <c r="V1487" s="16"/>
      <c r="W1487" s="1"/>
      <c r="X1487" s="1"/>
    </row>
    <row r="1488" spans="1:24">
      <c r="A1488" s="1"/>
      <c r="M1488" s="26"/>
      <c r="N1488" s="26"/>
      <c r="P1488" s="1"/>
      <c r="Q1488" s="1"/>
      <c r="R1488" s="1"/>
      <c r="S1488" s="1"/>
      <c r="T1488" s="1"/>
      <c r="U1488" s="1"/>
      <c r="V1488" s="16"/>
      <c r="W1488" s="1"/>
      <c r="X1488" s="1"/>
    </row>
    <row r="1489" spans="1:24">
      <c r="A1489" s="1"/>
      <c r="M1489" s="26"/>
      <c r="N1489" s="26"/>
      <c r="P1489" s="1"/>
      <c r="Q1489" s="1"/>
      <c r="R1489" s="1"/>
      <c r="S1489" s="1"/>
      <c r="T1489" s="1"/>
      <c r="U1489" s="1"/>
      <c r="V1489" s="16"/>
      <c r="W1489" s="1"/>
      <c r="X1489" s="1"/>
    </row>
    <row r="1490" spans="1:24">
      <c r="A1490" s="1"/>
      <c r="M1490" s="26"/>
      <c r="N1490" s="26"/>
      <c r="P1490" s="1"/>
      <c r="Q1490" s="1"/>
      <c r="R1490" s="1"/>
      <c r="S1490" s="1"/>
      <c r="T1490" s="1"/>
      <c r="U1490" s="1"/>
      <c r="V1490" s="16"/>
      <c r="W1490" s="1"/>
      <c r="X1490" s="1"/>
    </row>
    <row r="1491" spans="1:24">
      <c r="A1491" s="1"/>
      <c r="M1491" s="26"/>
      <c r="N1491" s="26"/>
      <c r="P1491" s="1"/>
      <c r="Q1491" s="1"/>
      <c r="R1491" s="1"/>
      <c r="S1491" s="1"/>
      <c r="T1491" s="1"/>
      <c r="U1491" s="1"/>
      <c r="V1491" s="16"/>
      <c r="W1491" s="1"/>
      <c r="X1491" s="1"/>
    </row>
    <row r="1492" spans="1:24">
      <c r="A1492" s="1"/>
      <c r="M1492" s="26"/>
      <c r="N1492" s="26"/>
      <c r="P1492" s="1"/>
      <c r="Q1492" s="1"/>
      <c r="R1492" s="1"/>
      <c r="S1492" s="1"/>
      <c r="T1492" s="1"/>
      <c r="U1492" s="1"/>
      <c r="V1492" s="16"/>
      <c r="W1492" s="1"/>
      <c r="X1492" s="1"/>
    </row>
    <row r="1493" spans="1:24">
      <c r="A1493" s="1"/>
      <c r="M1493" s="26"/>
      <c r="N1493" s="26"/>
      <c r="P1493" s="1"/>
      <c r="Q1493" s="1"/>
      <c r="R1493" s="1"/>
      <c r="S1493" s="1"/>
      <c r="T1493" s="1"/>
      <c r="U1493" s="1"/>
      <c r="V1493" s="16"/>
      <c r="W1493" s="1"/>
      <c r="X1493" s="1"/>
    </row>
    <row r="1494" spans="1:24">
      <c r="A1494" s="1"/>
      <c r="M1494" s="26"/>
      <c r="N1494" s="26"/>
      <c r="P1494" s="1"/>
      <c r="Q1494" s="1"/>
      <c r="R1494" s="1"/>
      <c r="S1494" s="1"/>
      <c r="T1494" s="1"/>
      <c r="U1494" s="1"/>
      <c r="V1494" s="16"/>
      <c r="W1494" s="1"/>
      <c r="X1494" s="1"/>
    </row>
    <row r="1495" spans="1:24">
      <c r="A1495" s="1"/>
      <c r="M1495" s="26"/>
      <c r="N1495" s="26"/>
      <c r="P1495" s="1"/>
      <c r="Q1495" s="1"/>
      <c r="R1495" s="1"/>
      <c r="S1495" s="1"/>
      <c r="T1495" s="1"/>
      <c r="U1495" s="1"/>
      <c r="V1495" s="16"/>
      <c r="W1495" s="1"/>
      <c r="X1495" s="1"/>
    </row>
    <row r="1496" spans="1:24">
      <c r="A1496" s="1"/>
      <c r="M1496" s="26"/>
      <c r="N1496" s="26"/>
      <c r="P1496" s="1"/>
      <c r="Q1496" s="1"/>
      <c r="R1496" s="1"/>
      <c r="S1496" s="1"/>
      <c r="T1496" s="1"/>
      <c r="U1496" s="1"/>
      <c r="V1496" s="16"/>
      <c r="W1496" s="1"/>
      <c r="X1496" s="1"/>
    </row>
    <row r="1497" spans="1:24">
      <c r="A1497" s="1"/>
      <c r="M1497" s="26"/>
      <c r="N1497" s="26"/>
      <c r="P1497" s="1"/>
      <c r="Q1497" s="1"/>
      <c r="R1497" s="1"/>
      <c r="S1497" s="1"/>
      <c r="T1497" s="1"/>
      <c r="U1497" s="1"/>
      <c r="V1497" s="16"/>
      <c r="W1497" s="1"/>
      <c r="X1497" s="1"/>
    </row>
    <row r="1498" spans="1:24">
      <c r="A1498" s="1"/>
      <c r="M1498" s="26"/>
      <c r="N1498" s="26"/>
      <c r="P1498" s="1"/>
      <c r="Q1498" s="1"/>
      <c r="R1498" s="1"/>
      <c r="S1498" s="1"/>
      <c r="T1498" s="1"/>
      <c r="U1498" s="1"/>
      <c r="V1498" s="16"/>
      <c r="W1498" s="1"/>
      <c r="X1498" s="1"/>
    </row>
    <row r="1499" spans="1:24">
      <c r="A1499" s="1"/>
      <c r="M1499" s="26"/>
      <c r="N1499" s="26"/>
      <c r="P1499" s="1"/>
      <c r="Q1499" s="1"/>
      <c r="R1499" s="1"/>
      <c r="S1499" s="1"/>
      <c r="T1499" s="1"/>
      <c r="U1499" s="1"/>
      <c r="V1499" s="16"/>
      <c r="W1499" s="1"/>
      <c r="X1499" s="1"/>
    </row>
    <row r="1500" spans="1:24">
      <c r="A1500" s="1"/>
      <c r="M1500" s="26"/>
      <c r="N1500" s="26"/>
      <c r="P1500" s="1"/>
      <c r="Q1500" s="1"/>
      <c r="R1500" s="1"/>
      <c r="S1500" s="1"/>
      <c r="T1500" s="1"/>
      <c r="U1500" s="1"/>
      <c r="V1500" s="16"/>
      <c r="W1500" s="1"/>
      <c r="X1500" s="1"/>
    </row>
    <row r="1501" spans="1:24">
      <c r="A1501" s="1"/>
      <c r="M1501" s="26"/>
      <c r="N1501" s="26"/>
      <c r="P1501" s="1"/>
      <c r="Q1501" s="1"/>
      <c r="R1501" s="1"/>
      <c r="S1501" s="1"/>
      <c r="T1501" s="1"/>
      <c r="U1501" s="1"/>
      <c r="V1501" s="16"/>
      <c r="W1501" s="1"/>
      <c r="X1501" s="1"/>
    </row>
    <row r="1502" spans="1:24">
      <c r="A1502" s="1"/>
      <c r="M1502" s="26"/>
      <c r="N1502" s="26"/>
      <c r="P1502" s="1"/>
      <c r="Q1502" s="1"/>
      <c r="R1502" s="1"/>
      <c r="S1502" s="1"/>
      <c r="T1502" s="1"/>
      <c r="U1502" s="1"/>
      <c r="V1502" s="16"/>
      <c r="W1502" s="1"/>
      <c r="X1502" s="1"/>
    </row>
    <row r="1503" spans="1:24">
      <c r="A1503" s="1"/>
      <c r="M1503" s="26"/>
      <c r="N1503" s="26"/>
      <c r="P1503" s="1"/>
      <c r="Q1503" s="1"/>
      <c r="R1503" s="1"/>
      <c r="S1503" s="1"/>
      <c r="T1503" s="1"/>
      <c r="U1503" s="1"/>
      <c r="V1503" s="16"/>
      <c r="W1503" s="1"/>
      <c r="X1503" s="1"/>
    </row>
    <row r="1504" spans="1:24">
      <c r="A1504" s="1"/>
      <c r="M1504" s="26"/>
      <c r="N1504" s="26"/>
      <c r="P1504" s="1"/>
      <c r="Q1504" s="1"/>
      <c r="R1504" s="1"/>
      <c r="S1504" s="1"/>
      <c r="T1504" s="1"/>
      <c r="U1504" s="1"/>
      <c r="V1504" s="16"/>
      <c r="W1504" s="1"/>
      <c r="X1504" s="1"/>
    </row>
    <row r="1505" spans="1:24">
      <c r="A1505" s="1"/>
      <c r="M1505" s="26"/>
      <c r="N1505" s="26"/>
      <c r="P1505" s="1"/>
      <c r="Q1505" s="1"/>
      <c r="R1505" s="1"/>
      <c r="S1505" s="1"/>
      <c r="T1505" s="1"/>
      <c r="U1505" s="1"/>
      <c r="V1505" s="16"/>
      <c r="W1505" s="1"/>
      <c r="X1505" s="1"/>
    </row>
    <row r="1506" spans="1:24">
      <c r="A1506" s="1"/>
      <c r="M1506" s="26"/>
      <c r="N1506" s="26"/>
      <c r="P1506" s="1"/>
      <c r="Q1506" s="1"/>
      <c r="R1506" s="1"/>
      <c r="S1506" s="1"/>
      <c r="T1506" s="1"/>
      <c r="U1506" s="1"/>
      <c r="V1506" s="16"/>
      <c r="W1506" s="1"/>
      <c r="X1506" s="1"/>
    </row>
    <row r="1507" spans="1:24">
      <c r="A1507" s="1"/>
      <c r="M1507" s="26"/>
      <c r="N1507" s="26"/>
      <c r="P1507" s="1"/>
      <c r="Q1507" s="1"/>
      <c r="R1507" s="1"/>
      <c r="S1507" s="1"/>
      <c r="T1507" s="1"/>
      <c r="U1507" s="1"/>
      <c r="V1507" s="16"/>
      <c r="W1507" s="1"/>
      <c r="X1507" s="1"/>
    </row>
    <row r="1508" spans="1:24">
      <c r="A1508" s="1"/>
      <c r="M1508" s="26"/>
      <c r="N1508" s="26"/>
      <c r="P1508" s="1"/>
      <c r="Q1508" s="1"/>
      <c r="R1508" s="1"/>
      <c r="S1508" s="1"/>
      <c r="T1508" s="1"/>
      <c r="U1508" s="1"/>
      <c r="V1508" s="16"/>
      <c r="W1508" s="1"/>
      <c r="X1508" s="1"/>
    </row>
    <row r="1509" spans="1:24">
      <c r="A1509" s="1"/>
      <c r="M1509" s="26"/>
      <c r="N1509" s="26"/>
      <c r="P1509" s="1"/>
      <c r="Q1509" s="1"/>
      <c r="R1509" s="1"/>
      <c r="S1509" s="1"/>
      <c r="T1509" s="1"/>
      <c r="U1509" s="1"/>
      <c r="V1509" s="16"/>
      <c r="W1509" s="1"/>
      <c r="X1509" s="1"/>
    </row>
    <row r="1510" spans="1:24">
      <c r="A1510" s="1"/>
      <c r="M1510" s="26"/>
      <c r="N1510" s="26"/>
      <c r="P1510" s="1"/>
      <c r="Q1510" s="1"/>
      <c r="R1510" s="1"/>
      <c r="S1510" s="1"/>
      <c r="T1510" s="1"/>
      <c r="U1510" s="1"/>
      <c r="V1510" s="16"/>
      <c r="W1510" s="1"/>
      <c r="X1510" s="1"/>
    </row>
    <row r="1511" spans="1:24">
      <c r="A1511" s="1"/>
      <c r="M1511" s="26"/>
      <c r="N1511" s="26"/>
      <c r="P1511" s="1"/>
      <c r="Q1511" s="1"/>
      <c r="R1511" s="1"/>
      <c r="S1511" s="1"/>
      <c r="T1511" s="1"/>
      <c r="U1511" s="1"/>
      <c r="V1511" s="16"/>
      <c r="W1511" s="1"/>
      <c r="X1511" s="1"/>
    </row>
    <row r="1512" spans="1:24">
      <c r="A1512" s="1"/>
      <c r="M1512" s="26"/>
      <c r="N1512" s="26"/>
      <c r="P1512" s="1"/>
      <c r="Q1512" s="1"/>
      <c r="R1512" s="1"/>
      <c r="S1512" s="1"/>
      <c r="T1512" s="1"/>
      <c r="U1512" s="1"/>
      <c r="V1512" s="16"/>
      <c r="W1512" s="1"/>
      <c r="X1512" s="1"/>
    </row>
    <row r="1513" spans="1:24">
      <c r="A1513" s="1"/>
      <c r="M1513" s="26"/>
      <c r="N1513" s="26"/>
      <c r="P1513" s="1"/>
      <c r="Q1513" s="1"/>
      <c r="R1513" s="1"/>
      <c r="S1513" s="1"/>
      <c r="T1513" s="1"/>
      <c r="U1513" s="1"/>
      <c r="V1513" s="16"/>
      <c r="W1513" s="1"/>
      <c r="X1513" s="1"/>
    </row>
    <row r="1514" spans="1:24">
      <c r="A1514" s="1"/>
      <c r="M1514" s="26"/>
      <c r="N1514" s="26"/>
      <c r="P1514" s="1"/>
      <c r="Q1514" s="1"/>
      <c r="R1514" s="1"/>
      <c r="S1514" s="1"/>
      <c r="T1514" s="1"/>
      <c r="U1514" s="1"/>
      <c r="V1514" s="16"/>
      <c r="W1514" s="1"/>
      <c r="X1514" s="1"/>
    </row>
    <row r="1515" spans="1:24">
      <c r="A1515" s="1"/>
      <c r="M1515" s="26"/>
      <c r="N1515" s="26"/>
      <c r="P1515" s="1"/>
      <c r="Q1515" s="1"/>
      <c r="R1515" s="1"/>
      <c r="S1515" s="1"/>
      <c r="T1515" s="1"/>
      <c r="U1515" s="1"/>
      <c r="V1515" s="16"/>
      <c r="W1515" s="1"/>
      <c r="X1515" s="1"/>
    </row>
    <row r="1516" spans="1:24">
      <c r="A1516" s="1"/>
      <c r="M1516" s="26"/>
      <c r="N1516" s="26"/>
      <c r="P1516" s="1"/>
      <c r="Q1516" s="1"/>
      <c r="R1516" s="1"/>
      <c r="S1516" s="1"/>
      <c r="T1516" s="1"/>
      <c r="U1516" s="1"/>
      <c r="V1516" s="16"/>
      <c r="W1516" s="1"/>
      <c r="X1516" s="1"/>
    </row>
    <row r="1517" spans="1:24">
      <c r="A1517" s="1"/>
      <c r="M1517" s="26"/>
      <c r="N1517" s="26"/>
      <c r="P1517" s="1"/>
      <c r="Q1517" s="1"/>
      <c r="R1517" s="1"/>
      <c r="S1517" s="1"/>
      <c r="T1517" s="1"/>
      <c r="U1517" s="1"/>
      <c r="V1517" s="16"/>
      <c r="W1517" s="1"/>
      <c r="X1517" s="1"/>
    </row>
    <row r="1518" spans="1:24">
      <c r="A1518" s="1"/>
      <c r="M1518" s="26"/>
      <c r="N1518" s="26"/>
      <c r="P1518" s="1"/>
      <c r="Q1518" s="1"/>
      <c r="R1518" s="1"/>
      <c r="S1518" s="1"/>
      <c r="T1518" s="1"/>
      <c r="U1518" s="1"/>
      <c r="V1518" s="16"/>
      <c r="W1518" s="1"/>
      <c r="X1518" s="1"/>
    </row>
    <row r="1519" spans="1:24">
      <c r="A1519" s="1"/>
      <c r="M1519" s="26"/>
      <c r="N1519" s="26"/>
      <c r="P1519" s="1"/>
      <c r="Q1519" s="1"/>
      <c r="R1519" s="1"/>
      <c r="S1519" s="1"/>
      <c r="T1519" s="1"/>
      <c r="U1519" s="1"/>
      <c r="V1519" s="16"/>
      <c r="W1519" s="1"/>
      <c r="X1519" s="1"/>
    </row>
    <row r="1520" spans="1:24">
      <c r="A1520" s="1"/>
      <c r="M1520" s="26"/>
      <c r="N1520" s="26"/>
      <c r="P1520" s="1"/>
      <c r="Q1520" s="1"/>
      <c r="R1520" s="1"/>
      <c r="S1520" s="1"/>
      <c r="T1520" s="1"/>
      <c r="U1520" s="1"/>
      <c r="V1520" s="16"/>
      <c r="W1520" s="1"/>
      <c r="X1520" s="1"/>
    </row>
    <row r="1521" spans="1:24">
      <c r="A1521" s="1"/>
      <c r="M1521" s="26"/>
      <c r="N1521" s="26"/>
      <c r="P1521" s="1"/>
      <c r="Q1521" s="1"/>
      <c r="R1521" s="1"/>
      <c r="S1521" s="1"/>
      <c r="T1521" s="1"/>
      <c r="U1521" s="1"/>
      <c r="V1521" s="16"/>
      <c r="W1521" s="1"/>
      <c r="X1521" s="1"/>
    </row>
    <row r="1522" spans="1:24">
      <c r="A1522" s="1"/>
      <c r="M1522" s="26"/>
      <c r="N1522" s="26"/>
      <c r="P1522" s="1"/>
      <c r="Q1522" s="1"/>
      <c r="R1522" s="1"/>
      <c r="S1522" s="1"/>
      <c r="T1522" s="1"/>
      <c r="U1522" s="1"/>
      <c r="V1522" s="16"/>
      <c r="W1522" s="1"/>
      <c r="X1522" s="1"/>
    </row>
    <row r="1523" spans="1:24">
      <c r="A1523" s="1"/>
      <c r="M1523" s="26"/>
      <c r="N1523" s="26"/>
      <c r="P1523" s="1"/>
      <c r="Q1523" s="1"/>
      <c r="R1523" s="1"/>
      <c r="S1523" s="1"/>
      <c r="T1523" s="1"/>
      <c r="U1523" s="1"/>
      <c r="V1523" s="16"/>
      <c r="W1523" s="1"/>
      <c r="X1523" s="1"/>
    </row>
    <row r="1524" spans="1:24">
      <c r="A1524" s="1"/>
      <c r="M1524" s="26"/>
      <c r="N1524" s="26"/>
      <c r="P1524" s="1"/>
      <c r="Q1524" s="1"/>
      <c r="R1524" s="1"/>
      <c r="S1524" s="1"/>
      <c r="T1524" s="1"/>
      <c r="U1524" s="1"/>
      <c r="V1524" s="16"/>
      <c r="W1524" s="1"/>
      <c r="X1524" s="1"/>
    </row>
    <row r="1525" spans="1:24">
      <c r="A1525" s="1"/>
      <c r="M1525" s="26"/>
      <c r="N1525" s="26"/>
      <c r="P1525" s="1"/>
      <c r="Q1525" s="1"/>
      <c r="R1525" s="1"/>
      <c r="S1525" s="1"/>
      <c r="T1525" s="1"/>
      <c r="U1525" s="1"/>
      <c r="V1525" s="16"/>
      <c r="W1525" s="1"/>
      <c r="X1525" s="1"/>
    </row>
    <row r="1526" spans="1:24">
      <c r="A1526" s="1"/>
      <c r="M1526" s="26"/>
      <c r="N1526" s="26"/>
      <c r="P1526" s="1"/>
      <c r="Q1526" s="1"/>
      <c r="R1526" s="1"/>
      <c r="S1526" s="1"/>
      <c r="T1526" s="1"/>
      <c r="U1526" s="1"/>
      <c r="V1526" s="16"/>
      <c r="W1526" s="1"/>
      <c r="X1526" s="1"/>
    </row>
    <row r="1527" spans="1:24">
      <c r="A1527" s="1"/>
      <c r="M1527" s="26"/>
      <c r="N1527" s="26"/>
      <c r="P1527" s="1"/>
      <c r="Q1527" s="1"/>
      <c r="R1527" s="1"/>
      <c r="S1527" s="1"/>
      <c r="T1527" s="1"/>
      <c r="U1527" s="1"/>
      <c r="V1527" s="16"/>
      <c r="W1527" s="1"/>
      <c r="X1527" s="1"/>
    </row>
    <row r="1528" spans="1:24">
      <c r="A1528" s="1"/>
      <c r="M1528" s="26"/>
      <c r="N1528" s="26"/>
      <c r="P1528" s="1"/>
      <c r="Q1528" s="1"/>
      <c r="R1528" s="1"/>
      <c r="S1528" s="1"/>
      <c r="T1528" s="1"/>
      <c r="U1528" s="1"/>
      <c r="V1528" s="16"/>
      <c r="W1528" s="1"/>
      <c r="X1528" s="1"/>
    </row>
    <row r="1529" spans="1:24">
      <c r="A1529" s="1"/>
      <c r="M1529" s="26"/>
      <c r="N1529" s="26"/>
      <c r="P1529" s="1"/>
      <c r="Q1529" s="1"/>
      <c r="R1529" s="1"/>
      <c r="S1529" s="1"/>
      <c r="T1529" s="1"/>
      <c r="U1529" s="1"/>
      <c r="V1529" s="16"/>
      <c r="W1529" s="1"/>
      <c r="X1529" s="1"/>
    </row>
    <row r="1530" spans="1:24">
      <c r="A1530" s="1"/>
      <c r="M1530" s="26"/>
      <c r="N1530" s="26"/>
      <c r="P1530" s="1"/>
      <c r="Q1530" s="1"/>
      <c r="R1530" s="1"/>
      <c r="S1530" s="1"/>
      <c r="T1530" s="1"/>
      <c r="U1530" s="1"/>
      <c r="V1530" s="16"/>
      <c r="W1530" s="1"/>
      <c r="X1530" s="1"/>
    </row>
    <row r="1531" spans="1:24">
      <c r="A1531" s="1"/>
      <c r="M1531" s="26"/>
      <c r="N1531" s="26"/>
      <c r="P1531" s="1"/>
      <c r="Q1531" s="1"/>
      <c r="R1531" s="1"/>
      <c r="S1531" s="1"/>
      <c r="T1531" s="1"/>
      <c r="U1531" s="1"/>
      <c r="V1531" s="16"/>
      <c r="W1531" s="1"/>
      <c r="X1531" s="1"/>
    </row>
    <row r="1532" spans="1:24">
      <c r="A1532" s="1"/>
      <c r="M1532" s="26"/>
      <c r="N1532" s="26"/>
      <c r="P1532" s="1"/>
      <c r="Q1532" s="1"/>
      <c r="R1532" s="1"/>
      <c r="S1532" s="1"/>
      <c r="T1532" s="1"/>
      <c r="U1532" s="1"/>
      <c r="V1532" s="16"/>
      <c r="W1532" s="1"/>
      <c r="X1532" s="1"/>
    </row>
    <row r="1533" spans="1:24">
      <c r="A1533" s="1"/>
      <c r="M1533" s="26"/>
      <c r="N1533" s="26"/>
      <c r="P1533" s="1"/>
      <c r="Q1533" s="1"/>
      <c r="R1533" s="1"/>
      <c r="S1533" s="1"/>
      <c r="T1533" s="1"/>
      <c r="U1533" s="1"/>
      <c r="V1533" s="16"/>
      <c r="W1533" s="1"/>
      <c r="X1533" s="1"/>
    </row>
    <row r="1534" spans="1:24">
      <c r="A1534" s="1"/>
      <c r="M1534" s="26"/>
      <c r="N1534" s="26"/>
      <c r="P1534" s="1"/>
      <c r="Q1534" s="1"/>
      <c r="R1534" s="1"/>
      <c r="S1534" s="1"/>
      <c r="T1534" s="1"/>
      <c r="U1534" s="1"/>
      <c r="V1534" s="16"/>
      <c r="W1534" s="1"/>
      <c r="X1534" s="1"/>
    </row>
    <row r="1535" spans="1:24">
      <c r="A1535" s="1"/>
      <c r="M1535" s="26"/>
      <c r="N1535" s="26"/>
      <c r="P1535" s="1"/>
      <c r="Q1535" s="1"/>
      <c r="R1535" s="1"/>
      <c r="S1535" s="1"/>
      <c r="T1535" s="1"/>
      <c r="U1535" s="1"/>
      <c r="V1535" s="16"/>
      <c r="W1535" s="1"/>
      <c r="X1535" s="1"/>
    </row>
    <row r="1536" spans="1:24">
      <c r="A1536" s="1"/>
      <c r="M1536" s="26"/>
      <c r="N1536" s="26"/>
      <c r="P1536" s="1"/>
      <c r="Q1536" s="1"/>
      <c r="R1536" s="1"/>
      <c r="S1536" s="1"/>
      <c r="T1536" s="1"/>
      <c r="U1536" s="1"/>
      <c r="V1536" s="16"/>
      <c r="W1536" s="1"/>
      <c r="X1536" s="1"/>
    </row>
    <row r="1537" spans="1:24">
      <c r="A1537" s="1"/>
      <c r="M1537" s="26"/>
      <c r="N1537" s="26"/>
      <c r="P1537" s="1"/>
      <c r="Q1537" s="1"/>
      <c r="R1537" s="1"/>
      <c r="S1537" s="1"/>
      <c r="T1537" s="1"/>
      <c r="U1537" s="1"/>
      <c r="V1537" s="16"/>
      <c r="W1537" s="1"/>
      <c r="X1537" s="1"/>
    </row>
    <row r="1538" spans="1:24">
      <c r="A1538" s="1"/>
      <c r="M1538" s="26"/>
      <c r="N1538" s="26"/>
      <c r="P1538" s="1"/>
      <c r="Q1538" s="1"/>
      <c r="R1538" s="1"/>
      <c r="S1538" s="1"/>
      <c r="T1538" s="1"/>
      <c r="U1538" s="1"/>
      <c r="V1538" s="16"/>
      <c r="W1538" s="1"/>
      <c r="X1538" s="1"/>
    </row>
    <row r="1539" spans="1:24">
      <c r="A1539" s="1"/>
      <c r="M1539" s="26"/>
      <c r="N1539" s="26"/>
      <c r="P1539" s="1"/>
      <c r="Q1539" s="1"/>
      <c r="R1539" s="1"/>
      <c r="S1539" s="1"/>
      <c r="T1539" s="1"/>
      <c r="U1539" s="1"/>
      <c r="V1539" s="16"/>
      <c r="W1539" s="1"/>
      <c r="X1539" s="1"/>
    </row>
    <row r="1540" spans="1:24">
      <c r="A1540" s="1"/>
      <c r="M1540" s="26"/>
      <c r="N1540" s="26"/>
      <c r="P1540" s="1"/>
      <c r="Q1540" s="1"/>
      <c r="R1540" s="1"/>
      <c r="S1540" s="1"/>
      <c r="T1540" s="1"/>
      <c r="U1540" s="1"/>
      <c r="V1540" s="16"/>
      <c r="W1540" s="1"/>
      <c r="X1540" s="1"/>
    </row>
    <row r="1541" spans="1:24">
      <c r="A1541" s="1"/>
      <c r="M1541" s="26"/>
      <c r="N1541" s="26"/>
      <c r="P1541" s="1"/>
      <c r="Q1541" s="1"/>
      <c r="R1541" s="1"/>
      <c r="S1541" s="1"/>
      <c r="T1541" s="1"/>
      <c r="U1541" s="1"/>
      <c r="V1541" s="16"/>
      <c r="W1541" s="1"/>
      <c r="X1541" s="1"/>
    </row>
    <row r="1542" spans="1:24">
      <c r="A1542" s="1"/>
      <c r="M1542" s="26"/>
      <c r="N1542" s="26"/>
      <c r="P1542" s="1"/>
      <c r="Q1542" s="1"/>
      <c r="R1542" s="1"/>
      <c r="S1542" s="1"/>
      <c r="T1542" s="1"/>
      <c r="U1542" s="1"/>
      <c r="V1542" s="16"/>
      <c r="W1542" s="1"/>
      <c r="X1542" s="1"/>
    </row>
    <row r="1543" spans="1:24">
      <c r="A1543" s="1"/>
      <c r="M1543" s="26"/>
      <c r="N1543" s="26"/>
      <c r="P1543" s="1"/>
      <c r="Q1543" s="1"/>
      <c r="R1543" s="1"/>
      <c r="S1543" s="1"/>
      <c r="T1543" s="1"/>
      <c r="U1543" s="1"/>
      <c r="V1543" s="16"/>
      <c r="W1543" s="1"/>
      <c r="X1543" s="1"/>
    </row>
    <row r="1544" spans="1:24">
      <c r="A1544" s="1"/>
      <c r="M1544" s="26"/>
      <c r="N1544" s="26"/>
      <c r="P1544" s="1"/>
      <c r="Q1544" s="1"/>
      <c r="R1544" s="1"/>
      <c r="S1544" s="1"/>
      <c r="T1544" s="1"/>
      <c r="U1544" s="1"/>
      <c r="V1544" s="16"/>
      <c r="W1544" s="1"/>
      <c r="X1544" s="1"/>
    </row>
    <row r="1545" spans="1:24">
      <c r="A1545" s="1"/>
      <c r="M1545" s="26"/>
      <c r="N1545" s="26"/>
      <c r="P1545" s="1"/>
      <c r="Q1545" s="1"/>
      <c r="R1545" s="1"/>
      <c r="S1545" s="1"/>
      <c r="T1545" s="1"/>
      <c r="U1545" s="1"/>
      <c r="V1545" s="16"/>
      <c r="W1545" s="1"/>
      <c r="X1545" s="1"/>
    </row>
    <row r="1546" spans="1:24">
      <c r="A1546" s="1"/>
      <c r="M1546" s="26"/>
      <c r="N1546" s="26"/>
      <c r="P1546" s="1"/>
      <c r="Q1546" s="1"/>
      <c r="R1546" s="1"/>
      <c r="S1546" s="1"/>
      <c r="T1546" s="1"/>
      <c r="U1546" s="1"/>
      <c r="V1546" s="16"/>
      <c r="W1546" s="1"/>
      <c r="X1546" s="1"/>
    </row>
    <row r="1547" spans="1:24">
      <c r="A1547" s="1"/>
      <c r="M1547" s="26"/>
      <c r="N1547" s="26"/>
      <c r="P1547" s="1"/>
      <c r="Q1547" s="1"/>
      <c r="R1547" s="1"/>
      <c r="S1547" s="1"/>
      <c r="T1547" s="1"/>
      <c r="U1547" s="1"/>
      <c r="V1547" s="16"/>
      <c r="W1547" s="1"/>
      <c r="X1547" s="1"/>
    </row>
    <row r="1548" spans="1:24">
      <c r="A1548" s="1"/>
      <c r="M1548" s="26"/>
      <c r="N1548" s="26"/>
      <c r="P1548" s="1"/>
      <c r="Q1548" s="1"/>
      <c r="R1548" s="1"/>
      <c r="S1548" s="1"/>
      <c r="T1548" s="1"/>
      <c r="U1548" s="1"/>
      <c r="V1548" s="16"/>
      <c r="W1548" s="1"/>
      <c r="X1548" s="1"/>
    </row>
    <row r="1549" spans="1:24">
      <c r="A1549" s="1"/>
      <c r="M1549" s="26"/>
      <c r="N1549" s="26"/>
      <c r="P1549" s="1"/>
      <c r="Q1549" s="1"/>
      <c r="R1549" s="1"/>
      <c r="S1549" s="1"/>
      <c r="T1549" s="1"/>
      <c r="U1549" s="1"/>
      <c r="V1549" s="16"/>
      <c r="W1549" s="1"/>
      <c r="X1549" s="1"/>
    </row>
    <row r="1550" spans="1:24">
      <c r="A1550" s="1"/>
      <c r="M1550" s="26"/>
      <c r="N1550" s="26"/>
      <c r="P1550" s="1"/>
      <c r="Q1550" s="1"/>
      <c r="R1550" s="1"/>
      <c r="S1550" s="1"/>
      <c r="T1550" s="1"/>
      <c r="U1550" s="1"/>
      <c r="V1550" s="16"/>
      <c r="W1550" s="1"/>
      <c r="X1550" s="1"/>
    </row>
    <row r="1551" spans="1:24">
      <c r="A1551" s="1"/>
      <c r="M1551" s="26"/>
      <c r="N1551" s="26"/>
      <c r="P1551" s="1"/>
      <c r="Q1551" s="1"/>
      <c r="R1551" s="1"/>
      <c r="S1551" s="1"/>
      <c r="T1551" s="1"/>
      <c r="U1551" s="1"/>
      <c r="V1551" s="16"/>
      <c r="W1551" s="1"/>
      <c r="X1551" s="1"/>
    </row>
    <row r="1552" spans="1:24">
      <c r="A1552" s="1"/>
      <c r="M1552" s="26"/>
      <c r="N1552" s="26"/>
      <c r="P1552" s="1"/>
      <c r="Q1552" s="1"/>
      <c r="R1552" s="1"/>
      <c r="S1552" s="1"/>
      <c r="T1552" s="1"/>
      <c r="U1552" s="1"/>
      <c r="V1552" s="16"/>
      <c r="W1552" s="1"/>
      <c r="X1552" s="1"/>
    </row>
    <row r="1553" spans="1:24">
      <c r="A1553" s="1"/>
      <c r="M1553" s="26"/>
      <c r="N1553" s="26"/>
      <c r="P1553" s="1"/>
      <c r="Q1553" s="1"/>
      <c r="R1553" s="1"/>
      <c r="S1553" s="1"/>
      <c r="T1553" s="1"/>
      <c r="U1553" s="1"/>
      <c r="V1553" s="16"/>
      <c r="W1553" s="1"/>
      <c r="X1553" s="1"/>
    </row>
    <row r="1554" spans="1:24">
      <c r="A1554" s="1"/>
      <c r="M1554" s="26"/>
      <c r="N1554" s="26"/>
      <c r="P1554" s="1"/>
      <c r="Q1554" s="1"/>
      <c r="R1554" s="1"/>
      <c r="S1554" s="1"/>
      <c r="T1554" s="1"/>
      <c r="U1554" s="1"/>
      <c r="V1554" s="16"/>
      <c r="W1554" s="1"/>
      <c r="X1554" s="1"/>
    </row>
    <row r="1555" spans="1:24">
      <c r="A1555" s="1"/>
      <c r="M1555" s="26"/>
      <c r="N1555" s="26"/>
      <c r="P1555" s="1"/>
      <c r="Q1555" s="1"/>
      <c r="R1555" s="1"/>
      <c r="S1555" s="1"/>
      <c r="T1555" s="1"/>
      <c r="U1555" s="1"/>
      <c r="V1555" s="16"/>
      <c r="W1555" s="1"/>
      <c r="X1555" s="1"/>
    </row>
    <row r="1556" spans="1:24">
      <c r="A1556" s="1"/>
      <c r="M1556" s="26"/>
      <c r="N1556" s="26"/>
      <c r="P1556" s="1"/>
      <c r="Q1556" s="1"/>
      <c r="R1556" s="1"/>
      <c r="S1556" s="1"/>
      <c r="T1556" s="1"/>
      <c r="U1556" s="1"/>
      <c r="V1556" s="16"/>
      <c r="W1556" s="1"/>
      <c r="X1556" s="1"/>
    </row>
    <row r="1557" spans="1:24">
      <c r="A1557" s="1"/>
      <c r="M1557" s="26"/>
      <c r="N1557" s="26"/>
      <c r="P1557" s="1"/>
      <c r="Q1557" s="1"/>
      <c r="R1557" s="1"/>
      <c r="S1557" s="1"/>
      <c r="T1557" s="1"/>
      <c r="U1557" s="1"/>
      <c r="V1557" s="16"/>
      <c r="W1557" s="1"/>
      <c r="X1557" s="1"/>
    </row>
    <row r="1558" spans="1:24">
      <c r="A1558" s="1"/>
      <c r="M1558" s="26"/>
      <c r="N1558" s="26"/>
      <c r="P1558" s="1"/>
      <c r="Q1558" s="1"/>
      <c r="R1558" s="1"/>
      <c r="S1558" s="1"/>
      <c r="T1558" s="1"/>
      <c r="U1558" s="1"/>
      <c r="V1558" s="16"/>
      <c r="W1558" s="1"/>
      <c r="X1558" s="1"/>
    </row>
    <row r="1559" spans="1:24">
      <c r="A1559" s="1"/>
      <c r="M1559" s="26"/>
      <c r="N1559" s="26"/>
      <c r="P1559" s="1"/>
      <c r="Q1559" s="1"/>
      <c r="R1559" s="1"/>
      <c r="S1559" s="1"/>
      <c r="T1559" s="1"/>
      <c r="U1559" s="1"/>
      <c r="V1559" s="16"/>
      <c r="W1559" s="1"/>
      <c r="X1559" s="1"/>
    </row>
    <row r="1560" spans="1:24">
      <c r="A1560" s="1"/>
      <c r="M1560" s="26"/>
      <c r="N1560" s="26"/>
      <c r="P1560" s="1"/>
      <c r="Q1560" s="1"/>
      <c r="R1560" s="1"/>
      <c r="S1560" s="1"/>
      <c r="T1560" s="1"/>
      <c r="U1560" s="1"/>
      <c r="V1560" s="16"/>
      <c r="W1560" s="1"/>
      <c r="X1560" s="1"/>
    </row>
    <row r="1561" spans="1:24">
      <c r="A1561" s="1"/>
      <c r="M1561" s="26"/>
      <c r="N1561" s="26"/>
      <c r="P1561" s="1"/>
      <c r="Q1561" s="1"/>
      <c r="R1561" s="1"/>
      <c r="S1561" s="1"/>
      <c r="T1561" s="1"/>
      <c r="U1561" s="1"/>
      <c r="V1561" s="16"/>
      <c r="W1561" s="1"/>
      <c r="X1561" s="1"/>
    </row>
    <row r="1562" spans="1:24">
      <c r="A1562" s="1"/>
      <c r="M1562" s="26"/>
      <c r="N1562" s="26"/>
      <c r="P1562" s="1"/>
      <c r="Q1562" s="1"/>
      <c r="R1562" s="1"/>
      <c r="S1562" s="1"/>
      <c r="T1562" s="1"/>
      <c r="U1562" s="1"/>
      <c r="V1562" s="16"/>
      <c r="W1562" s="1"/>
      <c r="X1562" s="1"/>
    </row>
    <row r="1563" spans="1:24">
      <c r="A1563" s="1"/>
      <c r="M1563" s="26"/>
      <c r="N1563" s="26"/>
      <c r="P1563" s="1"/>
      <c r="Q1563" s="1"/>
      <c r="R1563" s="1"/>
      <c r="S1563" s="1"/>
      <c r="T1563" s="1"/>
      <c r="U1563" s="1"/>
      <c r="V1563" s="16"/>
      <c r="W1563" s="1"/>
      <c r="X1563" s="1"/>
    </row>
    <row r="1564" spans="1:24">
      <c r="A1564" s="1"/>
      <c r="M1564" s="26"/>
      <c r="N1564" s="26"/>
      <c r="P1564" s="1"/>
      <c r="Q1564" s="1"/>
      <c r="R1564" s="1"/>
      <c r="S1564" s="1"/>
      <c r="T1564" s="1"/>
      <c r="U1564" s="1"/>
      <c r="V1564" s="16"/>
      <c r="W1564" s="1"/>
      <c r="X1564" s="1"/>
    </row>
    <row r="1565" spans="1:24">
      <c r="A1565" s="1"/>
      <c r="M1565" s="26"/>
      <c r="N1565" s="26"/>
      <c r="P1565" s="1"/>
      <c r="Q1565" s="1"/>
      <c r="R1565" s="1"/>
      <c r="S1565" s="1"/>
      <c r="T1565" s="1"/>
      <c r="U1565" s="1"/>
      <c r="V1565" s="16"/>
      <c r="W1565" s="1"/>
      <c r="X1565" s="1"/>
    </row>
    <row r="1566" spans="1:24">
      <c r="A1566" s="1"/>
      <c r="M1566" s="26"/>
      <c r="N1566" s="26"/>
      <c r="P1566" s="1"/>
      <c r="Q1566" s="1"/>
      <c r="R1566" s="1"/>
      <c r="S1566" s="1"/>
      <c r="T1566" s="1"/>
      <c r="U1566" s="1"/>
      <c r="V1566" s="16"/>
      <c r="W1566" s="1"/>
      <c r="X1566" s="1"/>
    </row>
    <row r="1567" spans="1:24">
      <c r="A1567" s="1"/>
      <c r="M1567" s="26"/>
      <c r="N1567" s="26"/>
      <c r="P1567" s="1"/>
      <c r="Q1567" s="1"/>
      <c r="R1567" s="1"/>
      <c r="S1567" s="1"/>
      <c r="T1567" s="1"/>
      <c r="U1567" s="1"/>
      <c r="V1567" s="16"/>
      <c r="W1567" s="1"/>
      <c r="X1567" s="1"/>
    </row>
    <row r="1568" spans="1:24">
      <c r="A1568" s="1"/>
      <c r="M1568" s="26"/>
      <c r="N1568" s="26"/>
      <c r="P1568" s="1"/>
      <c r="Q1568" s="1"/>
      <c r="R1568" s="1"/>
      <c r="S1568" s="1"/>
      <c r="T1568" s="1"/>
      <c r="U1568" s="1"/>
      <c r="V1568" s="16"/>
      <c r="W1568" s="1"/>
      <c r="X1568" s="1"/>
    </row>
    <row r="1569" spans="1:24">
      <c r="A1569" s="1"/>
      <c r="M1569" s="26"/>
      <c r="N1569" s="26"/>
      <c r="P1569" s="1"/>
      <c r="Q1569" s="1"/>
      <c r="R1569" s="1"/>
      <c r="S1569" s="1"/>
      <c r="T1569" s="1"/>
      <c r="U1569" s="1"/>
      <c r="V1569" s="16"/>
      <c r="W1569" s="1"/>
      <c r="X1569" s="1"/>
    </row>
    <row r="1570" spans="1:24">
      <c r="A1570" s="1"/>
      <c r="M1570" s="26"/>
      <c r="N1570" s="26"/>
      <c r="P1570" s="1"/>
      <c r="Q1570" s="1"/>
      <c r="R1570" s="1"/>
      <c r="S1570" s="1"/>
      <c r="T1570" s="1"/>
      <c r="U1570" s="1"/>
      <c r="V1570" s="16"/>
      <c r="W1570" s="1"/>
      <c r="X1570" s="1"/>
    </row>
    <row r="1571" spans="1:24">
      <c r="A1571" s="1"/>
      <c r="M1571" s="26"/>
      <c r="N1571" s="26"/>
      <c r="P1571" s="1"/>
      <c r="Q1571" s="1"/>
      <c r="R1571" s="1"/>
      <c r="S1571" s="1"/>
      <c r="T1571" s="1"/>
      <c r="U1571" s="1"/>
      <c r="V1571" s="16"/>
      <c r="W1571" s="1"/>
      <c r="X1571" s="1"/>
    </row>
    <row r="1572" spans="1:24">
      <c r="A1572" s="1"/>
      <c r="M1572" s="26"/>
      <c r="N1572" s="26"/>
      <c r="P1572" s="1"/>
      <c r="Q1572" s="1"/>
      <c r="R1572" s="1"/>
      <c r="S1572" s="1"/>
      <c r="T1572" s="1"/>
      <c r="U1572" s="1"/>
      <c r="V1572" s="16"/>
      <c r="W1572" s="1"/>
      <c r="X1572" s="1"/>
    </row>
    <row r="1573" spans="1:24">
      <c r="A1573" s="1"/>
      <c r="M1573" s="26"/>
      <c r="N1573" s="26"/>
      <c r="P1573" s="1"/>
      <c r="Q1573" s="1"/>
      <c r="R1573" s="1"/>
      <c r="S1573" s="1"/>
      <c r="T1573" s="1"/>
      <c r="U1573" s="1"/>
      <c r="V1573" s="16"/>
      <c r="W1573" s="1"/>
      <c r="X1573" s="1"/>
    </row>
    <row r="1574" spans="1:24">
      <c r="A1574" s="1"/>
      <c r="M1574" s="26"/>
      <c r="N1574" s="26"/>
      <c r="P1574" s="1"/>
      <c r="Q1574" s="1"/>
      <c r="R1574" s="1"/>
      <c r="S1574" s="1"/>
      <c r="T1574" s="1"/>
      <c r="U1574" s="1"/>
      <c r="V1574" s="16"/>
      <c r="W1574" s="1"/>
      <c r="X1574" s="1"/>
    </row>
    <row r="1575" spans="1:24">
      <c r="A1575" s="1"/>
      <c r="M1575" s="26"/>
      <c r="N1575" s="26"/>
      <c r="P1575" s="1"/>
      <c r="Q1575" s="1"/>
      <c r="R1575" s="1"/>
      <c r="S1575" s="1"/>
      <c r="T1575" s="1"/>
      <c r="U1575" s="1"/>
      <c r="V1575" s="16"/>
      <c r="W1575" s="1"/>
      <c r="X1575" s="1"/>
    </row>
    <row r="1576" spans="1:24">
      <c r="A1576" s="1"/>
      <c r="M1576" s="26"/>
      <c r="N1576" s="26"/>
      <c r="P1576" s="1"/>
      <c r="Q1576" s="1"/>
      <c r="R1576" s="1"/>
      <c r="S1576" s="1"/>
      <c r="T1576" s="1"/>
      <c r="U1576" s="1"/>
      <c r="V1576" s="16"/>
      <c r="W1576" s="1"/>
      <c r="X1576" s="1"/>
    </row>
    <row r="1577" spans="1:24">
      <c r="A1577" s="1"/>
      <c r="M1577" s="26"/>
      <c r="N1577" s="26"/>
      <c r="P1577" s="1"/>
      <c r="Q1577" s="1"/>
      <c r="R1577" s="1"/>
      <c r="S1577" s="1"/>
      <c r="T1577" s="1"/>
      <c r="U1577" s="1"/>
      <c r="V1577" s="16"/>
      <c r="W1577" s="1"/>
      <c r="X1577" s="1"/>
    </row>
    <row r="1578" spans="1:24">
      <c r="A1578" s="1"/>
      <c r="M1578" s="26"/>
      <c r="N1578" s="26"/>
      <c r="P1578" s="1"/>
      <c r="Q1578" s="1"/>
      <c r="R1578" s="1"/>
      <c r="S1578" s="1"/>
      <c r="T1578" s="1"/>
      <c r="U1578" s="1"/>
      <c r="V1578" s="16"/>
      <c r="W1578" s="1"/>
      <c r="X1578" s="1"/>
    </row>
    <row r="1579" spans="1:24">
      <c r="A1579" s="1"/>
      <c r="M1579" s="26"/>
      <c r="N1579" s="26"/>
      <c r="P1579" s="1"/>
      <c r="Q1579" s="1"/>
      <c r="R1579" s="1"/>
      <c r="S1579" s="1"/>
      <c r="T1579" s="1"/>
      <c r="U1579" s="1"/>
      <c r="V1579" s="16"/>
      <c r="W1579" s="1"/>
      <c r="X1579" s="1"/>
    </row>
    <row r="1580" spans="1:24">
      <c r="A1580" s="1"/>
      <c r="M1580" s="26"/>
      <c r="N1580" s="26"/>
      <c r="P1580" s="1"/>
      <c r="Q1580" s="1"/>
      <c r="R1580" s="1"/>
      <c r="S1580" s="1"/>
      <c r="T1580" s="1"/>
      <c r="U1580" s="1"/>
      <c r="V1580" s="16"/>
      <c r="W1580" s="1"/>
      <c r="X1580" s="1"/>
    </row>
    <row r="1581" spans="1:24">
      <c r="A1581" s="1"/>
      <c r="M1581" s="26"/>
      <c r="N1581" s="26"/>
      <c r="P1581" s="1"/>
      <c r="Q1581" s="1"/>
      <c r="R1581" s="1"/>
      <c r="S1581" s="1"/>
      <c r="T1581" s="1"/>
      <c r="U1581" s="1"/>
      <c r="V1581" s="16"/>
      <c r="W1581" s="1"/>
      <c r="X1581" s="1"/>
    </row>
    <row r="1582" spans="1:24">
      <c r="A1582" s="1"/>
      <c r="M1582" s="26"/>
      <c r="N1582" s="26"/>
      <c r="P1582" s="1"/>
      <c r="Q1582" s="1"/>
      <c r="R1582" s="1"/>
      <c r="S1582" s="1"/>
      <c r="T1582" s="1"/>
      <c r="U1582" s="1"/>
      <c r="V1582" s="16"/>
      <c r="W1582" s="1"/>
      <c r="X1582" s="1"/>
    </row>
    <row r="1583" spans="1:24">
      <c r="A1583" s="1"/>
      <c r="M1583" s="26"/>
      <c r="N1583" s="26"/>
      <c r="P1583" s="1"/>
      <c r="Q1583" s="1"/>
      <c r="R1583" s="1"/>
      <c r="S1583" s="1"/>
      <c r="T1583" s="1"/>
      <c r="U1583" s="1"/>
      <c r="V1583" s="16"/>
      <c r="W1583" s="1"/>
      <c r="X1583" s="1"/>
    </row>
    <row r="1584" spans="1:24">
      <c r="A1584" s="1"/>
      <c r="M1584" s="26"/>
      <c r="N1584" s="26"/>
      <c r="P1584" s="1"/>
      <c r="Q1584" s="1"/>
      <c r="R1584" s="1"/>
      <c r="S1584" s="1"/>
      <c r="T1584" s="1"/>
      <c r="U1584" s="1"/>
      <c r="V1584" s="16"/>
      <c r="W1584" s="1"/>
      <c r="X1584" s="1"/>
    </row>
    <row r="1585" spans="1:24">
      <c r="A1585" s="1"/>
      <c r="M1585" s="26"/>
      <c r="N1585" s="26"/>
      <c r="P1585" s="1"/>
      <c r="Q1585" s="1"/>
      <c r="R1585" s="1"/>
      <c r="S1585" s="1"/>
      <c r="T1585" s="1"/>
      <c r="U1585" s="1"/>
      <c r="V1585" s="16"/>
      <c r="W1585" s="1"/>
      <c r="X1585" s="1"/>
    </row>
    <row r="1586" spans="1:24">
      <c r="A1586" s="1"/>
      <c r="M1586" s="26"/>
      <c r="N1586" s="26"/>
      <c r="P1586" s="1"/>
      <c r="Q1586" s="1"/>
      <c r="R1586" s="1"/>
      <c r="S1586" s="1"/>
      <c r="T1586" s="1"/>
      <c r="U1586" s="1"/>
      <c r="V1586" s="16"/>
      <c r="W1586" s="1"/>
      <c r="X1586" s="1"/>
    </row>
    <row r="1587" spans="1:24">
      <c r="A1587" s="1"/>
      <c r="M1587" s="26"/>
      <c r="N1587" s="26"/>
      <c r="P1587" s="1"/>
      <c r="Q1587" s="1"/>
      <c r="R1587" s="1"/>
      <c r="S1587" s="1"/>
      <c r="T1587" s="1"/>
      <c r="U1587" s="1"/>
      <c r="V1587" s="16"/>
      <c r="W1587" s="1"/>
      <c r="X1587" s="1"/>
    </row>
    <row r="1588" spans="1:24">
      <c r="A1588" s="1"/>
      <c r="M1588" s="26"/>
      <c r="N1588" s="26"/>
      <c r="P1588" s="1"/>
      <c r="Q1588" s="1"/>
      <c r="R1588" s="1"/>
      <c r="S1588" s="1"/>
      <c r="T1588" s="1"/>
      <c r="U1588" s="1"/>
      <c r="V1588" s="16"/>
      <c r="W1588" s="1"/>
      <c r="X1588" s="1"/>
    </row>
    <row r="1589" spans="1:24">
      <c r="A1589" s="1"/>
      <c r="M1589" s="26"/>
      <c r="N1589" s="26"/>
      <c r="P1589" s="1"/>
      <c r="Q1589" s="1"/>
      <c r="R1589" s="1"/>
      <c r="S1589" s="1"/>
      <c r="T1589" s="1"/>
      <c r="U1589" s="1"/>
      <c r="V1589" s="16"/>
      <c r="W1589" s="1"/>
      <c r="X1589" s="1"/>
    </row>
    <row r="1590" spans="1:24">
      <c r="A1590" s="1"/>
      <c r="M1590" s="26"/>
      <c r="N1590" s="26"/>
      <c r="P1590" s="1"/>
      <c r="Q1590" s="1"/>
      <c r="R1590" s="1"/>
      <c r="S1590" s="1"/>
      <c r="T1590" s="1"/>
      <c r="U1590" s="1"/>
      <c r="V1590" s="16"/>
      <c r="W1590" s="1"/>
      <c r="X1590" s="1"/>
    </row>
    <row r="1591" spans="1:24">
      <c r="A1591" s="1"/>
      <c r="M1591" s="26"/>
      <c r="N1591" s="26"/>
      <c r="P1591" s="1"/>
      <c r="Q1591" s="1"/>
      <c r="R1591" s="1"/>
      <c r="S1591" s="1"/>
      <c r="T1591" s="1"/>
      <c r="U1591" s="1"/>
      <c r="V1591" s="16"/>
      <c r="W1591" s="1"/>
      <c r="X1591" s="1"/>
    </row>
    <row r="1592" spans="1:24">
      <c r="A1592" s="1"/>
      <c r="M1592" s="26"/>
      <c r="N1592" s="26"/>
      <c r="P1592" s="1"/>
      <c r="Q1592" s="1"/>
      <c r="R1592" s="1"/>
      <c r="S1592" s="1"/>
      <c r="T1592" s="1"/>
      <c r="U1592" s="1"/>
      <c r="V1592" s="16"/>
      <c r="W1592" s="1"/>
      <c r="X1592" s="1"/>
    </row>
    <row r="1593" spans="1:24">
      <c r="A1593" s="1"/>
      <c r="M1593" s="26"/>
      <c r="N1593" s="26"/>
      <c r="P1593" s="1"/>
      <c r="Q1593" s="1"/>
      <c r="R1593" s="1"/>
      <c r="S1593" s="1"/>
      <c r="T1593" s="1"/>
      <c r="U1593" s="1"/>
      <c r="V1593" s="16"/>
      <c r="W1593" s="1"/>
      <c r="X1593" s="1"/>
    </row>
    <row r="1594" spans="1:24">
      <c r="A1594" s="1"/>
      <c r="M1594" s="26"/>
      <c r="N1594" s="26"/>
      <c r="P1594" s="1"/>
      <c r="Q1594" s="1"/>
      <c r="R1594" s="1"/>
      <c r="S1594" s="1"/>
      <c r="T1594" s="1"/>
      <c r="U1594" s="1"/>
      <c r="V1594" s="16"/>
      <c r="W1594" s="1"/>
      <c r="X1594" s="1"/>
    </row>
    <row r="1595" spans="1:24">
      <c r="A1595" s="1"/>
      <c r="M1595" s="26"/>
      <c r="N1595" s="26"/>
      <c r="P1595" s="1"/>
      <c r="Q1595" s="1"/>
      <c r="R1595" s="1"/>
      <c r="S1595" s="1"/>
      <c r="T1595" s="1"/>
      <c r="U1595" s="1"/>
      <c r="V1595" s="16"/>
      <c r="W1595" s="1"/>
      <c r="X1595" s="1"/>
    </row>
    <row r="1596" spans="1:24">
      <c r="A1596" s="1"/>
      <c r="M1596" s="26"/>
      <c r="N1596" s="26"/>
      <c r="P1596" s="1"/>
      <c r="Q1596" s="1"/>
      <c r="R1596" s="1"/>
      <c r="S1596" s="1"/>
      <c r="T1596" s="1"/>
      <c r="U1596" s="1"/>
      <c r="V1596" s="16"/>
      <c r="W1596" s="1"/>
      <c r="X1596" s="1"/>
    </row>
    <row r="1597" spans="1:24">
      <c r="A1597" s="1"/>
      <c r="M1597" s="26"/>
      <c r="N1597" s="26"/>
      <c r="P1597" s="1"/>
      <c r="Q1597" s="1"/>
      <c r="R1597" s="1"/>
      <c r="S1597" s="1"/>
      <c r="T1597" s="1"/>
      <c r="U1597" s="1"/>
      <c r="V1597" s="16"/>
      <c r="W1597" s="1"/>
      <c r="X1597" s="1"/>
    </row>
    <row r="1598" spans="1:24">
      <c r="A1598" s="1"/>
      <c r="M1598" s="26"/>
      <c r="N1598" s="26"/>
      <c r="P1598" s="1"/>
      <c r="Q1598" s="1"/>
      <c r="R1598" s="1"/>
      <c r="S1598" s="1"/>
      <c r="T1598" s="1"/>
      <c r="U1598" s="1"/>
      <c r="V1598" s="16"/>
      <c r="W1598" s="1"/>
      <c r="X1598" s="1"/>
    </row>
    <row r="1599" spans="1:24">
      <c r="A1599" s="1"/>
      <c r="M1599" s="26"/>
      <c r="N1599" s="26"/>
      <c r="P1599" s="1"/>
      <c r="Q1599" s="1"/>
      <c r="R1599" s="1"/>
      <c r="S1599" s="1"/>
      <c r="T1599" s="1"/>
      <c r="U1599" s="1"/>
      <c r="V1599" s="16"/>
      <c r="W1599" s="1"/>
      <c r="X1599" s="1"/>
    </row>
    <row r="1600" spans="1:24">
      <c r="A1600" s="1"/>
      <c r="M1600" s="26"/>
      <c r="N1600" s="26"/>
      <c r="P1600" s="1"/>
      <c r="Q1600" s="1"/>
      <c r="R1600" s="1"/>
      <c r="S1600" s="1"/>
      <c r="T1600" s="1"/>
      <c r="U1600" s="1"/>
      <c r="V1600" s="16"/>
      <c r="W1600" s="1"/>
      <c r="X1600" s="1"/>
    </row>
    <row r="1601" spans="1:24">
      <c r="A1601" s="1"/>
      <c r="M1601" s="26"/>
      <c r="N1601" s="26"/>
      <c r="P1601" s="1"/>
      <c r="Q1601" s="1"/>
      <c r="R1601" s="1"/>
      <c r="S1601" s="1"/>
      <c r="T1601" s="1"/>
      <c r="U1601" s="1"/>
      <c r="V1601" s="16"/>
      <c r="W1601" s="1"/>
      <c r="X1601" s="1"/>
    </row>
    <row r="1602" spans="1:24">
      <c r="A1602" s="1"/>
      <c r="M1602" s="26"/>
      <c r="N1602" s="26"/>
      <c r="P1602" s="1"/>
      <c r="Q1602" s="1"/>
      <c r="R1602" s="1"/>
      <c r="S1602" s="1"/>
      <c r="T1602" s="1"/>
      <c r="U1602" s="1"/>
      <c r="V1602" s="16"/>
      <c r="W1602" s="1"/>
      <c r="X1602" s="1"/>
    </row>
    <row r="1603" spans="1:24">
      <c r="A1603" s="1"/>
      <c r="M1603" s="26"/>
      <c r="N1603" s="26"/>
      <c r="P1603" s="1"/>
      <c r="Q1603" s="1"/>
      <c r="R1603" s="1"/>
      <c r="S1603" s="1"/>
      <c r="T1603" s="1"/>
      <c r="U1603" s="1"/>
      <c r="V1603" s="16"/>
      <c r="W1603" s="1"/>
      <c r="X1603" s="1"/>
    </row>
    <row r="1604" spans="1:24">
      <c r="A1604" s="1"/>
      <c r="M1604" s="26"/>
      <c r="N1604" s="26"/>
      <c r="P1604" s="1"/>
      <c r="Q1604" s="1"/>
      <c r="R1604" s="1"/>
      <c r="S1604" s="1"/>
      <c r="T1604" s="1"/>
      <c r="U1604" s="1"/>
      <c r="V1604" s="16"/>
      <c r="W1604" s="1"/>
      <c r="X1604" s="1"/>
    </row>
    <row r="1605" spans="1:24">
      <c r="A1605" s="1"/>
      <c r="M1605" s="26"/>
      <c r="N1605" s="26"/>
      <c r="P1605" s="1"/>
      <c r="Q1605" s="1"/>
      <c r="R1605" s="1"/>
      <c r="S1605" s="1"/>
      <c r="T1605" s="1"/>
      <c r="U1605" s="1"/>
      <c r="V1605" s="16"/>
      <c r="W1605" s="1"/>
      <c r="X1605" s="1"/>
    </row>
    <row r="1606" spans="1:24">
      <c r="A1606" s="1"/>
      <c r="M1606" s="26"/>
      <c r="N1606" s="26"/>
      <c r="P1606" s="1"/>
      <c r="Q1606" s="1"/>
      <c r="R1606" s="1"/>
      <c r="S1606" s="1"/>
      <c r="T1606" s="1"/>
      <c r="U1606" s="1"/>
      <c r="V1606" s="16"/>
      <c r="W1606" s="1"/>
      <c r="X1606" s="1"/>
    </row>
    <row r="1607" spans="1:24">
      <c r="A1607" s="1"/>
      <c r="M1607" s="26"/>
      <c r="N1607" s="26"/>
      <c r="P1607" s="1"/>
      <c r="Q1607" s="1"/>
      <c r="R1607" s="1"/>
      <c r="S1607" s="1"/>
      <c r="T1607" s="1"/>
      <c r="U1607" s="1"/>
      <c r="V1607" s="16"/>
      <c r="W1607" s="1"/>
      <c r="X1607" s="1"/>
    </row>
    <row r="1608" spans="1:24">
      <c r="A1608" s="1"/>
      <c r="M1608" s="26"/>
      <c r="N1608" s="26"/>
      <c r="P1608" s="1"/>
      <c r="Q1608" s="1"/>
      <c r="R1608" s="1"/>
      <c r="S1608" s="1"/>
      <c r="T1608" s="1"/>
      <c r="U1608" s="1"/>
      <c r="V1608" s="16"/>
      <c r="W1608" s="1"/>
      <c r="X1608" s="1"/>
    </row>
    <row r="1609" spans="1:24">
      <c r="A1609" s="1"/>
      <c r="M1609" s="26"/>
      <c r="N1609" s="26"/>
      <c r="P1609" s="1"/>
      <c r="Q1609" s="1"/>
      <c r="R1609" s="1"/>
      <c r="S1609" s="1"/>
      <c r="T1609" s="1"/>
      <c r="U1609" s="1"/>
      <c r="V1609" s="16"/>
      <c r="W1609" s="1"/>
      <c r="X1609" s="1"/>
    </row>
    <row r="1610" spans="1:24">
      <c r="A1610" s="1"/>
      <c r="M1610" s="26"/>
      <c r="N1610" s="26"/>
      <c r="P1610" s="1"/>
      <c r="Q1610" s="1"/>
      <c r="R1610" s="1"/>
      <c r="S1610" s="1"/>
      <c r="T1610" s="1"/>
      <c r="U1610" s="1"/>
      <c r="V1610" s="16"/>
      <c r="W1610" s="1"/>
      <c r="X1610" s="1"/>
    </row>
    <row r="1611" spans="1:24">
      <c r="A1611" s="1"/>
      <c r="M1611" s="26"/>
      <c r="N1611" s="26"/>
      <c r="P1611" s="1"/>
      <c r="Q1611" s="1"/>
      <c r="R1611" s="1"/>
      <c r="S1611" s="1"/>
      <c r="T1611" s="1"/>
      <c r="U1611" s="1"/>
      <c r="V1611" s="16"/>
      <c r="W1611" s="1"/>
      <c r="X1611" s="1"/>
    </row>
    <row r="1612" spans="1:24">
      <c r="A1612" s="1"/>
      <c r="M1612" s="26"/>
      <c r="N1612" s="26"/>
      <c r="P1612" s="1"/>
      <c r="Q1612" s="1"/>
      <c r="R1612" s="1"/>
      <c r="S1612" s="1"/>
      <c r="T1612" s="1"/>
      <c r="U1612" s="1"/>
      <c r="V1612" s="16"/>
      <c r="W1612" s="1"/>
      <c r="X1612" s="1"/>
    </row>
    <row r="1613" spans="1:24">
      <c r="A1613" s="1"/>
      <c r="M1613" s="26"/>
      <c r="N1613" s="26"/>
      <c r="P1613" s="1"/>
      <c r="Q1613" s="1"/>
      <c r="R1613" s="1"/>
      <c r="S1613" s="1"/>
      <c r="T1613" s="1"/>
      <c r="U1613" s="1"/>
      <c r="V1613" s="16"/>
      <c r="W1613" s="1"/>
      <c r="X1613" s="1"/>
    </row>
    <row r="1614" spans="1:24">
      <c r="A1614" s="1"/>
      <c r="M1614" s="26"/>
      <c r="N1614" s="26"/>
      <c r="P1614" s="1"/>
      <c r="Q1614" s="1"/>
      <c r="R1614" s="1"/>
      <c r="S1614" s="1"/>
      <c r="T1614" s="1"/>
      <c r="U1614" s="1"/>
      <c r="V1614" s="16"/>
      <c r="W1614" s="1"/>
      <c r="X1614" s="1"/>
    </row>
    <row r="1615" spans="1:24">
      <c r="A1615" s="1"/>
      <c r="M1615" s="26"/>
      <c r="N1615" s="26"/>
      <c r="P1615" s="1"/>
      <c r="Q1615" s="1"/>
      <c r="R1615" s="1"/>
      <c r="S1615" s="1"/>
      <c r="T1615" s="1"/>
      <c r="U1615" s="1"/>
      <c r="V1615" s="16"/>
      <c r="W1615" s="1"/>
      <c r="X1615" s="1"/>
    </row>
    <row r="1616" spans="1:24">
      <c r="A1616" s="1"/>
      <c r="M1616" s="26"/>
      <c r="N1616" s="26"/>
      <c r="P1616" s="1"/>
      <c r="Q1616" s="1"/>
      <c r="R1616" s="1"/>
      <c r="S1616" s="1"/>
      <c r="T1616" s="1"/>
      <c r="U1616" s="1"/>
      <c r="V1616" s="16"/>
      <c r="W1616" s="1"/>
      <c r="X1616" s="1"/>
    </row>
    <row r="1617" spans="1:24">
      <c r="A1617" s="1"/>
      <c r="M1617" s="26"/>
      <c r="N1617" s="26"/>
      <c r="P1617" s="1"/>
      <c r="Q1617" s="1"/>
      <c r="R1617" s="1"/>
      <c r="S1617" s="1"/>
      <c r="T1617" s="1"/>
      <c r="U1617" s="1"/>
      <c r="V1617" s="16"/>
      <c r="W1617" s="1"/>
      <c r="X1617" s="1"/>
    </row>
    <row r="1618" spans="1:24">
      <c r="A1618" s="1"/>
      <c r="M1618" s="26"/>
      <c r="N1618" s="26"/>
      <c r="P1618" s="1"/>
      <c r="Q1618" s="1"/>
      <c r="R1618" s="1"/>
      <c r="S1618" s="1"/>
      <c r="T1618" s="1"/>
      <c r="U1618" s="1"/>
      <c r="V1618" s="16"/>
      <c r="W1618" s="1"/>
      <c r="X1618" s="1"/>
    </row>
    <row r="1619" spans="1:24">
      <c r="A1619" s="1"/>
      <c r="M1619" s="26"/>
      <c r="N1619" s="26"/>
      <c r="P1619" s="1"/>
      <c r="Q1619" s="1"/>
      <c r="R1619" s="1"/>
      <c r="S1619" s="1"/>
      <c r="T1619" s="1"/>
      <c r="U1619" s="1"/>
      <c r="V1619" s="16"/>
      <c r="W1619" s="1"/>
      <c r="X1619" s="1"/>
    </row>
    <row r="1620" spans="1:24">
      <c r="A1620" s="1"/>
      <c r="M1620" s="26"/>
      <c r="N1620" s="26"/>
      <c r="P1620" s="1"/>
      <c r="Q1620" s="1"/>
      <c r="R1620" s="1"/>
      <c r="S1620" s="1"/>
      <c r="T1620" s="1"/>
      <c r="U1620" s="1"/>
      <c r="V1620" s="16"/>
      <c r="W1620" s="1"/>
      <c r="X1620" s="1"/>
    </row>
    <row r="1621" spans="1:24">
      <c r="A1621" s="1"/>
      <c r="M1621" s="26"/>
      <c r="N1621" s="26"/>
      <c r="P1621" s="1"/>
      <c r="Q1621" s="1"/>
      <c r="R1621" s="1"/>
      <c r="S1621" s="1"/>
      <c r="T1621" s="1"/>
      <c r="U1621" s="1"/>
      <c r="V1621" s="16"/>
      <c r="W1621" s="1"/>
      <c r="X1621" s="1"/>
    </row>
    <row r="1622" spans="1:24">
      <c r="A1622" s="1"/>
      <c r="M1622" s="26"/>
      <c r="N1622" s="26"/>
      <c r="P1622" s="1"/>
      <c r="Q1622" s="1"/>
      <c r="R1622" s="1"/>
      <c r="S1622" s="1"/>
      <c r="T1622" s="1"/>
      <c r="U1622" s="1"/>
      <c r="V1622" s="16"/>
      <c r="W1622" s="1"/>
      <c r="X1622" s="1"/>
    </row>
    <row r="1623" spans="1:24">
      <c r="A1623" s="1"/>
      <c r="M1623" s="26"/>
      <c r="N1623" s="26"/>
      <c r="P1623" s="1"/>
      <c r="Q1623" s="1"/>
      <c r="R1623" s="1"/>
      <c r="S1623" s="1"/>
      <c r="T1623" s="1"/>
      <c r="U1623" s="1"/>
      <c r="V1623" s="16"/>
      <c r="W1623" s="1"/>
      <c r="X1623" s="1"/>
    </row>
    <row r="1624" spans="1:24">
      <c r="A1624" s="1"/>
      <c r="M1624" s="26"/>
      <c r="N1624" s="26"/>
      <c r="P1624" s="1"/>
      <c r="Q1624" s="1"/>
      <c r="R1624" s="1"/>
      <c r="S1624" s="1"/>
      <c r="T1624" s="1"/>
      <c r="U1624" s="1"/>
      <c r="V1624" s="16"/>
      <c r="W1624" s="1"/>
      <c r="X1624" s="1"/>
    </row>
    <row r="1625" spans="1:24">
      <c r="A1625" s="1"/>
      <c r="M1625" s="26"/>
      <c r="N1625" s="26"/>
      <c r="P1625" s="1"/>
      <c r="Q1625" s="1"/>
      <c r="R1625" s="1"/>
      <c r="S1625" s="1"/>
      <c r="T1625" s="1"/>
      <c r="U1625" s="1"/>
      <c r="V1625" s="16"/>
      <c r="W1625" s="1"/>
      <c r="X1625" s="1"/>
    </row>
    <row r="1626" spans="1:24">
      <c r="A1626" s="1"/>
      <c r="M1626" s="26"/>
      <c r="N1626" s="26"/>
      <c r="P1626" s="1"/>
      <c r="Q1626" s="1"/>
      <c r="R1626" s="1"/>
      <c r="S1626" s="1"/>
      <c r="T1626" s="1"/>
      <c r="U1626" s="1"/>
      <c r="V1626" s="16"/>
      <c r="W1626" s="1"/>
      <c r="X1626" s="1"/>
    </row>
    <row r="1627" spans="1:24">
      <c r="A1627" s="1"/>
      <c r="M1627" s="26"/>
      <c r="N1627" s="26"/>
      <c r="P1627" s="1"/>
      <c r="Q1627" s="1"/>
      <c r="R1627" s="1"/>
      <c r="S1627" s="1"/>
      <c r="T1627" s="1"/>
      <c r="U1627" s="1"/>
      <c r="V1627" s="16"/>
      <c r="W1627" s="1"/>
      <c r="X1627" s="1"/>
    </row>
    <row r="1628" spans="1:24">
      <c r="A1628" s="1"/>
      <c r="M1628" s="26"/>
      <c r="N1628" s="26"/>
      <c r="P1628" s="1"/>
      <c r="Q1628" s="1"/>
      <c r="R1628" s="1"/>
      <c r="S1628" s="1"/>
      <c r="T1628" s="1"/>
      <c r="U1628" s="1"/>
      <c r="V1628" s="16"/>
      <c r="W1628" s="1"/>
      <c r="X1628" s="1"/>
    </row>
    <row r="1629" spans="1:24">
      <c r="A1629" s="1"/>
      <c r="M1629" s="26"/>
      <c r="N1629" s="26"/>
      <c r="P1629" s="1"/>
      <c r="Q1629" s="1"/>
      <c r="R1629" s="1"/>
      <c r="S1629" s="1"/>
      <c r="T1629" s="1"/>
      <c r="U1629" s="1"/>
      <c r="V1629" s="16"/>
      <c r="W1629" s="1"/>
      <c r="X1629" s="1"/>
    </row>
    <row r="1630" spans="1:24">
      <c r="A1630" s="1"/>
      <c r="M1630" s="26"/>
      <c r="N1630" s="26"/>
      <c r="P1630" s="1"/>
      <c r="Q1630" s="1"/>
      <c r="R1630" s="1"/>
      <c r="S1630" s="1"/>
      <c r="T1630" s="1"/>
      <c r="U1630" s="1"/>
      <c r="V1630" s="16"/>
      <c r="W1630" s="1"/>
      <c r="X1630" s="1"/>
    </row>
    <row r="1631" spans="1:24">
      <c r="A1631" s="1"/>
      <c r="M1631" s="26"/>
      <c r="N1631" s="26"/>
      <c r="P1631" s="1"/>
      <c r="Q1631" s="1"/>
      <c r="R1631" s="1"/>
      <c r="S1631" s="1"/>
      <c r="T1631" s="1"/>
      <c r="U1631" s="1"/>
      <c r="V1631" s="16"/>
      <c r="W1631" s="1"/>
      <c r="X1631" s="1"/>
    </row>
    <row r="1632" spans="1:24">
      <c r="A1632" s="1"/>
      <c r="M1632" s="26"/>
      <c r="N1632" s="26"/>
      <c r="P1632" s="1"/>
      <c r="Q1632" s="1"/>
      <c r="R1632" s="1"/>
      <c r="S1632" s="1"/>
      <c r="T1632" s="1"/>
      <c r="U1632" s="1"/>
      <c r="V1632" s="16"/>
      <c r="W1632" s="1"/>
      <c r="X1632" s="1"/>
    </row>
    <row r="1633" spans="1:24">
      <c r="A1633" s="1"/>
      <c r="M1633" s="26"/>
      <c r="N1633" s="26"/>
      <c r="P1633" s="1"/>
      <c r="Q1633" s="1"/>
      <c r="R1633" s="1"/>
      <c r="S1633" s="1"/>
      <c r="T1633" s="1"/>
      <c r="U1633" s="1"/>
      <c r="V1633" s="16"/>
      <c r="W1633" s="1"/>
      <c r="X1633" s="1"/>
    </row>
    <row r="1634" spans="1:24">
      <c r="A1634" s="1"/>
      <c r="M1634" s="26"/>
      <c r="N1634" s="26"/>
      <c r="P1634" s="1"/>
      <c r="Q1634" s="1"/>
      <c r="R1634" s="1"/>
      <c r="S1634" s="1"/>
      <c r="T1634" s="1"/>
      <c r="U1634" s="1"/>
      <c r="V1634" s="16"/>
      <c r="W1634" s="1"/>
      <c r="X1634" s="1"/>
    </row>
    <row r="1635" spans="1:24">
      <c r="A1635" s="1"/>
      <c r="M1635" s="26"/>
      <c r="N1635" s="26"/>
      <c r="P1635" s="1"/>
      <c r="Q1635" s="1"/>
      <c r="R1635" s="1"/>
      <c r="S1635" s="1"/>
      <c r="T1635" s="1"/>
      <c r="U1635" s="1"/>
      <c r="V1635" s="16"/>
      <c r="W1635" s="1"/>
      <c r="X1635" s="1"/>
    </row>
    <row r="1636" spans="1:24">
      <c r="A1636" s="1"/>
      <c r="M1636" s="26"/>
      <c r="N1636" s="26"/>
      <c r="P1636" s="1"/>
      <c r="Q1636" s="1"/>
      <c r="R1636" s="1"/>
      <c r="S1636" s="1"/>
      <c r="T1636" s="1"/>
      <c r="U1636" s="1"/>
      <c r="V1636" s="16"/>
      <c r="W1636" s="1"/>
      <c r="X1636" s="1"/>
    </row>
    <row r="1637" spans="1:24">
      <c r="A1637" s="1"/>
      <c r="M1637" s="26"/>
      <c r="N1637" s="26"/>
      <c r="P1637" s="1"/>
      <c r="Q1637" s="1"/>
      <c r="R1637" s="1"/>
      <c r="S1637" s="1"/>
      <c r="T1637" s="1"/>
      <c r="U1637" s="1"/>
      <c r="V1637" s="16"/>
      <c r="W1637" s="1"/>
      <c r="X1637" s="1"/>
    </row>
    <row r="1638" spans="1:24">
      <c r="A1638" s="1"/>
      <c r="M1638" s="26"/>
      <c r="N1638" s="26"/>
      <c r="P1638" s="1"/>
      <c r="Q1638" s="1"/>
      <c r="R1638" s="1"/>
      <c r="S1638" s="1"/>
      <c r="T1638" s="1"/>
      <c r="U1638" s="1"/>
      <c r="V1638" s="16"/>
      <c r="W1638" s="1"/>
      <c r="X1638" s="1"/>
    </row>
    <row r="1639" spans="1:24">
      <c r="A1639" s="1"/>
      <c r="M1639" s="26"/>
      <c r="N1639" s="26"/>
      <c r="P1639" s="1"/>
      <c r="Q1639" s="1"/>
      <c r="R1639" s="1"/>
      <c r="S1639" s="1"/>
      <c r="T1639" s="1"/>
      <c r="U1639" s="1"/>
      <c r="V1639" s="16"/>
      <c r="W1639" s="1"/>
      <c r="X1639" s="1"/>
    </row>
    <row r="1640" spans="1:24">
      <c r="A1640" s="1"/>
      <c r="M1640" s="26"/>
      <c r="N1640" s="26"/>
      <c r="P1640" s="1"/>
      <c r="Q1640" s="1"/>
      <c r="R1640" s="1"/>
      <c r="S1640" s="1"/>
      <c r="T1640" s="1"/>
      <c r="U1640" s="1"/>
      <c r="V1640" s="16"/>
      <c r="W1640" s="1"/>
      <c r="X1640" s="1"/>
    </row>
    <row r="1641" spans="1:24">
      <c r="A1641" s="1"/>
      <c r="M1641" s="26"/>
      <c r="N1641" s="26"/>
      <c r="P1641" s="1"/>
      <c r="Q1641" s="1"/>
      <c r="R1641" s="1"/>
      <c r="S1641" s="1"/>
      <c r="T1641" s="1"/>
      <c r="U1641" s="1"/>
      <c r="V1641" s="16"/>
      <c r="W1641" s="1"/>
      <c r="X1641" s="1"/>
    </row>
    <row r="1642" spans="1:24">
      <c r="A1642" s="1"/>
      <c r="M1642" s="26"/>
      <c r="N1642" s="26"/>
      <c r="P1642" s="1"/>
      <c r="Q1642" s="1"/>
      <c r="R1642" s="1"/>
      <c r="S1642" s="1"/>
      <c r="T1642" s="1"/>
      <c r="U1642" s="1"/>
      <c r="V1642" s="16"/>
      <c r="W1642" s="1"/>
      <c r="X1642" s="1"/>
    </row>
    <row r="1643" spans="1:24">
      <c r="A1643" s="1"/>
      <c r="M1643" s="26"/>
      <c r="N1643" s="26"/>
      <c r="P1643" s="1"/>
      <c r="Q1643" s="1"/>
      <c r="R1643" s="1"/>
      <c r="S1643" s="1"/>
      <c r="T1643" s="1"/>
      <c r="U1643" s="1"/>
      <c r="V1643" s="16"/>
      <c r="W1643" s="1"/>
      <c r="X1643" s="1"/>
    </row>
    <row r="1644" spans="1:24">
      <c r="A1644" s="1"/>
      <c r="M1644" s="26"/>
      <c r="N1644" s="26"/>
      <c r="P1644" s="1"/>
      <c r="Q1644" s="1"/>
      <c r="R1644" s="1"/>
      <c r="S1644" s="1"/>
      <c r="T1644" s="1"/>
      <c r="U1644" s="1"/>
      <c r="V1644" s="16"/>
      <c r="W1644" s="1"/>
      <c r="X1644" s="1"/>
    </row>
    <row r="1645" spans="1:24">
      <c r="A1645" s="1"/>
      <c r="M1645" s="26"/>
      <c r="N1645" s="26"/>
      <c r="P1645" s="1"/>
      <c r="Q1645" s="1"/>
      <c r="R1645" s="1"/>
      <c r="S1645" s="1"/>
      <c r="T1645" s="1"/>
      <c r="U1645" s="1"/>
      <c r="V1645" s="16"/>
      <c r="W1645" s="1"/>
      <c r="X1645" s="1"/>
    </row>
    <row r="1646" spans="1:24">
      <c r="A1646" s="1"/>
      <c r="M1646" s="26"/>
      <c r="N1646" s="26"/>
      <c r="P1646" s="1"/>
      <c r="Q1646" s="1"/>
      <c r="R1646" s="1"/>
      <c r="S1646" s="1"/>
      <c r="T1646" s="1"/>
      <c r="U1646" s="1"/>
      <c r="V1646" s="16"/>
      <c r="W1646" s="1"/>
      <c r="X1646" s="1"/>
    </row>
    <row r="1647" spans="1:24">
      <c r="A1647" s="1"/>
      <c r="M1647" s="26"/>
      <c r="N1647" s="26"/>
      <c r="P1647" s="1"/>
      <c r="Q1647" s="1"/>
      <c r="R1647" s="1"/>
      <c r="S1647" s="1"/>
      <c r="T1647" s="1"/>
      <c r="U1647" s="1"/>
      <c r="V1647" s="16"/>
      <c r="W1647" s="1"/>
      <c r="X1647" s="1"/>
    </row>
    <row r="1648" spans="1:24">
      <c r="A1648" s="1"/>
      <c r="M1648" s="26"/>
      <c r="N1648" s="26"/>
      <c r="P1648" s="1"/>
      <c r="Q1648" s="1"/>
      <c r="R1648" s="1"/>
      <c r="S1648" s="1"/>
      <c r="T1648" s="1"/>
      <c r="U1648" s="1"/>
      <c r="V1648" s="16"/>
      <c r="W1648" s="1"/>
      <c r="X1648" s="1"/>
    </row>
    <row r="1649" spans="1:24">
      <c r="A1649" s="1"/>
      <c r="M1649" s="26"/>
      <c r="N1649" s="26"/>
      <c r="P1649" s="1"/>
      <c r="Q1649" s="1"/>
      <c r="R1649" s="1"/>
      <c r="S1649" s="1"/>
      <c r="T1649" s="1"/>
      <c r="U1649" s="1"/>
      <c r="V1649" s="16"/>
      <c r="W1649" s="1"/>
      <c r="X1649" s="1"/>
    </row>
    <row r="1650" spans="1:24">
      <c r="A1650" s="1"/>
      <c r="M1650" s="26"/>
      <c r="N1650" s="26"/>
      <c r="P1650" s="1"/>
      <c r="Q1650" s="1"/>
      <c r="R1650" s="1"/>
      <c r="S1650" s="1"/>
      <c r="T1650" s="1"/>
      <c r="U1650" s="1"/>
      <c r="V1650" s="16"/>
      <c r="W1650" s="1"/>
      <c r="X1650" s="1"/>
    </row>
    <row r="1651" spans="1:24">
      <c r="A1651" s="1"/>
      <c r="M1651" s="26"/>
      <c r="N1651" s="26"/>
      <c r="P1651" s="1"/>
      <c r="Q1651" s="1"/>
      <c r="R1651" s="1"/>
      <c r="S1651" s="1"/>
      <c r="T1651" s="1"/>
      <c r="U1651" s="1"/>
      <c r="V1651" s="16"/>
      <c r="W1651" s="1"/>
      <c r="X1651" s="1"/>
    </row>
    <row r="1652" spans="1:24">
      <c r="A1652" s="1"/>
      <c r="M1652" s="26"/>
      <c r="N1652" s="26"/>
      <c r="P1652" s="1"/>
      <c r="Q1652" s="1"/>
      <c r="R1652" s="1"/>
      <c r="S1652" s="1"/>
      <c r="T1652" s="1"/>
      <c r="U1652" s="1"/>
      <c r="V1652" s="16"/>
      <c r="W1652" s="1"/>
      <c r="X1652" s="1"/>
    </row>
    <row r="1653" spans="1:24">
      <c r="A1653" s="1"/>
      <c r="M1653" s="26"/>
      <c r="N1653" s="26"/>
      <c r="P1653" s="1"/>
      <c r="Q1653" s="1"/>
      <c r="R1653" s="1"/>
      <c r="S1653" s="1"/>
      <c r="T1653" s="1"/>
      <c r="U1653" s="1"/>
      <c r="V1653" s="16"/>
      <c r="W1653" s="1"/>
      <c r="X1653" s="1"/>
    </row>
    <row r="1654" spans="1:24">
      <c r="A1654" s="1"/>
      <c r="M1654" s="26"/>
      <c r="N1654" s="26"/>
      <c r="P1654" s="1"/>
      <c r="Q1654" s="1"/>
      <c r="R1654" s="1"/>
      <c r="S1654" s="1"/>
      <c r="T1654" s="1"/>
      <c r="U1654" s="1"/>
      <c r="V1654" s="16"/>
      <c r="W1654" s="1"/>
      <c r="X1654" s="1"/>
    </row>
    <row r="1655" spans="1:24">
      <c r="A1655" s="1"/>
      <c r="M1655" s="26"/>
      <c r="N1655" s="26"/>
      <c r="P1655" s="1"/>
      <c r="Q1655" s="1"/>
      <c r="R1655" s="1"/>
      <c r="S1655" s="1"/>
      <c r="T1655" s="1"/>
      <c r="U1655" s="1"/>
      <c r="V1655" s="16"/>
      <c r="W1655" s="1"/>
      <c r="X1655" s="1"/>
    </row>
    <row r="1656" spans="1:24">
      <c r="A1656" s="1"/>
      <c r="M1656" s="26"/>
      <c r="N1656" s="26"/>
      <c r="P1656" s="1"/>
      <c r="Q1656" s="1"/>
      <c r="R1656" s="1"/>
      <c r="S1656" s="1"/>
      <c r="T1656" s="1"/>
      <c r="U1656" s="1"/>
      <c r="V1656" s="16"/>
      <c r="W1656" s="1"/>
      <c r="X1656" s="1"/>
    </row>
    <row r="1657" spans="1:24">
      <c r="A1657" s="1"/>
      <c r="M1657" s="26"/>
      <c r="N1657" s="26"/>
      <c r="P1657" s="1"/>
      <c r="Q1657" s="1"/>
      <c r="R1657" s="1"/>
      <c r="S1657" s="1"/>
      <c r="T1657" s="1"/>
      <c r="U1657" s="1"/>
      <c r="V1657" s="16"/>
      <c r="W1657" s="1"/>
      <c r="X1657" s="1"/>
    </row>
    <row r="1658" spans="1:24">
      <c r="A1658" s="1"/>
      <c r="M1658" s="26"/>
      <c r="N1658" s="26"/>
      <c r="P1658" s="1"/>
      <c r="Q1658" s="1"/>
      <c r="R1658" s="1"/>
      <c r="S1658" s="1"/>
      <c r="T1658" s="1"/>
      <c r="U1658" s="1"/>
      <c r="V1658" s="16"/>
      <c r="W1658" s="1"/>
      <c r="X1658" s="1"/>
    </row>
    <row r="1659" spans="1:24">
      <c r="A1659" s="1"/>
      <c r="M1659" s="26"/>
      <c r="N1659" s="26"/>
      <c r="P1659" s="1"/>
      <c r="Q1659" s="1"/>
      <c r="R1659" s="1"/>
      <c r="S1659" s="1"/>
      <c r="T1659" s="1"/>
      <c r="U1659" s="1"/>
      <c r="V1659" s="16"/>
      <c r="W1659" s="1"/>
      <c r="X1659" s="1"/>
    </row>
    <row r="1660" spans="1:24">
      <c r="A1660" s="1"/>
      <c r="M1660" s="26"/>
      <c r="N1660" s="26"/>
      <c r="P1660" s="1"/>
      <c r="Q1660" s="1"/>
      <c r="R1660" s="1"/>
      <c r="S1660" s="1"/>
      <c r="T1660" s="1"/>
      <c r="U1660" s="1"/>
      <c r="V1660" s="16"/>
      <c r="W1660" s="1"/>
      <c r="X1660" s="1"/>
    </row>
    <row r="1661" spans="1:24">
      <c r="A1661" s="1"/>
      <c r="M1661" s="26"/>
      <c r="N1661" s="26"/>
      <c r="P1661" s="1"/>
      <c r="Q1661" s="1"/>
      <c r="R1661" s="1"/>
      <c r="S1661" s="1"/>
      <c r="T1661" s="1"/>
      <c r="U1661" s="1"/>
      <c r="V1661" s="16"/>
      <c r="W1661" s="1"/>
      <c r="X1661" s="1"/>
    </row>
    <row r="1662" spans="1:24">
      <c r="A1662" s="1"/>
      <c r="M1662" s="26"/>
      <c r="N1662" s="26"/>
      <c r="P1662" s="1"/>
      <c r="Q1662" s="1"/>
      <c r="R1662" s="1"/>
      <c r="S1662" s="1"/>
      <c r="T1662" s="1"/>
      <c r="U1662" s="1"/>
      <c r="V1662" s="16"/>
      <c r="W1662" s="1"/>
      <c r="X1662" s="1"/>
    </row>
    <row r="1663" spans="1:24">
      <c r="A1663" s="1"/>
      <c r="M1663" s="26"/>
      <c r="N1663" s="26"/>
      <c r="P1663" s="1"/>
      <c r="Q1663" s="1"/>
      <c r="R1663" s="1"/>
      <c r="S1663" s="1"/>
      <c r="T1663" s="1"/>
      <c r="U1663" s="1"/>
      <c r="V1663" s="16"/>
      <c r="W1663" s="1"/>
      <c r="X1663" s="1"/>
    </row>
    <row r="1664" spans="1:24">
      <c r="A1664" s="1"/>
      <c r="M1664" s="26"/>
      <c r="N1664" s="26"/>
      <c r="P1664" s="1"/>
      <c r="Q1664" s="1"/>
      <c r="R1664" s="1"/>
      <c r="S1664" s="1"/>
      <c r="T1664" s="1"/>
      <c r="U1664" s="1"/>
      <c r="V1664" s="16"/>
      <c r="W1664" s="1"/>
      <c r="X1664" s="1"/>
    </row>
    <row r="1665" spans="1:24">
      <c r="A1665" s="1"/>
      <c r="M1665" s="26"/>
      <c r="N1665" s="26"/>
      <c r="P1665" s="1"/>
      <c r="Q1665" s="1"/>
      <c r="R1665" s="1"/>
      <c r="S1665" s="1"/>
      <c r="T1665" s="1"/>
      <c r="U1665" s="1"/>
      <c r="V1665" s="16"/>
      <c r="W1665" s="1"/>
      <c r="X1665" s="1"/>
    </row>
    <row r="1666" spans="1:24">
      <c r="A1666" s="1"/>
      <c r="M1666" s="26"/>
      <c r="N1666" s="26"/>
      <c r="P1666" s="1"/>
      <c r="Q1666" s="1"/>
      <c r="R1666" s="1"/>
      <c r="S1666" s="1"/>
      <c r="T1666" s="1"/>
      <c r="U1666" s="1"/>
      <c r="V1666" s="16"/>
      <c r="W1666" s="1"/>
      <c r="X1666" s="1"/>
    </row>
    <row r="1667" spans="1:24">
      <c r="A1667" s="1"/>
      <c r="M1667" s="26"/>
      <c r="N1667" s="26"/>
      <c r="P1667" s="1"/>
      <c r="Q1667" s="1"/>
      <c r="R1667" s="1"/>
      <c r="S1667" s="1"/>
      <c r="T1667" s="1"/>
      <c r="U1667" s="1"/>
      <c r="V1667" s="16"/>
      <c r="W1667" s="1"/>
      <c r="X1667" s="1"/>
    </row>
    <row r="1668" spans="1:24">
      <c r="A1668" s="1"/>
      <c r="M1668" s="26"/>
      <c r="N1668" s="26"/>
      <c r="P1668" s="1"/>
      <c r="Q1668" s="1"/>
      <c r="R1668" s="1"/>
      <c r="S1668" s="1"/>
      <c r="T1668" s="1"/>
      <c r="U1668" s="1"/>
      <c r="V1668" s="16"/>
      <c r="W1668" s="1"/>
      <c r="X1668" s="1"/>
    </row>
    <row r="1669" spans="1:24">
      <c r="A1669" s="1"/>
      <c r="M1669" s="26"/>
      <c r="N1669" s="26"/>
      <c r="P1669" s="1"/>
      <c r="Q1669" s="1"/>
      <c r="R1669" s="1"/>
      <c r="S1669" s="1"/>
      <c r="T1669" s="1"/>
      <c r="U1669" s="1"/>
      <c r="V1669" s="16"/>
      <c r="W1669" s="1"/>
      <c r="X1669" s="1"/>
    </row>
    <row r="1670" spans="1:24">
      <c r="A1670" s="1"/>
      <c r="M1670" s="26"/>
      <c r="N1670" s="26"/>
      <c r="P1670" s="1"/>
      <c r="Q1670" s="1"/>
      <c r="R1670" s="1"/>
      <c r="S1670" s="1"/>
      <c r="T1670" s="1"/>
      <c r="U1670" s="1"/>
      <c r="V1670" s="16"/>
      <c r="W1670" s="1"/>
      <c r="X1670" s="1"/>
    </row>
    <row r="1671" spans="1:24">
      <c r="A1671" s="1"/>
      <c r="M1671" s="26"/>
      <c r="N1671" s="26"/>
      <c r="P1671" s="1"/>
      <c r="Q1671" s="1"/>
      <c r="R1671" s="1"/>
      <c r="S1671" s="1"/>
      <c r="T1671" s="1"/>
      <c r="U1671" s="1"/>
      <c r="V1671" s="16"/>
      <c r="W1671" s="1"/>
      <c r="X1671" s="1"/>
    </row>
    <row r="1672" spans="1:24">
      <c r="A1672" s="1"/>
      <c r="M1672" s="26"/>
      <c r="N1672" s="26"/>
      <c r="P1672" s="1"/>
      <c r="Q1672" s="1"/>
      <c r="R1672" s="1"/>
      <c r="S1672" s="1"/>
      <c r="T1672" s="1"/>
      <c r="U1672" s="1"/>
      <c r="V1672" s="16"/>
      <c r="W1672" s="1"/>
      <c r="X1672" s="1"/>
    </row>
    <row r="1673" spans="1:24">
      <c r="A1673" s="1"/>
      <c r="M1673" s="26"/>
      <c r="N1673" s="26"/>
      <c r="P1673" s="1"/>
      <c r="Q1673" s="1"/>
      <c r="R1673" s="1"/>
      <c r="S1673" s="1"/>
      <c r="T1673" s="1"/>
      <c r="U1673" s="1"/>
      <c r="V1673" s="16"/>
      <c r="W1673" s="1"/>
      <c r="X1673" s="1"/>
    </row>
    <row r="1674" spans="1:24">
      <c r="A1674" s="1"/>
      <c r="M1674" s="26"/>
      <c r="N1674" s="26"/>
      <c r="P1674" s="1"/>
      <c r="Q1674" s="1"/>
      <c r="R1674" s="1"/>
      <c r="S1674" s="1"/>
      <c r="T1674" s="1"/>
      <c r="U1674" s="1"/>
      <c r="V1674" s="16"/>
      <c r="W1674" s="1"/>
      <c r="X1674" s="1"/>
    </row>
    <row r="1675" spans="1:24">
      <c r="A1675" s="1"/>
      <c r="M1675" s="26"/>
      <c r="N1675" s="26"/>
      <c r="P1675" s="1"/>
      <c r="Q1675" s="1"/>
      <c r="R1675" s="1"/>
      <c r="S1675" s="1"/>
      <c r="T1675" s="1"/>
      <c r="U1675" s="1"/>
      <c r="V1675" s="16"/>
      <c r="W1675" s="1"/>
      <c r="X1675" s="1"/>
    </row>
    <row r="1676" spans="1:24">
      <c r="A1676" s="1"/>
      <c r="M1676" s="26"/>
      <c r="N1676" s="26"/>
      <c r="P1676" s="1"/>
      <c r="Q1676" s="1"/>
      <c r="R1676" s="1"/>
      <c r="S1676" s="1"/>
      <c r="T1676" s="1"/>
      <c r="U1676" s="1"/>
      <c r="V1676" s="16"/>
      <c r="W1676" s="1"/>
      <c r="X1676" s="1"/>
    </row>
    <row r="1677" spans="1:24">
      <c r="A1677" s="1"/>
      <c r="M1677" s="26"/>
      <c r="N1677" s="26"/>
      <c r="P1677" s="1"/>
      <c r="Q1677" s="1"/>
      <c r="R1677" s="1"/>
      <c r="S1677" s="1"/>
      <c r="T1677" s="1"/>
      <c r="U1677" s="1"/>
      <c r="V1677" s="16"/>
      <c r="W1677" s="1"/>
      <c r="X1677" s="1"/>
    </row>
    <row r="1678" spans="1:24">
      <c r="A1678" s="1"/>
      <c r="M1678" s="26"/>
      <c r="N1678" s="26"/>
      <c r="P1678" s="1"/>
      <c r="Q1678" s="1"/>
      <c r="R1678" s="1"/>
      <c r="S1678" s="1"/>
      <c r="T1678" s="1"/>
      <c r="U1678" s="1"/>
      <c r="V1678" s="16"/>
      <c r="W1678" s="1"/>
      <c r="X1678" s="1"/>
    </row>
    <row r="1679" spans="1:24">
      <c r="A1679" s="1"/>
      <c r="M1679" s="26"/>
      <c r="N1679" s="26"/>
      <c r="P1679" s="1"/>
      <c r="Q1679" s="1"/>
      <c r="R1679" s="1"/>
      <c r="S1679" s="1"/>
      <c r="T1679" s="1"/>
      <c r="U1679" s="1"/>
      <c r="V1679" s="16"/>
      <c r="W1679" s="1"/>
      <c r="X1679" s="1"/>
    </row>
    <row r="1680" spans="1:24">
      <c r="A1680" s="1"/>
      <c r="M1680" s="26"/>
      <c r="N1680" s="26"/>
      <c r="P1680" s="1"/>
      <c r="Q1680" s="1"/>
      <c r="R1680" s="1"/>
      <c r="S1680" s="1"/>
      <c r="T1680" s="1"/>
      <c r="U1680" s="1"/>
      <c r="V1680" s="16"/>
      <c r="W1680" s="1"/>
      <c r="X1680" s="1"/>
    </row>
    <row r="1681" spans="1:24">
      <c r="A1681" s="1"/>
      <c r="M1681" s="26"/>
      <c r="N1681" s="26"/>
      <c r="P1681" s="1"/>
      <c r="Q1681" s="1"/>
      <c r="R1681" s="1"/>
      <c r="S1681" s="1"/>
      <c r="T1681" s="1"/>
      <c r="U1681" s="1"/>
      <c r="V1681" s="16"/>
      <c r="W1681" s="1"/>
      <c r="X1681" s="1"/>
    </row>
    <row r="1682" spans="1:24">
      <c r="A1682" s="1"/>
      <c r="M1682" s="26"/>
      <c r="N1682" s="26"/>
      <c r="P1682" s="1"/>
      <c r="Q1682" s="1"/>
      <c r="R1682" s="1"/>
      <c r="S1682" s="1"/>
      <c r="T1682" s="1"/>
      <c r="U1682" s="1"/>
      <c r="V1682" s="16"/>
      <c r="W1682" s="1"/>
      <c r="X1682" s="1"/>
    </row>
    <row r="1683" spans="1:24">
      <c r="A1683" s="1"/>
      <c r="M1683" s="26"/>
      <c r="N1683" s="26"/>
      <c r="P1683" s="1"/>
      <c r="Q1683" s="1"/>
      <c r="R1683" s="1"/>
      <c r="S1683" s="1"/>
      <c r="T1683" s="1"/>
      <c r="U1683" s="1"/>
      <c r="V1683" s="16"/>
      <c r="W1683" s="1"/>
      <c r="X1683" s="1"/>
    </row>
    <row r="1684" spans="1:24">
      <c r="A1684" s="1"/>
      <c r="M1684" s="26"/>
      <c r="N1684" s="26"/>
      <c r="P1684" s="1"/>
      <c r="Q1684" s="1"/>
      <c r="R1684" s="1"/>
      <c r="S1684" s="1"/>
      <c r="T1684" s="1"/>
      <c r="U1684" s="1"/>
      <c r="V1684" s="16"/>
      <c r="W1684" s="1"/>
      <c r="X1684" s="1"/>
    </row>
    <row r="1685" spans="1:24">
      <c r="A1685" s="1"/>
      <c r="M1685" s="26"/>
      <c r="N1685" s="26"/>
      <c r="P1685" s="1"/>
      <c r="Q1685" s="1"/>
      <c r="R1685" s="1"/>
      <c r="S1685" s="1"/>
      <c r="T1685" s="1"/>
      <c r="U1685" s="1"/>
      <c r="V1685" s="16"/>
      <c r="W1685" s="1"/>
      <c r="X1685" s="1"/>
    </row>
    <row r="1686" spans="1:24">
      <c r="A1686" s="1"/>
      <c r="M1686" s="26"/>
      <c r="N1686" s="26"/>
      <c r="P1686" s="1"/>
      <c r="Q1686" s="1"/>
      <c r="R1686" s="1"/>
      <c r="S1686" s="1"/>
      <c r="T1686" s="1"/>
      <c r="U1686" s="1"/>
      <c r="V1686" s="16"/>
      <c r="W1686" s="1"/>
      <c r="X1686" s="1"/>
    </row>
    <row r="1687" spans="1:24">
      <c r="A1687" s="1"/>
      <c r="M1687" s="26"/>
      <c r="N1687" s="26"/>
      <c r="P1687" s="1"/>
      <c r="Q1687" s="1"/>
      <c r="R1687" s="1"/>
      <c r="S1687" s="1"/>
      <c r="T1687" s="1"/>
      <c r="U1687" s="1"/>
      <c r="V1687" s="16"/>
      <c r="W1687" s="1"/>
      <c r="X1687" s="1"/>
    </row>
    <row r="1688" spans="1:24">
      <c r="A1688" s="1"/>
      <c r="M1688" s="26"/>
      <c r="N1688" s="26"/>
      <c r="P1688" s="1"/>
      <c r="Q1688" s="1"/>
      <c r="R1688" s="1"/>
      <c r="S1688" s="1"/>
      <c r="T1688" s="1"/>
      <c r="U1688" s="1"/>
      <c r="V1688" s="16"/>
      <c r="W1688" s="1"/>
      <c r="X1688" s="1"/>
    </row>
    <row r="1689" spans="1:24">
      <c r="A1689" s="1"/>
      <c r="M1689" s="26"/>
      <c r="N1689" s="26"/>
      <c r="P1689" s="1"/>
      <c r="Q1689" s="1"/>
      <c r="R1689" s="1"/>
      <c r="S1689" s="1"/>
      <c r="T1689" s="1"/>
      <c r="U1689" s="1"/>
      <c r="V1689" s="16"/>
      <c r="W1689" s="1"/>
      <c r="X1689" s="1"/>
    </row>
    <row r="1690" spans="1:24">
      <c r="A1690" s="1"/>
      <c r="M1690" s="26"/>
      <c r="N1690" s="26"/>
      <c r="P1690" s="1"/>
      <c r="Q1690" s="1"/>
      <c r="R1690" s="1"/>
      <c r="S1690" s="1"/>
      <c r="T1690" s="1"/>
      <c r="U1690" s="1"/>
      <c r="V1690" s="16"/>
      <c r="W1690" s="1"/>
      <c r="X1690" s="1"/>
    </row>
    <row r="1691" spans="1:24">
      <c r="A1691" s="1"/>
      <c r="M1691" s="26"/>
      <c r="N1691" s="26"/>
      <c r="P1691" s="1"/>
      <c r="Q1691" s="1"/>
      <c r="R1691" s="1"/>
      <c r="S1691" s="1"/>
      <c r="T1691" s="1"/>
      <c r="U1691" s="1"/>
      <c r="V1691" s="16"/>
      <c r="W1691" s="1"/>
      <c r="X1691" s="1"/>
    </row>
    <row r="1692" spans="1:24">
      <c r="A1692" s="1"/>
      <c r="M1692" s="26"/>
      <c r="N1692" s="26"/>
      <c r="P1692" s="1"/>
      <c r="Q1692" s="1"/>
      <c r="R1692" s="1"/>
      <c r="S1692" s="1"/>
      <c r="T1692" s="1"/>
      <c r="U1692" s="1"/>
      <c r="V1692" s="16"/>
      <c r="W1692" s="1"/>
      <c r="X1692" s="1"/>
    </row>
    <row r="1693" spans="1:24">
      <c r="A1693" s="1"/>
      <c r="M1693" s="26"/>
      <c r="N1693" s="26"/>
      <c r="P1693" s="1"/>
      <c r="Q1693" s="1"/>
      <c r="R1693" s="1"/>
      <c r="S1693" s="1"/>
      <c r="T1693" s="1"/>
      <c r="U1693" s="1"/>
      <c r="V1693" s="16"/>
      <c r="W1693" s="1"/>
      <c r="X1693" s="1"/>
    </row>
    <row r="1694" spans="1:24">
      <c r="A1694" s="1"/>
      <c r="M1694" s="26"/>
      <c r="N1694" s="26"/>
      <c r="P1694" s="1"/>
      <c r="Q1694" s="1"/>
      <c r="R1694" s="1"/>
      <c r="S1694" s="1"/>
      <c r="T1694" s="1"/>
      <c r="U1694" s="1"/>
      <c r="V1694" s="16"/>
      <c r="W1694" s="1"/>
      <c r="X1694" s="1"/>
    </row>
    <row r="1695" spans="1:24">
      <c r="A1695" s="1"/>
      <c r="M1695" s="26"/>
      <c r="N1695" s="26"/>
      <c r="P1695" s="1"/>
      <c r="Q1695" s="1"/>
      <c r="R1695" s="1"/>
      <c r="S1695" s="1"/>
      <c r="T1695" s="1"/>
      <c r="U1695" s="1"/>
      <c r="V1695" s="16"/>
      <c r="W1695" s="1"/>
      <c r="X1695" s="1"/>
    </row>
    <row r="1696" spans="1:24">
      <c r="A1696" s="1"/>
      <c r="M1696" s="26"/>
      <c r="N1696" s="26"/>
      <c r="P1696" s="1"/>
      <c r="Q1696" s="1"/>
      <c r="R1696" s="1"/>
      <c r="S1696" s="1"/>
      <c r="T1696" s="1"/>
      <c r="U1696" s="1"/>
      <c r="V1696" s="16"/>
      <c r="W1696" s="1"/>
      <c r="X1696" s="1"/>
    </row>
    <row r="1697" spans="1:24">
      <c r="A1697" s="1"/>
      <c r="M1697" s="26"/>
      <c r="N1697" s="26"/>
      <c r="P1697" s="1"/>
      <c r="Q1697" s="1"/>
      <c r="R1697" s="1"/>
      <c r="S1697" s="1"/>
      <c r="T1697" s="1"/>
      <c r="U1697" s="1"/>
      <c r="V1697" s="16"/>
      <c r="W1697" s="1"/>
      <c r="X1697" s="1"/>
    </row>
    <row r="1698" spans="1:24">
      <c r="A1698" s="1"/>
      <c r="M1698" s="26"/>
      <c r="N1698" s="26"/>
      <c r="P1698" s="1"/>
      <c r="Q1698" s="1"/>
      <c r="R1698" s="1"/>
      <c r="S1698" s="1"/>
      <c r="T1698" s="1"/>
      <c r="U1698" s="1"/>
      <c r="V1698" s="16"/>
      <c r="W1698" s="1"/>
      <c r="X1698" s="1"/>
    </row>
    <row r="1699" spans="1:24">
      <c r="A1699" s="1"/>
      <c r="M1699" s="26"/>
      <c r="N1699" s="26"/>
      <c r="P1699" s="1"/>
      <c r="Q1699" s="1"/>
      <c r="R1699" s="1"/>
      <c r="S1699" s="1"/>
      <c r="T1699" s="1"/>
      <c r="U1699" s="1"/>
      <c r="V1699" s="16"/>
      <c r="W1699" s="1"/>
      <c r="X1699" s="1"/>
    </row>
    <row r="1700" spans="1:24">
      <c r="A1700" s="1"/>
      <c r="M1700" s="26"/>
      <c r="N1700" s="26"/>
      <c r="P1700" s="1"/>
      <c r="Q1700" s="1"/>
      <c r="R1700" s="1"/>
      <c r="S1700" s="1"/>
      <c r="T1700" s="1"/>
      <c r="U1700" s="1"/>
      <c r="V1700" s="16"/>
      <c r="W1700" s="1"/>
      <c r="X1700" s="1"/>
    </row>
    <row r="1701" spans="1:24">
      <c r="A1701" s="1"/>
      <c r="M1701" s="26"/>
      <c r="N1701" s="26"/>
      <c r="P1701" s="1"/>
      <c r="Q1701" s="1"/>
      <c r="R1701" s="1"/>
      <c r="S1701" s="1"/>
      <c r="T1701" s="1"/>
      <c r="U1701" s="1"/>
      <c r="V1701" s="16"/>
      <c r="W1701" s="1"/>
      <c r="X1701" s="1"/>
    </row>
    <row r="1702" spans="1:24">
      <c r="A1702" s="1"/>
      <c r="M1702" s="26"/>
      <c r="N1702" s="26"/>
      <c r="P1702" s="1"/>
      <c r="Q1702" s="1"/>
      <c r="R1702" s="1"/>
      <c r="S1702" s="1"/>
      <c r="T1702" s="1"/>
      <c r="U1702" s="1"/>
      <c r="V1702" s="16"/>
      <c r="W1702" s="1"/>
      <c r="X1702" s="1"/>
    </row>
    <row r="1703" spans="1:24">
      <c r="A1703" s="1"/>
      <c r="M1703" s="26"/>
      <c r="N1703" s="26"/>
      <c r="P1703" s="1"/>
      <c r="Q1703" s="1"/>
      <c r="R1703" s="1"/>
      <c r="S1703" s="1"/>
      <c r="T1703" s="1"/>
      <c r="U1703" s="1"/>
      <c r="V1703" s="16"/>
      <c r="W1703" s="1"/>
      <c r="X1703" s="1"/>
    </row>
    <row r="1704" spans="1:24">
      <c r="A1704" s="1"/>
      <c r="M1704" s="26"/>
      <c r="N1704" s="26"/>
      <c r="P1704" s="1"/>
      <c r="Q1704" s="1"/>
      <c r="R1704" s="1"/>
      <c r="S1704" s="1"/>
      <c r="T1704" s="1"/>
      <c r="U1704" s="1"/>
      <c r="V1704" s="16"/>
      <c r="W1704" s="1"/>
      <c r="X1704" s="1"/>
    </row>
    <row r="1705" spans="1:24">
      <c r="A1705" s="1"/>
      <c r="M1705" s="26"/>
      <c r="N1705" s="26"/>
      <c r="P1705" s="1"/>
      <c r="Q1705" s="1"/>
      <c r="R1705" s="1"/>
      <c r="S1705" s="1"/>
      <c r="T1705" s="1"/>
      <c r="U1705" s="1"/>
      <c r="V1705" s="16"/>
      <c r="W1705" s="1"/>
      <c r="X1705" s="1"/>
    </row>
    <row r="1706" spans="1:24">
      <c r="A1706" s="1"/>
      <c r="M1706" s="26"/>
      <c r="N1706" s="26"/>
      <c r="P1706" s="1"/>
      <c r="Q1706" s="1"/>
      <c r="R1706" s="1"/>
      <c r="S1706" s="1"/>
      <c r="T1706" s="1"/>
      <c r="U1706" s="1"/>
      <c r="V1706" s="16"/>
      <c r="W1706" s="1"/>
      <c r="X1706" s="1"/>
    </row>
    <row r="1707" spans="1:24">
      <c r="A1707" s="1"/>
      <c r="M1707" s="26"/>
      <c r="N1707" s="26"/>
      <c r="P1707" s="1"/>
      <c r="Q1707" s="1"/>
      <c r="R1707" s="1"/>
      <c r="S1707" s="1"/>
      <c r="T1707" s="1"/>
      <c r="U1707" s="1"/>
      <c r="V1707" s="16"/>
      <c r="W1707" s="1"/>
      <c r="X1707" s="1"/>
    </row>
    <row r="1708" spans="1:24">
      <c r="A1708" s="1"/>
      <c r="M1708" s="26"/>
      <c r="N1708" s="26"/>
      <c r="P1708" s="1"/>
      <c r="Q1708" s="1"/>
      <c r="R1708" s="1"/>
      <c r="S1708" s="1"/>
      <c r="T1708" s="1"/>
      <c r="U1708" s="1"/>
      <c r="V1708" s="16"/>
      <c r="W1708" s="1"/>
      <c r="X1708" s="1"/>
    </row>
    <row r="1709" spans="1:24">
      <c r="A1709" s="1"/>
      <c r="M1709" s="26"/>
      <c r="N1709" s="26"/>
      <c r="P1709" s="1"/>
      <c r="Q1709" s="1"/>
      <c r="R1709" s="1"/>
      <c r="S1709" s="1"/>
      <c r="T1709" s="1"/>
      <c r="U1709" s="1"/>
      <c r="V1709" s="16"/>
      <c r="W1709" s="1"/>
      <c r="X1709" s="1"/>
    </row>
    <row r="1710" spans="1:24">
      <c r="A1710" s="1"/>
      <c r="M1710" s="26"/>
      <c r="N1710" s="26"/>
      <c r="P1710" s="1"/>
      <c r="Q1710" s="1"/>
      <c r="R1710" s="1"/>
      <c r="S1710" s="1"/>
      <c r="T1710" s="1"/>
      <c r="U1710" s="1"/>
      <c r="V1710" s="16"/>
      <c r="W1710" s="1"/>
      <c r="X1710" s="1"/>
    </row>
    <row r="1711" spans="1:24">
      <c r="A1711" s="1"/>
      <c r="M1711" s="26"/>
      <c r="N1711" s="26"/>
      <c r="P1711" s="1"/>
      <c r="Q1711" s="1"/>
      <c r="R1711" s="1"/>
      <c r="S1711" s="1"/>
      <c r="T1711" s="1"/>
      <c r="U1711" s="1"/>
      <c r="V1711" s="16"/>
      <c r="W1711" s="1"/>
      <c r="X1711" s="1"/>
    </row>
    <row r="1712" spans="1:24">
      <c r="A1712" s="1"/>
      <c r="M1712" s="26"/>
      <c r="N1712" s="26"/>
      <c r="P1712" s="1"/>
      <c r="Q1712" s="1"/>
      <c r="R1712" s="1"/>
      <c r="S1712" s="1"/>
      <c r="T1712" s="1"/>
      <c r="U1712" s="1"/>
      <c r="V1712" s="16"/>
      <c r="W1712" s="1"/>
      <c r="X1712" s="1"/>
    </row>
    <row r="1713" spans="1:24">
      <c r="A1713" s="1"/>
      <c r="M1713" s="26"/>
      <c r="N1713" s="26"/>
      <c r="P1713" s="1"/>
      <c r="Q1713" s="1"/>
      <c r="R1713" s="1"/>
      <c r="S1713" s="1"/>
      <c r="T1713" s="1"/>
      <c r="U1713" s="1"/>
      <c r="V1713" s="16"/>
      <c r="W1713" s="1"/>
      <c r="X1713" s="1"/>
    </row>
    <row r="1714" spans="1:24">
      <c r="A1714" s="1"/>
      <c r="M1714" s="26"/>
      <c r="N1714" s="26"/>
      <c r="P1714" s="1"/>
      <c r="Q1714" s="1"/>
      <c r="R1714" s="1"/>
      <c r="S1714" s="1"/>
      <c r="T1714" s="1"/>
      <c r="U1714" s="1"/>
      <c r="V1714" s="16"/>
      <c r="W1714" s="1"/>
      <c r="X1714" s="1"/>
    </row>
    <row r="1715" spans="1:24">
      <c r="A1715" s="1"/>
      <c r="M1715" s="26"/>
      <c r="N1715" s="26"/>
      <c r="P1715" s="1"/>
      <c r="Q1715" s="1"/>
      <c r="R1715" s="1"/>
      <c r="S1715" s="1"/>
      <c r="T1715" s="1"/>
      <c r="U1715" s="1"/>
      <c r="V1715" s="16"/>
      <c r="W1715" s="1"/>
      <c r="X1715" s="1"/>
    </row>
    <row r="1716" spans="1:24">
      <c r="A1716" s="1"/>
      <c r="M1716" s="26"/>
      <c r="N1716" s="26"/>
      <c r="P1716" s="1"/>
      <c r="Q1716" s="1"/>
      <c r="R1716" s="1"/>
      <c r="S1716" s="1"/>
      <c r="T1716" s="1"/>
      <c r="U1716" s="1"/>
      <c r="V1716" s="16"/>
      <c r="W1716" s="1"/>
      <c r="X1716" s="1"/>
    </row>
    <row r="1717" spans="1:24">
      <c r="A1717" s="1"/>
      <c r="M1717" s="26"/>
      <c r="N1717" s="26"/>
      <c r="P1717" s="1"/>
      <c r="Q1717" s="1"/>
      <c r="R1717" s="1"/>
      <c r="S1717" s="1"/>
      <c r="T1717" s="1"/>
      <c r="U1717" s="1"/>
      <c r="V1717" s="16"/>
      <c r="W1717" s="1"/>
      <c r="X1717" s="1"/>
    </row>
    <row r="1718" spans="1:24">
      <c r="A1718" s="1"/>
      <c r="M1718" s="26"/>
      <c r="N1718" s="26"/>
      <c r="P1718" s="1"/>
      <c r="Q1718" s="1"/>
      <c r="R1718" s="1"/>
      <c r="S1718" s="1"/>
      <c r="T1718" s="1"/>
      <c r="U1718" s="1"/>
      <c r="V1718" s="16"/>
      <c r="W1718" s="1"/>
      <c r="X1718" s="1"/>
    </row>
    <row r="1719" spans="1:24">
      <c r="A1719" s="1"/>
      <c r="M1719" s="26"/>
      <c r="N1719" s="26"/>
      <c r="P1719" s="1"/>
      <c r="Q1719" s="1"/>
      <c r="R1719" s="1"/>
      <c r="S1719" s="1"/>
      <c r="T1719" s="1"/>
      <c r="U1719" s="1"/>
      <c r="V1719" s="16"/>
      <c r="W1719" s="1"/>
      <c r="X1719" s="1"/>
    </row>
    <row r="1720" spans="1:24">
      <c r="A1720" s="1"/>
      <c r="M1720" s="26"/>
      <c r="N1720" s="26"/>
      <c r="P1720" s="1"/>
      <c r="Q1720" s="1"/>
      <c r="R1720" s="1"/>
      <c r="S1720" s="1"/>
      <c r="T1720" s="1"/>
      <c r="U1720" s="1"/>
      <c r="V1720" s="16"/>
      <c r="W1720" s="1"/>
      <c r="X1720" s="1"/>
    </row>
    <row r="1721" spans="1:24">
      <c r="A1721" s="1"/>
      <c r="M1721" s="26"/>
      <c r="N1721" s="26"/>
      <c r="P1721" s="1"/>
      <c r="Q1721" s="1"/>
      <c r="R1721" s="1"/>
      <c r="S1721" s="1"/>
      <c r="T1721" s="1"/>
      <c r="U1721" s="1"/>
      <c r="V1721" s="16"/>
      <c r="W1721" s="1"/>
      <c r="X1721" s="1"/>
    </row>
    <row r="1722" spans="1:24">
      <c r="A1722" s="1"/>
      <c r="M1722" s="26"/>
      <c r="N1722" s="26"/>
      <c r="P1722" s="1"/>
      <c r="Q1722" s="1"/>
      <c r="R1722" s="1"/>
      <c r="S1722" s="1"/>
      <c r="T1722" s="1"/>
      <c r="U1722" s="1"/>
      <c r="V1722" s="16"/>
      <c r="W1722" s="1"/>
      <c r="X1722" s="1"/>
    </row>
    <row r="1723" spans="1:24">
      <c r="A1723" s="1"/>
      <c r="M1723" s="26"/>
      <c r="N1723" s="26"/>
      <c r="P1723" s="1"/>
      <c r="Q1723" s="1"/>
      <c r="R1723" s="1"/>
      <c r="S1723" s="1"/>
      <c r="T1723" s="1"/>
      <c r="U1723" s="1"/>
      <c r="V1723" s="16"/>
      <c r="W1723" s="1"/>
      <c r="X1723" s="1"/>
    </row>
    <row r="1724" spans="1:24">
      <c r="A1724" s="1"/>
      <c r="M1724" s="26"/>
      <c r="N1724" s="26"/>
      <c r="P1724" s="1"/>
      <c r="Q1724" s="1"/>
      <c r="R1724" s="1"/>
      <c r="S1724" s="1"/>
      <c r="T1724" s="1"/>
      <c r="U1724" s="1"/>
      <c r="V1724" s="16"/>
      <c r="W1724" s="1"/>
      <c r="X1724" s="1"/>
    </row>
    <row r="1725" spans="1:24">
      <c r="A1725" s="1"/>
      <c r="M1725" s="26"/>
      <c r="N1725" s="26"/>
      <c r="P1725" s="1"/>
      <c r="Q1725" s="1"/>
      <c r="R1725" s="1"/>
      <c r="S1725" s="1"/>
      <c r="T1725" s="1"/>
      <c r="U1725" s="1"/>
      <c r="V1725" s="16"/>
      <c r="W1725" s="1"/>
      <c r="X1725" s="1"/>
    </row>
    <row r="1726" spans="1:24">
      <c r="A1726" s="1"/>
      <c r="M1726" s="26"/>
      <c r="N1726" s="26"/>
      <c r="P1726" s="1"/>
      <c r="Q1726" s="1"/>
      <c r="R1726" s="1"/>
      <c r="S1726" s="1"/>
      <c r="T1726" s="1"/>
      <c r="U1726" s="1"/>
      <c r="V1726" s="16"/>
      <c r="W1726" s="1"/>
      <c r="X1726" s="1"/>
    </row>
    <row r="1727" spans="1:24">
      <c r="A1727" s="1"/>
      <c r="M1727" s="26"/>
      <c r="N1727" s="26"/>
      <c r="P1727" s="1"/>
      <c r="Q1727" s="1"/>
      <c r="R1727" s="1"/>
      <c r="S1727" s="1"/>
      <c r="T1727" s="1"/>
      <c r="U1727" s="1"/>
      <c r="V1727" s="16"/>
      <c r="W1727" s="1"/>
      <c r="X1727" s="1"/>
    </row>
    <row r="1728" spans="1:24">
      <c r="A1728" s="1"/>
      <c r="M1728" s="26"/>
      <c r="N1728" s="26"/>
      <c r="P1728" s="1"/>
      <c r="Q1728" s="1"/>
      <c r="R1728" s="1"/>
      <c r="S1728" s="1"/>
      <c r="T1728" s="1"/>
      <c r="U1728" s="1"/>
      <c r="V1728" s="16"/>
      <c r="W1728" s="1"/>
      <c r="X1728" s="1"/>
    </row>
    <row r="1729" spans="1:24">
      <c r="A1729" s="1"/>
      <c r="M1729" s="26"/>
      <c r="N1729" s="26"/>
      <c r="P1729" s="1"/>
      <c r="Q1729" s="1"/>
      <c r="R1729" s="1"/>
      <c r="S1729" s="1"/>
      <c r="T1729" s="1"/>
      <c r="U1729" s="1"/>
      <c r="V1729" s="16"/>
      <c r="W1729" s="1"/>
      <c r="X1729" s="1"/>
    </row>
    <row r="1730" spans="1:24">
      <c r="A1730" s="1"/>
      <c r="M1730" s="26"/>
      <c r="N1730" s="26"/>
      <c r="P1730" s="1"/>
      <c r="Q1730" s="1"/>
      <c r="R1730" s="1"/>
      <c r="S1730" s="1"/>
      <c r="T1730" s="1"/>
      <c r="U1730" s="1"/>
      <c r="V1730" s="16"/>
      <c r="W1730" s="1"/>
      <c r="X1730" s="1"/>
    </row>
    <row r="1731" spans="1:24">
      <c r="A1731" s="1"/>
      <c r="M1731" s="26"/>
      <c r="N1731" s="26"/>
      <c r="P1731" s="1"/>
      <c r="Q1731" s="1"/>
      <c r="R1731" s="1"/>
      <c r="S1731" s="1"/>
      <c r="T1731" s="1"/>
      <c r="U1731" s="1"/>
      <c r="V1731" s="16"/>
      <c r="W1731" s="1"/>
      <c r="X1731" s="1"/>
    </row>
    <row r="1732" spans="1:24">
      <c r="A1732" s="1"/>
      <c r="M1732" s="26"/>
      <c r="N1732" s="26"/>
      <c r="P1732" s="1"/>
      <c r="Q1732" s="1"/>
      <c r="R1732" s="1"/>
      <c r="S1732" s="1"/>
      <c r="T1732" s="1"/>
      <c r="U1732" s="1"/>
      <c r="V1732" s="16"/>
      <c r="W1732" s="1"/>
      <c r="X1732" s="1"/>
    </row>
    <row r="1733" spans="1:24">
      <c r="A1733" s="1"/>
      <c r="M1733" s="26"/>
      <c r="N1733" s="26"/>
      <c r="P1733" s="1"/>
      <c r="Q1733" s="1"/>
      <c r="R1733" s="1"/>
      <c r="S1733" s="1"/>
      <c r="T1733" s="1"/>
      <c r="U1733" s="1"/>
      <c r="V1733" s="16"/>
      <c r="W1733" s="1"/>
      <c r="X1733" s="1"/>
    </row>
    <row r="1734" spans="1:24">
      <c r="A1734" s="1"/>
      <c r="M1734" s="26"/>
      <c r="N1734" s="26"/>
      <c r="P1734" s="1"/>
      <c r="Q1734" s="1"/>
      <c r="R1734" s="1"/>
      <c r="S1734" s="1"/>
      <c r="T1734" s="1"/>
      <c r="U1734" s="1"/>
      <c r="V1734" s="16"/>
      <c r="W1734" s="1"/>
      <c r="X1734" s="1"/>
    </row>
    <row r="1735" spans="1:24">
      <c r="A1735" s="1"/>
      <c r="M1735" s="26"/>
      <c r="N1735" s="26"/>
      <c r="P1735" s="1"/>
      <c r="Q1735" s="1"/>
      <c r="R1735" s="1"/>
      <c r="S1735" s="1"/>
      <c r="T1735" s="1"/>
      <c r="U1735" s="1"/>
      <c r="V1735" s="16"/>
      <c r="W1735" s="1"/>
      <c r="X1735" s="1"/>
    </row>
    <row r="1736" spans="1:24">
      <c r="A1736" s="1"/>
      <c r="M1736" s="26"/>
      <c r="N1736" s="26"/>
      <c r="P1736" s="1"/>
      <c r="Q1736" s="1"/>
      <c r="R1736" s="1"/>
      <c r="S1736" s="1"/>
      <c r="T1736" s="1"/>
      <c r="U1736" s="1"/>
      <c r="V1736" s="16"/>
      <c r="W1736" s="1"/>
      <c r="X1736" s="1"/>
    </row>
    <row r="1737" spans="1:24">
      <c r="A1737" s="1"/>
      <c r="M1737" s="26"/>
      <c r="N1737" s="26"/>
      <c r="P1737" s="1"/>
      <c r="Q1737" s="1"/>
      <c r="R1737" s="1"/>
      <c r="S1737" s="1"/>
      <c r="T1737" s="1"/>
      <c r="U1737" s="1"/>
      <c r="V1737" s="16"/>
      <c r="W1737" s="1"/>
      <c r="X1737" s="1"/>
    </row>
    <row r="1738" spans="1:24">
      <c r="A1738" s="1"/>
      <c r="M1738" s="26"/>
      <c r="N1738" s="26"/>
      <c r="P1738" s="1"/>
      <c r="Q1738" s="1"/>
      <c r="R1738" s="1"/>
      <c r="S1738" s="1"/>
      <c r="T1738" s="1"/>
      <c r="U1738" s="1"/>
      <c r="V1738" s="16"/>
      <c r="W1738" s="1"/>
      <c r="X1738" s="1"/>
    </row>
    <row r="1739" spans="1:24">
      <c r="A1739" s="1"/>
      <c r="M1739" s="26"/>
      <c r="N1739" s="26"/>
      <c r="P1739" s="1"/>
      <c r="Q1739" s="1"/>
      <c r="R1739" s="1"/>
      <c r="S1739" s="1"/>
      <c r="T1739" s="1"/>
      <c r="U1739" s="1"/>
      <c r="V1739" s="16"/>
      <c r="W1739" s="1"/>
      <c r="X1739" s="1"/>
    </row>
    <row r="1740" spans="1:24">
      <c r="A1740" s="1"/>
      <c r="M1740" s="26"/>
      <c r="N1740" s="26"/>
      <c r="P1740" s="1"/>
      <c r="Q1740" s="1"/>
      <c r="R1740" s="1"/>
      <c r="S1740" s="1"/>
      <c r="T1740" s="1"/>
      <c r="U1740" s="1"/>
      <c r="V1740" s="16"/>
      <c r="W1740" s="1"/>
      <c r="X1740" s="1"/>
    </row>
    <row r="1741" spans="1:24">
      <c r="A1741" s="1"/>
      <c r="M1741" s="26"/>
      <c r="N1741" s="26"/>
      <c r="P1741" s="1"/>
      <c r="Q1741" s="1"/>
      <c r="R1741" s="1"/>
      <c r="S1741" s="1"/>
      <c r="T1741" s="1"/>
      <c r="U1741" s="1"/>
      <c r="V1741" s="16"/>
      <c r="W1741" s="1"/>
      <c r="X1741" s="1"/>
    </row>
    <row r="1742" spans="1:24">
      <c r="A1742" s="1"/>
      <c r="M1742" s="26"/>
      <c r="N1742" s="26"/>
      <c r="P1742" s="1"/>
      <c r="Q1742" s="1"/>
      <c r="R1742" s="1"/>
      <c r="S1742" s="1"/>
      <c r="T1742" s="1"/>
      <c r="U1742" s="1"/>
      <c r="V1742" s="16"/>
      <c r="W1742" s="1"/>
      <c r="X1742" s="1"/>
    </row>
    <row r="1743" spans="1:24">
      <c r="A1743" s="1"/>
      <c r="M1743" s="26"/>
      <c r="N1743" s="26"/>
      <c r="P1743" s="1"/>
      <c r="Q1743" s="1"/>
      <c r="R1743" s="1"/>
      <c r="S1743" s="1"/>
      <c r="T1743" s="1"/>
      <c r="U1743" s="1"/>
      <c r="V1743" s="16"/>
      <c r="W1743" s="1"/>
      <c r="X1743" s="1"/>
    </row>
    <row r="1744" spans="1:24">
      <c r="A1744" s="1"/>
      <c r="M1744" s="26"/>
      <c r="N1744" s="26"/>
      <c r="P1744" s="1"/>
      <c r="Q1744" s="1"/>
      <c r="R1744" s="1"/>
      <c r="S1744" s="1"/>
      <c r="T1744" s="1"/>
      <c r="U1744" s="1"/>
      <c r="V1744" s="16"/>
      <c r="W1744" s="1"/>
      <c r="X1744" s="1"/>
    </row>
    <row r="1745" spans="1:24">
      <c r="A1745" s="1"/>
      <c r="M1745" s="26"/>
      <c r="N1745" s="26"/>
      <c r="P1745" s="1"/>
      <c r="Q1745" s="1"/>
      <c r="R1745" s="1"/>
      <c r="S1745" s="1"/>
      <c r="T1745" s="1"/>
      <c r="U1745" s="1"/>
      <c r="V1745" s="16"/>
      <c r="W1745" s="1"/>
      <c r="X1745" s="1"/>
    </row>
    <row r="1746" spans="1:24">
      <c r="A1746" s="1"/>
      <c r="M1746" s="26"/>
      <c r="N1746" s="26"/>
      <c r="P1746" s="1"/>
      <c r="Q1746" s="1"/>
      <c r="R1746" s="1"/>
      <c r="S1746" s="1"/>
      <c r="T1746" s="1"/>
      <c r="U1746" s="1"/>
      <c r="V1746" s="16"/>
      <c r="W1746" s="1"/>
      <c r="X1746" s="1"/>
    </row>
    <row r="1747" spans="1:24">
      <c r="A1747" s="1"/>
      <c r="M1747" s="26"/>
      <c r="N1747" s="26"/>
      <c r="P1747" s="1"/>
      <c r="Q1747" s="1"/>
      <c r="R1747" s="1"/>
      <c r="S1747" s="1"/>
      <c r="T1747" s="1"/>
      <c r="U1747" s="1"/>
      <c r="V1747" s="16"/>
      <c r="W1747" s="1"/>
      <c r="X1747" s="1"/>
    </row>
    <row r="1748" spans="1:24">
      <c r="A1748" s="1"/>
      <c r="M1748" s="26"/>
      <c r="N1748" s="26"/>
      <c r="P1748" s="1"/>
      <c r="Q1748" s="1"/>
      <c r="R1748" s="1"/>
      <c r="S1748" s="1"/>
      <c r="T1748" s="1"/>
      <c r="U1748" s="1"/>
      <c r="V1748" s="16"/>
      <c r="W1748" s="1"/>
      <c r="X1748" s="1"/>
    </row>
    <row r="1749" spans="1:24">
      <c r="A1749" s="1"/>
      <c r="M1749" s="26"/>
      <c r="N1749" s="26"/>
      <c r="P1749" s="1"/>
      <c r="Q1749" s="1"/>
      <c r="R1749" s="1"/>
      <c r="S1749" s="1"/>
      <c r="T1749" s="1"/>
      <c r="U1749" s="1"/>
      <c r="V1749" s="16"/>
      <c r="W1749" s="1"/>
      <c r="X1749" s="1"/>
    </row>
    <row r="1750" spans="1:24">
      <c r="A1750" s="1"/>
      <c r="M1750" s="26"/>
      <c r="N1750" s="26"/>
      <c r="P1750" s="1"/>
      <c r="Q1750" s="1"/>
      <c r="R1750" s="1"/>
      <c r="S1750" s="1"/>
      <c r="T1750" s="1"/>
      <c r="U1750" s="1"/>
      <c r="V1750" s="16"/>
      <c r="W1750" s="1"/>
      <c r="X1750" s="1"/>
    </row>
    <row r="1751" spans="1:24">
      <c r="A1751" s="1"/>
      <c r="M1751" s="26"/>
      <c r="N1751" s="26"/>
      <c r="P1751" s="1"/>
      <c r="Q1751" s="1"/>
      <c r="R1751" s="1"/>
      <c r="S1751" s="1"/>
      <c r="T1751" s="1"/>
      <c r="U1751" s="1"/>
      <c r="V1751" s="16"/>
      <c r="W1751" s="1"/>
      <c r="X1751" s="1"/>
    </row>
    <row r="1752" spans="1:24">
      <c r="A1752" s="1"/>
      <c r="M1752" s="26"/>
      <c r="N1752" s="26"/>
      <c r="P1752" s="1"/>
      <c r="Q1752" s="1"/>
      <c r="R1752" s="1"/>
      <c r="S1752" s="1"/>
      <c r="T1752" s="1"/>
      <c r="U1752" s="1"/>
      <c r="V1752" s="16"/>
      <c r="W1752" s="1"/>
      <c r="X1752" s="1"/>
    </row>
    <row r="1753" spans="1:24">
      <c r="A1753" s="1"/>
      <c r="M1753" s="26"/>
      <c r="N1753" s="26"/>
      <c r="P1753" s="1"/>
      <c r="Q1753" s="1"/>
      <c r="R1753" s="1"/>
      <c r="S1753" s="1"/>
      <c r="T1753" s="1"/>
      <c r="U1753" s="1"/>
      <c r="V1753" s="16"/>
      <c r="W1753" s="1"/>
      <c r="X1753" s="1"/>
    </row>
    <row r="1754" spans="1:24">
      <c r="A1754" s="1"/>
      <c r="M1754" s="26"/>
      <c r="N1754" s="26"/>
      <c r="P1754" s="1"/>
      <c r="Q1754" s="1"/>
      <c r="R1754" s="1"/>
      <c r="S1754" s="1"/>
      <c r="T1754" s="1"/>
      <c r="U1754" s="1"/>
      <c r="V1754" s="16"/>
      <c r="W1754" s="1"/>
      <c r="X1754" s="1"/>
    </row>
    <row r="1755" spans="1:24">
      <c r="A1755" s="1"/>
      <c r="M1755" s="26"/>
      <c r="N1755" s="26"/>
      <c r="P1755" s="1"/>
      <c r="Q1755" s="1"/>
      <c r="R1755" s="1"/>
      <c r="S1755" s="1"/>
      <c r="T1755" s="1"/>
      <c r="U1755" s="1"/>
      <c r="V1755" s="16"/>
      <c r="W1755" s="1"/>
      <c r="X1755" s="1"/>
    </row>
    <row r="1756" spans="1:24">
      <c r="A1756" s="1"/>
      <c r="M1756" s="26"/>
      <c r="N1756" s="26"/>
      <c r="P1756" s="1"/>
      <c r="Q1756" s="1"/>
      <c r="R1756" s="1"/>
      <c r="S1756" s="1"/>
      <c r="T1756" s="1"/>
      <c r="U1756" s="1"/>
      <c r="V1756" s="16"/>
      <c r="W1756" s="1"/>
      <c r="X1756" s="1"/>
    </row>
    <row r="1757" spans="1:24">
      <c r="A1757" s="1"/>
      <c r="M1757" s="26"/>
      <c r="N1757" s="26"/>
      <c r="P1757" s="1"/>
      <c r="Q1757" s="1"/>
      <c r="R1757" s="1"/>
      <c r="S1757" s="1"/>
      <c r="T1757" s="1"/>
      <c r="U1757" s="1"/>
      <c r="V1757" s="16"/>
      <c r="W1757" s="1"/>
      <c r="X1757" s="1"/>
    </row>
    <row r="1758" spans="1:24">
      <c r="A1758" s="1"/>
      <c r="M1758" s="26"/>
      <c r="N1758" s="26"/>
      <c r="P1758" s="1"/>
      <c r="Q1758" s="1"/>
      <c r="R1758" s="1"/>
      <c r="S1758" s="1"/>
      <c r="T1758" s="1"/>
      <c r="U1758" s="1"/>
      <c r="V1758" s="16"/>
      <c r="W1758" s="1"/>
      <c r="X1758" s="1"/>
    </row>
    <row r="1759" spans="1:24">
      <c r="A1759" s="1"/>
      <c r="M1759" s="26"/>
      <c r="N1759" s="26"/>
      <c r="P1759" s="1"/>
      <c r="Q1759" s="1"/>
      <c r="R1759" s="1"/>
      <c r="S1759" s="1"/>
      <c r="T1759" s="1"/>
      <c r="U1759" s="1"/>
      <c r="V1759" s="16"/>
      <c r="W1759" s="1"/>
      <c r="X1759" s="1"/>
    </row>
    <row r="1760" spans="1:24">
      <c r="A1760" s="1"/>
      <c r="M1760" s="26"/>
      <c r="N1760" s="26"/>
      <c r="P1760" s="1"/>
      <c r="Q1760" s="1"/>
      <c r="R1760" s="1"/>
      <c r="S1760" s="1"/>
      <c r="T1760" s="1"/>
      <c r="U1760" s="1"/>
      <c r="V1760" s="16"/>
      <c r="W1760" s="1"/>
      <c r="X1760" s="1"/>
    </row>
    <row r="1761" spans="1:24">
      <c r="A1761" s="1"/>
      <c r="M1761" s="26"/>
      <c r="N1761" s="26"/>
      <c r="P1761" s="1"/>
      <c r="Q1761" s="1"/>
      <c r="R1761" s="1"/>
      <c r="S1761" s="1"/>
      <c r="T1761" s="1"/>
      <c r="U1761" s="1"/>
      <c r="V1761" s="16"/>
      <c r="W1761" s="1"/>
      <c r="X1761" s="1"/>
    </row>
    <row r="1762" spans="1:24">
      <c r="A1762" s="1"/>
      <c r="M1762" s="26"/>
      <c r="N1762" s="26"/>
      <c r="P1762" s="1"/>
      <c r="Q1762" s="1"/>
      <c r="R1762" s="1"/>
      <c r="S1762" s="1"/>
      <c r="T1762" s="1"/>
      <c r="U1762" s="1"/>
      <c r="V1762" s="16"/>
      <c r="W1762" s="1"/>
      <c r="X1762" s="1"/>
    </row>
    <row r="1763" spans="1:24">
      <c r="A1763" s="1"/>
      <c r="M1763" s="26"/>
      <c r="N1763" s="26"/>
      <c r="P1763" s="1"/>
      <c r="Q1763" s="1"/>
      <c r="R1763" s="1"/>
      <c r="S1763" s="1"/>
      <c r="T1763" s="1"/>
      <c r="U1763" s="1"/>
      <c r="V1763" s="16"/>
      <c r="W1763" s="1"/>
      <c r="X1763" s="1"/>
    </row>
    <row r="1764" spans="1:24">
      <c r="A1764" s="1"/>
      <c r="M1764" s="26"/>
      <c r="N1764" s="26"/>
      <c r="P1764" s="1"/>
      <c r="Q1764" s="1"/>
      <c r="R1764" s="1"/>
      <c r="S1764" s="1"/>
      <c r="T1764" s="1"/>
      <c r="U1764" s="1"/>
      <c r="V1764" s="16"/>
      <c r="W1764" s="1"/>
      <c r="X1764" s="1"/>
    </row>
    <row r="1765" spans="1:24">
      <c r="A1765" s="1"/>
      <c r="M1765" s="26"/>
      <c r="N1765" s="26"/>
      <c r="P1765" s="1"/>
      <c r="Q1765" s="1"/>
      <c r="R1765" s="1"/>
      <c r="S1765" s="1"/>
      <c r="T1765" s="1"/>
      <c r="U1765" s="1"/>
      <c r="V1765" s="16"/>
      <c r="W1765" s="1"/>
      <c r="X1765" s="1"/>
    </row>
    <row r="1766" spans="1:24">
      <c r="A1766" s="1"/>
      <c r="M1766" s="26"/>
      <c r="N1766" s="26"/>
      <c r="P1766" s="1"/>
      <c r="Q1766" s="1"/>
      <c r="R1766" s="1"/>
      <c r="S1766" s="1"/>
      <c r="T1766" s="1"/>
      <c r="U1766" s="1"/>
      <c r="V1766" s="16"/>
      <c r="W1766" s="1"/>
      <c r="X1766" s="1"/>
    </row>
    <row r="1767" spans="1:24">
      <c r="A1767" s="1"/>
      <c r="M1767" s="26"/>
      <c r="N1767" s="26"/>
      <c r="P1767" s="1"/>
      <c r="Q1767" s="1"/>
      <c r="R1767" s="1"/>
      <c r="S1767" s="1"/>
      <c r="T1767" s="1"/>
      <c r="U1767" s="1"/>
      <c r="V1767" s="16"/>
      <c r="W1767" s="1"/>
      <c r="X1767" s="1"/>
    </row>
    <row r="1768" spans="1:24">
      <c r="A1768" s="1"/>
      <c r="M1768" s="26"/>
      <c r="N1768" s="26"/>
      <c r="P1768" s="1"/>
      <c r="Q1768" s="1"/>
      <c r="R1768" s="1"/>
      <c r="S1768" s="1"/>
      <c r="T1768" s="1"/>
      <c r="U1768" s="1"/>
      <c r="V1768" s="16"/>
      <c r="W1768" s="1"/>
      <c r="X1768" s="1"/>
    </row>
    <row r="1769" spans="1:24">
      <c r="A1769" s="1"/>
      <c r="M1769" s="26"/>
      <c r="N1769" s="26"/>
      <c r="P1769" s="1"/>
      <c r="Q1769" s="1"/>
      <c r="R1769" s="1"/>
      <c r="S1769" s="1"/>
      <c r="T1769" s="1"/>
      <c r="U1769" s="1"/>
      <c r="V1769" s="16"/>
      <c r="W1769" s="1"/>
      <c r="X1769" s="1"/>
    </row>
    <row r="1770" spans="1:24">
      <c r="A1770" s="1"/>
      <c r="M1770" s="26"/>
      <c r="N1770" s="26"/>
      <c r="P1770" s="1"/>
      <c r="Q1770" s="1"/>
      <c r="R1770" s="1"/>
      <c r="S1770" s="1"/>
      <c r="T1770" s="1"/>
      <c r="U1770" s="1"/>
      <c r="V1770" s="16"/>
      <c r="W1770" s="1"/>
      <c r="X1770" s="1"/>
    </row>
    <row r="1771" spans="1:24">
      <c r="A1771" s="1"/>
      <c r="M1771" s="26"/>
      <c r="N1771" s="26"/>
      <c r="P1771" s="1"/>
      <c r="Q1771" s="1"/>
      <c r="R1771" s="1"/>
      <c r="S1771" s="1"/>
      <c r="T1771" s="1"/>
      <c r="U1771" s="1"/>
      <c r="V1771" s="16"/>
      <c r="W1771" s="1"/>
      <c r="X1771" s="1"/>
    </row>
    <row r="1772" spans="1:24">
      <c r="A1772" s="1"/>
      <c r="M1772" s="26"/>
      <c r="N1772" s="26"/>
      <c r="P1772" s="1"/>
      <c r="Q1772" s="1"/>
      <c r="R1772" s="1"/>
      <c r="S1772" s="1"/>
      <c r="T1772" s="1"/>
      <c r="U1772" s="1"/>
      <c r="V1772" s="16"/>
      <c r="W1772" s="1"/>
      <c r="X1772" s="1"/>
    </row>
    <row r="1773" spans="1:24">
      <c r="A1773" s="1"/>
      <c r="M1773" s="26"/>
      <c r="N1773" s="26"/>
      <c r="P1773" s="1"/>
      <c r="Q1773" s="1"/>
      <c r="R1773" s="1"/>
      <c r="S1773" s="1"/>
      <c r="T1773" s="1"/>
      <c r="U1773" s="1"/>
      <c r="V1773" s="16"/>
      <c r="W1773" s="1"/>
      <c r="X1773" s="1"/>
    </row>
    <row r="1774" spans="1:24">
      <c r="A1774" s="1"/>
      <c r="M1774" s="26"/>
      <c r="N1774" s="26"/>
      <c r="P1774" s="1"/>
      <c r="Q1774" s="1"/>
      <c r="R1774" s="1"/>
      <c r="S1774" s="1"/>
      <c r="T1774" s="1"/>
      <c r="U1774" s="1"/>
      <c r="V1774" s="16"/>
      <c r="W1774" s="1"/>
      <c r="X1774" s="1"/>
    </row>
    <row r="1775" spans="1:24">
      <c r="A1775" s="1"/>
      <c r="M1775" s="26"/>
      <c r="N1775" s="26"/>
      <c r="P1775" s="1"/>
      <c r="Q1775" s="1"/>
      <c r="R1775" s="1"/>
      <c r="S1775" s="1"/>
      <c r="T1775" s="1"/>
      <c r="U1775" s="1"/>
      <c r="V1775" s="16"/>
      <c r="W1775" s="1"/>
      <c r="X1775" s="1"/>
    </row>
    <row r="1776" spans="1:24">
      <c r="A1776" s="1"/>
      <c r="M1776" s="26"/>
      <c r="N1776" s="26"/>
      <c r="P1776" s="1"/>
      <c r="Q1776" s="1"/>
      <c r="R1776" s="1"/>
      <c r="S1776" s="1"/>
      <c r="T1776" s="1"/>
      <c r="U1776" s="1"/>
      <c r="V1776" s="16"/>
      <c r="W1776" s="1"/>
      <c r="X1776" s="1"/>
    </row>
    <row r="1777" spans="1:24">
      <c r="A1777" s="1"/>
      <c r="M1777" s="26"/>
      <c r="N1777" s="26"/>
      <c r="P1777" s="1"/>
      <c r="Q1777" s="1"/>
      <c r="R1777" s="1"/>
      <c r="S1777" s="1"/>
      <c r="T1777" s="1"/>
      <c r="U1777" s="1"/>
      <c r="V1777" s="16"/>
      <c r="W1777" s="1"/>
      <c r="X1777" s="1"/>
    </row>
    <row r="1778" spans="1:24">
      <c r="A1778" s="1"/>
      <c r="M1778" s="26"/>
      <c r="N1778" s="26"/>
      <c r="P1778" s="1"/>
      <c r="Q1778" s="1"/>
      <c r="R1778" s="1"/>
      <c r="S1778" s="1"/>
      <c r="T1778" s="1"/>
      <c r="U1778" s="1"/>
      <c r="V1778" s="16"/>
      <c r="W1778" s="1"/>
      <c r="X1778" s="1"/>
    </row>
    <row r="1779" spans="1:24">
      <c r="A1779" s="1"/>
      <c r="M1779" s="26"/>
      <c r="N1779" s="26"/>
      <c r="P1779" s="1"/>
      <c r="Q1779" s="1"/>
      <c r="R1779" s="1"/>
      <c r="S1779" s="1"/>
      <c r="T1779" s="1"/>
      <c r="U1779" s="1"/>
      <c r="V1779" s="16"/>
      <c r="W1779" s="1"/>
      <c r="X1779" s="1"/>
    </row>
    <row r="1780" spans="1:24">
      <c r="A1780" s="1"/>
      <c r="M1780" s="26"/>
      <c r="N1780" s="26"/>
      <c r="P1780" s="1"/>
      <c r="Q1780" s="1"/>
      <c r="R1780" s="1"/>
      <c r="S1780" s="1"/>
      <c r="T1780" s="1"/>
      <c r="U1780" s="1"/>
      <c r="V1780" s="16"/>
      <c r="W1780" s="1"/>
      <c r="X1780" s="1"/>
    </row>
    <row r="1781" spans="1:24">
      <c r="A1781" s="1"/>
      <c r="M1781" s="26"/>
      <c r="N1781" s="26"/>
      <c r="P1781" s="1"/>
      <c r="Q1781" s="1"/>
      <c r="R1781" s="1"/>
      <c r="S1781" s="1"/>
      <c r="T1781" s="1"/>
      <c r="U1781" s="1"/>
      <c r="V1781" s="16"/>
      <c r="W1781" s="1"/>
      <c r="X1781" s="1"/>
    </row>
    <row r="1782" spans="1:24">
      <c r="A1782" s="1"/>
      <c r="M1782" s="26"/>
      <c r="N1782" s="26"/>
      <c r="P1782" s="1"/>
      <c r="Q1782" s="1"/>
      <c r="R1782" s="1"/>
      <c r="S1782" s="1"/>
      <c r="T1782" s="1"/>
      <c r="U1782" s="1"/>
      <c r="V1782" s="16"/>
      <c r="W1782" s="1"/>
      <c r="X1782" s="1"/>
    </row>
    <row r="1783" spans="1:24">
      <c r="A1783" s="1"/>
      <c r="M1783" s="26"/>
      <c r="N1783" s="26"/>
      <c r="P1783" s="1"/>
      <c r="Q1783" s="1"/>
      <c r="R1783" s="1"/>
      <c r="S1783" s="1"/>
      <c r="T1783" s="1"/>
      <c r="U1783" s="1"/>
      <c r="V1783" s="16"/>
      <c r="W1783" s="1"/>
      <c r="X1783" s="1"/>
    </row>
    <row r="1784" spans="1:24">
      <c r="A1784" s="1"/>
      <c r="M1784" s="26"/>
      <c r="N1784" s="26"/>
      <c r="P1784" s="1"/>
      <c r="Q1784" s="1"/>
      <c r="R1784" s="1"/>
      <c r="S1784" s="1"/>
      <c r="T1784" s="1"/>
      <c r="U1784" s="1"/>
      <c r="V1784" s="16"/>
      <c r="W1784" s="1"/>
      <c r="X1784" s="1"/>
    </row>
    <row r="1785" spans="1:24">
      <c r="A1785" s="1"/>
      <c r="M1785" s="26"/>
      <c r="N1785" s="26"/>
      <c r="P1785" s="1"/>
      <c r="Q1785" s="1"/>
      <c r="R1785" s="1"/>
      <c r="S1785" s="1"/>
      <c r="T1785" s="1"/>
      <c r="U1785" s="1"/>
      <c r="V1785" s="16"/>
      <c r="W1785" s="1"/>
      <c r="X1785" s="1"/>
    </row>
    <row r="1786" spans="1:24">
      <c r="A1786" s="1"/>
      <c r="P1786" s="1"/>
      <c r="Q1786" s="1"/>
      <c r="R1786" s="1"/>
      <c r="S1786" s="1"/>
      <c r="T1786" s="1"/>
      <c r="U1786" s="1"/>
      <c r="V1786" s="16"/>
      <c r="W1786" s="1"/>
      <c r="X1786" s="1"/>
    </row>
  </sheetData>
  <mergeCells count="296">
    <mergeCell ref="L433:L437"/>
    <mergeCell ref="L438:L442"/>
    <mergeCell ref="G423:G427"/>
    <mergeCell ref="H423:H427"/>
    <mergeCell ref="G433:G437"/>
    <mergeCell ref="H433:H437"/>
    <mergeCell ref="I433:I437"/>
    <mergeCell ref="J433:J437"/>
    <mergeCell ref="K433:K437"/>
    <mergeCell ref="K428:K432"/>
    <mergeCell ref="L428:L432"/>
    <mergeCell ref="L418:L422"/>
    <mergeCell ref="B423:B427"/>
    <mergeCell ref="F428:F432"/>
    <mergeCell ref="G428:G432"/>
    <mergeCell ref="H428:H432"/>
    <mergeCell ref="I428:I432"/>
    <mergeCell ref="J428:J432"/>
    <mergeCell ref="F463:F467"/>
    <mergeCell ref="F473:F477"/>
    <mergeCell ref="I473:I477"/>
    <mergeCell ref="J473:J477"/>
    <mergeCell ref="K473:K477"/>
    <mergeCell ref="L473:L477"/>
    <mergeCell ref="G463:G467"/>
    <mergeCell ref="H463:H467"/>
    <mergeCell ref="I463:I467"/>
    <mergeCell ref="J463:J467"/>
    <mergeCell ref="K463:K467"/>
    <mergeCell ref="L463:L467"/>
    <mergeCell ref="F418:F422"/>
    <mergeCell ref="F423:F427"/>
    <mergeCell ref="F433:F437"/>
    <mergeCell ref="F438:F442"/>
    <mergeCell ref="G438:G442"/>
    <mergeCell ref="I458:I462"/>
    <mergeCell ref="J458:J462"/>
    <mergeCell ref="K458:K462"/>
    <mergeCell ref="L458:L462"/>
    <mergeCell ref="J478:J482"/>
    <mergeCell ref="K478:K482"/>
    <mergeCell ref="L478:L482"/>
    <mergeCell ref="B473:B477"/>
    <mergeCell ref="F413:F417"/>
    <mergeCell ref="G413:G417"/>
    <mergeCell ref="H413:H417"/>
    <mergeCell ref="I413:I417"/>
    <mergeCell ref="J413:J417"/>
    <mergeCell ref="K413:K417"/>
    <mergeCell ref="L413:L417"/>
    <mergeCell ref="I423:I427"/>
    <mergeCell ref="J423:J427"/>
    <mergeCell ref="K423:K427"/>
    <mergeCell ref="L423:L427"/>
    <mergeCell ref="G418:G422"/>
    <mergeCell ref="H418:H422"/>
    <mergeCell ref="I418:I422"/>
    <mergeCell ref="J418:J422"/>
    <mergeCell ref="K418:K422"/>
    <mergeCell ref="F498:F502"/>
    <mergeCell ref="G498:G502"/>
    <mergeCell ref="H498:H502"/>
    <mergeCell ref="I498:I502"/>
    <mergeCell ref="J498:J502"/>
    <mergeCell ref="K498:K502"/>
    <mergeCell ref="L498:L502"/>
    <mergeCell ref="F503:F507"/>
    <mergeCell ref="G503:G507"/>
    <mergeCell ref="H503:H507"/>
    <mergeCell ref="I503:I507"/>
    <mergeCell ref="J503:J507"/>
    <mergeCell ref="K503:K507"/>
    <mergeCell ref="L503:L507"/>
    <mergeCell ref="H508:H512"/>
    <mergeCell ref="I508:I512"/>
    <mergeCell ref="J508:J512"/>
    <mergeCell ref="K508:K512"/>
    <mergeCell ref="L508:L512"/>
    <mergeCell ref="F513:F517"/>
    <mergeCell ref="G513:G517"/>
    <mergeCell ref="H513:H517"/>
    <mergeCell ref="I513:I517"/>
    <mergeCell ref="J513:J517"/>
    <mergeCell ref="K513:K517"/>
    <mergeCell ref="L513:L517"/>
    <mergeCell ref="B538:B542"/>
    <mergeCell ref="F523:F527"/>
    <mergeCell ref="G523:G527"/>
    <mergeCell ref="H523:H527"/>
    <mergeCell ref="I523:I527"/>
    <mergeCell ref="J523:J527"/>
    <mergeCell ref="K523:K527"/>
    <mergeCell ref="L523:L527"/>
    <mergeCell ref="F518:F522"/>
    <mergeCell ref="G518:G522"/>
    <mergeCell ref="H518:H522"/>
    <mergeCell ref="I518:I522"/>
    <mergeCell ref="J518:J522"/>
    <mergeCell ref="K518:K522"/>
    <mergeCell ref="L518:L522"/>
    <mergeCell ref="J538:J542"/>
    <mergeCell ref="K538:K542"/>
    <mergeCell ref="L538:L542"/>
    <mergeCell ref="F538:F542"/>
    <mergeCell ref="F543:F547"/>
    <mergeCell ref="G543:G547"/>
    <mergeCell ref="H543:H547"/>
    <mergeCell ref="J543:J547"/>
    <mergeCell ref="K543:K547"/>
    <mergeCell ref="L543:L547"/>
    <mergeCell ref="G538:G542"/>
    <mergeCell ref="H538:H542"/>
    <mergeCell ref="I538:I542"/>
    <mergeCell ref="B543:B547"/>
    <mergeCell ref="I543:I547"/>
    <mergeCell ref="G483:G487"/>
    <mergeCell ref="H483:H487"/>
    <mergeCell ref="J483:J487"/>
    <mergeCell ref="K483:K487"/>
    <mergeCell ref="L483:L487"/>
    <mergeCell ref="G473:G477"/>
    <mergeCell ref="H473:H477"/>
    <mergeCell ref="B478:B482"/>
    <mergeCell ref="G478:G482"/>
    <mergeCell ref="H478:H482"/>
    <mergeCell ref="I478:I482"/>
    <mergeCell ref="I483:I487"/>
    <mergeCell ref="K488:K492"/>
    <mergeCell ref="L488:L492"/>
    <mergeCell ref="F478:F482"/>
    <mergeCell ref="F483:F487"/>
    <mergeCell ref="F488:F492"/>
    <mergeCell ref="G488:G492"/>
    <mergeCell ref="H488:H492"/>
    <mergeCell ref="I488:I492"/>
    <mergeCell ref="J488:J492"/>
    <mergeCell ref="F493:F497"/>
    <mergeCell ref="G493:G497"/>
    <mergeCell ref="H493:H497"/>
    <mergeCell ref="I493:I497"/>
    <mergeCell ref="J493:J497"/>
    <mergeCell ref="K493:K497"/>
    <mergeCell ref="L493:L497"/>
    <mergeCell ref="B483:B487"/>
    <mergeCell ref="B488:B492"/>
    <mergeCell ref="B493:B497"/>
    <mergeCell ref="B498:B502"/>
    <mergeCell ref="B503:B507"/>
    <mergeCell ref="B508:B512"/>
    <mergeCell ref="B513:B517"/>
    <mergeCell ref="B533:B537"/>
    <mergeCell ref="J528:J532"/>
    <mergeCell ref="K528:K532"/>
    <mergeCell ref="L528:L532"/>
    <mergeCell ref="J533:J537"/>
    <mergeCell ref="K533:K537"/>
    <mergeCell ref="L533:L537"/>
    <mergeCell ref="B518:B522"/>
    <mergeCell ref="B523:B527"/>
    <mergeCell ref="B528:B532"/>
    <mergeCell ref="F528:F532"/>
    <mergeCell ref="G528:G532"/>
    <mergeCell ref="H528:H532"/>
    <mergeCell ref="I528:I532"/>
    <mergeCell ref="F533:F537"/>
    <mergeCell ref="G533:G537"/>
    <mergeCell ref="H533:H537"/>
    <mergeCell ref="I533:I537"/>
    <mergeCell ref="F508:F512"/>
    <mergeCell ref="G508:G512"/>
    <mergeCell ref="F383:F387"/>
    <mergeCell ref="G383:G387"/>
    <mergeCell ref="H383:H387"/>
    <mergeCell ref="I383:I387"/>
    <mergeCell ref="J383:J387"/>
    <mergeCell ref="K383:K387"/>
    <mergeCell ref="L383:L387"/>
    <mergeCell ref="F388:F392"/>
    <mergeCell ref="G388:G392"/>
    <mergeCell ref="H388:H392"/>
    <mergeCell ref="I388:I392"/>
    <mergeCell ref="J388:J392"/>
    <mergeCell ref="K388:K392"/>
    <mergeCell ref="L388:L392"/>
    <mergeCell ref="G408:G412"/>
    <mergeCell ref="H408:H412"/>
    <mergeCell ref="I408:I412"/>
    <mergeCell ref="J408:J412"/>
    <mergeCell ref="K408:K412"/>
    <mergeCell ref="L408:L412"/>
    <mergeCell ref="F393:F397"/>
    <mergeCell ref="G393:G397"/>
    <mergeCell ref="H393:H397"/>
    <mergeCell ref="I393:I397"/>
    <mergeCell ref="J393:J397"/>
    <mergeCell ref="K393:K397"/>
    <mergeCell ref="L393:L397"/>
    <mergeCell ref="F398:F402"/>
    <mergeCell ref="G398:G402"/>
    <mergeCell ref="H398:H402"/>
    <mergeCell ref="I398:I402"/>
    <mergeCell ref="J398:J402"/>
    <mergeCell ref="K398:K402"/>
    <mergeCell ref="L398:L402"/>
    <mergeCell ref="X1:X2"/>
    <mergeCell ref="O1:O2"/>
    <mergeCell ref="P1:P2"/>
    <mergeCell ref="Q1:Q2"/>
    <mergeCell ref="R1:R2"/>
    <mergeCell ref="S1:S2"/>
    <mergeCell ref="T1:T2"/>
    <mergeCell ref="U1:U2"/>
    <mergeCell ref="A1:A2"/>
    <mergeCell ref="B1:B2"/>
    <mergeCell ref="C1:C2"/>
    <mergeCell ref="D1:D2"/>
    <mergeCell ref="E1:E2"/>
    <mergeCell ref="F1:F2"/>
    <mergeCell ref="G1:G2"/>
    <mergeCell ref="H1:H2"/>
    <mergeCell ref="I1:I2"/>
    <mergeCell ref="J1:J2"/>
    <mergeCell ref="K1:K2"/>
    <mergeCell ref="L1:L2"/>
    <mergeCell ref="M1:M2"/>
    <mergeCell ref="N1:N2"/>
    <mergeCell ref="V1:V2"/>
    <mergeCell ref="W1:W2"/>
    <mergeCell ref="F378:F382"/>
    <mergeCell ref="G378:G382"/>
    <mergeCell ref="H378:H382"/>
    <mergeCell ref="I378:I382"/>
    <mergeCell ref="J378:J382"/>
    <mergeCell ref="K378:K382"/>
    <mergeCell ref="L378:L382"/>
    <mergeCell ref="B413:B417"/>
    <mergeCell ref="B418:B422"/>
    <mergeCell ref="B378:B382"/>
    <mergeCell ref="B383:B387"/>
    <mergeCell ref="B388:B392"/>
    <mergeCell ref="B393:B397"/>
    <mergeCell ref="B398:B402"/>
    <mergeCell ref="B403:B407"/>
    <mergeCell ref="B408:B412"/>
    <mergeCell ref="F403:F407"/>
    <mergeCell ref="G403:G407"/>
    <mergeCell ref="H403:H407"/>
    <mergeCell ref="I403:I407"/>
    <mergeCell ref="J403:J407"/>
    <mergeCell ref="K403:K407"/>
    <mergeCell ref="L403:L407"/>
    <mergeCell ref="F408:F412"/>
    <mergeCell ref="K443:K447"/>
    <mergeCell ref="L443:L447"/>
    <mergeCell ref="J438:J442"/>
    <mergeCell ref="K438:K442"/>
    <mergeCell ref="F443:F447"/>
    <mergeCell ref="G443:G447"/>
    <mergeCell ref="H443:H447"/>
    <mergeCell ref="I443:I447"/>
    <mergeCell ref="J443:J447"/>
    <mergeCell ref="H438:H442"/>
    <mergeCell ref="I438:I442"/>
    <mergeCell ref="F448:F452"/>
    <mergeCell ref="G448:G452"/>
    <mergeCell ref="H448:H452"/>
    <mergeCell ref="I448:I452"/>
    <mergeCell ref="J448:J452"/>
    <mergeCell ref="K448:K452"/>
    <mergeCell ref="L448:L452"/>
    <mergeCell ref="F468:F472"/>
    <mergeCell ref="G468:G472"/>
    <mergeCell ref="H468:H472"/>
    <mergeCell ref="I468:I472"/>
    <mergeCell ref="J468:J472"/>
    <mergeCell ref="K468:K472"/>
    <mergeCell ref="L468:L472"/>
    <mergeCell ref="F453:F457"/>
    <mergeCell ref="G453:G457"/>
    <mergeCell ref="H453:H457"/>
    <mergeCell ref="I453:I457"/>
    <mergeCell ref="J453:J457"/>
    <mergeCell ref="K453:K457"/>
    <mergeCell ref="L453:L457"/>
    <mergeCell ref="F458:F462"/>
    <mergeCell ref="G458:G462"/>
    <mergeCell ref="H458:H462"/>
    <mergeCell ref="B463:B467"/>
    <mergeCell ref="B468:B472"/>
    <mergeCell ref="B428:B432"/>
    <mergeCell ref="B433:B437"/>
    <mergeCell ref="B438:B442"/>
    <mergeCell ref="B443:B447"/>
    <mergeCell ref="B448:B452"/>
    <mergeCell ref="B453:B457"/>
    <mergeCell ref="B458:B462"/>
  </mergeCells>
  <conditionalFormatting sqref="U1:U40 P3:Q40">
    <cfRule type="containsBlanks" dxfId="10" priority="1">
      <formula>LEN(TRIM(U1))=0</formula>
    </cfRule>
  </conditionalFormatting>
  <pageMargins left="0" right="0" top="0" bottom="0" header="0" footer="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X1786"/>
  <sheetViews>
    <sheetView workbookViewId="0">
      <pane xSplit="1" topLeftCell="B1" activePane="topRight" state="frozen"/>
      <selection pane="topRight" activeCell="C2" sqref="C2"/>
    </sheetView>
  </sheetViews>
  <sheetFormatPr defaultColWidth="14.44140625" defaultRowHeight="15" customHeight="1"/>
  <cols>
    <col min="1" max="1" width="5.44140625" customWidth="1"/>
    <col min="2" max="2" width="12.109375" customWidth="1"/>
    <col min="3" max="3" width="19.88671875" customWidth="1"/>
    <col min="4" max="4" width="17.44140625" customWidth="1"/>
    <col min="5" max="5" width="14.5546875" customWidth="1"/>
    <col min="6" max="6" width="43.88671875" customWidth="1"/>
    <col min="7" max="7" width="22" customWidth="1"/>
    <col min="8" max="8" width="16.88671875" hidden="1" customWidth="1"/>
    <col min="9" max="9" width="22" hidden="1" customWidth="1"/>
    <col min="10" max="10" width="14.44140625" hidden="1"/>
    <col min="11" max="11" width="24.33203125" hidden="1" customWidth="1"/>
    <col min="12" max="12" width="23" hidden="1" customWidth="1"/>
    <col min="13" max="14" width="17.44140625" customWidth="1"/>
    <col min="15" max="15" width="14.44140625" hidden="1"/>
    <col min="18" max="19" width="15.44140625" customWidth="1"/>
    <col min="20" max="20" width="15.44140625" hidden="1" customWidth="1"/>
    <col min="21" max="21" width="33.5546875" customWidth="1"/>
    <col min="22" max="22" width="29.109375" customWidth="1"/>
    <col min="23" max="24" width="15.44140625" customWidth="1"/>
  </cols>
  <sheetData>
    <row r="1" spans="1:24">
      <c r="A1" s="98" t="s">
        <v>893</v>
      </c>
      <c r="B1" s="96" t="s">
        <v>841</v>
      </c>
      <c r="C1" s="96" t="s">
        <v>894</v>
      </c>
      <c r="D1" s="96" t="s">
        <v>0</v>
      </c>
      <c r="E1" s="96" t="s">
        <v>844</v>
      </c>
      <c r="F1" s="96" t="s">
        <v>845</v>
      </c>
      <c r="G1" s="96" t="s">
        <v>846</v>
      </c>
      <c r="H1" s="96" t="s">
        <v>847</v>
      </c>
      <c r="I1" s="96" t="s">
        <v>848</v>
      </c>
      <c r="J1" s="96" t="s">
        <v>849</v>
      </c>
      <c r="K1" s="96" t="s">
        <v>850</v>
      </c>
      <c r="L1" s="96" t="s">
        <v>851</v>
      </c>
      <c r="M1" s="96" t="s">
        <v>852</v>
      </c>
      <c r="N1" s="96" t="s">
        <v>853</v>
      </c>
      <c r="O1" s="96" t="s">
        <v>854</v>
      </c>
      <c r="P1" s="95" t="s">
        <v>855</v>
      </c>
      <c r="Q1" s="95" t="s">
        <v>856</v>
      </c>
      <c r="R1" s="95"/>
      <c r="S1" s="95" t="s">
        <v>858</v>
      </c>
      <c r="T1" s="95" t="s">
        <v>859</v>
      </c>
      <c r="U1" s="95" t="s">
        <v>860</v>
      </c>
      <c r="V1" s="96" t="s">
        <v>861</v>
      </c>
      <c r="W1" s="96" t="s">
        <v>862</v>
      </c>
      <c r="X1" s="95" t="s">
        <v>863</v>
      </c>
    </row>
    <row r="2" spans="1:24">
      <c r="A2" s="97"/>
      <c r="B2" s="97"/>
      <c r="C2" s="97"/>
      <c r="D2" s="97"/>
      <c r="E2" s="97"/>
      <c r="F2" s="97"/>
      <c r="G2" s="97"/>
      <c r="H2" s="97"/>
      <c r="I2" s="97"/>
      <c r="J2" s="97"/>
      <c r="K2" s="97"/>
      <c r="L2" s="97"/>
      <c r="M2" s="97"/>
      <c r="N2" s="97"/>
      <c r="O2" s="97"/>
      <c r="P2" s="94"/>
      <c r="Q2" s="94"/>
      <c r="R2" s="94"/>
      <c r="S2" s="94"/>
      <c r="T2" s="94"/>
      <c r="U2" s="94"/>
      <c r="V2" s="97"/>
      <c r="W2" s="97"/>
      <c r="X2" s="94"/>
    </row>
    <row r="3" spans="1:24">
      <c r="A3" s="15">
        <v>1</v>
      </c>
      <c r="B3" s="16">
        <f ca="1">IFERROR(__xludf.DUMMYFUNCTION("query(Rekap!A2:AD1786,""Select B,E,F,G,D,H,U,V,W where C='PKM Artikel Ilmiah'"")"),2494)</f>
        <v>2494</v>
      </c>
      <c r="C3" s="16" t="str">
        <f ca="1">IFERROR(__xludf.DUMMYFUNCTION("""COMPUTED_VALUE"""),"Yeni April Lina")</f>
        <v>Yeni April Lina</v>
      </c>
      <c r="D3" s="16" t="str">
        <f ca="1">IFERROR(__xludf.DUMMYFUNCTION("""COMPUTED_VALUE"""),"06311840000019")</f>
        <v>06311840000019</v>
      </c>
      <c r="E3" s="16" t="str">
        <f ca="1">IFERROR(__xludf.DUMMYFUNCTION("""COMPUTED_VALUE"""),"Departemen Aktuaria")</f>
        <v>Departemen Aktuaria</v>
      </c>
      <c r="F3" s="16" t="str">
        <f ca="1">IFERROR(__xludf.DUMMYFUNCTION("""COMPUTED_VALUE"""),"ESTIMASI RISIKO SAHAM JAKARTA ISLAMIC INDEX MENGGUNAKAN VALUE AT RISK DAN CONDITIONAL VALUE AT RISK DENGAN PENDEKATAN ARIMA DAN FFNN")</f>
        <v>ESTIMASI RISIKO SAHAM JAKARTA ISLAMIC INDEX MENGGUNAKAN VALUE AT RISK DAN CONDITIONAL VALUE AT RISK DENGAN PENDEKATAN ARIMA DAN FFNN</v>
      </c>
      <c r="G3" s="16" t="str">
        <f ca="1">IFERROR(__xludf.DUMMYFUNCTION("""COMPUTED_VALUE"""),"Pratnya Paramitha Oktaviana, S.Si., M.Si.")</f>
        <v>Pratnya Paramitha Oktaviana, S.Si., M.Si.</v>
      </c>
      <c r="H3" s="16" t="str">
        <f ca="1">IFERROR(__xludf.DUMMYFUNCTION("""COMPUTED_VALUE"""),"Prof. Dr. Dra Fahimah Martak, M.Si")</f>
        <v>Prof. Dr. Dra Fahimah Martak, M.Si</v>
      </c>
      <c r="I3" s="16" t="str">
        <f ca="1">IFERROR(__xludf.DUMMYFUNCTION("""COMPUTED_VALUE"""),"Arif Fadlan, S.Si., M.Si., D.Sc")</f>
        <v>Arif Fadlan, S.Si., M.Si., D.Sc</v>
      </c>
      <c r="J3" s="16"/>
      <c r="K3" s="27" t="s">
        <v>895</v>
      </c>
      <c r="L3" s="28" t="s">
        <v>896</v>
      </c>
      <c r="M3" s="19" t="b">
        <v>0</v>
      </c>
      <c r="N3" s="19" t="b">
        <v>0</v>
      </c>
      <c r="O3" s="1" t="s">
        <v>897</v>
      </c>
      <c r="P3" s="7" t="str">
        <f ca="1">IFERROR(__xludf.DUMMYFUNCTION("iferror(vlookup(B3,importrange(""https://docs.google.com/spreadsheets/d/1boHyJQ4e2FU0QG8MHwEi6qjX4hvZWVCHcFfXjq7bbMc/edit?resourcekey#gid=923248883"",""Prop!$C$1:$M""),11,0),IFERROR(vlookup(B3,importrange(""https://docs.google.com/spreadsheets/d/1boHyJQ4e"&amp;"2FU0QG8MHwEi6qjX4hvZWVCHcFfXjq7bbMc/edit?resourcekey#gid=923248883"",""Prop!$N$1:$X""),11,0),iferror(vlookup(B3,importrange(""https://docs.google.com/spreadsheets/d/1boHyJQ4e2FU0QG8MHwEi6qjX4hvZWVCHcFfXjq7bbMc/edit?resourcekey#gid=923248883"",""Prop!$Y$1:"&amp;"$AI""),11,0),iferror(vlookup(B3,importrange(""https://docs.google.com/spreadsheets/d/1boHyJQ4e2FU0QG8MHwEi6qjX4hvZWVCHcFfXjq7bbMc/edit?resourcekey#gid=923248883"",""Prop!$AJ$1:$AT""),11,0),iferror(vlookup(B3,importrange(""https://docs.google.com/spreadshe"&amp;"ets/d/1boHyJQ4e2FU0QG8MHwEi6qjX4hvZWVCHcFfXjq7bbMc/edit?resourcekey#gid=923248883"",""Prop!$AU$1:$BE""),11,0),iferror(vlookup(B3,importrange(""https://docs.google.com/spreadsheets/d/1boHyJQ4e2FU0QG8MHwEi6qjX4hvZWVCHcFfXjq7bbMc/edit?resourcekey#gid=9232488"&amp;"83"",""Prop!$BF$1:$BP""),11,0),iferror(vlookup(B3,importrange(""https://docs.google.com/spreadsheets/d/1boHyJQ4e2FU0QG8MHwEi6qjX4hvZWVCHcFfXjq7bbMc/edit?resourcekey#gid=923248883"",""Prop!$BQ$1:$CA""),11,0),iferror(vlookup(B3,importrange(""https://docs.go"&amp;"ogle.com/spreadsheets/d/1boHyJQ4e2FU0QG8MHwEi6qjX4hvZWVCHcFfXjq7bbMc/edit?resourcekey#gid=923248883"",""Prop!$CB$1:$CL""),11,0),iferror(vlookup(B3,importrange(""https://docs.google.com/spreadsheets/d/1boHyJQ4e2FU0QG8MHwEi6qjX4hvZWVCHcFfXjq7bbMc/edit?resou"&amp;"rcekey#gid=923248883"",""Prop!$CM$1:$CX""),11,0),iferror(vlookup(B3,importrange(""https://docs.google.com/spreadsheets/d/1boHyJQ4e2FU0QG8MHwEi6qjX4hvZWVCHcFfXjq7bbMc/edit?resourcekey#gid=923248883"",""Prop!$CY$1:$DI""),11,0)))))))))))"),"https://drive.google.com/open?id=1XoBHuChksC9DEiNJgjjXB89hpLBMrxpY")</f>
        <v>https://drive.google.com/open?id=1XoBHuChksC9DEiNJgjjXB89hpLBMrxpY</v>
      </c>
      <c r="Q3" s="7" t="str">
        <f ca="1">IFERROR(__xludf.DUMMYFUNCTION("iferror(vlookup(B3,importrange(""https://docs.google.com/spreadsheets/d/1p53T2AuvvIqhP7Nf-bo3Uhj8cbKYRPpZdsrBv3x3bAQ/edit?resourcekey#gid=1321652304"",""Prop!$C$1:$M""),11,0),IFERROR(vlookup(B3,importrange(""https://docs.google.com/spreadsheets/d/1p53T2Au"&amp;"vvIqhP7Nf-bo3Uhj8cbKYRPpZdsrBv3x3bAQ/edit?resourcekey#gid=1321652304"",""Prop!$N$1:$X""),11,0),iferror(vlookup(B3,importrange(""https://docs.google.com/spreadsheets/d/1p53T2AuvvIqhP7Nf-bo3Uhj8cbKYRPpZdsrBv3x3bAQ/edit?resourcekey#gid=1321652304"",""Prop!$Y"&amp;"$1:$AI""),11,0),iferror(vlookup(B3,importrange(""https://docs.google.com/spreadsheets/d/1p53T2AuvvIqhP7Nf-bo3Uhj8cbKYRPpZdsrBv3x3bAQ/edit?resourcekey#gid=1321652304"",""Prop!$AJ$1:$AT""),11,0),iferror(vlookup(B3,importrange(""https://docs.google.com/sprea"&amp;"dsheets/d/1p53T2AuvvIqhP7Nf-bo3Uhj8cbKYRPpZdsrBv3x3bAQ/edit?resourcekey#gid=1321652304"",""Prop!$AU$1:$BE""),11,0),iferror(vlookup(B3,importrange(""https://docs.google.com/spreadsheets/d/1p53T2AuvvIqhP7Nf-bo3Uhj8cbKYRPpZdsrBv3x3bAQ/edit?resourcekey#gid=13"&amp;"21652304"",""Prop!$BF$1:$BP""),11,0),iferror(vlookup(B3,importrange(""https://docs.google.com/spreadsheets/d/1p53T2AuvvIqhP7Nf-bo3Uhj8cbKYRPpZdsrBv3x3bAQ/edit?resourcekey#gid=1321652304"",""Prop!$BQ$1:$CA""),11,0),iferror(vlookup(B3,importrange(""https://"&amp;"docs.google.com/spreadsheets/d/1p53T2AuvvIqhP7Nf-bo3Uhj8cbKYRPpZdsrBv3x3bAQ/edit?resourcekey#gid=1321652304"",""Prop!$CB$1:$CL""),11,0),iferror(vlookup(B3,importrange(""https://docs.google.com/spreadsheets/d/1p53T2AuvvIqhP7Nf-bo3Uhj8cbKYRPpZdsrBv3x3bAQ/ed"&amp;"it?resourcekey#gid=1321652304"",""Prop!$CM$1:$CX""),11,0),iferror(vlookup(B3,importrange(""https://docs.google.com/spreadsheets/d/1p53T2AuvvIqhP7Nf-bo3Uhj8cbKYRPpZdsrBv3x3bAQ/edit?resourcekey#gid=1321652304"",""Prop!$CY$1:$DI""),11,0)))))))))))"),"https://drive.google.com/open?id=16tyYYe0WzgIAJNRCggejLRW1DpxdHJpE")</f>
        <v>https://drive.google.com/open?id=16tyYYe0WzgIAJNRCggejLRW1DpxdHJpE</v>
      </c>
      <c r="R3" s="20" t="s">
        <v>898</v>
      </c>
      <c r="S3" s="20" t="str">
        <f ca="1">IFERROR(__xludf.DUMMYFUNCTION("IFERROR(vlookup(B3,IMPORTRANGE(""https://docs.google.com/spreadsheets/d/1g_jfYYK_KeipEDNDUgqgrsxK94XiocfNQIcP-v1QVhI/edit?resourcekey#gid=233272945"",""Nilai!B:CT""),12,0),"" "")"),"lihat pdf")</f>
        <v>lihat pdf</v>
      </c>
      <c r="T3" s="20" t="str">
        <f ca="1">IFERROR(__xludf.DUMMYFUNCTION("IFERROR(vlookup(B3,IMPORTRANGE(""https://docs.google.com/spreadsheets/d/1g_jfYYK_KeipEDNDUgqgrsxK94XiocfNQIcP-v1QVhI/edit?resourcekey#gid=233272945"",""Nilai!B:CT""),97,0),"" "")"),"LAYAK UPLOAD KE SIMBELMAWA DENGAN REVISI")</f>
        <v>LAYAK UPLOAD KE SIMBELMAWA DENGAN REVISI</v>
      </c>
      <c r="U3" s="29" t="s">
        <v>660</v>
      </c>
      <c r="V3" s="30" t="s">
        <v>899</v>
      </c>
      <c r="W3" s="28" t="s">
        <v>900</v>
      </c>
      <c r="X3" s="20" t="b">
        <v>0</v>
      </c>
    </row>
    <row r="4" spans="1:24">
      <c r="A4" s="15">
        <v>2</v>
      </c>
      <c r="B4" s="16">
        <f ca="1">IFERROR(__xludf.DUMMYFUNCTION("""COMPUTED_VALUE"""),2832)</f>
        <v>2832</v>
      </c>
      <c r="C4" s="16" t="str">
        <f ca="1">IFERROR(__xludf.DUMMYFUNCTION("""COMPUTED_VALUE"""),"JESSICA ZERLINA SARWONO")</f>
        <v>JESSICA ZERLINA SARWONO</v>
      </c>
      <c r="D4" s="16" t="str">
        <f ca="1">IFERROR(__xludf.DUMMYFUNCTION("""COMPUTED_VALUE"""),"5003201071")</f>
        <v>5003201071</v>
      </c>
      <c r="E4" s="16" t="str">
        <f ca="1">IFERROR(__xludf.DUMMYFUNCTION("""COMPUTED_VALUE"""),"Departemen Statistika")</f>
        <v>Departemen Statistika</v>
      </c>
      <c r="F4" s="16" t="str">
        <f ca="1">IFERROR(__xludf.DUMMYFUNCTION("""COMPUTED_VALUE"""),"KLASIFIKASI PROVINSI DI INDONESIA YANG MEMBUTUHKAN BANTUAN BERDASARKAN SUSTAINABLE DEVELOPMENT GOALS (SDGs) MENGGUNAKAN METODE K-MEANS ")</f>
        <v xml:space="preserve">KLASIFIKASI PROVINSI DI INDONESIA YANG MEMBUTUHKAN BANTUAN BERDASARKAN SUSTAINABLE DEVELOPMENT GOALS (SDGs) MENGGUNAKAN METODE K-MEANS </v>
      </c>
      <c r="G4" s="16" t="str">
        <f ca="1">IFERROR(__xludf.DUMMYFUNCTION("""COMPUTED_VALUE"""),"Adatul Mukarromah, S.Si., M.Si.")</f>
        <v>Adatul Mukarromah, S.Si., M.Si.</v>
      </c>
      <c r="H4" s="16" t="str">
        <f ca="1">IFERROR(__xludf.DUMMYFUNCTION("""COMPUTED_VALUE"""),"Prof. Dr. Dra Fahimah Martak, M.Si")</f>
        <v>Prof. Dr. Dra Fahimah Martak, M.Si</v>
      </c>
      <c r="I4" s="16" t="str">
        <f ca="1">IFERROR(__xludf.DUMMYFUNCTION("""COMPUTED_VALUE"""),"Arif Fadlan, S.Si., M.Si., D.Sc")</f>
        <v>Arif Fadlan, S.Si., M.Si., D.Sc</v>
      </c>
      <c r="J4" s="16"/>
      <c r="K4" s="27" t="s">
        <v>895</v>
      </c>
      <c r="L4" s="23" t="s">
        <v>901</v>
      </c>
      <c r="M4" s="19" t="b">
        <v>1</v>
      </c>
      <c r="N4" s="19" t="b">
        <v>1</v>
      </c>
      <c r="O4" s="1" t="s">
        <v>897</v>
      </c>
      <c r="P4" s="7" t="str">
        <f ca="1">IFERROR(__xludf.DUMMYFUNCTION("iferror(vlookup(B4,importrange(""https://docs.google.com/spreadsheets/d/1boHyJQ4e2FU0QG8MHwEi6qjX4hvZWVCHcFfXjq7bbMc/edit?resourcekey#gid=923248883"",""Prop!$C$1:$M""),11,0),IFERROR(vlookup(B4,importrange(""https://docs.google.com/spreadsheets/d/1boHyJQ4e"&amp;"2FU0QG8MHwEi6qjX4hvZWVCHcFfXjq7bbMc/edit?resourcekey#gid=923248883"",""Prop!$N$1:$X""),11,0),iferror(vlookup(B4,importrange(""https://docs.google.com/spreadsheets/d/1boHyJQ4e2FU0QG8MHwEi6qjX4hvZWVCHcFfXjq7bbMc/edit?resourcekey#gid=923248883"",""Prop!$Y$1:"&amp;"$AI""),11,0),iferror(vlookup(B4,importrange(""https://docs.google.com/spreadsheets/d/1boHyJQ4e2FU0QG8MHwEi6qjX4hvZWVCHcFfXjq7bbMc/edit?resourcekey#gid=923248883"",""Prop!$AJ$1:$AT""),11,0),iferror(vlookup(B4,importrange(""https://docs.google.com/spreadshe"&amp;"ets/d/1boHyJQ4e2FU0QG8MHwEi6qjX4hvZWVCHcFfXjq7bbMc/edit?resourcekey#gid=923248883"",""Prop!$AU$1:$BE""),11,0),iferror(vlookup(B4,importrange(""https://docs.google.com/spreadsheets/d/1boHyJQ4e2FU0QG8MHwEi6qjX4hvZWVCHcFfXjq7bbMc/edit?resourcekey#gid=9232488"&amp;"83"",""Prop!$BF$1:$BP""),11,0),iferror(vlookup(B4,importrange(""https://docs.google.com/spreadsheets/d/1boHyJQ4e2FU0QG8MHwEi6qjX4hvZWVCHcFfXjq7bbMc/edit?resourcekey#gid=923248883"",""Prop!$BQ$1:$CA""),11,0),iferror(vlookup(B4,importrange(""https://docs.go"&amp;"ogle.com/spreadsheets/d/1boHyJQ4e2FU0QG8MHwEi6qjX4hvZWVCHcFfXjq7bbMc/edit?resourcekey#gid=923248883"",""Prop!$CB$1:$CL""),11,0),iferror(vlookup(B4,importrange(""https://docs.google.com/spreadsheets/d/1boHyJQ4e2FU0QG8MHwEi6qjX4hvZWVCHcFfXjq7bbMc/edit?resou"&amp;"rcekey#gid=923248883"",""Prop!$CM$1:$CX""),11,0),iferror(vlookup(B4,importrange(""https://docs.google.com/spreadsheets/d/1boHyJQ4e2FU0QG8MHwEi6qjX4hvZWVCHcFfXjq7bbMc/edit?resourcekey#gid=923248883"",""Prop!$CY$1:$DI""),11,0)))))))))))"),"https://drive.google.com/open?id=1hoNxNxVaxps1lrqO0eD4rlbpl_kH5RdY")</f>
        <v>https://drive.google.com/open?id=1hoNxNxVaxps1lrqO0eD4rlbpl_kH5RdY</v>
      </c>
      <c r="Q4" s="7" t="str">
        <f ca="1">IFERROR(__xludf.DUMMYFUNCTION("iferror(vlookup(B4,importrange(""https://docs.google.com/spreadsheets/d/1p53T2AuvvIqhP7Nf-bo3Uhj8cbKYRPpZdsrBv3x3bAQ/edit?resourcekey#gid=1321652304"",""Prop!$C$1:$M""),11,0),IFERROR(vlookup(B4,importrange(""https://docs.google.com/spreadsheets/d/1p53T2Au"&amp;"vvIqhP7Nf-bo3Uhj8cbKYRPpZdsrBv3x3bAQ/edit?resourcekey#gid=1321652304"",""Prop!$N$1:$X""),11,0),iferror(vlookup(B4,importrange(""https://docs.google.com/spreadsheets/d/1p53T2AuvvIqhP7Nf-bo3Uhj8cbKYRPpZdsrBv3x3bAQ/edit?resourcekey#gid=1321652304"",""Prop!$Y"&amp;"$1:$AI""),11,0),iferror(vlookup(B4,importrange(""https://docs.google.com/spreadsheets/d/1p53T2AuvvIqhP7Nf-bo3Uhj8cbKYRPpZdsrBv3x3bAQ/edit?resourcekey#gid=1321652304"",""Prop!$AJ$1:$AT""),11,0),iferror(vlookup(B4,importrange(""https://docs.google.com/sprea"&amp;"dsheets/d/1p53T2AuvvIqhP7Nf-bo3Uhj8cbKYRPpZdsrBv3x3bAQ/edit?resourcekey#gid=1321652304"",""Prop!$AU$1:$BE""),11,0),iferror(vlookup(B4,importrange(""https://docs.google.com/spreadsheets/d/1p53T2AuvvIqhP7Nf-bo3Uhj8cbKYRPpZdsrBv3x3bAQ/edit?resourcekey#gid=13"&amp;"21652304"",""Prop!$BF$1:$BP""),11,0),iferror(vlookup(B4,importrange(""https://docs.google.com/spreadsheets/d/1p53T2AuvvIqhP7Nf-bo3Uhj8cbKYRPpZdsrBv3x3bAQ/edit?resourcekey#gid=1321652304"",""Prop!$BQ$1:$CA""),11,0),iferror(vlookup(B4,importrange(""https://"&amp;"docs.google.com/spreadsheets/d/1p53T2AuvvIqhP7Nf-bo3Uhj8cbKYRPpZdsrBv3x3bAQ/edit?resourcekey#gid=1321652304"",""Prop!$CB$1:$CL""),11,0),iferror(vlookup(B4,importrange(""https://docs.google.com/spreadsheets/d/1p53T2AuvvIqhP7Nf-bo3Uhj8cbKYRPpZdsrBv3x3bAQ/ed"&amp;"it?resourcekey#gid=1321652304"",""Prop!$CM$1:$CX""),11,0),iferror(vlookup(B4,importrange(""https://docs.google.com/spreadsheets/d/1p53T2AuvvIqhP7Nf-bo3Uhj8cbKYRPpZdsrBv3x3bAQ/edit?resourcekey#gid=1321652304"",""Prop!$CY$1:$DI""),11,0)))))))))))"),"https://drive.google.com/open?id=1AxQsCPWONB4L9zhjRMFbjzl2Cyw_6n-3")</f>
        <v>https://drive.google.com/open?id=1AxQsCPWONB4L9zhjRMFbjzl2Cyw_6n-3</v>
      </c>
      <c r="R4" s="20" t="s">
        <v>898</v>
      </c>
      <c r="S4" s="20" t="str">
        <f ca="1">IFERROR(__xludf.DUMMYFUNCTION("IFERROR(vlookup(B4,IMPORTRANGE(""https://docs.google.com/spreadsheets/d/1g_jfYYK_KeipEDNDUgqgrsxK94XiocfNQIcP-v1QVhI/edit?resourcekey#gid=233272945"",""Nilai!B:CT""),12,0),"" "")"),"lihat pdf")</f>
        <v>lihat pdf</v>
      </c>
      <c r="T4" s="20" t="str">
        <f ca="1">IFERROR(__xludf.DUMMYFUNCTION("IFERROR(vlookup(B4,IMPORTRANGE(""https://docs.google.com/spreadsheets/d/1g_jfYYK_KeipEDNDUgqgrsxK94XiocfNQIcP-v1QVhI/edit?resourcekey#gid=233272945"",""Nilai!B:CT""),97,0),"" "")"),"LAYAK UPLOAD KE SIMBELMAWA DENGAN REVISI")</f>
        <v>LAYAK UPLOAD KE SIMBELMAWA DENGAN REVISI</v>
      </c>
      <c r="U4" s="29" t="s">
        <v>660</v>
      </c>
      <c r="V4" s="30" t="s">
        <v>899</v>
      </c>
      <c r="W4" s="28" t="s">
        <v>900</v>
      </c>
      <c r="X4" s="20" t="b">
        <v>0</v>
      </c>
    </row>
    <row r="5" spans="1:24">
      <c r="A5" s="15">
        <v>3</v>
      </c>
      <c r="B5" s="16">
        <f ca="1">IFERROR(__xludf.DUMMYFUNCTION("""COMPUTED_VALUE"""),4132)</f>
        <v>4132</v>
      </c>
      <c r="C5" s="16" t="str">
        <f ca="1">IFERROR(__xludf.DUMMYFUNCTION("""COMPUTED_VALUE"""),"IWAN DWI PRAKOSO")</f>
        <v>IWAN DWI PRAKOSO</v>
      </c>
      <c r="D5" s="16" t="str">
        <f ca="1">IFERROR(__xludf.DUMMYFUNCTION("""COMPUTED_VALUE"""),"05111940000229")</f>
        <v>05111940000229</v>
      </c>
      <c r="E5" s="16" t="str">
        <f ca="1">IFERROR(__xludf.DUMMYFUNCTION("""COMPUTED_VALUE"""),"Departemen Teknik Informatika")</f>
        <v>Departemen Teknik Informatika</v>
      </c>
      <c r="F5" s="16" t="str">
        <f ca="1">IFERROR(__xludf.DUMMYFUNCTION("""COMPUTED_VALUE"""),"Sistem Terintegrasi Berbasis Website dan Donor Plasma Konvalesen  Guna Menurunkan Resiko Kematian Pasien COVID-19 Melalui Komunitas Plasmahero.id")</f>
        <v>Sistem Terintegrasi Berbasis Website dan Donor Plasma Konvalesen  Guna Menurunkan Resiko Kematian Pasien COVID-19 Melalui Komunitas Plasmahero.id</v>
      </c>
      <c r="G5" s="16" t="str">
        <f ca="1">IFERROR(__xludf.DUMMYFUNCTION("""COMPUTED_VALUE"""),"Gita Widi Bhawika, S.ST., M.MT")</f>
        <v>Gita Widi Bhawika, S.ST., M.MT</v>
      </c>
      <c r="H5" s="16" t="str">
        <f ca="1">IFERROR(__xludf.DUMMYFUNCTION("""COMPUTED_VALUE"""),"Prof. Dr. Dra Fahimah Martak, M.Si")</f>
        <v>Prof. Dr. Dra Fahimah Martak, M.Si</v>
      </c>
      <c r="I5" s="16" t="str">
        <f ca="1">IFERROR(__xludf.DUMMYFUNCTION("""COMPUTED_VALUE"""),"Ulil 'Azmi, S.Si., M.Si.")</f>
        <v>Ulil 'Azmi, S.Si., M.Si.</v>
      </c>
      <c r="J5" s="16"/>
      <c r="K5" s="27" t="s">
        <v>895</v>
      </c>
      <c r="L5" s="23" t="s">
        <v>901</v>
      </c>
      <c r="M5" s="19" t="b">
        <v>1</v>
      </c>
      <c r="N5" s="19" t="b">
        <v>1</v>
      </c>
      <c r="O5" s="1" t="s">
        <v>897</v>
      </c>
      <c r="P5" s="1" t="str">
        <f ca="1">IFERROR(__xludf.DUMMYFUNCTION("iferror(vlookup(B5,importrange(""https://docs.google.com/spreadsheets/d/1boHyJQ4e2FU0QG8MHwEi6qjX4hvZWVCHcFfXjq7bbMc/edit?resourcekey#gid=923248883"",""Prop!$C$1:$M""),11,0),IFERROR(vlookup(B5,importrange(""https://docs.google.com/spreadsheets/d/1boHyJQ4e"&amp;"2FU0QG8MHwEi6qjX4hvZWVCHcFfXjq7bbMc/edit?resourcekey#gid=923248883"",""Prop!$N$1:$X""),11,0),iferror(vlookup(B5,importrange(""https://docs.google.com/spreadsheets/d/1boHyJQ4e2FU0QG8MHwEi6qjX4hvZWVCHcFfXjq7bbMc/edit?resourcekey#gid=923248883"",""Prop!$Y$1:"&amp;"$AI""),11,0),iferror(vlookup(B5,importrange(""https://docs.google.com/spreadsheets/d/1boHyJQ4e2FU0QG8MHwEi6qjX4hvZWVCHcFfXjq7bbMc/edit?resourcekey#gid=923248883"",""Prop!$AJ$1:$AT""),11,0),iferror(vlookup(B5,importrange(""https://docs.google.com/spreadshe"&amp;"ets/d/1boHyJQ4e2FU0QG8MHwEi6qjX4hvZWVCHcFfXjq7bbMc/edit?resourcekey#gid=923248883"",""Prop!$AU$1:$BE""),11,0),iferror(vlookup(B5,importrange(""https://docs.google.com/spreadsheets/d/1boHyJQ4e2FU0QG8MHwEi6qjX4hvZWVCHcFfXjq7bbMc/edit?resourcekey#gid=9232488"&amp;"83"",""Prop!$BF$1:$BP""),11,0),iferror(vlookup(B5,importrange(""https://docs.google.com/spreadsheets/d/1boHyJQ4e2FU0QG8MHwEi6qjX4hvZWVCHcFfXjq7bbMc/edit?resourcekey#gid=923248883"",""Prop!$BQ$1:$CA""),11,0),iferror(vlookup(B5,importrange(""https://docs.go"&amp;"ogle.com/spreadsheets/d/1boHyJQ4e2FU0QG8MHwEi6qjX4hvZWVCHcFfXjq7bbMc/edit?resourcekey#gid=923248883"",""Prop!$CB$1:$CL""),11,0),iferror(vlookup(B5,importrange(""https://docs.google.com/spreadsheets/d/1boHyJQ4e2FU0QG8MHwEi6qjX4hvZWVCHcFfXjq7bbMc/edit?resou"&amp;"rcekey#gid=923248883"",""Prop!$CM$1:$CX""),11,0),iferror(vlookup(B5,importrange(""https://docs.google.com/spreadsheets/d/1boHyJQ4e2FU0QG8MHwEi6qjX4hvZWVCHcFfXjq7bbMc/edit?resourcekey#gid=923248883"",""Prop!$CY$1:$DI""),11,0)))))))))))"),"")</f>
        <v/>
      </c>
      <c r="Q5" s="7" t="str">
        <f ca="1">IFERROR(__xludf.DUMMYFUNCTION("iferror(vlookup(B5,importrange(""https://docs.google.com/spreadsheets/d/1p53T2AuvvIqhP7Nf-bo3Uhj8cbKYRPpZdsrBv3x3bAQ/edit?resourcekey#gid=1321652304"",""Prop!$C$1:$M""),11,0),IFERROR(vlookup(B5,importrange(""https://docs.google.com/spreadsheets/d/1p53T2Au"&amp;"vvIqhP7Nf-bo3Uhj8cbKYRPpZdsrBv3x3bAQ/edit?resourcekey#gid=1321652304"",""Prop!$N$1:$X""),11,0),iferror(vlookup(B5,importrange(""https://docs.google.com/spreadsheets/d/1p53T2AuvvIqhP7Nf-bo3Uhj8cbKYRPpZdsrBv3x3bAQ/edit?resourcekey#gid=1321652304"",""Prop!$Y"&amp;"$1:$AI""),11,0),iferror(vlookup(B5,importrange(""https://docs.google.com/spreadsheets/d/1p53T2AuvvIqhP7Nf-bo3Uhj8cbKYRPpZdsrBv3x3bAQ/edit?resourcekey#gid=1321652304"",""Prop!$AJ$1:$AT""),11,0),iferror(vlookup(B5,importrange(""https://docs.google.com/sprea"&amp;"dsheets/d/1p53T2AuvvIqhP7Nf-bo3Uhj8cbKYRPpZdsrBv3x3bAQ/edit?resourcekey#gid=1321652304"",""Prop!$AU$1:$BE""),11,0),iferror(vlookup(B5,importrange(""https://docs.google.com/spreadsheets/d/1p53T2AuvvIqhP7Nf-bo3Uhj8cbKYRPpZdsrBv3x3bAQ/edit?resourcekey#gid=13"&amp;"21652304"",""Prop!$BF$1:$BP""),11,0),iferror(vlookup(B5,importrange(""https://docs.google.com/spreadsheets/d/1p53T2AuvvIqhP7Nf-bo3Uhj8cbKYRPpZdsrBv3x3bAQ/edit?resourcekey#gid=1321652304"",""Prop!$BQ$1:$CA""),11,0),iferror(vlookup(B5,importrange(""https://"&amp;"docs.google.com/spreadsheets/d/1p53T2AuvvIqhP7Nf-bo3Uhj8cbKYRPpZdsrBv3x3bAQ/edit?resourcekey#gid=1321652304"",""Prop!$CB$1:$CL""),11,0),iferror(vlookup(B5,importrange(""https://docs.google.com/spreadsheets/d/1p53T2AuvvIqhP7Nf-bo3Uhj8cbKYRPpZdsrBv3x3bAQ/ed"&amp;"it?resourcekey#gid=1321652304"",""Prop!$CM$1:$CX""),11,0),iferror(vlookup(B5,importrange(""https://docs.google.com/spreadsheets/d/1p53T2AuvvIqhP7Nf-bo3Uhj8cbKYRPpZdsrBv3x3bAQ/edit?resourcekey#gid=1321652304"",""Prop!$CY$1:$DI""),11,0)))))))))))"),"https://drive.google.com/open?id=14dH7ICsgzmmcJTNwkCku70FFnNGc4tzX")</f>
        <v>https://drive.google.com/open?id=14dH7ICsgzmmcJTNwkCku70FFnNGc4tzX</v>
      </c>
      <c r="R5" s="20" t="s">
        <v>898</v>
      </c>
      <c r="S5" s="20" t="str">
        <f ca="1">IFERROR(__xludf.DUMMYFUNCTION("IFERROR(vlookup(B5,IMPORTRANGE(""https://docs.google.com/spreadsheets/d/1g_jfYYK_KeipEDNDUgqgrsxK94XiocfNQIcP-v1QVhI/edit?resourcekey#gid=233272945"",""Nilai!B:CT""),12,0),"" "")"),"lihat pdf")</f>
        <v>lihat pdf</v>
      </c>
      <c r="T5" s="20" t="str">
        <f ca="1">IFERROR(__xludf.DUMMYFUNCTION("IFERROR(vlookup(B5,IMPORTRANGE(""https://docs.google.com/spreadsheets/d/1g_jfYYK_KeipEDNDUgqgrsxK94XiocfNQIcP-v1QVhI/edit?resourcekey#gid=233272945"",""Nilai!B:CT""),97,0),"" "")"),"LAYAK UPLOAD KE SIMBELMAWA DENGAN REVISI")</f>
        <v>LAYAK UPLOAD KE SIMBELMAWA DENGAN REVISI</v>
      </c>
      <c r="U5" s="29" t="s">
        <v>660</v>
      </c>
      <c r="V5" s="30" t="s">
        <v>899</v>
      </c>
      <c r="W5" s="28" t="s">
        <v>900</v>
      </c>
      <c r="X5" s="20" t="b">
        <v>0</v>
      </c>
    </row>
    <row r="6" spans="1:24">
      <c r="A6" s="15">
        <v>4</v>
      </c>
      <c r="B6" s="16">
        <f ca="1">IFERROR(__xludf.DUMMYFUNCTION("""COMPUTED_VALUE"""),2628)</f>
        <v>2628</v>
      </c>
      <c r="C6" s="16" t="str">
        <f ca="1">IFERROR(__xludf.DUMMYFUNCTION("""COMPUTED_VALUE"""),"Vincentius Charles Maynad")</f>
        <v>Vincentius Charles Maynad</v>
      </c>
      <c r="D6" s="16" t="str">
        <f ca="1">IFERROR(__xludf.DUMMYFUNCTION("""COMPUTED_VALUE"""),"07111940000038")</f>
        <v>07111940000038</v>
      </c>
      <c r="E6" s="16" t="str">
        <f ca="1">IFERROR(__xludf.DUMMYFUNCTION("""COMPUTED_VALUE"""),"Departemen Teknik Elektro")</f>
        <v>Departemen Teknik Elektro</v>
      </c>
      <c r="F6" s="16" t="str">
        <f ca="1">IFERROR(__xludf.DUMMYFUNCTION("""COMPUTED_VALUE"""),"SISTEM KLASIFIKASI CERDAS DANGEROUS GOODS X-RAY PADA DETEKSI KARGO BERBASIS ALGORITMA YOLO V4 ")</f>
        <v xml:space="preserve">SISTEM KLASIFIKASI CERDAS DANGEROUS GOODS X-RAY PADA DETEKSI KARGO BERBASIS ALGORITMA YOLO V4 </v>
      </c>
      <c r="G6" s="16" t="str">
        <f ca="1">IFERROR(__xludf.DUMMYFUNCTION("""COMPUTED_VALUE"""),"Eka Iskandar, S.T., M.T.")</f>
        <v>Eka Iskandar, S.T., M.T.</v>
      </c>
      <c r="H6" s="16" t="str">
        <f ca="1">IFERROR(__xludf.DUMMYFUNCTION("""COMPUTED_VALUE"""),"Prof. Dr. Dra Fahimah Martak, M.Si")</f>
        <v>Prof. Dr. Dra Fahimah Martak, M.Si</v>
      </c>
      <c r="I6" s="16" t="str">
        <f ca="1">IFERROR(__xludf.DUMMYFUNCTION("""COMPUTED_VALUE"""),"Arif Fadlan, S.Si., M.Si., D.Sc")</f>
        <v>Arif Fadlan, S.Si., M.Si., D.Sc</v>
      </c>
      <c r="J6" s="16"/>
      <c r="K6" s="27" t="s">
        <v>895</v>
      </c>
      <c r="L6" s="23" t="s">
        <v>901</v>
      </c>
      <c r="M6" s="19" t="b">
        <v>1</v>
      </c>
      <c r="N6" s="19" t="b">
        <v>1</v>
      </c>
      <c r="O6" s="1" t="s">
        <v>897</v>
      </c>
      <c r="P6" s="7" t="str">
        <f ca="1">IFERROR(__xludf.DUMMYFUNCTION("iferror(vlookup(B6,importrange(""https://docs.google.com/spreadsheets/d/1boHyJQ4e2FU0QG8MHwEi6qjX4hvZWVCHcFfXjq7bbMc/edit?resourcekey#gid=923248883"",""Prop!$C$1:$M""),11,0),IFERROR(vlookup(B6,importrange(""https://docs.google.com/spreadsheets/d/1boHyJQ4e"&amp;"2FU0QG8MHwEi6qjX4hvZWVCHcFfXjq7bbMc/edit?resourcekey#gid=923248883"",""Prop!$N$1:$X""),11,0),iferror(vlookup(B6,importrange(""https://docs.google.com/spreadsheets/d/1boHyJQ4e2FU0QG8MHwEi6qjX4hvZWVCHcFfXjq7bbMc/edit?resourcekey#gid=923248883"",""Prop!$Y$1:"&amp;"$AI""),11,0),iferror(vlookup(B6,importrange(""https://docs.google.com/spreadsheets/d/1boHyJQ4e2FU0QG8MHwEi6qjX4hvZWVCHcFfXjq7bbMc/edit?resourcekey#gid=923248883"",""Prop!$AJ$1:$AT""),11,0),iferror(vlookup(B6,importrange(""https://docs.google.com/spreadshe"&amp;"ets/d/1boHyJQ4e2FU0QG8MHwEi6qjX4hvZWVCHcFfXjq7bbMc/edit?resourcekey#gid=923248883"",""Prop!$AU$1:$BE""),11,0),iferror(vlookup(B6,importrange(""https://docs.google.com/spreadsheets/d/1boHyJQ4e2FU0QG8MHwEi6qjX4hvZWVCHcFfXjq7bbMc/edit?resourcekey#gid=9232488"&amp;"83"",""Prop!$BF$1:$BP""),11,0),iferror(vlookup(B6,importrange(""https://docs.google.com/spreadsheets/d/1boHyJQ4e2FU0QG8MHwEi6qjX4hvZWVCHcFfXjq7bbMc/edit?resourcekey#gid=923248883"",""Prop!$BQ$1:$CA""),11,0),iferror(vlookup(B6,importrange(""https://docs.go"&amp;"ogle.com/spreadsheets/d/1boHyJQ4e2FU0QG8MHwEi6qjX4hvZWVCHcFfXjq7bbMc/edit?resourcekey#gid=923248883"",""Prop!$CB$1:$CL""),11,0),iferror(vlookup(B6,importrange(""https://docs.google.com/spreadsheets/d/1boHyJQ4e2FU0QG8MHwEi6qjX4hvZWVCHcFfXjq7bbMc/edit?resou"&amp;"rcekey#gid=923248883"",""Prop!$CM$1:$CX""),11,0),iferror(vlookup(B6,importrange(""https://docs.google.com/spreadsheets/d/1boHyJQ4e2FU0QG8MHwEi6qjX4hvZWVCHcFfXjq7bbMc/edit?resourcekey#gid=923248883"",""Prop!$CY$1:$DI""),11,0)))))))))))"),"https://drive.google.com/open?id=1AIJy8zVzfN3BHTK8kvRufDi3bn1sabBh")</f>
        <v>https://drive.google.com/open?id=1AIJy8zVzfN3BHTK8kvRufDi3bn1sabBh</v>
      </c>
      <c r="Q6" s="7" t="str">
        <f ca="1">IFERROR(__xludf.DUMMYFUNCTION("iferror(vlookup(B6,importrange(""https://docs.google.com/spreadsheets/d/1p53T2AuvvIqhP7Nf-bo3Uhj8cbKYRPpZdsrBv3x3bAQ/edit?resourcekey#gid=1321652304"",""Prop!$C$1:$M""),11,0),IFERROR(vlookup(B6,importrange(""https://docs.google.com/spreadsheets/d/1p53T2Au"&amp;"vvIqhP7Nf-bo3Uhj8cbKYRPpZdsrBv3x3bAQ/edit?resourcekey#gid=1321652304"",""Prop!$N$1:$X""),11,0),iferror(vlookup(B6,importrange(""https://docs.google.com/spreadsheets/d/1p53T2AuvvIqhP7Nf-bo3Uhj8cbKYRPpZdsrBv3x3bAQ/edit?resourcekey#gid=1321652304"",""Prop!$Y"&amp;"$1:$AI""),11,0),iferror(vlookup(B6,importrange(""https://docs.google.com/spreadsheets/d/1p53T2AuvvIqhP7Nf-bo3Uhj8cbKYRPpZdsrBv3x3bAQ/edit?resourcekey#gid=1321652304"",""Prop!$AJ$1:$AT""),11,0),iferror(vlookup(B6,importrange(""https://docs.google.com/sprea"&amp;"dsheets/d/1p53T2AuvvIqhP7Nf-bo3Uhj8cbKYRPpZdsrBv3x3bAQ/edit?resourcekey#gid=1321652304"",""Prop!$AU$1:$BE""),11,0),iferror(vlookup(B6,importrange(""https://docs.google.com/spreadsheets/d/1p53T2AuvvIqhP7Nf-bo3Uhj8cbKYRPpZdsrBv3x3bAQ/edit?resourcekey#gid=13"&amp;"21652304"",""Prop!$BF$1:$BP""),11,0),iferror(vlookup(B6,importrange(""https://docs.google.com/spreadsheets/d/1p53T2AuvvIqhP7Nf-bo3Uhj8cbKYRPpZdsrBv3x3bAQ/edit?resourcekey#gid=1321652304"",""Prop!$BQ$1:$CA""),11,0),iferror(vlookup(B6,importrange(""https://"&amp;"docs.google.com/spreadsheets/d/1p53T2AuvvIqhP7Nf-bo3Uhj8cbKYRPpZdsrBv3x3bAQ/edit?resourcekey#gid=1321652304"",""Prop!$CB$1:$CL""),11,0),iferror(vlookup(B6,importrange(""https://docs.google.com/spreadsheets/d/1p53T2AuvvIqhP7Nf-bo3Uhj8cbKYRPpZdsrBv3x3bAQ/ed"&amp;"it?resourcekey#gid=1321652304"",""Prop!$CM$1:$CX""),11,0),iferror(vlookup(B6,importrange(""https://docs.google.com/spreadsheets/d/1p53T2AuvvIqhP7Nf-bo3Uhj8cbKYRPpZdsrBv3x3bAQ/edit?resourcekey#gid=1321652304"",""Prop!$CY$1:$DI""),11,0)))))))))))"),"https://drive.google.com/open?id=1KzVc8EI5TFFVL9Y_SDf7w6eQRueVereD")</f>
        <v>https://drive.google.com/open?id=1KzVc8EI5TFFVL9Y_SDf7w6eQRueVereD</v>
      </c>
      <c r="R6" s="20" t="s">
        <v>898</v>
      </c>
      <c r="S6" s="20" t="str">
        <f ca="1">IFERROR(__xludf.DUMMYFUNCTION("IFERROR(vlookup(B6,IMPORTRANGE(""https://docs.google.com/spreadsheets/d/1g_jfYYK_KeipEDNDUgqgrsxK94XiocfNQIcP-v1QVhI/edit?resourcekey#gid=233272945"",""Nilai!B:CT""),12,0),"" "")"),"lihat pdf")</f>
        <v>lihat pdf</v>
      </c>
      <c r="T6" s="20" t="str">
        <f ca="1">IFERROR(__xludf.DUMMYFUNCTION("IFERROR(vlookup(B6,IMPORTRANGE(""https://docs.google.com/spreadsheets/d/1g_jfYYK_KeipEDNDUgqgrsxK94XiocfNQIcP-v1QVhI/edit?resourcekey#gid=233272945"",""Nilai!B:CT""),97,0),"" "")"),"LAYAK UPLOAD KE SIMBELMAWA DENGAN REVISI")</f>
        <v>LAYAK UPLOAD KE SIMBELMAWA DENGAN REVISI</v>
      </c>
      <c r="U6" s="29" t="s">
        <v>660</v>
      </c>
      <c r="V6" s="30" t="s">
        <v>899</v>
      </c>
      <c r="W6" s="28" t="s">
        <v>902</v>
      </c>
      <c r="X6" s="20" t="b">
        <v>0</v>
      </c>
    </row>
    <row r="7" spans="1:24">
      <c r="A7" s="15">
        <v>5</v>
      </c>
      <c r="B7" s="16">
        <f ca="1">IFERROR(__xludf.DUMMYFUNCTION("""COMPUTED_VALUE"""),3641)</f>
        <v>3641</v>
      </c>
      <c r="C7" s="16" t="str">
        <f ca="1">IFERROR(__xludf.DUMMYFUNCTION("""COMPUTED_VALUE"""),"AFRIZAL RIKO ALFARIZI")</f>
        <v>AFRIZAL RIKO ALFARIZI</v>
      </c>
      <c r="D7" s="16" t="str">
        <f ca="1">IFERROR(__xludf.DUMMYFUNCTION("""COMPUTED_VALUE"""),"5011201149")</f>
        <v>5011201149</v>
      </c>
      <c r="E7" s="16" t="str">
        <f ca="1">IFERROR(__xludf.DUMMYFUNCTION("""COMPUTED_VALUE"""),"Departemen Teknik Material dan Metalurgi")</f>
        <v>Departemen Teknik Material dan Metalurgi</v>
      </c>
      <c r="F7" s="16" t="str">
        <f ca="1">IFERROR(__xludf.DUMMYFUNCTION("""COMPUTED_VALUE"""),"PENINGKATAN NILAI KALOR PEMBAKARAN BIOGAS DARI PALM OIL 
MILL EFFLUENT DENGAN TEKNOLOGI MIXED MATRIX MEMBRANE
PSF/KOMPOSIT KARBON ZIF-8")</f>
        <v>PENINGKATAN NILAI KALOR PEMBAKARAN BIOGAS DARI PALM OIL 
MILL EFFLUENT DENGAN TEKNOLOGI MIXED MATRIX MEMBRANE
PSF/KOMPOSIT KARBON ZIF-8</v>
      </c>
      <c r="G7" s="16" t="str">
        <f ca="1">IFERROR(__xludf.DUMMYFUNCTION("""COMPUTED_VALUE"""),"Dr. Triyanda Gunawan, S.Si.")</f>
        <v>Dr. Triyanda Gunawan, S.Si.</v>
      </c>
      <c r="H7" s="16" t="str">
        <f ca="1">IFERROR(__xludf.DUMMYFUNCTION("""COMPUTED_VALUE"""),"Prof. Dr. Dra Fahimah Martak, M.Si")</f>
        <v>Prof. Dr. Dra Fahimah Martak, M.Si</v>
      </c>
      <c r="I7" s="16" t="str">
        <f ca="1">IFERROR(__xludf.DUMMYFUNCTION("""COMPUTED_VALUE"""),"Arif Fadlan, S.Si., M.Si., D.Sc")</f>
        <v>Arif Fadlan, S.Si., M.Si., D.Sc</v>
      </c>
      <c r="J7" s="16"/>
      <c r="K7" s="27" t="s">
        <v>895</v>
      </c>
      <c r="L7" s="23" t="s">
        <v>901</v>
      </c>
      <c r="M7" s="19" t="b">
        <v>1</v>
      </c>
      <c r="N7" s="19" t="b">
        <v>1</v>
      </c>
      <c r="O7" s="1" t="s">
        <v>903</v>
      </c>
      <c r="P7" s="7" t="str">
        <f ca="1">IFERROR(__xludf.DUMMYFUNCTION("iferror(vlookup(B7,importrange(""https://docs.google.com/spreadsheets/d/1boHyJQ4e2FU0QG8MHwEi6qjX4hvZWVCHcFfXjq7bbMc/edit?resourcekey#gid=923248883"",""Prop!$C$1:$M""),11,0),IFERROR(vlookup(B7,importrange(""https://docs.google.com/spreadsheets/d/1boHyJQ4e"&amp;"2FU0QG8MHwEi6qjX4hvZWVCHcFfXjq7bbMc/edit?resourcekey#gid=923248883"",""Prop!$N$1:$X""),11,0),iferror(vlookup(B7,importrange(""https://docs.google.com/spreadsheets/d/1boHyJQ4e2FU0QG8MHwEi6qjX4hvZWVCHcFfXjq7bbMc/edit?resourcekey#gid=923248883"",""Prop!$Y$1:"&amp;"$AI""),11,0),iferror(vlookup(B7,importrange(""https://docs.google.com/spreadsheets/d/1boHyJQ4e2FU0QG8MHwEi6qjX4hvZWVCHcFfXjq7bbMc/edit?resourcekey#gid=923248883"",""Prop!$AJ$1:$AT""),11,0),iferror(vlookup(B7,importrange(""https://docs.google.com/spreadshe"&amp;"ets/d/1boHyJQ4e2FU0QG8MHwEi6qjX4hvZWVCHcFfXjq7bbMc/edit?resourcekey#gid=923248883"",""Prop!$AU$1:$BE""),11,0),iferror(vlookup(B7,importrange(""https://docs.google.com/spreadsheets/d/1boHyJQ4e2FU0QG8MHwEi6qjX4hvZWVCHcFfXjq7bbMc/edit?resourcekey#gid=9232488"&amp;"83"",""Prop!$BF$1:$BP""),11,0),iferror(vlookup(B7,importrange(""https://docs.google.com/spreadsheets/d/1boHyJQ4e2FU0QG8MHwEi6qjX4hvZWVCHcFfXjq7bbMc/edit?resourcekey#gid=923248883"",""Prop!$BQ$1:$CA""),11,0),iferror(vlookup(B7,importrange(""https://docs.go"&amp;"ogle.com/spreadsheets/d/1boHyJQ4e2FU0QG8MHwEi6qjX4hvZWVCHcFfXjq7bbMc/edit?resourcekey#gid=923248883"",""Prop!$CB$1:$CL""),11,0),iferror(vlookup(B7,importrange(""https://docs.google.com/spreadsheets/d/1boHyJQ4e2FU0QG8MHwEi6qjX4hvZWVCHcFfXjq7bbMc/edit?resou"&amp;"rcekey#gid=923248883"",""Prop!$CM$1:$CX""),11,0),iferror(vlookup(B7,importrange(""https://docs.google.com/spreadsheets/d/1boHyJQ4e2FU0QG8MHwEi6qjX4hvZWVCHcFfXjq7bbMc/edit?resourcekey#gid=923248883"",""Prop!$CY$1:$DI""),11,0)))))))))))"),"https://drive.google.com/open?id=1-QUhKbHy2XS4gl7zBfB1AYGjijm7NR_y")</f>
        <v>https://drive.google.com/open?id=1-QUhKbHy2XS4gl7zBfB1AYGjijm7NR_y</v>
      </c>
      <c r="Q7" s="7" t="str">
        <f ca="1">IFERROR(__xludf.DUMMYFUNCTION("iferror(vlookup(B7,importrange(""https://docs.google.com/spreadsheets/d/1p53T2AuvvIqhP7Nf-bo3Uhj8cbKYRPpZdsrBv3x3bAQ/edit?resourcekey#gid=1321652304"",""Prop!$C$1:$M""),11,0),IFERROR(vlookup(B7,importrange(""https://docs.google.com/spreadsheets/d/1p53T2Au"&amp;"vvIqhP7Nf-bo3Uhj8cbKYRPpZdsrBv3x3bAQ/edit?resourcekey#gid=1321652304"",""Prop!$N$1:$X""),11,0),iferror(vlookup(B7,importrange(""https://docs.google.com/spreadsheets/d/1p53T2AuvvIqhP7Nf-bo3Uhj8cbKYRPpZdsrBv3x3bAQ/edit?resourcekey#gid=1321652304"",""Prop!$Y"&amp;"$1:$AI""),11,0),iferror(vlookup(B7,importrange(""https://docs.google.com/spreadsheets/d/1p53T2AuvvIqhP7Nf-bo3Uhj8cbKYRPpZdsrBv3x3bAQ/edit?resourcekey#gid=1321652304"",""Prop!$AJ$1:$AT""),11,0),iferror(vlookup(B7,importrange(""https://docs.google.com/sprea"&amp;"dsheets/d/1p53T2AuvvIqhP7Nf-bo3Uhj8cbKYRPpZdsrBv3x3bAQ/edit?resourcekey#gid=1321652304"",""Prop!$AU$1:$BE""),11,0),iferror(vlookup(B7,importrange(""https://docs.google.com/spreadsheets/d/1p53T2AuvvIqhP7Nf-bo3Uhj8cbKYRPpZdsrBv3x3bAQ/edit?resourcekey#gid=13"&amp;"21652304"",""Prop!$BF$1:$BP""),11,0),iferror(vlookup(B7,importrange(""https://docs.google.com/spreadsheets/d/1p53T2AuvvIqhP7Nf-bo3Uhj8cbKYRPpZdsrBv3x3bAQ/edit?resourcekey#gid=1321652304"",""Prop!$BQ$1:$CA""),11,0),iferror(vlookup(B7,importrange(""https://"&amp;"docs.google.com/spreadsheets/d/1p53T2AuvvIqhP7Nf-bo3Uhj8cbKYRPpZdsrBv3x3bAQ/edit?resourcekey#gid=1321652304"",""Prop!$CB$1:$CL""),11,0),iferror(vlookup(B7,importrange(""https://docs.google.com/spreadsheets/d/1p53T2AuvvIqhP7Nf-bo3Uhj8cbKYRPpZdsrBv3x3bAQ/ed"&amp;"it?resourcekey#gid=1321652304"",""Prop!$CM$1:$CX""),11,0),iferror(vlookup(B7,importrange(""https://docs.google.com/spreadsheets/d/1p53T2AuvvIqhP7Nf-bo3Uhj8cbKYRPpZdsrBv3x3bAQ/edit?resourcekey#gid=1321652304"",""Prop!$CY$1:$DI""),11,0)))))))))))"),"https://drive.google.com/open?id=1jI507Vcdu6eA0RFmJ0arCDX9Ncp48Ouz")</f>
        <v>https://drive.google.com/open?id=1jI507Vcdu6eA0RFmJ0arCDX9Ncp48Ouz</v>
      </c>
      <c r="R7" s="20" t="s">
        <v>898</v>
      </c>
      <c r="S7" s="20" t="str">
        <f ca="1">IFERROR(__xludf.DUMMYFUNCTION("IFERROR(vlookup(B7,IMPORTRANGE(""https://docs.google.com/spreadsheets/d/1g_jfYYK_KeipEDNDUgqgrsxK94XiocfNQIcP-v1QVhI/edit?resourcekey#gid=233272945"",""Nilai!B:CT""),12,0),"" "")"),"lihat pdf")</f>
        <v>lihat pdf</v>
      </c>
      <c r="T7" s="20" t="str">
        <f ca="1">IFERROR(__xludf.DUMMYFUNCTION("IFERROR(vlookup(B7,IMPORTRANGE(""https://docs.google.com/spreadsheets/d/1g_jfYYK_KeipEDNDUgqgrsxK94XiocfNQIcP-v1QVhI/edit?resourcekey#gid=233272945"",""Nilai!B:CT""),97,0),"" "")"),"LAYAK UPLOAD KE SIMBELMAWA DENGAN REVISI")</f>
        <v>LAYAK UPLOAD KE SIMBELMAWA DENGAN REVISI</v>
      </c>
      <c r="U7" s="29" t="s">
        <v>660</v>
      </c>
      <c r="V7" s="30" t="s">
        <v>899</v>
      </c>
      <c r="W7" s="28" t="s">
        <v>902</v>
      </c>
      <c r="X7" s="20" t="b">
        <v>1</v>
      </c>
    </row>
    <row r="8" spans="1:24">
      <c r="A8" s="15">
        <v>6</v>
      </c>
      <c r="B8" s="16">
        <f ca="1">IFERROR(__xludf.DUMMYFUNCTION("""COMPUTED_VALUE"""),3131)</f>
        <v>3131</v>
      </c>
      <c r="C8" s="16" t="str">
        <f ca="1">IFERROR(__xludf.DUMMYFUNCTION("""COMPUTED_VALUE"""),"IKHSAN NURADI")</f>
        <v>IKHSAN NURADI</v>
      </c>
      <c r="D8" s="16" t="str">
        <f ca="1">IFERROR(__xludf.DUMMYFUNCTION("""COMPUTED_VALUE"""),"5016201007")</f>
        <v>5016201007</v>
      </c>
      <c r="E8" s="16" t="str">
        <f ca="1">IFERROR(__xludf.DUMMYFUNCTION("""COMPUTED_VALUE"""),"Departemen Teknik Geomatika")</f>
        <v>Departemen Teknik Geomatika</v>
      </c>
      <c r="F8" s="16" t="str">
        <f ca="1">IFERROR(__xludf.DUMMYFUNCTION("""COMPUTED_VALUE"""),"Optimalisasi Fungsi Lahan Pertanian dan Perkebunan Menggunakan Pemetaan Klasifikasi Jenis Tanah Berbasis WebGIS Studi Kasus Daerah Kabupaten Ngawi 
")</f>
        <v xml:space="preserve">Optimalisasi Fungsi Lahan Pertanian dan Perkebunan Menggunakan Pemetaan Klasifikasi Jenis Tanah Berbasis WebGIS Studi Kasus Daerah Kabupaten Ngawi 
</v>
      </c>
      <c r="G8" s="16" t="str">
        <f ca="1">IFERROR(__xludf.DUMMYFUNCTION("""COMPUTED_VALUE"""),"Mohammad Rohmaneo Darminto, S.T., M.Sc.")</f>
        <v>Mohammad Rohmaneo Darminto, S.T., M.Sc.</v>
      </c>
      <c r="H8" s="16" t="str">
        <f ca="1">IFERROR(__xludf.DUMMYFUNCTION("""COMPUTED_VALUE"""),"Prof. Dr. Dra Fahimah Martak, M.Si")</f>
        <v>Prof. Dr. Dra Fahimah Martak, M.Si</v>
      </c>
      <c r="I8" s="16" t="str">
        <f ca="1">IFERROR(__xludf.DUMMYFUNCTION("""COMPUTED_VALUE"""),"Ulil 'Azmi, S.Si., M.Si.")</f>
        <v>Ulil 'Azmi, S.Si., M.Si.</v>
      </c>
      <c r="J8" s="16"/>
      <c r="K8" s="27" t="s">
        <v>904</v>
      </c>
      <c r="L8" s="23" t="s">
        <v>901</v>
      </c>
      <c r="M8" s="19" t="b">
        <v>1</v>
      </c>
      <c r="N8" s="19" t="b">
        <v>1</v>
      </c>
      <c r="O8" s="1" t="s">
        <v>903</v>
      </c>
      <c r="P8" s="7" t="str">
        <f ca="1">IFERROR(__xludf.DUMMYFUNCTION("iferror(vlookup(B8,importrange(""https://docs.google.com/spreadsheets/d/1boHyJQ4e2FU0QG8MHwEi6qjX4hvZWVCHcFfXjq7bbMc/edit?resourcekey#gid=923248883"",""Prop!$C$1:$M""),11,0),IFERROR(vlookup(B8,importrange(""https://docs.google.com/spreadsheets/d/1boHyJQ4e"&amp;"2FU0QG8MHwEi6qjX4hvZWVCHcFfXjq7bbMc/edit?resourcekey#gid=923248883"",""Prop!$N$1:$X""),11,0),iferror(vlookup(B8,importrange(""https://docs.google.com/spreadsheets/d/1boHyJQ4e2FU0QG8MHwEi6qjX4hvZWVCHcFfXjq7bbMc/edit?resourcekey#gid=923248883"",""Prop!$Y$1:"&amp;"$AI""),11,0),iferror(vlookup(B8,importrange(""https://docs.google.com/spreadsheets/d/1boHyJQ4e2FU0QG8MHwEi6qjX4hvZWVCHcFfXjq7bbMc/edit?resourcekey#gid=923248883"",""Prop!$AJ$1:$AT""),11,0),iferror(vlookup(B8,importrange(""https://docs.google.com/spreadshe"&amp;"ets/d/1boHyJQ4e2FU0QG8MHwEi6qjX4hvZWVCHcFfXjq7bbMc/edit?resourcekey#gid=923248883"",""Prop!$AU$1:$BE""),11,0),iferror(vlookup(B8,importrange(""https://docs.google.com/spreadsheets/d/1boHyJQ4e2FU0QG8MHwEi6qjX4hvZWVCHcFfXjq7bbMc/edit?resourcekey#gid=9232488"&amp;"83"",""Prop!$BF$1:$BP""),11,0),iferror(vlookup(B8,importrange(""https://docs.google.com/spreadsheets/d/1boHyJQ4e2FU0QG8MHwEi6qjX4hvZWVCHcFfXjq7bbMc/edit?resourcekey#gid=923248883"",""Prop!$BQ$1:$CA""),11,0),iferror(vlookup(B8,importrange(""https://docs.go"&amp;"ogle.com/spreadsheets/d/1boHyJQ4e2FU0QG8MHwEi6qjX4hvZWVCHcFfXjq7bbMc/edit?resourcekey#gid=923248883"",""Prop!$CB$1:$CL""),11,0),iferror(vlookup(B8,importrange(""https://docs.google.com/spreadsheets/d/1boHyJQ4e2FU0QG8MHwEi6qjX4hvZWVCHcFfXjq7bbMc/edit?resou"&amp;"rcekey#gid=923248883"",""Prop!$CM$1:$CX""),11,0),iferror(vlookup(B8,importrange(""https://docs.google.com/spreadsheets/d/1boHyJQ4e2FU0QG8MHwEi6qjX4hvZWVCHcFfXjq7bbMc/edit?resourcekey#gid=923248883"",""Prop!$CY$1:$DI""),11,0)))))))))))"),"https://drive.google.com/open?id=10BeOCS4e3fGIHDeUTooAsMEY8aPlGypX")</f>
        <v>https://drive.google.com/open?id=10BeOCS4e3fGIHDeUTooAsMEY8aPlGypX</v>
      </c>
      <c r="Q8" s="7" t="str">
        <f ca="1">IFERROR(__xludf.DUMMYFUNCTION("iferror(vlookup(B8,importrange(""https://docs.google.com/spreadsheets/d/1p53T2AuvvIqhP7Nf-bo3Uhj8cbKYRPpZdsrBv3x3bAQ/edit?resourcekey#gid=1321652304"",""Prop!$C$1:$M""),11,0),IFERROR(vlookup(B8,importrange(""https://docs.google.com/spreadsheets/d/1p53T2Au"&amp;"vvIqhP7Nf-bo3Uhj8cbKYRPpZdsrBv3x3bAQ/edit?resourcekey#gid=1321652304"",""Prop!$N$1:$X""),11,0),iferror(vlookup(B8,importrange(""https://docs.google.com/spreadsheets/d/1p53T2AuvvIqhP7Nf-bo3Uhj8cbKYRPpZdsrBv3x3bAQ/edit?resourcekey#gid=1321652304"",""Prop!$Y"&amp;"$1:$AI""),11,0),iferror(vlookup(B8,importrange(""https://docs.google.com/spreadsheets/d/1p53T2AuvvIqhP7Nf-bo3Uhj8cbKYRPpZdsrBv3x3bAQ/edit?resourcekey#gid=1321652304"",""Prop!$AJ$1:$AT""),11,0),iferror(vlookup(B8,importrange(""https://docs.google.com/sprea"&amp;"dsheets/d/1p53T2AuvvIqhP7Nf-bo3Uhj8cbKYRPpZdsrBv3x3bAQ/edit?resourcekey#gid=1321652304"",""Prop!$AU$1:$BE""),11,0),iferror(vlookup(B8,importrange(""https://docs.google.com/spreadsheets/d/1p53T2AuvvIqhP7Nf-bo3Uhj8cbKYRPpZdsrBv3x3bAQ/edit?resourcekey#gid=13"&amp;"21652304"",""Prop!$BF$1:$BP""),11,0),iferror(vlookup(B8,importrange(""https://docs.google.com/spreadsheets/d/1p53T2AuvvIqhP7Nf-bo3Uhj8cbKYRPpZdsrBv3x3bAQ/edit?resourcekey#gid=1321652304"",""Prop!$BQ$1:$CA""),11,0),iferror(vlookup(B8,importrange(""https://"&amp;"docs.google.com/spreadsheets/d/1p53T2AuvvIqhP7Nf-bo3Uhj8cbKYRPpZdsrBv3x3bAQ/edit?resourcekey#gid=1321652304"",""Prop!$CB$1:$CL""),11,0),iferror(vlookup(B8,importrange(""https://docs.google.com/spreadsheets/d/1p53T2AuvvIqhP7Nf-bo3Uhj8cbKYRPpZdsrBv3x3bAQ/ed"&amp;"it?resourcekey#gid=1321652304"",""Prop!$CM$1:$CX""),11,0),iferror(vlookup(B8,importrange(""https://docs.google.com/spreadsheets/d/1p53T2AuvvIqhP7Nf-bo3Uhj8cbKYRPpZdsrBv3x3bAQ/edit?resourcekey#gid=1321652304"",""Prop!$CY$1:$DI""),11,0)))))))))))"),"https://drive.google.com/open?id=1pODGAcUUGR15Wub8BW0fseQnfT_JYftm")</f>
        <v>https://drive.google.com/open?id=1pODGAcUUGR15Wub8BW0fseQnfT_JYftm</v>
      </c>
      <c r="R8" s="20" t="s">
        <v>898</v>
      </c>
      <c r="S8" s="20" t="str">
        <f ca="1">IFERROR(__xludf.DUMMYFUNCTION("IFERROR(vlookup(B8,IMPORTRANGE(""https://docs.google.com/spreadsheets/d/1g_jfYYK_KeipEDNDUgqgrsxK94XiocfNQIcP-v1QVhI/edit?resourcekey#gid=233272945"",""Nilai!B:CT""),12,0),"" "")"),"lihat pdf")</f>
        <v>lihat pdf</v>
      </c>
      <c r="T8" s="20" t="str">
        <f ca="1">IFERROR(__xludf.DUMMYFUNCTION("IFERROR(vlookup(B8,IMPORTRANGE(""https://docs.google.com/spreadsheets/d/1g_jfYYK_KeipEDNDUgqgrsxK94XiocfNQIcP-v1QVhI/edit?resourcekey#gid=233272945"",""Nilai!B:CT""),97,0),"" "")"),"LAYAK UPLOAD KE SIMBELMAWA DENGAN REVISI")</f>
        <v>LAYAK UPLOAD KE SIMBELMAWA DENGAN REVISI</v>
      </c>
      <c r="U8" s="29" t="s">
        <v>660</v>
      </c>
      <c r="V8" s="30" t="s">
        <v>899</v>
      </c>
      <c r="W8" s="28" t="s">
        <v>902</v>
      </c>
      <c r="X8" s="20" t="b">
        <v>0</v>
      </c>
    </row>
    <row r="9" spans="1:24">
      <c r="A9" s="15">
        <v>7</v>
      </c>
      <c r="B9" s="16">
        <f ca="1">IFERROR(__xludf.DUMMYFUNCTION("""COMPUTED_VALUE"""),2130)</f>
        <v>2130</v>
      </c>
      <c r="C9" s="16" t="str">
        <f ca="1">IFERROR(__xludf.DUMMYFUNCTION("""COMPUTED_VALUE"""),"CHECELLYA MAITRIANI")</f>
        <v>CHECELLYA MAITRIANI</v>
      </c>
      <c r="D9" s="16" t="str">
        <f ca="1">IFERROR(__xludf.DUMMYFUNCTION("""COMPUTED_VALUE"""),"06311940000044")</f>
        <v>06311940000044</v>
      </c>
      <c r="E9" s="16" t="str">
        <f ca="1">IFERROR(__xludf.DUMMYFUNCTION("""COMPUTED_VALUE"""),"Departemen Aktuaria")</f>
        <v>Departemen Aktuaria</v>
      </c>
      <c r="F9" s="16" t="str">
        <f ca="1">IFERROR(__xludf.DUMMYFUNCTION("""COMPUTED_VALUE"""),"Penerapan Artificial Neural Network dalam Prediksi Financial Distress pada Rasio Profitabilitas Saham LQ45 menggunakan K Means Clustering
")</f>
        <v xml:space="preserve">Penerapan Artificial Neural Network dalam Prediksi Financial Distress pada Rasio Profitabilitas Saham LQ45 menggunakan K Means Clustering
</v>
      </c>
      <c r="G9" s="16" t="str">
        <f ca="1">IFERROR(__xludf.DUMMYFUNCTION("""COMPUTED_VALUE"""),"Imam Safawi Ahmad, S.Si., M.Si.")</f>
        <v>Imam Safawi Ahmad, S.Si., M.Si.</v>
      </c>
      <c r="H9" s="16" t="str">
        <f ca="1">IFERROR(__xludf.DUMMYFUNCTION("""COMPUTED_VALUE"""),"Prof. Dr. Dra Fahimah Martak, M.Si")</f>
        <v>Prof. Dr. Dra Fahimah Martak, M.Si</v>
      </c>
      <c r="I9" s="16" t="str">
        <f ca="1">IFERROR(__xludf.DUMMYFUNCTION("""COMPUTED_VALUE"""),"Arif Fadlan, S.Si., M.Si., D.Sc")</f>
        <v>Arif Fadlan, S.Si., M.Si., D.Sc</v>
      </c>
      <c r="J9" s="16"/>
      <c r="K9" s="27" t="s">
        <v>904</v>
      </c>
      <c r="L9" s="23" t="s">
        <v>901</v>
      </c>
      <c r="M9" s="19" t="b">
        <v>1</v>
      </c>
      <c r="N9" s="19" t="b">
        <v>1</v>
      </c>
      <c r="O9" s="1" t="s">
        <v>903</v>
      </c>
      <c r="P9" s="7" t="str">
        <f ca="1">IFERROR(__xludf.DUMMYFUNCTION("iferror(vlookup(B9,importrange(""https://docs.google.com/spreadsheets/d/1boHyJQ4e2FU0QG8MHwEi6qjX4hvZWVCHcFfXjq7bbMc/edit?resourcekey#gid=923248883"",""Prop!$C$1:$M""),11,0),IFERROR(vlookup(B9,importrange(""https://docs.google.com/spreadsheets/d/1boHyJQ4e"&amp;"2FU0QG8MHwEi6qjX4hvZWVCHcFfXjq7bbMc/edit?resourcekey#gid=923248883"",""Prop!$N$1:$X""),11,0),iferror(vlookup(B9,importrange(""https://docs.google.com/spreadsheets/d/1boHyJQ4e2FU0QG8MHwEi6qjX4hvZWVCHcFfXjq7bbMc/edit?resourcekey#gid=923248883"",""Prop!$Y$1:"&amp;"$AI""),11,0),iferror(vlookup(B9,importrange(""https://docs.google.com/spreadsheets/d/1boHyJQ4e2FU0QG8MHwEi6qjX4hvZWVCHcFfXjq7bbMc/edit?resourcekey#gid=923248883"",""Prop!$AJ$1:$AT""),11,0),iferror(vlookup(B9,importrange(""https://docs.google.com/spreadshe"&amp;"ets/d/1boHyJQ4e2FU0QG8MHwEi6qjX4hvZWVCHcFfXjq7bbMc/edit?resourcekey#gid=923248883"",""Prop!$AU$1:$BE""),11,0),iferror(vlookup(B9,importrange(""https://docs.google.com/spreadsheets/d/1boHyJQ4e2FU0QG8MHwEi6qjX4hvZWVCHcFfXjq7bbMc/edit?resourcekey#gid=9232488"&amp;"83"",""Prop!$BF$1:$BP""),11,0),iferror(vlookup(B9,importrange(""https://docs.google.com/spreadsheets/d/1boHyJQ4e2FU0QG8MHwEi6qjX4hvZWVCHcFfXjq7bbMc/edit?resourcekey#gid=923248883"",""Prop!$BQ$1:$CA""),11,0),iferror(vlookup(B9,importrange(""https://docs.go"&amp;"ogle.com/spreadsheets/d/1boHyJQ4e2FU0QG8MHwEi6qjX4hvZWVCHcFfXjq7bbMc/edit?resourcekey#gid=923248883"",""Prop!$CB$1:$CL""),11,0),iferror(vlookup(B9,importrange(""https://docs.google.com/spreadsheets/d/1boHyJQ4e2FU0QG8MHwEi6qjX4hvZWVCHcFfXjq7bbMc/edit?resou"&amp;"rcekey#gid=923248883"",""Prop!$CM$1:$CX""),11,0),iferror(vlookup(B9,importrange(""https://docs.google.com/spreadsheets/d/1boHyJQ4e2FU0QG8MHwEi6qjX4hvZWVCHcFfXjq7bbMc/edit?resourcekey#gid=923248883"",""Prop!$CY$1:$DI""),11,0)))))))))))"),"https://drive.google.com/open?id=1JNzXXdnCYAJLCp6Kuf-uNqz9I-Ipoqe2")</f>
        <v>https://drive.google.com/open?id=1JNzXXdnCYAJLCp6Kuf-uNqz9I-Ipoqe2</v>
      </c>
      <c r="Q9" s="7" t="str">
        <f ca="1">IFERROR(__xludf.DUMMYFUNCTION("iferror(vlookup(B9,importrange(""https://docs.google.com/spreadsheets/d/1p53T2AuvvIqhP7Nf-bo3Uhj8cbKYRPpZdsrBv3x3bAQ/edit?resourcekey#gid=1321652304"",""Prop!$C$1:$M""),11,0),IFERROR(vlookup(B9,importrange(""https://docs.google.com/spreadsheets/d/1p53T2Au"&amp;"vvIqhP7Nf-bo3Uhj8cbKYRPpZdsrBv3x3bAQ/edit?resourcekey#gid=1321652304"",""Prop!$N$1:$X""),11,0),iferror(vlookup(B9,importrange(""https://docs.google.com/spreadsheets/d/1p53T2AuvvIqhP7Nf-bo3Uhj8cbKYRPpZdsrBv3x3bAQ/edit?resourcekey#gid=1321652304"",""Prop!$Y"&amp;"$1:$AI""),11,0),iferror(vlookup(B9,importrange(""https://docs.google.com/spreadsheets/d/1p53T2AuvvIqhP7Nf-bo3Uhj8cbKYRPpZdsrBv3x3bAQ/edit?resourcekey#gid=1321652304"",""Prop!$AJ$1:$AT""),11,0),iferror(vlookup(B9,importrange(""https://docs.google.com/sprea"&amp;"dsheets/d/1p53T2AuvvIqhP7Nf-bo3Uhj8cbKYRPpZdsrBv3x3bAQ/edit?resourcekey#gid=1321652304"",""Prop!$AU$1:$BE""),11,0),iferror(vlookup(B9,importrange(""https://docs.google.com/spreadsheets/d/1p53T2AuvvIqhP7Nf-bo3Uhj8cbKYRPpZdsrBv3x3bAQ/edit?resourcekey#gid=13"&amp;"21652304"",""Prop!$BF$1:$BP""),11,0),iferror(vlookup(B9,importrange(""https://docs.google.com/spreadsheets/d/1p53T2AuvvIqhP7Nf-bo3Uhj8cbKYRPpZdsrBv3x3bAQ/edit?resourcekey#gid=1321652304"",""Prop!$BQ$1:$CA""),11,0),iferror(vlookup(B9,importrange(""https://"&amp;"docs.google.com/spreadsheets/d/1p53T2AuvvIqhP7Nf-bo3Uhj8cbKYRPpZdsrBv3x3bAQ/edit?resourcekey#gid=1321652304"",""Prop!$CB$1:$CL""),11,0),iferror(vlookup(B9,importrange(""https://docs.google.com/spreadsheets/d/1p53T2AuvvIqhP7Nf-bo3Uhj8cbKYRPpZdsrBv3x3bAQ/ed"&amp;"it?resourcekey#gid=1321652304"",""Prop!$CM$1:$CX""),11,0),iferror(vlookup(B9,importrange(""https://docs.google.com/spreadsheets/d/1p53T2AuvvIqhP7Nf-bo3Uhj8cbKYRPpZdsrBv3x3bAQ/edit?resourcekey#gid=1321652304"",""Prop!$CY$1:$DI""),11,0)))))))))))"),"https://drive.google.com/open?id=1cx-E2yZrrDzuapLFooRqVS8pw3zoi-lh")</f>
        <v>https://drive.google.com/open?id=1cx-E2yZrrDzuapLFooRqVS8pw3zoi-lh</v>
      </c>
      <c r="R9" s="20" t="s">
        <v>898</v>
      </c>
      <c r="S9" s="20" t="str">
        <f ca="1">IFERROR(__xludf.DUMMYFUNCTION("IFERROR(vlookup(B9,IMPORTRANGE(""https://docs.google.com/spreadsheets/d/1g_jfYYK_KeipEDNDUgqgrsxK94XiocfNQIcP-v1QVhI/edit?resourcekey#gid=233272945"",""Nilai!B:CT""),12,0),"" "")"),"data sekunder dan tidak jelas sumber kegiatannya")</f>
        <v>data sekunder dan tidak jelas sumber kegiatannya</v>
      </c>
      <c r="T9" s="20" t="str">
        <f ca="1">IFERROR(__xludf.DUMMYFUNCTION("IFERROR(vlookup(B9,IMPORTRANGE(""https://docs.google.com/spreadsheets/d/1g_jfYYK_KeipEDNDUgqgrsxK94XiocfNQIcP-v1QVhI/edit?resourcekey#gid=233272945"",""Nilai!B:CT""),97,0),"" "")"),"TIDAK LAYAK UPLOAD KE SIMBELMAWA")</f>
        <v>TIDAK LAYAK UPLOAD KE SIMBELMAWA</v>
      </c>
      <c r="U9" s="29" t="s">
        <v>660</v>
      </c>
      <c r="V9" s="30" t="s">
        <v>899</v>
      </c>
      <c r="W9" s="28" t="s">
        <v>905</v>
      </c>
      <c r="X9" s="20" t="b">
        <v>1</v>
      </c>
    </row>
    <row r="10" spans="1:24">
      <c r="A10" s="15">
        <v>8</v>
      </c>
      <c r="B10" s="16">
        <f ca="1">IFERROR(__xludf.DUMMYFUNCTION("""COMPUTED_VALUE"""),4122)</f>
        <v>4122</v>
      </c>
      <c r="C10" s="16" t="str">
        <f ca="1">IFERROR(__xludf.DUMMYFUNCTION("""COMPUTED_VALUE"""),"YULFI ARISTA")</f>
        <v>YULFI ARISTA</v>
      </c>
      <c r="D10" s="16" t="str">
        <f ca="1">IFERROR(__xludf.DUMMYFUNCTION("""COMPUTED_VALUE"""),"10311910000056")</f>
        <v>10311910000056</v>
      </c>
      <c r="E10" s="16" t="str">
        <f ca="1">IFERROR(__xludf.DUMMYFUNCTION("""COMPUTED_VALUE"""),"Departemen Teknik Elektro Otomasi")</f>
        <v>Departemen Teknik Elektro Otomasi</v>
      </c>
      <c r="F10" s="16" t="str">
        <f ca="1">IFERROR(__xludf.DUMMYFUNCTION("""COMPUTED_VALUE"""),"Pelatihan Digital Marketing Dalam Program Kramat Millenial Project Guna Menumbuhkan Jiwa Sociopreneur Kelompok Ibu PKK Desa Kramat, Pulau Mengare")</f>
        <v>Pelatihan Digital Marketing Dalam Program Kramat Millenial Project Guna Menumbuhkan Jiwa Sociopreneur Kelompok Ibu PKK Desa Kramat, Pulau Mengare</v>
      </c>
      <c r="G10" s="16" t="str">
        <f ca="1">IFERROR(__xludf.DUMMYFUNCTION("""COMPUTED_VALUE"""),"Dr. Awik Puji Dyah Nurhayati, S.Si., M.Si.")</f>
        <v>Dr. Awik Puji Dyah Nurhayati, S.Si., M.Si.</v>
      </c>
      <c r="H10" s="16" t="str">
        <f ca="1">IFERROR(__xludf.DUMMYFUNCTION("""COMPUTED_VALUE"""),"Prof. Dr. Dra Fahimah Martak, M.Si")</f>
        <v>Prof. Dr. Dra Fahimah Martak, M.Si</v>
      </c>
      <c r="I10" s="16" t="str">
        <f ca="1">IFERROR(__xludf.DUMMYFUNCTION("""COMPUTED_VALUE"""),"Ulil 'Azmi, S.Si., M.Si.")</f>
        <v>Ulil 'Azmi, S.Si., M.Si.</v>
      </c>
      <c r="J10" s="16"/>
      <c r="K10" s="27" t="s">
        <v>904</v>
      </c>
      <c r="L10" s="23" t="s">
        <v>901</v>
      </c>
      <c r="M10" s="19" t="b">
        <v>0</v>
      </c>
      <c r="N10" s="19" t="b">
        <v>0</v>
      </c>
      <c r="O10" s="1" t="s">
        <v>903</v>
      </c>
      <c r="P10" s="7" t="str">
        <f ca="1">IFERROR(__xludf.DUMMYFUNCTION("iferror(vlookup(B10,importrange(""https://docs.google.com/spreadsheets/d/1boHyJQ4e2FU0QG8MHwEi6qjX4hvZWVCHcFfXjq7bbMc/edit?resourcekey#gid=923248883"",""Prop!$C$1:$M""),11,0),IFERROR(vlookup(B10,importrange(""https://docs.google.com/spreadsheets/d/1boHyJQ"&amp;"4e2FU0QG8MHwEi6qjX4hvZWVCHcFfXjq7bbMc/edit?resourcekey#gid=923248883"",""Prop!$N$1:$X""),11,0),iferror(vlookup(B10,importrange(""https://docs.google.com/spreadsheets/d/1boHyJQ4e2FU0QG8MHwEi6qjX4hvZWVCHcFfXjq7bbMc/edit?resourcekey#gid=923248883"",""Prop!$Y"&amp;"$1:$AI""),11,0),iferror(vlookup(B10,importrange(""https://docs.google.com/spreadsheets/d/1boHyJQ4e2FU0QG8MHwEi6qjX4hvZWVCHcFfXjq7bbMc/edit?resourcekey#gid=923248883"",""Prop!$AJ$1:$AT""),11,0),iferror(vlookup(B10,importrange(""https://docs.google.com/spre"&amp;"adsheets/d/1boHyJQ4e2FU0QG8MHwEi6qjX4hvZWVCHcFfXjq7bbMc/edit?resourcekey#gid=923248883"",""Prop!$AU$1:$BE""),11,0),iferror(vlookup(B10,importrange(""https://docs.google.com/spreadsheets/d/1boHyJQ4e2FU0QG8MHwEi6qjX4hvZWVCHcFfXjq7bbMc/edit?resourcekey#gid=9"&amp;"23248883"",""Prop!$BF$1:$BP""),11,0),iferror(vlookup(B10,importrange(""https://docs.google.com/spreadsheets/d/1boHyJQ4e2FU0QG8MHwEi6qjX4hvZWVCHcFfXjq7bbMc/edit?resourcekey#gid=923248883"",""Prop!$BQ$1:$CA""),11,0),iferror(vlookup(B10,importrange(""https:/"&amp;"/docs.google.com/spreadsheets/d/1boHyJQ4e2FU0QG8MHwEi6qjX4hvZWVCHcFfXjq7bbMc/edit?resourcekey#gid=923248883"",""Prop!$CB$1:$CL""),11,0),iferror(vlookup(B10,importrange(""https://docs.google.com/spreadsheets/d/1boHyJQ4e2FU0QG8MHwEi6qjX4hvZWVCHcFfXjq7bbMc/e"&amp;"dit?resourcekey#gid=923248883"",""Prop!$CM$1:$CX""),11,0),iferror(vlookup(B10,importrange(""https://docs.google.com/spreadsheets/d/1boHyJQ4e2FU0QG8MHwEi6qjX4hvZWVCHcFfXjq7bbMc/edit?resourcekey#gid=923248883"",""Prop!$CY$1:$DI""),11,0)))))))))))"),"https://drive.google.com/open?id=1_2f0SOE24ZA4o3uYscWdFf5gMyejJWKN")</f>
        <v>https://drive.google.com/open?id=1_2f0SOE24ZA4o3uYscWdFf5gMyejJWKN</v>
      </c>
      <c r="Q10" s="7" t="str">
        <f ca="1">IFERROR(__xludf.DUMMYFUNCTION("iferror(vlookup(B10,importrange(""https://docs.google.com/spreadsheets/d/1p53T2AuvvIqhP7Nf-bo3Uhj8cbKYRPpZdsrBv3x3bAQ/edit?resourcekey#gid=1321652304"",""Prop!$C$1:$M""),11,0),IFERROR(vlookup(B10,importrange(""https://docs.google.com/spreadsheets/d/1p53T2"&amp;"AuvvIqhP7Nf-bo3Uhj8cbKYRPpZdsrBv3x3bAQ/edit?resourcekey#gid=1321652304"",""Prop!$N$1:$X""),11,0),iferror(vlookup(B10,importrange(""https://docs.google.com/spreadsheets/d/1p53T2AuvvIqhP7Nf-bo3Uhj8cbKYRPpZdsrBv3x3bAQ/edit?resourcekey#gid=1321652304"",""Prop"&amp;"!$Y$1:$AI""),11,0),iferror(vlookup(B10,importrange(""https://docs.google.com/spreadsheets/d/1p53T2AuvvIqhP7Nf-bo3Uhj8cbKYRPpZdsrBv3x3bAQ/edit?resourcekey#gid=1321652304"",""Prop!$AJ$1:$AT""),11,0),iferror(vlookup(B10,importrange(""https://docs.google.com/"&amp;"spreadsheets/d/1p53T2AuvvIqhP7Nf-bo3Uhj8cbKYRPpZdsrBv3x3bAQ/edit?resourcekey#gid=1321652304"",""Prop!$AU$1:$BE""),11,0),iferror(vlookup(B10,importrange(""https://docs.google.com/spreadsheets/d/1p53T2AuvvIqhP7Nf-bo3Uhj8cbKYRPpZdsrBv3x3bAQ/edit?resourcekey#"&amp;"gid=1321652304"",""Prop!$BF$1:$BP""),11,0),iferror(vlookup(B10,importrange(""https://docs.google.com/spreadsheets/d/1p53T2AuvvIqhP7Nf-bo3Uhj8cbKYRPpZdsrBv3x3bAQ/edit?resourcekey#gid=1321652304"",""Prop!$BQ$1:$CA""),11,0),iferror(vlookup(B10,importrange("""&amp;"https://docs.google.com/spreadsheets/d/1p53T2AuvvIqhP7Nf-bo3Uhj8cbKYRPpZdsrBv3x3bAQ/edit?resourcekey#gid=1321652304"",""Prop!$CB$1:$CL""),11,0),iferror(vlookup(B10,importrange(""https://docs.google.com/spreadsheets/d/1p53T2AuvvIqhP7Nf-bo3Uhj8cbKYRPpZdsrBv"&amp;"3x3bAQ/edit?resourcekey#gid=1321652304"",""Prop!$CM$1:$CX""),11,0),iferror(vlookup(B10,importrange(""https://docs.google.com/spreadsheets/d/1p53T2AuvvIqhP7Nf-bo3Uhj8cbKYRPpZdsrBv3x3bAQ/edit?resourcekey#gid=1321652304"",""Prop!$CY$1:$DI""),11,0)))))))))))"),"https://drive.google.com/open?id=13sqLyLghiSL1jhtPdokvS2SN_i0It0Zl")</f>
        <v>https://drive.google.com/open?id=13sqLyLghiSL1jhtPdokvS2SN_i0It0Zl</v>
      </c>
      <c r="R10" s="20" t="s">
        <v>898</v>
      </c>
      <c r="S10" s="20" t="str">
        <f ca="1">IFERROR(__xludf.DUMMYFUNCTION("IFERROR(vlookup(B10,IMPORTRANGE(""https://docs.google.com/spreadsheets/d/1g_jfYYK_KeipEDNDUgqgrsxK94XiocfNQIcP-v1QVhI/edit?resourcekey#gid=233272945"",""Nilai!B:CT""),12,0),"" "")"),"lihat pdf")</f>
        <v>lihat pdf</v>
      </c>
      <c r="T10" s="20" t="str">
        <f ca="1">IFERROR(__xludf.DUMMYFUNCTION("IFERROR(vlookup(B10,IMPORTRANGE(""https://docs.google.com/spreadsheets/d/1g_jfYYK_KeipEDNDUgqgrsxK94XiocfNQIcP-v1QVhI/edit?resourcekey#gid=233272945"",""Nilai!B:CT""),97,0),"" "")"),"LAYAK UPLOAD KE SIMBELMAWA DENGAN REVISI")</f>
        <v>LAYAK UPLOAD KE SIMBELMAWA DENGAN REVISI</v>
      </c>
      <c r="U10" s="29" t="s">
        <v>660</v>
      </c>
      <c r="V10" s="30" t="s">
        <v>899</v>
      </c>
      <c r="W10" s="28" t="s">
        <v>905</v>
      </c>
      <c r="X10" s="20" t="b">
        <v>0</v>
      </c>
    </row>
    <row r="11" spans="1:24">
      <c r="A11" s="15">
        <v>9</v>
      </c>
      <c r="B11" s="16">
        <f ca="1">IFERROR(__xludf.DUMMYFUNCTION("""COMPUTED_VALUE"""),2145)</f>
        <v>2145</v>
      </c>
      <c r="C11" s="16" t="str">
        <f ca="1">IFERROR(__xludf.DUMMYFUNCTION("""COMPUTED_VALUE"""),"NICHOLLAS VIANINO")</f>
        <v>NICHOLLAS VIANINO</v>
      </c>
      <c r="D11" s="16" t="str">
        <f ca="1">IFERROR(__xludf.DUMMYFUNCTION("""COMPUTED_VALUE"""),"02111940000091")</f>
        <v>02111940000091</v>
      </c>
      <c r="E11" s="16" t="str">
        <f ca="1">IFERROR(__xludf.DUMMYFUNCTION("""COMPUTED_VALUE"""),"Departemen Teknik Mesin")</f>
        <v>Departemen Teknik Mesin</v>
      </c>
      <c r="F11" s="16" t="str">
        <f ca="1">IFERROR(__xludf.DUMMYFUNCTION("""COMPUTED_VALUE"""),"Optimasi Topologi Knuckle Pada Mobil Listrik Anargya EV Mark 2.0 Menggunakan
Software Solid Edge
")</f>
        <v xml:space="preserve">Optimasi Topologi Knuckle Pada Mobil Listrik Anargya EV Mark 2.0 Menggunakan
Software Solid Edge
</v>
      </c>
      <c r="G11" s="16" t="str">
        <f ca="1">IFERROR(__xludf.DUMMYFUNCTION("""COMPUTED_VALUE"""),"Alief Wikarta, ST., MSc.Eng. Ph.D")</f>
        <v>Alief Wikarta, ST., MSc.Eng. Ph.D</v>
      </c>
      <c r="H11" s="16" t="str">
        <f ca="1">IFERROR(__xludf.DUMMYFUNCTION("""COMPUTED_VALUE"""),"Prof. Dr. Dra Fahimah Martak, M.Si")</f>
        <v>Prof. Dr. Dra Fahimah Martak, M.Si</v>
      </c>
      <c r="I11" s="16" t="str">
        <f ca="1">IFERROR(__xludf.DUMMYFUNCTION("""COMPUTED_VALUE"""),"Ulil 'Azmi, S.Si., M.Si.")</f>
        <v>Ulil 'Azmi, S.Si., M.Si.</v>
      </c>
      <c r="J11" s="16"/>
      <c r="K11" s="27" t="s">
        <v>904</v>
      </c>
      <c r="L11" s="23" t="s">
        <v>906</v>
      </c>
      <c r="M11" s="19" t="b">
        <v>1</v>
      </c>
      <c r="N11" s="19" t="b">
        <v>1</v>
      </c>
      <c r="O11" s="1" t="s">
        <v>903</v>
      </c>
      <c r="P11" s="7" t="str">
        <f ca="1">IFERROR(__xludf.DUMMYFUNCTION("iferror(vlookup(B11,importrange(""https://docs.google.com/spreadsheets/d/1boHyJQ4e2FU0QG8MHwEi6qjX4hvZWVCHcFfXjq7bbMc/edit?resourcekey#gid=923248883"",""Prop!$C$1:$M""),11,0),IFERROR(vlookup(B11,importrange(""https://docs.google.com/spreadsheets/d/1boHyJQ"&amp;"4e2FU0QG8MHwEi6qjX4hvZWVCHcFfXjq7bbMc/edit?resourcekey#gid=923248883"",""Prop!$N$1:$X""),11,0),iferror(vlookup(B11,importrange(""https://docs.google.com/spreadsheets/d/1boHyJQ4e2FU0QG8MHwEi6qjX4hvZWVCHcFfXjq7bbMc/edit?resourcekey#gid=923248883"",""Prop!$Y"&amp;"$1:$AI""),11,0),iferror(vlookup(B11,importrange(""https://docs.google.com/spreadsheets/d/1boHyJQ4e2FU0QG8MHwEi6qjX4hvZWVCHcFfXjq7bbMc/edit?resourcekey#gid=923248883"",""Prop!$AJ$1:$AT""),11,0),iferror(vlookup(B11,importrange(""https://docs.google.com/spre"&amp;"adsheets/d/1boHyJQ4e2FU0QG8MHwEi6qjX4hvZWVCHcFfXjq7bbMc/edit?resourcekey#gid=923248883"",""Prop!$AU$1:$BE""),11,0),iferror(vlookup(B11,importrange(""https://docs.google.com/spreadsheets/d/1boHyJQ4e2FU0QG8MHwEi6qjX4hvZWVCHcFfXjq7bbMc/edit?resourcekey#gid=9"&amp;"23248883"",""Prop!$BF$1:$BP""),11,0),iferror(vlookup(B11,importrange(""https://docs.google.com/spreadsheets/d/1boHyJQ4e2FU0QG8MHwEi6qjX4hvZWVCHcFfXjq7bbMc/edit?resourcekey#gid=923248883"",""Prop!$BQ$1:$CA""),11,0),iferror(vlookup(B11,importrange(""https:/"&amp;"/docs.google.com/spreadsheets/d/1boHyJQ4e2FU0QG8MHwEi6qjX4hvZWVCHcFfXjq7bbMc/edit?resourcekey#gid=923248883"",""Prop!$CB$1:$CL""),11,0),iferror(vlookup(B11,importrange(""https://docs.google.com/spreadsheets/d/1boHyJQ4e2FU0QG8MHwEi6qjX4hvZWVCHcFfXjq7bbMc/e"&amp;"dit?resourcekey#gid=923248883"",""Prop!$CM$1:$CX""),11,0),iferror(vlookup(B11,importrange(""https://docs.google.com/spreadsheets/d/1boHyJQ4e2FU0QG8MHwEi6qjX4hvZWVCHcFfXjq7bbMc/edit?resourcekey#gid=923248883"",""Prop!$CY$1:$DI""),11,0)))))))))))"),"https://drive.google.com/open?id=1vGCzLA5RWRHXAo2Y9OiydF5_A2rD5azm")</f>
        <v>https://drive.google.com/open?id=1vGCzLA5RWRHXAo2Y9OiydF5_A2rD5azm</v>
      </c>
      <c r="Q11" s="7" t="str">
        <f ca="1">IFERROR(__xludf.DUMMYFUNCTION("iferror(vlookup(B11,importrange(""https://docs.google.com/spreadsheets/d/1p53T2AuvvIqhP7Nf-bo3Uhj8cbKYRPpZdsrBv3x3bAQ/edit?resourcekey#gid=1321652304"",""Prop!$C$1:$M""),11,0),IFERROR(vlookup(B11,importrange(""https://docs.google.com/spreadsheets/d/1p53T2"&amp;"AuvvIqhP7Nf-bo3Uhj8cbKYRPpZdsrBv3x3bAQ/edit?resourcekey#gid=1321652304"",""Prop!$N$1:$X""),11,0),iferror(vlookup(B11,importrange(""https://docs.google.com/spreadsheets/d/1p53T2AuvvIqhP7Nf-bo3Uhj8cbKYRPpZdsrBv3x3bAQ/edit?resourcekey#gid=1321652304"",""Prop"&amp;"!$Y$1:$AI""),11,0),iferror(vlookup(B11,importrange(""https://docs.google.com/spreadsheets/d/1p53T2AuvvIqhP7Nf-bo3Uhj8cbKYRPpZdsrBv3x3bAQ/edit?resourcekey#gid=1321652304"",""Prop!$AJ$1:$AT""),11,0),iferror(vlookup(B11,importrange(""https://docs.google.com/"&amp;"spreadsheets/d/1p53T2AuvvIqhP7Nf-bo3Uhj8cbKYRPpZdsrBv3x3bAQ/edit?resourcekey#gid=1321652304"",""Prop!$AU$1:$BE""),11,0),iferror(vlookup(B11,importrange(""https://docs.google.com/spreadsheets/d/1p53T2AuvvIqhP7Nf-bo3Uhj8cbKYRPpZdsrBv3x3bAQ/edit?resourcekey#"&amp;"gid=1321652304"",""Prop!$BF$1:$BP""),11,0),iferror(vlookup(B11,importrange(""https://docs.google.com/spreadsheets/d/1p53T2AuvvIqhP7Nf-bo3Uhj8cbKYRPpZdsrBv3x3bAQ/edit?resourcekey#gid=1321652304"",""Prop!$BQ$1:$CA""),11,0),iferror(vlookup(B11,importrange("""&amp;"https://docs.google.com/spreadsheets/d/1p53T2AuvvIqhP7Nf-bo3Uhj8cbKYRPpZdsrBv3x3bAQ/edit?resourcekey#gid=1321652304"",""Prop!$CB$1:$CL""),11,0),iferror(vlookup(B11,importrange(""https://docs.google.com/spreadsheets/d/1p53T2AuvvIqhP7Nf-bo3Uhj8cbKYRPpZdsrBv"&amp;"3x3bAQ/edit?resourcekey#gid=1321652304"",""Prop!$CM$1:$CX""),11,0),iferror(vlookup(B11,importrange(""https://docs.google.com/spreadsheets/d/1p53T2AuvvIqhP7Nf-bo3Uhj8cbKYRPpZdsrBv3x3bAQ/edit?resourcekey#gid=1321652304"",""Prop!$CY$1:$DI""),11,0)))))))))))"),"https://drive.google.com/open?id=17UaXT9ZLA8XPfqyngECCoH2_B05Vm1XX")</f>
        <v>https://drive.google.com/open?id=17UaXT9ZLA8XPfqyngECCoH2_B05Vm1XX</v>
      </c>
      <c r="R11" s="20" t="s">
        <v>898</v>
      </c>
      <c r="S11" s="20" t="str">
        <f ca="1">IFERROR(__xludf.DUMMYFUNCTION("IFERROR(vlookup(B11,IMPORTRANGE(""https://docs.google.com/spreadsheets/d/1g_jfYYK_KeipEDNDUgqgrsxK94XiocfNQIcP-v1QVhI/edit?resourcekey#gid=233272945"",""Nilai!B:CT""),12,0),"" "")"),"lihat pdf")</f>
        <v>lihat pdf</v>
      </c>
      <c r="T11" s="20" t="str">
        <f ca="1">IFERROR(__xludf.DUMMYFUNCTION("IFERROR(vlookup(B11,IMPORTRANGE(""https://docs.google.com/spreadsheets/d/1g_jfYYK_KeipEDNDUgqgrsxK94XiocfNQIcP-v1QVhI/edit?resourcekey#gid=233272945"",""Nilai!B:CT""),97,0),"" "")"),"LAYAK UPLOAD KE SIMBELMAWA DENGAN REVISI")</f>
        <v>LAYAK UPLOAD KE SIMBELMAWA DENGAN REVISI</v>
      </c>
      <c r="U11" s="29" t="s">
        <v>660</v>
      </c>
      <c r="V11" s="30" t="s">
        <v>899</v>
      </c>
      <c r="W11" s="28" t="s">
        <v>905</v>
      </c>
      <c r="X11" s="20" t="b">
        <v>0</v>
      </c>
    </row>
    <row r="12" spans="1:24">
      <c r="A12" s="15">
        <v>10</v>
      </c>
      <c r="B12" s="16">
        <f ca="1">IFERROR(__xludf.DUMMYFUNCTION("""COMPUTED_VALUE"""),2599)</f>
        <v>2599</v>
      </c>
      <c r="C12" s="16" t="str">
        <f ca="1">IFERROR(__xludf.DUMMYFUNCTION("""COMPUTED_VALUE"""),"M. ZULFI HUDA AL-HAQ")</f>
        <v>M. ZULFI HUDA AL-HAQ</v>
      </c>
      <c r="D12" s="16" t="str">
        <f ca="1">IFERROR(__xludf.DUMMYFUNCTION("""COMPUTED_VALUE"""),"2040211031")</f>
        <v>2040211031</v>
      </c>
      <c r="E12" s="16" t="str">
        <f ca="1">IFERROR(__xludf.DUMMYFUNCTION("""COMPUTED_VALUE"""),"Departemen Teknik Elektro Otomasi")</f>
        <v>Departemen Teknik Elektro Otomasi</v>
      </c>
      <c r="F12" s="16" t="str">
        <f ca="1">IFERROR(__xludf.DUMMYFUNCTION("""COMPUTED_VALUE"""),"Desain dan Analisis Shutdown Circuit dengan Relay Sebagai Safety System pada Mobil Listrik Formula Student
")</f>
        <v xml:space="preserve">Desain dan Analisis Shutdown Circuit dengan Relay Sebagai Safety System pada Mobil Listrik Formula Student
</v>
      </c>
      <c r="G12" s="16" t="str">
        <f ca="1">IFERROR(__xludf.DUMMYFUNCTION("""COMPUTED_VALUE"""),"Alief Wikarta, ST., MSc.Eng. Ph.D")</f>
        <v>Alief Wikarta, ST., MSc.Eng. Ph.D</v>
      </c>
      <c r="H12" s="16" t="str">
        <f ca="1">IFERROR(__xludf.DUMMYFUNCTION("""COMPUTED_VALUE"""),"Prof. Dr. Dra Fahimah Martak, M.Si")</f>
        <v>Prof. Dr. Dra Fahimah Martak, M.Si</v>
      </c>
      <c r="I12" s="16" t="str">
        <f ca="1">IFERROR(__xludf.DUMMYFUNCTION("""COMPUTED_VALUE"""),"Arif Fadlan, S.Si., M.Si., D.Sc")</f>
        <v>Arif Fadlan, S.Si., M.Si., D.Sc</v>
      </c>
      <c r="J12" s="16"/>
      <c r="K12" s="27" t="s">
        <v>904</v>
      </c>
      <c r="L12" s="23" t="s">
        <v>906</v>
      </c>
      <c r="M12" s="19" t="b">
        <v>0</v>
      </c>
      <c r="N12" s="19" t="b">
        <v>0</v>
      </c>
      <c r="O12" s="1" t="s">
        <v>903</v>
      </c>
      <c r="P12" s="7" t="str">
        <f ca="1">IFERROR(__xludf.DUMMYFUNCTION("iferror(vlookup(B12,importrange(""https://docs.google.com/spreadsheets/d/1boHyJQ4e2FU0QG8MHwEi6qjX4hvZWVCHcFfXjq7bbMc/edit?resourcekey#gid=923248883"",""Prop!$C$1:$M""),11,0),IFERROR(vlookup(B12,importrange(""https://docs.google.com/spreadsheets/d/1boHyJQ"&amp;"4e2FU0QG8MHwEi6qjX4hvZWVCHcFfXjq7bbMc/edit?resourcekey#gid=923248883"",""Prop!$N$1:$X""),11,0),iferror(vlookup(B12,importrange(""https://docs.google.com/spreadsheets/d/1boHyJQ4e2FU0QG8MHwEi6qjX4hvZWVCHcFfXjq7bbMc/edit?resourcekey#gid=923248883"",""Prop!$Y"&amp;"$1:$AI""),11,0),iferror(vlookup(B12,importrange(""https://docs.google.com/spreadsheets/d/1boHyJQ4e2FU0QG8MHwEi6qjX4hvZWVCHcFfXjq7bbMc/edit?resourcekey#gid=923248883"",""Prop!$AJ$1:$AT""),11,0),iferror(vlookup(B12,importrange(""https://docs.google.com/spre"&amp;"adsheets/d/1boHyJQ4e2FU0QG8MHwEi6qjX4hvZWVCHcFfXjq7bbMc/edit?resourcekey#gid=923248883"",""Prop!$AU$1:$BE""),11,0),iferror(vlookup(B12,importrange(""https://docs.google.com/spreadsheets/d/1boHyJQ4e2FU0QG8MHwEi6qjX4hvZWVCHcFfXjq7bbMc/edit?resourcekey#gid=9"&amp;"23248883"",""Prop!$BF$1:$BP""),11,0),iferror(vlookup(B12,importrange(""https://docs.google.com/spreadsheets/d/1boHyJQ4e2FU0QG8MHwEi6qjX4hvZWVCHcFfXjq7bbMc/edit?resourcekey#gid=923248883"",""Prop!$BQ$1:$CA""),11,0),iferror(vlookup(B12,importrange(""https:/"&amp;"/docs.google.com/spreadsheets/d/1boHyJQ4e2FU0QG8MHwEi6qjX4hvZWVCHcFfXjq7bbMc/edit?resourcekey#gid=923248883"",""Prop!$CB$1:$CL""),11,0),iferror(vlookup(B12,importrange(""https://docs.google.com/spreadsheets/d/1boHyJQ4e2FU0QG8MHwEi6qjX4hvZWVCHcFfXjq7bbMc/e"&amp;"dit?resourcekey#gid=923248883"",""Prop!$CM$1:$CX""),11,0),iferror(vlookup(B12,importrange(""https://docs.google.com/spreadsheets/d/1boHyJQ4e2FU0QG8MHwEi6qjX4hvZWVCHcFfXjq7bbMc/edit?resourcekey#gid=923248883"",""Prop!$CY$1:$DI""),11,0)))))))))))"),"https://drive.google.com/open?id=1hR9FjGI8drzu1UVsXcMF1GeAI0OHvScq")</f>
        <v>https://drive.google.com/open?id=1hR9FjGI8drzu1UVsXcMF1GeAI0OHvScq</v>
      </c>
      <c r="Q12" s="7" t="str">
        <f ca="1">IFERROR(__xludf.DUMMYFUNCTION("iferror(vlookup(B12,importrange(""https://docs.google.com/spreadsheets/d/1p53T2AuvvIqhP7Nf-bo3Uhj8cbKYRPpZdsrBv3x3bAQ/edit?resourcekey#gid=1321652304"",""Prop!$C$1:$M""),11,0),IFERROR(vlookup(B12,importrange(""https://docs.google.com/spreadsheets/d/1p53T2"&amp;"AuvvIqhP7Nf-bo3Uhj8cbKYRPpZdsrBv3x3bAQ/edit?resourcekey#gid=1321652304"",""Prop!$N$1:$X""),11,0),iferror(vlookup(B12,importrange(""https://docs.google.com/spreadsheets/d/1p53T2AuvvIqhP7Nf-bo3Uhj8cbKYRPpZdsrBv3x3bAQ/edit?resourcekey#gid=1321652304"",""Prop"&amp;"!$Y$1:$AI""),11,0),iferror(vlookup(B12,importrange(""https://docs.google.com/spreadsheets/d/1p53T2AuvvIqhP7Nf-bo3Uhj8cbKYRPpZdsrBv3x3bAQ/edit?resourcekey#gid=1321652304"",""Prop!$AJ$1:$AT""),11,0),iferror(vlookup(B12,importrange(""https://docs.google.com/"&amp;"spreadsheets/d/1p53T2AuvvIqhP7Nf-bo3Uhj8cbKYRPpZdsrBv3x3bAQ/edit?resourcekey#gid=1321652304"",""Prop!$AU$1:$BE""),11,0),iferror(vlookup(B12,importrange(""https://docs.google.com/spreadsheets/d/1p53T2AuvvIqhP7Nf-bo3Uhj8cbKYRPpZdsrBv3x3bAQ/edit?resourcekey#"&amp;"gid=1321652304"",""Prop!$BF$1:$BP""),11,0),iferror(vlookup(B12,importrange(""https://docs.google.com/spreadsheets/d/1p53T2AuvvIqhP7Nf-bo3Uhj8cbKYRPpZdsrBv3x3bAQ/edit?resourcekey#gid=1321652304"",""Prop!$BQ$1:$CA""),11,0),iferror(vlookup(B12,importrange("""&amp;"https://docs.google.com/spreadsheets/d/1p53T2AuvvIqhP7Nf-bo3Uhj8cbKYRPpZdsrBv3x3bAQ/edit?resourcekey#gid=1321652304"",""Prop!$CB$1:$CL""),11,0),iferror(vlookup(B12,importrange(""https://docs.google.com/spreadsheets/d/1p53T2AuvvIqhP7Nf-bo3Uhj8cbKYRPpZdsrBv"&amp;"3x3bAQ/edit?resourcekey#gid=1321652304"",""Prop!$CM$1:$CX""),11,0),iferror(vlookup(B12,importrange(""https://docs.google.com/spreadsheets/d/1p53T2AuvvIqhP7Nf-bo3Uhj8cbKYRPpZdsrBv3x3bAQ/edit?resourcekey#gid=1321652304"",""Prop!$CY$1:$DI""),11,0)))))))))))"),"https://drive.google.com/open?id=1pEIWUu9oWsz2kudrcwXBUxp7n3kCQtVT")</f>
        <v>https://drive.google.com/open?id=1pEIWUu9oWsz2kudrcwXBUxp7n3kCQtVT</v>
      </c>
      <c r="R12" s="20" t="s">
        <v>898</v>
      </c>
      <c r="S12" s="20" t="str">
        <f ca="1">IFERROR(__xludf.DUMMYFUNCTION("IFERROR(vlookup(B12,IMPORTRANGE(""https://docs.google.com/spreadsheets/d/1g_jfYYK_KeipEDNDUgqgrsxK94XiocfNQIcP-v1QVhI/edit?resourcekey#gid=233272945"",""Nilai!B:CT""),12,0),"" "")"),"lihat pdf")</f>
        <v>lihat pdf</v>
      </c>
      <c r="T12" s="20" t="str">
        <f ca="1">IFERROR(__xludf.DUMMYFUNCTION("IFERROR(vlookup(B12,IMPORTRANGE(""https://docs.google.com/spreadsheets/d/1g_jfYYK_KeipEDNDUgqgrsxK94XiocfNQIcP-v1QVhI/edit?resourcekey#gid=233272945"",""Nilai!B:CT""),97,0),"" "")"),"LAYAK UPLOAD KE SIMBELMAWA DENGAN REVISI")</f>
        <v>LAYAK UPLOAD KE SIMBELMAWA DENGAN REVISI</v>
      </c>
      <c r="U12" s="29" t="s">
        <v>660</v>
      </c>
      <c r="V12" s="30" t="s">
        <v>899</v>
      </c>
      <c r="W12" s="28" t="s">
        <v>907</v>
      </c>
      <c r="X12" s="20" t="b">
        <v>0</v>
      </c>
    </row>
    <row r="13" spans="1:24">
      <c r="A13" s="15">
        <v>11</v>
      </c>
      <c r="B13" s="16">
        <f ca="1">IFERROR(__xludf.DUMMYFUNCTION("""COMPUTED_VALUE"""),3820)</f>
        <v>3820</v>
      </c>
      <c r="C13" s="16" t="str">
        <f ca="1">IFERROR(__xludf.DUMMYFUNCTION("""COMPUTED_VALUE"""),"KARINA RAHMALIA")</f>
        <v>KARINA RAHMALIA</v>
      </c>
      <c r="D13" s="16" t="str">
        <f ca="1">IFERROR(__xludf.DUMMYFUNCTION("""COMPUTED_VALUE"""),"5006201077")</f>
        <v>5006201077</v>
      </c>
      <c r="E13" s="16" t="str">
        <f ca="1">IFERROR(__xludf.DUMMYFUNCTION("""COMPUTED_VALUE"""),"Departemen Aktuaria")</f>
        <v>Departemen Aktuaria</v>
      </c>
      <c r="F13" s="16" t="str">
        <f ca="1">IFERROR(__xludf.DUMMYFUNCTION("""COMPUTED_VALUE"""),"PEMODELAN HOLT-WINTER EXPONENTIAL SMOOTHING PADA PENGHITUNGAN RISIKO INVESTASI REKSADANA OBLIGASI MENGGUNAKAN EXPECTED TAIL LOSS (ETL)")</f>
        <v>PEMODELAN HOLT-WINTER EXPONENTIAL SMOOTHING PADA PENGHITUNGAN RISIKO INVESTASI REKSADANA OBLIGASI MENGGUNAKAN EXPECTED TAIL LOSS (ETL)</v>
      </c>
      <c r="G13" s="16" t="str">
        <f ca="1">IFERROR(__xludf.DUMMYFUNCTION("""COMPUTED_VALUE"""),"Dr. Drs. Soehardjoepri, M.Si.")</f>
        <v>Dr. Drs. Soehardjoepri, M.Si.</v>
      </c>
      <c r="H13" s="16" t="str">
        <f ca="1">IFERROR(__xludf.DUMMYFUNCTION("""COMPUTED_VALUE"""),"Prof. Dr. Dra Fahimah Martak, M.Si")</f>
        <v>Prof. Dr. Dra Fahimah Martak, M.Si</v>
      </c>
      <c r="I13" s="16" t="str">
        <f ca="1">IFERROR(__xludf.DUMMYFUNCTION("""COMPUTED_VALUE"""),"Arif Fadlan, S.Si., M.Si., D.Sc")</f>
        <v>Arif Fadlan, S.Si., M.Si., D.Sc</v>
      </c>
      <c r="J13" s="16"/>
      <c r="K13" s="17" t="s">
        <v>908</v>
      </c>
      <c r="L13" s="23" t="s">
        <v>906</v>
      </c>
      <c r="M13" s="19" t="b">
        <v>0</v>
      </c>
      <c r="N13" s="19" t="b">
        <v>0</v>
      </c>
      <c r="O13" s="1" t="s">
        <v>903</v>
      </c>
      <c r="P13" s="7" t="str">
        <f ca="1">IFERROR(__xludf.DUMMYFUNCTION("iferror(vlookup(B13,importrange(""https://docs.google.com/spreadsheets/d/1boHyJQ4e2FU0QG8MHwEi6qjX4hvZWVCHcFfXjq7bbMc/edit?resourcekey#gid=923248883"",""Prop!$C$1:$M""),11,0),IFERROR(vlookup(B13,importrange(""https://docs.google.com/spreadsheets/d/1boHyJQ"&amp;"4e2FU0QG8MHwEi6qjX4hvZWVCHcFfXjq7bbMc/edit?resourcekey#gid=923248883"",""Prop!$N$1:$X""),11,0),iferror(vlookup(B13,importrange(""https://docs.google.com/spreadsheets/d/1boHyJQ4e2FU0QG8MHwEi6qjX4hvZWVCHcFfXjq7bbMc/edit?resourcekey#gid=923248883"",""Prop!$Y"&amp;"$1:$AI""),11,0),iferror(vlookup(B13,importrange(""https://docs.google.com/spreadsheets/d/1boHyJQ4e2FU0QG8MHwEi6qjX4hvZWVCHcFfXjq7bbMc/edit?resourcekey#gid=923248883"",""Prop!$AJ$1:$AT""),11,0),iferror(vlookup(B13,importrange(""https://docs.google.com/spre"&amp;"adsheets/d/1boHyJQ4e2FU0QG8MHwEi6qjX4hvZWVCHcFfXjq7bbMc/edit?resourcekey#gid=923248883"",""Prop!$AU$1:$BE""),11,0),iferror(vlookup(B13,importrange(""https://docs.google.com/spreadsheets/d/1boHyJQ4e2FU0QG8MHwEi6qjX4hvZWVCHcFfXjq7bbMc/edit?resourcekey#gid=9"&amp;"23248883"",""Prop!$BF$1:$BP""),11,0),iferror(vlookup(B13,importrange(""https://docs.google.com/spreadsheets/d/1boHyJQ4e2FU0QG8MHwEi6qjX4hvZWVCHcFfXjq7bbMc/edit?resourcekey#gid=923248883"",""Prop!$BQ$1:$CA""),11,0),iferror(vlookup(B13,importrange(""https:/"&amp;"/docs.google.com/spreadsheets/d/1boHyJQ4e2FU0QG8MHwEi6qjX4hvZWVCHcFfXjq7bbMc/edit?resourcekey#gid=923248883"",""Prop!$CB$1:$CL""),11,0),iferror(vlookup(B13,importrange(""https://docs.google.com/spreadsheets/d/1boHyJQ4e2FU0QG8MHwEi6qjX4hvZWVCHcFfXjq7bbMc/e"&amp;"dit?resourcekey#gid=923248883"",""Prop!$CM$1:$CX""),11,0),iferror(vlookup(B13,importrange(""https://docs.google.com/spreadsheets/d/1boHyJQ4e2FU0QG8MHwEi6qjX4hvZWVCHcFfXjq7bbMc/edit?resourcekey#gid=923248883"",""Prop!$CY$1:$DI""),11,0)))))))))))"),"https://drive.google.com/open?id=1niCfMXfDd3N8NnaVIvuzxmE5dgRyamsW")</f>
        <v>https://drive.google.com/open?id=1niCfMXfDd3N8NnaVIvuzxmE5dgRyamsW</v>
      </c>
      <c r="Q13" s="7" t="str">
        <f ca="1">IFERROR(__xludf.DUMMYFUNCTION("iferror(vlookup(B13,importrange(""https://docs.google.com/spreadsheets/d/1p53T2AuvvIqhP7Nf-bo3Uhj8cbKYRPpZdsrBv3x3bAQ/edit?resourcekey#gid=1321652304"",""Prop!$C$1:$M""),11,0),IFERROR(vlookup(B13,importrange(""https://docs.google.com/spreadsheets/d/1p53T2"&amp;"AuvvIqhP7Nf-bo3Uhj8cbKYRPpZdsrBv3x3bAQ/edit?resourcekey#gid=1321652304"",""Prop!$N$1:$X""),11,0),iferror(vlookup(B13,importrange(""https://docs.google.com/spreadsheets/d/1p53T2AuvvIqhP7Nf-bo3Uhj8cbKYRPpZdsrBv3x3bAQ/edit?resourcekey#gid=1321652304"",""Prop"&amp;"!$Y$1:$AI""),11,0),iferror(vlookup(B13,importrange(""https://docs.google.com/spreadsheets/d/1p53T2AuvvIqhP7Nf-bo3Uhj8cbKYRPpZdsrBv3x3bAQ/edit?resourcekey#gid=1321652304"",""Prop!$AJ$1:$AT""),11,0),iferror(vlookup(B13,importrange(""https://docs.google.com/"&amp;"spreadsheets/d/1p53T2AuvvIqhP7Nf-bo3Uhj8cbKYRPpZdsrBv3x3bAQ/edit?resourcekey#gid=1321652304"",""Prop!$AU$1:$BE""),11,0),iferror(vlookup(B13,importrange(""https://docs.google.com/spreadsheets/d/1p53T2AuvvIqhP7Nf-bo3Uhj8cbKYRPpZdsrBv3x3bAQ/edit?resourcekey#"&amp;"gid=1321652304"",""Prop!$BF$1:$BP""),11,0),iferror(vlookup(B13,importrange(""https://docs.google.com/spreadsheets/d/1p53T2AuvvIqhP7Nf-bo3Uhj8cbKYRPpZdsrBv3x3bAQ/edit?resourcekey#gid=1321652304"",""Prop!$BQ$1:$CA""),11,0),iferror(vlookup(B13,importrange("""&amp;"https://docs.google.com/spreadsheets/d/1p53T2AuvvIqhP7Nf-bo3Uhj8cbKYRPpZdsrBv3x3bAQ/edit?resourcekey#gid=1321652304"",""Prop!$CB$1:$CL""),11,0),iferror(vlookup(B13,importrange(""https://docs.google.com/spreadsheets/d/1p53T2AuvvIqhP7Nf-bo3Uhj8cbKYRPpZdsrBv"&amp;"3x3bAQ/edit?resourcekey#gid=1321652304"",""Prop!$CM$1:$CX""),11,0),iferror(vlookup(B13,importrange(""https://docs.google.com/spreadsheets/d/1p53T2AuvvIqhP7Nf-bo3Uhj8cbKYRPpZdsrBv3x3bAQ/edit?resourcekey#gid=1321652304"",""Prop!$CY$1:$DI""),11,0)))))))))))"),"https://drive.google.com/open?id=1EChVbA0hNNEKSG4Ug4RPN_bC7INp5NNh")</f>
        <v>https://drive.google.com/open?id=1EChVbA0hNNEKSG4Ug4RPN_bC7INp5NNh</v>
      </c>
      <c r="R13" s="20" t="s">
        <v>898</v>
      </c>
      <c r="S13" s="20" t="str">
        <f ca="1">IFERROR(__xludf.DUMMYFUNCTION("IFERROR(vlookup(B13,IMPORTRANGE(""https://docs.google.com/spreadsheets/d/1g_jfYYK_KeipEDNDUgqgrsxK94XiocfNQIcP-v1QVhI/edit?resourcekey#gid=233272945"",""Nilai!B:CT""),12,0),"" "")"),"lihat pdf")</f>
        <v>lihat pdf</v>
      </c>
      <c r="T13" s="20" t="str">
        <f ca="1">IFERROR(__xludf.DUMMYFUNCTION("IFERROR(vlookup(B13,IMPORTRANGE(""https://docs.google.com/spreadsheets/d/1g_jfYYK_KeipEDNDUgqgrsxK94XiocfNQIcP-v1QVhI/edit?resourcekey#gid=233272945"",""Nilai!B:CT""),97,0),"" "")"),"LAYAK UPLOAD KE SIMBELMAWA DENGAN REVISI")</f>
        <v>LAYAK UPLOAD KE SIMBELMAWA DENGAN REVISI</v>
      </c>
      <c r="U13" s="29" t="s">
        <v>660</v>
      </c>
      <c r="V13" s="30" t="s">
        <v>899</v>
      </c>
      <c r="W13" s="28" t="s">
        <v>907</v>
      </c>
      <c r="X13" s="20" t="b">
        <v>0</v>
      </c>
    </row>
    <row r="14" spans="1:24">
      <c r="A14" s="15">
        <v>12</v>
      </c>
      <c r="B14" s="16">
        <f ca="1">IFERROR(__xludf.DUMMYFUNCTION("""COMPUTED_VALUE"""),3132)</f>
        <v>3132</v>
      </c>
      <c r="C14" s="16" t="str">
        <f ca="1">IFERROR(__xludf.DUMMYFUNCTION("""COMPUTED_VALUE"""),"MUHAMMAD NIZAAR MUSYAFFA")</f>
        <v>MUHAMMAD NIZAAR MUSYAFFA</v>
      </c>
      <c r="D14" s="16" t="str">
        <f ca="1">IFERROR(__xludf.DUMMYFUNCTION("""COMPUTED_VALUE"""),"2038201046")</f>
        <v>2038201046</v>
      </c>
      <c r="E14" s="16" t="str">
        <f ca="1">IFERROR(__xludf.DUMMYFUNCTION("""COMPUTED_VALUE"""),"Departemen Teknik Mesin Industri")</f>
        <v>Departemen Teknik Mesin Industri</v>
      </c>
      <c r="F14" s="16" t="str">
        <f ca="1">IFERROR(__xludf.DUMMYFUNCTION("""COMPUTED_VALUE"""),"AUTOMASI HIDROPONIK INDOOR DAN OUTDOOR DENGAN SISTEM COMBINE BESERTA PENAMBAHAN PENCAHAYAAN BERBASIS INTERNET OF THINGS ")</f>
        <v xml:space="preserve">AUTOMASI HIDROPONIK INDOOR DAN OUTDOOR DENGAN SISTEM COMBINE BESERTA PENAMBAHAN PENCAHAYAAN BERBASIS INTERNET OF THINGS </v>
      </c>
      <c r="G14" s="16" t="str">
        <f ca="1">IFERROR(__xludf.DUMMYFUNCTION("""COMPUTED_VALUE"""),"Liza Rusdiyana, S.T., M.T.")</f>
        <v>Liza Rusdiyana, S.T., M.T.</v>
      </c>
      <c r="H14" s="16" t="str">
        <f ca="1">IFERROR(__xludf.DUMMYFUNCTION("""COMPUTED_VALUE"""),"Dian Mughni Fellicia, ST., M.Sc")</f>
        <v>Dian Mughni Fellicia, ST., M.Sc</v>
      </c>
      <c r="I14" s="16" t="str">
        <f ca="1">IFERROR(__xludf.DUMMYFUNCTION("""COMPUTED_VALUE"""),"Ulil 'Azmi, S.Si., M.Si.")</f>
        <v>Ulil 'Azmi, S.Si., M.Si.</v>
      </c>
      <c r="J14" s="16"/>
      <c r="K14" s="17" t="s">
        <v>908</v>
      </c>
      <c r="L14" s="23" t="s">
        <v>906</v>
      </c>
      <c r="M14" s="19" t="b">
        <v>0</v>
      </c>
      <c r="N14" s="19" t="b">
        <v>0</v>
      </c>
      <c r="O14" s="1" t="s">
        <v>903</v>
      </c>
      <c r="P14" s="7" t="str">
        <f ca="1">IFERROR(__xludf.DUMMYFUNCTION("iferror(vlookup(B14,importrange(""https://docs.google.com/spreadsheets/d/1boHyJQ4e2FU0QG8MHwEi6qjX4hvZWVCHcFfXjq7bbMc/edit?resourcekey#gid=923248883"",""Prop!$C$1:$M""),11,0),IFERROR(vlookup(B14,importrange(""https://docs.google.com/spreadsheets/d/1boHyJQ"&amp;"4e2FU0QG8MHwEi6qjX4hvZWVCHcFfXjq7bbMc/edit?resourcekey#gid=923248883"",""Prop!$N$1:$X""),11,0),iferror(vlookup(B14,importrange(""https://docs.google.com/spreadsheets/d/1boHyJQ4e2FU0QG8MHwEi6qjX4hvZWVCHcFfXjq7bbMc/edit?resourcekey#gid=923248883"",""Prop!$Y"&amp;"$1:$AI""),11,0),iferror(vlookup(B14,importrange(""https://docs.google.com/spreadsheets/d/1boHyJQ4e2FU0QG8MHwEi6qjX4hvZWVCHcFfXjq7bbMc/edit?resourcekey#gid=923248883"",""Prop!$AJ$1:$AT""),11,0),iferror(vlookup(B14,importrange(""https://docs.google.com/spre"&amp;"adsheets/d/1boHyJQ4e2FU0QG8MHwEi6qjX4hvZWVCHcFfXjq7bbMc/edit?resourcekey#gid=923248883"",""Prop!$AU$1:$BE""),11,0),iferror(vlookup(B14,importrange(""https://docs.google.com/spreadsheets/d/1boHyJQ4e2FU0QG8MHwEi6qjX4hvZWVCHcFfXjq7bbMc/edit?resourcekey#gid=9"&amp;"23248883"",""Prop!$BF$1:$BP""),11,0),iferror(vlookup(B14,importrange(""https://docs.google.com/spreadsheets/d/1boHyJQ4e2FU0QG8MHwEi6qjX4hvZWVCHcFfXjq7bbMc/edit?resourcekey#gid=923248883"",""Prop!$BQ$1:$CA""),11,0),iferror(vlookup(B14,importrange(""https:/"&amp;"/docs.google.com/spreadsheets/d/1boHyJQ4e2FU0QG8MHwEi6qjX4hvZWVCHcFfXjq7bbMc/edit?resourcekey#gid=923248883"",""Prop!$CB$1:$CL""),11,0),iferror(vlookup(B14,importrange(""https://docs.google.com/spreadsheets/d/1boHyJQ4e2FU0QG8MHwEi6qjX4hvZWVCHcFfXjq7bbMc/e"&amp;"dit?resourcekey#gid=923248883"",""Prop!$CM$1:$CX""),11,0),iferror(vlookup(B14,importrange(""https://docs.google.com/spreadsheets/d/1boHyJQ4e2FU0QG8MHwEi6qjX4hvZWVCHcFfXjq7bbMc/edit?resourcekey#gid=923248883"",""Prop!$CY$1:$DI""),11,0)))))))))))"),"https://drive.google.com/open?id=1njBqEIY924YGvAHIm7zg6ycjkm_YylTB")</f>
        <v>https://drive.google.com/open?id=1njBqEIY924YGvAHIm7zg6ycjkm_YylTB</v>
      </c>
      <c r="Q14" s="7" t="str">
        <f ca="1">IFERROR(__xludf.DUMMYFUNCTION("iferror(vlookup(B14,importrange(""https://docs.google.com/spreadsheets/d/1p53T2AuvvIqhP7Nf-bo3Uhj8cbKYRPpZdsrBv3x3bAQ/edit?resourcekey#gid=1321652304"",""Prop!$C$1:$M""),11,0),IFERROR(vlookup(B14,importrange(""https://docs.google.com/spreadsheets/d/1p53T2"&amp;"AuvvIqhP7Nf-bo3Uhj8cbKYRPpZdsrBv3x3bAQ/edit?resourcekey#gid=1321652304"",""Prop!$N$1:$X""),11,0),iferror(vlookup(B14,importrange(""https://docs.google.com/spreadsheets/d/1p53T2AuvvIqhP7Nf-bo3Uhj8cbKYRPpZdsrBv3x3bAQ/edit?resourcekey#gid=1321652304"",""Prop"&amp;"!$Y$1:$AI""),11,0),iferror(vlookup(B14,importrange(""https://docs.google.com/spreadsheets/d/1p53T2AuvvIqhP7Nf-bo3Uhj8cbKYRPpZdsrBv3x3bAQ/edit?resourcekey#gid=1321652304"",""Prop!$AJ$1:$AT""),11,0),iferror(vlookup(B14,importrange(""https://docs.google.com/"&amp;"spreadsheets/d/1p53T2AuvvIqhP7Nf-bo3Uhj8cbKYRPpZdsrBv3x3bAQ/edit?resourcekey#gid=1321652304"",""Prop!$AU$1:$BE""),11,0),iferror(vlookup(B14,importrange(""https://docs.google.com/spreadsheets/d/1p53T2AuvvIqhP7Nf-bo3Uhj8cbKYRPpZdsrBv3x3bAQ/edit?resourcekey#"&amp;"gid=1321652304"",""Prop!$BF$1:$BP""),11,0),iferror(vlookup(B14,importrange(""https://docs.google.com/spreadsheets/d/1p53T2AuvvIqhP7Nf-bo3Uhj8cbKYRPpZdsrBv3x3bAQ/edit?resourcekey#gid=1321652304"",""Prop!$BQ$1:$CA""),11,0),iferror(vlookup(B14,importrange("""&amp;"https://docs.google.com/spreadsheets/d/1p53T2AuvvIqhP7Nf-bo3Uhj8cbKYRPpZdsrBv3x3bAQ/edit?resourcekey#gid=1321652304"",""Prop!$CB$1:$CL""),11,0),iferror(vlookup(B14,importrange(""https://docs.google.com/spreadsheets/d/1p53T2AuvvIqhP7Nf-bo3Uhj8cbKYRPpZdsrBv"&amp;"3x3bAQ/edit?resourcekey#gid=1321652304"",""Prop!$CM$1:$CX""),11,0),iferror(vlookup(B14,importrange(""https://docs.google.com/spreadsheets/d/1p53T2AuvvIqhP7Nf-bo3Uhj8cbKYRPpZdsrBv3x3bAQ/edit?resourcekey#gid=1321652304"",""Prop!$CY$1:$DI""),11,0)))))))))))"),"https://drive.google.com/open?id=1H5wheC2jA3SShaOgr9BqIUX44AlkDvDF")</f>
        <v>https://drive.google.com/open?id=1H5wheC2jA3SShaOgr9BqIUX44AlkDvDF</v>
      </c>
      <c r="R14" s="20" t="s">
        <v>898</v>
      </c>
      <c r="S14" s="20" t="str">
        <f ca="1">IFERROR(__xludf.DUMMYFUNCTION("IFERROR(vlookup(B14,IMPORTRANGE(""https://docs.google.com/spreadsheets/d/1g_jfYYK_KeipEDNDUgqgrsxK94XiocfNQIcP-v1QVhI/edit?resourcekey#gid=233272945"",""Nilai!B:CT""),12,0),"" "")"),"lihat pdf")</f>
        <v>lihat pdf</v>
      </c>
      <c r="T14" s="20" t="str">
        <f ca="1">IFERROR(__xludf.DUMMYFUNCTION("IFERROR(vlookup(B14,IMPORTRANGE(""https://docs.google.com/spreadsheets/d/1g_jfYYK_KeipEDNDUgqgrsxK94XiocfNQIcP-v1QVhI/edit?resourcekey#gid=233272945"",""Nilai!B:CT""),97,0),"" "")"),"LAYAK UPLOAD KE SIMBELMAWA DENGAN REVISI")</f>
        <v>LAYAK UPLOAD KE SIMBELMAWA DENGAN REVISI</v>
      </c>
      <c r="U14" s="29" t="s">
        <v>660</v>
      </c>
      <c r="V14" s="30" t="s">
        <v>899</v>
      </c>
      <c r="W14" s="28" t="s">
        <v>907</v>
      </c>
      <c r="X14" s="20" t="b">
        <v>0</v>
      </c>
    </row>
    <row r="15" spans="1:24">
      <c r="A15" s="15">
        <v>13</v>
      </c>
      <c r="B15" s="16">
        <f ca="1">IFERROR(__xludf.DUMMYFUNCTION("""COMPUTED_VALUE"""),2033)</f>
        <v>2033</v>
      </c>
      <c r="C15" s="16" t="str">
        <f ca="1">IFERROR(__xludf.DUMMYFUNCTION("""COMPUTED_VALUE"""),"FIKRI NURHIDAYAT")</f>
        <v>FIKRI NURHIDAYAT</v>
      </c>
      <c r="D15" s="16" t="str">
        <f ca="1">IFERROR(__xludf.DUMMYFUNCTION("""COMPUTED_VALUE"""),"02311840000094")</f>
        <v>02311840000094</v>
      </c>
      <c r="E15" s="16" t="str">
        <f ca="1">IFERROR(__xludf.DUMMYFUNCTION("""COMPUTED_VALUE"""),"Departemen Teknik Fisika")</f>
        <v>Departemen Teknik Fisika</v>
      </c>
      <c r="F15" s="16" t="str">
        <f ca="1">IFERROR(__xludf.DUMMYFUNCTION("""COMPUTED_VALUE"""),"Analisis Respon Transient pada Sensor Komposit PVP/Termokromik dengan Variasi Komposisi")</f>
        <v>Analisis Respon Transient pada Sensor Komposit PVP/Termokromik dengan Variasi Komposisi</v>
      </c>
      <c r="G15" s="16" t="str">
        <f ca="1">IFERROR(__xludf.DUMMYFUNCTION("""COMPUTED_VALUE"""),"Dr.rer.nat Ruri Agung Wahyuono, S.T., M.T.")</f>
        <v>Dr.rer.nat Ruri Agung Wahyuono, S.T., M.T.</v>
      </c>
      <c r="H15" s="16" t="str">
        <f ca="1">IFERROR(__xludf.DUMMYFUNCTION("""COMPUTED_VALUE"""),"Prof. Dr. Dra Fahimah Martak, M.Si")</f>
        <v>Prof. Dr. Dra Fahimah Martak, M.Si</v>
      </c>
      <c r="I15" s="16" t="str">
        <f ca="1">IFERROR(__xludf.DUMMYFUNCTION("""COMPUTED_VALUE"""),"Arif Fadlan, S.Si., M.Si., D.Sc")</f>
        <v>Arif Fadlan, S.Si., M.Si., D.Sc</v>
      </c>
      <c r="J15" s="16"/>
      <c r="K15" s="17" t="s">
        <v>908</v>
      </c>
      <c r="L15" s="23" t="s">
        <v>909</v>
      </c>
      <c r="M15" s="19" t="b">
        <v>0</v>
      </c>
      <c r="N15" s="19" t="b">
        <v>0</v>
      </c>
      <c r="O15" s="1" t="s">
        <v>903</v>
      </c>
      <c r="P15" s="7" t="str">
        <f ca="1">IFERROR(__xludf.DUMMYFUNCTION("iferror(vlookup(B15,importrange(""https://docs.google.com/spreadsheets/d/1boHyJQ4e2FU0QG8MHwEi6qjX4hvZWVCHcFfXjq7bbMc/edit?resourcekey#gid=923248883"",""Prop!$C$1:$M""),11,0),IFERROR(vlookup(B15,importrange(""https://docs.google.com/spreadsheets/d/1boHyJQ"&amp;"4e2FU0QG8MHwEi6qjX4hvZWVCHcFfXjq7bbMc/edit?resourcekey#gid=923248883"",""Prop!$N$1:$X""),11,0),iferror(vlookup(B15,importrange(""https://docs.google.com/spreadsheets/d/1boHyJQ4e2FU0QG8MHwEi6qjX4hvZWVCHcFfXjq7bbMc/edit?resourcekey#gid=923248883"",""Prop!$Y"&amp;"$1:$AI""),11,0),iferror(vlookup(B15,importrange(""https://docs.google.com/spreadsheets/d/1boHyJQ4e2FU0QG8MHwEi6qjX4hvZWVCHcFfXjq7bbMc/edit?resourcekey#gid=923248883"",""Prop!$AJ$1:$AT""),11,0),iferror(vlookup(B15,importrange(""https://docs.google.com/spre"&amp;"adsheets/d/1boHyJQ4e2FU0QG8MHwEi6qjX4hvZWVCHcFfXjq7bbMc/edit?resourcekey#gid=923248883"",""Prop!$AU$1:$BE""),11,0),iferror(vlookup(B15,importrange(""https://docs.google.com/spreadsheets/d/1boHyJQ4e2FU0QG8MHwEi6qjX4hvZWVCHcFfXjq7bbMc/edit?resourcekey#gid=9"&amp;"23248883"",""Prop!$BF$1:$BP""),11,0),iferror(vlookup(B15,importrange(""https://docs.google.com/spreadsheets/d/1boHyJQ4e2FU0QG8MHwEi6qjX4hvZWVCHcFfXjq7bbMc/edit?resourcekey#gid=923248883"",""Prop!$BQ$1:$CA""),11,0),iferror(vlookup(B15,importrange(""https:/"&amp;"/docs.google.com/spreadsheets/d/1boHyJQ4e2FU0QG8MHwEi6qjX4hvZWVCHcFfXjq7bbMc/edit?resourcekey#gid=923248883"",""Prop!$CB$1:$CL""),11,0),iferror(vlookup(B15,importrange(""https://docs.google.com/spreadsheets/d/1boHyJQ4e2FU0QG8MHwEi6qjX4hvZWVCHcFfXjq7bbMc/e"&amp;"dit?resourcekey#gid=923248883"",""Prop!$CM$1:$CX""),11,0),iferror(vlookup(B15,importrange(""https://docs.google.com/spreadsheets/d/1boHyJQ4e2FU0QG8MHwEi6qjX4hvZWVCHcFfXjq7bbMc/edit?resourcekey#gid=923248883"",""Prop!$CY$1:$DI""),11,0)))))))))))"),"https://drive.google.com/open?id=1a-Moe5S7MflRX8kULAR-fB4KWahe85CJ")</f>
        <v>https://drive.google.com/open?id=1a-Moe5S7MflRX8kULAR-fB4KWahe85CJ</v>
      </c>
      <c r="Q15" s="7" t="str">
        <f ca="1">IFERROR(__xludf.DUMMYFUNCTION("iferror(vlookup(B15,importrange(""https://docs.google.com/spreadsheets/d/1p53T2AuvvIqhP7Nf-bo3Uhj8cbKYRPpZdsrBv3x3bAQ/edit?resourcekey#gid=1321652304"",""Prop!$C$1:$M""),11,0),IFERROR(vlookup(B15,importrange(""https://docs.google.com/spreadsheets/d/1p53T2"&amp;"AuvvIqhP7Nf-bo3Uhj8cbKYRPpZdsrBv3x3bAQ/edit?resourcekey#gid=1321652304"",""Prop!$N$1:$X""),11,0),iferror(vlookup(B15,importrange(""https://docs.google.com/spreadsheets/d/1p53T2AuvvIqhP7Nf-bo3Uhj8cbKYRPpZdsrBv3x3bAQ/edit?resourcekey#gid=1321652304"",""Prop"&amp;"!$Y$1:$AI""),11,0),iferror(vlookup(B15,importrange(""https://docs.google.com/spreadsheets/d/1p53T2AuvvIqhP7Nf-bo3Uhj8cbKYRPpZdsrBv3x3bAQ/edit?resourcekey#gid=1321652304"",""Prop!$AJ$1:$AT""),11,0),iferror(vlookup(B15,importrange(""https://docs.google.com/"&amp;"spreadsheets/d/1p53T2AuvvIqhP7Nf-bo3Uhj8cbKYRPpZdsrBv3x3bAQ/edit?resourcekey#gid=1321652304"",""Prop!$AU$1:$BE""),11,0),iferror(vlookup(B15,importrange(""https://docs.google.com/spreadsheets/d/1p53T2AuvvIqhP7Nf-bo3Uhj8cbKYRPpZdsrBv3x3bAQ/edit?resourcekey#"&amp;"gid=1321652304"",""Prop!$BF$1:$BP""),11,0),iferror(vlookup(B15,importrange(""https://docs.google.com/spreadsheets/d/1p53T2AuvvIqhP7Nf-bo3Uhj8cbKYRPpZdsrBv3x3bAQ/edit?resourcekey#gid=1321652304"",""Prop!$BQ$1:$CA""),11,0),iferror(vlookup(B15,importrange("""&amp;"https://docs.google.com/spreadsheets/d/1p53T2AuvvIqhP7Nf-bo3Uhj8cbKYRPpZdsrBv3x3bAQ/edit?resourcekey#gid=1321652304"",""Prop!$CB$1:$CL""),11,0),iferror(vlookup(B15,importrange(""https://docs.google.com/spreadsheets/d/1p53T2AuvvIqhP7Nf-bo3Uhj8cbKYRPpZdsrBv"&amp;"3x3bAQ/edit?resourcekey#gid=1321652304"",""Prop!$CM$1:$CX""),11,0),iferror(vlookup(B15,importrange(""https://docs.google.com/spreadsheets/d/1p53T2AuvvIqhP7Nf-bo3Uhj8cbKYRPpZdsrBv3x3bAQ/edit?resourcekey#gid=1321652304"",""Prop!$CY$1:$DI""),11,0)))))))))))"),"https://drive.google.com/open?id=1FmGTyRLG0XFGRoalaAxpCxFB7xrzyJHS")</f>
        <v>https://drive.google.com/open?id=1FmGTyRLG0XFGRoalaAxpCxFB7xrzyJHS</v>
      </c>
      <c r="R15" s="20" t="s">
        <v>898</v>
      </c>
      <c r="S15" s="20" t="str">
        <f ca="1">IFERROR(__xludf.DUMMYFUNCTION("IFERROR(vlookup(B15,IMPORTRANGE(""https://docs.google.com/spreadsheets/d/1g_jfYYK_KeipEDNDUgqgrsxK94XiocfNQIcP-v1QVhI/edit?resourcekey#gid=233272945"",""Nilai!B:CT""),12,0),"" "")"),"lihat pdf")</f>
        <v>lihat pdf</v>
      </c>
      <c r="T15" s="20" t="str">
        <f ca="1">IFERROR(__xludf.DUMMYFUNCTION("IFERROR(vlookup(B15,IMPORTRANGE(""https://docs.google.com/spreadsheets/d/1g_jfYYK_KeipEDNDUgqgrsxK94XiocfNQIcP-v1QVhI/edit?resourcekey#gid=233272945"",""Nilai!B:CT""),97,0),"" "")"),"LAYAK UPLOAD KE SIMBELMAWA DENGAN REVISI")</f>
        <v>LAYAK UPLOAD KE SIMBELMAWA DENGAN REVISI</v>
      </c>
      <c r="U15" s="29" t="s">
        <v>660</v>
      </c>
      <c r="V15" s="30" t="s">
        <v>899</v>
      </c>
      <c r="W15" s="28" t="s">
        <v>910</v>
      </c>
      <c r="X15" s="20" t="b">
        <v>0</v>
      </c>
    </row>
    <row r="16" spans="1:24">
      <c r="A16" s="15">
        <v>14</v>
      </c>
      <c r="B16" s="16">
        <f ca="1">IFERROR(__xludf.DUMMYFUNCTION("""COMPUTED_VALUE"""),2760)</f>
        <v>2760</v>
      </c>
      <c r="C16" s="16" t="str">
        <f ca="1">IFERROR(__xludf.DUMMYFUNCTION("""COMPUTED_VALUE"""),"RAFIF HERDIAN NOOR")</f>
        <v>RAFIF HERDIAN NOOR</v>
      </c>
      <c r="D16" s="16" t="str">
        <f ca="1">IFERROR(__xludf.DUMMYFUNCTION("""COMPUTED_VALUE"""),"2038201043")</f>
        <v>2038201043</v>
      </c>
      <c r="E16" s="16" t="str">
        <f ca="1">IFERROR(__xludf.DUMMYFUNCTION("""COMPUTED_VALUE"""),"Departemen Teknik Mesin Industri")</f>
        <v>Departemen Teknik Mesin Industri</v>
      </c>
      <c r="F16" s="16" t="str">
        <f ca="1">IFERROR(__xludf.DUMMYFUNCTION("""COMPUTED_VALUE"""),"DESAIN, SIMULASI, DAN TESTING IMPACT ATTENUATOR FORMULA STUDENT ANARGYA MARK 2.0 DENGAN MATERIAL KOMPOSIT SANDWICH ALUMINIUM HONEYCOMB DAN FIBERGLASS")</f>
        <v>DESAIN, SIMULASI, DAN TESTING IMPACT ATTENUATOR FORMULA STUDENT ANARGYA MARK 2.0 DENGAN MATERIAL KOMPOSIT SANDWICH ALUMINIUM HONEYCOMB DAN FIBERGLASS</v>
      </c>
      <c r="G16" s="16" t="str">
        <f ca="1">IFERROR(__xludf.DUMMYFUNCTION("""COMPUTED_VALUE"""),"Alief Wikarta, ST., MSc.Eng. Ph.D")</f>
        <v>Alief Wikarta, ST., MSc.Eng. Ph.D</v>
      </c>
      <c r="H16" s="16" t="str">
        <f ca="1">IFERROR(__xludf.DUMMYFUNCTION("""COMPUTED_VALUE"""),"Dr.-Ing. Doty Dewi Risanti, S.T., M.T.")</f>
        <v>Dr.-Ing. Doty Dewi Risanti, S.T., M.T.</v>
      </c>
      <c r="I16" s="16" t="str">
        <f ca="1">IFERROR(__xludf.DUMMYFUNCTION("""COMPUTED_VALUE"""),"Hariyati Purwaningsih, S.Si., M.Si.")</f>
        <v>Hariyati Purwaningsih, S.Si., M.Si.</v>
      </c>
      <c r="J16" s="16"/>
      <c r="K16" s="17" t="s">
        <v>908</v>
      </c>
      <c r="L16" s="23" t="s">
        <v>909</v>
      </c>
      <c r="M16" s="19" t="b">
        <v>0</v>
      </c>
      <c r="N16" s="19" t="b">
        <v>0</v>
      </c>
      <c r="O16" s="1" t="s">
        <v>903</v>
      </c>
      <c r="P16" s="7" t="str">
        <f ca="1">IFERROR(__xludf.DUMMYFUNCTION("iferror(vlookup(B16,importrange(""https://docs.google.com/spreadsheets/d/1boHyJQ4e2FU0QG8MHwEi6qjX4hvZWVCHcFfXjq7bbMc/edit?resourcekey#gid=923248883"",""Prop!$C$1:$M""),11,0),IFERROR(vlookup(B16,importrange(""https://docs.google.com/spreadsheets/d/1boHyJQ"&amp;"4e2FU0QG8MHwEi6qjX4hvZWVCHcFfXjq7bbMc/edit?resourcekey#gid=923248883"",""Prop!$N$1:$X""),11,0),iferror(vlookup(B16,importrange(""https://docs.google.com/spreadsheets/d/1boHyJQ4e2FU0QG8MHwEi6qjX4hvZWVCHcFfXjq7bbMc/edit?resourcekey#gid=923248883"",""Prop!$Y"&amp;"$1:$AI""),11,0),iferror(vlookup(B16,importrange(""https://docs.google.com/spreadsheets/d/1boHyJQ4e2FU0QG8MHwEi6qjX4hvZWVCHcFfXjq7bbMc/edit?resourcekey#gid=923248883"",""Prop!$AJ$1:$AT""),11,0),iferror(vlookup(B16,importrange(""https://docs.google.com/spre"&amp;"adsheets/d/1boHyJQ4e2FU0QG8MHwEi6qjX4hvZWVCHcFfXjq7bbMc/edit?resourcekey#gid=923248883"",""Prop!$AU$1:$BE""),11,0),iferror(vlookup(B16,importrange(""https://docs.google.com/spreadsheets/d/1boHyJQ4e2FU0QG8MHwEi6qjX4hvZWVCHcFfXjq7bbMc/edit?resourcekey#gid=9"&amp;"23248883"",""Prop!$BF$1:$BP""),11,0),iferror(vlookup(B16,importrange(""https://docs.google.com/spreadsheets/d/1boHyJQ4e2FU0QG8MHwEi6qjX4hvZWVCHcFfXjq7bbMc/edit?resourcekey#gid=923248883"",""Prop!$BQ$1:$CA""),11,0),iferror(vlookup(B16,importrange(""https:/"&amp;"/docs.google.com/spreadsheets/d/1boHyJQ4e2FU0QG8MHwEi6qjX4hvZWVCHcFfXjq7bbMc/edit?resourcekey#gid=923248883"",""Prop!$CB$1:$CL""),11,0),iferror(vlookup(B16,importrange(""https://docs.google.com/spreadsheets/d/1boHyJQ4e2FU0QG8MHwEi6qjX4hvZWVCHcFfXjq7bbMc/e"&amp;"dit?resourcekey#gid=923248883"",""Prop!$CM$1:$CX""),11,0),iferror(vlookup(B16,importrange(""https://docs.google.com/spreadsheets/d/1boHyJQ4e2FU0QG8MHwEi6qjX4hvZWVCHcFfXjq7bbMc/edit?resourcekey#gid=923248883"",""Prop!$CY$1:$DI""),11,0)))))))))))"),"https://drive.google.com/open?id=1-IiBjr_WSiRfK7OY_5UORWijeQh542IX")</f>
        <v>https://drive.google.com/open?id=1-IiBjr_WSiRfK7OY_5UORWijeQh542IX</v>
      </c>
      <c r="Q16" s="7" t="str">
        <f ca="1">IFERROR(__xludf.DUMMYFUNCTION("iferror(vlookup(B16,importrange(""https://docs.google.com/spreadsheets/d/1p53T2AuvvIqhP7Nf-bo3Uhj8cbKYRPpZdsrBv3x3bAQ/edit?resourcekey#gid=1321652304"",""Prop!$C$1:$M""),11,0),IFERROR(vlookup(B16,importrange(""https://docs.google.com/spreadsheets/d/1p53T2"&amp;"AuvvIqhP7Nf-bo3Uhj8cbKYRPpZdsrBv3x3bAQ/edit?resourcekey#gid=1321652304"",""Prop!$N$1:$X""),11,0),iferror(vlookup(B16,importrange(""https://docs.google.com/spreadsheets/d/1p53T2AuvvIqhP7Nf-bo3Uhj8cbKYRPpZdsrBv3x3bAQ/edit?resourcekey#gid=1321652304"",""Prop"&amp;"!$Y$1:$AI""),11,0),iferror(vlookup(B16,importrange(""https://docs.google.com/spreadsheets/d/1p53T2AuvvIqhP7Nf-bo3Uhj8cbKYRPpZdsrBv3x3bAQ/edit?resourcekey#gid=1321652304"",""Prop!$AJ$1:$AT""),11,0),iferror(vlookup(B16,importrange(""https://docs.google.com/"&amp;"spreadsheets/d/1p53T2AuvvIqhP7Nf-bo3Uhj8cbKYRPpZdsrBv3x3bAQ/edit?resourcekey#gid=1321652304"",""Prop!$AU$1:$BE""),11,0),iferror(vlookup(B16,importrange(""https://docs.google.com/spreadsheets/d/1p53T2AuvvIqhP7Nf-bo3Uhj8cbKYRPpZdsrBv3x3bAQ/edit?resourcekey#"&amp;"gid=1321652304"",""Prop!$BF$1:$BP""),11,0),iferror(vlookup(B16,importrange(""https://docs.google.com/spreadsheets/d/1p53T2AuvvIqhP7Nf-bo3Uhj8cbKYRPpZdsrBv3x3bAQ/edit?resourcekey#gid=1321652304"",""Prop!$BQ$1:$CA""),11,0),iferror(vlookup(B16,importrange("""&amp;"https://docs.google.com/spreadsheets/d/1p53T2AuvvIqhP7Nf-bo3Uhj8cbKYRPpZdsrBv3x3bAQ/edit?resourcekey#gid=1321652304"",""Prop!$CB$1:$CL""),11,0),iferror(vlookup(B16,importrange(""https://docs.google.com/spreadsheets/d/1p53T2AuvvIqhP7Nf-bo3Uhj8cbKYRPpZdsrBv"&amp;"3x3bAQ/edit?resourcekey#gid=1321652304"",""Prop!$CM$1:$CX""),11,0),iferror(vlookup(B16,importrange(""https://docs.google.com/spreadsheets/d/1p53T2AuvvIqhP7Nf-bo3Uhj8cbKYRPpZdsrBv3x3bAQ/edit?resourcekey#gid=1321652304"",""Prop!$CY$1:$DI""),11,0)))))))))))"),"https://drive.google.com/open?id=1D6HvzsYq7emOrr3nwYCMxtmaG6HL6ahw")</f>
        <v>https://drive.google.com/open?id=1D6HvzsYq7emOrr3nwYCMxtmaG6HL6ahw</v>
      </c>
      <c r="R16" s="20" t="s">
        <v>898</v>
      </c>
      <c r="S16" s="20" t="str">
        <f ca="1">IFERROR(__xludf.DUMMYFUNCTION("IFERROR(vlookup(B16,IMPORTRANGE(""https://docs.google.com/spreadsheets/d/1g_jfYYK_KeipEDNDUgqgrsxK94XiocfNQIcP-v1QVhI/edit?resourcekey#gid=233272945"",""Nilai!B:CT""),12,0),"" "")"),"-")</f>
        <v>-</v>
      </c>
      <c r="T16" s="20" t="str">
        <f ca="1">IFERROR(__xludf.DUMMYFUNCTION("IFERROR(vlookup(B16,IMPORTRANGE(""https://docs.google.com/spreadsheets/d/1g_jfYYK_KeipEDNDUgqgrsxK94XiocfNQIcP-v1QVhI/edit?resourcekey#gid=233272945"",""Nilai!B:CT""),97,0),"" "")"),"LAYAK UPLOAD KE SIMBELMAWA")</f>
        <v>LAYAK UPLOAD KE SIMBELMAWA</v>
      </c>
      <c r="U16" s="29" t="s">
        <v>660</v>
      </c>
      <c r="V16" s="30" t="s">
        <v>899</v>
      </c>
      <c r="W16" s="28" t="s">
        <v>910</v>
      </c>
      <c r="X16" s="20" t="b">
        <v>0</v>
      </c>
    </row>
    <row r="17" spans="1:24">
      <c r="A17" s="15">
        <v>15</v>
      </c>
      <c r="B17" s="16">
        <f ca="1">IFERROR(__xludf.DUMMYFUNCTION("""COMPUTED_VALUE"""),3808)</f>
        <v>3808</v>
      </c>
      <c r="C17" s="16" t="str">
        <f ca="1">IFERROR(__xludf.DUMMYFUNCTION("""COMPUTED_VALUE"""),"ANNISA RIZQY AMALIA")</f>
        <v>ANNISA RIZQY AMALIA</v>
      </c>
      <c r="D17" s="16" t="str">
        <f ca="1">IFERROR(__xludf.DUMMYFUNCTION("""COMPUTED_VALUE"""),"5006201002")</f>
        <v>5006201002</v>
      </c>
      <c r="E17" s="16" t="str">
        <f ca="1">IFERROR(__xludf.DUMMYFUNCTION("""COMPUTED_VALUE"""),"Departemen Aktuaria")</f>
        <v>Departemen Aktuaria</v>
      </c>
      <c r="F17" s="16" t="str">
        <f ca="1">IFERROR(__xludf.DUMMYFUNCTION("""COMPUTED_VALUE"""),"ANALISIS CLUSTER UNTUK PENGELOMPOKAN NILAI BAHASA PORTUGIS SISWA DI PENDIDIKAN MENENGAH SEKOLAH PORTUGIS (MOUSINHO DA SILVEIRA)")</f>
        <v>ANALISIS CLUSTER UNTUK PENGELOMPOKAN NILAI BAHASA PORTUGIS SISWA DI PENDIDIKAN MENENGAH SEKOLAH PORTUGIS (MOUSINHO DA SILVEIRA)</v>
      </c>
      <c r="G17" s="16" t="str">
        <f ca="1">IFERROR(__xludf.DUMMYFUNCTION("""COMPUTED_VALUE"""),"Dr. Drs. Soehardjoepri, M.Si.")</f>
        <v>Dr. Drs. Soehardjoepri, M.Si.</v>
      </c>
      <c r="H17" s="16" t="str">
        <f ca="1">IFERROR(__xludf.DUMMYFUNCTION("""COMPUTED_VALUE"""),"Prof. Dr. Dra Fahimah Martak, M.Si")</f>
        <v>Prof. Dr. Dra Fahimah Martak, M.Si</v>
      </c>
      <c r="I17" s="16" t="str">
        <f ca="1">IFERROR(__xludf.DUMMYFUNCTION("""COMPUTED_VALUE"""),"Arif Fadlan, S.Si., M.Si., D.Sc")</f>
        <v>Arif Fadlan, S.Si., M.Si., D.Sc</v>
      </c>
      <c r="J17" s="16"/>
      <c r="K17" s="17" t="s">
        <v>908</v>
      </c>
      <c r="L17" s="23" t="s">
        <v>909</v>
      </c>
      <c r="M17" s="19" t="b">
        <v>0</v>
      </c>
      <c r="N17" s="19" t="b">
        <v>0</v>
      </c>
      <c r="O17" s="1" t="s">
        <v>903</v>
      </c>
      <c r="P17" s="7" t="str">
        <f ca="1">IFERROR(__xludf.DUMMYFUNCTION("iferror(vlookup(B17,importrange(""https://docs.google.com/spreadsheets/d/1boHyJQ4e2FU0QG8MHwEi6qjX4hvZWVCHcFfXjq7bbMc/edit?resourcekey#gid=923248883"",""Prop!$C$1:$M""),11,0),IFERROR(vlookup(B17,importrange(""https://docs.google.com/spreadsheets/d/1boHyJQ"&amp;"4e2FU0QG8MHwEi6qjX4hvZWVCHcFfXjq7bbMc/edit?resourcekey#gid=923248883"",""Prop!$N$1:$X""),11,0),iferror(vlookup(B17,importrange(""https://docs.google.com/spreadsheets/d/1boHyJQ4e2FU0QG8MHwEi6qjX4hvZWVCHcFfXjq7bbMc/edit?resourcekey#gid=923248883"",""Prop!$Y"&amp;"$1:$AI""),11,0),iferror(vlookup(B17,importrange(""https://docs.google.com/spreadsheets/d/1boHyJQ4e2FU0QG8MHwEi6qjX4hvZWVCHcFfXjq7bbMc/edit?resourcekey#gid=923248883"",""Prop!$AJ$1:$AT""),11,0),iferror(vlookup(B17,importrange(""https://docs.google.com/spre"&amp;"adsheets/d/1boHyJQ4e2FU0QG8MHwEi6qjX4hvZWVCHcFfXjq7bbMc/edit?resourcekey#gid=923248883"",""Prop!$AU$1:$BE""),11,0),iferror(vlookup(B17,importrange(""https://docs.google.com/spreadsheets/d/1boHyJQ4e2FU0QG8MHwEi6qjX4hvZWVCHcFfXjq7bbMc/edit?resourcekey#gid=9"&amp;"23248883"",""Prop!$BF$1:$BP""),11,0),iferror(vlookup(B17,importrange(""https://docs.google.com/spreadsheets/d/1boHyJQ4e2FU0QG8MHwEi6qjX4hvZWVCHcFfXjq7bbMc/edit?resourcekey#gid=923248883"",""Prop!$BQ$1:$CA""),11,0),iferror(vlookup(B17,importrange(""https:/"&amp;"/docs.google.com/spreadsheets/d/1boHyJQ4e2FU0QG8MHwEi6qjX4hvZWVCHcFfXjq7bbMc/edit?resourcekey#gid=923248883"",""Prop!$CB$1:$CL""),11,0),iferror(vlookup(B17,importrange(""https://docs.google.com/spreadsheets/d/1boHyJQ4e2FU0QG8MHwEi6qjX4hvZWVCHcFfXjq7bbMc/e"&amp;"dit?resourcekey#gid=923248883"",""Prop!$CM$1:$CX""),11,0),iferror(vlookup(B17,importrange(""https://docs.google.com/spreadsheets/d/1boHyJQ4e2FU0QG8MHwEi6qjX4hvZWVCHcFfXjq7bbMc/edit?resourcekey#gid=923248883"",""Prop!$CY$1:$DI""),11,0)))))))))))"),"https://drive.google.com/open?id=1PcFIiQt28_qTbhNferk56S1KHh0Uxdiv")</f>
        <v>https://drive.google.com/open?id=1PcFIiQt28_qTbhNferk56S1KHh0Uxdiv</v>
      </c>
      <c r="Q17" s="7" t="str">
        <f ca="1">IFERROR(__xludf.DUMMYFUNCTION("iferror(vlookup(B17,importrange(""https://docs.google.com/spreadsheets/d/1p53T2AuvvIqhP7Nf-bo3Uhj8cbKYRPpZdsrBv3x3bAQ/edit?resourcekey#gid=1321652304"",""Prop!$C$1:$M""),11,0),IFERROR(vlookup(B17,importrange(""https://docs.google.com/spreadsheets/d/1p53T2"&amp;"AuvvIqhP7Nf-bo3Uhj8cbKYRPpZdsrBv3x3bAQ/edit?resourcekey#gid=1321652304"",""Prop!$N$1:$X""),11,0),iferror(vlookup(B17,importrange(""https://docs.google.com/spreadsheets/d/1p53T2AuvvIqhP7Nf-bo3Uhj8cbKYRPpZdsrBv3x3bAQ/edit?resourcekey#gid=1321652304"",""Prop"&amp;"!$Y$1:$AI""),11,0),iferror(vlookup(B17,importrange(""https://docs.google.com/spreadsheets/d/1p53T2AuvvIqhP7Nf-bo3Uhj8cbKYRPpZdsrBv3x3bAQ/edit?resourcekey#gid=1321652304"",""Prop!$AJ$1:$AT""),11,0),iferror(vlookup(B17,importrange(""https://docs.google.com/"&amp;"spreadsheets/d/1p53T2AuvvIqhP7Nf-bo3Uhj8cbKYRPpZdsrBv3x3bAQ/edit?resourcekey#gid=1321652304"",""Prop!$AU$1:$BE""),11,0),iferror(vlookup(B17,importrange(""https://docs.google.com/spreadsheets/d/1p53T2AuvvIqhP7Nf-bo3Uhj8cbKYRPpZdsrBv3x3bAQ/edit?resourcekey#"&amp;"gid=1321652304"",""Prop!$BF$1:$BP""),11,0),iferror(vlookup(B17,importrange(""https://docs.google.com/spreadsheets/d/1p53T2AuvvIqhP7Nf-bo3Uhj8cbKYRPpZdsrBv3x3bAQ/edit?resourcekey#gid=1321652304"",""Prop!$BQ$1:$CA""),11,0),iferror(vlookup(B17,importrange("""&amp;"https://docs.google.com/spreadsheets/d/1p53T2AuvvIqhP7Nf-bo3Uhj8cbKYRPpZdsrBv3x3bAQ/edit?resourcekey#gid=1321652304"",""Prop!$CB$1:$CL""),11,0),iferror(vlookup(B17,importrange(""https://docs.google.com/spreadsheets/d/1p53T2AuvvIqhP7Nf-bo3Uhj8cbKYRPpZdsrBv"&amp;"3x3bAQ/edit?resourcekey#gid=1321652304"",""Prop!$CM$1:$CX""),11,0),iferror(vlookup(B17,importrange(""https://docs.google.com/spreadsheets/d/1p53T2AuvvIqhP7Nf-bo3Uhj8cbKYRPpZdsrBv3x3bAQ/edit?resourcekey#gid=1321652304"",""Prop!$CY$1:$DI""),11,0)))))))))))"),"https://drive.google.com/open?id=1t7SqR2GytUPcLXx2JG_IuW5pscfINiQ9")</f>
        <v>https://drive.google.com/open?id=1t7SqR2GytUPcLXx2JG_IuW5pscfINiQ9</v>
      </c>
      <c r="R17" s="20" t="s">
        <v>898</v>
      </c>
      <c r="S17" s="20" t="str">
        <f ca="1">IFERROR(__xludf.DUMMYFUNCTION("IFERROR(vlookup(B17,IMPORTRANGE(""https://docs.google.com/spreadsheets/d/1g_jfYYK_KeipEDNDUgqgrsxK94XiocfNQIcP-v1QVhI/edit?resourcekey#gid=233272945"",""Nilai!B:CT""),12,0),"" "")"),"sumber kegiatan tidak jelas dan data berupa data sekunder")</f>
        <v>sumber kegiatan tidak jelas dan data berupa data sekunder</v>
      </c>
      <c r="T17" s="20" t="str">
        <f ca="1">IFERROR(__xludf.DUMMYFUNCTION("IFERROR(vlookup(B17,IMPORTRANGE(""https://docs.google.com/spreadsheets/d/1g_jfYYK_KeipEDNDUgqgrsxK94XiocfNQIcP-v1QVhI/edit?resourcekey#gid=233272945"",""Nilai!B:CT""),97,0),"" "")"),"TIDAK LAYAK UPLOAD KE SIMBELMAWA")</f>
        <v>TIDAK LAYAK UPLOAD KE SIMBELMAWA</v>
      </c>
      <c r="U17" s="29" t="s">
        <v>660</v>
      </c>
      <c r="V17" s="30" t="s">
        <v>899</v>
      </c>
      <c r="W17" s="28" t="s">
        <v>910</v>
      </c>
      <c r="X17" s="20" t="b">
        <v>0</v>
      </c>
    </row>
    <row r="18" spans="1:24">
      <c r="A18" s="15">
        <v>16</v>
      </c>
      <c r="B18" s="16">
        <f ca="1">IFERROR(__xludf.DUMMYFUNCTION("""COMPUTED_VALUE"""),2441)</f>
        <v>2441</v>
      </c>
      <c r="C18" s="16" t="str">
        <f ca="1">IFERROR(__xludf.DUMMYFUNCTION("""COMPUTED_VALUE"""),"Clarissa Rexana P.")</f>
        <v>Clarissa Rexana P.</v>
      </c>
      <c r="D18" s="16" t="str">
        <f ca="1">IFERROR(__xludf.DUMMYFUNCTION("""COMPUTED_VALUE"""),"5003211005")</f>
        <v>5003211005</v>
      </c>
      <c r="E18" s="16" t="str">
        <f ca="1">IFERROR(__xludf.DUMMYFUNCTION("""COMPUTED_VALUE"""),"Departemen Statistika")</f>
        <v>Departemen Statistika</v>
      </c>
      <c r="F18" s="16" t="str">
        <f ca="1">IFERROR(__xludf.DUMMYFUNCTION("""COMPUTED_VALUE"""),"Analisis Pengaruh Limbah Botol Plastik Terhadap Metode Pembayaran Bus Kota Surabaya")</f>
        <v>Analisis Pengaruh Limbah Botol Plastik Terhadap Metode Pembayaran Bus Kota Surabaya</v>
      </c>
      <c r="G18" s="16" t="str">
        <f ca="1">IFERROR(__xludf.DUMMYFUNCTION("""COMPUTED_VALUE"""),"Dr. Sutikno, S.Si., M.Si.")</f>
        <v>Dr. Sutikno, S.Si., M.Si.</v>
      </c>
      <c r="H18" s="16" t="str">
        <f ca="1">IFERROR(__xludf.DUMMYFUNCTION("""COMPUTED_VALUE"""),"Prof. Dr. Dra Fahimah Martak, M.Si")</f>
        <v>Prof. Dr. Dra Fahimah Martak, M.Si</v>
      </c>
      <c r="I18" s="16" t="str">
        <f ca="1">IFERROR(__xludf.DUMMYFUNCTION("""COMPUTED_VALUE"""),"Ulil 'Azmi, S.Si., M.Si.")</f>
        <v>Ulil 'Azmi, S.Si., M.Si.</v>
      </c>
      <c r="J18" s="16"/>
      <c r="K18" s="17" t="s">
        <v>908</v>
      </c>
      <c r="L18" s="23" t="s">
        <v>909</v>
      </c>
      <c r="M18" s="19" t="b">
        <v>0</v>
      </c>
      <c r="N18" s="19" t="b">
        <v>0</v>
      </c>
      <c r="O18" s="1" t="s">
        <v>903</v>
      </c>
      <c r="P18" s="7" t="str">
        <f ca="1">IFERROR(__xludf.DUMMYFUNCTION("iferror(vlookup(B18,importrange(""https://docs.google.com/spreadsheets/d/1boHyJQ4e2FU0QG8MHwEi6qjX4hvZWVCHcFfXjq7bbMc/edit?resourcekey#gid=923248883"",""Prop!$C$1:$M""),11,0),IFERROR(vlookup(B18,importrange(""https://docs.google.com/spreadsheets/d/1boHyJQ"&amp;"4e2FU0QG8MHwEi6qjX4hvZWVCHcFfXjq7bbMc/edit?resourcekey#gid=923248883"",""Prop!$N$1:$X""),11,0),iferror(vlookup(B18,importrange(""https://docs.google.com/spreadsheets/d/1boHyJQ4e2FU0QG8MHwEi6qjX4hvZWVCHcFfXjq7bbMc/edit?resourcekey#gid=923248883"",""Prop!$Y"&amp;"$1:$AI""),11,0),iferror(vlookup(B18,importrange(""https://docs.google.com/spreadsheets/d/1boHyJQ4e2FU0QG8MHwEi6qjX4hvZWVCHcFfXjq7bbMc/edit?resourcekey#gid=923248883"",""Prop!$AJ$1:$AT""),11,0),iferror(vlookup(B18,importrange(""https://docs.google.com/spre"&amp;"adsheets/d/1boHyJQ4e2FU0QG8MHwEi6qjX4hvZWVCHcFfXjq7bbMc/edit?resourcekey#gid=923248883"",""Prop!$AU$1:$BE""),11,0),iferror(vlookup(B18,importrange(""https://docs.google.com/spreadsheets/d/1boHyJQ4e2FU0QG8MHwEi6qjX4hvZWVCHcFfXjq7bbMc/edit?resourcekey#gid=9"&amp;"23248883"",""Prop!$BF$1:$BP""),11,0),iferror(vlookup(B18,importrange(""https://docs.google.com/spreadsheets/d/1boHyJQ4e2FU0QG8MHwEi6qjX4hvZWVCHcFfXjq7bbMc/edit?resourcekey#gid=923248883"",""Prop!$BQ$1:$CA""),11,0),iferror(vlookup(B18,importrange(""https:/"&amp;"/docs.google.com/spreadsheets/d/1boHyJQ4e2FU0QG8MHwEi6qjX4hvZWVCHcFfXjq7bbMc/edit?resourcekey#gid=923248883"",""Prop!$CB$1:$CL""),11,0),iferror(vlookup(B18,importrange(""https://docs.google.com/spreadsheets/d/1boHyJQ4e2FU0QG8MHwEi6qjX4hvZWVCHcFfXjq7bbMc/e"&amp;"dit?resourcekey#gid=923248883"",""Prop!$CM$1:$CX""),11,0),iferror(vlookup(B18,importrange(""https://docs.google.com/spreadsheets/d/1boHyJQ4e2FU0QG8MHwEi6qjX4hvZWVCHcFfXjq7bbMc/edit?resourcekey#gid=923248883"",""Prop!$CY$1:$DI""),11,0)))))))))))"),"https://drive.google.com/open?id=1FwH6FDg0-70r9HIdDLBn_c5uGrFOpxAN")</f>
        <v>https://drive.google.com/open?id=1FwH6FDg0-70r9HIdDLBn_c5uGrFOpxAN</v>
      </c>
      <c r="Q18" s="7" t="str">
        <f ca="1">IFERROR(__xludf.DUMMYFUNCTION("iferror(vlookup(B18,importrange(""https://docs.google.com/spreadsheets/d/1p53T2AuvvIqhP7Nf-bo3Uhj8cbKYRPpZdsrBv3x3bAQ/edit?resourcekey#gid=1321652304"",""Prop!$C$1:$M""),11,0),IFERROR(vlookup(B18,importrange(""https://docs.google.com/spreadsheets/d/1p53T2"&amp;"AuvvIqhP7Nf-bo3Uhj8cbKYRPpZdsrBv3x3bAQ/edit?resourcekey#gid=1321652304"",""Prop!$N$1:$X""),11,0),iferror(vlookup(B18,importrange(""https://docs.google.com/spreadsheets/d/1p53T2AuvvIqhP7Nf-bo3Uhj8cbKYRPpZdsrBv3x3bAQ/edit?resourcekey#gid=1321652304"",""Prop"&amp;"!$Y$1:$AI""),11,0),iferror(vlookup(B18,importrange(""https://docs.google.com/spreadsheets/d/1p53T2AuvvIqhP7Nf-bo3Uhj8cbKYRPpZdsrBv3x3bAQ/edit?resourcekey#gid=1321652304"",""Prop!$AJ$1:$AT""),11,0),iferror(vlookup(B18,importrange(""https://docs.google.com/"&amp;"spreadsheets/d/1p53T2AuvvIqhP7Nf-bo3Uhj8cbKYRPpZdsrBv3x3bAQ/edit?resourcekey#gid=1321652304"",""Prop!$AU$1:$BE""),11,0),iferror(vlookup(B18,importrange(""https://docs.google.com/spreadsheets/d/1p53T2AuvvIqhP7Nf-bo3Uhj8cbKYRPpZdsrBv3x3bAQ/edit?resourcekey#"&amp;"gid=1321652304"",""Prop!$BF$1:$BP""),11,0),iferror(vlookup(B18,importrange(""https://docs.google.com/spreadsheets/d/1p53T2AuvvIqhP7Nf-bo3Uhj8cbKYRPpZdsrBv3x3bAQ/edit?resourcekey#gid=1321652304"",""Prop!$BQ$1:$CA""),11,0),iferror(vlookup(B18,importrange("""&amp;"https://docs.google.com/spreadsheets/d/1p53T2AuvvIqhP7Nf-bo3Uhj8cbKYRPpZdsrBv3x3bAQ/edit?resourcekey#gid=1321652304"",""Prop!$CB$1:$CL""),11,0),iferror(vlookup(B18,importrange(""https://docs.google.com/spreadsheets/d/1p53T2AuvvIqhP7Nf-bo3Uhj8cbKYRPpZdsrBv"&amp;"3x3bAQ/edit?resourcekey#gid=1321652304"",""Prop!$CM$1:$CX""),11,0),iferror(vlookup(B18,importrange(""https://docs.google.com/spreadsheets/d/1p53T2AuvvIqhP7Nf-bo3Uhj8cbKYRPpZdsrBv3x3bAQ/edit?resourcekey#gid=1321652304"",""Prop!$CY$1:$DI""),11,0)))))))))))"),"https://drive.google.com/open?id=1IfutzzvOBuwEw2hQ2SsAA7p2ltQvijTL")</f>
        <v>https://drive.google.com/open?id=1IfutzzvOBuwEw2hQ2SsAA7p2ltQvijTL</v>
      </c>
      <c r="R18" s="20" t="s">
        <v>898</v>
      </c>
      <c r="S18" s="20" t="str">
        <f ca="1">IFERROR(__xludf.DUMMYFUNCTION("IFERROR(vlookup(B18,IMPORTRANGE(""https://docs.google.com/spreadsheets/d/1g_jfYYK_KeipEDNDUgqgrsxK94XiocfNQIcP-v1QVhI/edit?resourcekey#gid=233272945"",""Nilai!B:CT""),12,0),"" "")"),"tidak ilmiah")</f>
        <v>tidak ilmiah</v>
      </c>
      <c r="T18" s="20" t="str">
        <f ca="1">IFERROR(__xludf.DUMMYFUNCTION("IFERROR(vlookup(B18,IMPORTRANGE(""https://docs.google.com/spreadsheets/d/1g_jfYYK_KeipEDNDUgqgrsxK94XiocfNQIcP-v1QVhI/edit?resourcekey#gid=233272945"",""Nilai!B:CT""),97,0),"" "")"),"TIDAK LAYAK UPLOAD KE SIMBELMAWA")</f>
        <v>TIDAK LAYAK UPLOAD KE SIMBELMAWA</v>
      </c>
      <c r="U18" s="29" t="s">
        <v>660</v>
      </c>
      <c r="V18" s="30" t="s">
        <v>899</v>
      </c>
      <c r="W18" s="28" t="s">
        <v>911</v>
      </c>
      <c r="X18" s="20" t="b">
        <v>0</v>
      </c>
    </row>
    <row r="19" spans="1:24">
      <c r="A19" s="15">
        <v>17</v>
      </c>
      <c r="B19" s="16">
        <f ca="1">IFERROR(__xludf.DUMMYFUNCTION("""COMPUTED_VALUE"""),2248)</f>
        <v>2248</v>
      </c>
      <c r="C19" s="16" t="str">
        <f ca="1">IFERROR(__xludf.DUMMYFUNCTION("""COMPUTED_VALUE"""),"M ALDI NUGROHO")</f>
        <v>M ALDI NUGROHO</v>
      </c>
      <c r="D19" s="16" t="str">
        <f ca="1">IFERROR(__xludf.DUMMYFUNCTION("""COMPUTED_VALUE"""),"2041201080")</f>
        <v>2041201080</v>
      </c>
      <c r="E19" s="16" t="str">
        <f ca="1">IFERROR(__xludf.DUMMYFUNCTION("""COMPUTED_VALUE"""),"Departemen Teknik Kimia Industri")</f>
        <v>Departemen Teknik Kimia Industri</v>
      </c>
      <c r="F19" s="16" t="str">
        <f ca="1">IFERROR(__xludf.DUMMYFUNCTION("""COMPUTED_VALUE"""),"Inovasi Pembuatan Membran Titanium Dioxide (TiO2) Dengan Penambahan Zeolit Sebagai Upaya Pengoptimalan Gas CO2 Dari Steam Reforming")</f>
        <v>Inovasi Pembuatan Membran Titanium Dioxide (TiO2) Dengan Penambahan Zeolit Sebagai Upaya Pengoptimalan Gas CO2 Dari Steam Reforming</v>
      </c>
      <c r="G19" s="16" t="str">
        <f ca="1">IFERROR(__xludf.DUMMYFUNCTION("""COMPUTED_VALUE"""),"Dr. Afan Hamzah, S.T.")</f>
        <v>Dr. Afan Hamzah, S.T.</v>
      </c>
      <c r="H19" s="16" t="str">
        <f ca="1">IFERROR(__xludf.DUMMYFUNCTION("""COMPUTED_VALUE"""),"Prof. Dr. Dra Fahimah Martak, M.Si")</f>
        <v>Prof. Dr. Dra Fahimah Martak, M.Si</v>
      </c>
      <c r="I19" s="16" t="str">
        <f ca="1">IFERROR(__xludf.DUMMYFUNCTION("""COMPUTED_VALUE"""),"Ulil 'Azmi, S.Si., M.Si.")</f>
        <v>Ulil 'Azmi, S.Si., M.Si.</v>
      </c>
      <c r="J19" s="16"/>
      <c r="K19" s="17" t="s">
        <v>908</v>
      </c>
      <c r="L19" s="23" t="s">
        <v>912</v>
      </c>
      <c r="M19" s="19" t="b">
        <v>0</v>
      </c>
      <c r="N19" s="19" t="b">
        <v>0</v>
      </c>
      <c r="O19" s="1" t="s">
        <v>913</v>
      </c>
      <c r="P19" s="7" t="str">
        <f ca="1">IFERROR(__xludf.DUMMYFUNCTION("iferror(vlookup(B19,importrange(""https://docs.google.com/spreadsheets/d/1boHyJQ4e2FU0QG8MHwEi6qjX4hvZWVCHcFfXjq7bbMc/edit?resourcekey#gid=923248883"",""Prop!$C$1:$M""),11,0),IFERROR(vlookup(B19,importrange(""https://docs.google.com/spreadsheets/d/1boHyJQ"&amp;"4e2FU0QG8MHwEi6qjX4hvZWVCHcFfXjq7bbMc/edit?resourcekey#gid=923248883"",""Prop!$N$1:$X""),11,0),iferror(vlookup(B19,importrange(""https://docs.google.com/spreadsheets/d/1boHyJQ4e2FU0QG8MHwEi6qjX4hvZWVCHcFfXjq7bbMc/edit?resourcekey#gid=923248883"",""Prop!$Y"&amp;"$1:$AI""),11,0),iferror(vlookup(B19,importrange(""https://docs.google.com/spreadsheets/d/1boHyJQ4e2FU0QG8MHwEi6qjX4hvZWVCHcFfXjq7bbMc/edit?resourcekey#gid=923248883"",""Prop!$AJ$1:$AT""),11,0),iferror(vlookup(B19,importrange(""https://docs.google.com/spre"&amp;"adsheets/d/1boHyJQ4e2FU0QG8MHwEi6qjX4hvZWVCHcFfXjq7bbMc/edit?resourcekey#gid=923248883"",""Prop!$AU$1:$BE""),11,0),iferror(vlookup(B19,importrange(""https://docs.google.com/spreadsheets/d/1boHyJQ4e2FU0QG8MHwEi6qjX4hvZWVCHcFfXjq7bbMc/edit?resourcekey#gid=9"&amp;"23248883"",""Prop!$BF$1:$BP""),11,0),iferror(vlookup(B19,importrange(""https://docs.google.com/spreadsheets/d/1boHyJQ4e2FU0QG8MHwEi6qjX4hvZWVCHcFfXjq7bbMc/edit?resourcekey#gid=923248883"",""Prop!$BQ$1:$CA""),11,0),iferror(vlookup(B19,importrange(""https:/"&amp;"/docs.google.com/spreadsheets/d/1boHyJQ4e2FU0QG8MHwEi6qjX4hvZWVCHcFfXjq7bbMc/edit?resourcekey#gid=923248883"",""Prop!$CB$1:$CL""),11,0),iferror(vlookup(B19,importrange(""https://docs.google.com/spreadsheets/d/1boHyJQ4e2FU0QG8MHwEi6qjX4hvZWVCHcFfXjq7bbMc/e"&amp;"dit?resourcekey#gid=923248883"",""Prop!$CM$1:$CX""),11,0),iferror(vlookup(B19,importrange(""https://docs.google.com/spreadsheets/d/1boHyJQ4e2FU0QG8MHwEi6qjX4hvZWVCHcFfXjq7bbMc/edit?resourcekey#gid=923248883"",""Prop!$CY$1:$DI""),11,0)))))))))))"),"https://drive.google.com/open?id=1z8t0aAfqp_v1aIAeCJf0Xg2eiWmKpgre")</f>
        <v>https://drive.google.com/open?id=1z8t0aAfqp_v1aIAeCJf0Xg2eiWmKpgre</v>
      </c>
      <c r="Q19" s="7" t="str">
        <f ca="1">IFERROR(__xludf.DUMMYFUNCTION("iferror(vlookup(B19,importrange(""https://docs.google.com/spreadsheets/d/1p53T2AuvvIqhP7Nf-bo3Uhj8cbKYRPpZdsrBv3x3bAQ/edit?resourcekey#gid=1321652304"",""Prop!$C$1:$M""),11,0),IFERROR(vlookup(B19,importrange(""https://docs.google.com/spreadsheets/d/1p53T2"&amp;"AuvvIqhP7Nf-bo3Uhj8cbKYRPpZdsrBv3x3bAQ/edit?resourcekey#gid=1321652304"",""Prop!$N$1:$X""),11,0),iferror(vlookup(B19,importrange(""https://docs.google.com/spreadsheets/d/1p53T2AuvvIqhP7Nf-bo3Uhj8cbKYRPpZdsrBv3x3bAQ/edit?resourcekey#gid=1321652304"",""Prop"&amp;"!$Y$1:$AI""),11,0),iferror(vlookup(B19,importrange(""https://docs.google.com/spreadsheets/d/1p53T2AuvvIqhP7Nf-bo3Uhj8cbKYRPpZdsrBv3x3bAQ/edit?resourcekey#gid=1321652304"",""Prop!$AJ$1:$AT""),11,0),iferror(vlookup(B19,importrange(""https://docs.google.com/"&amp;"spreadsheets/d/1p53T2AuvvIqhP7Nf-bo3Uhj8cbKYRPpZdsrBv3x3bAQ/edit?resourcekey#gid=1321652304"",""Prop!$AU$1:$BE""),11,0),iferror(vlookup(B19,importrange(""https://docs.google.com/spreadsheets/d/1p53T2AuvvIqhP7Nf-bo3Uhj8cbKYRPpZdsrBv3x3bAQ/edit?resourcekey#"&amp;"gid=1321652304"",""Prop!$BF$1:$BP""),11,0),iferror(vlookup(B19,importrange(""https://docs.google.com/spreadsheets/d/1p53T2AuvvIqhP7Nf-bo3Uhj8cbKYRPpZdsrBv3x3bAQ/edit?resourcekey#gid=1321652304"",""Prop!$BQ$1:$CA""),11,0),iferror(vlookup(B19,importrange("""&amp;"https://docs.google.com/spreadsheets/d/1p53T2AuvvIqhP7Nf-bo3Uhj8cbKYRPpZdsrBv3x3bAQ/edit?resourcekey#gid=1321652304"",""Prop!$CB$1:$CL""),11,0),iferror(vlookup(B19,importrange(""https://docs.google.com/spreadsheets/d/1p53T2AuvvIqhP7Nf-bo3Uhj8cbKYRPpZdsrBv"&amp;"3x3bAQ/edit?resourcekey#gid=1321652304"",""Prop!$CM$1:$CX""),11,0),iferror(vlookup(B19,importrange(""https://docs.google.com/spreadsheets/d/1p53T2AuvvIqhP7Nf-bo3Uhj8cbKYRPpZdsrBv3x3bAQ/edit?resourcekey#gid=1321652304"",""Prop!$CY$1:$DI""),11,0)))))))))))"),"https://drive.google.com/open?id=1JqYLaVQxUhH363pxsU68dldiW875s3ef")</f>
        <v>https://drive.google.com/open?id=1JqYLaVQxUhH363pxsU68dldiW875s3ef</v>
      </c>
      <c r="R19" s="20" t="s">
        <v>898</v>
      </c>
      <c r="S19" s="20" t="str">
        <f ca="1">IFERROR(__xludf.DUMMYFUNCTION("IFERROR(vlookup(B19,IMPORTRANGE(""https://docs.google.com/spreadsheets/d/1g_jfYYK_KeipEDNDUgqgrsxK94XiocfNQIcP-v1QVhI/edit?resourcekey#gid=233272945"",""Nilai!B:CT""),12,0),"" "")"),"lihat pdf")</f>
        <v>lihat pdf</v>
      </c>
      <c r="T19" s="20" t="str">
        <f ca="1">IFERROR(__xludf.DUMMYFUNCTION("IFERROR(vlookup(B19,IMPORTRANGE(""https://docs.google.com/spreadsheets/d/1g_jfYYK_KeipEDNDUgqgrsxK94XiocfNQIcP-v1QVhI/edit?resourcekey#gid=233272945"",""Nilai!B:CT""),97,0),"" "")"),"LAYAK UPLOAD KE SIMBELMAWA DENGAN REVISI")</f>
        <v>LAYAK UPLOAD KE SIMBELMAWA DENGAN REVISI</v>
      </c>
      <c r="U19" s="29" t="s">
        <v>660</v>
      </c>
      <c r="V19" s="30" t="s">
        <v>899</v>
      </c>
      <c r="W19" s="28" t="s">
        <v>911</v>
      </c>
      <c r="X19" s="20" t="b">
        <v>0</v>
      </c>
    </row>
    <row r="20" spans="1:24">
      <c r="A20" s="15">
        <v>18</v>
      </c>
      <c r="B20" s="16">
        <f ca="1">IFERROR(__xludf.DUMMYFUNCTION("""COMPUTED_VALUE"""),2411)</f>
        <v>2411</v>
      </c>
      <c r="C20" s="16" t="str">
        <f ca="1">IFERROR(__xludf.DUMMYFUNCTION("""COMPUTED_VALUE"""),"IGNACIUS GILBERT CHANO")</f>
        <v>IGNACIUS GILBERT CHANO</v>
      </c>
      <c r="D20" s="16" t="str">
        <f ca="1">IFERROR(__xludf.DUMMYFUNCTION("""COMPUTED_VALUE"""),"02311840000051")</f>
        <v>02311840000051</v>
      </c>
      <c r="E20" s="16" t="str">
        <f ca="1">IFERROR(__xludf.DUMMYFUNCTION("""COMPUTED_VALUE"""),"Departemen Teknik Fisika")</f>
        <v>Departemen Teknik Fisika</v>
      </c>
      <c r="F20" s="16" t="str">
        <f ca="1">IFERROR(__xludf.DUMMYFUNCTION("""COMPUTED_VALUE"""),"Analisis Karakteristik Statik Pengukuran Kolesterol pada Kertas Mikrofluida Multikanal dengan Teknik Kolorimetri")</f>
        <v>Analisis Karakteristik Statik Pengukuran Kolesterol pada Kertas Mikrofluida Multikanal dengan Teknik Kolorimetri</v>
      </c>
      <c r="G20" s="16" t="str">
        <f ca="1">IFERROR(__xludf.DUMMYFUNCTION("""COMPUTED_VALUE"""),"Dr.rer.nat Ruri Agung Wahyuono, S.T., M.T.")</f>
        <v>Dr.rer.nat Ruri Agung Wahyuono, S.T., M.T.</v>
      </c>
      <c r="H20" s="16" t="str">
        <f ca="1">IFERROR(__xludf.DUMMYFUNCTION("""COMPUTED_VALUE"""),"Dr.-Ing. Doty Dewi Risanti, S.T., M.T.")</f>
        <v>Dr.-Ing. Doty Dewi Risanti, S.T., M.T.</v>
      </c>
      <c r="I20" s="16" t="str">
        <f ca="1">IFERROR(__xludf.DUMMYFUNCTION("""COMPUTED_VALUE"""),"Hariyati Purwaningsih, S.Si., M.Si.")</f>
        <v>Hariyati Purwaningsih, S.Si., M.Si.</v>
      </c>
      <c r="J20" s="16"/>
      <c r="K20" s="17" t="s">
        <v>908</v>
      </c>
      <c r="L20" s="23" t="s">
        <v>912</v>
      </c>
      <c r="M20" s="19" t="b">
        <v>0</v>
      </c>
      <c r="N20" s="19" t="b">
        <v>1</v>
      </c>
      <c r="O20" s="1" t="s">
        <v>913</v>
      </c>
      <c r="P20" s="7" t="str">
        <f ca="1">IFERROR(__xludf.DUMMYFUNCTION("iferror(vlookup(B20,importrange(""https://docs.google.com/spreadsheets/d/1boHyJQ4e2FU0QG8MHwEi6qjX4hvZWVCHcFfXjq7bbMc/edit?resourcekey#gid=923248883"",""Prop!$C$1:$M""),11,0),IFERROR(vlookup(B20,importrange(""https://docs.google.com/spreadsheets/d/1boHyJQ"&amp;"4e2FU0QG8MHwEi6qjX4hvZWVCHcFfXjq7bbMc/edit?resourcekey#gid=923248883"",""Prop!$N$1:$X""),11,0),iferror(vlookup(B20,importrange(""https://docs.google.com/spreadsheets/d/1boHyJQ4e2FU0QG8MHwEi6qjX4hvZWVCHcFfXjq7bbMc/edit?resourcekey#gid=923248883"",""Prop!$Y"&amp;"$1:$AI""),11,0),iferror(vlookup(B20,importrange(""https://docs.google.com/spreadsheets/d/1boHyJQ4e2FU0QG8MHwEi6qjX4hvZWVCHcFfXjq7bbMc/edit?resourcekey#gid=923248883"",""Prop!$AJ$1:$AT""),11,0),iferror(vlookup(B20,importrange(""https://docs.google.com/spre"&amp;"adsheets/d/1boHyJQ4e2FU0QG8MHwEi6qjX4hvZWVCHcFfXjq7bbMc/edit?resourcekey#gid=923248883"",""Prop!$AU$1:$BE""),11,0),iferror(vlookup(B20,importrange(""https://docs.google.com/spreadsheets/d/1boHyJQ4e2FU0QG8MHwEi6qjX4hvZWVCHcFfXjq7bbMc/edit?resourcekey#gid=9"&amp;"23248883"",""Prop!$BF$1:$BP""),11,0),iferror(vlookup(B20,importrange(""https://docs.google.com/spreadsheets/d/1boHyJQ4e2FU0QG8MHwEi6qjX4hvZWVCHcFfXjq7bbMc/edit?resourcekey#gid=923248883"",""Prop!$BQ$1:$CA""),11,0),iferror(vlookup(B20,importrange(""https:/"&amp;"/docs.google.com/spreadsheets/d/1boHyJQ4e2FU0QG8MHwEi6qjX4hvZWVCHcFfXjq7bbMc/edit?resourcekey#gid=923248883"",""Prop!$CB$1:$CL""),11,0),iferror(vlookup(B20,importrange(""https://docs.google.com/spreadsheets/d/1boHyJQ4e2FU0QG8MHwEi6qjX4hvZWVCHcFfXjq7bbMc/e"&amp;"dit?resourcekey#gid=923248883"",""Prop!$CM$1:$CX""),11,0),iferror(vlookup(B20,importrange(""https://docs.google.com/spreadsheets/d/1boHyJQ4e2FU0QG8MHwEi6qjX4hvZWVCHcFfXjq7bbMc/edit?resourcekey#gid=923248883"",""Prop!$CY$1:$DI""),11,0)))))))))))"),"https://drive.google.com/open?id=11SEpATdydrNR9fuBzphG2h_x0jc1m6_f")</f>
        <v>https://drive.google.com/open?id=11SEpATdydrNR9fuBzphG2h_x0jc1m6_f</v>
      </c>
      <c r="Q20" s="7" t="str">
        <f ca="1">IFERROR(__xludf.DUMMYFUNCTION("iferror(vlookup(B20,importrange(""https://docs.google.com/spreadsheets/d/1p53T2AuvvIqhP7Nf-bo3Uhj8cbKYRPpZdsrBv3x3bAQ/edit?resourcekey#gid=1321652304"",""Prop!$C$1:$M""),11,0),IFERROR(vlookup(B20,importrange(""https://docs.google.com/spreadsheets/d/1p53T2"&amp;"AuvvIqhP7Nf-bo3Uhj8cbKYRPpZdsrBv3x3bAQ/edit?resourcekey#gid=1321652304"",""Prop!$N$1:$X""),11,0),iferror(vlookup(B20,importrange(""https://docs.google.com/spreadsheets/d/1p53T2AuvvIqhP7Nf-bo3Uhj8cbKYRPpZdsrBv3x3bAQ/edit?resourcekey#gid=1321652304"",""Prop"&amp;"!$Y$1:$AI""),11,0),iferror(vlookup(B20,importrange(""https://docs.google.com/spreadsheets/d/1p53T2AuvvIqhP7Nf-bo3Uhj8cbKYRPpZdsrBv3x3bAQ/edit?resourcekey#gid=1321652304"",""Prop!$AJ$1:$AT""),11,0),iferror(vlookup(B20,importrange(""https://docs.google.com/"&amp;"spreadsheets/d/1p53T2AuvvIqhP7Nf-bo3Uhj8cbKYRPpZdsrBv3x3bAQ/edit?resourcekey#gid=1321652304"",""Prop!$AU$1:$BE""),11,0),iferror(vlookup(B20,importrange(""https://docs.google.com/spreadsheets/d/1p53T2AuvvIqhP7Nf-bo3Uhj8cbKYRPpZdsrBv3x3bAQ/edit?resourcekey#"&amp;"gid=1321652304"",""Prop!$BF$1:$BP""),11,0),iferror(vlookup(B20,importrange(""https://docs.google.com/spreadsheets/d/1p53T2AuvvIqhP7Nf-bo3Uhj8cbKYRPpZdsrBv3x3bAQ/edit?resourcekey#gid=1321652304"",""Prop!$BQ$1:$CA""),11,0),iferror(vlookup(B20,importrange("""&amp;"https://docs.google.com/spreadsheets/d/1p53T2AuvvIqhP7Nf-bo3Uhj8cbKYRPpZdsrBv3x3bAQ/edit?resourcekey#gid=1321652304"",""Prop!$CB$1:$CL""),11,0),iferror(vlookup(B20,importrange(""https://docs.google.com/spreadsheets/d/1p53T2AuvvIqhP7Nf-bo3Uhj8cbKYRPpZdsrBv"&amp;"3x3bAQ/edit?resourcekey#gid=1321652304"",""Prop!$CM$1:$CX""),11,0),iferror(vlookup(B20,importrange(""https://docs.google.com/spreadsheets/d/1p53T2AuvvIqhP7Nf-bo3Uhj8cbKYRPpZdsrBv3x3bAQ/edit?resourcekey#gid=1321652304"",""Prop!$CY$1:$DI""),11,0)))))))))))"),"https://drive.google.com/open?id=1LswZsUo9KcdQ2dyw9neOJQ4r3efUdMsA")</f>
        <v>https://drive.google.com/open?id=1LswZsUo9KcdQ2dyw9neOJQ4r3efUdMsA</v>
      </c>
      <c r="R20" s="20" t="s">
        <v>898</v>
      </c>
      <c r="S20" s="20" t="str">
        <f ca="1">IFERROR(__xludf.DUMMYFUNCTION("IFERROR(vlookup(B20,IMPORTRANGE(""https://docs.google.com/spreadsheets/d/1g_jfYYK_KeipEDNDUgqgrsxK94XiocfNQIcP-v1QVhI/edit?resourcekey#gid=233272945"",""Nilai!B:CT""),12,0),"" "")"),"ada 1 sitasi yang tidak sesuai")</f>
        <v>ada 1 sitasi yang tidak sesuai</v>
      </c>
      <c r="T20" s="20" t="str">
        <f ca="1">IFERROR(__xludf.DUMMYFUNCTION("IFERROR(vlookup(B20,IMPORTRANGE(""https://docs.google.com/spreadsheets/d/1g_jfYYK_KeipEDNDUgqgrsxK94XiocfNQIcP-v1QVhI/edit?resourcekey#gid=233272945"",""Nilai!B:CT""),97,0),"" "")"),"LAYAK UPLOAD KE SIMBELMAWA DENGAN REVISI")</f>
        <v>LAYAK UPLOAD KE SIMBELMAWA DENGAN REVISI</v>
      </c>
      <c r="U20" s="29" t="s">
        <v>660</v>
      </c>
      <c r="V20" s="30" t="s">
        <v>899</v>
      </c>
      <c r="W20" s="28" t="s">
        <v>911</v>
      </c>
      <c r="X20" s="20" t="b">
        <v>1</v>
      </c>
    </row>
    <row r="21" spans="1:24">
      <c r="A21" s="15">
        <v>19</v>
      </c>
      <c r="B21" s="16">
        <f ca="1">IFERROR(__xludf.DUMMYFUNCTION("""COMPUTED_VALUE"""),3764)</f>
        <v>3764</v>
      </c>
      <c r="C21" s="16" t="str">
        <f ca="1">IFERROR(__xludf.DUMMYFUNCTION("""COMPUTED_VALUE"""),"Ika Safitri")</f>
        <v>Ika Safitri</v>
      </c>
      <c r="D21" s="16" t="str">
        <f ca="1">IFERROR(__xludf.DUMMYFUNCTION("""COMPUTED_VALUE"""),"06311940000024")</f>
        <v>06311940000024</v>
      </c>
      <c r="E21" s="16" t="str">
        <f ca="1">IFERROR(__xludf.DUMMYFUNCTION("""COMPUTED_VALUE"""),"Departemen Aktuaria")</f>
        <v>Departemen Aktuaria</v>
      </c>
      <c r="F21" s="16" t="str">
        <f ca="1">IFERROR(__xludf.DUMMYFUNCTION("""COMPUTED_VALUE"""),"ANALISIS RISIKO INVESTASI SAHAM PERBANKAN MENGGUNAKAN VALUE AT RISK (VAR) DENGAN ESTIMASI BERBASIS HOLT-WINTER")</f>
        <v>ANALISIS RISIKO INVESTASI SAHAM PERBANKAN MENGGUNAKAN VALUE AT RISK (VAR) DENGAN ESTIMASI BERBASIS HOLT-WINTER</v>
      </c>
      <c r="G21" s="16" t="str">
        <f ca="1">IFERROR(__xludf.DUMMYFUNCTION("""COMPUTED_VALUE"""),"Ulil 'Azmi, S.Si., M.Si.")</f>
        <v>Ulil 'Azmi, S.Si., M.Si.</v>
      </c>
      <c r="H21" s="16" t="str">
        <f ca="1">IFERROR(__xludf.DUMMYFUNCTION("""COMPUTED_VALUE"""),"Dr.-Ing. Doty Dewi Risanti, S.T., M.T.")</f>
        <v>Dr.-Ing. Doty Dewi Risanti, S.T., M.T.</v>
      </c>
      <c r="I21" s="16" t="str">
        <f ca="1">IFERROR(__xludf.DUMMYFUNCTION("""COMPUTED_VALUE"""),"Hariyati Purwaningsih, S.Si., M.Si.")</f>
        <v>Hariyati Purwaningsih, S.Si., M.Si.</v>
      </c>
      <c r="J21" s="16"/>
      <c r="K21" s="17" t="s">
        <v>908</v>
      </c>
      <c r="L21" s="23" t="s">
        <v>912</v>
      </c>
      <c r="M21" s="19" t="b">
        <v>0</v>
      </c>
      <c r="N21" s="19" t="b">
        <v>0</v>
      </c>
      <c r="O21" s="1" t="s">
        <v>913</v>
      </c>
      <c r="P21" s="7" t="str">
        <f ca="1">IFERROR(__xludf.DUMMYFUNCTION("iferror(vlookup(B21,importrange(""https://docs.google.com/spreadsheets/d/1boHyJQ4e2FU0QG8MHwEi6qjX4hvZWVCHcFfXjq7bbMc/edit?resourcekey#gid=923248883"",""Prop!$C$1:$M""),11,0),IFERROR(vlookup(B21,importrange(""https://docs.google.com/spreadsheets/d/1boHyJQ"&amp;"4e2FU0QG8MHwEi6qjX4hvZWVCHcFfXjq7bbMc/edit?resourcekey#gid=923248883"",""Prop!$N$1:$X""),11,0),iferror(vlookup(B21,importrange(""https://docs.google.com/spreadsheets/d/1boHyJQ4e2FU0QG8MHwEi6qjX4hvZWVCHcFfXjq7bbMc/edit?resourcekey#gid=923248883"",""Prop!$Y"&amp;"$1:$AI""),11,0),iferror(vlookup(B21,importrange(""https://docs.google.com/spreadsheets/d/1boHyJQ4e2FU0QG8MHwEi6qjX4hvZWVCHcFfXjq7bbMc/edit?resourcekey#gid=923248883"",""Prop!$AJ$1:$AT""),11,0),iferror(vlookup(B21,importrange(""https://docs.google.com/spre"&amp;"adsheets/d/1boHyJQ4e2FU0QG8MHwEi6qjX4hvZWVCHcFfXjq7bbMc/edit?resourcekey#gid=923248883"",""Prop!$AU$1:$BE""),11,0),iferror(vlookup(B21,importrange(""https://docs.google.com/spreadsheets/d/1boHyJQ4e2FU0QG8MHwEi6qjX4hvZWVCHcFfXjq7bbMc/edit?resourcekey#gid=9"&amp;"23248883"",""Prop!$BF$1:$BP""),11,0),iferror(vlookup(B21,importrange(""https://docs.google.com/spreadsheets/d/1boHyJQ4e2FU0QG8MHwEi6qjX4hvZWVCHcFfXjq7bbMc/edit?resourcekey#gid=923248883"",""Prop!$BQ$1:$CA""),11,0),iferror(vlookup(B21,importrange(""https:/"&amp;"/docs.google.com/spreadsheets/d/1boHyJQ4e2FU0QG8MHwEi6qjX4hvZWVCHcFfXjq7bbMc/edit?resourcekey#gid=923248883"",""Prop!$CB$1:$CL""),11,0),iferror(vlookup(B21,importrange(""https://docs.google.com/spreadsheets/d/1boHyJQ4e2FU0QG8MHwEi6qjX4hvZWVCHcFfXjq7bbMc/e"&amp;"dit?resourcekey#gid=923248883"",""Prop!$CM$1:$CX""),11,0),iferror(vlookup(B21,importrange(""https://docs.google.com/spreadsheets/d/1boHyJQ4e2FU0QG8MHwEi6qjX4hvZWVCHcFfXjq7bbMc/edit?resourcekey#gid=923248883"",""Prop!$CY$1:$DI""),11,0)))))))))))"),"https://drive.google.com/open?id=1Z6RssLjd8ddz4iynUOr8cskUAWOubRdA")</f>
        <v>https://drive.google.com/open?id=1Z6RssLjd8ddz4iynUOr8cskUAWOubRdA</v>
      </c>
      <c r="Q21" s="7" t="str">
        <f ca="1">IFERROR(__xludf.DUMMYFUNCTION("iferror(vlookup(B21,importrange(""https://docs.google.com/spreadsheets/d/1p53T2AuvvIqhP7Nf-bo3Uhj8cbKYRPpZdsrBv3x3bAQ/edit?resourcekey#gid=1321652304"",""Prop!$C$1:$M""),11,0),IFERROR(vlookup(B21,importrange(""https://docs.google.com/spreadsheets/d/1p53T2"&amp;"AuvvIqhP7Nf-bo3Uhj8cbKYRPpZdsrBv3x3bAQ/edit?resourcekey#gid=1321652304"",""Prop!$N$1:$X""),11,0),iferror(vlookup(B21,importrange(""https://docs.google.com/spreadsheets/d/1p53T2AuvvIqhP7Nf-bo3Uhj8cbKYRPpZdsrBv3x3bAQ/edit?resourcekey#gid=1321652304"",""Prop"&amp;"!$Y$1:$AI""),11,0),iferror(vlookup(B21,importrange(""https://docs.google.com/spreadsheets/d/1p53T2AuvvIqhP7Nf-bo3Uhj8cbKYRPpZdsrBv3x3bAQ/edit?resourcekey#gid=1321652304"",""Prop!$AJ$1:$AT""),11,0),iferror(vlookup(B21,importrange(""https://docs.google.com/"&amp;"spreadsheets/d/1p53T2AuvvIqhP7Nf-bo3Uhj8cbKYRPpZdsrBv3x3bAQ/edit?resourcekey#gid=1321652304"",""Prop!$AU$1:$BE""),11,0),iferror(vlookup(B21,importrange(""https://docs.google.com/spreadsheets/d/1p53T2AuvvIqhP7Nf-bo3Uhj8cbKYRPpZdsrBv3x3bAQ/edit?resourcekey#"&amp;"gid=1321652304"",""Prop!$BF$1:$BP""),11,0),iferror(vlookup(B21,importrange(""https://docs.google.com/spreadsheets/d/1p53T2AuvvIqhP7Nf-bo3Uhj8cbKYRPpZdsrBv3x3bAQ/edit?resourcekey#gid=1321652304"",""Prop!$BQ$1:$CA""),11,0),iferror(vlookup(B21,importrange("""&amp;"https://docs.google.com/spreadsheets/d/1p53T2AuvvIqhP7Nf-bo3Uhj8cbKYRPpZdsrBv3x3bAQ/edit?resourcekey#gid=1321652304"",""Prop!$CB$1:$CL""),11,0),iferror(vlookup(B21,importrange(""https://docs.google.com/spreadsheets/d/1p53T2AuvvIqhP7Nf-bo3Uhj8cbKYRPpZdsrBv"&amp;"3x3bAQ/edit?resourcekey#gid=1321652304"",""Prop!$CM$1:$CX""),11,0),iferror(vlookup(B21,importrange(""https://docs.google.com/spreadsheets/d/1p53T2AuvvIqhP7Nf-bo3Uhj8cbKYRPpZdsrBv3x3bAQ/edit?resourcekey#gid=1321652304"",""Prop!$CY$1:$DI""),11,0)))))))))))"),"https://drive.google.com/open?id=10vbYmbxC8mGJLHyABWfxkYuXCPrDlEK7")</f>
        <v>https://drive.google.com/open?id=10vbYmbxC8mGJLHyABWfxkYuXCPrDlEK7</v>
      </c>
      <c r="R21" s="20" t="s">
        <v>898</v>
      </c>
      <c r="S21" s="20" t="str">
        <f ca="1">IFERROR(__xludf.DUMMYFUNCTION("IFERROR(vlookup(B21,IMPORTRANGE(""https://docs.google.com/spreadsheets/d/1g_jfYYK_KeipEDNDUgqgrsxK94XiocfNQIcP-v1QVhI/edit?resourcekey#gid=233272945"",""Nilai!B:CT""),12,0),"" "")"),"lihat pdf")</f>
        <v>lihat pdf</v>
      </c>
      <c r="T21" s="20" t="str">
        <f ca="1">IFERROR(__xludf.DUMMYFUNCTION("IFERROR(vlookup(B21,IMPORTRANGE(""https://docs.google.com/spreadsheets/d/1g_jfYYK_KeipEDNDUgqgrsxK94XiocfNQIcP-v1QVhI/edit?resourcekey#gid=233272945"",""Nilai!B:CT""),97,0),"" "")"),"LAYAK UPLOAD KE SIMBELMAWA DENGAN REVISI")</f>
        <v>LAYAK UPLOAD KE SIMBELMAWA DENGAN REVISI</v>
      </c>
      <c r="U21" s="29" t="s">
        <v>660</v>
      </c>
      <c r="V21" s="30" t="s">
        <v>899</v>
      </c>
      <c r="W21" s="28" t="s">
        <v>914</v>
      </c>
      <c r="X21" s="20" t="b">
        <v>0</v>
      </c>
    </row>
    <row r="22" spans="1:24">
      <c r="A22" s="15">
        <v>20</v>
      </c>
      <c r="B22" s="16">
        <f ca="1">IFERROR(__xludf.DUMMYFUNCTION("""COMPUTED_VALUE"""),3963)</f>
        <v>3963</v>
      </c>
      <c r="C22" s="16" t="str">
        <f ca="1">IFERROR(__xludf.DUMMYFUNCTION("""COMPUTED_VALUE"""),"KENYAVI SYAHDHANI RASYID")</f>
        <v>KENYAVI SYAHDHANI RASYID</v>
      </c>
      <c r="D22" s="16" t="str">
        <f ca="1">IFERROR(__xludf.DUMMYFUNCTION("""COMPUTED_VALUE"""),"01311940000059")</f>
        <v>01311940000059</v>
      </c>
      <c r="E22" s="16" t="str">
        <f ca="1">IFERROR(__xludf.DUMMYFUNCTION("""COMPUTED_VALUE"""),"Departemen Biologi")</f>
        <v>Departemen Biologi</v>
      </c>
      <c r="F22" s="16" t="str">
        <f ca="1">IFERROR(__xludf.DUMMYFUNCTION("""COMPUTED_VALUE"""),"Keberlanjutan Penerapan Sistem Terintegrasi Berbasis Website dan Edukasi Donor Plasma Konvalesen oleh Komunitas Plasmahero.id")</f>
        <v>Keberlanjutan Penerapan Sistem Terintegrasi Berbasis Website dan Edukasi Donor Plasma Konvalesen oleh Komunitas Plasmahero.id</v>
      </c>
      <c r="G22" s="16" t="str">
        <f ca="1">IFERROR(__xludf.DUMMYFUNCTION("""COMPUTED_VALUE"""),"Gita Widi Bhawika, S.ST., M.MT")</f>
        <v>Gita Widi Bhawika, S.ST., M.MT</v>
      </c>
      <c r="H22" s="16" t="str">
        <f ca="1">IFERROR(__xludf.DUMMYFUNCTION("""COMPUTED_VALUE"""),"Dian Mughni Fellicia, ST., M.Sc")</f>
        <v>Dian Mughni Fellicia, ST., M.Sc</v>
      </c>
      <c r="I22" s="16" t="str">
        <f ca="1">IFERROR(__xludf.DUMMYFUNCTION("""COMPUTED_VALUE"""),"Hariyati Purwaningsih, S.Si., M.Si.")</f>
        <v>Hariyati Purwaningsih, S.Si., M.Si.</v>
      </c>
      <c r="J22" s="16"/>
      <c r="K22" s="17" t="s">
        <v>908</v>
      </c>
      <c r="L22" s="23" t="s">
        <v>912</v>
      </c>
      <c r="M22" s="19" t="b">
        <v>0</v>
      </c>
      <c r="N22" s="19" t="b">
        <v>0</v>
      </c>
      <c r="O22" s="1" t="s">
        <v>913</v>
      </c>
      <c r="P22" s="1" t="str">
        <f ca="1">IFERROR(__xludf.DUMMYFUNCTION("iferror(vlookup(B22,importrange(""https://docs.google.com/spreadsheets/d/1boHyJQ4e2FU0QG8MHwEi6qjX4hvZWVCHcFfXjq7bbMc/edit?resourcekey#gid=923248883"",""Prop!$C$1:$M""),11,0),IFERROR(vlookup(B22,importrange(""https://docs.google.com/spreadsheets/d/1boHyJQ"&amp;"4e2FU0QG8MHwEi6qjX4hvZWVCHcFfXjq7bbMc/edit?resourcekey#gid=923248883"",""Prop!$N$1:$X""),11,0),iferror(vlookup(B22,importrange(""https://docs.google.com/spreadsheets/d/1boHyJQ4e2FU0QG8MHwEi6qjX4hvZWVCHcFfXjq7bbMc/edit?resourcekey#gid=923248883"",""Prop!$Y"&amp;"$1:$AI""),11,0),iferror(vlookup(B22,importrange(""https://docs.google.com/spreadsheets/d/1boHyJQ4e2FU0QG8MHwEi6qjX4hvZWVCHcFfXjq7bbMc/edit?resourcekey#gid=923248883"",""Prop!$AJ$1:$AT""),11,0),iferror(vlookup(B22,importrange(""https://docs.google.com/spre"&amp;"adsheets/d/1boHyJQ4e2FU0QG8MHwEi6qjX4hvZWVCHcFfXjq7bbMc/edit?resourcekey#gid=923248883"",""Prop!$AU$1:$BE""),11,0),iferror(vlookup(B22,importrange(""https://docs.google.com/spreadsheets/d/1boHyJQ4e2FU0QG8MHwEi6qjX4hvZWVCHcFfXjq7bbMc/edit?resourcekey#gid=9"&amp;"23248883"",""Prop!$BF$1:$BP""),11,0),iferror(vlookup(B22,importrange(""https://docs.google.com/spreadsheets/d/1boHyJQ4e2FU0QG8MHwEi6qjX4hvZWVCHcFfXjq7bbMc/edit?resourcekey#gid=923248883"",""Prop!$BQ$1:$CA""),11,0),iferror(vlookup(B22,importrange(""https:/"&amp;"/docs.google.com/spreadsheets/d/1boHyJQ4e2FU0QG8MHwEi6qjX4hvZWVCHcFfXjq7bbMc/edit?resourcekey#gid=923248883"",""Prop!$CB$1:$CL""),11,0),iferror(vlookup(B22,importrange(""https://docs.google.com/spreadsheets/d/1boHyJQ4e2FU0QG8MHwEi6qjX4hvZWVCHcFfXjq7bbMc/e"&amp;"dit?resourcekey#gid=923248883"",""Prop!$CM$1:$CX""),11,0),iferror(vlookup(B22,importrange(""https://docs.google.com/spreadsheets/d/1boHyJQ4e2FU0QG8MHwEi6qjX4hvZWVCHcFfXjq7bbMc/edit?resourcekey#gid=923248883"",""Prop!$CY$1:$DI""),11,0)))))))))))"),"")</f>
        <v/>
      </c>
      <c r="Q22" s="7" t="str">
        <f ca="1">IFERROR(__xludf.DUMMYFUNCTION("iferror(vlookup(B22,importrange(""https://docs.google.com/spreadsheets/d/1p53T2AuvvIqhP7Nf-bo3Uhj8cbKYRPpZdsrBv3x3bAQ/edit?resourcekey#gid=1321652304"",""Prop!$C$1:$M""),11,0),IFERROR(vlookup(B22,importrange(""https://docs.google.com/spreadsheets/d/1p53T2"&amp;"AuvvIqhP7Nf-bo3Uhj8cbKYRPpZdsrBv3x3bAQ/edit?resourcekey#gid=1321652304"",""Prop!$N$1:$X""),11,0),iferror(vlookup(B22,importrange(""https://docs.google.com/spreadsheets/d/1p53T2AuvvIqhP7Nf-bo3Uhj8cbKYRPpZdsrBv3x3bAQ/edit?resourcekey#gid=1321652304"",""Prop"&amp;"!$Y$1:$AI""),11,0),iferror(vlookup(B22,importrange(""https://docs.google.com/spreadsheets/d/1p53T2AuvvIqhP7Nf-bo3Uhj8cbKYRPpZdsrBv3x3bAQ/edit?resourcekey#gid=1321652304"",""Prop!$AJ$1:$AT""),11,0),iferror(vlookup(B22,importrange(""https://docs.google.com/"&amp;"spreadsheets/d/1p53T2AuvvIqhP7Nf-bo3Uhj8cbKYRPpZdsrBv3x3bAQ/edit?resourcekey#gid=1321652304"",""Prop!$AU$1:$BE""),11,0),iferror(vlookup(B22,importrange(""https://docs.google.com/spreadsheets/d/1p53T2AuvvIqhP7Nf-bo3Uhj8cbKYRPpZdsrBv3x3bAQ/edit?resourcekey#"&amp;"gid=1321652304"",""Prop!$BF$1:$BP""),11,0),iferror(vlookup(B22,importrange(""https://docs.google.com/spreadsheets/d/1p53T2AuvvIqhP7Nf-bo3Uhj8cbKYRPpZdsrBv3x3bAQ/edit?resourcekey#gid=1321652304"",""Prop!$BQ$1:$CA""),11,0),iferror(vlookup(B22,importrange("""&amp;"https://docs.google.com/spreadsheets/d/1p53T2AuvvIqhP7Nf-bo3Uhj8cbKYRPpZdsrBv3x3bAQ/edit?resourcekey#gid=1321652304"",""Prop!$CB$1:$CL""),11,0),iferror(vlookup(B22,importrange(""https://docs.google.com/spreadsheets/d/1p53T2AuvvIqhP7Nf-bo3Uhj8cbKYRPpZdsrBv"&amp;"3x3bAQ/edit?resourcekey#gid=1321652304"",""Prop!$CM$1:$CX""),11,0),iferror(vlookup(B22,importrange(""https://docs.google.com/spreadsheets/d/1p53T2AuvvIqhP7Nf-bo3Uhj8cbKYRPpZdsrBv3x3bAQ/edit?resourcekey#gid=1321652304"",""Prop!$CY$1:$DI""),11,0)))))))))))"),"https://drive.google.com/open?id=11_4rpJEp9UQdFi4S6So_v-Rp3OiXNft-")</f>
        <v>https://drive.google.com/open?id=11_4rpJEp9UQdFi4S6So_v-Rp3OiXNft-</v>
      </c>
      <c r="R22" s="20" t="s">
        <v>898</v>
      </c>
      <c r="S22" s="20" t="str">
        <f ca="1">IFERROR(__xludf.DUMMYFUNCTION("IFERROR(vlookup(B22,IMPORTRANGE(""https://docs.google.com/spreadsheets/d/1g_jfYYK_KeipEDNDUgqgrsxK94XiocfNQIcP-v1QVhI/edit?resourcekey#gid=233272945"",""Nilai!B:CT""),12,0),"" "")"),"lihat komentar di pdf")</f>
        <v>lihat komentar di pdf</v>
      </c>
      <c r="T22" s="20" t="str">
        <f ca="1">IFERROR(__xludf.DUMMYFUNCTION("IFERROR(vlookup(B22,IMPORTRANGE(""https://docs.google.com/spreadsheets/d/1g_jfYYK_KeipEDNDUgqgrsxK94XiocfNQIcP-v1QVhI/edit?resourcekey#gid=233272945"",""Nilai!B:CT""),97,0),"" "")"),"LAYAK UPLOAD KE SIMBELMAWA DENGAN REVISI")</f>
        <v>LAYAK UPLOAD KE SIMBELMAWA DENGAN REVISI</v>
      </c>
      <c r="U22" s="29" t="s">
        <v>660</v>
      </c>
      <c r="V22" s="30" t="s">
        <v>899</v>
      </c>
      <c r="W22" s="28" t="s">
        <v>914</v>
      </c>
      <c r="X22" s="20" t="b">
        <v>0</v>
      </c>
    </row>
    <row r="23" spans="1:24">
      <c r="A23" s="15">
        <v>21</v>
      </c>
      <c r="B23" s="16">
        <f ca="1">IFERROR(__xludf.DUMMYFUNCTION("""COMPUTED_VALUE"""),2691)</f>
        <v>2691</v>
      </c>
      <c r="C23" s="16" t="str">
        <f ca="1">IFERROR(__xludf.DUMMYFUNCTION("""COMPUTED_VALUE"""),"Priskila Putri Irene")</f>
        <v>Priskila Putri Irene</v>
      </c>
      <c r="D23" s="16" t="str">
        <f ca="1">IFERROR(__xludf.DUMMYFUNCTION("""COMPUTED_VALUE"""),"04211840000042")</f>
        <v>04211840000042</v>
      </c>
      <c r="E23" s="16" t="str">
        <f ca="1">IFERROR(__xludf.DUMMYFUNCTION("""COMPUTED_VALUE"""),"Departemen Teknik Sistem Perkapalan")</f>
        <v>Departemen Teknik Sistem Perkapalan</v>
      </c>
      <c r="F23" s="16" t="str">
        <f ca="1">IFERROR(__xludf.DUMMYFUNCTION("""COMPUTED_VALUE"""),"Analisis Aliran Daya Akibat Rekonfigurasi Sistem Distribusi Listrik AC Menjadi DC Pada TSHD King Arthur III Berbasis Simulasi")</f>
        <v>Analisis Aliran Daya Akibat Rekonfigurasi Sistem Distribusi Listrik AC Menjadi DC Pada TSHD King Arthur III Berbasis Simulasi</v>
      </c>
      <c r="G23" s="16" t="str">
        <f ca="1">IFERROR(__xludf.DUMMYFUNCTION("""COMPUTED_VALUE"""),"Dr.Eng. Adi Kurniawan, S.T., M.T.")</f>
        <v>Dr.Eng. Adi Kurniawan, S.T., M.T.</v>
      </c>
      <c r="H23" s="16" t="str">
        <f ca="1">IFERROR(__xludf.DUMMYFUNCTION("""COMPUTED_VALUE"""),"Prof. Dr. Dra Fahimah Martak, M.Si")</f>
        <v>Prof. Dr. Dra Fahimah Martak, M.Si</v>
      </c>
      <c r="I23" s="16" t="str">
        <f ca="1">IFERROR(__xludf.DUMMYFUNCTION("""COMPUTED_VALUE"""),"Arif Fadlan, S.Si., M.Si., D.Sc")</f>
        <v>Arif Fadlan, S.Si., M.Si., D.Sc</v>
      </c>
      <c r="J23" s="16"/>
      <c r="K23" s="17" t="s">
        <v>915</v>
      </c>
      <c r="L23" s="23" t="s">
        <v>916</v>
      </c>
      <c r="M23" s="19" t="b">
        <v>0</v>
      </c>
      <c r="N23" s="19" t="b">
        <v>0</v>
      </c>
      <c r="O23" s="1" t="s">
        <v>913</v>
      </c>
      <c r="P23" s="1" t="str">
        <f ca="1">IFERROR(__xludf.DUMMYFUNCTION("iferror(vlookup(B23,importrange(""https://docs.google.com/spreadsheets/d/1boHyJQ4e2FU0QG8MHwEi6qjX4hvZWVCHcFfXjq7bbMc/edit?resourcekey#gid=923248883"",""Prop!$C$1:$M""),11,0),IFERROR(vlookup(B23,importrange(""https://docs.google.com/spreadsheets/d/1boHyJQ"&amp;"4e2FU0QG8MHwEi6qjX4hvZWVCHcFfXjq7bbMc/edit?resourcekey#gid=923248883"",""Prop!$N$1:$X""),11,0),iferror(vlookup(B23,importrange(""https://docs.google.com/spreadsheets/d/1boHyJQ4e2FU0QG8MHwEi6qjX4hvZWVCHcFfXjq7bbMc/edit?resourcekey#gid=923248883"",""Prop!$Y"&amp;"$1:$AI""),11,0),iferror(vlookup(B23,importrange(""https://docs.google.com/spreadsheets/d/1boHyJQ4e2FU0QG8MHwEi6qjX4hvZWVCHcFfXjq7bbMc/edit?resourcekey#gid=923248883"",""Prop!$AJ$1:$AT""),11,0),iferror(vlookup(B23,importrange(""https://docs.google.com/spre"&amp;"adsheets/d/1boHyJQ4e2FU0QG8MHwEi6qjX4hvZWVCHcFfXjq7bbMc/edit?resourcekey#gid=923248883"",""Prop!$AU$1:$BE""),11,0),iferror(vlookup(B23,importrange(""https://docs.google.com/spreadsheets/d/1boHyJQ4e2FU0QG8MHwEi6qjX4hvZWVCHcFfXjq7bbMc/edit?resourcekey#gid=9"&amp;"23248883"",""Prop!$BF$1:$BP""),11,0),iferror(vlookup(B23,importrange(""https://docs.google.com/spreadsheets/d/1boHyJQ4e2FU0QG8MHwEi6qjX4hvZWVCHcFfXjq7bbMc/edit?resourcekey#gid=923248883"",""Prop!$BQ$1:$CA""),11,0),iferror(vlookup(B23,importrange(""https:/"&amp;"/docs.google.com/spreadsheets/d/1boHyJQ4e2FU0QG8MHwEi6qjX4hvZWVCHcFfXjq7bbMc/edit?resourcekey#gid=923248883"",""Prop!$CB$1:$CL""),11,0),iferror(vlookup(B23,importrange(""https://docs.google.com/spreadsheets/d/1boHyJQ4e2FU0QG8MHwEi6qjX4hvZWVCHcFfXjq7bbMc/e"&amp;"dit?resourcekey#gid=923248883"",""Prop!$CM$1:$CX""),11,0),iferror(vlookup(B23,importrange(""https://docs.google.com/spreadsheets/d/1boHyJQ4e2FU0QG8MHwEi6qjX4hvZWVCHcFfXjq7bbMc/edit?resourcekey#gid=923248883"",""Prop!$CY$1:$DI""),11,0)))))))))))"),"")</f>
        <v/>
      </c>
      <c r="Q23" s="1" t="str">
        <f ca="1">IFERROR(__xludf.DUMMYFUNCTION("iferror(vlookup(B23,importrange(""https://docs.google.com/spreadsheets/d/1p53T2AuvvIqhP7Nf-bo3Uhj8cbKYRPpZdsrBv3x3bAQ/edit?resourcekey#gid=1321652304"",""Prop!$C$1:$M""),11,0),IFERROR(vlookup(B23,importrange(""https://docs.google.com/spreadsheets/d/1p53T2"&amp;"AuvvIqhP7Nf-bo3Uhj8cbKYRPpZdsrBv3x3bAQ/edit?resourcekey#gid=1321652304"",""Prop!$N$1:$X""),11,0),iferror(vlookup(B23,importrange(""https://docs.google.com/spreadsheets/d/1p53T2AuvvIqhP7Nf-bo3Uhj8cbKYRPpZdsrBv3x3bAQ/edit?resourcekey#gid=1321652304"",""Prop"&amp;"!$Y$1:$AI""),11,0),iferror(vlookup(B23,importrange(""https://docs.google.com/spreadsheets/d/1p53T2AuvvIqhP7Nf-bo3Uhj8cbKYRPpZdsrBv3x3bAQ/edit?resourcekey#gid=1321652304"",""Prop!$AJ$1:$AT""),11,0),iferror(vlookup(B23,importrange(""https://docs.google.com/"&amp;"spreadsheets/d/1p53T2AuvvIqhP7Nf-bo3Uhj8cbKYRPpZdsrBv3x3bAQ/edit?resourcekey#gid=1321652304"",""Prop!$AU$1:$BE""),11,0),iferror(vlookup(B23,importrange(""https://docs.google.com/spreadsheets/d/1p53T2AuvvIqhP7Nf-bo3Uhj8cbKYRPpZdsrBv3x3bAQ/edit?resourcekey#"&amp;"gid=1321652304"",""Prop!$BF$1:$BP""),11,0),iferror(vlookup(B23,importrange(""https://docs.google.com/spreadsheets/d/1p53T2AuvvIqhP7Nf-bo3Uhj8cbKYRPpZdsrBv3x3bAQ/edit?resourcekey#gid=1321652304"",""Prop!$BQ$1:$CA""),11,0),iferror(vlookup(B23,importrange("""&amp;"https://docs.google.com/spreadsheets/d/1p53T2AuvvIqhP7Nf-bo3Uhj8cbKYRPpZdsrBv3x3bAQ/edit?resourcekey#gid=1321652304"",""Prop!$CB$1:$CL""),11,0),iferror(vlookup(B23,importrange(""https://docs.google.com/spreadsheets/d/1p53T2AuvvIqhP7Nf-bo3Uhj8cbKYRPpZdsrBv"&amp;"3x3bAQ/edit?resourcekey#gid=1321652304"",""Prop!$CM$1:$CX""),11,0),iferror(vlookup(B23,importrange(""https://docs.google.com/spreadsheets/d/1p53T2AuvvIqhP7Nf-bo3Uhj8cbKYRPpZdsrBv3x3bAQ/edit?resourcekey#gid=1321652304"",""Prop!$CY$1:$DI""),11,0)))))))))))"),"")</f>
        <v/>
      </c>
      <c r="R23" s="20" t="s">
        <v>898</v>
      </c>
      <c r="S23" s="20" t="str">
        <f ca="1">IFERROR(__xludf.DUMMYFUNCTION("IFERROR(vlookup(B23,IMPORTRANGE(""https://docs.google.com/spreadsheets/d/1g_jfYYK_KeipEDNDUgqgrsxK94XiocfNQIcP-v1QVhI/edit?resourcekey#gid=233272945"",""Nilai!B:CT""),12,0),"" "")")," ")</f>
        <v xml:space="preserve"> </v>
      </c>
      <c r="T23" s="20" t="str">
        <f ca="1">IFERROR(__xludf.DUMMYFUNCTION("IFERROR(vlookup(B23,IMPORTRANGE(""https://docs.google.com/spreadsheets/d/1g_jfYYK_KeipEDNDUgqgrsxK94XiocfNQIcP-v1QVhI/edit?resourcekey#gid=233272945"",""Nilai!B:CT""),97,0),"" "")")," ")</f>
        <v xml:space="preserve"> </v>
      </c>
      <c r="U23" s="29" t="s">
        <v>660</v>
      </c>
      <c r="V23" s="30" t="s">
        <v>899</v>
      </c>
      <c r="W23" s="28" t="s">
        <v>914</v>
      </c>
      <c r="X23" s="20" t="b">
        <v>0</v>
      </c>
    </row>
    <row r="24" spans="1:24">
      <c r="A24" s="15">
        <v>22</v>
      </c>
      <c r="B24" s="16">
        <f ca="1">IFERROR(__xludf.DUMMYFUNCTION("""COMPUTED_VALUE"""),2287)</f>
        <v>2287</v>
      </c>
      <c r="C24" s="16" t="str">
        <f ca="1">IFERROR(__xludf.DUMMYFUNCTION("""COMPUTED_VALUE"""),"YOGA BEKTI SUSANTO")</f>
        <v>YOGA BEKTI SUSANTO</v>
      </c>
      <c r="D24" s="16" t="str">
        <f ca="1">IFERROR(__xludf.DUMMYFUNCTION("""COMPUTED_VALUE"""),"2041201086")</f>
        <v>2041201086</v>
      </c>
      <c r="E24" s="16" t="str">
        <f ca="1">IFERROR(__xludf.DUMMYFUNCTION("""COMPUTED_VALUE"""),"Departemen Teknik Kimia Industri")</f>
        <v>Departemen Teknik Kimia Industri</v>
      </c>
      <c r="F24" s="16" t="str">
        <f ca="1">IFERROR(__xludf.DUMMYFUNCTION("""COMPUTED_VALUE"""),"Aplikasi Pencegahan dan Penanganan Tindak Kriminal Pinjaman Online Ilegal Berbasis Cloud Database")</f>
        <v>Aplikasi Pencegahan dan Penanganan Tindak Kriminal Pinjaman Online Ilegal Berbasis Cloud Database</v>
      </c>
      <c r="G24" s="16" t="str">
        <f ca="1">IFERROR(__xludf.DUMMYFUNCTION("""COMPUTED_VALUE"""),"Dr. Afan Hamzah, S.T.")</f>
        <v>Dr. Afan Hamzah, S.T.</v>
      </c>
      <c r="H24" s="16" t="str">
        <f ca="1">IFERROR(__xludf.DUMMYFUNCTION("""COMPUTED_VALUE"""),"Dian Mughni Fellicia, ST., M.Sc")</f>
        <v>Dian Mughni Fellicia, ST., M.Sc</v>
      </c>
      <c r="I24" s="16" t="str">
        <f ca="1">IFERROR(__xludf.DUMMYFUNCTION("""COMPUTED_VALUE"""),"Hariyati Purwaningsih, S.Si., M.Si.")</f>
        <v>Hariyati Purwaningsih, S.Si., M.Si.</v>
      </c>
      <c r="J24" s="16"/>
      <c r="K24" s="17" t="s">
        <v>915</v>
      </c>
      <c r="L24" s="23" t="s">
        <v>916</v>
      </c>
      <c r="M24" s="19" t="b">
        <v>0</v>
      </c>
      <c r="N24" s="19" t="b">
        <v>0</v>
      </c>
      <c r="O24" s="1" t="s">
        <v>913</v>
      </c>
      <c r="P24" s="7" t="str">
        <f ca="1">IFERROR(__xludf.DUMMYFUNCTION("iferror(vlookup(B24,importrange(""https://docs.google.com/spreadsheets/d/1boHyJQ4e2FU0QG8MHwEi6qjX4hvZWVCHcFfXjq7bbMc/edit?resourcekey#gid=923248883"",""Prop!$C$1:$M""),11,0),IFERROR(vlookup(B24,importrange(""https://docs.google.com/spreadsheets/d/1boHyJQ"&amp;"4e2FU0QG8MHwEi6qjX4hvZWVCHcFfXjq7bbMc/edit?resourcekey#gid=923248883"",""Prop!$N$1:$X""),11,0),iferror(vlookup(B24,importrange(""https://docs.google.com/spreadsheets/d/1boHyJQ4e2FU0QG8MHwEi6qjX4hvZWVCHcFfXjq7bbMc/edit?resourcekey#gid=923248883"",""Prop!$Y"&amp;"$1:$AI""),11,0),iferror(vlookup(B24,importrange(""https://docs.google.com/spreadsheets/d/1boHyJQ4e2FU0QG8MHwEi6qjX4hvZWVCHcFfXjq7bbMc/edit?resourcekey#gid=923248883"",""Prop!$AJ$1:$AT""),11,0),iferror(vlookup(B24,importrange(""https://docs.google.com/spre"&amp;"adsheets/d/1boHyJQ4e2FU0QG8MHwEi6qjX4hvZWVCHcFfXjq7bbMc/edit?resourcekey#gid=923248883"",""Prop!$AU$1:$BE""),11,0),iferror(vlookup(B24,importrange(""https://docs.google.com/spreadsheets/d/1boHyJQ4e2FU0QG8MHwEi6qjX4hvZWVCHcFfXjq7bbMc/edit?resourcekey#gid=9"&amp;"23248883"",""Prop!$BF$1:$BP""),11,0),iferror(vlookup(B24,importrange(""https://docs.google.com/spreadsheets/d/1boHyJQ4e2FU0QG8MHwEi6qjX4hvZWVCHcFfXjq7bbMc/edit?resourcekey#gid=923248883"",""Prop!$BQ$1:$CA""),11,0),iferror(vlookup(B24,importrange(""https:/"&amp;"/docs.google.com/spreadsheets/d/1boHyJQ4e2FU0QG8MHwEi6qjX4hvZWVCHcFfXjq7bbMc/edit?resourcekey#gid=923248883"",""Prop!$CB$1:$CL""),11,0),iferror(vlookup(B24,importrange(""https://docs.google.com/spreadsheets/d/1boHyJQ4e2FU0QG8MHwEi6qjX4hvZWVCHcFfXjq7bbMc/e"&amp;"dit?resourcekey#gid=923248883"",""Prop!$CM$1:$CX""),11,0),iferror(vlookup(B24,importrange(""https://docs.google.com/spreadsheets/d/1boHyJQ4e2FU0QG8MHwEi6qjX4hvZWVCHcFfXjq7bbMc/edit?resourcekey#gid=923248883"",""Prop!$CY$1:$DI""),11,0)))))))))))"),"https://drive.google.com/open?id=1xFxtvJ5LGNpTbTdjqoNIHdfraY7DOSCT")</f>
        <v>https://drive.google.com/open?id=1xFxtvJ5LGNpTbTdjqoNIHdfraY7DOSCT</v>
      </c>
      <c r="Q24" s="7" t="str">
        <f ca="1">IFERROR(__xludf.DUMMYFUNCTION("iferror(vlookup(B24,importrange(""https://docs.google.com/spreadsheets/d/1p53T2AuvvIqhP7Nf-bo3Uhj8cbKYRPpZdsrBv3x3bAQ/edit?resourcekey#gid=1321652304"",""Prop!$C$1:$M""),11,0),IFERROR(vlookup(B24,importrange(""https://docs.google.com/spreadsheets/d/1p53T2"&amp;"AuvvIqhP7Nf-bo3Uhj8cbKYRPpZdsrBv3x3bAQ/edit?resourcekey#gid=1321652304"",""Prop!$N$1:$X""),11,0),iferror(vlookup(B24,importrange(""https://docs.google.com/spreadsheets/d/1p53T2AuvvIqhP7Nf-bo3Uhj8cbKYRPpZdsrBv3x3bAQ/edit?resourcekey#gid=1321652304"",""Prop"&amp;"!$Y$1:$AI""),11,0),iferror(vlookup(B24,importrange(""https://docs.google.com/spreadsheets/d/1p53T2AuvvIqhP7Nf-bo3Uhj8cbKYRPpZdsrBv3x3bAQ/edit?resourcekey#gid=1321652304"",""Prop!$AJ$1:$AT""),11,0),iferror(vlookup(B24,importrange(""https://docs.google.com/"&amp;"spreadsheets/d/1p53T2AuvvIqhP7Nf-bo3Uhj8cbKYRPpZdsrBv3x3bAQ/edit?resourcekey#gid=1321652304"",""Prop!$AU$1:$BE""),11,0),iferror(vlookup(B24,importrange(""https://docs.google.com/spreadsheets/d/1p53T2AuvvIqhP7Nf-bo3Uhj8cbKYRPpZdsrBv3x3bAQ/edit?resourcekey#"&amp;"gid=1321652304"",""Prop!$BF$1:$BP""),11,0),iferror(vlookup(B24,importrange(""https://docs.google.com/spreadsheets/d/1p53T2AuvvIqhP7Nf-bo3Uhj8cbKYRPpZdsrBv3x3bAQ/edit?resourcekey#gid=1321652304"",""Prop!$BQ$1:$CA""),11,0),iferror(vlookup(B24,importrange("""&amp;"https://docs.google.com/spreadsheets/d/1p53T2AuvvIqhP7Nf-bo3Uhj8cbKYRPpZdsrBv3x3bAQ/edit?resourcekey#gid=1321652304"",""Prop!$CB$1:$CL""),11,0),iferror(vlookup(B24,importrange(""https://docs.google.com/spreadsheets/d/1p53T2AuvvIqhP7Nf-bo3Uhj8cbKYRPpZdsrBv"&amp;"3x3bAQ/edit?resourcekey#gid=1321652304"",""Prop!$CM$1:$CX""),11,0),iferror(vlookup(B24,importrange(""https://docs.google.com/spreadsheets/d/1p53T2AuvvIqhP7Nf-bo3Uhj8cbKYRPpZdsrBv3x3bAQ/edit?resourcekey#gid=1321652304"",""Prop!$CY$1:$DI""),11,0)))))))))))"),"https://drive.google.com/open?id=1q_7hkEsef5TNODKLrNczKASW2_HQ3C9A")</f>
        <v>https://drive.google.com/open?id=1q_7hkEsef5TNODKLrNczKASW2_HQ3C9A</v>
      </c>
      <c r="R24" s="20" t="s">
        <v>898</v>
      </c>
      <c r="S24" s="20" t="str">
        <f ca="1">IFERROR(__xludf.DUMMYFUNCTION("IFERROR(vlookup(B24,IMPORTRANGE(""https://docs.google.com/spreadsheets/d/1g_jfYYK_KeipEDNDUgqgrsxK94XiocfNQIcP-v1QVhI/edit?resourcekey#gid=233272945"",""Nilai!B:CT""),12,0),"" "")"),"tidak sesuai keilmuan, kegiatan lampau tidak jelas")</f>
        <v>tidak sesuai keilmuan, kegiatan lampau tidak jelas</v>
      </c>
      <c r="T24" s="20" t="str">
        <f ca="1">IFERROR(__xludf.DUMMYFUNCTION("IFERROR(vlookup(B24,IMPORTRANGE(""https://docs.google.com/spreadsheets/d/1g_jfYYK_KeipEDNDUgqgrsxK94XiocfNQIcP-v1QVhI/edit?resourcekey#gid=233272945"",""Nilai!B:CT""),97,0),"" "")"),"TIDAK LAYAK UPLOAD KE SIMBELMAWA")</f>
        <v>TIDAK LAYAK UPLOAD KE SIMBELMAWA</v>
      </c>
      <c r="U24" s="29" t="s">
        <v>660</v>
      </c>
      <c r="V24" s="30" t="s">
        <v>899</v>
      </c>
      <c r="W24" s="28" t="s">
        <v>917</v>
      </c>
      <c r="X24" s="20" t="b">
        <v>0</v>
      </c>
    </row>
    <row r="25" spans="1:24">
      <c r="A25" s="15">
        <v>23</v>
      </c>
      <c r="B25" s="16">
        <f ca="1">IFERROR(__xludf.DUMMYFUNCTION("""COMPUTED_VALUE"""),2390)</f>
        <v>2390</v>
      </c>
      <c r="C25" s="16" t="str">
        <f ca="1">IFERROR(__xludf.DUMMYFUNCTION("""COMPUTED_VALUE"""),"FERRY ARDIANTO LIM")</f>
        <v>FERRY ARDIANTO LIM</v>
      </c>
      <c r="D25" s="16" t="str">
        <f ca="1">IFERROR(__xludf.DUMMYFUNCTION("""COMPUTED_VALUE"""),"06311940000050")</f>
        <v>06311940000050</v>
      </c>
      <c r="E25" s="16" t="str">
        <f ca="1">IFERROR(__xludf.DUMMYFUNCTION("""COMPUTED_VALUE"""),"Departemen Aktuaria")</f>
        <v>Departemen Aktuaria</v>
      </c>
      <c r="F25" s="16" t="str">
        <f ca="1">IFERROR(__xludf.DUMMYFUNCTION("""COMPUTED_VALUE"""),"ESTIMASI RISIKO KOMODITAS EMAS BERBASIS VALUE AT RISK (VAR) DAN EXPECTED SHORTFALL (ES) DENGAN PENDEKATAN VECTOR ERROR CORRECTION MODEL (VECM)")</f>
        <v>ESTIMASI RISIKO KOMODITAS EMAS BERBASIS VALUE AT RISK (VAR) DAN EXPECTED SHORTFALL (ES) DENGAN PENDEKATAN VECTOR ERROR CORRECTION MODEL (VECM)</v>
      </c>
      <c r="G25" s="16" t="str">
        <f ca="1">IFERROR(__xludf.DUMMYFUNCTION("""COMPUTED_VALUE"""),"Imam Safawi Ahmad, S.Si., M.Si.")</f>
        <v>Imam Safawi Ahmad, S.Si., M.Si.</v>
      </c>
      <c r="H25" s="16" t="str">
        <f ca="1">IFERROR(__xludf.DUMMYFUNCTION("""COMPUTED_VALUE"""),"Dr.-Ing. Doty Dewi Risanti, S.T., M.T.")</f>
        <v>Dr.-Ing. Doty Dewi Risanti, S.T., M.T.</v>
      </c>
      <c r="I25" s="16" t="str">
        <f ca="1">IFERROR(__xludf.DUMMYFUNCTION("""COMPUTED_VALUE"""),"Hariyati Purwaningsih, S.Si., M.Si.")</f>
        <v>Hariyati Purwaningsih, S.Si., M.Si.</v>
      </c>
      <c r="J25" s="16"/>
      <c r="K25" s="17" t="s">
        <v>915</v>
      </c>
      <c r="L25" s="23" t="s">
        <v>916</v>
      </c>
      <c r="M25" s="19" t="b">
        <v>0</v>
      </c>
      <c r="N25" s="19" t="b">
        <v>1</v>
      </c>
      <c r="O25" s="1" t="s">
        <v>913</v>
      </c>
      <c r="P25" s="7" t="str">
        <f ca="1">IFERROR(__xludf.DUMMYFUNCTION("iferror(vlookup(B25,importrange(""https://docs.google.com/spreadsheets/d/1boHyJQ4e2FU0QG8MHwEi6qjX4hvZWVCHcFfXjq7bbMc/edit?resourcekey#gid=923248883"",""Prop!$C$1:$M""),11,0),IFERROR(vlookup(B25,importrange(""https://docs.google.com/spreadsheets/d/1boHyJQ"&amp;"4e2FU0QG8MHwEi6qjX4hvZWVCHcFfXjq7bbMc/edit?resourcekey#gid=923248883"",""Prop!$N$1:$X""),11,0),iferror(vlookup(B25,importrange(""https://docs.google.com/spreadsheets/d/1boHyJQ4e2FU0QG8MHwEi6qjX4hvZWVCHcFfXjq7bbMc/edit?resourcekey#gid=923248883"",""Prop!$Y"&amp;"$1:$AI""),11,0),iferror(vlookup(B25,importrange(""https://docs.google.com/spreadsheets/d/1boHyJQ4e2FU0QG8MHwEi6qjX4hvZWVCHcFfXjq7bbMc/edit?resourcekey#gid=923248883"",""Prop!$AJ$1:$AT""),11,0),iferror(vlookup(B25,importrange(""https://docs.google.com/spre"&amp;"adsheets/d/1boHyJQ4e2FU0QG8MHwEi6qjX4hvZWVCHcFfXjq7bbMc/edit?resourcekey#gid=923248883"",""Prop!$AU$1:$BE""),11,0),iferror(vlookup(B25,importrange(""https://docs.google.com/spreadsheets/d/1boHyJQ4e2FU0QG8MHwEi6qjX4hvZWVCHcFfXjq7bbMc/edit?resourcekey#gid=9"&amp;"23248883"",""Prop!$BF$1:$BP""),11,0),iferror(vlookup(B25,importrange(""https://docs.google.com/spreadsheets/d/1boHyJQ4e2FU0QG8MHwEi6qjX4hvZWVCHcFfXjq7bbMc/edit?resourcekey#gid=923248883"",""Prop!$BQ$1:$CA""),11,0),iferror(vlookup(B25,importrange(""https:/"&amp;"/docs.google.com/spreadsheets/d/1boHyJQ4e2FU0QG8MHwEi6qjX4hvZWVCHcFfXjq7bbMc/edit?resourcekey#gid=923248883"",""Prop!$CB$1:$CL""),11,0),iferror(vlookup(B25,importrange(""https://docs.google.com/spreadsheets/d/1boHyJQ4e2FU0QG8MHwEi6qjX4hvZWVCHcFfXjq7bbMc/e"&amp;"dit?resourcekey#gid=923248883"",""Prop!$CM$1:$CX""),11,0),iferror(vlookup(B25,importrange(""https://docs.google.com/spreadsheets/d/1boHyJQ4e2FU0QG8MHwEi6qjX4hvZWVCHcFfXjq7bbMc/edit?resourcekey#gid=923248883"",""Prop!$CY$1:$DI""),11,0)))))))))))"),"https://drive.google.com/open?id=1LkaMvsJWkngFq7mGn31AzJ3U4Et87q9S")</f>
        <v>https://drive.google.com/open?id=1LkaMvsJWkngFq7mGn31AzJ3U4Et87q9S</v>
      </c>
      <c r="Q25" s="7" t="str">
        <f ca="1">IFERROR(__xludf.DUMMYFUNCTION("iferror(vlookup(B25,importrange(""https://docs.google.com/spreadsheets/d/1p53T2AuvvIqhP7Nf-bo3Uhj8cbKYRPpZdsrBv3x3bAQ/edit?resourcekey#gid=1321652304"",""Prop!$C$1:$M""),11,0),IFERROR(vlookup(B25,importrange(""https://docs.google.com/spreadsheets/d/1p53T2"&amp;"AuvvIqhP7Nf-bo3Uhj8cbKYRPpZdsrBv3x3bAQ/edit?resourcekey#gid=1321652304"",""Prop!$N$1:$X""),11,0),iferror(vlookup(B25,importrange(""https://docs.google.com/spreadsheets/d/1p53T2AuvvIqhP7Nf-bo3Uhj8cbKYRPpZdsrBv3x3bAQ/edit?resourcekey#gid=1321652304"",""Prop"&amp;"!$Y$1:$AI""),11,0),iferror(vlookup(B25,importrange(""https://docs.google.com/spreadsheets/d/1p53T2AuvvIqhP7Nf-bo3Uhj8cbKYRPpZdsrBv3x3bAQ/edit?resourcekey#gid=1321652304"",""Prop!$AJ$1:$AT""),11,0),iferror(vlookup(B25,importrange(""https://docs.google.com/"&amp;"spreadsheets/d/1p53T2AuvvIqhP7Nf-bo3Uhj8cbKYRPpZdsrBv3x3bAQ/edit?resourcekey#gid=1321652304"",""Prop!$AU$1:$BE""),11,0),iferror(vlookup(B25,importrange(""https://docs.google.com/spreadsheets/d/1p53T2AuvvIqhP7Nf-bo3Uhj8cbKYRPpZdsrBv3x3bAQ/edit?resourcekey#"&amp;"gid=1321652304"",""Prop!$BF$1:$BP""),11,0),iferror(vlookup(B25,importrange(""https://docs.google.com/spreadsheets/d/1p53T2AuvvIqhP7Nf-bo3Uhj8cbKYRPpZdsrBv3x3bAQ/edit?resourcekey#gid=1321652304"",""Prop!$BQ$1:$CA""),11,0),iferror(vlookup(B25,importrange("""&amp;"https://docs.google.com/spreadsheets/d/1p53T2AuvvIqhP7Nf-bo3Uhj8cbKYRPpZdsrBv3x3bAQ/edit?resourcekey#gid=1321652304"",""Prop!$CB$1:$CL""),11,0),iferror(vlookup(B25,importrange(""https://docs.google.com/spreadsheets/d/1p53T2AuvvIqhP7Nf-bo3Uhj8cbKYRPpZdsrBv"&amp;"3x3bAQ/edit?resourcekey#gid=1321652304"",""Prop!$CM$1:$CX""),11,0),iferror(vlookup(B25,importrange(""https://docs.google.com/spreadsheets/d/1p53T2AuvvIqhP7Nf-bo3Uhj8cbKYRPpZdsrBv3x3bAQ/edit?resourcekey#gid=1321652304"",""Prop!$CY$1:$DI""),11,0)))))))))))"),"https://drive.google.com/open?id=1bR-D0JF4G7LICUyiDRIsrHTxwLx3xXEs")</f>
        <v>https://drive.google.com/open?id=1bR-D0JF4G7LICUyiDRIsrHTxwLx3xXEs</v>
      </c>
      <c r="R25" s="20" t="s">
        <v>898</v>
      </c>
      <c r="S25" s="20" t="str">
        <f ca="1">IFERROR(__xludf.DUMMYFUNCTION("IFERROR(vlookup(B25,IMPORTRANGE(""https://docs.google.com/spreadsheets/d/1g_jfYYK_KeipEDNDUgqgrsxK94XiocfNQIcP-v1QVhI/edit?resourcekey#gid=233272945"",""Nilai!B:CT""),12,0),"" "")"),"data sekunder")</f>
        <v>data sekunder</v>
      </c>
      <c r="T25" s="20" t="str">
        <f ca="1">IFERROR(__xludf.DUMMYFUNCTION("IFERROR(vlookup(B25,IMPORTRANGE(""https://docs.google.com/spreadsheets/d/1g_jfYYK_KeipEDNDUgqgrsxK94XiocfNQIcP-v1QVhI/edit?resourcekey#gid=233272945"",""Nilai!B:CT""),97,0),"" "")"),"TIDAK LAYAK UPLOAD KE SIMBELMAWA")</f>
        <v>TIDAK LAYAK UPLOAD KE SIMBELMAWA</v>
      </c>
      <c r="U25" s="29" t="s">
        <v>660</v>
      </c>
      <c r="V25" s="30" t="s">
        <v>899</v>
      </c>
      <c r="W25" s="28" t="s">
        <v>917</v>
      </c>
      <c r="X25" s="20" t="b">
        <v>1</v>
      </c>
    </row>
    <row r="26" spans="1:24">
      <c r="A26" s="15">
        <v>24</v>
      </c>
      <c r="B26" s="16">
        <f ca="1">IFERROR(__xludf.DUMMYFUNCTION("""COMPUTED_VALUE"""),2337)</f>
        <v>2337</v>
      </c>
      <c r="C26" s="16" t="str">
        <f ca="1">IFERROR(__xludf.DUMMYFUNCTION("""COMPUTED_VALUE"""),"M. FARRAS NABIL ")</f>
        <v xml:space="preserve">M. FARRAS NABIL </v>
      </c>
      <c r="D26" s="16" t="str">
        <f ca="1">IFERROR(__xludf.DUMMYFUNCTION("""COMPUTED_VALUE"""),"2040211007")</f>
        <v>2040211007</v>
      </c>
      <c r="E26" s="16" t="str">
        <f ca="1">IFERROR(__xludf.DUMMYFUNCTION("""COMPUTED_VALUE"""),"Departemen Teknik Elektro Otomasi")</f>
        <v>Departemen Teknik Elektro Otomasi</v>
      </c>
      <c r="F26" s="16" t="str">
        <f ca="1">IFERROR(__xludf.DUMMYFUNCTION("""COMPUTED_VALUE"""),"Desain dan Manufaktur Rangkaian Precharge Discharge  Menggunakan Timer Pada Mobil Formula Anargya Mark 2.0 ")</f>
        <v xml:space="preserve">Desain dan Manufaktur Rangkaian Precharge Discharge  Menggunakan Timer Pada Mobil Formula Anargya Mark 2.0 </v>
      </c>
      <c r="G26" s="16" t="str">
        <f ca="1">IFERROR(__xludf.DUMMYFUNCTION("""COMPUTED_VALUE"""),"Alief Wikarta, ST., MSc.Eng. Ph.D")</f>
        <v>Alief Wikarta, ST., MSc.Eng. Ph.D</v>
      </c>
      <c r="H26" s="16" t="str">
        <f ca="1">IFERROR(__xludf.DUMMYFUNCTION("""COMPUTED_VALUE"""),"Dian Mughni Fellicia, ST., M.Sc")</f>
        <v>Dian Mughni Fellicia, ST., M.Sc</v>
      </c>
      <c r="I26" s="16" t="str">
        <f ca="1">IFERROR(__xludf.DUMMYFUNCTION("""COMPUTED_VALUE"""),"Hariyati Purwaningsih, S.Si., M.Si.")</f>
        <v>Hariyati Purwaningsih, S.Si., M.Si.</v>
      </c>
      <c r="J26" s="16"/>
      <c r="K26" s="17" t="s">
        <v>915</v>
      </c>
      <c r="L26" s="23" t="s">
        <v>916</v>
      </c>
      <c r="M26" s="19" t="b">
        <v>0</v>
      </c>
      <c r="N26" s="19" t="b">
        <v>1</v>
      </c>
      <c r="O26" s="1" t="s">
        <v>913</v>
      </c>
      <c r="P26" s="7" t="str">
        <f ca="1">IFERROR(__xludf.DUMMYFUNCTION("iferror(vlookup(B26,importrange(""https://docs.google.com/spreadsheets/d/1boHyJQ4e2FU0QG8MHwEi6qjX4hvZWVCHcFfXjq7bbMc/edit?resourcekey#gid=923248883"",""Prop!$C$1:$M""),11,0),IFERROR(vlookup(B26,importrange(""https://docs.google.com/spreadsheets/d/1boHyJQ"&amp;"4e2FU0QG8MHwEi6qjX4hvZWVCHcFfXjq7bbMc/edit?resourcekey#gid=923248883"",""Prop!$N$1:$X""),11,0),iferror(vlookup(B26,importrange(""https://docs.google.com/spreadsheets/d/1boHyJQ4e2FU0QG8MHwEi6qjX4hvZWVCHcFfXjq7bbMc/edit?resourcekey#gid=923248883"",""Prop!$Y"&amp;"$1:$AI""),11,0),iferror(vlookup(B26,importrange(""https://docs.google.com/spreadsheets/d/1boHyJQ4e2FU0QG8MHwEi6qjX4hvZWVCHcFfXjq7bbMc/edit?resourcekey#gid=923248883"",""Prop!$AJ$1:$AT""),11,0),iferror(vlookup(B26,importrange(""https://docs.google.com/spre"&amp;"adsheets/d/1boHyJQ4e2FU0QG8MHwEi6qjX4hvZWVCHcFfXjq7bbMc/edit?resourcekey#gid=923248883"",""Prop!$AU$1:$BE""),11,0),iferror(vlookup(B26,importrange(""https://docs.google.com/spreadsheets/d/1boHyJQ4e2FU0QG8MHwEi6qjX4hvZWVCHcFfXjq7bbMc/edit?resourcekey#gid=9"&amp;"23248883"",""Prop!$BF$1:$BP""),11,0),iferror(vlookup(B26,importrange(""https://docs.google.com/spreadsheets/d/1boHyJQ4e2FU0QG8MHwEi6qjX4hvZWVCHcFfXjq7bbMc/edit?resourcekey#gid=923248883"",""Prop!$BQ$1:$CA""),11,0),iferror(vlookup(B26,importrange(""https:/"&amp;"/docs.google.com/spreadsheets/d/1boHyJQ4e2FU0QG8MHwEi6qjX4hvZWVCHcFfXjq7bbMc/edit?resourcekey#gid=923248883"",""Prop!$CB$1:$CL""),11,0),iferror(vlookup(B26,importrange(""https://docs.google.com/spreadsheets/d/1boHyJQ4e2FU0QG8MHwEi6qjX4hvZWVCHcFfXjq7bbMc/e"&amp;"dit?resourcekey#gid=923248883"",""Prop!$CM$1:$CX""),11,0),iferror(vlookup(B26,importrange(""https://docs.google.com/spreadsheets/d/1boHyJQ4e2FU0QG8MHwEi6qjX4hvZWVCHcFfXjq7bbMc/edit?resourcekey#gid=923248883"",""Prop!$CY$1:$DI""),11,0)))))))))))"),"https://drive.google.com/open?id=1hDP5zkXovYlvW5BdxiMkI64oZfFqvqA8")</f>
        <v>https://drive.google.com/open?id=1hDP5zkXovYlvW5BdxiMkI64oZfFqvqA8</v>
      </c>
      <c r="Q26" s="7" t="str">
        <f ca="1">IFERROR(__xludf.DUMMYFUNCTION("iferror(vlookup(B26,importrange(""https://docs.google.com/spreadsheets/d/1p53T2AuvvIqhP7Nf-bo3Uhj8cbKYRPpZdsrBv3x3bAQ/edit?resourcekey#gid=1321652304"",""Prop!$C$1:$M""),11,0),IFERROR(vlookup(B26,importrange(""https://docs.google.com/spreadsheets/d/1p53T2"&amp;"AuvvIqhP7Nf-bo3Uhj8cbKYRPpZdsrBv3x3bAQ/edit?resourcekey#gid=1321652304"",""Prop!$N$1:$X""),11,0),iferror(vlookup(B26,importrange(""https://docs.google.com/spreadsheets/d/1p53T2AuvvIqhP7Nf-bo3Uhj8cbKYRPpZdsrBv3x3bAQ/edit?resourcekey#gid=1321652304"",""Prop"&amp;"!$Y$1:$AI""),11,0),iferror(vlookup(B26,importrange(""https://docs.google.com/spreadsheets/d/1p53T2AuvvIqhP7Nf-bo3Uhj8cbKYRPpZdsrBv3x3bAQ/edit?resourcekey#gid=1321652304"",""Prop!$AJ$1:$AT""),11,0),iferror(vlookup(B26,importrange(""https://docs.google.com/"&amp;"spreadsheets/d/1p53T2AuvvIqhP7Nf-bo3Uhj8cbKYRPpZdsrBv3x3bAQ/edit?resourcekey#gid=1321652304"",""Prop!$AU$1:$BE""),11,0),iferror(vlookup(B26,importrange(""https://docs.google.com/spreadsheets/d/1p53T2AuvvIqhP7Nf-bo3Uhj8cbKYRPpZdsrBv3x3bAQ/edit?resourcekey#"&amp;"gid=1321652304"",""Prop!$BF$1:$BP""),11,0),iferror(vlookup(B26,importrange(""https://docs.google.com/spreadsheets/d/1p53T2AuvvIqhP7Nf-bo3Uhj8cbKYRPpZdsrBv3x3bAQ/edit?resourcekey#gid=1321652304"",""Prop!$BQ$1:$CA""),11,0),iferror(vlookup(B26,importrange("""&amp;"https://docs.google.com/spreadsheets/d/1p53T2AuvvIqhP7Nf-bo3Uhj8cbKYRPpZdsrBv3x3bAQ/edit?resourcekey#gid=1321652304"",""Prop!$CB$1:$CL""),11,0),iferror(vlookup(B26,importrange(""https://docs.google.com/spreadsheets/d/1p53T2AuvvIqhP7Nf-bo3Uhj8cbKYRPpZdsrBv"&amp;"3x3bAQ/edit?resourcekey#gid=1321652304"",""Prop!$CM$1:$CX""),11,0),iferror(vlookup(B26,importrange(""https://docs.google.com/spreadsheets/d/1p53T2AuvvIqhP7Nf-bo3Uhj8cbKYRPpZdsrBv3x3bAQ/edit?resourcekey#gid=1321652304"",""Prop!$CY$1:$DI""),11,0)))))))))))"),"https://drive.google.com/open?id=1icAqMnQ2o5iTbkzTsuhwbr8ap549HGwK")</f>
        <v>https://drive.google.com/open?id=1icAqMnQ2o5iTbkzTsuhwbr8ap549HGwK</v>
      </c>
      <c r="R26" s="20" t="s">
        <v>898</v>
      </c>
      <c r="S26" s="20" t="str">
        <f ca="1">IFERROR(__xludf.DUMMYFUNCTION("IFERROR(vlookup(B26,IMPORTRANGE(""https://docs.google.com/spreadsheets/d/1g_jfYYK_KeipEDNDUgqgrsxK94XiocfNQIcP-v1QVhI/edit?resourcekey#gid=233272945"",""Nilai!B:CT""),12,0),"" "")"),"lihat pdf")</f>
        <v>lihat pdf</v>
      </c>
      <c r="T26" s="20" t="str">
        <f ca="1">IFERROR(__xludf.DUMMYFUNCTION("IFERROR(vlookup(B26,IMPORTRANGE(""https://docs.google.com/spreadsheets/d/1g_jfYYK_KeipEDNDUgqgrsxK94XiocfNQIcP-v1QVhI/edit?resourcekey#gid=233272945"",""Nilai!B:CT""),97,0),"" "")"),"LAYAK UPLOAD KE SIMBELMAWA DENGAN REVISI")</f>
        <v>LAYAK UPLOAD KE SIMBELMAWA DENGAN REVISI</v>
      </c>
      <c r="U26" s="29" t="s">
        <v>660</v>
      </c>
      <c r="V26" s="30" t="s">
        <v>899</v>
      </c>
      <c r="W26" s="28" t="s">
        <v>917</v>
      </c>
      <c r="X26" s="20" t="b">
        <v>1</v>
      </c>
    </row>
    <row r="27" spans="1:24">
      <c r="A27" s="15">
        <v>25</v>
      </c>
      <c r="B27" s="16">
        <f ca="1">IFERROR(__xludf.DUMMYFUNCTION("""COMPUTED_VALUE"""),2686)</f>
        <v>2686</v>
      </c>
      <c r="C27" s="16" t="str">
        <f ca="1">IFERROR(__xludf.DUMMYFUNCTION("""COMPUTED_VALUE"""),"MASAYU ANGGITHA MIRANDA")</f>
        <v>MASAYU ANGGITHA MIRANDA</v>
      </c>
      <c r="D27" s="16" t="str">
        <f ca="1">IFERROR(__xludf.DUMMYFUNCTION("""COMPUTED_VALUE"""),"02111940000079")</f>
        <v>02111940000079</v>
      </c>
      <c r="E27" s="16" t="str">
        <f ca="1">IFERROR(__xludf.DUMMYFUNCTION("""COMPUTED_VALUE"""),"Departemen Teknik Mesin")</f>
        <v>Departemen Teknik Mesin</v>
      </c>
      <c r="F27" s="16" t="str">
        <f ca="1">IFERROR(__xludf.DUMMYFUNCTION("""COMPUTED_VALUE"""),"Desain, Simulasi, dan Analisis Struktural Sasis Mobil Balap Formula Student Society of Automotive Engineers Anargya ITS Team Mark 2.0")</f>
        <v>Desain, Simulasi, dan Analisis Struktural Sasis Mobil Balap Formula Student Society of Automotive Engineers Anargya ITS Team Mark 2.0</v>
      </c>
      <c r="G27" s="16" t="str">
        <f ca="1">IFERROR(__xludf.DUMMYFUNCTION("""COMPUTED_VALUE"""),"Alief Wikarta, ST., MSc.Eng. Ph.D")</f>
        <v>Alief Wikarta, ST., MSc.Eng. Ph.D</v>
      </c>
      <c r="H27" s="16" t="str">
        <f ca="1">IFERROR(__xludf.DUMMYFUNCTION("""COMPUTED_VALUE"""),"Dian Mughni Fellicia, ST., M.Sc")</f>
        <v>Dian Mughni Fellicia, ST., M.Sc</v>
      </c>
      <c r="I27" s="16" t="str">
        <f ca="1">IFERROR(__xludf.DUMMYFUNCTION("""COMPUTED_VALUE"""),"Hariyati Purwaningsih, S.Si., M.Si.")</f>
        <v>Hariyati Purwaningsih, S.Si., M.Si.</v>
      </c>
      <c r="J27" s="16"/>
      <c r="K27" s="17" t="s">
        <v>915</v>
      </c>
      <c r="L27" s="23" t="s">
        <v>918</v>
      </c>
      <c r="M27" s="19" t="b">
        <v>0</v>
      </c>
      <c r="N27" s="19" t="b">
        <v>0</v>
      </c>
      <c r="O27" s="1" t="s">
        <v>913</v>
      </c>
      <c r="P27" s="7" t="str">
        <f ca="1">IFERROR(__xludf.DUMMYFUNCTION("iferror(vlookup(B27,importrange(""https://docs.google.com/spreadsheets/d/1boHyJQ4e2FU0QG8MHwEi6qjX4hvZWVCHcFfXjq7bbMc/edit?resourcekey#gid=923248883"",""Prop!$C$1:$M""),11,0),IFERROR(vlookup(B27,importrange(""https://docs.google.com/spreadsheets/d/1boHyJQ"&amp;"4e2FU0QG8MHwEi6qjX4hvZWVCHcFfXjq7bbMc/edit?resourcekey#gid=923248883"",""Prop!$N$1:$X""),11,0),iferror(vlookup(B27,importrange(""https://docs.google.com/spreadsheets/d/1boHyJQ4e2FU0QG8MHwEi6qjX4hvZWVCHcFfXjq7bbMc/edit?resourcekey#gid=923248883"",""Prop!$Y"&amp;"$1:$AI""),11,0),iferror(vlookup(B27,importrange(""https://docs.google.com/spreadsheets/d/1boHyJQ4e2FU0QG8MHwEi6qjX4hvZWVCHcFfXjq7bbMc/edit?resourcekey#gid=923248883"",""Prop!$AJ$1:$AT""),11,0),iferror(vlookup(B27,importrange(""https://docs.google.com/spre"&amp;"adsheets/d/1boHyJQ4e2FU0QG8MHwEi6qjX4hvZWVCHcFfXjq7bbMc/edit?resourcekey#gid=923248883"",""Prop!$AU$1:$BE""),11,0),iferror(vlookup(B27,importrange(""https://docs.google.com/spreadsheets/d/1boHyJQ4e2FU0QG8MHwEi6qjX4hvZWVCHcFfXjq7bbMc/edit?resourcekey#gid=9"&amp;"23248883"",""Prop!$BF$1:$BP""),11,0),iferror(vlookup(B27,importrange(""https://docs.google.com/spreadsheets/d/1boHyJQ4e2FU0QG8MHwEi6qjX4hvZWVCHcFfXjq7bbMc/edit?resourcekey#gid=923248883"",""Prop!$BQ$1:$CA""),11,0),iferror(vlookup(B27,importrange(""https:/"&amp;"/docs.google.com/spreadsheets/d/1boHyJQ4e2FU0QG8MHwEi6qjX4hvZWVCHcFfXjq7bbMc/edit?resourcekey#gid=923248883"",""Prop!$CB$1:$CL""),11,0),iferror(vlookup(B27,importrange(""https://docs.google.com/spreadsheets/d/1boHyJQ4e2FU0QG8MHwEi6qjX4hvZWVCHcFfXjq7bbMc/e"&amp;"dit?resourcekey#gid=923248883"",""Prop!$CM$1:$CX""),11,0),iferror(vlookup(B27,importrange(""https://docs.google.com/spreadsheets/d/1boHyJQ4e2FU0QG8MHwEi6qjX4hvZWVCHcFfXjq7bbMc/edit?resourcekey#gid=923248883"",""Prop!$CY$1:$DI""),11,0)))))))))))"),"https://drive.google.com/open?id=1HaqSKY6F3sJHrWllQDi7397mdtbI8SQl")</f>
        <v>https://drive.google.com/open?id=1HaqSKY6F3sJHrWllQDi7397mdtbI8SQl</v>
      </c>
      <c r="Q27" s="7" t="str">
        <f ca="1">IFERROR(__xludf.DUMMYFUNCTION("iferror(vlookup(B27,importrange(""https://docs.google.com/spreadsheets/d/1p53T2AuvvIqhP7Nf-bo3Uhj8cbKYRPpZdsrBv3x3bAQ/edit?resourcekey#gid=1321652304"",""Prop!$C$1:$M""),11,0),IFERROR(vlookup(B27,importrange(""https://docs.google.com/spreadsheets/d/1p53T2"&amp;"AuvvIqhP7Nf-bo3Uhj8cbKYRPpZdsrBv3x3bAQ/edit?resourcekey#gid=1321652304"",""Prop!$N$1:$X""),11,0),iferror(vlookup(B27,importrange(""https://docs.google.com/spreadsheets/d/1p53T2AuvvIqhP7Nf-bo3Uhj8cbKYRPpZdsrBv3x3bAQ/edit?resourcekey#gid=1321652304"",""Prop"&amp;"!$Y$1:$AI""),11,0),iferror(vlookup(B27,importrange(""https://docs.google.com/spreadsheets/d/1p53T2AuvvIqhP7Nf-bo3Uhj8cbKYRPpZdsrBv3x3bAQ/edit?resourcekey#gid=1321652304"",""Prop!$AJ$1:$AT""),11,0),iferror(vlookup(B27,importrange(""https://docs.google.com/"&amp;"spreadsheets/d/1p53T2AuvvIqhP7Nf-bo3Uhj8cbKYRPpZdsrBv3x3bAQ/edit?resourcekey#gid=1321652304"",""Prop!$AU$1:$BE""),11,0),iferror(vlookup(B27,importrange(""https://docs.google.com/spreadsheets/d/1p53T2AuvvIqhP7Nf-bo3Uhj8cbKYRPpZdsrBv3x3bAQ/edit?resourcekey#"&amp;"gid=1321652304"",""Prop!$BF$1:$BP""),11,0),iferror(vlookup(B27,importrange(""https://docs.google.com/spreadsheets/d/1p53T2AuvvIqhP7Nf-bo3Uhj8cbKYRPpZdsrBv3x3bAQ/edit?resourcekey#gid=1321652304"",""Prop!$BQ$1:$CA""),11,0),iferror(vlookup(B27,importrange("""&amp;"https://docs.google.com/spreadsheets/d/1p53T2AuvvIqhP7Nf-bo3Uhj8cbKYRPpZdsrBv3x3bAQ/edit?resourcekey#gid=1321652304"",""Prop!$CB$1:$CL""),11,0),iferror(vlookup(B27,importrange(""https://docs.google.com/spreadsheets/d/1p53T2AuvvIqhP7Nf-bo3Uhj8cbKYRPpZdsrBv"&amp;"3x3bAQ/edit?resourcekey#gid=1321652304"",""Prop!$CM$1:$CX""),11,0),iferror(vlookup(B27,importrange(""https://docs.google.com/spreadsheets/d/1p53T2AuvvIqhP7Nf-bo3Uhj8cbKYRPpZdsrBv3x3bAQ/edit?resourcekey#gid=1321652304"",""Prop!$CY$1:$DI""),11,0)))))))))))"),"https://drive.google.com/open?id=1r8vrVvoo6Pf7SwVBb-wlzVLoL9M9rlS7")</f>
        <v>https://drive.google.com/open?id=1r8vrVvoo6Pf7SwVBb-wlzVLoL9M9rlS7</v>
      </c>
      <c r="R27" s="20" t="s">
        <v>898</v>
      </c>
      <c r="S27" s="20" t="str">
        <f ca="1">IFERROR(__xludf.DUMMYFUNCTION("IFERROR(vlookup(B27,IMPORTRANGE(""https://docs.google.com/spreadsheets/d/1g_jfYYK_KeipEDNDUgqgrsxK94XiocfNQIcP-v1QVhI/edit?resourcekey#gid=233272945"",""Nilai!B:CT""),12,0),"" "")"),"lihat pdf")</f>
        <v>lihat pdf</v>
      </c>
      <c r="T27" s="20" t="str">
        <f ca="1">IFERROR(__xludf.DUMMYFUNCTION("IFERROR(vlookup(B27,IMPORTRANGE(""https://docs.google.com/spreadsheets/d/1g_jfYYK_KeipEDNDUgqgrsxK94XiocfNQIcP-v1QVhI/edit?resourcekey#gid=233272945"",""Nilai!B:CT""),97,0),"" "")"),"LAYAK UPLOAD KE SIMBELMAWA DENGAN REVISI")</f>
        <v>LAYAK UPLOAD KE SIMBELMAWA DENGAN REVISI</v>
      </c>
      <c r="U27" s="29" t="s">
        <v>660</v>
      </c>
      <c r="V27" s="30" t="s">
        <v>899</v>
      </c>
      <c r="W27" s="28" t="s">
        <v>919</v>
      </c>
      <c r="X27" s="20" t="b">
        <v>0</v>
      </c>
    </row>
    <row r="28" spans="1:24">
      <c r="A28" s="15">
        <v>26</v>
      </c>
      <c r="B28" s="16">
        <f ca="1">IFERROR(__xludf.DUMMYFUNCTION("""COMPUTED_VALUE"""),3907)</f>
        <v>3907</v>
      </c>
      <c r="C28" s="16" t="str">
        <f ca="1">IFERROR(__xludf.DUMMYFUNCTION("""COMPUTED_VALUE"""),"Chaerul Bahrum")</f>
        <v>Chaerul Bahrum</v>
      </c>
      <c r="D28" s="16" t="str">
        <f ca="1">IFERROR(__xludf.DUMMYFUNCTION("""COMPUTED_VALUE"""),"08111840000010")</f>
        <v>08111840000010</v>
      </c>
      <c r="E28" s="16" t="str">
        <f ca="1">IFERROR(__xludf.DUMMYFUNCTION("""COMPUTED_VALUE"""),"Departemen Arsitektur")</f>
        <v>Departemen Arsitektur</v>
      </c>
      <c r="F28" s="16" t="str">
        <f ca="1">IFERROR(__xludf.DUMMYFUNCTION("""COMPUTED_VALUE"""),"Investigasi Fungsi Ruang Terhadap Penyintas Covid-19
Selama Karantina Mandiri")</f>
        <v>Investigasi Fungsi Ruang Terhadap Penyintas Covid-19
Selama Karantina Mandiri</v>
      </c>
      <c r="G28" s="16" t="str">
        <f ca="1">IFERROR(__xludf.DUMMYFUNCTION("""COMPUTED_VALUE"""),"Dr.Eng. Didit Novianto, S.T., M.Eng.")</f>
        <v>Dr.Eng. Didit Novianto, S.T., M.Eng.</v>
      </c>
      <c r="H28" s="16" t="str">
        <f ca="1">IFERROR(__xludf.DUMMYFUNCTION("""COMPUTED_VALUE"""),"Dr.-Ing. Doty Dewi Risanti, S.T., M.T.")</f>
        <v>Dr.-Ing. Doty Dewi Risanti, S.T., M.T.</v>
      </c>
      <c r="I28" s="16" t="str">
        <f ca="1">IFERROR(__xludf.DUMMYFUNCTION("""COMPUTED_VALUE"""),"Hariyati Purwaningsih, S.Si., M.Si.")</f>
        <v>Hariyati Purwaningsih, S.Si., M.Si.</v>
      </c>
      <c r="J28" s="16"/>
      <c r="K28" s="17" t="s">
        <v>915</v>
      </c>
      <c r="L28" s="23" t="s">
        <v>918</v>
      </c>
      <c r="M28" s="19" t="b">
        <v>0</v>
      </c>
      <c r="N28" s="19" t="b">
        <v>0</v>
      </c>
      <c r="O28" s="1" t="s">
        <v>913</v>
      </c>
      <c r="P28" s="1" t="str">
        <f ca="1">IFERROR(__xludf.DUMMYFUNCTION("iferror(vlookup(B28,importrange(""https://docs.google.com/spreadsheets/d/1boHyJQ4e2FU0QG8MHwEi6qjX4hvZWVCHcFfXjq7bbMc/edit?resourcekey#gid=923248883"",""Prop!$C$1:$M""),11,0),IFERROR(vlookup(B28,importrange(""https://docs.google.com/spreadsheets/d/1boHyJQ"&amp;"4e2FU0QG8MHwEi6qjX4hvZWVCHcFfXjq7bbMc/edit?resourcekey#gid=923248883"",""Prop!$N$1:$X""),11,0),iferror(vlookup(B28,importrange(""https://docs.google.com/spreadsheets/d/1boHyJQ4e2FU0QG8MHwEi6qjX4hvZWVCHcFfXjq7bbMc/edit?resourcekey#gid=923248883"",""Prop!$Y"&amp;"$1:$AI""),11,0),iferror(vlookup(B28,importrange(""https://docs.google.com/spreadsheets/d/1boHyJQ4e2FU0QG8MHwEi6qjX4hvZWVCHcFfXjq7bbMc/edit?resourcekey#gid=923248883"",""Prop!$AJ$1:$AT""),11,0),iferror(vlookup(B28,importrange(""https://docs.google.com/spre"&amp;"adsheets/d/1boHyJQ4e2FU0QG8MHwEi6qjX4hvZWVCHcFfXjq7bbMc/edit?resourcekey#gid=923248883"",""Prop!$AU$1:$BE""),11,0),iferror(vlookup(B28,importrange(""https://docs.google.com/spreadsheets/d/1boHyJQ4e2FU0QG8MHwEi6qjX4hvZWVCHcFfXjq7bbMc/edit?resourcekey#gid=9"&amp;"23248883"",""Prop!$BF$1:$BP""),11,0),iferror(vlookup(B28,importrange(""https://docs.google.com/spreadsheets/d/1boHyJQ4e2FU0QG8MHwEi6qjX4hvZWVCHcFfXjq7bbMc/edit?resourcekey#gid=923248883"",""Prop!$BQ$1:$CA""),11,0),iferror(vlookup(B28,importrange(""https:/"&amp;"/docs.google.com/spreadsheets/d/1boHyJQ4e2FU0QG8MHwEi6qjX4hvZWVCHcFfXjq7bbMc/edit?resourcekey#gid=923248883"",""Prop!$CB$1:$CL""),11,0),iferror(vlookup(B28,importrange(""https://docs.google.com/spreadsheets/d/1boHyJQ4e2FU0QG8MHwEi6qjX4hvZWVCHcFfXjq7bbMc/e"&amp;"dit?resourcekey#gid=923248883"",""Prop!$CM$1:$CX""),11,0),iferror(vlookup(B28,importrange(""https://docs.google.com/spreadsheets/d/1boHyJQ4e2FU0QG8MHwEi6qjX4hvZWVCHcFfXjq7bbMc/edit?resourcekey#gid=923248883"",""Prop!$CY$1:$DI""),11,0)))))))))))"),"")</f>
        <v/>
      </c>
      <c r="Q28" s="1" t="str">
        <f ca="1">IFERROR(__xludf.DUMMYFUNCTION("iferror(vlookup(B28,importrange(""https://docs.google.com/spreadsheets/d/1p53T2AuvvIqhP7Nf-bo3Uhj8cbKYRPpZdsrBv3x3bAQ/edit?resourcekey#gid=1321652304"",""Prop!$C$1:$M""),11,0),IFERROR(vlookup(B28,importrange(""https://docs.google.com/spreadsheets/d/1p53T2"&amp;"AuvvIqhP7Nf-bo3Uhj8cbKYRPpZdsrBv3x3bAQ/edit?resourcekey#gid=1321652304"",""Prop!$N$1:$X""),11,0),iferror(vlookup(B28,importrange(""https://docs.google.com/spreadsheets/d/1p53T2AuvvIqhP7Nf-bo3Uhj8cbKYRPpZdsrBv3x3bAQ/edit?resourcekey#gid=1321652304"",""Prop"&amp;"!$Y$1:$AI""),11,0),iferror(vlookup(B28,importrange(""https://docs.google.com/spreadsheets/d/1p53T2AuvvIqhP7Nf-bo3Uhj8cbKYRPpZdsrBv3x3bAQ/edit?resourcekey#gid=1321652304"",""Prop!$AJ$1:$AT""),11,0),iferror(vlookup(B28,importrange(""https://docs.google.com/"&amp;"spreadsheets/d/1p53T2AuvvIqhP7Nf-bo3Uhj8cbKYRPpZdsrBv3x3bAQ/edit?resourcekey#gid=1321652304"",""Prop!$AU$1:$BE""),11,0),iferror(vlookup(B28,importrange(""https://docs.google.com/spreadsheets/d/1p53T2AuvvIqhP7Nf-bo3Uhj8cbKYRPpZdsrBv3x3bAQ/edit?resourcekey#"&amp;"gid=1321652304"",""Prop!$BF$1:$BP""),11,0),iferror(vlookup(B28,importrange(""https://docs.google.com/spreadsheets/d/1p53T2AuvvIqhP7Nf-bo3Uhj8cbKYRPpZdsrBv3x3bAQ/edit?resourcekey#gid=1321652304"",""Prop!$BQ$1:$CA""),11,0),iferror(vlookup(B28,importrange("""&amp;"https://docs.google.com/spreadsheets/d/1p53T2AuvvIqhP7Nf-bo3Uhj8cbKYRPpZdsrBv3x3bAQ/edit?resourcekey#gid=1321652304"",""Prop!$CB$1:$CL""),11,0),iferror(vlookup(B28,importrange(""https://docs.google.com/spreadsheets/d/1p53T2AuvvIqhP7Nf-bo3Uhj8cbKYRPpZdsrBv"&amp;"3x3bAQ/edit?resourcekey#gid=1321652304"",""Prop!$CM$1:$CX""),11,0),iferror(vlookup(B28,importrange(""https://docs.google.com/spreadsheets/d/1p53T2AuvvIqhP7Nf-bo3Uhj8cbKYRPpZdsrBv3x3bAQ/edit?resourcekey#gid=1321652304"",""Prop!$CY$1:$DI""),11,0)))))))))))"),"")</f>
        <v/>
      </c>
      <c r="R28" s="20" t="s">
        <v>898</v>
      </c>
      <c r="S28" s="20" t="str">
        <f ca="1">IFERROR(__xludf.DUMMYFUNCTION("IFERROR(vlookup(B28,IMPORTRANGE(""https://docs.google.com/spreadsheets/d/1g_jfYYK_KeipEDNDUgqgrsxK94XiocfNQIcP-v1QVhI/edit?resourcekey#gid=233272945"",""Nilai!B:CT""),12,0),"" "")")," ")</f>
        <v xml:space="preserve"> </v>
      </c>
      <c r="T28" s="20" t="str">
        <f ca="1">IFERROR(__xludf.DUMMYFUNCTION("IFERROR(vlookup(B28,IMPORTRANGE(""https://docs.google.com/spreadsheets/d/1g_jfYYK_KeipEDNDUgqgrsxK94XiocfNQIcP-v1QVhI/edit?resourcekey#gid=233272945"",""Nilai!B:CT""),97,0),"" "")")," ")</f>
        <v xml:space="preserve"> </v>
      </c>
      <c r="U28" s="29" t="s">
        <v>660</v>
      </c>
      <c r="V28" s="30" t="s">
        <v>899</v>
      </c>
      <c r="W28" s="28" t="s">
        <v>919</v>
      </c>
      <c r="X28" s="20" t="b">
        <v>0</v>
      </c>
    </row>
    <row r="29" spans="1:24">
      <c r="A29" s="15">
        <v>27</v>
      </c>
      <c r="B29" s="16">
        <f ca="1">IFERROR(__xludf.DUMMYFUNCTION("""COMPUTED_VALUE"""),2774)</f>
        <v>2774</v>
      </c>
      <c r="C29" s="16" t="str">
        <f ca="1">IFERROR(__xludf.DUMMYFUNCTION("""COMPUTED_VALUE"""),"Charisa Virga Muliyono")</f>
        <v>Charisa Virga Muliyono</v>
      </c>
      <c r="D29" s="16" t="str">
        <f ca="1">IFERROR(__xludf.DUMMYFUNCTION("""COMPUTED_VALUE"""),"02311840000008")</f>
        <v>02311840000008</v>
      </c>
      <c r="E29" s="16" t="str">
        <f ca="1">IFERROR(__xludf.DUMMYFUNCTION("""COMPUTED_VALUE"""),"Departemen Teknik Fisika")</f>
        <v>Departemen Teknik Fisika</v>
      </c>
      <c r="F29" s="16" t="str">
        <f ca="1">IFERROR(__xludf.DUMMYFUNCTION("""COMPUTED_VALUE"""),"Analisis Dinamika Transfer Muatan pada Quasi-solid state Dye-sensitized Solar Cells (DSSC) dengan Spektroskopi Impedansi")</f>
        <v>Analisis Dinamika Transfer Muatan pada Quasi-solid state Dye-sensitized Solar Cells (DSSC) dengan Spektroskopi Impedansi</v>
      </c>
      <c r="G29" s="16" t="str">
        <f ca="1">IFERROR(__xludf.DUMMYFUNCTION("""COMPUTED_VALUE"""),"Dr.rer.nat Ruri Agung Wahyuono, S.T., M.T.")</f>
        <v>Dr.rer.nat Ruri Agung Wahyuono, S.T., M.T.</v>
      </c>
      <c r="H29" s="16" t="str">
        <f ca="1">IFERROR(__xludf.DUMMYFUNCTION("""COMPUTED_VALUE"""),"Dr.-Ing. Doty Dewi Risanti, S.T., M.T.")</f>
        <v>Dr.-Ing. Doty Dewi Risanti, S.T., M.T.</v>
      </c>
      <c r="I29" s="16" t="str">
        <f ca="1">IFERROR(__xludf.DUMMYFUNCTION("""COMPUTED_VALUE"""),"Hariyati Purwaningsih, S.Si., M.Si.")</f>
        <v>Hariyati Purwaningsih, S.Si., M.Si.</v>
      </c>
      <c r="J29" s="16"/>
      <c r="K29" s="17" t="s">
        <v>915</v>
      </c>
      <c r="L29" s="23" t="s">
        <v>918</v>
      </c>
      <c r="M29" s="19" t="b">
        <v>0</v>
      </c>
      <c r="N29" s="19" t="b">
        <v>0</v>
      </c>
      <c r="O29" s="1" t="s">
        <v>913</v>
      </c>
      <c r="P29" s="7" t="str">
        <f ca="1">IFERROR(__xludf.DUMMYFUNCTION("iferror(vlookup(B29,importrange(""https://docs.google.com/spreadsheets/d/1boHyJQ4e2FU0QG8MHwEi6qjX4hvZWVCHcFfXjq7bbMc/edit?resourcekey#gid=923248883"",""Prop!$C$1:$M""),11,0),IFERROR(vlookup(B29,importrange(""https://docs.google.com/spreadsheets/d/1boHyJQ"&amp;"4e2FU0QG8MHwEi6qjX4hvZWVCHcFfXjq7bbMc/edit?resourcekey#gid=923248883"",""Prop!$N$1:$X""),11,0),iferror(vlookup(B29,importrange(""https://docs.google.com/spreadsheets/d/1boHyJQ4e2FU0QG8MHwEi6qjX4hvZWVCHcFfXjq7bbMc/edit?resourcekey#gid=923248883"",""Prop!$Y"&amp;"$1:$AI""),11,0),iferror(vlookup(B29,importrange(""https://docs.google.com/spreadsheets/d/1boHyJQ4e2FU0QG8MHwEi6qjX4hvZWVCHcFfXjq7bbMc/edit?resourcekey#gid=923248883"",""Prop!$AJ$1:$AT""),11,0),iferror(vlookup(B29,importrange(""https://docs.google.com/spre"&amp;"adsheets/d/1boHyJQ4e2FU0QG8MHwEi6qjX4hvZWVCHcFfXjq7bbMc/edit?resourcekey#gid=923248883"",""Prop!$AU$1:$BE""),11,0),iferror(vlookup(B29,importrange(""https://docs.google.com/spreadsheets/d/1boHyJQ4e2FU0QG8MHwEi6qjX4hvZWVCHcFfXjq7bbMc/edit?resourcekey#gid=9"&amp;"23248883"",""Prop!$BF$1:$BP""),11,0),iferror(vlookup(B29,importrange(""https://docs.google.com/spreadsheets/d/1boHyJQ4e2FU0QG8MHwEi6qjX4hvZWVCHcFfXjq7bbMc/edit?resourcekey#gid=923248883"",""Prop!$BQ$1:$CA""),11,0),iferror(vlookup(B29,importrange(""https:/"&amp;"/docs.google.com/spreadsheets/d/1boHyJQ4e2FU0QG8MHwEi6qjX4hvZWVCHcFfXjq7bbMc/edit?resourcekey#gid=923248883"",""Prop!$CB$1:$CL""),11,0),iferror(vlookup(B29,importrange(""https://docs.google.com/spreadsheets/d/1boHyJQ4e2FU0QG8MHwEi6qjX4hvZWVCHcFfXjq7bbMc/e"&amp;"dit?resourcekey#gid=923248883"",""Prop!$CM$1:$CX""),11,0),iferror(vlookup(B29,importrange(""https://docs.google.com/spreadsheets/d/1boHyJQ4e2FU0QG8MHwEi6qjX4hvZWVCHcFfXjq7bbMc/edit?resourcekey#gid=923248883"",""Prop!$CY$1:$DI""),11,0)))))))))))"),"https://drive.google.com/open?id=1OvPTIHSMifqNrGrP37s7dJ1Pwn833wa-")</f>
        <v>https://drive.google.com/open?id=1OvPTIHSMifqNrGrP37s7dJ1Pwn833wa-</v>
      </c>
      <c r="Q29" s="7" t="str">
        <f ca="1">IFERROR(__xludf.DUMMYFUNCTION("iferror(vlookup(B29,importrange(""https://docs.google.com/spreadsheets/d/1p53T2AuvvIqhP7Nf-bo3Uhj8cbKYRPpZdsrBv3x3bAQ/edit?resourcekey#gid=1321652304"",""Prop!$C$1:$M""),11,0),IFERROR(vlookup(B29,importrange(""https://docs.google.com/spreadsheets/d/1p53T2"&amp;"AuvvIqhP7Nf-bo3Uhj8cbKYRPpZdsrBv3x3bAQ/edit?resourcekey#gid=1321652304"",""Prop!$N$1:$X""),11,0),iferror(vlookup(B29,importrange(""https://docs.google.com/spreadsheets/d/1p53T2AuvvIqhP7Nf-bo3Uhj8cbKYRPpZdsrBv3x3bAQ/edit?resourcekey#gid=1321652304"",""Prop"&amp;"!$Y$1:$AI""),11,0),iferror(vlookup(B29,importrange(""https://docs.google.com/spreadsheets/d/1p53T2AuvvIqhP7Nf-bo3Uhj8cbKYRPpZdsrBv3x3bAQ/edit?resourcekey#gid=1321652304"",""Prop!$AJ$1:$AT""),11,0),iferror(vlookup(B29,importrange(""https://docs.google.com/"&amp;"spreadsheets/d/1p53T2AuvvIqhP7Nf-bo3Uhj8cbKYRPpZdsrBv3x3bAQ/edit?resourcekey#gid=1321652304"",""Prop!$AU$1:$BE""),11,0),iferror(vlookup(B29,importrange(""https://docs.google.com/spreadsheets/d/1p53T2AuvvIqhP7Nf-bo3Uhj8cbKYRPpZdsrBv3x3bAQ/edit?resourcekey#"&amp;"gid=1321652304"",""Prop!$BF$1:$BP""),11,0),iferror(vlookup(B29,importrange(""https://docs.google.com/spreadsheets/d/1p53T2AuvvIqhP7Nf-bo3Uhj8cbKYRPpZdsrBv3x3bAQ/edit?resourcekey#gid=1321652304"",""Prop!$BQ$1:$CA""),11,0),iferror(vlookup(B29,importrange("""&amp;"https://docs.google.com/spreadsheets/d/1p53T2AuvvIqhP7Nf-bo3Uhj8cbKYRPpZdsrBv3x3bAQ/edit?resourcekey#gid=1321652304"",""Prop!$CB$1:$CL""),11,0),iferror(vlookup(B29,importrange(""https://docs.google.com/spreadsheets/d/1p53T2AuvvIqhP7Nf-bo3Uhj8cbKYRPpZdsrBv"&amp;"3x3bAQ/edit?resourcekey#gid=1321652304"",""Prop!$CM$1:$CX""),11,0),iferror(vlookup(B29,importrange(""https://docs.google.com/spreadsheets/d/1p53T2AuvvIqhP7Nf-bo3Uhj8cbKYRPpZdsrBv3x3bAQ/edit?resourcekey#gid=1321652304"",""Prop!$CY$1:$DI""),11,0)))))))))))"),"https://drive.google.com/open?id=1WB72HQcfRt272ArNE-hkLZjjUCxVyWj0")</f>
        <v>https://drive.google.com/open?id=1WB72HQcfRt272ArNE-hkLZjjUCxVyWj0</v>
      </c>
      <c r="R29" s="20" t="s">
        <v>898</v>
      </c>
      <c r="S29" s="20" t="str">
        <f ca="1">IFERROR(__xludf.DUMMYFUNCTION("IFERROR(vlookup(B29,IMPORTRANGE(""https://docs.google.com/spreadsheets/d/1g_jfYYK_KeipEDNDUgqgrsxK94XiocfNQIcP-v1QVhI/edit?resourcekey#gid=233272945"",""Nilai!B:CT""),12,0),"" "")"),"perbaiki caption2 gambar")</f>
        <v>perbaiki caption2 gambar</v>
      </c>
      <c r="T29" s="20" t="str">
        <f ca="1">IFERROR(__xludf.DUMMYFUNCTION("IFERROR(vlookup(B29,IMPORTRANGE(""https://docs.google.com/spreadsheets/d/1g_jfYYK_KeipEDNDUgqgrsxK94XiocfNQIcP-v1QVhI/edit?resourcekey#gid=233272945"",""Nilai!B:CT""),97,0),"" "")"),"LAYAK UPLOAD KE SIMBELMAWA DENGAN REVISI")</f>
        <v>LAYAK UPLOAD KE SIMBELMAWA DENGAN REVISI</v>
      </c>
      <c r="U29" s="29" t="s">
        <v>660</v>
      </c>
      <c r="V29" s="30" t="s">
        <v>899</v>
      </c>
      <c r="W29" s="28" t="s">
        <v>919</v>
      </c>
      <c r="X29" s="20" t="b">
        <v>0</v>
      </c>
    </row>
    <row r="30" spans="1:24">
      <c r="A30" s="15">
        <v>28</v>
      </c>
      <c r="B30" s="16">
        <f ca="1">IFERROR(__xludf.DUMMYFUNCTION("""COMPUTED_VALUE"""),2851)</f>
        <v>2851</v>
      </c>
      <c r="C30" s="16" t="str">
        <f ca="1">IFERROR(__xludf.DUMMYFUNCTION("""COMPUTED_VALUE"""),"Faizin Prasetyo")</f>
        <v>Faizin Prasetyo</v>
      </c>
      <c r="D30" s="16" t="str">
        <f ca="1">IFERROR(__xludf.DUMMYFUNCTION("""COMPUTED_VALUE"""),"2043211037")</f>
        <v>2043211037</v>
      </c>
      <c r="E30" s="16" t="str">
        <f ca="1">IFERROR(__xludf.DUMMYFUNCTION("""COMPUTED_VALUE"""),"Departemen Statistika Bisnis")</f>
        <v>Departemen Statistika Bisnis</v>
      </c>
      <c r="F30" s="16" t="str">
        <f ca="1">IFERROR(__xludf.DUMMYFUNCTION("""COMPUTED_VALUE"""),"ANALISIS PENGARUH KUALITAS PRODUK, HARGA, DAN PROMOSI TERHADAP KEPUTUSAN PEMBELIAN AIR MINUM DALAM KEMASAN (AMDK)")</f>
        <v>ANALISIS PENGARUH KUALITAS PRODUK, HARGA, DAN PROMOSI TERHADAP KEPUTUSAN PEMBELIAN AIR MINUM DALAM KEMASAN (AMDK)</v>
      </c>
      <c r="G30" s="16" t="str">
        <f ca="1">IFERROR(__xludf.DUMMYFUNCTION("""COMPUTED_VALUE"""),"Ir. Sri Pingit Wulandari, M.Si.")</f>
        <v>Ir. Sri Pingit Wulandari, M.Si.</v>
      </c>
      <c r="H30" s="16" t="str">
        <f ca="1">IFERROR(__xludf.DUMMYFUNCTION("""COMPUTED_VALUE"""),"Prof. Dr. Dra Fahimah Martak, M.Si")</f>
        <v>Prof. Dr. Dra Fahimah Martak, M.Si</v>
      </c>
      <c r="I30" s="16" t="str">
        <f ca="1">IFERROR(__xludf.DUMMYFUNCTION("""COMPUTED_VALUE"""),"Arif Fadlan, S.Si., M.Si., D.Sc")</f>
        <v>Arif Fadlan, S.Si., M.Si., D.Sc</v>
      </c>
      <c r="J30" s="16"/>
      <c r="K30" s="17" t="s">
        <v>915</v>
      </c>
      <c r="L30" s="23" t="s">
        <v>918</v>
      </c>
      <c r="M30" s="19" t="b">
        <v>0</v>
      </c>
      <c r="N30" s="19" t="b">
        <v>0</v>
      </c>
      <c r="O30" s="1" t="s">
        <v>897</v>
      </c>
      <c r="P30" s="1" t="str">
        <f ca="1">IFERROR(__xludf.DUMMYFUNCTION("iferror(vlookup(B30,importrange(""https://docs.google.com/spreadsheets/d/1boHyJQ4e2FU0QG8MHwEi6qjX4hvZWVCHcFfXjq7bbMc/edit?resourcekey#gid=923248883"",""Prop!$C$1:$M""),11,0),IFERROR(vlookup(B30,importrange(""https://docs.google.com/spreadsheets/d/1boHyJQ"&amp;"4e2FU0QG8MHwEi6qjX4hvZWVCHcFfXjq7bbMc/edit?resourcekey#gid=923248883"",""Prop!$N$1:$X""),11,0),iferror(vlookup(B30,importrange(""https://docs.google.com/spreadsheets/d/1boHyJQ4e2FU0QG8MHwEi6qjX4hvZWVCHcFfXjq7bbMc/edit?resourcekey#gid=923248883"",""Prop!$Y"&amp;"$1:$AI""),11,0),iferror(vlookup(B30,importrange(""https://docs.google.com/spreadsheets/d/1boHyJQ4e2FU0QG8MHwEi6qjX4hvZWVCHcFfXjq7bbMc/edit?resourcekey#gid=923248883"",""Prop!$AJ$1:$AT""),11,0),iferror(vlookup(B30,importrange(""https://docs.google.com/spre"&amp;"adsheets/d/1boHyJQ4e2FU0QG8MHwEi6qjX4hvZWVCHcFfXjq7bbMc/edit?resourcekey#gid=923248883"",""Prop!$AU$1:$BE""),11,0),iferror(vlookup(B30,importrange(""https://docs.google.com/spreadsheets/d/1boHyJQ4e2FU0QG8MHwEi6qjX4hvZWVCHcFfXjq7bbMc/edit?resourcekey#gid=9"&amp;"23248883"",""Prop!$BF$1:$BP""),11,0),iferror(vlookup(B30,importrange(""https://docs.google.com/spreadsheets/d/1boHyJQ4e2FU0QG8MHwEi6qjX4hvZWVCHcFfXjq7bbMc/edit?resourcekey#gid=923248883"",""Prop!$BQ$1:$CA""),11,0),iferror(vlookup(B30,importrange(""https:/"&amp;"/docs.google.com/spreadsheets/d/1boHyJQ4e2FU0QG8MHwEi6qjX4hvZWVCHcFfXjq7bbMc/edit?resourcekey#gid=923248883"",""Prop!$CB$1:$CL""),11,0),iferror(vlookup(B30,importrange(""https://docs.google.com/spreadsheets/d/1boHyJQ4e2FU0QG8MHwEi6qjX4hvZWVCHcFfXjq7bbMc/e"&amp;"dit?resourcekey#gid=923248883"",""Prop!$CM$1:$CX""),11,0),iferror(vlookup(B30,importrange(""https://docs.google.com/spreadsheets/d/1boHyJQ4e2FU0QG8MHwEi6qjX4hvZWVCHcFfXjq7bbMc/edit?resourcekey#gid=923248883"",""Prop!$CY$1:$DI""),11,0)))))))))))"),"")</f>
        <v/>
      </c>
      <c r="Q30" s="1" t="str">
        <f ca="1">IFERROR(__xludf.DUMMYFUNCTION("iferror(vlookup(B30,importrange(""https://docs.google.com/spreadsheets/d/1p53T2AuvvIqhP7Nf-bo3Uhj8cbKYRPpZdsrBv3x3bAQ/edit?resourcekey#gid=1321652304"",""Prop!$C$1:$M""),11,0),IFERROR(vlookup(B30,importrange(""https://docs.google.com/spreadsheets/d/1p53T2"&amp;"AuvvIqhP7Nf-bo3Uhj8cbKYRPpZdsrBv3x3bAQ/edit?resourcekey#gid=1321652304"",""Prop!$N$1:$X""),11,0),iferror(vlookup(B30,importrange(""https://docs.google.com/spreadsheets/d/1p53T2AuvvIqhP7Nf-bo3Uhj8cbKYRPpZdsrBv3x3bAQ/edit?resourcekey#gid=1321652304"",""Prop"&amp;"!$Y$1:$AI""),11,0),iferror(vlookup(B30,importrange(""https://docs.google.com/spreadsheets/d/1p53T2AuvvIqhP7Nf-bo3Uhj8cbKYRPpZdsrBv3x3bAQ/edit?resourcekey#gid=1321652304"",""Prop!$AJ$1:$AT""),11,0),iferror(vlookup(B30,importrange(""https://docs.google.com/"&amp;"spreadsheets/d/1p53T2AuvvIqhP7Nf-bo3Uhj8cbKYRPpZdsrBv3x3bAQ/edit?resourcekey#gid=1321652304"",""Prop!$AU$1:$BE""),11,0),iferror(vlookup(B30,importrange(""https://docs.google.com/spreadsheets/d/1p53T2AuvvIqhP7Nf-bo3Uhj8cbKYRPpZdsrBv3x3bAQ/edit?resourcekey#"&amp;"gid=1321652304"",""Prop!$BF$1:$BP""),11,0),iferror(vlookup(B30,importrange(""https://docs.google.com/spreadsheets/d/1p53T2AuvvIqhP7Nf-bo3Uhj8cbKYRPpZdsrBv3x3bAQ/edit?resourcekey#gid=1321652304"",""Prop!$BQ$1:$CA""),11,0),iferror(vlookup(B30,importrange("""&amp;"https://docs.google.com/spreadsheets/d/1p53T2AuvvIqhP7Nf-bo3Uhj8cbKYRPpZdsrBv3x3bAQ/edit?resourcekey#gid=1321652304"",""Prop!$CB$1:$CL""),11,0),iferror(vlookup(B30,importrange(""https://docs.google.com/spreadsheets/d/1p53T2AuvvIqhP7Nf-bo3Uhj8cbKYRPpZdsrBv"&amp;"3x3bAQ/edit?resourcekey#gid=1321652304"",""Prop!$CM$1:$CX""),11,0),iferror(vlookup(B30,importrange(""https://docs.google.com/spreadsheets/d/1p53T2AuvvIqhP7Nf-bo3Uhj8cbKYRPpZdsrBv3x3bAQ/edit?resourcekey#gid=1321652304"",""Prop!$CY$1:$DI""),11,0)))))))))))"),"")</f>
        <v/>
      </c>
      <c r="R30" s="20" t="s">
        <v>898</v>
      </c>
      <c r="S30" s="20" t="str">
        <f ca="1">IFERROR(__xludf.DUMMYFUNCTION("IFERROR(vlookup(B30,IMPORTRANGE(""https://docs.google.com/spreadsheets/d/1g_jfYYK_KeipEDNDUgqgrsxK94XiocfNQIcP-v1QVhI/edit?resourcekey#gid=233272945"",""Nilai!B:CT""),12,0),"" "")")," ")</f>
        <v xml:space="preserve"> </v>
      </c>
      <c r="T30" s="20" t="str">
        <f ca="1">IFERROR(__xludf.DUMMYFUNCTION("IFERROR(vlookup(B30,IMPORTRANGE(""https://docs.google.com/spreadsheets/d/1g_jfYYK_KeipEDNDUgqgrsxK94XiocfNQIcP-v1QVhI/edit?resourcekey#gid=233272945"",""Nilai!B:CT""),97,0),"" "")")," ")</f>
        <v xml:space="preserve"> </v>
      </c>
      <c r="U30" s="29" t="s">
        <v>660</v>
      </c>
      <c r="V30" s="30" t="s">
        <v>899</v>
      </c>
      <c r="W30" s="28" t="s">
        <v>920</v>
      </c>
      <c r="X30" s="20" t="b">
        <v>0</v>
      </c>
    </row>
    <row r="31" spans="1:24">
      <c r="A31" s="15">
        <v>29</v>
      </c>
      <c r="B31" s="16">
        <f ca="1">IFERROR(__xludf.DUMMYFUNCTION("""COMPUTED_VALUE"""),4102)</f>
        <v>4102</v>
      </c>
      <c r="C31" s="16" t="str">
        <f ca="1">IFERROR(__xludf.DUMMYFUNCTION("""COMPUTED_VALUE"""),"GALIH WIDYANTORO")</f>
        <v>GALIH WIDYANTORO</v>
      </c>
      <c r="D31" s="16" t="str">
        <f ca="1">IFERROR(__xludf.DUMMYFUNCTION("""COMPUTED_VALUE"""),"10311910000052")</f>
        <v>10311910000052</v>
      </c>
      <c r="E31" s="16" t="str">
        <f ca="1">IFERROR(__xludf.DUMMYFUNCTION("""COMPUTED_VALUE"""),"Departemen Teknik Elektro Otomasi")</f>
        <v>Departemen Teknik Elektro Otomasi</v>
      </c>
      <c r="F31" s="16" t="str">
        <f ca="1">IFERROR(__xludf.DUMMYFUNCTION("""COMPUTED_VALUE"""),"Inovasi Pembangkit Listrik Terbang Pertama di Indonesia yang Ramah Lingkungan Guna Membantu Mencapai Target EBT tahun 2025")</f>
        <v>Inovasi Pembangkit Listrik Terbang Pertama di Indonesia yang Ramah Lingkungan Guna Membantu Mencapai Target EBT tahun 2025</v>
      </c>
      <c r="G31" s="16" t="str">
        <f ca="1">IFERROR(__xludf.DUMMYFUNCTION("""COMPUTED_VALUE"""),"Ciptian Weried Priananda, S.ST., M.T.")</f>
        <v>Ciptian Weried Priananda, S.ST., M.T.</v>
      </c>
      <c r="H31" s="16" t="str">
        <f ca="1">IFERROR(__xludf.DUMMYFUNCTION("""COMPUTED_VALUE"""),"Dian Mughni Fellicia, ST., M.Sc")</f>
        <v>Dian Mughni Fellicia, ST., M.Sc</v>
      </c>
      <c r="I31" s="16" t="str">
        <f ca="1">IFERROR(__xludf.DUMMYFUNCTION("""COMPUTED_VALUE"""),"Hariyati Purwaningsih, S.Si., M.Si.")</f>
        <v>Hariyati Purwaningsih, S.Si., M.Si.</v>
      </c>
      <c r="J31" s="16"/>
      <c r="K31" s="17" t="s">
        <v>915</v>
      </c>
      <c r="L31" s="23" t="s">
        <v>918</v>
      </c>
      <c r="M31" s="19" t="b">
        <v>0</v>
      </c>
      <c r="N31" s="19" t="b">
        <v>0</v>
      </c>
      <c r="O31" s="1" t="s">
        <v>897</v>
      </c>
      <c r="P31" s="7" t="str">
        <f ca="1">IFERROR(__xludf.DUMMYFUNCTION("iferror(vlookup(B31,importrange(""https://docs.google.com/spreadsheets/d/1boHyJQ4e2FU0QG8MHwEi6qjX4hvZWVCHcFfXjq7bbMc/edit?resourcekey#gid=923248883"",""Prop!$C$1:$M""),11,0),IFERROR(vlookup(B31,importrange(""https://docs.google.com/spreadsheets/d/1boHyJQ"&amp;"4e2FU0QG8MHwEi6qjX4hvZWVCHcFfXjq7bbMc/edit?resourcekey#gid=923248883"",""Prop!$N$1:$X""),11,0),iferror(vlookup(B31,importrange(""https://docs.google.com/spreadsheets/d/1boHyJQ4e2FU0QG8MHwEi6qjX4hvZWVCHcFfXjq7bbMc/edit?resourcekey#gid=923248883"",""Prop!$Y"&amp;"$1:$AI""),11,0),iferror(vlookup(B31,importrange(""https://docs.google.com/spreadsheets/d/1boHyJQ4e2FU0QG8MHwEi6qjX4hvZWVCHcFfXjq7bbMc/edit?resourcekey#gid=923248883"",""Prop!$AJ$1:$AT""),11,0),iferror(vlookup(B31,importrange(""https://docs.google.com/spre"&amp;"adsheets/d/1boHyJQ4e2FU0QG8MHwEi6qjX4hvZWVCHcFfXjq7bbMc/edit?resourcekey#gid=923248883"",""Prop!$AU$1:$BE""),11,0),iferror(vlookup(B31,importrange(""https://docs.google.com/spreadsheets/d/1boHyJQ4e2FU0QG8MHwEi6qjX4hvZWVCHcFfXjq7bbMc/edit?resourcekey#gid=9"&amp;"23248883"",""Prop!$BF$1:$BP""),11,0),iferror(vlookup(B31,importrange(""https://docs.google.com/spreadsheets/d/1boHyJQ4e2FU0QG8MHwEi6qjX4hvZWVCHcFfXjq7bbMc/edit?resourcekey#gid=923248883"",""Prop!$BQ$1:$CA""),11,0),iferror(vlookup(B31,importrange(""https:/"&amp;"/docs.google.com/spreadsheets/d/1boHyJQ4e2FU0QG8MHwEi6qjX4hvZWVCHcFfXjq7bbMc/edit?resourcekey#gid=923248883"",""Prop!$CB$1:$CL""),11,0),iferror(vlookup(B31,importrange(""https://docs.google.com/spreadsheets/d/1boHyJQ4e2FU0QG8MHwEi6qjX4hvZWVCHcFfXjq7bbMc/e"&amp;"dit?resourcekey#gid=923248883"",""Prop!$CM$1:$CX""),11,0),iferror(vlookup(B31,importrange(""https://docs.google.com/spreadsheets/d/1boHyJQ4e2FU0QG8MHwEi6qjX4hvZWVCHcFfXjq7bbMc/edit?resourcekey#gid=923248883"",""Prop!$CY$1:$DI""),11,0)))))))))))"),"https://drive.google.com/open?id=1gc2xBP8hdMxHUuLDGk_7ofGEamh8qe5e")</f>
        <v>https://drive.google.com/open?id=1gc2xBP8hdMxHUuLDGk_7ofGEamh8qe5e</v>
      </c>
      <c r="Q31" s="7" t="str">
        <f ca="1">IFERROR(__xludf.DUMMYFUNCTION("iferror(vlookup(B31,importrange(""https://docs.google.com/spreadsheets/d/1p53T2AuvvIqhP7Nf-bo3Uhj8cbKYRPpZdsrBv3x3bAQ/edit?resourcekey#gid=1321652304"",""Prop!$C$1:$M""),11,0),IFERROR(vlookup(B31,importrange(""https://docs.google.com/spreadsheets/d/1p53T2"&amp;"AuvvIqhP7Nf-bo3Uhj8cbKYRPpZdsrBv3x3bAQ/edit?resourcekey#gid=1321652304"",""Prop!$N$1:$X""),11,0),iferror(vlookup(B31,importrange(""https://docs.google.com/spreadsheets/d/1p53T2AuvvIqhP7Nf-bo3Uhj8cbKYRPpZdsrBv3x3bAQ/edit?resourcekey#gid=1321652304"",""Prop"&amp;"!$Y$1:$AI""),11,0),iferror(vlookup(B31,importrange(""https://docs.google.com/spreadsheets/d/1p53T2AuvvIqhP7Nf-bo3Uhj8cbKYRPpZdsrBv3x3bAQ/edit?resourcekey#gid=1321652304"",""Prop!$AJ$1:$AT""),11,0),iferror(vlookup(B31,importrange(""https://docs.google.com/"&amp;"spreadsheets/d/1p53T2AuvvIqhP7Nf-bo3Uhj8cbKYRPpZdsrBv3x3bAQ/edit?resourcekey#gid=1321652304"",""Prop!$AU$1:$BE""),11,0),iferror(vlookup(B31,importrange(""https://docs.google.com/spreadsheets/d/1p53T2AuvvIqhP7Nf-bo3Uhj8cbKYRPpZdsrBv3x3bAQ/edit?resourcekey#"&amp;"gid=1321652304"",""Prop!$BF$1:$BP""),11,0),iferror(vlookup(B31,importrange(""https://docs.google.com/spreadsheets/d/1p53T2AuvvIqhP7Nf-bo3Uhj8cbKYRPpZdsrBv3x3bAQ/edit?resourcekey#gid=1321652304"",""Prop!$BQ$1:$CA""),11,0),iferror(vlookup(B31,importrange("""&amp;"https://docs.google.com/spreadsheets/d/1p53T2AuvvIqhP7Nf-bo3Uhj8cbKYRPpZdsrBv3x3bAQ/edit?resourcekey#gid=1321652304"",""Prop!$CB$1:$CL""),11,0),iferror(vlookup(B31,importrange(""https://docs.google.com/spreadsheets/d/1p53T2AuvvIqhP7Nf-bo3Uhj8cbKYRPpZdsrBv"&amp;"3x3bAQ/edit?resourcekey#gid=1321652304"",""Prop!$CM$1:$CX""),11,0),iferror(vlookup(B31,importrange(""https://docs.google.com/spreadsheets/d/1p53T2AuvvIqhP7Nf-bo3Uhj8cbKYRPpZdsrBv3x3bAQ/edit?resourcekey#gid=1321652304"",""Prop!$CY$1:$DI""),11,0)))))))))))"),"https://drive.google.com/open?id=1FGsUAPQFNXrcy90gcjGXX6jUK21SBPrd")</f>
        <v>https://drive.google.com/open?id=1FGsUAPQFNXrcy90gcjGXX6jUK21SBPrd</v>
      </c>
      <c r="R31" s="20" t="s">
        <v>898</v>
      </c>
      <c r="S31" s="20" t="str">
        <f ca="1">IFERROR(__xludf.DUMMYFUNCTION("IFERROR(vlookup(B31,IMPORTRANGE(""https://docs.google.com/spreadsheets/d/1g_jfYYK_KeipEDNDUgqgrsxK94XiocfNQIcP-v1QVhI/edit?resourcekey#gid=233272945"",""Nilai!B:CT""),12,0),"" "")"),"lihat file pdf")</f>
        <v>lihat file pdf</v>
      </c>
      <c r="T31" s="20" t="str">
        <f ca="1">IFERROR(__xludf.DUMMYFUNCTION("IFERROR(vlookup(B31,IMPORTRANGE(""https://docs.google.com/spreadsheets/d/1g_jfYYK_KeipEDNDUgqgrsxK94XiocfNQIcP-v1QVhI/edit?resourcekey#gid=233272945"",""Nilai!B:CT""),97,0),"" "")"),"LAYAK UPLOAD KE SIMBELMAWA DENGAN REVISI")</f>
        <v>LAYAK UPLOAD KE SIMBELMAWA DENGAN REVISI</v>
      </c>
      <c r="U31" s="29" t="s">
        <v>660</v>
      </c>
      <c r="V31" s="30" t="s">
        <v>899</v>
      </c>
      <c r="W31" s="28" t="s">
        <v>920</v>
      </c>
      <c r="X31" s="20" t="b">
        <v>0</v>
      </c>
    </row>
    <row r="32" spans="1:24">
      <c r="A32" s="15">
        <v>30</v>
      </c>
      <c r="B32" s="16">
        <f ca="1">IFERROR(__xludf.DUMMYFUNCTION("""COMPUTED_VALUE"""),2596)</f>
        <v>2596</v>
      </c>
      <c r="C32" s="16" t="str">
        <f ca="1">IFERROR(__xludf.DUMMYFUNCTION("""COMPUTED_VALUE"""),"CHANDRA WISNU JELANG DWI LAKSA")</f>
        <v>CHANDRA WISNU JELANG DWI LAKSA</v>
      </c>
      <c r="D32" s="16" t="str">
        <f ca="1">IFERROR(__xludf.DUMMYFUNCTION("""COMPUTED_VALUE"""),"04211840000079")</f>
        <v>04211840000079</v>
      </c>
      <c r="E32" s="16" t="str">
        <f ca="1">IFERROR(__xludf.DUMMYFUNCTION("""COMPUTED_VALUE"""),"Departemen Teknik Sistem Perkapalan")</f>
        <v>Departemen Teknik Sistem Perkapalan</v>
      </c>
      <c r="F32" s="16" t="str">
        <f ca="1">IFERROR(__xludf.DUMMYFUNCTION("""COMPUTED_VALUE"""),"PERENCANAAN DESAIN HEAT EXCHANGER PLATE AND FRAME DENGAN HEAT WASTE RECOVERY UNTUK MENJAGA HIGIENITAS SISTEM DOMESTIK PUSKESMAS TERAPUNG 65 GT")</f>
        <v>PERENCANAAN DESAIN HEAT EXCHANGER PLATE AND FRAME DENGAN HEAT WASTE RECOVERY UNTUK MENJAGA HIGIENITAS SISTEM DOMESTIK PUSKESMAS TERAPUNG 65 GT</v>
      </c>
      <c r="G32" s="16" t="str">
        <f ca="1">IFERROR(__xludf.DUMMYFUNCTION("""COMPUTED_VALUE"""),"Ir. Agoes Santoso, M.Sc.")</f>
        <v>Ir. Agoes Santoso, M.Sc.</v>
      </c>
      <c r="H32" s="16" t="str">
        <f ca="1">IFERROR(__xludf.DUMMYFUNCTION("""COMPUTED_VALUE"""),"Prof. Dr. Dra Fahimah Martak, M.Si")</f>
        <v>Prof. Dr. Dra Fahimah Martak, M.Si</v>
      </c>
      <c r="I32" s="16" t="str">
        <f ca="1">IFERROR(__xludf.DUMMYFUNCTION("""COMPUTED_VALUE"""),"Arif Fadlan, S.Si., M.Si., D.Sc")</f>
        <v>Arif Fadlan, S.Si., M.Si., D.Sc</v>
      </c>
      <c r="J32" s="16"/>
      <c r="K32" s="17" t="s">
        <v>915</v>
      </c>
      <c r="L32" s="23" t="s">
        <v>918</v>
      </c>
      <c r="M32" s="19" t="b">
        <v>0</v>
      </c>
      <c r="N32" s="19" t="b">
        <v>0</v>
      </c>
      <c r="O32" s="1" t="s">
        <v>897</v>
      </c>
      <c r="P32" s="1" t="str">
        <f ca="1">IFERROR(__xludf.DUMMYFUNCTION("iferror(vlookup(B32,importrange(""https://docs.google.com/spreadsheets/d/1boHyJQ4e2FU0QG8MHwEi6qjX4hvZWVCHcFfXjq7bbMc/edit?resourcekey#gid=923248883"",""Prop!$C$1:$M""),11,0),IFERROR(vlookup(B32,importrange(""https://docs.google.com/spreadsheets/d/1boHyJQ"&amp;"4e2FU0QG8MHwEi6qjX4hvZWVCHcFfXjq7bbMc/edit?resourcekey#gid=923248883"",""Prop!$N$1:$X""),11,0),iferror(vlookup(B32,importrange(""https://docs.google.com/spreadsheets/d/1boHyJQ4e2FU0QG8MHwEi6qjX4hvZWVCHcFfXjq7bbMc/edit?resourcekey#gid=923248883"",""Prop!$Y"&amp;"$1:$AI""),11,0),iferror(vlookup(B32,importrange(""https://docs.google.com/spreadsheets/d/1boHyJQ4e2FU0QG8MHwEi6qjX4hvZWVCHcFfXjq7bbMc/edit?resourcekey#gid=923248883"",""Prop!$AJ$1:$AT""),11,0),iferror(vlookup(B32,importrange(""https://docs.google.com/spre"&amp;"adsheets/d/1boHyJQ4e2FU0QG8MHwEi6qjX4hvZWVCHcFfXjq7bbMc/edit?resourcekey#gid=923248883"",""Prop!$AU$1:$BE""),11,0),iferror(vlookup(B32,importrange(""https://docs.google.com/spreadsheets/d/1boHyJQ4e2FU0QG8MHwEi6qjX4hvZWVCHcFfXjq7bbMc/edit?resourcekey#gid=9"&amp;"23248883"",""Prop!$BF$1:$BP""),11,0),iferror(vlookup(B32,importrange(""https://docs.google.com/spreadsheets/d/1boHyJQ4e2FU0QG8MHwEi6qjX4hvZWVCHcFfXjq7bbMc/edit?resourcekey#gid=923248883"",""Prop!$BQ$1:$CA""),11,0),iferror(vlookup(B32,importrange(""https:/"&amp;"/docs.google.com/spreadsheets/d/1boHyJQ4e2FU0QG8MHwEi6qjX4hvZWVCHcFfXjq7bbMc/edit?resourcekey#gid=923248883"",""Prop!$CB$1:$CL""),11,0),iferror(vlookup(B32,importrange(""https://docs.google.com/spreadsheets/d/1boHyJQ4e2FU0QG8MHwEi6qjX4hvZWVCHcFfXjq7bbMc/e"&amp;"dit?resourcekey#gid=923248883"",""Prop!$CM$1:$CX""),11,0),iferror(vlookup(B32,importrange(""https://docs.google.com/spreadsheets/d/1boHyJQ4e2FU0QG8MHwEi6qjX4hvZWVCHcFfXjq7bbMc/edit?resourcekey#gid=923248883"",""Prop!$CY$1:$DI""),11,0)))))))))))"),"")</f>
        <v/>
      </c>
      <c r="Q32" s="1" t="str">
        <f ca="1">IFERROR(__xludf.DUMMYFUNCTION("iferror(vlookup(B32,importrange(""https://docs.google.com/spreadsheets/d/1p53T2AuvvIqhP7Nf-bo3Uhj8cbKYRPpZdsrBv3x3bAQ/edit?resourcekey#gid=1321652304"",""Prop!$C$1:$M""),11,0),IFERROR(vlookup(B32,importrange(""https://docs.google.com/spreadsheets/d/1p53T2"&amp;"AuvvIqhP7Nf-bo3Uhj8cbKYRPpZdsrBv3x3bAQ/edit?resourcekey#gid=1321652304"",""Prop!$N$1:$X""),11,0),iferror(vlookup(B32,importrange(""https://docs.google.com/spreadsheets/d/1p53T2AuvvIqhP7Nf-bo3Uhj8cbKYRPpZdsrBv3x3bAQ/edit?resourcekey#gid=1321652304"",""Prop"&amp;"!$Y$1:$AI""),11,0),iferror(vlookup(B32,importrange(""https://docs.google.com/spreadsheets/d/1p53T2AuvvIqhP7Nf-bo3Uhj8cbKYRPpZdsrBv3x3bAQ/edit?resourcekey#gid=1321652304"",""Prop!$AJ$1:$AT""),11,0),iferror(vlookup(B32,importrange(""https://docs.google.com/"&amp;"spreadsheets/d/1p53T2AuvvIqhP7Nf-bo3Uhj8cbKYRPpZdsrBv3x3bAQ/edit?resourcekey#gid=1321652304"",""Prop!$AU$1:$BE""),11,0),iferror(vlookup(B32,importrange(""https://docs.google.com/spreadsheets/d/1p53T2AuvvIqhP7Nf-bo3Uhj8cbKYRPpZdsrBv3x3bAQ/edit?resourcekey#"&amp;"gid=1321652304"",""Prop!$BF$1:$BP""),11,0),iferror(vlookup(B32,importrange(""https://docs.google.com/spreadsheets/d/1p53T2AuvvIqhP7Nf-bo3Uhj8cbKYRPpZdsrBv3x3bAQ/edit?resourcekey#gid=1321652304"",""Prop!$BQ$1:$CA""),11,0),iferror(vlookup(B32,importrange("""&amp;"https://docs.google.com/spreadsheets/d/1p53T2AuvvIqhP7Nf-bo3Uhj8cbKYRPpZdsrBv3x3bAQ/edit?resourcekey#gid=1321652304"",""Prop!$CB$1:$CL""),11,0),iferror(vlookup(B32,importrange(""https://docs.google.com/spreadsheets/d/1p53T2AuvvIqhP7Nf-bo3Uhj8cbKYRPpZdsrBv"&amp;"3x3bAQ/edit?resourcekey#gid=1321652304"",""Prop!$CM$1:$CX""),11,0),iferror(vlookup(B32,importrange(""https://docs.google.com/spreadsheets/d/1p53T2AuvvIqhP7Nf-bo3Uhj8cbKYRPpZdsrBv3x3bAQ/edit?resourcekey#gid=1321652304"",""Prop!$CY$1:$DI""),11,0)))))))))))"),"")</f>
        <v/>
      </c>
      <c r="R32" s="20" t="s">
        <v>898</v>
      </c>
      <c r="S32" s="20" t="str">
        <f ca="1">IFERROR(__xludf.DUMMYFUNCTION("IFERROR(vlookup(B32,IMPORTRANGE(""https://docs.google.com/spreadsheets/d/1g_jfYYK_KeipEDNDUgqgrsxK94XiocfNQIcP-v1QVhI/edit?resourcekey#gid=233272945"",""Nilai!B:CT""),12,0),"" "")")," ")</f>
        <v xml:space="preserve"> </v>
      </c>
      <c r="T32" s="20" t="str">
        <f ca="1">IFERROR(__xludf.DUMMYFUNCTION("IFERROR(vlookup(B32,IMPORTRANGE(""https://docs.google.com/spreadsheets/d/1g_jfYYK_KeipEDNDUgqgrsxK94XiocfNQIcP-v1QVhI/edit?resourcekey#gid=233272945"",""Nilai!B:CT""),97,0),"" "")")," ")</f>
        <v xml:space="preserve"> </v>
      </c>
      <c r="U32" s="29" t="s">
        <v>660</v>
      </c>
      <c r="V32" s="30" t="s">
        <v>899</v>
      </c>
      <c r="W32" s="28" t="s">
        <v>920</v>
      </c>
      <c r="X32" s="20" t="b">
        <v>0</v>
      </c>
    </row>
    <row r="33" spans="1:24">
      <c r="A33" s="15">
        <v>31</v>
      </c>
      <c r="B33" s="16">
        <f ca="1">IFERROR(__xludf.DUMMYFUNCTION("""COMPUTED_VALUE"""),2611)</f>
        <v>2611</v>
      </c>
      <c r="C33" s="16" t="str">
        <f ca="1">IFERROR(__xludf.DUMMYFUNCTION("""COMPUTED_VALUE"""),"ADITYA PUTRA SANTOSA")</f>
        <v>ADITYA PUTRA SANTOSA</v>
      </c>
      <c r="D33" s="16" t="str">
        <f ca="1">IFERROR(__xludf.DUMMYFUNCTION("""COMPUTED_VALUE"""),"04211840000092")</f>
        <v>04211840000092</v>
      </c>
      <c r="E33" s="16" t="str">
        <f ca="1">IFERROR(__xludf.DUMMYFUNCTION("""COMPUTED_VALUE"""),"Departemen Teknik Sistem Perkapalan")</f>
        <v>Departemen Teknik Sistem Perkapalan</v>
      </c>
      <c r="F33" s="16" t="str">
        <f ca="1">IFERROR(__xludf.DUMMYFUNCTION("""COMPUTED_VALUE"""),"ANALISA GAYA LUAR TERHADAP GERAKAN DAN POTENSI ENERGI PENDULUM TIPE JURING UNTUK SISTEM PEMBANGKIT LISTRIK TENAGA GELOMBANG LAUT")</f>
        <v>ANALISA GAYA LUAR TERHADAP GERAKAN DAN POTENSI ENERGI PENDULUM TIPE JURING UNTUK SISTEM PEMBANGKIT LISTRIK TENAGA GELOMBANG LAUT</v>
      </c>
      <c r="G33" s="16" t="str">
        <f ca="1">IFERROR(__xludf.DUMMYFUNCTION("""COMPUTED_VALUE"""),"Irfan Syarief Arief, S.T., M.T.")</f>
        <v>Irfan Syarief Arief, S.T., M.T.</v>
      </c>
      <c r="H33" s="16" t="str">
        <f ca="1">IFERROR(__xludf.DUMMYFUNCTION("""COMPUTED_VALUE"""),"Prof. Dr. Dra Fahimah Martak, M.Si")</f>
        <v>Prof. Dr. Dra Fahimah Martak, M.Si</v>
      </c>
      <c r="I33" s="16" t="str">
        <f ca="1">IFERROR(__xludf.DUMMYFUNCTION("""COMPUTED_VALUE"""),"Arif Fadlan, S.Si., M.Si., D.Sc")</f>
        <v>Arif Fadlan, S.Si., M.Si., D.Sc</v>
      </c>
      <c r="J33" s="16"/>
      <c r="K33" s="17" t="s">
        <v>921</v>
      </c>
      <c r="L33" s="23" t="s">
        <v>922</v>
      </c>
      <c r="M33" s="19" t="b">
        <v>0</v>
      </c>
      <c r="N33" s="19" t="b">
        <v>0</v>
      </c>
      <c r="O33" s="1" t="s">
        <v>897</v>
      </c>
      <c r="P33" s="1" t="str">
        <f ca="1">IFERROR(__xludf.DUMMYFUNCTION("iferror(vlookup(B33,importrange(""https://docs.google.com/spreadsheets/d/1boHyJQ4e2FU0QG8MHwEi6qjX4hvZWVCHcFfXjq7bbMc/edit?resourcekey#gid=923248883"",""Prop!$C$1:$M""),11,0),IFERROR(vlookup(B33,importrange(""https://docs.google.com/spreadsheets/d/1boHyJQ"&amp;"4e2FU0QG8MHwEi6qjX4hvZWVCHcFfXjq7bbMc/edit?resourcekey#gid=923248883"",""Prop!$N$1:$X""),11,0),iferror(vlookup(B33,importrange(""https://docs.google.com/spreadsheets/d/1boHyJQ4e2FU0QG8MHwEi6qjX4hvZWVCHcFfXjq7bbMc/edit?resourcekey#gid=923248883"",""Prop!$Y"&amp;"$1:$AI""),11,0),iferror(vlookup(B33,importrange(""https://docs.google.com/spreadsheets/d/1boHyJQ4e2FU0QG8MHwEi6qjX4hvZWVCHcFfXjq7bbMc/edit?resourcekey#gid=923248883"",""Prop!$AJ$1:$AT""),11,0),iferror(vlookup(B33,importrange(""https://docs.google.com/spre"&amp;"adsheets/d/1boHyJQ4e2FU0QG8MHwEi6qjX4hvZWVCHcFfXjq7bbMc/edit?resourcekey#gid=923248883"",""Prop!$AU$1:$BE""),11,0),iferror(vlookup(B33,importrange(""https://docs.google.com/spreadsheets/d/1boHyJQ4e2FU0QG8MHwEi6qjX4hvZWVCHcFfXjq7bbMc/edit?resourcekey#gid=9"&amp;"23248883"",""Prop!$BF$1:$BP""),11,0),iferror(vlookup(B33,importrange(""https://docs.google.com/spreadsheets/d/1boHyJQ4e2FU0QG8MHwEi6qjX4hvZWVCHcFfXjq7bbMc/edit?resourcekey#gid=923248883"",""Prop!$BQ$1:$CA""),11,0),iferror(vlookup(B33,importrange(""https:/"&amp;"/docs.google.com/spreadsheets/d/1boHyJQ4e2FU0QG8MHwEi6qjX4hvZWVCHcFfXjq7bbMc/edit?resourcekey#gid=923248883"",""Prop!$CB$1:$CL""),11,0),iferror(vlookup(B33,importrange(""https://docs.google.com/spreadsheets/d/1boHyJQ4e2FU0QG8MHwEi6qjX4hvZWVCHcFfXjq7bbMc/e"&amp;"dit?resourcekey#gid=923248883"",""Prop!$CM$1:$CX""),11,0),iferror(vlookup(B33,importrange(""https://docs.google.com/spreadsheets/d/1boHyJQ4e2FU0QG8MHwEi6qjX4hvZWVCHcFfXjq7bbMc/edit?resourcekey#gid=923248883"",""Prop!$CY$1:$DI""),11,0)))))))))))"),"")</f>
        <v/>
      </c>
      <c r="Q33" s="31" t="str">
        <f ca="1">IFERROR(__xludf.DUMMYFUNCTION("iferror(vlookup(B33,importrange(""https://docs.google.com/spreadsheets/d/1p53T2AuvvIqhP7Nf-bo3Uhj8cbKYRPpZdsrBv3x3bAQ/edit?resourcekey#gid=1321652304"",""Prop!$C$1:$M""),11,0),IFERROR(vlookup(B33,importrange(""https://docs.google.com/spreadsheets/d/1p53T2"&amp;"AuvvIqhP7Nf-bo3Uhj8cbKYRPpZdsrBv3x3bAQ/edit?resourcekey#gid=1321652304"",""Prop!$N$1:$X""),11,0),iferror(vlookup(B33,importrange(""https://docs.google.com/spreadsheets/d/1p53T2AuvvIqhP7Nf-bo3Uhj8cbKYRPpZdsrBv3x3bAQ/edit?resourcekey#gid=1321652304"",""Prop"&amp;"!$Y$1:$AI""),11,0),iferror(vlookup(B33,importrange(""https://docs.google.com/spreadsheets/d/1p53T2AuvvIqhP7Nf-bo3Uhj8cbKYRPpZdsrBv3x3bAQ/edit?resourcekey#gid=1321652304"",""Prop!$AJ$1:$AT""),11,0),iferror(vlookup(B33,importrange(""https://docs.google.com/"&amp;"spreadsheets/d/1p53T2AuvvIqhP7Nf-bo3Uhj8cbKYRPpZdsrBv3x3bAQ/edit?resourcekey#gid=1321652304"",""Prop!$AU$1:$BE""),11,0),iferror(vlookup(B33,importrange(""https://docs.google.com/spreadsheets/d/1p53T2AuvvIqhP7Nf-bo3Uhj8cbKYRPpZdsrBv3x3bAQ/edit?resourcekey#"&amp;"gid=1321652304"",""Prop!$BF$1:$BP""),11,0),iferror(vlookup(B33,importrange(""https://docs.google.com/spreadsheets/d/1p53T2AuvvIqhP7Nf-bo3Uhj8cbKYRPpZdsrBv3x3bAQ/edit?resourcekey#gid=1321652304"",""Prop!$BQ$1:$CA""),11,0),iferror(vlookup(B33,importrange("""&amp;"https://docs.google.com/spreadsheets/d/1p53T2AuvvIqhP7Nf-bo3Uhj8cbKYRPpZdsrBv3x3bAQ/edit?resourcekey#gid=1321652304"",""Prop!$CB$1:$CL""),11,0),iferror(vlookup(B33,importrange(""https://docs.google.com/spreadsheets/d/1p53T2AuvvIqhP7Nf-bo3Uhj8cbKYRPpZdsrBv"&amp;"3x3bAQ/edit?resourcekey#gid=1321652304"",""Prop!$CM$1:$CX""),11,0),iferror(vlookup(B33,importrange(""https://docs.google.com/spreadsheets/d/1p53T2AuvvIqhP7Nf-bo3Uhj8cbKYRPpZdsrBv3x3bAQ/edit?resourcekey#gid=1321652304"",""Prop!$CY$1:$DI""),11,0)))))))))))"),"")</f>
        <v/>
      </c>
      <c r="R33" s="20" t="s">
        <v>898</v>
      </c>
      <c r="S33" s="20" t="str">
        <f ca="1">IFERROR(__xludf.DUMMYFUNCTION("IFERROR(vlookup(B33,IMPORTRANGE(""https://docs.google.com/spreadsheets/d/1g_jfYYK_KeipEDNDUgqgrsxK94XiocfNQIcP-v1QVhI/edit?resourcekey#gid=233272945"",""Nilai!B:CT""),12,0),"" "")"),"")</f>
        <v/>
      </c>
      <c r="T33" s="20" t="str">
        <f ca="1">IFERROR(__xludf.DUMMYFUNCTION("IFERROR(vlookup(B33,IMPORTRANGE(""https://docs.google.com/spreadsheets/d/1g_jfYYK_KeipEDNDUgqgrsxK94XiocfNQIcP-v1QVhI/edit?resourcekey#gid=233272945"",""Nilai!B:CT""),97,0),"" "")")," ")</f>
        <v xml:space="preserve"> </v>
      </c>
      <c r="U33" s="32" t="s">
        <v>825</v>
      </c>
      <c r="V33" s="30" t="s">
        <v>899</v>
      </c>
      <c r="W33" s="23" t="s">
        <v>923</v>
      </c>
      <c r="X33" s="20" t="b">
        <v>0</v>
      </c>
    </row>
    <row r="34" spans="1:24">
      <c r="A34" s="15">
        <v>32</v>
      </c>
      <c r="B34" s="16">
        <f ca="1">IFERROR(__xludf.DUMMYFUNCTION("""COMPUTED_VALUE"""),2221)</f>
        <v>2221</v>
      </c>
      <c r="C34" s="16" t="str">
        <f ca="1">IFERROR(__xludf.DUMMYFUNCTION("""COMPUTED_VALUE"""),"Lukas Lauren")</f>
        <v>Lukas Lauren</v>
      </c>
      <c r="D34" s="16" t="str">
        <f ca="1">IFERROR(__xludf.DUMMYFUNCTION("""COMPUTED_VALUE"""),"5010211095")</f>
        <v>5010211095</v>
      </c>
      <c r="E34" s="16" t="str">
        <f ca="1">IFERROR(__xludf.DUMMYFUNCTION("""COMPUTED_VALUE"""),"Departemen Teknik Sistem dan Industri")</f>
        <v>Departemen Teknik Sistem dan Industri</v>
      </c>
      <c r="F34" s="16" t="str">
        <f ca="1">IFERROR(__xludf.DUMMYFUNCTION("""COMPUTED_VALUE"""),"Penerapan Konsep Smart City Berbasis Internet of Things pada Ibu Kota Baru Indonesia")</f>
        <v>Penerapan Konsep Smart City Berbasis Internet of Things pada Ibu Kota Baru Indonesia</v>
      </c>
      <c r="G34" s="16" t="str">
        <f ca="1">IFERROR(__xludf.DUMMYFUNCTION("""COMPUTED_VALUE"""),"Dody Hartanto, S.T., M.T.")</f>
        <v>Dody Hartanto, S.T., M.T.</v>
      </c>
      <c r="H34" s="16" t="str">
        <f ca="1">IFERROR(__xludf.DUMMYFUNCTION("""COMPUTED_VALUE"""),"Prof. Dr. Dra Fahimah Martak, M.Si")</f>
        <v>Prof. Dr. Dra Fahimah Martak, M.Si</v>
      </c>
      <c r="I34" s="16" t="str">
        <f ca="1">IFERROR(__xludf.DUMMYFUNCTION("""COMPUTED_VALUE"""),"Ulil 'Azmi, S.Si., M.Si.")</f>
        <v>Ulil 'Azmi, S.Si., M.Si.</v>
      </c>
      <c r="J34" s="16"/>
      <c r="K34" s="17" t="s">
        <v>921</v>
      </c>
      <c r="L34" s="23" t="s">
        <v>922</v>
      </c>
      <c r="M34" s="19" t="b">
        <v>0</v>
      </c>
      <c r="N34" s="19" t="b">
        <v>0</v>
      </c>
      <c r="O34" s="1" t="s">
        <v>897</v>
      </c>
      <c r="P34" s="7" t="str">
        <f ca="1">IFERROR(__xludf.DUMMYFUNCTION("iferror(vlookup(B34,importrange(""https://docs.google.com/spreadsheets/d/1boHyJQ4e2FU0QG8MHwEi6qjX4hvZWVCHcFfXjq7bbMc/edit?resourcekey#gid=923248883"",""Prop!$C$1:$M""),11,0),IFERROR(vlookup(B34,importrange(""https://docs.google.com/spreadsheets/d/1boHyJQ"&amp;"4e2FU0QG8MHwEi6qjX4hvZWVCHcFfXjq7bbMc/edit?resourcekey#gid=923248883"",""Prop!$N$1:$X""),11,0),iferror(vlookup(B34,importrange(""https://docs.google.com/spreadsheets/d/1boHyJQ4e2FU0QG8MHwEi6qjX4hvZWVCHcFfXjq7bbMc/edit?resourcekey#gid=923248883"",""Prop!$Y"&amp;"$1:$AI""),11,0),iferror(vlookup(B34,importrange(""https://docs.google.com/spreadsheets/d/1boHyJQ4e2FU0QG8MHwEi6qjX4hvZWVCHcFfXjq7bbMc/edit?resourcekey#gid=923248883"",""Prop!$AJ$1:$AT""),11,0),iferror(vlookup(B34,importrange(""https://docs.google.com/spre"&amp;"adsheets/d/1boHyJQ4e2FU0QG8MHwEi6qjX4hvZWVCHcFfXjq7bbMc/edit?resourcekey#gid=923248883"",""Prop!$AU$1:$BE""),11,0),iferror(vlookup(B34,importrange(""https://docs.google.com/spreadsheets/d/1boHyJQ4e2FU0QG8MHwEi6qjX4hvZWVCHcFfXjq7bbMc/edit?resourcekey#gid=9"&amp;"23248883"",""Prop!$BF$1:$BP""),11,0),iferror(vlookup(B34,importrange(""https://docs.google.com/spreadsheets/d/1boHyJQ4e2FU0QG8MHwEi6qjX4hvZWVCHcFfXjq7bbMc/edit?resourcekey#gid=923248883"",""Prop!$BQ$1:$CA""),11,0),iferror(vlookup(B34,importrange(""https:/"&amp;"/docs.google.com/spreadsheets/d/1boHyJQ4e2FU0QG8MHwEi6qjX4hvZWVCHcFfXjq7bbMc/edit?resourcekey#gid=923248883"",""Prop!$CB$1:$CL""),11,0),iferror(vlookup(B34,importrange(""https://docs.google.com/spreadsheets/d/1boHyJQ4e2FU0QG8MHwEi6qjX4hvZWVCHcFfXjq7bbMc/e"&amp;"dit?resourcekey#gid=923248883"",""Prop!$CM$1:$CX""),11,0),iferror(vlookup(B34,importrange(""https://docs.google.com/spreadsheets/d/1boHyJQ4e2FU0QG8MHwEi6qjX4hvZWVCHcFfXjq7bbMc/edit?resourcekey#gid=923248883"",""Prop!$CY$1:$DI""),11,0)))))))))))"),"https://drive.google.com/open?id=1B24kIC234YU0x1qo7fmsy0fEb4nCLRqp")</f>
        <v>https://drive.google.com/open?id=1B24kIC234YU0x1qo7fmsy0fEb4nCLRqp</v>
      </c>
      <c r="Q34" s="7" t="str">
        <f ca="1">IFERROR(__xludf.DUMMYFUNCTION("iferror(vlookup(B34,importrange(""https://docs.google.com/spreadsheets/d/1p53T2AuvvIqhP7Nf-bo3Uhj8cbKYRPpZdsrBv3x3bAQ/edit?resourcekey#gid=1321652304"",""Prop!$C$1:$M""),11,0),IFERROR(vlookup(B34,importrange(""https://docs.google.com/spreadsheets/d/1p53T2"&amp;"AuvvIqhP7Nf-bo3Uhj8cbKYRPpZdsrBv3x3bAQ/edit?resourcekey#gid=1321652304"",""Prop!$N$1:$X""),11,0),iferror(vlookup(B34,importrange(""https://docs.google.com/spreadsheets/d/1p53T2AuvvIqhP7Nf-bo3Uhj8cbKYRPpZdsrBv3x3bAQ/edit?resourcekey#gid=1321652304"",""Prop"&amp;"!$Y$1:$AI""),11,0),iferror(vlookup(B34,importrange(""https://docs.google.com/spreadsheets/d/1p53T2AuvvIqhP7Nf-bo3Uhj8cbKYRPpZdsrBv3x3bAQ/edit?resourcekey#gid=1321652304"",""Prop!$AJ$1:$AT""),11,0),iferror(vlookup(B34,importrange(""https://docs.google.com/"&amp;"spreadsheets/d/1p53T2AuvvIqhP7Nf-bo3Uhj8cbKYRPpZdsrBv3x3bAQ/edit?resourcekey#gid=1321652304"",""Prop!$AU$1:$BE""),11,0),iferror(vlookup(B34,importrange(""https://docs.google.com/spreadsheets/d/1p53T2AuvvIqhP7Nf-bo3Uhj8cbKYRPpZdsrBv3x3bAQ/edit?resourcekey#"&amp;"gid=1321652304"",""Prop!$BF$1:$BP""),11,0),iferror(vlookup(B34,importrange(""https://docs.google.com/spreadsheets/d/1p53T2AuvvIqhP7Nf-bo3Uhj8cbKYRPpZdsrBv3x3bAQ/edit?resourcekey#gid=1321652304"",""Prop!$BQ$1:$CA""),11,0),iferror(vlookup(B34,importrange("""&amp;"https://docs.google.com/spreadsheets/d/1p53T2AuvvIqhP7Nf-bo3Uhj8cbKYRPpZdsrBv3x3bAQ/edit?resourcekey#gid=1321652304"",""Prop!$CB$1:$CL""),11,0),iferror(vlookup(B34,importrange(""https://docs.google.com/spreadsheets/d/1p53T2AuvvIqhP7Nf-bo3Uhj8cbKYRPpZdsrBv"&amp;"3x3bAQ/edit?resourcekey#gid=1321652304"",""Prop!$CM$1:$CX""),11,0),iferror(vlookup(B34,importrange(""https://docs.google.com/spreadsheets/d/1p53T2AuvvIqhP7Nf-bo3Uhj8cbKYRPpZdsrBv3x3bAQ/edit?resourcekey#gid=1321652304"",""Prop!$CY$1:$DI""),11,0)))))))))))"),"https://drive.google.com/open?id=1V3B2XncXor0STyX3us3NvR_tuIcFhKX_")</f>
        <v>https://drive.google.com/open?id=1V3B2XncXor0STyX3us3NvR_tuIcFhKX_</v>
      </c>
      <c r="R34" s="20" t="s">
        <v>898</v>
      </c>
      <c r="S34" s="20" t="str">
        <f ca="1">IFERROR(__xludf.DUMMYFUNCTION("IFERROR(vlookup(B34,IMPORTRANGE(""https://docs.google.com/spreadsheets/d/1g_jfYYK_KeipEDNDUgqgrsxK94XiocfNQIcP-v1QVhI/edit?resourcekey#gid=233272945"",""Nilai!B:CT""),12,0),"" "")"),"Hanya 5 jurnal
")</f>
        <v xml:space="preserve">Hanya 5 jurnal
</v>
      </c>
      <c r="T34" s="20" t="str">
        <f ca="1">IFERROR(__xludf.DUMMYFUNCTION("IFERROR(vlookup(B34,IMPORTRANGE(""https://docs.google.com/spreadsheets/d/1g_jfYYK_KeipEDNDUgqgrsxK94XiocfNQIcP-v1QVhI/edit?resourcekey#gid=233272945"",""Nilai!B:CT""),97,0),"" "")"),"TIDAK LAYAK UPLOAD KE SIMBELMAWA")</f>
        <v>TIDAK LAYAK UPLOAD KE SIMBELMAWA</v>
      </c>
      <c r="U34" s="32" t="s">
        <v>825</v>
      </c>
      <c r="V34" s="30" t="s">
        <v>899</v>
      </c>
      <c r="W34" s="23" t="s">
        <v>923</v>
      </c>
      <c r="X34" s="20" t="b">
        <v>0</v>
      </c>
    </row>
    <row r="35" spans="1:24">
      <c r="A35" s="15">
        <v>33</v>
      </c>
      <c r="B35" s="16">
        <f ca="1">IFERROR(__xludf.DUMMYFUNCTION("""COMPUTED_VALUE"""),2644)</f>
        <v>2644</v>
      </c>
      <c r="C35" s="16" t="str">
        <f ca="1">IFERROR(__xludf.DUMMYFUNCTION("""COMPUTED_VALUE"""),"DERYL PUTRA ASWIN")</f>
        <v>DERYL PUTRA ASWIN</v>
      </c>
      <c r="D35" s="16" t="str">
        <f ca="1">IFERROR(__xludf.DUMMYFUNCTION("""COMPUTED_VALUE"""),"04211840000057")</f>
        <v>04211840000057</v>
      </c>
      <c r="E35" s="16" t="str">
        <f ca="1">IFERROR(__xludf.DUMMYFUNCTION("""COMPUTED_VALUE"""),"Departemen Teknik Sistem Perkapalan")</f>
        <v>Departemen Teknik Sistem Perkapalan</v>
      </c>
      <c r="F35" s="16" t="str">
        <f ca="1">IFERROR(__xludf.DUMMYFUNCTION("""COMPUTED_VALUE"""),"ANALISA PENGGUNAAN METODE PASTEURIZATION UNTUK BALLAST WATER TREATMENT KAPAL KONTAINER")</f>
        <v>ANALISA PENGGUNAAN METODE PASTEURIZATION UNTUK BALLAST WATER TREATMENT KAPAL KONTAINER</v>
      </c>
      <c r="G35" s="16" t="str">
        <f ca="1">IFERROR(__xludf.DUMMYFUNCTION("""COMPUTED_VALUE"""),"Ir. Agoes Santoso, M.Sc.")</f>
        <v>Ir. Agoes Santoso, M.Sc.</v>
      </c>
      <c r="H35" s="16" t="str">
        <f ca="1">IFERROR(__xludf.DUMMYFUNCTION("""COMPUTED_VALUE"""),"Prof. Dr. Dra Fahimah Martak, M.Si")</f>
        <v>Prof. Dr. Dra Fahimah Martak, M.Si</v>
      </c>
      <c r="I35" s="16" t="str">
        <f ca="1">IFERROR(__xludf.DUMMYFUNCTION("""COMPUTED_VALUE"""),"Arif Fadlan, S.Si., M.Si., D.Sc")</f>
        <v>Arif Fadlan, S.Si., M.Si., D.Sc</v>
      </c>
      <c r="J35" s="16"/>
      <c r="K35" s="17" t="s">
        <v>921</v>
      </c>
      <c r="L35" s="23" t="s">
        <v>922</v>
      </c>
      <c r="M35" s="19" t="b">
        <v>0</v>
      </c>
      <c r="N35" s="19" t="b">
        <v>0</v>
      </c>
      <c r="O35" s="1" t="s">
        <v>897</v>
      </c>
      <c r="P35" s="1" t="str">
        <f ca="1">IFERROR(__xludf.DUMMYFUNCTION("iferror(vlookup(B35,importrange(""https://docs.google.com/spreadsheets/d/1boHyJQ4e2FU0QG8MHwEi6qjX4hvZWVCHcFfXjq7bbMc/edit?resourcekey#gid=923248883"",""Prop!$C$1:$M""),11,0),IFERROR(vlookup(B35,importrange(""https://docs.google.com/spreadsheets/d/1boHyJQ"&amp;"4e2FU0QG8MHwEi6qjX4hvZWVCHcFfXjq7bbMc/edit?resourcekey#gid=923248883"",""Prop!$N$1:$X""),11,0),iferror(vlookup(B35,importrange(""https://docs.google.com/spreadsheets/d/1boHyJQ4e2FU0QG8MHwEi6qjX4hvZWVCHcFfXjq7bbMc/edit?resourcekey#gid=923248883"",""Prop!$Y"&amp;"$1:$AI""),11,0),iferror(vlookup(B35,importrange(""https://docs.google.com/spreadsheets/d/1boHyJQ4e2FU0QG8MHwEi6qjX4hvZWVCHcFfXjq7bbMc/edit?resourcekey#gid=923248883"",""Prop!$AJ$1:$AT""),11,0),iferror(vlookup(B35,importrange(""https://docs.google.com/spre"&amp;"adsheets/d/1boHyJQ4e2FU0QG8MHwEi6qjX4hvZWVCHcFfXjq7bbMc/edit?resourcekey#gid=923248883"",""Prop!$AU$1:$BE""),11,0),iferror(vlookup(B35,importrange(""https://docs.google.com/spreadsheets/d/1boHyJQ4e2FU0QG8MHwEi6qjX4hvZWVCHcFfXjq7bbMc/edit?resourcekey#gid=9"&amp;"23248883"",""Prop!$BF$1:$BP""),11,0),iferror(vlookup(B35,importrange(""https://docs.google.com/spreadsheets/d/1boHyJQ4e2FU0QG8MHwEi6qjX4hvZWVCHcFfXjq7bbMc/edit?resourcekey#gid=923248883"",""Prop!$BQ$1:$CA""),11,0),iferror(vlookup(B35,importrange(""https:/"&amp;"/docs.google.com/spreadsheets/d/1boHyJQ4e2FU0QG8MHwEi6qjX4hvZWVCHcFfXjq7bbMc/edit?resourcekey#gid=923248883"",""Prop!$CB$1:$CL""),11,0),iferror(vlookup(B35,importrange(""https://docs.google.com/spreadsheets/d/1boHyJQ4e2FU0QG8MHwEi6qjX4hvZWVCHcFfXjq7bbMc/e"&amp;"dit?resourcekey#gid=923248883"",""Prop!$CM$1:$CX""),11,0),iferror(vlookup(B35,importrange(""https://docs.google.com/spreadsheets/d/1boHyJQ4e2FU0QG8MHwEi6qjX4hvZWVCHcFfXjq7bbMc/edit?resourcekey#gid=923248883"",""Prop!$CY$1:$DI""),11,0)))))))))))"),"")</f>
        <v/>
      </c>
      <c r="Q35" s="1" t="str">
        <f ca="1">IFERROR(__xludf.DUMMYFUNCTION("iferror(vlookup(B35,importrange(""https://docs.google.com/spreadsheets/d/1p53T2AuvvIqhP7Nf-bo3Uhj8cbKYRPpZdsrBv3x3bAQ/edit?resourcekey#gid=1321652304"",""Prop!$C$1:$M""),11,0),IFERROR(vlookup(B35,importrange(""https://docs.google.com/spreadsheets/d/1p53T2"&amp;"AuvvIqhP7Nf-bo3Uhj8cbKYRPpZdsrBv3x3bAQ/edit?resourcekey#gid=1321652304"",""Prop!$N$1:$X""),11,0),iferror(vlookup(B35,importrange(""https://docs.google.com/spreadsheets/d/1p53T2AuvvIqhP7Nf-bo3Uhj8cbKYRPpZdsrBv3x3bAQ/edit?resourcekey#gid=1321652304"",""Prop"&amp;"!$Y$1:$AI""),11,0),iferror(vlookup(B35,importrange(""https://docs.google.com/spreadsheets/d/1p53T2AuvvIqhP7Nf-bo3Uhj8cbKYRPpZdsrBv3x3bAQ/edit?resourcekey#gid=1321652304"",""Prop!$AJ$1:$AT""),11,0),iferror(vlookup(B35,importrange(""https://docs.google.com/"&amp;"spreadsheets/d/1p53T2AuvvIqhP7Nf-bo3Uhj8cbKYRPpZdsrBv3x3bAQ/edit?resourcekey#gid=1321652304"",""Prop!$AU$1:$BE""),11,0),iferror(vlookup(B35,importrange(""https://docs.google.com/spreadsheets/d/1p53T2AuvvIqhP7Nf-bo3Uhj8cbKYRPpZdsrBv3x3bAQ/edit?resourcekey#"&amp;"gid=1321652304"",""Prop!$BF$1:$BP""),11,0),iferror(vlookup(B35,importrange(""https://docs.google.com/spreadsheets/d/1p53T2AuvvIqhP7Nf-bo3Uhj8cbKYRPpZdsrBv3x3bAQ/edit?resourcekey#gid=1321652304"",""Prop!$BQ$1:$CA""),11,0),iferror(vlookup(B35,importrange("""&amp;"https://docs.google.com/spreadsheets/d/1p53T2AuvvIqhP7Nf-bo3Uhj8cbKYRPpZdsrBv3x3bAQ/edit?resourcekey#gid=1321652304"",""Prop!$CB$1:$CL""),11,0),iferror(vlookup(B35,importrange(""https://docs.google.com/spreadsheets/d/1p53T2AuvvIqhP7Nf-bo3Uhj8cbKYRPpZdsrBv"&amp;"3x3bAQ/edit?resourcekey#gid=1321652304"",""Prop!$CM$1:$CX""),11,0),iferror(vlookup(B35,importrange(""https://docs.google.com/spreadsheets/d/1p53T2AuvvIqhP7Nf-bo3Uhj8cbKYRPpZdsrBv3x3bAQ/edit?resourcekey#gid=1321652304"",""Prop!$CY$1:$DI""),11,0)))))))))))"),"")</f>
        <v/>
      </c>
      <c r="R35" s="20" t="s">
        <v>898</v>
      </c>
      <c r="S35" s="20" t="str">
        <f ca="1">IFERROR(__xludf.DUMMYFUNCTION("IFERROR(vlookup(B35,IMPORTRANGE(""https://docs.google.com/spreadsheets/d/1g_jfYYK_KeipEDNDUgqgrsxK94XiocfNQIcP-v1QVhI/edit?resourcekey#gid=233272945"",""Nilai!B:CT""),12,0),"" "")"),"")</f>
        <v/>
      </c>
      <c r="T35" s="20" t="str">
        <f ca="1">IFERROR(__xludf.DUMMYFUNCTION("IFERROR(vlookup(B35,IMPORTRANGE(""https://docs.google.com/spreadsheets/d/1g_jfYYK_KeipEDNDUgqgrsxK94XiocfNQIcP-v1QVhI/edit?resourcekey#gid=233272945"",""Nilai!B:CT""),97,0),"" "")")," ")</f>
        <v xml:space="preserve"> </v>
      </c>
      <c r="U35" s="32" t="s">
        <v>825</v>
      </c>
      <c r="V35" s="30" t="s">
        <v>899</v>
      </c>
      <c r="W35" s="23" t="s">
        <v>923</v>
      </c>
      <c r="X35" s="20" t="b">
        <v>0</v>
      </c>
    </row>
    <row r="36" spans="1:24">
      <c r="A36" s="15">
        <v>34</v>
      </c>
      <c r="B36" s="16">
        <f ca="1">IFERROR(__xludf.DUMMYFUNCTION("""COMPUTED_VALUE"""),2707)</f>
        <v>2707</v>
      </c>
      <c r="C36" s="16" t="str">
        <f ca="1">IFERROR(__xludf.DUMMYFUNCTION("""COMPUTED_VALUE"""),"Muhammad Raihan Rosulan Indni Kesuma")</f>
        <v>Muhammad Raihan Rosulan Indni Kesuma</v>
      </c>
      <c r="D36" s="16" t="str">
        <f ca="1">IFERROR(__xludf.DUMMYFUNCTION("""COMPUTED_VALUE"""),"04211841000012")</f>
        <v>04211841000012</v>
      </c>
      <c r="E36" s="16" t="str">
        <f ca="1">IFERROR(__xludf.DUMMYFUNCTION("""COMPUTED_VALUE"""),"Departemen Teknik Sistem Perkapalan")</f>
        <v>Departemen Teknik Sistem Perkapalan</v>
      </c>
      <c r="F36" s="16" t="str">
        <f ca="1">IFERROR(__xludf.DUMMYFUNCTION("""COMPUTED_VALUE"""),"SHORT CIRCUIT ANALYSIS DUE TO RECONFIGURATION AC TO DC ELECTRICAL DISTRIBUTION SYSTEM ON TSHD KING ARTHUR III BASED ON SIMULATION")</f>
        <v>SHORT CIRCUIT ANALYSIS DUE TO RECONFIGURATION AC TO DC ELECTRICAL DISTRIBUTION SYSTEM ON TSHD KING ARTHUR III BASED ON SIMULATION</v>
      </c>
      <c r="G36" s="16" t="str">
        <f ca="1">IFERROR(__xludf.DUMMYFUNCTION("""COMPUTED_VALUE"""),"Dr.Eng. Adi Kurniawan, S.T., M.T.")</f>
        <v>Dr.Eng. Adi Kurniawan, S.T., M.T.</v>
      </c>
      <c r="H36" s="16" t="str">
        <f ca="1">IFERROR(__xludf.DUMMYFUNCTION("""COMPUTED_VALUE"""),"Prof. Dr. Dra Fahimah Martak, M.Si")</f>
        <v>Prof. Dr. Dra Fahimah Martak, M.Si</v>
      </c>
      <c r="I36" s="16" t="str">
        <f ca="1">IFERROR(__xludf.DUMMYFUNCTION("""COMPUTED_VALUE"""),"Arif Fadlan, S.Si., M.Si., D.Sc")</f>
        <v>Arif Fadlan, S.Si., M.Si., D.Sc</v>
      </c>
      <c r="J36" s="16"/>
      <c r="K36" s="17" t="s">
        <v>921</v>
      </c>
      <c r="L36" s="23" t="s">
        <v>922</v>
      </c>
      <c r="M36" s="19" t="b">
        <v>0</v>
      </c>
      <c r="N36" s="19" t="b">
        <v>0</v>
      </c>
      <c r="O36" s="1" t="s">
        <v>897</v>
      </c>
      <c r="P36" s="1" t="str">
        <f ca="1">IFERROR(__xludf.DUMMYFUNCTION("iferror(vlookup(B36,importrange(""https://docs.google.com/spreadsheets/d/1boHyJQ4e2FU0QG8MHwEi6qjX4hvZWVCHcFfXjq7bbMc/edit?resourcekey#gid=923248883"",""Prop!$C$1:$M""),11,0),IFERROR(vlookup(B36,importrange(""https://docs.google.com/spreadsheets/d/1boHyJQ"&amp;"4e2FU0QG8MHwEi6qjX4hvZWVCHcFfXjq7bbMc/edit?resourcekey#gid=923248883"",""Prop!$N$1:$X""),11,0),iferror(vlookup(B36,importrange(""https://docs.google.com/spreadsheets/d/1boHyJQ4e2FU0QG8MHwEi6qjX4hvZWVCHcFfXjq7bbMc/edit?resourcekey#gid=923248883"",""Prop!$Y"&amp;"$1:$AI""),11,0),iferror(vlookup(B36,importrange(""https://docs.google.com/spreadsheets/d/1boHyJQ4e2FU0QG8MHwEi6qjX4hvZWVCHcFfXjq7bbMc/edit?resourcekey#gid=923248883"",""Prop!$AJ$1:$AT""),11,0),iferror(vlookup(B36,importrange(""https://docs.google.com/spre"&amp;"adsheets/d/1boHyJQ4e2FU0QG8MHwEi6qjX4hvZWVCHcFfXjq7bbMc/edit?resourcekey#gid=923248883"",""Prop!$AU$1:$BE""),11,0),iferror(vlookup(B36,importrange(""https://docs.google.com/spreadsheets/d/1boHyJQ4e2FU0QG8MHwEi6qjX4hvZWVCHcFfXjq7bbMc/edit?resourcekey#gid=9"&amp;"23248883"",""Prop!$BF$1:$BP""),11,0),iferror(vlookup(B36,importrange(""https://docs.google.com/spreadsheets/d/1boHyJQ4e2FU0QG8MHwEi6qjX4hvZWVCHcFfXjq7bbMc/edit?resourcekey#gid=923248883"",""Prop!$BQ$1:$CA""),11,0),iferror(vlookup(B36,importrange(""https:/"&amp;"/docs.google.com/spreadsheets/d/1boHyJQ4e2FU0QG8MHwEi6qjX4hvZWVCHcFfXjq7bbMc/edit?resourcekey#gid=923248883"",""Prop!$CB$1:$CL""),11,0),iferror(vlookup(B36,importrange(""https://docs.google.com/spreadsheets/d/1boHyJQ4e2FU0QG8MHwEi6qjX4hvZWVCHcFfXjq7bbMc/e"&amp;"dit?resourcekey#gid=923248883"",""Prop!$CM$1:$CX""),11,0),iferror(vlookup(B36,importrange(""https://docs.google.com/spreadsheets/d/1boHyJQ4e2FU0QG8MHwEi6qjX4hvZWVCHcFfXjq7bbMc/edit?resourcekey#gid=923248883"",""Prop!$CY$1:$DI""),11,0)))))))))))"),"")</f>
        <v/>
      </c>
      <c r="Q36" s="1" t="str">
        <f ca="1">IFERROR(__xludf.DUMMYFUNCTION("iferror(vlookup(B36,importrange(""https://docs.google.com/spreadsheets/d/1p53T2AuvvIqhP7Nf-bo3Uhj8cbKYRPpZdsrBv3x3bAQ/edit?resourcekey#gid=1321652304"",""Prop!$C$1:$M""),11,0),IFERROR(vlookup(B36,importrange(""https://docs.google.com/spreadsheets/d/1p53T2"&amp;"AuvvIqhP7Nf-bo3Uhj8cbKYRPpZdsrBv3x3bAQ/edit?resourcekey#gid=1321652304"",""Prop!$N$1:$X""),11,0),iferror(vlookup(B36,importrange(""https://docs.google.com/spreadsheets/d/1p53T2AuvvIqhP7Nf-bo3Uhj8cbKYRPpZdsrBv3x3bAQ/edit?resourcekey#gid=1321652304"",""Prop"&amp;"!$Y$1:$AI""),11,0),iferror(vlookup(B36,importrange(""https://docs.google.com/spreadsheets/d/1p53T2AuvvIqhP7Nf-bo3Uhj8cbKYRPpZdsrBv3x3bAQ/edit?resourcekey#gid=1321652304"",""Prop!$AJ$1:$AT""),11,0),iferror(vlookup(B36,importrange(""https://docs.google.com/"&amp;"spreadsheets/d/1p53T2AuvvIqhP7Nf-bo3Uhj8cbKYRPpZdsrBv3x3bAQ/edit?resourcekey#gid=1321652304"",""Prop!$AU$1:$BE""),11,0),iferror(vlookup(B36,importrange(""https://docs.google.com/spreadsheets/d/1p53T2AuvvIqhP7Nf-bo3Uhj8cbKYRPpZdsrBv3x3bAQ/edit?resourcekey#"&amp;"gid=1321652304"",""Prop!$BF$1:$BP""),11,0),iferror(vlookup(B36,importrange(""https://docs.google.com/spreadsheets/d/1p53T2AuvvIqhP7Nf-bo3Uhj8cbKYRPpZdsrBv3x3bAQ/edit?resourcekey#gid=1321652304"",""Prop!$BQ$1:$CA""),11,0),iferror(vlookup(B36,importrange("""&amp;"https://docs.google.com/spreadsheets/d/1p53T2AuvvIqhP7Nf-bo3Uhj8cbKYRPpZdsrBv3x3bAQ/edit?resourcekey#gid=1321652304"",""Prop!$CB$1:$CL""),11,0),iferror(vlookup(B36,importrange(""https://docs.google.com/spreadsheets/d/1p53T2AuvvIqhP7Nf-bo3Uhj8cbKYRPpZdsrBv"&amp;"3x3bAQ/edit?resourcekey#gid=1321652304"",""Prop!$CM$1:$CX""),11,0),iferror(vlookup(B36,importrange(""https://docs.google.com/spreadsheets/d/1p53T2AuvvIqhP7Nf-bo3Uhj8cbKYRPpZdsrBv3x3bAQ/edit?resourcekey#gid=1321652304"",""Prop!$CY$1:$DI""),11,0)))))))))))"),"")</f>
        <v/>
      </c>
      <c r="R36" s="20" t="s">
        <v>898</v>
      </c>
      <c r="S36" s="20" t="str">
        <f ca="1">IFERROR(__xludf.DUMMYFUNCTION("IFERROR(vlookup(B36,IMPORTRANGE(""https://docs.google.com/spreadsheets/d/1g_jfYYK_KeipEDNDUgqgrsxK94XiocfNQIcP-v1QVhI/edit?resourcekey#gid=233272945"",""Nilai!B:CT""),12,0),"" "")"),"")</f>
        <v/>
      </c>
      <c r="T36" s="20" t="str">
        <f ca="1">IFERROR(__xludf.DUMMYFUNCTION("IFERROR(vlookup(B36,IMPORTRANGE(""https://docs.google.com/spreadsheets/d/1g_jfYYK_KeipEDNDUgqgrsxK94XiocfNQIcP-v1QVhI/edit?resourcekey#gid=233272945"",""Nilai!B:CT""),97,0),"" "")")," ")</f>
        <v xml:space="preserve"> </v>
      </c>
      <c r="U36" s="32" t="s">
        <v>825</v>
      </c>
      <c r="V36" s="30" t="s">
        <v>899</v>
      </c>
      <c r="W36" s="23" t="s">
        <v>924</v>
      </c>
      <c r="X36" s="20" t="b">
        <v>0</v>
      </c>
    </row>
    <row r="37" spans="1:24">
      <c r="A37" s="15">
        <v>35</v>
      </c>
      <c r="B37" s="16">
        <f ca="1">IFERROR(__xludf.DUMMYFUNCTION("""COMPUTED_VALUE"""),3782)</f>
        <v>3782</v>
      </c>
      <c r="C37" s="16" t="str">
        <f ca="1">IFERROR(__xludf.DUMMYFUNCTION("""COMPUTED_VALUE"""),"Mukhammad Akbar Makhbubi")</f>
        <v>Mukhammad Akbar Makhbubi</v>
      </c>
      <c r="D37" s="16" t="str">
        <f ca="1">IFERROR(__xludf.DUMMYFUNCTION("""COMPUTED_VALUE"""),"08211940000021")</f>
        <v>08211940000021</v>
      </c>
      <c r="E37" s="16" t="str">
        <f ca="1">IFERROR(__xludf.DUMMYFUNCTION("""COMPUTED_VALUE"""),"Departemen Perencanaan Wilayah dan Kota")</f>
        <v>Departemen Perencanaan Wilayah dan Kota</v>
      </c>
      <c r="F37" s="16" t="str">
        <f ca="1">IFERROR(__xludf.DUMMYFUNCTION("""COMPUTED_VALUE"""),"Pemanfaatan Teknologi Artificial Intelligence Dalam Upaya Peningkatan Keuntungan UMKM Melalui Penggunaan Jasa Influencer Sebagai Media Pemasaran ")</f>
        <v xml:space="preserve">Pemanfaatan Teknologi Artificial Intelligence Dalam Upaya Peningkatan Keuntungan UMKM Melalui Penggunaan Jasa Influencer Sebagai Media Pemasaran </v>
      </c>
      <c r="G37" s="16" t="str">
        <f ca="1">IFERROR(__xludf.DUMMYFUNCTION("""COMPUTED_VALUE"""),"Ika Nurkasanah, S.Kom., M.Sc.")</f>
        <v>Ika Nurkasanah, S.Kom., M.Sc.</v>
      </c>
      <c r="H37" s="16" t="str">
        <f ca="1">IFERROR(__xludf.DUMMYFUNCTION("""COMPUTED_VALUE"""),"Dr.-Ing. Doty Dewi Risanti, S.T., M.T.")</f>
        <v>Dr.-Ing. Doty Dewi Risanti, S.T., M.T.</v>
      </c>
      <c r="I37" s="16" t="str">
        <f ca="1">IFERROR(__xludf.DUMMYFUNCTION("""COMPUTED_VALUE"""),"Hariyati Purwaningsih, S.Si., M.Si.")</f>
        <v>Hariyati Purwaningsih, S.Si., M.Si.</v>
      </c>
      <c r="J37" s="16"/>
      <c r="K37" s="17" t="s">
        <v>921</v>
      </c>
      <c r="L37" s="23" t="s">
        <v>922</v>
      </c>
      <c r="M37" s="19" t="b">
        <v>0</v>
      </c>
      <c r="N37" s="19" t="b">
        <v>0</v>
      </c>
      <c r="O37" s="1" t="s">
        <v>897</v>
      </c>
      <c r="P37" s="7" t="str">
        <f ca="1">IFERROR(__xludf.DUMMYFUNCTION("iferror(vlookup(B37,importrange(""https://docs.google.com/spreadsheets/d/1boHyJQ4e2FU0QG8MHwEi6qjX4hvZWVCHcFfXjq7bbMc/edit?resourcekey#gid=923248883"",""Prop!$C$1:$M""),11,0),IFERROR(vlookup(B37,importrange(""https://docs.google.com/spreadsheets/d/1boHyJQ"&amp;"4e2FU0QG8MHwEi6qjX4hvZWVCHcFfXjq7bbMc/edit?resourcekey#gid=923248883"",""Prop!$N$1:$X""),11,0),iferror(vlookup(B37,importrange(""https://docs.google.com/spreadsheets/d/1boHyJQ4e2FU0QG8MHwEi6qjX4hvZWVCHcFfXjq7bbMc/edit?resourcekey#gid=923248883"",""Prop!$Y"&amp;"$1:$AI""),11,0),iferror(vlookup(B37,importrange(""https://docs.google.com/spreadsheets/d/1boHyJQ4e2FU0QG8MHwEi6qjX4hvZWVCHcFfXjq7bbMc/edit?resourcekey#gid=923248883"",""Prop!$AJ$1:$AT""),11,0),iferror(vlookup(B37,importrange(""https://docs.google.com/spre"&amp;"adsheets/d/1boHyJQ4e2FU0QG8MHwEi6qjX4hvZWVCHcFfXjq7bbMc/edit?resourcekey#gid=923248883"",""Prop!$AU$1:$BE""),11,0),iferror(vlookup(B37,importrange(""https://docs.google.com/spreadsheets/d/1boHyJQ4e2FU0QG8MHwEi6qjX4hvZWVCHcFfXjq7bbMc/edit?resourcekey#gid=9"&amp;"23248883"",""Prop!$BF$1:$BP""),11,0),iferror(vlookup(B37,importrange(""https://docs.google.com/spreadsheets/d/1boHyJQ4e2FU0QG8MHwEi6qjX4hvZWVCHcFfXjq7bbMc/edit?resourcekey#gid=923248883"",""Prop!$BQ$1:$CA""),11,0),iferror(vlookup(B37,importrange(""https:/"&amp;"/docs.google.com/spreadsheets/d/1boHyJQ4e2FU0QG8MHwEi6qjX4hvZWVCHcFfXjq7bbMc/edit?resourcekey#gid=923248883"",""Prop!$CB$1:$CL""),11,0),iferror(vlookup(B37,importrange(""https://docs.google.com/spreadsheets/d/1boHyJQ4e2FU0QG8MHwEi6qjX4hvZWVCHcFfXjq7bbMc/e"&amp;"dit?resourcekey#gid=923248883"",""Prop!$CM$1:$CX""),11,0),iferror(vlookup(B37,importrange(""https://docs.google.com/spreadsheets/d/1boHyJQ4e2FU0QG8MHwEi6qjX4hvZWVCHcFfXjq7bbMc/edit?resourcekey#gid=923248883"",""Prop!$CY$1:$DI""),11,0)))))))))))"),"https://drive.google.com/open?id=1wWqhsx2B40QrWYEzaW3-iXNSeTdM4iUY")</f>
        <v>https://drive.google.com/open?id=1wWqhsx2B40QrWYEzaW3-iXNSeTdM4iUY</v>
      </c>
      <c r="Q37" s="7" t="str">
        <f ca="1">IFERROR(__xludf.DUMMYFUNCTION("iferror(vlookup(B37,importrange(""https://docs.google.com/spreadsheets/d/1p53T2AuvvIqhP7Nf-bo3Uhj8cbKYRPpZdsrBv3x3bAQ/edit?resourcekey#gid=1321652304"",""Prop!$C$1:$M""),11,0),IFERROR(vlookup(B37,importrange(""https://docs.google.com/spreadsheets/d/1p53T2"&amp;"AuvvIqhP7Nf-bo3Uhj8cbKYRPpZdsrBv3x3bAQ/edit?resourcekey#gid=1321652304"",""Prop!$N$1:$X""),11,0),iferror(vlookup(B37,importrange(""https://docs.google.com/spreadsheets/d/1p53T2AuvvIqhP7Nf-bo3Uhj8cbKYRPpZdsrBv3x3bAQ/edit?resourcekey#gid=1321652304"",""Prop"&amp;"!$Y$1:$AI""),11,0),iferror(vlookup(B37,importrange(""https://docs.google.com/spreadsheets/d/1p53T2AuvvIqhP7Nf-bo3Uhj8cbKYRPpZdsrBv3x3bAQ/edit?resourcekey#gid=1321652304"",""Prop!$AJ$1:$AT""),11,0),iferror(vlookup(B37,importrange(""https://docs.google.com/"&amp;"spreadsheets/d/1p53T2AuvvIqhP7Nf-bo3Uhj8cbKYRPpZdsrBv3x3bAQ/edit?resourcekey#gid=1321652304"",""Prop!$AU$1:$BE""),11,0),iferror(vlookup(B37,importrange(""https://docs.google.com/spreadsheets/d/1p53T2AuvvIqhP7Nf-bo3Uhj8cbKYRPpZdsrBv3x3bAQ/edit?resourcekey#"&amp;"gid=1321652304"",""Prop!$BF$1:$BP""),11,0),iferror(vlookup(B37,importrange(""https://docs.google.com/spreadsheets/d/1p53T2AuvvIqhP7Nf-bo3Uhj8cbKYRPpZdsrBv3x3bAQ/edit?resourcekey#gid=1321652304"",""Prop!$BQ$1:$CA""),11,0),iferror(vlookup(B37,importrange("""&amp;"https://docs.google.com/spreadsheets/d/1p53T2AuvvIqhP7Nf-bo3Uhj8cbKYRPpZdsrBv3x3bAQ/edit?resourcekey#gid=1321652304"",""Prop!$CB$1:$CL""),11,0),iferror(vlookup(B37,importrange(""https://docs.google.com/spreadsheets/d/1p53T2AuvvIqhP7Nf-bo3Uhj8cbKYRPpZdsrBv"&amp;"3x3bAQ/edit?resourcekey#gid=1321652304"",""Prop!$CM$1:$CX""),11,0),iferror(vlookup(B37,importrange(""https://docs.google.com/spreadsheets/d/1p53T2AuvvIqhP7Nf-bo3Uhj8cbKYRPpZdsrBv3x3bAQ/edit?resourcekey#gid=1321652304"",""Prop!$CY$1:$DI""),11,0)))))))))))"),"https://drive.google.com/open?id=1sctD7CND7DN-_CZRtz8CoVXaYLxAy9kG")</f>
        <v>https://drive.google.com/open?id=1sctD7CND7DN-_CZRtz8CoVXaYLxAy9kG</v>
      </c>
      <c r="R37" s="20" t="s">
        <v>898</v>
      </c>
      <c r="S37" s="20" t="str">
        <f ca="1">IFERROR(__xludf.DUMMYFUNCTION("IFERROR(vlookup(B37,IMPORTRANGE(""https://docs.google.com/spreadsheets/d/1g_jfYYK_KeipEDNDUgqgrsxK94XiocfNQIcP-v1QVhI/edit?resourcekey#gid=233272945"",""Nilai!B:CT""),12,0),"" "")"),"")</f>
        <v/>
      </c>
      <c r="T37" s="20" t="str">
        <f ca="1">IFERROR(__xludf.DUMMYFUNCTION("IFERROR(vlookup(B37,IMPORTRANGE(""https://docs.google.com/spreadsheets/d/1g_jfYYK_KeipEDNDUgqgrsxK94XiocfNQIcP-v1QVhI/edit?resourcekey#gid=233272945"",""Nilai!B:CT""),97,0),"" "")")," ")</f>
        <v xml:space="preserve"> </v>
      </c>
      <c r="U37" s="32" t="s">
        <v>825</v>
      </c>
      <c r="V37" s="30" t="s">
        <v>899</v>
      </c>
      <c r="W37" s="23" t="s">
        <v>924</v>
      </c>
      <c r="X37" s="20" t="b">
        <v>0</v>
      </c>
    </row>
    <row r="38" spans="1:24">
      <c r="A38" s="15">
        <v>36</v>
      </c>
      <c r="B38" s="16">
        <f ca="1">IFERROR(__xludf.DUMMYFUNCTION("""COMPUTED_VALUE"""),3755)</f>
        <v>3755</v>
      </c>
      <c r="C38" s="16" t="str">
        <f ca="1">IFERROR(__xludf.DUMMYFUNCTION("""COMPUTED_VALUE"""),"ANNISA RAMADHANI VARHANA")</f>
        <v>ANNISA RAMADHANI VARHANA</v>
      </c>
      <c r="D38" s="16" t="str">
        <f ca="1">IFERROR(__xludf.DUMMYFUNCTION("""COMPUTED_VALUE"""),"03411840000033")</f>
        <v>03411840000033</v>
      </c>
      <c r="E38" s="16" t="str">
        <f ca="1">IFERROR(__xludf.DUMMYFUNCTION("""COMPUTED_VALUE"""),"Departemen Teknik Geofisika")</f>
        <v>Departemen Teknik Geofisika</v>
      </c>
      <c r="F38" s="16" t="str">
        <f ca="1">IFERROR(__xludf.DUMMYFUNCTION("""COMPUTED_VALUE"""),"PENGOLAHAN PETA DEM MENGGUNAKAN SOFTWARE ARCGIS UNTUK MENDETEKSI RECHARGE AREA DI DAERAH SANGKULIRANG, KUTAI TIMUR, KALIMANTAN TIMUR")</f>
        <v>PENGOLAHAN PETA DEM MENGGUNAKAN SOFTWARE ARCGIS UNTUK MENDETEKSI RECHARGE AREA DI DAERAH SANGKULIRANG, KUTAI TIMUR, KALIMANTAN TIMUR</v>
      </c>
      <c r="G38" s="16" t="str">
        <f ca="1">IFERROR(__xludf.DUMMYFUNCTION("""COMPUTED_VALUE"""),"Wien Lestari, S.T., M.T.")</f>
        <v>Wien Lestari, S.T., M.T.</v>
      </c>
      <c r="H38" s="16" t="str">
        <f ca="1">IFERROR(__xludf.DUMMYFUNCTION("""COMPUTED_VALUE"""),"Dr.-Ing. Doty Dewi Risanti, S.T., M.T.")</f>
        <v>Dr.-Ing. Doty Dewi Risanti, S.T., M.T.</v>
      </c>
      <c r="I38" s="16" t="str">
        <f ca="1">IFERROR(__xludf.DUMMYFUNCTION("""COMPUTED_VALUE"""),"Hariyati Purwaningsih, S.Si., M.Si.")</f>
        <v>Hariyati Purwaningsih, S.Si., M.Si.</v>
      </c>
      <c r="J38" s="16"/>
      <c r="K38" s="17" t="s">
        <v>921</v>
      </c>
      <c r="L38" s="23" t="s">
        <v>925</v>
      </c>
      <c r="M38" s="19" t="b">
        <v>0</v>
      </c>
      <c r="N38" s="19" t="b">
        <v>0</v>
      </c>
      <c r="O38" s="1" t="s">
        <v>897</v>
      </c>
      <c r="P38" s="1" t="str">
        <f ca="1">IFERROR(__xludf.DUMMYFUNCTION("iferror(vlookup(B38,importrange(""https://docs.google.com/spreadsheets/d/1boHyJQ4e2FU0QG8MHwEi6qjX4hvZWVCHcFfXjq7bbMc/edit?resourcekey#gid=923248883"",""Prop!$C$1:$M""),11,0),IFERROR(vlookup(B38,importrange(""https://docs.google.com/spreadsheets/d/1boHyJQ"&amp;"4e2FU0QG8MHwEi6qjX4hvZWVCHcFfXjq7bbMc/edit?resourcekey#gid=923248883"",""Prop!$N$1:$X""),11,0),iferror(vlookup(B38,importrange(""https://docs.google.com/spreadsheets/d/1boHyJQ4e2FU0QG8MHwEi6qjX4hvZWVCHcFfXjq7bbMc/edit?resourcekey#gid=923248883"",""Prop!$Y"&amp;"$1:$AI""),11,0),iferror(vlookup(B38,importrange(""https://docs.google.com/spreadsheets/d/1boHyJQ4e2FU0QG8MHwEi6qjX4hvZWVCHcFfXjq7bbMc/edit?resourcekey#gid=923248883"",""Prop!$AJ$1:$AT""),11,0),iferror(vlookup(B38,importrange(""https://docs.google.com/spre"&amp;"adsheets/d/1boHyJQ4e2FU0QG8MHwEi6qjX4hvZWVCHcFfXjq7bbMc/edit?resourcekey#gid=923248883"",""Prop!$AU$1:$BE""),11,0),iferror(vlookup(B38,importrange(""https://docs.google.com/spreadsheets/d/1boHyJQ4e2FU0QG8MHwEi6qjX4hvZWVCHcFfXjq7bbMc/edit?resourcekey#gid=9"&amp;"23248883"",""Prop!$BF$1:$BP""),11,0),iferror(vlookup(B38,importrange(""https://docs.google.com/spreadsheets/d/1boHyJQ4e2FU0QG8MHwEi6qjX4hvZWVCHcFfXjq7bbMc/edit?resourcekey#gid=923248883"",""Prop!$BQ$1:$CA""),11,0),iferror(vlookup(B38,importrange(""https:/"&amp;"/docs.google.com/spreadsheets/d/1boHyJQ4e2FU0QG8MHwEi6qjX4hvZWVCHcFfXjq7bbMc/edit?resourcekey#gid=923248883"",""Prop!$CB$1:$CL""),11,0),iferror(vlookup(B38,importrange(""https://docs.google.com/spreadsheets/d/1boHyJQ4e2FU0QG8MHwEi6qjX4hvZWVCHcFfXjq7bbMc/e"&amp;"dit?resourcekey#gid=923248883"",""Prop!$CM$1:$CX""),11,0),iferror(vlookup(B38,importrange(""https://docs.google.com/spreadsheets/d/1boHyJQ4e2FU0QG8MHwEi6qjX4hvZWVCHcFfXjq7bbMc/edit?resourcekey#gid=923248883"",""Prop!$CY$1:$DI""),11,0)))))))))))"),"")</f>
        <v/>
      </c>
      <c r="Q38" s="1" t="str">
        <f ca="1">IFERROR(__xludf.DUMMYFUNCTION("iferror(vlookup(B38,importrange(""https://docs.google.com/spreadsheets/d/1p53T2AuvvIqhP7Nf-bo3Uhj8cbKYRPpZdsrBv3x3bAQ/edit?resourcekey#gid=1321652304"",""Prop!$C$1:$M""),11,0),IFERROR(vlookup(B38,importrange(""https://docs.google.com/spreadsheets/d/1p53T2"&amp;"AuvvIqhP7Nf-bo3Uhj8cbKYRPpZdsrBv3x3bAQ/edit?resourcekey#gid=1321652304"",""Prop!$N$1:$X""),11,0),iferror(vlookup(B38,importrange(""https://docs.google.com/spreadsheets/d/1p53T2AuvvIqhP7Nf-bo3Uhj8cbKYRPpZdsrBv3x3bAQ/edit?resourcekey#gid=1321652304"",""Prop"&amp;"!$Y$1:$AI""),11,0),iferror(vlookup(B38,importrange(""https://docs.google.com/spreadsheets/d/1p53T2AuvvIqhP7Nf-bo3Uhj8cbKYRPpZdsrBv3x3bAQ/edit?resourcekey#gid=1321652304"",""Prop!$AJ$1:$AT""),11,0),iferror(vlookup(B38,importrange(""https://docs.google.com/"&amp;"spreadsheets/d/1p53T2AuvvIqhP7Nf-bo3Uhj8cbKYRPpZdsrBv3x3bAQ/edit?resourcekey#gid=1321652304"",""Prop!$AU$1:$BE""),11,0),iferror(vlookup(B38,importrange(""https://docs.google.com/spreadsheets/d/1p53T2AuvvIqhP7Nf-bo3Uhj8cbKYRPpZdsrBv3x3bAQ/edit?resourcekey#"&amp;"gid=1321652304"",""Prop!$BF$1:$BP""),11,0),iferror(vlookup(B38,importrange(""https://docs.google.com/spreadsheets/d/1p53T2AuvvIqhP7Nf-bo3Uhj8cbKYRPpZdsrBv3x3bAQ/edit?resourcekey#gid=1321652304"",""Prop!$BQ$1:$CA""),11,0),iferror(vlookup(B38,importrange("""&amp;"https://docs.google.com/spreadsheets/d/1p53T2AuvvIqhP7Nf-bo3Uhj8cbKYRPpZdsrBv3x3bAQ/edit?resourcekey#gid=1321652304"",""Prop!$CB$1:$CL""),11,0),iferror(vlookup(B38,importrange(""https://docs.google.com/spreadsheets/d/1p53T2AuvvIqhP7Nf-bo3Uhj8cbKYRPpZdsrBv"&amp;"3x3bAQ/edit?resourcekey#gid=1321652304"",""Prop!$CM$1:$CX""),11,0),iferror(vlookup(B38,importrange(""https://docs.google.com/spreadsheets/d/1p53T2AuvvIqhP7Nf-bo3Uhj8cbKYRPpZdsrBv3x3bAQ/edit?resourcekey#gid=1321652304"",""Prop!$CY$1:$DI""),11,0)))))))))))"),"")</f>
        <v/>
      </c>
      <c r="R38" s="20" t="s">
        <v>898</v>
      </c>
      <c r="S38" s="20" t="str">
        <f ca="1">IFERROR(__xludf.DUMMYFUNCTION("IFERROR(vlookup(B38,IMPORTRANGE(""https://docs.google.com/spreadsheets/d/1g_jfYYK_KeipEDNDUgqgrsxK94XiocfNQIcP-v1QVhI/edit?resourcekey#gid=233272945"",""Nilai!B:CT""),12,0),"" "")"),"")</f>
        <v/>
      </c>
      <c r="T38" s="20" t="str">
        <f ca="1">IFERROR(__xludf.DUMMYFUNCTION("IFERROR(vlookup(B38,IMPORTRANGE(""https://docs.google.com/spreadsheets/d/1g_jfYYK_KeipEDNDUgqgrsxK94XiocfNQIcP-v1QVhI/edit?resourcekey#gid=233272945"",""Nilai!B:CT""),97,0),"" "")")," ")</f>
        <v xml:space="preserve"> </v>
      </c>
      <c r="U38" s="32" t="s">
        <v>825</v>
      </c>
      <c r="V38" s="30" t="s">
        <v>899</v>
      </c>
      <c r="W38" s="23" t="s">
        <v>924</v>
      </c>
      <c r="X38" s="20" t="b">
        <v>0</v>
      </c>
    </row>
    <row r="39" spans="1:24">
      <c r="A39" s="15">
        <v>37</v>
      </c>
      <c r="B39" s="16">
        <f ca="1">IFERROR(__xludf.DUMMYFUNCTION("""COMPUTED_VALUE"""),2265)</f>
        <v>2265</v>
      </c>
      <c r="C39" s="16" t="str">
        <f ca="1">IFERROR(__xludf.DUMMYFUNCTION("""COMPUTED_VALUE"""),"Meynanda Setiadi")</f>
        <v>Meynanda Setiadi</v>
      </c>
      <c r="D39" s="16" t="str">
        <f ca="1">IFERROR(__xludf.DUMMYFUNCTION("""COMPUTED_VALUE"""),"04211840000025")</f>
        <v>04211840000025</v>
      </c>
      <c r="E39" s="16" t="str">
        <f ca="1">IFERROR(__xludf.DUMMYFUNCTION("""COMPUTED_VALUE"""),"Departemen Teknik Sistem Perkapalan")</f>
        <v>Departemen Teknik Sistem Perkapalan</v>
      </c>
      <c r="F39" s="16" t="str">
        <f ca="1">IFERROR(__xludf.DUMMYFUNCTION("""COMPUTED_VALUE"""),"ANALISIS TEGANGAN JATUH AKIBAT REKONFIGURASI DISTRIBUSI LISTRIK AC MENJADI DC PADA KAPAL TANKER DENGAN SUMBER LISTRIK HYBRID GENERATOR DAN FOTOVOLTAIK")</f>
        <v>ANALISIS TEGANGAN JATUH AKIBAT REKONFIGURASI DISTRIBUSI LISTRIK AC MENJADI DC PADA KAPAL TANKER DENGAN SUMBER LISTRIK HYBRID GENERATOR DAN FOTOVOLTAIK</v>
      </c>
      <c r="G39" s="16" t="str">
        <f ca="1">IFERROR(__xludf.DUMMYFUNCTION("""COMPUTED_VALUE"""),"Dr.Eng. Adi Kurniawan, S.T., M.T.")</f>
        <v>Dr.Eng. Adi Kurniawan, S.T., M.T.</v>
      </c>
      <c r="H39" s="16" t="str">
        <f ca="1">IFERROR(__xludf.DUMMYFUNCTION("""COMPUTED_VALUE"""),"Prof. Dr. Dra Fahimah Martak, M.Si")</f>
        <v>Prof. Dr. Dra Fahimah Martak, M.Si</v>
      </c>
      <c r="I39" s="16" t="str">
        <f ca="1">IFERROR(__xludf.DUMMYFUNCTION("""COMPUTED_VALUE"""),"Ulil 'Azmi, S.Si., M.Si.")</f>
        <v>Ulil 'Azmi, S.Si., M.Si.</v>
      </c>
      <c r="J39" s="16"/>
      <c r="K39" s="17" t="s">
        <v>921</v>
      </c>
      <c r="L39" s="23" t="s">
        <v>925</v>
      </c>
      <c r="M39" s="19" t="b">
        <v>0</v>
      </c>
      <c r="N39" s="19" t="b">
        <v>0</v>
      </c>
      <c r="O39" s="1" t="s">
        <v>897</v>
      </c>
      <c r="P39" s="1" t="str">
        <f ca="1">IFERROR(__xludf.DUMMYFUNCTION("iferror(vlookup(B39,importrange(""https://docs.google.com/spreadsheets/d/1boHyJQ4e2FU0QG8MHwEi6qjX4hvZWVCHcFfXjq7bbMc/edit?resourcekey#gid=923248883"",""Prop!$C$1:$M""),11,0),IFERROR(vlookup(B39,importrange(""https://docs.google.com/spreadsheets/d/1boHyJQ"&amp;"4e2FU0QG8MHwEi6qjX4hvZWVCHcFfXjq7bbMc/edit?resourcekey#gid=923248883"",""Prop!$N$1:$X""),11,0),iferror(vlookup(B39,importrange(""https://docs.google.com/spreadsheets/d/1boHyJQ4e2FU0QG8MHwEi6qjX4hvZWVCHcFfXjq7bbMc/edit?resourcekey#gid=923248883"",""Prop!$Y"&amp;"$1:$AI""),11,0),iferror(vlookup(B39,importrange(""https://docs.google.com/spreadsheets/d/1boHyJQ4e2FU0QG8MHwEi6qjX4hvZWVCHcFfXjq7bbMc/edit?resourcekey#gid=923248883"",""Prop!$AJ$1:$AT""),11,0),iferror(vlookup(B39,importrange(""https://docs.google.com/spre"&amp;"adsheets/d/1boHyJQ4e2FU0QG8MHwEi6qjX4hvZWVCHcFfXjq7bbMc/edit?resourcekey#gid=923248883"",""Prop!$AU$1:$BE""),11,0),iferror(vlookup(B39,importrange(""https://docs.google.com/spreadsheets/d/1boHyJQ4e2FU0QG8MHwEi6qjX4hvZWVCHcFfXjq7bbMc/edit?resourcekey#gid=9"&amp;"23248883"",""Prop!$BF$1:$BP""),11,0),iferror(vlookup(B39,importrange(""https://docs.google.com/spreadsheets/d/1boHyJQ4e2FU0QG8MHwEi6qjX4hvZWVCHcFfXjq7bbMc/edit?resourcekey#gid=923248883"",""Prop!$BQ$1:$CA""),11,0),iferror(vlookup(B39,importrange(""https:/"&amp;"/docs.google.com/spreadsheets/d/1boHyJQ4e2FU0QG8MHwEi6qjX4hvZWVCHcFfXjq7bbMc/edit?resourcekey#gid=923248883"",""Prop!$CB$1:$CL""),11,0),iferror(vlookup(B39,importrange(""https://docs.google.com/spreadsheets/d/1boHyJQ4e2FU0QG8MHwEi6qjX4hvZWVCHcFfXjq7bbMc/e"&amp;"dit?resourcekey#gid=923248883"",""Prop!$CM$1:$CX""),11,0),iferror(vlookup(B39,importrange(""https://docs.google.com/spreadsheets/d/1boHyJQ4e2FU0QG8MHwEi6qjX4hvZWVCHcFfXjq7bbMc/edit?resourcekey#gid=923248883"",""Prop!$CY$1:$DI""),11,0)))))))))))"),"")</f>
        <v/>
      </c>
      <c r="Q39" s="1" t="str">
        <f ca="1">IFERROR(__xludf.DUMMYFUNCTION("iferror(vlookup(B39,importrange(""https://docs.google.com/spreadsheets/d/1p53T2AuvvIqhP7Nf-bo3Uhj8cbKYRPpZdsrBv3x3bAQ/edit?resourcekey#gid=1321652304"",""Prop!$C$1:$M""),11,0),IFERROR(vlookup(B39,importrange(""https://docs.google.com/spreadsheets/d/1p53T2"&amp;"AuvvIqhP7Nf-bo3Uhj8cbKYRPpZdsrBv3x3bAQ/edit?resourcekey#gid=1321652304"",""Prop!$N$1:$X""),11,0),iferror(vlookup(B39,importrange(""https://docs.google.com/spreadsheets/d/1p53T2AuvvIqhP7Nf-bo3Uhj8cbKYRPpZdsrBv3x3bAQ/edit?resourcekey#gid=1321652304"",""Prop"&amp;"!$Y$1:$AI""),11,0),iferror(vlookup(B39,importrange(""https://docs.google.com/spreadsheets/d/1p53T2AuvvIqhP7Nf-bo3Uhj8cbKYRPpZdsrBv3x3bAQ/edit?resourcekey#gid=1321652304"",""Prop!$AJ$1:$AT""),11,0),iferror(vlookup(B39,importrange(""https://docs.google.com/"&amp;"spreadsheets/d/1p53T2AuvvIqhP7Nf-bo3Uhj8cbKYRPpZdsrBv3x3bAQ/edit?resourcekey#gid=1321652304"",""Prop!$AU$1:$BE""),11,0),iferror(vlookup(B39,importrange(""https://docs.google.com/spreadsheets/d/1p53T2AuvvIqhP7Nf-bo3Uhj8cbKYRPpZdsrBv3x3bAQ/edit?resourcekey#"&amp;"gid=1321652304"",""Prop!$BF$1:$BP""),11,0),iferror(vlookup(B39,importrange(""https://docs.google.com/spreadsheets/d/1p53T2AuvvIqhP7Nf-bo3Uhj8cbKYRPpZdsrBv3x3bAQ/edit?resourcekey#gid=1321652304"",""Prop!$BQ$1:$CA""),11,0),iferror(vlookup(B39,importrange("""&amp;"https://docs.google.com/spreadsheets/d/1p53T2AuvvIqhP7Nf-bo3Uhj8cbKYRPpZdsrBv3x3bAQ/edit?resourcekey#gid=1321652304"",""Prop!$CB$1:$CL""),11,0),iferror(vlookup(B39,importrange(""https://docs.google.com/spreadsheets/d/1p53T2AuvvIqhP7Nf-bo3Uhj8cbKYRPpZdsrBv"&amp;"3x3bAQ/edit?resourcekey#gid=1321652304"",""Prop!$CM$1:$CX""),11,0),iferror(vlookup(B39,importrange(""https://docs.google.com/spreadsheets/d/1p53T2AuvvIqhP7Nf-bo3Uhj8cbKYRPpZdsrBv3x3bAQ/edit?resourcekey#gid=1321652304"",""Prop!$CY$1:$DI""),11,0)))))))))))"),"")</f>
        <v/>
      </c>
      <c r="R39" s="20" t="s">
        <v>898</v>
      </c>
      <c r="S39" s="20" t="str">
        <f ca="1">IFERROR(__xludf.DUMMYFUNCTION("IFERROR(vlookup(B39,IMPORTRANGE(""https://docs.google.com/spreadsheets/d/1g_jfYYK_KeipEDNDUgqgrsxK94XiocfNQIcP-v1QVhI/edit?resourcekey#gid=233272945"",""Nilai!B:CT""),12,0),"" "")"),"")</f>
        <v/>
      </c>
      <c r="T39" s="20" t="str">
        <f ca="1">IFERROR(__xludf.DUMMYFUNCTION("IFERROR(vlookup(B39,IMPORTRANGE(""https://docs.google.com/spreadsheets/d/1g_jfYYK_KeipEDNDUgqgrsxK94XiocfNQIcP-v1QVhI/edit?resourcekey#gid=233272945"",""Nilai!B:CT""),97,0),"" "")")," ")</f>
        <v xml:space="preserve"> </v>
      </c>
      <c r="U39" s="32" t="s">
        <v>825</v>
      </c>
      <c r="V39" s="30" t="s">
        <v>899</v>
      </c>
      <c r="W39" s="23" t="s">
        <v>926</v>
      </c>
      <c r="X39" s="20" t="b">
        <v>0</v>
      </c>
    </row>
    <row r="40" spans="1:24">
      <c r="A40" s="15">
        <v>38</v>
      </c>
      <c r="B40" s="16">
        <f ca="1">IFERROR(__xludf.DUMMYFUNCTION("""COMPUTED_VALUE"""),3881)</f>
        <v>3881</v>
      </c>
      <c r="C40" s="16" t="str">
        <f ca="1">IFERROR(__xludf.DUMMYFUNCTION("""COMPUTED_VALUE"""),"HUGO")</f>
        <v>HUGO</v>
      </c>
      <c r="D40" s="16" t="str">
        <f ca="1">IFERROR(__xludf.DUMMYFUNCTION("""COMPUTED_VALUE"""),"5008201154")</f>
        <v>5008201154</v>
      </c>
      <c r="E40" s="16" t="str">
        <f ca="1">IFERROR(__xludf.DUMMYFUNCTION("""COMPUTED_VALUE"""),"Departemen Teknik Kimia")</f>
        <v>Departemen Teknik Kimia</v>
      </c>
      <c r="F40" s="16" t="str">
        <f ca="1">IFERROR(__xludf.DUMMYFUNCTION("""COMPUTED_VALUE"""),"Pemanfaatan Briket Berbahan Limbah Pabrik Kertas dalam Peningkatan 
Efisiensi Proses Pembuatan Kertas")</f>
        <v>Pemanfaatan Briket Berbahan Limbah Pabrik Kertas dalam Peningkatan 
Efisiensi Proses Pembuatan Kertas</v>
      </c>
      <c r="G40" s="16" t="str">
        <f ca="1">IFERROR(__xludf.DUMMYFUNCTION("""COMPUTED_VALUE"""),"Dr.Eng. Siti Machmudah, S.T., M.Eng.")</f>
        <v>Dr.Eng. Siti Machmudah, S.T., M.Eng.</v>
      </c>
      <c r="H40" s="16" t="str">
        <f ca="1">IFERROR(__xludf.DUMMYFUNCTION("""COMPUTED_VALUE"""),"Dr.-Ing. Doty Dewi Risanti, S.T., M.T.")</f>
        <v>Dr.-Ing. Doty Dewi Risanti, S.T., M.T.</v>
      </c>
      <c r="I40" s="16" t="str">
        <f ca="1">IFERROR(__xludf.DUMMYFUNCTION("""COMPUTED_VALUE"""),"Hariyati Purwaningsih, S.Si., M.Si.")</f>
        <v>Hariyati Purwaningsih, S.Si., M.Si.</v>
      </c>
      <c r="J40" s="16"/>
      <c r="K40" s="17" t="s">
        <v>921</v>
      </c>
      <c r="L40" s="23" t="s">
        <v>925</v>
      </c>
      <c r="M40" s="19" t="b">
        <v>0</v>
      </c>
      <c r="N40" s="19" t="b">
        <v>0</v>
      </c>
      <c r="O40" s="1" t="s">
        <v>897</v>
      </c>
      <c r="P40" s="1" t="str">
        <f ca="1">IFERROR(__xludf.DUMMYFUNCTION("iferror(vlookup(B40,importrange(""https://docs.google.com/spreadsheets/d/1boHyJQ4e2FU0QG8MHwEi6qjX4hvZWVCHcFfXjq7bbMc/edit?resourcekey#gid=923248883"",""Prop!$C$1:$M""),11,0),IFERROR(vlookup(B40,importrange(""https://docs.google.com/spreadsheets/d/1boHyJQ"&amp;"4e2FU0QG8MHwEi6qjX4hvZWVCHcFfXjq7bbMc/edit?resourcekey#gid=923248883"",""Prop!$N$1:$X""),11,0),iferror(vlookup(B40,importrange(""https://docs.google.com/spreadsheets/d/1boHyJQ4e2FU0QG8MHwEi6qjX4hvZWVCHcFfXjq7bbMc/edit?resourcekey#gid=923248883"",""Prop!$Y"&amp;"$1:$AI""),11,0),iferror(vlookup(B40,importrange(""https://docs.google.com/spreadsheets/d/1boHyJQ4e2FU0QG8MHwEi6qjX4hvZWVCHcFfXjq7bbMc/edit?resourcekey#gid=923248883"",""Prop!$AJ$1:$AT""),11,0),iferror(vlookup(B40,importrange(""https://docs.google.com/spre"&amp;"adsheets/d/1boHyJQ4e2FU0QG8MHwEi6qjX4hvZWVCHcFfXjq7bbMc/edit?resourcekey#gid=923248883"",""Prop!$AU$1:$BE""),11,0),iferror(vlookup(B40,importrange(""https://docs.google.com/spreadsheets/d/1boHyJQ4e2FU0QG8MHwEi6qjX4hvZWVCHcFfXjq7bbMc/edit?resourcekey#gid=9"&amp;"23248883"",""Prop!$BF$1:$BP""),11,0),iferror(vlookup(B40,importrange(""https://docs.google.com/spreadsheets/d/1boHyJQ4e2FU0QG8MHwEi6qjX4hvZWVCHcFfXjq7bbMc/edit?resourcekey#gid=923248883"",""Prop!$BQ$1:$CA""),11,0),iferror(vlookup(B40,importrange(""https:/"&amp;"/docs.google.com/spreadsheets/d/1boHyJQ4e2FU0QG8MHwEi6qjX4hvZWVCHcFfXjq7bbMc/edit?resourcekey#gid=923248883"",""Prop!$CB$1:$CL""),11,0),iferror(vlookup(B40,importrange(""https://docs.google.com/spreadsheets/d/1boHyJQ4e2FU0QG8MHwEi6qjX4hvZWVCHcFfXjq7bbMc/e"&amp;"dit?resourcekey#gid=923248883"",""Prop!$CM$1:$CX""),11,0),iferror(vlookup(B40,importrange(""https://docs.google.com/spreadsheets/d/1boHyJQ4e2FU0QG8MHwEi6qjX4hvZWVCHcFfXjq7bbMc/edit?resourcekey#gid=923248883"",""Prop!$CY$1:$DI""),11,0)))))))))))"),"")</f>
        <v/>
      </c>
      <c r="Q40" s="7" t="str">
        <f ca="1">IFERROR(__xludf.DUMMYFUNCTION("iferror(vlookup(B40,importrange(""https://docs.google.com/spreadsheets/d/1p53T2AuvvIqhP7Nf-bo3Uhj8cbKYRPpZdsrBv3x3bAQ/edit?resourcekey#gid=1321652304"",""Prop!$C$1:$M""),11,0),IFERROR(vlookup(B40,importrange(""https://docs.google.com/spreadsheets/d/1p53T2"&amp;"AuvvIqhP7Nf-bo3Uhj8cbKYRPpZdsrBv3x3bAQ/edit?resourcekey#gid=1321652304"",""Prop!$N$1:$X""),11,0),iferror(vlookup(B40,importrange(""https://docs.google.com/spreadsheets/d/1p53T2AuvvIqhP7Nf-bo3Uhj8cbKYRPpZdsrBv3x3bAQ/edit?resourcekey#gid=1321652304"",""Prop"&amp;"!$Y$1:$AI""),11,0),iferror(vlookup(B40,importrange(""https://docs.google.com/spreadsheets/d/1p53T2AuvvIqhP7Nf-bo3Uhj8cbKYRPpZdsrBv3x3bAQ/edit?resourcekey#gid=1321652304"",""Prop!$AJ$1:$AT""),11,0),iferror(vlookup(B40,importrange(""https://docs.google.com/"&amp;"spreadsheets/d/1p53T2AuvvIqhP7Nf-bo3Uhj8cbKYRPpZdsrBv3x3bAQ/edit?resourcekey#gid=1321652304"",""Prop!$AU$1:$BE""),11,0),iferror(vlookup(B40,importrange(""https://docs.google.com/spreadsheets/d/1p53T2AuvvIqhP7Nf-bo3Uhj8cbKYRPpZdsrBv3x3bAQ/edit?resourcekey#"&amp;"gid=1321652304"",""Prop!$BF$1:$BP""),11,0),iferror(vlookup(B40,importrange(""https://docs.google.com/spreadsheets/d/1p53T2AuvvIqhP7Nf-bo3Uhj8cbKYRPpZdsrBv3x3bAQ/edit?resourcekey#gid=1321652304"",""Prop!$BQ$1:$CA""),11,0),iferror(vlookup(B40,importrange("""&amp;"https://docs.google.com/spreadsheets/d/1p53T2AuvvIqhP7Nf-bo3Uhj8cbKYRPpZdsrBv3x3bAQ/edit?resourcekey#gid=1321652304"",""Prop!$CB$1:$CL""),11,0),iferror(vlookup(B40,importrange(""https://docs.google.com/spreadsheets/d/1p53T2AuvvIqhP7Nf-bo3Uhj8cbKYRPpZdsrBv"&amp;"3x3bAQ/edit?resourcekey#gid=1321652304"",""Prop!$CM$1:$CX""),11,0),iferror(vlookup(B40,importrange(""https://docs.google.com/spreadsheets/d/1p53T2AuvvIqhP7Nf-bo3Uhj8cbKYRPpZdsrBv3x3bAQ/edit?resourcekey#gid=1321652304"",""Prop!$CY$1:$DI""),11,0)))))))))))"),"https://drive.google.com/open?id=1q21bB1sVq8jbbDqVpasnpMUHOw277CRY")</f>
        <v>https://drive.google.com/open?id=1q21bB1sVq8jbbDqVpasnpMUHOw277CRY</v>
      </c>
      <c r="R40" s="20" t="s">
        <v>898</v>
      </c>
      <c r="S40" s="20" t="str">
        <f ca="1">IFERROR(__xludf.DUMMYFUNCTION("IFERROR(vlookup(B40,IMPORTRANGE(""https://docs.google.com/spreadsheets/d/1g_jfYYK_KeipEDNDUgqgrsxK94XiocfNQIcP-v1QVhI/edit?resourcekey#gid=233272945"",""Nilai!B:CT""),12,0),"" "")"),"Hanya 1 jurnal bereputasi, hanya 1 abstrak, format laporan?
")</f>
        <v xml:space="preserve">Hanya 1 jurnal bereputasi, hanya 1 abstrak, format laporan?
</v>
      </c>
      <c r="T40" s="20" t="str">
        <f ca="1">IFERROR(__xludf.DUMMYFUNCTION("IFERROR(vlookup(B40,IMPORTRANGE(""https://docs.google.com/spreadsheets/d/1g_jfYYK_KeipEDNDUgqgrsxK94XiocfNQIcP-v1QVhI/edit?resourcekey#gid=233272945"",""Nilai!B:CT""),97,0),"" "")"),"TIDAK LAYAK UPLOAD KE SIMBELMAWA")</f>
        <v>TIDAK LAYAK UPLOAD KE SIMBELMAWA</v>
      </c>
      <c r="U40" s="32" t="s">
        <v>825</v>
      </c>
      <c r="V40" s="30" t="s">
        <v>899</v>
      </c>
      <c r="W40" s="23" t="s">
        <v>926</v>
      </c>
      <c r="X40" s="20" t="b">
        <v>0</v>
      </c>
    </row>
    <row r="41" spans="1:24">
      <c r="A41" s="15">
        <v>39</v>
      </c>
      <c r="B41" s="16">
        <f ca="1">IFERROR(__xludf.DUMMYFUNCTION("""COMPUTED_VALUE"""),2054)</f>
        <v>2054</v>
      </c>
      <c r="C41" s="16" t="str">
        <f ca="1">IFERROR(__xludf.DUMMYFUNCTION("""COMPUTED_VALUE"""),"PRABANDARU GAGAS PRATAMA")</f>
        <v>PRABANDARU GAGAS PRATAMA</v>
      </c>
      <c r="D41" s="16" t="str">
        <f ca="1">IFERROR(__xludf.DUMMYFUNCTION("""COMPUTED_VALUE"""),"5022201227")</f>
        <v>5022201227</v>
      </c>
      <c r="E41" s="16" t="str">
        <f ca="1">IFERROR(__xludf.DUMMYFUNCTION("""COMPUTED_VALUE"""),"Departemen Teknik Elektro")</f>
        <v>Departemen Teknik Elektro</v>
      </c>
      <c r="F41" s="16" t="str">
        <f ca="1">IFERROR(__xludf.DUMMYFUNCTION("""COMPUTED_VALUE"""),"PERANCANGAN COOLING SYSTEM UNTUK BATERAI LiFePO4 POUCH CELL PADA ACCUMULATOR MOBIL FORMULA EV")</f>
        <v>PERANCANGAN COOLING SYSTEM UNTUK BATERAI LiFePO4 POUCH CELL PADA ACCUMULATOR MOBIL FORMULA EV</v>
      </c>
      <c r="G41" s="16" t="str">
        <f ca="1">IFERROR(__xludf.DUMMYFUNCTION("""COMPUTED_VALUE"""),"Alief Wikarta, ST., MSc.Eng. Ph.D")</f>
        <v>Alief Wikarta, ST., MSc.Eng. Ph.D</v>
      </c>
      <c r="H41" s="16" t="str">
        <f ca="1">IFERROR(__xludf.DUMMYFUNCTION("""COMPUTED_VALUE"""),"Prof. Dr. Dra Fahimah Martak, M.Si")</f>
        <v>Prof. Dr. Dra Fahimah Martak, M.Si</v>
      </c>
      <c r="I41" s="16" t="str">
        <f ca="1">IFERROR(__xludf.DUMMYFUNCTION("""COMPUTED_VALUE"""),"Arif Fadlan, S.Si., M.Si., D.Sc")</f>
        <v>Arif Fadlan, S.Si., M.Si., D.Sc</v>
      </c>
      <c r="J41" s="16"/>
      <c r="K41" s="17" t="s">
        <v>921</v>
      </c>
      <c r="L41" s="23" t="s">
        <v>925</v>
      </c>
      <c r="M41" s="19" t="b">
        <v>0</v>
      </c>
      <c r="N41" s="19" t="b">
        <v>0</v>
      </c>
      <c r="O41" s="1" t="s">
        <v>927</v>
      </c>
      <c r="P41" s="1" t="str">
        <f ca="1">IFERROR(__xludf.DUMMYFUNCTION("iferror(vlookup(B41,importrange(""https://docs.google.com/spreadsheets/d/1boHyJQ4e2FU0QG8MHwEi6qjX4hvZWVCHcFfXjq7bbMc/edit?resourcekey#gid=923248883"",""Prop!$C$1:$M""),11,0),IFERROR(vlookup(B41,importrange(""https://docs.google.com/spreadsheets/d/1boHyJQ"&amp;"4e2FU0QG8MHwEi6qjX4hvZWVCHcFfXjq7bbMc/edit?resourcekey#gid=923248883"",""Prop!$N$1:$X""),11,0),iferror(vlookup(B41,importrange(""https://docs.google.com/spreadsheets/d/1boHyJQ4e2FU0QG8MHwEi6qjX4hvZWVCHcFfXjq7bbMc/edit?resourcekey#gid=923248883"",""Prop!$Y"&amp;"$1:$AI""),11,0),iferror(vlookup(B41,importrange(""https://docs.google.com/spreadsheets/d/1boHyJQ4e2FU0QG8MHwEi6qjX4hvZWVCHcFfXjq7bbMc/edit?resourcekey#gid=923248883"",""Prop!$AJ$1:$AT""),11,0),iferror(vlookup(B41,importrange(""https://docs.google.com/spre"&amp;"adsheets/d/1boHyJQ4e2FU0QG8MHwEi6qjX4hvZWVCHcFfXjq7bbMc/edit?resourcekey#gid=923248883"",""Prop!$AU$1:$BE""),11,0),iferror(vlookup(B41,importrange(""https://docs.google.com/spreadsheets/d/1boHyJQ4e2FU0QG8MHwEi6qjX4hvZWVCHcFfXjq7bbMc/edit?resourcekey#gid=9"&amp;"23248883"",""Prop!$BF$1:$BP""),11,0),iferror(vlookup(B41,importrange(""https://docs.google.com/spreadsheets/d/1boHyJQ4e2FU0QG8MHwEi6qjX4hvZWVCHcFfXjq7bbMc/edit?resourcekey#gid=923248883"",""Prop!$BQ$1:$CA""),11,0),iferror(vlookup(B41,importrange(""https:/"&amp;"/docs.google.com/spreadsheets/d/1boHyJQ4e2FU0QG8MHwEi6qjX4hvZWVCHcFfXjq7bbMc/edit?resourcekey#gid=923248883"",""Prop!$CB$1:$CL""),11,0),iferror(vlookup(B41,importrange(""https://docs.google.com/spreadsheets/d/1boHyJQ4e2FU0QG8MHwEi6qjX4hvZWVCHcFfXjq7bbMc/e"&amp;"dit?resourcekey#gid=923248883"",""Prop!$CM$1:$CX""),11,0),iferror(vlookup(B41,importrange(""https://docs.google.com/spreadsheets/d/1boHyJQ4e2FU0QG8MHwEi6qjX4hvZWVCHcFfXjq7bbMc/edit?resourcekey#gid=923248883"",""Prop!$CY$1:$DI""),11,0)))))))))))"),"")</f>
        <v/>
      </c>
      <c r="Q41" s="1" t="str">
        <f ca="1">IFERROR(__xludf.DUMMYFUNCTION("iferror(vlookup(B41,importrange(""https://docs.google.com/spreadsheets/d/1p53T2AuvvIqhP7Nf-bo3Uhj8cbKYRPpZdsrBv3x3bAQ/edit?resourcekey#gid=1321652304"",""Prop!$C$1:$M""),11,0),IFERROR(vlookup(B41,importrange(""https://docs.google.com/spreadsheets/d/1p53T2"&amp;"AuvvIqhP7Nf-bo3Uhj8cbKYRPpZdsrBv3x3bAQ/edit?resourcekey#gid=1321652304"",""Prop!$N$1:$X""),11,0),iferror(vlookup(B41,importrange(""https://docs.google.com/spreadsheets/d/1p53T2AuvvIqhP7Nf-bo3Uhj8cbKYRPpZdsrBv3x3bAQ/edit?resourcekey#gid=1321652304"",""Prop"&amp;"!$Y$1:$AI""),11,0),iferror(vlookup(B41,importrange(""https://docs.google.com/spreadsheets/d/1p53T2AuvvIqhP7Nf-bo3Uhj8cbKYRPpZdsrBv3x3bAQ/edit?resourcekey#gid=1321652304"",""Prop!$AJ$1:$AT""),11,0),iferror(vlookup(B41,importrange(""https://docs.google.com/"&amp;"spreadsheets/d/1p53T2AuvvIqhP7Nf-bo3Uhj8cbKYRPpZdsrBv3x3bAQ/edit?resourcekey#gid=1321652304"",""Prop!$AU$1:$BE""),11,0),iferror(vlookup(B41,importrange(""https://docs.google.com/spreadsheets/d/1p53T2AuvvIqhP7Nf-bo3Uhj8cbKYRPpZdsrBv3x3bAQ/edit?resourcekey#"&amp;"gid=1321652304"",""Prop!$BF$1:$BP""),11,0),iferror(vlookup(B41,importrange(""https://docs.google.com/spreadsheets/d/1p53T2AuvvIqhP7Nf-bo3Uhj8cbKYRPpZdsrBv3x3bAQ/edit?resourcekey#gid=1321652304"",""Prop!$BQ$1:$CA""),11,0),iferror(vlookup(B41,importrange("""&amp;"https://docs.google.com/spreadsheets/d/1p53T2AuvvIqhP7Nf-bo3Uhj8cbKYRPpZdsrBv3x3bAQ/edit?resourcekey#gid=1321652304"",""Prop!$CB$1:$CL""),11,0),iferror(vlookup(B41,importrange(""https://docs.google.com/spreadsheets/d/1p53T2AuvvIqhP7Nf-bo3Uhj8cbKYRPpZdsrBv"&amp;"3x3bAQ/edit?resourcekey#gid=1321652304"",""Prop!$CM$1:$CX""),11,0),iferror(vlookup(B41,importrange(""https://docs.google.com/spreadsheets/d/1p53T2AuvvIqhP7Nf-bo3Uhj8cbKYRPpZdsrBv3x3bAQ/edit?resourcekey#gid=1321652304"",""Prop!$CY$1:$DI""),11,0)))))))))))"),"")</f>
        <v/>
      </c>
      <c r="R41" s="20" t="s">
        <v>898</v>
      </c>
      <c r="S41" s="20" t="str">
        <f ca="1">IFERROR(__xludf.DUMMYFUNCTION("IFERROR(vlookup(B41,IMPORTRANGE(""https://docs.google.com/spreadsheets/d/1g_jfYYK_KeipEDNDUgqgrsxK94XiocfNQIcP-v1QVhI/edit?resourcekey#gid=233272945"",""Nilai!B:CT""),12,0),"" "")"),"")</f>
        <v/>
      </c>
      <c r="T41" s="20" t="str">
        <f ca="1">IFERROR(__xludf.DUMMYFUNCTION("IFERROR(vlookup(B41,IMPORTRANGE(""https://docs.google.com/spreadsheets/d/1g_jfYYK_KeipEDNDUgqgrsxK94XiocfNQIcP-v1QVhI/edit?resourcekey#gid=233272945"",""Nilai!B:CT""),97,0),"" "")")," ")</f>
        <v xml:space="preserve"> </v>
      </c>
      <c r="U41" s="32" t="s">
        <v>825</v>
      </c>
      <c r="V41" s="30" t="s">
        <v>899</v>
      </c>
      <c r="W41" s="23" t="s">
        <v>926</v>
      </c>
      <c r="X41" s="20" t="b">
        <v>0</v>
      </c>
    </row>
    <row r="42" spans="1:24">
      <c r="A42" s="15">
        <v>40</v>
      </c>
      <c r="B42" s="16">
        <f ca="1">IFERROR(__xludf.DUMMYFUNCTION("""COMPUTED_VALUE"""),2615)</f>
        <v>2615</v>
      </c>
      <c r="C42" s="16" t="str">
        <f ca="1">IFERROR(__xludf.DUMMYFUNCTION("""COMPUTED_VALUE"""),"JERYCO RAHARDIAN")</f>
        <v>JERYCO RAHARDIAN</v>
      </c>
      <c r="D42" s="16" t="str">
        <f ca="1">IFERROR(__xludf.DUMMYFUNCTION("""COMPUTED_VALUE"""),"04211840000129")</f>
        <v>04211840000129</v>
      </c>
      <c r="E42" s="16" t="str">
        <f ca="1">IFERROR(__xludf.DUMMYFUNCTION("""COMPUTED_VALUE"""),"Departemen Teknik Sistem Perkapalan")</f>
        <v>Departemen Teknik Sistem Perkapalan</v>
      </c>
      <c r="F42" s="16" t="str">
        <f ca="1">IFERROR(__xludf.DUMMYFUNCTION("""COMPUTED_VALUE"""),"ANALISIS TEKNIS DALAM EVALUASI KEBUTUHAN LPG COMPRESSOR PADA TRUCK LOADING ARM (TLA) VENTING SYSTEM TERMINAL LPG SEMARANG")</f>
        <v>ANALISIS TEKNIS DALAM EVALUASI KEBUTUHAN LPG COMPRESSOR PADA TRUCK LOADING ARM (TLA) VENTING SYSTEM TERMINAL LPG SEMARANG</v>
      </c>
      <c r="G42" s="16" t="str">
        <f ca="1">IFERROR(__xludf.DUMMYFUNCTION("""COMPUTED_VALUE"""),"Ir. Agoes Santoso, M.Sc.")</f>
        <v>Ir. Agoes Santoso, M.Sc.</v>
      </c>
      <c r="H42" s="16" t="str">
        <f ca="1">IFERROR(__xludf.DUMMYFUNCTION("""COMPUTED_VALUE"""),"Prof. Dr. Dra Fahimah Martak, M.Si")</f>
        <v>Prof. Dr. Dra Fahimah Martak, M.Si</v>
      </c>
      <c r="I42" s="16" t="str">
        <f ca="1">IFERROR(__xludf.DUMMYFUNCTION("""COMPUTED_VALUE"""),"Arif Fadlan, S.Si., M.Si., D.Sc")</f>
        <v>Arif Fadlan, S.Si., M.Si., D.Sc</v>
      </c>
      <c r="J42" s="16"/>
      <c r="K42" s="17" t="s">
        <v>921</v>
      </c>
      <c r="L42" s="23" t="s">
        <v>925</v>
      </c>
      <c r="M42" s="19" t="b">
        <v>0</v>
      </c>
      <c r="N42" s="19" t="b">
        <v>0</v>
      </c>
      <c r="O42" s="1" t="s">
        <v>927</v>
      </c>
      <c r="P42" s="1" t="str">
        <f ca="1">IFERROR(__xludf.DUMMYFUNCTION("iferror(vlookup(B42,importrange(""https://docs.google.com/spreadsheets/d/1boHyJQ4e2FU0QG8MHwEi6qjX4hvZWVCHcFfXjq7bbMc/edit?resourcekey#gid=923248883"",""Prop!$C$1:$M""),11,0),IFERROR(vlookup(B42,importrange(""https://docs.google.com/spreadsheets/d/1boHyJQ"&amp;"4e2FU0QG8MHwEi6qjX4hvZWVCHcFfXjq7bbMc/edit?resourcekey#gid=923248883"",""Prop!$N$1:$X""),11,0),iferror(vlookup(B42,importrange(""https://docs.google.com/spreadsheets/d/1boHyJQ4e2FU0QG8MHwEi6qjX4hvZWVCHcFfXjq7bbMc/edit?resourcekey#gid=923248883"",""Prop!$Y"&amp;"$1:$AI""),11,0),iferror(vlookup(B42,importrange(""https://docs.google.com/spreadsheets/d/1boHyJQ4e2FU0QG8MHwEi6qjX4hvZWVCHcFfXjq7bbMc/edit?resourcekey#gid=923248883"",""Prop!$AJ$1:$AT""),11,0),iferror(vlookup(B42,importrange(""https://docs.google.com/spre"&amp;"adsheets/d/1boHyJQ4e2FU0QG8MHwEi6qjX4hvZWVCHcFfXjq7bbMc/edit?resourcekey#gid=923248883"",""Prop!$AU$1:$BE""),11,0),iferror(vlookup(B42,importrange(""https://docs.google.com/spreadsheets/d/1boHyJQ4e2FU0QG8MHwEi6qjX4hvZWVCHcFfXjq7bbMc/edit?resourcekey#gid=9"&amp;"23248883"",""Prop!$BF$1:$BP""),11,0),iferror(vlookup(B42,importrange(""https://docs.google.com/spreadsheets/d/1boHyJQ4e2FU0QG8MHwEi6qjX4hvZWVCHcFfXjq7bbMc/edit?resourcekey#gid=923248883"",""Prop!$BQ$1:$CA""),11,0),iferror(vlookup(B42,importrange(""https:/"&amp;"/docs.google.com/spreadsheets/d/1boHyJQ4e2FU0QG8MHwEi6qjX4hvZWVCHcFfXjq7bbMc/edit?resourcekey#gid=923248883"",""Prop!$CB$1:$CL""),11,0),iferror(vlookup(B42,importrange(""https://docs.google.com/spreadsheets/d/1boHyJQ4e2FU0QG8MHwEi6qjX4hvZWVCHcFfXjq7bbMc/e"&amp;"dit?resourcekey#gid=923248883"",""Prop!$CM$1:$CX""),11,0),iferror(vlookup(B42,importrange(""https://docs.google.com/spreadsheets/d/1boHyJQ4e2FU0QG8MHwEi6qjX4hvZWVCHcFfXjq7bbMc/edit?resourcekey#gid=923248883"",""Prop!$CY$1:$DI""),11,0)))))))))))"),"")</f>
        <v/>
      </c>
      <c r="Q42" s="1" t="str">
        <f ca="1">IFERROR(__xludf.DUMMYFUNCTION("iferror(vlookup(B42,importrange(""https://docs.google.com/spreadsheets/d/1p53T2AuvvIqhP7Nf-bo3Uhj8cbKYRPpZdsrBv3x3bAQ/edit?resourcekey#gid=1321652304"",""Prop!$C$1:$M""),11,0),IFERROR(vlookup(B42,importrange(""https://docs.google.com/spreadsheets/d/1p53T2"&amp;"AuvvIqhP7Nf-bo3Uhj8cbKYRPpZdsrBv3x3bAQ/edit?resourcekey#gid=1321652304"",""Prop!$N$1:$X""),11,0),iferror(vlookup(B42,importrange(""https://docs.google.com/spreadsheets/d/1p53T2AuvvIqhP7Nf-bo3Uhj8cbKYRPpZdsrBv3x3bAQ/edit?resourcekey#gid=1321652304"",""Prop"&amp;"!$Y$1:$AI""),11,0),iferror(vlookup(B42,importrange(""https://docs.google.com/spreadsheets/d/1p53T2AuvvIqhP7Nf-bo3Uhj8cbKYRPpZdsrBv3x3bAQ/edit?resourcekey#gid=1321652304"",""Prop!$AJ$1:$AT""),11,0),iferror(vlookup(B42,importrange(""https://docs.google.com/"&amp;"spreadsheets/d/1p53T2AuvvIqhP7Nf-bo3Uhj8cbKYRPpZdsrBv3x3bAQ/edit?resourcekey#gid=1321652304"",""Prop!$AU$1:$BE""),11,0),iferror(vlookup(B42,importrange(""https://docs.google.com/spreadsheets/d/1p53T2AuvvIqhP7Nf-bo3Uhj8cbKYRPpZdsrBv3x3bAQ/edit?resourcekey#"&amp;"gid=1321652304"",""Prop!$BF$1:$BP""),11,0),iferror(vlookup(B42,importrange(""https://docs.google.com/spreadsheets/d/1p53T2AuvvIqhP7Nf-bo3Uhj8cbKYRPpZdsrBv3x3bAQ/edit?resourcekey#gid=1321652304"",""Prop!$BQ$1:$CA""),11,0),iferror(vlookup(B42,importrange("""&amp;"https://docs.google.com/spreadsheets/d/1p53T2AuvvIqhP7Nf-bo3Uhj8cbKYRPpZdsrBv3x3bAQ/edit?resourcekey#gid=1321652304"",""Prop!$CB$1:$CL""),11,0),iferror(vlookup(B42,importrange(""https://docs.google.com/spreadsheets/d/1p53T2AuvvIqhP7Nf-bo3Uhj8cbKYRPpZdsrBv"&amp;"3x3bAQ/edit?resourcekey#gid=1321652304"",""Prop!$CM$1:$CX""),11,0),iferror(vlookup(B42,importrange(""https://docs.google.com/spreadsheets/d/1p53T2AuvvIqhP7Nf-bo3Uhj8cbKYRPpZdsrBv3x3bAQ/edit?resourcekey#gid=1321652304"",""Prop!$CY$1:$DI""),11,0)))))))))))"),"")</f>
        <v/>
      </c>
      <c r="R42" s="20" t="s">
        <v>898</v>
      </c>
      <c r="S42" s="20" t="str">
        <f ca="1">IFERROR(__xludf.DUMMYFUNCTION("IFERROR(vlookup(B42,IMPORTRANGE(""https://docs.google.com/spreadsheets/d/1g_jfYYK_KeipEDNDUgqgrsxK94XiocfNQIcP-v1QVhI/edit?resourcekey#gid=233272945"",""Nilai!B:CT""),12,0),"" "")"),"")</f>
        <v/>
      </c>
      <c r="T42" s="20" t="str">
        <f ca="1">IFERROR(__xludf.DUMMYFUNCTION("IFERROR(vlookup(B42,IMPORTRANGE(""https://docs.google.com/spreadsheets/d/1g_jfYYK_KeipEDNDUgqgrsxK94XiocfNQIcP-v1QVhI/edit?resourcekey#gid=233272945"",""Nilai!B:CT""),97,0),"" "")")," ")</f>
        <v xml:space="preserve"> </v>
      </c>
      <c r="U42" s="32" t="s">
        <v>825</v>
      </c>
      <c r="V42" s="30" t="s">
        <v>899</v>
      </c>
      <c r="W42" s="23" t="s">
        <v>928</v>
      </c>
      <c r="X42" s="20" t="b">
        <v>0</v>
      </c>
    </row>
    <row r="43" spans="1:24">
      <c r="A43" s="15">
        <v>41</v>
      </c>
      <c r="B43" s="16">
        <f ca="1">IFERROR(__xludf.DUMMYFUNCTION("""COMPUTED_VALUE"""),3863)</f>
        <v>3863</v>
      </c>
      <c r="C43" s="16" t="str">
        <f ca="1">IFERROR(__xludf.DUMMYFUNCTION("""COMPUTED_VALUE"""),"TSABITA KARLINA HIDAYATI")</f>
        <v>TSABITA KARLINA HIDAYATI</v>
      </c>
      <c r="D43" s="16" t="str">
        <f ca="1">IFERROR(__xludf.DUMMYFUNCTION("""COMPUTED_VALUE"""),"08111840000039")</f>
        <v>08111840000039</v>
      </c>
      <c r="E43" s="16" t="str">
        <f ca="1">IFERROR(__xludf.DUMMYFUNCTION("""COMPUTED_VALUE"""),"Departemen Arsitektur")</f>
        <v>Departemen Arsitektur</v>
      </c>
      <c r="F43" s="16" t="str">
        <f ca="1">IFERROR(__xludf.DUMMYFUNCTION("""COMPUTED_VALUE"""),"Perbaikan Kampung Illegal Keputih Tegal Timur Baru dengan Memanfaatkan Potensi serta SDA Masyarakat Sekitar")</f>
        <v>Perbaikan Kampung Illegal Keputih Tegal Timur Baru dengan Memanfaatkan Potensi serta SDA Masyarakat Sekitar</v>
      </c>
      <c r="G43" s="16" t="str">
        <f ca="1">IFERROR(__xludf.DUMMYFUNCTION("""COMPUTED_VALUE"""),"Dewi Septanti, S.Pd., S.T., M.T., Ph.D.")</f>
        <v>Dewi Septanti, S.Pd., S.T., M.T., Ph.D.</v>
      </c>
      <c r="H43" s="16" t="str">
        <f ca="1">IFERROR(__xludf.DUMMYFUNCTION("""COMPUTED_VALUE"""),"Prof. Dr. Dra Fahimah Martak, M.Si")</f>
        <v>Prof. Dr. Dra Fahimah Martak, M.Si</v>
      </c>
      <c r="I43" s="16" t="str">
        <f ca="1">IFERROR(__xludf.DUMMYFUNCTION("""COMPUTED_VALUE"""),"Ulil 'Azmi, S.Si., M.Si.")</f>
        <v>Ulil 'Azmi, S.Si., M.Si.</v>
      </c>
      <c r="J43" s="16"/>
      <c r="K43" s="17" t="s">
        <v>929</v>
      </c>
      <c r="L43" s="23" t="s">
        <v>930</v>
      </c>
      <c r="M43" s="19" t="b">
        <v>0</v>
      </c>
      <c r="N43" s="19" t="b">
        <v>0</v>
      </c>
      <c r="O43" s="1" t="s">
        <v>927</v>
      </c>
      <c r="P43" s="1" t="str">
        <f ca="1">IFERROR(__xludf.DUMMYFUNCTION("iferror(vlookup(B43,importrange(""https://docs.google.com/spreadsheets/d/1boHyJQ4e2FU0QG8MHwEi6qjX4hvZWVCHcFfXjq7bbMc/edit?resourcekey#gid=923248883"",""Prop!$C$1:$M""),11,0),IFERROR(vlookup(B43,importrange(""https://docs.google.com/spreadsheets/d/1boHyJQ"&amp;"4e2FU0QG8MHwEi6qjX4hvZWVCHcFfXjq7bbMc/edit?resourcekey#gid=923248883"",""Prop!$N$1:$X""),11,0),iferror(vlookup(B43,importrange(""https://docs.google.com/spreadsheets/d/1boHyJQ4e2FU0QG8MHwEi6qjX4hvZWVCHcFfXjq7bbMc/edit?resourcekey#gid=923248883"",""Prop!$Y"&amp;"$1:$AI""),11,0),iferror(vlookup(B43,importrange(""https://docs.google.com/spreadsheets/d/1boHyJQ4e2FU0QG8MHwEi6qjX4hvZWVCHcFfXjq7bbMc/edit?resourcekey#gid=923248883"",""Prop!$AJ$1:$AT""),11,0),iferror(vlookup(B43,importrange(""https://docs.google.com/spre"&amp;"adsheets/d/1boHyJQ4e2FU0QG8MHwEi6qjX4hvZWVCHcFfXjq7bbMc/edit?resourcekey#gid=923248883"",""Prop!$AU$1:$BE""),11,0),iferror(vlookup(B43,importrange(""https://docs.google.com/spreadsheets/d/1boHyJQ4e2FU0QG8MHwEi6qjX4hvZWVCHcFfXjq7bbMc/edit?resourcekey#gid=9"&amp;"23248883"",""Prop!$BF$1:$BP""),11,0),iferror(vlookup(B43,importrange(""https://docs.google.com/spreadsheets/d/1boHyJQ4e2FU0QG8MHwEi6qjX4hvZWVCHcFfXjq7bbMc/edit?resourcekey#gid=923248883"",""Prop!$BQ$1:$CA""),11,0),iferror(vlookup(B43,importrange(""https:/"&amp;"/docs.google.com/spreadsheets/d/1boHyJQ4e2FU0QG8MHwEi6qjX4hvZWVCHcFfXjq7bbMc/edit?resourcekey#gid=923248883"",""Prop!$CB$1:$CL""),11,0),iferror(vlookup(B43,importrange(""https://docs.google.com/spreadsheets/d/1boHyJQ4e2FU0QG8MHwEi6qjX4hvZWVCHcFfXjq7bbMc/e"&amp;"dit?resourcekey#gid=923248883"",""Prop!$CM$1:$CX""),11,0),iferror(vlookup(B43,importrange(""https://docs.google.com/spreadsheets/d/1boHyJQ4e2FU0QG8MHwEi6qjX4hvZWVCHcFfXjq7bbMc/edit?resourcekey#gid=923248883"",""Prop!$CY$1:$DI""),11,0)))))))))))"),"")</f>
        <v/>
      </c>
      <c r="Q43" s="1" t="str">
        <f ca="1">IFERROR(__xludf.DUMMYFUNCTION("iferror(vlookup(B43,importrange(""https://docs.google.com/spreadsheets/d/1p53T2AuvvIqhP7Nf-bo3Uhj8cbKYRPpZdsrBv3x3bAQ/edit?resourcekey#gid=1321652304"",""Prop!$C$1:$M""),11,0),IFERROR(vlookup(B43,importrange(""https://docs.google.com/spreadsheets/d/1p53T2"&amp;"AuvvIqhP7Nf-bo3Uhj8cbKYRPpZdsrBv3x3bAQ/edit?resourcekey#gid=1321652304"",""Prop!$N$1:$X""),11,0),iferror(vlookup(B43,importrange(""https://docs.google.com/spreadsheets/d/1p53T2AuvvIqhP7Nf-bo3Uhj8cbKYRPpZdsrBv3x3bAQ/edit?resourcekey#gid=1321652304"",""Prop"&amp;"!$Y$1:$AI""),11,0),iferror(vlookup(B43,importrange(""https://docs.google.com/spreadsheets/d/1p53T2AuvvIqhP7Nf-bo3Uhj8cbKYRPpZdsrBv3x3bAQ/edit?resourcekey#gid=1321652304"",""Prop!$AJ$1:$AT""),11,0),iferror(vlookup(B43,importrange(""https://docs.google.com/"&amp;"spreadsheets/d/1p53T2AuvvIqhP7Nf-bo3Uhj8cbKYRPpZdsrBv3x3bAQ/edit?resourcekey#gid=1321652304"",""Prop!$AU$1:$BE""),11,0),iferror(vlookup(B43,importrange(""https://docs.google.com/spreadsheets/d/1p53T2AuvvIqhP7Nf-bo3Uhj8cbKYRPpZdsrBv3x3bAQ/edit?resourcekey#"&amp;"gid=1321652304"",""Prop!$BF$1:$BP""),11,0),iferror(vlookup(B43,importrange(""https://docs.google.com/spreadsheets/d/1p53T2AuvvIqhP7Nf-bo3Uhj8cbKYRPpZdsrBv3x3bAQ/edit?resourcekey#gid=1321652304"",""Prop!$BQ$1:$CA""),11,0),iferror(vlookup(B43,importrange("""&amp;"https://docs.google.com/spreadsheets/d/1p53T2AuvvIqhP7Nf-bo3Uhj8cbKYRPpZdsrBv3x3bAQ/edit?resourcekey#gid=1321652304"",""Prop!$CB$1:$CL""),11,0),iferror(vlookup(B43,importrange(""https://docs.google.com/spreadsheets/d/1p53T2AuvvIqhP7Nf-bo3Uhj8cbKYRPpZdsrBv"&amp;"3x3bAQ/edit?resourcekey#gid=1321652304"",""Prop!$CM$1:$CX""),11,0),iferror(vlookup(B43,importrange(""https://docs.google.com/spreadsheets/d/1p53T2AuvvIqhP7Nf-bo3Uhj8cbKYRPpZdsrBv3x3bAQ/edit?resourcekey#gid=1321652304"",""Prop!$CY$1:$DI""),11,0)))))))))))"),"")</f>
        <v/>
      </c>
      <c r="R43" s="20" t="s">
        <v>898</v>
      </c>
      <c r="S43" s="20" t="str">
        <f ca="1">IFERROR(__xludf.DUMMYFUNCTION("IFERROR(vlookup(B43,IMPORTRANGE(""https://docs.google.com/spreadsheets/d/1g_jfYYK_KeipEDNDUgqgrsxK94XiocfNQIcP-v1QVhI/edit?resourcekey#gid=233272945"",""Nilai!B:CT""),12,0),"" "")"),"")</f>
        <v/>
      </c>
      <c r="T43" s="20" t="str">
        <f ca="1">IFERROR(__xludf.DUMMYFUNCTION("IFERROR(vlookup(B43,IMPORTRANGE(""https://docs.google.com/spreadsheets/d/1g_jfYYK_KeipEDNDUgqgrsxK94XiocfNQIcP-v1QVhI/edit?resourcekey#gid=233272945"",""Nilai!B:CT""),97,0),"" "")")," ")</f>
        <v xml:space="preserve"> </v>
      </c>
      <c r="U43" s="32" t="s">
        <v>825</v>
      </c>
      <c r="V43" s="30" t="s">
        <v>899</v>
      </c>
      <c r="W43" s="23" t="s">
        <v>928</v>
      </c>
      <c r="X43" s="20" t="b">
        <v>0</v>
      </c>
    </row>
    <row r="44" spans="1:24">
      <c r="A44" s="15">
        <v>42</v>
      </c>
      <c r="B44" s="16">
        <f ca="1">IFERROR(__xludf.DUMMYFUNCTION("""COMPUTED_VALUE"""),2133)</f>
        <v>2133</v>
      </c>
      <c r="C44" s="16" t="str">
        <f ca="1">IFERROR(__xludf.DUMMYFUNCTION("""COMPUTED_VALUE"""),"MICHAEL NATHANIEL DINARTA")</f>
        <v>MICHAEL NATHANIEL DINARTA</v>
      </c>
      <c r="D44" s="16" t="str">
        <f ca="1">IFERROR(__xludf.DUMMYFUNCTION("""COMPUTED_VALUE"""),"06311940000028")</f>
        <v>06311940000028</v>
      </c>
      <c r="E44" s="16" t="str">
        <f ca="1">IFERROR(__xludf.DUMMYFUNCTION("""COMPUTED_VALUE"""),"Departemen Aktuaria")</f>
        <v>Departemen Aktuaria</v>
      </c>
      <c r="F44" s="16" t="str">
        <f ca="1">IFERROR(__xludf.DUMMYFUNCTION("""COMPUTED_VALUE"""),"Analisis Risiko dalam Penerapan Capital Asset Pricing Model (CAPM) pada Investasi Saham LQ45 menggunakan Expected Shortfall (ES)")</f>
        <v>Analisis Risiko dalam Penerapan Capital Asset Pricing Model (CAPM) pada Investasi Saham LQ45 menggunakan Expected Shortfall (ES)</v>
      </c>
      <c r="G44" s="16" t="str">
        <f ca="1">IFERROR(__xludf.DUMMYFUNCTION("""COMPUTED_VALUE"""),"R. Mohamad Atok, S.Si, M.Si, Ph.D")</f>
        <v>R. Mohamad Atok, S.Si, M.Si, Ph.D</v>
      </c>
      <c r="H44" s="16" t="str">
        <f ca="1">IFERROR(__xludf.DUMMYFUNCTION("""COMPUTED_VALUE"""),"Prof. Dr. Dra Fahimah Martak, M.Si")</f>
        <v>Prof. Dr. Dra Fahimah Martak, M.Si</v>
      </c>
      <c r="I44" s="16" t="str">
        <f ca="1">IFERROR(__xludf.DUMMYFUNCTION("""COMPUTED_VALUE"""),"Daril Ridho Zuchrillah, S.T., M.T.")</f>
        <v>Daril Ridho Zuchrillah, S.T., M.T.</v>
      </c>
      <c r="J44" s="16"/>
      <c r="K44" s="17" t="s">
        <v>929</v>
      </c>
      <c r="L44" s="23" t="s">
        <v>930</v>
      </c>
      <c r="M44" s="19" t="b">
        <v>1</v>
      </c>
      <c r="N44" s="19" t="b">
        <v>1</v>
      </c>
      <c r="O44" s="1" t="s">
        <v>927</v>
      </c>
      <c r="P44" s="7" t="str">
        <f ca="1">IFERROR(__xludf.DUMMYFUNCTION("iferror(vlookup(B44,importrange(""https://docs.google.com/spreadsheets/d/1boHyJQ4e2FU0QG8MHwEi6qjX4hvZWVCHcFfXjq7bbMc/edit?resourcekey#gid=923248883"",""Prop!$C$1:$M""),11,0),IFERROR(vlookup(B44,importrange(""https://docs.google.com/spreadsheets/d/1boHyJQ"&amp;"4e2FU0QG8MHwEi6qjX4hvZWVCHcFfXjq7bbMc/edit?resourcekey#gid=923248883"",""Prop!$N$1:$X""),11,0),iferror(vlookup(B44,importrange(""https://docs.google.com/spreadsheets/d/1boHyJQ4e2FU0QG8MHwEi6qjX4hvZWVCHcFfXjq7bbMc/edit?resourcekey#gid=923248883"",""Prop!$Y"&amp;"$1:$AI""),11,0),iferror(vlookup(B44,importrange(""https://docs.google.com/spreadsheets/d/1boHyJQ4e2FU0QG8MHwEi6qjX4hvZWVCHcFfXjq7bbMc/edit?resourcekey#gid=923248883"",""Prop!$AJ$1:$AT""),11,0),iferror(vlookup(B44,importrange(""https://docs.google.com/spre"&amp;"adsheets/d/1boHyJQ4e2FU0QG8MHwEi6qjX4hvZWVCHcFfXjq7bbMc/edit?resourcekey#gid=923248883"",""Prop!$AU$1:$BE""),11,0),iferror(vlookup(B44,importrange(""https://docs.google.com/spreadsheets/d/1boHyJQ4e2FU0QG8MHwEi6qjX4hvZWVCHcFfXjq7bbMc/edit?resourcekey#gid=9"&amp;"23248883"",""Prop!$BF$1:$BP""),11,0),iferror(vlookup(B44,importrange(""https://docs.google.com/spreadsheets/d/1boHyJQ4e2FU0QG8MHwEi6qjX4hvZWVCHcFfXjq7bbMc/edit?resourcekey#gid=923248883"",""Prop!$BQ$1:$CA""),11,0),iferror(vlookup(B44,importrange(""https:/"&amp;"/docs.google.com/spreadsheets/d/1boHyJQ4e2FU0QG8MHwEi6qjX4hvZWVCHcFfXjq7bbMc/edit?resourcekey#gid=923248883"",""Prop!$CB$1:$CL""),11,0),iferror(vlookup(B44,importrange(""https://docs.google.com/spreadsheets/d/1boHyJQ4e2FU0QG8MHwEi6qjX4hvZWVCHcFfXjq7bbMc/e"&amp;"dit?resourcekey#gid=923248883"",""Prop!$CM$1:$CX""),11,0),iferror(vlookup(B44,importrange(""https://docs.google.com/spreadsheets/d/1boHyJQ4e2FU0QG8MHwEi6qjX4hvZWVCHcFfXjq7bbMc/edit?resourcekey#gid=923248883"",""Prop!$CY$1:$DI""),11,0)))))))))))"),"https://drive.google.com/open?id=16yxBe2ylDbcWLuTOZraev8RXzO32Bhdn")</f>
        <v>https://drive.google.com/open?id=16yxBe2ylDbcWLuTOZraev8RXzO32Bhdn</v>
      </c>
      <c r="Q44" s="7" t="str">
        <f ca="1">IFERROR(__xludf.DUMMYFUNCTION("iferror(vlookup(B44,importrange(""https://docs.google.com/spreadsheets/d/1p53T2AuvvIqhP7Nf-bo3Uhj8cbKYRPpZdsrBv3x3bAQ/edit?resourcekey#gid=1321652304"",""Prop!$C$1:$M""),11,0),IFERROR(vlookup(B44,importrange(""https://docs.google.com/spreadsheets/d/1p53T2"&amp;"AuvvIqhP7Nf-bo3Uhj8cbKYRPpZdsrBv3x3bAQ/edit?resourcekey#gid=1321652304"",""Prop!$N$1:$X""),11,0),iferror(vlookup(B44,importrange(""https://docs.google.com/spreadsheets/d/1p53T2AuvvIqhP7Nf-bo3Uhj8cbKYRPpZdsrBv3x3bAQ/edit?resourcekey#gid=1321652304"",""Prop"&amp;"!$Y$1:$AI""),11,0),iferror(vlookup(B44,importrange(""https://docs.google.com/spreadsheets/d/1p53T2AuvvIqhP7Nf-bo3Uhj8cbKYRPpZdsrBv3x3bAQ/edit?resourcekey#gid=1321652304"",""Prop!$AJ$1:$AT""),11,0),iferror(vlookup(B44,importrange(""https://docs.google.com/"&amp;"spreadsheets/d/1p53T2AuvvIqhP7Nf-bo3Uhj8cbKYRPpZdsrBv3x3bAQ/edit?resourcekey#gid=1321652304"",""Prop!$AU$1:$BE""),11,0),iferror(vlookup(B44,importrange(""https://docs.google.com/spreadsheets/d/1p53T2AuvvIqhP7Nf-bo3Uhj8cbKYRPpZdsrBv3x3bAQ/edit?resourcekey#"&amp;"gid=1321652304"",""Prop!$BF$1:$BP""),11,0),iferror(vlookup(B44,importrange(""https://docs.google.com/spreadsheets/d/1p53T2AuvvIqhP7Nf-bo3Uhj8cbKYRPpZdsrBv3x3bAQ/edit?resourcekey#gid=1321652304"",""Prop!$BQ$1:$CA""),11,0),iferror(vlookup(B44,importrange("""&amp;"https://docs.google.com/spreadsheets/d/1p53T2AuvvIqhP7Nf-bo3Uhj8cbKYRPpZdsrBv3x3bAQ/edit?resourcekey#gid=1321652304"",""Prop!$CB$1:$CL""),11,0),iferror(vlookup(B44,importrange(""https://docs.google.com/spreadsheets/d/1p53T2AuvvIqhP7Nf-bo3Uhj8cbKYRPpZdsrBv"&amp;"3x3bAQ/edit?resourcekey#gid=1321652304"",""Prop!$CM$1:$CX""),11,0),iferror(vlookup(B44,importrange(""https://docs.google.com/spreadsheets/d/1p53T2AuvvIqhP7Nf-bo3Uhj8cbKYRPpZdsrBv3x3bAQ/edit?resourcekey#gid=1321652304"",""Prop!$CY$1:$DI""),11,0)))))))))))"),"https://drive.google.com/open?id=1Dz0RQoFCeAUqEwZgjeEZyFCRGPTv27EL")</f>
        <v>https://drive.google.com/open?id=1Dz0RQoFCeAUqEwZgjeEZyFCRGPTv27EL</v>
      </c>
      <c r="R44" s="20" t="s">
        <v>898</v>
      </c>
      <c r="S44" s="20" t="str">
        <f ca="1">IFERROR(__xludf.DUMMYFUNCTION("IFERROR(vlookup(B44,IMPORTRANGE(""https://docs.google.com/spreadsheets/d/1g_jfYYK_KeipEDNDUgqgrsxK94XiocfNQIcP-v1QVhI/edit?resourcekey#gid=233272945"",""Nilai!B:CT""),12,0),"" "")"),"Jurnal berputasi kurang, hasil dan pembahsan hanya berisi tabel dan gambar sangat kurang pembahasan
")</f>
        <v xml:space="preserve">Jurnal berputasi kurang, hasil dan pembahsan hanya berisi tabel dan gambar sangat kurang pembahasan
</v>
      </c>
      <c r="T44" s="20" t="str">
        <f ca="1">IFERROR(__xludf.DUMMYFUNCTION("IFERROR(vlookup(B44,IMPORTRANGE(""https://docs.google.com/spreadsheets/d/1g_jfYYK_KeipEDNDUgqgrsxK94XiocfNQIcP-v1QVhI/edit?resourcekey#gid=233272945"",""Nilai!B:CT""),97,0),"" "")"),"LAYAK UPLOAD KE SIMBELMAWA DENGAN REVISI")</f>
        <v>LAYAK UPLOAD KE SIMBELMAWA DENGAN REVISI</v>
      </c>
      <c r="U44" s="32" t="s">
        <v>825</v>
      </c>
      <c r="V44" s="30" t="s">
        <v>899</v>
      </c>
      <c r="W44" s="23" t="s">
        <v>928</v>
      </c>
      <c r="X44" s="20" t="b">
        <v>0</v>
      </c>
    </row>
    <row r="45" spans="1:24">
      <c r="A45" s="15">
        <v>43</v>
      </c>
      <c r="B45" s="16">
        <f ca="1">IFERROR(__xludf.DUMMYFUNCTION("""COMPUTED_VALUE"""),2770)</f>
        <v>2770</v>
      </c>
      <c r="C45" s="16" t="str">
        <f ca="1">IFERROR(__xludf.DUMMYFUNCTION("""COMPUTED_VALUE"""),"NANDA SEPTA AGATHA PUTRI")</f>
        <v>NANDA SEPTA AGATHA PUTRI</v>
      </c>
      <c r="D45" s="16" t="str">
        <f ca="1">IFERROR(__xludf.DUMMYFUNCTION("""COMPUTED_VALUE"""),"5014201007")</f>
        <v>5014201007</v>
      </c>
      <c r="E45" s="16" t="str">
        <f ca="1">IFERROR(__xludf.DUMMYFUNCTION("""COMPUTED_VALUE"""),"Departemen Teknik Lingkungan")</f>
        <v>Departemen Teknik Lingkungan</v>
      </c>
      <c r="F45" s="16" t="str">
        <f ca="1">IFERROR(__xludf.DUMMYFUNCTION("""COMPUTED_VALUE"""),"Pemanfaatan Activated Carbon Fibers sebagai Upaya Pengendalian Microfibers terhadap Pencemaran Udara di Dalam Ruangan
")</f>
        <v xml:space="preserve">Pemanfaatan Activated Carbon Fibers sebagai Upaya Pengendalian Microfibers terhadap Pencemaran Udara di Dalam Ruangan
</v>
      </c>
      <c r="G45" s="16" t="str">
        <f ca="1">IFERROR(__xludf.DUMMYFUNCTION("""COMPUTED_VALUE"""),"Arseto Yekti Bagastyo, S.T., M.Phil, PhD")</f>
        <v>Arseto Yekti Bagastyo, S.T., M.Phil, PhD</v>
      </c>
      <c r="H45" s="16" t="str">
        <f ca="1">IFERROR(__xludf.DUMMYFUNCTION("""COMPUTED_VALUE"""),"Dr.-Ing. Doty Dewi Risanti, S.T., M.T.")</f>
        <v>Dr.-Ing. Doty Dewi Risanti, S.T., M.T.</v>
      </c>
      <c r="I45" s="16" t="str">
        <f ca="1">IFERROR(__xludf.DUMMYFUNCTION("""COMPUTED_VALUE"""),"Hariyati Purwaningsih, S.Si., M.Si.")</f>
        <v>Hariyati Purwaningsih, S.Si., M.Si.</v>
      </c>
      <c r="J45" s="16"/>
      <c r="K45" s="17" t="s">
        <v>929</v>
      </c>
      <c r="L45" s="23" t="s">
        <v>930</v>
      </c>
      <c r="M45" s="19" t="b">
        <v>0</v>
      </c>
      <c r="N45" s="19" t="b">
        <v>0</v>
      </c>
      <c r="O45" s="1" t="s">
        <v>927</v>
      </c>
      <c r="P45" s="1" t="str">
        <f ca="1">IFERROR(__xludf.DUMMYFUNCTION("iferror(vlookup(B45,importrange(""https://docs.google.com/spreadsheets/d/1boHyJQ4e2FU0QG8MHwEi6qjX4hvZWVCHcFfXjq7bbMc/edit?resourcekey#gid=923248883"",""Prop!$C$1:$M""),11,0),IFERROR(vlookup(B45,importrange(""https://docs.google.com/spreadsheets/d/1boHyJQ"&amp;"4e2FU0QG8MHwEi6qjX4hvZWVCHcFfXjq7bbMc/edit?resourcekey#gid=923248883"",""Prop!$N$1:$X""),11,0),iferror(vlookup(B45,importrange(""https://docs.google.com/spreadsheets/d/1boHyJQ4e2FU0QG8MHwEi6qjX4hvZWVCHcFfXjq7bbMc/edit?resourcekey#gid=923248883"",""Prop!$Y"&amp;"$1:$AI""),11,0),iferror(vlookup(B45,importrange(""https://docs.google.com/spreadsheets/d/1boHyJQ4e2FU0QG8MHwEi6qjX4hvZWVCHcFfXjq7bbMc/edit?resourcekey#gid=923248883"",""Prop!$AJ$1:$AT""),11,0),iferror(vlookup(B45,importrange(""https://docs.google.com/spre"&amp;"adsheets/d/1boHyJQ4e2FU0QG8MHwEi6qjX4hvZWVCHcFfXjq7bbMc/edit?resourcekey#gid=923248883"",""Prop!$AU$1:$BE""),11,0),iferror(vlookup(B45,importrange(""https://docs.google.com/spreadsheets/d/1boHyJQ4e2FU0QG8MHwEi6qjX4hvZWVCHcFfXjq7bbMc/edit?resourcekey#gid=9"&amp;"23248883"",""Prop!$BF$1:$BP""),11,0),iferror(vlookup(B45,importrange(""https://docs.google.com/spreadsheets/d/1boHyJQ4e2FU0QG8MHwEi6qjX4hvZWVCHcFfXjq7bbMc/edit?resourcekey#gid=923248883"",""Prop!$BQ$1:$CA""),11,0),iferror(vlookup(B45,importrange(""https:/"&amp;"/docs.google.com/spreadsheets/d/1boHyJQ4e2FU0QG8MHwEi6qjX4hvZWVCHcFfXjq7bbMc/edit?resourcekey#gid=923248883"",""Prop!$CB$1:$CL""),11,0),iferror(vlookup(B45,importrange(""https://docs.google.com/spreadsheets/d/1boHyJQ4e2FU0QG8MHwEi6qjX4hvZWVCHcFfXjq7bbMc/e"&amp;"dit?resourcekey#gid=923248883"",""Prop!$CM$1:$CX""),11,0),iferror(vlookup(B45,importrange(""https://docs.google.com/spreadsheets/d/1boHyJQ4e2FU0QG8MHwEi6qjX4hvZWVCHcFfXjq7bbMc/edit?resourcekey#gid=923248883"",""Prop!$CY$1:$DI""),11,0)))))))))))"),"")</f>
        <v/>
      </c>
      <c r="Q45" s="1" t="str">
        <f ca="1">IFERROR(__xludf.DUMMYFUNCTION("iferror(vlookup(B45,importrange(""https://docs.google.com/spreadsheets/d/1p53T2AuvvIqhP7Nf-bo3Uhj8cbKYRPpZdsrBv3x3bAQ/edit?resourcekey#gid=1321652304"",""Prop!$C$1:$M""),11,0),IFERROR(vlookup(B45,importrange(""https://docs.google.com/spreadsheets/d/1p53T2"&amp;"AuvvIqhP7Nf-bo3Uhj8cbKYRPpZdsrBv3x3bAQ/edit?resourcekey#gid=1321652304"",""Prop!$N$1:$X""),11,0),iferror(vlookup(B45,importrange(""https://docs.google.com/spreadsheets/d/1p53T2AuvvIqhP7Nf-bo3Uhj8cbKYRPpZdsrBv3x3bAQ/edit?resourcekey#gid=1321652304"",""Prop"&amp;"!$Y$1:$AI""),11,0),iferror(vlookup(B45,importrange(""https://docs.google.com/spreadsheets/d/1p53T2AuvvIqhP7Nf-bo3Uhj8cbKYRPpZdsrBv3x3bAQ/edit?resourcekey#gid=1321652304"",""Prop!$AJ$1:$AT""),11,0),iferror(vlookup(B45,importrange(""https://docs.google.com/"&amp;"spreadsheets/d/1p53T2AuvvIqhP7Nf-bo3Uhj8cbKYRPpZdsrBv3x3bAQ/edit?resourcekey#gid=1321652304"",""Prop!$AU$1:$BE""),11,0),iferror(vlookup(B45,importrange(""https://docs.google.com/spreadsheets/d/1p53T2AuvvIqhP7Nf-bo3Uhj8cbKYRPpZdsrBv3x3bAQ/edit?resourcekey#"&amp;"gid=1321652304"",""Prop!$BF$1:$BP""),11,0),iferror(vlookup(B45,importrange(""https://docs.google.com/spreadsheets/d/1p53T2AuvvIqhP7Nf-bo3Uhj8cbKYRPpZdsrBv3x3bAQ/edit?resourcekey#gid=1321652304"",""Prop!$BQ$1:$CA""),11,0),iferror(vlookup(B45,importrange("""&amp;"https://docs.google.com/spreadsheets/d/1p53T2AuvvIqhP7Nf-bo3Uhj8cbKYRPpZdsrBv3x3bAQ/edit?resourcekey#gid=1321652304"",""Prop!$CB$1:$CL""),11,0),iferror(vlookup(B45,importrange(""https://docs.google.com/spreadsheets/d/1p53T2AuvvIqhP7Nf-bo3Uhj8cbKYRPpZdsrBv"&amp;"3x3bAQ/edit?resourcekey#gid=1321652304"",""Prop!$CM$1:$CX""),11,0),iferror(vlookup(B45,importrange(""https://docs.google.com/spreadsheets/d/1p53T2AuvvIqhP7Nf-bo3Uhj8cbKYRPpZdsrBv3x3bAQ/edit?resourcekey#gid=1321652304"",""Prop!$CY$1:$DI""),11,0)))))))))))"),"")</f>
        <v/>
      </c>
      <c r="R45" s="20" t="s">
        <v>898</v>
      </c>
      <c r="S45" s="20" t="str">
        <f ca="1">IFERROR(__xludf.DUMMYFUNCTION("IFERROR(vlookup(B45,IMPORTRANGE(""https://docs.google.com/spreadsheets/d/1g_jfYYK_KeipEDNDUgqgrsxK94XiocfNQIcP-v1QVhI/edit?resourcekey#gid=233272945"",""Nilai!B:CT""),12,0),"" "")"),"")</f>
        <v/>
      </c>
      <c r="T45" s="20" t="str">
        <f ca="1">IFERROR(__xludf.DUMMYFUNCTION("IFERROR(vlookup(B45,IMPORTRANGE(""https://docs.google.com/spreadsheets/d/1g_jfYYK_KeipEDNDUgqgrsxK94XiocfNQIcP-v1QVhI/edit?resourcekey#gid=233272945"",""Nilai!B:CT""),97,0),"" "")")," ")</f>
        <v xml:space="preserve"> </v>
      </c>
      <c r="U45" s="32" t="s">
        <v>825</v>
      </c>
      <c r="V45" s="30" t="s">
        <v>899</v>
      </c>
      <c r="W45" s="23" t="s">
        <v>931</v>
      </c>
      <c r="X45" s="20" t="b">
        <v>0</v>
      </c>
    </row>
    <row r="46" spans="1:24">
      <c r="A46" s="15">
        <v>44</v>
      </c>
      <c r="B46" s="16">
        <f ca="1">IFERROR(__xludf.DUMMYFUNCTION("""COMPUTED_VALUE"""),4081)</f>
        <v>4081</v>
      </c>
      <c r="C46" s="16" t="str">
        <f ca="1">IFERROR(__xludf.DUMMYFUNCTION("""COMPUTED_VALUE"""),"Binti Ainiatur Rohmah")</f>
        <v>Binti Ainiatur Rohmah</v>
      </c>
      <c r="D46" s="16" t="str">
        <f ca="1">IFERROR(__xludf.DUMMYFUNCTION("""COMPUTED_VALUE"""),"01211940000033")</f>
        <v>01211940000033</v>
      </c>
      <c r="E46" s="16" t="str">
        <f ca="1">IFERROR(__xludf.DUMMYFUNCTION("""COMPUTED_VALUE"""),"Departemen Kimia")</f>
        <v>Departemen Kimia</v>
      </c>
      <c r="F46" s="16" t="str">
        <f ca="1">IFERROR(__xludf.DUMMYFUNCTION("""COMPUTED_VALUE"""),"Bioaktivitas Eugenol Daun Cengkeh dan Ekstrak dan sirih Hijau (Piper betle L.) untuk Antiseptik Mulut")</f>
        <v>Bioaktivitas Eugenol Daun Cengkeh dan Ekstrak dan sirih Hijau (Piper betle L.) untuk Antiseptik Mulut</v>
      </c>
      <c r="G46" s="16" t="str">
        <f ca="1">IFERROR(__xludf.DUMMYFUNCTION("""COMPUTED_VALUE"""),"Arif Fadlan, S.Si., M.Si., D.Sc")</f>
        <v>Arif Fadlan, S.Si., M.Si., D.Sc</v>
      </c>
      <c r="H46" s="16" t="str">
        <f ca="1">IFERROR(__xludf.DUMMYFUNCTION("""COMPUTED_VALUE"""),"Dian Mughni Fellicia, ST., M.Sc")</f>
        <v>Dian Mughni Fellicia, ST., M.Sc</v>
      </c>
      <c r="I46" s="16" t="str">
        <f ca="1">IFERROR(__xludf.DUMMYFUNCTION("""COMPUTED_VALUE"""),"Hariyati Purwaningsih, S.Si., M.Si.")</f>
        <v>Hariyati Purwaningsih, S.Si., M.Si.</v>
      </c>
      <c r="J46" s="16"/>
      <c r="K46" s="17" t="s">
        <v>929</v>
      </c>
      <c r="L46" s="23" t="s">
        <v>930</v>
      </c>
      <c r="M46" s="19" t="b">
        <v>0</v>
      </c>
      <c r="N46" s="19" t="b">
        <v>0</v>
      </c>
      <c r="O46" s="1" t="s">
        <v>927</v>
      </c>
      <c r="P46" s="7" t="str">
        <f ca="1">IFERROR(__xludf.DUMMYFUNCTION("iferror(vlookup(B46,importrange(""https://docs.google.com/spreadsheets/d/1boHyJQ4e2FU0QG8MHwEi6qjX4hvZWVCHcFfXjq7bbMc/edit?resourcekey#gid=923248883"",""Prop!$C$1:$M""),11,0),IFERROR(vlookup(B46,importrange(""https://docs.google.com/spreadsheets/d/1boHyJQ"&amp;"4e2FU0QG8MHwEi6qjX4hvZWVCHcFfXjq7bbMc/edit?resourcekey#gid=923248883"",""Prop!$N$1:$X""),11,0),iferror(vlookup(B46,importrange(""https://docs.google.com/spreadsheets/d/1boHyJQ4e2FU0QG8MHwEi6qjX4hvZWVCHcFfXjq7bbMc/edit?resourcekey#gid=923248883"",""Prop!$Y"&amp;"$1:$AI""),11,0),iferror(vlookup(B46,importrange(""https://docs.google.com/spreadsheets/d/1boHyJQ4e2FU0QG8MHwEi6qjX4hvZWVCHcFfXjq7bbMc/edit?resourcekey#gid=923248883"",""Prop!$AJ$1:$AT""),11,0),iferror(vlookup(B46,importrange(""https://docs.google.com/spre"&amp;"adsheets/d/1boHyJQ4e2FU0QG8MHwEi6qjX4hvZWVCHcFfXjq7bbMc/edit?resourcekey#gid=923248883"",""Prop!$AU$1:$BE""),11,0),iferror(vlookup(B46,importrange(""https://docs.google.com/spreadsheets/d/1boHyJQ4e2FU0QG8MHwEi6qjX4hvZWVCHcFfXjq7bbMc/edit?resourcekey#gid=9"&amp;"23248883"",""Prop!$BF$1:$BP""),11,0),iferror(vlookup(B46,importrange(""https://docs.google.com/spreadsheets/d/1boHyJQ4e2FU0QG8MHwEi6qjX4hvZWVCHcFfXjq7bbMc/edit?resourcekey#gid=923248883"",""Prop!$BQ$1:$CA""),11,0),iferror(vlookup(B46,importrange(""https:/"&amp;"/docs.google.com/spreadsheets/d/1boHyJQ4e2FU0QG8MHwEi6qjX4hvZWVCHcFfXjq7bbMc/edit?resourcekey#gid=923248883"",""Prop!$CB$1:$CL""),11,0),iferror(vlookup(B46,importrange(""https://docs.google.com/spreadsheets/d/1boHyJQ4e2FU0QG8MHwEi6qjX4hvZWVCHcFfXjq7bbMc/e"&amp;"dit?resourcekey#gid=923248883"",""Prop!$CM$1:$CX""),11,0),iferror(vlookup(B46,importrange(""https://docs.google.com/spreadsheets/d/1boHyJQ4e2FU0QG8MHwEi6qjX4hvZWVCHcFfXjq7bbMc/edit?resourcekey#gid=923248883"",""Prop!$CY$1:$DI""),11,0)))))))))))"),"https://drive.google.com/open?id=1P8RJOybA3n1A4K2JXRro_422I_hr5YHB")</f>
        <v>https://drive.google.com/open?id=1P8RJOybA3n1A4K2JXRro_422I_hr5YHB</v>
      </c>
      <c r="Q46" s="7" t="str">
        <f ca="1">IFERROR(__xludf.DUMMYFUNCTION("iferror(vlookup(B46,importrange(""https://docs.google.com/spreadsheets/d/1p53T2AuvvIqhP7Nf-bo3Uhj8cbKYRPpZdsrBv3x3bAQ/edit?resourcekey#gid=1321652304"",""Prop!$C$1:$M""),11,0),IFERROR(vlookup(B46,importrange(""https://docs.google.com/spreadsheets/d/1p53T2"&amp;"AuvvIqhP7Nf-bo3Uhj8cbKYRPpZdsrBv3x3bAQ/edit?resourcekey#gid=1321652304"",""Prop!$N$1:$X""),11,0),iferror(vlookup(B46,importrange(""https://docs.google.com/spreadsheets/d/1p53T2AuvvIqhP7Nf-bo3Uhj8cbKYRPpZdsrBv3x3bAQ/edit?resourcekey#gid=1321652304"",""Prop"&amp;"!$Y$1:$AI""),11,0),iferror(vlookup(B46,importrange(""https://docs.google.com/spreadsheets/d/1p53T2AuvvIqhP7Nf-bo3Uhj8cbKYRPpZdsrBv3x3bAQ/edit?resourcekey#gid=1321652304"",""Prop!$AJ$1:$AT""),11,0),iferror(vlookup(B46,importrange(""https://docs.google.com/"&amp;"spreadsheets/d/1p53T2AuvvIqhP7Nf-bo3Uhj8cbKYRPpZdsrBv3x3bAQ/edit?resourcekey#gid=1321652304"",""Prop!$AU$1:$BE""),11,0),iferror(vlookup(B46,importrange(""https://docs.google.com/spreadsheets/d/1p53T2AuvvIqhP7Nf-bo3Uhj8cbKYRPpZdsrBv3x3bAQ/edit?resourcekey#"&amp;"gid=1321652304"",""Prop!$BF$1:$BP""),11,0),iferror(vlookup(B46,importrange(""https://docs.google.com/spreadsheets/d/1p53T2AuvvIqhP7Nf-bo3Uhj8cbKYRPpZdsrBv3x3bAQ/edit?resourcekey#gid=1321652304"",""Prop!$BQ$1:$CA""),11,0),iferror(vlookup(B46,importrange("""&amp;"https://docs.google.com/spreadsheets/d/1p53T2AuvvIqhP7Nf-bo3Uhj8cbKYRPpZdsrBv3x3bAQ/edit?resourcekey#gid=1321652304"",""Prop!$CB$1:$CL""),11,0),iferror(vlookup(B46,importrange(""https://docs.google.com/spreadsheets/d/1p53T2AuvvIqhP7Nf-bo3Uhj8cbKYRPpZdsrBv"&amp;"3x3bAQ/edit?resourcekey#gid=1321652304"",""Prop!$CM$1:$CX""),11,0),iferror(vlookup(B46,importrange(""https://docs.google.com/spreadsheets/d/1p53T2AuvvIqhP7Nf-bo3Uhj8cbKYRPpZdsrBv3x3bAQ/edit?resourcekey#gid=1321652304"",""Prop!$CY$1:$DI""),11,0)))))))))))"),"https://drive.google.com/open?id=1QBFGLNIf9Paz96kACHzrDyM7Px0T9lWz")</f>
        <v>https://drive.google.com/open?id=1QBFGLNIf9Paz96kACHzrDyM7Px0T9lWz</v>
      </c>
      <c r="R46" s="20" t="s">
        <v>898</v>
      </c>
      <c r="S46" s="20" t="str">
        <f ca="1">IFERROR(__xludf.DUMMYFUNCTION("IFERROR(vlookup(B46,IMPORTRANGE(""https://docs.google.com/spreadsheets/d/1g_jfYYK_KeipEDNDUgqgrsxK94XiocfNQIcP-v1QVhI/edit?resourcekey#gid=233272945"",""Nilai!B:CT""),12,0),"" "")"),"lihat pdf")</f>
        <v>lihat pdf</v>
      </c>
      <c r="T46" s="20" t="str">
        <f ca="1">IFERROR(__xludf.DUMMYFUNCTION("IFERROR(vlookup(B46,IMPORTRANGE(""https://docs.google.com/spreadsheets/d/1g_jfYYK_KeipEDNDUgqgrsxK94XiocfNQIcP-v1QVhI/edit?resourcekey#gid=233272945"",""Nilai!B:CT""),97,0),"" "")"),"LAYAK UPLOAD KE SIMBELMAWA DENGAN REVISI")</f>
        <v>LAYAK UPLOAD KE SIMBELMAWA DENGAN REVISI</v>
      </c>
      <c r="U46" s="32" t="s">
        <v>825</v>
      </c>
      <c r="V46" s="30" t="s">
        <v>899</v>
      </c>
      <c r="W46" s="23" t="s">
        <v>931</v>
      </c>
      <c r="X46" s="20" t="b">
        <v>0</v>
      </c>
    </row>
    <row r="47" spans="1:24">
      <c r="A47" s="15">
        <v>45</v>
      </c>
      <c r="B47" s="16">
        <f ca="1">IFERROR(__xludf.DUMMYFUNCTION("""COMPUTED_VALUE"""),4098)</f>
        <v>4098</v>
      </c>
      <c r="C47" s="16" t="str">
        <f ca="1">IFERROR(__xludf.DUMMYFUNCTION("""COMPUTED_VALUE"""),"FRANCISCUS XAVERIUS GAGAH WIKU BAGASKARA")</f>
        <v>FRANCISCUS XAVERIUS GAGAH WIKU BAGASKARA</v>
      </c>
      <c r="D47" s="16" t="str">
        <f ca="1">IFERROR(__xludf.DUMMYFUNCTION("""COMPUTED_VALUE"""),"03411940000032")</f>
        <v>03411940000032</v>
      </c>
      <c r="E47" s="16" t="str">
        <f ca="1">IFERROR(__xludf.DUMMYFUNCTION("""COMPUTED_VALUE"""),"Departemen Teknik Geofisika")</f>
        <v>Departemen Teknik Geofisika</v>
      </c>
      <c r="F47" s="16" t="str">
        <f ca="1">IFERROR(__xludf.DUMMYFUNCTION("""COMPUTED_VALUE"""),"Analisis Densitas dan Porositas Batu Bata Merah dan Batu Bata Putih pada Konstruksi Rekayasa Pesisir Utara Jakarta")</f>
        <v>Analisis Densitas dan Porositas Batu Bata Merah dan Batu Bata Putih pada Konstruksi Rekayasa Pesisir Utara Jakarta</v>
      </c>
      <c r="G47" s="16" t="str">
        <f ca="1">IFERROR(__xludf.DUMMYFUNCTION("""COMPUTED_VALUE"""),"Juan Pandu Gya Nur Rochman, S.Si., M.T.")</f>
        <v>Juan Pandu Gya Nur Rochman, S.Si., M.T.</v>
      </c>
      <c r="H47" s="16" t="str">
        <f ca="1">IFERROR(__xludf.DUMMYFUNCTION("""COMPUTED_VALUE"""),"Dian Mughni Fellicia, ST., M.Sc")</f>
        <v>Dian Mughni Fellicia, ST., M.Sc</v>
      </c>
      <c r="I47" s="16" t="str">
        <f ca="1">IFERROR(__xludf.DUMMYFUNCTION("""COMPUTED_VALUE"""),"Hariyati Purwaningsih, S.Si., M.Si.")</f>
        <v>Hariyati Purwaningsih, S.Si., M.Si.</v>
      </c>
      <c r="J47" s="16"/>
      <c r="K47" s="17" t="s">
        <v>929</v>
      </c>
      <c r="L47" s="23" t="s">
        <v>930</v>
      </c>
      <c r="M47" s="19" t="b">
        <v>1</v>
      </c>
      <c r="N47" s="19" t="b">
        <v>1</v>
      </c>
      <c r="O47" s="1" t="s">
        <v>927</v>
      </c>
      <c r="P47" s="7" t="str">
        <f ca="1">IFERROR(__xludf.DUMMYFUNCTION("iferror(vlookup(B47,importrange(""https://docs.google.com/spreadsheets/d/1boHyJQ4e2FU0QG8MHwEi6qjX4hvZWVCHcFfXjq7bbMc/edit?resourcekey#gid=923248883"",""Prop!$C$1:$M""),11,0),IFERROR(vlookup(B47,importrange(""https://docs.google.com/spreadsheets/d/1boHyJQ"&amp;"4e2FU0QG8MHwEi6qjX4hvZWVCHcFfXjq7bbMc/edit?resourcekey#gid=923248883"",""Prop!$N$1:$X""),11,0),iferror(vlookup(B47,importrange(""https://docs.google.com/spreadsheets/d/1boHyJQ4e2FU0QG8MHwEi6qjX4hvZWVCHcFfXjq7bbMc/edit?resourcekey#gid=923248883"",""Prop!$Y"&amp;"$1:$AI""),11,0),iferror(vlookup(B47,importrange(""https://docs.google.com/spreadsheets/d/1boHyJQ4e2FU0QG8MHwEi6qjX4hvZWVCHcFfXjq7bbMc/edit?resourcekey#gid=923248883"",""Prop!$AJ$1:$AT""),11,0),iferror(vlookup(B47,importrange(""https://docs.google.com/spre"&amp;"adsheets/d/1boHyJQ4e2FU0QG8MHwEi6qjX4hvZWVCHcFfXjq7bbMc/edit?resourcekey#gid=923248883"",""Prop!$AU$1:$BE""),11,0),iferror(vlookup(B47,importrange(""https://docs.google.com/spreadsheets/d/1boHyJQ4e2FU0QG8MHwEi6qjX4hvZWVCHcFfXjq7bbMc/edit?resourcekey#gid=9"&amp;"23248883"",""Prop!$BF$1:$BP""),11,0),iferror(vlookup(B47,importrange(""https://docs.google.com/spreadsheets/d/1boHyJQ4e2FU0QG8MHwEi6qjX4hvZWVCHcFfXjq7bbMc/edit?resourcekey#gid=923248883"",""Prop!$BQ$1:$CA""),11,0),iferror(vlookup(B47,importrange(""https:/"&amp;"/docs.google.com/spreadsheets/d/1boHyJQ4e2FU0QG8MHwEi6qjX4hvZWVCHcFfXjq7bbMc/edit?resourcekey#gid=923248883"",""Prop!$CB$1:$CL""),11,0),iferror(vlookup(B47,importrange(""https://docs.google.com/spreadsheets/d/1boHyJQ4e2FU0QG8MHwEi6qjX4hvZWVCHcFfXjq7bbMc/e"&amp;"dit?resourcekey#gid=923248883"",""Prop!$CM$1:$CX""),11,0),iferror(vlookup(B47,importrange(""https://docs.google.com/spreadsheets/d/1boHyJQ4e2FU0QG8MHwEi6qjX4hvZWVCHcFfXjq7bbMc/edit?resourcekey#gid=923248883"",""Prop!$CY$1:$DI""),11,0)))))))))))"),"https://drive.google.com/open?id=1grndyOnTohaL58GLM5QREwcQYD1gjkTQ")</f>
        <v>https://drive.google.com/open?id=1grndyOnTohaL58GLM5QREwcQYD1gjkTQ</v>
      </c>
      <c r="Q47" s="7" t="str">
        <f ca="1">IFERROR(__xludf.DUMMYFUNCTION("iferror(vlookup(B47,importrange(""https://docs.google.com/spreadsheets/d/1p53T2AuvvIqhP7Nf-bo3Uhj8cbKYRPpZdsrBv3x3bAQ/edit?resourcekey#gid=1321652304"",""Prop!$C$1:$M""),11,0),IFERROR(vlookup(B47,importrange(""https://docs.google.com/spreadsheets/d/1p53T2"&amp;"AuvvIqhP7Nf-bo3Uhj8cbKYRPpZdsrBv3x3bAQ/edit?resourcekey#gid=1321652304"",""Prop!$N$1:$X""),11,0),iferror(vlookup(B47,importrange(""https://docs.google.com/spreadsheets/d/1p53T2AuvvIqhP7Nf-bo3Uhj8cbKYRPpZdsrBv3x3bAQ/edit?resourcekey#gid=1321652304"",""Prop"&amp;"!$Y$1:$AI""),11,0),iferror(vlookup(B47,importrange(""https://docs.google.com/spreadsheets/d/1p53T2AuvvIqhP7Nf-bo3Uhj8cbKYRPpZdsrBv3x3bAQ/edit?resourcekey#gid=1321652304"",""Prop!$AJ$1:$AT""),11,0),iferror(vlookup(B47,importrange(""https://docs.google.com/"&amp;"spreadsheets/d/1p53T2AuvvIqhP7Nf-bo3Uhj8cbKYRPpZdsrBv3x3bAQ/edit?resourcekey#gid=1321652304"",""Prop!$AU$1:$BE""),11,0),iferror(vlookup(B47,importrange(""https://docs.google.com/spreadsheets/d/1p53T2AuvvIqhP7Nf-bo3Uhj8cbKYRPpZdsrBv3x3bAQ/edit?resourcekey#"&amp;"gid=1321652304"",""Prop!$BF$1:$BP""),11,0),iferror(vlookup(B47,importrange(""https://docs.google.com/spreadsheets/d/1p53T2AuvvIqhP7Nf-bo3Uhj8cbKYRPpZdsrBv3x3bAQ/edit?resourcekey#gid=1321652304"",""Prop!$BQ$1:$CA""),11,0),iferror(vlookup(B47,importrange("""&amp;"https://docs.google.com/spreadsheets/d/1p53T2AuvvIqhP7Nf-bo3Uhj8cbKYRPpZdsrBv3x3bAQ/edit?resourcekey#gid=1321652304"",""Prop!$CB$1:$CL""),11,0),iferror(vlookup(B47,importrange(""https://docs.google.com/spreadsheets/d/1p53T2AuvvIqhP7Nf-bo3Uhj8cbKYRPpZdsrBv"&amp;"3x3bAQ/edit?resourcekey#gid=1321652304"",""Prop!$CM$1:$CX""),11,0),iferror(vlookup(B47,importrange(""https://docs.google.com/spreadsheets/d/1p53T2AuvvIqhP7Nf-bo3Uhj8cbKYRPpZdsrBv3x3bAQ/edit?resourcekey#gid=1321652304"",""Prop!$CY$1:$DI""),11,0)))))))))))"),"https://drive.google.com/open?id=1FIRtIv07YVj2HKjwKfc8PTWedWzsDHRO")</f>
        <v>https://drive.google.com/open?id=1FIRtIv07YVj2HKjwKfc8PTWedWzsDHRO</v>
      </c>
      <c r="R47" s="20" t="s">
        <v>898</v>
      </c>
      <c r="S47" s="20" t="str">
        <f ca="1">IFERROR(__xludf.DUMMYFUNCTION("IFERROR(vlookup(B47,IMPORTRANGE(""https://docs.google.com/spreadsheets/d/1g_jfYYK_KeipEDNDUgqgrsxK94XiocfNQIcP-v1QVhI/edit?resourcekey#gid=233272945"",""Nilai!B:CT""),12,0),"" "")"),"Big data??, pembahasan tidak cukup, jurnal bereputasi kurang
")</f>
        <v xml:space="preserve">Big data??, pembahasan tidak cukup, jurnal bereputasi kurang
</v>
      </c>
      <c r="T47" s="20" t="str">
        <f ca="1">IFERROR(__xludf.DUMMYFUNCTION("IFERROR(vlookup(B47,IMPORTRANGE(""https://docs.google.com/spreadsheets/d/1g_jfYYK_KeipEDNDUgqgrsxK94XiocfNQIcP-v1QVhI/edit?resourcekey#gid=233272945"",""Nilai!B:CT""),97,0),"" "")"),"TIDAK LAYAK UPLOAD KE SIMBELMAWA")</f>
        <v>TIDAK LAYAK UPLOAD KE SIMBELMAWA</v>
      </c>
      <c r="U47" s="32" t="s">
        <v>825</v>
      </c>
      <c r="V47" s="30" t="s">
        <v>899</v>
      </c>
      <c r="W47" s="23" t="s">
        <v>931</v>
      </c>
      <c r="X47" s="20" t="b">
        <v>1</v>
      </c>
    </row>
    <row r="48" spans="1:24">
      <c r="A48" s="15">
        <v>46</v>
      </c>
      <c r="B48" s="16">
        <f ca="1">IFERROR(__xludf.DUMMYFUNCTION("""COMPUTED_VALUE"""),2244)</f>
        <v>2244</v>
      </c>
      <c r="C48" s="16" t="str">
        <f ca="1">IFERROR(__xludf.DUMMYFUNCTION("""COMPUTED_VALUE"""),"NUR RAFIF MAULANA")</f>
        <v>NUR RAFIF MAULANA</v>
      </c>
      <c r="D48" s="16" t="str">
        <f ca="1">IFERROR(__xludf.DUMMYFUNCTION("""COMPUTED_VALUE"""),"04211840000055")</f>
        <v>04211840000055</v>
      </c>
      <c r="E48" s="16" t="str">
        <f ca="1">IFERROR(__xludf.DUMMYFUNCTION("""COMPUTED_VALUE"""),"Departemen Teknik Sistem Perkapalan")</f>
        <v>Departemen Teknik Sistem Perkapalan</v>
      </c>
      <c r="F48" s="16" t="str">
        <f ca="1">IFERROR(__xludf.DUMMYFUNCTION("""COMPUTED_VALUE"""),"PERENCANAAN SISTEM VENTILASI DAN PENGKONDISIAN UDARA PADA AREA GELADAK KENDARAAN KAPAL ANGKUT MULTIPURPOSE 3500 GT")</f>
        <v>PERENCANAAN SISTEM VENTILASI DAN PENGKONDISIAN UDARA PADA AREA GELADAK KENDARAAN KAPAL ANGKUT MULTIPURPOSE 3500 GT</v>
      </c>
      <c r="G48" s="16" t="str">
        <f ca="1">IFERROR(__xludf.DUMMYFUNCTION("""COMPUTED_VALUE"""),"Ir. Agoes Santoso, M.Sc.")</f>
        <v>Ir. Agoes Santoso, M.Sc.</v>
      </c>
      <c r="H48" s="16" t="str">
        <f ca="1">IFERROR(__xludf.DUMMYFUNCTION("""COMPUTED_VALUE"""),"Prof. Dr. Dra Fahimah Martak, M.Si")</f>
        <v>Prof. Dr. Dra Fahimah Martak, M.Si</v>
      </c>
      <c r="I48" s="16" t="str">
        <f ca="1">IFERROR(__xludf.DUMMYFUNCTION("""COMPUTED_VALUE"""),"Ulil 'Azmi, S.Si., M.Si.")</f>
        <v>Ulil 'Azmi, S.Si., M.Si.</v>
      </c>
      <c r="J48" s="16"/>
      <c r="K48" s="17" t="s">
        <v>929</v>
      </c>
      <c r="L48" s="23" t="s">
        <v>932</v>
      </c>
      <c r="M48" s="19" t="b">
        <v>0</v>
      </c>
      <c r="N48" s="19" t="b">
        <v>0</v>
      </c>
      <c r="O48" s="1" t="s">
        <v>927</v>
      </c>
      <c r="P48" s="1" t="str">
        <f ca="1">IFERROR(__xludf.DUMMYFUNCTION("iferror(vlookup(B48,importrange(""https://docs.google.com/spreadsheets/d/1boHyJQ4e2FU0QG8MHwEi6qjX4hvZWVCHcFfXjq7bbMc/edit?resourcekey#gid=923248883"",""Prop!$C$1:$M""),11,0),IFERROR(vlookup(B48,importrange(""https://docs.google.com/spreadsheets/d/1boHyJQ"&amp;"4e2FU0QG8MHwEi6qjX4hvZWVCHcFfXjq7bbMc/edit?resourcekey#gid=923248883"",""Prop!$N$1:$X""),11,0),iferror(vlookup(B48,importrange(""https://docs.google.com/spreadsheets/d/1boHyJQ4e2FU0QG8MHwEi6qjX4hvZWVCHcFfXjq7bbMc/edit?resourcekey#gid=923248883"",""Prop!$Y"&amp;"$1:$AI""),11,0),iferror(vlookup(B48,importrange(""https://docs.google.com/spreadsheets/d/1boHyJQ4e2FU0QG8MHwEi6qjX4hvZWVCHcFfXjq7bbMc/edit?resourcekey#gid=923248883"",""Prop!$AJ$1:$AT""),11,0),iferror(vlookup(B48,importrange(""https://docs.google.com/spre"&amp;"adsheets/d/1boHyJQ4e2FU0QG8MHwEi6qjX4hvZWVCHcFfXjq7bbMc/edit?resourcekey#gid=923248883"",""Prop!$AU$1:$BE""),11,0),iferror(vlookup(B48,importrange(""https://docs.google.com/spreadsheets/d/1boHyJQ4e2FU0QG8MHwEi6qjX4hvZWVCHcFfXjq7bbMc/edit?resourcekey#gid=9"&amp;"23248883"",""Prop!$BF$1:$BP""),11,0),iferror(vlookup(B48,importrange(""https://docs.google.com/spreadsheets/d/1boHyJQ4e2FU0QG8MHwEi6qjX4hvZWVCHcFfXjq7bbMc/edit?resourcekey#gid=923248883"",""Prop!$BQ$1:$CA""),11,0),iferror(vlookup(B48,importrange(""https:/"&amp;"/docs.google.com/spreadsheets/d/1boHyJQ4e2FU0QG8MHwEi6qjX4hvZWVCHcFfXjq7bbMc/edit?resourcekey#gid=923248883"",""Prop!$CB$1:$CL""),11,0),iferror(vlookup(B48,importrange(""https://docs.google.com/spreadsheets/d/1boHyJQ4e2FU0QG8MHwEi6qjX4hvZWVCHcFfXjq7bbMc/e"&amp;"dit?resourcekey#gid=923248883"",""Prop!$CM$1:$CX""),11,0),iferror(vlookup(B48,importrange(""https://docs.google.com/spreadsheets/d/1boHyJQ4e2FU0QG8MHwEi6qjX4hvZWVCHcFfXjq7bbMc/edit?resourcekey#gid=923248883"",""Prop!$CY$1:$DI""),11,0)))))))))))"),"")</f>
        <v/>
      </c>
      <c r="Q48" s="1" t="str">
        <f ca="1">IFERROR(__xludf.DUMMYFUNCTION("iferror(vlookup(B48,importrange(""https://docs.google.com/spreadsheets/d/1p53T2AuvvIqhP7Nf-bo3Uhj8cbKYRPpZdsrBv3x3bAQ/edit?resourcekey#gid=1321652304"",""Prop!$C$1:$M""),11,0),IFERROR(vlookup(B48,importrange(""https://docs.google.com/spreadsheets/d/1p53T2"&amp;"AuvvIqhP7Nf-bo3Uhj8cbKYRPpZdsrBv3x3bAQ/edit?resourcekey#gid=1321652304"",""Prop!$N$1:$X""),11,0),iferror(vlookup(B48,importrange(""https://docs.google.com/spreadsheets/d/1p53T2AuvvIqhP7Nf-bo3Uhj8cbKYRPpZdsrBv3x3bAQ/edit?resourcekey#gid=1321652304"",""Prop"&amp;"!$Y$1:$AI""),11,0),iferror(vlookup(B48,importrange(""https://docs.google.com/spreadsheets/d/1p53T2AuvvIqhP7Nf-bo3Uhj8cbKYRPpZdsrBv3x3bAQ/edit?resourcekey#gid=1321652304"",""Prop!$AJ$1:$AT""),11,0),iferror(vlookup(B48,importrange(""https://docs.google.com/"&amp;"spreadsheets/d/1p53T2AuvvIqhP7Nf-bo3Uhj8cbKYRPpZdsrBv3x3bAQ/edit?resourcekey#gid=1321652304"",""Prop!$AU$1:$BE""),11,0),iferror(vlookup(B48,importrange(""https://docs.google.com/spreadsheets/d/1p53T2AuvvIqhP7Nf-bo3Uhj8cbKYRPpZdsrBv3x3bAQ/edit?resourcekey#"&amp;"gid=1321652304"",""Prop!$BF$1:$BP""),11,0),iferror(vlookup(B48,importrange(""https://docs.google.com/spreadsheets/d/1p53T2AuvvIqhP7Nf-bo3Uhj8cbKYRPpZdsrBv3x3bAQ/edit?resourcekey#gid=1321652304"",""Prop!$BQ$1:$CA""),11,0),iferror(vlookup(B48,importrange("""&amp;"https://docs.google.com/spreadsheets/d/1p53T2AuvvIqhP7Nf-bo3Uhj8cbKYRPpZdsrBv3x3bAQ/edit?resourcekey#gid=1321652304"",""Prop!$CB$1:$CL""),11,0),iferror(vlookup(B48,importrange(""https://docs.google.com/spreadsheets/d/1p53T2AuvvIqhP7Nf-bo3Uhj8cbKYRPpZdsrBv"&amp;"3x3bAQ/edit?resourcekey#gid=1321652304"",""Prop!$CM$1:$CX""),11,0),iferror(vlookup(B48,importrange(""https://docs.google.com/spreadsheets/d/1p53T2AuvvIqhP7Nf-bo3Uhj8cbKYRPpZdsrBv3x3bAQ/edit?resourcekey#gid=1321652304"",""Prop!$CY$1:$DI""),11,0)))))))))))"),"")</f>
        <v/>
      </c>
      <c r="R48" s="20" t="s">
        <v>898</v>
      </c>
      <c r="S48" s="20" t="str">
        <f ca="1">IFERROR(__xludf.DUMMYFUNCTION("IFERROR(vlookup(B48,IMPORTRANGE(""https://docs.google.com/spreadsheets/d/1g_jfYYK_KeipEDNDUgqgrsxK94XiocfNQIcP-v1QVhI/edit?resourcekey#gid=233272945"",""Nilai!B:CT""),12,0),"" "")"),"")</f>
        <v/>
      </c>
      <c r="T48" s="20" t="str">
        <f ca="1">IFERROR(__xludf.DUMMYFUNCTION("IFERROR(vlookup(B48,IMPORTRANGE(""https://docs.google.com/spreadsheets/d/1g_jfYYK_KeipEDNDUgqgrsxK94XiocfNQIcP-v1QVhI/edit?resourcekey#gid=233272945"",""Nilai!B:CT""),97,0),"" "")")," ")</f>
        <v xml:space="preserve"> </v>
      </c>
      <c r="U48" s="32" t="s">
        <v>825</v>
      </c>
      <c r="V48" s="30" t="s">
        <v>899</v>
      </c>
      <c r="W48" s="23" t="s">
        <v>933</v>
      </c>
      <c r="X48" s="20" t="b">
        <v>0</v>
      </c>
    </row>
    <row r="49" spans="1:24">
      <c r="A49" s="15">
        <v>47</v>
      </c>
      <c r="B49" s="16">
        <f ca="1">IFERROR(__xludf.DUMMYFUNCTION("""COMPUTED_VALUE"""),2825)</f>
        <v>2825</v>
      </c>
      <c r="C49" s="16" t="str">
        <f ca="1">IFERROR(__xludf.DUMMYFUNCTION("""COMPUTED_VALUE"""),"Puspa Nirmala")</f>
        <v>Puspa Nirmala</v>
      </c>
      <c r="D49" s="16" t="str">
        <f ca="1">IFERROR(__xludf.DUMMYFUNCTION("""COMPUTED_VALUE"""),"5005211034")</f>
        <v>5005211034</v>
      </c>
      <c r="E49" s="16" t="str">
        <f ca="1">IFERROR(__xludf.DUMMYFUNCTION("""COMPUTED_VALUE"""),"Departemen Biologi")</f>
        <v>Departemen Biologi</v>
      </c>
      <c r="F49" s="16" t="str">
        <f ca="1">IFERROR(__xludf.DUMMYFUNCTION("""COMPUTED_VALUE"""),"Pembuatan Sabun Padat Dari Minyak Kelapa Sawit Untuk Kesehatan Kulit")</f>
        <v>Pembuatan Sabun Padat Dari Minyak Kelapa Sawit Untuk Kesehatan Kulit</v>
      </c>
      <c r="G49" s="16" t="str">
        <f ca="1">IFERROR(__xludf.DUMMYFUNCTION("""COMPUTED_VALUE"""),"Dr. Awik Puji Dyah Nurhayati, S.Si., M.Si.")</f>
        <v>Dr. Awik Puji Dyah Nurhayati, S.Si., M.Si.</v>
      </c>
      <c r="H49" s="16" t="str">
        <f ca="1">IFERROR(__xludf.DUMMYFUNCTION("""COMPUTED_VALUE"""),"Prof. Dr. Dra Fahimah Martak, M.Si")</f>
        <v>Prof. Dr. Dra Fahimah Martak, M.Si</v>
      </c>
      <c r="I49" s="16" t="str">
        <f ca="1">IFERROR(__xludf.DUMMYFUNCTION("""COMPUTED_VALUE"""),"Arif Fadlan, S.Si., M.Si., D.Sc")</f>
        <v>Arif Fadlan, S.Si., M.Si., D.Sc</v>
      </c>
      <c r="J49" s="16"/>
      <c r="K49" s="17" t="s">
        <v>929</v>
      </c>
      <c r="L49" s="23" t="s">
        <v>932</v>
      </c>
      <c r="M49" s="19" t="b">
        <v>1</v>
      </c>
      <c r="N49" s="19" t="b">
        <v>1</v>
      </c>
      <c r="O49" s="1" t="s">
        <v>927</v>
      </c>
      <c r="P49" s="1" t="str">
        <f ca="1">IFERROR(__xludf.DUMMYFUNCTION("iferror(vlookup(B49,importrange(""https://docs.google.com/spreadsheets/d/1boHyJQ4e2FU0QG8MHwEi6qjX4hvZWVCHcFfXjq7bbMc/edit?resourcekey#gid=923248883"",""Prop!$C$1:$M""),11,0),IFERROR(vlookup(B49,importrange(""https://docs.google.com/spreadsheets/d/1boHyJQ"&amp;"4e2FU0QG8MHwEi6qjX4hvZWVCHcFfXjq7bbMc/edit?resourcekey#gid=923248883"",""Prop!$N$1:$X""),11,0),iferror(vlookup(B49,importrange(""https://docs.google.com/spreadsheets/d/1boHyJQ4e2FU0QG8MHwEi6qjX4hvZWVCHcFfXjq7bbMc/edit?resourcekey#gid=923248883"",""Prop!$Y"&amp;"$1:$AI""),11,0),iferror(vlookup(B49,importrange(""https://docs.google.com/spreadsheets/d/1boHyJQ4e2FU0QG8MHwEi6qjX4hvZWVCHcFfXjq7bbMc/edit?resourcekey#gid=923248883"",""Prop!$AJ$1:$AT""),11,0),iferror(vlookup(B49,importrange(""https://docs.google.com/spre"&amp;"adsheets/d/1boHyJQ4e2FU0QG8MHwEi6qjX4hvZWVCHcFfXjq7bbMc/edit?resourcekey#gid=923248883"",""Prop!$AU$1:$BE""),11,0),iferror(vlookup(B49,importrange(""https://docs.google.com/spreadsheets/d/1boHyJQ4e2FU0QG8MHwEi6qjX4hvZWVCHcFfXjq7bbMc/edit?resourcekey#gid=9"&amp;"23248883"",""Prop!$BF$1:$BP""),11,0),iferror(vlookup(B49,importrange(""https://docs.google.com/spreadsheets/d/1boHyJQ4e2FU0QG8MHwEi6qjX4hvZWVCHcFfXjq7bbMc/edit?resourcekey#gid=923248883"",""Prop!$BQ$1:$CA""),11,0),iferror(vlookup(B49,importrange(""https:/"&amp;"/docs.google.com/spreadsheets/d/1boHyJQ4e2FU0QG8MHwEi6qjX4hvZWVCHcFfXjq7bbMc/edit?resourcekey#gid=923248883"",""Prop!$CB$1:$CL""),11,0),iferror(vlookup(B49,importrange(""https://docs.google.com/spreadsheets/d/1boHyJQ4e2FU0QG8MHwEi6qjX4hvZWVCHcFfXjq7bbMc/e"&amp;"dit?resourcekey#gid=923248883"",""Prop!$CM$1:$CX""),11,0),iferror(vlookup(B49,importrange(""https://docs.google.com/spreadsheets/d/1boHyJQ4e2FU0QG8MHwEi6qjX4hvZWVCHcFfXjq7bbMc/edit?resourcekey#gid=923248883"",""Prop!$CY$1:$DI""),11,0)))))))))))"),"")</f>
        <v/>
      </c>
      <c r="Q49" s="7" t="str">
        <f ca="1">IFERROR(__xludf.DUMMYFUNCTION("iferror(vlookup(B49,importrange(""https://docs.google.com/spreadsheets/d/1p53T2AuvvIqhP7Nf-bo3Uhj8cbKYRPpZdsrBv3x3bAQ/edit?resourcekey#gid=1321652304"",""Prop!$C$1:$M""),11,0),IFERROR(vlookup(B49,importrange(""https://docs.google.com/spreadsheets/d/1p53T2"&amp;"AuvvIqhP7Nf-bo3Uhj8cbKYRPpZdsrBv3x3bAQ/edit?resourcekey#gid=1321652304"",""Prop!$N$1:$X""),11,0),iferror(vlookup(B49,importrange(""https://docs.google.com/spreadsheets/d/1p53T2AuvvIqhP7Nf-bo3Uhj8cbKYRPpZdsrBv3x3bAQ/edit?resourcekey#gid=1321652304"",""Prop"&amp;"!$Y$1:$AI""),11,0),iferror(vlookup(B49,importrange(""https://docs.google.com/spreadsheets/d/1p53T2AuvvIqhP7Nf-bo3Uhj8cbKYRPpZdsrBv3x3bAQ/edit?resourcekey#gid=1321652304"",""Prop!$AJ$1:$AT""),11,0),iferror(vlookup(B49,importrange(""https://docs.google.com/"&amp;"spreadsheets/d/1p53T2AuvvIqhP7Nf-bo3Uhj8cbKYRPpZdsrBv3x3bAQ/edit?resourcekey#gid=1321652304"",""Prop!$AU$1:$BE""),11,0),iferror(vlookup(B49,importrange(""https://docs.google.com/spreadsheets/d/1p53T2AuvvIqhP7Nf-bo3Uhj8cbKYRPpZdsrBv3x3bAQ/edit?resourcekey#"&amp;"gid=1321652304"",""Prop!$BF$1:$BP""),11,0),iferror(vlookup(B49,importrange(""https://docs.google.com/spreadsheets/d/1p53T2AuvvIqhP7Nf-bo3Uhj8cbKYRPpZdsrBv3x3bAQ/edit?resourcekey#gid=1321652304"",""Prop!$BQ$1:$CA""),11,0),iferror(vlookup(B49,importrange("""&amp;"https://docs.google.com/spreadsheets/d/1p53T2AuvvIqhP7Nf-bo3Uhj8cbKYRPpZdsrBv3x3bAQ/edit?resourcekey#gid=1321652304"",""Prop!$CB$1:$CL""),11,0),iferror(vlookup(B49,importrange(""https://docs.google.com/spreadsheets/d/1p53T2AuvvIqhP7Nf-bo3Uhj8cbKYRPpZdsrBv"&amp;"3x3bAQ/edit?resourcekey#gid=1321652304"",""Prop!$CM$1:$CX""),11,0),iferror(vlookup(B49,importrange(""https://docs.google.com/spreadsheets/d/1p53T2AuvvIqhP7Nf-bo3Uhj8cbKYRPpZdsrBv3x3bAQ/edit?resourcekey#gid=1321652304"",""Prop!$CY$1:$DI""),11,0)))))))))))"),"https://drive.google.com/open?id=14vK_ncvUEMZaz2rQGiwnujaspuy4RNFG")</f>
        <v>https://drive.google.com/open?id=14vK_ncvUEMZaz2rQGiwnujaspuy4RNFG</v>
      </c>
      <c r="R49" s="20" t="s">
        <v>898</v>
      </c>
      <c r="S49" s="20" t="str">
        <f ca="1">IFERROR(__xludf.DUMMYFUNCTION("IFERROR(vlookup(B49,IMPORTRANGE(""https://docs.google.com/spreadsheets/d/1g_jfYYK_KeipEDNDUgqgrsxK94XiocfNQIcP-v1QVhI/edit?resourcekey#gid=233272945"",""Nilai!B:CT""),12,0),"" "")"),"bukan artikel ilmiah isinya tidak ilmiah")</f>
        <v>bukan artikel ilmiah isinya tidak ilmiah</v>
      </c>
      <c r="T49" s="20" t="str">
        <f ca="1">IFERROR(__xludf.DUMMYFUNCTION("IFERROR(vlookup(B49,IMPORTRANGE(""https://docs.google.com/spreadsheets/d/1g_jfYYK_KeipEDNDUgqgrsxK94XiocfNQIcP-v1QVhI/edit?resourcekey#gid=233272945"",""Nilai!B:CT""),97,0),"" "")"),"TIDAK LAYAK UPLOAD KE SIMBELMAWA")</f>
        <v>TIDAK LAYAK UPLOAD KE SIMBELMAWA</v>
      </c>
      <c r="U49" s="32" t="s">
        <v>825</v>
      </c>
      <c r="V49" s="30" t="s">
        <v>899</v>
      </c>
      <c r="W49" s="23" t="s">
        <v>933</v>
      </c>
      <c r="X49" s="20" t="b">
        <v>1</v>
      </c>
    </row>
    <row r="50" spans="1:24">
      <c r="A50" s="15">
        <v>48</v>
      </c>
      <c r="B50" s="16">
        <f ca="1">IFERROR(__xludf.DUMMYFUNCTION("""COMPUTED_VALUE"""),2545)</f>
        <v>2545</v>
      </c>
      <c r="C50" s="16" t="str">
        <f ca="1">IFERROR(__xludf.DUMMYFUNCTION("""COMPUTED_VALUE"""),"Moch. Yusuf Agil S")</f>
        <v>Moch. Yusuf Agil S</v>
      </c>
      <c r="D50" s="16" t="str">
        <f ca="1">IFERROR(__xludf.DUMMYFUNCTION("""COMPUTED_VALUE"""),"5003211078")</f>
        <v>5003211078</v>
      </c>
      <c r="E50" s="16" t="str">
        <f ca="1">IFERROR(__xludf.DUMMYFUNCTION("""COMPUTED_VALUE"""),"Departemen Statistika")</f>
        <v>Departemen Statistika</v>
      </c>
      <c r="F50" s="16" t="str">
        <f ca="1">IFERROR(__xludf.DUMMYFUNCTION("""COMPUTED_VALUE"""),"Pengaruh Kecanduan Internet dan Fear of Missing Out (FoMO) terhadap  Kesehatan Mental Remaja")</f>
        <v>Pengaruh Kecanduan Internet dan Fear of Missing Out (FoMO) terhadap  Kesehatan Mental Remaja</v>
      </c>
      <c r="G50" s="16" t="str">
        <f ca="1">IFERROR(__xludf.DUMMYFUNCTION("""COMPUTED_VALUE"""),"Dr. Vita Ratnasari, S.Si., M.Si.")</f>
        <v>Dr. Vita Ratnasari, S.Si., M.Si.</v>
      </c>
      <c r="H50" s="16" t="str">
        <f ca="1">IFERROR(__xludf.DUMMYFUNCTION("""COMPUTED_VALUE"""),"Prof. Dr. Dra Fahimah Martak, M.Si")</f>
        <v>Prof. Dr. Dra Fahimah Martak, M.Si</v>
      </c>
      <c r="I50" s="16" t="str">
        <f ca="1">IFERROR(__xludf.DUMMYFUNCTION("""COMPUTED_VALUE"""),"Ulil 'Azmi, S.Si., M.Si.")</f>
        <v>Ulil 'Azmi, S.Si., M.Si.</v>
      </c>
      <c r="J50" s="16"/>
      <c r="K50" s="17" t="s">
        <v>929</v>
      </c>
      <c r="L50" s="23" t="s">
        <v>932</v>
      </c>
      <c r="M50" s="19" t="b">
        <v>0</v>
      </c>
      <c r="N50" s="19" t="b">
        <v>0</v>
      </c>
      <c r="O50" s="1" t="s">
        <v>927</v>
      </c>
      <c r="P50" s="1" t="str">
        <f ca="1">IFERROR(__xludf.DUMMYFUNCTION("iferror(vlookup(B50,importrange(""https://docs.google.com/spreadsheets/d/1boHyJQ4e2FU0QG8MHwEi6qjX4hvZWVCHcFfXjq7bbMc/edit?resourcekey#gid=923248883"",""Prop!$C$1:$M""),11,0),IFERROR(vlookup(B50,importrange(""https://docs.google.com/spreadsheets/d/1boHyJQ"&amp;"4e2FU0QG8MHwEi6qjX4hvZWVCHcFfXjq7bbMc/edit?resourcekey#gid=923248883"",""Prop!$N$1:$X""),11,0),iferror(vlookup(B50,importrange(""https://docs.google.com/spreadsheets/d/1boHyJQ4e2FU0QG8MHwEi6qjX4hvZWVCHcFfXjq7bbMc/edit?resourcekey#gid=923248883"",""Prop!$Y"&amp;"$1:$AI""),11,0),iferror(vlookup(B50,importrange(""https://docs.google.com/spreadsheets/d/1boHyJQ4e2FU0QG8MHwEi6qjX4hvZWVCHcFfXjq7bbMc/edit?resourcekey#gid=923248883"",""Prop!$AJ$1:$AT""),11,0),iferror(vlookup(B50,importrange(""https://docs.google.com/spre"&amp;"adsheets/d/1boHyJQ4e2FU0QG8MHwEi6qjX4hvZWVCHcFfXjq7bbMc/edit?resourcekey#gid=923248883"",""Prop!$AU$1:$BE""),11,0),iferror(vlookup(B50,importrange(""https://docs.google.com/spreadsheets/d/1boHyJQ4e2FU0QG8MHwEi6qjX4hvZWVCHcFfXjq7bbMc/edit?resourcekey#gid=9"&amp;"23248883"",""Prop!$BF$1:$BP""),11,0),iferror(vlookup(B50,importrange(""https://docs.google.com/spreadsheets/d/1boHyJQ4e2FU0QG8MHwEi6qjX4hvZWVCHcFfXjq7bbMc/edit?resourcekey#gid=923248883"",""Prop!$BQ$1:$CA""),11,0),iferror(vlookup(B50,importrange(""https:/"&amp;"/docs.google.com/spreadsheets/d/1boHyJQ4e2FU0QG8MHwEi6qjX4hvZWVCHcFfXjq7bbMc/edit?resourcekey#gid=923248883"",""Prop!$CB$1:$CL""),11,0),iferror(vlookup(B50,importrange(""https://docs.google.com/spreadsheets/d/1boHyJQ4e2FU0QG8MHwEi6qjX4hvZWVCHcFfXjq7bbMc/e"&amp;"dit?resourcekey#gid=923248883"",""Prop!$CM$1:$CX""),11,0),iferror(vlookup(B50,importrange(""https://docs.google.com/spreadsheets/d/1boHyJQ4e2FU0QG8MHwEi6qjX4hvZWVCHcFfXjq7bbMc/edit?resourcekey#gid=923248883"",""Prop!$CY$1:$DI""),11,0)))))))))))"),"")</f>
        <v/>
      </c>
      <c r="Q50" s="1" t="str">
        <f ca="1">IFERROR(__xludf.DUMMYFUNCTION("iferror(vlookup(B50,importrange(""https://docs.google.com/spreadsheets/d/1p53T2AuvvIqhP7Nf-bo3Uhj8cbKYRPpZdsrBv3x3bAQ/edit?resourcekey#gid=1321652304"",""Prop!$C$1:$M""),11,0),IFERROR(vlookup(B50,importrange(""https://docs.google.com/spreadsheets/d/1p53T2"&amp;"AuvvIqhP7Nf-bo3Uhj8cbKYRPpZdsrBv3x3bAQ/edit?resourcekey#gid=1321652304"",""Prop!$N$1:$X""),11,0),iferror(vlookup(B50,importrange(""https://docs.google.com/spreadsheets/d/1p53T2AuvvIqhP7Nf-bo3Uhj8cbKYRPpZdsrBv3x3bAQ/edit?resourcekey#gid=1321652304"",""Prop"&amp;"!$Y$1:$AI""),11,0),iferror(vlookup(B50,importrange(""https://docs.google.com/spreadsheets/d/1p53T2AuvvIqhP7Nf-bo3Uhj8cbKYRPpZdsrBv3x3bAQ/edit?resourcekey#gid=1321652304"",""Prop!$AJ$1:$AT""),11,0),iferror(vlookup(B50,importrange(""https://docs.google.com/"&amp;"spreadsheets/d/1p53T2AuvvIqhP7Nf-bo3Uhj8cbKYRPpZdsrBv3x3bAQ/edit?resourcekey#gid=1321652304"",""Prop!$AU$1:$BE""),11,0),iferror(vlookup(B50,importrange(""https://docs.google.com/spreadsheets/d/1p53T2AuvvIqhP7Nf-bo3Uhj8cbKYRPpZdsrBv3x3bAQ/edit?resourcekey#"&amp;"gid=1321652304"",""Prop!$BF$1:$BP""),11,0),iferror(vlookup(B50,importrange(""https://docs.google.com/spreadsheets/d/1p53T2AuvvIqhP7Nf-bo3Uhj8cbKYRPpZdsrBv3x3bAQ/edit?resourcekey#gid=1321652304"",""Prop!$BQ$1:$CA""),11,0),iferror(vlookup(B50,importrange("""&amp;"https://docs.google.com/spreadsheets/d/1p53T2AuvvIqhP7Nf-bo3Uhj8cbKYRPpZdsrBv3x3bAQ/edit?resourcekey#gid=1321652304"",""Prop!$CB$1:$CL""),11,0),iferror(vlookup(B50,importrange(""https://docs.google.com/spreadsheets/d/1p53T2AuvvIqhP7Nf-bo3Uhj8cbKYRPpZdsrBv"&amp;"3x3bAQ/edit?resourcekey#gid=1321652304"",""Prop!$CM$1:$CX""),11,0),iferror(vlookup(B50,importrange(""https://docs.google.com/spreadsheets/d/1p53T2AuvvIqhP7Nf-bo3Uhj8cbKYRPpZdsrBv3x3bAQ/edit?resourcekey#gid=1321652304"",""Prop!$CY$1:$DI""),11,0)))))))))))"),"")</f>
        <v/>
      </c>
      <c r="R50" s="20" t="s">
        <v>898</v>
      </c>
      <c r="S50" s="20" t="str">
        <f ca="1">IFERROR(__xludf.DUMMYFUNCTION("IFERROR(vlookup(B50,IMPORTRANGE(""https://docs.google.com/spreadsheets/d/1g_jfYYK_KeipEDNDUgqgrsxK94XiocfNQIcP-v1QVhI/edit?resourcekey#gid=233272945"",""Nilai!B:CT""),12,0),"" "")"),"")</f>
        <v/>
      </c>
      <c r="T50" s="20" t="str">
        <f ca="1">IFERROR(__xludf.DUMMYFUNCTION("IFERROR(vlookup(B50,IMPORTRANGE(""https://docs.google.com/spreadsheets/d/1g_jfYYK_KeipEDNDUgqgrsxK94XiocfNQIcP-v1QVhI/edit?resourcekey#gid=233272945"",""Nilai!B:CT""),97,0),"" "")")," ")</f>
        <v xml:space="preserve"> </v>
      </c>
      <c r="U50" s="32" t="s">
        <v>825</v>
      </c>
      <c r="V50" s="30" t="s">
        <v>899</v>
      </c>
      <c r="W50" s="23" t="s">
        <v>933</v>
      </c>
      <c r="X50" s="20" t="b">
        <v>0</v>
      </c>
    </row>
    <row r="51" spans="1:24">
      <c r="A51" s="15">
        <v>49</v>
      </c>
      <c r="B51" s="16">
        <f ca="1">IFERROR(__xludf.DUMMYFUNCTION("""COMPUTED_VALUE"""),3739)</f>
        <v>3739</v>
      </c>
      <c r="C51" s="16" t="str">
        <f ca="1">IFERROR(__xludf.DUMMYFUNCTION("""COMPUTED_VALUE"""),"ANNIDA HAQQ")</f>
        <v>ANNIDA HAQQ</v>
      </c>
      <c r="D51" s="16" t="str">
        <f ca="1">IFERROR(__xludf.DUMMYFUNCTION("""COMPUTED_VALUE"""),"01311940000075")</f>
        <v>01311940000075</v>
      </c>
      <c r="E51" s="16" t="str">
        <f ca="1">IFERROR(__xludf.DUMMYFUNCTION("""COMPUTED_VALUE"""),"Departemen Biologi")</f>
        <v>Departemen Biologi</v>
      </c>
      <c r="F51" s="16" t="str">
        <f ca="1">IFERROR(__xludf.DUMMYFUNCTION("""COMPUTED_VALUE"""),"PENDIRIAN UKM GELATIN IKAN DI KAWASAN BINAAN ITS PACITAN SELATAN")</f>
        <v>PENDIRIAN UKM GELATIN IKAN DI KAWASAN BINAAN ITS PACITAN SELATAN</v>
      </c>
      <c r="G51" s="16" t="str">
        <f ca="1">IFERROR(__xludf.DUMMYFUNCTION("""COMPUTED_VALUE"""),"Drs. Lukman Atmaja, M.Si., Ph.D.")</f>
        <v>Drs. Lukman Atmaja, M.Si., Ph.D.</v>
      </c>
      <c r="H51" s="16" t="str">
        <f ca="1">IFERROR(__xludf.DUMMYFUNCTION("""COMPUTED_VALUE"""),"Dian Mughni Fellicia, ST., M.Sc")</f>
        <v>Dian Mughni Fellicia, ST., M.Sc</v>
      </c>
      <c r="I51" s="16" t="str">
        <f ca="1">IFERROR(__xludf.DUMMYFUNCTION("""COMPUTED_VALUE"""),"Hariyati Purwaningsih, S.Si., M.Si.")</f>
        <v>Hariyati Purwaningsih, S.Si., M.Si.</v>
      </c>
      <c r="J51" s="16"/>
      <c r="K51" s="17" t="s">
        <v>929</v>
      </c>
      <c r="L51" s="23" t="s">
        <v>932</v>
      </c>
      <c r="M51" s="19" t="b">
        <v>0</v>
      </c>
      <c r="N51" s="19" t="b">
        <v>0</v>
      </c>
      <c r="O51" s="1" t="s">
        <v>927</v>
      </c>
      <c r="P51" s="7" t="str">
        <f ca="1">IFERROR(__xludf.DUMMYFUNCTION("iferror(vlookup(B51,importrange(""https://docs.google.com/spreadsheets/d/1boHyJQ4e2FU0QG8MHwEi6qjX4hvZWVCHcFfXjq7bbMc/edit?resourcekey#gid=923248883"",""Prop!$C$1:$M""),11,0),IFERROR(vlookup(B51,importrange(""https://docs.google.com/spreadsheets/d/1boHyJQ"&amp;"4e2FU0QG8MHwEi6qjX4hvZWVCHcFfXjq7bbMc/edit?resourcekey#gid=923248883"",""Prop!$N$1:$X""),11,0),iferror(vlookup(B51,importrange(""https://docs.google.com/spreadsheets/d/1boHyJQ4e2FU0QG8MHwEi6qjX4hvZWVCHcFfXjq7bbMc/edit?resourcekey#gid=923248883"",""Prop!$Y"&amp;"$1:$AI""),11,0),iferror(vlookup(B51,importrange(""https://docs.google.com/spreadsheets/d/1boHyJQ4e2FU0QG8MHwEi6qjX4hvZWVCHcFfXjq7bbMc/edit?resourcekey#gid=923248883"",""Prop!$AJ$1:$AT""),11,0),iferror(vlookup(B51,importrange(""https://docs.google.com/spre"&amp;"adsheets/d/1boHyJQ4e2FU0QG8MHwEi6qjX4hvZWVCHcFfXjq7bbMc/edit?resourcekey#gid=923248883"",""Prop!$AU$1:$BE""),11,0),iferror(vlookup(B51,importrange(""https://docs.google.com/spreadsheets/d/1boHyJQ4e2FU0QG8MHwEi6qjX4hvZWVCHcFfXjq7bbMc/edit?resourcekey#gid=9"&amp;"23248883"",""Prop!$BF$1:$BP""),11,0),iferror(vlookup(B51,importrange(""https://docs.google.com/spreadsheets/d/1boHyJQ4e2FU0QG8MHwEi6qjX4hvZWVCHcFfXjq7bbMc/edit?resourcekey#gid=923248883"",""Prop!$BQ$1:$CA""),11,0),iferror(vlookup(B51,importrange(""https:/"&amp;"/docs.google.com/spreadsheets/d/1boHyJQ4e2FU0QG8MHwEi6qjX4hvZWVCHcFfXjq7bbMc/edit?resourcekey#gid=923248883"",""Prop!$CB$1:$CL""),11,0),iferror(vlookup(B51,importrange(""https://docs.google.com/spreadsheets/d/1boHyJQ4e2FU0QG8MHwEi6qjX4hvZWVCHcFfXjq7bbMc/e"&amp;"dit?resourcekey#gid=923248883"",""Prop!$CM$1:$CX""),11,0),iferror(vlookup(B51,importrange(""https://docs.google.com/spreadsheets/d/1boHyJQ4e2FU0QG8MHwEi6qjX4hvZWVCHcFfXjq7bbMc/edit?resourcekey#gid=923248883"",""Prop!$CY$1:$DI""),11,0)))))))))))"),"https://drive.google.com/open?id=14hQZZ6VUKbD1K1wXZTjK5az2l69628-_")</f>
        <v>https://drive.google.com/open?id=14hQZZ6VUKbD1K1wXZTjK5az2l69628-_</v>
      </c>
      <c r="Q51" s="1" t="str">
        <f ca="1">IFERROR(__xludf.DUMMYFUNCTION("iferror(vlookup(B51,importrange(""https://docs.google.com/spreadsheets/d/1p53T2AuvvIqhP7Nf-bo3Uhj8cbKYRPpZdsrBv3x3bAQ/edit?resourcekey#gid=1321652304"",""Prop!$C$1:$M""),11,0),IFERROR(vlookup(B51,importrange(""https://docs.google.com/spreadsheets/d/1p53T2"&amp;"AuvvIqhP7Nf-bo3Uhj8cbKYRPpZdsrBv3x3bAQ/edit?resourcekey#gid=1321652304"",""Prop!$N$1:$X""),11,0),iferror(vlookup(B51,importrange(""https://docs.google.com/spreadsheets/d/1p53T2AuvvIqhP7Nf-bo3Uhj8cbKYRPpZdsrBv3x3bAQ/edit?resourcekey#gid=1321652304"",""Prop"&amp;"!$Y$1:$AI""),11,0),iferror(vlookup(B51,importrange(""https://docs.google.com/spreadsheets/d/1p53T2AuvvIqhP7Nf-bo3Uhj8cbKYRPpZdsrBv3x3bAQ/edit?resourcekey#gid=1321652304"",""Prop!$AJ$1:$AT""),11,0),iferror(vlookup(B51,importrange(""https://docs.google.com/"&amp;"spreadsheets/d/1p53T2AuvvIqhP7Nf-bo3Uhj8cbKYRPpZdsrBv3x3bAQ/edit?resourcekey#gid=1321652304"",""Prop!$AU$1:$BE""),11,0),iferror(vlookup(B51,importrange(""https://docs.google.com/spreadsheets/d/1p53T2AuvvIqhP7Nf-bo3Uhj8cbKYRPpZdsrBv3x3bAQ/edit?resourcekey#"&amp;"gid=1321652304"",""Prop!$BF$1:$BP""),11,0),iferror(vlookup(B51,importrange(""https://docs.google.com/spreadsheets/d/1p53T2AuvvIqhP7Nf-bo3Uhj8cbKYRPpZdsrBv3x3bAQ/edit?resourcekey#gid=1321652304"",""Prop!$BQ$1:$CA""),11,0),iferror(vlookup(B51,importrange("""&amp;"https://docs.google.com/spreadsheets/d/1p53T2AuvvIqhP7Nf-bo3Uhj8cbKYRPpZdsrBv3x3bAQ/edit?resourcekey#gid=1321652304"",""Prop!$CB$1:$CL""),11,0),iferror(vlookup(B51,importrange(""https://docs.google.com/spreadsheets/d/1p53T2AuvvIqhP7Nf-bo3Uhj8cbKYRPpZdsrBv"&amp;"3x3bAQ/edit?resourcekey#gid=1321652304"",""Prop!$CM$1:$CX""),11,0),iferror(vlookup(B51,importrange(""https://docs.google.com/spreadsheets/d/1p53T2AuvvIqhP7Nf-bo3Uhj8cbKYRPpZdsrBv3x3bAQ/edit?resourcekey#gid=1321652304"",""Prop!$CY$1:$DI""),11,0)))))))))))"),"")</f>
        <v/>
      </c>
      <c r="R51" s="20" t="s">
        <v>898</v>
      </c>
      <c r="S51" s="20" t="str">
        <f ca="1">IFERROR(__xludf.DUMMYFUNCTION("IFERROR(vlookup(B51,IMPORTRANGE(""https://docs.google.com/spreadsheets/d/1g_jfYYK_KeipEDNDUgqgrsxK94XiocfNQIcP-v1QVhI/edit?resourcekey#gid=233272945"",""Nilai!B:CT""),12,0),"" "")"),"")</f>
        <v/>
      </c>
      <c r="T51" s="20" t="str">
        <f ca="1">IFERROR(__xludf.DUMMYFUNCTION("IFERROR(vlookup(B51,IMPORTRANGE(""https://docs.google.com/spreadsheets/d/1g_jfYYK_KeipEDNDUgqgrsxK94XiocfNQIcP-v1QVhI/edit?resourcekey#gid=233272945"",""Nilai!B:CT""),97,0),"" "")")," ")</f>
        <v xml:space="preserve"> </v>
      </c>
      <c r="U51" s="32" t="s">
        <v>825</v>
      </c>
      <c r="V51" s="30" t="s">
        <v>899</v>
      </c>
      <c r="W51" s="23" t="s">
        <v>934</v>
      </c>
      <c r="X51" s="20" t="b">
        <v>0</v>
      </c>
    </row>
    <row r="52" spans="1:24">
      <c r="A52" s="15">
        <v>50</v>
      </c>
      <c r="B52" s="16">
        <f ca="1">IFERROR(__xludf.DUMMYFUNCTION("""COMPUTED_VALUE"""),3397)</f>
        <v>3397</v>
      </c>
      <c r="C52" s="16" t="str">
        <f ca="1">IFERROR(__xludf.DUMMYFUNCTION("""COMPUTED_VALUE"""),"Ibnu Khuldun")</f>
        <v>Ibnu Khuldun</v>
      </c>
      <c r="D52" s="16" t="str">
        <f ca="1">IFERROR(__xludf.DUMMYFUNCTION("""COMPUTED_VALUE"""),"04211840000002")</f>
        <v>04211840000002</v>
      </c>
      <c r="E52" s="16" t="str">
        <f ca="1">IFERROR(__xludf.DUMMYFUNCTION("""COMPUTED_VALUE"""),"Departemen Teknik Sistem Perkapalan")</f>
        <v>Departemen Teknik Sistem Perkapalan</v>
      </c>
      <c r="F52" s="16" t="str">
        <f ca="1">IFERROR(__xludf.DUMMYFUNCTION("""COMPUTED_VALUE"""),"ANALISIS KELAYAKAN EKONOMI PENGAPLIKASIAN MULTI STORAGE (BEKU DAN SEGAR) PADA KAPAL ANGKUT IKAN (FISH CARRIER) BERBASIS SOFTWARE RETSCREEN")</f>
        <v>ANALISIS KELAYAKAN EKONOMI PENGAPLIKASIAN MULTI STORAGE (BEKU DAN SEGAR) PADA KAPAL ANGKUT IKAN (FISH CARRIER) BERBASIS SOFTWARE RETSCREEN</v>
      </c>
      <c r="G52" s="16" t="str">
        <f ca="1">IFERROR(__xludf.DUMMYFUNCTION("""COMPUTED_VALUE"""),"Ir. Agoes Santoso, M.Sc.")</f>
        <v>Ir. Agoes Santoso, M.Sc.</v>
      </c>
      <c r="H52" s="16" t="str">
        <f ca="1">IFERROR(__xludf.DUMMYFUNCTION("""COMPUTED_VALUE"""),"Prof. Dr. Dra Fahimah Martak, M.Si")</f>
        <v>Prof. Dr. Dra Fahimah Martak, M.Si</v>
      </c>
      <c r="I52" s="16" t="str">
        <f ca="1">IFERROR(__xludf.DUMMYFUNCTION("""COMPUTED_VALUE"""),"Ulil 'Azmi, S.Si., M.Si.")</f>
        <v>Ulil 'Azmi, S.Si., M.Si.</v>
      </c>
      <c r="J52" s="16"/>
      <c r="K52" s="17" t="s">
        <v>929</v>
      </c>
      <c r="L52" s="23" t="s">
        <v>932</v>
      </c>
      <c r="M52" s="19" t="b">
        <v>0</v>
      </c>
      <c r="N52" s="19" t="b">
        <v>0</v>
      </c>
      <c r="O52" s="1" t="s">
        <v>935</v>
      </c>
      <c r="P52" s="1" t="str">
        <f ca="1">IFERROR(__xludf.DUMMYFUNCTION("iferror(vlookup(B52,importrange(""https://docs.google.com/spreadsheets/d/1boHyJQ4e2FU0QG8MHwEi6qjX4hvZWVCHcFfXjq7bbMc/edit?resourcekey#gid=923248883"",""Prop!$C$1:$M""),11,0),IFERROR(vlookup(B52,importrange(""https://docs.google.com/spreadsheets/d/1boHyJQ"&amp;"4e2FU0QG8MHwEi6qjX4hvZWVCHcFfXjq7bbMc/edit?resourcekey#gid=923248883"",""Prop!$N$1:$X""),11,0),iferror(vlookup(B52,importrange(""https://docs.google.com/spreadsheets/d/1boHyJQ4e2FU0QG8MHwEi6qjX4hvZWVCHcFfXjq7bbMc/edit?resourcekey#gid=923248883"",""Prop!$Y"&amp;"$1:$AI""),11,0),iferror(vlookup(B52,importrange(""https://docs.google.com/spreadsheets/d/1boHyJQ4e2FU0QG8MHwEi6qjX4hvZWVCHcFfXjq7bbMc/edit?resourcekey#gid=923248883"",""Prop!$AJ$1:$AT""),11,0),iferror(vlookup(B52,importrange(""https://docs.google.com/spre"&amp;"adsheets/d/1boHyJQ4e2FU0QG8MHwEi6qjX4hvZWVCHcFfXjq7bbMc/edit?resourcekey#gid=923248883"",""Prop!$AU$1:$BE""),11,0),iferror(vlookup(B52,importrange(""https://docs.google.com/spreadsheets/d/1boHyJQ4e2FU0QG8MHwEi6qjX4hvZWVCHcFfXjq7bbMc/edit?resourcekey#gid=9"&amp;"23248883"",""Prop!$BF$1:$BP""),11,0),iferror(vlookup(B52,importrange(""https://docs.google.com/spreadsheets/d/1boHyJQ4e2FU0QG8MHwEi6qjX4hvZWVCHcFfXjq7bbMc/edit?resourcekey#gid=923248883"",""Prop!$BQ$1:$CA""),11,0),iferror(vlookup(B52,importrange(""https:/"&amp;"/docs.google.com/spreadsheets/d/1boHyJQ4e2FU0QG8MHwEi6qjX4hvZWVCHcFfXjq7bbMc/edit?resourcekey#gid=923248883"",""Prop!$CB$1:$CL""),11,0),iferror(vlookup(B52,importrange(""https://docs.google.com/spreadsheets/d/1boHyJQ4e2FU0QG8MHwEi6qjX4hvZWVCHcFfXjq7bbMc/e"&amp;"dit?resourcekey#gid=923248883"",""Prop!$CM$1:$CX""),11,0),iferror(vlookup(B52,importrange(""https://docs.google.com/spreadsheets/d/1boHyJQ4e2FU0QG8MHwEi6qjX4hvZWVCHcFfXjq7bbMc/edit?resourcekey#gid=923248883"",""Prop!$CY$1:$DI""),11,0)))))))))))"),"")</f>
        <v/>
      </c>
      <c r="Q52" s="1" t="str">
        <f ca="1">IFERROR(__xludf.DUMMYFUNCTION("iferror(vlookup(B52,importrange(""https://docs.google.com/spreadsheets/d/1p53T2AuvvIqhP7Nf-bo3Uhj8cbKYRPpZdsrBv3x3bAQ/edit?resourcekey#gid=1321652304"",""Prop!$C$1:$M""),11,0),IFERROR(vlookup(B52,importrange(""https://docs.google.com/spreadsheets/d/1p53T2"&amp;"AuvvIqhP7Nf-bo3Uhj8cbKYRPpZdsrBv3x3bAQ/edit?resourcekey#gid=1321652304"",""Prop!$N$1:$X""),11,0),iferror(vlookup(B52,importrange(""https://docs.google.com/spreadsheets/d/1p53T2AuvvIqhP7Nf-bo3Uhj8cbKYRPpZdsrBv3x3bAQ/edit?resourcekey#gid=1321652304"",""Prop"&amp;"!$Y$1:$AI""),11,0),iferror(vlookup(B52,importrange(""https://docs.google.com/spreadsheets/d/1p53T2AuvvIqhP7Nf-bo3Uhj8cbKYRPpZdsrBv3x3bAQ/edit?resourcekey#gid=1321652304"",""Prop!$AJ$1:$AT""),11,0),iferror(vlookup(B52,importrange(""https://docs.google.com/"&amp;"spreadsheets/d/1p53T2AuvvIqhP7Nf-bo3Uhj8cbKYRPpZdsrBv3x3bAQ/edit?resourcekey#gid=1321652304"",""Prop!$AU$1:$BE""),11,0),iferror(vlookup(B52,importrange(""https://docs.google.com/spreadsheets/d/1p53T2AuvvIqhP7Nf-bo3Uhj8cbKYRPpZdsrBv3x3bAQ/edit?resourcekey#"&amp;"gid=1321652304"",""Prop!$BF$1:$BP""),11,0),iferror(vlookup(B52,importrange(""https://docs.google.com/spreadsheets/d/1p53T2AuvvIqhP7Nf-bo3Uhj8cbKYRPpZdsrBv3x3bAQ/edit?resourcekey#gid=1321652304"",""Prop!$BQ$1:$CA""),11,0),iferror(vlookup(B52,importrange("""&amp;"https://docs.google.com/spreadsheets/d/1p53T2AuvvIqhP7Nf-bo3Uhj8cbKYRPpZdsrBv3x3bAQ/edit?resourcekey#gid=1321652304"",""Prop!$CB$1:$CL""),11,0),iferror(vlookup(B52,importrange(""https://docs.google.com/spreadsheets/d/1p53T2AuvvIqhP7Nf-bo3Uhj8cbKYRPpZdsrBv"&amp;"3x3bAQ/edit?resourcekey#gid=1321652304"",""Prop!$CM$1:$CX""),11,0),iferror(vlookup(B52,importrange(""https://docs.google.com/spreadsheets/d/1p53T2AuvvIqhP7Nf-bo3Uhj8cbKYRPpZdsrBv3x3bAQ/edit?resourcekey#gid=1321652304"",""Prop!$CY$1:$DI""),11,0)))))))))))"),"")</f>
        <v/>
      </c>
      <c r="R52" s="20" t="s">
        <v>898</v>
      </c>
      <c r="S52" s="20" t="str">
        <f ca="1">IFERROR(__xludf.DUMMYFUNCTION("IFERROR(vlookup(B52,IMPORTRANGE(""https://docs.google.com/spreadsheets/d/1g_jfYYK_KeipEDNDUgqgrsxK94XiocfNQIcP-v1QVhI/edit?resourcekey#gid=233272945"",""Nilai!B:CT""),12,0),"" "")"),"")</f>
        <v/>
      </c>
      <c r="T52" s="20" t="str">
        <f ca="1">IFERROR(__xludf.DUMMYFUNCTION("IFERROR(vlookup(B52,IMPORTRANGE(""https://docs.google.com/spreadsheets/d/1g_jfYYK_KeipEDNDUgqgrsxK94XiocfNQIcP-v1QVhI/edit?resourcekey#gid=233272945"",""Nilai!B:CT""),97,0),"" "")")," ")</f>
        <v xml:space="preserve"> </v>
      </c>
      <c r="U52" s="32" t="s">
        <v>825</v>
      </c>
      <c r="V52" s="30" t="s">
        <v>899</v>
      </c>
      <c r="W52" s="23" t="s">
        <v>934</v>
      </c>
      <c r="X52" s="20" t="b">
        <v>0</v>
      </c>
    </row>
    <row r="53" spans="1:24">
      <c r="A53" s="15">
        <v>51</v>
      </c>
      <c r="B53" s="16">
        <f ca="1">IFERROR(__xludf.DUMMYFUNCTION("""COMPUTED_VALUE"""),3905)</f>
        <v>3905</v>
      </c>
      <c r="C53" s="16" t="str">
        <f ca="1">IFERROR(__xludf.DUMMYFUNCTION("""COMPUTED_VALUE"""),"Elsa Maulida P.")</f>
        <v>Elsa Maulida P.</v>
      </c>
      <c r="D53" s="16" t="str">
        <f ca="1">IFERROR(__xludf.DUMMYFUNCTION("""COMPUTED_VALUE"""),"5003211101")</f>
        <v>5003211101</v>
      </c>
      <c r="E53" s="16" t="str">
        <f ca="1">IFERROR(__xludf.DUMMYFUNCTION("""COMPUTED_VALUE"""),"Departemen Statistika")</f>
        <v>Departemen Statistika</v>
      </c>
      <c r="F53" s="16" t="str">
        <f ca="1">IFERROR(__xludf.DUMMYFUNCTION("""COMPUTED_VALUE"""),"Hubungan Internet terhadap Fenomena Insomnia pada Igneration: Sebab atau Akibat?")</f>
        <v>Hubungan Internet terhadap Fenomena Insomnia pada Igneration: Sebab atau Akibat?</v>
      </c>
      <c r="G53" s="16" t="str">
        <f ca="1">IFERROR(__xludf.DUMMYFUNCTION("""COMPUTED_VALUE"""),"Adatul Mukarromah, S.Si., M.Si.")</f>
        <v>Adatul Mukarromah, S.Si., M.Si.</v>
      </c>
      <c r="H53" s="16" t="str">
        <f ca="1">IFERROR(__xludf.DUMMYFUNCTION("""COMPUTED_VALUE"""),"Dr.-Ing. Doty Dewi Risanti, S.T., M.T.")</f>
        <v>Dr.-Ing. Doty Dewi Risanti, S.T., M.T.</v>
      </c>
      <c r="I53" s="16" t="str">
        <f ca="1">IFERROR(__xludf.DUMMYFUNCTION("""COMPUTED_VALUE"""),"Hariyati Purwaningsih, S.Si., M.Si.")</f>
        <v>Hariyati Purwaningsih, S.Si., M.Si.</v>
      </c>
      <c r="J53" s="16"/>
      <c r="K53" s="17" t="s">
        <v>929</v>
      </c>
      <c r="L53" s="23" t="s">
        <v>936</v>
      </c>
      <c r="M53" s="19" t="b">
        <v>1</v>
      </c>
      <c r="N53" s="19" t="b">
        <v>1</v>
      </c>
      <c r="O53" s="1" t="s">
        <v>935</v>
      </c>
      <c r="P53" s="7" t="str">
        <f ca="1">IFERROR(__xludf.DUMMYFUNCTION("iferror(vlookup(B53,importrange(""https://docs.google.com/spreadsheets/d/1boHyJQ4e2FU0QG8MHwEi6qjX4hvZWVCHcFfXjq7bbMc/edit?resourcekey#gid=923248883"",""Prop!$C$1:$M""),11,0),IFERROR(vlookup(B53,importrange(""https://docs.google.com/spreadsheets/d/1boHyJQ"&amp;"4e2FU0QG8MHwEi6qjX4hvZWVCHcFfXjq7bbMc/edit?resourcekey#gid=923248883"",""Prop!$N$1:$X""),11,0),iferror(vlookup(B53,importrange(""https://docs.google.com/spreadsheets/d/1boHyJQ4e2FU0QG8MHwEi6qjX4hvZWVCHcFfXjq7bbMc/edit?resourcekey#gid=923248883"",""Prop!$Y"&amp;"$1:$AI""),11,0),iferror(vlookup(B53,importrange(""https://docs.google.com/spreadsheets/d/1boHyJQ4e2FU0QG8MHwEi6qjX4hvZWVCHcFfXjq7bbMc/edit?resourcekey#gid=923248883"",""Prop!$AJ$1:$AT""),11,0),iferror(vlookup(B53,importrange(""https://docs.google.com/spre"&amp;"adsheets/d/1boHyJQ4e2FU0QG8MHwEi6qjX4hvZWVCHcFfXjq7bbMc/edit?resourcekey#gid=923248883"",""Prop!$AU$1:$BE""),11,0),iferror(vlookup(B53,importrange(""https://docs.google.com/spreadsheets/d/1boHyJQ4e2FU0QG8MHwEi6qjX4hvZWVCHcFfXjq7bbMc/edit?resourcekey#gid=9"&amp;"23248883"",""Prop!$BF$1:$BP""),11,0),iferror(vlookup(B53,importrange(""https://docs.google.com/spreadsheets/d/1boHyJQ4e2FU0QG8MHwEi6qjX4hvZWVCHcFfXjq7bbMc/edit?resourcekey#gid=923248883"",""Prop!$BQ$1:$CA""),11,0),iferror(vlookup(B53,importrange(""https:/"&amp;"/docs.google.com/spreadsheets/d/1boHyJQ4e2FU0QG8MHwEi6qjX4hvZWVCHcFfXjq7bbMc/edit?resourcekey#gid=923248883"",""Prop!$CB$1:$CL""),11,0),iferror(vlookup(B53,importrange(""https://docs.google.com/spreadsheets/d/1boHyJQ4e2FU0QG8MHwEi6qjX4hvZWVCHcFfXjq7bbMc/e"&amp;"dit?resourcekey#gid=923248883"",""Prop!$CM$1:$CX""),11,0),iferror(vlookup(B53,importrange(""https://docs.google.com/spreadsheets/d/1boHyJQ4e2FU0QG8MHwEi6qjX4hvZWVCHcFfXjq7bbMc/edit?resourcekey#gid=923248883"",""Prop!$CY$1:$DI""),11,0)))))))))))"),"https://drive.google.com/open?id=19ba2T0n11-MNIkEr5_nkC0QPijoR9TiA")</f>
        <v>https://drive.google.com/open?id=19ba2T0n11-MNIkEr5_nkC0QPijoR9TiA</v>
      </c>
      <c r="Q53" s="7" t="str">
        <f ca="1">IFERROR(__xludf.DUMMYFUNCTION("iferror(vlookup(B53,importrange(""https://docs.google.com/spreadsheets/d/1p53T2AuvvIqhP7Nf-bo3Uhj8cbKYRPpZdsrBv3x3bAQ/edit?resourcekey#gid=1321652304"",""Prop!$C$1:$M""),11,0),IFERROR(vlookup(B53,importrange(""https://docs.google.com/spreadsheets/d/1p53T2"&amp;"AuvvIqhP7Nf-bo3Uhj8cbKYRPpZdsrBv3x3bAQ/edit?resourcekey#gid=1321652304"",""Prop!$N$1:$X""),11,0),iferror(vlookup(B53,importrange(""https://docs.google.com/spreadsheets/d/1p53T2AuvvIqhP7Nf-bo3Uhj8cbKYRPpZdsrBv3x3bAQ/edit?resourcekey#gid=1321652304"",""Prop"&amp;"!$Y$1:$AI""),11,0),iferror(vlookup(B53,importrange(""https://docs.google.com/spreadsheets/d/1p53T2AuvvIqhP7Nf-bo3Uhj8cbKYRPpZdsrBv3x3bAQ/edit?resourcekey#gid=1321652304"",""Prop!$AJ$1:$AT""),11,0),iferror(vlookup(B53,importrange(""https://docs.google.com/"&amp;"spreadsheets/d/1p53T2AuvvIqhP7Nf-bo3Uhj8cbKYRPpZdsrBv3x3bAQ/edit?resourcekey#gid=1321652304"",""Prop!$AU$1:$BE""),11,0),iferror(vlookup(B53,importrange(""https://docs.google.com/spreadsheets/d/1p53T2AuvvIqhP7Nf-bo3Uhj8cbKYRPpZdsrBv3x3bAQ/edit?resourcekey#"&amp;"gid=1321652304"",""Prop!$BF$1:$BP""),11,0),iferror(vlookup(B53,importrange(""https://docs.google.com/spreadsheets/d/1p53T2AuvvIqhP7Nf-bo3Uhj8cbKYRPpZdsrBv3x3bAQ/edit?resourcekey#gid=1321652304"",""Prop!$BQ$1:$CA""),11,0),iferror(vlookup(B53,importrange("""&amp;"https://docs.google.com/spreadsheets/d/1p53T2AuvvIqhP7Nf-bo3Uhj8cbKYRPpZdsrBv3x3bAQ/edit?resourcekey#gid=1321652304"",""Prop!$CB$1:$CL""),11,0),iferror(vlookup(B53,importrange(""https://docs.google.com/spreadsheets/d/1p53T2AuvvIqhP7Nf-bo3Uhj8cbKYRPpZdsrBv"&amp;"3x3bAQ/edit?resourcekey#gid=1321652304"",""Prop!$CM$1:$CX""),11,0),iferror(vlookup(B53,importrange(""https://docs.google.com/spreadsheets/d/1p53T2AuvvIqhP7Nf-bo3Uhj8cbKYRPpZdsrBv3x3bAQ/edit?resourcekey#gid=1321652304"",""Prop!$CY$1:$DI""),11,0)))))))))))"),"https://drive.google.com/open?id=1ycbLCDhBsz1Nfa_UFC6KsiWFhSFr2Mjo")</f>
        <v>https://drive.google.com/open?id=1ycbLCDhBsz1Nfa_UFC6KsiWFhSFr2Mjo</v>
      </c>
      <c r="R53" s="20" t="s">
        <v>898</v>
      </c>
      <c r="S53" s="20" t="str">
        <f ca="1">IFERROR(__xludf.DUMMYFUNCTION("IFERROR(vlookup(B53,IMPORTRANGE(""https://docs.google.com/spreadsheets/d/1g_jfYYK_KeipEDNDUgqgrsxK94XiocfNQIcP-v1QVhI/edit?resourcekey#gid=233272945"",""Nilai!B:CT""),12,0),"" "")"),"bukan data primer")</f>
        <v>bukan data primer</v>
      </c>
      <c r="T53" s="20" t="str">
        <f ca="1">IFERROR(__xludf.DUMMYFUNCTION("IFERROR(vlookup(B53,IMPORTRANGE(""https://docs.google.com/spreadsheets/d/1g_jfYYK_KeipEDNDUgqgrsxK94XiocfNQIcP-v1QVhI/edit?resourcekey#gid=233272945"",""Nilai!B:CT""),97,0),"" "")"),"TIDAK LAYAK UPLOAD KE SIMBELMAWA")</f>
        <v>TIDAK LAYAK UPLOAD KE SIMBELMAWA</v>
      </c>
      <c r="U53" s="32" t="s">
        <v>825</v>
      </c>
      <c r="V53" s="30" t="s">
        <v>899</v>
      </c>
      <c r="W53" s="23" t="s">
        <v>934</v>
      </c>
      <c r="X53" s="20" t="b">
        <v>1</v>
      </c>
    </row>
    <row r="54" spans="1:24">
      <c r="A54" s="15">
        <v>52</v>
      </c>
      <c r="B54" s="16">
        <f ca="1">IFERROR(__xludf.DUMMYFUNCTION("""COMPUTED_VALUE"""),2963)</f>
        <v>2963</v>
      </c>
      <c r="C54" s="16" t="str">
        <f ca="1">IFERROR(__xludf.DUMMYFUNCTION("""COMPUTED_VALUE"""),"RIZAL HAIDARRAZAN")</f>
        <v>RIZAL HAIDARRAZAN</v>
      </c>
      <c r="D54" s="16" t="str">
        <f ca="1">IFERROR(__xludf.DUMMYFUNCTION("""COMPUTED_VALUE"""),"5007201164")</f>
        <v>5007201164</v>
      </c>
      <c r="E54" s="16" t="str">
        <f ca="1">IFERROR(__xludf.DUMMYFUNCTION("""COMPUTED_VALUE"""),"Departemen Teknik Mesin")</f>
        <v>Departemen Teknik Mesin</v>
      </c>
      <c r="F54" s="16" t="str">
        <f ca="1">IFERROR(__xludf.DUMMYFUNCTION("""COMPUTED_VALUE"""),"Redesain Mounting Wing dengan Metode Elemen Hingga Untuk Menurunkan Beban Mobil Mark 2 Anargya dalam Kompetisi Formula Student")</f>
        <v>Redesain Mounting Wing dengan Metode Elemen Hingga Untuk Menurunkan Beban Mobil Mark 2 Anargya dalam Kompetisi Formula Student</v>
      </c>
      <c r="G54" s="16" t="str">
        <f ca="1">IFERROR(__xludf.DUMMYFUNCTION("""COMPUTED_VALUE"""),"Alief Wikarta, ST., MSc.Eng. Ph.D")</f>
        <v>Alief Wikarta, ST., MSc.Eng. Ph.D</v>
      </c>
      <c r="H54" s="16" t="str">
        <f ca="1">IFERROR(__xludf.DUMMYFUNCTION("""COMPUTED_VALUE"""),"Dian Mughni Fellicia, ST., M.Sc")</f>
        <v>Dian Mughni Fellicia, ST., M.Sc</v>
      </c>
      <c r="I54" s="16" t="str">
        <f ca="1">IFERROR(__xludf.DUMMYFUNCTION("""COMPUTED_VALUE"""),"Hariyati Purwaningsih, S.Si., M.Si.")</f>
        <v>Hariyati Purwaningsih, S.Si., M.Si.</v>
      </c>
      <c r="J54" s="16"/>
      <c r="K54" s="17" t="s">
        <v>937</v>
      </c>
      <c r="L54" s="23" t="s">
        <v>936</v>
      </c>
      <c r="M54" s="19" t="b">
        <v>0</v>
      </c>
      <c r="N54" s="19" t="b">
        <v>0</v>
      </c>
      <c r="O54" s="1" t="s">
        <v>935</v>
      </c>
      <c r="P54" s="7" t="str">
        <f ca="1">IFERROR(__xludf.DUMMYFUNCTION("iferror(vlookup(B54,importrange(""https://docs.google.com/spreadsheets/d/1boHyJQ4e2FU0QG8MHwEi6qjX4hvZWVCHcFfXjq7bbMc/edit?resourcekey#gid=923248883"",""Prop!$C$1:$M""),11,0),IFERROR(vlookup(B54,importrange(""https://docs.google.com/spreadsheets/d/1boHyJQ"&amp;"4e2FU0QG8MHwEi6qjX4hvZWVCHcFfXjq7bbMc/edit?resourcekey#gid=923248883"",""Prop!$N$1:$X""),11,0),iferror(vlookup(B54,importrange(""https://docs.google.com/spreadsheets/d/1boHyJQ4e2FU0QG8MHwEi6qjX4hvZWVCHcFfXjq7bbMc/edit?resourcekey#gid=923248883"",""Prop!$Y"&amp;"$1:$AI""),11,0),iferror(vlookup(B54,importrange(""https://docs.google.com/spreadsheets/d/1boHyJQ4e2FU0QG8MHwEi6qjX4hvZWVCHcFfXjq7bbMc/edit?resourcekey#gid=923248883"",""Prop!$AJ$1:$AT""),11,0),iferror(vlookup(B54,importrange(""https://docs.google.com/spre"&amp;"adsheets/d/1boHyJQ4e2FU0QG8MHwEi6qjX4hvZWVCHcFfXjq7bbMc/edit?resourcekey#gid=923248883"",""Prop!$AU$1:$BE""),11,0),iferror(vlookup(B54,importrange(""https://docs.google.com/spreadsheets/d/1boHyJQ4e2FU0QG8MHwEi6qjX4hvZWVCHcFfXjq7bbMc/edit?resourcekey#gid=9"&amp;"23248883"",""Prop!$BF$1:$BP""),11,0),iferror(vlookup(B54,importrange(""https://docs.google.com/spreadsheets/d/1boHyJQ4e2FU0QG8MHwEi6qjX4hvZWVCHcFfXjq7bbMc/edit?resourcekey#gid=923248883"",""Prop!$BQ$1:$CA""),11,0),iferror(vlookup(B54,importrange(""https:/"&amp;"/docs.google.com/spreadsheets/d/1boHyJQ4e2FU0QG8MHwEi6qjX4hvZWVCHcFfXjq7bbMc/edit?resourcekey#gid=923248883"",""Prop!$CB$1:$CL""),11,0),iferror(vlookup(B54,importrange(""https://docs.google.com/spreadsheets/d/1boHyJQ4e2FU0QG8MHwEi6qjX4hvZWVCHcFfXjq7bbMc/e"&amp;"dit?resourcekey#gid=923248883"",""Prop!$CM$1:$CX""),11,0),iferror(vlookup(B54,importrange(""https://docs.google.com/spreadsheets/d/1boHyJQ4e2FU0QG8MHwEi6qjX4hvZWVCHcFfXjq7bbMc/edit?resourcekey#gid=923248883"",""Prop!$CY$1:$DI""),11,0)))))))))))"),"https://drive.google.com/open?id=1yx1bTMMBC8l6t_J2i6DgA_zvW5buNjmq")</f>
        <v>https://drive.google.com/open?id=1yx1bTMMBC8l6t_J2i6DgA_zvW5buNjmq</v>
      </c>
      <c r="Q54" s="7" t="str">
        <f ca="1">IFERROR(__xludf.DUMMYFUNCTION("iferror(vlookup(B54,importrange(""https://docs.google.com/spreadsheets/d/1p53T2AuvvIqhP7Nf-bo3Uhj8cbKYRPpZdsrBv3x3bAQ/edit?resourcekey#gid=1321652304"",""Prop!$C$1:$M""),11,0),IFERROR(vlookup(B54,importrange(""https://docs.google.com/spreadsheets/d/1p53T2"&amp;"AuvvIqhP7Nf-bo3Uhj8cbKYRPpZdsrBv3x3bAQ/edit?resourcekey#gid=1321652304"",""Prop!$N$1:$X""),11,0),iferror(vlookup(B54,importrange(""https://docs.google.com/spreadsheets/d/1p53T2AuvvIqhP7Nf-bo3Uhj8cbKYRPpZdsrBv3x3bAQ/edit?resourcekey#gid=1321652304"",""Prop"&amp;"!$Y$1:$AI""),11,0),iferror(vlookup(B54,importrange(""https://docs.google.com/spreadsheets/d/1p53T2AuvvIqhP7Nf-bo3Uhj8cbKYRPpZdsrBv3x3bAQ/edit?resourcekey#gid=1321652304"",""Prop!$AJ$1:$AT""),11,0),iferror(vlookup(B54,importrange(""https://docs.google.com/"&amp;"spreadsheets/d/1p53T2AuvvIqhP7Nf-bo3Uhj8cbKYRPpZdsrBv3x3bAQ/edit?resourcekey#gid=1321652304"",""Prop!$AU$1:$BE""),11,0),iferror(vlookup(B54,importrange(""https://docs.google.com/spreadsheets/d/1p53T2AuvvIqhP7Nf-bo3Uhj8cbKYRPpZdsrBv3x3bAQ/edit?resourcekey#"&amp;"gid=1321652304"",""Prop!$BF$1:$BP""),11,0),iferror(vlookup(B54,importrange(""https://docs.google.com/spreadsheets/d/1p53T2AuvvIqhP7Nf-bo3Uhj8cbKYRPpZdsrBv3x3bAQ/edit?resourcekey#gid=1321652304"",""Prop!$BQ$1:$CA""),11,0),iferror(vlookup(B54,importrange("""&amp;"https://docs.google.com/spreadsheets/d/1p53T2AuvvIqhP7Nf-bo3Uhj8cbKYRPpZdsrBv3x3bAQ/edit?resourcekey#gid=1321652304"",""Prop!$CB$1:$CL""),11,0),iferror(vlookup(B54,importrange(""https://docs.google.com/spreadsheets/d/1p53T2AuvvIqhP7Nf-bo3Uhj8cbKYRPpZdsrBv"&amp;"3x3bAQ/edit?resourcekey#gid=1321652304"",""Prop!$CM$1:$CX""),11,0),iferror(vlookup(B54,importrange(""https://docs.google.com/spreadsheets/d/1p53T2AuvvIqhP7Nf-bo3Uhj8cbKYRPpZdsrBv3x3bAQ/edit?resourcekey#gid=1321652304"",""Prop!$CY$1:$DI""),11,0)))))))))))"),"https://drive.google.com/open?id=1QNXbJaYFMRh1o3uNEoVoQCxEbqQHecUS")</f>
        <v>https://drive.google.com/open?id=1QNXbJaYFMRh1o3uNEoVoQCxEbqQHecUS</v>
      </c>
      <c r="R54" s="20" t="s">
        <v>898</v>
      </c>
      <c r="S54" s="20" t="str">
        <f ca="1">IFERROR(__xludf.DUMMYFUNCTION("IFERROR(vlookup(B54,IMPORTRANGE(""https://docs.google.com/spreadsheets/d/1g_jfYYK_KeipEDNDUgqgrsxK94XiocfNQIcP-v1QVhI/edit?resourcekey#gid=233272945"",""Nilai!B:CT""),12,0),"" "")"),"literatur didominasi text book bukan jurnal, sistematika penulisan masihtercampur mede dan hasil-pembahasan
")</f>
        <v xml:space="preserve">literatur didominasi text book bukan jurnal, sistematika penulisan masihtercampur mede dan hasil-pembahasan
</v>
      </c>
      <c r="T54" s="20" t="str">
        <f ca="1">IFERROR(__xludf.DUMMYFUNCTION("IFERROR(vlookup(B54,IMPORTRANGE(""https://docs.google.com/spreadsheets/d/1g_jfYYK_KeipEDNDUgqgrsxK94XiocfNQIcP-v1QVhI/edit?resourcekey#gid=233272945"",""Nilai!B:CT""),97,0),"" "")"),"LAYAK UPLOAD KE SIMBELMAWA DENGAN REVISI")</f>
        <v>LAYAK UPLOAD KE SIMBELMAWA DENGAN REVISI</v>
      </c>
      <c r="U54" s="32" t="s">
        <v>825</v>
      </c>
      <c r="V54" s="30" t="s">
        <v>899</v>
      </c>
      <c r="W54" s="23" t="s">
        <v>938</v>
      </c>
      <c r="X54" s="20" t="b">
        <v>0</v>
      </c>
    </row>
    <row r="55" spans="1:24">
      <c r="A55" s="15">
        <v>53</v>
      </c>
      <c r="B55" s="16">
        <f ca="1">IFERROR(__xludf.DUMMYFUNCTION("""COMPUTED_VALUE"""),2960)</f>
        <v>2960</v>
      </c>
      <c r="C55" s="16" t="str">
        <f ca="1">IFERROR(__xludf.DUMMYFUNCTION("""COMPUTED_VALUE"""),"FIRDIAN ALANSYAH")</f>
        <v>FIRDIAN ALANSYAH</v>
      </c>
      <c r="D55" s="16" t="str">
        <f ca="1">IFERROR(__xludf.DUMMYFUNCTION("""COMPUTED_VALUE"""),"03411940000035")</f>
        <v>03411940000035</v>
      </c>
      <c r="E55" s="16" t="str">
        <f ca="1">IFERROR(__xludf.DUMMYFUNCTION("""COMPUTED_VALUE"""),"Departemen Teknik Geofisika")</f>
        <v>Departemen Teknik Geofisika</v>
      </c>
      <c r="F55" s="16" t="str">
        <f ca="1">IFERROR(__xludf.DUMMYFUNCTION("""COMPUTED_VALUE"""),"Analisis Karakteristik Safety Factor Sumur Bor Injeksi Berdasarkan Geomekanika Lapisan Batu Lempung dan Batubara")</f>
        <v>Analisis Karakteristik Safety Factor Sumur Bor Injeksi Berdasarkan Geomekanika Lapisan Batu Lempung dan Batubara</v>
      </c>
      <c r="G55" s="16" t="str">
        <f ca="1">IFERROR(__xludf.DUMMYFUNCTION("""COMPUTED_VALUE"""),"Juan Pandu Gya Nur Rochman, S.Si., M.T.")</f>
        <v>Juan Pandu Gya Nur Rochman, S.Si., M.T.</v>
      </c>
      <c r="H55" s="16" t="str">
        <f ca="1">IFERROR(__xludf.DUMMYFUNCTION("""COMPUTED_VALUE"""),"Dian Mughni Fellicia, ST., M.Sc")</f>
        <v>Dian Mughni Fellicia, ST., M.Sc</v>
      </c>
      <c r="I55" s="16" t="str">
        <f ca="1">IFERROR(__xludf.DUMMYFUNCTION("""COMPUTED_VALUE"""),"Hariyati Purwaningsih, S.Si., M.Si.")</f>
        <v>Hariyati Purwaningsih, S.Si., M.Si.</v>
      </c>
      <c r="J55" s="16"/>
      <c r="K55" s="17" t="s">
        <v>937</v>
      </c>
      <c r="L55" s="23" t="s">
        <v>936</v>
      </c>
      <c r="M55" s="19" t="b">
        <v>1</v>
      </c>
      <c r="N55" s="19" t="b">
        <v>1</v>
      </c>
      <c r="O55" s="1" t="s">
        <v>935</v>
      </c>
      <c r="P55" s="7" t="str">
        <f ca="1">IFERROR(__xludf.DUMMYFUNCTION("iferror(vlookup(B55,importrange(""https://docs.google.com/spreadsheets/d/1boHyJQ4e2FU0QG8MHwEi6qjX4hvZWVCHcFfXjq7bbMc/edit?resourcekey#gid=923248883"",""Prop!$C$1:$M""),11,0),IFERROR(vlookup(B55,importrange(""https://docs.google.com/spreadsheets/d/1boHyJQ"&amp;"4e2FU0QG8MHwEi6qjX4hvZWVCHcFfXjq7bbMc/edit?resourcekey#gid=923248883"",""Prop!$N$1:$X""),11,0),iferror(vlookup(B55,importrange(""https://docs.google.com/spreadsheets/d/1boHyJQ4e2FU0QG8MHwEi6qjX4hvZWVCHcFfXjq7bbMc/edit?resourcekey#gid=923248883"",""Prop!$Y"&amp;"$1:$AI""),11,0),iferror(vlookup(B55,importrange(""https://docs.google.com/spreadsheets/d/1boHyJQ4e2FU0QG8MHwEi6qjX4hvZWVCHcFfXjq7bbMc/edit?resourcekey#gid=923248883"",""Prop!$AJ$1:$AT""),11,0),iferror(vlookup(B55,importrange(""https://docs.google.com/spre"&amp;"adsheets/d/1boHyJQ4e2FU0QG8MHwEi6qjX4hvZWVCHcFfXjq7bbMc/edit?resourcekey#gid=923248883"",""Prop!$AU$1:$BE""),11,0),iferror(vlookup(B55,importrange(""https://docs.google.com/spreadsheets/d/1boHyJQ4e2FU0QG8MHwEi6qjX4hvZWVCHcFfXjq7bbMc/edit?resourcekey#gid=9"&amp;"23248883"",""Prop!$BF$1:$BP""),11,0),iferror(vlookup(B55,importrange(""https://docs.google.com/spreadsheets/d/1boHyJQ4e2FU0QG8MHwEi6qjX4hvZWVCHcFfXjq7bbMc/edit?resourcekey#gid=923248883"",""Prop!$BQ$1:$CA""),11,0),iferror(vlookup(B55,importrange(""https:/"&amp;"/docs.google.com/spreadsheets/d/1boHyJQ4e2FU0QG8MHwEi6qjX4hvZWVCHcFfXjq7bbMc/edit?resourcekey#gid=923248883"",""Prop!$CB$1:$CL""),11,0),iferror(vlookup(B55,importrange(""https://docs.google.com/spreadsheets/d/1boHyJQ4e2FU0QG8MHwEi6qjX4hvZWVCHcFfXjq7bbMc/e"&amp;"dit?resourcekey#gid=923248883"",""Prop!$CM$1:$CX""),11,0),iferror(vlookup(B55,importrange(""https://docs.google.com/spreadsheets/d/1boHyJQ4e2FU0QG8MHwEi6qjX4hvZWVCHcFfXjq7bbMc/edit?resourcekey#gid=923248883"",""Prop!$CY$1:$DI""),11,0)))))))))))"),"https://drive.google.com/open?id=1YtpC0-op5Yd5tFqOi8JvXJlmPPYZVexb")</f>
        <v>https://drive.google.com/open?id=1YtpC0-op5Yd5tFqOi8JvXJlmPPYZVexb</v>
      </c>
      <c r="Q55" s="7" t="str">
        <f ca="1">IFERROR(__xludf.DUMMYFUNCTION("iferror(vlookup(B55,importrange(""https://docs.google.com/spreadsheets/d/1p53T2AuvvIqhP7Nf-bo3Uhj8cbKYRPpZdsrBv3x3bAQ/edit?resourcekey#gid=1321652304"",""Prop!$C$1:$M""),11,0),IFERROR(vlookup(B55,importrange(""https://docs.google.com/spreadsheets/d/1p53T2"&amp;"AuvvIqhP7Nf-bo3Uhj8cbKYRPpZdsrBv3x3bAQ/edit?resourcekey#gid=1321652304"",""Prop!$N$1:$X""),11,0),iferror(vlookup(B55,importrange(""https://docs.google.com/spreadsheets/d/1p53T2AuvvIqhP7Nf-bo3Uhj8cbKYRPpZdsrBv3x3bAQ/edit?resourcekey#gid=1321652304"",""Prop"&amp;"!$Y$1:$AI""),11,0),iferror(vlookup(B55,importrange(""https://docs.google.com/spreadsheets/d/1p53T2AuvvIqhP7Nf-bo3Uhj8cbKYRPpZdsrBv3x3bAQ/edit?resourcekey#gid=1321652304"",""Prop!$AJ$1:$AT""),11,0),iferror(vlookup(B55,importrange(""https://docs.google.com/"&amp;"spreadsheets/d/1p53T2AuvvIqhP7Nf-bo3Uhj8cbKYRPpZdsrBv3x3bAQ/edit?resourcekey#gid=1321652304"",""Prop!$AU$1:$BE""),11,0),iferror(vlookup(B55,importrange(""https://docs.google.com/spreadsheets/d/1p53T2AuvvIqhP7Nf-bo3Uhj8cbKYRPpZdsrBv3x3bAQ/edit?resourcekey#"&amp;"gid=1321652304"",""Prop!$BF$1:$BP""),11,0),iferror(vlookup(B55,importrange(""https://docs.google.com/spreadsheets/d/1p53T2AuvvIqhP7Nf-bo3Uhj8cbKYRPpZdsrBv3x3bAQ/edit?resourcekey#gid=1321652304"",""Prop!$BQ$1:$CA""),11,0),iferror(vlookup(B55,importrange("""&amp;"https://docs.google.com/spreadsheets/d/1p53T2AuvvIqhP7Nf-bo3Uhj8cbKYRPpZdsrBv3x3bAQ/edit?resourcekey#gid=1321652304"",""Prop!$CB$1:$CL""),11,0),iferror(vlookup(B55,importrange(""https://docs.google.com/spreadsheets/d/1p53T2AuvvIqhP7Nf-bo3Uhj8cbKYRPpZdsrBv"&amp;"3x3bAQ/edit?resourcekey#gid=1321652304"",""Prop!$CM$1:$CX""),11,0),iferror(vlookup(B55,importrange(""https://docs.google.com/spreadsheets/d/1p53T2AuvvIqhP7Nf-bo3Uhj8cbKYRPpZdsrBv3x3bAQ/edit?resourcekey#gid=1321652304"",""Prop!$CY$1:$DI""),11,0)))))))))))"),"https://drive.google.com/open?id=1WDyY8YYbnYD6mNHb9fReHzP_GyE3VeNP")</f>
        <v>https://drive.google.com/open?id=1WDyY8YYbnYD6mNHb9fReHzP_GyE3VeNP</v>
      </c>
      <c r="R55" s="20" t="s">
        <v>898</v>
      </c>
      <c r="S55" s="20" t="str">
        <f ca="1">IFERROR(__xludf.DUMMYFUNCTION("IFERROR(vlookup(B55,IMPORTRANGE(""https://docs.google.com/spreadsheets/d/1g_jfYYK_KeipEDNDUgqgrsxK94XiocfNQIcP-v1QVhI/edit?resourcekey#gid=233272945"",""Nilai!B:CT""),12,0),"" "")"),"data sekunder, kualitas pustaka lemah")</f>
        <v>data sekunder, kualitas pustaka lemah</v>
      </c>
      <c r="T55" s="20" t="str">
        <f ca="1">IFERROR(__xludf.DUMMYFUNCTION("IFERROR(vlookup(B55,IMPORTRANGE(""https://docs.google.com/spreadsheets/d/1g_jfYYK_KeipEDNDUgqgrsxK94XiocfNQIcP-v1QVhI/edit?resourcekey#gid=233272945"",""Nilai!B:CT""),97,0),"" "")"),"TIDAK LAYAK UPLOAD KE SIMBELMAWA")</f>
        <v>TIDAK LAYAK UPLOAD KE SIMBELMAWA</v>
      </c>
      <c r="U55" s="32" t="s">
        <v>825</v>
      </c>
      <c r="V55" s="30" t="s">
        <v>899</v>
      </c>
      <c r="W55" s="23" t="s">
        <v>938</v>
      </c>
      <c r="X55" s="20" t="b">
        <v>1</v>
      </c>
    </row>
    <row r="56" spans="1:24">
      <c r="A56" s="15">
        <v>54</v>
      </c>
      <c r="B56" s="16">
        <f ca="1">IFERROR(__xludf.DUMMYFUNCTION("""COMPUTED_VALUE"""),3439)</f>
        <v>3439</v>
      </c>
      <c r="C56" s="16" t="str">
        <f ca="1">IFERROR(__xludf.DUMMYFUNCTION("""COMPUTED_VALUE"""),"ZHOEL MAULANA ALFARISI")</f>
        <v>ZHOEL MAULANA ALFARISI</v>
      </c>
      <c r="D56" s="16" t="str">
        <f ca="1">IFERROR(__xludf.DUMMYFUNCTION("""COMPUTED_VALUE"""),"04211840000113")</f>
        <v>04211840000113</v>
      </c>
      <c r="E56" s="16" t="str">
        <f ca="1">IFERROR(__xludf.DUMMYFUNCTION("""COMPUTED_VALUE"""),"Departemen Teknik Sistem Perkapalan")</f>
        <v>Departemen Teknik Sistem Perkapalan</v>
      </c>
      <c r="F56" s="16" t="str">
        <f ca="1">IFERROR(__xludf.DUMMYFUNCTION("""COMPUTED_VALUE"""),"SIMULASI FEM PADA DESAIN SISTEM POMPA TIPE VS4 STANDAR API610 MENGGUNAKAN POMPA TORISHIMA TIPE CEN 80X65-250")</f>
        <v>SIMULASI FEM PADA DESAIN SISTEM POMPA TIPE VS4 STANDAR API610 MENGGUNAKAN POMPA TORISHIMA TIPE CEN 80X65-250</v>
      </c>
      <c r="G56" s="16" t="str">
        <f ca="1">IFERROR(__xludf.DUMMYFUNCTION("""COMPUTED_VALUE"""),"Sutopo Purwono Fitri, S.T., M.Eng., Ph.D.")</f>
        <v>Sutopo Purwono Fitri, S.T., M.Eng., Ph.D.</v>
      </c>
      <c r="H56" s="16" t="str">
        <f ca="1">IFERROR(__xludf.DUMMYFUNCTION("""COMPUTED_VALUE"""),"Dian Mughni Fellicia, ST., M.Sc")</f>
        <v>Dian Mughni Fellicia, ST., M.Sc</v>
      </c>
      <c r="I56" s="16" t="str">
        <f ca="1">IFERROR(__xludf.DUMMYFUNCTION("""COMPUTED_VALUE"""),"Hariyati Purwaningsih, S.Si., M.Si.")</f>
        <v>Hariyati Purwaningsih, S.Si., M.Si.</v>
      </c>
      <c r="J56" s="16"/>
      <c r="K56" s="17" t="s">
        <v>937</v>
      </c>
      <c r="L56" s="23" t="s">
        <v>936</v>
      </c>
      <c r="M56" s="19" t="b">
        <v>0</v>
      </c>
      <c r="N56" s="19" t="b">
        <v>0</v>
      </c>
      <c r="O56" s="1" t="s">
        <v>935</v>
      </c>
      <c r="P56" s="1" t="str">
        <f ca="1">IFERROR(__xludf.DUMMYFUNCTION("iferror(vlookup(B56,importrange(""https://docs.google.com/spreadsheets/d/1boHyJQ4e2FU0QG8MHwEi6qjX4hvZWVCHcFfXjq7bbMc/edit?resourcekey#gid=923248883"",""Prop!$C$1:$M""),11,0),IFERROR(vlookup(B56,importrange(""https://docs.google.com/spreadsheets/d/1boHyJQ"&amp;"4e2FU0QG8MHwEi6qjX4hvZWVCHcFfXjq7bbMc/edit?resourcekey#gid=923248883"",""Prop!$N$1:$X""),11,0),iferror(vlookup(B56,importrange(""https://docs.google.com/spreadsheets/d/1boHyJQ4e2FU0QG8MHwEi6qjX4hvZWVCHcFfXjq7bbMc/edit?resourcekey#gid=923248883"",""Prop!$Y"&amp;"$1:$AI""),11,0),iferror(vlookup(B56,importrange(""https://docs.google.com/spreadsheets/d/1boHyJQ4e2FU0QG8MHwEi6qjX4hvZWVCHcFfXjq7bbMc/edit?resourcekey#gid=923248883"",""Prop!$AJ$1:$AT""),11,0),iferror(vlookup(B56,importrange(""https://docs.google.com/spre"&amp;"adsheets/d/1boHyJQ4e2FU0QG8MHwEi6qjX4hvZWVCHcFfXjq7bbMc/edit?resourcekey#gid=923248883"",""Prop!$AU$1:$BE""),11,0),iferror(vlookup(B56,importrange(""https://docs.google.com/spreadsheets/d/1boHyJQ4e2FU0QG8MHwEi6qjX4hvZWVCHcFfXjq7bbMc/edit?resourcekey#gid=9"&amp;"23248883"",""Prop!$BF$1:$BP""),11,0),iferror(vlookup(B56,importrange(""https://docs.google.com/spreadsheets/d/1boHyJQ4e2FU0QG8MHwEi6qjX4hvZWVCHcFfXjq7bbMc/edit?resourcekey#gid=923248883"",""Prop!$BQ$1:$CA""),11,0),iferror(vlookup(B56,importrange(""https:/"&amp;"/docs.google.com/spreadsheets/d/1boHyJQ4e2FU0QG8MHwEi6qjX4hvZWVCHcFfXjq7bbMc/edit?resourcekey#gid=923248883"",""Prop!$CB$1:$CL""),11,0),iferror(vlookup(B56,importrange(""https://docs.google.com/spreadsheets/d/1boHyJQ4e2FU0QG8MHwEi6qjX4hvZWVCHcFfXjq7bbMc/e"&amp;"dit?resourcekey#gid=923248883"",""Prop!$CM$1:$CX""),11,0),iferror(vlookup(B56,importrange(""https://docs.google.com/spreadsheets/d/1boHyJQ4e2FU0QG8MHwEi6qjX4hvZWVCHcFfXjq7bbMc/edit?resourcekey#gid=923248883"",""Prop!$CY$1:$DI""),11,0)))))))))))"),"")</f>
        <v/>
      </c>
      <c r="Q56" s="1" t="str">
        <f ca="1">IFERROR(__xludf.DUMMYFUNCTION("iferror(vlookup(B56,importrange(""https://docs.google.com/spreadsheets/d/1p53T2AuvvIqhP7Nf-bo3Uhj8cbKYRPpZdsrBv3x3bAQ/edit?resourcekey#gid=1321652304"",""Prop!$C$1:$M""),11,0),IFERROR(vlookup(B56,importrange(""https://docs.google.com/spreadsheets/d/1p53T2"&amp;"AuvvIqhP7Nf-bo3Uhj8cbKYRPpZdsrBv3x3bAQ/edit?resourcekey#gid=1321652304"",""Prop!$N$1:$X""),11,0),iferror(vlookup(B56,importrange(""https://docs.google.com/spreadsheets/d/1p53T2AuvvIqhP7Nf-bo3Uhj8cbKYRPpZdsrBv3x3bAQ/edit?resourcekey#gid=1321652304"",""Prop"&amp;"!$Y$1:$AI""),11,0),iferror(vlookup(B56,importrange(""https://docs.google.com/spreadsheets/d/1p53T2AuvvIqhP7Nf-bo3Uhj8cbKYRPpZdsrBv3x3bAQ/edit?resourcekey#gid=1321652304"",""Prop!$AJ$1:$AT""),11,0),iferror(vlookup(B56,importrange(""https://docs.google.com/"&amp;"spreadsheets/d/1p53T2AuvvIqhP7Nf-bo3Uhj8cbKYRPpZdsrBv3x3bAQ/edit?resourcekey#gid=1321652304"",""Prop!$AU$1:$BE""),11,0),iferror(vlookup(B56,importrange(""https://docs.google.com/spreadsheets/d/1p53T2AuvvIqhP7Nf-bo3Uhj8cbKYRPpZdsrBv3x3bAQ/edit?resourcekey#"&amp;"gid=1321652304"",""Prop!$BF$1:$BP""),11,0),iferror(vlookup(B56,importrange(""https://docs.google.com/spreadsheets/d/1p53T2AuvvIqhP7Nf-bo3Uhj8cbKYRPpZdsrBv3x3bAQ/edit?resourcekey#gid=1321652304"",""Prop!$BQ$1:$CA""),11,0),iferror(vlookup(B56,importrange("""&amp;"https://docs.google.com/spreadsheets/d/1p53T2AuvvIqhP7Nf-bo3Uhj8cbKYRPpZdsrBv3x3bAQ/edit?resourcekey#gid=1321652304"",""Prop!$CB$1:$CL""),11,0),iferror(vlookup(B56,importrange(""https://docs.google.com/spreadsheets/d/1p53T2AuvvIqhP7Nf-bo3Uhj8cbKYRPpZdsrBv"&amp;"3x3bAQ/edit?resourcekey#gid=1321652304"",""Prop!$CM$1:$CX""),11,0),iferror(vlookup(B56,importrange(""https://docs.google.com/spreadsheets/d/1p53T2AuvvIqhP7Nf-bo3Uhj8cbKYRPpZdsrBv3x3bAQ/edit?resourcekey#gid=1321652304"",""Prop!$CY$1:$DI""),11,0)))))))))))"),"")</f>
        <v/>
      </c>
      <c r="R56" s="20" t="s">
        <v>898</v>
      </c>
      <c r="S56" s="20" t="str">
        <f ca="1">IFERROR(__xludf.DUMMYFUNCTION("IFERROR(vlookup(B56,IMPORTRANGE(""https://docs.google.com/spreadsheets/d/1g_jfYYK_KeipEDNDUgqgrsxK94XiocfNQIcP-v1QVhI/edit?resourcekey#gid=233272945"",""Nilai!B:CT""),12,0),"" "")"),"")</f>
        <v/>
      </c>
      <c r="T56" s="20" t="str">
        <f ca="1">IFERROR(__xludf.DUMMYFUNCTION("IFERROR(vlookup(B56,IMPORTRANGE(""https://docs.google.com/spreadsheets/d/1g_jfYYK_KeipEDNDUgqgrsxK94XiocfNQIcP-v1QVhI/edit?resourcekey#gid=233272945"",""Nilai!B:CT""),97,0),"" "")")," ")</f>
        <v xml:space="preserve"> </v>
      </c>
      <c r="U56" s="32" t="s">
        <v>825</v>
      </c>
      <c r="V56" s="30" t="s">
        <v>899</v>
      </c>
      <c r="W56" s="23" t="s">
        <v>938</v>
      </c>
      <c r="X56" s="20" t="b">
        <v>0</v>
      </c>
    </row>
    <row r="57" spans="1:24">
      <c r="A57" s="15">
        <v>55</v>
      </c>
      <c r="B57" s="16">
        <f ca="1">IFERROR(__xludf.DUMMYFUNCTION("""COMPUTED_VALUE"""),3442)</f>
        <v>3442</v>
      </c>
      <c r="C57" s="16" t="str">
        <f ca="1">IFERROR(__xludf.DUMMYFUNCTION("""COMPUTED_VALUE"""),"MOH. RAFI BIMA ADI SAPUTRA")</f>
        <v>MOH. RAFI BIMA ADI SAPUTRA</v>
      </c>
      <c r="D57" s="16" t="str">
        <f ca="1">IFERROR(__xludf.DUMMYFUNCTION("""COMPUTED_VALUE"""),"2038201005")</f>
        <v>2038201005</v>
      </c>
      <c r="E57" s="16" t="str">
        <f ca="1">IFERROR(__xludf.DUMMYFUNCTION("""COMPUTED_VALUE"""),"Departemen Teknik Mesin Industri")</f>
        <v>Departemen Teknik Mesin Industri</v>
      </c>
      <c r="F57" s="16" t="str">
        <f ca="1">IFERROR(__xludf.DUMMYFUNCTION("""COMPUTED_VALUE"""),"PENAMBAHAN AERODYNAMICS DEVICE FRONT PADA MOBIL MARK 2 
ANARGYA ITS UNTUK MENINGKATKAN TRAKSI PADA BAN GUNA 
MENJAGA PERFORMA SAAT CORNERING")</f>
        <v>PENAMBAHAN AERODYNAMICS DEVICE FRONT PADA MOBIL MARK 2 
ANARGYA ITS UNTUK MENINGKATKAN TRAKSI PADA BAN GUNA 
MENJAGA PERFORMA SAAT CORNERING</v>
      </c>
      <c r="G57" s="16" t="str">
        <f ca="1">IFERROR(__xludf.DUMMYFUNCTION("""COMPUTED_VALUE"""),"Dr. Ir. Heru Mirmanto, M.T.")</f>
        <v>Dr. Ir. Heru Mirmanto, M.T.</v>
      </c>
      <c r="H57" s="16" t="str">
        <f ca="1">IFERROR(__xludf.DUMMYFUNCTION("""COMPUTED_VALUE"""),"Dian Mughni Fellicia, ST., M.Sc")</f>
        <v>Dian Mughni Fellicia, ST., M.Sc</v>
      </c>
      <c r="I57" s="16" t="str">
        <f ca="1">IFERROR(__xludf.DUMMYFUNCTION("""COMPUTED_VALUE"""),"Hariyati Purwaningsih, S.Si., M.Si.")</f>
        <v>Hariyati Purwaningsih, S.Si., M.Si.</v>
      </c>
      <c r="J57" s="16"/>
      <c r="K57" s="17" t="s">
        <v>937</v>
      </c>
      <c r="L57" s="23" t="s">
        <v>936</v>
      </c>
      <c r="M57" s="19" t="b">
        <v>0</v>
      </c>
      <c r="N57" s="19" t="b">
        <v>0</v>
      </c>
      <c r="O57" s="1" t="s">
        <v>935</v>
      </c>
      <c r="P57" s="7" t="str">
        <f ca="1">IFERROR(__xludf.DUMMYFUNCTION("iferror(vlookup(B57,importrange(""https://docs.google.com/spreadsheets/d/1boHyJQ4e2FU0QG8MHwEi6qjX4hvZWVCHcFfXjq7bbMc/edit?resourcekey#gid=923248883"",""Prop!$C$1:$M""),11,0),IFERROR(vlookup(B57,importrange(""https://docs.google.com/spreadsheets/d/1boHyJQ"&amp;"4e2FU0QG8MHwEi6qjX4hvZWVCHcFfXjq7bbMc/edit?resourcekey#gid=923248883"",""Prop!$N$1:$X""),11,0),iferror(vlookup(B57,importrange(""https://docs.google.com/spreadsheets/d/1boHyJQ4e2FU0QG8MHwEi6qjX4hvZWVCHcFfXjq7bbMc/edit?resourcekey#gid=923248883"",""Prop!$Y"&amp;"$1:$AI""),11,0),iferror(vlookup(B57,importrange(""https://docs.google.com/spreadsheets/d/1boHyJQ4e2FU0QG8MHwEi6qjX4hvZWVCHcFfXjq7bbMc/edit?resourcekey#gid=923248883"",""Prop!$AJ$1:$AT""),11,0),iferror(vlookup(B57,importrange(""https://docs.google.com/spre"&amp;"adsheets/d/1boHyJQ4e2FU0QG8MHwEi6qjX4hvZWVCHcFfXjq7bbMc/edit?resourcekey#gid=923248883"",""Prop!$AU$1:$BE""),11,0),iferror(vlookup(B57,importrange(""https://docs.google.com/spreadsheets/d/1boHyJQ4e2FU0QG8MHwEi6qjX4hvZWVCHcFfXjq7bbMc/edit?resourcekey#gid=9"&amp;"23248883"",""Prop!$BF$1:$BP""),11,0),iferror(vlookup(B57,importrange(""https://docs.google.com/spreadsheets/d/1boHyJQ4e2FU0QG8MHwEi6qjX4hvZWVCHcFfXjq7bbMc/edit?resourcekey#gid=923248883"",""Prop!$BQ$1:$CA""),11,0),iferror(vlookup(B57,importrange(""https:/"&amp;"/docs.google.com/spreadsheets/d/1boHyJQ4e2FU0QG8MHwEi6qjX4hvZWVCHcFfXjq7bbMc/edit?resourcekey#gid=923248883"",""Prop!$CB$1:$CL""),11,0),iferror(vlookup(B57,importrange(""https://docs.google.com/spreadsheets/d/1boHyJQ4e2FU0QG8MHwEi6qjX4hvZWVCHcFfXjq7bbMc/e"&amp;"dit?resourcekey#gid=923248883"",""Prop!$CM$1:$CX""),11,0),iferror(vlookup(B57,importrange(""https://docs.google.com/spreadsheets/d/1boHyJQ4e2FU0QG8MHwEi6qjX4hvZWVCHcFfXjq7bbMc/edit?resourcekey#gid=923248883"",""Prop!$CY$1:$DI""),11,0)))))))))))"),"https://drive.google.com/open?id=1IJ4G7pHCyuhcvtKoae0cztFYKAUcUra1")</f>
        <v>https://drive.google.com/open?id=1IJ4G7pHCyuhcvtKoae0cztFYKAUcUra1</v>
      </c>
      <c r="Q57" s="7" t="str">
        <f ca="1">IFERROR(__xludf.DUMMYFUNCTION("iferror(vlookup(B57,importrange(""https://docs.google.com/spreadsheets/d/1p53T2AuvvIqhP7Nf-bo3Uhj8cbKYRPpZdsrBv3x3bAQ/edit?resourcekey#gid=1321652304"",""Prop!$C$1:$M""),11,0),IFERROR(vlookup(B57,importrange(""https://docs.google.com/spreadsheets/d/1p53T2"&amp;"AuvvIqhP7Nf-bo3Uhj8cbKYRPpZdsrBv3x3bAQ/edit?resourcekey#gid=1321652304"",""Prop!$N$1:$X""),11,0),iferror(vlookup(B57,importrange(""https://docs.google.com/spreadsheets/d/1p53T2AuvvIqhP7Nf-bo3Uhj8cbKYRPpZdsrBv3x3bAQ/edit?resourcekey#gid=1321652304"",""Prop"&amp;"!$Y$1:$AI""),11,0),iferror(vlookup(B57,importrange(""https://docs.google.com/spreadsheets/d/1p53T2AuvvIqhP7Nf-bo3Uhj8cbKYRPpZdsrBv3x3bAQ/edit?resourcekey#gid=1321652304"",""Prop!$AJ$1:$AT""),11,0),iferror(vlookup(B57,importrange(""https://docs.google.com/"&amp;"spreadsheets/d/1p53T2AuvvIqhP7Nf-bo3Uhj8cbKYRPpZdsrBv3x3bAQ/edit?resourcekey#gid=1321652304"",""Prop!$AU$1:$BE""),11,0),iferror(vlookup(B57,importrange(""https://docs.google.com/spreadsheets/d/1p53T2AuvvIqhP7Nf-bo3Uhj8cbKYRPpZdsrBv3x3bAQ/edit?resourcekey#"&amp;"gid=1321652304"",""Prop!$BF$1:$BP""),11,0),iferror(vlookup(B57,importrange(""https://docs.google.com/spreadsheets/d/1p53T2AuvvIqhP7Nf-bo3Uhj8cbKYRPpZdsrBv3x3bAQ/edit?resourcekey#gid=1321652304"",""Prop!$BQ$1:$CA""),11,0),iferror(vlookup(B57,importrange("""&amp;"https://docs.google.com/spreadsheets/d/1p53T2AuvvIqhP7Nf-bo3Uhj8cbKYRPpZdsrBv3x3bAQ/edit?resourcekey#gid=1321652304"",""Prop!$CB$1:$CL""),11,0),iferror(vlookup(B57,importrange(""https://docs.google.com/spreadsheets/d/1p53T2AuvvIqhP7Nf-bo3Uhj8cbKYRPpZdsrBv"&amp;"3x3bAQ/edit?resourcekey#gid=1321652304"",""Prop!$CM$1:$CX""),11,0),iferror(vlookup(B57,importrange(""https://docs.google.com/spreadsheets/d/1p53T2AuvvIqhP7Nf-bo3Uhj8cbKYRPpZdsrBv3x3bAQ/edit?resourcekey#gid=1321652304"",""Prop!$CY$1:$DI""),11,0)))))))))))"),"https://drive.google.com/open?id=1gd-dSphEPN-IIvtPP8nK_Dm6eVJxGcGT")</f>
        <v>https://drive.google.com/open?id=1gd-dSphEPN-IIvtPP8nK_Dm6eVJxGcGT</v>
      </c>
      <c r="R57" s="20" t="s">
        <v>898</v>
      </c>
      <c r="S57" s="20" t="str">
        <f ca="1">IFERROR(__xludf.DUMMYFUNCTION("IFERROR(vlookup(B57,IMPORTRANGE(""https://docs.google.com/spreadsheets/d/1g_jfYYK_KeipEDNDUgqgrsxK94XiocfNQIcP-v1QVhI/edit?resourcekey#gid=233272945"",""Nilai!B:CT""),12,0),"" "")"),"konsistensi spasi")</f>
        <v>konsistensi spasi</v>
      </c>
      <c r="T57" s="20" t="str">
        <f ca="1">IFERROR(__xludf.DUMMYFUNCTION("IFERROR(vlookup(B57,IMPORTRANGE(""https://docs.google.com/spreadsheets/d/1g_jfYYK_KeipEDNDUgqgrsxK94XiocfNQIcP-v1QVhI/edit?resourcekey#gid=233272945"",""Nilai!B:CT""),97,0),"" "")"),"LAYAK UPLOAD KE SIMBELMAWA DENGAN REVISI")</f>
        <v>LAYAK UPLOAD KE SIMBELMAWA DENGAN REVISI</v>
      </c>
      <c r="U57" s="32" t="s">
        <v>825</v>
      </c>
      <c r="V57" s="30" t="s">
        <v>899</v>
      </c>
      <c r="W57" s="23" t="s">
        <v>939</v>
      </c>
      <c r="X57" s="20" t="b">
        <v>0</v>
      </c>
    </row>
    <row r="58" spans="1:24">
      <c r="A58" s="15">
        <v>56</v>
      </c>
      <c r="B58" s="16">
        <f ca="1">IFERROR(__xludf.DUMMYFUNCTION("""COMPUTED_VALUE"""),3713)</f>
        <v>3713</v>
      </c>
      <c r="C58" s="16" t="str">
        <f ca="1">IFERROR(__xludf.DUMMYFUNCTION("""COMPUTED_VALUE"""),"Muhammad Yusuf Al Ghifari")</f>
        <v>Muhammad Yusuf Al Ghifari</v>
      </c>
      <c r="D58" s="16" t="str">
        <f ca="1">IFERROR(__xludf.DUMMYFUNCTION("""COMPUTED_VALUE"""),"08111840000005")</f>
        <v>08111840000005</v>
      </c>
      <c r="E58" s="16" t="str">
        <f ca="1">IFERROR(__xludf.DUMMYFUNCTION("""COMPUTED_VALUE"""),"Departemen Arsitektur")</f>
        <v>Departemen Arsitektur</v>
      </c>
      <c r="F58" s="16" t="str">
        <f ca="1">IFERROR(__xludf.DUMMYFUNCTION("""COMPUTED_VALUE"""),"Perjalanan Arsitektur Bawean Merespon Perkembangan Zaman")</f>
        <v>Perjalanan Arsitektur Bawean Merespon Perkembangan Zaman</v>
      </c>
      <c r="G58" s="16" t="str">
        <f ca="1">IFERROR(__xludf.DUMMYFUNCTION("""COMPUTED_VALUE"""),"Dr.Eng. Didit Novianto, S.T., M.Eng.")</f>
        <v>Dr.Eng. Didit Novianto, S.T., M.Eng.</v>
      </c>
      <c r="H58" s="16" t="str">
        <f ca="1">IFERROR(__xludf.DUMMYFUNCTION("""COMPUTED_VALUE"""),"Dian Mughni Fellicia, ST., M.Sc")</f>
        <v>Dian Mughni Fellicia, ST., M.Sc</v>
      </c>
      <c r="I58" s="16" t="str">
        <f ca="1">IFERROR(__xludf.DUMMYFUNCTION("""COMPUTED_VALUE"""),"Hariyati Purwaningsih, S.Si., M.Si.")</f>
        <v>Hariyati Purwaningsih, S.Si., M.Si.</v>
      </c>
      <c r="J58" s="16"/>
      <c r="K58" s="17" t="s">
        <v>937</v>
      </c>
      <c r="L58" s="23" t="s">
        <v>940</v>
      </c>
      <c r="M58" s="19" t="b">
        <v>0</v>
      </c>
      <c r="N58" s="19" t="b">
        <v>0</v>
      </c>
      <c r="O58" s="1" t="s">
        <v>935</v>
      </c>
      <c r="P58" s="1" t="str">
        <f ca="1">IFERROR(__xludf.DUMMYFUNCTION("iferror(vlookup(B58,importrange(""https://docs.google.com/spreadsheets/d/1boHyJQ4e2FU0QG8MHwEi6qjX4hvZWVCHcFfXjq7bbMc/edit?resourcekey#gid=923248883"",""Prop!$C$1:$M""),11,0),IFERROR(vlookup(B58,importrange(""https://docs.google.com/spreadsheets/d/1boHyJQ"&amp;"4e2FU0QG8MHwEi6qjX4hvZWVCHcFfXjq7bbMc/edit?resourcekey#gid=923248883"",""Prop!$N$1:$X""),11,0),iferror(vlookup(B58,importrange(""https://docs.google.com/spreadsheets/d/1boHyJQ4e2FU0QG8MHwEi6qjX4hvZWVCHcFfXjq7bbMc/edit?resourcekey#gid=923248883"",""Prop!$Y"&amp;"$1:$AI""),11,0),iferror(vlookup(B58,importrange(""https://docs.google.com/spreadsheets/d/1boHyJQ4e2FU0QG8MHwEi6qjX4hvZWVCHcFfXjq7bbMc/edit?resourcekey#gid=923248883"",""Prop!$AJ$1:$AT""),11,0),iferror(vlookup(B58,importrange(""https://docs.google.com/spre"&amp;"adsheets/d/1boHyJQ4e2FU0QG8MHwEi6qjX4hvZWVCHcFfXjq7bbMc/edit?resourcekey#gid=923248883"",""Prop!$AU$1:$BE""),11,0),iferror(vlookup(B58,importrange(""https://docs.google.com/spreadsheets/d/1boHyJQ4e2FU0QG8MHwEi6qjX4hvZWVCHcFfXjq7bbMc/edit?resourcekey#gid=9"&amp;"23248883"",""Prop!$BF$1:$BP""),11,0),iferror(vlookup(B58,importrange(""https://docs.google.com/spreadsheets/d/1boHyJQ4e2FU0QG8MHwEi6qjX4hvZWVCHcFfXjq7bbMc/edit?resourcekey#gid=923248883"",""Prop!$BQ$1:$CA""),11,0),iferror(vlookup(B58,importrange(""https:/"&amp;"/docs.google.com/spreadsheets/d/1boHyJQ4e2FU0QG8MHwEi6qjX4hvZWVCHcFfXjq7bbMc/edit?resourcekey#gid=923248883"",""Prop!$CB$1:$CL""),11,0),iferror(vlookup(B58,importrange(""https://docs.google.com/spreadsheets/d/1boHyJQ4e2FU0QG8MHwEi6qjX4hvZWVCHcFfXjq7bbMc/e"&amp;"dit?resourcekey#gid=923248883"",""Prop!$CM$1:$CX""),11,0),iferror(vlookup(B58,importrange(""https://docs.google.com/spreadsheets/d/1boHyJQ4e2FU0QG8MHwEi6qjX4hvZWVCHcFfXjq7bbMc/edit?resourcekey#gid=923248883"",""Prop!$CY$1:$DI""),11,0)))))))))))"),"")</f>
        <v/>
      </c>
      <c r="Q58" s="1" t="str">
        <f ca="1">IFERROR(__xludf.DUMMYFUNCTION("iferror(vlookup(B58,importrange(""https://docs.google.com/spreadsheets/d/1p53T2AuvvIqhP7Nf-bo3Uhj8cbKYRPpZdsrBv3x3bAQ/edit?resourcekey#gid=1321652304"",""Prop!$C$1:$M""),11,0),IFERROR(vlookup(B58,importrange(""https://docs.google.com/spreadsheets/d/1p53T2"&amp;"AuvvIqhP7Nf-bo3Uhj8cbKYRPpZdsrBv3x3bAQ/edit?resourcekey#gid=1321652304"",""Prop!$N$1:$X""),11,0),iferror(vlookup(B58,importrange(""https://docs.google.com/spreadsheets/d/1p53T2AuvvIqhP7Nf-bo3Uhj8cbKYRPpZdsrBv3x3bAQ/edit?resourcekey#gid=1321652304"",""Prop"&amp;"!$Y$1:$AI""),11,0),iferror(vlookup(B58,importrange(""https://docs.google.com/spreadsheets/d/1p53T2AuvvIqhP7Nf-bo3Uhj8cbKYRPpZdsrBv3x3bAQ/edit?resourcekey#gid=1321652304"",""Prop!$AJ$1:$AT""),11,0),iferror(vlookup(B58,importrange(""https://docs.google.com/"&amp;"spreadsheets/d/1p53T2AuvvIqhP7Nf-bo3Uhj8cbKYRPpZdsrBv3x3bAQ/edit?resourcekey#gid=1321652304"",""Prop!$AU$1:$BE""),11,0),iferror(vlookup(B58,importrange(""https://docs.google.com/spreadsheets/d/1p53T2AuvvIqhP7Nf-bo3Uhj8cbKYRPpZdsrBv3x3bAQ/edit?resourcekey#"&amp;"gid=1321652304"",""Prop!$BF$1:$BP""),11,0),iferror(vlookup(B58,importrange(""https://docs.google.com/spreadsheets/d/1p53T2AuvvIqhP7Nf-bo3Uhj8cbKYRPpZdsrBv3x3bAQ/edit?resourcekey#gid=1321652304"",""Prop!$BQ$1:$CA""),11,0),iferror(vlookup(B58,importrange("""&amp;"https://docs.google.com/spreadsheets/d/1p53T2AuvvIqhP7Nf-bo3Uhj8cbKYRPpZdsrBv3x3bAQ/edit?resourcekey#gid=1321652304"",""Prop!$CB$1:$CL""),11,0),iferror(vlookup(B58,importrange(""https://docs.google.com/spreadsheets/d/1p53T2AuvvIqhP7Nf-bo3Uhj8cbKYRPpZdsrBv"&amp;"3x3bAQ/edit?resourcekey#gid=1321652304"",""Prop!$CM$1:$CX""),11,0),iferror(vlookup(B58,importrange(""https://docs.google.com/spreadsheets/d/1p53T2AuvvIqhP7Nf-bo3Uhj8cbKYRPpZdsrBv3x3bAQ/edit?resourcekey#gid=1321652304"",""Prop!$CY$1:$DI""),11,0)))))))))))"),"")</f>
        <v/>
      </c>
      <c r="R58" s="20" t="s">
        <v>898</v>
      </c>
      <c r="S58" s="20" t="str">
        <f ca="1">IFERROR(__xludf.DUMMYFUNCTION("IFERROR(vlookup(B58,IMPORTRANGE(""https://docs.google.com/spreadsheets/d/1g_jfYYK_KeipEDNDUgqgrsxK94XiocfNQIcP-v1QVhI/edit?resourcekey#gid=233272945"",""Nilai!B:CT""),12,0),"" "")"),"")</f>
        <v/>
      </c>
      <c r="T58" s="20" t="str">
        <f ca="1">IFERROR(__xludf.DUMMYFUNCTION("IFERROR(vlookup(B58,IMPORTRANGE(""https://docs.google.com/spreadsheets/d/1g_jfYYK_KeipEDNDUgqgrsxK94XiocfNQIcP-v1QVhI/edit?resourcekey#gid=233272945"",""Nilai!B:CT""),97,0),"" "")")," ")</f>
        <v xml:space="preserve"> </v>
      </c>
      <c r="U58" s="32" t="s">
        <v>825</v>
      </c>
      <c r="V58" s="30" t="s">
        <v>899</v>
      </c>
      <c r="W58" s="23" t="s">
        <v>939</v>
      </c>
      <c r="X58" s="20" t="b">
        <v>0</v>
      </c>
    </row>
    <row r="59" spans="1:24">
      <c r="A59" s="15">
        <v>57</v>
      </c>
      <c r="B59" s="16">
        <f ca="1">IFERROR(__xludf.DUMMYFUNCTION("""COMPUTED_VALUE"""),3752)</f>
        <v>3752</v>
      </c>
      <c r="C59" s="16" t="str">
        <f ca="1">IFERROR(__xludf.DUMMYFUNCTION("""COMPUTED_VALUE"""),"MILANIA ANNISA ROSVIN")</f>
        <v>MILANIA ANNISA ROSVIN</v>
      </c>
      <c r="D59" s="16" t="str">
        <f ca="1">IFERROR(__xludf.DUMMYFUNCTION("""COMPUTED_VALUE"""),"03411840000035")</f>
        <v>03411840000035</v>
      </c>
      <c r="E59" s="16" t="str">
        <f ca="1">IFERROR(__xludf.DUMMYFUNCTION("""COMPUTED_VALUE"""),"Departemen Teknik Geofisika")</f>
        <v>Departemen Teknik Geofisika</v>
      </c>
      <c r="F59" s="16" t="str">
        <f ca="1">IFERROR(__xludf.DUMMYFUNCTION("""COMPUTED_VALUE"""),"PEMETAAN PERSEBARAN NILAI KERENTANAN TANAH MELALUI PENGOLAHAN DATA AKUISISI METODE MIKROTREMOR")</f>
        <v>PEMETAAN PERSEBARAN NILAI KERENTANAN TANAH MELALUI PENGOLAHAN DATA AKUISISI METODE MIKROTREMOR</v>
      </c>
      <c r="G59" s="16" t="str">
        <f ca="1">IFERROR(__xludf.DUMMYFUNCTION("""COMPUTED_VALUE"""),"Wien Lestari, S.T., M.T.")</f>
        <v>Wien Lestari, S.T., M.T.</v>
      </c>
      <c r="H59" s="16" t="str">
        <f ca="1">IFERROR(__xludf.DUMMYFUNCTION("""COMPUTED_VALUE"""),"Dr.-Ing. Doty Dewi Risanti, S.T., M.T.")</f>
        <v>Dr.-Ing. Doty Dewi Risanti, S.T., M.T.</v>
      </c>
      <c r="I59" s="16" t="str">
        <f ca="1">IFERROR(__xludf.DUMMYFUNCTION("""COMPUTED_VALUE"""),"Hariyati Purwaningsih, S.Si., M.Si.")</f>
        <v>Hariyati Purwaningsih, S.Si., M.Si.</v>
      </c>
      <c r="J59" s="16"/>
      <c r="K59" s="17" t="s">
        <v>937</v>
      </c>
      <c r="L59" s="23" t="s">
        <v>940</v>
      </c>
      <c r="M59" s="19" t="b">
        <v>0</v>
      </c>
      <c r="N59" s="19" t="b">
        <v>0</v>
      </c>
      <c r="O59" s="1" t="s">
        <v>935</v>
      </c>
      <c r="P59" s="1" t="str">
        <f ca="1">IFERROR(__xludf.DUMMYFUNCTION("iferror(vlookup(B59,importrange(""https://docs.google.com/spreadsheets/d/1boHyJQ4e2FU0QG8MHwEi6qjX4hvZWVCHcFfXjq7bbMc/edit?resourcekey#gid=923248883"",""Prop!$C$1:$M""),11,0),IFERROR(vlookup(B59,importrange(""https://docs.google.com/spreadsheets/d/1boHyJQ"&amp;"4e2FU0QG8MHwEi6qjX4hvZWVCHcFfXjq7bbMc/edit?resourcekey#gid=923248883"",""Prop!$N$1:$X""),11,0),iferror(vlookup(B59,importrange(""https://docs.google.com/spreadsheets/d/1boHyJQ4e2FU0QG8MHwEi6qjX4hvZWVCHcFfXjq7bbMc/edit?resourcekey#gid=923248883"",""Prop!$Y"&amp;"$1:$AI""),11,0),iferror(vlookup(B59,importrange(""https://docs.google.com/spreadsheets/d/1boHyJQ4e2FU0QG8MHwEi6qjX4hvZWVCHcFfXjq7bbMc/edit?resourcekey#gid=923248883"",""Prop!$AJ$1:$AT""),11,0),iferror(vlookup(B59,importrange(""https://docs.google.com/spre"&amp;"adsheets/d/1boHyJQ4e2FU0QG8MHwEi6qjX4hvZWVCHcFfXjq7bbMc/edit?resourcekey#gid=923248883"",""Prop!$AU$1:$BE""),11,0),iferror(vlookup(B59,importrange(""https://docs.google.com/spreadsheets/d/1boHyJQ4e2FU0QG8MHwEi6qjX4hvZWVCHcFfXjq7bbMc/edit?resourcekey#gid=9"&amp;"23248883"",""Prop!$BF$1:$BP""),11,0),iferror(vlookup(B59,importrange(""https://docs.google.com/spreadsheets/d/1boHyJQ4e2FU0QG8MHwEi6qjX4hvZWVCHcFfXjq7bbMc/edit?resourcekey#gid=923248883"",""Prop!$BQ$1:$CA""),11,0),iferror(vlookup(B59,importrange(""https:/"&amp;"/docs.google.com/spreadsheets/d/1boHyJQ4e2FU0QG8MHwEi6qjX4hvZWVCHcFfXjq7bbMc/edit?resourcekey#gid=923248883"",""Prop!$CB$1:$CL""),11,0),iferror(vlookup(B59,importrange(""https://docs.google.com/spreadsheets/d/1boHyJQ4e2FU0QG8MHwEi6qjX4hvZWVCHcFfXjq7bbMc/e"&amp;"dit?resourcekey#gid=923248883"",""Prop!$CM$1:$CX""),11,0),iferror(vlookup(B59,importrange(""https://docs.google.com/spreadsheets/d/1boHyJQ4e2FU0QG8MHwEi6qjX4hvZWVCHcFfXjq7bbMc/edit?resourcekey#gid=923248883"",""Prop!$CY$1:$DI""),11,0)))))))))))"),"")</f>
        <v/>
      </c>
      <c r="Q59" s="1" t="str">
        <f ca="1">IFERROR(__xludf.DUMMYFUNCTION("iferror(vlookup(B59,importrange(""https://docs.google.com/spreadsheets/d/1p53T2AuvvIqhP7Nf-bo3Uhj8cbKYRPpZdsrBv3x3bAQ/edit?resourcekey#gid=1321652304"",""Prop!$C$1:$M""),11,0),IFERROR(vlookup(B59,importrange(""https://docs.google.com/spreadsheets/d/1p53T2"&amp;"AuvvIqhP7Nf-bo3Uhj8cbKYRPpZdsrBv3x3bAQ/edit?resourcekey#gid=1321652304"",""Prop!$N$1:$X""),11,0),iferror(vlookup(B59,importrange(""https://docs.google.com/spreadsheets/d/1p53T2AuvvIqhP7Nf-bo3Uhj8cbKYRPpZdsrBv3x3bAQ/edit?resourcekey#gid=1321652304"",""Prop"&amp;"!$Y$1:$AI""),11,0),iferror(vlookup(B59,importrange(""https://docs.google.com/spreadsheets/d/1p53T2AuvvIqhP7Nf-bo3Uhj8cbKYRPpZdsrBv3x3bAQ/edit?resourcekey#gid=1321652304"",""Prop!$AJ$1:$AT""),11,0),iferror(vlookup(B59,importrange(""https://docs.google.com/"&amp;"spreadsheets/d/1p53T2AuvvIqhP7Nf-bo3Uhj8cbKYRPpZdsrBv3x3bAQ/edit?resourcekey#gid=1321652304"",""Prop!$AU$1:$BE""),11,0),iferror(vlookup(B59,importrange(""https://docs.google.com/spreadsheets/d/1p53T2AuvvIqhP7Nf-bo3Uhj8cbKYRPpZdsrBv3x3bAQ/edit?resourcekey#"&amp;"gid=1321652304"",""Prop!$BF$1:$BP""),11,0),iferror(vlookup(B59,importrange(""https://docs.google.com/spreadsheets/d/1p53T2AuvvIqhP7Nf-bo3Uhj8cbKYRPpZdsrBv3x3bAQ/edit?resourcekey#gid=1321652304"",""Prop!$BQ$1:$CA""),11,0),iferror(vlookup(B59,importrange("""&amp;"https://docs.google.com/spreadsheets/d/1p53T2AuvvIqhP7Nf-bo3Uhj8cbKYRPpZdsrBv3x3bAQ/edit?resourcekey#gid=1321652304"",""Prop!$CB$1:$CL""),11,0),iferror(vlookup(B59,importrange(""https://docs.google.com/spreadsheets/d/1p53T2AuvvIqhP7Nf-bo3Uhj8cbKYRPpZdsrBv"&amp;"3x3bAQ/edit?resourcekey#gid=1321652304"",""Prop!$CM$1:$CX""),11,0),iferror(vlookup(B59,importrange(""https://docs.google.com/spreadsheets/d/1p53T2AuvvIqhP7Nf-bo3Uhj8cbKYRPpZdsrBv3x3bAQ/edit?resourcekey#gid=1321652304"",""Prop!$CY$1:$DI""),11,0)))))))))))"),"")</f>
        <v/>
      </c>
      <c r="R59" s="20" t="s">
        <v>898</v>
      </c>
      <c r="S59" s="20" t="str">
        <f ca="1">IFERROR(__xludf.DUMMYFUNCTION("IFERROR(vlookup(B59,IMPORTRANGE(""https://docs.google.com/spreadsheets/d/1g_jfYYK_KeipEDNDUgqgrsxK94XiocfNQIcP-v1QVhI/edit?resourcekey#gid=233272945"",""Nilai!B:CT""),12,0),"" "")"),"")</f>
        <v/>
      </c>
      <c r="T59" s="20" t="str">
        <f ca="1">IFERROR(__xludf.DUMMYFUNCTION("IFERROR(vlookup(B59,IMPORTRANGE(""https://docs.google.com/spreadsheets/d/1g_jfYYK_KeipEDNDUgqgrsxK94XiocfNQIcP-v1QVhI/edit?resourcekey#gid=233272945"",""Nilai!B:CT""),97,0),"" "")")," ")</f>
        <v xml:space="preserve"> </v>
      </c>
      <c r="U59" s="32" t="s">
        <v>825</v>
      </c>
      <c r="V59" s="30" t="s">
        <v>899</v>
      </c>
      <c r="W59" s="23" t="s">
        <v>939</v>
      </c>
      <c r="X59" s="20" t="b">
        <v>0</v>
      </c>
    </row>
    <row r="60" spans="1:24">
      <c r="A60" s="15">
        <v>58</v>
      </c>
      <c r="B60" s="16">
        <f ca="1">IFERROR(__xludf.DUMMYFUNCTION("""COMPUTED_VALUE"""),3943)</f>
        <v>3943</v>
      </c>
      <c r="C60" s="16" t="str">
        <f ca="1">IFERROR(__xludf.DUMMYFUNCTION("""COMPUTED_VALUE"""),"Faizin Prasetyo")</f>
        <v>Faizin Prasetyo</v>
      </c>
      <c r="D60" s="16" t="str">
        <f ca="1">IFERROR(__xludf.DUMMYFUNCTION("""COMPUTED_VALUE"""),"2043211037")</f>
        <v>2043211037</v>
      </c>
      <c r="E60" s="16" t="str">
        <f ca="1">IFERROR(__xludf.DUMMYFUNCTION("""COMPUTED_VALUE"""),"Departemen Statistika Bisnis")</f>
        <v>Departemen Statistika Bisnis</v>
      </c>
      <c r="F60" s="16" t="str">
        <f ca="1">IFERROR(__xludf.DUMMYFUNCTION("""COMPUTED_VALUE"""),"ANALISIS PENGARUH KUALITAS PRODUK, HARGA, DAN PROMOSI TERHADAP KEPUTUSAN PEMBELIAN AIR MINUM DALAM KEMASAN (AMDK)")</f>
        <v>ANALISIS PENGARUH KUALITAS PRODUK, HARGA, DAN PROMOSI TERHADAP KEPUTUSAN PEMBELIAN AIR MINUM DALAM KEMASAN (AMDK)</v>
      </c>
      <c r="G60" s="16" t="str">
        <f ca="1">IFERROR(__xludf.DUMMYFUNCTION("""COMPUTED_VALUE"""),"Ir. Sri Pingit Wulandari, M.Si.")</f>
        <v>Ir. Sri Pingit Wulandari, M.Si.</v>
      </c>
      <c r="H60" s="16" t="str">
        <f ca="1">IFERROR(__xludf.DUMMYFUNCTION("""COMPUTED_VALUE"""),"Dian Mughni Fellicia, ST., M.Sc")</f>
        <v>Dian Mughni Fellicia, ST., M.Sc</v>
      </c>
      <c r="I60" s="16" t="str">
        <f ca="1">IFERROR(__xludf.DUMMYFUNCTION("""COMPUTED_VALUE"""),"Hariyati Purwaningsih, S.Si., M.Si.")</f>
        <v>Hariyati Purwaningsih, S.Si., M.Si.</v>
      </c>
      <c r="J60" s="16"/>
      <c r="K60" s="17" t="s">
        <v>937</v>
      </c>
      <c r="L60" s="23" t="s">
        <v>940</v>
      </c>
      <c r="M60" s="19" t="b">
        <v>0</v>
      </c>
      <c r="N60" s="19" t="b">
        <v>0</v>
      </c>
      <c r="O60" s="1" t="s">
        <v>935</v>
      </c>
      <c r="P60" s="7" t="str">
        <f ca="1">IFERROR(__xludf.DUMMYFUNCTION("iferror(vlookup(B60,importrange(""https://docs.google.com/spreadsheets/d/1boHyJQ4e2FU0QG8MHwEi6qjX4hvZWVCHcFfXjq7bbMc/edit?resourcekey#gid=923248883"",""Prop!$C$1:$M""),11,0),IFERROR(vlookup(B60,importrange(""https://docs.google.com/spreadsheets/d/1boHyJQ"&amp;"4e2FU0QG8MHwEi6qjX4hvZWVCHcFfXjq7bbMc/edit?resourcekey#gid=923248883"",""Prop!$N$1:$X""),11,0),iferror(vlookup(B60,importrange(""https://docs.google.com/spreadsheets/d/1boHyJQ4e2FU0QG8MHwEi6qjX4hvZWVCHcFfXjq7bbMc/edit?resourcekey#gid=923248883"",""Prop!$Y"&amp;"$1:$AI""),11,0),iferror(vlookup(B60,importrange(""https://docs.google.com/spreadsheets/d/1boHyJQ4e2FU0QG8MHwEi6qjX4hvZWVCHcFfXjq7bbMc/edit?resourcekey#gid=923248883"",""Prop!$AJ$1:$AT""),11,0),iferror(vlookup(B60,importrange(""https://docs.google.com/spre"&amp;"adsheets/d/1boHyJQ4e2FU0QG8MHwEi6qjX4hvZWVCHcFfXjq7bbMc/edit?resourcekey#gid=923248883"",""Prop!$AU$1:$BE""),11,0),iferror(vlookup(B60,importrange(""https://docs.google.com/spreadsheets/d/1boHyJQ4e2FU0QG8MHwEi6qjX4hvZWVCHcFfXjq7bbMc/edit?resourcekey#gid=9"&amp;"23248883"",""Prop!$BF$1:$BP""),11,0),iferror(vlookup(B60,importrange(""https://docs.google.com/spreadsheets/d/1boHyJQ4e2FU0QG8MHwEi6qjX4hvZWVCHcFfXjq7bbMc/edit?resourcekey#gid=923248883"",""Prop!$BQ$1:$CA""),11,0),iferror(vlookup(B60,importrange(""https:/"&amp;"/docs.google.com/spreadsheets/d/1boHyJQ4e2FU0QG8MHwEi6qjX4hvZWVCHcFfXjq7bbMc/edit?resourcekey#gid=923248883"",""Prop!$CB$1:$CL""),11,0),iferror(vlookup(B60,importrange(""https://docs.google.com/spreadsheets/d/1boHyJQ4e2FU0QG8MHwEi6qjX4hvZWVCHcFfXjq7bbMc/e"&amp;"dit?resourcekey#gid=923248883"",""Prop!$CM$1:$CX""),11,0),iferror(vlookup(B60,importrange(""https://docs.google.com/spreadsheets/d/1boHyJQ4e2FU0QG8MHwEi6qjX4hvZWVCHcFfXjq7bbMc/edit?resourcekey#gid=923248883"",""Prop!$CY$1:$DI""),11,0)))))))))))"),"https://drive.google.com/open?id=1aWO9YHtkG6CmBIYZccR372urq8UVfzQN")</f>
        <v>https://drive.google.com/open?id=1aWO9YHtkG6CmBIYZccR372urq8UVfzQN</v>
      </c>
      <c r="Q60" s="1" t="str">
        <f ca="1">IFERROR(__xludf.DUMMYFUNCTION("iferror(vlookup(B60,importrange(""https://docs.google.com/spreadsheets/d/1p53T2AuvvIqhP7Nf-bo3Uhj8cbKYRPpZdsrBv3x3bAQ/edit?resourcekey#gid=1321652304"",""Prop!$C$1:$M""),11,0),IFERROR(vlookup(B60,importrange(""https://docs.google.com/spreadsheets/d/1p53T2"&amp;"AuvvIqhP7Nf-bo3Uhj8cbKYRPpZdsrBv3x3bAQ/edit?resourcekey#gid=1321652304"",""Prop!$N$1:$X""),11,0),iferror(vlookup(B60,importrange(""https://docs.google.com/spreadsheets/d/1p53T2AuvvIqhP7Nf-bo3Uhj8cbKYRPpZdsrBv3x3bAQ/edit?resourcekey#gid=1321652304"",""Prop"&amp;"!$Y$1:$AI""),11,0),iferror(vlookup(B60,importrange(""https://docs.google.com/spreadsheets/d/1p53T2AuvvIqhP7Nf-bo3Uhj8cbKYRPpZdsrBv3x3bAQ/edit?resourcekey#gid=1321652304"",""Prop!$AJ$1:$AT""),11,0),iferror(vlookup(B60,importrange(""https://docs.google.com/"&amp;"spreadsheets/d/1p53T2AuvvIqhP7Nf-bo3Uhj8cbKYRPpZdsrBv3x3bAQ/edit?resourcekey#gid=1321652304"",""Prop!$AU$1:$BE""),11,0),iferror(vlookup(B60,importrange(""https://docs.google.com/spreadsheets/d/1p53T2AuvvIqhP7Nf-bo3Uhj8cbKYRPpZdsrBv3x3bAQ/edit?resourcekey#"&amp;"gid=1321652304"",""Prop!$BF$1:$BP""),11,0),iferror(vlookup(B60,importrange(""https://docs.google.com/spreadsheets/d/1p53T2AuvvIqhP7Nf-bo3Uhj8cbKYRPpZdsrBv3x3bAQ/edit?resourcekey#gid=1321652304"",""Prop!$BQ$1:$CA""),11,0),iferror(vlookup(B60,importrange("""&amp;"https://docs.google.com/spreadsheets/d/1p53T2AuvvIqhP7Nf-bo3Uhj8cbKYRPpZdsrBv3x3bAQ/edit?resourcekey#gid=1321652304"",""Prop!$CB$1:$CL""),11,0),iferror(vlookup(B60,importrange(""https://docs.google.com/spreadsheets/d/1p53T2AuvvIqhP7Nf-bo3Uhj8cbKYRPpZdsrBv"&amp;"3x3bAQ/edit?resourcekey#gid=1321652304"",""Prop!$CM$1:$CX""),11,0),iferror(vlookup(B60,importrange(""https://docs.google.com/spreadsheets/d/1p53T2AuvvIqhP7Nf-bo3Uhj8cbKYRPpZdsrBv3x3bAQ/edit?resourcekey#gid=1321652304"",""Prop!$CY$1:$DI""),11,0)))))))))))"),"")</f>
        <v/>
      </c>
      <c r="R60" s="20" t="s">
        <v>898</v>
      </c>
      <c r="S60" s="20" t="str">
        <f ca="1">IFERROR(__xludf.DUMMYFUNCTION("IFERROR(vlookup(B60,IMPORTRANGE(""https://docs.google.com/spreadsheets/d/1g_jfYYK_KeipEDNDUgqgrsxK94XiocfNQIcP-v1QVhI/edit?resourcekey#gid=233272945"",""Nilai!B:CT""),12,0),"" "")"),"tidak jelas")</f>
        <v>tidak jelas</v>
      </c>
      <c r="T60" s="20" t="str">
        <f ca="1">IFERROR(__xludf.DUMMYFUNCTION("IFERROR(vlookup(B60,IMPORTRANGE(""https://docs.google.com/spreadsheets/d/1g_jfYYK_KeipEDNDUgqgrsxK94XiocfNQIcP-v1QVhI/edit?resourcekey#gid=233272945"",""Nilai!B:CT""),97,0),"" "")"),"TIDAK LAYAK UPLOAD KE SIMBELMAWA")</f>
        <v>TIDAK LAYAK UPLOAD KE SIMBELMAWA</v>
      </c>
      <c r="U60" s="32" t="s">
        <v>825</v>
      </c>
      <c r="V60" s="30" t="s">
        <v>899</v>
      </c>
      <c r="W60" s="23" t="s">
        <v>941</v>
      </c>
      <c r="X60" s="20" t="b">
        <v>0</v>
      </c>
    </row>
    <row r="61" spans="1:24">
      <c r="A61" s="15">
        <v>59</v>
      </c>
      <c r="B61" s="16">
        <f ca="1">IFERROR(__xludf.DUMMYFUNCTION("""COMPUTED_VALUE"""),4000)</f>
        <v>4000</v>
      </c>
      <c r="C61" s="16" t="str">
        <f ca="1">IFERROR(__xludf.DUMMYFUNCTION("""COMPUTED_VALUE"""),"MUHAMMAD ZAIM ALHUSNA")</f>
        <v>MUHAMMAD ZAIM ALHUSNA</v>
      </c>
      <c r="D61" s="16" t="str">
        <f ca="1">IFERROR(__xludf.DUMMYFUNCTION("""COMPUTED_VALUE"""),"02311840000074")</f>
        <v>02311840000074</v>
      </c>
      <c r="E61" s="16" t="str">
        <f ca="1">IFERROR(__xludf.DUMMYFUNCTION("""COMPUTED_VALUE"""),"Departemen Teknik Fisika")</f>
        <v>Departemen Teknik Fisika</v>
      </c>
      <c r="F61" s="16" t="str">
        <f ca="1">IFERROR(__xludf.DUMMYFUNCTION("""COMPUTED_VALUE"""),"Remediasi Air Limbah dengan Polutan Metylen Blue Secara Fotokatalisis (TiO2/ZnO) pada Fotoreaktor")</f>
        <v>Remediasi Air Limbah dengan Polutan Metylen Blue Secara Fotokatalisis (TiO2/ZnO) pada Fotoreaktor</v>
      </c>
      <c r="G61" s="16" t="str">
        <f ca="1">IFERROR(__xludf.DUMMYFUNCTION("""COMPUTED_VALUE"""),"Dr.rer.nat Ruri Agung Wahyuono, S.T., M.T.")</f>
        <v>Dr.rer.nat Ruri Agung Wahyuono, S.T., M.T.</v>
      </c>
      <c r="H61" s="16" t="str">
        <f ca="1">IFERROR(__xludf.DUMMYFUNCTION("""COMPUTED_VALUE"""),"Dian Mughni Fellicia, ST., M.Sc")</f>
        <v>Dian Mughni Fellicia, ST., M.Sc</v>
      </c>
      <c r="I61" s="16" t="str">
        <f ca="1">IFERROR(__xludf.DUMMYFUNCTION("""COMPUTED_VALUE"""),"Hariyati Purwaningsih, S.Si., M.Si.")</f>
        <v>Hariyati Purwaningsih, S.Si., M.Si.</v>
      </c>
      <c r="J61" s="16"/>
      <c r="K61" s="17" t="s">
        <v>937</v>
      </c>
      <c r="L61" s="23" t="s">
        <v>940</v>
      </c>
      <c r="M61" s="19" t="b">
        <v>1</v>
      </c>
      <c r="N61" s="19" t="b">
        <v>1</v>
      </c>
      <c r="O61" s="1" t="s">
        <v>935</v>
      </c>
      <c r="P61" s="7" t="str">
        <f ca="1">IFERROR(__xludf.DUMMYFUNCTION("iferror(vlookup(B61,importrange(""https://docs.google.com/spreadsheets/d/1boHyJQ4e2FU0QG8MHwEi6qjX4hvZWVCHcFfXjq7bbMc/edit?resourcekey#gid=923248883"",""Prop!$C$1:$M""),11,0),IFERROR(vlookup(B61,importrange(""https://docs.google.com/spreadsheets/d/1boHyJQ"&amp;"4e2FU0QG8MHwEi6qjX4hvZWVCHcFfXjq7bbMc/edit?resourcekey#gid=923248883"",""Prop!$N$1:$X""),11,0),iferror(vlookup(B61,importrange(""https://docs.google.com/spreadsheets/d/1boHyJQ4e2FU0QG8MHwEi6qjX4hvZWVCHcFfXjq7bbMc/edit?resourcekey#gid=923248883"",""Prop!$Y"&amp;"$1:$AI""),11,0),iferror(vlookup(B61,importrange(""https://docs.google.com/spreadsheets/d/1boHyJQ4e2FU0QG8MHwEi6qjX4hvZWVCHcFfXjq7bbMc/edit?resourcekey#gid=923248883"",""Prop!$AJ$1:$AT""),11,0),iferror(vlookup(B61,importrange(""https://docs.google.com/spre"&amp;"adsheets/d/1boHyJQ4e2FU0QG8MHwEi6qjX4hvZWVCHcFfXjq7bbMc/edit?resourcekey#gid=923248883"",""Prop!$AU$1:$BE""),11,0),iferror(vlookup(B61,importrange(""https://docs.google.com/spreadsheets/d/1boHyJQ4e2FU0QG8MHwEi6qjX4hvZWVCHcFfXjq7bbMc/edit?resourcekey#gid=9"&amp;"23248883"",""Prop!$BF$1:$BP""),11,0),iferror(vlookup(B61,importrange(""https://docs.google.com/spreadsheets/d/1boHyJQ4e2FU0QG8MHwEi6qjX4hvZWVCHcFfXjq7bbMc/edit?resourcekey#gid=923248883"",""Prop!$BQ$1:$CA""),11,0),iferror(vlookup(B61,importrange(""https:/"&amp;"/docs.google.com/spreadsheets/d/1boHyJQ4e2FU0QG8MHwEi6qjX4hvZWVCHcFfXjq7bbMc/edit?resourcekey#gid=923248883"",""Prop!$CB$1:$CL""),11,0),iferror(vlookup(B61,importrange(""https://docs.google.com/spreadsheets/d/1boHyJQ4e2FU0QG8MHwEi6qjX4hvZWVCHcFfXjq7bbMc/e"&amp;"dit?resourcekey#gid=923248883"",""Prop!$CM$1:$CX""),11,0),iferror(vlookup(B61,importrange(""https://docs.google.com/spreadsheets/d/1boHyJQ4e2FU0QG8MHwEi6qjX4hvZWVCHcFfXjq7bbMc/edit?resourcekey#gid=923248883"",""Prop!$CY$1:$DI""),11,0)))))))))))"),"https://drive.google.com/open?id=1pssANJaKAkUd9aX_6HK3JydY30DaG-ZW")</f>
        <v>https://drive.google.com/open?id=1pssANJaKAkUd9aX_6HK3JydY30DaG-ZW</v>
      </c>
      <c r="Q61" s="7" t="str">
        <f ca="1">IFERROR(__xludf.DUMMYFUNCTION("iferror(vlookup(B61,importrange(""https://docs.google.com/spreadsheets/d/1p53T2AuvvIqhP7Nf-bo3Uhj8cbKYRPpZdsrBv3x3bAQ/edit?resourcekey#gid=1321652304"",""Prop!$C$1:$M""),11,0),IFERROR(vlookup(B61,importrange(""https://docs.google.com/spreadsheets/d/1p53T2"&amp;"AuvvIqhP7Nf-bo3Uhj8cbKYRPpZdsrBv3x3bAQ/edit?resourcekey#gid=1321652304"",""Prop!$N$1:$X""),11,0),iferror(vlookup(B61,importrange(""https://docs.google.com/spreadsheets/d/1p53T2AuvvIqhP7Nf-bo3Uhj8cbKYRPpZdsrBv3x3bAQ/edit?resourcekey#gid=1321652304"",""Prop"&amp;"!$Y$1:$AI""),11,0),iferror(vlookup(B61,importrange(""https://docs.google.com/spreadsheets/d/1p53T2AuvvIqhP7Nf-bo3Uhj8cbKYRPpZdsrBv3x3bAQ/edit?resourcekey#gid=1321652304"",""Prop!$AJ$1:$AT""),11,0),iferror(vlookup(B61,importrange(""https://docs.google.com/"&amp;"spreadsheets/d/1p53T2AuvvIqhP7Nf-bo3Uhj8cbKYRPpZdsrBv3x3bAQ/edit?resourcekey#gid=1321652304"",""Prop!$AU$1:$BE""),11,0),iferror(vlookup(B61,importrange(""https://docs.google.com/spreadsheets/d/1p53T2AuvvIqhP7Nf-bo3Uhj8cbKYRPpZdsrBv3x3bAQ/edit?resourcekey#"&amp;"gid=1321652304"",""Prop!$BF$1:$BP""),11,0),iferror(vlookup(B61,importrange(""https://docs.google.com/spreadsheets/d/1p53T2AuvvIqhP7Nf-bo3Uhj8cbKYRPpZdsrBv3x3bAQ/edit?resourcekey#gid=1321652304"",""Prop!$BQ$1:$CA""),11,0),iferror(vlookup(B61,importrange("""&amp;"https://docs.google.com/spreadsheets/d/1p53T2AuvvIqhP7Nf-bo3Uhj8cbKYRPpZdsrBv3x3bAQ/edit?resourcekey#gid=1321652304"",""Prop!$CB$1:$CL""),11,0),iferror(vlookup(B61,importrange(""https://docs.google.com/spreadsheets/d/1p53T2AuvvIqhP7Nf-bo3Uhj8cbKYRPpZdsrBv"&amp;"3x3bAQ/edit?resourcekey#gid=1321652304"",""Prop!$CM$1:$CX""),11,0),iferror(vlookup(B61,importrange(""https://docs.google.com/spreadsheets/d/1p53T2AuvvIqhP7Nf-bo3Uhj8cbKYRPpZdsrBv3x3bAQ/edit?resourcekey#gid=1321652304"",""Prop!$CY$1:$DI""),11,0)))))))))))"),"https://drive.google.com/open?id=1uvUzD6NuOpBSxJ35faUu-sYlHS0393Pg")</f>
        <v>https://drive.google.com/open?id=1uvUzD6NuOpBSxJ35faUu-sYlHS0393Pg</v>
      </c>
      <c r="R61" s="20" t="s">
        <v>898</v>
      </c>
      <c r="S61" s="20" t="str">
        <f ca="1">IFERROR(__xludf.DUMMYFUNCTION("IFERROR(vlookup(B61,IMPORTRANGE(""https://docs.google.com/spreadsheets/d/1g_jfYYK_KeipEDNDUgqgrsxK94XiocfNQIcP-v1QVhI/edit?resourcekey#gid=233272945"",""Nilai!B:CT""),12,0),"" "")"),"Daftar pustaka diperbaiki")</f>
        <v>Daftar pustaka diperbaiki</v>
      </c>
      <c r="T61" s="20" t="str">
        <f ca="1">IFERROR(__xludf.DUMMYFUNCTION("IFERROR(vlookup(B61,IMPORTRANGE(""https://docs.google.com/spreadsheets/d/1g_jfYYK_KeipEDNDUgqgrsxK94XiocfNQIcP-v1QVhI/edit?resourcekey#gid=233272945"",""Nilai!B:CT""),97,0),"" "")"),"LAYAK UPLOAD KE SIMBELMAWA DENGAN REVISI")</f>
        <v>LAYAK UPLOAD KE SIMBELMAWA DENGAN REVISI</v>
      </c>
      <c r="U61" s="32" t="s">
        <v>825</v>
      </c>
      <c r="V61" s="30" t="s">
        <v>899</v>
      </c>
      <c r="W61" s="23" t="s">
        <v>941</v>
      </c>
      <c r="X61" s="20" t="b">
        <v>1</v>
      </c>
    </row>
    <row r="62" spans="1:24">
      <c r="A62" s="15">
        <v>60</v>
      </c>
      <c r="B62" s="16">
        <f ca="1">IFERROR(__xludf.DUMMYFUNCTION("""COMPUTED_VALUE"""),4089)</f>
        <v>4089</v>
      </c>
      <c r="C62" s="16" t="str">
        <f ca="1">IFERROR(__xludf.DUMMYFUNCTION("""COMPUTED_VALUE"""),"Sulistya Indah Wahyuni")</f>
        <v>Sulistya Indah Wahyuni</v>
      </c>
      <c r="D62" s="16" t="str">
        <f ca="1">IFERROR(__xludf.DUMMYFUNCTION("""COMPUTED_VALUE"""),"09111940000033")</f>
        <v>09111940000033</v>
      </c>
      <c r="E62" s="16" t="str">
        <f ca="1">IFERROR(__xludf.DUMMYFUNCTION("""COMPUTED_VALUE"""),"Departemen Manajemen Bisnis")</f>
        <v>Departemen Manajemen Bisnis</v>
      </c>
      <c r="F62" s="16" t="str">
        <f ca="1">IFERROR(__xludf.DUMMYFUNCTION("""COMPUTED_VALUE"""),"Inovasi Layanan Jual Beli Buku Bekas dan Pemenuhan Segala Kebutuhan Perkuliahan dengan Sortir Jurusan Berbasis Aplikasi
")</f>
        <v xml:space="preserve">Inovasi Layanan Jual Beli Buku Bekas dan Pemenuhan Segala Kebutuhan Perkuliahan dengan Sortir Jurusan Berbasis Aplikasi
</v>
      </c>
      <c r="G62" s="16" t="str">
        <f ca="1">IFERROR(__xludf.DUMMYFUNCTION("""COMPUTED_VALUE"""),"Nabila Silmina Hakim, S.T., MBA.")</f>
        <v>Nabila Silmina Hakim, S.T., MBA.</v>
      </c>
      <c r="H62" s="16" t="str">
        <f ca="1">IFERROR(__xludf.DUMMYFUNCTION("""COMPUTED_VALUE"""),"Dian Mughni Fellicia, ST., M.Sc")</f>
        <v>Dian Mughni Fellicia, ST., M.Sc</v>
      </c>
      <c r="I62" s="16" t="str">
        <f ca="1">IFERROR(__xludf.DUMMYFUNCTION("""COMPUTED_VALUE"""),"Hariyati Purwaningsih, S.Si., M.Si.")</f>
        <v>Hariyati Purwaningsih, S.Si., M.Si.</v>
      </c>
      <c r="J62" s="16"/>
      <c r="K62" s="17" t="s">
        <v>937</v>
      </c>
      <c r="L62" s="23" t="s">
        <v>940</v>
      </c>
      <c r="M62" s="19" t="b">
        <v>0</v>
      </c>
      <c r="N62" s="19" t="b">
        <v>0</v>
      </c>
      <c r="O62" s="1" t="s">
        <v>935</v>
      </c>
      <c r="P62" s="1" t="str">
        <f ca="1">IFERROR(__xludf.DUMMYFUNCTION("iferror(vlookup(B62,importrange(""https://docs.google.com/spreadsheets/d/1boHyJQ4e2FU0QG8MHwEi6qjX4hvZWVCHcFfXjq7bbMc/edit?resourcekey#gid=923248883"",""Prop!$C$1:$M""),11,0),IFERROR(vlookup(B62,importrange(""https://docs.google.com/spreadsheets/d/1boHyJQ"&amp;"4e2FU0QG8MHwEi6qjX4hvZWVCHcFfXjq7bbMc/edit?resourcekey#gid=923248883"",""Prop!$N$1:$X""),11,0),iferror(vlookup(B62,importrange(""https://docs.google.com/spreadsheets/d/1boHyJQ4e2FU0QG8MHwEi6qjX4hvZWVCHcFfXjq7bbMc/edit?resourcekey#gid=923248883"",""Prop!$Y"&amp;"$1:$AI""),11,0),iferror(vlookup(B62,importrange(""https://docs.google.com/spreadsheets/d/1boHyJQ4e2FU0QG8MHwEi6qjX4hvZWVCHcFfXjq7bbMc/edit?resourcekey#gid=923248883"",""Prop!$AJ$1:$AT""),11,0),iferror(vlookup(B62,importrange(""https://docs.google.com/spre"&amp;"adsheets/d/1boHyJQ4e2FU0QG8MHwEi6qjX4hvZWVCHcFfXjq7bbMc/edit?resourcekey#gid=923248883"",""Prop!$AU$1:$BE""),11,0),iferror(vlookup(B62,importrange(""https://docs.google.com/spreadsheets/d/1boHyJQ4e2FU0QG8MHwEi6qjX4hvZWVCHcFfXjq7bbMc/edit?resourcekey#gid=9"&amp;"23248883"",""Prop!$BF$1:$BP""),11,0),iferror(vlookup(B62,importrange(""https://docs.google.com/spreadsheets/d/1boHyJQ4e2FU0QG8MHwEi6qjX4hvZWVCHcFfXjq7bbMc/edit?resourcekey#gid=923248883"",""Prop!$BQ$1:$CA""),11,0),iferror(vlookup(B62,importrange(""https:/"&amp;"/docs.google.com/spreadsheets/d/1boHyJQ4e2FU0QG8MHwEi6qjX4hvZWVCHcFfXjq7bbMc/edit?resourcekey#gid=923248883"",""Prop!$CB$1:$CL""),11,0),iferror(vlookup(B62,importrange(""https://docs.google.com/spreadsheets/d/1boHyJQ4e2FU0QG8MHwEi6qjX4hvZWVCHcFfXjq7bbMc/e"&amp;"dit?resourcekey#gid=923248883"",""Prop!$CM$1:$CX""),11,0),iferror(vlookup(B62,importrange(""https://docs.google.com/spreadsheets/d/1boHyJQ4e2FU0QG8MHwEi6qjX4hvZWVCHcFfXjq7bbMc/edit?resourcekey#gid=923248883"",""Prop!$CY$1:$DI""),11,0)))))))))))"),"")</f>
        <v/>
      </c>
      <c r="Q62" s="1" t="str">
        <f ca="1">IFERROR(__xludf.DUMMYFUNCTION("iferror(vlookup(B62,importrange(""https://docs.google.com/spreadsheets/d/1p53T2AuvvIqhP7Nf-bo3Uhj8cbKYRPpZdsrBv3x3bAQ/edit?resourcekey#gid=1321652304"",""Prop!$C$1:$M""),11,0),IFERROR(vlookup(B62,importrange(""https://docs.google.com/spreadsheets/d/1p53T2"&amp;"AuvvIqhP7Nf-bo3Uhj8cbKYRPpZdsrBv3x3bAQ/edit?resourcekey#gid=1321652304"",""Prop!$N$1:$X""),11,0),iferror(vlookup(B62,importrange(""https://docs.google.com/spreadsheets/d/1p53T2AuvvIqhP7Nf-bo3Uhj8cbKYRPpZdsrBv3x3bAQ/edit?resourcekey#gid=1321652304"",""Prop"&amp;"!$Y$1:$AI""),11,0),iferror(vlookup(B62,importrange(""https://docs.google.com/spreadsheets/d/1p53T2AuvvIqhP7Nf-bo3Uhj8cbKYRPpZdsrBv3x3bAQ/edit?resourcekey#gid=1321652304"",""Prop!$AJ$1:$AT""),11,0),iferror(vlookup(B62,importrange(""https://docs.google.com/"&amp;"spreadsheets/d/1p53T2AuvvIqhP7Nf-bo3Uhj8cbKYRPpZdsrBv3x3bAQ/edit?resourcekey#gid=1321652304"",""Prop!$AU$1:$BE""),11,0),iferror(vlookup(B62,importrange(""https://docs.google.com/spreadsheets/d/1p53T2AuvvIqhP7Nf-bo3Uhj8cbKYRPpZdsrBv3x3bAQ/edit?resourcekey#"&amp;"gid=1321652304"",""Prop!$BF$1:$BP""),11,0),iferror(vlookup(B62,importrange(""https://docs.google.com/spreadsheets/d/1p53T2AuvvIqhP7Nf-bo3Uhj8cbKYRPpZdsrBv3x3bAQ/edit?resourcekey#gid=1321652304"",""Prop!$BQ$1:$CA""),11,0),iferror(vlookup(B62,importrange("""&amp;"https://docs.google.com/spreadsheets/d/1p53T2AuvvIqhP7Nf-bo3Uhj8cbKYRPpZdsrBv3x3bAQ/edit?resourcekey#gid=1321652304"",""Prop!$CB$1:$CL""),11,0),iferror(vlookup(B62,importrange(""https://docs.google.com/spreadsheets/d/1p53T2AuvvIqhP7Nf-bo3Uhj8cbKYRPpZdsrBv"&amp;"3x3bAQ/edit?resourcekey#gid=1321652304"",""Prop!$CM$1:$CX""),11,0),iferror(vlookup(B62,importrange(""https://docs.google.com/spreadsheets/d/1p53T2AuvvIqhP7Nf-bo3Uhj8cbKYRPpZdsrBv3x3bAQ/edit?resourcekey#gid=1321652304"",""Prop!$CY$1:$DI""),11,0)))))))))))"),"")</f>
        <v/>
      </c>
      <c r="R62" s="20" t="s">
        <v>898</v>
      </c>
      <c r="S62" s="20" t="str">
        <f ca="1">IFERROR(__xludf.DUMMYFUNCTION("IFERROR(vlookup(B62,IMPORTRANGE(""https://docs.google.com/spreadsheets/d/1g_jfYYK_KeipEDNDUgqgrsxK94XiocfNQIcP-v1QVhI/edit?resourcekey#gid=233272945"",""Nilai!B:CT""),12,0),"" "")"),"")</f>
        <v/>
      </c>
      <c r="T62" s="20" t="str">
        <f ca="1">IFERROR(__xludf.DUMMYFUNCTION("IFERROR(vlookup(B62,IMPORTRANGE(""https://docs.google.com/spreadsheets/d/1g_jfYYK_KeipEDNDUgqgrsxK94XiocfNQIcP-v1QVhI/edit?resourcekey#gid=233272945"",""Nilai!B:CT""),97,0),"" "")")," ")</f>
        <v xml:space="preserve"> </v>
      </c>
      <c r="U62" s="32" t="s">
        <v>825</v>
      </c>
      <c r="V62" s="30" t="s">
        <v>899</v>
      </c>
      <c r="W62" s="23" t="s">
        <v>941</v>
      </c>
      <c r="X62" s="20" t="b">
        <v>0</v>
      </c>
    </row>
    <row r="63" spans="1:24">
      <c r="A63" s="15">
        <v>61</v>
      </c>
      <c r="B63" s="16">
        <f ca="1">IFERROR(__xludf.DUMMYFUNCTION("""COMPUTED_VALUE"""),3833)</f>
        <v>3833</v>
      </c>
      <c r="C63" s="16" t="str">
        <f ca="1">IFERROR(__xludf.DUMMYFUNCTION("""COMPUTED_VALUE"""),"Shelly Damayanti")</f>
        <v>Shelly Damayanti</v>
      </c>
      <c r="D63" s="16" t="str">
        <f ca="1">IFERROR(__xludf.DUMMYFUNCTION("""COMPUTED_VALUE"""),"01311940000002")</f>
        <v>01311940000002</v>
      </c>
      <c r="E63" s="16" t="str">
        <f ca="1">IFERROR(__xludf.DUMMYFUNCTION("""COMPUTED_VALUE"""),"Departemen Biologi")</f>
        <v>Departemen Biologi</v>
      </c>
      <c r="F63" s="16" t="str">
        <f ca="1">IFERROR(__xludf.DUMMYFUNCTION("""COMPUTED_VALUE"""),"Pelatihan Digital Marketing dalam Program Kramat Millenial Project Guna Menumbuhkan Jiwa Sociopreneur Kelompok Ibu PKK Desa Kramat, Pulau Mengare 
")</f>
        <v xml:space="preserve">Pelatihan Digital Marketing dalam Program Kramat Millenial Project Guna Menumbuhkan Jiwa Sociopreneur Kelompok Ibu PKK Desa Kramat, Pulau Mengare 
</v>
      </c>
      <c r="G63" s="16" t="str">
        <f ca="1">IFERROR(__xludf.DUMMYFUNCTION("""COMPUTED_VALUE"""),"Dr. Awik Puji Dyah Nurhayati, S.Si., M.Si.")</f>
        <v>Dr. Awik Puji Dyah Nurhayati, S.Si., M.Si.</v>
      </c>
      <c r="H63" s="16" t="str">
        <f ca="1">IFERROR(__xludf.DUMMYFUNCTION("""COMPUTED_VALUE"""),"Prof. Dr. Dra Fahimah Martak, M.Si")</f>
        <v>Prof. Dr. Dra Fahimah Martak, M.Si</v>
      </c>
      <c r="I63" s="16" t="str">
        <f ca="1">IFERROR(__xludf.DUMMYFUNCTION("""COMPUTED_VALUE"""),"Arif Fadlan, S.Si., M.Si., D.Sc")</f>
        <v>Arif Fadlan, S.Si., M.Si., D.Sc</v>
      </c>
      <c r="J63" s="16"/>
      <c r="K63" s="17" t="s">
        <v>937</v>
      </c>
      <c r="L63" s="23" t="s">
        <v>940</v>
      </c>
      <c r="M63" s="19" t="b">
        <v>0</v>
      </c>
      <c r="N63" s="19" t="b">
        <v>0</v>
      </c>
      <c r="O63" s="1" t="s">
        <v>935</v>
      </c>
      <c r="P63" s="1" t="str">
        <f ca="1">IFERROR(__xludf.DUMMYFUNCTION("iferror(vlookup(B63,importrange(""https://docs.google.com/spreadsheets/d/1boHyJQ4e2FU0QG8MHwEi6qjX4hvZWVCHcFfXjq7bbMc/edit?resourcekey#gid=923248883"",""Prop!$C$1:$M""),11,0),IFERROR(vlookup(B63,importrange(""https://docs.google.com/spreadsheets/d/1boHyJQ"&amp;"4e2FU0QG8MHwEi6qjX4hvZWVCHcFfXjq7bbMc/edit?resourcekey#gid=923248883"",""Prop!$N$1:$X""),11,0),iferror(vlookup(B63,importrange(""https://docs.google.com/spreadsheets/d/1boHyJQ4e2FU0QG8MHwEi6qjX4hvZWVCHcFfXjq7bbMc/edit?resourcekey#gid=923248883"",""Prop!$Y"&amp;"$1:$AI""),11,0),iferror(vlookup(B63,importrange(""https://docs.google.com/spreadsheets/d/1boHyJQ4e2FU0QG8MHwEi6qjX4hvZWVCHcFfXjq7bbMc/edit?resourcekey#gid=923248883"",""Prop!$AJ$1:$AT""),11,0),iferror(vlookup(B63,importrange(""https://docs.google.com/spre"&amp;"adsheets/d/1boHyJQ4e2FU0QG8MHwEi6qjX4hvZWVCHcFfXjq7bbMc/edit?resourcekey#gid=923248883"",""Prop!$AU$1:$BE""),11,0),iferror(vlookup(B63,importrange(""https://docs.google.com/spreadsheets/d/1boHyJQ4e2FU0QG8MHwEi6qjX4hvZWVCHcFfXjq7bbMc/edit?resourcekey#gid=9"&amp;"23248883"",""Prop!$BF$1:$BP""),11,0),iferror(vlookup(B63,importrange(""https://docs.google.com/spreadsheets/d/1boHyJQ4e2FU0QG8MHwEi6qjX4hvZWVCHcFfXjq7bbMc/edit?resourcekey#gid=923248883"",""Prop!$BQ$1:$CA""),11,0),iferror(vlookup(B63,importrange(""https:/"&amp;"/docs.google.com/spreadsheets/d/1boHyJQ4e2FU0QG8MHwEi6qjX4hvZWVCHcFfXjq7bbMc/edit?resourcekey#gid=923248883"",""Prop!$CB$1:$CL""),11,0),iferror(vlookup(B63,importrange(""https://docs.google.com/spreadsheets/d/1boHyJQ4e2FU0QG8MHwEi6qjX4hvZWVCHcFfXjq7bbMc/e"&amp;"dit?resourcekey#gid=923248883"",""Prop!$CM$1:$CX""),11,0),iferror(vlookup(B63,importrange(""https://docs.google.com/spreadsheets/d/1boHyJQ4e2FU0QG8MHwEi6qjX4hvZWVCHcFfXjq7bbMc/edit?resourcekey#gid=923248883"",""Prop!$CY$1:$DI""),11,0)))))))))))"),"")</f>
        <v/>
      </c>
      <c r="Q63" s="7" t="str">
        <f ca="1">IFERROR(__xludf.DUMMYFUNCTION("iferror(vlookup(B63,importrange(""https://docs.google.com/spreadsheets/d/1p53T2AuvvIqhP7Nf-bo3Uhj8cbKYRPpZdsrBv3x3bAQ/edit?resourcekey#gid=1321652304"",""Prop!$C$1:$M""),11,0),IFERROR(vlookup(B63,importrange(""https://docs.google.com/spreadsheets/d/1p53T2"&amp;"AuvvIqhP7Nf-bo3Uhj8cbKYRPpZdsrBv3x3bAQ/edit?resourcekey#gid=1321652304"",""Prop!$N$1:$X""),11,0),iferror(vlookup(B63,importrange(""https://docs.google.com/spreadsheets/d/1p53T2AuvvIqhP7Nf-bo3Uhj8cbKYRPpZdsrBv3x3bAQ/edit?resourcekey#gid=1321652304"",""Prop"&amp;"!$Y$1:$AI""),11,0),iferror(vlookup(B63,importrange(""https://docs.google.com/spreadsheets/d/1p53T2AuvvIqhP7Nf-bo3Uhj8cbKYRPpZdsrBv3x3bAQ/edit?resourcekey#gid=1321652304"",""Prop!$AJ$1:$AT""),11,0),iferror(vlookup(B63,importrange(""https://docs.google.com/"&amp;"spreadsheets/d/1p53T2AuvvIqhP7Nf-bo3Uhj8cbKYRPpZdsrBv3x3bAQ/edit?resourcekey#gid=1321652304"",""Prop!$AU$1:$BE""),11,0),iferror(vlookup(B63,importrange(""https://docs.google.com/spreadsheets/d/1p53T2AuvvIqhP7Nf-bo3Uhj8cbKYRPpZdsrBv3x3bAQ/edit?resourcekey#"&amp;"gid=1321652304"",""Prop!$BF$1:$BP""),11,0),iferror(vlookup(B63,importrange(""https://docs.google.com/spreadsheets/d/1p53T2AuvvIqhP7Nf-bo3Uhj8cbKYRPpZdsrBv3x3bAQ/edit?resourcekey#gid=1321652304"",""Prop!$BQ$1:$CA""),11,0),iferror(vlookup(B63,importrange("""&amp;"https://docs.google.com/spreadsheets/d/1p53T2AuvvIqhP7Nf-bo3Uhj8cbKYRPpZdsrBv3x3bAQ/edit?resourcekey#gid=1321652304"",""Prop!$CB$1:$CL""),11,0),iferror(vlookup(B63,importrange(""https://docs.google.com/spreadsheets/d/1p53T2AuvvIqhP7Nf-bo3Uhj8cbKYRPpZdsrBv"&amp;"3x3bAQ/edit?resourcekey#gid=1321652304"",""Prop!$CM$1:$CX""),11,0),iferror(vlookup(B63,importrange(""https://docs.google.com/spreadsheets/d/1p53T2AuvvIqhP7Nf-bo3Uhj8cbKYRPpZdsrBv3x3bAQ/edit?resourcekey#gid=1321652304"",""Prop!$CY$1:$DI""),11,0)))))))))))"),"https://drive.google.com/open?id=1nVm1j62QaHAowsKWa5TOTpiCnbzv_QUq")</f>
        <v>https://drive.google.com/open?id=1nVm1j62QaHAowsKWa5TOTpiCnbzv_QUq</v>
      </c>
      <c r="R63" s="20" t="s">
        <v>898</v>
      </c>
      <c r="S63" s="20" t="str">
        <f ca="1">IFERROR(__xludf.DUMMYFUNCTION("IFERROR(vlookup(B63,IMPORTRANGE(""https://docs.google.com/spreadsheets/d/1g_jfYYK_KeipEDNDUgqgrsxK94XiocfNQIcP-v1QVhI/edit?resourcekey#gid=233272945"",""Nilai!B:CT""),12,0),"" "")"),"-")</f>
        <v>-</v>
      </c>
      <c r="T63" s="20" t="str">
        <f ca="1">IFERROR(__xludf.DUMMYFUNCTION("IFERROR(vlookup(B63,IMPORTRANGE(""https://docs.google.com/spreadsheets/d/1g_jfYYK_KeipEDNDUgqgrsxK94XiocfNQIcP-v1QVhI/edit?resourcekey#gid=233272945"",""Nilai!B:CT""),97,0),"" "")"),"LAYAK UPLOAD KE SIMBELMAWA")</f>
        <v>LAYAK UPLOAD KE SIMBELMAWA</v>
      </c>
      <c r="U63" s="32" t="s">
        <v>825</v>
      </c>
      <c r="V63" s="30" t="s">
        <v>899</v>
      </c>
      <c r="W63" s="23" t="s">
        <v>941</v>
      </c>
      <c r="X63" s="20" t="b">
        <v>0</v>
      </c>
    </row>
    <row r="64" spans="1:24">
      <c r="A64" s="15"/>
      <c r="B64" s="16"/>
      <c r="C64" s="16"/>
      <c r="D64" s="16"/>
      <c r="E64" s="16"/>
      <c r="F64" s="16"/>
      <c r="G64" s="16"/>
      <c r="H64" s="16"/>
      <c r="I64" s="16"/>
      <c r="J64" s="16"/>
      <c r="K64" s="16"/>
      <c r="L64" s="16"/>
      <c r="M64" s="25"/>
      <c r="N64" s="25"/>
      <c r="O64" s="16"/>
      <c r="P64" s="1" t="str">
        <f ca="1">IFERROR(__xludf.DUMMYFUNCTION("iferror(vlookup(B64,importrange(""https://docs.google.com/spreadsheets/d/1boHyJQ4e2FU0QG8MHwEi6qjX4hvZWVCHcFfXjq7bbMc/edit?resourcekey#gid=923248883"",""Prop!$C$1:$M""),11,0),IFERROR(vlookup(B64,importrange(""https://docs.google.com/spreadsheets/d/1boHyJQ"&amp;"4e2FU0QG8MHwEi6qjX4hvZWVCHcFfXjq7bbMc/edit?resourcekey#gid=923248883"",""Prop!$N$1:$X""),11,0),iferror(vlookup(B64,importrange(""https://docs.google.com/spreadsheets/d/1boHyJQ4e2FU0QG8MHwEi6qjX4hvZWVCHcFfXjq7bbMc/edit?resourcekey#gid=923248883"",""Prop!$Y"&amp;"$1:$AI""),11,0),iferror(vlookup(B64,importrange(""https://docs.google.com/spreadsheets/d/1boHyJQ4e2FU0QG8MHwEi6qjX4hvZWVCHcFfXjq7bbMc/edit?resourcekey#gid=923248883"",""Prop!$AJ$1:$AT""),11,0),iferror(vlookup(B64,importrange(""https://docs.google.com/spre"&amp;"adsheets/d/1boHyJQ4e2FU0QG8MHwEi6qjX4hvZWVCHcFfXjq7bbMc/edit?resourcekey#gid=923248883"",""Prop!$AU$1:$BE""),11,0),iferror(vlookup(B64,importrange(""https://docs.google.com/spreadsheets/d/1boHyJQ4e2FU0QG8MHwEi6qjX4hvZWVCHcFfXjq7bbMc/edit?resourcekey#gid=9"&amp;"23248883"",""Prop!$BF$1:$BP""),11,0),iferror(vlookup(B64,importrange(""https://docs.google.com/spreadsheets/d/1boHyJQ4e2FU0QG8MHwEi6qjX4hvZWVCHcFfXjq7bbMc/edit?resourcekey#gid=923248883"",""Prop!$BQ$1:$CA""),11,0),iferror(vlookup(B64,importrange(""https:/"&amp;"/docs.google.com/spreadsheets/d/1boHyJQ4e2FU0QG8MHwEi6qjX4hvZWVCHcFfXjq7bbMc/edit?resourcekey#gid=923248883"",""Prop!$CB$1:$CL""),11,0),iferror(vlookup(B64,importrange(""https://docs.google.com/spreadsheets/d/1boHyJQ4e2FU0QG8MHwEi6qjX4hvZWVCHcFfXjq7bbMc/e"&amp;"dit?resourcekey#gid=923248883"",""Prop!$CM$1:$CX""),11,0),iferror(vlookup(B64,importrange(""https://docs.google.com/spreadsheets/d/1boHyJQ4e2FU0QG8MHwEi6qjX4hvZWVCHcFfXjq7bbMc/edit?resourcekey#gid=923248883"",""Prop!$CY$1:$DI""),11,0)))))))))))"),"")</f>
        <v/>
      </c>
      <c r="Q64" s="1"/>
      <c r="R64" s="1"/>
      <c r="S64" s="1"/>
      <c r="T64" s="1"/>
      <c r="U64" s="33"/>
      <c r="V64" s="16"/>
      <c r="W64" s="1"/>
      <c r="X64" s="1"/>
    </row>
    <row r="65" spans="1:24">
      <c r="A65" s="15"/>
      <c r="B65" s="16"/>
      <c r="C65" s="16"/>
      <c r="D65" s="16"/>
      <c r="E65" s="16"/>
      <c r="F65" s="16"/>
      <c r="G65" s="16"/>
      <c r="H65" s="16"/>
      <c r="I65" s="16"/>
      <c r="J65" s="16"/>
      <c r="K65" s="16"/>
      <c r="L65" s="16"/>
      <c r="M65" s="25"/>
      <c r="N65" s="25"/>
      <c r="O65" s="16"/>
      <c r="P65" s="1" t="str">
        <f ca="1">IFERROR(__xludf.DUMMYFUNCTION("iferror(vlookup(B65,importrange(""https://docs.google.com/spreadsheets/d/1boHyJQ4e2FU0QG8MHwEi6qjX4hvZWVCHcFfXjq7bbMc/edit?resourcekey#gid=923248883"",""Prop!$C$1:$M""),11,0),IFERROR(vlookup(B65,importrange(""https://docs.google.com/spreadsheets/d/1boHyJQ"&amp;"4e2FU0QG8MHwEi6qjX4hvZWVCHcFfXjq7bbMc/edit?resourcekey#gid=923248883"",""Prop!$N$1:$X""),11,0),iferror(vlookup(B65,importrange(""https://docs.google.com/spreadsheets/d/1boHyJQ4e2FU0QG8MHwEi6qjX4hvZWVCHcFfXjq7bbMc/edit?resourcekey#gid=923248883"",""Prop!$Y"&amp;"$1:$AI""),11,0),iferror(vlookup(B65,importrange(""https://docs.google.com/spreadsheets/d/1boHyJQ4e2FU0QG8MHwEi6qjX4hvZWVCHcFfXjq7bbMc/edit?resourcekey#gid=923248883"",""Prop!$AJ$1:$AT""),11,0),iferror(vlookup(B65,importrange(""https://docs.google.com/spre"&amp;"adsheets/d/1boHyJQ4e2FU0QG8MHwEi6qjX4hvZWVCHcFfXjq7bbMc/edit?resourcekey#gid=923248883"",""Prop!$AU$1:$BE""),11,0),iferror(vlookup(B65,importrange(""https://docs.google.com/spreadsheets/d/1boHyJQ4e2FU0QG8MHwEi6qjX4hvZWVCHcFfXjq7bbMc/edit?resourcekey#gid=9"&amp;"23248883"",""Prop!$BF$1:$BP""),11,0),iferror(vlookup(B65,importrange(""https://docs.google.com/spreadsheets/d/1boHyJQ4e2FU0QG8MHwEi6qjX4hvZWVCHcFfXjq7bbMc/edit?resourcekey#gid=923248883"",""Prop!$BQ$1:$CA""),11,0),iferror(vlookup(B65,importrange(""https:/"&amp;"/docs.google.com/spreadsheets/d/1boHyJQ4e2FU0QG8MHwEi6qjX4hvZWVCHcFfXjq7bbMc/edit?resourcekey#gid=923248883"",""Prop!$CB$1:$CL""),11,0),iferror(vlookup(B65,importrange(""https://docs.google.com/spreadsheets/d/1boHyJQ4e2FU0QG8MHwEi6qjX4hvZWVCHcFfXjq7bbMc/e"&amp;"dit?resourcekey#gid=923248883"",""Prop!$CM$1:$CX""),11,0),iferror(vlookup(B65,importrange(""https://docs.google.com/spreadsheets/d/1boHyJQ4e2FU0QG8MHwEi6qjX4hvZWVCHcFfXjq7bbMc/edit?resourcekey#gid=923248883"",""Prop!$CY$1:$DI""),11,0)))))))))))"),"")</f>
        <v/>
      </c>
      <c r="Q65" s="1"/>
      <c r="R65" s="1"/>
      <c r="S65" s="1"/>
      <c r="T65" s="1"/>
      <c r="U65" s="33"/>
      <c r="V65" s="16"/>
      <c r="W65" s="1"/>
      <c r="X65" s="1"/>
    </row>
    <row r="66" spans="1:24">
      <c r="A66" s="15"/>
      <c r="B66" s="16"/>
      <c r="C66" s="16"/>
      <c r="D66" s="16"/>
      <c r="E66" s="16"/>
      <c r="F66" s="16"/>
      <c r="G66" s="16"/>
      <c r="H66" s="16"/>
      <c r="I66" s="16"/>
      <c r="J66" s="16"/>
      <c r="K66" s="16"/>
      <c r="L66" s="16"/>
      <c r="M66" s="25"/>
      <c r="N66" s="25"/>
      <c r="O66" s="16"/>
      <c r="P66" s="1" t="str">
        <f ca="1">IFERROR(__xludf.DUMMYFUNCTION("iferror(vlookup(B66,importrange(""https://docs.google.com/spreadsheets/d/1boHyJQ4e2FU0QG8MHwEi6qjX4hvZWVCHcFfXjq7bbMc/edit?resourcekey#gid=923248883"",""Prop!$C$1:$M""),11,0),IFERROR(vlookup(B66,importrange(""https://docs.google.com/spreadsheets/d/1boHyJQ"&amp;"4e2FU0QG8MHwEi6qjX4hvZWVCHcFfXjq7bbMc/edit?resourcekey#gid=923248883"",""Prop!$N$1:$X""),11,0),iferror(vlookup(B66,importrange(""https://docs.google.com/spreadsheets/d/1boHyJQ4e2FU0QG8MHwEi6qjX4hvZWVCHcFfXjq7bbMc/edit?resourcekey#gid=923248883"",""Prop!$Y"&amp;"$1:$AI""),11,0),iferror(vlookup(B66,importrange(""https://docs.google.com/spreadsheets/d/1boHyJQ4e2FU0QG8MHwEi6qjX4hvZWVCHcFfXjq7bbMc/edit?resourcekey#gid=923248883"",""Prop!$AJ$1:$AT""),11,0),iferror(vlookup(B66,importrange(""https://docs.google.com/spre"&amp;"adsheets/d/1boHyJQ4e2FU0QG8MHwEi6qjX4hvZWVCHcFfXjq7bbMc/edit?resourcekey#gid=923248883"",""Prop!$AU$1:$BE""),11,0),iferror(vlookup(B66,importrange(""https://docs.google.com/spreadsheets/d/1boHyJQ4e2FU0QG8MHwEi6qjX4hvZWVCHcFfXjq7bbMc/edit?resourcekey#gid=9"&amp;"23248883"",""Prop!$BF$1:$BP""),11,0),iferror(vlookup(B66,importrange(""https://docs.google.com/spreadsheets/d/1boHyJQ4e2FU0QG8MHwEi6qjX4hvZWVCHcFfXjq7bbMc/edit?resourcekey#gid=923248883"",""Prop!$BQ$1:$CA""),11,0),iferror(vlookup(B66,importrange(""https:/"&amp;"/docs.google.com/spreadsheets/d/1boHyJQ4e2FU0QG8MHwEi6qjX4hvZWVCHcFfXjq7bbMc/edit?resourcekey#gid=923248883"",""Prop!$CB$1:$CL""),11,0),iferror(vlookup(B66,importrange(""https://docs.google.com/spreadsheets/d/1boHyJQ4e2FU0QG8MHwEi6qjX4hvZWVCHcFfXjq7bbMc/e"&amp;"dit?resourcekey#gid=923248883"",""Prop!$CM$1:$CX""),11,0),iferror(vlookup(B66,importrange(""https://docs.google.com/spreadsheets/d/1boHyJQ4e2FU0QG8MHwEi6qjX4hvZWVCHcFfXjq7bbMc/edit?resourcekey#gid=923248883"",""Prop!$CY$1:$DI""),11,0)))))))))))"),"")</f>
        <v/>
      </c>
      <c r="Q66" s="1"/>
      <c r="R66" s="1"/>
      <c r="S66" s="1"/>
      <c r="T66" s="1"/>
      <c r="U66" s="33"/>
      <c r="V66" s="16"/>
      <c r="W66" s="1"/>
      <c r="X66" s="1"/>
    </row>
    <row r="67" spans="1:24">
      <c r="A67" s="15"/>
      <c r="B67" s="16"/>
      <c r="C67" s="16"/>
      <c r="D67" s="16"/>
      <c r="E67" s="16"/>
      <c r="F67" s="16"/>
      <c r="G67" s="16"/>
      <c r="H67" s="16"/>
      <c r="I67" s="16"/>
      <c r="J67" s="16"/>
      <c r="K67" s="16"/>
      <c r="L67" s="16"/>
      <c r="M67" s="25"/>
      <c r="N67" s="25"/>
      <c r="O67" s="16"/>
      <c r="P67" s="1" t="str">
        <f ca="1">IFERROR(__xludf.DUMMYFUNCTION("iferror(vlookup(B67,importrange(""https://docs.google.com/spreadsheets/d/1boHyJQ4e2FU0QG8MHwEi6qjX4hvZWVCHcFfXjq7bbMc/edit?resourcekey#gid=923248883"",""Prop!$C$1:$M""),11,0),IFERROR(vlookup(B67,importrange(""https://docs.google.com/spreadsheets/d/1boHyJQ"&amp;"4e2FU0QG8MHwEi6qjX4hvZWVCHcFfXjq7bbMc/edit?resourcekey#gid=923248883"",""Prop!$N$1:$X""),11,0),iferror(vlookup(B67,importrange(""https://docs.google.com/spreadsheets/d/1boHyJQ4e2FU0QG8MHwEi6qjX4hvZWVCHcFfXjq7bbMc/edit?resourcekey#gid=923248883"",""Prop!$Y"&amp;"$1:$AI""),11,0),iferror(vlookup(B67,importrange(""https://docs.google.com/spreadsheets/d/1boHyJQ4e2FU0QG8MHwEi6qjX4hvZWVCHcFfXjq7bbMc/edit?resourcekey#gid=923248883"",""Prop!$AJ$1:$AT""),11,0),iferror(vlookup(B67,importrange(""https://docs.google.com/spre"&amp;"adsheets/d/1boHyJQ4e2FU0QG8MHwEi6qjX4hvZWVCHcFfXjq7bbMc/edit?resourcekey#gid=923248883"",""Prop!$AU$1:$BE""),11,0),iferror(vlookup(B67,importrange(""https://docs.google.com/spreadsheets/d/1boHyJQ4e2FU0QG8MHwEi6qjX4hvZWVCHcFfXjq7bbMc/edit?resourcekey#gid=9"&amp;"23248883"",""Prop!$BF$1:$BP""),11,0),iferror(vlookup(B67,importrange(""https://docs.google.com/spreadsheets/d/1boHyJQ4e2FU0QG8MHwEi6qjX4hvZWVCHcFfXjq7bbMc/edit?resourcekey#gid=923248883"",""Prop!$BQ$1:$CA""),11,0),iferror(vlookup(B67,importrange(""https:/"&amp;"/docs.google.com/spreadsheets/d/1boHyJQ4e2FU0QG8MHwEi6qjX4hvZWVCHcFfXjq7bbMc/edit?resourcekey#gid=923248883"",""Prop!$CB$1:$CL""),11,0),iferror(vlookup(B67,importrange(""https://docs.google.com/spreadsheets/d/1boHyJQ4e2FU0QG8MHwEi6qjX4hvZWVCHcFfXjq7bbMc/e"&amp;"dit?resourcekey#gid=923248883"",""Prop!$CM$1:$CX""),11,0),iferror(vlookup(B67,importrange(""https://docs.google.com/spreadsheets/d/1boHyJQ4e2FU0QG8MHwEi6qjX4hvZWVCHcFfXjq7bbMc/edit?resourcekey#gid=923248883"",""Prop!$CY$1:$DI""),11,0)))))))))))"),"")</f>
        <v/>
      </c>
      <c r="Q67" s="1"/>
      <c r="R67" s="1"/>
      <c r="S67" s="1"/>
      <c r="T67" s="1"/>
      <c r="U67" s="33"/>
      <c r="V67" s="16"/>
      <c r="W67" s="1"/>
      <c r="X67" s="1"/>
    </row>
    <row r="68" spans="1:24">
      <c r="A68" s="15"/>
      <c r="B68" s="16"/>
      <c r="C68" s="16"/>
      <c r="D68" s="16"/>
      <c r="E68" s="16"/>
      <c r="F68" s="16"/>
      <c r="G68" s="16"/>
      <c r="H68" s="16"/>
      <c r="I68" s="16"/>
      <c r="J68" s="16"/>
      <c r="K68" s="16"/>
      <c r="L68" s="16"/>
      <c r="M68" s="25"/>
      <c r="N68" s="25"/>
      <c r="O68" s="16"/>
      <c r="P68" s="1" t="str">
        <f ca="1">IFERROR(__xludf.DUMMYFUNCTION("iferror(vlookup(B68,importrange(""https://docs.google.com/spreadsheets/d/1boHyJQ4e2FU0QG8MHwEi6qjX4hvZWVCHcFfXjq7bbMc/edit?resourcekey#gid=923248883"",""Prop!$C$1:$M""),11,0),IFERROR(vlookup(B68,importrange(""https://docs.google.com/spreadsheets/d/1boHyJQ"&amp;"4e2FU0QG8MHwEi6qjX4hvZWVCHcFfXjq7bbMc/edit?resourcekey#gid=923248883"",""Prop!$N$1:$X""),11,0),iferror(vlookup(B68,importrange(""https://docs.google.com/spreadsheets/d/1boHyJQ4e2FU0QG8MHwEi6qjX4hvZWVCHcFfXjq7bbMc/edit?resourcekey#gid=923248883"",""Prop!$Y"&amp;"$1:$AI""),11,0),iferror(vlookup(B68,importrange(""https://docs.google.com/spreadsheets/d/1boHyJQ4e2FU0QG8MHwEi6qjX4hvZWVCHcFfXjq7bbMc/edit?resourcekey#gid=923248883"",""Prop!$AJ$1:$AT""),11,0),iferror(vlookup(B68,importrange(""https://docs.google.com/spre"&amp;"adsheets/d/1boHyJQ4e2FU0QG8MHwEi6qjX4hvZWVCHcFfXjq7bbMc/edit?resourcekey#gid=923248883"",""Prop!$AU$1:$BE""),11,0),iferror(vlookup(B68,importrange(""https://docs.google.com/spreadsheets/d/1boHyJQ4e2FU0QG8MHwEi6qjX4hvZWVCHcFfXjq7bbMc/edit?resourcekey#gid=9"&amp;"23248883"",""Prop!$BF$1:$BP""),11,0),iferror(vlookup(B68,importrange(""https://docs.google.com/spreadsheets/d/1boHyJQ4e2FU0QG8MHwEi6qjX4hvZWVCHcFfXjq7bbMc/edit?resourcekey#gid=923248883"",""Prop!$BQ$1:$CA""),11,0),iferror(vlookup(B68,importrange(""https:/"&amp;"/docs.google.com/spreadsheets/d/1boHyJQ4e2FU0QG8MHwEi6qjX4hvZWVCHcFfXjq7bbMc/edit?resourcekey#gid=923248883"",""Prop!$CB$1:$CL""),11,0),iferror(vlookup(B68,importrange(""https://docs.google.com/spreadsheets/d/1boHyJQ4e2FU0QG8MHwEi6qjX4hvZWVCHcFfXjq7bbMc/e"&amp;"dit?resourcekey#gid=923248883"",""Prop!$CM$1:$CX""),11,0),iferror(vlookup(B68,importrange(""https://docs.google.com/spreadsheets/d/1boHyJQ4e2FU0QG8MHwEi6qjX4hvZWVCHcFfXjq7bbMc/edit?resourcekey#gid=923248883"",""Prop!$CY$1:$DI""),11,0)))))))))))"),"")</f>
        <v/>
      </c>
      <c r="Q68" s="1"/>
      <c r="R68" s="1"/>
      <c r="S68" s="1"/>
      <c r="T68" s="1"/>
      <c r="U68" s="33"/>
      <c r="V68" s="16"/>
      <c r="W68" s="1"/>
      <c r="X68" s="1"/>
    </row>
    <row r="69" spans="1:24">
      <c r="A69" s="15"/>
      <c r="B69" s="16"/>
      <c r="C69" s="16"/>
      <c r="D69" s="16"/>
      <c r="E69" s="16"/>
      <c r="F69" s="16"/>
      <c r="G69" s="16"/>
      <c r="H69" s="16"/>
      <c r="I69" s="16"/>
      <c r="J69" s="16"/>
      <c r="K69" s="16"/>
      <c r="L69" s="16"/>
      <c r="M69" s="25"/>
      <c r="N69" s="25"/>
      <c r="O69" s="16"/>
      <c r="P69" s="1" t="str">
        <f ca="1">IFERROR(__xludf.DUMMYFUNCTION("iferror(vlookup(B69,importrange(""https://docs.google.com/spreadsheets/d/1boHyJQ4e2FU0QG8MHwEi6qjX4hvZWVCHcFfXjq7bbMc/edit?resourcekey#gid=923248883"",""Prop!$C$1:$M""),11,0),IFERROR(vlookup(B69,importrange(""https://docs.google.com/spreadsheets/d/1boHyJQ"&amp;"4e2FU0QG8MHwEi6qjX4hvZWVCHcFfXjq7bbMc/edit?resourcekey#gid=923248883"",""Prop!$N$1:$X""),11,0),iferror(vlookup(B69,importrange(""https://docs.google.com/spreadsheets/d/1boHyJQ4e2FU0QG8MHwEi6qjX4hvZWVCHcFfXjq7bbMc/edit?resourcekey#gid=923248883"",""Prop!$Y"&amp;"$1:$AI""),11,0),iferror(vlookup(B69,importrange(""https://docs.google.com/spreadsheets/d/1boHyJQ4e2FU0QG8MHwEi6qjX4hvZWVCHcFfXjq7bbMc/edit?resourcekey#gid=923248883"",""Prop!$AJ$1:$AT""),11,0),iferror(vlookup(B69,importrange(""https://docs.google.com/spre"&amp;"adsheets/d/1boHyJQ4e2FU0QG8MHwEi6qjX4hvZWVCHcFfXjq7bbMc/edit?resourcekey#gid=923248883"",""Prop!$AU$1:$BE""),11,0),iferror(vlookup(B69,importrange(""https://docs.google.com/spreadsheets/d/1boHyJQ4e2FU0QG8MHwEi6qjX4hvZWVCHcFfXjq7bbMc/edit?resourcekey#gid=9"&amp;"23248883"",""Prop!$BF$1:$BP""),11,0),iferror(vlookup(B69,importrange(""https://docs.google.com/spreadsheets/d/1boHyJQ4e2FU0QG8MHwEi6qjX4hvZWVCHcFfXjq7bbMc/edit?resourcekey#gid=923248883"",""Prop!$BQ$1:$CA""),11,0),iferror(vlookup(B69,importrange(""https:/"&amp;"/docs.google.com/spreadsheets/d/1boHyJQ4e2FU0QG8MHwEi6qjX4hvZWVCHcFfXjq7bbMc/edit?resourcekey#gid=923248883"",""Prop!$CB$1:$CL""),11,0),iferror(vlookup(B69,importrange(""https://docs.google.com/spreadsheets/d/1boHyJQ4e2FU0QG8MHwEi6qjX4hvZWVCHcFfXjq7bbMc/e"&amp;"dit?resourcekey#gid=923248883"",""Prop!$CM$1:$CX""),11,0),iferror(vlookup(B69,importrange(""https://docs.google.com/spreadsheets/d/1boHyJQ4e2FU0QG8MHwEi6qjX4hvZWVCHcFfXjq7bbMc/edit?resourcekey#gid=923248883"",""Prop!$CY$1:$DI""),11,0)))))))))))"),"")</f>
        <v/>
      </c>
      <c r="Q69" s="1"/>
      <c r="R69" s="1"/>
      <c r="S69" s="1"/>
      <c r="T69" s="1"/>
      <c r="U69" s="33"/>
      <c r="V69" s="16"/>
      <c r="W69" s="1"/>
      <c r="X69" s="1"/>
    </row>
    <row r="70" spans="1:24">
      <c r="A70" s="15"/>
      <c r="B70" s="16"/>
      <c r="C70" s="16"/>
      <c r="D70" s="16"/>
      <c r="E70" s="16"/>
      <c r="F70" s="16"/>
      <c r="G70" s="16"/>
      <c r="H70" s="16"/>
      <c r="I70" s="16"/>
      <c r="J70" s="16"/>
      <c r="K70" s="16"/>
      <c r="L70" s="16"/>
      <c r="M70" s="25"/>
      <c r="N70" s="25"/>
      <c r="O70" s="16"/>
      <c r="P70" s="1" t="str">
        <f ca="1">IFERROR(__xludf.DUMMYFUNCTION("iferror(vlookup(B70,importrange(""https://docs.google.com/spreadsheets/d/1boHyJQ4e2FU0QG8MHwEi6qjX4hvZWVCHcFfXjq7bbMc/edit?resourcekey#gid=923248883"",""Prop!$C$1:$M""),11,0),IFERROR(vlookup(B70,importrange(""https://docs.google.com/spreadsheets/d/1boHyJQ"&amp;"4e2FU0QG8MHwEi6qjX4hvZWVCHcFfXjq7bbMc/edit?resourcekey#gid=923248883"",""Prop!$N$1:$X""),11,0),iferror(vlookup(B70,importrange(""https://docs.google.com/spreadsheets/d/1boHyJQ4e2FU0QG8MHwEi6qjX4hvZWVCHcFfXjq7bbMc/edit?resourcekey#gid=923248883"",""Prop!$Y"&amp;"$1:$AI""),11,0),iferror(vlookup(B70,importrange(""https://docs.google.com/spreadsheets/d/1boHyJQ4e2FU0QG8MHwEi6qjX4hvZWVCHcFfXjq7bbMc/edit?resourcekey#gid=923248883"",""Prop!$AJ$1:$AT""),11,0),iferror(vlookup(B70,importrange(""https://docs.google.com/spre"&amp;"adsheets/d/1boHyJQ4e2FU0QG8MHwEi6qjX4hvZWVCHcFfXjq7bbMc/edit?resourcekey#gid=923248883"",""Prop!$AU$1:$BE""),11,0),iferror(vlookup(B70,importrange(""https://docs.google.com/spreadsheets/d/1boHyJQ4e2FU0QG8MHwEi6qjX4hvZWVCHcFfXjq7bbMc/edit?resourcekey#gid=9"&amp;"23248883"",""Prop!$BF$1:$BP""),11,0),iferror(vlookup(B70,importrange(""https://docs.google.com/spreadsheets/d/1boHyJQ4e2FU0QG8MHwEi6qjX4hvZWVCHcFfXjq7bbMc/edit?resourcekey#gid=923248883"",""Prop!$BQ$1:$CA""),11,0),iferror(vlookup(B70,importrange(""https:/"&amp;"/docs.google.com/spreadsheets/d/1boHyJQ4e2FU0QG8MHwEi6qjX4hvZWVCHcFfXjq7bbMc/edit?resourcekey#gid=923248883"",""Prop!$CB$1:$CL""),11,0),iferror(vlookup(B70,importrange(""https://docs.google.com/spreadsheets/d/1boHyJQ4e2FU0QG8MHwEi6qjX4hvZWVCHcFfXjq7bbMc/e"&amp;"dit?resourcekey#gid=923248883"",""Prop!$CM$1:$CX""),11,0),iferror(vlookup(B70,importrange(""https://docs.google.com/spreadsheets/d/1boHyJQ4e2FU0QG8MHwEi6qjX4hvZWVCHcFfXjq7bbMc/edit?resourcekey#gid=923248883"",""Prop!$CY$1:$DI""),11,0)))))))))))"),"")</f>
        <v/>
      </c>
      <c r="Q70" s="1"/>
      <c r="R70" s="1"/>
      <c r="S70" s="1"/>
      <c r="T70" s="1"/>
      <c r="U70" s="33"/>
      <c r="V70" s="16"/>
      <c r="W70" s="1"/>
      <c r="X70" s="1"/>
    </row>
    <row r="71" spans="1:24">
      <c r="A71" s="15"/>
      <c r="B71" s="16"/>
      <c r="C71" s="16"/>
      <c r="D71" s="16"/>
      <c r="E71" s="16"/>
      <c r="F71" s="16"/>
      <c r="G71" s="16"/>
      <c r="H71" s="16"/>
      <c r="I71" s="16"/>
      <c r="J71" s="16"/>
      <c r="K71" s="16"/>
      <c r="L71" s="16"/>
      <c r="M71" s="25"/>
      <c r="N71" s="25"/>
      <c r="O71" s="16"/>
      <c r="P71" s="1"/>
      <c r="Q71" s="1"/>
      <c r="R71" s="1"/>
      <c r="S71" s="1"/>
      <c r="T71" s="1"/>
      <c r="U71" s="33"/>
      <c r="V71" s="16"/>
      <c r="W71" s="1"/>
      <c r="X71" s="1"/>
    </row>
    <row r="72" spans="1:24">
      <c r="A72" s="15"/>
      <c r="B72" s="16"/>
      <c r="C72" s="16"/>
      <c r="D72" s="16"/>
      <c r="E72" s="16"/>
      <c r="F72" s="16"/>
      <c r="G72" s="16"/>
      <c r="H72" s="16"/>
      <c r="I72" s="16"/>
      <c r="J72" s="16"/>
      <c r="K72" s="16"/>
      <c r="L72" s="16"/>
      <c r="M72" s="25"/>
      <c r="N72" s="25"/>
      <c r="O72" s="16"/>
      <c r="P72" s="1"/>
      <c r="Q72" s="1"/>
      <c r="R72" s="1"/>
      <c r="S72" s="1"/>
      <c r="T72" s="1"/>
      <c r="U72" s="33"/>
      <c r="V72" s="16"/>
      <c r="W72" s="1"/>
      <c r="X72" s="1"/>
    </row>
    <row r="73" spans="1:24">
      <c r="A73" s="15"/>
      <c r="B73" s="16"/>
      <c r="C73" s="16"/>
      <c r="D73" s="16"/>
      <c r="E73" s="16"/>
      <c r="F73" s="16"/>
      <c r="G73" s="16"/>
      <c r="H73" s="16"/>
      <c r="I73" s="16"/>
      <c r="J73" s="16"/>
      <c r="K73" s="16"/>
      <c r="L73" s="16"/>
      <c r="M73" s="25"/>
      <c r="N73" s="25"/>
      <c r="O73" s="16"/>
      <c r="P73" s="1"/>
      <c r="Q73" s="1"/>
      <c r="R73" s="1"/>
      <c r="S73" s="1"/>
      <c r="T73" s="1"/>
      <c r="U73" s="33"/>
      <c r="V73" s="16"/>
      <c r="W73" s="1"/>
      <c r="X73" s="1"/>
    </row>
    <row r="74" spans="1:24">
      <c r="A74" s="15"/>
      <c r="B74" s="16"/>
      <c r="C74" s="16"/>
      <c r="D74" s="16"/>
      <c r="E74" s="16"/>
      <c r="F74" s="16"/>
      <c r="G74" s="16"/>
      <c r="H74" s="16"/>
      <c r="I74" s="16"/>
      <c r="J74" s="16"/>
      <c r="K74" s="16"/>
      <c r="L74" s="16"/>
      <c r="M74" s="25"/>
      <c r="N74" s="25"/>
      <c r="O74" s="16"/>
      <c r="P74" s="1"/>
      <c r="Q74" s="1"/>
      <c r="R74" s="1"/>
      <c r="S74" s="1"/>
      <c r="T74" s="1"/>
      <c r="U74" s="33"/>
      <c r="V74" s="16"/>
      <c r="W74" s="1"/>
      <c r="X74" s="1"/>
    </row>
    <row r="75" spans="1:24">
      <c r="A75" s="15"/>
      <c r="B75" s="16"/>
      <c r="C75" s="16"/>
      <c r="D75" s="16"/>
      <c r="E75" s="16"/>
      <c r="F75" s="16"/>
      <c r="G75" s="16"/>
      <c r="H75" s="16"/>
      <c r="I75" s="16"/>
      <c r="J75" s="16"/>
      <c r="K75" s="16"/>
      <c r="L75" s="16"/>
      <c r="M75" s="25"/>
      <c r="N75" s="25"/>
      <c r="O75" s="16"/>
      <c r="P75" s="1"/>
      <c r="Q75" s="1"/>
      <c r="R75" s="1"/>
      <c r="S75" s="1"/>
      <c r="T75" s="1"/>
      <c r="U75" s="33"/>
      <c r="V75" s="16"/>
      <c r="W75" s="1"/>
      <c r="X75" s="1"/>
    </row>
    <row r="76" spans="1:24">
      <c r="A76" s="15"/>
      <c r="B76" s="16"/>
      <c r="C76" s="16"/>
      <c r="D76" s="16"/>
      <c r="E76" s="16"/>
      <c r="F76" s="16"/>
      <c r="G76" s="16"/>
      <c r="H76" s="16"/>
      <c r="I76" s="16"/>
      <c r="J76" s="16"/>
      <c r="K76" s="16"/>
      <c r="L76" s="16"/>
      <c r="M76" s="25"/>
      <c r="N76" s="25"/>
      <c r="O76" s="16"/>
      <c r="P76" s="1"/>
      <c r="Q76" s="1"/>
      <c r="R76" s="1"/>
      <c r="S76" s="1"/>
      <c r="T76" s="1"/>
      <c r="U76" s="33"/>
      <c r="V76" s="16"/>
      <c r="W76" s="1"/>
      <c r="X76" s="1"/>
    </row>
    <row r="77" spans="1:24">
      <c r="A77" s="15"/>
      <c r="B77" s="16"/>
      <c r="C77" s="16"/>
      <c r="D77" s="16"/>
      <c r="E77" s="16"/>
      <c r="F77" s="16"/>
      <c r="G77" s="16"/>
      <c r="H77" s="16"/>
      <c r="I77" s="16"/>
      <c r="J77" s="16"/>
      <c r="K77" s="16"/>
      <c r="L77" s="16"/>
      <c r="M77" s="25"/>
      <c r="N77" s="25"/>
      <c r="O77" s="16"/>
      <c r="P77" s="1"/>
      <c r="Q77" s="1"/>
      <c r="R77" s="1"/>
      <c r="S77" s="1"/>
      <c r="T77" s="1"/>
      <c r="U77" s="33"/>
      <c r="V77" s="16"/>
      <c r="W77" s="1"/>
      <c r="X77" s="1"/>
    </row>
    <row r="78" spans="1:24">
      <c r="A78" s="15"/>
      <c r="B78" s="16"/>
      <c r="C78" s="16"/>
      <c r="D78" s="16"/>
      <c r="E78" s="16"/>
      <c r="F78" s="16"/>
      <c r="G78" s="16"/>
      <c r="H78" s="16"/>
      <c r="I78" s="16"/>
      <c r="J78" s="16"/>
      <c r="K78" s="16"/>
      <c r="L78" s="16"/>
      <c r="M78" s="25"/>
      <c r="N78" s="25"/>
      <c r="O78" s="16"/>
      <c r="P78" s="1"/>
      <c r="Q78" s="1"/>
      <c r="R78" s="1"/>
      <c r="S78" s="1"/>
      <c r="T78" s="1"/>
      <c r="U78" s="33"/>
      <c r="V78" s="16"/>
      <c r="W78" s="1"/>
      <c r="X78" s="1"/>
    </row>
    <row r="79" spans="1:24">
      <c r="A79" s="15"/>
      <c r="B79" s="16"/>
      <c r="C79" s="16"/>
      <c r="D79" s="16"/>
      <c r="E79" s="16"/>
      <c r="F79" s="16"/>
      <c r="G79" s="16"/>
      <c r="H79" s="16"/>
      <c r="I79" s="16"/>
      <c r="J79" s="16"/>
      <c r="K79" s="16"/>
      <c r="L79" s="16"/>
      <c r="M79" s="25"/>
      <c r="N79" s="25"/>
      <c r="O79" s="16"/>
      <c r="P79" s="1"/>
      <c r="Q79" s="1"/>
      <c r="R79" s="1"/>
      <c r="S79" s="1"/>
      <c r="T79" s="1"/>
      <c r="U79" s="33"/>
      <c r="V79" s="16"/>
      <c r="W79" s="1"/>
      <c r="X79" s="1"/>
    </row>
    <row r="80" spans="1:24">
      <c r="A80" s="15"/>
      <c r="B80" s="16"/>
      <c r="C80" s="16"/>
      <c r="D80" s="16"/>
      <c r="E80" s="16"/>
      <c r="F80" s="16"/>
      <c r="G80" s="16"/>
      <c r="H80" s="16"/>
      <c r="I80" s="16"/>
      <c r="J80" s="16"/>
      <c r="K80" s="16"/>
      <c r="L80" s="16"/>
      <c r="M80" s="25"/>
      <c r="N80" s="25"/>
      <c r="O80" s="16"/>
      <c r="P80" s="1"/>
      <c r="Q80" s="1"/>
      <c r="R80" s="1"/>
      <c r="S80" s="1"/>
      <c r="T80" s="1"/>
      <c r="U80" s="33"/>
      <c r="V80" s="16"/>
      <c r="W80" s="1"/>
      <c r="X80" s="1"/>
    </row>
    <row r="81" spans="1:24">
      <c r="A81" s="15"/>
      <c r="B81" s="16"/>
      <c r="C81" s="16"/>
      <c r="D81" s="16"/>
      <c r="E81" s="16"/>
      <c r="F81" s="16"/>
      <c r="G81" s="16"/>
      <c r="H81" s="16"/>
      <c r="I81" s="16"/>
      <c r="J81" s="16"/>
      <c r="K81" s="16"/>
      <c r="L81" s="16"/>
      <c r="M81" s="25"/>
      <c r="N81" s="25"/>
      <c r="O81" s="16"/>
      <c r="P81" s="1"/>
      <c r="Q81" s="1"/>
      <c r="R81" s="1"/>
      <c r="S81" s="1"/>
      <c r="T81" s="1"/>
      <c r="U81" s="33"/>
      <c r="V81" s="16"/>
      <c r="W81" s="1"/>
      <c r="X81" s="1"/>
    </row>
    <row r="82" spans="1:24">
      <c r="A82" s="15"/>
      <c r="B82" s="16"/>
      <c r="C82" s="16"/>
      <c r="D82" s="16"/>
      <c r="E82" s="16"/>
      <c r="F82" s="16"/>
      <c r="G82" s="16"/>
      <c r="H82" s="16"/>
      <c r="I82" s="16"/>
      <c r="J82" s="16"/>
      <c r="K82" s="16"/>
      <c r="L82" s="16"/>
      <c r="M82" s="25"/>
      <c r="N82" s="25"/>
      <c r="O82" s="16"/>
      <c r="P82" s="1"/>
      <c r="Q82" s="1"/>
      <c r="R82" s="1"/>
      <c r="S82" s="1"/>
      <c r="T82" s="1"/>
      <c r="U82" s="33"/>
      <c r="V82" s="16"/>
      <c r="W82" s="1"/>
      <c r="X82" s="1"/>
    </row>
    <row r="83" spans="1:24">
      <c r="A83" s="15"/>
      <c r="B83" s="16"/>
      <c r="C83" s="16"/>
      <c r="D83" s="16"/>
      <c r="E83" s="16"/>
      <c r="F83" s="16"/>
      <c r="G83" s="16"/>
      <c r="H83" s="16"/>
      <c r="I83" s="16"/>
      <c r="J83" s="16"/>
      <c r="K83" s="16"/>
      <c r="L83" s="16"/>
      <c r="M83" s="25"/>
      <c r="N83" s="25"/>
      <c r="O83" s="16"/>
      <c r="P83" s="1"/>
      <c r="Q83" s="1"/>
      <c r="R83" s="1"/>
      <c r="S83" s="1"/>
      <c r="T83" s="1"/>
      <c r="U83" s="33"/>
      <c r="V83" s="16"/>
      <c r="W83" s="1"/>
      <c r="X83" s="1"/>
    </row>
    <row r="84" spans="1:24">
      <c r="A84" s="15"/>
      <c r="B84" s="16"/>
      <c r="C84" s="16"/>
      <c r="D84" s="16"/>
      <c r="E84" s="16"/>
      <c r="F84" s="16"/>
      <c r="G84" s="16"/>
      <c r="H84" s="16"/>
      <c r="I84" s="16"/>
      <c r="J84" s="16"/>
      <c r="K84" s="16"/>
      <c r="L84" s="16"/>
      <c r="M84" s="25"/>
      <c r="N84" s="25"/>
      <c r="O84" s="16"/>
      <c r="P84" s="1"/>
      <c r="Q84" s="1"/>
      <c r="R84" s="1"/>
      <c r="S84" s="1"/>
      <c r="T84" s="1"/>
      <c r="U84" s="33"/>
      <c r="V84" s="16"/>
      <c r="W84" s="1"/>
      <c r="X84" s="1"/>
    </row>
    <row r="85" spans="1:24">
      <c r="A85" s="15"/>
      <c r="B85" s="16"/>
      <c r="C85" s="16"/>
      <c r="D85" s="16"/>
      <c r="E85" s="16"/>
      <c r="F85" s="16"/>
      <c r="G85" s="16"/>
      <c r="H85" s="16"/>
      <c r="I85" s="16"/>
      <c r="J85" s="16"/>
      <c r="K85" s="16"/>
      <c r="L85" s="16"/>
      <c r="M85" s="25"/>
      <c r="N85" s="25"/>
      <c r="O85" s="16"/>
      <c r="P85" s="1"/>
      <c r="Q85" s="1"/>
      <c r="R85" s="1"/>
      <c r="S85" s="1"/>
      <c r="T85" s="1"/>
      <c r="U85" s="33"/>
      <c r="V85" s="16"/>
      <c r="W85" s="1"/>
      <c r="X85" s="1"/>
    </row>
    <row r="86" spans="1:24">
      <c r="A86" s="15"/>
      <c r="B86" s="16"/>
      <c r="C86" s="16"/>
      <c r="D86" s="16"/>
      <c r="E86" s="16"/>
      <c r="F86" s="16"/>
      <c r="G86" s="16"/>
      <c r="H86" s="16"/>
      <c r="I86" s="16"/>
      <c r="J86" s="16"/>
      <c r="K86" s="16"/>
      <c r="L86" s="16"/>
      <c r="M86" s="25"/>
      <c r="N86" s="25"/>
      <c r="O86" s="16"/>
      <c r="P86" s="1"/>
      <c r="Q86" s="1"/>
      <c r="R86" s="1"/>
      <c r="S86" s="1"/>
      <c r="T86" s="1"/>
      <c r="U86" s="33"/>
      <c r="V86" s="16"/>
      <c r="W86" s="1"/>
      <c r="X86" s="1"/>
    </row>
    <row r="87" spans="1:24">
      <c r="A87" s="15"/>
      <c r="B87" s="16"/>
      <c r="C87" s="16"/>
      <c r="D87" s="16"/>
      <c r="E87" s="16"/>
      <c r="F87" s="16"/>
      <c r="G87" s="16"/>
      <c r="H87" s="16"/>
      <c r="I87" s="16"/>
      <c r="J87" s="16"/>
      <c r="K87" s="16"/>
      <c r="L87" s="16"/>
      <c r="M87" s="25"/>
      <c r="N87" s="25"/>
      <c r="O87" s="16"/>
      <c r="P87" s="1"/>
      <c r="Q87" s="1"/>
      <c r="R87" s="1"/>
      <c r="S87" s="1"/>
      <c r="T87" s="1"/>
      <c r="U87" s="33"/>
      <c r="V87" s="16"/>
      <c r="W87" s="1"/>
      <c r="X87" s="1"/>
    </row>
    <row r="88" spans="1:24">
      <c r="A88" s="15"/>
      <c r="B88" s="16"/>
      <c r="C88" s="16"/>
      <c r="D88" s="16"/>
      <c r="E88" s="16"/>
      <c r="F88" s="16"/>
      <c r="G88" s="16"/>
      <c r="H88" s="16"/>
      <c r="I88" s="16"/>
      <c r="J88" s="16"/>
      <c r="K88" s="16"/>
      <c r="L88" s="16"/>
      <c r="M88" s="25"/>
      <c r="N88" s="25"/>
      <c r="O88" s="16"/>
      <c r="P88" s="1"/>
      <c r="Q88" s="1"/>
      <c r="R88" s="1"/>
      <c r="S88" s="1"/>
      <c r="T88" s="1"/>
      <c r="U88" s="33"/>
      <c r="V88" s="16"/>
      <c r="W88" s="1"/>
      <c r="X88" s="1"/>
    </row>
    <row r="89" spans="1:24">
      <c r="A89" s="15"/>
      <c r="B89" s="16"/>
      <c r="C89" s="16"/>
      <c r="D89" s="16"/>
      <c r="E89" s="16"/>
      <c r="F89" s="16"/>
      <c r="G89" s="16"/>
      <c r="H89" s="16"/>
      <c r="I89" s="16"/>
      <c r="J89" s="16"/>
      <c r="K89" s="16"/>
      <c r="L89" s="16"/>
      <c r="M89" s="25"/>
      <c r="N89" s="25"/>
      <c r="O89" s="16"/>
      <c r="P89" s="1"/>
      <c r="Q89" s="1"/>
      <c r="R89" s="1"/>
      <c r="S89" s="1"/>
      <c r="T89" s="1"/>
      <c r="U89" s="33"/>
      <c r="V89" s="16"/>
      <c r="W89" s="1"/>
      <c r="X89" s="1"/>
    </row>
    <row r="90" spans="1:24">
      <c r="A90" s="15"/>
      <c r="B90" s="16"/>
      <c r="C90" s="16"/>
      <c r="D90" s="16"/>
      <c r="E90" s="16"/>
      <c r="F90" s="16"/>
      <c r="G90" s="16"/>
      <c r="H90" s="16"/>
      <c r="I90" s="16"/>
      <c r="J90" s="16"/>
      <c r="K90" s="16"/>
      <c r="L90" s="16"/>
      <c r="M90" s="25"/>
      <c r="N90" s="25"/>
      <c r="O90" s="16"/>
      <c r="P90" s="1"/>
      <c r="Q90" s="1"/>
      <c r="R90" s="1"/>
      <c r="S90" s="1"/>
      <c r="T90" s="1"/>
      <c r="U90" s="33"/>
      <c r="V90" s="16"/>
      <c r="W90" s="1"/>
      <c r="X90" s="1"/>
    </row>
    <row r="91" spans="1:24">
      <c r="A91" s="15"/>
      <c r="B91" s="16"/>
      <c r="C91" s="16"/>
      <c r="D91" s="16"/>
      <c r="E91" s="16"/>
      <c r="F91" s="16"/>
      <c r="G91" s="16"/>
      <c r="H91" s="16"/>
      <c r="I91" s="16"/>
      <c r="J91" s="16"/>
      <c r="K91" s="16"/>
      <c r="L91" s="16"/>
      <c r="M91" s="25"/>
      <c r="N91" s="25"/>
      <c r="O91" s="16"/>
      <c r="P91" s="1"/>
      <c r="Q91" s="1"/>
      <c r="R91" s="1"/>
      <c r="S91" s="1"/>
      <c r="T91" s="1"/>
      <c r="U91" s="33"/>
      <c r="V91" s="16"/>
      <c r="W91" s="1"/>
      <c r="X91" s="1"/>
    </row>
    <row r="92" spans="1:24">
      <c r="A92" s="15"/>
      <c r="B92" s="16"/>
      <c r="C92" s="16"/>
      <c r="D92" s="16"/>
      <c r="E92" s="16"/>
      <c r="F92" s="16"/>
      <c r="G92" s="16"/>
      <c r="H92" s="16"/>
      <c r="I92" s="16"/>
      <c r="J92" s="16"/>
      <c r="K92" s="16"/>
      <c r="L92" s="16"/>
      <c r="M92" s="25"/>
      <c r="N92" s="25"/>
      <c r="O92" s="16"/>
      <c r="P92" s="1"/>
      <c r="Q92" s="1"/>
      <c r="R92" s="1"/>
      <c r="S92" s="1"/>
      <c r="T92" s="1"/>
      <c r="U92" s="33"/>
      <c r="V92" s="16"/>
      <c r="W92" s="1"/>
      <c r="X92" s="1"/>
    </row>
    <row r="93" spans="1:24">
      <c r="A93" s="15"/>
      <c r="B93" s="16"/>
      <c r="C93" s="16"/>
      <c r="D93" s="16"/>
      <c r="E93" s="16"/>
      <c r="F93" s="16"/>
      <c r="G93" s="16"/>
      <c r="H93" s="16"/>
      <c r="I93" s="16"/>
      <c r="J93" s="16"/>
      <c r="K93" s="16"/>
      <c r="L93" s="16"/>
      <c r="M93" s="25"/>
      <c r="N93" s="25"/>
      <c r="O93" s="16"/>
      <c r="P93" s="1"/>
      <c r="Q93" s="1"/>
      <c r="R93" s="1"/>
      <c r="S93" s="1"/>
      <c r="T93" s="1"/>
      <c r="U93" s="33"/>
      <c r="V93" s="16"/>
      <c r="W93" s="1"/>
      <c r="X93" s="1"/>
    </row>
    <row r="94" spans="1:24">
      <c r="A94" s="15"/>
      <c r="B94" s="16"/>
      <c r="C94" s="16"/>
      <c r="D94" s="16"/>
      <c r="E94" s="16"/>
      <c r="F94" s="16"/>
      <c r="G94" s="16"/>
      <c r="H94" s="16"/>
      <c r="I94" s="16"/>
      <c r="J94" s="16"/>
      <c r="K94" s="16"/>
      <c r="L94" s="16"/>
      <c r="M94" s="25"/>
      <c r="N94" s="25"/>
      <c r="O94" s="16"/>
      <c r="P94" s="1"/>
      <c r="Q94" s="1"/>
      <c r="R94" s="1"/>
      <c r="S94" s="1"/>
      <c r="T94" s="1"/>
      <c r="U94" s="33"/>
      <c r="V94" s="16"/>
      <c r="W94" s="1"/>
      <c r="X94" s="1"/>
    </row>
    <row r="95" spans="1:24">
      <c r="A95" s="15"/>
      <c r="B95" s="16"/>
      <c r="C95" s="16"/>
      <c r="D95" s="16"/>
      <c r="E95" s="16"/>
      <c r="F95" s="16"/>
      <c r="G95" s="16"/>
      <c r="H95" s="16"/>
      <c r="I95" s="16"/>
      <c r="J95" s="16"/>
      <c r="K95" s="16"/>
      <c r="L95" s="16"/>
      <c r="M95" s="25"/>
      <c r="N95" s="25"/>
      <c r="O95" s="16"/>
      <c r="P95" s="1"/>
      <c r="Q95" s="1"/>
      <c r="R95" s="1"/>
      <c r="S95" s="1"/>
      <c r="T95" s="1"/>
      <c r="U95" s="33"/>
      <c r="V95" s="16"/>
      <c r="W95" s="1"/>
      <c r="X95" s="1"/>
    </row>
    <row r="96" spans="1:24">
      <c r="A96" s="15"/>
      <c r="B96" s="16"/>
      <c r="C96" s="16"/>
      <c r="D96" s="16"/>
      <c r="E96" s="16"/>
      <c r="F96" s="16"/>
      <c r="G96" s="16"/>
      <c r="H96" s="16"/>
      <c r="I96" s="16"/>
      <c r="J96" s="16"/>
      <c r="K96" s="16"/>
      <c r="L96" s="16"/>
      <c r="M96" s="25"/>
      <c r="N96" s="25"/>
      <c r="O96" s="16"/>
      <c r="P96" s="1"/>
      <c r="Q96" s="1"/>
      <c r="R96" s="1"/>
      <c r="S96" s="1"/>
      <c r="T96" s="1"/>
      <c r="U96" s="33"/>
      <c r="V96" s="16"/>
      <c r="W96" s="1"/>
      <c r="X96" s="1"/>
    </row>
    <row r="97" spans="1:24">
      <c r="A97" s="15"/>
      <c r="B97" s="16"/>
      <c r="C97" s="16"/>
      <c r="D97" s="16"/>
      <c r="E97" s="16"/>
      <c r="F97" s="16"/>
      <c r="G97" s="16"/>
      <c r="H97" s="16"/>
      <c r="I97" s="16"/>
      <c r="J97" s="16"/>
      <c r="K97" s="16"/>
      <c r="L97" s="16"/>
      <c r="M97" s="25"/>
      <c r="N97" s="25"/>
      <c r="O97" s="16"/>
      <c r="P97" s="1"/>
      <c r="Q97" s="1"/>
      <c r="R97" s="1"/>
      <c r="S97" s="1"/>
      <c r="T97" s="1"/>
      <c r="U97" s="33"/>
      <c r="V97" s="16"/>
      <c r="W97" s="1"/>
      <c r="X97" s="1"/>
    </row>
    <row r="98" spans="1:24">
      <c r="A98" s="15"/>
      <c r="B98" s="16"/>
      <c r="C98" s="16"/>
      <c r="D98" s="16"/>
      <c r="E98" s="16"/>
      <c r="F98" s="16"/>
      <c r="G98" s="16"/>
      <c r="H98" s="16"/>
      <c r="I98" s="16"/>
      <c r="J98" s="16"/>
      <c r="K98" s="16"/>
      <c r="L98" s="16"/>
      <c r="M98" s="25"/>
      <c r="N98" s="25"/>
      <c r="O98" s="16"/>
      <c r="P98" s="1"/>
      <c r="Q98" s="1"/>
      <c r="R98" s="1"/>
      <c r="S98" s="1"/>
      <c r="T98" s="1"/>
      <c r="U98" s="33"/>
      <c r="V98" s="16"/>
      <c r="W98" s="1"/>
      <c r="X98" s="1"/>
    </row>
    <row r="99" spans="1:24">
      <c r="A99" s="15"/>
      <c r="B99" s="16"/>
      <c r="C99" s="16"/>
      <c r="D99" s="16"/>
      <c r="E99" s="16"/>
      <c r="F99" s="16"/>
      <c r="G99" s="16"/>
      <c r="H99" s="16"/>
      <c r="I99" s="16"/>
      <c r="J99" s="16"/>
      <c r="K99" s="16"/>
      <c r="L99" s="16"/>
      <c r="M99" s="25"/>
      <c r="N99" s="25"/>
      <c r="O99" s="16"/>
      <c r="P99" s="1"/>
      <c r="Q99" s="1"/>
      <c r="R99" s="1"/>
      <c r="S99" s="1"/>
      <c r="T99" s="1"/>
      <c r="U99" s="33"/>
      <c r="V99" s="16"/>
      <c r="W99" s="1"/>
      <c r="X99" s="1"/>
    </row>
    <row r="100" spans="1:24">
      <c r="A100" s="15"/>
      <c r="B100" s="16"/>
      <c r="C100" s="16"/>
      <c r="D100" s="16"/>
      <c r="E100" s="16"/>
      <c r="F100" s="16"/>
      <c r="G100" s="16"/>
      <c r="H100" s="16"/>
      <c r="I100" s="16"/>
      <c r="J100" s="16"/>
      <c r="K100" s="16"/>
      <c r="L100" s="16"/>
      <c r="M100" s="25"/>
      <c r="N100" s="25"/>
      <c r="O100" s="16"/>
      <c r="P100" s="1"/>
      <c r="Q100" s="1"/>
      <c r="R100" s="1"/>
      <c r="S100" s="1"/>
      <c r="T100" s="1"/>
      <c r="U100" s="33"/>
      <c r="V100" s="16"/>
      <c r="W100" s="1"/>
      <c r="X100" s="1"/>
    </row>
    <row r="101" spans="1:24">
      <c r="A101" s="15"/>
      <c r="B101" s="16"/>
      <c r="C101" s="16"/>
      <c r="D101" s="16"/>
      <c r="E101" s="16"/>
      <c r="F101" s="16"/>
      <c r="G101" s="16"/>
      <c r="H101" s="16"/>
      <c r="I101" s="16"/>
      <c r="J101" s="16"/>
      <c r="K101" s="16"/>
      <c r="L101" s="16"/>
      <c r="M101" s="25"/>
      <c r="N101" s="25"/>
      <c r="O101" s="16"/>
      <c r="P101" s="1"/>
      <c r="Q101" s="1"/>
      <c r="R101" s="1"/>
      <c r="S101" s="1"/>
      <c r="T101" s="1"/>
      <c r="U101" s="33"/>
      <c r="V101" s="16"/>
      <c r="W101" s="1"/>
      <c r="X101" s="1"/>
    </row>
    <row r="102" spans="1:24">
      <c r="A102" s="15"/>
      <c r="B102" s="16"/>
      <c r="C102" s="16"/>
      <c r="D102" s="16"/>
      <c r="E102" s="16"/>
      <c r="F102" s="16"/>
      <c r="G102" s="16"/>
      <c r="H102" s="16"/>
      <c r="I102" s="16"/>
      <c r="J102" s="16"/>
      <c r="K102" s="16"/>
      <c r="L102" s="16"/>
      <c r="M102" s="25"/>
      <c r="N102" s="25"/>
      <c r="O102" s="16"/>
      <c r="P102" s="1"/>
      <c r="Q102" s="1"/>
      <c r="R102" s="1"/>
      <c r="S102" s="1"/>
      <c r="T102" s="1"/>
      <c r="U102" s="33"/>
      <c r="V102" s="16"/>
      <c r="W102" s="1"/>
      <c r="X102" s="1"/>
    </row>
    <row r="103" spans="1:24">
      <c r="A103" s="15"/>
      <c r="B103" s="16"/>
      <c r="C103" s="16"/>
      <c r="D103" s="16"/>
      <c r="E103" s="16"/>
      <c r="F103" s="16"/>
      <c r="G103" s="16"/>
      <c r="H103" s="16"/>
      <c r="I103" s="16"/>
      <c r="J103" s="16"/>
      <c r="K103" s="16"/>
      <c r="L103" s="16"/>
      <c r="M103" s="25"/>
      <c r="N103" s="25"/>
      <c r="O103" s="16"/>
      <c r="P103" s="1"/>
      <c r="Q103" s="1"/>
      <c r="R103" s="1"/>
      <c r="S103" s="1"/>
      <c r="T103" s="1"/>
      <c r="U103" s="33"/>
      <c r="V103" s="16"/>
      <c r="W103" s="1"/>
      <c r="X103" s="1"/>
    </row>
    <row r="104" spans="1:24">
      <c r="A104" s="15"/>
      <c r="B104" s="16"/>
      <c r="C104" s="16"/>
      <c r="D104" s="16"/>
      <c r="E104" s="16"/>
      <c r="F104" s="16"/>
      <c r="G104" s="16"/>
      <c r="H104" s="16"/>
      <c r="I104" s="16"/>
      <c r="J104" s="16"/>
      <c r="K104" s="16"/>
      <c r="L104" s="16"/>
      <c r="M104" s="25"/>
      <c r="N104" s="25"/>
      <c r="O104" s="16"/>
      <c r="P104" s="1"/>
      <c r="Q104" s="1"/>
      <c r="R104" s="1"/>
      <c r="S104" s="1"/>
      <c r="T104" s="1"/>
      <c r="U104" s="33"/>
      <c r="V104" s="16"/>
      <c r="W104" s="1"/>
      <c r="X104" s="1"/>
    </row>
    <row r="105" spans="1:24">
      <c r="A105" s="15"/>
      <c r="B105" s="16"/>
      <c r="C105" s="16"/>
      <c r="D105" s="16"/>
      <c r="E105" s="16"/>
      <c r="F105" s="16"/>
      <c r="G105" s="16"/>
      <c r="H105" s="16"/>
      <c r="I105" s="16"/>
      <c r="J105" s="16"/>
      <c r="K105" s="16"/>
      <c r="L105" s="16"/>
      <c r="M105" s="25"/>
      <c r="N105" s="25"/>
      <c r="O105" s="16"/>
      <c r="P105" s="1"/>
      <c r="Q105" s="1"/>
      <c r="R105" s="1"/>
      <c r="S105" s="1"/>
      <c r="T105" s="1"/>
      <c r="U105" s="33"/>
      <c r="V105" s="16"/>
      <c r="W105" s="1"/>
      <c r="X105" s="1"/>
    </row>
    <row r="106" spans="1:24">
      <c r="A106" s="15"/>
      <c r="B106" s="16"/>
      <c r="C106" s="16"/>
      <c r="D106" s="16"/>
      <c r="E106" s="16"/>
      <c r="F106" s="16"/>
      <c r="G106" s="16"/>
      <c r="H106" s="16"/>
      <c r="I106" s="16"/>
      <c r="J106" s="16"/>
      <c r="K106" s="16"/>
      <c r="L106" s="16"/>
      <c r="M106" s="25"/>
      <c r="N106" s="25"/>
      <c r="O106" s="16"/>
      <c r="P106" s="1"/>
      <c r="Q106" s="1"/>
      <c r="R106" s="1"/>
      <c r="S106" s="1"/>
      <c r="T106" s="1"/>
      <c r="U106" s="33"/>
      <c r="V106" s="16"/>
      <c r="W106" s="1"/>
      <c r="X106" s="1"/>
    </row>
    <row r="107" spans="1:24">
      <c r="A107" s="15"/>
      <c r="B107" s="16"/>
      <c r="C107" s="16"/>
      <c r="D107" s="16"/>
      <c r="E107" s="16"/>
      <c r="F107" s="16"/>
      <c r="G107" s="16"/>
      <c r="H107" s="16"/>
      <c r="I107" s="16"/>
      <c r="J107" s="16"/>
      <c r="K107" s="16"/>
      <c r="L107" s="16"/>
      <c r="M107" s="25"/>
      <c r="N107" s="25"/>
      <c r="O107" s="16"/>
      <c r="P107" s="1"/>
      <c r="Q107" s="1"/>
      <c r="R107" s="1"/>
      <c r="S107" s="1"/>
      <c r="T107" s="1"/>
      <c r="U107" s="33"/>
      <c r="V107" s="16"/>
      <c r="W107" s="1"/>
      <c r="X107" s="1"/>
    </row>
    <row r="108" spans="1:24">
      <c r="A108" s="15"/>
      <c r="B108" s="16"/>
      <c r="C108" s="16"/>
      <c r="D108" s="16"/>
      <c r="E108" s="16"/>
      <c r="F108" s="16"/>
      <c r="G108" s="16"/>
      <c r="H108" s="16"/>
      <c r="I108" s="16"/>
      <c r="J108" s="16"/>
      <c r="K108" s="16"/>
      <c r="L108" s="16"/>
      <c r="M108" s="25"/>
      <c r="N108" s="25"/>
      <c r="O108" s="16"/>
      <c r="P108" s="1"/>
      <c r="Q108" s="1"/>
      <c r="R108" s="1"/>
      <c r="S108" s="1"/>
      <c r="T108" s="1"/>
      <c r="U108" s="33"/>
      <c r="V108" s="16"/>
      <c r="W108" s="1"/>
      <c r="X108" s="1"/>
    </row>
    <row r="109" spans="1:24">
      <c r="A109" s="15"/>
      <c r="B109" s="16"/>
      <c r="C109" s="16"/>
      <c r="D109" s="16"/>
      <c r="E109" s="16"/>
      <c r="F109" s="16"/>
      <c r="G109" s="16"/>
      <c r="H109" s="16"/>
      <c r="I109" s="16"/>
      <c r="J109" s="16"/>
      <c r="K109" s="16"/>
      <c r="L109" s="16"/>
      <c r="M109" s="25"/>
      <c r="N109" s="25"/>
      <c r="O109" s="16"/>
      <c r="P109" s="1"/>
      <c r="Q109" s="1"/>
      <c r="R109" s="1"/>
      <c r="S109" s="1"/>
      <c r="T109" s="1"/>
      <c r="U109" s="33"/>
      <c r="V109" s="16"/>
      <c r="W109" s="1"/>
      <c r="X109" s="1"/>
    </row>
    <row r="110" spans="1:24">
      <c r="A110" s="15"/>
      <c r="B110" s="16"/>
      <c r="C110" s="16"/>
      <c r="D110" s="16"/>
      <c r="E110" s="16"/>
      <c r="F110" s="16"/>
      <c r="G110" s="16"/>
      <c r="H110" s="16"/>
      <c r="I110" s="16"/>
      <c r="J110" s="16"/>
      <c r="K110" s="16"/>
      <c r="L110" s="16"/>
      <c r="M110" s="25"/>
      <c r="N110" s="25"/>
      <c r="O110" s="16"/>
      <c r="P110" s="1"/>
      <c r="Q110" s="1"/>
      <c r="R110" s="1"/>
      <c r="S110" s="1"/>
      <c r="T110" s="1"/>
      <c r="U110" s="33"/>
      <c r="V110" s="16"/>
      <c r="W110" s="1"/>
      <c r="X110" s="1"/>
    </row>
    <row r="111" spans="1:24">
      <c r="A111" s="15"/>
      <c r="B111" s="16"/>
      <c r="C111" s="16"/>
      <c r="D111" s="16"/>
      <c r="E111" s="16"/>
      <c r="F111" s="16"/>
      <c r="G111" s="16"/>
      <c r="H111" s="16"/>
      <c r="I111" s="16"/>
      <c r="J111" s="16"/>
      <c r="K111" s="16"/>
      <c r="L111" s="16"/>
      <c r="M111" s="25"/>
      <c r="N111" s="25"/>
      <c r="O111" s="16"/>
      <c r="P111" s="1"/>
      <c r="Q111" s="1"/>
      <c r="R111" s="1"/>
      <c r="S111" s="1"/>
      <c r="T111" s="1"/>
      <c r="U111" s="33"/>
      <c r="V111" s="16"/>
      <c r="W111" s="1"/>
      <c r="X111" s="1"/>
    </row>
    <row r="112" spans="1:24">
      <c r="A112" s="15"/>
      <c r="B112" s="16"/>
      <c r="C112" s="16"/>
      <c r="D112" s="16"/>
      <c r="E112" s="16"/>
      <c r="F112" s="16"/>
      <c r="G112" s="16"/>
      <c r="H112" s="16"/>
      <c r="I112" s="16"/>
      <c r="J112" s="16"/>
      <c r="K112" s="16"/>
      <c r="L112" s="16"/>
      <c r="M112" s="25"/>
      <c r="N112" s="25"/>
      <c r="O112" s="16"/>
      <c r="P112" s="1"/>
      <c r="Q112" s="1"/>
      <c r="R112" s="1"/>
      <c r="S112" s="1"/>
      <c r="T112" s="1"/>
      <c r="U112" s="33"/>
      <c r="V112" s="16"/>
      <c r="W112" s="1"/>
      <c r="X112" s="1"/>
    </row>
    <row r="113" spans="1:24">
      <c r="A113" s="15"/>
      <c r="B113" s="16"/>
      <c r="C113" s="16"/>
      <c r="D113" s="16"/>
      <c r="E113" s="16"/>
      <c r="F113" s="16"/>
      <c r="G113" s="16"/>
      <c r="H113" s="16"/>
      <c r="I113" s="16"/>
      <c r="J113" s="16"/>
      <c r="K113" s="16"/>
      <c r="L113" s="16"/>
      <c r="M113" s="25"/>
      <c r="N113" s="25"/>
      <c r="O113" s="16"/>
      <c r="P113" s="1"/>
      <c r="Q113" s="1"/>
      <c r="R113" s="1"/>
      <c r="S113" s="1"/>
      <c r="T113" s="1"/>
      <c r="U113" s="33"/>
      <c r="V113" s="16"/>
      <c r="W113" s="1"/>
      <c r="X113" s="1"/>
    </row>
    <row r="114" spans="1:24">
      <c r="A114" s="15"/>
      <c r="B114" s="16"/>
      <c r="C114" s="16"/>
      <c r="D114" s="16"/>
      <c r="E114" s="16"/>
      <c r="F114" s="16"/>
      <c r="G114" s="16"/>
      <c r="H114" s="16"/>
      <c r="I114" s="16"/>
      <c r="J114" s="16"/>
      <c r="K114" s="16"/>
      <c r="L114" s="16"/>
      <c r="M114" s="25"/>
      <c r="N114" s="25"/>
      <c r="O114" s="16"/>
      <c r="P114" s="1"/>
      <c r="Q114" s="1"/>
      <c r="R114" s="1"/>
      <c r="S114" s="1"/>
      <c r="T114" s="1"/>
      <c r="U114" s="33"/>
      <c r="V114" s="16"/>
      <c r="W114" s="1"/>
      <c r="X114" s="1"/>
    </row>
    <row r="115" spans="1:24">
      <c r="A115" s="15"/>
      <c r="B115" s="16"/>
      <c r="C115" s="16"/>
      <c r="D115" s="16"/>
      <c r="E115" s="16"/>
      <c r="F115" s="16"/>
      <c r="G115" s="16"/>
      <c r="H115" s="16"/>
      <c r="I115" s="16"/>
      <c r="J115" s="16"/>
      <c r="K115" s="16"/>
      <c r="L115" s="16"/>
      <c r="M115" s="25"/>
      <c r="N115" s="25"/>
      <c r="O115" s="16"/>
      <c r="P115" s="1"/>
      <c r="Q115" s="1"/>
      <c r="R115" s="1"/>
      <c r="S115" s="1"/>
      <c r="T115" s="1"/>
      <c r="U115" s="33"/>
      <c r="V115" s="16"/>
      <c r="W115" s="1"/>
      <c r="X115" s="1"/>
    </row>
    <row r="116" spans="1:24">
      <c r="A116" s="15"/>
      <c r="B116" s="16"/>
      <c r="C116" s="16"/>
      <c r="D116" s="16"/>
      <c r="E116" s="16"/>
      <c r="F116" s="16"/>
      <c r="G116" s="16"/>
      <c r="H116" s="16"/>
      <c r="I116" s="16"/>
      <c r="J116" s="16"/>
      <c r="K116" s="16"/>
      <c r="L116" s="16"/>
      <c r="M116" s="25"/>
      <c r="N116" s="25"/>
      <c r="O116" s="16"/>
      <c r="P116" s="1"/>
      <c r="Q116" s="1"/>
      <c r="R116" s="1"/>
      <c r="S116" s="1"/>
      <c r="T116" s="1"/>
      <c r="U116" s="33"/>
      <c r="V116" s="16"/>
      <c r="W116" s="1"/>
      <c r="X116" s="1"/>
    </row>
    <row r="117" spans="1:24">
      <c r="A117" s="15"/>
      <c r="B117" s="16"/>
      <c r="C117" s="16"/>
      <c r="D117" s="16"/>
      <c r="E117" s="16"/>
      <c r="F117" s="16"/>
      <c r="G117" s="16"/>
      <c r="H117" s="16"/>
      <c r="I117" s="16"/>
      <c r="J117" s="16"/>
      <c r="K117" s="16"/>
      <c r="L117" s="16"/>
      <c r="M117" s="25"/>
      <c r="N117" s="25"/>
      <c r="O117" s="16"/>
      <c r="P117" s="1"/>
      <c r="Q117" s="1"/>
      <c r="R117" s="1"/>
      <c r="S117" s="1"/>
      <c r="T117" s="1"/>
      <c r="U117" s="33"/>
      <c r="V117" s="16"/>
      <c r="W117" s="1"/>
      <c r="X117" s="1"/>
    </row>
    <row r="118" spans="1:24">
      <c r="A118" s="15"/>
      <c r="B118" s="16"/>
      <c r="C118" s="16"/>
      <c r="D118" s="16"/>
      <c r="E118" s="16"/>
      <c r="F118" s="16"/>
      <c r="G118" s="16"/>
      <c r="H118" s="16"/>
      <c r="I118" s="16"/>
      <c r="J118" s="16"/>
      <c r="K118" s="16"/>
      <c r="L118" s="16"/>
      <c r="M118" s="25"/>
      <c r="N118" s="25"/>
      <c r="O118" s="16"/>
      <c r="P118" s="1"/>
      <c r="Q118" s="1"/>
      <c r="R118" s="1"/>
      <c r="S118" s="1"/>
      <c r="T118" s="1"/>
      <c r="U118" s="33"/>
      <c r="V118" s="16"/>
      <c r="W118" s="1"/>
      <c r="X118" s="1"/>
    </row>
    <row r="119" spans="1:24">
      <c r="A119" s="15"/>
      <c r="B119" s="16"/>
      <c r="C119" s="16"/>
      <c r="D119" s="16"/>
      <c r="E119" s="16"/>
      <c r="F119" s="16"/>
      <c r="G119" s="16"/>
      <c r="H119" s="16"/>
      <c r="I119" s="16"/>
      <c r="J119" s="16"/>
      <c r="K119" s="16"/>
      <c r="L119" s="16"/>
      <c r="M119" s="25"/>
      <c r="N119" s="25"/>
      <c r="O119" s="16"/>
      <c r="P119" s="1"/>
      <c r="Q119" s="1"/>
      <c r="R119" s="1"/>
      <c r="S119" s="1"/>
      <c r="T119" s="1"/>
      <c r="U119" s="33"/>
      <c r="V119" s="16"/>
      <c r="W119" s="1"/>
      <c r="X119" s="1"/>
    </row>
    <row r="120" spans="1:24">
      <c r="A120" s="15"/>
      <c r="B120" s="16"/>
      <c r="C120" s="16"/>
      <c r="D120" s="16"/>
      <c r="E120" s="16"/>
      <c r="F120" s="16"/>
      <c r="G120" s="16"/>
      <c r="H120" s="16"/>
      <c r="I120" s="16"/>
      <c r="J120" s="16"/>
      <c r="K120" s="16"/>
      <c r="L120" s="16"/>
      <c r="M120" s="25"/>
      <c r="N120" s="25"/>
      <c r="O120" s="16"/>
      <c r="P120" s="1"/>
      <c r="Q120" s="1"/>
      <c r="R120" s="1"/>
      <c r="S120" s="1"/>
      <c r="T120" s="1"/>
      <c r="U120" s="33"/>
      <c r="V120" s="16"/>
      <c r="W120" s="1"/>
      <c r="X120" s="1"/>
    </row>
    <row r="121" spans="1:24">
      <c r="A121" s="15"/>
      <c r="B121" s="16"/>
      <c r="C121" s="16"/>
      <c r="D121" s="16"/>
      <c r="E121" s="16"/>
      <c r="F121" s="16"/>
      <c r="G121" s="16"/>
      <c r="H121" s="16"/>
      <c r="I121" s="16"/>
      <c r="J121" s="16"/>
      <c r="K121" s="16"/>
      <c r="L121" s="16"/>
      <c r="M121" s="25"/>
      <c r="N121" s="25"/>
      <c r="O121" s="16"/>
      <c r="P121" s="1"/>
      <c r="Q121" s="1"/>
      <c r="R121" s="1"/>
      <c r="S121" s="1"/>
      <c r="T121" s="1"/>
      <c r="U121" s="33"/>
      <c r="V121" s="16"/>
      <c r="W121" s="1"/>
      <c r="X121" s="1"/>
    </row>
    <row r="122" spans="1:24">
      <c r="A122" s="15"/>
      <c r="B122" s="16"/>
      <c r="C122" s="16"/>
      <c r="D122" s="16"/>
      <c r="E122" s="16"/>
      <c r="F122" s="16"/>
      <c r="G122" s="16"/>
      <c r="H122" s="16"/>
      <c r="I122" s="16"/>
      <c r="J122" s="16"/>
      <c r="K122" s="16"/>
      <c r="L122" s="16"/>
      <c r="M122" s="25"/>
      <c r="N122" s="25"/>
      <c r="O122" s="16"/>
      <c r="P122" s="1"/>
      <c r="Q122" s="1"/>
      <c r="R122" s="1"/>
      <c r="S122" s="1"/>
      <c r="T122" s="1"/>
      <c r="U122" s="33"/>
      <c r="V122" s="16"/>
      <c r="W122" s="1"/>
      <c r="X122" s="1"/>
    </row>
    <row r="123" spans="1:24">
      <c r="A123" s="15"/>
      <c r="B123" s="16"/>
      <c r="C123" s="16"/>
      <c r="D123" s="16"/>
      <c r="E123" s="16"/>
      <c r="F123" s="16"/>
      <c r="G123" s="16"/>
      <c r="H123" s="16"/>
      <c r="I123" s="16"/>
      <c r="J123" s="16"/>
      <c r="K123" s="16"/>
      <c r="L123" s="16"/>
      <c r="M123" s="25"/>
      <c r="N123" s="25"/>
      <c r="O123" s="16"/>
      <c r="P123" s="1"/>
      <c r="Q123" s="1"/>
      <c r="R123" s="1"/>
      <c r="S123" s="1"/>
      <c r="T123" s="1"/>
      <c r="U123" s="33"/>
      <c r="V123" s="16"/>
      <c r="W123" s="1"/>
      <c r="X123" s="1"/>
    </row>
    <row r="124" spans="1:24">
      <c r="A124" s="15"/>
      <c r="B124" s="16"/>
      <c r="C124" s="16"/>
      <c r="D124" s="16"/>
      <c r="E124" s="16"/>
      <c r="F124" s="16"/>
      <c r="G124" s="16"/>
      <c r="H124" s="16"/>
      <c r="I124" s="16"/>
      <c r="J124" s="16"/>
      <c r="K124" s="16"/>
      <c r="L124" s="16"/>
      <c r="M124" s="25"/>
      <c r="N124" s="25"/>
      <c r="O124" s="16"/>
      <c r="P124" s="1"/>
      <c r="Q124" s="1"/>
      <c r="R124" s="1"/>
      <c r="S124" s="1"/>
      <c r="T124" s="1"/>
      <c r="U124" s="33"/>
      <c r="V124" s="16"/>
      <c r="W124" s="1"/>
      <c r="X124" s="1"/>
    </row>
    <row r="125" spans="1:24">
      <c r="A125" s="15"/>
      <c r="B125" s="16"/>
      <c r="C125" s="16"/>
      <c r="D125" s="16"/>
      <c r="E125" s="16"/>
      <c r="F125" s="16"/>
      <c r="G125" s="16"/>
      <c r="H125" s="16"/>
      <c r="I125" s="16"/>
      <c r="J125" s="16"/>
      <c r="K125" s="16"/>
      <c r="L125" s="16"/>
      <c r="M125" s="25"/>
      <c r="N125" s="25"/>
      <c r="O125" s="16"/>
      <c r="P125" s="1"/>
      <c r="Q125" s="1"/>
      <c r="R125" s="1"/>
      <c r="S125" s="1"/>
      <c r="T125" s="1"/>
      <c r="U125" s="33"/>
      <c r="V125" s="16"/>
      <c r="W125" s="1"/>
      <c r="X125" s="1"/>
    </row>
    <row r="126" spans="1:24">
      <c r="A126" s="15"/>
      <c r="B126" s="16"/>
      <c r="C126" s="16"/>
      <c r="D126" s="16"/>
      <c r="E126" s="16"/>
      <c r="F126" s="16"/>
      <c r="G126" s="16"/>
      <c r="H126" s="16"/>
      <c r="I126" s="16"/>
      <c r="J126" s="16"/>
      <c r="K126" s="16"/>
      <c r="L126" s="16"/>
      <c r="M126" s="25"/>
      <c r="N126" s="25"/>
      <c r="O126" s="16"/>
      <c r="P126" s="1"/>
      <c r="Q126" s="1"/>
      <c r="R126" s="1"/>
      <c r="S126" s="1"/>
      <c r="T126" s="1"/>
      <c r="U126" s="33"/>
      <c r="V126" s="16"/>
      <c r="W126" s="1"/>
      <c r="X126" s="1"/>
    </row>
    <row r="127" spans="1:24">
      <c r="A127" s="15"/>
      <c r="B127" s="16"/>
      <c r="C127" s="16"/>
      <c r="D127" s="16"/>
      <c r="E127" s="16"/>
      <c r="F127" s="16"/>
      <c r="G127" s="16"/>
      <c r="H127" s="16"/>
      <c r="I127" s="16"/>
      <c r="J127" s="16"/>
      <c r="K127" s="16"/>
      <c r="L127" s="16"/>
      <c r="M127" s="25"/>
      <c r="N127" s="25"/>
      <c r="O127" s="16"/>
      <c r="P127" s="1"/>
      <c r="Q127" s="1"/>
      <c r="R127" s="1"/>
      <c r="S127" s="1"/>
      <c r="T127" s="1"/>
      <c r="U127" s="33"/>
      <c r="V127" s="16"/>
      <c r="W127" s="1"/>
      <c r="X127" s="1"/>
    </row>
    <row r="128" spans="1:24">
      <c r="A128" s="15"/>
      <c r="B128" s="16"/>
      <c r="C128" s="16"/>
      <c r="D128" s="16"/>
      <c r="E128" s="16"/>
      <c r="F128" s="16"/>
      <c r="G128" s="16"/>
      <c r="H128" s="16"/>
      <c r="I128" s="16"/>
      <c r="J128" s="16"/>
      <c r="K128" s="16"/>
      <c r="L128" s="16"/>
      <c r="M128" s="25"/>
      <c r="N128" s="25"/>
      <c r="O128" s="16"/>
      <c r="P128" s="1"/>
      <c r="Q128" s="1"/>
      <c r="R128" s="1"/>
      <c r="S128" s="1"/>
      <c r="T128" s="1"/>
      <c r="U128" s="33"/>
      <c r="V128" s="16"/>
      <c r="W128" s="1"/>
      <c r="X128" s="1"/>
    </row>
    <row r="129" spans="1:24">
      <c r="A129" s="15"/>
      <c r="B129" s="16"/>
      <c r="C129" s="16"/>
      <c r="D129" s="16"/>
      <c r="E129" s="16"/>
      <c r="F129" s="16"/>
      <c r="G129" s="16"/>
      <c r="H129" s="16"/>
      <c r="I129" s="16"/>
      <c r="J129" s="16"/>
      <c r="K129" s="16"/>
      <c r="L129" s="16"/>
      <c r="M129" s="25"/>
      <c r="N129" s="25"/>
      <c r="O129" s="16"/>
      <c r="P129" s="1"/>
      <c r="Q129" s="1"/>
      <c r="R129" s="1"/>
      <c r="S129" s="1"/>
      <c r="T129" s="1"/>
      <c r="U129" s="33"/>
      <c r="V129" s="16"/>
      <c r="W129" s="1"/>
      <c r="X129" s="1"/>
    </row>
    <row r="130" spans="1:24">
      <c r="A130" s="15"/>
      <c r="B130" s="16"/>
      <c r="C130" s="16"/>
      <c r="D130" s="16"/>
      <c r="E130" s="16"/>
      <c r="F130" s="16"/>
      <c r="G130" s="16"/>
      <c r="H130" s="16"/>
      <c r="I130" s="16"/>
      <c r="J130" s="16"/>
      <c r="K130" s="16"/>
      <c r="L130" s="16"/>
      <c r="M130" s="25"/>
      <c r="N130" s="25"/>
      <c r="O130" s="16"/>
      <c r="P130" s="1"/>
      <c r="Q130" s="1"/>
      <c r="R130" s="1"/>
      <c r="S130" s="1"/>
      <c r="T130" s="1"/>
      <c r="U130" s="33"/>
      <c r="V130" s="16"/>
      <c r="W130" s="1"/>
      <c r="X130" s="1"/>
    </row>
    <row r="131" spans="1:24">
      <c r="A131" s="15"/>
      <c r="B131" s="16"/>
      <c r="C131" s="16"/>
      <c r="D131" s="16"/>
      <c r="E131" s="16"/>
      <c r="F131" s="16"/>
      <c r="G131" s="16"/>
      <c r="H131" s="16"/>
      <c r="I131" s="16"/>
      <c r="J131" s="16"/>
      <c r="K131" s="16"/>
      <c r="L131" s="16"/>
      <c r="M131" s="25"/>
      <c r="N131" s="25"/>
      <c r="O131" s="16"/>
      <c r="P131" s="1"/>
      <c r="Q131" s="1"/>
      <c r="R131" s="1"/>
      <c r="S131" s="1"/>
      <c r="T131" s="1"/>
      <c r="U131" s="33"/>
      <c r="V131" s="16"/>
      <c r="W131" s="1"/>
      <c r="X131" s="1"/>
    </row>
    <row r="132" spans="1:24">
      <c r="A132" s="15"/>
      <c r="B132" s="16"/>
      <c r="C132" s="16"/>
      <c r="D132" s="16"/>
      <c r="E132" s="16"/>
      <c r="F132" s="16"/>
      <c r="G132" s="16"/>
      <c r="H132" s="16"/>
      <c r="I132" s="16"/>
      <c r="J132" s="16"/>
      <c r="K132" s="16"/>
      <c r="L132" s="16"/>
      <c r="M132" s="25"/>
      <c r="N132" s="25"/>
      <c r="O132" s="16"/>
      <c r="P132" s="1"/>
      <c r="Q132" s="1"/>
      <c r="R132" s="1"/>
      <c r="S132" s="1"/>
      <c r="T132" s="1"/>
      <c r="U132" s="33"/>
      <c r="V132" s="16"/>
      <c r="W132" s="1"/>
      <c r="X132" s="1"/>
    </row>
    <row r="133" spans="1:24">
      <c r="A133" s="15"/>
      <c r="B133" s="16"/>
      <c r="C133" s="16"/>
      <c r="D133" s="16"/>
      <c r="E133" s="16"/>
      <c r="F133" s="16"/>
      <c r="G133" s="16"/>
      <c r="H133" s="16"/>
      <c r="I133" s="16"/>
      <c r="J133" s="16"/>
      <c r="K133" s="16"/>
      <c r="L133" s="16"/>
      <c r="M133" s="25"/>
      <c r="N133" s="25"/>
      <c r="O133" s="16"/>
      <c r="P133" s="1"/>
      <c r="Q133" s="1"/>
      <c r="R133" s="1"/>
      <c r="S133" s="1"/>
      <c r="T133" s="1"/>
      <c r="U133" s="33"/>
      <c r="V133" s="16"/>
      <c r="W133" s="1"/>
      <c r="X133" s="1"/>
    </row>
    <row r="134" spans="1:24">
      <c r="A134" s="15"/>
      <c r="B134" s="16"/>
      <c r="C134" s="16"/>
      <c r="D134" s="16"/>
      <c r="E134" s="16"/>
      <c r="F134" s="16"/>
      <c r="G134" s="16"/>
      <c r="H134" s="16"/>
      <c r="I134" s="16"/>
      <c r="J134" s="16"/>
      <c r="K134" s="16"/>
      <c r="L134" s="16"/>
      <c r="M134" s="25"/>
      <c r="N134" s="25"/>
      <c r="O134" s="16"/>
      <c r="P134" s="1"/>
      <c r="Q134" s="1"/>
      <c r="R134" s="1"/>
      <c r="S134" s="1"/>
      <c r="T134" s="1"/>
      <c r="U134" s="33"/>
      <c r="V134" s="16"/>
      <c r="W134" s="1"/>
      <c r="X134" s="1"/>
    </row>
    <row r="135" spans="1:24">
      <c r="A135" s="15"/>
      <c r="B135" s="16"/>
      <c r="C135" s="16"/>
      <c r="D135" s="16"/>
      <c r="E135" s="16"/>
      <c r="F135" s="16"/>
      <c r="G135" s="16"/>
      <c r="H135" s="16"/>
      <c r="I135" s="16"/>
      <c r="J135" s="16"/>
      <c r="K135" s="16"/>
      <c r="L135" s="16"/>
      <c r="M135" s="25"/>
      <c r="N135" s="25"/>
      <c r="O135" s="16"/>
      <c r="P135" s="1"/>
      <c r="Q135" s="1"/>
      <c r="R135" s="1"/>
      <c r="S135" s="1"/>
      <c r="T135" s="1"/>
      <c r="U135" s="33"/>
      <c r="V135" s="16"/>
      <c r="W135" s="1"/>
      <c r="X135" s="1"/>
    </row>
    <row r="136" spans="1:24">
      <c r="A136" s="15"/>
      <c r="B136" s="16"/>
      <c r="C136" s="16"/>
      <c r="D136" s="16"/>
      <c r="E136" s="16"/>
      <c r="F136" s="16"/>
      <c r="G136" s="16"/>
      <c r="H136" s="16"/>
      <c r="I136" s="16"/>
      <c r="J136" s="16"/>
      <c r="K136" s="16"/>
      <c r="L136" s="16"/>
      <c r="M136" s="25"/>
      <c r="N136" s="25"/>
      <c r="O136" s="16"/>
      <c r="P136" s="1"/>
      <c r="Q136" s="1"/>
      <c r="R136" s="1"/>
      <c r="S136" s="1"/>
      <c r="T136" s="1"/>
      <c r="U136" s="33"/>
      <c r="V136" s="16"/>
      <c r="W136" s="1"/>
      <c r="X136" s="1"/>
    </row>
    <row r="137" spans="1:24">
      <c r="A137" s="15"/>
      <c r="B137" s="16"/>
      <c r="C137" s="16"/>
      <c r="D137" s="16"/>
      <c r="E137" s="16"/>
      <c r="F137" s="16"/>
      <c r="G137" s="16"/>
      <c r="H137" s="16"/>
      <c r="I137" s="16"/>
      <c r="J137" s="16"/>
      <c r="K137" s="16"/>
      <c r="L137" s="16"/>
      <c r="M137" s="25"/>
      <c r="N137" s="25"/>
      <c r="O137" s="16"/>
      <c r="P137" s="1"/>
      <c r="Q137" s="1"/>
      <c r="R137" s="1"/>
      <c r="S137" s="1"/>
      <c r="T137" s="1"/>
      <c r="U137" s="33"/>
      <c r="V137" s="16"/>
      <c r="W137" s="1"/>
      <c r="X137" s="1"/>
    </row>
    <row r="138" spans="1:24">
      <c r="A138" s="15"/>
      <c r="B138" s="16"/>
      <c r="C138" s="16"/>
      <c r="D138" s="16"/>
      <c r="E138" s="16"/>
      <c r="F138" s="16"/>
      <c r="G138" s="16"/>
      <c r="H138" s="16"/>
      <c r="I138" s="16"/>
      <c r="J138" s="16"/>
      <c r="K138" s="16"/>
      <c r="L138" s="16"/>
      <c r="M138" s="25"/>
      <c r="N138" s="25"/>
      <c r="O138" s="16"/>
      <c r="P138" s="1"/>
      <c r="Q138" s="1"/>
      <c r="R138" s="1"/>
      <c r="S138" s="1"/>
      <c r="T138" s="1"/>
      <c r="U138" s="33"/>
      <c r="V138" s="16"/>
      <c r="W138" s="1"/>
      <c r="X138" s="1"/>
    </row>
    <row r="139" spans="1:24">
      <c r="A139" s="15"/>
      <c r="B139" s="16"/>
      <c r="C139" s="16"/>
      <c r="D139" s="16"/>
      <c r="E139" s="16"/>
      <c r="F139" s="16"/>
      <c r="G139" s="16"/>
      <c r="H139" s="16"/>
      <c r="I139" s="16"/>
      <c r="J139" s="16"/>
      <c r="K139" s="16"/>
      <c r="L139" s="16"/>
      <c r="M139" s="25"/>
      <c r="N139" s="25"/>
      <c r="O139" s="16"/>
      <c r="P139" s="1"/>
      <c r="Q139" s="1"/>
      <c r="R139" s="1"/>
      <c r="S139" s="1"/>
      <c r="T139" s="1"/>
      <c r="U139" s="33"/>
      <c r="V139" s="16"/>
      <c r="W139" s="1"/>
      <c r="X139" s="1"/>
    </row>
    <row r="140" spans="1:24">
      <c r="A140" s="15"/>
      <c r="B140" s="16"/>
      <c r="C140" s="16"/>
      <c r="D140" s="16"/>
      <c r="E140" s="16"/>
      <c r="F140" s="16"/>
      <c r="G140" s="16"/>
      <c r="H140" s="16"/>
      <c r="I140" s="16"/>
      <c r="J140" s="16"/>
      <c r="K140" s="16"/>
      <c r="L140" s="16"/>
      <c r="M140" s="25"/>
      <c r="N140" s="25"/>
      <c r="O140" s="16"/>
      <c r="P140" s="1"/>
      <c r="Q140" s="1"/>
      <c r="R140" s="1"/>
      <c r="S140" s="1"/>
      <c r="T140" s="1"/>
      <c r="U140" s="33"/>
      <c r="V140" s="16"/>
      <c r="W140" s="1"/>
      <c r="X140" s="1"/>
    </row>
    <row r="141" spans="1:24">
      <c r="A141" s="15"/>
      <c r="B141" s="16"/>
      <c r="C141" s="16"/>
      <c r="D141" s="16"/>
      <c r="E141" s="16"/>
      <c r="F141" s="16"/>
      <c r="G141" s="16"/>
      <c r="H141" s="16"/>
      <c r="I141" s="16"/>
      <c r="J141" s="16"/>
      <c r="K141" s="16"/>
      <c r="L141" s="16"/>
      <c r="M141" s="25"/>
      <c r="N141" s="25"/>
      <c r="O141" s="16"/>
      <c r="P141" s="1"/>
      <c r="Q141" s="1"/>
      <c r="R141" s="1"/>
      <c r="S141" s="1"/>
      <c r="T141" s="1"/>
      <c r="U141" s="33"/>
      <c r="V141" s="16"/>
      <c r="W141" s="1"/>
      <c r="X141" s="1"/>
    </row>
    <row r="142" spans="1:24">
      <c r="A142" s="15"/>
      <c r="B142" s="16"/>
      <c r="C142" s="16"/>
      <c r="D142" s="16"/>
      <c r="E142" s="16"/>
      <c r="F142" s="16"/>
      <c r="G142" s="16"/>
      <c r="H142" s="16"/>
      <c r="I142" s="16"/>
      <c r="J142" s="16"/>
      <c r="K142" s="16"/>
      <c r="L142" s="16"/>
      <c r="M142" s="25"/>
      <c r="N142" s="25"/>
      <c r="O142" s="16"/>
      <c r="P142" s="1"/>
      <c r="Q142" s="1"/>
      <c r="R142" s="1"/>
      <c r="S142" s="1"/>
      <c r="T142" s="1"/>
      <c r="U142" s="33"/>
      <c r="V142" s="16"/>
      <c r="W142" s="1"/>
      <c r="X142" s="1"/>
    </row>
    <row r="143" spans="1:24">
      <c r="A143" s="15"/>
      <c r="B143" s="16"/>
      <c r="C143" s="16"/>
      <c r="D143" s="16"/>
      <c r="E143" s="16"/>
      <c r="F143" s="16"/>
      <c r="G143" s="16"/>
      <c r="H143" s="16"/>
      <c r="I143" s="16"/>
      <c r="J143" s="16"/>
      <c r="K143" s="16"/>
      <c r="L143" s="16"/>
      <c r="M143" s="25"/>
      <c r="N143" s="25"/>
      <c r="O143" s="16"/>
      <c r="P143" s="1"/>
      <c r="Q143" s="1"/>
      <c r="R143" s="1"/>
      <c r="S143" s="1"/>
      <c r="T143" s="1"/>
      <c r="U143" s="33"/>
      <c r="V143" s="16"/>
      <c r="W143" s="1"/>
      <c r="X143" s="1"/>
    </row>
    <row r="144" spans="1:24">
      <c r="A144" s="15"/>
      <c r="B144" s="16"/>
      <c r="C144" s="16"/>
      <c r="D144" s="16"/>
      <c r="E144" s="16"/>
      <c r="F144" s="16"/>
      <c r="G144" s="16"/>
      <c r="H144" s="16"/>
      <c r="I144" s="16"/>
      <c r="J144" s="16"/>
      <c r="K144" s="16"/>
      <c r="L144" s="16"/>
      <c r="M144" s="25"/>
      <c r="N144" s="25"/>
      <c r="O144" s="16"/>
      <c r="P144" s="1"/>
      <c r="Q144" s="1"/>
      <c r="R144" s="1"/>
      <c r="S144" s="1"/>
      <c r="T144" s="1"/>
      <c r="U144" s="33"/>
      <c r="V144" s="16"/>
      <c r="W144" s="1"/>
      <c r="X144" s="1"/>
    </row>
    <row r="145" spans="1:24">
      <c r="A145" s="15"/>
      <c r="B145" s="16"/>
      <c r="C145" s="16"/>
      <c r="D145" s="16"/>
      <c r="E145" s="16"/>
      <c r="F145" s="16"/>
      <c r="G145" s="16"/>
      <c r="H145" s="16"/>
      <c r="I145" s="16"/>
      <c r="J145" s="16"/>
      <c r="K145" s="16"/>
      <c r="L145" s="16"/>
      <c r="M145" s="25"/>
      <c r="N145" s="25"/>
      <c r="O145" s="16"/>
      <c r="P145" s="1"/>
      <c r="Q145" s="1"/>
      <c r="R145" s="1"/>
      <c r="S145" s="1"/>
      <c r="T145" s="1"/>
      <c r="U145" s="33"/>
      <c r="V145" s="16"/>
      <c r="W145" s="1"/>
      <c r="X145" s="1"/>
    </row>
    <row r="146" spans="1:24">
      <c r="A146" s="15"/>
      <c r="B146" s="16"/>
      <c r="C146" s="16"/>
      <c r="D146" s="16"/>
      <c r="E146" s="16"/>
      <c r="F146" s="16"/>
      <c r="G146" s="16"/>
      <c r="H146" s="16"/>
      <c r="I146" s="16"/>
      <c r="J146" s="16"/>
      <c r="K146" s="16"/>
      <c r="L146" s="16"/>
      <c r="M146" s="25"/>
      <c r="N146" s="25"/>
      <c r="O146" s="16"/>
      <c r="P146" s="1"/>
      <c r="Q146" s="1"/>
      <c r="R146" s="1"/>
      <c r="S146" s="1"/>
      <c r="T146" s="1"/>
      <c r="U146" s="33"/>
      <c r="V146" s="16"/>
      <c r="W146" s="1"/>
      <c r="X146" s="1"/>
    </row>
    <row r="147" spans="1:24">
      <c r="A147" s="15"/>
      <c r="B147" s="16"/>
      <c r="C147" s="16"/>
      <c r="D147" s="16"/>
      <c r="E147" s="16"/>
      <c r="F147" s="16"/>
      <c r="G147" s="16"/>
      <c r="H147" s="16"/>
      <c r="I147" s="16"/>
      <c r="J147" s="16"/>
      <c r="K147" s="16"/>
      <c r="L147" s="16"/>
      <c r="M147" s="25"/>
      <c r="N147" s="25"/>
      <c r="O147" s="16"/>
      <c r="P147" s="1"/>
      <c r="Q147" s="1"/>
      <c r="R147" s="1"/>
      <c r="S147" s="1"/>
      <c r="T147" s="1"/>
      <c r="U147" s="33"/>
      <c r="V147" s="16"/>
      <c r="W147" s="1"/>
      <c r="X147" s="1"/>
    </row>
    <row r="148" spans="1:24">
      <c r="A148" s="15"/>
      <c r="B148" s="16"/>
      <c r="C148" s="16"/>
      <c r="D148" s="16"/>
      <c r="E148" s="16"/>
      <c r="F148" s="16"/>
      <c r="G148" s="16"/>
      <c r="H148" s="16"/>
      <c r="I148" s="16"/>
      <c r="J148" s="16"/>
      <c r="K148" s="16"/>
      <c r="L148" s="16"/>
      <c r="M148" s="25"/>
      <c r="N148" s="25"/>
      <c r="O148" s="16"/>
      <c r="P148" s="1"/>
      <c r="Q148" s="1"/>
      <c r="R148" s="1"/>
      <c r="S148" s="1"/>
      <c r="T148" s="1"/>
      <c r="U148" s="33"/>
      <c r="V148" s="16"/>
      <c r="W148" s="1"/>
      <c r="X148" s="1"/>
    </row>
    <row r="149" spans="1:24">
      <c r="A149" s="15"/>
      <c r="B149" s="16"/>
      <c r="C149" s="16"/>
      <c r="D149" s="16"/>
      <c r="E149" s="16"/>
      <c r="F149" s="16"/>
      <c r="G149" s="16"/>
      <c r="H149" s="16"/>
      <c r="I149" s="16"/>
      <c r="J149" s="16"/>
      <c r="K149" s="16"/>
      <c r="L149" s="16"/>
      <c r="M149" s="25"/>
      <c r="N149" s="25"/>
      <c r="O149" s="16"/>
      <c r="P149" s="1"/>
      <c r="Q149" s="1"/>
      <c r="R149" s="1"/>
      <c r="S149" s="1"/>
      <c r="T149" s="1"/>
      <c r="U149" s="33"/>
      <c r="V149" s="16"/>
      <c r="W149" s="1"/>
      <c r="X149" s="1"/>
    </row>
    <row r="150" spans="1:24">
      <c r="A150" s="15"/>
      <c r="B150" s="16"/>
      <c r="C150" s="16"/>
      <c r="D150" s="16"/>
      <c r="E150" s="16"/>
      <c r="F150" s="16"/>
      <c r="G150" s="16"/>
      <c r="H150" s="16"/>
      <c r="I150" s="16"/>
      <c r="J150" s="16"/>
      <c r="K150" s="16"/>
      <c r="L150" s="16"/>
      <c r="M150" s="25"/>
      <c r="N150" s="25"/>
      <c r="O150" s="16"/>
      <c r="P150" s="1"/>
      <c r="Q150" s="1"/>
      <c r="R150" s="1"/>
      <c r="S150" s="1"/>
      <c r="T150" s="1"/>
      <c r="U150" s="33"/>
      <c r="V150" s="16"/>
      <c r="W150" s="1"/>
      <c r="X150" s="1"/>
    </row>
    <row r="151" spans="1:24">
      <c r="A151" s="15"/>
      <c r="B151" s="16"/>
      <c r="C151" s="16"/>
      <c r="D151" s="16"/>
      <c r="E151" s="16"/>
      <c r="F151" s="16"/>
      <c r="G151" s="16"/>
      <c r="H151" s="16"/>
      <c r="I151" s="16"/>
      <c r="J151" s="16"/>
      <c r="K151" s="16"/>
      <c r="L151" s="16"/>
      <c r="M151" s="25"/>
      <c r="N151" s="25"/>
      <c r="O151" s="16"/>
      <c r="P151" s="1"/>
      <c r="Q151" s="1"/>
      <c r="R151" s="1"/>
      <c r="S151" s="1"/>
      <c r="T151" s="1"/>
      <c r="U151" s="33"/>
      <c r="V151" s="16"/>
      <c r="W151" s="1"/>
      <c r="X151" s="1"/>
    </row>
    <row r="152" spans="1:24">
      <c r="A152" s="15"/>
      <c r="B152" s="16"/>
      <c r="C152" s="16"/>
      <c r="D152" s="16"/>
      <c r="E152" s="16"/>
      <c r="F152" s="16"/>
      <c r="G152" s="16"/>
      <c r="H152" s="16"/>
      <c r="I152" s="16"/>
      <c r="J152" s="16"/>
      <c r="K152" s="16"/>
      <c r="L152" s="16"/>
      <c r="M152" s="25"/>
      <c r="N152" s="25"/>
      <c r="O152" s="16"/>
      <c r="P152" s="1"/>
      <c r="Q152" s="1"/>
      <c r="R152" s="1"/>
      <c r="S152" s="1"/>
      <c r="T152" s="1"/>
      <c r="U152" s="33"/>
      <c r="V152" s="16"/>
      <c r="W152" s="1"/>
      <c r="X152" s="1"/>
    </row>
    <row r="153" spans="1:24">
      <c r="A153" s="15"/>
      <c r="B153" s="16"/>
      <c r="C153" s="16"/>
      <c r="D153" s="16"/>
      <c r="E153" s="16"/>
      <c r="F153" s="16"/>
      <c r="G153" s="16"/>
      <c r="H153" s="16"/>
      <c r="I153" s="16"/>
      <c r="J153" s="16"/>
      <c r="K153" s="16"/>
      <c r="L153" s="16"/>
      <c r="M153" s="25"/>
      <c r="N153" s="25"/>
      <c r="O153" s="16"/>
      <c r="P153" s="1"/>
      <c r="Q153" s="1"/>
      <c r="R153" s="1"/>
      <c r="S153" s="1"/>
      <c r="T153" s="1"/>
      <c r="U153" s="33"/>
      <c r="V153" s="16"/>
      <c r="W153" s="1"/>
      <c r="X153" s="1"/>
    </row>
    <row r="154" spans="1:24">
      <c r="A154" s="15"/>
      <c r="B154" s="16"/>
      <c r="C154" s="16"/>
      <c r="D154" s="16"/>
      <c r="E154" s="16"/>
      <c r="F154" s="16"/>
      <c r="G154" s="16"/>
      <c r="H154" s="16"/>
      <c r="I154" s="16"/>
      <c r="J154" s="16"/>
      <c r="K154" s="16"/>
      <c r="L154" s="16"/>
      <c r="M154" s="25"/>
      <c r="N154" s="25"/>
      <c r="O154" s="16"/>
      <c r="P154" s="1"/>
      <c r="Q154" s="1"/>
      <c r="R154" s="1"/>
      <c r="S154" s="1"/>
      <c r="T154" s="1"/>
      <c r="U154" s="33"/>
      <c r="V154" s="16"/>
      <c r="W154" s="1"/>
      <c r="X154" s="1"/>
    </row>
    <row r="155" spans="1:24">
      <c r="A155" s="15"/>
      <c r="B155" s="16"/>
      <c r="C155" s="16"/>
      <c r="D155" s="16"/>
      <c r="E155" s="16"/>
      <c r="F155" s="16"/>
      <c r="G155" s="16"/>
      <c r="H155" s="16"/>
      <c r="I155" s="16"/>
      <c r="J155" s="16"/>
      <c r="K155" s="16"/>
      <c r="L155" s="16"/>
      <c r="M155" s="25"/>
      <c r="N155" s="25"/>
      <c r="O155" s="16"/>
      <c r="P155" s="1"/>
      <c r="Q155" s="1"/>
      <c r="R155" s="1"/>
      <c r="S155" s="1"/>
      <c r="T155" s="1"/>
      <c r="U155" s="33"/>
      <c r="V155" s="16"/>
      <c r="W155" s="1"/>
      <c r="X155" s="1"/>
    </row>
    <row r="156" spans="1:24">
      <c r="A156" s="15"/>
      <c r="B156" s="16"/>
      <c r="C156" s="16"/>
      <c r="D156" s="16"/>
      <c r="E156" s="16"/>
      <c r="F156" s="16"/>
      <c r="G156" s="16"/>
      <c r="H156" s="16"/>
      <c r="I156" s="16"/>
      <c r="J156" s="16"/>
      <c r="K156" s="16"/>
      <c r="L156" s="16"/>
      <c r="M156" s="25"/>
      <c r="N156" s="25"/>
      <c r="O156" s="16"/>
      <c r="P156" s="1"/>
      <c r="Q156" s="1"/>
      <c r="R156" s="1"/>
      <c r="S156" s="1"/>
      <c r="T156" s="1"/>
      <c r="U156" s="33"/>
      <c r="V156" s="16"/>
      <c r="W156" s="1"/>
      <c r="X156" s="1"/>
    </row>
    <row r="157" spans="1:24">
      <c r="A157" s="15"/>
      <c r="B157" s="16"/>
      <c r="C157" s="16"/>
      <c r="D157" s="16"/>
      <c r="E157" s="16"/>
      <c r="F157" s="16"/>
      <c r="G157" s="16"/>
      <c r="H157" s="16"/>
      <c r="I157" s="16"/>
      <c r="J157" s="16"/>
      <c r="K157" s="16"/>
      <c r="L157" s="16"/>
      <c r="M157" s="25"/>
      <c r="N157" s="25"/>
      <c r="O157" s="16"/>
      <c r="P157" s="1"/>
      <c r="Q157" s="1"/>
      <c r="R157" s="1"/>
      <c r="S157" s="1"/>
      <c r="T157" s="1"/>
      <c r="U157" s="33"/>
      <c r="V157" s="16"/>
      <c r="W157" s="1"/>
      <c r="X157" s="1"/>
    </row>
    <row r="158" spans="1:24">
      <c r="A158" s="15"/>
      <c r="B158" s="16"/>
      <c r="C158" s="16"/>
      <c r="D158" s="16"/>
      <c r="E158" s="16"/>
      <c r="F158" s="16"/>
      <c r="G158" s="16"/>
      <c r="H158" s="16"/>
      <c r="I158" s="16"/>
      <c r="J158" s="16"/>
      <c r="K158" s="16"/>
      <c r="L158" s="16"/>
      <c r="M158" s="25"/>
      <c r="N158" s="25"/>
      <c r="O158" s="16"/>
      <c r="P158" s="1"/>
      <c r="Q158" s="1"/>
      <c r="R158" s="1"/>
      <c r="S158" s="1"/>
      <c r="T158" s="1"/>
      <c r="U158" s="33"/>
      <c r="V158" s="16"/>
      <c r="W158" s="1"/>
      <c r="X158" s="1"/>
    </row>
    <row r="159" spans="1:24">
      <c r="A159" s="15"/>
      <c r="B159" s="16"/>
      <c r="C159" s="16"/>
      <c r="D159" s="16"/>
      <c r="E159" s="16"/>
      <c r="F159" s="16"/>
      <c r="G159" s="16"/>
      <c r="H159" s="16"/>
      <c r="I159" s="16"/>
      <c r="J159" s="16"/>
      <c r="K159" s="16"/>
      <c r="L159" s="16"/>
      <c r="M159" s="25"/>
      <c r="N159" s="25"/>
      <c r="O159" s="16"/>
      <c r="P159" s="1"/>
      <c r="Q159" s="1"/>
      <c r="R159" s="1"/>
      <c r="S159" s="1"/>
      <c r="T159" s="1"/>
      <c r="U159" s="33"/>
      <c r="V159" s="16"/>
      <c r="W159" s="1"/>
      <c r="X159" s="1"/>
    </row>
    <row r="160" spans="1:24">
      <c r="A160" s="15"/>
      <c r="B160" s="16"/>
      <c r="C160" s="16"/>
      <c r="D160" s="16"/>
      <c r="E160" s="16"/>
      <c r="F160" s="16"/>
      <c r="G160" s="16"/>
      <c r="H160" s="16"/>
      <c r="I160" s="16"/>
      <c r="J160" s="16"/>
      <c r="K160" s="16"/>
      <c r="L160" s="16"/>
      <c r="M160" s="25"/>
      <c r="N160" s="25"/>
      <c r="O160" s="16"/>
      <c r="P160" s="1"/>
      <c r="Q160" s="1"/>
      <c r="R160" s="1"/>
      <c r="S160" s="1"/>
      <c r="T160" s="1"/>
      <c r="U160" s="33"/>
      <c r="V160" s="16"/>
      <c r="W160" s="1"/>
      <c r="X160" s="1"/>
    </row>
    <row r="161" spans="1:24">
      <c r="A161" s="15"/>
      <c r="B161" s="16"/>
      <c r="C161" s="16"/>
      <c r="D161" s="16"/>
      <c r="E161" s="16"/>
      <c r="F161" s="16"/>
      <c r="G161" s="16"/>
      <c r="H161" s="16"/>
      <c r="I161" s="16"/>
      <c r="J161" s="16"/>
      <c r="K161" s="16"/>
      <c r="L161" s="16"/>
      <c r="M161" s="25"/>
      <c r="N161" s="25"/>
      <c r="O161" s="16"/>
      <c r="P161" s="1"/>
      <c r="Q161" s="1"/>
      <c r="R161" s="1"/>
      <c r="S161" s="1"/>
      <c r="T161" s="1"/>
      <c r="U161" s="33"/>
      <c r="V161" s="16"/>
      <c r="W161" s="1"/>
      <c r="X161" s="1"/>
    </row>
    <row r="162" spans="1:24">
      <c r="A162" s="15"/>
      <c r="B162" s="16"/>
      <c r="C162" s="16"/>
      <c r="D162" s="16"/>
      <c r="E162" s="16"/>
      <c r="F162" s="16"/>
      <c r="G162" s="16"/>
      <c r="H162" s="16"/>
      <c r="I162" s="16"/>
      <c r="J162" s="16"/>
      <c r="K162" s="16"/>
      <c r="L162" s="16"/>
      <c r="M162" s="25"/>
      <c r="N162" s="25"/>
      <c r="O162" s="16"/>
      <c r="P162" s="1"/>
      <c r="Q162" s="1"/>
      <c r="R162" s="1"/>
      <c r="S162" s="1"/>
      <c r="T162" s="1"/>
      <c r="U162" s="33"/>
      <c r="V162" s="16"/>
      <c r="W162" s="1"/>
      <c r="X162" s="1"/>
    </row>
    <row r="163" spans="1:24">
      <c r="A163" s="15"/>
      <c r="B163" s="16"/>
      <c r="C163" s="16"/>
      <c r="D163" s="16"/>
      <c r="E163" s="16"/>
      <c r="F163" s="16"/>
      <c r="G163" s="16"/>
      <c r="H163" s="16"/>
      <c r="I163" s="16"/>
      <c r="J163" s="16"/>
      <c r="K163" s="16"/>
      <c r="L163" s="16"/>
      <c r="M163" s="25"/>
      <c r="N163" s="25"/>
      <c r="O163" s="16"/>
      <c r="P163" s="1"/>
      <c r="Q163" s="1"/>
      <c r="R163" s="1"/>
      <c r="S163" s="1"/>
      <c r="T163" s="1"/>
      <c r="U163" s="33"/>
      <c r="V163" s="16"/>
      <c r="W163" s="1"/>
      <c r="X163" s="1"/>
    </row>
    <row r="164" spans="1:24">
      <c r="A164" s="15"/>
      <c r="B164" s="16"/>
      <c r="C164" s="16"/>
      <c r="D164" s="16"/>
      <c r="E164" s="16"/>
      <c r="F164" s="16"/>
      <c r="G164" s="16"/>
      <c r="H164" s="16"/>
      <c r="I164" s="16"/>
      <c r="J164" s="16"/>
      <c r="K164" s="16"/>
      <c r="L164" s="16"/>
      <c r="M164" s="25"/>
      <c r="N164" s="25"/>
      <c r="O164" s="16"/>
      <c r="P164" s="1"/>
      <c r="Q164" s="1"/>
      <c r="R164" s="1"/>
      <c r="S164" s="1"/>
      <c r="T164" s="1"/>
      <c r="U164" s="33"/>
      <c r="V164" s="16"/>
      <c r="W164" s="1"/>
      <c r="X164" s="1"/>
    </row>
    <row r="165" spans="1:24">
      <c r="A165" s="15"/>
      <c r="B165" s="16"/>
      <c r="C165" s="16"/>
      <c r="D165" s="16"/>
      <c r="E165" s="16"/>
      <c r="F165" s="16"/>
      <c r="G165" s="16"/>
      <c r="H165" s="16"/>
      <c r="I165" s="16"/>
      <c r="J165" s="16"/>
      <c r="K165" s="16"/>
      <c r="L165" s="16"/>
      <c r="M165" s="25"/>
      <c r="N165" s="25"/>
      <c r="O165" s="16"/>
      <c r="P165" s="1"/>
      <c r="Q165" s="1"/>
      <c r="R165" s="1"/>
      <c r="S165" s="1"/>
      <c r="T165" s="1"/>
      <c r="U165" s="33"/>
      <c r="V165" s="16"/>
      <c r="W165" s="1"/>
      <c r="X165" s="1"/>
    </row>
    <row r="166" spans="1:24">
      <c r="A166" s="15"/>
      <c r="B166" s="16"/>
      <c r="C166" s="16"/>
      <c r="D166" s="16"/>
      <c r="E166" s="16"/>
      <c r="F166" s="16"/>
      <c r="G166" s="16"/>
      <c r="H166" s="16"/>
      <c r="I166" s="16"/>
      <c r="J166" s="16"/>
      <c r="K166" s="16"/>
      <c r="L166" s="16"/>
      <c r="M166" s="25"/>
      <c r="N166" s="25"/>
      <c r="O166" s="16"/>
      <c r="P166" s="1"/>
      <c r="Q166" s="1"/>
      <c r="R166" s="1"/>
      <c r="S166" s="1"/>
      <c r="T166" s="1"/>
      <c r="U166" s="33"/>
      <c r="V166" s="16"/>
      <c r="W166" s="1"/>
      <c r="X166" s="1"/>
    </row>
    <row r="167" spans="1:24">
      <c r="A167" s="15"/>
      <c r="B167" s="16"/>
      <c r="C167" s="16"/>
      <c r="D167" s="16"/>
      <c r="E167" s="16"/>
      <c r="F167" s="16"/>
      <c r="G167" s="16"/>
      <c r="H167" s="16"/>
      <c r="I167" s="16"/>
      <c r="J167" s="16"/>
      <c r="K167" s="16"/>
      <c r="L167" s="16"/>
      <c r="M167" s="25"/>
      <c r="N167" s="25"/>
      <c r="O167" s="16"/>
      <c r="P167" s="1"/>
      <c r="Q167" s="1"/>
      <c r="R167" s="1"/>
      <c r="S167" s="1"/>
      <c r="T167" s="1"/>
      <c r="U167" s="33"/>
      <c r="V167" s="16"/>
      <c r="W167" s="1"/>
      <c r="X167" s="1"/>
    </row>
    <row r="168" spans="1:24">
      <c r="A168" s="15"/>
      <c r="B168" s="16"/>
      <c r="C168" s="16"/>
      <c r="D168" s="16"/>
      <c r="E168" s="16"/>
      <c r="F168" s="16"/>
      <c r="G168" s="16"/>
      <c r="H168" s="16"/>
      <c r="I168" s="16"/>
      <c r="J168" s="16"/>
      <c r="K168" s="16"/>
      <c r="L168" s="16"/>
      <c r="M168" s="25"/>
      <c r="N168" s="25"/>
      <c r="O168" s="16"/>
      <c r="P168" s="1"/>
      <c r="Q168" s="1"/>
      <c r="R168" s="1"/>
      <c r="S168" s="1"/>
      <c r="T168" s="1"/>
      <c r="U168" s="33"/>
      <c r="V168" s="16"/>
      <c r="W168" s="1"/>
      <c r="X168" s="1"/>
    </row>
    <row r="169" spans="1:24">
      <c r="A169" s="15"/>
      <c r="B169" s="16"/>
      <c r="C169" s="16"/>
      <c r="D169" s="16"/>
      <c r="E169" s="16"/>
      <c r="F169" s="16"/>
      <c r="G169" s="16"/>
      <c r="H169" s="16"/>
      <c r="I169" s="16"/>
      <c r="J169" s="16"/>
      <c r="K169" s="16"/>
      <c r="L169" s="16"/>
      <c r="M169" s="25"/>
      <c r="N169" s="25"/>
      <c r="O169" s="16"/>
      <c r="P169" s="1"/>
      <c r="Q169" s="1"/>
      <c r="R169" s="1"/>
      <c r="S169" s="1"/>
      <c r="T169" s="1"/>
      <c r="U169" s="33"/>
      <c r="V169" s="16"/>
      <c r="W169" s="1"/>
      <c r="X169" s="1"/>
    </row>
    <row r="170" spans="1:24">
      <c r="A170" s="15"/>
      <c r="B170" s="16"/>
      <c r="C170" s="16"/>
      <c r="D170" s="16"/>
      <c r="E170" s="16"/>
      <c r="F170" s="16"/>
      <c r="G170" s="16"/>
      <c r="H170" s="16"/>
      <c r="I170" s="16"/>
      <c r="J170" s="16"/>
      <c r="K170" s="16"/>
      <c r="L170" s="16"/>
      <c r="M170" s="25"/>
      <c r="N170" s="25"/>
      <c r="O170" s="16"/>
      <c r="P170" s="1"/>
      <c r="Q170" s="1"/>
      <c r="R170" s="1"/>
      <c r="S170" s="1"/>
      <c r="T170" s="1"/>
      <c r="U170" s="33"/>
      <c r="V170" s="16"/>
      <c r="W170" s="1"/>
      <c r="X170" s="1"/>
    </row>
    <row r="171" spans="1:24">
      <c r="A171" s="15"/>
      <c r="B171" s="16"/>
      <c r="C171" s="16"/>
      <c r="D171" s="16"/>
      <c r="E171" s="16"/>
      <c r="F171" s="16"/>
      <c r="G171" s="16"/>
      <c r="H171" s="16"/>
      <c r="I171" s="16"/>
      <c r="J171" s="16"/>
      <c r="K171" s="16"/>
      <c r="L171" s="16"/>
      <c r="M171" s="25"/>
      <c r="N171" s="25"/>
      <c r="O171" s="16"/>
      <c r="P171" s="1"/>
      <c r="Q171" s="1"/>
      <c r="R171" s="1"/>
      <c r="S171" s="1"/>
      <c r="T171" s="1"/>
      <c r="U171" s="33"/>
      <c r="V171" s="16"/>
      <c r="W171" s="1"/>
      <c r="X171" s="1"/>
    </row>
    <row r="172" spans="1:24">
      <c r="A172" s="15"/>
      <c r="B172" s="16"/>
      <c r="C172" s="16"/>
      <c r="D172" s="16"/>
      <c r="E172" s="16"/>
      <c r="F172" s="16"/>
      <c r="G172" s="16"/>
      <c r="H172" s="16"/>
      <c r="I172" s="16"/>
      <c r="J172" s="16"/>
      <c r="K172" s="16"/>
      <c r="L172" s="16"/>
      <c r="M172" s="25"/>
      <c r="N172" s="25"/>
      <c r="O172" s="16"/>
      <c r="P172" s="1"/>
      <c r="Q172" s="1"/>
      <c r="R172" s="1"/>
      <c r="S172" s="1"/>
      <c r="T172" s="1"/>
      <c r="U172" s="33"/>
      <c r="V172" s="16"/>
      <c r="W172" s="1"/>
      <c r="X172" s="1"/>
    </row>
    <row r="173" spans="1:24">
      <c r="A173" s="15"/>
      <c r="B173" s="16"/>
      <c r="C173" s="16"/>
      <c r="D173" s="16"/>
      <c r="E173" s="16"/>
      <c r="F173" s="16"/>
      <c r="G173" s="16"/>
      <c r="H173" s="16"/>
      <c r="I173" s="16"/>
      <c r="J173" s="16"/>
      <c r="K173" s="16"/>
      <c r="L173" s="16"/>
      <c r="M173" s="25"/>
      <c r="N173" s="25"/>
      <c r="O173" s="16"/>
      <c r="P173" s="1"/>
      <c r="Q173" s="1"/>
      <c r="R173" s="1"/>
      <c r="S173" s="1"/>
      <c r="T173" s="1"/>
      <c r="U173" s="33"/>
      <c r="V173" s="16"/>
      <c r="W173" s="1"/>
      <c r="X173" s="1"/>
    </row>
    <row r="174" spans="1:24">
      <c r="A174" s="15"/>
      <c r="B174" s="16"/>
      <c r="C174" s="16"/>
      <c r="D174" s="16"/>
      <c r="E174" s="16"/>
      <c r="F174" s="16"/>
      <c r="G174" s="16"/>
      <c r="H174" s="16"/>
      <c r="I174" s="16"/>
      <c r="J174" s="16"/>
      <c r="K174" s="16"/>
      <c r="L174" s="16"/>
      <c r="M174" s="25"/>
      <c r="N174" s="25"/>
      <c r="O174" s="16"/>
      <c r="P174" s="1"/>
      <c r="Q174" s="1"/>
      <c r="R174" s="1"/>
      <c r="S174" s="1"/>
      <c r="T174" s="1"/>
      <c r="U174" s="33"/>
      <c r="V174" s="16"/>
      <c r="W174" s="1"/>
      <c r="X174" s="1"/>
    </row>
    <row r="175" spans="1:24">
      <c r="A175" s="15"/>
      <c r="B175" s="16"/>
      <c r="C175" s="16"/>
      <c r="D175" s="16"/>
      <c r="E175" s="16"/>
      <c r="F175" s="16"/>
      <c r="G175" s="16"/>
      <c r="H175" s="16"/>
      <c r="I175" s="16"/>
      <c r="J175" s="16"/>
      <c r="K175" s="16"/>
      <c r="L175" s="16"/>
      <c r="M175" s="25"/>
      <c r="N175" s="25"/>
      <c r="O175" s="16"/>
      <c r="P175" s="1"/>
      <c r="Q175" s="1"/>
      <c r="R175" s="1"/>
      <c r="S175" s="1"/>
      <c r="T175" s="1"/>
      <c r="U175" s="33"/>
      <c r="V175" s="16"/>
      <c r="W175" s="1"/>
      <c r="X175" s="1"/>
    </row>
    <row r="176" spans="1:24">
      <c r="A176" s="15"/>
      <c r="B176" s="16"/>
      <c r="C176" s="16"/>
      <c r="D176" s="16"/>
      <c r="E176" s="16"/>
      <c r="F176" s="16"/>
      <c r="G176" s="16"/>
      <c r="H176" s="16"/>
      <c r="I176" s="16"/>
      <c r="J176" s="16"/>
      <c r="K176" s="16"/>
      <c r="L176" s="16"/>
      <c r="M176" s="25"/>
      <c r="N176" s="25"/>
      <c r="O176" s="16"/>
      <c r="P176" s="1"/>
      <c r="Q176" s="1"/>
      <c r="R176" s="1"/>
      <c r="S176" s="1"/>
      <c r="T176" s="1"/>
      <c r="U176" s="33"/>
      <c r="V176" s="16"/>
      <c r="W176" s="1"/>
      <c r="X176" s="1"/>
    </row>
    <row r="177" spans="1:24">
      <c r="A177" s="15"/>
      <c r="B177" s="16"/>
      <c r="C177" s="16"/>
      <c r="D177" s="16"/>
      <c r="E177" s="16"/>
      <c r="F177" s="16"/>
      <c r="G177" s="16"/>
      <c r="H177" s="16"/>
      <c r="I177" s="16"/>
      <c r="J177" s="16"/>
      <c r="K177" s="16"/>
      <c r="L177" s="16"/>
      <c r="M177" s="25"/>
      <c r="N177" s="25"/>
      <c r="O177" s="16"/>
      <c r="P177" s="1"/>
      <c r="Q177" s="1"/>
      <c r="R177" s="1"/>
      <c r="S177" s="1"/>
      <c r="T177" s="1"/>
      <c r="U177" s="33"/>
      <c r="V177" s="16"/>
      <c r="W177" s="1"/>
      <c r="X177" s="1"/>
    </row>
    <row r="178" spans="1:24">
      <c r="A178" s="15"/>
      <c r="B178" s="16"/>
      <c r="C178" s="16"/>
      <c r="D178" s="16"/>
      <c r="E178" s="16"/>
      <c r="F178" s="16"/>
      <c r="G178" s="16"/>
      <c r="H178" s="16"/>
      <c r="I178" s="16"/>
      <c r="J178" s="16"/>
      <c r="K178" s="16"/>
      <c r="L178" s="16"/>
      <c r="M178" s="25"/>
      <c r="N178" s="25"/>
      <c r="O178" s="16"/>
      <c r="P178" s="1"/>
      <c r="Q178" s="1"/>
      <c r="R178" s="1"/>
      <c r="S178" s="1"/>
      <c r="T178" s="1"/>
      <c r="U178" s="33"/>
      <c r="V178" s="16"/>
      <c r="W178" s="1"/>
      <c r="X178" s="1"/>
    </row>
    <row r="179" spans="1:24">
      <c r="A179" s="15"/>
      <c r="B179" s="16"/>
      <c r="C179" s="16"/>
      <c r="D179" s="16"/>
      <c r="E179" s="16"/>
      <c r="F179" s="16"/>
      <c r="G179" s="16"/>
      <c r="H179" s="16"/>
      <c r="I179" s="16"/>
      <c r="J179" s="16"/>
      <c r="K179" s="16"/>
      <c r="L179" s="16"/>
      <c r="M179" s="25"/>
      <c r="N179" s="25"/>
      <c r="O179" s="16"/>
      <c r="P179" s="1"/>
      <c r="Q179" s="1"/>
      <c r="R179" s="1"/>
      <c r="S179" s="1"/>
      <c r="T179" s="1"/>
      <c r="U179" s="33"/>
      <c r="V179" s="16"/>
      <c r="W179" s="1"/>
      <c r="X179" s="1"/>
    </row>
    <row r="180" spans="1:24">
      <c r="A180" s="15"/>
      <c r="B180" s="16"/>
      <c r="C180" s="16"/>
      <c r="D180" s="16"/>
      <c r="E180" s="16"/>
      <c r="F180" s="16"/>
      <c r="G180" s="16"/>
      <c r="H180" s="16"/>
      <c r="I180" s="16"/>
      <c r="J180" s="16"/>
      <c r="K180" s="16"/>
      <c r="L180" s="16"/>
      <c r="M180" s="25"/>
      <c r="N180" s="25"/>
      <c r="O180" s="16"/>
      <c r="P180" s="1"/>
      <c r="Q180" s="1"/>
      <c r="R180" s="1"/>
      <c r="S180" s="1"/>
      <c r="T180" s="1"/>
      <c r="U180" s="33"/>
      <c r="V180" s="16"/>
      <c r="W180" s="1"/>
      <c r="X180" s="1"/>
    </row>
    <row r="181" spans="1:24">
      <c r="A181" s="15"/>
      <c r="B181" s="16"/>
      <c r="C181" s="16"/>
      <c r="D181" s="16"/>
      <c r="E181" s="16"/>
      <c r="F181" s="16"/>
      <c r="G181" s="16"/>
      <c r="H181" s="16"/>
      <c r="I181" s="16"/>
      <c r="J181" s="16"/>
      <c r="K181" s="16"/>
      <c r="L181" s="16"/>
      <c r="M181" s="25"/>
      <c r="N181" s="25"/>
      <c r="O181" s="16"/>
      <c r="P181" s="1"/>
      <c r="Q181" s="1"/>
      <c r="R181" s="1"/>
      <c r="S181" s="1"/>
      <c r="T181" s="1"/>
      <c r="U181" s="33"/>
      <c r="V181" s="16"/>
      <c r="W181" s="1"/>
      <c r="X181" s="1"/>
    </row>
    <row r="182" spans="1:24">
      <c r="A182" s="15"/>
      <c r="B182" s="16"/>
      <c r="C182" s="16"/>
      <c r="D182" s="16"/>
      <c r="E182" s="16"/>
      <c r="F182" s="16"/>
      <c r="G182" s="16"/>
      <c r="H182" s="16"/>
      <c r="I182" s="16"/>
      <c r="J182" s="16"/>
      <c r="K182" s="16"/>
      <c r="L182" s="16"/>
      <c r="M182" s="25"/>
      <c r="N182" s="25"/>
      <c r="O182" s="16"/>
      <c r="P182" s="1"/>
      <c r="Q182" s="1"/>
      <c r="R182" s="1"/>
      <c r="S182" s="1"/>
      <c r="T182" s="1"/>
      <c r="U182" s="33"/>
      <c r="V182" s="16"/>
      <c r="W182" s="1"/>
      <c r="X182" s="1"/>
    </row>
    <row r="183" spans="1:24">
      <c r="A183" s="15"/>
      <c r="B183" s="16"/>
      <c r="C183" s="16"/>
      <c r="D183" s="16"/>
      <c r="E183" s="16"/>
      <c r="F183" s="16"/>
      <c r="G183" s="16"/>
      <c r="H183" s="16"/>
      <c r="I183" s="16"/>
      <c r="J183" s="16"/>
      <c r="K183" s="16"/>
      <c r="L183" s="16"/>
      <c r="M183" s="25"/>
      <c r="N183" s="25"/>
      <c r="O183" s="16"/>
      <c r="P183" s="1"/>
      <c r="Q183" s="1"/>
      <c r="R183" s="1"/>
      <c r="S183" s="1"/>
      <c r="T183" s="1"/>
      <c r="U183" s="33"/>
      <c r="V183" s="16"/>
      <c r="W183" s="1"/>
      <c r="X183" s="1"/>
    </row>
    <row r="184" spans="1:24">
      <c r="A184" s="15"/>
      <c r="B184" s="16"/>
      <c r="C184" s="16"/>
      <c r="D184" s="16"/>
      <c r="E184" s="16"/>
      <c r="F184" s="16"/>
      <c r="G184" s="16"/>
      <c r="H184" s="16"/>
      <c r="I184" s="16"/>
      <c r="J184" s="16"/>
      <c r="K184" s="16"/>
      <c r="L184" s="16"/>
      <c r="M184" s="25"/>
      <c r="N184" s="25"/>
      <c r="O184" s="16"/>
      <c r="P184" s="1"/>
      <c r="Q184" s="1"/>
      <c r="R184" s="1"/>
      <c r="S184" s="1"/>
      <c r="T184" s="1"/>
      <c r="U184" s="33"/>
      <c r="V184" s="16"/>
      <c r="W184" s="1"/>
      <c r="X184" s="1"/>
    </row>
    <row r="185" spans="1:24">
      <c r="A185" s="15"/>
      <c r="B185" s="16"/>
      <c r="C185" s="16"/>
      <c r="D185" s="16"/>
      <c r="E185" s="16"/>
      <c r="F185" s="16"/>
      <c r="G185" s="16"/>
      <c r="H185" s="16"/>
      <c r="I185" s="16"/>
      <c r="J185" s="16"/>
      <c r="K185" s="16"/>
      <c r="L185" s="16"/>
      <c r="M185" s="25"/>
      <c r="N185" s="25"/>
      <c r="O185" s="16"/>
      <c r="P185" s="1"/>
      <c r="Q185" s="1"/>
      <c r="R185" s="1"/>
      <c r="S185" s="1"/>
      <c r="T185" s="1"/>
      <c r="U185" s="33"/>
      <c r="V185" s="16"/>
      <c r="W185" s="1"/>
      <c r="X185" s="1"/>
    </row>
    <row r="186" spans="1:24">
      <c r="A186" s="15"/>
      <c r="B186" s="16"/>
      <c r="C186" s="16"/>
      <c r="D186" s="16"/>
      <c r="E186" s="16"/>
      <c r="F186" s="16"/>
      <c r="G186" s="16"/>
      <c r="H186" s="16"/>
      <c r="I186" s="16"/>
      <c r="J186" s="16"/>
      <c r="K186" s="16"/>
      <c r="L186" s="16"/>
      <c r="M186" s="25"/>
      <c r="N186" s="25"/>
      <c r="O186" s="16"/>
      <c r="P186" s="1"/>
      <c r="Q186" s="1"/>
      <c r="R186" s="1"/>
      <c r="S186" s="1"/>
      <c r="T186" s="1"/>
      <c r="U186" s="33"/>
      <c r="V186" s="16"/>
      <c r="W186" s="1"/>
      <c r="X186" s="1"/>
    </row>
    <row r="187" spans="1:24">
      <c r="A187" s="15"/>
      <c r="B187" s="16"/>
      <c r="C187" s="16"/>
      <c r="D187" s="16"/>
      <c r="E187" s="16"/>
      <c r="F187" s="16"/>
      <c r="G187" s="16"/>
      <c r="H187" s="16"/>
      <c r="I187" s="16"/>
      <c r="J187" s="16"/>
      <c r="K187" s="16"/>
      <c r="L187" s="16"/>
      <c r="M187" s="25"/>
      <c r="N187" s="25"/>
      <c r="O187" s="16"/>
      <c r="P187" s="1"/>
      <c r="Q187" s="1"/>
      <c r="R187" s="1"/>
      <c r="S187" s="1"/>
      <c r="T187" s="1"/>
      <c r="U187" s="33"/>
      <c r="V187" s="16"/>
      <c r="W187" s="1"/>
      <c r="X187" s="1"/>
    </row>
    <row r="188" spans="1:24">
      <c r="A188" s="15"/>
      <c r="B188" s="16"/>
      <c r="C188" s="16"/>
      <c r="D188" s="16"/>
      <c r="E188" s="16"/>
      <c r="F188" s="16"/>
      <c r="G188" s="16"/>
      <c r="H188" s="16"/>
      <c r="I188" s="16"/>
      <c r="J188" s="16"/>
      <c r="K188" s="16"/>
      <c r="L188" s="16"/>
      <c r="M188" s="25"/>
      <c r="N188" s="25"/>
      <c r="O188" s="16"/>
      <c r="P188" s="1"/>
      <c r="Q188" s="1"/>
      <c r="R188" s="1"/>
      <c r="S188" s="1"/>
      <c r="T188" s="1"/>
      <c r="U188" s="33"/>
      <c r="V188" s="16"/>
      <c r="W188" s="1"/>
      <c r="X188" s="1"/>
    </row>
    <row r="189" spans="1:24">
      <c r="A189" s="15"/>
      <c r="B189" s="16"/>
      <c r="C189" s="16"/>
      <c r="D189" s="16"/>
      <c r="E189" s="16"/>
      <c r="F189" s="16"/>
      <c r="G189" s="16"/>
      <c r="H189" s="16"/>
      <c r="I189" s="16"/>
      <c r="J189" s="16"/>
      <c r="K189" s="16"/>
      <c r="L189" s="16"/>
      <c r="M189" s="25"/>
      <c r="N189" s="25"/>
      <c r="O189" s="16"/>
      <c r="P189" s="1"/>
      <c r="Q189" s="1"/>
      <c r="R189" s="1"/>
      <c r="S189" s="1"/>
      <c r="T189" s="1"/>
      <c r="U189" s="33"/>
      <c r="V189" s="16"/>
      <c r="W189" s="1"/>
      <c r="X189" s="1"/>
    </row>
    <row r="190" spans="1:24">
      <c r="A190" s="15"/>
      <c r="B190" s="16"/>
      <c r="C190" s="16"/>
      <c r="D190" s="16"/>
      <c r="E190" s="16"/>
      <c r="F190" s="16"/>
      <c r="G190" s="16"/>
      <c r="H190" s="16"/>
      <c r="I190" s="16"/>
      <c r="J190" s="16"/>
      <c r="K190" s="16"/>
      <c r="L190" s="16"/>
      <c r="M190" s="25"/>
      <c r="N190" s="25"/>
      <c r="O190" s="16"/>
      <c r="P190" s="1"/>
      <c r="Q190" s="1"/>
      <c r="R190" s="1"/>
      <c r="S190" s="1"/>
      <c r="T190" s="1"/>
      <c r="U190" s="33"/>
      <c r="V190" s="16"/>
      <c r="W190" s="1"/>
      <c r="X190" s="1"/>
    </row>
    <row r="191" spans="1:24">
      <c r="A191" s="15"/>
      <c r="B191" s="16"/>
      <c r="C191" s="16"/>
      <c r="D191" s="16"/>
      <c r="E191" s="16"/>
      <c r="F191" s="16"/>
      <c r="G191" s="16"/>
      <c r="H191" s="16"/>
      <c r="I191" s="16"/>
      <c r="J191" s="16"/>
      <c r="K191" s="16"/>
      <c r="L191" s="16"/>
      <c r="M191" s="25"/>
      <c r="N191" s="25"/>
      <c r="O191" s="16"/>
      <c r="P191" s="1"/>
      <c r="Q191" s="1"/>
      <c r="R191" s="1"/>
      <c r="S191" s="1"/>
      <c r="T191" s="1"/>
      <c r="U191" s="33"/>
      <c r="V191" s="16"/>
      <c r="W191" s="1"/>
      <c r="X191" s="1"/>
    </row>
    <row r="192" spans="1:24">
      <c r="A192" s="15"/>
      <c r="B192" s="16"/>
      <c r="C192" s="16"/>
      <c r="D192" s="16"/>
      <c r="E192" s="16"/>
      <c r="F192" s="16"/>
      <c r="G192" s="16"/>
      <c r="H192" s="16"/>
      <c r="I192" s="16"/>
      <c r="J192" s="16"/>
      <c r="K192" s="16"/>
      <c r="L192" s="16"/>
      <c r="M192" s="25"/>
      <c r="N192" s="25"/>
      <c r="O192" s="16"/>
      <c r="P192" s="1"/>
      <c r="Q192" s="1"/>
      <c r="R192" s="1"/>
      <c r="S192" s="1"/>
      <c r="T192" s="1"/>
      <c r="U192" s="33"/>
      <c r="V192" s="16"/>
      <c r="W192" s="1"/>
      <c r="X192" s="1"/>
    </row>
    <row r="193" spans="1:24">
      <c r="A193" s="15"/>
      <c r="B193" s="16"/>
      <c r="C193" s="16"/>
      <c r="D193" s="16"/>
      <c r="E193" s="16"/>
      <c r="F193" s="16"/>
      <c r="G193" s="16"/>
      <c r="H193" s="16"/>
      <c r="I193" s="16"/>
      <c r="J193" s="16"/>
      <c r="K193" s="16"/>
      <c r="L193" s="16"/>
      <c r="M193" s="25"/>
      <c r="N193" s="25"/>
      <c r="O193" s="16"/>
      <c r="P193" s="1"/>
      <c r="Q193" s="1"/>
      <c r="R193" s="1"/>
      <c r="S193" s="1"/>
      <c r="T193" s="1"/>
      <c r="U193" s="33"/>
      <c r="V193" s="16"/>
      <c r="W193" s="1"/>
      <c r="X193" s="1"/>
    </row>
    <row r="194" spans="1:24">
      <c r="A194" s="15"/>
      <c r="B194" s="16"/>
      <c r="C194" s="16"/>
      <c r="D194" s="16"/>
      <c r="E194" s="16"/>
      <c r="F194" s="16"/>
      <c r="G194" s="16"/>
      <c r="H194" s="16"/>
      <c r="I194" s="16"/>
      <c r="J194" s="16"/>
      <c r="K194" s="16"/>
      <c r="L194" s="16"/>
      <c r="M194" s="25"/>
      <c r="N194" s="25"/>
      <c r="O194" s="16"/>
      <c r="P194" s="1"/>
      <c r="Q194" s="1"/>
      <c r="R194" s="1"/>
      <c r="S194" s="1"/>
      <c r="T194" s="1"/>
      <c r="U194" s="33"/>
      <c r="V194" s="16"/>
      <c r="W194" s="1"/>
      <c r="X194" s="1"/>
    </row>
    <row r="195" spans="1:24">
      <c r="A195" s="15"/>
      <c r="B195" s="16"/>
      <c r="C195" s="16"/>
      <c r="D195" s="16"/>
      <c r="E195" s="16"/>
      <c r="F195" s="16"/>
      <c r="G195" s="16"/>
      <c r="H195" s="16"/>
      <c r="I195" s="16"/>
      <c r="J195" s="16"/>
      <c r="K195" s="16"/>
      <c r="L195" s="16"/>
      <c r="M195" s="25"/>
      <c r="N195" s="25"/>
      <c r="O195" s="16"/>
      <c r="P195" s="1"/>
      <c r="Q195" s="1"/>
      <c r="R195" s="1"/>
      <c r="S195" s="1"/>
      <c r="T195" s="1"/>
      <c r="U195" s="33"/>
      <c r="V195" s="16"/>
      <c r="W195" s="1"/>
      <c r="X195" s="1"/>
    </row>
    <row r="196" spans="1:24">
      <c r="A196" s="15"/>
      <c r="B196" s="16"/>
      <c r="C196" s="16"/>
      <c r="D196" s="16"/>
      <c r="E196" s="16"/>
      <c r="F196" s="16"/>
      <c r="G196" s="16"/>
      <c r="H196" s="16"/>
      <c r="I196" s="16"/>
      <c r="J196" s="16"/>
      <c r="K196" s="16"/>
      <c r="L196" s="16"/>
      <c r="M196" s="25"/>
      <c r="N196" s="25"/>
      <c r="O196" s="16"/>
      <c r="P196" s="1"/>
      <c r="Q196" s="1"/>
      <c r="R196" s="1"/>
      <c r="S196" s="1"/>
      <c r="T196" s="1"/>
      <c r="U196" s="33"/>
      <c r="V196" s="16"/>
      <c r="W196" s="1"/>
      <c r="X196" s="1"/>
    </row>
    <row r="197" spans="1:24">
      <c r="A197" s="15"/>
      <c r="B197" s="16"/>
      <c r="C197" s="16"/>
      <c r="D197" s="16"/>
      <c r="E197" s="16"/>
      <c r="F197" s="16"/>
      <c r="G197" s="16"/>
      <c r="H197" s="16"/>
      <c r="I197" s="16"/>
      <c r="J197" s="16"/>
      <c r="K197" s="16"/>
      <c r="L197" s="16"/>
      <c r="M197" s="25"/>
      <c r="N197" s="25"/>
      <c r="O197" s="16"/>
      <c r="P197" s="1"/>
      <c r="Q197" s="1"/>
      <c r="R197" s="1"/>
      <c r="S197" s="1"/>
      <c r="T197" s="1"/>
      <c r="U197" s="33"/>
      <c r="V197" s="16"/>
      <c r="W197" s="1"/>
      <c r="X197" s="1"/>
    </row>
    <row r="198" spans="1:24">
      <c r="A198" s="15"/>
      <c r="B198" s="16"/>
      <c r="C198" s="16"/>
      <c r="D198" s="16"/>
      <c r="E198" s="16"/>
      <c r="F198" s="16"/>
      <c r="G198" s="16"/>
      <c r="H198" s="16"/>
      <c r="I198" s="16"/>
      <c r="J198" s="16"/>
      <c r="K198" s="16"/>
      <c r="L198" s="16"/>
      <c r="M198" s="25"/>
      <c r="N198" s="25"/>
      <c r="O198" s="16"/>
      <c r="P198" s="1"/>
      <c r="Q198" s="1"/>
      <c r="R198" s="1"/>
      <c r="S198" s="1"/>
      <c r="T198" s="1"/>
      <c r="U198" s="33"/>
      <c r="V198" s="16"/>
      <c r="W198" s="1"/>
      <c r="X198" s="1"/>
    </row>
    <row r="199" spans="1:24">
      <c r="A199" s="15"/>
      <c r="B199" s="16"/>
      <c r="C199" s="16"/>
      <c r="D199" s="16"/>
      <c r="E199" s="16"/>
      <c r="F199" s="16"/>
      <c r="G199" s="16"/>
      <c r="H199" s="16"/>
      <c r="I199" s="16"/>
      <c r="J199" s="16"/>
      <c r="K199" s="16"/>
      <c r="L199" s="16"/>
      <c r="M199" s="25"/>
      <c r="N199" s="25"/>
      <c r="O199" s="16"/>
      <c r="P199" s="1"/>
      <c r="Q199" s="1"/>
      <c r="R199" s="1"/>
      <c r="S199" s="1"/>
      <c r="T199" s="1"/>
      <c r="U199" s="33"/>
      <c r="V199" s="16"/>
      <c r="W199" s="1"/>
      <c r="X199" s="1"/>
    </row>
    <row r="200" spans="1:24">
      <c r="A200" s="15"/>
      <c r="B200" s="16"/>
      <c r="C200" s="16"/>
      <c r="D200" s="16"/>
      <c r="E200" s="16"/>
      <c r="F200" s="16"/>
      <c r="G200" s="16"/>
      <c r="H200" s="16"/>
      <c r="I200" s="16"/>
      <c r="J200" s="16"/>
      <c r="K200" s="16"/>
      <c r="L200" s="16"/>
      <c r="M200" s="25"/>
      <c r="N200" s="25"/>
      <c r="O200" s="16"/>
      <c r="P200" s="1"/>
      <c r="Q200" s="1"/>
      <c r="R200" s="1"/>
      <c r="S200" s="1"/>
      <c r="T200" s="1"/>
      <c r="U200" s="33"/>
      <c r="V200" s="16"/>
      <c r="W200" s="1"/>
      <c r="X200" s="1"/>
    </row>
    <row r="201" spans="1:24">
      <c r="A201" s="15"/>
      <c r="B201" s="16"/>
      <c r="C201" s="16"/>
      <c r="D201" s="16"/>
      <c r="E201" s="16"/>
      <c r="F201" s="16"/>
      <c r="G201" s="16"/>
      <c r="H201" s="16"/>
      <c r="I201" s="16"/>
      <c r="J201" s="16"/>
      <c r="K201" s="16"/>
      <c r="L201" s="16"/>
      <c r="M201" s="25"/>
      <c r="N201" s="25"/>
      <c r="O201" s="16"/>
      <c r="P201" s="1"/>
      <c r="Q201" s="1"/>
      <c r="R201" s="1"/>
      <c r="S201" s="1"/>
      <c r="T201" s="1"/>
      <c r="U201" s="33"/>
      <c r="V201" s="16"/>
      <c r="W201" s="1"/>
      <c r="X201" s="1"/>
    </row>
    <row r="202" spans="1:24">
      <c r="A202" s="15"/>
      <c r="B202" s="16"/>
      <c r="C202" s="16"/>
      <c r="D202" s="16"/>
      <c r="E202" s="16"/>
      <c r="F202" s="16"/>
      <c r="G202" s="16"/>
      <c r="H202" s="16"/>
      <c r="I202" s="16"/>
      <c r="J202" s="16"/>
      <c r="K202" s="16"/>
      <c r="L202" s="16"/>
      <c r="M202" s="25"/>
      <c r="N202" s="25"/>
      <c r="O202" s="16"/>
      <c r="P202" s="1"/>
      <c r="Q202" s="1"/>
      <c r="R202" s="1"/>
      <c r="S202" s="1"/>
      <c r="T202" s="1"/>
      <c r="U202" s="33"/>
      <c r="V202" s="16"/>
      <c r="W202" s="1"/>
      <c r="X202" s="1"/>
    </row>
    <row r="203" spans="1:24">
      <c r="A203" s="15"/>
      <c r="B203" s="16"/>
      <c r="C203" s="16"/>
      <c r="D203" s="16"/>
      <c r="E203" s="16"/>
      <c r="F203" s="16"/>
      <c r="G203" s="16"/>
      <c r="H203" s="16"/>
      <c r="I203" s="16"/>
      <c r="J203" s="16"/>
      <c r="K203" s="16"/>
      <c r="L203" s="16"/>
      <c r="M203" s="25"/>
      <c r="N203" s="25"/>
      <c r="O203" s="16"/>
      <c r="P203" s="1"/>
      <c r="Q203" s="1"/>
      <c r="R203" s="1"/>
      <c r="S203" s="1"/>
      <c r="T203" s="1"/>
      <c r="U203" s="33"/>
      <c r="V203" s="16"/>
      <c r="W203" s="1"/>
      <c r="X203" s="1"/>
    </row>
    <row r="204" spans="1:24">
      <c r="A204" s="15"/>
      <c r="B204" s="16"/>
      <c r="C204" s="16"/>
      <c r="D204" s="16"/>
      <c r="E204" s="16"/>
      <c r="F204" s="16"/>
      <c r="G204" s="16"/>
      <c r="H204" s="16"/>
      <c r="I204" s="16"/>
      <c r="J204" s="16"/>
      <c r="K204" s="16"/>
      <c r="L204" s="16"/>
      <c r="M204" s="25"/>
      <c r="N204" s="25"/>
      <c r="O204" s="16"/>
      <c r="P204" s="1"/>
      <c r="Q204" s="1"/>
      <c r="R204" s="1"/>
      <c r="S204" s="1"/>
      <c r="T204" s="1"/>
      <c r="U204" s="33"/>
      <c r="V204" s="16"/>
      <c r="W204" s="1"/>
      <c r="X204" s="1"/>
    </row>
    <row r="205" spans="1:24">
      <c r="A205" s="15"/>
      <c r="B205" s="16"/>
      <c r="C205" s="16"/>
      <c r="D205" s="16"/>
      <c r="E205" s="16"/>
      <c r="F205" s="16"/>
      <c r="G205" s="16"/>
      <c r="H205" s="16"/>
      <c r="I205" s="16"/>
      <c r="J205" s="16"/>
      <c r="K205" s="16"/>
      <c r="L205" s="16"/>
      <c r="M205" s="25"/>
      <c r="N205" s="25"/>
      <c r="O205" s="16"/>
      <c r="P205" s="1"/>
      <c r="Q205" s="1"/>
      <c r="R205" s="1"/>
      <c r="S205" s="1"/>
      <c r="T205" s="1"/>
      <c r="U205" s="33"/>
      <c r="V205" s="16"/>
      <c r="W205" s="1"/>
      <c r="X205" s="1"/>
    </row>
    <row r="206" spans="1:24">
      <c r="A206" s="15"/>
      <c r="B206" s="16"/>
      <c r="C206" s="16"/>
      <c r="D206" s="16"/>
      <c r="E206" s="16"/>
      <c r="F206" s="16"/>
      <c r="G206" s="16"/>
      <c r="H206" s="16"/>
      <c r="I206" s="16"/>
      <c r="J206" s="16"/>
      <c r="K206" s="16"/>
      <c r="L206" s="16"/>
      <c r="M206" s="25"/>
      <c r="N206" s="25"/>
      <c r="O206" s="16"/>
      <c r="P206" s="1"/>
      <c r="Q206" s="1"/>
      <c r="R206" s="1"/>
      <c r="S206" s="1"/>
      <c r="T206" s="1"/>
      <c r="U206" s="33"/>
      <c r="V206" s="16"/>
      <c r="W206" s="1"/>
      <c r="X206" s="1"/>
    </row>
    <row r="207" spans="1:24">
      <c r="A207" s="15"/>
      <c r="B207" s="16"/>
      <c r="C207" s="16"/>
      <c r="D207" s="16"/>
      <c r="E207" s="16"/>
      <c r="F207" s="16"/>
      <c r="G207" s="16"/>
      <c r="H207" s="16"/>
      <c r="I207" s="16"/>
      <c r="J207" s="16"/>
      <c r="K207" s="16"/>
      <c r="L207" s="16"/>
      <c r="M207" s="25"/>
      <c r="N207" s="25"/>
      <c r="O207" s="16"/>
      <c r="P207" s="1"/>
      <c r="Q207" s="1"/>
      <c r="R207" s="1"/>
      <c r="S207" s="1"/>
      <c r="T207" s="1"/>
      <c r="U207" s="33"/>
      <c r="V207" s="16"/>
      <c r="W207" s="1"/>
      <c r="X207" s="1"/>
    </row>
    <row r="208" spans="1:24">
      <c r="A208" s="15"/>
      <c r="B208" s="16"/>
      <c r="C208" s="16"/>
      <c r="D208" s="16"/>
      <c r="E208" s="16"/>
      <c r="F208" s="16"/>
      <c r="G208" s="16"/>
      <c r="H208" s="16"/>
      <c r="I208" s="16"/>
      <c r="J208" s="16"/>
      <c r="K208" s="16"/>
      <c r="L208" s="16"/>
      <c r="M208" s="25"/>
      <c r="N208" s="25"/>
      <c r="O208" s="16"/>
      <c r="P208" s="1"/>
      <c r="Q208" s="1"/>
      <c r="R208" s="1"/>
      <c r="S208" s="1"/>
      <c r="T208" s="1"/>
      <c r="U208" s="33"/>
      <c r="V208" s="16"/>
      <c r="W208" s="1"/>
      <c r="X208" s="1"/>
    </row>
    <row r="209" spans="1:24">
      <c r="A209" s="15"/>
      <c r="B209" s="16"/>
      <c r="C209" s="16"/>
      <c r="D209" s="16"/>
      <c r="E209" s="16"/>
      <c r="F209" s="16"/>
      <c r="G209" s="16"/>
      <c r="H209" s="16"/>
      <c r="I209" s="16"/>
      <c r="J209" s="16"/>
      <c r="K209" s="16"/>
      <c r="L209" s="16"/>
      <c r="M209" s="25"/>
      <c r="N209" s="25"/>
      <c r="O209" s="16"/>
      <c r="P209" s="1"/>
      <c r="Q209" s="1"/>
      <c r="R209" s="1"/>
      <c r="S209" s="1"/>
      <c r="T209" s="1"/>
      <c r="U209" s="33"/>
      <c r="V209" s="16"/>
      <c r="W209" s="1"/>
      <c r="X209" s="1"/>
    </row>
    <row r="210" spans="1:24">
      <c r="A210" s="15"/>
      <c r="B210" s="16"/>
      <c r="C210" s="16"/>
      <c r="D210" s="16"/>
      <c r="E210" s="16"/>
      <c r="F210" s="16"/>
      <c r="G210" s="16"/>
      <c r="H210" s="16"/>
      <c r="I210" s="16"/>
      <c r="J210" s="16"/>
      <c r="K210" s="16"/>
      <c r="L210" s="16"/>
      <c r="M210" s="25"/>
      <c r="N210" s="25"/>
      <c r="O210" s="16"/>
      <c r="P210" s="1"/>
      <c r="Q210" s="1"/>
      <c r="R210" s="1"/>
      <c r="S210" s="1"/>
      <c r="T210" s="1"/>
      <c r="U210" s="33"/>
      <c r="V210" s="16"/>
      <c r="W210" s="1"/>
      <c r="X210" s="1"/>
    </row>
    <row r="211" spans="1:24">
      <c r="A211" s="15"/>
      <c r="B211" s="16"/>
      <c r="C211" s="16"/>
      <c r="D211" s="16"/>
      <c r="E211" s="16"/>
      <c r="F211" s="16"/>
      <c r="G211" s="16"/>
      <c r="H211" s="16"/>
      <c r="I211" s="16"/>
      <c r="J211" s="16"/>
      <c r="K211" s="16"/>
      <c r="L211" s="16"/>
      <c r="M211" s="25"/>
      <c r="N211" s="25"/>
      <c r="O211" s="16"/>
      <c r="P211" s="1"/>
      <c r="Q211" s="1"/>
      <c r="R211" s="1"/>
      <c r="S211" s="1"/>
      <c r="T211" s="1"/>
      <c r="U211" s="33"/>
      <c r="V211" s="16"/>
      <c r="W211" s="1"/>
      <c r="X211" s="1"/>
    </row>
    <row r="212" spans="1:24">
      <c r="A212" s="15"/>
      <c r="B212" s="16"/>
      <c r="C212" s="16"/>
      <c r="D212" s="16"/>
      <c r="E212" s="16"/>
      <c r="F212" s="16"/>
      <c r="G212" s="16"/>
      <c r="H212" s="16"/>
      <c r="I212" s="16"/>
      <c r="J212" s="16"/>
      <c r="K212" s="16"/>
      <c r="L212" s="16"/>
      <c r="M212" s="25"/>
      <c r="N212" s="25"/>
      <c r="O212" s="16"/>
      <c r="P212" s="1"/>
      <c r="Q212" s="1"/>
      <c r="R212" s="1"/>
      <c r="S212" s="1"/>
      <c r="T212" s="1"/>
      <c r="U212" s="33"/>
      <c r="V212" s="16"/>
      <c r="W212" s="1"/>
      <c r="X212" s="1"/>
    </row>
    <row r="213" spans="1:24">
      <c r="A213" s="15"/>
      <c r="B213" s="16"/>
      <c r="C213" s="16"/>
      <c r="D213" s="16"/>
      <c r="E213" s="16"/>
      <c r="F213" s="16"/>
      <c r="G213" s="16"/>
      <c r="H213" s="16"/>
      <c r="I213" s="16"/>
      <c r="J213" s="16"/>
      <c r="K213" s="16"/>
      <c r="L213" s="16"/>
      <c r="M213" s="25"/>
      <c r="N213" s="25"/>
      <c r="O213" s="16"/>
      <c r="P213" s="1"/>
      <c r="Q213" s="1"/>
      <c r="R213" s="1"/>
      <c r="S213" s="1"/>
      <c r="T213" s="1"/>
      <c r="U213" s="33"/>
      <c r="V213" s="16"/>
      <c r="W213" s="1"/>
      <c r="X213" s="1"/>
    </row>
    <row r="214" spans="1:24">
      <c r="A214" s="15"/>
      <c r="B214" s="16"/>
      <c r="C214" s="16"/>
      <c r="D214" s="16"/>
      <c r="E214" s="16"/>
      <c r="F214" s="16"/>
      <c r="G214" s="16"/>
      <c r="H214" s="16"/>
      <c r="I214" s="16"/>
      <c r="J214" s="16"/>
      <c r="K214" s="16"/>
      <c r="L214" s="16"/>
      <c r="M214" s="25"/>
      <c r="N214" s="25"/>
      <c r="O214" s="16"/>
      <c r="P214" s="1"/>
      <c r="Q214" s="1"/>
      <c r="R214" s="1"/>
      <c r="S214" s="1"/>
      <c r="T214" s="1"/>
      <c r="U214" s="33"/>
      <c r="V214" s="16"/>
      <c r="W214" s="1"/>
      <c r="X214" s="1"/>
    </row>
    <row r="215" spans="1:24">
      <c r="A215" s="15"/>
      <c r="B215" s="16"/>
      <c r="C215" s="16"/>
      <c r="D215" s="16"/>
      <c r="E215" s="16"/>
      <c r="F215" s="16"/>
      <c r="G215" s="16"/>
      <c r="H215" s="16"/>
      <c r="I215" s="16"/>
      <c r="J215" s="16"/>
      <c r="K215" s="16"/>
      <c r="L215" s="16"/>
      <c r="M215" s="25"/>
      <c r="N215" s="25"/>
      <c r="O215" s="16"/>
      <c r="P215" s="1"/>
      <c r="Q215" s="1"/>
      <c r="R215" s="1"/>
      <c r="S215" s="1"/>
      <c r="T215" s="1"/>
      <c r="U215" s="33"/>
      <c r="V215" s="16"/>
      <c r="W215" s="1"/>
      <c r="X215" s="1"/>
    </row>
    <row r="216" spans="1:24">
      <c r="A216" s="15"/>
      <c r="B216" s="16"/>
      <c r="C216" s="16"/>
      <c r="D216" s="16"/>
      <c r="E216" s="16"/>
      <c r="F216" s="16"/>
      <c r="G216" s="16"/>
      <c r="H216" s="16"/>
      <c r="I216" s="16"/>
      <c r="J216" s="16"/>
      <c r="K216" s="16"/>
      <c r="L216" s="16"/>
      <c r="M216" s="25"/>
      <c r="N216" s="25"/>
      <c r="O216" s="16"/>
      <c r="P216" s="1"/>
      <c r="Q216" s="1"/>
      <c r="R216" s="1"/>
      <c r="S216" s="1"/>
      <c r="T216" s="1"/>
      <c r="U216" s="33"/>
      <c r="V216" s="16"/>
      <c r="W216" s="1"/>
      <c r="X216" s="1"/>
    </row>
    <row r="217" spans="1:24">
      <c r="A217" s="15"/>
      <c r="B217" s="16"/>
      <c r="C217" s="16"/>
      <c r="D217" s="16"/>
      <c r="E217" s="16"/>
      <c r="F217" s="16"/>
      <c r="G217" s="16"/>
      <c r="H217" s="16"/>
      <c r="I217" s="16"/>
      <c r="J217" s="16"/>
      <c r="K217" s="16"/>
      <c r="L217" s="16"/>
      <c r="M217" s="25"/>
      <c r="N217" s="25"/>
      <c r="O217" s="16"/>
      <c r="P217" s="1"/>
      <c r="Q217" s="1"/>
      <c r="R217" s="1"/>
      <c r="S217" s="1"/>
      <c r="T217" s="1"/>
      <c r="U217" s="33"/>
      <c r="V217" s="16"/>
      <c r="W217" s="1"/>
      <c r="X217" s="1"/>
    </row>
    <row r="218" spans="1:24">
      <c r="A218" s="15"/>
      <c r="B218" s="16"/>
      <c r="C218" s="16"/>
      <c r="D218" s="16"/>
      <c r="E218" s="16"/>
      <c r="F218" s="16"/>
      <c r="G218" s="16"/>
      <c r="H218" s="16"/>
      <c r="I218" s="16"/>
      <c r="J218" s="16"/>
      <c r="K218" s="16"/>
      <c r="L218" s="16"/>
      <c r="M218" s="25"/>
      <c r="N218" s="25"/>
      <c r="O218" s="16"/>
      <c r="P218" s="1"/>
      <c r="Q218" s="1"/>
      <c r="R218" s="1"/>
      <c r="S218" s="1"/>
      <c r="T218" s="1"/>
      <c r="U218" s="33"/>
      <c r="V218" s="16"/>
      <c r="W218" s="1"/>
      <c r="X218" s="1"/>
    </row>
    <row r="219" spans="1:24">
      <c r="A219" s="15"/>
      <c r="B219" s="16"/>
      <c r="C219" s="16"/>
      <c r="D219" s="16"/>
      <c r="E219" s="16"/>
      <c r="F219" s="16"/>
      <c r="G219" s="16"/>
      <c r="H219" s="16"/>
      <c r="I219" s="16"/>
      <c r="J219" s="16"/>
      <c r="K219" s="16"/>
      <c r="L219" s="16"/>
      <c r="M219" s="25"/>
      <c r="N219" s="25"/>
      <c r="O219" s="16"/>
      <c r="P219" s="1"/>
      <c r="Q219" s="1"/>
      <c r="R219" s="1"/>
      <c r="S219" s="1"/>
      <c r="T219" s="1"/>
      <c r="U219" s="33"/>
      <c r="V219" s="16"/>
      <c r="W219" s="1"/>
      <c r="X219" s="1"/>
    </row>
    <row r="220" spans="1:24">
      <c r="A220" s="15"/>
      <c r="B220" s="16"/>
      <c r="C220" s="16"/>
      <c r="D220" s="16"/>
      <c r="E220" s="16"/>
      <c r="F220" s="16"/>
      <c r="G220" s="16"/>
      <c r="H220" s="16"/>
      <c r="I220" s="16"/>
      <c r="J220" s="16"/>
      <c r="K220" s="16"/>
      <c r="L220" s="16"/>
      <c r="M220" s="25"/>
      <c r="N220" s="25"/>
      <c r="O220" s="16"/>
      <c r="P220" s="1"/>
      <c r="Q220" s="1"/>
      <c r="R220" s="1"/>
      <c r="S220" s="1"/>
      <c r="T220" s="1"/>
      <c r="U220" s="33"/>
      <c r="V220" s="16"/>
      <c r="W220" s="1"/>
      <c r="X220" s="1"/>
    </row>
    <row r="221" spans="1:24">
      <c r="A221" s="15"/>
      <c r="B221" s="16"/>
      <c r="C221" s="16"/>
      <c r="D221" s="16"/>
      <c r="E221" s="16"/>
      <c r="F221" s="16"/>
      <c r="G221" s="16"/>
      <c r="H221" s="16"/>
      <c r="I221" s="16"/>
      <c r="J221" s="16"/>
      <c r="K221" s="16"/>
      <c r="L221" s="16"/>
      <c r="M221" s="25"/>
      <c r="N221" s="25"/>
      <c r="O221" s="16"/>
      <c r="P221" s="1"/>
      <c r="Q221" s="1"/>
      <c r="R221" s="1"/>
      <c r="S221" s="1"/>
      <c r="T221" s="1"/>
      <c r="U221" s="33"/>
      <c r="V221" s="16"/>
      <c r="W221" s="1"/>
      <c r="X221" s="1"/>
    </row>
    <row r="222" spans="1:24">
      <c r="A222" s="15"/>
      <c r="B222" s="16"/>
      <c r="C222" s="16"/>
      <c r="D222" s="16"/>
      <c r="E222" s="16"/>
      <c r="F222" s="16"/>
      <c r="G222" s="16"/>
      <c r="H222" s="16"/>
      <c r="I222" s="16"/>
      <c r="J222" s="16"/>
      <c r="K222" s="16"/>
      <c r="L222" s="16"/>
      <c r="M222" s="25"/>
      <c r="N222" s="25"/>
      <c r="O222" s="16"/>
      <c r="P222" s="1"/>
      <c r="Q222" s="1"/>
      <c r="R222" s="1"/>
      <c r="S222" s="1"/>
      <c r="T222" s="1"/>
      <c r="U222" s="33"/>
      <c r="V222" s="16"/>
      <c r="W222" s="1"/>
      <c r="X222" s="1"/>
    </row>
    <row r="223" spans="1:24">
      <c r="A223" s="15"/>
      <c r="B223" s="16"/>
      <c r="C223" s="16"/>
      <c r="D223" s="16"/>
      <c r="E223" s="16"/>
      <c r="F223" s="16"/>
      <c r="G223" s="16"/>
      <c r="H223" s="16"/>
      <c r="I223" s="16"/>
      <c r="J223" s="16"/>
      <c r="K223" s="16"/>
      <c r="L223" s="16"/>
      <c r="M223" s="25"/>
      <c r="N223" s="25"/>
      <c r="O223" s="16"/>
      <c r="P223" s="1"/>
      <c r="Q223" s="1"/>
      <c r="R223" s="1"/>
      <c r="S223" s="1"/>
      <c r="T223" s="1"/>
      <c r="U223" s="33"/>
      <c r="V223" s="16"/>
      <c r="W223" s="1"/>
      <c r="X223" s="1"/>
    </row>
    <row r="224" spans="1:24">
      <c r="A224" s="15"/>
      <c r="B224" s="16"/>
      <c r="C224" s="16"/>
      <c r="D224" s="16"/>
      <c r="E224" s="16"/>
      <c r="F224" s="16"/>
      <c r="G224" s="16"/>
      <c r="H224" s="16"/>
      <c r="I224" s="16"/>
      <c r="J224" s="16"/>
      <c r="K224" s="16"/>
      <c r="L224" s="16"/>
      <c r="M224" s="25"/>
      <c r="N224" s="25"/>
      <c r="O224" s="16"/>
      <c r="P224" s="1"/>
      <c r="Q224" s="1"/>
      <c r="R224" s="1"/>
      <c r="S224" s="1"/>
      <c r="T224" s="1"/>
      <c r="U224" s="33"/>
      <c r="V224" s="16"/>
      <c r="W224" s="1"/>
      <c r="X224" s="1"/>
    </row>
    <row r="225" spans="1:24">
      <c r="A225" s="15"/>
      <c r="B225" s="16"/>
      <c r="C225" s="16"/>
      <c r="D225" s="16"/>
      <c r="E225" s="16"/>
      <c r="F225" s="16"/>
      <c r="G225" s="16"/>
      <c r="H225" s="16"/>
      <c r="I225" s="16"/>
      <c r="J225" s="16"/>
      <c r="K225" s="16"/>
      <c r="L225" s="16"/>
      <c r="M225" s="25"/>
      <c r="N225" s="25"/>
      <c r="O225" s="16"/>
      <c r="P225" s="1"/>
      <c r="Q225" s="1"/>
      <c r="R225" s="1"/>
      <c r="S225" s="1"/>
      <c r="T225" s="1"/>
      <c r="U225" s="33"/>
      <c r="V225" s="16"/>
      <c r="W225" s="1"/>
      <c r="X225" s="1"/>
    </row>
    <row r="226" spans="1:24">
      <c r="A226" s="15"/>
      <c r="B226" s="16"/>
      <c r="C226" s="16"/>
      <c r="D226" s="16"/>
      <c r="E226" s="16"/>
      <c r="F226" s="16"/>
      <c r="G226" s="16"/>
      <c r="H226" s="16"/>
      <c r="I226" s="16"/>
      <c r="J226" s="16"/>
      <c r="K226" s="16"/>
      <c r="L226" s="16"/>
      <c r="M226" s="25"/>
      <c r="N226" s="25"/>
      <c r="O226" s="16"/>
      <c r="P226" s="1"/>
      <c r="Q226" s="1"/>
      <c r="R226" s="1"/>
      <c r="S226" s="1"/>
      <c r="T226" s="1"/>
      <c r="U226" s="33"/>
      <c r="V226" s="16"/>
      <c r="W226" s="1"/>
      <c r="X226" s="1"/>
    </row>
    <row r="227" spans="1:24">
      <c r="A227" s="15"/>
      <c r="B227" s="16"/>
      <c r="C227" s="16"/>
      <c r="D227" s="16"/>
      <c r="E227" s="16"/>
      <c r="F227" s="16"/>
      <c r="G227" s="16"/>
      <c r="H227" s="16"/>
      <c r="I227" s="16"/>
      <c r="J227" s="16"/>
      <c r="K227" s="16"/>
      <c r="L227" s="16"/>
      <c r="M227" s="25"/>
      <c r="N227" s="25"/>
      <c r="O227" s="16"/>
      <c r="P227" s="1"/>
      <c r="Q227" s="1"/>
      <c r="R227" s="1"/>
      <c r="S227" s="1"/>
      <c r="T227" s="1"/>
      <c r="U227" s="33"/>
      <c r="V227" s="16"/>
      <c r="W227" s="1"/>
      <c r="X227" s="1"/>
    </row>
    <row r="228" spans="1:24">
      <c r="A228" s="15"/>
      <c r="B228" s="16"/>
      <c r="C228" s="16"/>
      <c r="D228" s="16"/>
      <c r="E228" s="16"/>
      <c r="F228" s="16"/>
      <c r="G228" s="16"/>
      <c r="H228" s="16"/>
      <c r="I228" s="16"/>
      <c r="J228" s="16"/>
      <c r="K228" s="16"/>
      <c r="L228" s="16"/>
      <c r="M228" s="25"/>
      <c r="N228" s="25"/>
      <c r="O228" s="16"/>
      <c r="P228" s="1"/>
      <c r="Q228" s="1"/>
      <c r="R228" s="1"/>
      <c r="S228" s="1"/>
      <c r="T228" s="1"/>
      <c r="U228" s="33"/>
      <c r="V228" s="16"/>
      <c r="W228" s="1"/>
      <c r="X228" s="1"/>
    </row>
    <row r="229" spans="1:24">
      <c r="A229" s="15"/>
      <c r="B229" s="16"/>
      <c r="C229" s="16"/>
      <c r="D229" s="16"/>
      <c r="E229" s="16"/>
      <c r="F229" s="16"/>
      <c r="G229" s="16"/>
      <c r="H229" s="16"/>
      <c r="I229" s="16"/>
      <c r="J229" s="16"/>
      <c r="K229" s="16"/>
      <c r="L229" s="16"/>
      <c r="M229" s="25"/>
      <c r="N229" s="25"/>
      <c r="O229" s="16"/>
      <c r="P229" s="1"/>
      <c r="Q229" s="1"/>
      <c r="R229" s="1"/>
      <c r="S229" s="1"/>
      <c r="T229" s="1"/>
      <c r="U229" s="33"/>
      <c r="V229" s="16"/>
      <c r="W229" s="1"/>
      <c r="X229" s="1"/>
    </row>
    <row r="230" spans="1:24">
      <c r="A230" s="15"/>
      <c r="B230" s="16"/>
      <c r="C230" s="16"/>
      <c r="D230" s="16"/>
      <c r="E230" s="16"/>
      <c r="F230" s="16"/>
      <c r="G230" s="16"/>
      <c r="H230" s="16"/>
      <c r="I230" s="16"/>
      <c r="J230" s="16"/>
      <c r="K230" s="16"/>
      <c r="L230" s="16"/>
      <c r="M230" s="25"/>
      <c r="N230" s="25"/>
      <c r="O230" s="16"/>
      <c r="P230" s="1"/>
      <c r="Q230" s="1"/>
      <c r="R230" s="1"/>
      <c r="S230" s="1"/>
      <c r="T230" s="1"/>
      <c r="U230" s="33"/>
      <c r="V230" s="16"/>
      <c r="W230" s="1"/>
      <c r="X230" s="1"/>
    </row>
    <row r="231" spans="1:24">
      <c r="A231" s="15"/>
      <c r="B231" s="16"/>
      <c r="C231" s="16"/>
      <c r="D231" s="16"/>
      <c r="E231" s="16"/>
      <c r="F231" s="16"/>
      <c r="G231" s="16"/>
      <c r="H231" s="16"/>
      <c r="I231" s="16"/>
      <c r="J231" s="16"/>
      <c r="K231" s="16"/>
      <c r="L231" s="16"/>
      <c r="M231" s="25"/>
      <c r="N231" s="25"/>
      <c r="O231" s="16"/>
      <c r="P231" s="1"/>
      <c r="Q231" s="1"/>
      <c r="R231" s="1"/>
      <c r="S231" s="1"/>
      <c r="T231" s="1"/>
      <c r="U231" s="33"/>
      <c r="V231" s="16"/>
      <c r="W231" s="1"/>
      <c r="X231" s="1"/>
    </row>
    <row r="232" spans="1:24">
      <c r="A232" s="15"/>
      <c r="B232" s="16"/>
      <c r="C232" s="16"/>
      <c r="D232" s="16"/>
      <c r="E232" s="16"/>
      <c r="F232" s="16"/>
      <c r="G232" s="16"/>
      <c r="H232" s="16"/>
      <c r="I232" s="16"/>
      <c r="J232" s="16"/>
      <c r="K232" s="16"/>
      <c r="L232" s="16"/>
      <c r="M232" s="25"/>
      <c r="N232" s="25"/>
      <c r="O232" s="16"/>
      <c r="P232" s="1"/>
      <c r="Q232" s="1"/>
      <c r="R232" s="1"/>
      <c r="S232" s="1"/>
      <c r="T232" s="1"/>
      <c r="U232" s="33"/>
      <c r="V232" s="16"/>
      <c r="W232" s="1"/>
      <c r="X232" s="1"/>
    </row>
    <row r="233" spans="1:24">
      <c r="A233" s="15"/>
      <c r="B233" s="16"/>
      <c r="C233" s="16"/>
      <c r="D233" s="16"/>
      <c r="E233" s="16"/>
      <c r="F233" s="16"/>
      <c r="G233" s="16"/>
      <c r="H233" s="16"/>
      <c r="I233" s="16"/>
      <c r="J233" s="16"/>
      <c r="K233" s="16"/>
      <c r="L233" s="16"/>
      <c r="M233" s="25"/>
      <c r="N233" s="25"/>
      <c r="O233" s="16"/>
      <c r="P233" s="1"/>
      <c r="Q233" s="1"/>
      <c r="R233" s="1"/>
      <c r="S233" s="1"/>
      <c r="T233" s="1"/>
      <c r="U233" s="33"/>
      <c r="V233" s="16"/>
      <c r="W233" s="1"/>
      <c r="X233" s="1"/>
    </row>
    <row r="234" spans="1:24">
      <c r="A234" s="15"/>
      <c r="B234" s="16"/>
      <c r="C234" s="16"/>
      <c r="D234" s="16"/>
      <c r="E234" s="16"/>
      <c r="F234" s="16"/>
      <c r="G234" s="16"/>
      <c r="H234" s="16"/>
      <c r="I234" s="16"/>
      <c r="J234" s="16"/>
      <c r="K234" s="16"/>
      <c r="L234" s="16"/>
      <c r="M234" s="25"/>
      <c r="N234" s="25"/>
      <c r="O234" s="16"/>
      <c r="P234" s="1"/>
      <c r="Q234" s="1"/>
      <c r="R234" s="1"/>
      <c r="S234" s="1"/>
      <c r="T234" s="1"/>
      <c r="U234" s="33"/>
      <c r="V234" s="16"/>
      <c r="W234" s="1"/>
      <c r="X234" s="1"/>
    </row>
    <row r="235" spans="1:24">
      <c r="A235" s="15"/>
      <c r="B235" s="16"/>
      <c r="C235" s="16"/>
      <c r="D235" s="16"/>
      <c r="E235" s="16"/>
      <c r="F235" s="16"/>
      <c r="G235" s="16"/>
      <c r="H235" s="16"/>
      <c r="I235" s="16"/>
      <c r="J235" s="16"/>
      <c r="K235" s="16"/>
      <c r="L235" s="16"/>
      <c r="M235" s="25"/>
      <c r="N235" s="25"/>
      <c r="O235" s="16"/>
      <c r="P235" s="1"/>
      <c r="Q235" s="1"/>
      <c r="R235" s="1"/>
      <c r="S235" s="1"/>
      <c r="T235" s="1"/>
      <c r="U235" s="33"/>
      <c r="V235" s="16"/>
      <c r="W235" s="1"/>
      <c r="X235" s="1"/>
    </row>
    <row r="236" spans="1:24">
      <c r="A236" s="15"/>
      <c r="B236" s="16"/>
      <c r="C236" s="16"/>
      <c r="D236" s="16"/>
      <c r="E236" s="16"/>
      <c r="F236" s="16"/>
      <c r="G236" s="16"/>
      <c r="H236" s="16"/>
      <c r="I236" s="16"/>
      <c r="J236" s="16"/>
      <c r="K236" s="16"/>
      <c r="L236" s="16"/>
      <c r="M236" s="25"/>
      <c r="N236" s="25"/>
      <c r="O236" s="16"/>
      <c r="P236" s="1"/>
      <c r="Q236" s="1"/>
      <c r="R236" s="1"/>
      <c r="S236" s="1"/>
      <c r="T236" s="1"/>
      <c r="U236" s="33"/>
      <c r="V236" s="16"/>
      <c r="W236" s="1"/>
      <c r="X236" s="1"/>
    </row>
    <row r="237" spans="1:24">
      <c r="A237" s="15"/>
      <c r="B237" s="16"/>
      <c r="C237" s="16"/>
      <c r="D237" s="16"/>
      <c r="E237" s="16"/>
      <c r="F237" s="16"/>
      <c r="G237" s="16"/>
      <c r="H237" s="16"/>
      <c r="I237" s="16"/>
      <c r="J237" s="16"/>
      <c r="K237" s="16"/>
      <c r="L237" s="16"/>
      <c r="M237" s="25"/>
      <c r="N237" s="25"/>
      <c r="O237" s="16"/>
      <c r="P237" s="1"/>
      <c r="Q237" s="1"/>
      <c r="R237" s="1"/>
      <c r="S237" s="1"/>
      <c r="T237" s="1"/>
      <c r="U237" s="33"/>
      <c r="V237" s="16"/>
      <c r="W237" s="1"/>
      <c r="X237" s="1"/>
    </row>
    <row r="238" spans="1:24">
      <c r="A238" s="15"/>
      <c r="B238" s="16"/>
      <c r="C238" s="16"/>
      <c r="D238" s="16"/>
      <c r="E238" s="16"/>
      <c r="F238" s="16"/>
      <c r="G238" s="16"/>
      <c r="H238" s="16"/>
      <c r="I238" s="16"/>
      <c r="J238" s="16"/>
      <c r="K238" s="16"/>
      <c r="L238" s="16"/>
      <c r="M238" s="25"/>
      <c r="N238" s="25"/>
      <c r="O238" s="16"/>
      <c r="P238" s="1"/>
      <c r="Q238" s="1"/>
      <c r="R238" s="1"/>
      <c r="S238" s="1"/>
      <c r="T238" s="1"/>
      <c r="U238" s="33"/>
      <c r="V238" s="16"/>
      <c r="W238" s="1"/>
      <c r="X238" s="1"/>
    </row>
    <row r="239" spans="1:24">
      <c r="A239" s="15"/>
      <c r="B239" s="16"/>
      <c r="C239" s="16"/>
      <c r="D239" s="16"/>
      <c r="E239" s="16"/>
      <c r="F239" s="16"/>
      <c r="G239" s="16"/>
      <c r="H239" s="16"/>
      <c r="I239" s="16"/>
      <c r="J239" s="16"/>
      <c r="K239" s="16"/>
      <c r="L239" s="16"/>
      <c r="M239" s="25"/>
      <c r="N239" s="25"/>
      <c r="O239" s="16"/>
      <c r="P239" s="1"/>
      <c r="Q239" s="1"/>
      <c r="R239" s="1"/>
      <c r="S239" s="1"/>
      <c r="T239" s="1"/>
      <c r="U239" s="33"/>
      <c r="V239" s="16"/>
      <c r="W239" s="1"/>
      <c r="X239" s="1"/>
    </row>
    <row r="240" spans="1:24">
      <c r="A240" s="15"/>
      <c r="B240" s="16"/>
      <c r="C240" s="16"/>
      <c r="D240" s="16"/>
      <c r="E240" s="16"/>
      <c r="F240" s="16"/>
      <c r="G240" s="16"/>
      <c r="H240" s="16"/>
      <c r="I240" s="16"/>
      <c r="J240" s="16"/>
      <c r="K240" s="16"/>
      <c r="L240" s="16"/>
      <c r="M240" s="25"/>
      <c r="N240" s="25"/>
      <c r="O240" s="16"/>
      <c r="P240" s="1"/>
      <c r="Q240" s="1"/>
      <c r="R240" s="1"/>
      <c r="S240" s="1"/>
      <c r="T240" s="1"/>
      <c r="U240" s="33"/>
      <c r="V240" s="16"/>
      <c r="W240" s="1"/>
      <c r="X240" s="1"/>
    </row>
    <row r="241" spans="1:24">
      <c r="A241" s="15"/>
      <c r="B241" s="16"/>
      <c r="C241" s="16"/>
      <c r="D241" s="16"/>
      <c r="E241" s="16"/>
      <c r="F241" s="16"/>
      <c r="G241" s="16"/>
      <c r="H241" s="16"/>
      <c r="I241" s="16"/>
      <c r="J241" s="16"/>
      <c r="K241" s="16"/>
      <c r="L241" s="16"/>
      <c r="M241" s="25"/>
      <c r="N241" s="25"/>
      <c r="O241" s="16"/>
      <c r="P241" s="1"/>
      <c r="Q241" s="1"/>
      <c r="R241" s="1"/>
      <c r="S241" s="1"/>
      <c r="T241" s="1"/>
      <c r="U241" s="33"/>
      <c r="V241" s="16"/>
      <c r="W241" s="1"/>
      <c r="X241" s="1"/>
    </row>
    <row r="242" spans="1:24">
      <c r="A242" s="15"/>
      <c r="B242" s="16"/>
      <c r="C242" s="16"/>
      <c r="D242" s="16"/>
      <c r="E242" s="16"/>
      <c r="F242" s="16"/>
      <c r="G242" s="16"/>
      <c r="H242" s="16"/>
      <c r="I242" s="16"/>
      <c r="J242" s="16"/>
      <c r="K242" s="16"/>
      <c r="L242" s="16"/>
      <c r="M242" s="25"/>
      <c r="N242" s="25"/>
      <c r="O242" s="16"/>
      <c r="P242" s="1"/>
      <c r="Q242" s="1"/>
      <c r="R242" s="1"/>
      <c r="S242" s="1"/>
      <c r="T242" s="1"/>
      <c r="U242" s="33"/>
      <c r="V242" s="16"/>
      <c r="W242" s="1"/>
      <c r="X242" s="1"/>
    </row>
    <row r="243" spans="1:24">
      <c r="A243" s="15"/>
      <c r="B243" s="16"/>
      <c r="C243" s="16"/>
      <c r="D243" s="16"/>
      <c r="E243" s="16"/>
      <c r="F243" s="16"/>
      <c r="G243" s="16"/>
      <c r="H243" s="16"/>
      <c r="I243" s="16"/>
      <c r="J243" s="16"/>
      <c r="K243" s="16"/>
      <c r="L243" s="16"/>
      <c r="M243" s="25"/>
      <c r="N243" s="25"/>
      <c r="O243" s="16"/>
      <c r="P243" s="1"/>
      <c r="Q243" s="1"/>
      <c r="R243" s="1"/>
      <c r="S243" s="1"/>
      <c r="T243" s="1"/>
      <c r="U243" s="33"/>
      <c r="V243" s="16"/>
      <c r="W243" s="1"/>
      <c r="X243" s="1"/>
    </row>
    <row r="244" spans="1:24">
      <c r="A244" s="15"/>
      <c r="B244" s="16"/>
      <c r="C244" s="16"/>
      <c r="D244" s="16"/>
      <c r="E244" s="16"/>
      <c r="F244" s="16"/>
      <c r="G244" s="16"/>
      <c r="H244" s="16"/>
      <c r="I244" s="16"/>
      <c r="J244" s="16"/>
      <c r="K244" s="16"/>
      <c r="L244" s="16"/>
      <c r="M244" s="25"/>
      <c r="N244" s="25"/>
      <c r="O244" s="16"/>
      <c r="P244" s="1"/>
      <c r="Q244" s="1"/>
      <c r="R244" s="1"/>
      <c r="S244" s="1"/>
      <c r="T244" s="1"/>
      <c r="U244" s="33"/>
      <c r="V244" s="16"/>
      <c r="W244" s="1"/>
      <c r="X244" s="1"/>
    </row>
    <row r="245" spans="1:24">
      <c r="A245" s="15"/>
      <c r="B245" s="16"/>
      <c r="C245" s="16"/>
      <c r="D245" s="16"/>
      <c r="E245" s="16"/>
      <c r="F245" s="16"/>
      <c r="G245" s="16"/>
      <c r="H245" s="16"/>
      <c r="I245" s="16"/>
      <c r="J245" s="16"/>
      <c r="K245" s="16"/>
      <c r="L245" s="16"/>
      <c r="M245" s="25"/>
      <c r="N245" s="25"/>
      <c r="O245" s="16"/>
      <c r="P245" s="1"/>
      <c r="Q245" s="1"/>
      <c r="R245" s="1"/>
      <c r="S245" s="1"/>
      <c r="T245" s="1"/>
      <c r="U245" s="33"/>
      <c r="V245" s="16"/>
      <c r="W245" s="1"/>
      <c r="X245" s="1"/>
    </row>
    <row r="246" spans="1:24">
      <c r="A246" s="15"/>
      <c r="B246" s="16"/>
      <c r="C246" s="16"/>
      <c r="D246" s="16"/>
      <c r="E246" s="16"/>
      <c r="F246" s="16"/>
      <c r="G246" s="16"/>
      <c r="H246" s="16"/>
      <c r="I246" s="16"/>
      <c r="J246" s="16"/>
      <c r="K246" s="16"/>
      <c r="L246" s="16"/>
      <c r="M246" s="25"/>
      <c r="N246" s="25"/>
      <c r="O246" s="16"/>
      <c r="P246" s="1"/>
      <c r="Q246" s="1"/>
      <c r="R246" s="1"/>
      <c r="S246" s="1"/>
      <c r="T246" s="1"/>
      <c r="U246" s="33"/>
      <c r="V246" s="16"/>
      <c r="W246" s="1"/>
      <c r="X246" s="1"/>
    </row>
    <row r="247" spans="1:24">
      <c r="A247" s="15"/>
      <c r="B247" s="16"/>
      <c r="C247" s="16"/>
      <c r="D247" s="16"/>
      <c r="E247" s="16"/>
      <c r="F247" s="16"/>
      <c r="G247" s="16"/>
      <c r="H247" s="16"/>
      <c r="I247" s="16"/>
      <c r="J247" s="16"/>
      <c r="K247" s="16"/>
      <c r="L247" s="16"/>
      <c r="M247" s="25"/>
      <c r="N247" s="25"/>
      <c r="O247" s="16"/>
      <c r="P247" s="1"/>
      <c r="Q247" s="1"/>
      <c r="R247" s="1"/>
      <c r="S247" s="1"/>
      <c r="T247" s="1"/>
      <c r="U247" s="33"/>
      <c r="V247" s="16"/>
      <c r="W247" s="1"/>
      <c r="X247" s="1"/>
    </row>
    <row r="248" spans="1:24">
      <c r="A248" s="15"/>
      <c r="B248" s="16"/>
      <c r="C248" s="16"/>
      <c r="D248" s="16"/>
      <c r="E248" s="16"/>
      <c r="F248" s="16"/>
      <c r="G248" s="16"/>
      <c r="H248" s="16"/>
      <c r="I248" s="16"/>
      <c r="J248" s="16"/>
      <c r="K248" s="16"/>
      <c r="L248" s="16"/>
      <c r="M248" s="25"/>
      <c r="N248" s="25"/>
      <c r="O248" s="16"/>
      <c r="P248" s="1"/>
      <c r="Q248" s="1"/>
      <c r="R248" s="1"/>
      <c r="S248" s="1"/>
      <c r="T248" s="1"/>
      <c r="U248" s="33"/>
      <c r="V248" s="16"/>
      <c r="W248" s="1"/>
      <c r="X248" s="1"/>
    </row>
    <row r="249" spans="1:24">
      <c r="A249" s="15"/>
      <c r="B249" s="16"/>
      <c r="C249" s="16"/>
      <c r="D249" s="16"/>
      <c r="E249" s="16"/>
      <c r="F249" s="16"/>
      <c r="G249" s="16"/>
      <c r="H249" s="16"/>
      <c r="I249" s="16"/>
      <c r="J249" s="16"/>
      <c r="K249" s="16"/>
      <c r="L249" s="16"/>
      <c r="M249" s="25"/>
      <c r="N249" s="25"/>
      <c r="O249" s="16"/>
      <c r="P249" s="1"/>
      <c r="Q249" s="1"/>
      <c r="R249" s="1"/>
      <c r="S249" s="1"/>
      <c r="T249" s="1"/>
      <c r="U249" s="33"/>
      <c r="V249" s="16"/>
      <c r="W249" s="1"/>
      <c r="X249" s="1"/>
    </row>
    <row r="250" spans="1:24">
      <c r="A250" s="15"/>
      <c r="B250" s="16"/>
      <c r="C250" s="16"/>
      <c r="D250" s="16"/>
      <c r="E250" s="16"/>
      <c r="F250" s="16"/>
      <c r="G250" s="16"/>
      <c r="H250" s="16"/>
      <c r="I250" s="16"/>
      <c r="J250" s="16"/>
      <c r="K250" s="16"/>
      <c r="L250" s="16"/>
      <c r="M250" s="25"/>
      <c r="N250" s="25"/>
      <c r="O250" s="16"/>
      <c r="P250" s="1"/>
      <c r="Q250" s="1"/>
      <c r="R250" s="1"/>
      <c r="S250" s="1"/>
      <c r="T250" s="1"/>
      <c r="U250" s="33"/>
      <c r="V250" s="16"/>
      <c r="W250" s="1"/>
      <c r="X250" s="1"/>
    </row>
    <row r="251" spans="1:24">
      <c r="A251" s="15"/>
      <c r="B251" s="16"/>
      <c r="C251" s="16"/>
      <c r="D251" s="16"/>
      <c r="E251" s="16"/>
      <c r="F251" s="16"/>
      <c r="G251" s="16"/>
      <c r="H251" s="16"/>
      <c r="I251" s="16"/>
      <c r="J251" s="16"/>
      <c r="K251" s="16"/>
      <c r="L251" s="16"/>
      <c r="M251" s="25"/>
      <c r="N251" s="25"/>
      <c r="O251" s="16"/>
      <c r="P251" s="1"/>
      <c r="Q251" s="1"/>
      <c r="R251" s="1"/>
      <c r="S251" s="1"/>
      <c r="T251" s="1"/>
      <c r="U251" s="33"/>
      <c r="V251" s="16"/>
      <c r="W251" s="1"/>
      <c r="X251" s="1"/>
    </row>
    <row r="252" spans="1:24">
      <c r="A252" s="15"/>
      <c r="B252" s="16"/>
      <c r="C252" s="16"/>
      <c r="D252" s="16"/>
      <c r="E252" s="16"/>
      <c r="F252" s="16"/>
      <c r="G252" s="16"/>
      <c r="H252" s="16"/>
      <c r="I252" s="16"/>
      <c r="J252" s="16"/>
      <c r="K252" s="16"/>
      <c r="L252" s="16"/>
      <c r="M252" s="25"/>
      <c r="N252" s="25"/>
      <c r="O252" s="16"/>
      <c r="P252" s="1"/>
      <c r="Q252" s="1"/>
      <c r="R252" s="1"/>
      <c r="S252" s="1"/>
      <c r="T252" s="1"/>
      <c r="U252" s="33"/>
      <c r="V252" s="16"/>
      <c r="W252" s="1"/>
      <c r="X252" s="1"/>
    </row>
    <row r="253" spans="1:24">
      <c r="A253" s="15"/>
      <c r="B253" s="16"/>
      <c r="C253" s="16"/>
      <c r="D253" s="16"/>
      <c r="E253" s="16"/>
      <c r="F253" s="16"/>
      <c r="G253" s="16"/>
      <c r="H253" s="16"/>
      <c r="I253" s="16"/>
      <c r="J253" s="16"/>
      <c r="K253" s="16"/>
      <c r="L253" s="16"/>
      <c r="M253" s="25"/>
      <c r="N253" s="25"/>
      <c r="O253" s="16"/>
      <c r="P253" s="1"/>
      <c r="Q253" s="1"/>
      <c r="R253" s="1"/>
      <c r="S253" s="1"/>
      <c r="T253" s="1"/>
      <c r="U253" s="33"/>
      <c r="V253" s="16"/>
      <c r="W253" s="1"/>
      <c r="X253" s="1"/>
    </row>
    <row r="254" spans="1:24">
      <c r="A254" s="15"/>
      <c r="B254" s="16"/>
      <c r="C254" s="16"/>
      <c r="D254" s="16"/>
      <c r="E254" s="16"/>
      <c r="F254" s="16"/>
      <c r="G254" s="16"/>
      <c r="H254" s="16"/>
      <c r="I254" s="16"/>
      <c r="J254" s="16"/>
      <c r="K254" s="16"/>
      <c r="L254" s="16"/>
      <c r="M254" s="25"/>
      <c r="N254" s="25"/>
      <c r="O254" s="16"/>
      <c r="P254" s="1"/>
      <c r="Q254" s="1"/>
      <c r="R254" s="1"/>
      <c r="S254" s="1"/>
      <c r="T254" s="1"/>
      <c r="U254" s="33"/>
      <c r="V254" s="16"/>
      <c r="W254" s="1"/>
      <c r="X254" s="1"/>
    </row>
    <row r="255" spans="1:24">
      <c r="A255" s="15"/>
      <c r="B255" s="16"/>
      <c r="C255" s="16"/>
      <c r="D255" s="16"/>
      <c r="E255" s="16"/>
      <c r="F255" s="16"/>
      <c r="G255" s="16"/>
      <c r="H255" s="16"/>
      <c r="I255" s="16"/>
      <c r="J255" s="16"/>
      <c r="K255" s="16"/>
      <c r="L255" s="16"/>
      <c r="M255" s="25"/>
      <c r="N255" s="25"/>
      <c r="O255" s="16"/>
      <c r="P255" s="1"/>
      <c r="Q255" s="1"/>
      <c r="R255" s="1"/>
      <c r="S255" s="1"/>
      <c r="T255" s="1"/>
      <c r="U255" s="33"/>
      <c r="V255" s="16"/>
      <c r="W255" s="1"/>
      <c r="X255" s="1"/>
    </row>
    <row r="256" spans="1:24">
      <c r="A256" s="15"/>
      <c r="B256" s="16"/>
      <c r="C256" s="16"/>
      <c r="D256" s="16"/>
      <c r="E256" s="16"/>
      <c r="F256" s="16"/>
      <c r="G256" s="16"/>
      <c r="H256" s="16"/>
      <c r="I256" s="16"/>
      <c r="J256" s="16"/>
      <c r="K256" s="16"/>
      <c r="L256" s="16"/>
      <c r="M256" s="25"/>
      <c r="N256" s="25"/>
      <c r="O256" s="16"/>
      <c r="P256" s="1"/>
      <c r="Q256" s="1"/>
      <c r="R256" s="1"/>
      <c r="S256" s="1"/>
      <c r="T256" s="1"/>
      <c r="U256" s="33"/>
      <c r="V256" s="16"/>
      <c r="W256" s="1"/>
      <c r="X256" s="1"/>
    </row>
    <row r="257" spans="1:24">
      <c r="A257" s="15"/>
      <c r="B257" s="16"/>
      <c r="C257" s="16"/>
      <c r="D257" s="16"/>
      <c r="E257" s="16"/>
      <c r="F257" s="16"/>
      <c r="G257" s="16"/>
      <c r="H257" s="16"/>
      <c r="I257" s="16"/>
      <c r="J257" s="16"/>
      <c r="K257" s="16"/>
      <c r="L257" s="16"/>
      <c r="M257" s="25"/>
      <c r="N257" s="25"/>
      <c r="O257" s="16"/>
      <c r="P257" s="1"/>
      <c r="Q257" s="1"/>
      <c r="R257" s="1"/>
      <c r="S257" s="1"/>
      <c r="T257" s="1"/>
      <c r="U257" s="33"/>
      <c r="V257" s="16"/>
      <c r="W257" s="1"/>
      <c r="X257" s="1"/>
    </row>
    <row r="258" spans="1:24">
      <c r="A258" s="15"/>
      <c r="B258" s="16"/>
      <c r="C258" s="16"/>
      <c r="D258" s="16"/>
      <c r="E258" s="16"/>
      <c r="F258" s="16"/>
      <c r="G258" s="16"/>
      <c r="H258" s="16"/>
      <c r="I258" s="16"/>
      <c r="J258" s="16"/>
      <c r="K258" s="16"/>
      <c r="L258" s="16"/>
      <c r="M258" s="25"/>
      <c r="N258" s="25"/>
      <c r="O258" s="16"/>
      <c r="P258" s="1"/>
      <c r="Q258" s="1"/>
      <c r="R258" s="1"/>
      <c r="S258" s="1"/>
      <c r="T258" s="1"/>
      <c r="U258" s="33"/>
      <c r="V258" s="16"/>
      <c r="W258" s="1"/>
      <c r="X258" s="1"/>
    </row>
    <row r="259" spans="1:24">
      <c r="A259" s="15"/>
      <c r="B259" s="16"/>
      <c r="C259" s="16"/>
      <c r="D259" s="16"/>
      <c r="E259" s="16"/>
      <c r="F259" s="16"/>
      <c r="G259" s="16"/>
      <c r="H259" s="16"/>
      <c r="I259" s="16"/>
      <c r="J259" s="16"/>
      <c r="K259" s="16"/>
      <c r="L259" s="16"/>
      <c r="M259" s="25"/>
      <c r="N259" s="25"/>
      <c r="O259" s="16"/>
      <c r="P259" s="1"/>
      <c r="Q259" s="1"/>
      <c r="R259" s="1"/>
      <c r="S259" s="1"/>
      <c r="T259" s="1"/>
      <c r="U259" s="33"/>
      <c r="V259" s="16"/>
      <c r="W259" s="1"/>
      <c r="X259" s="1"/>
    </row>
    <row r="260" spans="1:24">
      <c r="A260" s="15"/>
      <c r="B260" s="16"/>
      <c r="C260" s="16"/>
      <c r="D260" s="16"/>
      <c r="E260" s="16"/>
      <c r="F260" s="16"/>
      <c r="G260" s="16"/>
      <c r="H260" s="16"/>
      <c r="I260" s="16"/>
      <c r="J260" s="16"/>
      <c r="K260" s="16"/>
      <c r="L260" s="16"/>
      <c r="M260" s="25"/>
      <c r="N260" s="25"/>
      <c r="O260" s="16"/>
      <c r="P260" s="1"/>
      <c r="Q260" s="1"/>
      <c r="R260" s="1"/>
      <c r="S260" s="1"/>
      <c r="T260" s="1"/>
      <c r="U260" s="33"/>
      <c r="V260" s="16"/>
      <c r="W260" s="1"/>
      <c r="X260" s="1"/>
    </row>
    <row r="261" spans="1:24">
      <c r="A261" s="15"/>
      <c r="B261" s="16"/>
      <c r="C261" s="16"/>
      <c r="D261" s="16"/>
      <c r="E261" s="16"/>
      <c r="F261" s="16"/>
      <c r="G261" s="16"/>
      <c r="H261" s="16"/>
      <c r="I261" s="16"/>
      <c r="J261" s="16"/>
      <c r="K261" s="16"/>
      <c r="L261" s="16"/>
      <c r="M261" s="25"/>
      <c r="N261" s="25"/>
      <c r="O261" s="16"/>
      <c r="P261" s="1"/>
      <c r="Q261" s="1"/>
      <c r="R261" s="1"/>
      <c r="S261" s="1"/>
      <c r="T261" s="1"/>
      <c r="U261" s="33"/>
      <c r="V261" s="16"/>
      <c r="W261" s="1"/>
      <c r="X261" s="1"/>
    </row>
    <row r="262" spans="1:24">
      <c r="A262" s="15"/>
      <c r="B262" s="16"/>
      <c r="C262" s="16"/>
      <c r="D262" s="16"/>
      <c r="E262" s="16"/>
      <c r="F262" s="16"/>
      <c r="G262" s="16"/>
      <c r="H262" s="16"/>
      <c r="I262" s="16"/>
      <c r="J262" s="16"/>
      <c r="K262" s="16"/>
      <c r="L262" s="16"/>
      <c r="M262" s="25"/>
      <c r="N262" s="25"/>
      <c r="O262" s="16"/>
      <c r="P262" s="1"/>
      <c r="Q262" s="1"/>
      <c r="R262" s="1"/>
      <c r="S262" s="1"/>
      <c r="T262" s="1"/>
      <c r="U262" s="33"/>
      <c r="V262" s="16"/>
      <c r="W262" s="1"/>
      <c r="X262" s="1"/>
    </row>
    <row r="263" spans="1:24">
      <c r="A263" s="15"/>
      <c r="B263" s="16"/>
      <c r="C263" s="16"/>
      <c r="D263" s="16"/>
      <c r="E263" s="16"/>
      <c r="F263" s="16"/>
      <c r="G263" s="16"/>
      <c r="H263" s="16"/>
      <c r="I263" s="16"/>
      <c r="J263" s="16"/>
      <c r="K263" s="16"/>
      <c r="L263" s="16"/>
      <c r="M263" s="25"/>
      <c r="N263" s="25"/>
      <c r="O263" s="16"/>
      <c r="P263" s="1"/>
      <c r="Q263" s="1"/>
      <c r="R263" s="1"/>
      <c r="S263" s="1"/>
      <c r="T263" s="1"/>
      <c r="U263" s="33"/>
      <c r="V263" s="16"/>
      <c r="W263" s="1"/>
      <c r="X263" s="1"/>
    </row>
    <row r="264" spans="1:24">
      <c r="A264" s="15"/>
      <c r="B264" s="16"/>
      <c r="C264" s="16"/>
      <c r="D264" s="16"/>
      <c r="E264" s="16"/>
      <c r="F264" s="16"/>
      <c r="G264" s="16"/>
      <c r="H264" s="16"/>
      <c r="I264" s="16"/>
      <c r="J264" s="16"/>
      <c r="K264" s="16"/>
      <c r="L264" s="16"/>
      <c r="M264" s="25"/>
      <c r="N264" s="25"/>
      <c r="O264" s="16"/>
      <c r="P264" s="1"/>
      <c r="Q264" s="1"/>
      <c r="R264" s="1"/>
      <c r="S264" s="1"/>
      <c r="T264" s="1"/>
      <c r="U264" s="33"/>
      <c r="V264" s="16"/>
      <c r="W264" s="1"/>
      <c r="X264" s="1"/>
    </row>
    <row r="265" spans="1:24">
      <c r="A265" s="15"/>
      <c r="B265" s="16"/>
      <c r="C265" s="16"/>
      <c r="D265" s="16"/>
      <c r="E265" s="16"/>
      <c r="F265" s="16"/>
      <c r="G265" s="16"/>
      <c r="H265" s="16"/>
      <c r="I265" s="16"/>
      <c r="J265" s="16"/>
      <c r="K265" s="16"/>
      <c r="L265" s="16"/>
      <c r="M265" s="25"/>
      <c r="N265" s="25"/>
      <c r="O265" s="16"/>
      <c r="P265" s="1"/>
      <c r="Q265" s="1"/>
      <c r="R265" s="1"/>
      <c r="S265" s="1"/>
      <c r="T265" s="1"/>
      <c r="U265" s="33"/>
      <c r="V265" s="16"/>
      <c r="W265" s="1"/>
      <c r="X265" s="1"/>
    </row>
    <row r="266" spans="1:24">
      <c r="A266" s="15"/>
      <c r="B266" s="16"/>
      <c r="C266" s="16"/>
      <c r="D266" s="16"/>
      <c r="E266" s="16"/>
      <c r="F266" s="16"/>
      <c r="G266" s="16"/>
      <c r="H266" s="16"/>
      <c r="I266" s="16"/>
      <c r="J266" s="16"/>
      <c r="K266" s="16"/>
      <c r="L266" s="16"/>
      <c r="M266" s="25"/>
      <c r="N266" s="25"/>
      <c r="O266" s="16"/>
      <c r="P266" s="1"/>
      <c r="Q266" s="1"/>
      <c r="R266" s="1"/>
      <c r="S266" s="1"/>
      <c r="T266" s="1"/>
      <c r="U266" s="33"/>
      <c r="V266" s="16"/>
      <c r="W266" s="1"/>
      <c r="X266" s="1"/>
    </row>
    <row r="267" spans="1:24">
      <c r="A267" s="15"/>
      <c r="B267" s="16"/>
      <c r="C267" s="16"/>
      <c r="D267" s="16"/>
      <c r="E267" s="16"/>
      <c r="F267" s="16"/>
      <c r="G267" s="16"/>
      <c r="H267" s="16"/>
      <c r="I267" s="16"/>
      <c r="J267" s="16"/>
      <c r="K267" s="16"/>
      <c r="L267" s="16"/>
      <c r="M267" s="25"/>
      <c r="N267" s="25"/>
      <c r="O267" s="16"/>
      <c r="P267" s="1"/>
      <c r="Q267" s="1"/>
      <c r="R267" s="1"/>
      <c r="S267" s="1"/>
      <c r="T267" s="1"/>
      <c r="U267" s="33"/>
      <c r="V267" s="16"/>
      <c r="W267" s="1"/>
      <c r="X267" s="1"/>
    </row>
    <row r="268" spans="1:24">
      <c r="A268" s="15"/>
      <c r="B268" s="16"/>
      <c r="C268" s="16"/>
      <c r="D268" s="16"/>
      <c r="E268" s="16"/>
      <c r="F268" s="16"/>
      <c r="G268" s="16"/>
      <c r="H268" s="16"/>
      <c r="I268" s="16"/>
      <c r="J268" s="16"/>
      <c r="K268" s="16"/>
      <c r="L268" s="16"/>
      <c r="M268" s="25"/>
      <c r="N268" s="25"/>
      <c r="O268" s="16"/>
      <c r="P268" s="1"/>
      <c r="Q268" s="1"/>
      <c r="R268" s="1"/>
      <c r="S268" s="1"/>
      <c r="T268" s="1"/>
      <c r="U268" s="33"/>
      <c r="V268" s="16"/>
      <c r="W268" s="1"/>
      <c r="X268" s="1"/>
    </row>
    <row r="269" spans="1:24">
      <c r="A269" s="15"/>
      <c r="B269" s="16"/>
      <c r="C269" s="16"/>
      <c r="D269" s="16"/>
      <c r="E269" s="16"/>
      <c r="F269" s="16"/>
      <c r="G269" s="16"/>
      <c r="H269" s="16"/>
      <c r="I269" s="16"/>
      <c r="J269" s="16"/>
      <c r="K269" s="16"/>
      <c r="L269" s="16"/>
      <c r="M269" s="25"/>
      <c r="N269" s="25"/>
      <c r="O269" s="16"/>
      <c r="P269" s="1"/>
      <c r="Q269" s="1"/>
      <c r="R269" s="1"/>
      <c r="S269" s="1"/>
      <c r="T269" s="1"/>
      <c r="U269" s="33"/>
      <c r="V269" s="16"/>
      <c r="W269" s="1"/>
      <c r="X269" s="1"/>
    </row>
    <row r="270" spans="1:24">
      <c r="A270" s="15"/>
      <c r="B270" s="16"/>
      <c r="C270" s="16"/>
      <c r="D270" s="16"/>
      <c r="E270" s="16"/>
      <c r="F270" s="16"/>
      <c r="G270" s="16"/>
      <c r="H270" s="16"/>
      <c r="I270" s="16"/>
      <c r="J270" s="16"/>
      <c r="K270" s="16"/>
      <c r="L270" s="16"/>
      <c r="M270" s="25"/>
      <c r="N270" s="25"/>
      <c r="O270" s="16"/>
      <c r="P270" s="1"/>
      <c r="Q270" s="1"/>
      <c r="R270" s="1"/>
      <c r="S270" s="1"/>
      <c r="T270" s="1"/>
      <c r="U270" s="33"/>
      <c r="V270" s="16"/>
      <c r="W270" s="1"/>
      <c r="X270" s="1"/>
    </row>
    <row r="271" spans="1:24">
      <c r="A271" s="15"/>
      <c r="B271" s="16"/>
      <c r="C271" s="16"/>
      <c r="D271" s="16"/>
      <c r="E271" s="16"/>
      <c r="F271" s="16"/>
      <c r="G271" s="16"/>
      <c r="H271" s="16"/>
      <c r="I271" s="16"/>
      <c r="J271" s="16"/>
      <c r="K271" s="16"/>
      <c r="L271" s="16"/>
      <c r="M271" s="25"/>
      <c r="N271" s="25"/>
      <c r="O271" s="16"/>
      <c r="P271" s="1"/>
      <c r="Q271" s="1"/>
      <c r="R271" s="1"/>
      <c r="S271" s="1"/>
      <c r="T271" s="1"/>
      <c r="U271" s="33"/>
      <c r="V271" s="16"/>
      <c r="W271" s="1"/>
      <c r="X271" s="1"/>
    </row>
    <row r="272" spans="1:24">
      <c r="A272" s="15"/>
      <c r="B272" s="16"/>
      <c r="C272" s="16"/>
      <c r="D272" s="16"/>
      <c r="E272" s="16"/>
      <c r="F272" s="16"/>
      <c r="G272" s="16"/>
      <c r="H272" s="16"/>
      <c r="I272" s="16"/>
      <c r="J272" s="16"/>
      <c r="K272" s="16"/>
      <c r="L272" s="16"/>
      <c r="M272" s="25"/>
      <c r="N272" s="25"/>
      <c r="O272" s="16"/>
      <c r="P272" s="1"/>
      <c r="Q272" s="1"/>
      <c r="R272" s="1"/>
      <c r="S272" s="1"/>
      <c r="T272" s="1"/>
      <c r="U272" s="33"/>
      <c r="V272" s="16"/>
      <c r="W272" s="1"/>
      <c r="X272" s="1"/>
    </row>
    <row r="273" spans="1:24">
      <c r="A273" s="15"/>
      <c r="B273" s="16"/>
      <c r="C273" s="16"/>
      <c r="D273" s="16"/>
      <c r="E273" s="16"/>
      <c r="F273" s="16"/>
      <c r="G273" s="16"/>
      <c r="H273" s="16"/>
      <c r="I273" s="16"/>
      <c r="J273" s="16"/>
      <c r="K273" s="16"/>
      <c r="L273" s="16"/>
      <c r="M273" s="25"/>
      <c r="N273" s="25"/>
      <c r="O273" s="16"/>
      <c r="P273" s="1"/>
      <c r="Q273" s="1"/>
      <c r="R273" s="1"/>
      <c r="S273" s="1"/>
      <c r="T273" s="1"/>
      <c r="U273" s="33"/>
      <c r="V273" s="16"/>
      <c r="W273" s="1"/>
      <c r="X273" s="1"/>
    </row>
    <row r="274" spans="1:24">
      <c r="A274" s="15"/>
      <c r="B274" s="16"/>
      <c r="C274" s="16"/>
      <c r="D274" s="16"/>
      <c r="E274" s="16"/>
      <c r="F274" s="16"/>
      <c r="G274" s="16"/>
      <c r="H274" s="16"/>
      <c r="I274" s="16"/>
      <c r="J274" s="16"/>
      <c r="K274" s="16"/>
      <c r="L274" s="16"/>
      <c r="M274" s="25"/>
      <c r="N274" s="25"/>
      <c r="O274" s="16"/>
      <c r="P274" s="1"/>
      <c r="Q274" s="1"/>
      <c r="R274" s="1"/>
      <c r="S274" s="1"/>
      <c r="T274" s="1"/>
      <c r="U274" s="33"/>
      <c r="V274" s="16"/>
      <c r="W274" s="1"/>
      <c r="X274" s="1"/>
    </row>
    <row r="275" spans="1:24">
      <c r="A275" s="15"/>
      <c r="B275" s="16"/>
      <c r="C275" s="16"/>
      <c r="D275" s="16"/>
      <c r="E275" s="16"/>
      <c r="F275" s="16"/>
      <c r="G275" s="16"/>
      <c r="H275" s="16"/>
      <c r="I275" s="16"/>
      <c r="J275" s="16"/>
      <c r="K275" s="16"/>
      <c r="L275" s="16"/>
      <c r="M275" s="25"/>
      <c r="N275" s="25"/>
      <c r="O275" s="16"/>
      <c r="P275" s="1"/>
      <c r="Q275" s="1"/>
      <c r="R275" s="1"/>
      <c r="S275" s="1"/>
      <c r="T275" s="1"/>
      <c r="U275" s="33"/>
      <c r="V275" s="16"/>
      <c r="W275" s="1"/>
      <c r="X275" s="1"/>
    </row>
    <row r="276" spans="1:24">
      <c r="A276" s="15"/>
      <c r="B276" s="16"/>
      <c r="C276" s="16"/>
      <c r="D276" s="16"/>
      <c r="E276" s="16"/>
      <c r="F276" s="16"/>
      <c r="G276" s="16"/>
      <c r="H276" s="16"/>
      <c r="I276" s="16"/>
      <c r="J276" s="16"/>
      <c r="K276" s="16"/>
      <c r="L276" s="16"/>
      <c r="M276" s="25"/>
      <c r="N276" s="25"/>
      <c r="O276" s="16"/>
      <c r="P276" s="1"/>
      <c r="Q276" s="1"/>
      <c r="R276" s="1"/>
      <c r="S276" s="1"/>
      <c r="T276" s="1"/>
      <c r="U276" s="33"/>
      <c r="V276" s="16"/>
      <c r="W276" s="1"/>
      <c r="X276" s="1"/>
    </row>
    <row r="277" spans="1:24">
      <c r="A277" s="15"/>
      <c r="B277" s="16"/>
      <c r="C277" s="16"/>
      <c r="D277" s="16"/>
      <c r="E277" s="16"/>
      <c r="F277" s="16"/>
      <c r="G277" s="16"/>
      <c r="H277" s="16"/>
      <c r="I277" s="16"/>
      <c r="J277" s="16"/>
      <c r="K277" s="16"/>
      <c r="L277" s="16"/>
      <c r="M277" s="25"/>
      <c r="N277" s="25"/>
      <c r="O277" s="16"/>
      <c r="P277" s="1"/>
      <c r="Q277" s="1"/>
      <c r="R277" s="1"/>
      <c r="S277" s="1"/>
      <c r="T277" s="1"/>
      <c r="U277" s="33"/>
      <c r="V277" s="16"/>
      <c r="W277" s="1"/>
      <c r="X277" s="1"/>
    </row>
    <row r="278" spans="1:24">
      <c r="A278" s="15"/>
      <c r="B278" s="16"/>
      <c r="C278" s="16"/>
      <c r="D278" s="16"/>
      <c r="E278" s="16"/>
      <c r="F278" s="16"/>
      <c r="G278" s="16"/>
      <c r="H278" s="16"/>
      <c r="I278" s="16"/>
      <c r="J278" s="16"/>
      <c r="K278" s="16"/>
      <c r="L278" s="16"/>
      <c r="M278" s="25"/>
      <c r="N278" s="25"/>
      <c r="O278" s="16"/>
      <c r="P278" s="1"/>
      <c r="Q278" s="1"/>
      <c r="R278" s="1"/>
      <c r="S278" s="1"/>
      <c r="T278" s="1"/>
      <c r="U278" s="33"/>
      <c r="V278" s="16"/>
      <c r="W278" s="1"/>
      <c r="X278" s="1"/>
    </row>
    <row r="279" spans="1:24">
      <c r="A279" s="15"/>
      <c r="B279" s="16"/>
      <c r="C279" s="16"/>
      <c r="D279" s="16"/>
      <c r="E279" s="16"/>
      <c r="F279" s="16"/>
      <c r="G279" s="16"/>
      <c r="H279" s="16"/>
      <c r="I279" s="16"/>
      <c r="J279" s="16"/>
      <c r="K279" s="16"/>
      <c r="L279" s="16"/>
      <c r="M279" s="25"/>
      <c r="N279" s="25"/>
      <c r="O279" s="16"/>
      <c r="P279" s="1"/>
      <c r="Q279" s="1"/>
      <c r="R279" s="1"/>
      <c r="S279" s="1"/>
      <c r="T279" s="1"/>
      <c r="U279" s="33"/>
      <c r="V279" s="16"/>
      <c r="W279" s="1"/>
      <c r="X279" s="1"/>
    </row>
    <row r="280" spans="1:24">
      <c r="A280" s="15"/>
      <c r="B280" s="16"/>
      <c r="C280" s="16"/>
      <c r="D280" s="16"/>
      <c r="E280" s="16"/>
      <c r="F280" s="16"/>
      <c r="G280" s="16"/>
      <c r="H280" s="16"/>
      <c r="I280" s="16"/>
      <c r="J280" s="16"/>
      <c r="K280" s="16"/>
      <c r="L280" s="16"/>
      <c r="M280" s="25"/>
      <c r="N280" s="25"/>
      <c r="O280" s="16"/>
      <c r="P280" s="1"/>
      <c r="Q280" s="1"/>
      <c r="R280" s="1"/>
      <c r="S280" s="1"/>
      <c r="T280" s="1"/>
      <c r="U280" s="33"/>
      <c r="V280" s="16"/>
      <c r="W280" s="1"/>
      <c r="X280" s="1"/>
    </row>
    <row r="281" spans="1:24">
      <c r="A281" s="15"/>
      <c r="B281" s="16"/>
      <c r="C281" s="16"/>
      <c r="D281" s="16"/>
      <c r="E281" s="16"/>
      <c r="F281" s="16"/>
      <c r="G281" s="16"/>
      <c r="H281" s="16"/>
      <c r="I281" s="16"/>
      <c r="J281" s="16"/>
      <c r="K281" s="16"/>
      <c r="L281" s="16"/>
      <c r="M281" s="25"/>
      <c r="N281" s="25"/>
      <c r="O281" s="16"/>
      <c r="P281" s="1"/>
      <c r="Q281" s="1"/>
      <c r="R281" s="1"/>
      <c r="S281" s="1"/>
      <c r="T281" s="1"/>
      <c r="U281" s="33"/>
      <c r="V281" s="16"/>
      <c r="W281" s="1"/>
      <c r="X281" s="1"/>
    </row>
    <row r="282" spans="1:24">
      <c r="A282" s="15"/>
      <c r="B282" s="16"/>
      <c r="C282" s="16"/>
      <c r="D282" s="16"/>
      <c r="E282" s="16"/>
      <c r="F282" s="16"/>
      <c r="G282" s="16"/>
      <c r="H282" s="16"/>
      <c r="I282" s="16"/>
      <c r="J282" s="16"/>
      <c r="K282" s="16"/>
      <c r="L282" s="16"/>
      <c r="M282" s="25"/>
      <c r="N282" s="25"/>
      <c r="O282" s="16"/>
      <c r="P282" s="1"/>
      <c r="Q282" s="1"/>
      <c r="R282" s="1"/>
      <c r="S282" s="1"/>
      <c r="T282" s="1"/>
      <c r="U282" s="33"/>
      <c r="V282" s="16"/>
      <c r="W282" s="1"/>
      <c r="X282" s="1"/>
    </row>
    <row r="283" spans="1:24">
      <c r="A283" s="15"/>
      <c r="B283" s="16"/>
      <c r="C283" s="16"/>
      <c r="D283" s="16"/>
      <c r="E283" s="16"/>
      <c r="F283" s="16"/>
      <c r="G283" s="16"/>
      <c r="H283" s="16"/>
      <c r="I283" s="16"/>
      <c r="J283" s="16"/>
      <c r="K283" s="16"/>
      <c r="L283" s="16"/>
      <c r="M283" s="25"/>
      <c r="N283" s="25"/>
      <c r="O283" s="16"/>
      <c r="P283" s="1"/>
      <c r="Q283" s="1"/>
      <c r="R283" s="1"/>
      <c r="S283" s="1"/>
      <c r="T283" s="1"/>
      <c r="U283" s="33"/>
      <c r="V283" s="16"/>
      <c r="W283" s="1"/>
      <c r="X283" s="1"/>
    </row>
    <row r="284" spans="1:24">
      <c r="A284" s="15"/>
      <c r="B284" s="16"/>
      <c r="C284" s="16"/>
      <c r="D284" s="16"/>
      <c r="E284" s="16"/>
      <c r="F284" s="16"/>
      <c r="G284" s="16"/>
      <c r="H284" s="16"/>
      <c r="I284" s="16"/>
      <c r="J284" s="16"/>
      <c r="K284" s="16"/>
      <c r="L284" s="16"/>
      <c r="M284" s="25"/>
      <c r="N284" s="25"/>
      <c r="O284" s="16"/>
      <c r="P284" s="1"/>
      <c r="Q284" s="1"/>
      <c r="R284" s="1"/>
      <c r="S284" s="1"/>
      <c r="T284" s="1"/>
      <c r="U284" s="33"/>
      <c r="V284" s="16"/>
      <c r="W284" s="1"/>
      <c r="X284" s="1"/>
    </row>
    <row r="285" spans="1:24">
      <c r="A285" s="15"/>
      <c r="B285" s="16"/>
      <c r="C285" s="16"/>
      <c r="D285" s="16"/>
      <c r="E285" s="16"/>
      <c r="F285" s="16"/>
      <c r="G285" s="16"/>
      <c r="H285" s="16"/>
      <c r="I285" s="16"/>
      <c r="J285" s="16"/>
      <c r="K285" s="16"/>
      <c r="L285" s="16"/>
      <c r="M285" s="25"/>
      <c r="N285" s="25"/>
      <c r="O285" s="16"/>
      <c r="P285" s="1"/>
      <c r="Q285" s="1"/>
      <c r="R285" s="1"/>
      <c r="S285" s="1"/>
      <c r="T285" s="1"/>
      <c r="U285" s="33"/>
      <c r="V285" s="16"/>
      <c r="W285" s="1"/>
      <c r="X285" s="1"/>
    </row>
    <row r="286" spans="1:24">
      <c r="A286" s="15"/>
      <c r="B286" s="16"/>
      <c r="C286" s="16"/>
      <c r="D286" s="16"/>
      <c r="E286" s="16"/>
      <c r="F286" s="16"/>
      <c r="G286" s="16"/>
      <c r="H286" s="16"/>
      <c r="I286" s="16"/>
      <c r="J286" s="16"/>
      <c r="K286" s="16"/>
      <c r="L286" s="16"/>
      <c r="M286" s="25"/>
      <c r="N286" s="25"/>
      <c r="O286" s="16"/>
      <c r="P286" s="1"/>
      <c r="Q286" s="1"/>
      <c r="R286" s="1"/>
      <c r="S286" s="1"/>
      <c r="T286" s="1"/>
      <c r="U286" s="33"/>
      <c r="V286" s="16"/>
      <c r="W286" s="1"/>
      <c r="X286" s="1"/>
    </row>
    <row r="287" spans="1:24">
      <c r="A287" s="15"/>
      <c r="B287" s="16"/>
      <c r="C287" s="16"/>
      <c r="D287" s="16"/>
      <c r="E287" s="16"/>
      <c r="F287" s="16"/>
      <c r="G287" s="16"/>
      <c r="H287" s="16"/>
      <c r="I287" s="16"/>
      <c r="J287" s="16"/>
      <c r="K287" s="16"/>
      <c r="L287" s="16"/>
      <c r="M287" s="25"/>
      <c r="N287" s="25"/>
      <c r="O287" s="16"/>
      <c r="P287" s="1"/>
      <c r="Q287" s="1"/>
      <c r="R287" s="1"/>
      <c r="S287" s="1"/>
      <c r="T287" s="1"/>
      <c r="U287" s="33"/>
      <c r="V287" s="16"/>
      <c r="W287" s="1"/>
      <c r="X287" s="1"/>
    </row>
    <row r="288" spans="1:24">
      <c r="A288" s="15"/>
      <c r="B288" s="16"/>
      <c r="C288" s="16"/>
      <c r="D288" s="16"/>
      <c r="E288" s="16"/>
      <c r="F288" s="16"/>
      <c r="G288" s="16"/>
      <c r="H288" s="16"/>
      <c r="I288" s="16"/>
      <c r="J288" s="16"/>
      <c r="K288" s="16"/>
      <c r="L288" s="16"/>
      <c r="M288" s="25"/>
      <c r="N288" s="25"/>
      <c r="O288" s="16"/>
      <c r="P288" s="1"/>
      <c r="Q288" s="1"/>
      <c r="R288" s="1"/>
      <c r="S288" s="1"/>
      <c r="T288" s="1"/>
      <c r="U288" s="33"/>
      <c r="V288" s="16"/>
      <c r="W288" s="1"/>
      <c r="X288" s="1"/>
    </row>
    <row r="289" spans="1:24">
      <c r="A289" s="15"/>
      <c r="B289" s="16"/>
      <c r="C289" s="16"/>
      <c r="D289" s="16"/>
      <c r="E289" s="16"/>
      <c r="F289" s="16"/>
      <c r="G289" s="16"/>
      <c r="H289" s="16"/>
      <c r="I289" s="16"/>
      <c r="J289" s="16"/>
      <c r="K289" s="16"/>
      <c r="L289" s="16"/>
      <c r="M289" s="25"/>
      <c r="N289" s="25"/>
      <c r="O289" s="16"/>
      <c r="P289" s="1"/>
      <c r="Q289" s="1"/>
      <c r="R289" s="1"/>
      <c r="S289" s="1"/>
      <c r="T289" s="1"/>
      <c r="U289" s="33"/>
      <c r="V289" s="16"/>
      <c r="W289" s="1"/>
      <c r="X289" s="1"/>
    </row>
    <row r="290" spans="1:24">
      <c r="A290" s="15"/>
      <c r="B290" s="16"/>
      <c r="C290" s="16"/>
      <c r="D290" s="16"/>
      <c r="E290" s="16"/>
      <c r="F290" s="16"/>
      <c r="G290" s="16"/>
      <c r="H290" s="16"/>
      <c r="I290" s="16"/>
      <c r="J290" s="16"/>
      <c r="K290" s="16"/>
      <c r="L290" s="16"/>
      <c r="M290" s="25"/>
      <c r="N290" s="25"/>
      <c r="O290" s="16"/>
      <c r="P290" s="1"/>
      <c r="Q290" s="1"/>
      <c r="R290" s="1"/>
      <c r="S290" s="1"/>
      <c r="T290" s="1"/>
      <c r="U290" s="33"/>
      <c r="V290" s="16"/>
      <c r="W290" s="1"/>
      <c r="X290" s="1"/>
    </row>
    <row r="291" spans="1:24">
      <c r="A291" s="15"/>
      <c r="B291" s="16"/>
      <c r="C291" s="16"/>
      <c r="D291" s="16"/>
      <c r="E291" s="16"/>
      <c r="F291" s="16"/>
      <c r="G291" s="16"/>
      <c r="H291" s="16"/>
      <c r="I291" s="16"/>
      <c r="J291" s="16"/>
      <c r="K291" s="16"/>
      <c r="L291" s="16"/>
      <c r="M291" s="25"/>
      <c r="N291" s="25"/>
      <c r="O291" s="16"/>
      <c r="P291" s="1"/>
      <c r="Q291" s="1"/>
      <c r="R291" s="1"/>
      <c r="S291" s="1"/>
      <c r="T291" s="1"/>
      <c r="U291" s="33"/>
      <c r="V291" s="16"/>
      <c r="W291" s="1"/>
      <c r="X291" s="1"/>
    </row>
    <row r="292" spans="1:24">
      <c r="A292" s="15"/>
      <c r="B292" s="16"/>
      <c r="C292" s="16"/>
      <c r="D292" s="16"/>
      <c r="E292" s="16"/>
      <c r="F292" s="16"/>
      <c r="G292" s="16"/>
      <c r="H292" s="16"/>
      <c r="I292" s="16"/>
      <c r="J292" s="16"/>
      <c r="K292" s="16"/>
      <c r="L292" s="16"/>
      <c r="M292" s="25"/>
      <c r="N292" s="25"/>
      <c r="O292" s="16"/>
      <c r="P292" s="1"/>
      <c r="Q292" s="1"/>
      <c r="R292" s="1"/>
      <c r="S292" s="1"/>
      <c r="T292" s="1"/>
      <c r="U292" s="33"/>
      <c r="V292" s="16"/>
      <c r="W292" s="1"/>
      <c r="X292" s="1"/>
    </row>
    <row r="293" spans="1:24">
      <c r="A293" s="15"/>
      <c r="B293" s="16"/>
      <c r="C293" s="16"/>
      <c r="D293" s="16"/>
      <c r="E293" s="16"/>
      <c r="F293" s="16"/>
      <c r="G293" s="16"/>
      <c r="H293" s="16"/>
      <c r="I293" s="16"/>
      <c r="J293" s="16"/>
      <c r="K293" s="16"/>
      <c r="L293" s="16"/>
      <c r="M293" s="25"/>
      <c r="N293" s="25"/>
      <c r="O293" s="16"/>
      <c r="P293" s="1"/>
      <c r="Q293" s="1"/>
      <c r="R293" s="1"/>
      <c r="S293" s="1"/>
      <c r="T293" s="1"/>
      <c r="U293" s="33"/>
      <c r="V293" s="16"/>
      <c r="W293" s="1"/>
      <c r="X293" s="1"/>
    </row>
    <row r="294" spans="1:24">
      <c r="A294" s="15"/>
      <c r="B294" s="16"/>
      <c r="C294" s="16"/>
      <c r="D294" s="16"/>
      <c r="E294" s="16"/>
      <c r="F294" s="16"/>
      <c r="G294" s="16"/>
      <c r="H294" s="16"/>
      <c r="I294" s="16"/>
      <c r="J294" s="16"/>
      <c r="K294" s="16"/>
      <c r="L294" s="16"/>
      <c r="M294" s="25"/>
      <c r="N294" s="25"/>
      <c r="O294" s="16"/>
      <c r="P294" s="1"/>
      <c r="Q294" s="1"/>
      <c r="R294" s="1"/>
      <c r="S294" s="1"/>
      <c r="T294" s="1"/>
      <c r="U294" s="33"/>
      <c r="V294" s="16"/>
      <c r="W294" s="1"/>
      <c r="X294" s="1"/>
    </row>
    <row r="295" spans="1:24">
      <c r="A295" s="15"/>
      <c r="B295" s="16"/>
      <c r="C295" s="16"/>
      <c r="D295" s="16"/>
      <c r="E295" s="16"/>
      <c r="F295" s="16"/>
      <c r="G295" s="16"/>
      <c r="H295" s="16"/>
      <c r="I295" s="16"/>
      <c r="J295" s="16"/>
      <c r="K295" s="16"/>
      <c r="L295" s="16"/>
      <c r="M295" s="25"/>
      <c r="N295" s="25"/>
      <c r="O295" s="16"/>
      <c r="P295" s="1"/>
      <c r="Q295" s="1"/>
      <c r="R295" s="1"/>
      <c r="S295" s="1"/>
      <c r="T295" s="1"/>
      <c r="U295" s="33"/>
      <c r="V295" s="16"/>
      <c r="W295" s="1"/>
      <c r="X295" s="1"/>
    </row>
    <row r="296" spans="1:24">
      <c r="A296" s="15"/>
      <c r="B296" s="16"/>
      <c r="C296" s="16"/>
      <c r="D296" s="16"/>
      <c r="E296" s="16"/>
      <c r="F296" s="16"/>
      <c r="G296" s="16"/>
      <c r="H296" s="16"/>
      <c r="I296" s="16"/>
      <c r="J296" s="16"/>
      <c r="K296" s="16"/>
      <c r="L296" s="16"/>
      <c r="M296" s="25"/>
      <c r="N296" s="25"/>
      <c r="O296" s="16"/>
      <c r="P296" s="1"/>
      <c r="Q296" s="1"/>
      <c r="R296" s="1"/>
      <c r="S296" s="1"/>
      <c r="T296" s="1"/>
      <c r="U296" s="33"/>
      <c r="V296" s="16"/>
      <c r="W296" s="1"/>
      <c r="X296" s="1"/>
    </row>
    <row r="297" spans="1:24">
      <c r="A297" s="15"/>
      <c r="B297" s="16"/>
      <c r="C297" s="16"/>
      <c r="D297" s="16"/>
      <c r="E297" s="16"/>
      <c r="F297" s="16"/>
      <c r="G297" s="16"/>
      <c r="H297" s="16"/>
      <c r="I297" s="16"/>
      <c r="J297" s="16"/>
      <c r="K297" s="16"/>
      <c r="L297" s="16"/>
      <c r="M297" s="25"/>
      <c r="N297" s="25"/>
      <c r="O297" s="16"/>
      <c r="P297" s="1"/>
      <c r="Q297" s="1"/>
      <c r="R297" s="1"/>
      <c r="S297" s="1"/>
      <c r="T297" s="1"/>
      <c r="U297" s="33"/>
      <c r="V297" s="16"/>
      <c r="W297" s="1"/>
      <c r="X297" s="1"/>
    </row>
    <row r="298" spans="1:24">
      <c r="A298" s="15"/>
      <c r="B298" s="16"/>
      <c r="C298" s="16"/>
      <c r="D298" s="16"/>
      <c r="E298" s="16"/>
      <c r="F298" s="16"/>
      <c r="G298" s="16"/>
      <c r="H298" s="16"/>
      <c r="I298" s="16"/>
      <c r="J298" s="16"/>
      <c r="K298" s="16"/>
      <c r="L298" s="16"/>
      <c r="M298" s="25"/>
      <c r="N298" s="25"/>
      <c r="O298" s="16"/>
      <c r="P298" s="1"/>
      <c r="Q298" s="1"/>
      <c r="R298" s="1"/>
      <c r="S298" s="1"/>
      <c r="T298" s="1"/>
      <c r="U298" s="33"/>
      <c r="V298" s="16"/>
      <c r="W298" s="1"/>
      <c r="X298" s="1"/>
    </row>
    <row r="299" spans="1:24">
      <c r="A299" s="15"/>
      <c r="B299" s="16"/>
      <c r="C299" s="16"/>
      <c r="D299" s="16"/>
      <c r="E299" s="16"/>
      <c r="F299" s="16"/>
      <c r="G299" s="16"/>
      <c r="H299" s="16"/>
      <c r="I299" s="16"/>
      <c r="J299" s="16"/>
      <c r="K299" s="16"/>
      <c r="L299" s="16"/>
      <c r="M299" s="25"/>
      <c r="N299" s="25"/>
      <c r="O299" s="16"/>
      <c r="P299" s="1"/>
      <c r="Q299" s="1"/>
      <c r="R299" s="1"/>
      <c r="S299" s="1"/>
      <c r="T299" s="1"/>
      <c r="U299" s="33"/>
      <c r="V299" s="16"/>
      <c r="W299" s="1"/>
      <c r="X299" s="1"/>
    </row>
    <row r="300" spans="1:24">
      <c r="A300" s="15"/>
      <c r="B300" s="16"/>
      <c r="C300" s="16"/>
      <c r="D300" s="16"/>
      <c r="E300" s="16"/>
      <c r="F300" s="16"/>
      <c r="G300" s="16"/>
      <c r="H300" s="16"/>
      <c r="I300" s="16"/>
      <c r="J300" s="16"/>
      <c r="K300" s="16"/>
      <c r="L300" s="16"/>
      <c r="M300" s="25"/>
      <c r="N300" s="25"/>
      <c r="O300" s="16"/>
      <c r="P300" s="1"/>
      <c r="Q300" s="1"/>
      <c r="R300" s="1"/>
      <c r="S300" s="1"/>
      <c r="T300" s="1"/>
      <c r="U300" s="33"/>
      <c r="V300" s="16"/>
      <c r="W300" s="1"/>
      <c r="X300" s="1"/>
    </row>
    <row r="301" spans="1:24">
      <c r="A301" s="15"/>
      <c r="B301" s="16"/>
      <c r="C301" s="16"/>
      <c r="D301" s="16"/>
      <c r="E301" s="16"/>
      <c r="F301" s="16"/>
      <c r="G301" s="16"/>
      <c r="H301" s="16"/>
      <c r="I301" s="16"/>
      <c r="J301" s="16"/>
      <c r="K301" s="16"/>
      <c r="L301" s="16"/>
      <c r="M301" s="25"/>
      <c r="N301" s="25"/>
      <c r="O301" s="16"/>
      <c r="P301" s="1"/>
      <c r="Q301" s="1"/>
      <c r="R301" s="1"/>
      <c r="S301" s="1"/>
      <c r="T301" s="1"/>
      <c r="U301" s="33"/>
      <c r="V301" s="16"/>
      <c r="W301" s="1"/>
      <c r="X301" s="1"/>
    </row>
    <row r="302" spans="1:24">
      <c r="A302" s="15"/>
      <c r="B302" s="16"/>
      <c r="C302" s="16"/>
      <c r="D302" s="16"/>
      <c r="E302" s="16"/>
      <c r="F302" s="16"/>
      <c r="G302" s="16"/>
      <c r="H302" s="16"/>
      <c r="I302" s="16"/>
      <c r="J302" s="16"/>
      <c r="K302" s="16"/>
      <c r="L302" s="16"/>
      <c r="M302" s="25"/>
      <c r="N302" s="25"/>
      <c r="O302" s="16"/>
      <c r="P302" s="1"/>
      <c r="Q302" s="1"/>
      <c r="R302" s="1"/>
      <c r="S302" s="1"/>
      <c r="T302" s="1"/>
      <c r="U302" s="33"/>
      <c r="V302" s="16"/>
      <c r="W302" s="1"/>
      <c r="X302" s="1"/>
    </row>
    <row r="303" spans="1:24">
      <c r="A303" s="15"/>
      <c r="B303" s="16"/>
      <c r="C303" s="16"/>
      <c r="D303" s="16"/>
      <c r="E303" s="16"/>
      <c r="F303" s="16"/>
      <c r="G303" s="16"/>
      <c r="H303" s="16"/>
      <c r="I303" s="16"/>
      <c r="J303" s="16"/>
      <c r="K303" s="16"/>
      <c r="L303" s="16"/>
      <c r="M303" s="25"/>
      <c r="N303" s="25"/>
      <c r="O303" s="16"/>
      <c r="P303" s="1"/>
      <c r="Q303" s="1"/>
      <c r="R303" s="1"/>
      <c r="S303" s="1"/>
      <c r="T303" s="1"/>
      <c r="U303" s="33"/>
      <c r="V303" s="16"/>
      <c r="W303" s="1"/>
      <c r="X303" s="1"/>
    </row>
    <row r="304" spans="1:24">
      <c r="A304" s="15"/>
      <c r="B304" s="16"/>
      <c r="C304" s="16"/>
      <c r="D304" s="16"/>
      <c r="E304" s="16"/>
      <c r="F304" s="16"/>
      <c r="G304" s="16"/>
      <c r="H304" s="16"/>
      <c r="I304" s="16"/>
      <c r="J304" s="16"/>
      <c r="K304" s="16"/>
      <c r="L304" s="16"/>
      <c r="M304" s="25"/>
      <c r="N304" s="25"/>
      <c r="O304" s="16"/>
      <c r="P304" s="1"/>
      <c r="Q304" s="1"/>
      <c r="R304" s="1"/>
      <c r="S304" s="1"/>
      <c r="T304" s="1"/>
      <c r="U304" s="33"/>
      <c r="V304" s="16"/>
      <c r="W304" s="1"/>
      <c r="X304" s="1"/>
    </row>
    <row r="305" spans="1:24">
      <c r="A305" s="15"/>
      <c r="B305" s="16"/>
      <c r="C305" s="16"/>
      <c r="D305" s="16"/>
      <c r="E305" s="16"/>
      <c r="F305" s="16"/>
      <c r="G305" s="16"/>
      <c r="H305" s="16"/>
      <c r="I305" s="16"/>
      <c r="J305" s="16"/>
      <c r="K305" s="16"/>
      <c r="L305" s="16"/>
      <c r="M305" s="25"/>
      <c r="N305" s="25"/>
      <c r="O305" s="16"/>
      <c r="P305" s="1"/>
      <c r="Q305" s="1"/>
      <c r="R305" s="1"/>
      <c r="S305" s="1"/>
      <c r="T305" s="1"/>
      <c r="U305" s="33"/>
      <c r="V305" s="16"/>
      <c r="W305" s="1"/>
      <c r="X305" s="1"/>
    </row>
    <row r="306" spans="1:24">
      <c r="A306" s="15"/>
      <c r="B306" s="16"/>
      <c r="C306" s="16"/>
      <c r="D306" s="16"/>
      <c r="E306" s="16"/>
      <c r="F306" s="16"/>
      <c r="G306" s="16"/>
      <c r="H306" s="16"/>
      <c r="I306" s="16"/>
      <c r="J306" s="16"/>
      <c r="K306" s="16"/>
      <c r="L306" s="16"/>
      <c r="M306" s="25"/>
      <c r="N306" s="25"/>
      <c r="O306" s="16"/>
      <c r="P306" s="1"/>
      <c r="Q306" s="1"/>
      <c r="R306" s="1"/>
      <c r="S306" s="1"/>
      <c r="T306" s="1"/>
      <c r="U306" s="33"/>
      <c r="V306" s="16"/>
      <c r="W306" s="1"/>
      <c r="X306" s="1"/>
    </row>
    <row r="307" spans="1:24">
      <c r="A307" s="15"/>
      <c r="B307" s="16"/>
      <c r="C307" s="16"/>
      <c r="D307" s="16"/>
      <c r="E307" s="16"/>
      <c r="F307" s="16"/>
      <c r="G307" s="16"/>
      <c r="H307" s="16"/>
      <c r="I307" s="16"/>
      <c r="J307" s="16"/>
      <c r="K307" s="16"/>
      <c r="L307" s="16"/>
      <c r="M307" s="25"/>
      <c r="N307" s="25"/>
      <c r="O307" s="16"/>
      <c r="P307" s="1"/>
      <c r="Q307" s="1"/>
      <c r="R307" s="1"/>
      <c r="S307" s="1"/>
      <c r="T307" s="1"/>
      <c r="U307" s="33"/>
      <c r="V307" s="16"/>
      <c r="W307" s="1"/>
      <c r="X307" s="1"/>
    </row>
    <row r="308" spans="1:24">
      <c r="A308" s="15"/>
      <c r="B308" s="16"/>
      <c r="C308" s="16"/>
      <c r="D308" s="16"/>
      <c r="E308" s="16"/>
      <c r="F308" s="16"/>
      <c r="G308" s="16"/>
      <c r="H308" s="16"/>
      <c r="I308" s="16"/>
      <c r="J308" s="16"/>
      <c r="K308" s="16"/>
      <c r="L308" s="16"/>
      <c r="M308" s="25"/>
      <c r="N308" s="25"/>
      <c r="O308" s="16"/>
      <c r="P308" s="1"/>
      <c r="Q308" s="1"/>
      <c r="R308" s="1"/>
      <c r="S308" s="1"/>
      <c r="T308" s="1"/>
      <c r="U308" s="33"/>
      <c r="V308" s="16"/>
      <c r="W308" s="1"/>
      <c r="X308" s="1"/>
    </row>
    <row r="309" spans="1:24">
      <c r="A309" s="15"/>
      <c r="B309" s="16"/>
      <c r="C309" s="16"/>
      <c r="D309" s="16"/>
      <c r="E309" s="16"/>
      <c r="F309" s="16"/>
      <c r="G309" s="16"/>
      <c r="H309" s="16"/>
      <c r="I309" s="16"/>
      <c r="J309" s="16"/>
      <c r="K309" s="16"/>
      <c r="L309" s="16"/>
      <c r="M309" s="25"/>
      <c r="N309" s="25"/>
      <c r="O309" s="16"/>
      <c r="P309" s="1"/>
      <c r="Q309" s="1"/>
      <c r="R309" s="1"/>
      <c r="S309" s="1"/>
      <c r="T309" s="1"/>
      <c r="U309" s="33"/>
      <c r="V309" s="16"/>
      <c r="W309" s="1"/>
      <c r="X309" s="1"/>
    </row>
    <row r="310" spans="1:24">
      <c r="A310" s="15"/>
      <c r="B310" s="16"/>
      <c r="C310" s="16"/>
      <c r="D310" s="16"/>
      <c r="E310" s="16"/>
      <c r="F310" s="16"/>
      <c r="G310" s="16"/>
      <c r="H310" s="16"/>
      <c r="I310" s="16"/>
      <c r="J310" s="16"/>
      <c r="K310" s="16"/>
      <c r="L310" s="16"/>
      <c r="M310" s="25"/>
      <c r="N310" s="25"/>
      <c r="O310" s="16"/>
      <c r="P310" s="1"/>
      <c r="Q310" s="1"/>
      <c r="R310" s="1"/>
      <c r="S310" s="1"/>
      <c r="T310" s="1"/>
      <c r="U310" s="33"/>
      <c r="V310" s="16"/>
      <c r="W310" s="1"/>
      <c r="X310" s="1"/>
    </row>
    <row r="311" spans="1:24">
      <c r="A311" s="15"/>
      <c r="B311" s="16"/>
      <c r="C311" s="16"/>
      <c r="D311" s="16"/>
      <c r="E311" s="16"/>
      <c r="F311" s="16"/>
      <c r="G311" s="16"/>
      <c r="H311" s="16"/>
      <c r="I311" s="16"/>
      <c r="J311" s="16"/>
      <c r="K311" s="16"/>
      <c r="L311" s="16"/>
      <c r="M311" s="25"/>
      <c r="N311" s="25"/>
      <c r="O311" s="16"/>
      <c r="P311" s="1"/>
      <c r="Q311" s="1"/>
      <c r="R311" s="1"/>
      <c r="S311" s="1"/>
      <c r="T311" s="1"/>
      <c r="U311" s="33"/>
      <c r="V311" s="16"/>
      <c r="W311" s="1"/>
      <c r="X311" s="1"/>
    </row>
    <row r="312" spans="1:24">
      <c r="A312" s="15"/>
      <c r="B312" s="16"/>
      <c r="C312" s="16"/>
      <c r="D312" s="16"/>
      <c r="E312" s="16"/>
      <c r="F312" s="16"/>
      <c r="G312" s="16"/>
      <c r="H312" s="16"/>
      <c r="I312" s="16"/>
      <c r="J312" s="16"/>
      <c r="K312" s="16"/>
      <c r="L312" s="16"/>
      <c r="M312" s="25"/>
      <c r="N312" s="25"/>
      <c r="O312" s="16"/>
      <c r="P312" s="1"/>
      <c r="Q312" s="1"/>
      <c r="R312" s="1"/>
      <c r="S312" s="1"/>
      <c r="T312" s="1"/>
      <c r="U312" s="33"/>
      <c r="V312" s="16"/>
      <c r="W312" s="1"/>
      <c r="X312" s="1"/>
    </row>
    <row r="313" spans="1:24">
      <c r="A313" s="15"/>
      <c r="B313" s="16"/>
      <c r="C313" s="16"/>
      <c r="D313" s="16"/>
      <c r="E313" s="16"/>
      <c r="F313" s="16"/>
      <c r="G313" s="16"/>
      <c r="H313" s="16"/>
      <c r="I313" s="16"/>
      <c r="J313" s="16"/>
      <c r="K313" s="16"/>
      <c r="L313" s="16"/>
      <c r="M313" s="25"/>
      <c r="N313" s="25"/>
      <c r="O313" s="16"/>
      <c r="P313" s="1"/>
      <c r="Q313" s="1"/>
      <c r="R313" s="1"/>
      <c r="S313" s="1"/>
      <c r="T313" s="1"/>
      <c r="U313" s="33"/>
      <c r="V313" s="16"/>
      <c r="W313" s="1"/>
      <c r="X313" s="1"/>
    </row>
    <row r="314" spans="1:24">
      <c r="A314" s="15"/>
      <c r="B314" s="16"/>
      <c r="C314" s="16"/>
      <c r="D314" s="16"/>
      <c r="E314" s="16"/>
      <c r="F314" s="16"/>
      <c r="G314" s="16"/>
      <c r="H314" s="16"/>
      <c r="I314" s="16"/>
      <c r="J314" s="16"/>
      <c r="K314" s="16"/>
      <c r="L314" s="16"/>
      <c r="M314" s="25"/>
      <c r="N314" s="25"/>
      <c r="O314" s="16"/>
      <c r="P314" s="1"/>
      <c r="Q314" s="1"/>
      <c r="R314" s="1"/>
      <c r="S314" s="1"/>
      <c r="T314" s="1"/>
      <c r="U314" s="33"/>
      <c r="V314" s="16"/>
      <c r="W314" s="1"/>
      <c r="X314" s="1"/>
    </row>
    <row r="315" spans="1:24">
      <c r="A315" s="15"/>
      <c r="B315" s="16"/>
      <c r="C315" s="16"/>
      <c r="D315" s="16"/>
      <c r="E315" s="16"/>
      <c r="F315" s="16"/>
      <c r="G315" s="16"/>
      <c r="H315" s="16"/>
      <c r="I315" s="16"/>
      <c r="J315" s="16"/>
      <c r="K315" s="16"/>
      <c r="L315" s="16"/>
      <c r="M315" s="25"/>
      <c r="N315" s="25"/>
      <c r="O315" s="16"/>
      <c r="P315" s="1"/>
      <c r="Q315" s="1"/>
      <c r="R315" s="1"/>
      <c r="S315" s="1"/>
      <c r="T315" s="1"/>
      <c r="U315" s="33"/>
      <c r="V315" s="16"/>
      <c r="W315" s="1"/>
      <c r="X315" s="1"/>
    </row>
    <row r="316" spans="1:24">
      <c r="A316" s="15"/>
      <c r="B316" s="16"/>
      <c r="C316" s="16"/>
      <c r="D316" s="16"/>
      <c r="E316" s="16"/>
      <c r="F316" s="16"/>
      <c r="G316" s="16"/>
      <c r="H316" s="16"/>
      <c r="I316" s="16"/>
      <c r="J316" s="16"/>
      <c r="K316" s="16"/>
      <c r="L316" s="16"/>
      <c r="M316" s="25"/>
      <c r="N316" s="25"/>
      <c r="O316" s="16"/>
      <c r="P316" s="1"/>
      <c r="Q316" s="1"/>
      <c r="R316" s="1"/>
      <c r="S316" s="1"/>
      <c r="T316" s="1"/>
      <c r="U316" s="33"/>
      <c r="V316" s="16"/>
      <c r="W316" s="1"/>
      <c r="X316" s="1"/>
    </row>
    <row r="317" spans="1:24">
      <c r="A317" s="15"/>
      <c r="B317" s="16"/>
      <c r="C317" s="16"/>
      <c r="D317" s="16"/>
      <c r="E317" s="16"/>
      <c r="F317" s="16"/>
      <c r="G317" s="16"/>
      <c r="H317" s="16"/>
      <c r="I317" s="16"/>
      <c r="J317" s="16"/>
      <c r="K317" s="16"/>
      <c r="L317" s="16"/>
      <c r="M317" s="25"/>
      <c r="N317" s="25"/>
      <c r="O317" s="16"/>
      <c r="P317" s="1"/>
      <c r="Q317" s="1"/>
      <c r="R317" s="1"/>
      <c r="S317" s="1"/>
      <c r="T317" s="1"/>
      <c r="U317" s="33"/>
      <c r="V317" s="16"/>
      <c r="W317" s="1"/>
      <c r="X317" s="1"/>
    </row>
    <row r="318" spans="1:24">
      <c r="A318" s="15"/>
      <c r="B318" s="16"/>
      <c r="C318" s="16"/>
      <c r="D318" s="16"/>
      <c r="E318" s="16"/>
      <c r="F318" s="16"/>
      <c r="G318" s="16"/>
      <c r="H318" s="16"/>
      <c r="I318" s="16"/>
      <c r="J318" s="16"/>
      <c r="K318" s="16"/>
      <c r="L318" s="16"/>
      <c r="M318" s="25"/>
      <c r="N318" s="25"/>
      <c r="O318" s="16"/>
      <c r="P318" s="1"/>
      <c r="Q318" s="1"/>
      <c r="R318" s="1"/>
      <c r="S318" s="1"/>
      <c r="T318" s="1"/>
      <c r="U318" s="33"/>
      <c r="V318" s="16"/>
      <c r="W318" s="1"/>
      <c r="X318" s="1"/>
    </row>
    <row r="319" spans="1:24">
      <c r="A319" s="15"/>
      <c r="B319" s="16"/>
      <c r="C319" s="16"/>
      <c r="D319" s="16"/>
      <c r="E319" s="16"/>
      <c r="F319" s="16"/>
      <c r="G319" s="16"/>
      <c r="H319" s="16"/>
      <c r="I319" s="16"/>
      <c r="J319" s="16"/>
      <c r="K319" s="16"/>
      <c r="L319" s="16"/>
      <c r="M319" s="25"/>
      <c r="N319" s="25"/>
      <c r="O319" s="16"/>
      <c r="P319" s="1"/>
      <c r="Q319" s="1"/>
      <c r="R319" s="1"/>
      <c r="S319" s="1"/>
      <c r="T319" s="1"/>
      <c r="U319" s="33"/>
      <c r="V319" s="16"/>
      <c r="W319" s="1"/>
      <c r="X319" s="1"/>
    </row>
    <row r="320" spans="1:24">
      <c r="A320" s="15"/>
      <c r="B320" s="16"/>
      <c r="C320" s="16"/>
      <c r="D320" s="16"/>
      <c r="E320" s="16"/>
      <c r="F320" s="16"/>
      <c r="G320" s="16"/>
      <c r="H320" s="16"/>
      <c r="I320" s="16"/>
      <c r="J320" s="16"/>
      <c r="K320" s="16"/>
      <c r="L320" s="16"/>
      <c r="M320" s="25"/>
      <c r="N320" s="25"/>
      <c r="O320" s="16"/>
      <c r="P320" s="1"/>
      <c r="Q320" s="1"/>
      <c r="R320" s="1"/>
      <c r="S320" s="1"/>
      <c r="T320" s="1"/>
      <c r="U320" s="33"/>
      <c r="V320" s="16"/>
      <c r="W320" s="1"/>
      <c r="X320" s="1"/>
    </row>
    <row r="321" spans="1:24">
      <c r="A321" s="15"/>
      <c r="B321" s="16"/>
      <c r="C321" s="16"/>
      <c r="D321" s="16"/>
      <c r="E321" s="16"/>
      <c r="F321" s="16"/>
      <c r="G321" s="16"/>
      <c r="H321" s="16"/>
      <c r="I321" s="16"/>
      <c r="J321" s="16"/>
      <c r="K321" s="16"/>
      <c r="L321" s="16"/>
      <c r="M321" s="25"/>
      <c r="N321" s="25"/>
      <c r="O321" s="16"/>
      <c r="P321" s="1"/>
      <c r="Q321" s="1"/>
      <c r="R321" s="1"/>
      <c r="S321" s="1"/>
      <c r="T321" s="1"/>
      <c r="U321" s="33"/>
      <c r="V321" s="16"/>
      <c r="W321" s="1"/>
      <c r="X321" s="1"/>
    </row>
    <row r="322" spans="1:24">
      <c r="A322" s="15"/>
      <c r="B322" s="16"/>
      <c r="C322" s="16"/>
      <c r="D322" s="16"/>
      <c r="E322" s="16"/>
      <c r="F322" s="16"/>
      <c r="G322" s="16"/>
      <c r="H322" s="16"/>
      <c r="I322" s="16"/>
      <c r="J322" s="16"/>
      <c r="K322" s="16"/>
      <c r="L322" s="16"/>
      <c r="M322" s="25"/>
      <c r="N322" s="25"/>
      <c r="O322" s="16"/>
      <c r="P322" s="1"/>
      <c r="Q322" s="1"/>
      <c r="R322" s="1"/>
      <c r="S322" s="1"/>
      <c r="T322" s="1"/>
      <c r="U322" s="33"/>
      <c r="V322" s="16"/>
      <c r="W322" s="1"/>
      <c r="X322" s="1"/>
    </row>
    <row r="323" spans="1:24">
      <c r="A323" s="15"/>
      <c r="B323" s="16"/>
      <c r="C323" s="16"/>
      <c r="D323" s="16"/>
      <c r="E323" s="16"/>
      <c r="F323" s="16"/>
      <c r="G323" s="16"/>
      <c r="H323" s="16"/>
      <c r="I323" s="16"/>
      <c r="J323" s="16"/>
      <c r="K323" s="16"/>
      <c r="L323" s="16"/>
      <c r="M323" s="25"/>
      <c r="N323" s="25"/>
      <c r="O323" s="16"/>
      <c r="P323" s="1"/>
      <c r="Q323" s="1"/>
      <c r="R323" s="1"/>
      <c r="S323" s="1"/>
      <c r="T323" s="1"/>
      <c r="U323" s="33"/>
      <c r="V323" s="16"/>
      <c r="W323" s="1"/>
      <c r="X323" s="1"/>
    </row>
    <row r="324" spans="1:24">
      <c r="A324" s="15"/>
      <c r="B324" s="16"/>
      <c r="C324" s="16"/>
      <c r="D324" s="16"/>
      <c r="E324" s="16"/>
      <c r="F324" s="16"/>
      <c r="G324" s="16"/>
      <c r="H324" s="16"/>
      <c r="I324" s="16"/>
      <c r="J324" s="16"/>
      <c r="K324" s="16"/>
      <c r="L324" s="16"/>
      <c r="M324" s="25"/>
      <c r="N324" s="25"/>
      <c r="O324" s="16"/>
      <c r="P324" s="1"/>
      <c r="Q324" s="1"/>
      <c r="R324" s="1"/>
      <c r="S324" s="1"/>
      <c r="T324" s="1"/>
      <c r="U324" s="33"/>
      <c r="V324" s="16"/>
      <c r="W324" s="1"/>
      <c r="X324" s="1"/>
    </row>
    <row r="325" spans="1:24">
      <c r="A325" s="15"/>
      <c r="B325" s="16"/>
      <c r="C325" s="16"/>
      <c r="D325" s="16"/>
      <c r="E325" s="16"/>
      <c r="F325" s="16"/>
      <c r="G325" s="16"/>
      <c r="H325" s="16"/>
      <c r="I325" s="16"/>
      <c r="J325" s="16"/>
      <c r="K325" s="16"/>
      <c r="L325" s="16"/>
      <c r="M325" s="25"/>
      <c r="N325" s="25"/>
      <c r="O325" s="16"/>
      <c r="P325" s="1"/>
      <c r="Q325" s="1"/>
      <c r="R325" s="1"/>
      <c r="S325" s="1"/>
      <c r="T325" s="1"/>
      <c r="U325" s="33"/>
      <c r="V325" s="16"/>
      <c r="W325" s="1"/>
      <c r="X325" s="1"/>
    </row>
    <row r="326" spans="1:24">
      <c r="A326" s="15"/>
      <c r="B326" s="16"/>
      <c r="C326" s="16"/>
      <c r="D326" s="16"/>
      <c r="E326" s="16"/>
      <c r="F326" s="16"/>
      <c r="G326" s="16"/>
      <c r="H326" s="16"/>
      <c r="I326" s="16"/>
      <c r="J326" s="16"/>
      <c r="K326" s="16"/>
      <c r="L326" s="16"/>
      <c r="M326" s="25"/>
      <c r="N326" s="25"/>
      <c r="O326" s="16"/>
      <c r="P326" s="1"/>
      <c r="Q326" s="1"/>
      <c r="R326" s="1"/>
      <c r="S326" s="1"/>
      <c r="T326" s="1"/>
      <c r="U326" s="33"/>
      <c r="V326" s="16"/>
      <c r="W326" s="1"/>
      <c r="X326" s="1"/>
    </row>
    <row r="327" spans="1:24">
      <c r="A327" s="15"/>
      <c r="B327" s="16"/>
      <c r="C327" s="16"/>
      <c r="D327" s="16"/>
      <c r="E327" s="16"/>
      <c r="F327" s="16"/>
      <c r="G327" s="16"/>
      <c r="H327" s="16"/>
      <c r="I327" s="16"/>
      <c r="J327" s="16"/>
      <c r="K327" s="16"/>
      <c r="L327" s="16"/>
      <c r="M327" s="25"/>
      <c r="N327" s="25"/>
      <c r="O327" s="16"/>
      <c r="P327" s="1"/>
      <c r="Q327" s="1"/>
      <c r="R327" s="1"/>
      <c r="S327" s="1"/>
      <c r="T327" s="1"/>
      <c r="U327" s="33"/>
      <c r="V327" s="16"/>
      <c r="W327" s="1"/>
      <c r="X327" s="1"/>
    </row>
    <row r="328" spans="1:24">
      <c r="A328" s="15"/>
      <c r="B328" s="16"/>
      <c r="C328" s="16"/>
      <c r="D328" s="16"/>
      <c r="E328" s="16"/>
      <c r="F328" s="16"/>
      <c r="G328" s="16"/>
      <c r="H328" s="16"/>
      <c r="I328" s="16"/>
      <c r="J328" s="16"/>
      <c r="K328" s="16"/>
      <c r="L328" s="16"/>
      <c r="M328" s="25"/>
      <c r="N328" s="25"/>
      <c r="O328" s="16"/>
      <c r="P328" s="1"/>
      <c r="Q328" s="1"/>
      <c r="R328" s="1"/>
      <c r="S328" s="1"/>
      <c r="T328" s="1"/>
      <c r="U328" s="33"/>
      <c r="V328" s="16"/>
      <c r="W328" s="1"/>
      <c r="X328" s="1"/>
    </row>
    <row r="329" spans="1:24">
      <c r="A329" s="15"/>
      <c r="B329" s="16"/>
      <c r="C329" s="16"/>
      <c r="D329" s="16"/>
      <c r="E329" s="16"/>
      <c r="F329" s="16"/>
      <c r="G329" s="16"/>
      <c r="H329" s="16"/>
      <c r="I329" s="16"/>
      <c r="J329" s="16"/>
      <c r="K329" s="16"/>
      <c r="L329" s="16"/>
      <c r="M329" s="25"/>
      <c r="N329" s="25"/>
      <c r="O329" s="16"/>
      <c r="P329" s="1"/>
      <c r="Q329" s="1"/>
      <c r="R329" s="1"/>
      <c r="S329" s="1"/>
      <c r="T329" s="1"/>
      <c r="U329" s="33"/>
      <c r="V329" s="16"/>
      <c r="W329" s="1"/>
      <c r="X329" s="1"/>
    </row>
    <row r="330" spans="1:24">
      <c r="A330" s="15"/>
      <c r="B330" s="16"/>
      <c r="C330" s="16"/>
      <c r="D330" s="16"/>
      <c r="E330" s="16"/>
      <c r="F330" s="16"/>
      <c r="G330" s="16"/>
      <c r="H330" s="16"/>
      <c r="I330" s="16"/>
      <c r="J330" s="16"/>
      <c r="K330" s="16"/>
      <c r="L330" s="16"/>
      <c r="M330" s="25"/>
      <c r="N330" s="25"/>
      <c r="O330" s="16"/>
      <c r="P330" s="1"/>
      <c r="Q330" s="1"/>
      <c r="R330" s="1"/>
      <c r="S330" s="1"/>
      <c r="T330" s="1"/>
      <c r="U330" s="33"/>
      <c r="V330" s="16"/>
      <c r="W330" s="1"/>
      <c r="X330" s="1"/>
    </row>
    <row r="331" spans="1:24">
      <c r="A331" s="15"/>
      <c r="B331" s="16"/>
      <c r="C331" s="16"/>
      <c r="D331" s="16"/>
      <c r="E331" s="16"/>
      <c r="F331" s="16"/>
      <c r="G331" s="16"/>
      <c r="H331" s="16"/>
      <c r="I331" s="16"/>
      <c r="J331" s="16"/>
      <c r="K331" s="16"/>
      <c r="L331" s="16"/>
      <c r="M331" s="25"/>
      <c r="N331" s="25"/>
      <c r="O331" s="16"/>
      <c r="P331" s="1"/>
      <c r="Q331" s="1"/>
      <c r="R331" s="1"/>
      <c r="S331" s="1"/>
      <c r="T331" s="1"/>
      <c r="U331" s="33"/>
      <c r="V331" s="16"/>
      <c r="W331" s="1"/>
      <c r="X331" s="1"/>
    </row>
    <row r="332" spans="1:24">
      <c r="A332" s="15"/>
      <c r="B332" s="16"/>
      <c r="C332" s="16"/>
      <c r="D332" s="16"/>
      <c r="E332" s="16"/>
      <c r="F332" s="16"/>
      <c r="G332" s="16"/>
      <c r="H332" s="16"/>
      <c r="I332" s="16"/>
      <c r="J332" s="16"/>
      <c r="K332" s="16"/>
      <c r="L332" s="16"/>
      <c r="M332" s="25"/>
      <c r="N332" s="25"/>
      <c r="O332" s="16"/>
      <c r="P332" s="1"/>
      <c r="Q332" s="1"/>
      <c r="R332" s="1"/>
      <c r="S332" s="1"/>
      <c r="T332" s="1"/>
      <c r="U332" s="33"/>
      <c r="V332" s="16"/>
      <c r="W332" s="1"/>
      <c r="X332" s="1"/>
    </row>
    <row r="333" spans="1:24">
      <c r="A333" s="15"/>
      <c r="B333" s="16"/>
      <c r="C333" s="16"/>
      <c r="D333" s="16"/>
      <c r="E333" s="16"/>
      <c r="F333" s="16"/>
      <c r="G333" s="16"/>
      <c r="H333" s="16"/>
      <c r="I333" s="16"/>
      <c r="J333" s="16"/>
      <c r="K333" s="16"/>
      <c r="L333" s="16"/>
      <c r="M333" s="25"/>
      <c r="N333" s="25"/>
      <c r="O333" s="16"/>
      <c r="P333" s="1"/>
      <c r="Q333" s="1"/>
      <c r="R333" s="1"/>
      <c r="S333" s="1"/>
      <c r="T333" s="1"/>
      <c r="U333" s="33"/>
      <c r="V333" s="16"/>
      <c r="W333" s="1"/>
      <c r="X333" s="1"/>
    </row>
    <row r="334" spans="1:24">
      <c r="A334" s="15"/>
      <c r="B334" s="16"/>
      <c r="C334" s="16"/>
      <c r="D334" s="16"/>
      <c r="E334" s="16"/>
      <c r="F334" s="16"/>
      <c r="G334" s="16"/>
      <c r="H334" s="16"/>
      <c r="I334" s="16"/>
      <c r="J334" s="16"/>
      <c r="K334" s="16"/>
      <c r="L334" s="16"/>
      <c r="M334" s="25"/>
      <c r="N334" s="25"/>
      <c r="O334" s="16"/>
      <c r="P334" s="1"/>
      <c r="Q334" s="1"/>
      <c r="R334" s="1"/>
      <c r="S334" s="1"/>
      <c r="T334" s="1"/>
      <c r="U334" s="33"/>
      <c r="V334" s="16"/>
      <c r="W334" s="1"/>
      <c r="X334" s="1"/>
    </row>
    <row r="335" spans="1:24">
      <c r="A335" s="15"/>
      <c r="B335" s="16"/>
      <c r="C335" s="16"/>
      <c r="D335" s="16"/>
      <c r="E335" s="16"/>
      <c r="F335" s="16"/>
      <c r="G335" s="16"/>
      <c r="H335" s="16"/>
      <c r="I335" s="16"/>
      <c r="J335" s="16"/>
      <c r="K335" s="16"/>
      <c r="L335" s="16"/>
      <c r="M335" s="25"/>
      <c r="N335" s="25"/>
      <c r="O335" s="16"/>
      <c r="P335" s="1"/>
      <c r="Q335" s="1"/>
      <c r="R335" s="1"/>
      <c r="S335" s="1"/>
      <c r="T335" s="1"/>
      <c r="U335" s="33"/>
      <c r="V335" s="16"/>
      <c r="W335" s="1"/>
      <c r="X335" s="1"/>
    </row>
    <row r="336" spans="1:24">
      <c r="A336" s="15"/>
      <c r="B336" s="16"/>
      <c r="C336" s="16"/>
      <c r="D336" s="16"/>
      <c r="E336" s="16"/>
      <c r="F336" s="16"/>
      <c r="G336" s="16"/>
      <c r="H336" s="16"/>
      <c r="I336" s="16"/>
      <c r="J336" s="16"/>
      <c r="K336" s="16"/>
      <c r="L336" s="16"/>
      <c r="M336" s="25"/>
      <c r="N336" s="25"/>
      <c r="O336" s="16"/>
      <c r="P336" s="1"/>
      <c r="Q336" s="1"/>
      <c r="R336" s="1"/>
      <c r="S336" s="1"/>
      <c r="T336" s="1"/>
      <c r="U336" s="33"/>
      <c r="V336" s="16"/>
      <c r="W336" s="1"/>
      <c r="X336" s="1"/>
    </row>
    <row r="337" spans="1:24">
      <c r="A337" s="15"/>
      <c r="B337" s="16"/>
      <c r="C337" s="16"/>
      <c r="D337" s="16"/>
      <c r="E337" s="16"/>
      <c r="F337" s="16"/>
      <c r="G337" s="16"/>
      <c r="H337" s="16"/>
      <c r="I337" s="16"/>
      <c r="J337" s="16"/>
      <c r="K337" s="16"/>
      <c r="L337" s="16"/>
      <c r="M337" s="25"/>
      <c r="N337" s="25"/>
      <c r="O337" s="16"/>
      <c r="P337" s="1"/>
      <c r="Q337" s="1"/>
      <c r="R337" s="1"/>
      <c r="S337" s="1"/>
      <c r="T337" s="1"/>
      <c r="U337" s="33"/>
      <c r="V337" s="16"/>
      <c r="W337" s="1"/>
      <c r="X337" s="1"/>
    </row>
    <row r="338" spans="1:24">
      <c r="A338" s="15"/>
      <c r="B338" s="16"/>
      <c r="C338" s="16"/>
      <c r="D338" s="16"/>
      <c r="E338" s="16"/>
      <c r="F338" s="16"/>
      <c r="G338" s="16"/>
      <c r="H338" s="16"/>
      <c r="I338" s="16"/>
      <c r="J338" s="16"/>
      <c r="K338" s="16"/>
      <c r="L338" s="16"/>
      <c r="M338" s="25"/>
      <c r="N338" s="25"/>
      <c r="O338" s="16"/>
      <c r="P338" s="1"/>
      <c r="Q338" s="1"/>
      <c r="R338" s="1"/>
      <c r="S338" s="1"/>
      <c r="T338" s="1"/>
      <c r="U338" s="33"/>
      <c r="V338" s="16"/>
      <c r="W338" s="1"/>
      <c r="X338" s="1"/>
    </row>
    <row r="339" spans="1:24">
      <c r="A339" s="15"/>
      <c r="B339" s="16"/>
      <c r="C339" s="16"/>
      <c r="D339" s="16"/>
      <c r="E339" s="16"/>
      <c r="F339" s="16"/>
      <c r="G339" s="16"/>
      <c r="H339" s="16"/>
      <c r="I339" s="16"/>
      <c r="J339" s="16"/>
      <c r="K339" s="16"/>
      <c r="L339" s="16"/>
      <c r="M339" s="25"/>
      <c r="N339" s="25"/>
      <c r="O339" s="16"/>
      <c r="P339" s="1"/>
      <c r="Q339" s="1"/>
      <c r="R339" s="1"/>
      <c r="S339" s="1"/>
      <c r="T339" s="1"/>
      <c r="U339" s="33"/>
      <c r="V339" s="16"/>
      <c r="W339" s="1"/>
      <c r="X339" s="1"/>
    </row>
    <row r="340" spans="1:24">
      <c r="A340" s="15"/>
      <c r="B340" s="16"/>
      <c r="C340" s="16"/>
      <c r="D340" s="16"/>
      <c r="E340" s="16"/>
      <c r="F340" s="16"/>
      <c r="G340" s="16"/>
      <c r="H340" s="16"/>
      <c r="I340" s="16"/>
      <c r="J340" s="16"/>
      <c r="K340" s="16"/>
      <c r="L340" s="16"/>
      <c r="M340" s="25"/>
      <c r="N340" s="25"/>
      <c r="O340" s="16"/>
      <c r="P340" s="1"/>
      <c r="Q340" s="1"/>
      <c r="R340" s="1"/>
      <c r="S340" s="1"/>
      <c r="T340" s="1"/>
      <c r="U340" s="33"/>
      <c r="V340" s="16"/>
      <c r="W340" s="1"/>
      <c r="X340" s="1"/>
    </row>
    <row r="341" spans="1:24">
      <c r="A341" s="15"/>
      <c r="B341" s="16"/>
      <c r="C341" s="16"/>
      <c r="D341" s="16"/>
      <c r="E341" s="16"/>
      <c r="F341" s="16"/>
      <c r="G341" s="16"/>
      <c r="H341" s="16"/>
      <c r="I341" s="16"/>
      <c r="J341" s="16"/>
      <c r="K341" s="16"/>
      <c r="L341" s="16"/>
      <c r="M341" s="25"/>
      <c r="N341" s="25"/>
      <c r="O341" s="16"/>
      <c r="P341" s="1"/>
      <c r="Q341" s="1"/>
      <c r="R341" s="1"/>
      <c r="S341" s="1"/>
      <c r="T341" s="1"/>
      <c r="U341" s="33"/>
      <c r="V341" s="16"/>
      <c r="W341" s="1"/>
      <c r="X341" s="1"/>
    </row>
    <row r="342" spans="1:24">
      <c r="A342" s="15"/>
      <c r="B342" s="16"/>
      <c r="C342" s="16"/>
      <c r="D342" s="16"/>
      <c r="E342" s="16"/>
      <c r="F342" s="16"/>
      <c r="G342" s="16"/>
      <c r="H342" s="16"/>
      <c r="I342" s="16"/>
      <c r="J342" s="16"/>
      <c r="K342" s="16"/>
      <c r="L342" s="16"/>
      <c r="M342" s="25"/>
      <c r="N342" s="25"/>
      <c r="O342" s="16"/>
      <c r="P342" s="1"/>
      <c r="Q342" s="1"/>
      <c r="R342" s="1"/>
      <c r="S342" s="1"/>
      <c r="T342" s="1"/>
      <c r="U342" s="33"/>
      <c r="V342" s="16"/>
      <c r="W342" s="1"/>
      <c r="X342" s="1"/>
    </row>
    <row r="343" spans="1:24">
      <c r="A343" s="15"/>
      <c r="B343" s="16"/>
      <c r="C343" s="16"/>
      <c r="D343" s="16"/>
      <c r="E343" s="16"/>
      <c r="F343" s="16"/>
      <c r="G343" s="16"/>
      <c r="H343" s="16"/>
      <c r="I343" s="16"/>
      <c r="J343" s="16"/>
      <c r="K343" s="16"/>
      <c r="L343" s="16"/>
      <c r="M343" s="25"/>
      <c r="N343" s="25"/>
      <c r="O343" s="16"/>
      <c r="P343" s="1"/>
      <c r="Q343" s="1"/>
      <c r="R343" s="1"/>
      <c r="S343" s="1"/>
      <c r="T343" s="1"/>
      <c r="U343" s="33"/>
      <c r="V343" s="16"/>
      <c r="W343" s="1"/>
      <c r="X343" s="1"/>
    </row>
    <row r="344" spans="1:24">
      <c r="A344" s="15"/>
      <c r="B344" s="16"/>
      <c r="C344" s="16"/>
      <c r="D344" s="16"/>
      <c r="E344" s="16"/>
      <c r="F344" s="16"/>
      <c r="G344" s="16"/>
      <c r="H344" s="16"/>
      <c r="I344" s="16"/>
      <c r="J344" s="16"/>
      <c r="K344" s="16"/>
      <c r="L344" s="16"/>
      <c r="M344" s="25"/>
      <c r="N344" s="25"/>
      <c r="O344" s="16"/>
      <c r="P344" s="1"/>
      <c r="Q344" s="1"/>
      <c r="R344" s="1"/>
      <c r="S344" s="1"/>
      <c r="T344" s="1"/>
      <c r="U344" s="33"/>
      <c r="V344" s="16"/>
      <c r="W344" s="1"/>
      <c r="X344" s="1"/>
    </row>
    <row r="345" spans="1:24">
      <c r="A345" s="15"/>
      <c r="B345" s="16"/>
      <c r="C345" s="16"/>
      <c r="D345" s="16"/>
      <c r="E345" s="16"/>
      <c r="F345" s="16"/>
      <c r="G345" s="16"/>
      <c r="H345" s="16"/>
      <c r="I345" s="16"/>
      <c r="J345" s="16"/>
      <c r="K345" s="16"/>
      <c r="L345" s="16"/>
      <c r="M345" s="25"/>
      <c r="N345" s="25"/>
      <c r="O345" s="16"/>
      <c r="P345" s="1"/>
      <c r="Q345" s="1"/>
      <c r="R345" s="1"/>
      <c r="S345" s="1"/>
      <c r="T345" s="1"/>
      <c r="U345" s="33"/>
      <c r="V345" s="16"/>
      <c r="W345" s="1"/>
      <c r="X345" s="1"/>
    </row>
    <row r="346" spans="1:24">
      <c r="A346" s="15"/>
      <c r="B346" s="16"/>
      <c r="C346" s="16"/>
      <c r="D346" s="16"/>
      <c r="E346" s="16"/>
      <c r="F346" s="16"/>
      <c r="G346" s="16"/>
      <c r="H346" s="16"/>
      <c r="I346" s="16"/>
      <c r="J346" s="16"/>
      <c r="K346" s="16"/>
      <c r="L346" s="16"/>
      <c r="M346" s="25"/>
      <c r="N346" s="25"/>
      <c r="O346" s="16"/>
      <c r="P346" s="1"/>
      <c r="Q346" s="1"/>
      <c r="R346" s="1"/>
      <c r="S346" s="1"/>
      <c r="T346" s="1"/>
      <c r="U346" s="33"/>
      <c r="V346" s="16"/>
      <c r="W346" s="1"/>
      <c r="X346" s="1"/>
    </row>
    <row r="347" spans="1:24">
      <c r="A347" s="15"/>
      <c r="B347" s="16"/>
      <c r="C347" s="16"/>
      <c r="D347" s="16"/>
      <c r="E347" s="16"/>
      <c r="F347" s="16"/>
      <c r="G347" s="16"/>
      <c r="H347" s="16"/>
      <c r="I347" s="16"/>
      <c r="J347" s="16"/>
      <c r="K347" s="16"/>
      <c r="L347" s="16"/>
      <c r="M347" s="25"/>
      <c r="N347" s="25"/>
      <c r="O347" s="16"/>
      <c r="P347" s="1"/>
      <c r="Q347" s="1"/>
      <c r="R347" s="1"/>
      <c r="S347" s="1"/>
      <c r="T347" s="1"/>
      <c r="U347" s="33"/>
      <c r="V347" s="16"/>
      <c r="W347" s="1"/>
      <c r="X347" s="1"/>
    </row>
    <row r="348" spans="1:24">
      <c r="A348" s="15"/>
      <c r="B348" s="16"/>
      <c r="C348" s="16"/>
      <c r="D348" s="16"/>
      <c r="E348" s="16"/>
      <c r="F348" s="16"/>
      <c r="G348" s="16"/>
      <c r="H348" s="16"/>
      <c r="I348" s="16"/>
      <c r="J348" s="16"/>
      <c r="K348" s="16"/>
      <c r="L348" s="16"/>
      <c r="M348" s="25"/>
      <c r="N348" s="25"/>
      <c r="O348" s="16"/>
      <c r="P348" s="1"/>
      <c r="Q348" s="1"/>
      <c r="R348" s="1"/>
      <c r="S348" s="1"/>
      <c r="T348" s="1"/>
      <c r="U348" s="33"/>
      <c r="V348" s="16"/>
      <c r="W348" s="1"/>
      <c r="X348" s="1"/>
    </row>
    <row r="349" spans="1:24">
      <c r="A349" s="15"/>
      <c r="B349" s="16"/>
      <c r="C349" s="16"/>
      <c r="D349" s="16"/>
      <c r="E349" s="16"/>
      <c r="F349" s="16"/>
      <c r="G349" s="16"/>
      <c r="H349" s="16"/>
      <c r="I349" s="16"/>
      <c r="J349" s="16"/>
      <c r="K349" s="16"/>
      <c r="L349" s="16"/>
      <c r="M349" s="25"/>
      <c r="N349" s="25"/>
      <c r="O349" s="16"/>
      <c r="P349" s="1"/>
      <c r="Q349" s="1"/>
      <c r="R349" s="1"/>
      <c r="S349" s="1"/>
      <c r="T349" s="1"/>
      <c r="U349" s="33"/>
      <c r="V349" s="16"/>
      <c r="W349" s="1"/>
      <c r="X349" s="1"/>
    </row>
    <row r="350" spans="1:24">
      <c r="A350" s="15"/>
      <c r="B350" s="16"/>
      <c r="C350" s="16"/>
      <c r="D350" s="16"/>
      <c r="E350" s="16"/>
      <c r="F350" s="16"/>
      <c r="G350" s="16"/>
      <c r="H350" s="16"/>
      <c r="I350" s="16"/>
      <c r="J350" s="16"/>
      <c r="K350" s="16"/>
      <c r="L350" s="16"/>
      <c r="M350" s="25"/>
      <c r="N350" s="25"/>
      <c r="O350" s="16"/>
      <c r="P350" s="1"/>
      <c r="Q350" s="1"/>
      <c r="R350" s="1"/>
      <c r="S350" s="1"/>
      <c r="T350" s="1"/>
      <c r="U350" s="33"/>
      <c r="V350" s="16"/>
      <c r="W350" s="1"/>
      <c r="X350" s="1"/>
    </row>
    <row r="351" spans="1:24">
      <c r="A351" s="15"/>
      <c r="B351" s="16"/>
      <c r="C351" s="16"/>
      <c r="D351" s="16"/>
      <c r="E351" s="16"/>
      <c r="F351" s="16"/>
      <c r="G351" s="16"/>
      <c r="H351" s="16"/>
      <c r="I351" s="16"/>
      <c r="J351" s="16"/>
      <c r="K351" s="16"/>
      <c r="L351" s="16"/>
      <c r="M351" s="25"/>
      <c r="N351" s="25"/>
      <c r="O351" s="16"/>
      <c r="P351" s="1"/>
      <c r="Q351" s="1"/>
      <c r="R351" s="1"/>
      <c r="S351" s="1"/>
      <c r="T351" s="1"/>
      <c r="U351" s="33"/>
      <c r="V351" s="16"/>
      <c r="W351" s="1"/>
      <c r="X351" s="1"/>
    </row>
    <row r="352" spans="1:24">
      <c r="A352" s="15"/>
      <c r="B352" s="16"/>
      <c r="C352" s="16"/>
      <c r="D352" s="16"/>
      <c r="E352" s="16"/>
      <c r="F352" s="16"/>
      <c r="G352" s="16"/>
      <c r="H352" s="16"/>
      <c r="I352" s="16"/>
      <c r="J352" s="16"/>
      <c r="K352" s="16"/>
      <c r="L352" s="16"/>
      <c r="M352" s="25"/>
      <c r="N352" s="25"/>
      <c r="O352" s="16"/>
      <c r="P352" s="1"/>
      <c r="Q352" s="1"/>
      <c r="R352" s="1"/>
      <c r="S352" s="1"/>
      <c r="T352" s="1"/>
      <c r="U352" s="33"/>
      <c r="V352" s="16"/>
      <c r="W352" s="1"/>
      <c r="X352" s="1"/>
    </row>
    <row r="353" spans="1:24">
      <c r="A353" s="15"/>
      <c r="B353" s="16"/>
      <c r="C353" s="16"/>
      <c r="D353" s="16"/>
      <c r="E353" s="16"/>
      <c r="F353" s="16"/>
      <c r="G353" s="16"/>
      <c r="H353" s="16"/>
      <c r="I353" s="16"/>
      <c r="J353" s="16"/>
      <c r="K353" s="16"/>
      <c r="L353" s="16"/>
      <c r="M353" s="25"/>
      <c r="N353" s="25"/>
      <c r="O353" s="16"/>
      <c r="P353" s="1"/>
      <c r="Q353" s="1"/>
      <c r="R353" s="1"/>
      <c r="S353" s="1"/>
      <c r="T353" s="1"/>
      <c r="U353" s="33"/>
      <c r="V353" s="16"/>
      <c r="W353" s="1"/>
      <c r="X353" s="1"/>
    </row>
    <row r="354" spans="1:24">
      <c r="A354" s="15"/>
      <c r="B354" s="16"/>
      <c r="C354" s="16"/>
      <c r="D354" s="16"/>
      <c r="E354" s="16"/>
      <c r="F354" s="16"/>
      <c r="G354" s="16"/>
      <c r="H354" s="16"/>
      <c r="I354" s="16"/>
      <c r="J354" s="16"/>
      <c r="K354" s="16"/>
      <c r="L354" s="16"/>
      <c r="M354" s="25"/>
      <c r="N354" s="25"/>
      <c r="O354" s="16"/>
      <c r="P354" s="1"/>
      <c r="Q354" s="1"/>
      <c r="R354" s="1"/>
      <c r="S354" s="1"/>
      <c r="T354" s="1"/>
      <c r="U354" s="33"/>
      <c r="V354" s="16"/>
      <c r="W354" s="1"/>
      <c r="X354" s="1"/>
    </row>
    <row r="355" spans="1:24">
      <c r="A355" s="15"/>
      <c r="B355" s="16"/>
      <c r="C355" s="16"/>
      <c r="D355" s="16"/>
      <c r="E355" s="16"/>
      <c r="F355" s="16"/>
      <c r="G355" s="16"/>
      <c r="H355" s="16"/>
      <c r="I355" s="16"/>
      <c r="J355" s="16"/>
      <c r="K355" s="16"/>
      <c r="L355" s="16"/>
      <c r="M355" s="25"/>
      <c r="N355" s="25"/>
      <c r="O355" s="16"/>
      <c r="P355" s="1"/>
      <c r="Q355" s="1"/>
      <c r="R355" s="1"/>
      <c r="S355" s="1"/>
      <c r="T355" s="1"/>
      <c r="U355" s="33"/>
      <c r="V355" s="16"/>
      <c r="W355" s="1"/>
      <c r="X355" s="1"/>
    </row>
    <row r="356" spans="1:24">
      <c r="A356" s="15"/>
      <c r="B356" s="16"/>
      <c r="C356" s="16"/>
      <c r="D356" s="16"/>
      <c r="E356" s="16"/>
      <c r="F356" s="16"/>
      <c r="G356" s="16"/>
      <c r="H356" s="16"/>
      <c r="I356" s="16"/>
      <c r="J356" s="16"/>
      <c r="K356" s="16"/>
      <c r="L356" s="16"/>
      <c r="M356" s="25"/>
      <c r="N356" s="25"/>
      <c r="O356" s="16"/>
      <c r="P356" s="1"/>
      <c r="Q356" s="1"/>
      <c r="R356" s="1"/>
      <c r="S356" s="1"/>
      <c r="T356" s="1"/>
      <c r="U356" s="33"/>
      <c r="V356" s="16"/>
      <c r="W356" s="1"/>
      <c r="X356" s="1"/>
    </row>
    <row r="357" spans="1:24">
      <c r="A357" s="15"/>
      <c r="B357" s="16"/>
      <c r="C357" s="16"/>
      <c r="D357" s="16"/>
      <c r="E357" s="16"/>
      <c r="F357" s="16"/>
      <c r="G357" s="16"/>
      <c r="H357" s="16"/>
      <c r="I357" s="16"/>
      <c r="J357" s="16"/>
      <c r="K357" s="16"/>
      <c r="L357" s="16"/>
      <c r="M357" s="25"/>
      <c r="N357" s="25"/>
      <c r="O357" s="16"/>
      <c r="P357" s="1"/>
      <c r="Q357" s="1"/>
      <c r="R357" s="1"/>
      <c r="S357" s="1"/>
      <c r="T357" s="1"/>
      <c r="U357" s="33"/>
      <c r="V357" s="16"/>
      <c r="W357" s="1"/>
      <c r="X357" s="1"/>
    </row>
    <row r="358" spans="1:24">
      <c r="A358" s="15"/>
      <c r="B358" s="16"/>
      <c r="C358" s="16"/>
      <c r="D358" s="16"/>
      <c r="E358" s="16"/>
      <c r="F358" s="16"/>
      <c r="G358" s="16"/>
      <c r="H358" s="16"/>
      <c r="I358" s="16"/>
      <c r="J358" s="16"/>
      <c r="K358" s="16"/>
      <c r="L358" s="16"/>
      <c r="M358" s="25"/>
      <c r="N358" s="25"/>
      <c r="O358" s="16"/>
      <c r="P358" s="1"/>
      <c r="Q358" s="1"/>
      <c r="R358" s="1"/>
      <c r="S358" s="1"/>
      <c r="T358" s="1"/>
      <c r="U358" s="33"/>
      <c r="V358" s="16"/>
      <c r="W358" s="1"/>
      <c r="X358" s="1"/>
    </row>
    <row r="359" spans="1:24">
      <c r="A359" s="15"/>
      <c r="B359" s="16"/>
      <c r="C359" s="16"/>
      <c r="D359" s="16"/>
      <c r="E359" s="16"/>
      <c r="F359" s="16"/>
      <c r="G359" s="16"/>
      <c r="H359" s="16"/>
      <c r="I359" s="16"/>
      <c r="J359" s="16"/>
      <c r="K359" s="16"/>
      <c r="L359" s="16"/>
      <c r="M359" s="25"/>
      <c r="N359" s="25"/>
      <c r="O359" s="16"/>
      <c r="P359" s="1"/>
      <c r="Q359" s="1"/>
      <c r="R359" s="1"/>
      <c r="S359" s="1"/>
      <c r="T359" s="1"/>
      <c r="U359" s="33"/>
      <c r="V359" s="16"/>
      <c r="W359" s="1"/>
      <c r="X359" s="1"/>
    </row>
    <row r="360" spans="1:24">
      <c r="A360" s="15"/>
      <c r="B360" s="16"/>
      <c r="C360" s="16"/>
      <c r="D360" s="16"/>
      <c r="E360" s="16"/>
      <c r="F360" s="16"/>
      <c r="G360" s="16"/>
      <c r="H360" s="16"/>
      <c r="I360" s="16"/>
      <c r="J360" s="16"/>
      <c r="K360" s="16"/>
      <c r="L360" s="16"/>
      <c r="M360" s="25"/>
      <c r="N360" s="25"/>
      <c r="O360" s="16"/>
      <c r="P360" s="1"/>
      <c r="Q360" s="1"/>
      <c r="R360" s="1"/>
      <c r="S360" s="1"/>
      <c r="T360" s="1"/>
      <c r="U360" s="33"/>
      <c r="V360" s="16"/>
      <c r="W360" s="1"/>
      <c r="X360" s="1"/>
    </row>
    <row r="361" spans="1:24">
      <c r="A361" s="15"/>
      <c r="B361" s="16"/>
      <c r="C361" s="16"/>
      <c r="D361" s="16"/>
      <c r="E361" s="16"/>
      <c r="F361" s="16"/>
      <c r="G361" s="16"/>
      <c r="H361" s="16"/>
      <c r="I361" s="16"/>
      <c r="J361" s="16"/>
      <c r="K361" s="16"/>
      <c r="L361" s="16"/>
      <c r="M361" s="25"/>
      <c r="N361" s="25"/>
      <c r="O361" s="16"/>
      <c r="P361" s="1"/>
      <c r="Q361" s="1"/>
      <c r="R361" s="1"/>
      <c r="S361" s="1"/>
      <c r="T361" s="1"/>
      <c r="U361" s="33"/>
      <c r="V361" s="16"/>
      <c r="W361" s="1"/>
      <c r="X361" s="1"/>
    </row>
    <row r="362" spans="1:24">
      <c r="A362" s="15"/>
      <c r="B362" s="16"/>
      <c r="C362" s="16"/>
      <c r="D362" s="16"/>
      <c r="E362" s="16"/>
      <c r="F362" s="16"/>
      <c r="G362" s="16"/>
      <c r="H362" s="16"/>
      <c r="I362" s="16"/>
      <c r="J362" s="16"/>
      <c r="K362" s="16"/>
      <c r="L362" s="16"/>
      <c r="M362" s="25"/>
      <c r="N362" s="25"/>
      <c r="O362" s="16"/>
      <c r="P362" s="1"/>
      <c r="Q362" s="1"/>
      <c r="R362" s="1"/>
      <c r="S362" s="1"/>
      <c r="T362" s="1"/>
      <c r="U362" s="33"/>
      <c r="V362" s="16"/>
      <c r="W362" s="1"/>
      <c r="X362" s="1"/>
    </row>
    <row r="363" spans="1:24">
      <c r="A363" s="15"/>
      <c r="B363" s="16"/>
      <c r="C363" s="16"/>
      <c r="D363" s="16"/>
      <c r="E363" s="16"/>
      <c r="F363" s="16"/>
      <c r="G363" s="16"/>
      <c r="H363" s="16"/>
      <c r="I363" s="16"/>
      <c r="J363" s="16"/>
      <c r="K363" s="16"/>
      <c r="L363" s="16"/>
      <c r="M363" s="25"/>
      <c r="N363" s="25"/>
      <c r="O363" s="16"/>
      <c r="P363" s="1"/>
      <c r="Q363" s="1"/>
      <c r="R363" s="1"/>
      <c r="S363" s="1"/>
      <c r="T363" s="1"/>
      <c r="U363" s="33"/>
      <c r="V363" s="16"/>
      <c r="W363" s="1"/>
      <c r="X363" s="1"/>
    </row>
    <row r="364" spans="1:24">
      <c r="A364" s="15"/>
      <c r="B364" s="16"/>
      <c r="C364" s="16"/>
      <c r="D364" s="16"/>
      <c r="E364" s="16"/>
      <c r="F364" s="16"/>
      <c r="G364" s="16"/>
      <c r="H364" s="16"/>
      <c r="I364" s="16"/>
      <c r="J364" s="16"/>
      <c r="K364" s="16"/>
      <c r="L364" s="16"/>
      <c r="M364" s="25"/>
      <c r="N364" s="25"/>
      <c r="O364" s="16"/>
      <c r="P364" s="1"/>
      <c r="Q364" s="1"/>
      <c r="R364" s="1"/>
      <c r="S364" s="1"/>
      <c r="T364" s="1"/>
      <c r="U364" s="33"/>
      <c r="V364" s="16"/>
      <c r="W364" s="1"/>
      <c r="X364" s="1"/>
    </row>
    <row r="365" spans="1:24">
      <c r="A365" s="15"/>
      <c r="B365" s="16"/>
      <c r="C365" s="16"/>
      <c r="D365" s="16"/>
      <c r="E365" s="16"/>
      <c r="F365" s="16"/>
      <c r="G365" s="16"/>
      <c r="H365" s="16"/>
      <c r="I365" s="16"/>
      <c r="J365" s="16"/>
      <c r="K365" s="16"/>
      <c r="L365" s="16"/>
      <c r="M365" s="25"/>
      <c r="N365" s="25"/>
      <c r="O365" s="16"/>
      <c r="P365" s="1"/>
      <c r="Q365" s="1"/>
      <c r="R365" s="1"/>
      <c r="S365" s="1"/>
      <c r="T365" s="1"/>
      <c r="U365" s="33"/>
      <c r="V365" s="16"/>
      <c r="W365" s="1"/>
      <c r="X365" s="1"/>
    </row>
    <row r="366" spans="1:24">
      <c r="A366" s="15"/>
      <c r="B366" s="16"/>
      <c r="C366" s="16"/>
      <c r="D366" s="16"/>
      <c r="E366" s="16"/>
      <c r="F366" s="16"/>
      <c r="G366" s="16"/>
      <c r="H366" s="16"/>
      <c r="I366" s="16"/>
      <c r="J366" s="16"/>
      <c r="K366" s="16"/>
      <c r="L366" s="16"/>
      <c r="M366" s="25"/>
      <c r="N366" s="25"/>
      <c r="O366" s="16"/>
      <c r="P366" s="1"/>
      <c r="Q366" s="1"/>
      <c r="R366" s="1"/>
      <c r="S366" s="1"/>
      <c r="T366" s="1"/>
      <c r="U366" s="33"/>
      <c r="V366" s="16"/>
      <c r="W366" s="1"/>
      <c r="X366" s="1"/>
    </row>
    <row r="367" spans="1:24">
      <c r="A367" s="15"/>
      <c r="B367" s="16"/>
      <c r="C367" s="16"/>
      <c r="D367" s="16"/>
      <c r="E367" s="16"/>
      <c r="F367" s="16"/>
      <c r="G367" s="16"/>
      <c r="H367" s="16"/>
      <c r="I367" s="16"/>
      <c r="J367" s="16"/>
      <c r="K367" s="16"/>
      <c r="L367" s="16"/>
      <c r="M367" s="25"/>
      <c r="N367" s="25"/>
      <c r="O367" s="16"/>
      <c r="P367" s="1"/>
      <c r="Q367" s="1"/>
      <c r="R367" s="1"/>
      <c r="S367" s="1"/>
      <c r="T367" s="1"/>
      <c r="U367" s="33"/>
      <c r="V367" s="16"/>
      <c r="W367" s="1"/>
      <c r="X367" s="1"/>
    </row>
    <row r="368" spans="1:24">
      <c r="A368" s="15"/>
      <c r="B368" s="16"/>
      <c r="C368" s="16"/>
      <c r="D368" s="16"/>
      <c r="E368" s="16"/>
      <c r="F368" s="16"/>
      <c r="G368" s="16"/>
      <c r="H368" s="16"/>
      <c r="I368" s="16"/>
      <c r="J368" s="16"/>
      <c r="K368" s="16"/>
      <c r="L368" s="16"/>
      <c r="M368" s="25"/>
      <c r="N368" s="25"/>
      <c r="O368" s="16"/>
      <c r="P368" s="1"/>
      <c r="Q368" s="1"/>
      <c r="R368" s="1"/>
      <c r="S368" s="1"/>
      <c r="T368" s="1"/>
      <c r="U368" s="33"/>
      <c r="V368" s="16"/>
      <c r="W368" s="1"/>
      <c r="X368" s="1"/>
    </row>
    <row r="369" spans="1:24">
      <c r="A369" s="15"/>
      <c r="B369" s="16"/>
      <c r="C369" s="16"/>
      <c r="D369" s="16"/>
      <c r="E369" s="16"/>
      <c r="F369" s="16"/>
      <c r="G369" s="16"/>
      <c r="H369" s="16"/>
      <c r="I369" s="16"/>
      <c r="J369" s="16"/>
      <c r="K369" s="16"/>
      <c r="L369" s="16"/>
      <c r="M369" s="25"/>
      <c r="N369" s="25"/>
      <c r="O369" s="16"/>
      <c r="P369" s="1"/>
      <c r="Q369" s="1"/>
      <c r="R369" s="1"/>
      <c r="S369" s="1"/>
      <c r="T369" s="1"/>
      <c r="U369" s="33"/>
      <c r="V369" s="16"/>
      <c r="W369" s="1"/>
      <c r="X369" s="1"/>
    </row>
    <row r="370" spans="1:24">
      <c r="A370" s="15"/>
      <c r="B370" s="16"/>
      <c r="C370" s="16"/>
      <c r="D370" s="16"/>
      <c r="E370" s="16"/>
      <c r="F370" s="16"/>
      <c r="G370" s="16"/>
      <c r="H370" s="16"/>
      <c r="I370" s="16"/>
      <c r="J370" s="16"/>
      <c r="K370" s="16"/>
      <c r="L370" s="16"/>
      <c r="M370" s="25"/>
      <c r="N370" s="25"/>
      <c r="O370" s="16"/>
      <c r="P370" s="1"/>
      <c r="Q370" s="1"/>
      <c r="R370" s="1"/>
      <c r="S370" s="1"/>
      <c r="T370" s="1"/>
      <c r="U370" s="33"/>
      <c r="V370" s="16"/>
      <c r="W370" s="1"/>
      <c r="X370" s="1"/>
    </row>
    <row r="371" spans="1:24">
      <c r="A371" s="15"/>
      <c r="B371" s="16"/>
      <c r="C371" s="16"/>
      <c r="D371" s="16"/>
      <c r="E371" s="16"/>
      <c r="F371" s="16"/>
      <c r="G371" s="16"/>
      <c r="H371" s="16"/>
      <c r="I371" s="16"/>
      <c r="J371" s="16"/>
      <c r="K371" s="16"/>
      <c r="L371" s="16"/>
      <c r="M371" s="25"/>
      <c r="N371" s="25"/>
      <c r="O371" s="16"/>
      <c r="P371" s="1"/>
      <c r="Q371" s="1"/>
      <c r="R371" s="1"/>
      <c r="S371" s="1"/>
      <c r="T371" s="1"/>
      <c r="U371" s="33"/>
      <c r="V371" s="16"/>
      <c r="W371" s="1"/>
      <c r="X371" s="1"/>
    </row>
    <row r="372" spans="1:24">
      <c r="A372" s="15"/>
      <c r="B372" s="16"/>
      <c r="C372" s="16"/>
      <c r="D372" s="16"/>
      <c r="E372" s="16"/>
      <c r="F372" s="16"/>
      <c r="G372" s="16"/>
      <c r="H372" s="16"/>
      <c r="I372" s="16"/>
      <c r="J372" s="16"/>
      <c r="K372" s="16"/>
      <c r="L372" s="16"/>
      <c r="M372" s="25"/>
      <c r="N372" s="25"/>
      <c r="O372" s="16"/>
      <c r="P372" s="1"/>
      <c r="Q372" s="1"/>
      <c r="R372" s="1"/>
      <c r="S372" s="1"/>
      <c r="T372" s="1"/>
      <c r="U372" s="33"/>
      <c r="V372" s="16"/>
      <c r="W372" s="1"/>
      <c r="X372" s="1"/>
    </row>
    <row r="373" spans="1:24">
      <c r="A373" s="15"/>
      <c r="B373" s="16"/>
      <c r="C373" s="16"/>
      <c r="D373" s="16"/>
      <c r="E373" s="16"/>
      <c r="F373" s="16"/>
      <c r="G373" s="16"/>
      <c r="H373" s="16"/>
      <c r="I373" s="16"/>
      <c r="J373" s="16"/>
      <c r="K373" s="16"/>
      <c r="L373" s="16"/>
      <c r="M373" s="25"/>
      <c r="N373" s="25"/>
      <c r="O373" s="16"/>
      <c r="P373" s="1"/>
      <c r="Q373" s="1"/>
      <c r="R373" s="1"/>
      <c r="S373" s="1"/>
      <c r="T373" s="1"/>
      <c r="U373" s="33"/>
      <c r="V373" s="16"/>
      <c r="W373" s="1"/>
      <c r="X373" s="1"/>
    </row>
    <row r="374" spans="1:24">
      <c r="A374" s="15"/>
      <c r="B374" s="16"/>
      <c r="C374" s="16"/>
      <c r="D374" s="16"/>
      <c r="E374" s="16"/>
      <c r="F374" s="16"/>
      <c r="G374" s="16"/>
      <c r="H374" s="16"/>
      <c r="I374" s="16"/>
      <c r="J374" s="16"/>
      <c r="K374" s="16"/>
      <c r="L374" s="16"/>
      <c r="M374" s="26"/>
      <c r="N374" s="26"/>
      <c r="O374" s="16"/>
      <c r="P374" s="1"/>
      <c r="Q374" s="1"/>
      <c r="R374" s="1"/>
      <c r="S374" s="1"/>
      <c r="T374" s="1"/>
      <c r="U374" s="33"/>
      <c r="V374" s="16"/>
      <c r="W374" s="1"/>
      <c r="X374" s="1"/>
    </row>
    <row r="375" spans="1:24">
      <c r="A375" s="15"/>
      <c r="B375" s="16"/>
      <c r="C375" s="16"/>
      <c r="D375" s="16"/>
      <c r="E375" s="16"/>
      <c r="F375" s="16"/>
      <c r="G375" s="16"/>
      <c r="H375" s="16"/>
      <c r="I375" s="16"/>
      <c r="J375" s="16"/>
      <c r="K375" s="16"/>
      <c r="L375" s="16"/>
      <c r="M375" s="26"/>
      <c r="N375" s="26"/>
      <c r="O375" s="16"/>
      <c r="P375" s="1"/>
      <c r="Q375" s="1"/>
      <c r="R375" s="1"/>
      <c r="S375" s="1"/>
      <c r="T375" s="1"/>
      <c r="U375" s="33"/>
      <c r="V375" s="16"/>
      <c r="W375" s="1"/>
      <c r="X375" s="1"/>
    </row>
    <row r="376" spans="1:24">
      <c r="A376" s="15"/>
      <c r="B376" s="16"/>
      <c r="C376" s="16"/>
      <c r="D376" s="16"/>
      <c r="E376" s="16"/>
      <c r="F376" s="16"/>
      <c r="G376" s="16"/>
      <c r="H376" s="16"/>
      <c r="I376" s="16"/>
      <c r="J376" s="16"/>
      <c r="K376" s="16"/>
      <c r="L376" s="16"/>
      <c r="M376" s="26"/>
      <c r="N376" s="26"/>
      <c r="O376" s="16"/>
      <c r="P376" s="1"/>
      <c r="Q376" s="1"/>
      <c r="R376" s="1"/>
      <c r="S376" s="1"/>
      <c r="T376" s="1"/>
      <c r="U376" s="33"/>
      <c r="V376" s="16"/>
      <c r="W376" s="1"/>
      <c r="X376" s="1"/>
    </row>
    <row r="377" spans="1:24">
      <c r="A377" s="15"/>
      <c r="B377" s="16"/>
      <c r="C377" s="16"/>
      <c r="D377" s="16"/>
      <c r="E377" s="16"/>
      <c r="F377" s="16"/>
      <c r="G377" s="16"/>
      <c r="H377" s="16"/>
      <c r="I377" s="16"/>
      <c r="J377" s="16"/>
      <c r="K377" s="16"/>
      <c r="L377" s="16"/>
      <c r="M377" s="26"/>
      <c r="N377" s="26"/>
      <c r="O377" s="16"/>
      <c r="P377" s="1"/>
      <c r="Q377" s="1"/>
      <c r="R377" s="1"/>
      <c r="S377" s="1"/>
      <c r="T377" s="1"/>
      <c r="U377" s="33"/>
      <c r="V377" s="16"/>
      <c r="W377" s="1"/>
      <c r="X377" s="1"/>
    </row>
    <row r="378" spans="1:24">
      <c r="A378" s="1"/>
      <c r="B378" s="16"/>
      <c r="C378" s="16"/>
      <c r="D378" s="16"/>
      <c r="E378" s="16"/>
      <c r="F378" s="16"/>
      <c r="G378" s="16"/>
      <c r="H378" s="16"/>
      <c r="I378" s="16"/>
      <c r="J378" s="16"/>
      <c r="K378" s="16"/>
      <c r="L378" s="16"/>
      <c r="M378" s="26"/>
      <c r="N378" s="26"/>
      <c r="O378" s="16"/>
      <c r="P378" s="1"/>
      <c r="Q378" s="1"/>
      <c r="R378" s="1"/>
      <c r="S378" s="1"/>
      <c r="T378" s="1"/>
      <c r="U378" s="33"/>
      <c r="V378" s="16"/>
      <c r="W378" s="1"/>
      <c r="X378" s="1"/>
    </row>
    <row r="379" spans="1:24">
      <c r="A379" s="1"/>
      <c r="B379" s="16"/>
      <c r="C379" s="16"/>
      <c r="D379" s="16"/>
      <c r="E379" s="16"/>
      <c r="F379" s="16"/>
      <c r="G379" s="16"/>
      <c r="H379" s="16"/>
      <c r="I379" s="16"/>
      <c r="J379" s="16"/>
      <c r="K379" s="16"/>
      <c r="L379" s="16"/>
      <c r="M379" s="26"/>
      <c r="N379" s="26"/>
      <c r="O379" s="16"/>
      <c r="P379" s="1"/>
      <c r="Q379" s="1"/>
      <c r="R379" s="1"/>
      <c r="S379" s="1"/>
      <c r="T379" s="1"/>
      <c r="U379" s="33"/>
      <c r="V379" s="16"/>
      <c r="W379" s="1"/>
      <c r="X379" s="1"/>
    </row>
    <row r="380" spans="1:24">
      <c r="A380" s="1"/>
      <c r="B380" s="16"/>
      <c r="C380" s="16"/>
      <c r="D380" s="16"/>
      <c r="E380" s="16"/>
      <c r="F380" s="16"/>
      <c r="G380" s="16"/>
      <c r="H380" s="16"/>
      <c r="I380" s="16"/>
      <c r="J380" s="16"/>
      <c r="K380" s="16"/>
      <c r="L380" s="16"/>
      <c r="M380" s="26"/>
      <c r="N380" s="26"/>
      <c r="O380" s="16"/>
      <c r="P380" s="1"/>
      <c r="Q380" s="1"/>
      <c r="R380" s="1"/>
      <c r="S380" s="1"/>
      <c r="T380" s="1"/>
      <c r="U380" s="33"/>
      <c r="V380" s="16"/>
      <c r="W380" s="1"/>
      <c r="X380" s="1"/>
    </row>
    <row r="381" spans="1:24">
      <c r="A381" s="1"/>
      <c r="B381" s="16"/>
      <c r="C381" s="16"/>
      <c r="D381" s="16"/>
      <c r="E381" s="16"/>
      <c r="F381" s="16"/>
      <c r="G381" s="16"/>
      <c r="H381" s="16"/>
      <c r="I381" s="16"/>
      <c r="J381" s="16"/>
      <c r="K381" s="16"/>
      <c r="L381" s="16"/>
      <c r="M381" s="26"/>
      <c r="N381" s="26"/>
      <c r="O381" s="16"/>
      <c r="P381" s="1"/>
      <c r="Q381" s="1"/>
      <c r="R381" s="1"/>
      <c r="S381" s="1"/>
      <c r="T381" s="1"/>
      <c r="U381" s="33"/>
      <c r="V381" s="16"/>
      <c r="W381" s="1"/>
      <c r="X381" s="1"/>
    </row>
    <row r="382" spans="1:24">
      <c r="A382" s="1"/>
      <c r="B382" s="16"/>
      <c r="C382" s="16"/>
      <c r="D382" s="16"/>
      <c r="E382" s="16"/>
      <c r="F382" s="16"/>
      <c r="G382" s="16"/>
      <c r="H382" s="16"/>
      <c r="I382" s="16"/>
      <c r="J382" s="16"/>
      <c r="K382" s="16"/>
      <c r="L382" s="16"/>
      <c r="M382" s="26"/>
      <c r="N382" s="26"/>
      <c r="O382" s="16"/>
      <c r="P382" s="1"/>
      <c r="Q382" s="1"/>
      <c r="R382" s="1"/>
      <c r="S382" s="1"/>
      <c r="T382" s="1"/>
      <c r="U382" s="33"/>
      <c r="V382" s="16"/>
      <c r="W382" s="1"/>
      <c r="X382" s="1"/>
    </row>
    <row r="383" spans="1:24">
      <c r="A383" s="1"/>
      <c r="B383" s="16"/>
      <c r="C383" s="16"/>
      <c r="D383" s="16"/>
      <c r="E383" s="16"/>
      <c r="F383" s="16"/>
      <c r="G383" s="16"/>
      <c r="H383" s="16"/>
      <c r="I383" s="16"/>
      <c r="J383" s="16"/>
      <c r="K383" s="16"/>
      <c r="L383" s="16"/>
      <c r="M383" s="26"/>
      <c r="N383" s="26"/>
      <c r="O383" s="16"/>
      <c r="P383" s="1"/>
      <c r="Q383" s="1"/>
      <c r="R383" s="1"/>
      <c r="S383" s="1"/>
      <c r="T383" s="1"/>
      <c r="U383" s="33"/>
      <c r="V383" s="16"/>
      <c r="W383" s="1"/>
      <c r="X383" s="1"/>
    </row>
    <row r="384" spans="1:24">
      <c r="A384" s="1"/>
      <c r="B384" s="16"/>
      <c r="C384" s="16"/>
      <c r="D384" s="16"/>
      <c r="E384" s="16"/>
      <c r="F384" s="16"/>
      <c r="G384" s="16"/>
      <c r="H384" s="16"/>
      <c r="I384" s="16"/>
      <c r="J384" s="16"/>
      <c r="K384" s="16"/>
      <c r="L384" s="16"/>
      <c r="M384" s="26"/>
      <c r="N384" s="26"/>
      <c r="O384" s="16"/>
      <c r="P384" s="1"/>
      <c r="Q384" s="1"/>
      <c r="R384" s="1"/>
      <c r="S384" s="1"/>
      <c r="T384" s="1"/>
      <c r="U384" s="33"/>
      <c r="V384" s="16"/>
      <c r="W384" s="1"/>
      <c r="X384" s="1"/>
    </row>
    <row r="385" spans="1:24">
      <c r="A385" s="1"/>
      <c r="B385" s="16"/>
      <c r="C385" s="16"/>
      <c r="D385" s="16"/>
      <c r="E385" s="16"/>
      <c r="F385" s="16"/>
      <c r="G385" s="16"/>
      <c r="H385" s="16"/>
      <c r="I385" s="16"/>
      <c r="J385" s="16"/>
      <c r="K385" s="16"/>
      <c r="L385" s="16"/>
      <c r="M385" s="26"/>
      <c r="N385" s="26"/>
      <c r="O385" s="16"/>
      <c r="P385" s="1"/>
      <c r="Q385" s="1"/>
      <c r="R385" s="1"/>
      <c r="S385" s="1"/>
      <c r="T385" s="1"/>
      <c r="U385" s="33"/>
      <c r="V385" s="16"/>
      <c r="W385" s="1"/>
      <c r="X385" s="1"/>
    </row>
    <row r="386" spans="1:24">
      <c r="A386" s="1"/>
      <c r="B386" s="16"/>
      <c r="C386" s="16"/>
      <c r="D386" s="16"/>
      <c r="E386" s="16"/>
      <c r="F386" s="16"/>
      <c r="G386" s="16"/>
      <c r="H386" s="16"/>
      <c r="I386" s="16"/>
      <c r="J386" s="16"/>
      <c r="K386" s="16"/>
      <c r="L386" s="16"/>
      <c r="M386" s="26"/>
      <c r="N386" s="26"/>
      <c r="O386" s="16"/>
      <c r="P386" s="1"/>
      <c r="Q386" s="1"/>
      <c r="R386" s="1"/>
      <c r="S386" s="1"/>
      <c r="T386" s="1"/>
      <c r="U386" s="33"/>
      <c r="V386" s="16"/>
      <c r="W386" s="1"/>
      <c r="X386" s="1"/>
    </row>
    <row r="387" spans="1:24">
      <c r="A387" s="1"/>
      <c r="B387" s="16"/>
      <c r="C387" s="16"/>
      <c r="D387" s="16"/>
      <c r="E387" s="16"/>
      <c r="F387" s="16"/>
      <c r="G387" s="16"/>
      <c r="H387" s="16"/>
      <c r="I387" s="16"/>
      <c r="J387" s="16"/>
      <c r="K387" s="16"/>
      <c r="L387" s="16"/>
      <c r="M387" s="26"/>
      <c r="N387" s="26"/>
      <c r="O387" s="16"/>
      <c r="P387" s="1"/>
      <c r="Q387" s="1"/>
      <c r="R387" s="1"/>
      <c r="S387" s="1"/>
      <c r="T387" s="1"/>
      <c r="U387" s="33"/>
      <c r="V387" s="16"/>
      <c r="W387" s="1"/>
      <c r="X387" s="1"/>
    </row>
    <row r="388" spans="1:24">
      <c r="A388" s="1"/>
      <c r="B388" s="16"/>
      <c r="C388" s="16"/>
      <c r="D388" s="16"/>
      <c r="E388" s="16"/>
      <c r="F388" s="16"/>
      <c r="G388" s="16"/>
      <c r="H388" s="16"/>
      <c r="I388" s="16"/>
      <c r="J388" s="16"/>
      <c r="K388" s="16"/>
      <c r="L388" s="16"/>
      <c r="M388" s="26"/>
      <c r="N388" s="26"/>
      <c r="O388" s="16"/>
      <c r="P388" s="1"/>
      <c r="Q388" s="1"/>
      <c r="R388" s="1"/>
      <c r="S388" s="1"/>
      <c r="T388" s="1"/>
      <c r="U388" s="33"/>
      <c r="V388" s="16"/>
      <c r="W388" s="1"/>
      <c r="X388" s="1"/>
    </row>
    <row r="389" spans="1:24">
      <c r="A389" s="1"/>
      <c r="B389" s="16"/>
      <c r="C389" s="16"/>
      <c r="D389" s="16"/>
      <c r="E389" s="16"/>
      <c r="F389" s="16"/>
      <c r="G389" s="16"/>
      <c r="H389" s="16"/>
      <c r="I389" s="16"/>
      <c r="J389" s="16"/>
      <c r="K389" s="16"/>
      <c r="L389" s="16"/>
      <c r="M389" s="26"/>
      <c r="N389" s="26"/>
      <c r="O389" s="16"/>
      <c r="P389" s="1"/>
      <c r="Q389" s="1"/>
      <c r="R389" s="1"/>
      <c r="S389" s="1"/>
      <c r="T389" s="1"/>
      <c r="U389" s="33"/>
      <c r="V389" s="16"/>
      <c r="W389" s="1"/>
      <c r="X389" s="1"/>
    </row>
    <row r="390" spans="1:24">
      <c r="A390" s="1"/>
      <c r="B390" s="16"/>
      <c r="C390" s="16"/>
      <c r="D390" s="16"/>
      <c r="E390" s="16"/>
      <c r="F390" s="16"/>
      <c r="G390" s="16"/>
      <c r="H390" s="16"/>
      <c r="I390" s="16"/>
      <c r="J390" s="16"/>
      <c r="K390" s="16"/>
      <c r="L390" s="16"/>
      <c r="M390" s="26"/>
      <c r="N390" s="26"/>
      <c r="O390" s="16"/>
      <c r="P390" s="1"/>
      <c r="Q390" s="1"/>
      <c r="R390" s="1"/>
      <c r="S390" s="1"/>
      <c r="T390" s="1"/>
      <c r="U390" s="33"/>
      <c r="V390" s="16"/>
      <c r="W390" s="1"/>
      <c r="X390" s="1"/>
    </row>
    <row r="391" spans="1:24">
      <c r="A391" s="1"/>
      <c r="B391" s="16"/>
      <c r="C391" s="16"/>
      <c r="D391" s="16"/>
      <c r="E391" s="16"/>
      <c r="F391" s="16"/>
      <c r="G391" s="16"/>
      <c r="H391" s="16"/>
      <c r="I391" s="16"/>
      <c r="J391" s="16"/>
      <c r="K391" s="16"/>
      <c r="L391" s="16"/>
      <c r="M391" s="26"/>
      <c r="N391" s="26"/>
      <c r="O391" s="16"/>
      <c r="P391" s="1"/>
      <c r="Q391" s="1"/>
      <c r="R391" s="1"/>
      <c r="S391" s="1"/>
      <c r="T391" s="1"/>
      <c r="U391" s="33"/>
      <c r="V391" s="16"/>
      <c r="W391" s="1"/>
      <c r="X391" s="1"/>
    </row>
    <row r="392" spans="1:24">
      <c r="A392" s="1"/>
      <c r="B392" s="16"/>
      <c r="C392" s="16"/>
      <c r="D392" s="16"/>
      <c r="E392" s="16"/>
      <c r="F392" s="16"/>
      <c r="G392" s="16"/>
      <c r="H392" s="16"/>
      <c r="I392" s="16"/>
      <c r="J392" s="16"/>
      <c r="K392" s="16"/>
      <c r="L392" s="16"/>
      <c r="M392" s="26"/>
      <c r="N392" s="26"/>
      <c r="O392" s="16"/>
      <c r="P392" s="1"/>
      <c r="Q392" s="1"/>
      <c r="R392" s="1"/>
      <c r="S392" s="1"/>
      <c r="T392" s="1"/>
      <c r="U392" s="33"/>
      <c r="V392" s="16"/>
      <c r="W392" s="1"/>
      <c r="X392" s="1"/>
    </row>
    <row r="393" spans="1:24">
      <c r="A393" s="1"/>
      <c r="B393" s="16"/>
      <c r="C393" s="16"/>
      <c r="D393" s="16"/>
      <c r="E393" s="16"/>
      <c r="F393" s="16"/>
      <c r="G393" s="16"/>
      <c r="H393" s="16"/>
      <c r="I393" s="16"/>
      <c r="J393" s="16"/>
      <c r="K393" s="16"/>
      <c r="L393" s="16"/>
      <c r="M393" s="26"/>
      <c r="N393" s="26"/>
      <c r="O393" s="16"/>
      <c r="P393" s="1"/>
      <c r="Q393" s="1"/>
      <c r="R393" s="1"/>
      <c r="S393" s="1"/>
      <c r="T393" s="1"/>
      <c r="U393" s="33"/>
      <c r="V393" s="16"/>
      <c r="W393" s="1"/>
      <c r="X393" s="1"/>
    </row>
    <row r="394" spans="1:24">
      <c r="A394" s="1"/>
      <c r="B394" s="16"/>
      <c r="C394" s="16"/>
      <c r="D394" s="16"/>
      <c r="E394" s="16"/>
      <c r="F394" s="16"/>
      <c r="G394" s="16"/>
      <c r="H394" s="16"/>
      <c r="I394" s="16"/>
      <c r="J394" s="16"/>
      <c r="K394" s="16"/>
      <c r="L394" s="16"/>
      <c r="M394" s="26"/>
      <c r="N394" s="26"/>
      <c r="O394" s="16"/>
      <c r="P394" s="1"/>
      <c r="Q394" s="1"/>
      <c r="R394" s="1"/>
      <c r="S394" s="1"/>
      <c r="T394" s="1"/>
      <c r="U394" s="33"/>
      <c r="V394" s="16"/>
      <c r="W394" s="1"/>
      <c r="X394" s="1"/>
    </row>
    <row r="395" spans="1:24">
      <c r="A395" s="1"/>
      <c r="B395" s="16"/>
      <c r="C395" s="16"/>
      <c r="D395" s="16"/>
      <c r="E395" s="16"/>
      <c r="F395" s="16"/>
      <c r="G395" s="16"/>
      <c r="H395" s="16"/>
      <c r="I395" s="16"/>
      <c r="J395" s="16"/>
      <c r="K395" s="16"/>
      <c r="L395" s="16"/>
      <c r="M395" s="26"/>
      <c r="N395" s="26"/>
      <c r="O395" s="16"/>
      <c r="P395" s="1"/>
      <c r="Q395" s="1"/>
      <c r="R395" s="1"/>
      <c r="S395" s="1"/>
      <c r="T395" s="1"/>
      <c r="U395" s="33"/>
      <c r="V395" s="16"/>
      <c r="W395" s="1"/>
      <c r="X395" s="1"/>
    </row>
    <row r="396" spans="1:24">
      <c r="A396" s="1"/>
      <c r="B396" s="16"/>
      <c r="C396" s="16"/>
      <c r="D396" s="16"/>
      <c r="E396" s="16"/>
      <c r="F396" s="16"/>
      <c r="G396" s="16"/>
      <c r="H396" s="16"/>
      <c r="I396" s="16"/>
      <c r="J396" s="16"/>
      <c r="K396" s="16"/>
      <c r="L396" s="16"/>
      <c r="M396" s="26"/>
      <c r="N396" s="26"/>
      <c r="O396" s="16"/>
      <c r="P396" s="1"/>
      <c r="Q396" s="1"/>
      <c r="R396" s="1"/>
      <c r="S396" s="1"/>
      <c r="T396" s="1"/>
      <c r="U396" s="33"/>
      <c r="V396" s="16"/>
      <c r="W396" s="1"/>
      <c r="X396" s="1"/>
    </row>
    <row r="397" spans="1:24">
      <c r="A397" s="1"/>
      <c r="B397" s="16"/>
      <c r="C397" s="16"/>
      <c r="D397" s="16"/>
      <c r="E397" s="16"/>
      <c r="F397" s="16"/>
      <c r="G397" s="16"/>
      <c r="H397" s="16"/>
      <c r="I397" s="16"/>
      <c r="J397" s="16"/>
      <c r="K397" s="16"/>
      <c r="L397" s="16"/>
      <c r="M397" s="26"/>
      <c r="N397" s="26"/>
      <c r="O397" s="16"/>
      <c r="P397" s="1"/>
      <c r="Q397" s="1"/>
      <c r="R397" s="1"/>
      <c r="S397" s="1"/>
      <c r="T397" s="1"/>
      <c r="U397" s="33"/>
      <c r="V397" s="16"/>
      <c r="W397" s="1"/>
      <c r="X397" s="1"/>
    </row>
    <row r="398" spans="1:24">
      <c r="A398" s="1"/>
      <c r="B398" s="16"/>
      <c r="C398" s="16"/>
      <c r="D398" s="16"/>
      <c r="E398" s="16"/>
      <c r="F398" s="16"/>
      <c r="G398" s="16"/>
      <c r="H398" s="16"/>
      <c r="I398" s="16"/>
      <c r="J398" s="16"/>
      <c r="K398" s="16"/>
      <c r="L398" s="16"/>
      <c r="M398" s="26"/>
      <c r="N398" s="26"/>
      <c r="O398" s="16"/>
      <c r="P398" s="1"/>
      <c r="Q398" s="1"/>
      <c r="R398" s="1"/>
      <c r="S398" s="1"/>
      <c r="T398" s="1"/>
      <c r="U398" s="33"/>
      <c r="V398" s="16"/>
      <c r="W398" s="1"/>
      <c r="X398" s="1"/>
    </row>
    <row r="399" spans="1:24">
      <c r="A399" s="1"/>
      <c r="B399" s="16"/>
      <c r="C399" s="16"/>
      <c r="D399" s="16"/>
      <c r="E399" s="16"/>
      <c r="F399" s="16"/>
      <c r="G399" s="16"/>
      <c r="H399" s="16"/>
      <c r="I399" s="16"/>
      <c r="J399" s="16"/>
      <c r="K399" s="16"/>
      <c r="L399" s="16"/>
      <c r="M399" s="26"/>
      <c r="N399" s="26"/>
      <c r="O399" s="16"/>
      <c r="P399" s="1"/>
      <c r="Q399" s="1"/>
      <c r="R399" s="1"/>
      <c r="S399" s="1"/>
      <c r="T399" s="1"/>
      <c r="U399" s="33"/>
      <c r="V399" s="16"/>
      <c r="W399" s="1"/>
      <c r="X399" s="1"/>
    </row>
    <row r="400" spans="1:24">
      <c r="A400" s="1"/>
      <c r="B400" s="16"/>
      <c r="C400" s="16"/>
      <c r="D400" s="16"/>
      <c r="E400" s="16"/>
      <c r="F400" s="16"/>
      <c r="G400" s="16"/>
      <c r="H400" s="16"/>
      <c r="I400" s="16"/>
      <c r="J400" s="16"/>
      <c r="K400" s="16"/>
      <c r="L400" s="16"/>
      <c r="M400" s="26"/>
      <c r="N400" s="26"/>
      <c r="O400" s="16"/>
      <c r="P400" s="1"/>
      <c r="Q400" s="1"/>
      <c r="R400" s="1"/>
      <c r="S400" s="1"/>
      <c r="T400" s="1"/>
      <c r="U400" s="33"/>
      <c r="V400" s="16"/>
      <c r="W400" s="1"/>
      <c r="X400" s="1"/>
    </row>
    <row r="401" spans="1:24">
      <c r="A401" s="1"/>
      <c r="B401" s="16"/>
      <c r="C401" s="16"/>
      <c r="D401" s="16"/>
      <c r="E401" s="16"/>
      <c r="F401" s="16"/>
      <c r="G401" s="16"/>
      <c r="H401" s="16"/>
      <c r="I401" s="16"/>
      <c r="J401" s="16"/>
      <c r="K401" s="16"/>
      <c r="L401" s="16"/>
      <c r="M401" s="26"/>
      <c r="N401" s="26"/>
      <c r="O401" s="16"/>
      <c r="P401" s="1"/>
      <c r="Q401" s="1"/>
      <c r="R401" s="1"/>
      <c r="S401" s="1"/>
      <c r="T401" s="1"/>
      <c r="U401" s="33"/>
      <c r="V401" s="16"/>
      <c r="W401" s="1"/>
      <c r="X401" s="1"/>
    </row>
    <row r="402" spans="1:24">
      <c r="A402" s="1"/>
      <c r="B402" s="16"/>
      <c r="C402" s="16"/>
      <c r="D402" s="16"/>
      <c r="E402" s="16"/>
      <c r="F402" s="16"/>
      <c r="G402" s="16"/>
      <c r="H402" s="16"/>
      <c r="I402" s="16"/>
      <c r="J402" s="16"/>
      <c r="K402" s="16"/>
      <c r="L402" s="16"/>
      <c r="M402" s="26"/>
      <c r="N402" s="26"/>
      <c r="O402" s="16"/>
      <c r="P402" s="1"/>
      <c r="Q402" s="1"/>
      <c r="R402" s="1"/>
      <c r="S402" s="1"/>
      <c r="T402" s="1"/>
      <c r="U402" s="33"/>
      <c r="V402" s="16"/>
      <c r="W402" s="1"/>
      <c r="X402" s="1"/>
    </row>
    <row r="403" spans="1:24">
      <c r="A403" s="1"/>
      <c r="B403" s="16"/>
      <c r="C403" s="16"/>
      <c r="D403" s="16"/>
      <c r="E403" s="16"/>
      <c r="F403" s="16"/>
      <c r="G403" s="16"/>
      <c r="H403" s="16"/>
      <c r="I403" s="16"/>
      <c r="J403" s="16"/>
      <c r="K403" s="16"/>
      <c r="L403" s="16"/>
      <c r="M403" s="26"/>
      <c r="N403" s="26"/>
      <c r="O403" s="16"/>
      <c r="P403" s="1"/>
      <c r="Q403" s="1"/>
      <c r="R403" s="1"/>
      <c r="S403" s="1"/>
      <c r="T403" s="1"/>
      <c r="U403" s="33"/>
      <c r="V403" s="16"/>
      <c r="W403" s="1"/>
      <c r="X403" s="1"/>
    </row>
    <row r="404" spans="1:24">
      <c r="A404" s="1"/>
      <c r="B404" s="16"/>
      <c r="C404" s="16"/>
      <c r="D404" s="16"/>
      <c r="E404" s="16"/>
      <c r="F404" s="16"/>
      <c r="G404" s="16"/>
      <c r="H404" s="16"/>
      <c r="I404" s="16"/>
      <c r="J404" s="16"/>
      <c r="K404" s="16"/>
      <c r="L404" s="16"/>
      <c r="M404" s="26"/>
      <c r="N404" s="26"/>
      <c r="O404" s="16"/>
      <c r="P404" s="1"/>
      <c r="Q404" s="1"/>
      <c r="R404" s="1"/>
      <c r="S404" s="1"/>
      <c r="T404" s="1"/>
      <c r="U404" s="33"/>
      <c r="V404" s="16"/>
      <c r="W404" s="1"/>
      <c r="X404" s="1"/>
    </row>
    <row r="405" spans="1:24">
      <c r="A405" s="1"/>
      <c r="B405" s="16"/>
      <c r="C405" s="16"/>
      <c r="D405" s="16"/>
      <c r="E405" s="16"/>
      <c r="F405" s="16"/>
      <c r="G405" s="16"/>
      <c r="H405" s="16"/>
      <c r="I405" s="16"/>
      <c r="J405" s="16"/>
      <c r="K405" s="16"/>
      <c r="L405" s="16"/>
      <c r="M405" s="26"/>
      <c r="N405" s="26"/>
      <c r="O405" s="16"/>
      <c r="P405" s="1"/>
      <c r="Q405" s="1"/>
      <c r="R405" s="1"/>
      <c r="S405" s="1"/>
      <c r="T405" s="1"/>
      <c r="U405" s="33"/>
      <c r="V405" s="16"/>
      <c r="W405" s="1"/>
      <c r="X405" s="1"/>
    </row>
    <row r="406" spans="1:24">
      <c r="A406" s="1"/>
      <c r="B406" s="16"/>
      <c r="C406" s="16"/>
      <c r="D406" s="16"/>
      <c r="E406" s="16"/>
      <c r="F406" s="16"/>
      <c r="G406" s="16"/>
      <c r="H406" s="16"/>
      <c r="I406" s="16"/>
      <c r="J406" s="16"/>
      <c r="K406" s="16"/>
      <c r="L406" s="16"/>
      <c r="M406" s="26"/>
      <c r="N406" s="26"/>
      <c r="O406" s="16"/>
      <c r="P406" s="1"/>
      <c r="Q406" s="1"/>
      <c r="R406" s="1"/>
      <c r="S406" s="1"/>
      <c r="T406" s="1"/>
      <c r="U406" s="33"/>
      <c r="V406" s="16"/>
      <c r="W406" s="1"/>
      <c r="X406" s="1"/>
    </row>
    <row r="407" spans="1:24">
      <c r="A407" s="1"/>
      <c r="B407" s="16"/>
      <c r="C407" s="16"/>
      <c r="D407" s="16"/>
      <c r="E407" s="16"/>
      <c r="F407" s="16"/>
      <c r="G407" s="16"/>
      <c r="H407" s="16"/>
      <c r="I407" s="16"/>
      <c r="J407" s="16"/>
      <c r="K407" s="16"/>
      <c r="L407" s="16"/>
      <c r="M407" s="26"/>
      <c r="N407" s="26"/>
      <c r="O407" s="16"/>
      <c r="P407" s="1"/>
      <c r="Q407" s="1"/>
      <c r="R407" s="1"/>
      <c r="S407" s="1"/>
      <c r="T407" s="1"/>
      <c r="U407" s="33"/>
      <c r="V407" s="16"/>
      <c r="W407" s="1"/>
      <c r="X407" s="1"/>
    </row>
    <row r="408" spans="1:24">
      <c r="A408" s="1"/>
      <c r="B408" s="16"/>
      <c r="C408" s="16"/>
      <c r="D408" s="16"/>
      <c r="E408" s="16"/>
      <c r="F408" s="16"/>
      <c r="G408" s="16"/>
      <c r="H408" s="16"/>
      <c r="I408" s="16"/>
      <c r="J408" s="16"/>
      <c r="K408" s="16"/>
      <c r="L408" s="16"/>
      <c r="M408" s="26"/>
      <c r="N408" s="26"/>
      <c r="O408" s="16"/>
      <c r="P408" s="1"/>
      <c r="Q408" s="1"/>
      <c r="R408" s="1"/>
      <c r="S408" s="1"/>
      <c r="T408" s="1"/>
      <c r="U408" s="33"/>
      <c r="V408" s="16"/>
      <c r="W408" s="1"/>
      <c r="X408" s="1"/>
    </row>
    <row r="409" spans="1:24">
      <c r="A409" s="1"/>
      <c r="B409" s="16"/>
      <c r="C409" s="16"/>
      <c r="D409" s="16"/>
      <c r="E409" s="16"/>
      <c r="F409" s="16"/>
      <c r="G409" s="16"/>
      <c r="H409" s="16"/>
      <c r="I409" s="16"/>
      <c r="J409" s="16"/>
      <c r="K409" s="16"/>
      <c r="L409" s="16"/>
      <c r="M409" s="26"/>
      <c r="N409" s="26"/>
      <c r="O409" s="16"/>
      <c r="P409" s="1"/>
      <c r="Q409" s="1"/>
      <c r="R409" s="1"/>
      <c r="S409" s="1"/>
      <c r="T409" s="1"/>
      <c r="U409" s="33"/>
      <c r="V409" s="16"/>
      <c r="W409" s="1"/>
      <c r="X409" s="1"/>
    </row>
    <row r="410" spans="1:24">
      <c r="A410" s="1"/>
      <c r="B410" s="16"/>
      <c r="C410" s="16"/>
      <c r="D410" s="16"/>
      <c r="E410" s="16"/>
      <c r="F410" s="16"/>
      <c r="G410" s="16"/>
      <c r="H410" s="16"/>
      <c r="I410" s="16"/>
      <c r="J410" s="16"/>
      <c r="K410" s="16"/>
      <c r="L410" s="16"/>
      <c r="M410" s="26"/>
      <c r="N410" s="26"/>
      <c r="O410" s="16"/>
      <c r="P410" s="1"/>
      <c r="Q410" s="1"/>
      <c r="R410" s="1"/>
      <c r="S410" s="1"/>
      <c r="T410" s="1"/>
      <c r="U410" s="33"/>
      <c r="V410" s="16"/>
      <c r="W410" s="1"/>
      <c r="X410" s="1"/>
    </row>
    <row r="411" spans="1:24">
      <c r="A411" s="1"/>
      <c r="B411" s="16"/>
      <c r="C411" s="16"/>
      <c r="D411" s="16"/>
      <c r="E411" s="16"/>
      <c r="F411" s="16"/>
      <c r="G411" s="16"/>
      <c r="H411" s="16"/>
      <c r="I411" s="16"/>
      <c r="J411" s="16"/>
      <c r="K411" s="16"/>
      <c r="L411" s="16"/>
      <c r="M411" s="26"/>
      <c r="N411" s="26"/>
      <c r="O411" s="16"/>
      <c r="P411" s="1"/>
      <c r="Q411" s="1"/>
      <c r="R411" s="1"/>
      <c r="S411" s="1"/>
      <c r="T411" s="1"/>
      <c r="U411" s="33"/>
      <c r="V411" s="16"/>
      <c r="W411" s="1"/>
      <c r="X411" s="1"/>
    </row>
    <row r="412" spans="1:24">
      <c r="A412" s="1"/>
      <c r="B412" s="16"/>
      <c r="C412" s="16"/>
      <c r="D412" s="16"/>
      <c r="E412" s="16"/>
      <c r="F412" s="16"/>
      <c r="G412" s="16"/>
      <c r="H412" s="16"/>
      <c r="I412" s="16"/>
      <c r="J412" s="16"/>
      <c r="K412" s="16"/>
      <c r="L412" s="16"/>
      <c r="M412" s="26"/>
      <c r="N412" s="26"/>
      <c r="O412" s="16"/>
      <c r="P412" s="1"/>
      <c r="Q412" s="1"/>
      <c r="R412" s="1"/>
      <c r="S412" s="1"/>
      <c r="T412" s="1"/>
      <c r="U412" s="33"/>
      <c r="V412" s="16"/>
      <c r="W412" s="1"/>
      <c r="X412" s="1"/>
    </row>
    <row r="413" spans="1:24">
      <c r="A413" s="1"/>
      <c r="B413" s="16"/>
      <c r="C413" s="16"/>
      <c r="D413" s="16"/>
      <c r="E413" s="16"/>
      <c r="F413" s="16"/>
      <c r="G413" s="16"/>
      <c r="H413" s="16"/>
      <c r="I413" s="16"/>
      <c r="J413" s="16"/>
      <c r="K413" s="16"/>
      <c r="L413" s="16"/>
      <c r="M413" s="26"/>
      <c r="N413" s="26"/>
      <c r="O413" s="16"/>
      <c r="P413" s="1"/>
      <c r="Q413" s="1"/>
      <c r="R413" s="1"/>
      <c r="S413" s="1"/>
      <c r="T413" s="1"/>
      <c r="U413" s="33"/>
      <c r="V413" s="16"/>
      <c r="W413" s="1"/>
      <c r="X413" s="1"/>
    </row>
    <row r="414" spans="1:24">
      <c r="A414" s="1"/>
      <c r="B414" s="16"/>
      <c r="C414" s="16"/>
      <c r="D414" s="16"/>
      <c r="E414" s="16"/>
      <c r="F414" s="16"/>
      <c r="G414" s="16"/>
      <c r="H414" s="16"/>
      <c r="I414" s="16"/>
      <c r="J414" s="16"/>
      <c r="K414" s="16"/>
      <c r="L414" s="16"/>
      <c r="M414" s="26"/>
      <c r="N414" s="26"/>
      <c r="O414" s="16"/>
      <c r="P414" s="1"/>
      <c r="Q414" s="1"/>
      <c r="R414" s="1"/>
      <c r="S414" s="1"/>
      <c r="T414" s="1"/>
      <c r="U414" s="33"/>
      <c r="V414" s="16"/>
      <c r="W414" s="1"/>
      <c r="X414" s="1"/>
    </row>
    <row r="415" spans="1:24">
      <c r="A415" s="1"/>
      <c r="B415" s="16"/>
      <c r="C415" s="16"/>
      <c r="D415" s="16"/>
      <c r="E415" s="16"/>
      <c r="F415" s="16"/>
      <c r="G415" s="16"/>
      <c r="H415" s="16"/>
      <c r="I415" s="16"/>
      <c r="J415" s="16"/>
      <c r="K415" s="16"/>
      <c r="L415" s="16"/>
      <c r="M415" s="26"/>
      <c r="N415" s="26"/>
      <c r="O415" s="16"/>
      <c r="P415" s="1"/>
      <c r="Q415" s="1"/>
      <c r="R415" s="1"/>
      <c r="S415" s="1"/>
      <c r="T415" s="1"/>
      <c r="U415" s="33"/>
      <c r="V415" s="16"/>
      <c r="W415" s="1"/>
      <c r="X415" s="1"/>
    </row>
    <row r="416" spans="1:24">
      <c r="A416" s="1"/>
      <c r="B416" s="16"/>
      <c r="C416" s="16"/>
      <c r="D416" s="16"/>
      <c r="E416" s="16"/>
      <c r="F416" s="16"/>
      <c r="G416" s="16"/>
      <c r="H416" s="16"/>
      <c r="I416" s="16"/>
      <c r="J416" s="16"/>
      <c r="K416" s="16"/>
      <c r="L416" s="16"/>
      <c r="M416" s="26"/>
      <c r="N416" s="26"/>
      <c r="O416" s="16"/>
      <c r="P416" s="1"/>
      <c r="Q416" s="1"/>
      <c r="R416" s="1"/>
      <c r="S416" s="1"/>
      <c r="T416" s="1"/>
      <c r="U416" s="33"/>
      <c r="V416" s="16"/>
      <c r="W416" s="1"/>
      <c r="X416" s="1"/>
    </row>
    <row r="417" spans="1:24">
      <c r="A417" s="1"/>
      <c r="B417" s="16"/>
      <c r="C417" s="16"/>
      <c r="D417" s="16"/>
      <c r="E417" s="16"/>
      <c r="F417" s="16"/>
      <c r="G417" s="16"/>
      <c r="H417" s="16"/>
      <c r="I417" s="16"/>
      <c r="J417" s="16"/>
      <c r="K417" s="16"/>
      <c r="L417" s="16"/>
      <c r="M417" s="26"/>
      <c r="N417" s="26"/>
      <c r="O417" s="16"/>
      <c r="P417" s="1"/>
      <c r="Q417" s="1"/>
      <c r="R417" s="1"/>
      <c r="S417" s="1"/>
      <c r="T417" s="1"/>
      <c r="U417" s="33"/>
      <c r="V417" s="16"/>
      <c r="W417" s="1"/>
      <c r="X417" s="1"/>
    </row>
    <row r="418" spans="1:24">
      <c r="A418" s="1"/>
      <c r="B418" s="16"/>
      <c r="C418" s="16"/>
      <c r="D418" s="16"/>
      <c r="E418" s="16"/>
      <c r="F418" s="16"/>
      <c r="G418" s="16"/>
      <c r="H418" s="16"/>
      <c r="I418" s="16"/>
      <c r="J418" s="16"/>
      <c r="K418" s="16"/>
      <c r="L418" s="16"/>
      <c r="M418" s="26"/>
      <c r="N418" s="26"/>
      <c r="O418" s="16"/>
      <c r="P418" s="1"/>
      <c r="Q418" s="1"/>
      <c r="R418" s="1"/>
      <c r="S418" s="1"/>
      <c r="T418" s="1"/>
      <c r="U418" s="33"/>
      <c r="V418" s="16"/>
      <c r="W418" s="1"/>
      <c r="X418" s="1"/>
    </row>
    <row r="419" spans="1:24">
      <c r="A419" s="1"/>
      <c r="B419" s="16"/>
      <c r="C419" s="16"/>
      <c r="D419" s="16"/>
      <c r="E419" s="16"/>
      <c r="F419" s="16"/>
      <c r="G419" s="16"/>
      <c r="H419" s="16"/>
      <c r="I419" s="16"/>
      <c r="J419" s="16"/>
      <c r="K419" s="16"/>
      <c r="L419" s="16"/>
      <c r="M419" s="26"/>
      <c r="N419" s="26"/>
      <c r="O419" s="16"/>
      <c r="P419" s="1"/>
      <c r="Q419" s="1"/>
      <c r="R419" s="1"/>
      <c r="S419" s="1"/>
      <c r="T419" s="1"/>
      <c r="U419" s="33"/>
      <c r="V419" s="16"/>
      <c r="W419" s="1"/>
      <c r="X419" s="1"/>
    </row>
    <row r="420" spans="1:24">
      <c r="A420" s="1"/>
      <c r="B420" s="16"/>
      <c r="C420" s="16"/>
      <c r="D420" s="16"/>
      <c r="E420" s="16"/>
      <c r="F420" s="16"/>
      <c r="G420" s="16"/>
      <c r="H420" s="16"/>
      <c r="I420" s="16"/>
      <c r="J420" s="16"/>
      <c r="K420" s="16"/>
      <c r="L420" s="16"/>
      <c r="M420" s="26"/>
      <c r="N420" s="26"/>
      <c r="O420" s="16"/>
      <c r="P420" s="1"/>
      <c r="Q420" s="1"/>
      <c r="R420" s="1"/>
      <c r="S420" s="1"/>
      <c r="T420" s="1"/>
      <c r="U420" s="33"/>
      <c r="V420" s="16"/>
      <c r="W420" s="1"/>
      <c r="X420" s="1"/>
    </row>
    <row r="421" spans="1:24">
      <c r="A421" s="1"/>
      <c r="B421" s="16"/>
      <c r="C421" s="16"/>
      <c r="D421" s="16"/>
      <c r="E421" s="16"/>
      <c r="F421" s="16"/>
      <c r="G421" s="16"/>
      <c r="H421" s="16"/>
      <c r="I421" s="16"/>
      <c r="J421" s="16"/>
      <c r="K421" s="16"/>
      <c r="L421" s="16"/>
      <c r="M421" s="26"/>
      <c r="N421" s="26"/>
      <c r="O421" s="16"/>
      <c r="P421" s="1"/>
      <c r="Q421" s="1"/>
      <c r="R421" s="1"/>
      <c r="S421" s="1"/>
      <c r="T421" s="1"/>
      <c r="U421" s="33"/>
      <c r="V421" s="16"/>
      <c r="W421" s="1"/>
      <c r="X421" s="1"/>
    </row>
    <row r="422" spans="1:24">
      <c r="A422" s="1"/>
      <c r="B422" s="16"/>
      <c r="C422" s="16"/>
      <c r="D422" s="16"/>
      <c r="E422" s="16"/>
      <c r="F422" s="16"/>
      <c r="G422" s="16"/>
      <c r="H422" s="16"/>
      <c r="I422" s="16"/>
      <c r="J422" s="16"/>
      <c r="K422" s="16"/>
      <c r="L422" s="16"/>
      <c r="M422" s="26"/>
      <c r="N422" s="26"/>
      <c r="O422" s="16"/>
      <c r="P422" s="1"/>
      <c r="Q422" s="1"/>
      <c r="R422" s="1"/>
      <c r="S422" s="1"/>
      <c r="T422" s="1"/>
      <c r="U422" s="33"/>
      <c r="V422" s="16"/>
      <c r="W422" s="1"/>
      <c r="X422" s="1"/>
    </row>
    <row r="423" spans="1:24">
      <c r="A423" s="1"/>
      <c r="B423" s="16"/>
      <c r="C423" s="16"/>
      <c r="D423" s="16"/>
      <c r="E423" s="16"/>
      <c r="F423" s="16"/>
      <c r="G423" s="16"/>
      <c r="H423" s="16"/>
      <c r="I423" s="16"/>
      <c r="J423" s="16"/>
      <c r="K423" s="16"/>
      <c r="L423" s="16"/>
      <c r="M423" s="26"/>
      <c r="N423" s="26"/>
      <c r="O423" s="16"/>
      <c r="P423" s="1"/>
      <c r="Q423" s="1"/>
      <c r="R423" s="1"/>
      <c r="S423" s="1"/>
      <c r="T423" s="1"/>
      <c r="U423" s="33"/>
      <c r="V423" s="16"/>
      <c r="W423" s="1"/>
      <c r="X423" s="1"/>
    </row>
    <row r="424" spans="1:24">
      <c r="A424" s="1"/>
      <c r="B424" s="16"/>
      <c r="C424" s="16"/>
      <c r="D424" s="16"/>
      <c r="E424" s="16"/>
      <c r="F424" s="16"/>
      <c r="G424" s="16"/>
      <c r="H424" s="16"/>
      <c r="I424" s="16"/>
      <c r="J424" s="16"/>
      <c r="K424" s="16"/>
      <c r="L424" s="16"/>
      <c r="M424" s="26"/>
      <c r="N424" s="26"/>
      <c r="O424" s="16"/>
      <c r="P424" s="1"/>
      <c r="Q424" s="1"/>
      <c r="R424" s="1"/>
      <c r="S424" s="1"/>
      <c r="T424" s="1"/>
      <c r="U424" s="33"/>
      <c r="V424" s="16"/>
      <c r="W424" s="1"/>
      <c r="X424" s="1"/>
    </row>
    <row r="425" spans="1:24">
      <c r="A425" s="1"/>
      <c r="B425" s="16"/>
      <c r="C425" s="16"/>
      <c r="D425" s="16"/>
      <c r="E425" s="16"/>
      <c r="F425" s="16"/>
      <c r="G425" s="16"/>
      <c r="H425" s="16"/>
      <c r="I425" s="16"/>
      <c r="J425" s="16"/>
      <c r="K425" s="16"/>
      <c r="L425" s="16"/>
      <c r="M425" s="26"/>
      <c r="N425" s="26"/>
      <c r="O425" s="16"/>
      <c r="P425" s="1"/>
      <c r="Q425" s="1"/>
      <c r="R425" s="1"/>
      <c r="S425" s="1"/>
      <c r="T425" s="1"/>
      <c r="U425" s="33"/>
      <c r="V425" s="16"/>
      <c r="W425" s="1"/>
      <c r="X425" s="1"/>
    </row>
    <row r="426" spans="1:24">
      <c r="A426" s="1"/>
      <c r="B426" s="16"/>
      <c r="C426" s="16"/>
      <c r="D426" s="16"/>
      <c r="E426" s="16"/>
      <c r="F426" s="16"/>
      <c r="G426" s="16"/>
      <c r="H426" s="16"/>
      <c r="I426" s="16"/>
      <c r="J426" s="16"/>
      <c r="K426" s="16"/>
      <c r="L426" s="16"/>
      <c r="M426" s="26"/>
      <c r="N426" s="26"/>
      <c r="O426" s="16"/>
      <c r="P426" s="1"/>
      <c r="Q426" s="1"/>
      <c r="R426" s="1"/>
      <c r="S426" s="1"/>
      <c r="T426" s="1"/>
      <c r="U426" s="33"/>
      <c r="V426" s="16"/>
      <c r="W426" s="1"/>
      <c r="X426" s="1"/>
    </row>
    <row r="427" spans="1:24">
      <c r="A427" s="1"/>
      <c r="B427" s="16"/>
      <c r="C427" s="16"/>
      <c r="D427" s="16"/>
      <c r="E427" s="16"/>
      <c r="F427" s="16"/>
      <c r="G427" s="16"/>
      <c r="H427" s="16"/>
      <c r="I427" s="16"/>
      <c r="J427" s="16"/>
      <c r="K427" s="16"/>
      <c r="L427" s="16"/>
      <c r="M427" s="26"/>
      <c r="N427" s="26"/>
      <c r="O427" s="16"/>
      <c r="P427" s="1"/>
      <c r="Q427" s="1"/>
      <c r="R427" s="1"/>
      <c r="S427" s="1"/>
      <c r="T427" s="1"/>
      <c r="U427" s="33"/>
      <c r="V427" s="16"/>
      <c r="W427" s="1"/>
      <c r="X427" s="1"/>
    </row>
    <row r="428" spans="1:24">
      <c r="A428" s="1"/>
      <c r="B428" s="16"/>
      <c r="C428" s="16"/>
      <c r="D428" s="16"/>
      <c r="E428" s="16"/>
      <c r="F428" s="16"/>
      <c r="G428" s="16"/>
      <c r="H428" s="16"/>
      <c r="I428" s="16"/>
      <c r="J428" s="16"/>
      <c r="K428" s="16"/>
      <c r="L428" s="16"/>
      <c r="M428" s="26"/>
      <c r="N428" s="26"/>
      <c r="O428" s="16"/>
      <c r="P428" s="1"/>
      <c r="Q428" s="1"/>
      <c r="R428" s="1"/>
      <c r="S428" s="1"/>
      <c r="T428" s="1"/>
      <c r="U428" s="33"/>
      <c r="V428" s="16"/>
      <c r="W428" s="1"/>
      <c r="X428" s="1"/>
    </row>
    <row r="429" spans="1:24">
      <c r="A429" s="1"/>
      <c r="B429" s="16"/>
      <c r="C429" s="16"/>
      <c r="D429" s="16"/>
      <c r="E429" s="16"/>
      <c r="F429" s="16"/>
      <c r="G429" s="16"/>
      <c r="H429" s="16"/>
      <c r="I429" s="16"/>
      <c r="J429" s="16"/>
      <c r="K429" s="16"/>
      <c r="L429" s="16"/>
      <c r="M429" s="26"/>
      <c r="N429" s="26"/>
      <c r="O429" s="16"/>
      <c r="P429" s="1"/>
      <c r="Q429" s="1"/>
      <c r="R429" s="1"/>
      <c r="S429" s="1"/>
      <c r="T429" s="1"/>
      <c r="U429" s="33"/>
      <c r="V429" s="16"/>
      <c r="W429" s="1"/>
      <c r="X429" s="1"/>
    </row>
    <row r="430" spans="1:24">
      <c r="A430" s="1"/>
      <c r="B430" s="16"/>
      <c r="C430" s="16"/>
      <c r="D430" s="16"/>
      <c r="E430" s="16"/>
      <c r="F430" s="16"/>
      <c r="G430" s="16"/>
      <c r="H430" s="16"/>
      <c r="I430" s="16"/>
      <c r="J430" s="16"/>
      <c r="K430" s="16"/>
      <c r="L430" s="16"/>
      <c r="M430" s="26"/>
      <c r="N430" s="26"/>
      <c r="O430" s="16"/>
      <c r="P430" s="1"/>
      <c r="Q430" s="1"/>
      <c r="R430" s="1"/>
      <c r="S430" s="1"/>
      <c r="T430" s="1"/>
      <c r="U430" s="33"/>
      <c r="V430" s="16"/>
      <c r="W430" s="1"/>
      <c r="X430" s="1"/>
    </row>
    <row r="431" spans="1:24">
      <c r="A431" s="1"/>
      <c r="B431" s="16"/>
      <c r="C431" s="16"/>
      <c r="D431" s="16"/>
      <c r="E431" s="16"/>
      <c r="F431" s="16"/>
      <c r="G431" s="16"/>
      <c r="H431" s="16"/>
      <c r="I431" s="16"/>
      <c r="J431" s="16"/>
      <c r="K431" s="16"/>
      <c r="L431" s="16"/>
      <c r="M431" s="26"/>
      <c r="N431" s="26"/>
      <c r="O431" s="16"/>
      <c r="P431" s="1"/>
      <c r="Q431" s="1"/>
      <c r="R431" s="1"/>
      <c r="S431" s="1"/>
      <c r="T431" s="1"/>
      <c r="U431" s="33"/>
      <c r="V431" s="16"/>
      <c r="W431" s="1"/>
      <c r="X431" s="1"/>
    </row>
    <row r="432" spans="1:24">
      <c r="A432" s="1"/>
      <c r="B432" s="16"/>
      <c r="C432" s="16"/>
      <c r="D432" s="16"/>
      <c r="E432" s="16"/>
      <c r="F432" s="16"/>
      <c r="G432" s="16"/>
      <c r="H432" s="16"/>
      <c r="I432" s="16"/>
      <c r="J432" s="16"/>
      <c r="K432" s="16"/>
      <c r="L432" s="16"/>
      <c r="M432" s="26"/>
      <c r="N432" s="26"/>
      <c r="O432" s="16"/>
      <c r="P432" s="1"/>
      <c r="Q432" s="1"/>
      <c r="R432" s="1"/>
      <c r="S432" s="1"/>
      <c r="T432" s="1"/>
      <c r="U432" s="33"/>
      <c r="V432" s="16"/>
      <c r="W432" s="1"/>
      <c r="X432" s="1"/>
    </row>
    <row r="433" spans="1:24">
      <c r="A433" s="1"/>
      <c r="B433" s="16"/>
      <c r="C433" s="16"/>
      <c r="D433" s="16"/>
      <c r="E433" s="16"/>
      <c r="F433" s="16"/>
      <c r="G433" s="16"/>
      <c r="H433" s="16"/>
      <c r="I433" s="16"/>
      <c r="J433" s="16"/>
      <c r="K433" s="16"/>
      <c r="L433" s="16"/>
      <c r="M433" s="26"/>
      <c r="N433" s="26"/>
      <c r="O433" s="16"/>
      <c r="P433" s="1"/>
      <c r="Q433" s="1"/>
      <c r="R433" s="1"/>
      <c r="S433" s="1"/>
      <c r="T433" s="1"/>
      <c r="U433" s="33"/>
      <c r="V433" s="16"/>
      <c r="W433" s="1"/>
      <c r="X433" s="1"/>
    </row>
    <row r="434" spans="1:24">
      <c r="A434" s="1"/>
      <c r="B434" s="16"/>
      <c r="C434" s="16"/>
      <c r="D434" s="16"/>
      <c r="E434" s="16"/>
      <c r="F434" s="16"/>
      <c r="G434" s="16"/>
      <c r="H434" s="16"/>
      <c r="I434" s="16"/>
      <c r="J434" s="16"/>
      <c r="K434" s="16"/>
      <c r="L434" s="16"/>
      <c r="M434" s="26"/>
      <c r="N434" s="26"/>
      <c r="O434" s="16"/>
      <c r="P434" s="1"/>
      <c r="Q434" s="1"/>
      <c r="R434" s="1"/>
      <c r="S434" s="1"/>
      <c r="T434" s="1"/>
      <c r="U434" s="33"/>
      <c r="V434" s="16"/>
      <c r="W434" s="1"/>
      <c r="X434" s="1"/>
    </row>
    <row r="435" spans="1:24">
      <c r="A435" s="1"/>
      <c r="B435" s="16"/>
      <c r="C435" s="16"/>
      <c r="D435" s="16"/>
      <c r="E435" s="16"/>
      <c r="F435" s="16"/>
      <c r="G435" s="16"/>
      <c r="H435" s="16"/>
      <c r="I435" s="16"/>
      <c r="J435" s="16"/>
      <c r="K435" s="16"/>
      <c r="L435" s="16"/>
      <c r="M435" s="26"/>
      <c r="N435" s="26"/>
      <c r="O435" s="16"/>
      <c r="P435" s="1"/>
      <c r="Q435" s="1"/>
      <c r="R435" s="1"/>
      <c r="S435" s="1"/>
      <c r="T435" s="1"/>
      <c r="U435" s="33"/>
      <c r="V435" s="16"/>
      <c r="W435" s="1"/>
      <c r="X435" s="1"/>
    </row>
    <row r="436" spans="1:24">
      <c r="A436" s="1"/>
      <c r="B436" s="16"/>
      <c r="C436" s="16"/>
      <c r="D436" s="16"/>
      <c r="E436" s="16"/>
      <c r="F436" s="16"/>
      <c r="G436" s="16"/>
      <c r="H436" s="16"/>
      <c r="I436" s="16"/>
      <c r="J436" s="16"/>
      <c r="K436" s="16"/>
      <c r="L436" s="16"/>
      <c r="M436" s="26"/>
      <c r="N436" s="26"/>
      <c r="O436" s="16"/>
      <c r="P436" s="1"/>
      <c r="Q436" s="1"/>
      <c r="R436" s="1"/>
      <c r="S436" s="1"/>
      <c r="T436" s="1"/>
      <c r="U436" s="33"/>
      <c r="V436" s="16"/>
      <c r="W436" s="1"/>
      <c r="X436" s="1"/>
    </row>
    <row r="437" spans="1:24">
      <c r="A437" s="1"/>
      <c r="B437" s="16"/>
      <c r="C437" s="16"/>
      <c r="D437" s="16"/>
      <c r="E437" s="16"/>
      <c r="F437" s="16"/>
      <c r="G437" s="16"/>
      <c r="H437" s="16"/>
      <c r="I437" s="16"/>
      <c r="J437" s="16"/>
      <c r="K437" s="16"/>
      <c r="L437" s="16"/>
      <c r="M437" s="26"/>
      <c r="N437" s="26"/>
      <c r="O437" s="16"/>
      <c r="P437" s="1"/>
      <c r="Q437" s="1"/>
      <c r="R437" s="1"/>
      <c r="S437" s="1"/>
      <c r="T437" s="1"/>
      <c r="U437" s="33"/>
      <c r="V437" s="16"/>
      <c r="W437" s="1"/>
      <c r="X437" s="1"/>
    </row>
    <row r="438" spans="1:24">
      <c r="A438" s="1"/>
      <c r="B438" s="16"/>
      <c r="C438" s="16"/>
      <c r="D438" s="16"/>
      <c r="E438" s="16"/>
      <c r="F438" s="16"/>
      <c r="G438" s="16"/>
      <c r="H438" s="16"/>
      <c r="I438" s="16"/>
      <c r="J438" s="16"/>
      <c r="K438" s="16"/>
      <c r="L438" s="16"/>
      <c r="M438" s="26"/>
      <c r="N438" s="26"/>
      <c r="O438" s="16"/>
      <c r="P438" s="1"/>
      <c r="Q438" s="1"/>
      <c r="R438" s="1"/>
      <c r="S438" s="1"/>
      <c r="T438" s="1"/>
      <c r="U438" s="33"/>
      <c r="V438" s="16"/>
      <c r="W438" s="1"/>
      <c r="X438" s="1"/>
    </row>
    <row r="439" spans="1:24">
      <c r="A439" s="1"/>
      <c r="B439" s="16"/>
      <c r="C439" s="16"/>
      <c r="D439" s="16"/>
      <c r="E439" s="16"/>
      <c r="F439" s="16"/>
      <c r="G439" s="16"/>
      <c r="H439" s="16"/>
      <c r="I439" s="16"/>
      <c r="J439" s="16"/>
      <c r="K439" s="16"/>
      <c r="L439" s="16"/>
      <c r="M439" s="26"/>
      <c r="N439" s="26"/>
      <c r="O439" s="16"/>
      <c r="P439" s="1"/>
      <c r="Q439" s="1"/>
      <c r="R439" s="1"/>
      <c r="S439" s="1"/>
      <c r="T439" s="1"/>
      <c r="U439" s="33"/>
      <c r="V439" s="16"/>
      <c r="W439" s="1"/>
      <c r="X439" s="1"/>
    </row>
    <row r="440" spans="1:24">
      <c r="A440" s="1"/>
      <c r="B440" s="16"/>
      <c r="C440" s="16"/>
      <c r="D440" s="16"/>
      <c r="E440" s="16"/>
      <c r="F440" s="16"/>
      <c r="G440" s="16"/>
      <c r="H440" s="16"/>
      <c r="I440" s="16"/>
      <c r="J440" s="16"/>
      <c r="K440" s="16"/>
      <c r="L440" s="16"/>
      <c r="M440" s="26"/>
      <c r="N440" s="26"/>
      <c r="O440" s="16"/>
      <c r="P440" s="1"/>
      <c r="Q440" s="1"/>
      <c r="R440" s="1"/>
      <c r="S440" s="1"/>
      <c r="T440" s="1"/>
      <c r="U440" s="33"/>
      <c r="V440" s="16"/>
      <c r="W440" s="1"/>
      <c r="X440" s="1"/>
    </row>
    <row r="441" spans="1:24">
      <c r="A441" s="1"/>
      <c r="B441" s="16"/>
      <c r="C441" s="16"/>
      <c r="D441" s="16"/>
      <c r="E441" s="16"/>
      <c r="F441" s="16"/>
      <c r="G441" s="16"/>
      <c r="H441" s="16"/>
      <c r="I441" s="16"/>
      <c r="J441" s="16"/>
      <c r="K441" s="16"/>
      <c r="L441" s="16"/>
      <c r="M441" s="26"/>
      <c r="N441" s="26"/>
      <c r="O441" s="16"/>
      <c r="P441" s="1"/>
      <c r="Q441" s="1"/>
      <c r="R441" s="1"/>
      <c r="S441" s="1"/>
      <c r="T441" s="1"/>
      <c r="U441" s="33"/>
      <c r="V441" s="16"/>
      <c r="W441" s="1"/>
      <c r="X441" s="1"/>
    </row>
    <row r="442" spans="1:24">
      <c r="A442" s="1"/>
      <c r="B442" s="16"/>
      <c r="C442" s="16"/>
      <c r="D442" s="16"/>
      <c r="E442" s="16"/>
      <c r="F442" s="16"/>
      <c r="G442" s="16"/>
      <c r="H442" s="16"/>
      <c r="I442" s="16"/>
      <c r="J442" s="16"/>
      <c r="K442" s="16"/>
      <c r="L442" s="16"/>
      <c r="M442" s="26"/>
      <c r="N442" s="26"/>
      <c r="O442" s="16"/>
      <c r="P442" s="1"/>
      <c r="Q442" s="1"/>
      <c r="R442" s="1"/>
      <c r="S442" s="1"/>
      <c r="T442" s="1"/>
      <c r="U442" s="33"/>
      <c r="V442" s="16"/>
      <c r="W442" s="1"/>
      <c r="X442" s="1"/>
    </row>
    <row r="443" spans="1:24">
      <c r="A443" s="1"/>
      <c r="B443" s="16"/>
      <c r="C443" s="16"/>
      <c r="D443" s="16"/>
      <c r="E443" s="16"/>
      <c r="F443" s="16"/>
      <c r="G443" s="16"/>
      <c r="H443" s="16"/>
      <c r="I443" s="16"/>
      <c r="J443" s="16"/>
      <c r="K443" s="16"/>
      <c r="L443" s="16"/>
      <c r="M443" s="26"/>
      <c r="N443" s="26"/>
      <c r="O443" s="16"/>
      <c r="P443" s="1"/>
      <c r="Q443" s="1"/>
      <c r="R443" s="1"/>
      <c r="S443" s="1"/>
      <c r="T443" s="1"/>
      <c r="U443" s="33"/>
      <c r="V443" s="16"/>
      <c r="W443" s="1"/>
      <c r="X443" s="1"/>
    </row>
    <row r="444" spans="1:24">
      <c r="A444" s="1"/>
      <c r="B444" s="16"/>
      <c r="C444" s="16"/>
      <c r="D444" s="16"/>
      <c r="E444" s="16"/>
      <c r="F444" s="16"/>
      <c r="G444" s="16"/>
      <c r="H444" s="16"/>
      <c r="I444" s="16"/>
      <c r="J444" s="16"/>
      <c r="K444" s="16"/>
      <c r="L444" s="16"/>
      <c r="M444" s="26"/>
      <c r="N444" s="26"/>
      <c r="O444" s="16"/>
      <c r="P444" s="1"/>
      <c r="Q444" s="1"/>
      <c r="R444" s="1"/>
      <c r="S444" s="1"/>
      <c r="T444" s="1"/>
      <c r="U444" s="33"/>
      <c r="V444" s="16"/>
      <c r="W444" s="1"/>
      <c r="X444" s="1"/>
    </row>
    <row r="445" spans="1:24">
      <c r="A445" s="1"/>
      <c r="B445" s="16"/>
      <c r="C445" s="16"/>
      <c r="D445" s="16"/>
      <c r="E445" s="16"/>
      <c r="F445" s="16"/>
      <c r="G445" s="16"/>
      <c r="H445" s="16"/>
      <c r="I445" s="16"/>
      <c r="J445" s="16"/>
      <c r="K445" s="16"/>
      <c r="L445" s="16"/>
      <c r="M445" s="26"/>
      <c r="N445" s="26"/>
      <c r="O445" s="16"/>
      <c r="P445" s="1"/>
      <c r="Q445" s="1"/>
      <c r="R445" s="1"/>
      <c r="S445" s="1"/>
      <c r="T445" s="1"/>
      <c r="U445" s="33"/>
      <c r="V445" s="16"/>
      <c r="W445" s="1"/>
      <c r="X445" s="1"/>
    </row>
    <row r="446" spans="1:24">
      <c r="A446" s="1"/>
      <c r="B446" s="16"/>
      <c r="C446" s="16"/>
      <c r="D446" s="16"/>
      <c r="E446" s="16"/>
      <c r="F446" s="16"/>
      <c r="G446" s="16"/>
      <c r="H446" s="16"/>
      <c r="I446" s="16"/>
      <c r="J446" s="16"/>
      <c r="K446" s="16"/>
      <c r="L446" s="16"/>
      <c r="M446" s="26"/>
      <c r="N446" s="26"/>
      <c r="O446" s="16"/>
      <c r="P446" s="1"/>
      <c r="Q446" s="1"/>
      <c r="R446" s="1"/>
      <c r="S446" s="1"/>
      <c r="T446" s="1"/>
      <c r="U446" s="33"/>
      <c r="V446" s="16"/>
      <c r="W446" s="1"/>
      <c r="X446" s="1"/>
    </row>
    <row r="447" spans="1:24">
      <c r="A447" s="1"/>
      <c r="B447" s="16"/>
      <c r="C447" s="16"/>
      <c r="D447" s="16"/>
      <c r="E447" s="16"/>
      <c r="F447" s="16"/>
      <c r="G447" s="16"/>
      <c r="H447" s="16"/>
      <c r="I447" s="16"/>
      <c r="J447" s="16"/>
      <c r="K447" s="16"/>
      <c r="L447" s="16"/>
      <c r="M447" s="26"/>
      <c r="N447" s="26"/>
      <c r="O447" s="16"/>
      <c r="P447" s="1"/>
      <c r="Q447" s="1"/>
      <c r="R447" s="1"/>
      <c r="S447" s="1"/>
      <c r="T447" s="1"/>
      <c r="U447" s="33"/>
      <c r="V447" s="16"/>
      <c r="W447" s="1"/>
      <c r="X447" s="1"/>
    </row>
    <row r="448" spans="1:24">
      <c r="A448" s="1"/>
      <c r="B448" s="16"/>
      <c r="C448" s="16"/>
      <c r="D448" s="16"/>
      <c r="E448" s="16"/>
      <c r="F448" s="16"/>
      <c r="G448" s="16"/>
      <c r="H448" s="16"/>
      <c r="I448" s="16"/>
      <c r="J448" s="16"/>
      <c r="K448" s="16"/>
      <c r="L448" s="16"/>
      <c r="M448" s="26"/>
      <c r="N448" s="26"/>
      <c r="O448" s="16"/>
      <c r="P448" s="1"/>
      <c r="Q448" s="1"/>
      <c r="R448" s="1"/>
      <c r="S448" s="1"/>
      <c r="T448" s="1"/>
      <c r="U448" s="33"/>
      <c r="V448" s="16"/>
      <c r="W448" s="1"/>
      <c r="X448" s="1"/>
    </row>
    <row r="449" spans="1:24">
      <c r="A449" s="1"/>
      <c r="B449" s="16"/>
      <c r="C449" s="16"/>
      <c r="D449" s="16"/>
      <c r="E449" s="16"/>
      <c r="F449" s="16"/>
      <c r="G449" s="16"/>
      <c r="H449" s="16"/>
      <c r="I449" s="16"/>
      <c r="J449" s="16"/>
      <c r="K449" s="16"/>
      <c r="L449" s="16"/>
      <c r="M449" s="26"/>
      <c r="N449" s="26"/>
      <c r="O449" s="16"/>
      <c r="P449" s="1"/>
      <c r="Q449" s="1"/>
      <c r="R449" s="1"/>
      <c r="S449" s="1"/>
      <c r="T449" s="1"/>
      <c r="U449" s="33"/>
      <c r="V449" s="16"/>
      <c r="W449" s="1"/>
      <c r="X449" s="1"/>
    </row>
    <row r="450" spans="1:24">
      <c r="A450" s="1"/>
      <c r="B450" s="16"/>
      <c r="C450" s="16"/>
      <c r="D450" s="16"/>
      <c r="E450" s="16"/>
      <c r="F450" s="16"/>
      <c r="G450" s="16"/>
      <c r="H450" s="16"/>
      <c r="I450" s="16"/>
      <c r="J450" s="16"/>
      <c r="K450" s="16"/>
      <c r="L450" s="16"/>
      <c r="M450" s="26"/>
      <c r="N450" s="26"/>
      <c r="O450" s="16"/>
      <c r="P450" s="1"/>
      <c r="Q450" s="1"/>
      <c r="R450" s="1"/>
      <c r="S450" s="1"/>
      <c r="T450" s="1"/>
      <c r="U450" s="33"/>
      <c r="V450" s="16"/>
      <c r="W450" s="1"/>
      <c r="X450" s="1"/>
    </row>
    <row r="451" spans="1:24">
      <c r="A451" s="1"/>
      <c r="B451" s="16"/>
      <c r="C451" s="16"/>
      <c r="D451" s="16"/>
      <c r="E451" s="16"/>
      <c r="F451" s="16"/>
      <c r="G451" s="16"/>
      <c r="H451" s="16"/>
      <c r="I451" s="16"/>
      <c r="J451" s="16"/>
      <c r="K451" s="16"/>
      <c r="L451" s="16"/>
      <c r="M451" s="26"/>
      <c r="N451" s="26"/>
      <c r="O451" s="16"/>
      <c r="P451" s="1"/>
      <c r="Q451" s="1"/>
      <c r="R451" s="1"/>
      <c r="S451" s="1"/>
      <c r="T451" s="1"/>
      <c r="U451" s="33"/>
      <c r="V451" s="16"/>
      <c r="W451" s="1"/>
      <c r="X451" s="1"/>
    </row>
    <row r="452" spans="1:24">
      <c r="A452" s="1"/>
      <c r="B452" s="16"/>
      <c r="C452" s="16"/>
      <c r="D452" s="16"/>
      <c r="E452" s="16"/>
      <c r="F452" s="16"/>
      <c r="G452" s="16"/>
      <c r="H452" s="16"/>
      <c r="I452" s="16"/>
      <c r="J452" s="16"/>
      <c r="K452" s="16"/>
      <c r="L452" s="16"/>
      <c r="M452" s="26"/>
      <c r="N452" s="26"/>
      <c r="O452" s="16"/>
      <c r="P452" s="1"/>
      <c r="Q452" s="1"/>
      <c r="R452" s="1"/>
      <c r="S452" s="1"/>
      <c r="T452" s="1"/>
      <c r="U452" s="33"/>
      <c r="V452" s="16"/>
      <c r="W452" s="1"/>
      <c r="X452" s="1"/>
    </row>
    <row r="453" spans="1:24">
      <c r="A453" s="1"/>
      <c r="B453" s="16"/>
      <c r="C453" s="16"/>
      <c r="D453" s="16"/>
      <c r="E453" s="16"/>
      <c r="F453" s="16"/>
      <c r="G453" s="16"/>
      <c r="H453" s="16"/>
      <c r="I453" s="16"/>
      <c r="J453" s="16"/>
      <c r="K453" s="16"/>
      <c r="L453" s="16"/>
      <c r="M453" s="26"/>
      <c r="N453" s="26"/>
      <c r="O453" s="16"/>
      <c r="P453" s="1"/>
      <c r="Q453" s="1"/>
      <c r="R453" s="1"/>
      <c r="S453" s="1"/>
      <c r="T453" s="1"/>
      <c r="U453" s="33"/>
      <c r="V453" s="16"/>
      <c r="W453" s="1"/>
      <c r="X453" s="1"/>
    </row>
    <row r="454" spans="1:24">
      <c r="A454" s="1"/>
      <c r="B454" s="16"/>
      <c r="C454" s="16"/>
      <c r="D454" s="16"/>
      <c r="E454" s="16"/>
      <c r="F454" s="16"/>
      <c r="G454" s="16"/>
      <c r="H454" s="16"/>
      <c r="I454" s="16"/>
      <c r="J454" s="16"/>
      <c r="K454" s="16"/>
      <c r="L454" s="16"/>
      <c r="M454" s="26"/>
      <c r="N454" s="26"/>
      <c r="O454" s="16"/>
      <c r="P454" s="1"/>
      <c r="Q454" s="1"/>
      <c r="R454" s="1"/>
      <c r="S454" s="1"/>
      <c r="T454" s="1"/>
      <c r="U454" s="33"/>
      <c r="V454" s="16"/>
      <c r="W454" s="1"/>
      <c r="X454" s="1"/>
    </row>
    <row r="455" spans="1:24">
      <c r="A455" s="1"/>
      <c r="B455" s="16"/>
      <c r="C455" s="16"/>
      <c r="D455" s="16"/>
      <c r="E455" s="16"/>
      <c r="F455" s="16"/>
      <c r="G455" s="16"/>
      <c r="H455" s="16"/>
      <c r="I455" s="16"/>
      <c r="J455" s="16"/>
      <c r="K455" s="16"/>
      <c r="L455" s="16"/>
      <c r="M455" s="26"/>
      <c r="N455" s="26"/>
      <c r="O455" s="16"/>
      <c r="P455" s="1"/>
      <c r="Q455" s="1"/>
      <c r="R455" s="1"/>
      <c r="S455" s="1"/>
      <c r="T455" s="1"/>
      <c r="U455" s="33"/>
      <c r="V455" s="16"/>
      <c r="W455" s="1"/>
      <c r="X455" s="1"/>
    </row>
    <row r="456" spans="1:24">
      <c r="A456" s="1"/>
      <c r="B456" s="16"/>
      <c r="C456" s="16"/>
      <c r="D456" s="16"/>
      <c r="E456" s="16"/>
      <c r="F456" s="16"/>
      <c r="G456" s="16"/>
      <c r="H456" s="16"/>
      <c r="I456" s="16"/>
      <c r="J456" s="16"/>
      <c r="K456" s="16"/>
      <c r="L456" s="16"/>
      <c r="M456" s="26"/>
      <c r="N456" s="26"/>
      <c r="O456" s="16"/>
      <c r="P456" s="1"/>
      <c r="Q456" s="1"/>
      <c r="R456" s="1"/>
      <c r="S456" s="1"/>
      <c r="T456" s="1"/>
      <c r="U456" s="33"/>
      <c r="V456" s="16"/>
      <c r="W456" s="1"/>
      <c r="X456" s="1"/>
    </row>
    <row r="457" spans="1:24">
      <c r="A457" s="1"/>
      <c r="B457" s="16"/>
      <c r="C457" s="16"/>
      <c r="D457" s="16"/>
      <c r="E457" s="16"/>
      <c r="F457" s="16"/>
      <c r="G457" s="16"/>
      <c r="H457" s="16"/>
      <c r="I457" s="16"/>
      <c r="J457" s="16"/>
      <c r="K457" s="16"/>
      <c r="L457" s="16"/>
      <c r="M457" s="26"/>
      <c r="N457" s="26"/>
      <c r="O457" s="16"/>
      <c r="P457" s="1"/>
      <c r="Q457" s="1"/>
      <c r="R457" s="1"/>
      <c r="S457" s="1"/>
      <c r="T457" s="1"/>
      <c r="U457" s="33"/>
      <c r="V457" s="16"/>
      <c r="W457" s="1"/>
      <c r="X457" s="1"/>
    </row>
    <row r="458" spans="1:24">
      <c r="A458" s="1"/>
      <c r="B458" s="16"/>
      <c r="C458" s="16"/>
      <c r="D458" s="16"/>
      <c r="E458" s="16"/>
      <c r="F458" s="16"/>
      <c r="G458" s="16"/>
      <c r="H458" s="16"/>
      <c r="I458" s="16"/>
      <c r="J458" s="16"/>
      <c r="K458" s="16"/>
      <c r="L458" s="16"/>
      <c r="M458" s="26"/>
      <c r="N458" s="26"/>
      <c r="O458" s="16"/>
      <c r="P458" s="1"/>
      <c r="Q458" s="1"/>
      <c r="R458" s="1"/>
      <c r="S458" s="1"/>
      <c r="T458" s="1"/>
      <c r="U458" s="33"/>
      <c r="V458" s="16"/>
      <c r="W458" s="1"/>
      <c r="X458" s="1"/>
    </row>
    <row r="459" spans="1:24">
      <c r="A459" s="1"/>
      <c r="B459" s="16"/>
      <c r="C459" s="16"/>
      <c r="D459" s="16"/>
      <c r="E459" s="16"/>
      <c r="F459" s="16"/>
      <c r="G459" s="16"/>
      <c r="H459" s="16"/>
      <c r="I459" s="16"/>
      <c r="J459" s="16"/>
      <c r="K459" s="16"/>
      <c r="L459" s="16"/>
      <c r="M459" s="26"/>
      <c r="N459" s="26"/>
      <c r="O459" s="16"/>
      <c r="P459" s="1"/>
      <c r="Q459" s="1"/>
      <c r="R459" s="1"/>
      <c r="S459" s="1"/>
      <c r="T459" s="1"/>
      <c r="U459" s="33"/>
      <c r="V459" s="16"/>
      <c r="W459" s="1"/>
      <c r="X459" s="1"/>
    </row>
    <row r="460" spans="1:24">
      <c r="A460" s="1"/>
      <c r="B460" s="16"/>
      <c r="C460" s="16"/>
      <c r="D460" s="16"/>
      <c r="E460" s="16"/>
      <c r="F460" s="16"/>
      <c r="G460" s="16"/>
      <c r="H460" s="16"/>
      <c r="I460" s="16"/>
      <c r="J460" s="16"/>
      <c r="K460" s="16"/>
      <c r="L460" s="16"/>
      <c r="M460" s="26"/>
      <c r="N460" s="26"/>
      <c r="O460" s="16"/>
      <c r="P460" s="1"/>
      <c r="Q460" s="1"/>
      <c r="R460" s="1"/>
      <c r="S460" s="1"/>
      <c r="T460" s="1"/>
      <c r="U460" s="33"/>
      <c r="V460" s="16"/>
      <c r="W460" s="1"/>
      <c r="X460" s="1"/>
    </row>
    <row r="461" spans="1:24">
      <c r="A461" s="1"/>
      <c r="B461" s="16"/>
      <c r="C461" s="16"/>
      <c r="D461" s="16"/>
      <c r="E461" s="16"/>
      <c r="F461" s="16"/>
      <c r="G461" s="16"/>
      <c r="H461" s="16"/>
      <c r="I461" s="16"/>
      <c r="J461" s="16"/>
      <c r="K461" s="16"/>
      <c r="L461" s="16"/>
      <c r="M461" s="26"/>
      <c r="N461" s="26"/>
      <c r="O461" s="16"/>
      <c r="P461" s="1"/>
      <c r="Q461" s="1"/>
      <c r="R461" s="1"/>
      <c r="S461" s="1"/>
      <c r="T461" s="1"/>
      <c r="U461" s="33"/>
      <c r="V461" s="16"/>
      <c r="W461" s="1"/>
      <c r="X461" s="1"/>
    </row>
    <row r="462" spans="1:24">
      <c r="A462" s="1"/>
      <c r="B462" s="16"/>
      <c r="C462" s="16"/>
      <c r="D462" s="16"/>
      <c r="E462" s="16"/>
      <c r="F462" s="16"/>
      <c r="G462" s="16"/>
      <c r="H462" s="16"/>
      <c r="I462" s="16"/>
      <c r="J462" s="16"/>
      <c r="K462" s="16"/>
      <c r="L462" s="16"/>
      <c r="M462" s="26"/>
      <c r="N462" s="26"/>
      <c r="O462" s="16"/>
      <c r="P462" s="1"/>
      <c r="Q462" s="1"/>
      <c r="R462" s="1"/>
      <c r="S462" s="1"/>
      <c r="T462" s="1"/>
      <c r="U462" s="33"/>
      <c r="V462" s="16"/>
      <c r="W462" s="1"/>
      <c r="X462" s="1"/>
    </row>
    <row r="463" spans="1:24">
      <c r="A463" s="1"/>
      <c r="B463" s="16"/>
      <c r="C463" s="16"/>
      <c r="D463" s="16"/>
      <c r="E463" s="16"/>
      <c r="F463" s="16"/>
      <c r="G463" s="16"/>
      <c r="H463" s="16"/>
      <c r="I463" s="16"/>
      <c r="J463" s="16"/>
      <c r="K463" s="16"/>
      <c r="L463" s="16"/>
      <c r="M463" s="26"/>
      <c r="N463" s="26"/>
      <c r="O463" s="16"/>
      <c r="P463" s="1"/>
      <c r="Q463" s="1"/>
      <c r="R463" s="1"/>
      <c r="S463" s="1"/>
      <c r="T463" s="1"/>
      <c r="U463" s="33"/>
      <c r="V463" s="16"/>
      <c r="W463" s="1"/>
      <c r="X463" s="1"/>
    </row>
    <row r="464" spans="1:24">
      <c r="A464" s="1"/>
      <c r="B464" s="16"/>
      <c r="C464" s="16"/>
      <c r="D464" s="16"/>
      <c r="E464" s="16"/>
      <c r="F464" s="16"/>
      <c r="G464" s="16"/>
      <c r="H464" s="16"/>
      <c r="I464" s="16"/>
      <c r="J464" s="16"/>
      <c r="K464" s="16"/>
      <c r="L464" s="16"/>
      <c r="M464" s="26"/>
      <c r="N464" s="26"/>
      <c r="O464" s="16"/>
      <c r="P464" s="1"/>
      <c r="Q464" s="1"/>
      <c r="R464" s="1"/>
      <c r="S464" s="1"/>
      <c r="T464" s="1"/>
      <c r="U464" s="33"/>
      <c r="V464" s="16"/>
      <c r="W464" s="1"/>
      <c r="X464" s="1"/>
    </row>
    <row r="465" spans="1:24">
      <c r="A465" s="1"/>
      <c r="B465" s="16"/>
      <c r="C465" s="16"/>
      <c r="D465" s="16"/>
      <c r="E465" s="16"/>
      <c r="F465" s="16"/>
      <c r="G465" s="16"/>
      <c r="H465" s="16"/>
      <c r="I465" s="16"/>
      <c r="J465" s="16"/>
      <c r="K465" s="16"/>
      <c r="L465" s="16"/>
      <c r="M465" s="26"/>
      <c r="N465" s="26"/>
      <c r="O465" s="16"/>
      <c r="P465" s="1"/>
      <c r="Q465" s="1"/>
      <c r="R465" s="1"/>
      <c r="S465" s="1"/>
      <c r="T465" s="1"/>
      <c r="U465" s="33"/>
      <c r="V465" s="16"/>
      <c r="W465" s="1"/>
      <c r="X465" s="1"/>
    </row>
    <row r="466" spans="1:24">
      <c r="A466" s="1"/>
      <c r="B466" s="16"/>
      <c r="C466" s="16"/>
      <c r="D466" s="16"/>
      <c r="E466" s="16"/>
      <c r="F466" s="16"/>
      <c r="G466" s="16"/>
      <c r="H466" s="16"/>
      <c r="I466" s="16"/>
      <c r="J466" s="16"/>
      <c r="K466" s="16"/>
      <c r="L466" s="16"/>
      <c r="M466" s="26"/>
      <c r="N466" s="26"/>
      <c r="O466" s="16"/>
      <c r="P466" s="1"/>
      <c r="Q466" s="1"/>
      <c r="R466" s="1"/>
      <c r="S466" s="1"/>
      <c r="T466" s="1"/>
      <c r="U466" s="33"/>
      <c r="V466" s="16"/>
      <c r="W466" s="1"/>
      <c r="X466" s="1"/>
    </row>
    <row r="467" spans="1:24">
      <c r="A467" s="1"/>
      <c r="B467" s="16"/>
      <c r="C467" s="16"/>
      <c r="D467" s="16"/>
      <c r="E467" s="16"/>
      <c r="F467" s="16"/>
      <c r="G467" s="16"/>
      <c r="H467" s="16"/>
      <c r="I467" s="16"/>
      <c r="J467" s="16"/>
      <c r="K467" s="16"/>
      <c r="L467" s="16"/>
      <c r="M467" s="26"/>
      <c r="N467" s="26"/>
      <c r="O467" s="16"/>
      <c r="P467" s="1"/>
      <c r="Q467" s="1"/>
      <c r="R467" s="1"/>
      <c r="S467" s="1"/>
      <c r="T467" s="1"/>
      <c r="U467" s="33"/>
      <c r="V467" s="16"/>
      <c r="W467" s="1"/>
      <c r="X467" s="1"/>
    </row>
    <row r="468" spans="1:24">
      <c r="A468" s="1"/>
      <c r="B468" s="16"/>
      <c r="C468" s="16"/>
      <c r="D468" s="16"/>
      <c r="E468" s="16"/>
      <c r="F468" s="16"/>
      <c r="G468" s="16"/>
      <c r="H468" s="16"/>
      <c r="I468" s="16"/>
      <c r="J468" s="16"/>
      <c r="K468" s="16"/>
      <c r="L468" s="16"/>
      <c r="M468" s="26"/>
      <c r="N468" s="26"/>
      <c r="O468" s="16"/>
      <c r="P468" s="1"/>
      <c r="Q468" s="1"/>
      <c r="R468" s="1"/>
      <c r="S468" s="1"/>
      <c r="T468" s="1"/>
      <c r="U468" s="33"/>
      <c r="V468" s="16"/>
      <c r="W468" s="1"/>
      <c r="X468" s="1"/>
    </row>
    <row r="469" spans="1:24">
      <c r="A469" s="1"/>
      <c r="B469" s="16"/>
      <c r="C469" s="16"/>
      <c r="D469" s="16"/>
      <c r="E469" s="16"/>
      <c r="F469" s="16"/>
      <c r="G469" s="16"/>
      <c r="H469" s="16"/>
      <c r="I469" s="16"/>
      <c r="J469" s="16"/>
      <c r="K469" s="16"/>
      <c r="L469" s="16"/>
      <c r="M469" s="26"/>
      <c r="N469" s="26"/>
      <c r="O469" s="16"/>
      <c r="P469" s="1"/>
      <c r="Q469" s="1"/>
      <c r="R469" s="1"/>
      <c r="S469" s="1"/>
      <c r="T469" s="1"/>
      <c r="U469" s="33"/>
      <c r="V469" s="16"/>
      <c r="W469" s="1"/>
      <c r="X469" s="1"/>
    </row>
    <row r="470" spans="1:24">
      <c r="A470" s="1"/>
      <c r="B470" s="16"/>
      <c r="C470" s="16"/>
      <c r="D470" s="16"/>
      <c r="E470" s="16"/>
      <c r="F470" s="16"/>
      <c r="G470" s="16"/>
      <c r="H470" s="16"/>
      <c r="I470" s="16"/>
      <c r="J470" s="16"/>
      <c r="K470" s="16"/>
      <c r="L470" s="16"/>
      <c r="M470" s="26"/>
      <c r="N470" s="26"/>
      <c r="O470" s="16"/>
      <c r="P470" s="1"/>
      <c r="Q470" s="1"/>
      <c r="R470" s="1"/>
      <c r="S470" s="1"/>
      <c r="T470" s="1"/>
      <c r="U470" s="33"/>
      <c r="V470" s="16"/>
      <c r="W470" s="1"/>
      <c r="X470" s="1"/>
    </row>
    <row r="471" spans="1:24">
      <c r="A471" s="1"/>
      <c r="B471" s="16"/>
      <c r="C471" s="16"/>
      <c r="D471" s="16"/>
      <c r="E471" s="16"/>
      <c r="F471" s="16"/>
      <c r="G471" s="16"/>
      <c r="H471" s="16"/>
      <c r="I471" s="16"/>
      <c r="J471" s="16"/>
      <c r="K471" s="16"/>
      <c r="L471" s="16"/>
      <c r="M471" s="26"/>
      <c r="N471" s="26"/>
      <c r="O471" s="16"/>
      <c r="P471" s="1"/>
      <c r="Q471" s="1"/>
      <c r="R471" s="1"/>
      <c r="S471" s="1"/>
      <c r="T471" s="1"/>
      <c r="U471" s="33"/>
      <c r="V471" s="16"/>
      <c r="W471" s="1"/>
      <c r="X471" s="1"/>
    </row>
    <row r="472" spans="1:24">
      <c r="A472" s="1"/>
      <c r="B472" s="16"/>
      <c r="C472" s="16"/>
      <c r="D472" s="16"/>
      <c r="E472" s="16"/>
      <c r="F472" s="16"/>
      <c r="G472" s="16"/>
      <c r="H472" s="16"/>
      <c r="I472" s="16"/>
      <c r="J472" s="16"/>
      <c r="K472" s="16"/>
      <c r="L472" s="16"/>
      <c r="M472" s="26"/>
      <c r="N472" s="26"/>
      <c r="O472" s="16"/>
      <c r="P472" s="1"/>
      <c r="Q472" s="1"/>
      <c r="R472" s="1"/>
      <c r="S472" s="1"/>
      <c r="T472" s="1"/>
      <c r="U472" s="33"/>
      <c r="V472" s="16"/>
      <c r="W472" s="1"/>
      <c r="X472" s="1"/>
    </row>
    <row r="473" spans="1:24">
      <c r="A473" s="1"/>
      <c r="B473" s="16"/>
      <c r="C473" s="16"/>
      <c r="D473" s="16"/>
      <c r="E473" s="16"/>
      <c r="F473" s="16"/>
      <c r="G473" s="16"/>
      <c r="H473" s="16"/>
      <c r="I473" s="16"/>
      <c r="J473" s="16"/>
      <c r="K473" s="16"/>
      <c r="L473" s="16"/>
      <c r="M473" s="26"/>
      <c r="N473" s="26"/>
      <c r="O473" s="16"/>
      <c r="P473" s="1"/>
      <c r="Q473" s="1"/>
      <c r="R473" s="1"/>
      <c r="S473" s="1"/>
      <c r="T473" s="1"/>
      <c r="U473" s="33"/>
      <c r="V473" s="16"/>
      <c r="W473" s="1"/>
      <c r="X473" s="1"/>
    </row>
    <row r="474" spans="1:24">
      <c r="A474" s="1"/>
      <c r="B474" s="16"/>
      <c r="C474" s="16"/>
      <c r="D474" s="16"/>
      <c r="E474" s="16"/>
      <c r="F474" s="16"/>
      <c r="G474" s="16"/>
      <c r="H474" s="16"/>
      <c r="I474" s="16"/>
      <c r="J474" s="16"/>
      <c r="K474" s="16"/>
      <c r="L474" s="16"/>
      <c r="M474" s="26"/>
      <c r="N474" s="26"/>
      <c r="O474" s="16"/>
      <c r="P474" s="1"/>
      <c r="Q474" s="1"/>
      <c r="R474" s="1"/>
      <c r="S474" s="1"/>
      <c r="T474" s="1"/>
      <c r="U474" s="33"/>
      <c r="V474" s="16"/>
      <c r="W474" s="1"/>
      <c r="X474" s="1"/>
    </row>
    <row r="475" spans="1:24">
      <c r="A475" s="1"/>
      <c r="B475" s="16"/>
      <c r="C475" s="16"/>
      <c r="D475" s="16"/>
      <c r="E475" s="16"/>
      <c r="F475" s="16"/>
      <c r="G475" s="16"/>
      <c r="H475" s="16"/>
      <c r="I475" s="16"/>
      <c r="J475" s="16"/>
      <c r="K475" s="16"/>
      <c r="L475" s="16"/>
      <c r="M475" s="26"/>
      <c r="N475" s="26"/>
      <c r="O475" s="16"/>
      <c r="P475" s="1"/>
      <c r="Q475" s="1"/>
      <c r="R475" s="1"/>
      <c r="S475" s="1"/>
      <c r="T475" s="1"/>
      <c r="U475" s="33"/>
      <c r="V475" s="16"/>
      <c r="W475" s="1"/>
      <c r="X475" s="1"/>
    </row>
    <row r="476" spans="1:24">
      <c r="A476" s="1"/>
      <c r="B476" s="16"/>
      <c r="C476" s="16"/>
      <c r="D476" s="16"/>
      <c r="E476" s="16"/>
      <c r="F476" s="16"/>
      <c r="G476" s="16"/>
      <c r="H476" s="16"/>
      <c r="I476" s="16"/>
      <c r="J476" s="16"/>
      <c r="K476" s="16"/>
      <c r="L476" s="16"/>
      <c r="M476" s="26"/>
      <c r="N476" s="26"/>
      <c r="O476" s="16"/>
      <c r="P476" s="1"/>
      <c r="Q476" s="1"/>
      <c r="R476" s="1"/>
      <c r="S476" s="1"/>
      <c r="T476" s="1"/>
      <c r="U476" s="33"/>
      <c r="V476" s="16"/>
      <c r="W476" s="1"/>
      <c r="X476" s="1"/>
    </row>
    <row r="477" spans="1:24">
      <c r="A477" s="1"/>
      <c r="B477" s="16"/>
      <c r="C477" s="16"/>
      <c r="D477" s="16"/>
      <c r="E477" s="16"/>
      <c r="F477" s="16"/>
      <c r="G477" s="16"/>
      <c r="H477" s="16"/>
      <c r="I477" s="16"/>
      <c r="J477" s="16"/>
      <c r="K477" s="16"/>
      <c r="L477" s="16"/>
      <c r="M477" s="26"/>
      <c r="N477" s="26"/>
      <c r="O477" s="16"/>
      <c r="P477" s="1"/>
      <c r="Q477" s="1"/>
      <c r="R477" s="1"/>
      <c r="S477" s="1"/>
      <c r="T477" s="1"/>
      <c r="U477" s="33"/>
      <c r="V477" s="16"/>
      <c r="W477" s="1"/>
      <c r="X477" s="1"/>
    </row>
    <row r="478" spans="1:24">
      <c r="A478" s="1"/>
      <c r="B478" s="16"/>
      <c r="C478" s="16"/>
      <c r="D478" s="16"/>
      <c r="E478" s="16"/>
      <c r="F478" s="16"/>
      <c r="G478" s="16"/>
      <c r="H478" s="16"/>
      <c r="I478" s="16"/>
      <c r="J478" s="16"/>
      <c r="K478" s="16"/>
      <c r="L478" s="16"/>
      <c r="M478" s="26"/>
      <c r="N478" s="26"/>
      <c r="O478" s="16"/>
      <c r="P478" s="1"/>
      <c r="Q478" s="1"/>
      <c r="R478" s="1"/>
      <c r="S478" s="1"/>
      <c r="T478" s="1"/>
      <c r="U478" s="33"/>
      <c r="V478" s="16"/>
      <c r="W478" s="1"/>
      <c r="X478" s="1"/>
    </row>
    <row r="479" spans="1:24">
      <c r="A479" s="1"/>
      <c r="B479" s="16"/>
      <c r="C479" s="16"/>
      <c r="D479" s="16"/>
      <c r="E479" s="16"/>
      <c r="F479" s="16"/>
      <c r="G479" s="16"/>
      <c r="H479" s="16"/>
      <c r="I479" s="16"/>
      <c r="J479" s="16"/>
      <c r="K479" s="16"/>
      <c r="L479" s="16"/>
      <c r="M479" s="26"/>
      <c r="N479" s="26"/>
      <c r="O479" s="16"/>
      <c r="P479" s="1"/>
      <c r="Q479" s="1"/>
      <c r="R479" s="1"/>
      <c r="S479" s="1"/>
      <c r="T479" s="1"/>
      <c r="U479" s="33"/>
      <c r="V479" s="16"/>
      <c r="W479" s="1"/>
      <c r="X479" s="1"/>
    </row>
    <row r="480" spans="1:24">
      <c r="A480" s="1"/>
      <c r="B480" s="16"/>
      <c r="C480" s="16"/>
      <c r="D480" s="16"/>
      <c r="E480" s="16"/>
      <c r="F480" s="16"/>
      <c r="G480" s="16"/>
      <c r="H480" s="16"/>
      <c r="I480" s="16"/>
      <c r="J480" s="16"/>
      <c r="K480" s="16"/>
      <c r="L480" s="16"/>
      <c r="M480" s="26"/>
      <c r="N480" s="26"/>
      <c r="O480" s="16"/>
      <c r="P480" s="1"/>
      <c r="Q480" s="1"/>
      <c r="R480" s="1"/>
      <c r="S480" s="1"/>
      <c r="T480" s="1"/>
      <c r="U480" s="33"/>
      <c r="V480" s="16"/>
      <c r="W480" s="1"/>
      <c r="X480" s="1"/>
    </row>
    <row r="481" spans="1:24">
      <c r="A481" s="1"/>
      <c r="B481" s="16"/>
      <c r="C481" s="16"/>
      <c r="D481" s="16"/>
      <c r="E481" s="16"/>
      <c r="F481" s="16"/>
      <c r="G481" s="16"/>
      <c r="H481" s="16"/>
      <c r="I481" s="16"/>
      <c r="J481" s="16"/>
      <c r="K481" s="16"/>
      <c r="L481" s="16"/>
      <c r="M481" s="26"/>
      <c r="N481" s="26"/>
      <c r="O481" s="16"/>
      <c r="P481" s="1"/>
      <c r="Q481" s="1"/>
      <c r="R481" s="1"/>
      <c r="S481" s="1"/>
      <c r="T481" s="1"/>
      <c r="U481" s="33"/>
      <c r="V481" s="16"/>
      <c r="W481" s="1"/>
      <c r="X481" s="1"/>
    </row>
    <row r="482" spans="1:24">
      <c r="A482" s="1"/>
      <c r="B482" s="16"/>
      <c r="C482" s="16"/>
      <c r="D482" s="16"/>
      <c r="E482" s="16"/>
      <c r="F482" s="16"/>
      <c r="G482" s="16"/>
      <c r="H482" s="16"/>
      <c r="I482" s="16"/>
      <c r="J482" s="16"/>
      <c r="K482" s="16"/>
      <c r="L482" s="16"/>
      <c r="M482" s="26"/>
      <c r="N482" s="26"/>
      <c r="O482" s="16"/>
      <c r="P482" s="1"/>
      <c r="Q482" s="1"/>
      <c r="R482" s="1"/>
      <c r="S482" s="1"/>
      <c r="T482" s="1"/>
      <c r="U482" s="33"/>
      <c r="V482" s="16"/>
      <c r="W482" s="1"/>
      <c r="X482" s="1"/>
    </row>
    <row r="483" spans="1:24">
      <c r="A483" s="1"/>
      <c r="B483" s="16"/>
      <c r="C483" s="16"/>
      <c r="D483" s="16"/>
      <c r="E483" s="16"/>
      <c r="F483" s="16"/>
      <c r="G483" s="16"/>
      <c r="H483" s="16"/>
      <c r="I483" s="16"/>
      <c r="J483" s="16"/>
      <c r="K483" s="16"/>
      <c r="L483" s="16"/>
      <c r="M483" s="26"/>
      <c r="N483" s="26"/>
      <c r="O483" s="16"/>
      <c r="P483" s="1"/>
      <c r="Q483" s="1"/>
      <c r="R483" s="1"/>
      <c r="S483" s="1"/>
      <c r="T483" s="1"/>
      <c r="U483" s="33"/>
      <c r="V483" s="16"/>
      <c r="W483" s="1"/>
      <c r="X483" s="1"/>
    </row>
    <row r="484" spans="1:24">
      <c r="A484" s="1"/>
      <c r="B484" s="16"/>
      <c r="C484" s="16"/>
      <c r="D484" s="16"/>
      <c r="E484" s="16"/>
      <c r="F484" s="16"/>
      <c r="G484" s="16"/>
      <c r="H484" s="16"/>
      <c r="I484" s="16"/>
      <c r="J484" s="16"/>
      <c r="K484" s="16"/>
      <c r="L484" s="16"/>
      <c r="M484" s="26"/>
      <c r="N484" s="26"/>
      <c r="O484" s="16"/>
      <c r="P484" s="1"/>
      <c r="Q484" s="1"/>
      <c r="R484" s="1"/>
      <c r="S484" s="1"/>
      <c r="T484" s="1"/>
      <c r="U484" s="33"/>
      <c r="V484" s="16"/>
      <c r="W484" s="1"/>
      <c r="X484" s="1"/>
    </row>
    <row r="485" spans="1:24">
      <c r="A485" s="1"/>
      <c r="B485" s="16"/>
      <c r="C485" s="16"/>
      <c r="D485" s="16"/>
      <c r="E485" s="16"/>
      <c r="F485" s="16"/>
      <c r="G485" s="16"/>
      <c r="H485" s="16"/>
      <c r="I485" s="16"/>
      <c r="J485" s="16"/>
      <c r="K485" s="16"/>
      <c r="L485" s="16"/>
      <c r="M485" s="26"/>
      <c r="N485" s="26"/>
      <c r="O485" s="16"/>
      <c r="P485" s="1"/>
      <c r="Q485" s="1"/>
      <c r="R485" s="1"/>
      <c r="S485" s="1"/>
      <c r="T485" s="1"/>
      <c r="U485" s="33"/>
      <c r="V485" s="16"/>
      <c r="W485" s="1"/>
      <c r="X485" s="1"/>
    </row>
    <row r="486" spans="1:24">
      <c r="A486" s="1"/>
      <c r="B486" s="16"/>
      <c r="C486" s="16"/>
      <c r="D486" s="16"/>
      <c r="E486" s="16"/>
      <c r="F486" s="16"/>
      <c r="G486" s="16"/>
      <c r="H486" s="16"/>
      <c r="I486" s="16"/>
      <c r="J486" s="16"/>
      <c r="K486" s="16"/>
      <c r="L486" s="16"/>
      <c r="M486" s="26"/>
      <c r="N486" s="26"/>
      <c r="O486" s="16"/>
      <c r="P486" s="1"/>
      <c r="Q486" s="1"/>
      <c r="R486" s="1"/>
      <c r="S486" s="1"/>
      <c r="T486" s="1"/>
      <c r="U486" s="33"/>
      <c r="V486" s="16"/>
      <c r="W486" s="1"/>
      <c r="X486" s="1"/>
    </row>
    <row r="487" spans="1:24">
      <c r="A487" s="1"/>
      <c r="B487" s="16"/>
      <c r="C487" s="16"/>
      <c r="D487" s="16"/>
      <c r="E487" s="16"/>
      <c r="F487" s="16"/>
      <c r="G487" s="16"/>
      <c r="H487" s="16"/>
      <c r="I487" s="16"/>
      <c r="J487" s="16"/>
      <c r="K487" s="16"/>
      <c r="L487" s="16"/>
      <c r="M487" s="26"/>
      <c r="N487" s="26"/>
      <c r="O487" s="16"/>
      <c r="P487" s="1"/>
      <c r="Q487" s="1"/>
      <c r="R487" s="1"/>
      <c r="S487" s="1"/>
      <c r="T487" s="1"/>
      <c r="U487" s="33"/>
      <c r="V487" s="16"/>
      <c r="W487" s="1"/>
      <c r="X487" s="1"/>
    </row>
    <row r="488" spans="1:24">
      <c r="A488" s="1"/>
      <c r="B488" s="16"/>
      <c r="C488" s="16"/>
      <c r="D488" s="16"/>
      <c r="E488" s="16"/>
      <c r="F488" s="16"/>
      <c r="G488" s="16"/>
      <c r="H488" s="16"/>
      <c r="I488" s="16"/>
      <c r="J488" s="16"/>
      <c r="K488" s="16"/>
      <c r="L488" s="16"/>
      <c r="M488" s="26"/>
      <c r="N488" s="26"/>
      <c r="O488" s="16"/>
      <c r="P488" s="1"/>
      <c r="Q488" s="1"/>
      <c r="R488" s="1"/>
      <c r="S488" s="1"/>
      <c r="T488" s="1"/>
      <c r="U488" s="33"/>
      <c r="V488" s="16"/>
      <c r="W488" s="1"/>
      <c r="X488" s="1"/>
    </row>
    <row r="489" spans="1:24">
      <c r="A489" s="1"/>
      <c r="B489" s="16"/>
      <c r="C489" s="16"/>
      <c r="D489" s="16"/>
      <c r="E489" s="16"/>
      <c r="F489" s="16"/>
      <c r="G489" s="16"/>
      <c r="H489" s="16"/>
      <c r="I489" s="16"/>
      <c r="J489" s="16"/>
      <c r="K489" s="16"/>
      <c r="L489" s="16"/>
      <c r="M489" s="26"/>
      <c r="N489" s="26"/>
      <c r="O489" s="16"/>
      <c r="P489" s="1"/>
      <c r="Q489" s="1"/>
      <c r="R489" s="1"/>
      <c r="S489" s="1"/>
      <c r="T489" s="1"/>
      <c r="U489" s="33"/>
      <c r="V489" s="16"/>
      <c r="W489" s="1"/>
      <c r="X489" s="1"/>
    </row>
    <row r="490" spans="1:24">
      <c r="A490" s="1"/>
      <c r="B490" s="16"/>
      <c r="C490" s="16"/>
      <c r="D490" s="16"/>
      <c r="E490" s="16"/>
      <c r="F490" s="16"/>
      <c r="G490" s="16"/>
      <c r="H490" s="16"/>
      <c r="I490" s="16"/>
      <c r="J490" s="16"/>
      <c r="K490" s="16"/>
      <c r="L490" s="16"/>
      <c r="M490" s="26"/>
      <c r="N490" s="26"/>
      <c r="O490" s="16"/>
      <c r="P490" s="1"/>
      <c r="Q490" s="1"/>
      <c r="R490" s="1"/>
      <c r="S490" s="1"/>
      <c r="T490" s="1"/>
      <c r="U490" s="33"/>
      <c r="V490" s="16"/>
      <c r="W490" s="1"/>
      <c r="X490" s="1"/>
    </row>
    <row r="491" spans="1:24">
      <c r="A491" s="1"/>
      <c r="B491" s="16"/>
      <c r="C491" s="16"/>
      <c r="D491" s="16"/>
      <c r="E491" s="16"/>
      <c r="F491" s="16"/>
      <c r="G491" s="16"/>
      <c r="H491" s="16"/>
      <c r="I491" s="16"/>
      <c r="J491" s="16"/>
      <c r="K491" s="16"/>
      <c r="L491" s="16"/>
      <c r="M491" s="26"/>
      <c r="N491" s="26"/>
      <c r="O491" s="16"/>
      <c r="P491" s="1"/>
      <c r="Q491" s="1"/>
      <c r="R491" s="1"/>
      <c r="S491" s="1"/>
      <c r="T491" s="1"/>
      <c r="U491" s="33"/>
      <c r="V491" s="16"/>
      <c r="W491" s="1"/>
      <c r="X491" s="1"/>
    </row>
    <row r="492" spans="1:24">
      <c r="A492" s="1"/>
      <c r="B492" s="16"/>
      <c r="C492" s="16"/>
      <c r="D492" s="16"/>
      <c r="E492" s="16"/>
      <c r="F492" s="16"/>
      <c r="G492" s="16"/>
      <c r="H492" s="16"/>
      <c r="I492" s="16"/>
      <c r="J492" s="16"/>
      <c r="K492" s="16"/>
      <c r="L492" s="16"/>
      <c r="M492" s="26"/>
      <c r="N492" s="26"/>
      <c r="O492" s="16"/>
      <c r="P492" s="1"/>
      <c r="Q492" s="1"/>
      <c r="R492" s="1"/>
      <c r="S492" s="1"/>
      <c r="T492" s="1"/>
      <c r="U492" s="33"/>
      <c r="V492" s="16"/>
      <c r="W492" s="1"/>
      <c r="X492" s="1"/>
    </row>
    <row r="493" spans="1:24">
      <c r="A493" s="1"/>
      <c r="B493" s="16"/>
      <c r="C493" s="16"/>
      <c r="D493" s="16"/>
      <c r="E493" s="16"/>
      <c r="F493" s="16"/>
      <c r="G493" s="16"/>
      <c r="H493" s="16"/>
      <c r="I493" s="16"/>
      <c r="J493" s="16"/>
      <c r="K493" s="16"/>
      <c r="L493" s="16"/>
      <c r="M493" s="26"/>
      <c r="N493" s="26"/>
      <c r="O493" s="16"/>
      <c r="P493" s="1"/>
      <c r="Q493" s="1"/>
      <c r="R493" s="1"/>
      <c r="S493" s="1"/>
      <c r="T493" s="1"/>
      <c r="U493" s="33"/>
      <c r="V493" s="16"/>
      <c r="W493" s="1"/>
      <c r="X493" s="1"/>
    </row>
    <row r="494" spans="1:24">
      <c r="A494" s="1"/>
      <c r="B494" s="16"/>
      <c r="C494" s="16"/>
      <c r="D494" s="16"/>
      <c r="E494" s="16"/>
      <c r="F494" s="16"/>
      <c r="G494" s="16"/>
      <c r="H494" s="16"/>
      <c r="I494" s="16"/>
      <c r="J494" s="16"/>
      <c r="K494" s="16"/>
      <c r="L494" s="16"/>
      <c r="M494" s="26"/>
      <c r="N494" s="26"/>
      <c r="O494" s="16"/>
      <c r="P494" s="1"/>
      <c r="Q494" s="1"/>
      <c r="R494" s="1"/>
      <c r="S494" s="1"/>
      <c r="T494" s="1"/>
      <c r="U494" s="33"/>
      <c r="V494" s="16"/>
      <c r="W494" s="1"/>
      <c r="X494" s="1"/>
    </row>
    <row r="495" spans="1:24">
      <c r="A495" s="1"/>
      <c r="B495" s="16"/>
      <c r="C495" s="16"/>
      <c r="D495" s="16"/>
      <c r="E495" s="16"/>
      <c r="F495" s="16"/>
      <c r="G495" s="16"/>
      <c r="H495" s="16"/>
      <c r="I495" s="16"/>
      <c r="J495" s="16"/>
      <c r="K495" s="16"/>
      <c r="L495" s="16"/>
      <c r="M495" s="26"/>
      <c r="N495" s="26"/>
      <c r="O495" s="16"/>
      <c r="P495" s="1"/>
      <c r="Q495" s="1"/>
      <c r="R495" s="1"/>
      <c r="S495" s="1"/>
      <c r="T495" s="1"/>
      <c r="U495" s="33"/>
      <c r="V495" s="16"/>
      <c r="W495" s="1"/>
      <c r="X495" s="1"/>
    </row>
    <row r="496" spans="1:24">
      <c r="A496" s="1"/>
      <c r="B496" s="16"/>
      <c r="C496" s="16"/>
      <c r="D496" s="16"/>
      <c r="E496" s="16"/>
      <c r="F496" s="16"/>
      <c r="G496" s="16"/>
      <c r="H496" s="16"/>
      <c r="I496" s="16"/>
      <c r="J496" s="16"/>
      <c r="K496" s="16"/>
      <c r="L496" s="16"/>
      <c r="M496" s="26"/>
      <c r="N496" s="26"/>
      <c r="O496" s="16"/>
      <c r="P496" s="1"/>
      <c r="Q496" s="1"/>
      <c r="R496" s="1"/>
      <c r="S496" s="1"/>
      <c r="T496" s="1"/>
      <c r="U496" s="33"/>
      <c r="V496" s="16"/>
      <c r="W496" s="1"/>
      <c r="X496" s="1"/>
    </row>
    <row r="497" spans="1:24">
      <c r="A497" s="1"/>
      <c r="B497" s="16"/>
      <c r="C497" s="16"/>
      <c r="D497" s="16"/>
      <c r="E497" s="16"/>
      <c r="F497" s="16"/>
      <c r="G497" s="16"/>
      <c r="H497" s="16"/>
      <c r="I497" s="16"/>
      <c r="J497" s="16"/>
      <c r="K497" s="16"/>
      <c r="L497" s="16"/>
      <c r="M497" s="26"/>
      <c r="N497" s="26"/>
      <c r="O497" s="16"/>
      <c r="P497" s="1"/>
      <c r="Q497" s="1"/>
      <c r="R497" s="1"/>
      <c r="S497" s="1"/>
      <c r="T497" s="1"/>
      <c r="U497" s="33"/>
      <c r="V497" s="16"/>
      <c r="W497" s="1"/>
      <c r="X497" s="1"/>
    </row>
    <row r="498" spans="1:24">
      <c r="A498" s="1"/>
      <c r="B498" s="16"/>
      <c r="C498" s="16"/>
      <c r="D498" s="16"/>
      <c r="E498" s="16"/>
      <c r="F498" s="16"/>
      <c r="G498" s="16"/>
      <c r="H498" s="16"/>
      <c r="I498" s="16"/>
      <c r="J498" s="16"/>
      <c r="K498" s="16"/>
      <c r="L498" s="16"/>
      <c r="M498" s="26"/>
      <c r="N498" s="26"/>
      <c r="O498" s="16"/>
      <c r="P498" s="1"/>
      <c r="Q498" s="1"/>
      <c r="R498" s="1"/>
      <c r="S498" s="1"/>
      <c r="T498" s="1"/>
      <c r="U498" s="33"/>
      <c r="V498" s="16"/>
      <c r="W498" s="1"/>
      <c r="X498" s="1"/>
    </row>
    <row r="499" spans="1:24">
      <c r="A499" s="1"/>
      <c r="B499" s="16"/>
      <c r="C499" s="16"/>
      <c r="D499" s="16"/>
      <c r="E499" s="16"/>
      <c r="F499" s="16"/>
      <c r="G499" s="16"/>
      <c r="H499" s="16"/>
      <c r="I499" s="16"/>
      <c r="J499" s="16"/>
      <c r="K499" s="16"/>
      <c r="L499" s="16"/>
      <c r="M499" s="26"/>
      <c r="N499" s="26"/>
      <c r="O499" s="16"/>
      <c r="P499" s="1"/>
      <c r="Q499" s="1"/>
      <c r="R499" s="1"/>
      <c r="S499" s="1"/>
      <c r="T499" s="1"/>
      <c r="U499" s="33"/>
      <c r="V499" s="16"/>
      <c r="W499" s="1"/>
      <c r="X499" s="1"/>
    </row>
    <row r="500" spans="1:24">
      <c r="A500" s="1"/>
      <c r="B500" s="16"/>
      <c r="C500" s="16"/>
      <c r="D500" s="16"/>
      <c r="E500" s="16"/>
      <c r="F500" s="16"/>
      <c r="G500" s="16"/>
      <c r="H500" s="16"/>
      <c r="I500" s="16"/>
      <c r="J500" s="16"/>
      <c r="K500" s="16"/>
      <c r="L500" s="16"/>
      <c r="M500" s="26"/>
      <c r="N500" s="26"/>
      <c r="O500" s="16"/>
      <c r="P500" s="1"/>
      <c r="Q500" s="1"/>
      <c r="R500" s="1"/>
      <c r="S500" s="1"/>
      <c r="T500" s="1"/>
      <c r="U500" s="33"/>
      <c r="V500" s="16"/>
      <c r="W500" s="1"/>
      <c r="X500" s="1"/>
    </row>
    <row r="501" spans="1:24">
      <c r="A501" s="1"/>
      <c r="B501" s="16"/>
      <c r="C501" s="16"/>
      <c r="D501" s="16"/>
      <c r="E501" s="16"/>
      <c r="F501" s="16"/>
      <c r="G501" s="16"/>
      <c r="H501" s="16"/>
      <c r="I501" s="16"/>
      <c r="J501" s="16"/>
      <c r="K501" s="16"/>
      <c r="L501" s="16"/>
      <c r="M501" s="26"/>
      <c r="N501" s="26"/>
      <c r="O501" s="16"/>
      <c r="P501" s="1"/>
      <c r="Q501" s="1"/>
      <c r="R501" s="1"/>
      <c r="S501" s="1"/>
      <c r="T501" s="1"/>
      <c r="U501" s="33"/>
      <c r="V501" s="16"/>
      <c r="W501" s="1"/>
      <c r="X501" s="1"/>
    </row>
    <row r="502" spans="1:24">
      <c r="A502" s="1"/>
      <c r="B502" s="16"/>
      <c r="C502" s="16"/>
      <c r="D502" s="16"/>
      <c r="E502" s="16"/>
      <c r="F502" s="16"/>
      <c r="G502" s="16"/>
      <c r="H502" s="16"/>
      <c r="I502" s="16"/>
      <c r="J502" s="16"/>
      <c r="K502" s="16"/>
      <c r="L502" s="16"/>
      <c r="M502" s="26"/>
      <c r="N502" s="26"/>
      <c r="O502" s="16"/>
      <c r="P502" s="1"/>
      <c r="Q502" s="1"/>
      <c r="R502" s="1"/>
      <c r="S502" s="1"/>
      <c r="T502" s="1"/>
      <c r="U502" s="33"/>
      <c r="V502" s="16"/>
      <c r="W502" s="1"/>
      <c r="X502" s="1"/>
    </row>
    <row r="503" spans="1:24">
      <c r="A503" s="1"/>
      <c r="B503" s="16"/>
      <c r="C503" s="16"/>
      <c r="D503" s="16"/>
      <c r="E503" s="16"/>
      <c r="F503" s="16"/>
      <c r="G503" s="16"/>
      <c r="H503" s="16"/>
      <c r="I503" s="16"/>
      <c r="J503" s="16"/>
      <c r="K503" s="16"/>
      <c r="L503" s="16"/>
      <c r="M503" s="26"/>
      <c r="N503" s="26"/>
      <c r="O503" s="16"/>
      <c r="P503" s="1"/>
      <c r="Q503" s="1"/>
      <c r="R503" s="1"/>
      <c r="S503" s="1"/>
      <c r="T503" s="1"/>
      <c r="U503" s="33"/>
      <c r="V503" s="16"/>
      <c r="W503" s="1"/>
      <c r="X503" s="1"/>
    </row>
    <row r="504" spans="1:24">
      <c r="A504" s="1"/>
      <c r="B504" s="16"/>
      <c r="C504" s="16"/>
      <c r="D504" s="16"/>
      <c r="E504" s="16"/>
      <c r="F504" s="16"/>
      <c r="G504" s="16"/>
      <c r="H504" s="16"/>
      <c r="I504" s="16"/>
      <c r="J504" s="16"/>
      <c r="K504" s="16"/>
      <c r="L504" s="16"/>
      <c r="M504" s="26"/>
      <c r="N504" s="26"/>
      <c r="O504" s="16"/>
      <c r="P504" s="1"/>
      <c r="Q504" s="1"/>
      <c r="R504" s="1"/>
      <c r="S504" s="1"/>
      <c r="T504" s="1"/>
      <c r="U504" s="33"/>
      <c r="V504" s="16"/>
      <c r="W504" s="1"/>
      <c r="X504" s="1"/>
    </row>
    <row r="505" spans="1:24">
      <c r="A505" s="1"/>
      <c r="B505" s="16"/>
      <c r="C505" s="16"/>
      <c r="D505" s="16"/>
      <c r="E505" s="16"/>
      <c r="F505" s="16"/>
      <c r="G505" s="16"/>
      <c r="H505" s="16"/>
      <c r="I505" s="16"/>
      <c r="J505" s="16"/>
      <c r="K505" s="16"/>
      <c r="L505" s="16"/>
      <c r="M505" s="26"/>
      <c r="N505" s="26"/>
      <c r="O505" s="16"/>
      <c r="P505" s="1"/>
      <c r="Q505" s="1"/>
      <c r="R505" s="1"/>
      <c r="S505" s="1"/>
      <c r="T505" s="1"/>
      <c r="U505" s="33"/>
      <c r="V505" s="16"/>
      <c r="W505" s="1"/>
      <c r="X505" s="1"/>
    </row>
    <row r="506" spans="1:24">
      <c r="A506" s="1"/>
      <c r="B506" s="16"/>
      <c r="C506" s="16"/>
      <c r="D506" s="16"/>
      <c r="E506" s="16"/>
      <c r="F506" s="16"/>
      <c r="G506" s="16"/>
      <c r="H506" s="16"/>
      <c r="I506" s="16"/>
      <c r="J506" s="16"/>
      <c r="K506" s="16"/>
      <c r="L506" s="16"/>
      <c r="M506" s="26"/>
      <c r="N506" s="26"/>
      <c r="O506" s="16"/>
      <c r="P506" s="1"/>
      <c r="Q506" s="1"/>
      <c r="R506" s="1"/>
      <c r="S506" s="1"/>
      <c r="T506" s="1"/>
      <c r="U506" s="33"/>
      <c r="V506" s="16"/>
      <c r="W506" s="1"/>
      <c r="X506" s="1"/>
    </row>
    <row r="507" spans="1:24">
      <c r="A507" s="1"/>
      <c r="B507" s="16"/>
      <c r="C507" s="16"/>
      <c r="D507" s="16"/>
      <c r="E507" s="16"/>
      <c r="F507" s="16"/>
      <c r="G507" s="16"/>
      <c r="H507" s="16"/>
      <c r="I507" s="16"/>
      <c r="J507" s="16"/>
      <c r="K507" s="16"/>
      <c r="L507" s="16"/>
      <c r="M507" s="26"/>
      <c r="N507" s="26"/>
      <c r="O507" s="16"/>
      <c r="P507" s="1"/>
      <c r="Q507" s="1"/>
      <c r="R507" s="1"/>
      <c r="S507" s="1"/>
      <c r="T507" s="1"/>
      <c r="U507" s="33"/>
      <c r="V507" s="16"/>
      <c r="W507" s="1"/>
      <c r="X507" s="1"/>
    </row>
    <row r="508" spans="1:24">
      <c r="A508" s="1"/>
      <c r="B508" s="16"/>
      <c r="C508" s="16"/>
      <c r="D508" s="16"/>
      <c r="E508" s="16"/>
      <c r="F508" s="16"/>
      <c r="G508" s="16"/>
      <c r="H508" s="16"/>
      <c r="I508" s="16"/>
      <c r="J508" s="16"/>
      <c r="K508" s="16"/>
      <c r="L508" s="16"/>
      <c r="M508" s="26"/>
      <c r="N508" s="26"/>
      <c r="O508" s="16"/>
      <c r="P508" s="1"/>
      <c r="Q508" s="1"/>
      <c r="R508" s="1"/>
      <c r="S508" s="1"/>
      <c r="T508" s="1"/>
      <c r="U508" s="33"/>
      <c r="V508" s="16"/>
      <c r="W508" s="1"/>
      <c r="X508" s="1"/>
    </row>
    <row r="509" spans="1:24">
      <c r="A509" s="1"/>
      <c r="B509" s="16"/>
      <c r="C509" s="16"/>
      <c r="D509" s="16"/>
      <c r="E509" s="16"/>
      <c r="F509" s="16"/>
      <c r="G509" s="16"/>
      <c r="H509" s="16"/>
      <c r="I509" s="16"/>
      <c r="J509" s="16"/>
      <c r="K509" s="16"/>
      <c r="L509" s="16"/>
      <c r="M509" s="26"/>
      <c r="N509" s="26"/>
      <c r="O509" s="16"/>
      <c r="P509" s="1"/>
      <c r="Q509" s="1"/>
      <c r="R509" s="1"/>
      <c r="S509" s="1"/>
      <c r="T509" s="1"/>
      <c r="U509" s="33"/>
      <c r="V509" s="16"/>
      <c r="W509" s="1"/>
      <c r="X509" s="1"/>
    </row>
    <row r="510" spans="1:24">
      <c r="A510" s="1"/>
      <c r="B510" s="16"/>
      <c r="C510" s="16"/>
      <c r="D510" s="16"/>
      <c r="E510" s="16"/>
      <c r="F510" s="16"/>
      <c r="G510" s="16"/>
      <c r="H510" s="16"/>
      <c r="I510" s="16"/>
      <c r="J510" s="16"/>
      <c r="K510" s="16"/>
      <c r="L510" s="16"/>
      <c r="M510" s="26"/>
      <c r="N510" s="26"/>
      <c r="O510" s="16"/>
      <c r="P510" s="1"/>
      <c r="Q510" s="1"/>
      <c r="R510" s="1"/>
      <c r="S510" s="1"/>
      <c r="T510" s="1"/>
      <c r="U510" s="33"/>
      <c r="V510" s="16"/>
      <c r="W510" s="1"/>
      <c r="X510" s="1"/>
    </row>
    <row r="511" spans="1:24">
      <c r="A511" s="1"/>
      <c r="B511" s="16"/>
      <c r="C511" s="16"/>
      <c r="D511" s="16"/>
      <c r="E511" s="16"/>
      <c r="F511" s="16"/>
      <c r="G511" s="16"/>
      <c r="H511" s="16"/>
      <c r="I511" s="16"/>
      <c r="J511" s="16"/>
      <c r="K511" s="16"/>
      <c r="L511" s="16"/>
      <c r="M511" s="26"/>
      <c r="N511" s="26"/>
      <c r="O511" s="16"/>
      <c r="P511" s="1"/>
      <c r="Q511" s="1"/>
      <c r="R511" s="1"/>
      <c r="S511" s="1"/>
      <c r="T511" s="1"/>
      <c r="U511" s="33"/>
      <c r="V511" s="16"/>
      <c r="W511" s="1"/>
      <c r="X511" s="1"/>
    </row>
    <row r="512" spans="1:24">
      <c r="A512" s="1"/>
      <c r="B512" s="16"/>
      <c r="C512" s="16"/>
      <c r="D512" s="16"/>
      <c r="E512" s="16"/>
      <c r="F512" s="16"/>
      <c r="G512" s="16"/>
      <c r="H512" s="16"/>
      <c r="I512" s="16"/>
      <c r="J512" s="16"/>
      <c r="K512" s="16"/>
      <c r="L512" s="16"/>
      <c r="M512" s="26"/>
      <c r="N512" s="26"/>
      <c r="O512" s="16"/>
      <c r="P512" s="1"/>
      <c r="Q512" s="1"/>
      <c r="R512" s="1"/>
      <c r="S512" s="1"/>
      <c r="T512" s="1"/>
      <c r="U512" s="33"/>
      <c r="V512" s="16"/>
      <c r="W512" s="1"/>
      <c r="X512" s="1"/>
    </row>
    <row r="513" spans="1:24">
      <c r="A513" s="1"/>
      <c r="B513" s="16"/>
      <c r="C513" s="16"/>
      <c r="D513" s="16"/>
      <c r="E513" s="16"/>
      <c r="F513" s="16"/>
      <c r="G513" s="16"/>
      <c r="H513" s="16"/>
      <c r="I513" s="16"/>
      <c r="J513" s="16"/>
      <c r="K513" s="16"/>
      <c r="L513" s="16"/>
      <c r="M513" s="26"/>
      <c r="N513" s="26"/>
      <c r="O513" s="16"/>
      <c r="P513" s="1"/>
      <c r="Q513" s="1"/>
      <c r="R513" s="1"/>
      <c r="S513" s="1"/>
      <c r="T513" s="1"/>
      <c r="U513" s="33"/>
      <c r="V513" s="16"/>
      <c r="W513" s="1"/>
      <c r="X513" s="1"/>
    </row>
    <row r="514" spans="1:24">
      <c r="A514" s="1"/>
      <c r="B514" s="16"/>
      <c r="C514" s="16"/>
      <c r="D514" s="16"/>
      <c r="E514" s="16"/>
      <c r="F514" s="16"/>
      <c r="G514" s="16"/>
      <c r="H514" s="16"/>
      <c r="I514" s="16"/>
      <c r="J514" s="16"/>
      <c r="K514" s="16"/>
      <c r="L514" s="16"/>
      <c r="M514" s="26"/>
      <c r="N514" s="26"/>
      <c r="O514" s="16"/>
      <c r="P514" s="1"/>
      <c r="Q514" s="1"/>
      <c r="R514" s="1"/>
      <c r="S514" s="1"/>
      <c r="T514" s="1"/>
      <c r="U514" s="33"/>
      <c r="V514" s="16"/>
      <c r="W514" s="1"/>
      <c r="X514" s="1"/>
    </row>
    <row r="515" spans="1:24">
      <c r="A515" s="1"/>
      <c r="B515" s="16"/>
      <c r="C515" s="16"/>
      <c r="D515" s="16"/>
      <c r="E515" s="16"/>
      <c r="F515" s="16"/>
      <c r="G515" s="16"/>
      <c r="H515" s="16"/>
      <c r="I515" s="16"/>
      <c r="J515" s="16"/>
      <c r="K515" s="16"/>
      <c r="L515" s="16"/>
      <c r="M515" s="26"/>
      <c r="N515" s="26"/>
      <c r="O515" s="16"/>
      <c r="P515" s="1"/>
      <c r="Q515" s="1"/>
      <c r="R515" s="1"/>
      <c r="S515" s="1"/>
      <c r="T515" s="1"/>
      <c r="U515" s="33"/>
      <c r="V515" s="16"/>
      <c r="W515" s="1"/>
      <c r="X515" s="1"/>
    </row>
    <row r="516" spans="1:24">
      <c r="A516" s="1"/>
      <c r="B516" s="16"/>
      <c r="C516" s="16"/>
      <c r="D516" s="16"/>
      <c r="E516" s="16"/>
      <c r="F516" s="16"/>
      <c r="G516" s="16"/>
      <c r="H516" s="16"/>
      <c r="I516" s="16"/>
      <c r="J516" s="16"/>
      <c r="K516" s="16"/>
      <c r="L516" s="16"/>
      <c r="M516" s="26"/>
      <c r="N516" s="26"/>
      <c r="O516" s="16"/>
      <c r="P516" s="1"/>
      <c r="Q516" s="1"/>
      <c r="R516" s="1"/>
      <c r="S516" s="1"/>
      <c r="T516" s="1"/>
      <c r="U516" s="33"/>
      <c r="V516" s="16"/>
      <c r="W516" s="1"/>
      <c r="X516" s="1"/>
    </row>
    <row r="517" spans="1:24">
      <c r="A517" s="1"/>
      <c r="B517" s="16"/>
      <c r="C517" s="16"/>
      <c r="D517" s="16"/>
      <c r="E517" s="16"/>
      <c r="F517" s="16"/>
      <c r="G517" s="16"/>
      <c r="H517" s="16"/>
      <c r="I517" s="16"/>
      <c r="J517" s="16"/>
      <c r="K517" s="16"/>
      <c r="L517" s="16"/>
      <c r="M517" s="26"/>
      <c r="N517" s="26"/>
      <c r="O517" s="16"/>
      <c r="P517" s="1"/>
      <c r="Q517" s="1"/>
      <c r="R517" s="1"/>
      <c r="S517" s="1"/>
      <c r="T517" s="1"/>
      <c r="U517" s="33"/>
      <c r="V517" s="16"/>
      <c r="W517" s="1"/>
      <c r="X517" s="1"/>
    </row>
    <row r="518" spans="1:24">
      <c r="A518" s="1"/>
      <c r="B518" s="16"/>
      <c r="C518" s="16"/>
      <c r="D518" s="16"/>
      <c r="E518" s="16"/>
      <c r="F518" s="16"/>
      <c r="G518" s="16"/>
      <c r="H518" s="16"/>
      <c r="I518" s="16"/>
      <c r="J518" s="16"/>
      <c r="K518" s="16"/>
      <c r="L518" s="16"/>
      <c r="M518" s="26"/>
      <c r="N518" s="26"/>
      <c r="O518" s="16"/>
      <c r="P518" s="1"/>
      <c r="Q518" s="1"/>
      <c r="R518" s="1"/>
      <c r="S518" s="1"/>
      <c r="T518" s="1"/>
      <c r="U518" s="33"/>
      <c r="V518" s="16"/>
      <c r="W518" s="1"/>
      <c r="X518" s="1"/>
    </row>
    <row r="519" spans="1:24">
      <c r="A519" s="1"/>
      <c r="B519" s="16"/>
      <c r="C519" s="16"/>
      <c r="D519" s="16"/>
      <c r="E519" s="16"/>
      <c r="F519" s="16"/>
      <c r="G519" s="16"/>
      <c r="H519" s="16"/>
      <c r="I519" s="16"/>
      <c r="J519" s="16"/>
      <c r="K519" s="16"/>
      <c r="L519" s="16"/>
      <c r="M519" s="26"/>
      <c r="N519" s="26"/>
      <c r="O519" s="16"/>
      <c r="P519" s="1"/>
      <c r="Q519" s="1"/>
      <c r="R519" s="1"/>
      <c r="S519" s="1"/>
      <c r="T519" s="1"/>
      <c r="U519" s="33"/>
      <c r="V519" s="16"/>
      <c r="W519" s="1"/>
      <c r="X519" s="1"/>
    </row>
    <row r="520" spans="1:24">
      <c r="A520" s="1"/>
      <c r="B520" s="16"/>
      <c r="C520" s="16"/>
      <c r="D520" s="16"/>
      <c r="E520" s="16"/>
      <c r="F520" s="16"/>
      <c r="G520" s="16"/>
      <c r="H520" s="16"/>
      <c r="I520" s="16"/>
      <c r="J520" s="16"/>
      <c r="K520" s="16"/>
      <c r="L520" s="16"/>
      <c r="M520" s="26"/>
      <c r="N520" s="26"/>
      <c r="O520" s="16"/>
      <c r="P520" s="1"/>
      <c r="Q520" s="1"/>
      <c r="R520" s="1"/>
      <c r="S520" s="1"/>
      <c r="T520" s="1"/>
      <c r="U520" s="33"/>
      <c r="V520" s="16"/>
      <c r="W520" s="1"/>
      <c r="X520" s="1"/>
    </row>
    <row r="521" spans="1:24">
      <c r="A521" s="1"/>
      <c r="B521" s="16"/>
      <c r="C521" s="16"/>
      <c r="D521" s="16"/>
      <c r="E521" s="16"/>
      <c r="F521" s="16"/>
      <c r="G521" s="16"/>
      <c r="H521" s="16"/>
      <c r="I521" s="16"/>
      <c r="J521" s="16"/>
      <c r="K521" s="16"/>
      <c r="L521" s="16"/>
      <c r="M521" s="26"/>
      <c r="N521" s="26"/>
      <c r="O521" s="16"/>
      <c r="P521" s="1"/>
      <c r="Q521" s="1"/>
      <c r="R521" s="1"/>
      <c r="S521" s="1"/>
      <c r="T521" s="1"/>
      <c r="U521" s="33"/>
      <c r="V521" s="16"/>
      <c r="W521" s="1"/>
      <c r="X521" s="1"/>
    </row>
    <row r="522" spans="1:24">
      <c r="A522" s="1"/>
      <c r="B522" s="16"/>
      <c r="C522" s="16"/>
      <c r="D522" s="16"/>
      <c r="E522" s="16"/>
      <c r="F522" s="16"/>
      <c r="G522" s="16"/>
      <c r="H522" s="16"/>
      <c r="I522" s="16"/>
      <c r="J522" s="16"/>
      <c r="K522" s="16"/>
      <c r="L522" s="16"/>
      <c r="M522" s="26"/>
      <c r="N522" s="26"/>
      <c r="O522" s="16"/>
      <c r="P522" s="1"/>
      <c r="Q522" s="1"/>
      <c r="R522" s="1"/>
      <c r="S522" s="1"/>
      <c r="T522" s="1"/>
      <c r="U522" s="33"/>
      <c r="V522" s="16"/>
      <c r="W522" s="1"/>
      <c r="X522" s="1"/>
    </row>
    <row r="523" spans="1:24">
      <c r="A523" s="1"/>
      <c r="B523" s="16"/>
      <c r="C523" s="16"/>
      <c r="D523" s="16"/>
      <c r="E523" s="16"/>
      <c r="F523" s="16"/>
      <c r="G523" s="16"/>
      <c r="H523" s="16"/>
      <c r="I523" s="16"/>
      <c r="J523" s="16"/>
      <c r="K523" s="16"/>
      <c r="L523" s="16"/>
      <c r="M523" s="26"/>
      <c r="N523" s="26"/>
      <c r="O523" s="16"/>
      <c r="P523" s="1"/>
      <c r="Q523" s="1"/>
      <c r="R523" s="1"/>
      <c r="S523" s="1"/>
      <c r="T523" s="1"/>
      <c r="U523" s="33"/>
      <c r="V523" s="16"/>
      <c r="W523" s="1"/>
      <c r="X523" s="1"/>
    </row>
    <row r="524" spans="1:24">
      <c r="A524" s="1"/>
      <c r="B524" s="16"/>
      <c r="C524" s="16"/>
      <c r="D524" s="16"/>
      <c r="E524" s="16"/>
      <c r="F524" s="16"/>
      <c r="G524" s="16"/>
      <c r="H524" s="16"/>
      <c r="I524" s="16"/>
      <c r="J524" s="16"/>
      <c r="K524" s="16"/>
      <c r="L524" s="16"/>
      <c r="M524" s="26"/>
      <c r="N524" s="26"/>
      <c r="O524" s="16"/>
      <c r="P524" s="1"/>
      <c r="Q524" s="1"/>
      <c r="R524" s="1"/>
      <c r="S524" s="1"/>
      <c r="T524" s="1"/>
      <c r="U524" s="33"/>
      <c r="V524" s="16"/>
      <c r="W524" s="1"/>
      <c r="X524" s="1"/>
    </row>
    <row r="525" spans="1:24">
      <c r="A525" s="1"/>
      <c r="B525" s="16"/>
      <c r="C525" s="16"/>
      <c r="D525" s="16"/>
      <c r="E525" s="16"/>
      <c r="F525" s="16"/>
      <c r="G525" s="16"/>
      <c r="H525" s="16"/>
      <c r="I525" s="16"/>
      <c r="J525" s="16"/>
      <c r="K525" s="16"/>
      <c r="L525" s="16"/>
      <c r="M525" s="26"/>
      <c r="N525" s="26"/>
      <c r="O525" s="16"/>
      <c r="P525" s="1"/>
      <c r="Q525" s="1"/>
      <c r="R525" s="1"/>
      <c r="S525" s="1"/>
      <c r="T525" s="1"/>
      <c r="U525" s="33"/>
      <c r="V525" s="16"/>
      <c r="W525" s="1"/>
      <c r="X525" s="1"/>
    </row>
    <row r="526" spans="1:24">
      <c r="A526" s="1"/>
      <c r="B526" s="16"/>
      <c r="C526" s="16"/>
      <c r="D526" s="16"/>
      <c r="E526" s="16"/>
      <c r="F526" s="16"/>
      <c r="G526" s="16"/>
      <c r="H526" s="16"/>
      <c r="I526" s="16"/>
      <c r="J526" s="16"/>
      <c r="K526" s="16"/>
      <c r="L526" s="16"/>
      <c r="M526" s="26"/>
      <c r="N526" s="26"/>
      <c r="O526" s="16"/>
      <c r="P526" s="1"/>
      <c r="Q526" s="1"/>
      <c r="R526" s="1"/>
      <c r="S526" s="1"/>
      <c r="T526" s="1"/>
      <c r="U526" s="33"/>
      <c r="V526" s="16"/>
      <c r="W526" s="1"/>
      <c r="X526" s="1"/>
    </row>
    <row r="527" spans="1:24">
      <c r="A527" s="1"/>
      <c r="B527" s="16"/>
      <c r="C527" s="16"/>
      <c r="D527" s="16"/>
      <c r="E527" s="16"/>
      <c r="F527" s="16"/>
      <c r="G527" s="16"/>
      <c r="H527" s="16"/>
      <c r="I527" s="16"/>
      <c r="J527" s="16"/>
      <c r="K527" s="16"/>
      <c r="L527" s="16"/>
      <c r="M527" s="26"/>
      <c r="N527" s="26"/>
      <c r="O527" s="16"/>
      <c r="P527" s="1"/>
      <c r="Q527" s="1"/>
      <c r="R527" s="1"/>
      <c r="S527" s="1"/>
      <c r="T527" s="1"/>
      <c r="U527" s="33"/>
      <c r="V527" s="16"/>
      <c r="W527" s="1"/>
      <c r="X527" s="1"/>
    </row>
    <row r="528" spans="1:24">
      <c r="A528" s="1"/>
      <c r="B528" s="16"/>
      <c r="C528" s="16"/>
      <c r="D528" s="16"/>
      <c r="E528" s="16"/>
      <c r="F528" s="16"/>
      <c r="G528" s="16"/>
      <c r="H528" s="16"/>
      <c r="I528" s="16"/>
      <c r="J528" s="16"/>
      <c r="K528" s="16"/>
      <c r="L528" s="16"/>
      <c r="M528" s="26"/>
      <c r="N528" s="26"/>
      <c r="O528" s="16"/>
      <c r="P528" s="1"/>
      <c r="Q528" s="1"/>
      <c r="R528" s="1"/>
      <c r="S528" s="1"/>
      <c r="T528" s="1"/>
      <c r="U528" s="33"/>
      <c r="V528" s="16"/>
      <c r="W528" s="1"/>
      <c r="X528" s="1"/>
    </row>
    <row r="529" spans="1:24">
      <c r="A529" s="1"/>
      <c r="B529" s="16"/>
      <c r="C529" s="16"/>
      <c r="D529" s="16"/>
      <c r="E529" s="16"/>
      <c r="F529" s="16"/>
      <c r="G529" s="16"/>
      <c r="H529" s="16"/>
      <c r="I529" s="16"/>
      <c r="J529" s="16"/>
      <c r="K529" s="16"/>
      <c r="L529" s="16"/>
      <c r="M529" s="26"/>
      <c r="N529" s="26"/>
      <c r="O529" s="16"/>
      <c r="P529" s="1"/>
      <c r="Q529" s="1"/>
      <c r="R529" s="1"/>
      <c r="S529" s="1"/>
      <c r="T529" s="1"/>
      <c r="U529" s="33"/>
      <c r="V529" s="16"/>
      <c r="W529" s="1"/>
      <c r="X529" s="1"/>
    </row>
    <row r="530" spans="1:24">
      <c r="A530" s="1"/>
      <c r="B530" s="16"/>
      <c r="C530" s="16"/>
      <c r="D530" s="16"/>
      <c r="E530" s="16"/>
      <c r="F530" s="16"/>
      <c r="G530" s="16"/>
      <c r="H530" s="16"/>
      <c r="I530" s="16"/>
      <c r="J530" s="16"/>
      <c r="K530" s="16"/>
      <c r="L530" s="16"/>
      <c r="M530" s="26"/>
      <c r="N530" s="26"/>
      <c r="O530" s="16"/>
      <c r="P530" s="1"/>
      <c r="Q530" s="1"/>
      <c r="R530" s="1"/>
      <c r="S530" s="1"/>
      <c r="T530" s="1"/>
      <c r="U530" s="33"/>
      <c r="V530" s="16"/>
      <c r="W530" s="1"/>
      <c r="X530" s="1"/>
    </row>
    <row r="531" spans="1:24">
      <c r="A531" s="1"/>
      <c r="B531" s="16"/>
      <c r="C531" s="16"/>
      <c r="D531" s="16"/>
      <c r="E531" s="16"/>
      <c r="F531" s="16"/>
      <c r="G531" s="16"/>
      <c r="H531" s="16"/>
      <c r="I531" s="16"/>
      <c r="J531" s="16"/>
      <c r="K531" s="16"/>
      <c r="L531" s="16"/>
      <c r="M531" s="26"/>
      <c r="N531" s="26"/>
      <c r="O531" s="16"/>
      <c r="P531" s="1"/>
      <c r="Q531" s="1"/>
      <c r="R531" s="1"/>
      <c r="S531" s="1"/>
      <c r="T531" s="1"/>
      <c r="U531" s="33"/>
      <c r="V531" s="16"/>
      <c r="W531" s="1"/>
      <c r="X531" s="1"/>
    </row>
    <row r="532" spans="1:24">
      <c r="A532" s="1"/>
      <c r="B532" s="16"/>
      <c r="C532" s="16"/>
      <c r="D532" s="16"/>
      <c r="E532" s="16"/>
      <c r="F532" s="16"/>
      <c r="G532" s="16"/>
      <c r="H532" s="16"/>
      <c r="I532" s="16"/>
      <c r="J532" s="16"/>
      <c r="K532" s="16"/>
      <c r="L532" s="16"/>
      <c r="M532" s="26"/>
      <c r="N532" s="26"/>
      <c r="O532" s="16"/>
      <c r="P532" s="1"/>
      <c r="Q532" s="1"/>
      <c r="R532" s="1"/>
      <c r="S532" s="1"/>
      <c r="T532" s="1"/>
      <c r="U532" s="33"/>
      <c r="V532" s="16"/>
      <c r="W532" s="1"/>
      <c r="X532" s="1"/>
    </row>
    <row r="533" spans="1:24">
      <c r="A533" s="1"/>
      <c r="B533" s="16"/>
      <c r="C533" s="16"/>
      <c r="D533" s="16"/>
      <c r="E533" s="16"/>
      <c r="F533" s="16"/>
      <c r="G533" s="16"/>
      <c r="H533" s="16"/>
      <c r="I533" s="16"/>
      <c r="J533" s="16"/>
      <c r="K533" s="16"/>
      <c r="L533" s="16"/>
      <c r="M533" s="26"/>
      <c r="N533" s="26"/>
      <c r="O533" s="16"/>
      <c r="P533" s="1"/>
      <c r="Q533" s="1"/>
      <c r="R533" s="1"/>
      <c r="S533" s="1"/>
      <c r="T533" s="1"/>
      <c r="U533" s="33"/>
      <c r="V533" s="16"/>
      <c r="W533" s="1"/>
      <c r="X533" s="1"/>
    </row>
    <row r="534" spans="1:24">
      <c r="A534" s="1"/>
      <c r="B534" s="16"/>
      <c r="C534" s="16"/>
      <c r="D534" s="16"/>
      <c r="E534" s="16"/>
      <c r="F534" s="16"/>
      <c r="G534" s="16"/>
      <c r="H534" s="16"/>
      <c r="I534" s="16"/>
      <c r="J534" s="16"/>
      <c r="K534" s="16"/>
      <c r="L534" s="16"/>
      <c r="M534" s="26"/>
      <c r="N534" s="26"/>
      <c r="O534" s="16"/>
      <c r="P534" s="1"/>
      <c r="Q534" s="1"/>
      <c r="R534" s="1"/>
      <c r="S534" s="1"/>
      <c r="T534" s="1"/>
      <c r="U534" s="33"/>
      <c r="V534" s="16"/>
      <c r="W534" s="1"/>
      <c r="X534" s="1"/>
    </row>
    <row r="535" spans="1:24">
      <c r="A535" s="1"/>
      <c r="B535" s="16"/>
      <c r="C535" s="16"/>
      <c r="D535" s="16"/>
      <c r="E535" s="16"/>
      <c r="F535" s="16"/>
      <c r="G535" s="16"/>
      <c r="H535" s="16"/>
      <c r="I535" s="16"/>
      <c r="J535" s="16"/>
      <c r="K535" s="16"/>
      <c r="L535" s="16"/>
      <c r="M535" s="26"/>
      <c r="N535" s="26"/>
      <c r="O535" s="16"/>
      <c r="P535" s="1"/>
      <c r="Q535" s="1"/>
      <c r="R535" s="1"/>
      <c r="S535" s="1"/>
      <c r="T535" s="1"/>
      <c r="U535" s="33"/>
      <c r="V535" s="16"/>
      <c r="W535" s="1"/>
      <c r="X535" s="1"/>
    </row>
    <row r="536" spans="1:24">
      <c r="A536" s="1"/>
      <c r="B536" s="16"/>
      <c r="C536" s="16"/>
      <c r="D536" s="16"/>
      <c r="E536" s="16"/>
      <c r="F536" s="16"/>
      <c r="G536" s="16"/>
      <c r="H536" s="16"/>
      <c r="I536" s="16"/>
      <c r="J536" s="16"/>
      <c r="K536" s="16"/>
      <c r="L536" s="16"/>
      <c r="M536" s="26"/>
      <c r="N536" s="26"/>
      <c r="O536" s="16"/>
      <c r="P536" s="1"/>
      <c r="Q536" s="1"/>
      <c r="R536" s="1"/>
      <c r="S536" s="1"/>
      <c r="T536" s="1"/>
      <c r="U536" s="33"/>
      <c r="V536" s="16"/>
      <c r="W536" s="1"/>
      <c r="X536" s="1"/>
    </row>
    <row r="537" spans="1:24">
      <c r="A537" s="1"/>
      <c r="B537" s="16"/>
      <c r="C537" s="16"/>
      <c r="D537" s="16"/>
      <c r="E537" s="16"/>
      <c r="F537" s="16"/>
      <c r="G537" s="16"/>
      <c r="H537" s="16"/>
      <c r="I537" s="16"/>
      <c r="J537" s="16"/>
      <c r="K537" s="16"/>
      <c r="L537" s="16"/>
      <c r="M537" s="26"/>
      <c r="N537" s="26"/>
      <c r="O537" s="16"/>
      <c r="P537" s="1"/>
      <c r="Q537" s="1"/>
      <c r="R537" s="1"/>
      <c r="S537" s="1"/>
      <c r="T537" s="1"/>
      <c r="U537" s="33"/>
      <c r="V537" s="16"/>
      <c r="W537" s="1"/>
      <c r="X537" s="1"/>
    </row>
    <row r="538" spans="1:24">
      <c r="A538" s="1"/>
      <c r="B538" s="16"/>
      <c r="C538" s="16"/>
      <c r="D538" s="16"/>
      <c r="E538" s="16"/>
      <c r="F538" s="16"/>
      <c r="G538" s="16"/>
      <c r="H538" s="16"/>
      <c r="I538" s="16"/>
      <c r="J538" s="16"/>
      <c r="K538" s="16"/>
      <c r="L538" s="16"/>
      <c r="M538" s="26"/>
      <c r="N538" s="26"/>
      <c r="O538" s="16"/>
      <c r="P538" s="1"/>
      <c r="Q538" s="1"/>
      <c r="R538" s="1"/>
      <c r="S538" s="1"/>
      <c r="T538" s="1"/>
      <c r="U538" s="33"/>
      <c r="V538" s="16"/>
      <c r="W538" s="1"/>
      <c r="X538" s="1"/>
    </row>
    <row r="539" spans="1:24">
      <c r="A539" s="1"/>
      <c r="B539" s="16"/>
      <c r="C539" s="16"/>
      <c r="D539" s="16"/>
      <c r="E539" s="16"/>
      <c r="F539" s="16"/>
      <c r="G539" s="16"/>
      <c r="H539" s="16"/>
      <c r="I539" s="16"/>
      <c r="J539" s="16"/>
      <c r="K539" s="16"/>
      <c r="L539" s="16"/>
      <c r="M539" s="26"/>
      <c r="N539" s="26"/>
      <c r="O539" s="16"/>
      <c r="P539" s="1"/>
      <c r="Q539" s="1"/>
      <c r="R539" s="1"/>
      <c r="S539" s="1"/>
      <c r="T539" s="1"/>
      <c r="U539" s="33"/>
      <c r="V539" s="16"/>
      <c r="W539" s="1"/>
      <c r="X539" s="1"/>
    </row>
    <row r="540" spans="1:24">
      <c r="A540" s="1"/>
      <c r="B540" s="16"/>
      <c r="C540" s="16"/>
      <c r="D540" s="16"/>
      <c r="E540" s="16"/>
      <c r="F540" s="16"/>
      <c r="G540" s="16"/>
      <c r="H540" s="16"/>
      <c r="I540" s="16"/>
      <c r="J540" s="16"/>
      <c r="K540" s="16"/>
      <c r="L540" s="16"/>
      <c r="M540" s="26"/>
      <c r="N540" s="26"/>
      <c r="O540" s="16"/>
      <c r="P540" s="1"/>
      <c r="Q540" s="1"/>
      <c r="R540" s="1"/>
      <c r="S540" s="1"/>
      <c r="T540" s="1"/>
      <c r="U540" s="33"/>
      <c r="V540" s="16"/>
      <c r="W540" s="1"/>
      <c r="X540" s="1"/>
    </row>
    <row r="541" spans="1:24">
      <c r="A541" s="1"/>
      <c r="B541" s="16"/>
      <c r="C541" s="16"/>
      <c r="D541" s="16"/>
      <c r="E541" s="16"/>
      <c r="F541" s="16"/>
      <c r="G541" s="16"/>
      <c r="H541" s="16"/>
      <c r="I541" s="16"/>
      <c r="J541" s="16"/>
      <c r="K541" s="16"/>
      <c r="L541" s="16"/>
      <c r="M541" s="26"/>
      <c r="N541" s="26"/>
      <c r="O541" s="16"/>
      <c r="P541" s="1"/>
      <c r="Q541" s="1"/>
      <c r="R541" s="1"/>
      <c r="S541" s="1"/>
      <c r="T541" s="1"/>
      <c r="U541" s="33"/>
      <c r="V541" s="16"/>
      <c r="W541" s="1"/>
      <c r="X541" s="1"/>
    </row>
    <row r="542" spans="1:24">
      <c r="A542" s="1"/>
      <c r="B542" s="16"/>
      <c r="C542" s="16"/>
      <c r="D542" s="16"/>
      <c r="E542" s="16"/>
      <c r="F542" s="16"/>
      <c r="G542" s="16"/>
      <c r="H542" s="16"/>
      <c r="I542" s="16"/>
      <c r="J542" s="16"/>
      <c r="K542" s="16"/>
      <c r="L542" s="16"/>
      <c r="M542" s="26"/>
      <c r="N542" s="26"/>
      <c r="O542" s="16"/>
      <c r="P542" s="1"/>
      <c r="Q542" s="1"/>
      <c r="R542" s="1"/>
      <c r="S542" s="1"/>
      <c r="T542" s="1"/>
      <c r="U542" s="33"/>
      <c r="V542" s="16"/>
      <c r="W542" s="1"/>
      <c r="X542" s="1"/>
    </row>
    <row r="543" spans="1:24">
      <c r="A543" s="1"/>
      <c r="B543" s="16"/>
      <c r="C543" s="16"/>
      <c r="D543" s="16"/>
      <c r="E543" s="16"/>
      <c r="F543" s="16"/>
      <c r="G543" s="16"/>
      <c r="H543" s="16"/>
      <c r="I543" s="16"/>
      <c r="J543" s="16"/>
      <c r="K543" s="16"/>
      <c r="L543" s="16"/>
      <c r="M543" s="26"/>
      <c r="N543" s="26"/>
      <c r="O543" s="16"/>
      <c r="P543" s="1"/>
      <c r="Q543" s="1"/>
      <c r="R543" s="1"/>
      <c r="S543" s="1"/>
      <c r="T543" s="1"/>
      <c r="U543" s="33"/>
      <c r="V543" s="16"/>
      <c r="W543" s="1"/>
      <c r="X543" s="1"/>
    </row>
    <row r="544" spans="1:24">
      <c r="A544" s="1"/>
      <c r="B544" s="16"/>
      <c r="C544" s="16"/>
      <c r="D544" s="16"/>
      <c r="E544" s="16"/>
      <c r="F544" s="16"/>
      <c r="G544" s="16"/>
      <c r="H544" s="16"/>
      <c r="I544" s="16"/>
      <c r="J544" s="16"/>
      <c r="K544" s="16"/>
      <c r="L544" s="16"/>
      <c r="M544" s="26"/>
      <c r="N544" s="26"/>
      <c r="O544" s="16"/>
      <c r="P544" s="1"/>
      <c r="Q544" s="1"/>
      <c r="R544" s="1"/>
      <c r="S544" s="1"/>
      <c r="T544" s="1"/>
      <c r="U544" s="33"/>
      <c r="V544" s="16"/>
      <c r="W544" s="1"/>
      <c r="X544" s="1"/>
    </row>
    <row r="545" spans="1:24">
      <c r="A545" s="1"/>
      <c r="B545" s="16"/>
      <c r="C545" s="16"/>
      <c r="D545" s="16"/>
      <c r="E545" s="16"/>
      <c r="F545" s="16"/>
      <c r="G545" s="16"/>
      <c r="H545" s="16"/>
      <c r="I545" s="16"/>
      <c r="J545" s="16"/>
      <c r="K545" s="16"/>
      <c r="L545" s="16"/>
      <c r="M545" s="26"/>
      <c r="N545" s="26"/>
      <c r="O545" s="16"/>
      <c r="P545" s="1"/>
      <c r="Q545" s="1"/>
      <c r="R545" s="1"/>
      <c r="S545" s="1"/>
      <c r="T545" s="1"/>
      <c r="U545" s="33"/>
      <c r="V545" s="16"/>
      <c r="W545" s="1"/>
      <c r="X545" s="1"/>
    </row>
    <row r="546" spans="1:24">
      <c r="A546" s="1"/>
      <c r="B546" s="16"/>
      <c r="C546" s="16"/>
      <c r="D546" s="16"/>
      <c r="E546" s="16"/>
      <c r="F546" s="16"/>
      <c r="G546" s="16"/>
      <c r="H546" s="16"/>
      <c r="I546" s="16"/>
      <c r="J546" s="16"/>
      <c r="K546" s="16"/>
      <c r="L546" s="16"/>
      <c r="M546" s="26"/>
      <c r="N546" s="26"/>
      <c r="O546" s="16"/>
      <c r="P546" s="1"/>
      <c r="Q546" s="1"/>
      <c r="R546" s="1"/>
      <c r="S546" s="1"/>
      <c r="T546" s="1"/>
      <c r="U546" s="33"/>
      <c r="V546" s="16"/>
      <c r="W546" s="1"/>
      <c r="X546" s="1"/>
    </row>
    <row r="547" spans="1:24">
      <c r="A547" s="1"/>
      <c r="B547" s="16"/>
      <c r="C547" s="16"/>
      <c r="D547" s="16"/>
      <c r="E547" s="16"/>
      <c r="F547" s="16"/>
      <c r="G547" s="16"/>
      <c r="H547" s="16"/>
      <c r="I547" s="16"/>
      <c r="J547" s="16"/>
      <c r="K547" s="16"/>
      <c r="L547" s="16"/>
      <c r="M547" s="26"/>
      <c r="N547" s="26"/>
      <c r="O547" s="16"/>
      <c r="P547" s="1"/>
      <c r="Q547" s="1"/>
      <c r="R547" s="1"/>
      <c r="S547" s="1"/>
      <c r="T547" s="1"/>
      <c r="U547" s="33"/>
      <c r="V547" s="16"/>
      <c r="W547" s="1"/>
      <c r="X547" s="1"/>
    </row>
    <row r="548" spans="1:24">
      <c r="A548" s="1"/>
      <c r="B548" s="16"/>
      <c r="C548" s="16"/>
      <c r="D548" s="16"/>
      <c r="E548" s="16"/>
      <c r="F548" s="16"/>
      <c r="G548" s="16"/>
      <c r="H548" s="16"/>
      <c r="I548" s="16"/>
      <c r="J548" s="16"/>
      <c r="K548" s="16"/>
      <c r="L548" s="16"/>
      <c r="M548" s="26"/>
      <c r="N548" s="26"/>
      <c r="O548" s="16"/>
      <c r="P548" s="1"/>
      <c r="Q548" s="1"/>
      <c r="R548" s="1"/>
      <c r="S548" s="1"/>
      <c r="T548" s="1"/>
      <c r="U548" s="33"/>
      <c r="V548" s="16"/>
      <c r="W548" s="1"/>
      <c r="X548" s="1"/>
    </row>
    <row r="549" spans="1:24">
      <c r="A549" s="1"/>
      <c r="B549" s="16"/>
      <c r="C549" s="16"/>
      <c r="D549" s="16"/>
      <c r="E549" s="16"/>
      <c r="F549" s="16"/>
      <c r="G549" s="16"/>
      <c r="H549" s="16"/>
      <c r="I549" s="16"/>
      <c r="J549" s="16"/>
      <c r="K549" s="16"/>
      <c r="L549" s="16"/>
      <c r="M549" s="26"/>
      <c r="N549" s="26"/>
      <c r="O549" s="16"/>
      <c r="P549" s="1"/>
      <c r="Q549" s="1"/>
      <c r="R549" s="1"/>
      <c r="S549" s="1"/>
      <c r="T549" s="1"/>
      <c r="U549" s="33"/>
      <c r="V549" s="16"/>
      <c r="W549" s="1"/>
      <c r="X549" s="1"/>
    </row>
    <row r="550" spans="1:24">
      <c r="A550" s="1"/>
      <c r="B550" s="16"/>
      <c r="C550" s="16"/>
      <c r="D550" s="16"/>
      <c r="E550" s="16"/>
      <c r="F550" s="16"/>
      <c r="G550" s="16"/>
      <c r="H550" s="16"/>
      <c r="I550" s="16"/>
      <c r="J550" s="16"/>
      <c r="K550" s="16"/>
      <c r="L550" s="16"/>
      <c r="M550" s="26"/>
      <c r="N550" s="26"/>
      <c r="O550" s="16"/>
      <c r="P550" s="1"/>
      <c r="Q550" s="1"/>
      <c r="R550" s="1"/>
      <c r="S550" s="1"/>
      <c r="T550" s="1"/>
      <c r="U550" s="33"/>
      <c r="V550" s="16"/>
      <c r="W550" s="1"/>
      <c r="X550" s="1"/>
    </row>
    <row r="551" spans="1:24">
      <c r="A551" s="1"/>
      <c r="B551" s="16"/>
      <c r="C551" s="16"/>
      <c r="D551" s="16"/>
      <c r="E551" s="16"/>
      <c r="F551" s="16"/>
      <c r="G551" s="16"/>
      <c r="H551" s="16"/>
      <c r="I551" s="16"/>
      <c r="J551" s="16"/>
      <c r="K551" s="16"/>
      <c r="L551" s="16"/>
      <c r="M551" s="26"/>
      <c r="N551" s="26"/>
      <c r="O551" s="16"/>
      <c r="P551" s="1"/>
      <c r="Q551" s="1"/>
      <c r="R551" s="1"/>
      <c r="S551" s="1"/>
      <c r="T551" s="1"/>
      <c r="U551" s="33"/>
      <c r="V551" s="16"/>
      <c r="W551" s="1"/>
      <c r="X551" s="1"/>
    </row>
    <row r="552" spans="1:24">
      <c r="A552" s="1"/>
      <c r="B552" s="16"/>
      <c r="C552" s="16"/>
      <c r="D552" s="16"/>
      <c r="E552" s="16"/>
      <c r="F552" s="16"/>
      <c r="G552" s="16"/>
      <c r="H552" s="16"/>
      <c r="I552" s="16"/>
      <c r="J552" s="16"/>
      <c r="K552" s="16"/>
      <c r="L552" s="16"/>
      <c r="M552" s="26"/>
      <c r="N552" s="26"/>
      <c r="O552" s="16"/>
      <c r="P552" s="1"/>
      <c r="Q552" s="1"/>
      <c r="R552" s="1"/>
      <c r="S552" s="1"/>
      <c r="T552" s="1"/>
      <c r="U552" s="33"/>
      <c r="V552" s="16"/>
      <c r="W552" s="1"/>
      <c r="X552" s="1"/>
    </row>
    <row r="553" spans="1:24">
      <c r="A553" s="1"/>
      <c r="B553" s="16"/>
      <c r="C553" s="16"/>
      <c r="D553" s="16"/>
      <c r="E553" s="16"/>
      <c r="F553" s="16"/>
      <c r="G553" s="16"/>
      <c r="H553" s="16"/>
      <c r="I553" s="16"/>
      <c r="J553" s="16"/>
      <c r="K553" s="16"/>
      <c r="L553" s="16"/>
      <c r="M553" s="26"/>
      <c r="N553" s="26"/>
      <c r="O553" s="16"/>
      <c r="P553" s="1"/>
      <c r="Q553" s="1"/>
      <c r="R553" s="1"/>
      <c r="S553" s="1"/>
      <c r="T553" s="1"/>
      <c r="U553" s="33"/>
      <c r="V553" s="16"/>
      <c r="W553" s="1"/>
      <c r="X553" s="1"/>
    </row>
    <row r="554" spans="1:24">
      <c r="A554" s="1"/>
      <c r="B554" s="16"/>
      <c r="C554" s="16"/>
      <c r="D554" s="16"/>
      <c r="E554" s="16"/>
      <c r="F554" s="16"/>
      <c r="G554" s="16"/>
      <c r="H554" s="16"/>
      <c r="I554" s="16"/>
      <c r="J554" s="16"/>
      <c r="K554" s="16"/>
      <c r="L554" s="16"/>
      <c r="M554" s="26"/>
      <c r="N554" s="26"/>
      <c r="O554" s="16"/>
      <c r="P554" s="1"/>
      <c r="Q554" s="1"/>
      <c r="R554" s="1"/>
      <c r="S554" s="1"/>
      <c r="T554" s="1"/>
      <c r="U554" s="33"/>
      <c r="V554" s="16"/>
      <c r="W554" s="1"/>
      <c r="X554" s="1"/>
    </row>
    <row r="555" spans="1:24">
      <c r="A555" s="1"/>
      <c r="B555" s="16"/>
      <c r="C555" s="16"/>
      <c r="D555" s="16"/>
      <c r="E555" s="16"/>
      <c r="F555" s="16"/>
      <c r="G555" s="16"/>
      <c r="H555" s="16"/>
      <c r="I555" s="16"/>
      <c r="J555" s="16"/>
      <c r="K555" s="16"/>
      <c r="L555" s="16"/>
      <c r="M555" s="26"/>
      <c r="N555" s="26"/>
      <c r="O555" s="16"/>
      <c r="P555" s="1"/>
      <c r="Q555" s="1"/>
      <c r="R555" s="1"/>
      <c r="S555" s="1"/>
      <c r="T555" s="1"/>
      <c r="U555" s="33"/>
      <c r="V555" s="16"/>
      <c r="W555" s="1"/>
      <c r="X555" s="1"/>
    </row>
    <row r="556" spans="1:24">
      <c r="A556" s="1"/>
      <c r="B556" s="16"/>
      <c r="C556" s="16"/>
      <c r="D556" s="16"/>
      <c r="E556" s="16"/>
      <c r="F556" s="16"/>
      <c r="G556" s="16"/>
      <c r="H556" s="16"/>
      <c r="I556" s="16"/>
      <c r="J556" s="16"/>
      <c r="K556" s="16"/>
      <c r="L556" s="16"/>
      <c r="M556" s="26"/>
      <c r="N556" s="26"/>
      <c r="O556" s="16"/>
      <c r="P556" s="1"/>
      <c r="Q556" s="1"/>
      <c r="R556" s="1"/>
      <c r="S556" s="1"/>
      <c r="T556" s="1"/>
      <c r="U556" s="33"/>
      <c r="V556" s="16"/>
      <c r="W556" s="1"/>
      <c r="X556" s="1"/>
    </row>
    <row r="557" spans="1:24">
      <c r="A557" s="1"/>
      <c r="B557" s="16"/>
      <c r="C557" s="16"/>
      <c r="D557" s="16"/>
      <c r="E557" s="16"/>
      <c r="F557" s="16"/>
      <c r="G557" s="16"/>
      <c r="H557" s="16"/>
      <c r="I557" s="16"/>
      <c r="J557" s="16"/>
      <c r="K557" s="16"/>
      <c r="L557" s="16"/>
      <c r="M557" s="26"/>
      <c r="N557" s="26"/>
      <c r="O557" s="16"/>
      <c r="P557" s="1"/>
      <c r="Q557" s="1"/>
      <c r="R557" s="1"/>
      <c r="S557" s="1"/>
      <c r="T557" s="1"/>
      <c r="U557" s="33"/>
      <c r="V557" s="16"/>
      <c r="W557" s="1"/>
      <c r="X557" s="1"/>
    </row>
    <row r="558" spans="1:24">
      <c r="A558" s="1"/>
      <c r="B558" s="16"/>
      <c r="C558" s="16"/>
      <c r="D558" s="16"/>
      <c r="E558" s="16"/>
      <c r="F558" s="16"/>
      <c r="G558" s="16"/>
      <c r="H558" s="16"/>
      <c r="I558" s="16"/>
      <c r="J558" s="16"/>
      <c r="K558" s="16"/>
      <c r="L558" s="16"/>
      <c r="M558" s="26"/>
      <c r="N558" s="26"/>
      <c r="O558" s="16"/>
      <c r="P558" s="1"/>
      <c r="Q558" s="1"/>
      <c r="R558" s="1"/>
      <c r="S558" s="1"/>
      <c r="T558" s="1"/>
      <c r="U558" s="33"/>
      <c r="V558" s="16"/>
      <c r="W558" s="1"/>
      <c r="X558" s="1"/>
    </row>
    <row r="559" spans="1:24">
      <c r="A559" s="1"/>
      <c r="B559" s="16"/>
      <c r="C559" s="16"/>
      <c r="D559" s="16"/>
      <c r="E559" s="16"/>
      <c r="F559" s="16"/>
      <c r="G559" s="16"/>
      <c r="H559" s="16"/>
      <c r="I559" s="16"/>
      <c r="J559" s="16"/>
      <c r="K559" s="16"/>
      <c r="L559" s="16"/>
      <c r="M559" s="26"/>
      <c r="N559" s="26"/>
      <c r="O559" s="16"/>
      <c r="P559" s="1"/>
      <c r="Q559" s="1"/>
      <c r="R559" s="1"/>
      <c r="S559" s="1"/>
      <c r="T559" s="1"/>
      <c r="U559" s="33"/>
      <c r="V559" s="16"/>
      <c r="W559" s="1"/>
      <c r="X559" s="1"/>
    </row>
    <row r="560" spans="1:24">
      <c r="A560" s="1"/>
      <c r="B560" s="16"/>
      <c r="C560" s="16"/>
      <c r="D560" s="16"/>
      <c r="E560" s="16"/>
      <c r="F560" s="16"/>
      <c r="G560" s="16"/>
      <c r="H560" s="16"/>
      <c r="I560" s="16"/>
      <c r="J560" s="16"/>
      <c r="K560" s="16"/>
      <c r="L560" s="16"/>
      <c r="M560" s="26"/>
      <c r="N560" s="26"/>
      <c r="O560" s="16"/>
      <c r="P560" s="1"/>
      <c r="Q560" s="1"/>
      <c r="R560" s="1"/>
      <c r="S560" s="1"/>
      <c r="T560" s="1"/>
      <c r="U560" s="33"/>
      <c r="V560" s="16"/>
      <c r="W560" s="1"/>
      <c r="X560" s="1"/>
    </row>
    <row r="561" spans="1:24">
      <c r="A561" s="1"/>
      <c r="B561" s="16"/>
      <c r="C561" s="16"/>
      <c r="D561" s="16"/>
      <c r="E561" s="16"/>
      <c r="F561" s="16"/>
      <c r="G561" s="16"/>
      <c r="H561" s="16"/>
      <c r="I561" s="16"/>
      <c r="J561" s="16"/>
      <c r="K561" s="16"/>
      <c r="L561" s="16"/>
      <c r="M561" s="26"/>
      <c r="N561" s="26"/>
      <c r="O561" s="16"/>
      <c r="P561" s="1"/>
      <c r="Q561" s="1"/>
      <c r="R561" s="1"/>
      <c r="S561" s="1"/>
      <c r="T561" s="1"/>
      <c r="U561" s="33"/>
      <c r="V561" s="16"/>
      <c r="W561" s="1"/>
      <c r="X561" s="1"/>
    </row>
    <row r="562" spans="1:24">
      <c r="A562" s="1"/>
      <c r="B562" s="16"/>
      <c r="C562" s="16"/>
      <c r="D562" s="16"/>
      <c r="E562" s="16"/>
      <c r="F562" s="16"/>
      <c r="G562" s="16"/>
      <c r="H562" s="16"/>
      <c r="I562" s="16"/>
      <c r="J562" s="16"/>
      <c r="K562" s="16"/>
      <c r="L562" s="16"/>
      <c r="M562" s="26"/>
      <c r="N562" s="26"/>
      <c r="O562" s="16"/>
      <c r="P562" s="1"/>
      <c r="Q562" s="1"/>
      <c r="R562" s="1"/>
      <c r="S562" s="1"/>
      <c r="T562" s="1"/>
      <c r="U562" s="33"/>
      <c r="V562" s="16"/>
      <c r="W562" s="1"/>
      <c r="X562" s="1"/>
    </row>
    <row r="563" spans="1:24">
      <c r="A563" s="1"/>
      <c r="B563" s="16"/>
      <c r="C563" s="16"/>
      <c r="D563" s="16"/>
      <c r="E563" s="16"/>
      <c r="F563" s="16"/>
      <c r="G563" s="16"/>
      <c r="H563" s="16"/>
      <c r="I563" s="16"/>
      <c r="J563" s="16"/>
      <c r="K563" s="16"/>
      <c r="L563" s="16"/>
      <c r="M563" s="26"/>
      <c r="N563" s="26"/>
      <c r="O563" s="16"/>
      <c r="P563" s="1"/>
      <c r="Q563" s="1"/>
      <c r="R563" s="1"/>
      <c r="S563" s="1"/>
      <c r="T563" s="1"/>
      <c r="U563" s="33"/>
      <c r="V563" s="16"/>
      <c r="W563" s="1"/>
      <c r="X563" s="1"/>
    </row>
    <row r="564" spans="1:24">
      <c r="A564" s="1"/>
      <c r="B564" s="16"/>
      <c r="C564" s="16"/>
      <c r="D564" s="16"/>
      <c r="E564" s="16"/>
      <c r="F564" s="16"/>
      <c r="G564" s="16"/>
      <c r="H564" s="16"/>
      <c r="I564" s="16"/>
      <c r="J564" s="16"/>
      <c r="K564" s="16"/>
      <c r="L564" s="16"/>
      <c r="M564" s="26"/>
      <c r="N564" s="26"/>
      <c r="O564" s="16"/>
      <c r="P564" s="1"/>
      <c r="Q564" s="1"/>
      <c r="R564" s="1"/>
      <c r="S564" s="1"/>
      <c r="T564" s="1"/>
      <c r="U564" s="33"/>
      <c r="V564" s="16"/>
      <c r="W564" s="1"/>
      <c r="X564" s="1"/>
    </row>
    <row r="565" spans="1:24">
      <c r="A565" s="1"/>
      <c r="B565" s="16"/>
      <c r="C565" s="16"/>
      <c r="D565" s="16"/>
      <c r="E565" s="16"/>
      <c r="F565" s="16"/>
      <c r="G565" s="16"/>
      <c r="H565" s="16"/>
      <c r="I565" s="16"/>
      <c r="J565" s="16"/>
      <c r="K565" s="16"/>
      <c r="L565" s="16"/>
      <c r="M565" s="26"/>
      <c r="N565" s="26"/>
      <c r="O565" s="16"/>
      <c r="P565" s="1"/>
      <c r="Q565" s="1"/>
      <c r="R565" s="1"/>
      <c r="S565" s="1"/>
      <c r="T565" s="1"/>
      <c r="U565" s="33"/>
      <c r="V565" s="16"/>
      <c r="W565" s="1"/>
      <c r="X565" s="1"/>
    </row>
    <row r="566" spans="1:24">
      <c r="A566" s="1"/>
      <c r="B566" s="16"/>
      <c r="C566" s="16"/>
      <c r="D566" s="16"/>
      <c r="E566" s="16"/>
      <c r="F566" s="16"/>
      <c r="G566" s="16"/>
      <c r="H566" s="16"/>
      <c r="I566" s="16"/>
      <c r="J566" s="16"/>
      <c r="K566" s="16"/>
      <c r="L566" s="16"/>
      <c r="M566" s="26"/>
      <c r="N566" s="26"/>
      <c r="O566" s="16"/>
      <c r="P566" s="1"/>
      <c r="Q566" s="1"/>
      <c r="R566" s="1"/>
      <c r="S566" s="1"/>
      <c r="T566" s="1"/>
      <c r="U566" s="33"/>
      <c r="V566" s="16"/>
      <c r="W566" s="1"/>
      <c r="X566" s="1"/>
    </row>
    <row r="567" spans="1:24">
      <c r="A567" s="1"/>
      <c r="B567" s="16"/>
      <c r="C567" s="16"/>
      <c r="D567" s="16"/>
      <c r="E567" s="16"/>
      <c r="F567" s="16"/>
      <c r="G567" s="16"/>
      <c r="H567" s="16"/>
      <c r="I567" s="16"/>
      <c r="J567" s="16"/>
      <c r="K567" s="16"/>
      <c r="L567" s="16"/>
      <c r="M567" s="26"/>
      <c r="N567" s="26"/>
      <c r="O567" s="16"/>
      <c r="P567" s="1"/>
      <c r="Q567" s="1"/>
      <c r="R567" s="1"/>
      <c r="S567" s="1"/>
      <c r="T567" s="1"/>
      <c r="U567" s="33"/>
      <c r="V567" s="16"/>
      <c r="W567" s="1"/>
      <c r="X567" s="1"/>
    </row>
    <row r="568" spans="1:24">
      <c r="A568" s="1"/>
      <c r="B568" s="16"/>
      <c r="C568" s="16"/>
      <c r="D568" s="16"/>
      <c r="E568" s="16"/>
      <c r="F568" s="16"/>
      <c r="G568" s="16"/>
      <c r="H568" s="16"/>
      <c r="I568" s="16"/>
      <c r="J568" s="16"/>
      <c r="K568" s="16"/>
      <c r="L568" s="16"/>
      <c r="M568" s="26"/>
      <c r="N568" s="26"/>
      <c r="O568" s="16"/>
      <c r="P568" s="1"/>
      <c r="Q568" s="1"/>
      <c r="R568" s="1"/>
      <c r="S568" s="1"/>
      <c r="T568" s="1"/>
      <c r="U568" s="33"/>
      <c r="V568" s="16"/>
      <c r="W568" s="1"/>
      <c r="X568" s="1"/>
    </row>
    <row r="569" spans="1:24">
      <c r="A569" s="1"/>
      <c r="B569" s="16"/>
      <c r="C569" s="16"/>
      <c r="D569" s="16"/>
      <c r="E569" s="16"/>
      <c r="F569" s="16"/>
      <c r="G569" s="16"/>
      <c r="H569" s="16"/>
      <c r="I569" s="16"/>
      <c r="J569" s="16"/>
      <c r="K569" s="16"/>
      <c r="L569" s="16"/>
      <c r="M569" s="26"/>
      <c r="N569" s="26"/>
      <c r="O569" s="16"/>
      <c r="P569" s="1"/>
      <c r="Q569" s="1"/>
      <c r="R569" s="1"/>
      <c r="S569" s="1"/>
      <c r="T569" s="1"/>
      <c r="U569" s="33"/>
      <c r="V569" s="16"/>
      <c r="W569" s="1"/>
      <c r="X569" s="1"/>
    </row>
    <row r="570" spans="1:24">
      <c r="A570" s="1"/>
      <c r="B570" s="16"/>
      <c r="C570" s="16"/>
      <c r="D570" s="16"/>
      <c r="E570" s="16"/>
      <c r="F570" s="16"/>
      <c r="G570" s="16"/>
      <c r="H570" s="16"/>
      <c r="I570" s="16"/>
      <c r="J570" s="16"/>
      <c r="K570" s="16"/>
      <c r="L570" s="16"/>
      <c r="M570" s="26"/>
      <c r="N570" s="26"/>
      <c r="O570" s="16"/>
      <c r="P570" s="1"/>
      <c r="Q570" s="1"/>
      <c r="R570" s="1"/>
      <c r="S570" s="1"/>
      <c r="T570" s="1"/>
      <c r="U570" s="33"/>
      <c r="V570" s="16"/>
      <c r="W570" s="1"/>
      <c r="X570" s="1"/>
    </row>
    <row r="571" spans="1:24">
      <c r="A571" s="1"/>
      <c r="B571" s="16"/>
      <c r="C571" s="16"/>
      <c r="D571" s="16"/>
      <c r="E571" s="16"/>
      <c r="F571" s="16"/>
      <c r="G571" s="16"/>
      <c r="H571" s="16"/>
      <c r="I571" s="16"/>
      <c r="J571" s="16"/>
      <c r="K571" s="16"/>
      <c r="L571" s="16"/>
      <c r="M571" s="26"/>
      <c r="N571" s="26"/>
      <c r="O571" s="16"/>
      <c r="P571" s="1"/>
      <c r="Q571" s="1"/>
      <c r="R571" s="1"/>
      <c r="S571" s="1"/>
      <c r="T571" s="1"/>
      <c r="U571" s="33"/>
      <c r="V571" s="16"/>
      <c r="W571" s="1"/>
      <c r="X571" s="1"/>
    </row>
    <row r="572" spans="1:24">
      <c r="A572" s="1"/>
      <c r="B572" s="16"/>
      <c r="C572" s="16"/>
      <c r="D572" s="16"/>
      <c r="E572" s="16"/>
      <c r="F572" s="16"/>
      <c r="G572" s="16"/>
      <c r="H572" s="16"/>
      <c r="I572" s="16"/>
      <c r="J572" s="16"/>
      <c r="K572" s="16"/>
      <c r="L572" s="16"/>
      <c r="M572" s="26"/>
      <c r="N572" s="26"/>
      <c r="O572" s="16"/>
      <c r="P572" s="1"/>
      <c r="Q572" s="1"/>
      <c r="R572" s="1"/>
      <c r="S572" s="1"/>
      <c r="T572" s="1"/>
      <c r="U572" s="33"/>
      <c r="V572" s="16"/>
      <c r="W572" s="1"/>
      <c r="X572" s="1"/>
    </row>
    <row r="573" spans="1:24">
      <c r="A573" s="1"/>
      <c r="B573" s="16"/>
      <c r="C573" s="16"/>
      <c r="D573" s="16"/>
      <c r="E573" s="16"/>
      <c r="F573" s="16"/>
      <c r="G573" s="16"/>
      <c r="H573" s="16"/>
      <c r="I573" s="16"/>
      <c r="J573" s="16"/>
      <c r="K573" s="16"/>
      <c r="L573" s="16"/>
      <c r="M573" s="26"/>
      <c r="N573" s="26"/>
      <c r="O573" s="16"/>
      <c r="P573" s="1"/>
      <c r="Q573" s="1"/>
      <c r="R573" s="1"/>
      <c r="S573" s="1"/>
      <c r="T573" s="1"/>
      <c r="U573" s="33"/>
      <c r="V573" s="16"/>
      <c r="W573" s="1"/>
      <c r="X573" s="1"/>
    </row>
    <row r="574" spans="1:24">
      <c r="A574" s="1"/>
      <c r="B574" s="16"/>
      <c r="C574" s="16"/>
      <c r="D574" s="16"/>
      <c r="E574" s="16"/>
      <c r="F574" s="16"/>
      <c r="G574" s="16"/>
      <c r="H574" s="16"/>
      <c r="I574" s="16"/>
      <c r="J574" s="16"/>
      <c r="K574" s="16"/>
      <c r="L574" s="16"/>
      <c r="M574" s="26"/>
      <c r="N574" s="26"/>
      <c r="O574" s="16"/>
      <c r="P574" s="1"/>
      <c r="Q574" s="1"/>
      <c r="R574" s="1"/>
      <c r="S574" s="1"/>
      <c r="T574" s="1"/>
      <c r="U574" s="33"/>
      <c r="V574" s="16"/>
      <c r="W574" s="1"/>
      <c r="X574" s="1"/>
    </row>
    <row r="575" spans="1:24">
      <c r="A575" s="1"/>
      <c r="B575" s="16"/>
      <c r="C575" s="16"/>
      <c r="D575" s="16"/>
      <c r="E575" s="16"/>
      <c r="F575" s="16"/>
      <c r="G575" s="16"/>
      <c r="H575" s="16"/>
      <c r="I575" s="16"/>
      <c r="J575" s="16"/>
      <c r="K575" s="16"/>
      <c r="L575" s="16"/>
      <c r="M575" s="26"/>
      <c r="N575" s="26"/>
      <c r="O575" s="16"/>
      <c r="P575" s="1"/>
      <c r="Q575" s="1"/>
      <c r="R575" s="1"/>
      <c r="S575" s="1"/>
      <c r="T575" s="1"/>
      <c r="U575" s="33"/>
      <c r="V575" s="16"/>
      <c r="W575" s="1"/>
      <c r="X575" s="1"/>
    </row>
    <row r="576" spans="1:24">
      <c r="A576" s="1"/>
      <c r="B576" s="16"/>
      <c r="C576" s="16"/>
      <c r="D576" s="16"/>
      <c r="E576" s="16"/>
      <c r="F576" s="16"/>
      <c r="G576" s="16"/>
      <c r="H576" s="16"/>
      <c r="I576" s="16"/>
      <c r="J576" s="16"/>
      <c r="K576" s="16"/>
      <c r="L576" s="16"/>
      <c r="M576" s="26"/>
      <c r="N576" s="26"/>
      <c r="O576" s="16"/>
      <c r="P576" s="1"/>
      <c r="Q576" s="1"/>
      <c r="R576" s="1"/>
      <c r="S576" s="1"/>
      <c r="T576" s="1"/>
      <c r="U576" s="33"/>
      <c r="V576" s="16"/>
      <c r="W576" s="1"/>
      <c r="X576" s="1"/>
    </row>
    <row r="577" spans="1:24">
      <c r="A577" s="1"/>
      <c r="B577" s="16"/>
      <c r="C577" s="16"/>
      <c r="D577" s="16"/>
      <c r="E577" s="16"/>
      <c r="F577" s="16"/>
      <c r="G577" s="16"/>
      <c r="H577" s="16"/>
      <c r="I577" s="16"/>
      <c r="J577" s="16"/>
      <c r="K577" s="16"/>
      <c r="L577" s="16"/>
      <c r="M577" s="26"/>
      <c r="N577" s="26"/>
      <c r="O577" s="16"/>
      <c r="P577" s="1"/>
      <c r="Q577" s="1"/>
      <c r="R577" s="1"/>
      <c r="S577" s="1"/>
      <c r="T577" s="1"/>
      <c r="U577" s="33"/>
      <c r="V577" s="16"/>
      <c r="W577" s="1"/>
      <c r="X577" s="1"/>
    </row>
    <row r="578" spans="1:24">
      <c r="A578" s="1"/>
      <c r="B578" s="16"/>
      <c r="C578" s="16"/>
      <c r="D578" s="16"/>
      <c r="E578" s="16"/>
      <c r="F578" s="16"/>
      <c r="G578" s="16"/>
      <c r="H578" s="16"/>
      <c r="I578" s="16"/>
      <c r="J578" s="16"/>
      <c r="K578" s="16"/>
      <c r="L578" s="16"/>
      <c r="M578" s="26"/>
      <c r="N578" s="26"/>
      <c r="O578" s="16"/>
      <c r="P578" s="1"/>
      <c r="Q578" s="1"/>
      <c r="R578" s="1"/>
      <c r="S578" s="1"/>
      <c r="T578" s="1"/>
      <c r="U578" s="33"/>
      <c r="V578" s="16"/>
      <c r="W578" s="1"/>
      <c r="X578" s="1"/>
    </row>
    <row r="579" spans="1:24">
      <c r="A579" s="1"/>
      <c r="B579" s="16"/>
      <c r="C579" s="16"/>
      <c r="D579" s="16"/>
      <c r="E579" s="16"/>
      <c r="F579" s="16"/>
      <c r="G579" s="16"/>
      <c r="H579" s="16"/>
      <c r="I579" s="16"/>
      <c r="J579" s="16"/>
      <c r="K579" s="16"/>
      <c r="L579" s="16"/>
      <c r="M579" s="26"/>
      <c r="N579" s="26"/>
      <c r="O579" s="16"/>
      <c r="P579" s="1"/>
      <c r="Q579" s="1"/>
      <c r="R579" s="1"/>
      <c r="S579" s="1"/>
      <c r="T579" s="1"/>
      <c r="U579" s="33"/>
      <c r="V579" s="16"/>
      <c r="W579" s="1"/>
      <c r="X579" s="1"/>
    </row>
    <row r="580" spans="1:24">
      <c r="A580" s="1"/>
      <c r="B580" s="16"/>
      <c r="C580" s="16"/>
      <c r="D580" s="16"/>
      <c r="E580" s="16"/>
      <c r="F580" s="16"/>
      <c r="G580" s="16"/>
      <c r="H580" s="16"/>
      <c r="I580" s="16"/>
      <c r="J580" s="16"/>
      <c r="K580" s="16"/>
      <c r="L580" s="16"/>
      <c r="M580" s="26"/>
      <c r="N580" s="26"/>
      <c r="O580" s="16"/>
      <c r="P580" s="1"/>
      <c r="Q580" s="1"/>
      <c r="R580" s="1"/>
      <c r="S580" s="1"/>
      <c r="T580" s="1"/>
      <c r="U580" s="33"/>
      <c r="V580" s="16"/>
      <c r="W580" s="1"/>
      <c r="X580" s="1"/>
    </row>
    <row r="581" spans="1:24">
      <c r="A581" s="1"/>
      <c r="B581" s="16"/>
      <c r="C581" s="16"/>
      <c r="D581" s="16"/>
      <c r="E581" s="16"/>
      <c r="F581" s="16"/>
      <c r="G581" s="16"/>
      <c r="H581" s="16"/>
      <c r="I581" s="16"/>
      <c r="J581" s="16"/>
      <c r="K581" s="16"/>
      <c r="L581" s="16"/>
      <c r="M581" s="26"/>
      <c r="N581" s="26"/>
      <c r="O581" s="16"/>
      <c r="P581" s="1"/>
      <c r="Q581" s="1"/>
      <c r="R581" s="1"/>
      <c r="S581" s="1"/>
      <c r="T581" s="1"/>
      <c r="U581" s="33"/>
      <c r="V581" s="16"/>
      <c r="W581" s="1"/>
      <c r="X581" s="1"/>
    </row>
    <row r="582" spans="1:24">
      <c r="A582" s="1"/>
      <c r="B582" s="16"/>
      <c r="C582" s="16"/>
      <c r="D582" s="16"/>
      <c r="E582" s="16"/>
      <c r="F582" s="16"/>
      <c r="G582" s="16"/>
      <c r="H582" s="16"/>
      <c r="I582" s="16"/>
      <c r="J582" s="16"/>
      <c r="K582" s="16"/>
      <c r="L582" s="16"/>
      <c r="M582" s="26"/>
      <c r="N582" s="26"/>
      <c r="O582" s="16"/>
      <c r="P582" s="1"/>
      <c r="Q582" s="1"/>
      <c r="R582" s="1"/>
      <c r="S582" s="1"/>
      <c r="T582" s="1"/>
      <c r="U582" s="33"/>
      <c r="V582" s="16"/>
      <c r="W582" s="1"/>
      <c r="X582" s="1"/>
    </row>
    <row r="583" spans="1:24">
      <c r="A583" s="1"/>
      <c r="B583" s="16"/>
      <c r="C583" s="16"/>
      <c r="D583" s="16"/>
      <c r="E583" s="16"/>
      <c r="F583" s="16"/>
      <c r="G583" s="16"/>
      <c r="H583" s="16"/>
      <c r="I583" s="16"/>
      <c r="J583" s="16"/>
      <c r="K583" s="16"/>
      <c r="L583" s="16"/>
      <c r="M583" s="26"/>
      <c r="N583" s="26"/>
      <c r="O583" s="16"/>
      <c r="P583" s="1"/>
      <c r="Q583" s="1"/>
      <c r="R583" s="1"/>
      <c r="S583" s="1"/>
      <c r="T583" s="1"/>
      <c r="U583" s="33"/>
      <c r="V583" s="16"/>
      <c r="W583" s="1"/>
      <c r="X583" s="1"/>
    </row>
    <row r="584" spans="1:24">
      <c r="A584" s="1"/>
      <c r="B584" s="16"/>
      <c r="C584" s="16"/>
      <c r="D584" s="16"/>
      <c r="E584" s="16"/>
      <c r="F584" s="16"/>
      <c r="G584" s="16"/>
      <c r="H584" s="16"/>
      <c r="I584" s="16"/>
      <c r="J584" s="16"/>
      <c r="K584" s="16"/>
      <c r="L584" s="16"/>
      <c r="M584" s="26"/>
      <c r="N584" s="26"/>
      <c r="O584" s="16"/>
      <c r="P584" s="1"/>
      <c r="Q584" s="1"/>
      <c r="R584" s="1"/>
      <c r="S584" s="1"/>
      <c r="T584" s="1"/>
      <c r="U584" s="33"/>
      <c r="V584" s="16"/>
      <c r="W584" s="1"/>
      <c r="X584" s="1"/>
    </row>
    <row r="585" spans="1:24">
      <c r="A585" s="1"/>
      <c r="B585" s="16"/>
      <c r="C585" s="16"/>
      <c r="D585" s="16"/>
      <c r="E585" s="16"/>
      <c r="F585" s="16"/>
      <c r="G585" s="16"/>
      <c r="H585" s="16"/>
      <c r="I585" s="16"/>
      <c r="J585" s="16"/>
      <c r="K585" s="16"/>
      <c r="L585" s="16"/>
      <c r="M585" s="26"/>
      <c r="N585" s="26"/>
      <c r="O585" s="16"/>
      <c r="P585" s="1"/>
      <c r="Q585" s="1"/>
      <c r="R585" s="1"/>
      <c r="S585" s="1"/>
      <c r="T585" s="1"/>
      <c r="U585" s="33"/>
      <c r="V585" s="16"/>
      <c r="W585" s="1"/>
      <c r="X585" s="1"/>
    </row>
    <row r="586" spans="1:24">
      <c r="A586" s="1"/>
      <c r="B586" s="16"/>
      <c r="C586" s="16"/>
      <c r="D586" s="16"/>
      <c r="E586" s="16"/>
      <c r="F586" s="16"/>
      <c r="G586" s="16"/>
      <c r="H586" s="16"/>
      <c r="I586" s="16"/>
      <c r="J586" s="16"/>
      <c r="K586" s="16"/>
      <c r="L586" s="16"/>
      <c r="M586" s="26"/>
      <c r="N586" s="26"/>
      <c r="O586" s="16"/>
      <c r="P586" s="1"/>
      <c r="Q586" s="1"/>
      <c r="R586" s="1"/>
      <c r="S586" s="1"/>
      <c r="T586" s="1"/>
      <c r="U586" s="33"/>
      <c r="V586" s="16"/>
      <c r="W586" s="1"/>
      <c r="X586" s="1"/>
    </row>
    <row r="587" spans="1:24">
      <c r="A587" s="1"/>
      <c r="B587" s="16"/>
      <c r="C587" s="16"/>
      <c r="D587" s="16"/>
      <c r="E587" s="16"/>
      <c r="F587" s="16"/>
      <c r="G587" s="16"/>
      <c r="H587" s="16"/>
      <c r="I587" s="16"/>
      <c r="J587" s="16"/>
      <c r="K587" s="16"/>
      <c r="L587" s="16"/>
      <c r="M587" s="26"/>
      <c r="N587" s="26"/>
      <c r="O587" s="16"/>
      <c r="P587" s="1"/>
      <c r="Q587" s="1"/>
      <c r="R587" s="1"/>
      <c r="S587" s="1"/>
      <c r="T587" s="1"/>
      <c r="U587" s="33"/>
      <c r="V587" s="16"/>
      <c r="W587" s="1"/>
      <c r="X587" s="1"/>
    </row>
    <row r="588" spans="1:24">
      <c r="A588" s="1"/>
      <c r="B588" s="16"/>
      <c r="C588" s="16"/>
      <c r="D588" s="16"/>
      <c r="E588" s="16"/>
      <c r="F588" s="16"/>
      <c r="G588" s="16"/>
      <c r="H588" s="16"/>
      <c r="I588" s="16"/>
      <c r="J588" s="16"/>
      <c r="K588" s="16"/>
      <c r="L588" s="16"/>
      <c r="M588" s="26"/>
      <c r="N588" s="26"/>
      <c r="O588" s="16"/>
      <c r="P588" s="1"/>
      <c r="Q588" s="1"/>
      <c r="R588" s="1"/>
      <c r="S588" s="1"/>
      <c r="T588" s="1"/>
      <c r="U588" s="33"/>
      <c r="V588" s="16"/>
      <c r="W588" s="1"/>
      <c r="X588" s="1"/>
    </row>
    <row r="589" spans="1:24">
      <c r="A589" s="1"/>
      <c r="B589" s="16"/>
      <c r="C589" s="16"/>
      <c r="D589" s="16"/>
      <c r="E589" s="16"/>
      <c r="F589" s="16"/>
      <c r="G589" s="16"/>
      <c r="H589" s="16"/>
      <c r="I589" s="16"/>
      <c r="J589" s="16"/>
      <c r="K589" s="16"/>
      <c r="L589" s="16"/>
      <c r="M589" s="26"/>
      <c r="N589" s="26"/>
      <c r="O589" s="16"/>
      <c r="P589" s="1"/>
      <c r="Q589" s="1"/>
      <c r="R589" s="1"/>
      <c r="S589" s="1"/>
      <c r="T589" s="1"/>
      <c r="U589" s="33"/>
      <c r="V589" s="16"/>
      <c r="W589" s="1"/>
      <c r="X589" s="1"/>
    </row>
    <row r="590" spans="1:24">
      <c r="A590" s="1"/>
      <c r="B590" s="16"/>
      <c r="C590" s="16"/>
      <c r="D590" s="16"/>
      <c r="E590" s="16"/>
      <c r="F590" s="16"/>
      <c r="G590" s="16"/>
      <c r="H590" s="16"/>
      <c r="I590" s="16"/>
      <c r="J590" s="16"/>
      <c r="K590" s="16"/>
      <c r="L590" s="16"/>
      <c r="M590" s="26"/>
      <c r="N590" s="26"/>
      <c r="O590" s="16"/>
      <c r="P590" s="1"/>
      <c r="Q590" s="1"/>
      <c r="R590" s="1"/>
      <c r="S590" s="1"/>
      <c r="T590" s="1"/>
      <c r="U590" s="33"/>
      <c r="V590" s="16"/>
      <c r="W590" s="1"/>
      <c r="X590" s="1"/>
    </row>
    <row r="591" spans="1:24">
      <c r="A591" s="1"/>
      <c r="B591" s="16"/>
      <c r="C591" s="16"/>
      <c r="D591" s="16"/>
      <c r="E591" s="16"/>
      <c r="F591" s="16"/>
      <c r="G591" s="16"/>
      <c r="H591" s="16"/>
      <c r="I591" s="16"/>
      <c r="J591" s="16"/>
      <c r="K591" s="16"/>
      <c r="L591" s="16"/>
      <c r="M591" s="26"/>
      <c r="N591" s="26"/>
      <c r="O591" s="16"/>
      <c r="P591" s="1"/>
      <c r="Q591" s="1"/>
      <c r="R591" s="1"/>
      <c r="S591" s="1"/>
      <c r="T591" s="1"/>
      <c r="U591" s="33"/>
      <c r="V591" s="16"/>
      <c r="W591" s="1"/>
      <c r="X591" s="1"/>
    </row>
    <row r="592" spans="1:24">
      <c r="A592" s="1"/>
      <c r="B592" s="16"/>
      <c r="C592" s="16"/>
      <c r="D592" s="16"/>
      <c r="E592" s="16"/>
      <c r="F592" s="16"/>
      <c r="G592" s="16"/>
      <c r="H592" s="16"/>
      <c r="I592" s="16"/>
      <c r="J592" s="16"/>
      <c r="K592" s="16"/>
      <c r="L592" s="16"/>
      <c r="M592" s="26"/>
      <c r="N592" s="26"/>
      <c r="O592" s="16"/>
      <c r="P592" s="1"/>
      <c r="Q592" s="1"/>
      <c r="R592" s="1"/>
      <c r="S592" s="1"/>
      <c r="T592" s="1"/>
      <c r="U592" s="33"/>
      <c r="V592" s="16"/>
      <c r="W592" s="1"/>
      <c r="X592" s="1"/>
    </row>
    <row r="593" spans="1:24">
      <c r="A593" s="1"/>
      <c r="B593" s="16"/>
      <c r="C593" s="16"/>
      <c r="D593" s="16"/>
      <c r="E593" s="16"/>
      <c r="F593" s="16"/>
      <c r="G593" s="16"/>
      <c r="H593" s="16"/>
      <c r="I593" s="16"/>
      <c r="J593" s="16"/>
      <c r="K593" s="16"/>
      <c r="L593" s="16"/>
      <c r="M593" s="26"/>
      <c r="N593" s="26"/>
      <c r="O593" s="16"/>
      <c r="P593" s="1"/>
      <c r="Q593" s="1"/>
      <c r="R593" s="1"/>
      <c r="S593" s="1"/>
      <c r="T593" s="1"/>
      <c r="U593" s="33"/>
      <c r="V593" s="16"/>
      <c r="W593" s="1"/>
      <c r="X593" s="1"/>
    </row>
    <row r="594" spans="1:24">
      <c r="A594" s="1"/>
      <c r="B594" s="16"/>
      <c r="C594" s="16"/>
      <c r="D594" s="16"/>
      <c r="E594" s="16"/>
      <c r="F594" s="16"/>
      <c r="G594" s="16"/>
      <c r="H594" s="16"/>
      <c r="I594" s="16"/>
      <c r="J594" s="16"/>
      <c r="K594" s="16"/>
      <c r="L594" s="16"/>
      <c r="M594" s="26"/>
      <c r="N594" s="26"/>
      <c r="O594" s="16"/>
      <c r="P594" s="1"/>
      <c r="Q594" s="1"/>
      <c r="R594" s="1"/>
      <c r="S594" s="1"/>
      <c r="T594" s="1"/>
      <c r="U594" s="33"/>
      <c r="V594" s="16"/>
      <c r="W594" s="1"/>
      <c r="X594" s="1"/>
    </row>
    <row r="595" spans="1:24">
      <c r="A595" s="1"/>
      <c r="B595" s="16"/>
      <c r="C595" s="16"/>
      <c r="D595" s="16"/>
      <c r="E595" s="16"/>
      <c r="F595" s="16"/>
      <c r="G595" s="16"/>
      <c r="H595" s="16"/>
      <c r="I595" s="16"/>
      <c r="J595" s="16"/>
      <c r="K595" s="16"/>
      <c r="L595" s="16"/>
      <c r="M595" s="26"/>
      <c r="N595" s="26"/>
      <c r="O595" s="16"/>
      <c r="P595" s="1"/>
      <c r="Q595" s="1"/>
      <c r="R595" s="1"/>
      <c r="S595" s="1"/>
      <c r="T595" s="1"/>
      <c r="U595" s="33"/>
      <c r="V595" s="16"/>
      <c r="W595" s="1"/>
      <c r="X595" s="1"/>
    </row>
    <row r="596" spans="1:24">
      <c r="A596" s="1"/>
      <c r="B596" s="16"/>
      <c r="C596" s="16"/>
      <c r="D596" s="16"/>
      <c r="E596" s="16"/>
      <c r="F596" s="16"/>
      <c r="G596" s="16"/>
      <c r="H596" s="16"/>
      <c r="I596" s="16"/>
      <c r="J596" s="16"/>
      <c r="K596" s="16"/>
      <c r="L596" s="16"/>
      <c r="M596" s="26"/>
      <c r="N596" s="26"/>
      <c r="O596" s="16"/>
      <c r="P596" s="1"/>
      <c r="Q596" s="1"/>
      <c r="R596" s="1"/>
      <c r="S596" s="1"/>
      <c r="T596" s="1"/>
      <c r="U596" s="33"/>
      <c r="V596" s="16"/>
      <c r="W596" s="1"/>
      <c r="X596" s="1"/>
    </row>
    <row r="597" spans="1:24">
      <c r="A597" s="1"/>
      <c r="B597" s="16"/>
      <c r="C597" s="16"/>
      <c r="D597" s="16"/>
      <c r="E597" s="16"/>
      <c r="F597" s="16"/>
      <c r="G597" s="16"/>
      <c r="H597" s="16"/>
      <c r="I597" s="16"/>
      <c r="J597" s="16"/>
      <c r="K597" s="16"/>
      <c r="L597" s="16"/>
      <c r="M597" s="26"/>
      <c r="N597" s="26"/>
      <c r="O597" s="16"/>
      <c r="P597" s="1"/>
      <c r="Q597" s="1"/>
      <c r="R597" s="1"/>
      <c r="S597" s="1"/>
      <c r="T597" s="1"/>
      <c r="U597" s="33"/>
      <c r="V597" s="16"/>
      <c r="W597" s="1"/>
      <c r="X597" s="1"/>
    </row>
    <row r="598" spans="1:24">
      <c r="A598" s="1"/>
      <c r="B598" s="16"/>
      <c r="C598" s="16"/>
      <c r="D598" s="16"/>
      <c r="E598" s="16"/>
      <c r="F598" s="16"/>
      <c r="G598" s="16"/>
      <c r="H598" s="16"/>
      <c r="I598" s="16"/>
      <c r="J598" s="16"/>
      <c r="K598" s="16"/>
      <c r="L598" s="16"/>
      <c r="M598" s="26"/>
      <c r="N598" s="26"/>
      <c r="O598" s="16"/>
      <c r="P598" s="1"/>
      <c r="Q598" s="1"/>
      <c r="R598" s="1"/>
      <c r="S598" s="1"/>
      <c r="T598" s="1"/>
      <c r="U598" s="33"/>
      <c r="V598" s="16"/>
      <c r="W598" s="1"/>
      <c r="X598" s="1"/>
    </row>
    <row r="599" spans="1:24">
      <c r="A599" s="1"/>
      <c r="B599" s="16"/>
      <c r="C599" s="16"/>
      <c r="D599" s="16"/>
      <c r="E599" s="16"/>
      <c r="F599" s="16"/>
      <c r="G599" s="16"/>
      <c r="H599" s="16"/>
      <c r="I599" s="16"/>
      <c r="J599" s="16"/>
      <c r="K599" s="16"/>
      <c r="L599" s="16"/>
      <c r="M599" s="26"/>
      <c r="N599" s="26"/>
      <c r="O599" s="16"/>
      <c r="P599" s="1"/>
      <c r="Q599" s="1"/>
      <c r="R599" s="1"/>
      <c r="S599" s="1"/>
      <c r="T599" s="1"/>
      <c r="U599" s="33"/>
      <c r="V599" s="16"/>
      <c r="W599" s="1"/>
      <c r="X599" s="1"/>
    </row>
    <row r="600" spans="1:24">
      <c r="A600" s="1"/>
      <c r="B600" s="16"/>
      <c r="C600" s="16"/>
      <c r="D600" s="16"/>
      <c r="E600" s="16"/>
      <c r="F600" s="16"/>
      <c r="G600" s="16"/>
      <c r="H600" s="16"/>
      <c r="I600" s="16"/>
      <c r="J600" s="16"/>
      <c r="K600" s="16"/>
      <c r="L600" s="16"/>
      <c r="M600" s="26"/>
      <c r="N600" s="26"/>
      <c r="O600" s="16"/>
      <c r="P600" s="1"/>
      <c r="Q600" s="1"/>
      <c r="R600" s="1"/>
      <c r="S600" s="1"/>
      <c r="T600" s="1"/>
      <c r="U600" s="33"/>
      <c r="V600" s="16"/>
      <c r="W600" s="1"/>
      <c r="X600" s="1"/>
    </row>
    <row r="601" spans="1:24">
      <c r="A601" s="1"/>
      <c r="B601" s="16"/>
      <c r="C601" s="16"/>
      <c r="D601" s="16"/>
      <c r="E601" s="16"/>
      <c r="F601" s="16"/>
      <c r="G601" s="16"/>
      <c r="H601" s="16"/>
      <c r="I601" s="16"/>
      <c r="J601" s="16"/>
      <c r="K601" s="16"/>
      <c r="L601" s="16"/>
      <c r="M601" s="26"/>
      <c r="N601" s="26"/>
      <c r="O601" s="16"/>
      <c r="P601" s="1"/>
      <c r="Q601" s="1"/>
      <c r="R601" s="1"/>
      <c r="S601" s="1"/>
      <c r="T601" s="1"/>
      <c r="U601" s="33"/>
      <c r="V601" s="16"/>
      <c r="W601" s="1"/>
      <c r="X601" s="1"/>
    </row>
    <row r="602" spans="1:24">
      <c r="A602" s="1"/>
      <c r="B602" s="16"/>
      <c r="C602" s="16"/>
      <c r="D602" s="16"/>
      <c r="E602" s="16"/>
      <c r="F602" s="16"/>
      <c r="G602" s="16"/>
      <c r="H602" s="16"/>
      <c r="I602" s="16"/>
      <c r="J602" s="16"/>
      <c r="K602" s="16"/>
      <c r="L602" s="16"/>
      <c r="M602" s="26"/>
      <c r="N602" s="26"/>
      <c r="O602" s="16"/>
      <c r="P602" s="1"/>
      <c r="Q602" s="1"/>
      <c r="R602" s="1"/>
      <c r="S602" s="1"/>
      <c r="T602" s="1"/>
      <c r="U602" s="33"/>
      <c r="V602" s="16"/>
      <c r="W602" s="1"/>
      <c r="X602" s="1"/>
    </row>
    <row r="603" spans="1:24">
      <c r="A603" s="1"/>
      <c r="B603" s="16"/>
      <c r="C603" s="16"/>
      <c r="D603" s="16"/>
      <c r="E603" s="16"/>
      <c r="F603" s="16"/>
      <c r="G603" s="16"/>
      <c r="H603" s="16"/>
      <c r="I603" s="16"/>
      <c r="J603" s="16"/>
      <c r="K603" s="16"/>
      <c r="L603" s="16"/>
      <c r="M603" s="26"/>
      <c r="N603" s="26"/>
      <c r="O603" s="16"/>
      <c r="P603" s="1"/>
      <c r="Q603" s="1"/>
      <c r="R603" s="1"/>
      <c r="S603" s="1"/>
      <c r="T603" s="1"/>
      <c r="U603" s="33"/>
      <c r="V603" s="16"/>
      <c r="W603" s="1"/>
      <c r="X603" s="1"/>
    </row>
    <row r="604" spans="1:24">
      <c r="A604" s="1"/>
      <c r="B604" s="16"/>
      <c r="C604" s="16"/>
      <c r="D604" s="16"/>
      <c r="E604" s="16"/>
      <c r="F604" s="16"/>
      <c r="G604" s="16"/>
      <c r="H604" s="16"/>
      <c r="I604" s="16"/>
      <c r="J604" s="16"/>
      <c r="K604" s="16"/>
      <c r="L604" s="16"/>
      <c r="M604" s="26"/>
      <c r="N604" s="26"/>
      <c r="O604" s="16"/>
      <c r="P604" s="1"/>
      <c r="Q604" s="1"/>
      <c r="R604" s="1"/>
      <c r="S604" s="1"/>
      <c r="T604" s="1"/>
      <c r="U604" s="33"/>
      <c r="V604" s="16"/>
      <c r="W604" s="1"/>
      <c r="X604" s="1"/>
    </row>
    <row r="605" spans="1:24">
      <c r="A605" s="1"/>
      <c r="B605" s="16"/>
      <c r="C605" s="16"/>
      <c r="D605" s="16"/>
      <c r="E605" s="16"/>
      <c r="F605" s="16"/>
      <c r="G605" s="16"/>
      <c r="H605" s="16"/>
      <c r="I605" s="16"/>
      <c r="J605" s="16"/>
      <c r="K605" s="16"/>
      <c r="L605" s="16"/>
      <c r="M605" s="26"/>
      <c r="N605" s="26"/>
      <c r="O605" s="16"/>
      <c r="P605" s="1"/>
      <c r="Q605" s="1"/>
      <c r="R605" s="1"/>
      <c r="S605" s="1"/>
      <c r="T605" s="1"/>
      <c r="U605" s="33"/>
      <c r="V605" s="16"/>
      <c r="W605" s="1"/>
      <c r="X605" s="1"/>
    </row>
    <row r="606" spans="1:24">
      <c r="A606" s="1"/>
      <c r="B606" s="16"/>
      <c r="C606" s="16"/>
      <c r="D606" s="16"/>
      <c r="E606" s="16"/>
      <c r="F606" s="16"/>
      <c r="G606" s="16"/>
      <c r="H606" s="16"/>
      <c r="I606" s="16"/>
      <c r="J606" s="16"/>
      <c r="K606" s="16"/>
      <c r="L606" s="16"/>
      <c r="M606" s="26"/>
      <c r="N606" s="26"/>
      <c r="O606" s="16"/>
      <c r="P606" s="1"/>
      <c r="Q606" s="1"/>
      <c r="R606" s="1"/>
      <c r="S606" s="1"/>
      <c r="T606" s="1"/>
      <c r="U606" s="33"/>
      <c r="V606" s="16"/>
      <c r="W606" s="1"/>
      <c r="X606" s="1"/>
    </row>
    <row r="607" spans="1:24">
      <c r="A607" s="1"/>
      <c r="B607" s="16"/>
      <c r="C607" s="16"/>
      <c r="D607" s="16"/>
      <c r="E607" s="16"/>
      <c r="F607" s="16"/>
      <c r="G607" s="16"/>
      <c r="H607" s="16"/>
      <c r="I607" s="16"/>
      <c r="J607" s="16"/>
      <c r="K607" s="16"/>
      <c r="L607" s="16"/>
      <c r="M607" s="26"/>
      <c r="N607" s="26"/>
      <c r="O607" s="16"/>
      <c r="P607" s="1"/>
      <c r="Q607" s="1"/>
      <c r="R607" s="1"/>
      <c r="S607" s="1"/>
      <c r="T607" s="1"/>
      <c r="U607" s="33"/>
      <c r="V607" s="16"/>
      <c r="W607" s="1"/>
      <c r="X607" s="1"/>
    </row>
    <row r="608" spans="1:24">
      <c r="A608" s="1"/>
      <c r="B608" s="16"/>
      <c r="C608" s="16"/>
      <c r="D608" s="16"/>
      <c r="E608" s="16"/>
      <c r="F608" s="16"/>
      <c r="G608" s="16"/>
      <c r="H608" s="16"/>
      <c r="I608" s="16"/>
      <c r="J608" s="16"/>
      <c r="K608" s="16"/>
      <c r="L608" s="16"/>
      <c r="M608" s="26"/>
      <c r="N608" s="26"/>
      <c r="O608" s="16"/>
      <c r="P608" s="1"/>
      <c r="Q608" s="1"/>
      <c r="R608" s="1"/>
      <c r="S608" s="1"/>
      <c r="T608" s="1"/>
      <c r="U608" s="33"/>
      <c r="V608" s="16"/>
      <c r="W608" s="1"/>
      <c r="X608" s="1"/>
    </row>
    <row r="609" spans="1:24">
      <c r="A609" s="1"/>
      <c r="B609" s="16"/>
      <c r="C609" s="16"/>
      <c r="D609" s="16"/>
      <c r="E609" s="16"/>
      <c r="F609" s="16"/>
      <c r="G609" s="16"/>
      <c r="H609" s="16"/>
      <c r="I609" s="16"/>
      <c r="J609" s="16"/>
      <c r="K609" s="16"/>
      <c r="L609" s="16"/>
      <c r="M609" s="26"/>
      <c r="N609" s="26"/>
      <c r="O609" s="16"/>
      <c r="P609" s="1"/>
      <c r="Q609" s="1"/>
      <c r="R609" s="1"/>
      <c r="S609" s="1"/>
      <c r="T609" s="1"/>
      <c r="U609" s="33"/>
      <c r="V609" s="16"/>
      <c r="W609" s="1"/>
      <c r="X609" s="1"/>
    </row>
    <row r="610" spans="1:24">
      <c r="A610" s="1"/>
      <c r="B610" s="16"/>
      <c r="C610" s="16"/>
      <c r="D610" s="16"/>
      <c r="E610" s="16"/>
      <c r="F610" s="16"/>
      <c r="G610" s="16"/>
      <c r="H610" s="16"/>
      <c r="I610" s="16"/>
      <c r="J610" s="16"/>
      <c r="K610" s="16"/>
      <c r="L610" s="16"/>
      <c r="M610" s="26"/>
      <c r="N610" s="26"/>
      <c r="O610" s="16"/>
      <c r="P610" s="1"/>
      <c r="Q610" s="1"/>
      <c r="R610" s="1"/>
      <c r="S610" s="1"/>
      <c r="T610" s="1"/>
      <c r="U610" s="33"/>
      <c r="V610" s="16"/>
      <c r="W610" s="1"/>
      <c r="X610" s="1"/>
    </row>
    <row r="611" spans="1:24">
      <c r="A611" s="1"/>
      <c r="B611" s="16"/>
      <c r="C611" s="16"/>
      <c r="D611" s="16"/>
      <c r="E611" s="16"/>
      <c r="F611" s="16"/>
      <c r="G611" s="16"/>
      <c r="H611" s="16"/>
      <c r="I611" s="16"/>
      <c r="J611" s="16"/>
      <c r="K611" s="16"/>
      <c r="L611" s="16"/>
      <c r="M611" s="26"/>
      <c r="N611" s="26"/>
      <c r="O611" s="16"/>
      <c r="P611" s="1"/>
      <c r="Q611" s="1"/>
      <c r="R611" s="1"/>
      <c r="S611" s="1"/>
      <c r="T611" s="1"/>
      <c r="U611" s="33"/>
      <c r="V611" s="16"/>
      <c r="W611" s="1"/>
      <c r="X611" s="1"/>
    </row>
    <row r="612" spans="1:24">
      <c r="A612" s="1"/>
      <c r="B612" s="16"/>
      <c r="C612" s="16"/>
      <c r="D612" s="16"/>
      <c r="E612" s="16"/>
      <c r="F612" s="16"/>
      <c r="G612" s="16"/>
      <c r="H612" s="16"/>
      <c r="I612" s="16"/>
      <c r="J612" s="16"/>
      <c r="K612" s="16"/>
      <c r="L612" s="16"/>
      <c r="M612" s="26"/>
      <c r="N612" s="26"/>
      <c r="O612" s="16"/>
      <c r="P612" s="1"/>
      <c r="Q612" s="1"/>
      <c r="R612" s="1"/>
      <c r="S612" s="1"/>
      <c r="T612" s="1"/>
      <c r="U612" s="33"/>
      <c r="V612" s="16"/>
      <c r="W612" s="1"/>
      <c r="X612" s="1"/>
    </row>
    <row r="613" spans="1:24">
      <c r="A613" s="1"/>
      <c r="B613" s="16"/>
      <c r="C613" s="16"/>
      <c r="D613" s="16"/>
      <c r="E613" s="16"/>
      <c r="F613" s="16"/>
      <c r="G613" s="16"/>
      <c r="H613" s="16"/>
      <c r="I613" s="16"/>
      <c r="J613" s="16"/>
      <c r="K613" s="16"/>
      <c r="L613" s="16"/>
      <c r="M613" s="26"/>
      <c r="N613" s="26"/>
      <c r="O613" s="16"/>
      <c r="P613" s="1"/>
      <c r="Q613" s="1"/>
      <c r="R613" s="1"/>
      <c r="S613" s="1"/>
      <c r="T613" s="1"/>
      <c r="U613" s="33"/>
      <c r="V613" s="16"/>
      <c r="W613" s="1"/>
      <c r="X613" s="1"/>
    </row>
    <row r="614" spans="1:24">
      <c r="A614" s="1"/>
      <c r="B614" s="16"/>
      <c r="C614" s="16"/>
      <c r="D614" s="16"/>
      <c r="E614" s="16"/>
      <c r="F614" s="16"/>
      <c r="G614" s="16"/>
      <c r="H614" s="16"/>
      <c r="I614" s="16"/>
      <c r="J614" s="16"/>
      <c r="K614" s="16"/>
      <c r="L614" s="16"/>
      <c r="M614" s="26"/>
      <c r="N614" s="26"/>
      <c r="O614" s="16"/>
      <c r="P614" s="1"/>
      <c r="Q614" s="1"/>
      <c r="R614" s="1"/>
      <c r="S614" s="1"/>
      <c r="T614" s="1"/>
      <c r="U614" s="33"/>
      <c r="V614" s="16"/>
      <c r="W614" s="1"/>
      <c r="X614" s="1"/>
    </row>
    <row r="615" spans="1:24">
      <c r="A615" s="1"/>
      <c r="B615" s="16"/>
      <c r="C615" s="16"/>
      <c r="D615" s="16"/>
      <c r="E615" s="16"/>
      <c r="F615" s="16"/>
      <c r="G615" s="16"/>
      <c r="H615" s="16"/>
      <c r="I615" s="16"/>
      <c r="J615" s="16"/>
      <c r="K615" s="16"/>
      <c r="L615" s="16"/>
      <c r="M615" s="26"/>
      <c r="N615" s="26"/>
      <c r="O615" s="16"/>
      <c r="P615" s="1"/>
      <c r="Q615" s="1"/>
      <c r="R615" s="1"/>
      <c r="S615" s="1"/>
      <c r="T615" s="1"/>
      <c r="U615" s="33"/>
      <c r="V615" s="16"/>
      <c r="W615" s="1"/>
      <c r="X615" s="1"/>
    </row>
    <row r="616" spans="1:24">
      <c r="A616" s="1"/>
      <c r="B616" s="16"/>
      <c r="C616" s="16"/>
      <c r="D616" s="16"/>
      <c r="E616" s="16"/>
      <c r="F616" s="16"/>
      <c r="G616" s="16"/>
      <c r="H616" s="16"/>
      <c r="I616" s="16"/>
      <c r="J616" s="16"/>
      <c r="K616" s="16"/>
      <c r="L616" s="16"/>
      <c r="M616" s="26"/>
      <c r="N616" s="26"/>
      <c r="O616" s="16"/>
      <c r="P616" s="1"/>
      <c r="Q616" s="1"/>
      <c r="R616" s="1"/>
      <c r="S616" s="1"/>
      <c r="T616" s="1"/>
      <c r="U616" s="33"/>
      <c r="V616" s="16"/>
      <c r="W616" s="1"/>
      <c r="X616" s="1"/>
    </row>
    <row r="617" spans="1:24">
      <c r="A617" s="1"/>
      <c r="B617" s="16"/>
      <c r="C617" s="16"/>
      <c r="D617" s="16"/>
      <c r="E617" s="16"/>
      <c r="F617" s="16"/>
      <c r="G617" s="16"/>
      <c r="H617" s="16"/>
      <c r="I617" s="16"/>
      <c r="J617" s="16"/>
      <c r="K617" s="16"/>
      <c r="L617" s="16"/>
      <c r="M617" s="26"/>
      <c r="N617" s="26"/>
      <c r="O617" s="16"/>
      <c r="P617" s="1"/>
      <c r="Q617" s="1"/>
      <c r="R617" s="1"/>
      <c r="S617" s="1"/>
      <c r="T617" s="1"/>
      <c r="U617" s="33"/>
      <c r="V617" s="16"/>
      <c r="W617" s="1"/>
      <c r="X617" s="1"/>
    </row>
    <row r="618" spans="1:24">
      <c r="A618" s="1"/>
      <c r="B618" s="16"/>
      <c r="C618" s="16"/>
      <c r="D618" s="16"/>
      <c r="E618" s="16"/>
      <c r="F618" s="16"/>
      <c r="G618" s="16"/>
      <c r="H618" s="16"/>
      <c r="I618" s="16"/>
      <c r="J618" s="16"/>
      <c r="K618" s="16"/>
      <c r="L618" s="16"/>
      <c r="M618" s="26"/>
      <c r="N618" s="26"/>
      <c r="O618" s="16"/>
      <c r="P618" s="1"/>
      <c r="Q618" s="1"/>
      <c r="R618" s="1"/>
      <c r="S618" s="1"/>
      <c r="T618" s="1"/>
      <c r="U618" s="33"/>
      <c r="V618" s="16"/>
      <c r="W618" s="1"/>
      <c r="X618" s="1"/>
    </row>
    <row r="619" spans="1:24">
      <c r="A619" s="1"/>
      <c r="B619" s="16"/>
      <c r="C619" s="16"/>
      <c r="D619" s="16"/>
      <c r="E619" s="16"/>
      <c r="F619" s="16"/>
      <c r="G619" s="16"/>
      <c r="H619" s="16"/>
      <c r="I619" s="16"/>
      <c r="J619" s="16"/>
      <c r="K619" s="16"/>
      <c r="L619" s="16"/>
      <c r="M619" s="26"/>
      <c r="N619" s="26"/>
      <c r="O619" s="16"/>
      <c r="P619" s="1"/>
      <c r="Q619" s="1"/>
      <c r="R619" s="1"/>
      <c r="S619" s="1"/>
      <c r="T619" s="1"/>
      <c r="U619" s="33"/>
      <c r="V619" s="16"/>
      <c r="W619" s="1"/>
      <c r="X619" s="1"/>
    </row>
    <row r="620" spans="1:24">
      <c r="A620" s="1"/>
      <c r="B620" s="16"/>
      <c r="C620" s="16"/>
      <c r="D620" s="16"/>
      <c r="E620" s="16"/>
      <c r="F620" s="16"/>
      <c r="G620" s="16"/>
      <c r="H620" s="16"/>
      <c r="I620" s="16"/>
      <c r="J620" s="16"/>
      <c r="K620" s="16"/>
      <c r="L620" s="16"/>
      <c r="M620" s="26"/>
      <c r="N620" s="26"/>
      <c r="O620" s="16"/>
      <c r="P620" s="1"/>
      <c r="Q620" s="1"/>
      <c r="R620" s="1"/>
      <c r="S620" s="1"/>
      <c r="T620" s="1"/>
      <c r="U620" s="33"/>
      <c r="V620" s="16"/>
      <c r="W620" s="1"/>
      <c r="X620" s="1"/>
    </row>
    <row r="621" spans="1:24">
      <c r="A621" s="1"/>
      <c r="B621" s="16"/>
      <c r="C621" s="16"/>
      <c r="D621" s="16"/>
      <c r="E621" s="16"/>
      <c r="F621" s="16"/>
      <c r="G621" s="16"/>
      <c r="H621" s="16"/>
      <c r="I621" s="16"/>
      <c r="J621" s="16"/>
      <c r="K621" s="16"/>
      <c r="L621" s="16"/>
      <c r="M621" s="26"/>
      <c r="N621" s="26"/>
      <c r="O621" s="16"/>
      <c r="P621" s="1"/>
      <c r="Q621" s="1"/>
      <c r="R621" s="1"/>
      <c r="S621" s="1"/>
      <c r="T621" s="1"/>
      <c r="U621" s="33"/>
      <c r="V621" s="16"/>
      <c r="W621" s="1"/>
      <c r="X621" s="1"/>
    </row>
    <row r="622" spans="1:24">
      <c r="A622" s="1"/>
      <c r="B622" s="16"/>
      <c r="C622" s="16"/>
      <c r="D622" s="16"/>
      <c r="E622" s="16"/>
      <c r="F622" s="16"/>
      <c r="G622" s="16"/>
      <c r="H622" s="16"/>
      <c r="I622" s="16"/>
      <c r="J622" s="16"/>
      <c r="K622" s="16"/>
      <c r="L622" s="16"/>
      <c r="M622" s="26"/>
      <c r="N622" s="26"/>
      <c r="O622" s="16"/>
      <c r="P622" s="1"/>
      <c r="Q622" s="1"/>
      <c r="R622" s="1"/>
      <c r="S622" s="1"/>
      <c r="T622" s="1"/>
      <c r="U622" s="33"/>
      <c r="V622" s="16"/>
      <c r="W622" s="1"/>
      <c r="X622" s="1"/>
    </row>
    <row r="623" spans="1:24">
      <c r="A623" s="1"/>
      <c r="B623" s="16"/>
      <c r="C623" s="16"/>
      <c r="D623" s="16"/>
      <c r="E623" s="16"/>
      <c r="F623" s="16"/>
      <c r="G623" s="16"/>
      <c r="H623" s="16"/>
      <c r="I623" s="16"/>
      <c r="J623" s="16"/>
      <c r="K623" s="16"/>
      <c r="L623" s="16"/>
      <c r="M623" s="26"/>
      <c r="N623" s="26"/>
      <c r="O623" s="16"/>
      <c r="P623" s="1"/>
      <c r="Q623" s="1"/>
      <c r="R623" s="1"/>
      <c r="S623" s="1"/>
      <c r="T623" s="1"/>
      <c r="U623" s="33"/>
      <c r="V623" s="16"/>
      <c r="W623" s="1"/>
      <c r="X623" s="1"/>
    </row>
    <row r="624" spans="1:24">
      <c r="A624" s="1"/>
      <c r="B624" s="16"/>
      <c r="C624" s="16"/>
      <c r="D624" s="16"/>
      <c r="E624" s="16"/>
      <c r="F624" s="16"/>
      <c r="G624" s="16"/>
      <c r="H624" s="16"/>
      <c r="I624" s="16"/>
      <c r="J624" s="16"/>
      <c r="K624" s="16"/>
      <c r="L624" s="16"/>
      <c r="M624" s="26"/>
      <c r="N624" s="26"/>
      <c r="O624" s="16"/>
      <c r="P624" s="1"/>
      <c r="Q624" s="1"/>
      <c r="R624" s="1"/>
      <c r="S624" s="1"/>
      <c r="T624" s="1"/>
      <c r="U624" s="33"/>
      <c r="V624" s="16"/>
      <c r="W624" s="1"/>
      <c r="X624" s="1"/>
    </row>
    <row r="625" spans="1:24">
      <c r="A625" s="1"/>
      <c r="B625" s="16"/>
      <c r="C625" s="16"/>
      <c r="D625" s="16"/>
      <c r="E625" s="16"/>
      <c r="F625" s="16"/>
      <c r="G625" s="16"/>
      <c r="H625" s="16"/>
      <c r="I625" s="16"/>
      <c r="J625" s="16"/>
      <c r="K625" s="16"/>
      <c r="L625" s="16"/>
      <c r="M625" s="26"/>
      <c r="N625" s="26"/>
      <c r="O625" s="16"/>
      <c r="P625" s="1"/>
      <c r="Q625" s="1"/>
      <c r="R625" s="1"/>
      <c r="S625" s="1"/>
      <c r="T625" s="1"/>
      <c r="U625" s="33"/>
      <c r="V625" s="16"/>
      <c r="W625" s="1"/>
      <c r="X625" s="1"/>
    </row>
    <row r="626" spans="1:24">
      <c r="A626" s="1"/>
      <c r="B626" s="16"/>
      <c r="C626" s="16"/>
      <c r="D626" s="16"/>
      <c r="E626" s="16"/>
      <c r="F626" s="16"/>
      <c r="G626" s="16"/>
      <c r="H626" s="16"/>
      <c r="I626" s="16"/>
      <c r="J626" s="16"/>
      <c r="K626" s="16"/>
      <c r="L626" s="16"/>
      <c r="M626" s="26"/>
      <c r="N626" s="26"/>
      <c r="O626" s="16"/>
      <c r="P626" s="1"/>
      <c r="Q626" s="1"/>
      <c r="R626" s="1"/>
      <c r="S626" s="1"/>
      <c r="T626" s="1"/>
      <c r="U626" s="33"/>
      <c r="V626" s="16"/>
      <c r="W626" s="1"/>
      <c r="X626" s="1"/>
    </row>
    <row r="627" spans="1:24">
      <c r="A627" s="1"/>
      <c r="B627" s="16"/>
      <c r="C627" s="16"/>
      <c r="D627" s="16"/>
      <c r="E627" s="16"/>
      <c r="F627" s="16"/>
      <c r="G627" s="16"/>
      <c r="H627" s="16"/>
      <c r="I627" s="16"/>
      <c r="J627" s="16"/>
      <c r="K627" s="16"/>
      <c r="L627" s="16"/>
      <c r="M627" s="26"/>
      <c r="N627" s="26"/>
      <c r="O627" s="16"/>
      <c r="P627" s="1"/>
      <c r="Q627" s="1"/>
      <c r="R627" s="1"/>
      <c r="S627" s="1"/>
      <c r="T627" s="1"/>
      <c r="U627" s="33"/>
      <c r="V627" s="16"/>
      <c r="W627" s="1"/>
      <c r="X627" s="1"/>
    </row>
    <row r="628" spans="1:24">
      <c r="A628" s="1"/>
      <c r="B628" s="16"/>
      <c r="C628" s="16"/>
      <c r="D628" s="16"/>
      <c r="E628" s="16"/>
      <c r="F628" s="16"/>
      <c r="G628" s="16"/>
      <c r="H628" s="16"/>
      <c r="I628" s="16"/>
      <c r="J628" s="16"/>
      <c r="K628" s="16"/>
      <c r="L628" s="16"/>
      <c r="M628" s="26"/>
      <c r="N628" s="26"/>
      <c r="O628" s="16"/>
      <c r="P628" s="1"/>
      <c r="Q628" s="1"/>
      <c r="R628" s="1"/>
      <c r="S628" s="1"/>
      <c r="T628" s="1"/>
      <c r="U628" s="33"/>
      <c r="V628" s="16"/>
      <c r="W628" s="1"/>
      <c r="X628" s="1"/>
    </row>
    <row r="629" spans="1:24">
      <c r="A629" s="1"/>
      <c r="B629" s="16"/>
      <c r="C629" s="16"/>
      <c r="D629" s="16"/>
      <c r="E629" s="16"/>
      <c r="F629" s="16"/>
      <c r="G629" s="16"/>
      <c r="H629" s="16"/>
      <c r="I629" s="16"/>
      <c r="J629" s="16"/>
      <c r="K629" s="16"/>
      <c r="L629" s="16"/>
      <c r="M629" s="26"/>
      <c r="N629" s="26"/>
      <c r="O629" s="16"/>
      <c r="P629" s="1"/>
      <c r="Q629" s="1"/>
      <c r="R629" s="1"/>
      <c r="S629" s="1"/>
      <c r="T629" s="1"/>
      <c r="U629" s="33"/>
      <c r="V629" s="16"/>
      <c r="W629" s="1"/>
      <c r="X629" s="1"/>
    </row>
    <row r="630" spans="1:24">
      <c r="A630" s="1"/>
      <c r="B630" s="16"/>
      <c r="C630" s="16"/>
      <c r="D630" s="16"/>
      <c r="E630" s="16"/>
      <c r="F630" s="16"/>
      <c r="G630" s="16"/>
      <c r="H630" s="16"/>
      <c r="I630" s="16"/>
      <c r="J630" s="16"/>
      <c r="K630" s="16"/>
      <c r="L630" s="16"/>
      <c r="M630" s="26"/>
      <c r="N630" s="26"/>
      <c r="O630" s="16"/>
      <c r="P630" s="1"/>
      <c r="Q630" s="1"/>
      <c r="R630" s="1"/>
      <c r="S630" s="1"/>
      <c r="T630" s="1"/>
      <c r="U630" s="33"/>
      <c r="V630" s="16"/>
      <c r="W630" s="1"/>
      <c r="X630" s="1"/>
    </row>
    <row r="631" spans="1:24">
      <c r="A631" s="1"/>
      <c r="B631" s="16"/>
      <c r="C631" s="16"/>
      <c r="D631" s="16"/>
      <c r="E631" s="16"/>
      <c r="F631" s="16"/>
      <c r="G631" s="16"/>
      <c r="H631" s="16"/>
      <c r="I631" s="16"/>
      <c r="J631" s="16"/>
      <c r="K631" s="16"/>
      <c r="L631" s="16"/>
      <c r="M631" s="26"/>
      <c r="N631" s="26"/>
      <c r="O631" s="16"/>
      <c r="P631" s="1"/>
      <c r="Q631" s="1"/>
      <c r="R631" s="1"/>
      <c r="S631" s="1"/>
      <c r="T631" s="1"/>
      <c r="U631" s="33"/>
      <c r="V631" s="16"/>
      <c r="W631" s="1"/>
      <c r="X631" s="1"/>
    </row>
    <row r="632" spans="1:24">
      <c r="A632" s="1"/>
      <c r="B632" s="16"/>
      <c r="C632" s="16"/>
      <c r="D632" s="16"/>
      <c r="E632" s="16"/>
      <c r="F632" s="16"/>
      <c r="G632" s="16"/>
      <c r="H632" s="16"/>
      <c r="I632" s="16"/>
      <c r="J632" s="16"/>
      <c r="K632" s="16"/>
      <c r="L632" s="16"/>
      <c r="M632" s="26"/>
      <c r="N632" s="26"/>
      <c r="O632" s="16"/>
      <c r="P632" s="1"/>
      <c r="Q632" s="1"/>
      <c r="R632" s="1"/>
      <c r="S632" s="1"/>
      <c r="T632" s="1"/>
      <c r="U632" s="33"/>
      <c r="V632" s="16"/>
      <c r="W632" s="1"/>
      <c r="X632" s="1"/>
    </row>
    <row r="633" spans="1:24">
      <c r="A633" s="1"/>
      <c r="B633" s="16"/>
      <c r="C633" s="16"/>
      <c r="D633" s="16"/>
      <c r="E633" s="16"/>
      <c r="F633" s="16"/>
      <c r="G633" s="16"/>
      <c r="H633" s="16"/>
      <c r="I633" s="16"/>
      <c r="J633" s="16"/>
      <c r="K633" s="16"/>
      <c r="L633" s="16"/>
      <c r="M633" s="26"/>
      <c r="N633" s="26"/>
      <c r="O633" s="16"/>
      <c r="P633" s="1"/>
      <c r="Q633" s="1"/>
      <c r="R633" s="1"/>
      <c r="S633" s="1"/>
      <c r="T633" s="1"/>
      <c r="U633" s="33"/>
      <c r="V633" s="16"/>
      <c r="W633" s="1"/>
      <c r="X633" s="1"/>
    </row>
    <row r="634" spans="1:24">
      <c r="A634" s="1"/>
      <c r="B634" s="16"/>
      <c r="C634" s="16"/>
      <c r="D634" s="16"/>
      <c r="E634" s="16"/>
      <c r="F634" s="16"/>
      <c r="G634" s="16"/>
      <c r="H634" s="16"/>
      <c r="I634" s="16"/>
      <c r="J634" s="16"/>
      <c r="K634" s="16"/>
      <c r="L634" s="16"/>
      <c r="M634" s="26"/>
      <c r="N634" s="26"/>
      <c r="O634" s="16"/>
      <c r="P634" s="1"/>
      <c r="Q634" s="1"/>
      <c r="R634" s="1"/>
      <c r="S634" s="1"/>
      <c r="T634" s="1"/>
      <c r="U634" s="33"/>
      <c r="V634" s="16"/>
      <c r="W634" s="1"/>
      <c r="X634" s="1"/>
    </row>
    <row r="635" spans="1:24">
      <c r="A635" s="1"/>
      <c r="B635" s="16"/>
      <c r="C635" s="16"/>
      <c r="D635" s="16"/>
      <c r="E635" s="16"/>
      <c r="F635" s="16"/>
      <c r="G635" s="16"/>
      <c r="H635" s="16"/>
      <c r="I635" s="16"/>
      <c r="J635" s="16"/>
      <c r="K635" s="16"/>
      <c r="L635" s="16"/>
      <c r="M635" s="26"/>
      <c r="N635" s="26"/>
      <c r="O635" s="16"/>
      <c r="P635" s="1"/>
      <c r="Q635" s="1"/>
      <c r="R635" s="1"/>
      <c r="S635" s="1"/>
      <c r="T635" s="1"/>
      <c r="U635" s="33"/>
      <c r="V635" s="16"/>
      <c r="W635" s="1"/>
      <c r="X635" s="1"/>
    </row>
    <row r="636" spans="1:24">
      <c r="A636" s="1"/>
      <c r="B636" s="16"/>
      <c r="C636" s="16"/>
      <c r="D636" s="16"/>
      <c r="E636" s="16"/>
      <c r="F636" s="16"/>
      <c r="G636" s="16"/>
      <c r="H636" s="16"/>
      <c r="I636" s="16"/>
      <c r="J636" s="16"/>
      <c r="K636" s="16"/>
      <c r="L636" s="16"/>
      <c r="M636" s="26"/>
      <c r="N636" s="26"/>
      <c r="O636" s="16"/>
      <c r="P636" s="1"/>
      <c r="Q636" s="1"/>
      <c r="R636" s="1"/>
      <c r="S636" s="1"/>
      <c r="T636" s="1"/>
      <c r="U636" s="33"/>
      <c r="V636" s="16"/>
      <c r="W636" s="1"/>
      <c r="X636" s="1"/>
    </row>
    <row r="637" spans="1:24">
      <c r="A637" s="1"/>
      <c r="B637" s="16"/>
      <c r="C637" s="16"/>
      <c r="D637" s="16"/>
      <c r="E637" s="16"/>
      <c r="F637" s="16"/>
      <c r="G637" s="16"/>
      <c r="H637" s="16"/>
      <c r="I637" s="16"/>
      <c r="J637" s="16"/>
      <c r="K637" s="16"/>
      <c r="L637" s="16"/>
      <c r="M637" s="26"/>
      <c r="N637" s="26"/>
      <c r="O637" s="16"/>
      <c r="P637" s="1"/>
      <c r="Q637" s="1"/>
      <c r="R637" s="1"/>
      <c r="S637" s="1"/>
      <c r="T637" s="1"/>
      <c r="U637" s="33"/>
      <c r="V637" s="16"/>
      <c r="W637" s="1"/>
      <c r="X637" s="1"/>
    </row>
    <row r="638" spans="1:24">
      <c r="A638" s="1"/>
      <c r="B638" s="16"/>
      <c r="C638" s="16"/>
      <c r="D638" s="16"/>
      <c r="E638" s="16"/>
      <c r="F638" s="16"/>
      <c r="G638" s="16"/>
      <c r="H638" s="16"/>
      <c r="I638" s="16"/>
      <c r="J638" s="16"/>
      <c r="K638" s="16"/>
      <c r="L638" s="16"/>
      <c r="M638" s="26"/>
      <c r="N638" s="26"/>
      <c r="O638" s="16"/>
      <c r="P638" s="1"/>
      <c r="Q638" s="1"/>
      <c r="R638" s="1"/>
      <c r="S638" s="1"/>
      <c r="T638" s="1"/>
      <c r="U638" s="33"/>
      <c r="V638" s="16"/>
      <c r="W638" s="1"/>
      <c r="X638" s="1"/>
    </row>
    <row r="639" spans="1:24">
      <c r="A639" s="1"/>
      <c r="B639" s="16"/>
      <c r="C639" s="16"/>
      <c r="D639" s="16"/>
      <c r="E639" s="16"/>
      <c r="F639" s="16"/>
      <c r="G639" s="16"/>
      <c r="H639" s="16"/>
      <c r="I639" s="16"/>
      <c r="J639" s="16"/>
      <c r="K639" s="16"/>
      <c r="L639" s="16"/>
      <c r="M639" s="26"/>
      <c r="N639" s="26"/>
      <c r="O639" s="16"/>
      <c r="P639" s="1"/>
      <c r="Q639" s="1"/>
      <c r="R639" s="1"/>
      <c r="S639" s="1"/>
      <c r="T639" s="1"/>
      <c r="U639" s="33"/>
      <c r="V639" s="16"/>
      <c r="W639" s="1"/>
      <c r="X639" s="1"/>
    </row>
    <row r="640" spans="1:24">
      <c r="A640" s="1"/>
      <c r="B640" s="16"/>
      <c r="C640" s="16"/>
      <c r="D640" s="16"/>
      <c r="E640" s="16"/>
      <c r="F640" s="16"/>
      <c r="G640" s="16"/>
      <c r="H640" s="16"/>
      <c r="I640" s="16"/>
      <c r="J640" s="16"/>
      <c r="K640" s="16"/>
      <c r="L640" s="16"/>
      <c r="M640" s="26"/>
      <c r="N640" s="26"/>
      <c r="O640" s="16"/>
      <c r="P640" s="1"/>
      <c r="Q640" s="1"/>
      <c r="R640" s="1"/>
      <c r="S640" s="1"/>
      <c r="T640" s="1"/>
      <c r="U640" s="33"/>
      <c r="V640" s="16"/>
      <c r="W640" s="1"/>
      <c r="X640" s="1"/>
    </row>
    <row r="641" spans="1:24">
      <c r="A641" s="1"/>
      <c r="B641" s="16"/>
      <c r="C641" s="16"/>
      <c r="D641" s="16"/>
      <c r="E641" s="16"/>
      <c r="F641" s="16"/>
      <c r="G641" s="16"/>
      <c r="H641" s="16"/>
      <c r="I641" s="16"/>
      <c r="J641" s="16"/>
      <c r="K641" s="16"/>
      <c r="L641" s="16"/>
      <c r="M641" s="26"/>
      <c r="N641" s="26"/>
      <c r="O641" s="16"/>
      <c r="P641" s="1"/>
      <c r="Q641" s="1"/>
      <c r="R641" s="1"/>
      <c r="S641" s="1"/>
      <c r="T641" s="1"/>
      <c r="U641" s="33"/>
      <c r="V641" s="16"/>
      <c r="W641" s="1"/>
      <c r="X641" s="1"/>
    </row>
    <row r="642" spans="1:24">
      <c r="A642" s="1"/>
      <c r="B642" s="16"/>
      <c r="C642" s="16"/>
      <c r="D642" s="16"/>
      <c r="E642" s="16"/>
      <c r="F642" s="16"/>
      <c r="G642" s="16"/>
      <c r="H642" s="16"/>
      <c r="I642" s="16"/>
      <c r="J642" s="16"/>
      <c r="K642" s="16"/>
      <c r="L642" s="16"/>
      <c r="M642" s="26"/>
      <c r="N642" s="26"/>
      <c r="O642" s="16"/>
      <c r="P642" s="1"/>
      <c r="Q642" s="1"/>
      <c r="R642" s="1"/>
      <c r="S642" s="1"/>
      <c r="T642" s="1"/>
      <c r="U642" s="33"/>
      <c r="V642" s="16"/>
      <c r="W642" s="1"/>
      <c r="X642" s="1"/>
    </row>
    <row r="643" spans="1:24">
      <c r="A643" s="1"/>
      <c r="B643" s="16"/>
      <c r="C643" s="16"/>
      <c r="D643" s="16"/>
      <c r="E643" s="16"/>
      <c r="F643" s="16"/>
      <c r="G643" s="16"/>
      <c r="H643" s="16"/>
      <c r="I643" s="16"/>
      <c r="J643" s="16"/>
      <c r="K643" s="16"/>
      <c r="L643" s="16"/>
      <c r="M643" s="26"/>
      <c r="N643" s="26"/>
      <c r="O643" s="16"/>
      <c r="P643" s="1"/>
      <c r="Q643" s="1"/>
      <c r="R643" s="1"/>
      <c r="S643" s="1"/>
      <c r="T643" s="1"/>
      <c r="U643" s="33"/>
      <c r="V643" s="16"/>
      <c r="W643" s="1"/>
      <c r="X643" s="1"/>
    </row>
    <row r="644" spans="1:24">
      <c r="A644" s="1"/>
      <c r="B644" s="16"/>
      <c r="C644" s="16"/>
      <c r="D644" s="16"/>
      <c r="E644" s="16"/>
      <c r="F644" s="16"/>
      <c r="G644" s="16"/>
      <c r="H644" s="16"/>
      <c r="I644" s="16"/>
      <c r="J644" s="16"/>
      <c r="K644" s="16"/>
      <c r="L644" s="16"/>
      <c r="M644" s="26"/>
      <c r="N644" s="26"/>
      <c r="O644" s="16"/>
      <c r="P644" s="1"/>
      <c r="Q644" s="1"/>
      <c r="R644" s="1"/>
      <c r="S644" s="1"/>
      <c r="T644" s="1"/>
      <c r="U644" s="33"/>
      <c r="V644" s="16"/>
      <c r="W644" s="1"/>
      <c r="X644" s="1"/>
    </row>
    <row r="645" spans="1:24">
      <c r="A645" s="1"/>
      <c r="B645" s="16"/>
      <c r="C645" s="16"/>
      <c r="D645" s="16"/>
      <c r="E645" s="16"/>
      <c r="F645" s="16"/>
      <c r="G645" s="16"/>
      <c r="H645" s="16"/>
      <c r="I645" s="16"/>
      <c r="J645" s="16"/>
      <c r="K645" s="16"/>
      <c r="L645" s="16"/>
      <c r="M645" s="26"/>
      <c r="N645" s="26"/>
      <c r="O645" s="16"/>
      <c r="P645" s="1"/>
      <c r="Q645" s="1"/>
      <c r="R645" s="1"/>
      <c r="S645" s="1"/>
      <c r="T645" s="1"/>
      <c r="U645" s="33"/>
      <c r="V645" s="16"/>
      <c r="W645" s="1"/>
      <c r="X645" s="1"/>
    </row>
    <row r="646" spans="1:24">
      <c r="A646" s="1"/>
      <c r="B646" s="16"/>
      <c r="C646" s="16"/>
      <c r="D646" s="16"/>
      <c r="E646" s="16"/>
      <c r="F646" s="16"/>
      <c r="G646" s="16"/>
      <c r="H646" s="16"/>
      <c r="I646" s="16"/>
      <c r="J646" s="16"/>
      <c r="K646" s="16"/>
      <c r="L646" s="16"/>
      <c r="M646" s="26"/>
      <c r="N646" s="26"/>
      <c r="O646" s="16"/>
      <c r="P646" s="1"/>
      <c r="Q646" s="1"/>
      <c r="R646" s="1"/>
      <c r="S646" s="1"/>
      <c r="T646" s="1"/>
      <c r="U646" s="33"/>
      <c r="V646" s="16"/>
      <c r="W646" s="1"/>
      <c r="X646" s="1"/>
    </row>
    <row r="647" spans="1:24">
      <c r="A647" s="1"/>
      <c r="B647" s="16"/>
      <c r="C647" s="16"/>
      <c r="D647" s="16"/>
      <c r="E647" s="16"/>
      <c r="F647" s="16"/>
      <c r="G647" s="16"/>
      <c r="H647" s="16"/>
      <c r="I647" s="16"/>
      <c r="J647" s="16"/>
      <c r="K647" s="16"/>
      <c r="L647" s="16"/>
      <c r="M647" s="26"/>
      <c r="N647" s="26"/>
      <c r="O647" s="16"/>
      <c r="P647" s="1"/>
      <c r="Q647" s="1"/>
      <c r="R647" s="1"/>
      <c r="S647" s="1"/>
      <c r="T647" s="1"/>
      <c r="U647" s="33"/>
      <c r="V647" s="16"/>
      <c r="W647" s="1"/>
      <c r="X647" s="1"/>
    </row>
    <row r="648" spans="1:24">
      <c r="A648" s="1"/>
      <c r="B648" s="16"/>
      <c r="C648" s="16"/>
      <c r="D648" s="16"/>
      <c r="E648" s="16"/>
      <c r="F648" s="16"/>
      <c r="G648" s="16"/>
      <c r="H648" s="16"/>
      <c r="I648" s="16"/>
      <c r="J648" s="16"/>
      <c r="K648" s="16"/>
      <c r="L648" s="16"/>
      <c r="M648" s="26"/>
      <c r="N648" s="26"/>
      <c r="O648" s="16"/>
      <c r="P648" s="1"/>
      <c r="Q648" s="1"/>
      <c r="R648" s="1"/>
      <c r="S648" s="1"/>
      <c r="T648" s="1"/>
      <c r="U648" s="33"/>
      <c r="V648" s="16"/>
      <c r="W648" s="1"/>
      <c r="X648" s="1"/>
    </row>
    <row r="649" spans="1:24">
      <c r="A649" s="1"/>
      <c r="B649" s="16"/>
      <c r="C649" s="16"/>
      <c r="D649" s="16"/>
      <c r="E649" s="16"/>
      <c r="F649" s="16"/>
      <c r="G649" s="16"/>
      <c r="H649" s="16"/>
      <c r="I649" s="16"/>
      <c r="J649" s="16"/>
      <c r="K649" s="16"/>
      <c r="L649" s="16"/>
      <c r="M649" s="26"/>
      <c r="N649" s="26"/>
      <c r="O649" s="16"/>
      <c r="P649" s="1"/>
      <c r="Q649" s="1"/>
      <c r="R649" s="1"/>
      <c r="S649" s="1"/>
      <c r="T649" s="1"/>
      <c r="U649" s="33"/>
      <c r="V649" s="16"/>
      <c r="W649" s="1"/>
      <c r="X649" s="1"/>
    </row>
    <row r="650" spans="1:24">
      <c r="A650" s="1"/>
      <c r="B650" s="16"/>
      <c r="C650" s="16"/>
      <c r="D650" s="16"/>
      <c r="E650" s="16"/>
      <c r="F650" s="16"/>
      <c r="G650" s="16"/>
      <c r="H650" s="16"/>
      <c r="I650" s="16"/>
      <c r="J650" s="16"/>
      <c r="K650" s="16"/>
      <c r="L650" s="16"/>
      <c r="M650" s="26"/>
      <c r="N650" s="26"/>
      <c r="O650" s="16"/>
      <c r="P650" s="1"/>
      <c r="Q650" s="1"/>
      <c r="R650" s="1"/>
      <c r="S650" s="1"/>
      <c r="T650" s="1"/>
      <c r="U650" s="33"/>
      <c r="V650" s="16"/>
      <c r="W650" s="1"/>
      <c r="X650" s="1"/>
    </row>
    <row r="651" spans="1:24">
      <c r="A651" s="1"/>
      <c r="B651" s="16"/>
      <c r="C651" s="16"/>
      <c r="D651" s="16"/>
      <c r="E651" s="16"/>
      <c r="F651" s="16"/>
      <c r="G651" s="16"/>
      <c r="H651" s="16"/>
      <c r="I651" s="16"/>
      <c r="J651" s="16"/>
      <c r="K651" s="16"/>
      <c r="L651" s="16"/>
      <c r="M651" s="26"/>
      <c r="N651" s="26"/>
      <c r="O651" s="16"/>
      <c r="P651" s="1"/>
      <c r="Q651" s="1"/>
      <c r="R651" s="1"/>
      <c r="S651" s="1"/>
      <c r="T651" s="1"/>
      <c r="U651" s="33"/>
      <c r="V651" s="16"/>
      <c r="W651" s="1"/>
      <c r="X651" s="1"/>
    </row>
    <row r="652" spans="1:24">
      <c r="A652" s="1"/>
      <c r="B652" s="16"/>
      <c r="C652" s="16"/>
      <c r="D652" s="16"/>
      <c r="E652" s="16"/>
      <c r="F652" s="16"/>
      <c r="G652" s="16"/>
      <c r="H652" s="16"/>
      <c r="I652" s="16"/>
      <c r="J652" s="16"/>
      <c r="K652" s="16"/>
      <c r="L652" s="16"/>
      <c r="M652" s="26"/>
      <c r="N652" s="26"/>
      <c r="O652" s="16"/>
      <c r="P652" s="1"/>
      <c r="Q652" s="1"/>
      <c r="R652" s="1"/>
      <c r="S652" s="1"/>
      <c r="T652" s="1"/>
      <c r="U652" s="33"/>
      <c r="V652" s="16"/>
      <c r="W652" s="1"/>
      <c r="X652" s="1"/>
    </row>
    <row r="653" spans="1:24">
      <c r="A653" s="1"/>
      <c r="B653" s="16"/>
      <c r="C653" s="16"/>
      <c r="D653" s="16"/>
      <c r="E653" s="16"/>
      <c r="F653" s="16"/>
      <c r="G653" s="16"/>
      <c r="H653" s="16"/>
      <c r="I653" s="16"/>
      <c r="J653" s="16"/>
      <c r="K653" s="16"/>
      <c r="L653" s="16"/>
      <c r="M653" s="26"/>
      <c r="N653" s="26"/>
      <c r="O653" s="16"/>
      <c r="P653" s="1"/>
      <c r="Q653" s="1"/>
      <c r="R653" s="1"/>
      <c r="S653" s="1"/>
      <c r="T653" s="1"/>
      <c r="U653" s="33"/>
      <c r="V653" s="16"/>
      <c r="W653" s="1"/>
      <c r="X653" s="1"/>
    </row>
    <row r="654" spans="1:24">
      <c r="A654" s="1"/>
      <c r="B654" s="16"/>
      <c r="C654" s="16"/>
      <c r="D654" s="16"/>
      <c r="E654" s="16"/>
      <c r="F654" s="16"/>
      <c r="G654" s="16"/>
      <c r="H654" s="16"/>
      <c r="I654" s="16"/>
      <c r="J654" s="16"/>
      <c r="K654" s="16"/>
      <c r="L654" s="16"/>
      <c r="M654" s="26"/>
      <c r="N654" s="26"/>
      <c r="O654" s="16"/>
      <c r="P654" s="1"/>
      <c r="Q654" s="1"/>
      <c r="R654" s="1"/>
      <c r="S654" s="1"/>
      <c r="T654" s="1"/>
      <c r="U654" s="33"/>
      <c r="V654" s="16"/>
      <c r="W654" s="1"/>
      <c r="X654" s="1"/>
    </row>
    <row r="655" spans="1:24">
      <c r="A655" s="1"/>
      <c r="B655" s="16"/>
      <c r="C655" s="16"/>
      <c r="D655" s="16"/>
      <c r="E655" s="16"/>
      <c r="F655" s="16"/>
      <c r="G655" s="16"/>
      <c r="H655" s="16"/>
      <c r="I655" s="16"/>
      <c r="J655" s="16"/>
      <c r="K655" s="16"/>
      <c r="L655" s="16"/>
      <c r="M655" s="26"/>
      <c r="N655" s="26"/>
      <c r="O655" s="16"/>
      <c r="P655" s="1"/>
      <c r="Q655" s="1"/>
      <c r="R655" s="1"/>
      <c r="S655" s="1"/>
      <c r="T655" s="1"/>
      <c r="U655" s="33"/>
      <c r="V655" s="16"/>
      <c r="W655" s="1"/>
      <c r="X655" s="1"/>
    </row>
    <row r="656" spans="1:24">
      <c r="A656" s="1"/>
      <c r="B656" s="16"/>
      <c r="C656" s="16"/>
      <c r="D656" s="16"/>
      <c r="E656" s="16"/>
      <c r="F656" s="16"/>
      <c r="G656" s="16"/>
      <c r="H656" s="16"/>
      <c r="I656" s="16"/>
      <c r="J656" s="16"/>
      <c r="K656" s="16"/>
      <c r="L656" s="16"/>
      <c r="M656" s="26"/>
      <c r="N656" s="26"/>
      <c r="O656" s="16"/>
      <c r="P656" s="1"/>
      <c r="Q656" s="1"/>
      <c r="R656" s="1"/>
      <c r="S656" s="1"/>
      <c r="T656" s="1"/>
      <c r="U656" s="33"/>
      <c r="V656" s="16"/>
      <c r="W656" s="1"/>
      <c r="X656" s="1"/>
    </row>
    <row r="657" spans="1:24">
      <c r="A657" s="1"/>
      <c r="B657" s="16"/>
      <c r="C657" s="16"/>
      <c r="D657" s="16"/>
      <c r="E657" s="16"/>
      <c r="F657" s="16"/>
      <c r="G657" s="16"/>
      <c r="H657" s="16"/>
      <c r="I657" s="16"/>
      <c r="J657" s="16"/>
      <c r="K657" s="16"/>
      <c r="L657" s="16"/>
      <c r="M657" s="26"/>
      <c r="N657" s="26"/>
      <c r="O657" s="16"/>
      <c r="P657" s="1"/>
      <c r="Q657" s="1"/>
      <c r="R657" s="1"/>
      <c r="S657" s="1"/>
      <c r="T657" s="1"/>
      <c r="U657" s="33"/>
      <c r="V657" s="16"/>
      <c r="W657" s="1"/>
      <c r="X657" s="1"/>
    </row>
    <row r="658" spans="1:24">
      <c r="A658" s="1"/>
      <c r="B658" s="16"/>
      <c r="C658" s="16"/>
      <c r="D658" s="16"/>
      <c r="E658" s="16"/>
      <c r="F658" s="16"/>
      <c r="G658" s="16"/>
      <c r="H658" s="16"/>
      <c r="I658" s="16"/>
      <c r="J658" s="16"/>
      <c r="K658" s="16"/>
      <c r="L658" s="16"/>
      <c r="M658" s="26"/>
      <c r="N658" s="26"/>
      <c r="O658" s="16"/>
      <c r="P658" s="1"/>
      <c r="Q658" s="1"/>
      <c r="R658" s="1"/>
      <c r="S658" s="1"/>
      <c r="T658" s="1"/>
      <c r="U658" s="33"/>
      <c r="V658" s="16"/>
      <c r="W658" s="1"/>
      <c r="X658" s="1"/>
    </row>
    <row r="659" spans="1:24">
      <c r="A659" s="1"/>
      <c r="B659" s="16"/>
      <c r="C659" s="16"/>
      <c r="D659" s="16"/>
      <c r="E659" s="16"/>
      <c r="F659" s="16"/>
      <c r="G659" s="16"/>
      <c r="H659" s="16"/>
      <c r="I659" s="16"/>
      <c r="J659" s="16"/>
      <c r="K659" s="16"/>
      <c r="L659" s="16"/>
      <c r="M659" s="26"/>
      <c r="N659" s="26"/>
      <c r="O659" s="16"/>
      <c r="P659" s="1"/>
      <c r="Q659" s="1"/>
      <c r="R659" s="1"/>
      <c r="S659" s="1"/>
      <c r="T659" s="1"/>
      <c r="U659" s="33"/>
      <c r="V659" s="16"/>
      <c r="W659" s="1"/>
      <c r="X659" s="1"/>
    </row>
    <row r="660" spans="1:24">
      <c r="A660" s="1"/>
      <c r="B660" s="16"/>
      <c r="C660" s="16"/>
      <c r="D660" s="16"/>
      <c r="E660" s="16"/>
      <c r="F660" s="16"/>
      <c r="G660" s="16"/>
      <c r="H660" s="16"/>
      <c r="I660" s="16"/>
      <c r="J660" s="16"/>
      <c r="K660" s="16"/>
      <c r="L660" s="16"/>
      <c r="M660" s="26"/>
      <c r="N660" s="26"/>
      <c r="O660" s="16"/>
      <c r="P660" s="1"/>
      <c r="Q660" s="1"/>
      <c r="R660" s="1"/>
      <c r="S660" s="1"/>
      <c r="T660" s="1"/>
      <c r="U660" s="33"/>
      <c r="V660" s="16"/>
      <c r="W660" s="1"/>
      <c r="X660" s="1"/>
    </row>
    <row r="661" spans="1:24">
      <c r="A661" s="1"/>
      <c r="B661" s="16"/>
      <c r="C661" s="16"/>
      <c r="D661" s="16"/>
      <c r="E661" s="16"/>
      <c r="F661" s="16"/>
      <c r="G661" s="16"/>
      <c r="H661" s="16"/>
      <c r="I661" s="16"/>
      <c r="J661" s="16"/>
      <c r="K661" s="16"/>
      <c r="L661" s="16"/>
      <c r="M661" s="26"/>
      <c r="N661" s="26"/>
      <c r="O661" s="16"/>
      <c r="P661" s="1"/>
      <c r="Q661" s="1"/>
      <c r="R661" s="1"/>
      <c r="S661" s="1"/>
      <c r="T661" s="1"/>
      <c r="U661" s="33"/>
      <c r="V661" s="16"/>
      <c r="W661" s="1"/>
      <c r="X661" s="1"/>
    </row>
    <row r="662" spans="1:24">
      <c r="A662" s="1"/>
      <c r="B662" s="16"/>
      <c r="C662" s="16"/>
      <c r="D662" s="16"/>
      <c r="E662" s="16"/>
      <c r="F662" s="16"/>
      <c r="G662" s="16"/>
      <c r="H662" s="16"/>
      <c r="I662" s="16"/>
      <c r="J662" s="16"/>
      <c r="K662" s="16"/>
      <c r="L662" s="16"/>
      <c r="M662" s="26"/>
      <c r="N662" s="26"/>
      <c r="O662" s="16"/>
      <c r="P662" s="1"/>
      <c r="Q662" s="1"/>
      <c r="R662" s="1"/>
      <c r="S662" s="1"/>
      <c r="T662" s="1"/>
      <c r="U662" s="33"/>
      <c r="V662" s="16"/>
      <c r="W662" s="1"/>
      <c r="X662" s="1"/>
    </row>
    <row r="663" spans="1:24">
      <c r="A663" s="1"/>
      <c r="B663" s="16"/>
      <c r="C663" s="16"/>
      <c r="D663" s="16"/>
      <c r="E663" s="16"/>
      <c r="F663" s="16"/>
      <c r="G663" s="16"/>
      <c r="H663" s="16"/>
      <c r="I663" s="16"/>
      <c r="J663" s="16"/>
      <c r="K663" s="16"/>
      <c r="L663" s="16"/>
      <c r="M663" s="26"/>
      <c r="N663" s="26"/>
      <c r="O663" s="16"/>
      <c r="P663" s="1"/>
      <c r="Q663" s="1"/>
      <c r="R663" s="1"/>
      <c r="S663" s="1"/>
      <c r="T663" s="1"/>
      <c r="U663" s="33"/>
      <c r="V663" s="16"/>
      <c r="W663" s="1"/>
      <c r="X663" s="1"/>
    </row>
    <row r="664" spans="1:24">
      <c r="A664" s="1"/>
      <c r="B664" s="16"/>
      <c r="C664" s="16"/>
      <c r="D664" s="16"/>
      <c r="E664" s="16"/>
      <c r="F664" s="16"/>
      <c r="G664" s="16"/>
      <c r="H664" s="16"/>
      <c r="I664" s="16"/>
      <c r="J664" s="16"/>
      <c r="K664" s="16"/>
      <c r="L664" s="16"/>
      <c r="M664" s="26"/>
      <c r="N664" s="26"/>
      <c r="O664" s="16"/>
      <c r="P664" s="1"/>
      <c r="Q664" s="1"/>
      <c r="R664" s="1"/>
      <c r="S664" s="1"/>
      <c r="T664" s="1"/>
      <c r="U664" s="33"/>
      <c r="V664" s="16"/>
      <c r="W664" s="1"/>
      <c r="X664" s="1"/>
    </row>
    <row r="665" spans="1:24">
      <c r="A665" s="1"/>
      <c r="B665" s="16"/>
      <c r="C665" s="16"/>
      <c r="D665" s="16"/>
      <c r="E665" s="16"/>
      <c r="F665" s="16"/>
      <c r="G665" s="16"/>
      <c r="H665" s="16"/>
      <c r="I665" s="16"/>
      <c r="J665" s="16"/>
      <c r="K665" s="16"/>
      <c r="L665" s="16"/>
      <c r="M665" s="26"/>
      <c r="N665" s="26"/>
      <c r="O665" s="16"/>
      <c r="P665" s="1"/>
      <c r="Q665" s="1"/>
      <c r="R665" s="1"/>
      <c r="S665" s="1"/>
      <c r="T665" s="1"/>
      <c r="U665" s="33"/>
      <c r="V665" s="16"/>
      <c r="W665" s="1"/>
      <c r="X665" s="1"/>
    </row>
    <row r="666" spans="1:24">
      <c r="A666" s="1"/>
      <c r="B666" s="16"/>
      <c r="C666" s="16"/>
      <c r="D666" s="16"/>
      <c r="E666" s="16"/>
      <c r="F666" s="16"/>
      <c r="G666" s="16"/>
      <c r="H666" s="16"/>
      <c r="I666" s="16"/>
      <c r="J666" s="16"/>
      <c r="K666" s="16"/>
      <c r="L666" s="16"/>
      <c r="M666" s="26"/>
      <c r="N666" s="26"/>
      <c r="O666" s="16"/>
      <c r="P666" s="1"/>
      <c r="Q666" s="1"/>
      <c r="R666" s="1"/>
      <c r="S666" s="1"/>
      <c r="T666" s="1"/>
      <c r="U666" s="33"/>
      <c r="V666" s="16"/>
      <c r="W666" s="1"/>
      <c r="X666" s="1"/>
    </row>
    <row r="667" spans="1:24">
      <c r="A667" s="1"/>
      <c r="B667" s="16"/>
      <c r="C667" s="16"/>
      <c r="D667" s="16"/>
      <c r="E667" s="16"/>
      <c r="F667" s="16"/>
      <c r="G667" s="16"/>
      <c r="H667" s="16"/>
      <c r="I667" s="16"/>
      <c r="J667" s="16"/>
      <c r="K667" s="16"/>
      <c r="L667" s="16"/>
      <c r="M667" s="26"/>
      <c r="N667" s="26"/>
      <c r="O667" s="16"/>
      <c r="P667" s="1"/>
      <c r="Q667" s="1"/>
      <c r="R667" s="1"/>
      <c r="S667" s="1"/>
      <c r="T667" s="1"/>
      <c r="U667" s="33"/>
      <c r="V667" s="16"/>
      <c r="W667" s="1"/>
      <c r="X667" s="1"/>
    </row>
    <row r="668" spans="1:24">
      <c r="A668" s="1"/>
      <c r="B668" s="16"/>
      <c r="C668" s="16"/>
      <c r="D668" s="16"/>
      <c r="E668" s="16"/>
      <c r="F668" s="16"/>
      <c r="G668" s="16"/>
      <c r="H668" s="16"/>
      <c r="I668" s="16"/>
      <c r="J668" s="16"/>
      <c r="K668" s="16"/>
      <c r="L668" s="16"/>
      <c r="M668" s="26"/>
      <c r="N668" s="26"/>
      <c r="O668" s="16"/>
      <c r="P668" s="1"/>
      <c r="Q668" s="1"/>
      <c r="R668" s="1"/>
      <c r="S668" s="1"/>
      <c r="T668" s="1"/>
      <c r="U668" s="33"/>
      <c r="V668" s="16"/>
      <c r="W668" s="1"/>
      <c r="X668" s="1"/>
    </row>
    <row r="669" spans="1:24">
      <c r="A669" s="1"/>
      <c r="B669" s="16"/>
      <c r="C669" s="16"/>
      <c r="D669" s="16"/>
      <c r="E669" s="16"/>
      <c r="F669" s="16"/>
      <c r="G669" s="16"/>
      <c r="H669" s="16"/>
      <c r="I669" s="16"/>
      <c r="J669" s="16"/>
      <c r="K669" s="16"/>
      <c r="L669" s="16"/>
      <c r="M669" s="26"/>
      <c r="N669" s="26"/>
      <c r="O669" s="16"/>
      <c r="P669" s="1"/>
      <c r="Q669" s="1"/>
      <c r="R669" s="1"/>
      <c r="S669" s="1"/>
      <c r="T669" s="1"/>
      <c r="U669" s="33"/>
      <c r="V669" s="16"/>
      <c r="W669" s="1"/>
      <c r="X669" s="1"/>
    </row>
    <row r="670" spans="1:24">
      <c r="A670" s="1"/>
      <c r="B670" s="16"/>
      <c r="C670" s="16"/>
      <c r="D670" s="16"/>
      <c r="E670" s="16"/>
      <c r="F670" s="16"/>
      <c r="G670" s="16"/>
      <c r="H670" s="16"/>
      <c r="I670" s="16"/>
      <c r="J670" s="16"/>
      <c r="K670" s="16"/>
      <c r="L670" s="16"/>
      <c r="M670" s="26"/>
      <c r="N670" s="26"/>
      <c r="O670" s="16"/>
      <c r="P670" s="1"/>
      <c r="Q670" s="1"/>
      <c r="R670" s="1"/>
      <c r="S670" s="1"/>
      <c r="T670" s="1"/>
      <c r="U670" s="33"/>
      <c r="V670" s="16"/>
      <c r="W670" s="1"/>
      <c r="X670" s="1"/>
    </row>
    <row r="671" spans="1:24">
      <c r="A671" s="1"/>
      <c r="B671" s="16"/>
      <c r="C671" s="16"/>
      <c r="D671" s="16"/>
      <c r="E671" s="16"/>
      <c r="F671" s="16"/>
      <c r="G671" s="16"/>
      <c r="H671" s="16"/>
      <c r="I671" s="16"/>
      <c r="J671" s="16"/>
      <c r="K671" s="16"/>
      <c r="L671" s="16"/>
      <c r="M671" s="26"/>
      <c r="N671" s="26"/>
      <c r="O671" s="16"/>
      <c r="P671" s="1"/>
      <c r="Q671" s="1"/>
      <c r="R671" s="1"/>
      <c r="S671" s="1"/>
      <c r="T671" s="1"/>
      <c r="U671" s="33"/>
      <c r="V671" s="16"/>
      <c r="W671" s="1"/>
      <c r="X671" s="1"/>
    </row>
    <row r="672" spans="1:24">
      <c r="A672" s="1"/>
      <c r="B672" s="16"/>
      <c r="C672" s="16"/>
      <c r="D672" s="16"/>
      <c r="E672" s="16"/>
      <c r="F672" s="16"/>
      <c r="G672" s="16"/>
      <c r="H672" s="16"/>
      <c r="I672" s="16"/>
      <c r="J672" s="16"/>
      <c r="K672" s="16"/>
      <c r="L672" s="16"/>
      <c r="M672" s="26"/>
      <c r="N672" s="26"/>
      <c r="O672" s="16"/>
      <c r="P672" s="1"/>
      <c r="Q672" s="1"/>
      <c r="R672" s="1"/>
      <c r="S672" s="1"/>
      <c r="T672" s="1"/>
      <c r="U672" s="33"/>
      <c r="V672" s="16"/>
      <c r="W672" s="1"/>
      <c r="X672" s="1"/>
    </row>
    <row r="673" spans="1:24">
      <c r="A673" s="1"/>
      <c r="B673" s="16"/>
      <c r="C673" s="16"/>
      <c r="D673" s="16"/>
      <c r="E673" s="16"/>
      <c r="F673" s="16"/>
      <c r="G673" s="16"/>
      <c r="H673" s="16"/>
      <c r="I673" s="16"/>
      <c r="J673" s="16"/>
      <c r="K673" s="16"/>
      <c r="L673" s="16"/>
      <c r="M673" s="26"/>
      <c r="N673" s="26"/>
      <c r="O673" s="16"/>
      <c r="P673" s="1"/>
      <c r="Q673" s="1"/>
      <c r="R673" s="1"/>
      <c r="S673" s="1"/>
      <c r="T673" s="1"/>
      <c r="U673" s="33"/>
      <c r="V673" s="16"/>
      <c r="W673" s="1"/>
      <c r="X673" s="1"/>
    </row>
    <row r="674" spans="1:24">
      <c r="A674" s="1"/>
      <c r="B674" s="16"/>
      <c r="C674" s="16"/>
      <c r="D674" s="16"/>
      <c r="E674" s="16"/>
      <c r="F674" s="16"/>
      <c r="G674" s="16"/>
      <c r="H674" s="16"/>
      <c r="I674" s="16"/>
      <c r="J674" s="16"/>
      <c r="K674" s="16"/>
      <c r="L674" s="16"/>
      <c r="M674" s="26"/>
      <c r="N674" s="26"/>
      <c r="O674" s="16"/>
      <c r="P674" s="1"/>
      <c r="Q674" s="1"/>
      <c r="R674" s="1"/>
      <c r="S674" s="1"/>
      <c r="T674" s="1"/>
      <c r="U674" s="33"/>
      <c r="V674" s="16"/>
      <c r="W674" s="1"/>
      <c r="X674" s="1"/>
    </row>
    <row r="675" spans="1:24">
      <c r="A675" s="1"/>
      <c r="B675" s="16"/>
      <c r="C675" s="16"/>
      <c r="D675" s="16"/>
      <c r="E675" s="16"/>
      <c r="F675" s="16"/>
      <c r="G675" s="16"/>
      <c r="H675" s="16"/>
      <c r="I675" s="16"/>
      <c r="J675" s="16"/>
      <c r="K675" s="16"/>
      <c r="L675" s="16"/>
      <c r="M675" s="26"/>
      <c r="N675" s="26"/>
      <c r="O675" s="16"/>
      <c r="P675" s="1"/>
      <c r="Q675" s="1"/>
      <c r="R675" s="1"/>
      <c r="S675" s="1"/>
      <c r="T675" s="1"/>
      <c r="U675" s="33"/>
      <c r="V675" s="16"/>
      <c r="W675" s="1"/>
      <c r="X675" s="1"/>
    </row>
    <row r="676" spans="1:24">
      <c r="A676" s="1"/>
      <c r="B676" s="16"/>
      <c r="C676" s="16"/>
      <c r="D676" s="16"/>
      <c r="E676" s="16"/>
      <c r="F676" s="16"/>
      <c r="G676" s="16"/>
      <c r="H676" s="16"/>
      <c r="I676" s="16"/>
      <c r="J676" s="16"/>
      <c r="K676" s="16"/>
      <c r="L676" s="16"/>
      <c r="M676" s="26"/>
      <c r="N676" s="26"/>
      <c r="O676" s="16"/>
      <c r="P676" s="1"/>
      <c r="Q676" s="1"/>
      <c r="R676" s="1"/>
      <c r="S676" s="1"/>
      <c r="T676" s="1"/>
      <c r="U676" s="33"/>
      <c r="V676" s="16"/>
      <c r="W676" s="1"/>
      <c r="X676" s="1"/>
    </row>
    <row r="677" spans="1:24">
      <c r="A677" s="1"/>
      <c r="B677" s="16"/>
      <c r="C677" s="16"/>
      <c r="D677" s="16"/>
      <c r="E677" s="16"/>
      <c r="F677" s="16"/>
      <c r="G677" s="16"/>
      <c r="H677" s="16"/>
      <c r="I677" s="16"/>
      <c r="J677" s="16"/>
      <c r="K677" s="16"/>
      <c r="L677" s="16"/>
      <c r="M677" s="26"/>
      <c r="N677" s="26"/>
      <c r="O677" s="16"/>
      <c r="P677" s="1"/>
      <c r="Q677" s="1"/>
      <c r="R677" s="1"/>
      <c r="S677" s="1"/>
      <c r="T677" s="1"/>
      <c r="U677" s="33"/>
      <c r="V677" s="16"/>
      <c r="W677" s="1"/>
      <c r="X677" s="1"/>
    </row>
    <row r="678" spans="1:24">
      <c r="A678" s="1"/>
      <c r="B678" s="16"/>
      <c r="C678" s="16"/>
      <c r="D678" s="16"/>
      <c r="E678" s="16"/>
      <c r="F678" s="16"/>
      <c r="G678" s="16"/>
      <c r="H678" s="16"/>
      <c r="I678" s="16"/>
      <c r="J678" s="16"/>
      <c r="K678" s="16"/>
      <c r="L678" s="16"/>
      <c r="M678" s="26"/>
      <c r="N678" s="26"/>
      <c r="O678" s="16"/>
      <c r="P678" s="1"/>
      <c r="Q678" s="1"/>
      <c r="R678" s="1"/>
      <c r="S678" s="1"/>
      <c r="T678" s="1"/>
      <c r="U678" s="33"/>
      <c r="V678" s="16"/>
      <c r="W678" s="1"/>
      <c r="X678" s="1"/>
    </row>
    <row r="679" spans="1:24">
      <c r="A679" s="1"/>
      <c r="B679" s="16"/>
      <c r="C679" s="16"/>
      <c r="D679" s="16"/>
      <c r="E679" s="16"/>
      <c r="F679" s="16"/>
      <c r="G679" s="16"/>
      <c r="H679" s="16"/>
      <c r="I679" s="16"/>
      <c r="J679" s="16"/>
      <c r="K679" s="16"/>
      <c r="L679" s="16"/>
      <c r="M679" s="26"/>
      <c r="N679" s="26"/>
      <c r="O679" s="16"/>
      <c r="P679" s="1"/>
      <c r="Q679" s="1"/>
      <c r="R679" s="1"/>
      <c r="S679" s="1"/>
      <c r="T679" s="1"/>
      <c r="U679" s="33"/>
      <c r="V679" s="16"/>
      <c r="W679" s="1"/>
      <c r="X679" s="1"/>
    </row>
    <row r="680" spans="1:24">
      <c r="A680" s="1"/>
      <c r="B680" s="16"/>
      <c r="C680" s="16"/>
      <c r="D680" s="16"/>
      <c r="E680" s="16"/>
      <c r="F680" s="16"/>
      <c r="G680" s="16"/>
      <c r="H680" s="16"/>
      <c r="I680" s="16"/>
      <c r="J680" s="16"/>
      <c r="K680" s="16"/>
      <c r="L680" s="16"/>
      <c r="M680" s="26"/>
      <c r="N680" s="26"/>
      <c r="O680" s="16"/>
      <c r="P680" s="1"/>
      <c r="Q680" s="1"/>
      <c r="R680" s="1"/>
      <c r="S680" s="1"/>
      <c r="T680" s="1"/>
      <c r="U680" s="33"/>
      <c r="V680" s="16"/>
      <c r="W680" s="1"/>
      <c r="X680" s="1"/>
    </row>
    <row r="681" spans="1:24">
      <c r="A681" s="1"/>
      <c r="B681" s="16"/>
      <c r="C681" s="16"/>
      <c r="D681" s="16"/>
      <c r="E681" s="16"/>
      <c r="F681" s="16"/>
      <c r="G681" s="16"/>
      <c r="H681" s="16"/>
      <c r="I681" s="16"/>
      <c r="J681" s="16"/>
      <c r="K681" s="16"/>
      <c r="L681" s="16"/>
      <c r="M681" s="26"/>
      <c r="N681" s="26"/>
      <c r="O681" s="16"/>
      <c r="P681" s="1"/>
      <c r="Q681" s="1"/>
      <c r="R681" s="1"/>
      <c r="S681" s="1"/>
      <c r="T681" s="1"/>
      <c r="U681" s="33"/>
      <c r="V681" s="16"/>
      <c r="W681" s="1"/>
      <c r="X681" s="1"/>
    </row>
    <row r="682" spans="1:24">
      <c r="A682" s="1"/>
      <c r="B682" s="16"/>
      <c r="C682" s="16"/>
      <c r="D682" s="16"/>
      <c r="E682" s="16"/>
      <c r="F682" s="16"/>
      <c r="G682" s="16"/>
      <c r="H682" s="16"/>
      <c r="I682" s="16"/>
      <c r="J682" s="16"/>
      <c r="K682" s="16"/>
      <c r="L682" s="16"/>
      <c r="M682" s="26"/>
      <c r="N682" s="26"/>
      <c r="O682" s="16"/>
      <c r="P682" s="1"/>
      <c r="Q682" s="1"/>
      <c r="R682" s="1"/>
      <c r="S682" s="1"/>
      <c r="T682" s="1"/>
      <c r="U682" s="33"/>
      <c r="V682" s="16"/>
      <c r="W682" s="1"/>
      <c r="X682" s="1"/>
    </row>
    <row r="683" spans="1:24">
      <c r="A683" s="1"/>
      <c r="B683" s="16"/>
      <c r="C683" s="16"/>
      <c r="D683" s="16"/>
      <c r="E683" s="16"/>
      <c r="F683" s="16"/>
      <c r="G683" s="16"/>
      <c r="H683" s="16"/>
      <c r="I683" s="16"/>
      <c r="J683" s="16"/>
      <c r="K683" s="16"/>
      <c r="L683" s="16"/>
      <c r="M683" s="26"/>
      <c r="N683" s="26"/>
      <c r="O683" s="16"/>
      <c r="P683" s="1"/>
      <c r="Q683" s="1"/>
      <c r="R683" s="1"/>
      <c r="S683" s="1"/>
      <c r="T683" s="1"/>
      <c r="U683" s="33"/>
      <c r="V683" s="16"/>
      <c r="W683" s="1"/>
      <c r="X683" s="1"/>
    </row>
    <row r="684" spans="1:24">
      <c r="A684" s="1"/>
      <c r="B684" s="16"/>
      <c r="C684" s="16"/>
      <c r="D684" s="16"/>
      <c r="E684" s="16"/>
      <c r="F684" s="16"/>
      <c r="G684" s="16"/>
      <c r="H684" s="16"/>
      <c r="I684" s="16"/>
      <c r="J684" s="16"/>
      <c r="K684" s="16"/>
      <c r="L684" s="16"/>
      <c r="M684" s="26"/>
      <c r="N684" s="26"/>
      <c r="O684" s="16"/>
      <c r="P684" s="1"/>
      <c r="Q684" s="1"/>
      <c r="R684" s="1"/>
      <c r="S684" s="1"/>
      <c r="T684" s="1"/>
      <c r="U684" s="33"/>
      <c r="V684" s="16"/>
      <c r="W684" s="1"/>
      <c r="X684" s="1"/>
    </row>
    <row r="685" spans="1:24">
      <c r="A685" s="1"/>
      <c r="B685" s="16"/>
      <c r="C685" s="16"/>
      <c r="D685" s="16"/>
      <c r="E685" s="16"/>
      <c r="F685" s="16"/>
      <c r="G685" s="16"/>
      <c r="H685" s="16"/>
      <c r="I685" s="16"/>
      <c r="J685" s="16"/>
      <c r="K685" s="16"/>
      <c r="L685" s="16"/>
      <c r="M685" s="26"/>
      <c r="N685" s="26"/>
      <c r="O685" s="16"/>
      <c r="P685" s="1"/>
      <c r="Q685" s="1"/>
      <c r="R685" s="1"/>
      <c r="S685" s="1"/>
      <c r="T685" s="1"/>
      <c r="U685" s="33"/>
      <c r="V685" s="16"/>
      <c r="W685" s="1"/>
      <c r="X685" s="1"/>
    </row>
    <row r="686" spans="1:24">
      <c r="A686" s="1"/>
      <c r="B686" s="16"/>
      <c r="C686" s="16"/>
      <c r="D686" s="16"/>
      <c r="E686" s="16"/>
      <c r="F686" s="16"/>
      <c r="G686" s="16"/>
      <c r="H686" s="16"/>
      <c r="I686" s="16"/>
      <c r="J686" s="16"/>
      <c r="K686" s="16"/>
      <c r="L686" s="16"/>
      <c r="M686" s="26"/>
      <c r="N686" s="26"/>
      <c r="O686" s="16"/>
      <c r="P686" s="1"/>
      <c r="Q686" s="1"/>
      <c r="R686" s="1"/>
      <c r="S686" s="1"/>
      <c r="T686" s="1"/>
      <c r="U686" s="33"/>
      <c r="V686" s="16"/>
      <c r="W686" s="1"/>
      <c r="X686" s="1"/>
    </row>
    <row r="687" spans="1:24">
      <c r="A687" s="1"/>
      <c r="B687" s="16"/>
      <c r="C687" s="16"/>
      <c r="D687" s="16"/>
      <c r="E687" s="16"/>
      <c r="F687" s="16"/>
      <c r="G687" s="16"/>
      <c r="H687" s="16"/>
      <c r="I687" s="16"/>
      <c r="J687" s="16"/>
      <c r="K687" s="16"/>
      <c r="L687" s="16"/>
      <c r="M687" s="26"/>
      <c r="N687" s="26"/>
      <c r="O687" s="16"/>
      <c r="P687" s="1"/>
      <c r="Q687" s="1"/>
      <c r="R687" s="1"/>
      <c r="S687" s="1"/>
      <c r="T687" s="1"/>
      <c r="U687" s="33"/>
      <c r="V687" s="16"/>
      <c r="W687" s="1"/>
      <c r="X687" s="1"/>
    </row>
    <row r="688" spans="1:24">
      <c r="A688" s="1"/>
      <c r="B688" s="16"/>
      <c r="C688" s="16"/>
      <c r="D688" s="16"/>
      <c r="E688" s="16"/>
      <c r="F688" s="16"/>
      <c r="G688" s="16"/>
      <c r="H688" s="16"/>
      <c r="I688" s="16"/>
      <c r="J688" s="16"/>
      <c r="K688" s="16"/>
      <c r="L688" s="16"/>
      <c r="M688" s="26"/>
      <c r="N688" s="26"/>
      <c r="O688" s="16"/>
      <c r="P688" s="1"/>
      <c r="Q688" s="1"/>
      <c r="R688" s="1"/>
      <c r="S688" s="1"/>
      <c r="T688" s="1"/>
      <c r="U688" s="33"/>
      <c r="V688" s="16"/>
      <c r="W688" s="1"/>
      <c r="X688" s="1"/>
    </row>
    <row r="689" spans="1:24">
      <c r="A689" s="1"/>
      <c r="B689" s="16"/>
      <c r="C689" s="16"/>
      <c r="D689" s="16"/>
      <c r="E689" s="16"/>
      <c r="F689" s="16"/>
      <c r="G689" s="16"/>
      <c r="H689" s="16"/>
      <c r="I689" s="16"/>
      <c r="J689" s="16"/>
      <c r="K689" s="16"/>
      <c r="L689" s="16"/>
      <c r="M689" s="26"/>
      <c r="N689" s="26"/>
      <c r="O689" s="16"/>
      <c r="P689" s="1"/>
      <c r="Q689" s="1"/>
      <c r="R689" s="1"/>
      <c r="S689" s="1"/>
      <c r="T689" s="1"/>
      <c r="U689" s="33"/>
      <c r="V689" s="16"/>
      <c r="W689" s="1"/>
      <c r="X689" s="1"/>
    </row>
    <row r="690" spans="1:24">
      <c r="A690" s="1"/>
      <c r="B690" s="16"/>
      <c r="C690" s="16"/>
      <c r="D690" s="16"/>
      <c r="E690" s="16"/>
      <c r="F690" s="16"/>
      <c r="G690" s="16"/>
      <c r="H690" s="16"/>
      <c r="I690" s="16"/>
      <c r="J690" s="16"/>
      <c r="K690" s="16"/>
      <c r="L690" s="16"/>
      <c r="M690" s="26"/>
      <c r="N690" s="26"/>
      <c r="O690" s="16"/>
      <c r="P690" s="1"/>
      <c r="Q690" s="1"/>
      <c r="R690" s="1"/>
      <c r="S690" s="1"/>
      <c r="T690" s="1"/>
      <c r="U690" s="33"/>
      <c r="V690" s="16"/>
      <c r="W690" s="1"/>
      <c r="X690" s="1"/>
    </row>
    <row r="691" spans="1:24">
      <c r="A691" s="1"/>
      <c r="B691" s="16"/>
      <c r="C691" s="16"/>
      <c r="D691" s="16"/>
      <c r="E691" s="16"/>
      <c r="F691" s="16"/>
      <c r="G691" s="16"/>
      <c r="H691" s="16"/>
      <c r="I691" s="16"/>
      <c r="J691" s="16"/>
      <c r="K691" s="16"/>
      <c r="L691" s="16"/>
      <c r="M691" s="26"/>
      <c r="N691" s="26"/>
      <c r="O691" s="16"/>
      <c r="P691" s="1"/>
      <c r="Q691" s="1"/>
      <c r="R691" s="1"/>
      <c r="S691" s="1"/>
      <c r="T691" s="1"/>
      <c r="U691" s="33"/>
      <c r="V691" s="16"/>
      <c r="W691" s="1"/>
      <c r="X691" s="1"/>
    </row>
    <row r="692" spans="1:24">
      <c r="A692" s="1"/>
      <c r="B692" s="16"/>
      <c r="C692" s="16"/>
      <c r="D692" s="16"/>
      <c r="E692" s="16"/>
      <c r="F692" s="16"/>
      <c r="G692" s="16"/>
      <c r="H692" s="16"/>
      <c r="I692" s="16"/>
      <c r="J692" s="16"/>
      <c r="K692" s="16"/>
      <c r="L692" s="16"/>
      <c r="M692" s="26"/>
      <c r="N692" s="26"/>
      <c r="O692" s="16"/>
      <c r="P692" s="1"/>
      <c r="Q692" s="1"/>
      <c r="R692" s="1"/>
      <c r="S692" s="1"/>
      <c r="T692" s="1"/>
      <c r="U692" s="33"/>
      <c r="V692" s="16"/>
      <c r="W692" s="1"/>
      <c r="X692" s="1"/>
    </row>
    <row r="693" spans="1:24">
      <c r="A693" s="1"/>
      <c r="B693" s="16"/>
      <c r="C693" s="16"/>
      <c r="D693" s="16"/>
      <c r="E693" s="16"/>
      <c r="F693" s="16"/>
      <c r="G693" s="16"/>
      <c r="H693" s="16"/>
      <c r="I693" s="16"/>
      <c r="J693" s="16"/>
      <c r="K693" s="16"/>
      <c r="L693" s="16"/>
      <c r="M693" s="26"/>
      <c r="N693" s="26"/>
      <c r="O693" s="16"/>
      <c r="P693" s="1"/>
      <c r="Q693" s="1"/>
      <c r="R693" s="1"/>
      <c r="S693" s="1"/>
      <c r="T693" s="1"/>
      <c r="U693" s="33"/>
      <c r="V693" s="16"/>
      <c r="W693" s="1"/>
      <c r="X693" s="1"/>
    </row>
    <row r="694" spans="1:24">
      <c r="A694" s="1"/>
      <c r="B694" s="16"/>
      <c r="C694" s="16"/>
      <c r="D694" s="16"/>
      <c r="E694" s="16"/>
      <c r="F694" s="16"/>
      <c r="G694" s="16"/>
      <c r="H694" s="16"/>
      <c r="I694" s="16"/>
      <c r="J694" s="16"/>
      <c r="K694" s="16"/>
      <c r="L694" s="16"/>
      <c r="M694" s="26"/>
      <c r="N694" s="26"/>
      <c r="O694" s="16"/>
      <c r="P694" s="1"/>
      <c r="Q694" s="1"/>
      <c r="R694" s="1"/>
      <c r="S694" s="1"/>
      <c r="T694" s="1"/>
      <c r="U694" s="33"/>
      <c r="V694" s="16"/>
      <c r="W694" s="1"/>
      <c r="X694" s="1"/>
    </row>
    <row r="695" spans="1:24">
      <c r="A695" s="1"/>
      <c r="B695" s="16"/>
      <c r="C695" s="16"/>
      <c r="D695" s="16"/>
      <c r="E695" s="16"/>
      <c r="F695" s="16"/>
      <c r="G695" s="16"/>
      <c r="H695" s="16"/>
      <c r="I695" s="16"/>
      <c r="J695" s="16"/>
      <c r="K695" s="16"/>
      <c r="L695" s="16"/>
      <c r="M695" s="26"/>
      <c r="N695" s="26"/>
      <c r="O695" s="16"/>
      <c r="P695" s="1"/>
      <c r="Q695" s="1"/>
      <c r="R695" s="1"/>
      <c r="S695" s="1"/>
      <c r="T695" s="1"/>
      <c r="U695" s="33"/>
      <c r="V695" s="16"/>
      <c r="W695" s="1"/>
      <c r="X695" s="1"/>
    </row>
    <row r="696" spans="1:24">
      <c r="A696" s="1"/>
      <c r="B696" s="16"/>
      <c r="C696" s="16"/>
      <c r="D696" s="16"/>
      <c r="E696" s="16"/>
      <c r="F696" s="16"/>
      <c r="G696" s="16"/>
      <c r="H696" s="16"/>
      <c r="I696" s="16"/>
      <c r="J696" s="16"/>
      <c r="K696" s="16"/>
      <c r="L696" s="16"/>
      <c r="M696" s="26"/>
      <c r="N696" s="26"/>
      <c r="O696" s="16"/>
      <c r="P696" s="1"/>
      <c r="Q696" s="1"/>
      <c r="R696" s="1"/>
      <c r="S696" s="1"/>
      <c r="T696" s="1"/>
      <c r="U696" s="33"/>
      <c r="V696" s="16"/>
      <c r="W696" s="1"/>
      <c r="X696" s="1"/>
    </row>
    <row r="697" spans="1:24">
      <c r="A697" s="1"/>
      <c r="B697" s="16"/>
      <c r="C697" s="16"/>
      <c r="D697" s="16"/>
      <c r="E697" s="16"/>
      <c r="F697" s="16"/>
      <c r="G697" s="16"/>
      <c r="H697" s="16"/>
      <c r="I697" s="16"/>
      <c r="J697" s="16"/>
      <c r="K697" s="16"/>
      <c r="L697" s="16"/>
      <c r="M697" s="26"/>
      <c r="N697" s="26"/>
      <c r="O697" s="16"/>
      <c r="P697" s="1"/>
      <c r="Q697" s="1"/>
      <c r="R697" s="1"/>
      <c r="S697" s="1"/>
      <c r="T697" s="1"/>
      <c r="U697" s="33"/>
      <c r="V697" s="16"/>
      <c r="W697" s="1"/>
      <c r="X697" s="1"/>
    </row>
    <row r="698" spans="1:24">
      <c r="A698" s="1"/>
      <c r="B698" s="16"/>
      <c r="C698" s="16"/>
      <c r="D698" s="16"/>
      <c r="E698" s="16"/>
      <c r="F698" s="16"/>
      <c r="G698" s="16"/>
      <c r="H698" s="16"/>
      <c r="I698" s="16"/>
      <c r="J698" s="16"/>
      <c r="K698" s="16"/>
      <c r="L698" s="16"/>
      <c r="M698" s="26"/>
      <c r="N698" s="26"/>
      <c r="O698" s="16"/>
      <c r="P698" s="1"/>
      <c r="Q698" s="1"/>
      <c r="R698" s="1"/>
      <c r="S698" s="1"/>
      <c r="T698" s="1"/>
      <c r="U698" s="33"/>
      <c r="V698" s="16"/>
      <c r="W698" s="1"/>
      <c r="X698" s="1"/>
    </row>
    <row r="699" spans="1:24">
      <c r="A699" s="1"/>
      <c r="B699" s="16"/>
      <c r="C699" s="16"/>
      <c r="D699" s="16"/>
      <c r="E699" s="16"/>
      <c r="F699" s="16"/>
      <c r="G699" s="16"/>
      <c r="H699" s="16"/>
      <c r="I699" s="16"/>
      <c r="J699" s="16"/>
      <c r="K699" s="16"/>
      <c r="L699" s="16"/>
      <c r="M699" s="26"/>
      <c r="N699" s="26"/>
      <c r="O699" s="16"/>
      <c r="P699" s="1"/>
      <c r="Q699" s="1"/>
      <c r="R699" s="1"/>
      <c r="S699" s="1"/>
      <c r="T699" s="1"/>
      <c r="U699" s="33"/>
      <c r="V699" s="16"/>
      <c r="W699" s="1"/>
      <c r="X699" s="1"/>
    </row>
    <row r="700" spans="1:24">
      <c r="A700" s="1"/>
      <c r="B700" s="16"/>
      <c r="C700" s="16"/>
      <c r="D700" s="16"/>
      <c r="E700" s="16"/>
      <c r="F700" s="16"/>
      <c r="G700" s="16"/>
      <c r="H700" s="16"/>
      <c r="I700" s="16"/>
      <c r="J700" s="16"/>
      <c r="K700" s="16"/>
      <c r="L700" s="16"/>
      <c r="M700" s="26"/>
      <c r="N700" s="26"/>
      <c r="O700" s="16"/>
      <c r="P700" s="1"/>
      <c r="Q700" s="1"/>
      <c r="R700" s="1"/>
      <c r="S700" s="1"/>
      <c r="T700" s="1"/>
      <c r="U700" s="33"/>
      <c r="V700" s="16"/>
      <c r="W700" s="1"/>
      <c r="X700" s="1"/>
    </row>
    <row r="701" spans="1:24">
      <c r="A701" s="1"/>
      <c r="B701" s="16"/>
      <c r="C701" s="16"/>
      <c r="D701" s="16"/>
      <c r="E701" s="16"/>
      <c r="F701" s="16"/>
      <c r="G701" s="16"/>
      <c r="H701" s="16"/>
      <c r="I701" s="16"/>
      <c r="J701" s="16"/>
      <c r="K701" s="16"/>
      <c r="L701" s="16"/>
      <c r="M701" s="26"/>
      <c r="N701" s="26"/>
      <c r="O701" s="16"/>
      <c r="P701" s="1"/>
      <c r="Q701" s="1"/>
      <c r="R701" s="1"/>
      <c r="S701" s="1"/>
      <c r="T701" s="1"/>
      <c r="U701" s="33"/>
      <c r="V701" s="16"/>
      <c r="W701" s="1"/>
      <c r="X701" s="1"/>
    </row>
    <row r="702" spans="1:24">
      <c r="A702" s="1"/>
      <c r="B702" s="16"/>
      <c r="C702" s="16"/>
      <c r="D702" s="16"/>
      <c r="E702" s="16"/>
      <c r="F702" s="16"/>
      <c r="G702" s="16"/>
      <c r="H702" s="16"/>
      <c r="I702" s="16"/>
      <c r="J702" s="16"/>
      <c r="K702" s="16"/>
      <c r="L702" s="16"/>
      <c r="M702" s="26"/>
      <c r="N702" s="26"/>
      <c r="O702" s="16"/>
      <c r="P702" s="1"/>
      <c r="Q702" s="1"/>
      <c r="R702" s="1"/>
      <c r="S702" s="1"/>
      <c r="T702" s="1"/>
      <c r="U702" s="33"/>
      <c r="V702" s="16"/>
      <c r="W702" s="1"/>
      <c r="X702" s="1"/>
    </row>
    <row r="703" spans="1:24">
      <c r="A703" s="1"/>
      <c r="B703" s="16"/>
      <c r="C703" s="16"/>
      <c r="D703" s="16"/>
      <c r="E703" s="16"/>
      <c r="F703" s="16"/>
      <c r="G703" s="16"/>
      <c r="H703" s="16"/>
      <c r="I703" s="16"/>
      <c r="J703" s="16"/>
      <c r="K703" s="16"/>
      <c r="L703" s="16"/>
      <c r="M703" s="26"/>
      <c r="N703" s="26"/>
      <c r="O703" s="16"/>
      <c r="P703" s="1"/>
      <c r="Q703" s="1"/>
      <c r="R703" s="1"/>
      <c r="S703" s="1"/>
      <c r="T703" s="1"/>
      <c r="U703" s="33"/>
      <c r="V703" s="16"/>
      <c r="W703" s="1"/>
      <c r="X703" s="1"/>
    </row>
    <row r="704" spans="1:24">
      <c r="A704" s="1"/>
      <c r="B704" s="16"/>
      <c r="C704" s="16"/>
      <c r="D704" s="16"/>
      <c r="E704" s="16"/>
      <c r="F704" s="16"/>
      <c r="G704" s="16"/>
      <c r="H704" s="16"/>
      <c r="I704" s="16"/>
      <c r="J704" s="16"/>
      <c r="K704" s="16"/>
      <c r="L704" s="16"/>
      <c r="M704" s="26"/>
      <c r="N704" s="26"/>
      <c r="O704" s="16"/>
      <c r="P704" s="1"/>
      <c r="Q704" s="1"/>
      <c r="R704" s="1"/>
      <c r="S704" s="1"/>
      <c r="T704" s="1"/>
      <c r="U704" s="33"/>
      <c r="V704" s="16"/>
      <c r="W704" s="1"/>
      <c r="X704" s="1"/>
    </row>
    <row r="705" spans="1:24">
      <c r="A705" s="1"/>
      <c r="B705" s="16"/>
      <c r="C705" s="16"/>
      <c r="D705" s="16"/>
      <c r="E705" s="16"/>
      <c r="F705" s="16"/>
      <c r="G705" s="16"/>
      <c r="H705" s="16"/>
      <c r="I705" s="16"/>
      <c r="J705" s="16"/>
      <c r="K705" s="16"/>
      <c r="L705" s="16"/>
      <c r="M705" s="26"/>
      <c r="N705" s="26"/>
      <c r="O705" s="16"/>
      <c r="P705" s="1"/>
      <c r="Q705" s="1"/>
      <c r="R705" s="1"/>
      <c r="S705" s="1"/>
      <c r="T705" s="1"/>
      <c r="U705" s="33"/>
      <c r="V705" s="16"/>
      <c r="W705" s="1"/>
      <c r="X705" s="1"/>
    </row>
    <row r="706" spans="1:24">
      <c r="A706" s="1"/>
      <c r="B706" s="16"/>
      <c r="C706" s="16"/>
      <c r="D706" s="16"/>
      <c r="E706" s="16"/>
      <c r="F706" s="16"/>
      <c r="G706" s="16"/>
      <c r="H706" s="16"/>
      <c r="I706" s="16"/>
      <c r="J706" s="16"/>
      <c r="K706" s="16"/>
      <c r="L706" s="16"/>
      <c r="M706" s="26"/>
      <c r="N706" s="26"/>
      <c r="O706" s="16"/>
      <c r="P706" s="1"/>
      <c r="Q706" s="1"/>
      <c r="R706" s="1"/>
      <c r="S706" s="1"/>
      <c r="T706" s="1"/>
      <c r="U706" s="33"/>
      <c r="V706" s="16"/>
      <c r="W706" s="1"/>
      <c r="X706" s="1"/>
    </row>
    <row r="707" spans="1:24">
      <c r="A707" s="1"/>
      <c r="B707" s="16"/>
      <c r="C707" s="16"/>
      <c r="D707" s="16"/>
      <c r="E707" s="16"/>
      <c r="F707" s="16"/>
      <c r="G707" s="16"/>
      <c r="H707" s="16"/>
      <c r="I707" s="16"/>
      <c r="J707" s="16"/>
      <c r="K707" s="16"/>
      <c r="L707" s="16"/>
      <c r="M707" s="26"/>
      <c r="N707" s="26"/>
      <c r="O707" s="16"/>
      <c r="P707" s="1"/>
      <c r="Q707" s="1"/>
      <c r="R707" s="1"/>
      <c r="S707" s="1"/>
      <c r="T707" s="1"/>
      <c r="U707" s="33"/>
      <c r="V707" s="16"/>
      <c r="W707" s="1"/>
      <c r="X707" s="1"/>
    </row>
    <row r="708" spans="1:24">
      <c r="A708" s="1"/>
      <c r="B708" s="16"/>
      <c r="C708" s="16"/>
      <c r="D708" s="16"/>
      <c r="E708" s="16"/>
      <c r="F708" s="16"/>
      <c r="G708" s="16"/>
      <c r="H708" s="16"/>
      <c r="I708" s="16"/>
      <c r="J708" s="16"/>
      <c r="K708" s="16"/>
      <c r="L708" s="16"/>
      <c r="M708" s="26"/>
      <c r="N708" s="26"/>
      <c r="O708" s="16"/>
      <c r="P708" s="1"/>
      <c r="Q708" s="1"/>
      <c r="R708" s="1"/>
      <c r="S708" s="1"/>
      <c r="T708" s="1"/>
      <c r="U708" s="33"/>
      <c r="V708" s="16"/>
      <c r="W708" s="1"/>
      <c r="X708" s="1"/>
    </row>
    <row r="709" spans="1:24">
      <c r="A709" s="1"/>
      <c r="B709" s="16"/>
      <c r="C709" s="16"/>
      <c r="D709" s="16"/>
      <c r="E709" s="16"/>
      <c r="F709" s="16"/>
      <c r="G709" s="16"/>
      <c r="H709" s="16"/>
      <c r="I709" s="16"/>
      <c r="J709" s="16"/>
      <c r="K709" s="16"/>
      <c r="L709" s="16"/>
      <c r="M709" s="26"/>
      <c r="N709" s="26"/>
      <c r="O709" s="16"/>
      <c r="P709" s="1"/>
      <c r="Q709" s="1"/>
      <c r="R709" s="1"/>
      <c r="S709" s="1"/>
      <c r="T709" s="1"/>
      <c r="U709" s="33"/>
      <c r="V709" s="16"/>
      <c r="W709" s="1"/>
      <c r="X709" s="1"/>
    </row>
    <row r="710" spans="1:24">
      <c r="A710" s="1"/>
      <c r="B710" s="16"/>
      <c r="C710" s="16"/>
      <c r="D710" s="16"/>
      <c r="E710" s="16"/>
      <c r="F710" s="16"/>
      <c r="G710" s="16"/>
      <c r="H710" s="16"/>
      <c r="I710" s="16"/>
      <c r="J710" s="16"/>
      <c r="K710" s="16"/>
      <c r="L710" s="16"/>
      <c r="M710" s="26"/>
      <c r="N710" s="26"/>
      <c r="O710" s="16"/>
      <c r="P710" s="1"/>
      <c r="Q710" s="1"/>
      <c r="R710" s="1"/>
      <c r="S710" s="1"/>
      <c r="T710" s="1"/>
      <c r="U710" s="33"/>
      <c r="V710" s="16"/>
      <c r="W710" s="1"/>
      <c r="X710" s="1"/>
    </row>
    <row r="711" spans="1:24">
      <c r="A711" s="1"/>
      <c r="B711" s="16"/>
      <c r="C711" s="16"/>
      <c r="D711" s="16"/>
      <c r="E711" s="16"/>
      <c r="F711" s="16"/>
      <c r="G711" s="16"/>
      <c r="H711" s="16"/>
      <c r="I711" s="16"/>
      <c r="J711" s="16"/>
      <c r="K711" s="16"/>
      <c r="L711" s="16"/>
      <c r="M711" s="26"/>
      <c r="N711" s="26"/>
      <c r="O711" s="16"/>
      <c r="P711" s="1"/>
      <c r="Q711" s="1"/>
      <c r="R711" s="1"/>
      <c r="S711" s="1"/>
      <c r="T711" s="1"/>
      <c r="U711" s="33"/>
      <c r="V711" s="16"/>
      <c r="W711" s="1"/>
      <c r="X711" s="1"/>
    </row>
    <row r="712" spans="1:24">
      <c r="A712" s="1"/>
      <c r="B712" s="16"/>
      <c r="C712" s="16"/>
      <c r="D712" s="16"/>
      <c r="E712" s="16"/>
      <c r="F712" s="16"/>
      <c r="G712" s="16"/>
      <c r="H712" s="16"/>
      <c r="I712" s="16"/>
      <c r="J712" s="16"/>
      <c r="K712" s="16"/>
      <c r="L712" s="16"/>
      <c r="M712" s="26"/>
      <c r="N712" s="26"/>
      <c r="O712" s="16"/>
      <c r="P712" s="1"/>
      <c r="Q712" s="1"/>
      <c r="R712" s="1"/>
      <c r="S712" s="1"/>
      <c r="T712" s="1"/>
      <c r="U712" s="33"/>
      <c r="V712" s="16"/>
      <c r="W712" s="1"/>
      <c r="X712" s="1"/>
    </row>
    <row r="713" spans="1:24">
      <c r="A713" s="1"/>
      <c r="B713" s="16"/>
      <c r="C713" s="16"/>
      <c r="D713" s="16"/>
      <c r="E713" s="16"/>
      <c r="F713" s="16"/>
      <c r="G713" s="16"/>
      <c r="H713" s="16"/>
      <c r="I713" s="16"/>
      <c r="J713" s="16"/>
      <c r="K713" s="16"/>
      <c r="L713" s="16"/>
      <c r="M713" s="26"/>
      <c r="N713" s="26"/>
      <c r="O713" s="16"/>
      <c r="P713" s="1"/>
      <c r="Q713" s="1"/>
      <c r="R713" s="1"/>
      <c r="S713" s="1"/>
      <c r="T713" s="1"/>
      <c r="U713" s="33"/>
      <c r="V713" s="16"/>
      <c r="W713" s="1"/>
      <c r="X713" s="1"/>
    </row>
    <row r="714" spans="1:24">
      <c r="A714" s="1"/>
      <c r="B714" s="16"/>
      <c r="C714" s="16"/>
      <c r="D714" s="16"/>
      <c r="E714" s="16"/>
      <c r="F714" s="16"/>
      <c r="G714" s="16"/>
      <c r="H714" s="16"/>
      <c r="I714" s="16"/>
      <c r="J714" s="16"/>
      <c r="K714" s="16"/>
      <c r="L714" s="16"/>
      <c r="M714" s="26"/>
      <c r="N714" s="26"/>
      <c r="O714" s="16"/>
      <c r="P714" s="1"/>
      <c r="Q714" s="1"/>
      <c r="R714" s="1"/>
      <c r="S714" s="1"/>
      <c r="T714" s="1"/>
      <c r="U714" s="33"/>
      <c r="V714" s="16"/>
      <c r="W714" s="1"/>
      <c r="X714" s="1"/>
    </row>
    <row r="715" spans="1:24">
      <c r="A715" s="1"/>
      <c r="B715" s="16"/>
      <c r="C715" s="16"/>
      <c r="D715" s="16"/>
      <c r="E715" s="16"/>
      <c r="F715" s="16"/>
      <c r="G715" s="16"/>
      <c r="H715" s="16"/>
      <c r="I715" s="16"/>
      <c r="J715" s="16"/>
      <c r="K715" s="16"/>
      <c r="L715" s="16"/>
      <c r="M715" s="26"/>
      <c r="N715" s="26"/>
      <c r="O715" s="16"/>
      <c r="P715" s="1"/>
      <c r="Q715" s="1"/>
      <c r="R715" s="1"/>
      <c r="S715" s="1"/>
      <c r="T715" s="1"/>
      <c r="U715" s="33"/>
      <c r="V715" s="16"/>
      <c r="W715" s="1"/>
      <c r="X715" s="1"/>
    </row>
    <row r="716" spans="1:24">
      <c r="A716" s="1"/>
      <c r="B716" s="16"/>
      <c r="C716" s="16"/>
      <c r="D716" s="16"/>
      <c r="E716" s="16"/>
      <c r="F716" s="16"/>
      <c r="G716" s="16"/>
      <c r="H716" s="16"/>
      <c r="I716" s="16"/>
      <c r="J716" s="16"/>
      <c r="K716" s="16"/>
      <c r="L716" s="16"/>
      <c r="M716" s="26"/>
      <c r="N716" s="26"/>
      <c r="O716" s="16"/>
      <c r="P716" s="1"/>
      <c r="Q716" s="1"/>
      <c r="R716" s="1"/>
      <c r="S716" s="1"/>
      <c r="T716" s="1"/>
      <c r="U716" s="33"/>
      <c r="V716" s="16"/>
      <c r="W716" s="1"/>
      <c r="X716" s="1"/>
    </row>
    <row r="717" spans="1:24">
      <c r="A717" s="1"/>
      <c r="B717" s="16"/>
      <c r="C717" s="16"/>
      <c r="D717" s="16"/>
      <c r="E717" s="16"/>
      <c r="F717" s="16"/>
      <c r="G717" s="16"/>
      <c r="H717" s="16"/>
      <c r="I717" s="16"/>
      <c r="J717" s="16"/>
      <c r="K717" s="16"/>
      <c r="L717" s="16"/>
      <c r="M717" s="26"/>
      <c r="N717" s="26"/>
      <c r="O717" s="16"/>
      <c r="P717" s="1"/>
      <c r="Q717" s="1"/>
      <c r="R717" s="1"/>
      <c r="S717" s="1"/>
      <c r="T717" s="1"/>
      <c r="U717" s="33"/>
      <c r="V717" s="16"/>
      <c r="W717" s="1"/>
      <c r="X717" s="1"/>
    </row>
    <row r="718" spans="1:24">
      <c r="A718" s="1"/>
      <c r="B718" s="16"/>
      <c r="C718" s="16"/>
      <c r="D718" s="16"/>
      <c r="E718" s="16"/>
      <c r="F718" s="16"/>
      <c r="G718" s="16"/>
      <c r="H718" s="16"/>
      <c r="I718" s="16"/>
      <c r="J718" s="16"/>
      <c r="K718" s="16"/>
      <c r="L718" s="16"/>
      <c r="M718" s="26"/>
      <c r="N718" s="26"/>
      <c r="O718" s="16"/>
      <c r="P718" s="1"/>
      <c r="Q718" s="1"/>
      <c r="R718" s="1"/>
      <c r="S718" s="1"/>
      <c r="T718" s="1"/>
      <c r="U718" s="33"/>
      <c r="V718" s="16"/>
      <c r="W718" s="1"/>
      <c r="X718" s="1"/>
    </row>
    <row r="719" spans="1:24">
      <c r="A719" s="1"/>
      <c r="B719" s="16"/>
      <c r="C719" s="16"/>
      <c r="D719" s="16"/>
      <c r="E719" s="16"/>
      <c r="F719" s="16"/>
      <c r="G719" s="16"/>
      <c r="H719" s="16"/>
      <c r="I719" s="16"/>
      <c r="J719" s="16"/>
      <c r="K719" s="16"/>
      <c r="L719" s="16"/>
      <c r="M719" s="26"/>
      <c r="N719" s="26"/>
      <c r="O719" s="16"/>
      <c r="P719" s="1"/>
      <c r="Q719" s="1"/>
      <c r="R719" s="1"/>
      <c r="S719" s="1"/>
      <c r="T719" s="1"/>
      <c r="U719" s="33"/>
      <c r="V719" s="16"/>
      <c r="W719" s="1"/>
      <c r="X719" s="1"/>
    </row>
    <row r="720" spans="1:24">
      <c r="A720" s="1"/>
      <c r="B720" s="16"/>
      <c r="C720" s="16"/>
      <c r="D720" s="16"/>
      <c r="E720" s="16"/>
      <c r="F720" s="16"/>
      <c r="G720" s="16"/>
      <c r="H720" s="16"/>
      <c r="I720" s="16"/>
      <c r="J720" s="16"/>
      <c r="K720" s="16"/>
      <c r="L720" s="16"/>
      <c r="M720" s="26"/>
      <c r="N720" s="26"/>
      <c r="O720" s="16"/>
      <c r="P720" s="1"/>
      <c r="Q720" s="1"/>
      <c r="R720" s="1"/>
      <c r="S720" s="1"/>
      <c r="T720" s="1"/>
      <c r="U720" s="33"/>
      <c r="V720" s="16"/>
      <c r="W720" s="1"/>
      <c r="X720" s="1"/>
    </row>
    <row r="721" spans="1:24">
      <c r="A721" s="1"/>
      <c r="B721" s="16"/>
      <c r="C721" s="16"/>
      <c r="D721" s="16"/>
      <c r="E721" s="16"/>
      <c r="F721" s="16"/>
      <c r="G721" s="16"/>
      <c r="H721" s="16"/>
      <c r="I721" s="16"/>
      <c r="J721" s="16"/>
      <c r="K721" s="16"/>
      <c r="L721" s="16"/>
      <c r="M721" s="26"/>
      <c r="N721" s="26"/>
      <c r="O721" s="16"/>
      <c r="P721" s="1"/>
      <c r="Q721" s="1"/>
      <c r="R721" s="1"/>
      <c r="S721" s="1"/>
      <c r="T721" s="1"/>
      <c r="U721" s="33"/>
      <c r="V721" s="16"/>
      <c r="W721" s="1"/>
      <c r="X721" s="1"/>
    </row>
    <row r="722" spans="1:24">
      <c r="A722" s="1"/>
      <c r="B722" s="16"/>
      <c r="C722" s="16"/>
      <c r="D722" s="16"/>
      <c r="E722" s="16"/>
      <c r="F722" s="16"/>
      <c r="G722" s="16"/>
      <c r="H722" s="16"/>
      <c r="I722" s="16"/>
      <c r="J722" s="16"/>
      <c r="K722" s="16"/>
      <c r="L722" s="16"/>
      <c r="M722" s="26"/>
      <c r="N722" s="26"/>
      <c r="O722" s="16"/>
      <c r="P722" s="1"/>
      <c r="Q722" s="1"/>
      <c r="R722" s="1"/>
      <c r="S722" s="1"/>
      <c r="T722" s="1"/>
      <c r="U722" s="33"/>
      <c r="V722" s="16"/>
      <c r="W722" s="1"/>
      <c r="X722" s="1"/>
    </row>
    <row r="723" spans="1:24">
      <c r="A723" s="1"/>
      <c r="B723" s="16"/>
      <c r="C723" s="16"/>
      <c r="D723" s="16"/>
      <c r="E723" s="16"/>
      <c r="F723" s="16"/>
      <c r="G723" s="16"/>
      <c r="H723" s="16"/>
      <c r="I723" s="16"/>
      <c r="J723" s="16"/>
      <c r="K723" s="16"/>
      <c r="L723" s="16"/>
      <c r="M723" s="26"/>
      <c r="N723" s="26"/>
      <c r="O723" s="16"/>
      <c r="P723" s="1"/>
      <c r="Q723" s="1"/>
      <c r="R723" s="1"/>
      <c r="S723" s="1"/>
      <c r="T723" s="1"/>
      <c r="U723" s="33"/>
      <c r="V723" s="16"/>
      <c r="W723" s="1"/>
      <c r="X723" s="1"/>
    </row>
    <row r="724" spans="1:24">
      <c r="A724" s="1"/>
      <c r="B724" s="16"/>
      <c r="C724" s="16"/>
      <c r="D724" s="16"/>
      <c r="E724" s="16"/>
      <c r="F724" s="16"/>
      <c r="G724" s="16"/>
      <c r="H724" s="16"/>
      <c r="I724" s="16"/>
      <c r="J724" s="16"/>
      <c r="K724" s="16"/>
      <c r="L724" s="16"/>
      <c r="M724" s="26"/>
      <c r="N724" s="26"/>
      <c r="O724" s="16"/>
      <c r="P724" s="1"/>
      <c r="Q724" s="1"/>
      <c r="R724" s="1"/>
      <c r="S724" s="1"/>
      <c r="T724" s="1"/>
      <c r="U724" s="33"/>
      <c r="V724" s="16"/>
      <c r="W724" s="1"/>
      <c r="X724" s="1"/>
    </row>
    <row r="725" spans="1:24">
      <c r="A725" s="1"/>
      <c r="B725" s="16"/>
      <c r="C725" s="16"/>
      <c r="D725" s="16"/>
      <c r="E725" s="16"/>
      <c r="F725" s="16"/>
      <c r="G725" s="16"/>
      <c r="H725" s="16"/>
      <c r="I725" s="16"/>
      <c r="J725" s="16"/>
      <c r="K725" s="16"/>
      <c r="L725" s="16"/>
      <c r="M725" s="26"/>
      <c r="N725" s="26"/>
      <c r="O725" s="16"/>
      <c r="P725" s="1"/>
      <c r="Q725" s="1"/>
      <c r="R725" s="1"/>
      <c r="S725" s="1"/>
      <c r="T725" s="1"/>
      <c r="U725" s="33"/>
      <c r="V725" s="16"/>
      <c r="W725" s="1"/>
      <c r="X725" s="1"/>
    </row>
    <row r="726" spans="1:24">
      <c r="A726" s="1"/>
      <c r="B726" s="16"/>
      <c r="C726" s="16"/>
      <c r="D726" s="16"/>
      <c r="E726" s="16"/>
      <c r="F726" s="16"/>
      <c r="G726" s="16"/>
      <c r="H726" s="16"/>
      <c r="I726" s="16"/>
      <c r="J726" s="16"/>
      <c r="K726" s="16"/>
      <c r="L726" s="16"/>
      <c r="M726" s="26"/>
      <c r="N726" s="26"/>
      <c r="O726" s="16"/>
      <c r="P726" s="1"/>
      <c r="Q726" s="1"/>
      <c r="R726" s="1"/>
      <c r="S726" s="1"/>
      <c r="T726" s="1"/>
      <c r="U726" s="33"/>
      <c r="V726" s="16"/>
      <c r="W726" s="1"/>
      <c r="X726" s="1"/>
    </row>
    <row r="727" spans="1:24">
      <c r="A727" s="1"/>
      <c r="B727" s="16"/>
      <c r="C727" s="16"/>
      <c r="D727" s="16"/>
      <c r="E727" s="16"/>
      <c r="F727" s="16"/>
      <c r="G727" s="16"/>
      <c r="H727" s="16"/>
      <c r="I727" s="16"/>
      <c r="J727" s="16"/>
      <c r="K727" s="16"/>
      <c r="L727" s="16"/>
      <c r="M727" s="26"/>
      <c r="N727" s="26"/>
      <c r="O727" s="16"/>
      <c r="P727" s="1"/>
      <c r="Q727" s="1"/>
      <c r="R727" s="1"/>
      <c r="S727" s="1"/>
      <c r="T727" s="1"/>
      <c r="U727" s="33"/>
      <c r="V727" s="16"/>
      <c r="W727" s="1"/>
      <c r="X727" s="1"/>
    </row>
    <row r="728" spans="1:24">
      <c r="A728" s="1"/>
      <c r="B728" s="16"/>
      <c r="C728" s="16"/>
      <c r="D728" s="16"/>
      <c r="E728" s="16"/>
      <c r="F728" s="16"/>
      <c r="G728" s="16"/>
      <c r="H728" s="16"/>
      <c r="I728" s="16"/>
      <c r="J728" s="16"/>
      <c r="K728" s="16"/>
      <c r="L728" s="16"/>
      <c r="M728" s="26"/>
      <c r="N728" s="26"/>
      <c r="O728" s="16"/>
      <c r="P728" s="1"/>
      <c r="Q728" s="1"/>
      <c r="R728" s="1"/>
      <c r="S728" s="1"/>
      <c r="T728" s="1"/>
      <c r="U728" s="33"/>
      <c r="V728" s="16"/>
      <c r="W728" s="1"/>
      <c r="X728" s="1"/>
    </row>
    <row r="729" spans="1:24">
      <c r="A729" s="1"/>
      <c r="B729" s="16"/>
      <c r="C729" s="16"/>
      <c r="D729" s="16"/>
      <c r="E729" s="16"/>
      <c r="F729" s="16"/>
      <c r="G729" s="16"/>
      <c r="H729" s="16"/>
      <c r="I729" s="16"/>
      <c r="J729" s="16"/>
      <c r="K729" s="16"/>
      <c r="L729" s="16"/>
      <c r="M729" s="26"/>
      <c r="N729" s="26"/>
      <c r="O729" s="16"/>
      <c r="P729" s="1"/>
      <c r="Q729" s="1"/>
      <c r="R729" s="1"/>
      <c r="S729" s="1"/>
      <c r="T729" s="1"/>
      <c r="U729" s="33"/>
      <c r="V729" s="16"/>
      <c r="W729" s="1"/>
      <c r="X729" s="1"/>
    </row>
    <row r="730" spans="1:24">
      <c r="A730" s="1"/>
      <c r="B730" s="16"/>
      <c r="C730" s="16"/>
      <c r="D730" s="16"/>
      <c r="E730" s="16"/>
      <c r="F730" s="16"/>
      <c r="G730" s="16"/>
      <c r="H730" s="16"/>
      <c r="I730" s="16"/>
      <c r="J730" s="16"/>
      <c r="K730" s="16"/>
      <c r="L730" s="16"/>
      <c r="M730" s="26"/>
      <c r="N730" s="26"/>
      <c r="O730" s="16"/>
      <c r="P730" s="1"/>
      <c r="Q730" s="1"/>
      <c r="R730" s="1"/>
      <c r="S730" s="1"/>
      <c r="T730" s="1"/>
      <c r="U730" s="33"/>
      <c r="V730" s="16"/>
      <c r="W730" s="1"/>
      <c r="X730" s="1"/>
    </row>
    <row r="731" spans="1:24">
      <c r="A731" s="1"/>
      <c r="B731" s="16"/>
      <c r="C731" s="16"/>
      <c r="D731" s="16"/>
      <c r="E731" s="16"/>
      <c r="F731" s="16"/>
      <c r="G731" s="16"/>
      <c r="H731" s="16"/>
      <c r="I731" s="16"/>
      <c r="J731" s="16"/>
      <c r="K731" s="16"/>
      <c r="L731" s="16"/>
      <c r="M731" s="26"/>
      <c r="N731" s="26"/>
      <c r="O731" s="16"/>
      <c r="P731" s="1"/>
      <c r="Q731" s="1"/>
      <c r="R731" s="1"/>
      <c r="S731" s="1"/>
      <c r="T731" s="1"/>
      <c r="U731" s="33"/>
      <c r="V731" s="16"/>
      <c r="W731" s="1"/>
      <c r="X731" s="1"/>
    </row>
    <row r="732" spans="1:24">
      <c r="A732" s="1"/>
      <c r="B732" s="16"/>
      <c r="C732" s="16"/>
      <c r="D732" s="16"/>
      <c r="E732" s="16"/>
      <c r="F732" s="16"/>
      <c r="G732" s="16"/>
      <c r="H732" s="16"/>
      <c r="I732" s="16"/>
      <c r="J732" s="16"/>
      <c r="K732" s="16"/>
      <c r="L732" s="16"/>
      <c r="M732" s="26"/>
      <c r="N732" s="26"/>
      <c r="O732" s="16"/>
      <c r="P732" s="1"/>
      <c r="Q732" s="1"/>
      <c r="R732" s="1"/>
      <c r="S732" s="1"/>
      <c r="T732" s="1"/>
      <c r="U732" s="33"/>
      <c r="V732" s="16"/>
      <c r="W732" s="1"/>
      <c r="X732" s="1"/>
    </row>
    <row r="733" spans="1:24">
      <c r="A733" s="1"/>
      <c r="B733" s="16"/>
      <c r="C733" s="16"/>
      <c r="D733" s="16"/>
      <c r="E733" s="16"/>
      <c r="F733" s="16"/>
      <c r="G733" s="16"/>
      <c r="H733" s="16"/>
      <c r="I733" s="16"/>
      <c r="J733" s="16"/>
      <c r="K733" s="16"/>
      <c r="L733" s="16"/>
      <c r="M733" s="26"/>
      <c r="N733" s="26"/>
      <c r="O733" s="16"/>
      <c r="P733" s="1"/>
      <c r="Q733" s="1"/>
      <c r="R733" s="1"/>
      <c r="S733" s="1"/>
      <c r="T733" s="1"/>
      <c r="U733" s="33"/>
      <c r="V733" s="16"/>
      <c r="W733" s="1"/>
      <c r="X733" s="1"/>
    </row>
    <row r="734" spans="1:24">
      <c r="A734" s="1"/>
      <c r="B734" s="16"/>
      <c r="C734" s="16"/>
      <c r="D734" s="16"/>
      <c r="E734" s="16"/>
      <c r="F734" s="16"/>
      <c r="G734" s="16"/>
      <c r="H734" s="16"/>
      <c r="I734" s="16"/>
      <c r="J734" s="16"/>
      <c r="K734" s="16"/>
      <c r="L734" s="16"/>
      <c r="M734" s="26"/>
      <c r="N734" s="26"/>
      <c r="O734" s="16"/>
      <c r="P734" s="1"/>
      <c r="Q734" s="1"/>
      <c r="R734" s="1"/>
      <c r="S734" s="1"/>
      <c r="T734" s="1"/>
      <c r="U734" s="33"/>
      <c r="V734" s="16"/>
      <c r="W734" s="1"/>
      <c r="X734" s="1"/>
    </row>
    <row r="735" spans="1:24">
      <c r="A735" s="1"/>
      <c r="B735" s="16"/>
      <c r="C735" s="16"/>
      <c r="D735" s="16"/>
      <c r="E735" s="16"/>
      <c r="F735" s="16"/>
      <c r="G735" s="16"/>
      <c r="H735" s="16"/>
      <c r="I735" s="16"/>
      <c r="J735" s="16"/>
      <c r="K735" s="16"/>
      <c r="L735" s="16"/>
      <c r="M735" s="26"/>
      <c r="N735" s="26"/>
      <c r="O735" s="16"/>
      <c r="P735" s="1"/>
      <c r="Q735" s="1"/>
      <c r="R735" s="1"/>
      <c r="S735" s="1"/>
      <c r="T735" s="1"/>
      <c r="U735" s="33"/>
      <c r="V735" s="16"/>
      <c r="W735" s="1"/>
      <c r="X735" s="1"/>
    </row>
    <row r="736" spans="1:24">
      <c r="A736" s="1"/>
      <c r="B736" s="16"/>
      <c r="C736" s="16"/>
      <c r="D736" s="16"/>
      <c r="E736" s="16"/>
      <c r="F736" s="16"/>
      <c r="G736" s="16"/>
      <c r="H736" s="16"/>
      <c r="I736" s="16"/>
      <c r="J736" s="16"/>
      <c r="K736" s="16"/>
      <c r="L736" s="16"/>
      <c r="M736" s="26"/>
      <c r="N736" s="26"/>
      <c r="O736" s="16"/>
      <c r="P736" s="1"/>
      <c r="Q736" s="1"/>
      <c r="R736" s="1"/>
      <c r="S736" s="1"/>
      <c r="T736" s="1"/>
      <c r="U736" s="33"/>
      <c r="V736" s="16"/>
      <c r="W736" s="1"/>
      <c r="X736" s="1"/>
    </row>
    <row r="737" spans="1:24">
      <c r="A737" s="1"/>
      <c r="B737" s="16"/>
      <c r="C737" s="16"/>
      <c r="D737" s="16"/>
      <c r="E737" s="16"/>
      <c r="F737" s="16"/>
      <c r="G737" s="16"/>
      <c r="H737" s="16"/>
      <c r="I737" s="16"/>
      <c r="J737" s="16"/>
      <c r="K737" s="16"/>
      <c r="L737" s="16"/>
      <c r="M737" s="26"/>
      <c r="N737" s="26"/>
      <c r="O737" s="16"/>
      <c r="P737" s="1"/>
      <c r="Q737" s="1"/>
      <c r="R737" s="1"/>
      <c r="S737" s="1"/>
      <c r="T737" s="1"/>
      <c r="U737" s="33"/>
      <c r="V737" s="16"/>
      <c r="W737" s="1"/>
      <c r="X737" s="1"/>
    </row>
    <row r="738" spans="1:24">
      <c r="A738" s="1"/>
      <c r="B738" s="16"/>
      <c r="C738" s="16"/>
      <c r="D738" s="16"/>
      <c r="E738" s="16"/>
      <c r="F738" s="16"/>
      <c r="G738" s="16"/>
      <c r="H738" s="16"/>
      <c r="I738" s="16"/>
      <c r="J738" s="16"/>
      <c r="K738" s="16"/>
      <c r="L738" s="16"/>
      <c r="M738" s="26"/>
      <c r="N738" s="26"/>
      <c r="O738" s="16"/>
      <c r="P738" s="1"/>
      <c r="Q738" s="1"/>
      <c r="R738" s="1"/>
      <c r="S738" s="1"/>
      <c r="T738" s="1"/>
      <c r="U738" s="33"/>
      <c r="V738" s="16"/>
      <c r="W738" s="1"/>
      <c r="X738" s="1"/>
    </row>
    <row r="739" spans="1:24">
      <c r="A739" s="1"/>
      <c r="B739" s="16"/>
      <c r="C739" s="16"/>
      <c r="D739" s="16"/>
      <c r="E739" s="16"/>
      <c r="F739" s="16"/>
      <c r="G739" s="16"/>
      <c r="H739" s="16"/>
      <c r="I739" s="16"/>
      <c r="J739" s="16"/>
      <c r="K739" s="16"/>
      <c r="L739" s="16"/>
      <c r="M739" s="26"/>
      <c r="N739" s="26"/>
      <c r="O739" s="16"/>
      <c r="P739" s="1"/>
      <c r="Q739" s="1"/>
      <c r="R739" s="1"/>
      <c r="S739" s="1"/>
      <c r="T739" s="1"/>
      <c r="U739" s="33"/>
      <c r="V739" s="16"/>
      <c r="W739" s="1"/>
      <c r="X739" s="1"/>
    </row>
    <row r="740" spans="1:24">
      <c r="A740" s="1"/>
      <c r="B740" s="16"/>
      <c r="C740" s="16"/>
      <c r="D740" s="16"/>
      <c r="E740" s="16"/>
      <c r="F740" s="16"/>
      <c r="G740" s="16"/>
      <c r="H740" s="16"/>
      <c r="I740" s="16"/>
      <c r="J740" s="16"/>
      <c r="K740" s="16"/>
      <c r="L740" s="16"/>
      <c r="M740" s="26"/>
      <c r="N740" s="26"/>
      <c r="O740" s="16"/>
      <c r="P740" s="1"/>
      <c r="Q740" s="1"/>
      <c r="R740" s="1"/>
      <c r="S740" s="1"/>
      <c r="T740" s="1"/>
      <c r="U740" s="33"/>
      <c r="V740" s="16"/>
      <c r="W740" s="1"/>
      <c r="X740" s="1"/>
    </row>
    <row r="741" spans="1:24">
      <c r="A741" s="1"/>
      <c r="B741" s="16"/>
      <c r="C741" s="16"/>
      <c r="D741" s="16"/>
      <c r="E741" s="16"/>
      <c r="F741" s="16"/>
      <c r="G741" s="16"/>
      <c r="H741" s="16"/>
      <c r="I741" s="16"/>
      <c r="J741" s="16"/>
      <c r="K741" s="16"/>
      <c r="L741" s="16"/>
      <c r="M741" s="26"/>
      <c r="N741" s="26"/>
      <c r="O741" s="16"/>
      <c r="P741" s="1"/>
      <c r="Q741" s="1"/>
      <c r="R741" s="1"/>
      <c r="S741" s="1"/>
      <c r="T741" s="1"/>
      <c r="U741" s="33"/>
      <c r="V741" s="16"/>
      <c r="W741" s="1"/>
      <c r="X741" s="1"/>
    </row>
    <row r="742" spans="1:24">
      <c r="A742" s="1"/>
      <c r="B742" s="16"/>
      <c r="C742" s="16"/>
      <c r="D742" s="16"/>
      <c r="E742" s="16"/>
      <c r="F742" s="16"/>
      <c r="G742" s="16"/>
      <c r="H742" s="16"/>
      <c r="I742" s="16"/>
      <c r="J742" s="16"/>
      <c r="K742" s="16"/>
      <c r="L742" s="16"/>
      <c r="M742" s="26"/>
      <c r="N742" s="26"/>
      <c r="O742" s="16"/>
      <c r="P742" s="1"/>
      <c r="Q742" s="1"/>
      <c r="R742" s="1"/>
      <c r="S742" s="1"/>
      <c r="T742" s="1"/>
      <c r="U742" s="33"/>
      <c r="V742" s="16"/>
      <c r="W742" s="1"/>
      <c r="X742" s="1"/>
    </row>
    <row r="743" spans="1:24">
      <c r="A743" s="1"/>
      <c r="B743" s="16"/>
      <c r="C743" s="16"/>
      <c r="D743" s="16"/>
      <c r="E743" s="16"/>
      <c r="F743" s="16"/>
      <c r="G743" s="16"/>
      <c r="H743" s="16"/>
      <c r="I743" s="16"/>
      <c r="J743" s="16"/>
      <c r="K743" s="16"/>
      <c r="L743" s="16"/>
      <c r="M743" s="26"/>
      <c r="N743" s="26"/>
      <c r="O743" s="16"/>
      <c r="P743" s="1"/>
      <c r="Q743" s="1"/>
      <c r="R743" s="1"/>
      <c r="S743" s="1"/>
      <c r="T743" s="1"/>
      <c r="U743" s="33"/>
      <c r="V743" s="16"/>
      <c r="W743" s="1"/>
      <c r="X743" s="1"/>
    </row>
    <row r="744" spans="1:24">
      <c r="A744" s="1"/>
      <c r="B744" s="16"/>
      <c r="C744" s="16"/>
      <c r="D744" s="16"/>
      <c r="E744" s="16"/>
      <c r="F744" s="16"/>
      <c r="G744" s="16"/>
      <c r="H744" s="16"/>
      <c r="I744" s="16"/>
      <c r="J744" s="16"/>
      <c r="K744" s="16"/>
      <c r="L744" s="16"/>
      <c r="M744" s="26"/>
      <c r="N744" s="26"/>
      <c r="O744" s="16"/>
      <c r="P744" s="1"/>
      <c r="Q744" s="1"/>
      <c r="R744" s="1"/>
      <c r="S744" s="1"/>
      <c r="T744" s="1"/>
      <c r="U744" s="33"/>
      <c r="V744" s="16"/>
      <c r="W744" s="1"/>
      <c r="X744" s="1"/>
    </row>
    <row r="745" spans="1:24">
      <c r="A745" s="1"/>
      <c r="B745" s="16"/>
      <c r="C745" s="16"/>
      <c r="D745" s="16"/>
      <c r="E745" s="16"/>
      <c r="F745" s="16"/>
      <c r="G745" s="16"/>
      <c r="H745" s="16"/>
      <c r="I745" s="16"/>
      <c r="J745" s="16"/>
      <c r="K745" s="16"/>
      <c r="L745" s="16"/>
      <c r="M745" s="26"/>
      <c r="N745" s="26"/>
      <c r="O745" s="16"/>
      <c r="P745" s="1"/>
      <c r="Q745" s="1"/>
      <c r="R745" s="1"/>
      <c r="S745" s="1"/>
      <c r="T745" s="1"/>
      <c r="U745" s="33"/>
      <c r="V745" s="16"/>
      <c r="W745" s="1"/>
      <c r="X745" s="1"/>
    </row>
    <row r="746" spans="1:24">
      <c r="A746" s="1"/>
      <c r="B746" s="16"/>
      <c r="C746" s="16"/>
      <c r="D746" s="16"/>
      <c r="E746" s="16"/>
      <c r="F746" s="16"/>
      <c r="G746" s="16"/>
      <c r="H746" s="16"/>
      <c r="I746" s="16"/>
      <c r="J746" s="16"/>
      <c r="K746" s="16"/>
      <c r="L746" s="16"/>
      <c r="M746" s="26"/>
      <c r="N746" s="26"/>
      <c r="O746" s="16"/>
      <c r="P746" s="1"/>
      <c r="Q746" s="1"/>
      <c r="R746" s="1"/>
      <c r="S746" s="1"/>
      <c r="T746" s="1"/>
      <c r="U746" s="33"/>
      <c r="V746" s="16"/>
      <c r="W746" s="1"/>
      <c r="X746" s="1"/>
    </row>
    <row r="747" spans="1:24">
      <c r="A747" s="1"/>
      <c r="B747" s="16"/>
      <c r="C747" s="16"/>
      <c r="D747" s="16"/>
      <c r="E747" s="16"/>
      <c r="F747" s="16"/>
      <c r="G747" s="16"/>
      <c r="H747" s="16"/>
      <c r="I747" s="16"/>
      <c r="J747" s="16"/>
      <c r="K747" s="16"/>
      <c r="L747" s="16"/>
      <c r="M747" s="26"/>
      <c r="N747" s="26"/>
      <c r="O747" s="16"/>
      <c r="P747" s="1"/>
      <c r="Q747" s="1"/>
      <c r="R747" s="1"/>
      <c r="S747" s="1"/>
      <c r="T747" s="1"/>
      <c r="U747" s="33"/>
      <c r="V747" s="16"/>
      <c r="W747" s="1"/>
      <c r="X747" s="1"/>
    </row>
    <row r="748" spans="1:24">
      <c r="A748" s="1"/>
      <c r="B748" s="16"/>
      <c r="C748" s="16"/>
      <c r="D748" s="16"/>
      <c r="E748" s="16"/>
      <c r="F748" s="16"/>
      <c r="G748" s="16"/>
      <c r="H748" s="16"/>
      <c r="I748" s="16"/>
      <c r="J748" s="16"/>
      <c r="K748" s="16"/>
      <c r="L748" s="16"/>
      <c r="M748" s="26"/>
      <c r="N748" s="26"/>
      <c r="O748" s="16"/>
      <c r="P748" s="1"/>
      <c r="Q748" s="1"/>
      <c r="R748" s="1"/>
      <c r="S748" s="1"/>
      <c r="T748" s="1"/>
      <c r="U748" s="33"/>
      <c r="V748" s="16"/>
      <c r="W748" s="1"/>
      <c r="X748" s="1"/>
    </row>
    <row r="749" spans="1:24">
      <c r="A749" s="1"/>
      <c r="B749" s="16"/>
      <c r="C749" s="16"/>
      <c r="D749" s="16"/>
      <c r="E749" s="16"/>
      <c r="F749" s="16"/>
      <c r="G749" s="16"/>
      <c r="H749" s="16"/>
      <c r="I749" s="16"/>
      <c r="J749" s="16"/>
      <c r="K749" s="16"/>
      <c r="L749" s="16"/>
      <c r="M749" s="26"/>
      <c r="N749" s="26"/>
      <c r="O749" s="16"/>
      <c r="P749" s="1"/>
      <c r="Q749" s="1"/>
      <c r="R749" s="1"/>
      <c r="S749" s="1"/>
      <c r="T749" s="1"/>
      <c r="U749" s="33"/>
      <c r="V749" s="16"/>
      <c r="W749" s="1"/>
      <c r="X749" s="1"/>
    </row>
    <row r="750" spans="1:24">
      <c r="A750" s="1"/>
      <c r="B750" s="16"/>
      <c r="C750" s="16"/>
      <c r="D750" s="16"/>
      <c r="E750" s="16"/>
      <c r="F750" s="16"/>
      <c r="G750" s="16"/>
      <c r="H750" s="16"/>
      <c r="I750" s="16"/>
      <c r="J750" s="16"/>
      <c r="K750" s="16"/>
      <c r="L750" s="16"/>
      <c r="M750" s="26"/>
      <c r="N750" s="26"/>
      <c r="O750" s="16"/>
      <c r="P750" s="1"/>
      <c r="Q750" s="1"/>
      <c r="R750" s="1"/>
      <c r="S750" s="1"/>
      <c r="T750" s="1"/>
      <c r="U750" s="33"/>
      <c r="V750" s="16"/>
      <c r="W750" s="1"/>
      <c r="X750" s="1"/>
    </row>
    <row r="751" spans="1:24">
      <c r="A751" s="1"/>
      <c r="B751" s="16"/>
      <c r="C751" s="16"/>
      <c r="D751" s="16"/>
      <c r="E751" s="16"/>
      <c r="F751" s="16"/>
      <c r="G751" s="16"/>
      <c r="H751" s="16"/>
      <c r="I751" s="16"/>
      <c r="J751" s="16"/>
      <c r="K751" s="16"/>
      <c r="L751" s="16"/>
      <c r="M751" s="26"/>
      <c r="N751" s="26"/>
      <c r="O751" s="16"/>
      <c r="P751" s="1"/>
      <c r="Q751" s="1"/>
      <c r="R751" s="1"/>
      <c r="S751" s="1"/>
      <c r="T751" s="1"/>
      <c r="U751" s="33"/>
      <c r="V751" s="16"/>
      <c r="W751" s="1"/>
      <c r="X751" s="1"/>
    </row>
    <row r="752" spans="1:24">
      <c r="A752" s="1"/>
      <c r="B752" s="16"/>
      <c r="C752" s="16"/>
      <c r="D752" s="16"/>
      <c r="E752" s="16"/>
      <c r="F752" s="16"/>
      <c r="G752" s="16"/>
      <c r="H752" s="16"/>
      <c r="I752" s="16"/>
      <c r="J752" s="16"/>
      <c r="K752" s="16"/>
      <c r="L752" s="16"/>
      <c r="M752" s="26"/>
      <c r="N752" s="26"/>
      <c r="O752" s="16"/>
      <c r="P752" s="1"/>
      <c r="Q752" s="1"/>
      <c r="R752" s="1"/>
      <c r="S752" s="1"/>
      <c r="T752" s="1"/>
      <c r="U752" s="33"/>
      <c r="V752" s="16"/>
      <c r="W752" s="1"/>
      <c r="X752" s="1"/>
    </row>
    <row r="753" spans="1:24">
      <c r="A753" s="1"/>
      <c r="B753" s="16"/>
      <c r="C753" s="16"/>
      <c r="D753" s="16"/>
      <c r="E753" s="16"/>
      <c r="F753" s="16"/>
      <c r="G753" s="16"/>
      <c r="H753" s="16"/>
      <c r="I753" s="16"/>
      <c r="J753" s="16"/>
      <c r="K753" s="16"/>
      <c r="L753" s="16"/>
      <c r="M753" s="26"/>
      <c r="N753" s="26"/>
      <c r="O753" s="16"/>
      <c r="P753" s="1"/>
      <c r="Q753" s="1"/>
      <c r="R753" s="1"/>
      <c r="S753" s="1"/>
      <c r="T753" s="1"/>
      <c r="U753" s="33"/>
      <c r="V753" s="16"/>
      <c r="W753" s="1"/>
      <c r="X753" s="1"/>
    </row>
    <row r="754" spans="1:24">
      <c r="A754" s="1"/>
      <c r="B754" s="16"/>
      <c r="C754" s="16"/>
      <c r="D754" s="16"/>
      <c r="E754" s="16"/>
      <c r="F754" s="16"/>
      <c r="G754" s="16"/>
      <c r="H754" s="16"/>
      <c r="I754" s="16"/>
      <c r="J754" s="16"/>
      <c r="K754" s="16"/>
      <c r="L754" s="16"/>
      <c r="M754" s="26"/>
      <c r="N754" s="26"/>
      <c r="O754" s="16"/>
      <c r="P754" s="1"/>
      <c r="Q754" s="1"/>
      <c r="R754" s="1"/>
      <c r="S754" s="1"/>
      <c r="T754" s="1"/>
      <c r="U754" s="33"/>
      <c r="V754" s="16"/>
      <c r="W754" s="1"/>
      <c r="X754" s="1"/>
    </row>
    <row r="755" spans="1:24">
      <c r="A755" s="1"/>
      <c r="B755" s="16"/>
      <c r="C755" s="16"/>
      <c r="D755" s="16"/>
      <c r="E755" s="16"/>
      <c r="F755" s="16"/>
      <c r="G755" s="16"/>
      <c r="H755" s="16"/>
      <c r="I755" s="16"/>
      <c r="J755" s="16"/>
      <c r="K755" s="16"/>
      <c r="L755" s="16"/>
      <c r="M755" s="26"/>
      <c r="N755" s="26"/>
      <c r="O755" s="16"/>
      <c r="P755" s="1"/>
      <c r="Q755" s="1"/>
      <c r="R755" s="1"/>
      <c r="S755" s="1"/>
      <c r="T755" s="1"/>
      <c r="U755" s="33"/>
      <c r="V755" s="16"/>
      <c r="W755" s="1"/>
      <c r="X755" s="1"/>
    </row>
    <row r="756" spans="1:24">
      <c r="A756" s="1"/>
      <c r="B756" s="16"/>
      <c r="C756" s="16"/>
      <c r="D756" s="16"/>
      <c r="E756" s="16"/>
      <c r="F756" s="16"/>
      <c r="G756" s="16"/>
      <c r="H756" s="16"/>
      <c r="I756" s="16"/>
      <c r="J756" s="16"/>
      <c r="K756" s="16"/>
      <c r="L756" s="16"/>
      <c r="M756" s="26"/>
      <c r="N756" s="26"/>
      <c r="O756" s="16"/>
      <c r="P756" s="1"/>
      <c r="Q756" s="1"/>
      <c r="R756" s="1"/>
      <c r="S756" s="1"/>
      <c r="T756" s="1"/>
      <c r="U756" s="33"/>
      <c r="V756" s="16"/>
      <c r="W756" s="1"/>
      <c r="X756" s="1"/>
    </row>
    <row r="757" spans="1:24">
      <c r="A757" s="1"/>
      <c r="B757" s="16"/>
      <c r="C757" s="16"/>
      <c r="D757" s="16"/>
      <c r="E757" s="16"/>
      <c r="F757" s="16"/>
      <c r="G757" s="16"/>
      <c r="H757" s="16"/>
      <c r="I757" s="16"/>
      <c r="J757" s="16"/>
      <c r="K757" s="16"/>
      <c r="L757" s="16"/>
      <c r="M757" s="26"/>
      <c r="N757" s="26"/>
      <c r="O757" s="16"/>
      <c r="P757" s="1"/>
      <c r="Q757" s="1"/>
      <c r="R757" s="1"/>
      <c r="S757" s="1"/>
      <c r="T757" s="1"/>
      <c r="U757" s="33"/>
      <c r="V757" s="16"/>
      <c r="W757" s="1"/>
      <c r="X757" s="1"/>
    </row>
    <row r="758" spans="1:24">
      <c r="A758" s="1"/>
      <c r="B758" s="16"/>
      <c r="C758" s="16"/>
      <c r="D758" s="16"/>
      <c r="E758" s="16"/>
      <c r="F758" s="16"/>
      <c r="G758" s="16"/>
      <c r="H758" s="16"/>
      <c r="I758" s="16"/>
      <c r="J758" s="16"/>
      <c r="K758" s="16"/>
      <c r="L758" s="16"/>
      <c r="M758" s="26"/>
      <c r="N758" s="26"/>
      <c r="O758" s="16"/>
      <c r="P758" s="1"/>
      <c r="Q758" s="1"/>
      <c r="R758" s="1"/>
      <c r="S758" s="1"/>
      <c r="T758" s="1"/>
      <c r="U758" s="33"/>
      <c r="V758" s="16"/>
      <c r="W758" s="1"/>
      <c r="X758" s="1"/>
    </row>
    <row r="759" spans="1:24">
      <c r="A759" s="1"/>
      <c r="B759" s="16"/>
      <c r="C759" s="16"/>
      <c r="D759" s="16"/>
      <c r="E759" s="16"/>
      <c r="F759" s="16"/>
      <c r="G759" s="16"/>
      <c r="H759" s="16"/>
      <c r="I759" s="16"/>
      <c r="J759" s="16"/>
      <c r="K759" s="16"/>
      <c r="L759" s="16"/>
      <c r="M759" s="26"/>
      <c r="N759" s="26"/>
      <c r="O759" s="16"/>
      <c r="P759" s="1"/>
      <c r="Q759" s="1"/>
      <c r="R759" s="1"/>
      <c r="S759" s="1"/>
      <c r="T759" s="1"/>
      <c r="U759" s="33"/>
      <c r="V759" s="16"/>
      <c r="W759" s="1"/>
      <c r="X759" s="1"/>
    </row>
    <row r="760" spans="1:24">
      <c r="A760" s="1"/>
      <c r="B760" s="16"/>
      <c r="C760" s="16"/>
      <c r="D760" s="16"/>
      <c r="E760" s="16"/>
      <c r="F760" s="16"/>
      <c r="G760" s="16"/>
      <c r="H760" s="16"/>
      <c r="I760" s="16"/>
      <c r="J760" s="16"/>
      <c r="K760" s="16"/>
      <c r="L760" s="16"/>
      <c r="M760" s="26"/>
      <c r="N760" s="26"/>
      <c r="O760" s="16"/>
      <c r="P760" s="1"/>
      <c r="Q760" s="1"/>
      <c r="R760" s="1"/>
      <c r="S760" s="1"/>
      <c r="T760" s="1"/>
      <c r="U760" s="33"/>
      <c r="V760" s="16"/>
      <c r="W760" s="1"/>
      <c r="X760" s="1"/>
    </row>
    <row r="761" spans="1:24">
      <c r="A761" s="1"/>
      <c r="B761" s="16"/>
      <c r="C761" s="16"/>
      <c r="D761" s="16"/>
      <c r="E761" s="16"/>
      <c r="F761" s="16"/>
      <c r="G761" s="16"/>
      <c r="H761" s="16"/>
      <c r="I761" s="16"/>
      <c r="J761" s="16"/>
      <c r="K761" s="16"/>
      <c r="L761" s="16"/>
      <c r="M761" s="26"/>
      <c r="N761" s="26"/>
      <c r="O761" s="16"/>
      <c r="P761" s="1"/>
      <c r="Q761" s="1"/>
      <c r="R761" s="1"/>
      <c r="S761" s="1"/>
      <c r="T761" s="1"/>
      <c r="U761" s="33"/>
      <c r="V761" s="16"/>
      <c r="W761" s="1"/>
      <c r="X761" s="1"/>
    </row>
    <row r="762" spans="1:24">
      <c r="A762" s="1"/>
      <c r="B762" s="16"/>
      <c r="C762" s="16"/>
      <c r="D762" s="16"/>
      <c r="E762" s="16"/>
      <c r="F762" s="16"/>
      <c r="G762" s="16"/>
      <c r="H762" s="16"/>
      <c r="I762" s="16"/>
      <c r="J762" s="16"/>
      <c r="K762" s="16"/>
      <c r="L762" s="16"/>
      <c r="M762" s="26"/>
      <c r="N762" s="26"/>
      <c r="O762" s="16"/>
      <c r="P762" s="1"/>
      <c r="Q762" s="1"/>
      <c r="R762" s="1"/>
      <c r="S762" s="1"/>
      <c r="T762" s="1"/>
      <c r="U762" s="33"/>
      <c r="V762" s="16"/>
      <c r="W762" s="1"/>
      <c r="X762" s="1"/>
    </row>
    <row r="763" spans="1:24">
      <c r="A763" s="1"/>
      <c r="B763" s="16"/>
      <c r="C763" s="16"/>
      <c r="D763" s="16"/>
      <c r="E763" s="16"/>
      <c r="F763" s="16"/>
      <c r="G763" s="16"/>
      <c r="H763" s="16"/>
      <c r="I763" s="16"/>
      <c r="J763" s="16"/>
      <c r="K763" s="16"/>
      <c r="L763" s="16"/>
      <c r="M763" s="26"/>
      <c r="N763" s="26"/>
      <c r="O763" s="16"/>
      <c r="P763" s="1"/>
      <c r="Q763" s="1"/>
      <c r="R763" s="1"/>
      <c r="S763" s="1"/>
      <c r="T763" s="1"/>
      <c r="U763" s="33"/>
      <c r="V763" s="16"/>
      <c r="W763" s="1"/>
      <c r="X763" s="1"/>
    </row>
    <row r="764" spans="1:24">
      <c r="A764" s="1"/>
      <c r="B764" s="16"/>
      <c r="C764" s="16"/>
      <c r="D764" s="16"/>
      <c r="E764" s="16"/>
      <c r="F764" s="16"/>
      <c r="G764" s="16"/>
      <c r="H764" s="16"/>
      <c r="I764" s="16"/>
      <c r="J764" s="16"/>
      <c r="K764" s="16"/>
      <c r="L764" s="16"/>
      <c r="M764" s="26"/>
      <c r="N764" s="26"/>
      <c r="O764" s="16"/>
      <c r="P764" s="1"/>
      <c r="Q764" s="1"/>
      <c r="R764" s="1"/>
      <c r="S764" s="1"/>
      <c r="T764" s="1"/>
      <c r="U764" s="33"/>
      <c r="V764" s="16"/>
      <c r="W764" s="1"/>
      <c r="X764" s="1"/>
    </row>
    <row r="765" spans="1:24">
      <c r="A765" s="1"/>
      <c r="B765" s="16"/>
      <c r="C765" s="16"/>
      <c r="D765" s="16"/>
      <c r="E765" s="16"/>
      <c r="F765" s="16"/>
      <c r="G765" s="16"/>
      <c r="H765" s="16"/>
      <c r="I765" s="16"/>
      <c r="J765" s="16"/>
      <c r="K765" s="16"/>
      <c r="L765" s="16"/>
      <c r="M765" s="26"/>
      <c r="N765" s="26"/>
      <c r="O765" s="16"/>
      <c r="P765" s="1"/>
      <c r="Q765" s="1"/>
      <c r="R765" s="1"/>
      <c r="S765" s="1"/>
      <c r="T765" s="1"/>
      <c r="U765" s="33"/>
      <c r="V765" s="16"/>
      <c r="W765" s="1"/>
      <c r="X765" s="1"/>
    </row>
    <row r="766" spans="1:24">
      <c r="A766" s="1"/>
      <c r="B766" s="16"/>
      <c r="C766" s="16"/>
      <c r="D766" s="16"/>
      <c r="E766" s="16"/>
      <c r="F766" s="16"/>
      <c r="G766" s="16"/>
      <c r="H766" s="16"/>
      <c r="I766" s="16"/>
      <c r="J766" s="16"/>
      <c r="K766" s="16"/>
      <c r="L766" s="16"/>
      <c r="M766" s="26"/>
      <c r="N766" s="26"/>
      <c r="O766" s="16"/>
      <c r="P766" s="1"/>
      <c r="Q766" s="1"/>
      <c r="R766" s="1"/>
      <c r="S766" s="1"/>
      <c r="T766" s="1"/>
      <c r="U766" s="33"/>
      <c r="V766" s="16"/>
      <c r="W766" s="1"/>
      <c r="X766" s="1"/>
    </row>
    <row r="767" spans="1:24">
      <c r="A767" s="1"/>
      <c r="B767" s="16"/>
      <c r="C767" s="16"/>
      <c r="D767" s="16"/>
      <c r="E767" s="16"/>
      <c r="F767" s="16"/>
      <c r="G767" s="16"/>
      <c r="H767" s="16"/>
      <c r="I767" s="16"/>
      <c r="J767" s="16"/>
      <c r="K767" s="16"/>
      <c r="L767" s="16"/>
      <c r="M767" s="26"/>
      <c r="N767" s="26"/>
      <c r="O767" s="16"/>
      <c r="P767" s="1"/>
      <c r="Q767" s="1"/>
      <c r="R767" s="1"/>
      <c r="S767" s="1"/>
      <c r="T767" s="1"/>
      <c r="U767" s="33"/>
      <c r="V767" s="16"/>
      <c r="W767" s="1"/>
      <c r="X767" s="1"/>
    </row>
    <row r="768" spans="1:24">
      <c r="A768" s="1"/>
      <c r="B768" s="16"/>
      <c r="C768" s="16"/>
      <c r="D768" s="16"/>
      <c r="E768" s="16"/>
      <c r="F768" s="16"/>
      <c r="G768" s="16"/>
      <c r="H768" s="16"/>
      <c r="I768" s="16"/>
      <c r="J768" s="16"/>
      <c r="K768" s="16"/>
      <c r="L768" s="16"/>
      <c r="M768" s="26"/>
      <c r="N768" s="26"/>
      <c r="O768" s="16"/>
      <c r="P768" s="1"/>
      <c r="Q768" s="1"/>
      <c r="R768" s="1"/>
      <c r="S768" s="1"/>
      <c r="T768" s="1"/>
      <c r="U768" s="33"/>
      <c r="V768" s="16"/>
      <c r="W768" s="1"/>
      <c r="X768" s="1"/>
    </row>
    <row r="769" spans="1:24">
      <c r="A769" s="1"/>
      <c r="B769" s="16"/>
      <c r="C769" s="16"/>
      <c r="D769" s="16"/>
      <c r="E769" s="16"/>
      <c r="F769" s="16"/>
      <c r="G769" s="16"/>
      <c r="H769" s="16"/>
      <c r="I769" s="16"/>
      <c r="J769" s="16"/>
      <c r="K769" s="16"/>
      <c r="L769" s="16"/>
      <c r="M769" s="26"/>
      <c r="N769" s="26"/>
      <c r="O769" s="16"/>
      <c r="P769" s="1"/>
      <c r="Q769" s="1"/>
      <c r="R769" s="1"/>
      <c r="S769" s="1"/>
      <c r="T769" s="1"/>
      <c r="U769" s="33"/>
      <c r="V769" s="16"/>
      <c r="W769" s="1"/>
      <c r="X769" s="1"/>
    </row>
    <row r="770" spans="1:24">
      <c r="A770" s="1"/>
      <c r="B770" s="16"/>
      <c r="C770" s="16"/>
      <c r="D770" s="16"/>
      <c r="E770" s="16"/>
      <c r="F770" s="16"/>
      <c r="G770" s="16"/>
      <c r="H770" s="16"/>
      <c r="I770" s="16"/>
      <c r="J770" s="16"/>
      <c r="K770" s="16"/>
      <c r="L770" s="16"/>
      <c r="M770" s="26"/>
      <c r="N770" s="26"/>
      <c r="O770" s="16"/>
      <c r="P770" s="1"/>
      <c r="Q770" s="1"/>
      <c r="R770" s="1"/>
      <c r="S770" s="1"/>
      <c r="T770" s="1"/>
      <c r="U770" s="33"/>
      <c r="V770" s="16"/>
      <c r="W770" s="1"/>
      <c r="X770" s="1"/>
    </row>
    <row r="771" spans="1:24">
      <c r="A771" s="1"/>
      <c r="B771" s="16"/>
      <c r="C771" s="16"/>
      <c r="D771" s="16"/>
      <c r="E771" s="16"/>
      <c r="F771" s="16"/>
      <c r="G771" s="16"/>
      <c r="H771" s="16"/>
      <c r="I771" s="16"/>
      <c r="J771" s="16"/>
      <c r="K771" s="16"/>
      <c r="L771" s="16"/>
      <c r="M771" s="26"/>
      <c r="N771" s="26"/>
      <c r="O771" s="16"/>
      <c r="P771" s="1"/>
      <c r="Q771" s="1"/>
      <c r="R771" s="1"/>
      <c r="S771" s="1"/>
      <c r="T771" s="1"/>
      <c r="U771" s="33"/>
      <c r="V771" s="16"/>
      <c r="W771" s="1"/>
      <c r="X771" s="1"/>
    </row>
    <row r="772" spans="1:24">
      <c r="A772" s="1"/>
      <c r="B772" s="16"/>
      <c r="C772" s="16"/>
      <c r="D772" s="16"/>
      <c r="E772" s="16"/>
      <c r="F772" s="16"/>
      <c r="G772" s="16"/>
      <c r="H772" s="16"/>
      <c r="I772" s="16"/>
      <c r="J772" s="16"/>
      <c r="K772" s="16"/>
      <c r="L772" s="16"/>
      <c r="M772" s="26"/>
      <c r="N772" s="26"/>
      <c r="O772" s="16"/>
      <c r="P772" s="1"/>
      <c r="Q772" s="1"/>
      <c r="R772" s="1"/>
      <c r="S772" s="1"/>
      <c r="T772" s="1"/>
      <c r="U772" s="33"/>
      <c r="V772" s="16"/>
      <c r="W772" s="1"/>
      <c r="X772" s="1"/>
    </row>
    <row r="773" spans="1:24">
      <c r="A773" s="1"/>
      <c r="B773" s="16"/>
      <c r="C773" s="16"/>
      <c r="D773" s="16"/>
      <c r="E773" s="16"/>
      <c r="F773" s="16"/>
      <c r="G773" s="16"/>
      <c r="H773" s="16"/>
      <c r="I773" s="16"/>
      <c r="J773" s="16"/>
      <c r="K773" s="16"/>
      <c r="L773" s="16"/>
      <c r="M773" s="26"/>
      <c r="N773" s="26"/>
      <c r="O773" s="16"/>
      <c r="P773" s="1"/>
      <c r="Q773" s="1"/>
      <c r="R773" s="1"/>
      <c r="S773" s="1"/>
      <c r="T773" s="1"/>
      <c r="U773" s="33"/>
      <c r="V773" s="16"/>
      <c r="W773" s="1"/>
      <c r="X773" s="1"/>
    </row>
    <row r="774" spans="1:24">
      <c r="A774" s="1"/>
      <c r="B774" s="16"/>
      <c r="C774" s="16"/>
      <c r="D774" s="16"/>
      <c r="E774" s="16"/>
      <c r="F774" s="16"/>
      <c r="G774" s="16"/>
      <c r="H774" s="16"/>
      <c r="I774" s="16"/>
      <c r="J774" s="16"/>
      <c r="K774" s="16"/>
      <c r="L774" s="16"/>
      <c r="M774" s="26"/>
      <c r="N774" s="26"/>
      <c r="O774" s="16"/>
      <c r="P774" s="1"/>
      <c r="Q774" s="1"/>
      <c r="R774" s="1"/>
      <c r="S774" s="1"/>
      <c r="T774" s="1"/>
      <c r="U774" s="33"/>
      <c r="V774" s="16"/>
      <c r="W774" s="1"/>
      <c r="X774" s="1"/>
    </row>
    <row r="775" spans="1:24">
      <c r="A775" s="1"/>
      <c r="B775" s="16"/>
      <c r="C775" s="16"/>
      <c r="D775" s="16"/>
      <c r="E775" s="16"/>
      <c r="F775" s="16"/>
      <c r="G775" s="16"/>
      <c r="H775" s="16"/>
      <c r="I775" s="16"/>
      <c r="J775" s="16"/>
      <c r="K775" s="16"/>
      <c r="L775" s="16"/>
      <c r="M775" s="26"/>
      <c r="N775" s="26"/>
      <c r="O775" s="16"/>
      <c r="P775" s="1"/>
      <c r="Q775" s="1"/>
      <c r="R775" s="1"/>
      <c r="S775" s="1"/>
      <c r="T775" s="1"/>
      <c r="U775" s="33"/>
      <c r="V775" s="16"/>
      <c r="W775" s="1"/>
      <c r="X775" s="1"/>
    </row>
    <row r="776" spans="1:24">
      <c r="A776" s="1"/>
      <c r="B776" s="16"/>
      <c r="C776" s="16"/>
      <c r="D776" s="16"/>
      <c r="E776" s="16"/>
      <c r="F776" s="16"/>
      <c r="G776" s="16"/>
      <c r="H776" s="16"/>
      <c r="I776" s="16"/>
      <c r="J776" s="16"/>
      <c r="K776" s="16"/>
      <c r="L776" s="16"/>
      <c r="M776" s="26"/>
      <c r="N776" s="26"/>
      <c r="O776" s="16"/>
      <c r="P776" s="1"/>
      <c r="Q776" s="1"/>
      <c r="R776" s="1"/>
      <c r="S776" s="1"/>
      <c r="T776" s="1"/>
      <c r="U776" s="33"/>
      <c r="V776" s="16"/>
      <c r="W776" s="1"/>
      <c r="X776" s="1"/>
    </row>
    <row r="777" spans="1:24">
      <c r="A777" s="1"/>
      <c r="B777" s="16"/>
      <c r="C777" s="16"/>
      <c r="D777" s="16"/>
      <c r="E777" s="16"/>
      <c r="F777" s="16"/>
      <c r="G777" s="16"/>
      <c r="H777" s="16"/>
      <c r="I777" s="16"/>
      <c r="J777" s="16"/>
      <c r="K777" s="16"/>
      <c r="L777" s="16"/>
      <c r="M777" s="26"/>
      <c r="N777" s="26"/>
      <c r="O777" s="16"/>
      <c r="P777" s="1"/>
      <c r="Q777" s="1"/>
      <c r="R777" s="1"/>
      <c r="S777" s="1"/>
      <c r="T777" s="1"/>
      <c r="U777" s="33"/>
      <c r="V777" s="16"/>
      <c r="W777" s="1"/>
      <c r="X777" s="1"/>
    </row>
    <row r="778" spans="1:24">
      <c r="A778" s="1"/>
      <c r="B778" s="16"/>
      <c r="C778" s="16"/>
      <c r="D778" s="16"/>
      <c r="E778" s="16"/>
      <c r="F778" s="16"/>
      <c r="G778" s="16"/>
      <c r="H778" s="16"/>
      <c r="I778" s="16"/>
      <c r="J778" s="16"/>
      <c r="K778" s="16"/>
      <c r="L778" s="16"/>
      <c r="M778" s="26"/>
      <c r="N778" s="26"/>
      <c r="O778" s="16"/>
      <c r="P778" s="1"/>
      <c r="Q778" s="1"/>
      <c r="R778" s="1"/>
      <c r="S778" s="1"/>
      <c r="T778" s="1"/>
      <c r="U778" s="33"/>
      <c r="V778" s="16"/>
      <c r="W778" s="1"/>
      <c r="X778" s="1"/>
    </row>
    <row r="779" spans="1:24">
      <c r="A779" s="1"/>
      <c r="B779" s="16"/>
      <c r="C779" s="16"/>
      <c r="D779" s="16"/>
      <c r="E779" s="16"/>
      <c r="F779" s="16"/>
      <c r="G779" s="16"/>
      <c r="H779" s="16"/>
      <c r="I779" s="16"/>
      <c r="J779" s="16"/>
      <c r="K779" s="16"/>
      <c r="L779" s="16"/>
      <c r="M779" s="26"/>
      <c r="N779" s="26"/>
      <c r="O779" s="16"/>
      <c r="P779" s="1"/>
      <c r="Q779" s="1"/>
      <c r="R779" s="1"/>
      <c r="S779" s="1"/>
      <c r="T779" s="1"/>
      <c r="U779" s="33"/>
      <c r="V779" s="16"/>
      <c r="W779" s="1"/>
      <c r="X779" s="1"/>
    </row>
    <row r="780" spans="1:24">
      <c r="A780" s="1"/>
      <c r="B780" s="16"/>
      <c r="C780" s="16"/>
      <c r="D780" s="16"/>
      <c r="E780" s="16"/>
      <c r="F780" s="16"/>
      <c r="G780" s="16"/>
      <c r="H780" s="16"/>
      <c r="I780" s="16"/>
      <c r="J780" s="16"/>
      <c r="K780" s="16"/>
      <c r="L780" s="16"/>
      <c r="M780" s="26"/>
      <c r="N780" s="26"/>
      <c r="O780" s="16"/>
      <c r="P780" s="1"/>
      <c r="Q780" s="1"/>
      <c r="R780" s="1"/>
      <c r="S780" s="1"/>
      <c r="T780" s="1"/>
      <c r="U780" s="33"/>
      <c r="V780" s="16"/>
      <c r="W780" s="1"/>
      <c r="X780" s="1"/>
    </row>
    <row r="781" spans="1:24">
      <c r="A781" s="1"/>
      <c r="B781" s="16"/>
      <c r="C781" s="16"/>
      <c r="D781" s="16"/>
      <c r="E781" s="16"/>
      <c r="F781" s="16"/>
      <c r="G781" s="16"/>
      <c r="H781" s="16"/>
      <c r="I781" s="16"/>
      <c r="J781" s="16"/>
      <c r="K781" s="16"/>
      <c r="L781" s="16"/>
      <c r="M781" s="26"/>
      <c r="N781" s="26"/>
      <c r="O781" s="16"/>
      <c r="P781" s="1"/>
      <c r="Q781" s="1"/>
      <c r="R781" s="1"/>
      <c r="S781" s="1"/>
      <c r="T781" s="1"/>
      <c r="U781" s="33"/>
      <c r="V781" s="16"/>
      <c r="W781" s="1"/>
      <c r="X781" s="1"/>
    </row>
    <row r="782" spans="1:24">
      <c r="A782" s="1"/>
      <c r="B782" s="16"/>
      <c r="C782" s="16"/>
      <c r="D782" s="16"/>
      <c r="E782" s="16"/>
      <c r="F782" s="16"/>
      <c r="G782" s="16"/>
      <c r="H782" s="16"/>
      <c r="I782" s="16"/>
      <c r="J782" s="16"/>
      <c r="K782" s="16"/>
      <c r="L782" s="16"/>
      <c r="M782" s="26"/>
      <c r="N782" s="26"/>
      <c r="O782" s="16"/>
      <c r="P782" s="1"/>
      <c r="Q782" s="1"/>
      <c r="R782" s="1"/>
      <c r="S782" s="1"/>
      <c r="T782" s="1"/>
      <c r="U782" s="33"/>
      <c r="V782" s="16"/>
      <c r="W782" s="1"/>
      <c r="X782" s="1"/>
    </row>
    <row r="783" spans="1:24">
      <c r="A783" s="1"/>
      <c r="B783" s="16"/>
      <c r="C783" s="16"/>
      <c r="D783" s="16"/>
      <c r="E783" s="16"/>
      <c r="F783" s="16"/>
      <c r="G783" s="16"/>
      <c r="H783" s="16"/>
      <c r="I783" s="16"/>
      <c r="J783" s="16"/>
      <c r="K783" s="16"/>
      <c r="L783" s="16"/>
      <c r="M783" s="26"/>
      <c r="N783" s="26"/>
      <c r="O783" s="16"/>
      <c r="P783" s="1"/>
      <c r="Q783" s="1"/>
      <c r="R783" s="1"/>
      <c r="S783" s="1"/>
      <c r="T783" s="1"/>
      <c r="U783" s="33"/>
      <c r="V783" s="16"/>
      <c r="W783" s="1"/>
      <c r="X783" s="1"/>
    </row>
    <row r="784" spans="1:24">
      <c r="A784" s="1"/>
      <c r="B784" s="16"/>
      <c r="C784" s="16"/>
      <c r="D784" s="16"/>
      <c r="E784" s="16"/>
      <c r="F784" s="16"/>
      <c r="G784" s="16"/>
      <c r="H784" s="16"/>
      <c r="I784" s="16"/>
      <c r="J784" s="16"/>
      <c r="K784" s="16"/>
      <c r="L784" s="16"/>
      <c r="M784" s="26"/>
      <c r="N784" s="26"/>
      <c r="O784" s="16"/>
      <c r="P784" s="1"/>
      <c r="Q784" s="1"/>
      <c r="R784" s="1"/>
      <c r="S784" s="1"/>
      <c r="T784" s="1"/>
      <c r="U784" s="33"/>
      <c r="V784" s="16"/>
      <c r="W784" s="1"/>
      <c r="X784" s="1"/>
    </row>
    <row r="785" spans="1:24">
      <c r="A785" s="1"/>
      <c r="B785" s="16"/>
      <c r="C785" s="16"/>
      <c r="D785" s="16"/>
      <c r="E785" s="16"/>
      <c r="F785" s="16"/>
      <c r="G785" s="16"/>
      <c r="H785" s="16"/>
      <c r="I785" s="16"/>
      <c r="J785" s="16"/>
      <c r="K785" s="16"/>
      <c r="L785" s="16"/>
      <c r="M785" s="26"/>
      <c r="N785" s="26"/>
      <c r="O785" s="16"/>
      <c r="P785" s="1"/>
      <c r="Q785" s="1"/>
      <c r="R785" s="1"/>
      <c r="S785" s="1"/>
      <c r="T785" s="1"/>
      <c r="U785" s="33"/>
      <c r="V785" s="16"/>
      <c r="W785" s="1"/>
      <c r="X785" s="1"/>
    </row>
    <row r="786" spans="1:24">
      <c r="A786" s="1"/>
      <c r="B786" s="16"/>
      <c r="C786" s="16"/>
      <c r="D786" s="16"/>
      <c r="E786" s="16"/>
      <c r="F786" s="16"/>
      <c r="G786" s="16"/>
      <c r="H786" s="16"/>
      <c r="I786" s="16"/>
      <c r="J786" s="16"/>
      <c r="K786" s="16"/>
      <c r="L786" s="16"/>
      <c r="M786" s="26"/>
      <c r="N786" s="26"/>
      <c r="O786" s="16"/>
      <c r="P786" s="1"/>
      <c r="Q786" s="1"/>
      <c r="R786" s="1"/>
      <c r="S786" s="1"/>
      <c r="T786" s="1"/>
      <c r="U786" s="33"/>
      <c r="V786" s="16"/>
      <c r="W786" s="1"/>
      <c r="X786" s="1"/>
    </row>
    <row r="787" spans="1:24">
      <c r="A787" s="1"/>
      <c r="B787" s="16"/>
      <c r="C787" s="16"/>
      <c r="D787" s="16"/>
      <c r="E787" s="16"/>
      <c r="F787" s="16"/>
      <c r="G787" s="16"/>
      <c r="H787" s="16"/>
      <c r="I787" s="16"/>
      <c r="J787" s="16"/>
      <c r="K787" s="16"/>
      <c r="L787" s="16"/>
      <c r="M787" s="26"/>
      <c r="N787" s="26"/>
      <c r="O787" s="16"/>
      <c r="P787" s="1"/>
      <c r="Q787" s="1"/>
      <c r="R787" s="1"/>
      <c r="S787" s="1"/>
      <c r="T787" s="1"/>
      <c r="U787" s="33"/>
      <c r="V787" s="16"/>
      <c r="W787" s="1"/>
      <c r="X787" s="1"/>
    </row>
    <row r="788" spans="1:24">
      <c r="A788" s="1"/>
      <c r="B788" s="16"/>
      <c r="C788" s="16"/>
      <c r="D788" s="16"/>
      <c r="E788" s="16"/>
      <c r="F788" s="16"/>
      <c r="G788" s="16"/>
      <c r="H788" s="16"/>
      <c r="I788" s="16"/>
      <c r="J788" s="16"/>
      <c r="K788" s="16"/>
      <c r="L788" s="16"/>
      <c r="M788" s="26"/>
      <c r="N788" s="26"/>
      <c r="O788" s="16"/>
      <c r="P788" s="1"/>
      <c r="Q788" s="1"/>
      <c r="R788" s="1"/>
      <c r="S788" s="1"/>
      <c r="T788" s="1"/>
      <c r="U788" s="33"/>
      <c r="V788" s="16"/>
      <c r="W788" s="1"/>
      <c r="X788" s="1"/>
    </row>
    <row r="789" spans="1:24">
      <c r="A789" s="1"/>
      <c r="B789" s="16"/>
      <c r="C789" s="16"/>
      <c r="D789" s="16"/>
      <c r="E789" s="16"/>
      <c r="F789" s="16"/>
      <c r="G789" s="16"/>
      <c r="H789" s="16"/>
      <c r="I789" s="16"/>
      <c r="J789" s="16"/>
      <c r="K789" s="16"/>
      <c r="L789" s="16"/>
      <c r="M789" s="26"/>
      <c r="N789" s="26"/>
      <c r="O789" s="16"/>
      <c r="P789" s="1"/>
      <c r="Q789" s="1"/>
      <c r="R789" s="1"/>
      <c r="S789" s="1"/>
      <c r="T789" s="1"/>
      <c r="U789" s="33"/>
      <c r="V789" s="16"/>
      <c r="W789" s="1"/>
      <c r="X789" s="1"/>
    </row>
    <row r="790" spans="1:24">
      <c r="A790" s="1"/>
      <c r="B790" s="16"/>
      <c r="C790" s="16"/>
      <c r="D790" s="16"/>
      <c r="E790" s="16"/>
      <c r="F790" s="16"/>
      <c r="G790" s="16"/>
      <c r="H790" s="16"/>
      <c r="I790" s="16"/>
      <c r="J790" s="16"/>
      <c r="K790" s="16"/>
      <c r="L790" s="16"/>
      <c r="M790" s="26"/>
      <c r="N790" s="26"/>
      <c r="O790" s="16"/>
      <c r="P790" s="1"/>
      <c r="Q790" s="1"/>
      <c r="R790" s="1"/>
      <c r="S790" s="1"/>
      <c r="T790" s="1"/>
      <c r="U790" s="33"/>
      <c r="V790" s="16"/>
      <c r="W790" s="1"/>
      <c r="X790" s="1"/>
    </row>
    <row r="791" spans="1:24">
      <c r="A791" s="1"/>
      <c r="B791" s="16"/>
      <c r="C791" s="16"/>
      <c r="D791" s="16"/>
      <c r="E791" s="16"/>
      <c r="F791" s="16"/>
      <c r="G791" s="16"/>
      <c r="H791" s="16"/>
      <c r="I791" s="16"/>
      <c r="J791" s="16"/>
      <c r="K791" s="16"/>
      <c r="L791" s="16"/>
      <c r="M791" s="26"/>
      <c r="N791" s="26"/>
      <c r="O791" s="16"/>
      <c r="P791" s="1"/>
      <c r="Q791" s="1"/>
      <c r="R791" s="1"/>
      <c r="S791" s="1"/>
      <c r="T791" s="1"/>
      <c r="U791" s="33"/>
      <c r="V791" s="16"/>
      <c r="W791" s="1"/>
      <c r="X791" s="1"/>
    </row>
    <row r="792" spans="1:24">
      <c r="A792" s="1"/>
      <c r="B792" s="16"/>
      <c r="C792" s="16"/>
      <c r="D792" s="16"/>
      <c r="E792" s="16"/>
      <c r="F792" s="16"/>
      <c r="G792" s="16"/>
      <c r="H792" s="16"/>
      <c r="I792" s="16"/>
      <c r="J792" s="16"/>
      <c r="K792" s="16"/>
      <c r="L792" s="16"/>
      <c r="M792" s="26"/>
      <c r="N792" s="26"/>
      <c r="O792" s="16"/>
      <c r="P792" s="1"/>
      <c r="Q792" s="1"/>
      <c r="R792" s="1"/>
      <c r="S792" s="1"/>
      <c r="T792" s="1"/>
      <c r="U792" s="33"/>
      <c r="V792" s="16"/>
      <c r="W792" s="1"/>
      <c r="X792" s="1"/>
    </row>
    <row r="793" spans="1:24">
      <c r="A793" s="1"/>
      <c r="B793" s="16"/>
      <c r="C793" s="16"/>
      <c r="D793" s="16"/>
      <c r="E793" s="16"/>
      <c r="F793" s="16"/>
      <c r="G793" s="16"/>
      <c r="H793" s="16"/>
      <c r="I793" s="16"/>
      <c r="J793" s="16"/>
      <c r="K793" s="16"/>
      <c r="L793" s="16"/>
      <c r="M793" s="26"/>
      <c r="N793" s="26"/>
      <c r="O793" s="16"/>
      <c r="P793" s="1"/>
      <c r="Q793" s="1"/>
      <c r="R793" s="1"/>
      <c r="S793" s="1"/>
      <c r="T793" s="1"/>
      <c r="U793" s="33"/>
      <c r="V793" s="16"/>
      <c r="W793" s="1"/>
      <c r="X793" s="1"/>
    </row>
    <row r="794" spans="1:24">
      <c r="A794" s="1"/>
      <c r="B794" s="16"/>
      <c r="C794" s="16"/>
      <c r="D794" s="16"/>
      <c r="E794" s="16"/>
      <c r="F794" s="16"/>
      <c r="G794" s="16"/>
      <c r="H794" s="16"/>
      <c r="I794" s="16"/>
      <c r="J794" s="16"/>
      <c r="K794" s="16"/>
      <c r="L794" s="16"/>
      <c r="M794" s="26"/>
      <c r="N794" s="26"/>
      <c r="O794" s="16"/>
      <c r="P794" s="1"/>
      <c r="Q794" s="1"/>
      <c r="R794" s="1"/>
      <c r="S794" s="1"/>
      <c r="T794" s="1"/>
      <c r="U794" s="33"/>
      <c r="V794" s="16"/>
      <c r="W794" s="1"/>
      <c r="X794" s="1"/>
    </row>
    <row r="795" spans="1:24">
      <c r="A795" s="1"/>
      <c r="B795" s="16"/>
      <c r="C795" s="16"/>
      <c r="D795" s="16"/>
      <c r="E795" s="16"/>
      <c r="F795" s="16"/>
      <c r="G795" s="16"/>
      <c r="H795" s="16"/>
      <c r="I795" s="16"/>
      <c r="J795" s="16"/>
      <c r="K795" s="16"/>
      <c r="L795" s="16"/>
      <c r="M795" s="26"/>
      <c r="N795" s="26"/>
      <c r="O795" s="16"/>
      <c r="P795" s="1"/>
      <c r="Q795" s="1"/>
      <c r="R795" s="1"/>
      <c r="S795" s="1"/>
      <c r="T795" s="1"/>
      <c r="U795" s="33"/>
      <c r="V795" s="16"/>
      <c r="W795" s="1"/>
      <c r="X795" s="1"/>
    </row>
    <row r="796" spans="1:24">
      <c r="A796" s="1"/>
      <c r="B796" s="16"/>
      <c r="C796" s="16"/>
      <c r="D796" s="16"/>
      <c r="E796" s="16"/>
      <c r="F796" s="16"/>
      <c r="G796" s="16"/>
      <c r="H796" s="16"/>
      <c r="I796" s="16"/>
      <c r="J796" s="16"/>
      <c r="K796" s="16"/>
      <c r="L796" s="16"/>
      <c r="M796" s="26"/>
      <c r="N796" s="26"/>
      <c r="O796" s="16"/>
      <c r="P796" s="1"/>
      <c r="Q796" s="1"/>
      <c r="R796" s="1"/>
      <c r="S796" s="1"/>
      <c r="T796" s="1"/>
      <c r="U796" s="33"/>
      <c r="V796" s="16"/>
      <c r="W796" s="1"/>
      <c r="X796" s="1"/>
    </row>
    <row r="797" spans="1:24">
      <c r="A797" s="1"/>
      <c r="B797" s="16"/>
      <c r="C797" s="16"/>
      <c r="D797" s="16"/>
      <c r="E797" s="16"/>
      <c r="F797" s="16"/>
      <c r="G797" s="16"/>
      <c r="H797" s="16"/>
      <c r="I797" s="16"/>
      <c r="J797" s="16"/>
      <c r="K797" s="16"/>
      <c r="L797" s="16"/>
      <c r="M797" s="26"/>
      <c r="N797" s="26"/>
      <c r="O797" s="16"/>
      <c r="P797" s="1"/>
      <c r="Q797" s="1"/>
      <c r="R797" s="1"/>
      <c r="S797" s="1"/>
      <c r="T797" s="1"/>
      <c r="U797" s="33"/>
      <c r="V797" s="16"/>
      <c r="W797" s="1"/>
      <c r="X797" s="1"/>
    </row>
    <row r="798" spans="1:24">
      <c r="A798" s="1"/>
      <c r="B798" s="16"/>
      <c r="C798" s="16"/>
      <c r="D798" s="16"/>
      <c r="E798" s="16"/>
      <c r="F798" s="16"/>
      <c r="G798" s="16"/>
      <c r="H798" s="16"/>
      <c r="I798" s="16"/>
      <c r="J798" s="16"/>
      <c r="K798" s="16"/>
      <c r="L798" s="16"/>
      <c r="M798" s="26"/>
      <c r="N798" s="26"/>
      <c r="O798" s="16"/>
      <c r="P798" s="1"/>
      <c r="Q798" s="1"/>
      <c r="R798" s="1"/>
      <c r="S798" s="1"/>
      <c r="T798" s="1"/>
      <c r="U798" s="33"/>
      <c r="V798" s="16"/>
      <c r="W798" s="1"/>
      <c r="X798" s="1"/>
    </row>
    <row r="799" spans="1:24">
      <c r="A799" s="1"/>
      <c r="B799" s="16"/>
      <c r="C799" s="16"/>
      <c r="D799" s="16"/>
      <c r="E799" s="16"/>
      <c r="F799" s="16"/>
      <c r="G799" s="16"/>
      <c r="H799" s="16"/>
      <c r="I799" s="16"/>
      <c r="J799" s="16"/>
      <c r="K799" s="16"/>
      <c r="L799" s="16"/>
      <c r="M799" s="26"/>
      <c r="N799" s="26"/>
      <c r="O799" s="16"/>
      <c r="P799" s="1"/>
      <c r="Q799" s="1"/>
      <c r="R799" s="1"/>
      <c r="S799" s="1"/>
      <c r="T799" s="1"/>
      <c r="U799" s="33"/>
      <c r="V799" s="16"/>
      <c r="W799" s="1"/>
      <c r="X799" s="1"/>
    </row>
    <row r="800" spans="1:24">
      <c r="A800" s="1"/>
      <c r="B800" s="16"/>
      <c r="C800" s="16"/>
      <c r="D800" s="16"/>
      <c r="E800" s="16"/>
      <c r="F800" s="16"/>
      <c r="G800" s="16"/>
      <c r="H800" s="16"/>
      <c r="I800" s="16"/>
      <c r="J800" s="16"/>
      <c r="K800" s="16"/>
      <c r="L800" s="16"/>
      <c r="M800" s="26"/>
      <c r="N800" s="26"/>
      <c r="O800" s="16"/>
      <c r="P800" s="1"/>
      <c r="Q800" s="1"/>
      <c r="R800" s="1"/>
      <c r="S800" s="1"/>
      <c r="T800" s="1"/>
      <c r="U800" s="33"/>
      <c r="V800" s="16"/>
      <c r="W800" s="1"/>
      <c r="X800" s="1"/>
    </row>
    <row r="801" spans="1:24">
      <c r="A801" s="1"/>
      <c r="B801" s="16"/>
      <c r="C801" s="16"/>
      <c r="D801" s="16"/>
      <c r="E801" s="16"/>
      <c r="F801" s="16"/>
      <c r="G801" s="16"/>
      <c r="H801" s="16"/>
      <c r="I801" s="16"/>
      <c r="J801" s="16"/>
      <c r="K801" s="16"/>
      <c r="L801" s="16"/>
      <c r="M801" s="26"/>
      <c r="N801" s="26"/>
      <c r="O801" s="16"/>
      <c r="P801" s="1"/>
      <c r="Q801" s="1"/>
      <c r="R801" s="1"/>
      <c r="S801" s="1"/>
      <c r="T801" s="1"/>
      <c r="U801" s="33"/>
      <c r="V801" s="16"/>
      <c r="W801" s="1"/>
      <c r="X801" s="1"/>
    </row>
    <row r="802" spans="1:24">
      <c r="A802" s="1"/>
      <c r="B802" s="16"/>
      <c r="C802" s="16"/>
      <c r="D802" s="16"/>
      <c r="E802" s="16"/>
      <c r="F802" s="16"/>
      <c r="G802" s="16"/>
      <c r="H802" s="16"/>
      <c r="I802" s="16"/>
      <c r="J802" s="16"/>
      <c r="K802" s="16"/>
      <c r="L802" s="16"/>
      <c r="M802" s="26"/>
      <c r="N802" s="26"/>
      <c r="O802" s="16"/>
      <c r="P802" s="1"/>
      <c r="Q802" s="1"/>
      <c r="R802" s="1"/>
      <c r="S802" s="1"/>
      <c r="T802" s="1"/>
      <c r="U802" s="33"/>
      <c r="V802" s="16"/>
      <c r="W802" s="1"/>
      <c r="X802" s="1"/>
    </row>
    <row r="803" spans="1:24">
      <c r="A803" s="1"/>
      <c r="B803" s="16"/>
      <c r="C803" s="16"/>
      <c r="D803" s="16"/>
      <c r="E803" s="16"/>
      <c r="F803" s="16"/>
      <c r="G803" s="16"/>
      <c r="H803" s="16"/>
      <c r="I803" s="16"/>
      <c r="J803" s="16"/>
      <c r="K803" s="16"/>
      <c r="L803" s="16"/>
      <c r="M803" s="26"/>
      <c r="N803" s="26"/>
      <c r="O803" s="16"/>
      <c r="P803" s="1"/>
      <c r="Q803" s="1"/>
      <c r="R803" s="1"/>
      <c r="S803" s="1"/>
      <c r="T803" s="1"/>
      <c r="U803" s="33"/>
      <c r="V803" s="16"/>
      <c r="W803" s="1"/>
      <c r="X803" s="1"/>
    </row>
    <row r="804" spans="1:24">
      <c r="A804" s="1"/>
      <c r="B804" s="16"/>
      <c r="C804" s="16"/>
      <c r="D804" s="16"/>
      <c r="E804" s="16"/>
      <c r="F804" s="16"/>
      <c r="G804" s="16"/>
      <c r="H804" s="16"/>
      <c r="I804" s="16"/>
      <c r="J804" s="16"/>
      <c r="K804" s="16"/>
      <c r="L804" s="16"/>
      <c r="M804" s="26"/>
      <c r="N804" s="26"/>
      <c r="O804" s="16"/>
      <c r="P804" s="1"/>
      <c r="Q804" s="1"/>
      <c r="R804" s="1"/>
      <c r="S804" s="1"/>
      <c r="T804" s="1"/>
      <c r="U804" s="33"/>
      <c r="V804" s="16"/>
      <c r="W804" s="1"/>
      <c r="X804" s="1"/>
    </row>
    <row r="805" spans="1:24">
      <c r="A805" s="1"/>
      <c r="B805" s="16"/>
      <c r="C805" s="16"/>
      <c r="D805" s="16"/>
      <c r="E805" s="16"/>
      <c r="F805" s="16"/>
      <c r="G805" s="16"/>
      <c r="H805" s="16"/>
      <c r="I805" s="16"/>
      <c r="J805" s="16"/>
      <c r="K805" s="16"/>
      <c r="L805" s="16"/>
      <c r="M805" s="26"/>
      <c r="N805" s="26"/>
      <c r="O805" s="16"/>
      <c r="P805" s="1"/>
      <c r="Q805" s="1"/>
      <c r="R805" s="1"/>
      <c r="S805" s="1"/>
      <c r="T805" s="1"/>
      <c r="U805" s="33"/>
      <c r="V805" s="16"/>
      <c r="W805" s="1"/>
      <c r="X805" s="1"/>
    </row>
    <row r="806" spans="1:24">
      <c r="A806" s="1"/>
      <c r="B806" s="16"/>
      <c r="C806" s="16"/>
      <c r="D806" s="16"/>
      <c r="E806" s="16"/>
      <c r="F806" s="16"/>
      <c r="G806" s="16"/>
      <c r="H806" s="16"/>
      <c r="I806" s="16"/>
      <c r="J806" s="16"/>
      <c r="K806" s="16"/>
      <c r="L806" s="16"/>
      <c r="M806" s="26"/>
      <c r="N806" s="26"/>
      <c r="O806" s="16"/>
      <c r="P806" s="1"/>
      <c r="Q806" s="1"/>
      <c r="R806" s="1"/>
      <c r="S806" s="1"/>
      <c r="T806" s="1"/>
      <c r="U806" s="33"/>
      <c r="V806" s="16"/>
      <c r="W806" s="1"/>
      <c r="X806" s="1"/>
    </row>
    <row r="807" spans="1:24">
      <c r="A807" s="1"/>
      <c r="B807" s="16"/>
      <c r="C807" s="16"/>
      <c r="D807" s="16"/>
      <c r="E807" s="16"/>
      <c r="F807" s="16"/>
      <c r="G807" s="16"/>
      <c r="H807" s="16"/>
      <c r="I807" s="16"/>
      <c r="J807" s="16"/>
      <c r="K807" s="16"/>
      <c r="L807" s="16"/>
      <c r="M807" s="26"/>
      <c r="N807" s="26"/>
      <c r="O807" s="16"/>
      <c r="P807" s="1"/>
      <c r="Q807" s="1"/>
      <c r="R807" s="1"/>
      <c r="S807" s="1"/>
      <c r="T807" s="1"/>
      <c r="U807" s="33"/>
      <c r="V807" s="16"/>
      <c r="W807" s="1"/>
      <c r="X807" s="1"/>
    </row>
    <row r="808" spans="1:24">
      <c r="A808" s="1"/>
      <c r="B808" s="16"/>
      <c r="C808" s="16"/>
      <c r="D808" s="16"/>
      <c r="E808" s="16"/>
      <c r="F808" s="16"/>
      <c r="G808" s="16"/>
      <c r="H808" s="16"/>
      <c r="I808" s="16"/>
      <c r="J808" s="16"/>
      <c r="K808" s="16"/>
      <c r="L808" s="16"/>
      <c r="M808" s="26"/>
      <c r="N808" s="26"/>
      <c r="O808" s="16"/>
      <c r="P808" s="1"/>
      <c r="Q808" s="1"/>
      <c r="R808" s="1"/>
      <c r="S808" s="1"/>
      <c r="T808" s="1"/>
      <c r="U808" s="33"/>
      <c r="V808" s="16"/>
      <c r="W808" s="1"/>
      <c r="X808" s="1"/>
    </row>
    <row r="809" spans="1:24">
      <c r="A809" s="1"/>
      <c r="B809" s="16"/>
      <c r="C809" s="16"/>
      <c r="D809" s="16"/>
      <c r="E809" s="16"/>
      <c r="F809" s="16"/>
      <c r="G809" s="16"/>
      <c r="H809" s="16"/>
      <c r="I809" s="16"/>
      <c r="J809" s="16"/>
      <c r="K809" s="16"/>
      <c r="L809" s="16"/>
      <c r="M809" s="26"/>
      <c r="N809" s="26"/>
      <c r="O809" s="16"/>
      <c r="P809" s="1"/>
      <c r="Q809" s="1"/>
      <c r="R809" s="1"/>
      <c r="S809" s="1"/>
      <c r="T809" s="1"/>
      <c r="U809" s="33"/>
      <c r="V809" s="16"/>
      <c r="W809" s="1"/>
      <c r="X809" s="1"/>
    </row>
    <row r="810" spans="1:24">
      <c r="A810" s="1"/>
      <c r="B810" s="16"/>
      <c r="C810" s="16"/>
      <c r="D810" s="16"/>
      <c r="E810" s="16"/>
      <c r="F810" s="16"/>
      <c r="G810" s="16"/>
      <c r="H810" s="16"/>
      <c r="I810" s="16"/>
      <c r="J810" s="16"/>
      <c r="K810" s="16"/>
      <c r="L810" s="16"/>
      <c r="M810" s="26"/>
      <c r="N810" s="26"/>
      <c r="O810" s="16"/>
      <c r="P810" s="1"/>
      <c r="Q810" s="1"/>
      <c r="R810" s="1"/>
      <c r="S810" s="1"/>
      <c r="T810" s="1"/>
      <c r="U810" s="33"/>
      <c r="V810" s="16"/>
      <c r="W810" s="1"/>
      <c r="X810" s="1"/>
    </row>
    <row r="811" spans="1:24">
      <c r="A811" s="1"/>
      <c r="B811" s="16"/>
      <c r="C811" s="16"/>
      <c r="D811" s="16"/>
      <c r="E811" s="16"/>
      <c r="F811" s="16"/>
      <c r="G811" s="16"/>
      <c r="H811" s="16"/>
      <c r="I811" s="16"/>
      <c r="J811" s="16"/>
      <c r="K811" s="16"/>
      <c r="L811" s="16"/>
      <c r="M811" s="26"/>
      <c r="N811" s="26"/>
      <c r="O811" s="16"/>
      <c r="P811" s="1"/>
      <c r="Q811" s="1"/>
      <c r="R811" s="1"/>
      <c r="S811" s="1"/>
      <c r="T811" s="1"/>
      <c r="U811" s="33"/>
      <c r="V811" s="16"/>
      <c r="W811" s="1"/>
      <c r="X811" s="1"/>
    </row>
    <row r="812" spans="1:24">
      <c r="A812" s="1"/>
      <c r="B812" s="16"/>
      <c r="C812" s="16"/>
      <c r="D812" s="16"/>
      <c r="E812" s="16"/>
      <c r="F812" s="16"/>
      <c r="G812" s="16"/>
      <c r="H812" s="16"/>
      <c r="I812" s="16"/>
      <c r="J812" s="16"/>
      <c r="K812" s="16"/>
      <c r="L812" s="16"/>
      <c r="M812" s="26"/>
      <c r="N812" s="26"/>
      <c r="O812" s="16"/>
      <c r="P812" s="1"/>
      <c r="Q812" s="1"/>
      <c r="R812" s="1"/>
      <c r="S812" s="1"/>
      <c r="T812" s="1"/>
      <c r="U812" s="33"/>
      <c r="V812" s="16"/>
      <c r="W812" s="1"/>
      <c r="X812" s="1"/>
    </row>
    <row r="813" spans="1:24">
      <c r="A813" s="1"/>
      <c r="B813" s="16"/>
      <c r="C813" s="16"/>
      <c r="D813" s="16"/>
      <c r="E813" s="16"/>
      <c r="F813" s="16"/>
      <c r="G813" s="16"/>
      <c r="H813" s="16"/>
      <c r="I813" s="16"/>
      <c r="J813" s="16"/>
      <c r="K813" s="16"/>
      <c r="L813" s="16"/>
      <c r="M813" s="26"/>
      <c r="N813" s="26"/>
      <c r="O813" s="16"/>
      <c r="P813" s="1"/>
      <c r="Q813" s="1"/>
      <c r="R813" s="1"/>
      <c r="S813" s="1"/>
      <c r="T813" s="1"/>
      <c r="U813" s="33"/>
      <c r="V813" s="16"/>
      <c r="W813" s="1"/>
      <c r="X813" s="1"/>
    </row>
    <row r="814" spans="1:24">
      <c r="A814" s="1"/>
      <c r="B814" s="16"/>
      <c r="C814" s="16"/>
      <c r="D814" s="16"/>
      <c r="E814" s="16"/>
      <c r="F814" s="16"/>
      <c r="G814" s="16"/>
      <c r="H814" s="16"/>
      <c r="I814" s="16"/>
      <c r="J814" s="16"/>
      <c r="K814" s="16"/>
      <c r="L814" s="16"/>
      <c r="M814" s="26"/>
      <c r="N814" s="26"/>
      <c r="O814" s="16"/>
      <c r="P814" s="1"/>
      <c r="Q814" s="1"/>
      <c r="R814" s="1"/>
      <c r="S814" s="1"/>
      <c r="T814" s="1"/>
      <c r="U814" s="33"/>
      <c r="V814" s="16"/>
      <c r="W814" s="1"/>
      <c r="X814" s="1"/>
    </row>
    <row r="815" spans="1:24">
      <c r="A815" s="1"/>
      <c r="B815" s="16"/>
      <c r="C815" s="16"/>
      <c r="D815" s="16"/>
      <c r="E815" s="16"/>
      <c r="F815" s="16"/>
      <c r="G815" s="16"/>
      <c r="H815" s="16"/>
      <c r="I815" s="16"/>
      <c r="J815" s="16"/>
      <c r="K815" s="16"/>
      <c r="L815" s="16"/>
      <c r="M815" s="26"/>
      <c r="N815" s="26"/>
      <c r="O815" s="16"/>
      <c r="P815" s="1"/>
      <c r="Q815" s="1"/>
      <c r="R815" s="1"/>
      <c r="S815" s="1"/>
      <c r="T815" s="1"/>
      <c r="U815" s="33"/>
      <c r="V815" s="16"/>
      <c r="W815" s="1"/>
      <c r="X815" s="1"/>
    </row>
    <row r="816" spans="1:24">
      <c r="A816" s="1"/>
      <c r="B816" s="16"/>
      <c r="C816" s="16"/>
      <c r="D816" s="16"/>
      <c r="E816" s="16"/>
      <c r="F816" s="16"/>
      <c r="G816" s="16"/>
      <c r="H816" s="16"/>
      <c r="I816" s="16"/>
      <c r="J816" s="16"/>
      <c r="K816" s="16"/>
      <c r="L816" s="16"/>
      <c r="M816" s="26"/>
      <c r="N816" s="26"/>
      <c r="O816" s="16"/>
      <c r="P816" s="1"/>
      <c r="Q816" s="1"/>
      <c r="R816" s="1"/>
      <c r="S816" s="1"/>
      <c r="T816" s="1"/>
      <c r="U816" s="33"/>
      <c r="V816" s="16"/>
      <c r="W816" s="1"/>
      <c r="X816" s="1"/>
    </row>
    <row r="817" spans="1:24">
      <c r="A817" s="1"/>
      <c r="B817" s="16"/>
      <c r="C817" s="16"/>
      <c r="D817" s="16"/>
      <c r="E817" s="16"/>
      <c r="F817" s="16"/>
      <c r="G817" s="16"/>
      <c r="H817" s="16"/>
      <c r="I817" s="16"/>
      <c r="J817" s="16"/>
      <c r="K817" s="16"/>
      <c r="L817" s="16"/>
      <c r="M817" s="26"/>
      <c r="N817" s="26"/>
      <c r="O817" s="16"/>
      <c r="P817" s="1"/>
      <c r="Q817" s="1"/>
      <c r="R817" s="1"/>
      <c r="S817" s="1"/>
      <c r="T817" s="1"/>
      <c r="U817" s="33"/>
      <c r="V817" s="16"/>
      <c r="W817" s="1"/>
      <c r="X817" s="1"/>
    </row>
    <row r="818" spans="1:24">
      <c r="A818" s="1"/>
      <c r="B818" s="16"/>
      <c r="C818" s="16"/>
      <c r="D818" s="16"/>
      <c r="E818" s="16"/>
      <c r="F818" s="16"/>
      <c r="G818" s="16"/>
      <c r="H818" s="16"/>
      <c r="I818" s="16"/>
      <c r="J818" s="16"/>
      <c r="K818" s="16"/>
      <c r="L818" s="16"/>
      <c r="M818" s="26"/>
      <c r="N818" s="26"/>
      <c r="O818" s="16"/>
      <c r="P818" s="1"/>
      <c r="Q818" s="1"/>
      <c r="R818" s="1"/>
      <c r="S818" s="1"/>
      <c r="T818" s="1"/>
      <c r="U818" s="33"/>
      <c r="V818" s="16"/>
      <c r="W818" s="1"/>
      <c r="X818" s="1"/>
    </row>
    <row r="819" spans="1:24">
      <c r="A819" s="1"/>
      <c r="B819" s="16"/>
      <c r="C819" s="16"/>
      <c r="D819" s="16"/>
      <c r="E819" s="16"/>
      <c r="F819" s="16"/>
      <c r="G819" s="16"/>
      <c r="H819" s="16"/>
      <c r="I819" s="16"/>
      <c r="J819" s="16"/>
      <c r="K819" s="16"/>
      <c r="L819" s="16"/>
      <c r="M819" s="26"/>
      <c r="N819" s="26"/>
      <c r="O819" s="16"/>
      <c r="P819" s="1"/>
      <c r="Q819" s="1"/>
      <c r="R819" s="1"/>
      <c r="S819" s="1"/>
      <c r="T819" s="1"/>
      <c r="U819" s="33"/>
      <c r="V819" s="16"/>
      <c r="W819" s="1"/>
      <c r="X819" s="1"/>
    </row>
    <row r="820" spans="1:24">
      <c r="A820" s="1"/>
      <c r="B820" s="16"/>
      <c r="C820" s="16"/>
      <c r="D820" s="16"/>
      <c r="E820" s="16"/>
      <c r="F820" s="16"/>
      <c r="G820" s="16"/>
      <c r="H820" s="16"/>
      <c r="I820" s="16"/>
      <c r="J820" s="16"/>
      <c r="K820" s="16"/>
      <c r="L820" s="16"/>
      <c r="M820" s="26"/>
      <c r="N820" s="26"/>
      <c r="O820" s="16"/>
      <c r="P820" s="1"/>
      <c r="Q820" s="1"/>
      <c r="R820" s="1"/>
      <c r="S820" s="1"/>
      <c r="T820" s="1"/>
      <c r="U820" s="33"/>
      <c r="V820" s="16"/>
      <c r="W820" s="1"/>
      <c r="X820" s="1"/>
    </row>
    <row r="821" spans="1:24">
      <c r="A821" s="1"/>
      <c r="B821" s="16"/>
      <c r="C821" s="16"/>
      <c r="D821" s="16"/>
      <c r="E821" s="16"/>
      <c r="F821" s="16"/>
      <c r="G821" s="16"/>
      <c r="H821" s="16"/>
      <c r="I821" s="16"/>
      <c r="J821" s="16"/>
      <c r="K821" s="16"/>
      <c r="L821" s="16"/>
      <c r="M821" s="26"/>
      <c r="N821" s="26"/>
      <c r="O821" s="16"/>
      <c r="P821" s="1"/>
      <c r="Q821" s="1"/>
      <c r="R821" s="1"/>
      <c r="S821" s="1"/>
      <c r="T821" s="1"/>
      <c r="U821" s="33"/>
      <c r="V821" s="16"/>
      <c r="W821" s="1"/>
      <c r="X821" s="1"/>
    </row>
    <row r="822" spans="1:24">
      <c r="A822" s="1"/>
      <c r="B822" s="16"/>
      <c r="C822" s="16"/>
      <c r="D822" s="16"/>
      <c r="E822" s="16"/>
      <c r="F822" s="16"/>
      <c r="G822" s="16"/>
      <c r="H822" s="16"/>
      <c r="I822" s="16"/>
      <c r="J822" s="16"/>
      <c r="K822" s="16"/>
      <c r="L822" s="16"/>
      <c r="M822" s="26"/>
      <c r="N822" s="26"/>
      <c r="O822" s="16"/>
      <c r="P822" s="1"/>
      <c r="Q822" s="1"/>
      <c r="R822" s="1"/>
      <c r="S822" s="1"/>
      <c r="T822" s="1"/>
      <c r="U822" s="33"/>
      <c r="V822" s="16"/>
      <c r="W822" s="1"/>
      <c r="X822" s="1"/>
    </row>
    <row r="823" spans="1:24">
      <c r="A823" s="1"/>
      <c r="B823" s="16"/>
      <c r="C823" s="16"/>
      <c r="D823" s="16"/>
      <c r="E823" s="16"/>
      <c r="F823" s="16"/>
      <c r="G823" s="16"/>
      <c r="H823" s="16"/>
      <c r="I823" s="16"/>
      <c r="J823" s="16"/>
      <c r="K823" s="16"/>
      <c r="L823" s="16"/>
      <c r="M823" s="26"/>
      <c r="N823" s="26"/>
      <c r="O823" s="16"/>
      <c r="P823" s="1"/>
      <c r="Q823" s="1"/>
      <c r="R823" s="1"/>
      <c r="S823" s="1"/>
      <c r="T823" s="1"/>
      <c r="U823" s="33"/>
      <c r="V823" s="16"/>
      <c r="W823" s="1"/>
      <c r="X823" s="1"/>
    </row>
    <row r="824" spans="1:24">
      <c r="A824" s="1"/>
      <c r="B824" s="16"/>
      <c r="C824" s="16"/>
      <c r="D824" s="16"/>
      <c r="E824" s="16"/>
      <c r="F824" s="16"/>
      <c r="G824" s="16"/>
      <c r="H824" s="16"/>
      <c r="I824" s="16"/>
      <c r="J824" s="16"/>
      <c r="K824" s="16"/>
      <c r="L824" s="16"/>
      <c r="M824" s="26"/>
      <c r="N824" s="26"/>
      <c r="O824" s="16"/>
      <c r="P824" s="1"/>
      <c r="Q824" s="1"/>
      <c r="R824" s="1"/>
      <c r="S824" s="1"/>
      <c r="T824" s="1"/>
      <c r="U824" s="33"/>
      <c r="V824" s="16"/>
      <c r="W824" s="1"/>
      <c r="X824" s="1"/>
    </row>
    <row r="825" spans="1:24">
      <c r="A825" s="1"/>
      <c r="B825" s="16"/>
      <c r="C825" s="16"/>
      <c r="D825" s="16"/>
      <c r="E825" s="16"/>
      <c r="F825" s="16"/>
      <c r="G825" s="16"/>
      <c r="H825" s="16"/>
      <c r="I825" s="16"/>
      <c r="J825" s="16"/>
      <c r="K825" s="16"/>
      <c r="L825" s="16"/>
      <c r="M825" s="26"/>
      <c r="N825" s="26"/>
      <c r="O825" s="16"/>
      <c r="P825" s="1"/>
      <c r="Q825" s="1"/>
      <c r="R825" s="1"/>
      <c r="S825" s="1"/>
      <c r="T825" s="1"/>
      <c r="U825" s="33"/>
      <c r="V825" s="16"/>
      <c r="W825" s="1"/>
      <c r="X825" s="1"/>
    </row>
    <row r="826" spans="1:24">
      <c r="A826" s="1"/>
      <c r="B826" s="16"/>
      <c r="C826" s="16"/>
      <c r="D826" s="16"/>
      <c r="E826" s="16"/>
      <c r="F826" s="16"/>
      <c r="G826" s="16"/>
      <c r="H826" s="16"/>
      <c r="I826" s="16"/>
      <c r="J826" s="16"/>
      <c r="K826" s="16"/>
      <c r="L826" s="16"/>
      <c r="M826" s="26"/>
      <c r="N826" s="26"/>
      <c r="O826" s="16"/>
      <c r="P826" s="1"/>
      <c r="Q826" s="1"/>
      <c r="R826" s="1"/>
      <c r="S826" s="1"/>
      <c r="T826" s="1"/>
      <c r="U826" s="33"/>
      <c r="V826" s="16"/>
      <c r="W826" s="1"/>
      <c r="X826" s="1"/>
    </row>
    <row r="827" spans="1:24">
      <c r="A827" s="1"/>
      <c r="B827" s="16"/>
      <c r="C827" s="16"/>
      <c r="D827" s="16"/>
      <c r="E827" s="16"/>
      <c r="F827" s="16"/>
      <c r="G827" s="16"/>
      <c r="H827" s="16"/>
      <c r="I827" s="16"/>
      <c r="J827" s="16"/>
      <c r="K827" s="16"/>
      <c r="L827" s="16"/>
      <c r="M827" s="26"/>
      <c r="N827" s="26"/>
      <c r="O827" s="16"/>
      <c r="P827" s="1"/>
      <c r="Q827" s="1"/>
      <c r="R827" s="1"/>
      <c r="S827" s="1"/>
      <c r="T827" s="1"/>
      <c r="U827" s="33"/>
      <c r="V827" s="16"/>
      <c r="W827" s="1"/>
      <c r="X827" s="1"/>
    </row>
    <row r="828" spans="1:24">
      <c r="A828" s="1"/>
      <c r="B828" s="16"/>
      <c r="C828" s="16"/>
      <c r="D828" s="16"/>
      <c r="E828" s="16"/>
      <c r="F828" s="16"/>
      <c r="G828" s="16"/>
      <c r="H828" s="16"/>
      <c r="I828" s="16"/>
      <c r="J828" s="16"/>
      <c r="K828" s="16"/>
      <c r="L828" s="16"/>
      <c r="M828" s="26"/>
      <c r="N828" s="26"/>
      <c r="O828" s="16"/>
      <c r="P828" s="1"/>
      <c r="Q828" s="1"/>
      <c r="R828" s="1"/>
      <c r="S828" s="1"/>
      <c r="T828" s="1"/>
      <c r="U828" s="33"/>
      <c r="V828" s="16"/>
      <c r="W828" s="1"/>
      <c r="X828" s="1"/>
    </row>
    <row r="829" spans="1:24">
      <c r="A829" s="1"/>
      <c r="B829" s="16"/>
      <c r="C829" s="16"/>
      <c r="D829" s="16"/>
      <c r="E829" s="16"/>
      <c r="F829" s="16"/>
      <c r="G829" s="16"/>
      <c r="H829" s="16"/>
      <c r="I829" s="16"/>
      <c r="J829" s="16"/>
      <c r="K829" s="16"/>
      <c r="L829" s="16"/>
      <c r="M829" s="26"/>
      <c r="N829" s="26"/>
      <c r="O829" s="16"/>
      <c r="P829" s="1"/>
      <c r="Q829" s="1"/>
      <c r="R829" s="1"/>
      <c r="S829" s="1"/>
      <c r="T829" s="1"/>
      <c r="U829" s="33"/>
      <c r="V829" s="16"/>
      <c r="W829" s="1"/>
      <c r="X829" s="1"/>
    </row>
    <row r="830" spans="1:24">
      <c r="A830" s="1"/>
      <c r="B830" s="16"/>
      <c r="C830" s="16"/>
      <c r="D830" s="16"/>
      <c r="E830" s="16"/>
      <c r="F830" s="16"/>
      <c r="G830" s="16"/>
      <c r="H830" s="16"/>
      <c r="I830" s="16"/>
      <c r="J830" s="16"/>
      <c r="K830" s="16"/>
      <c r="L830" s="16"/>
      <c r="M830" s="26"/>
      <c r="N830" s="26"/>
      <c r="O830" s="16"/>
      <c r="P830" s="1"/>
      <c r="Q830" s="1"/>
      <c r="R830" s="1"/>
      <c r="S830" s="1"/>
      <c r="T830" s="1"/>
      <c r="U830" s="33"/>
      <c r="V830" s="16"/>
      <c r="W830" s="1"/>
      <c r="X830" s="1"/>
    </row>
    <row r="831" spans="1:24">
      <c r="A831" s="1"/>
      <c r="B831" s="16"/>
      <c r="C831" s="16"/>
      <c r="D831" s="16"/>
      <c r="E831" s="16"/>
      <c r="F831" s="16"/>
      <c r="G831" s="16"/>
      <c r="H831" s="16"/>
      <c r="I831" s="16"/>
      <c r="J831" s="16"/>
      <c r="K831" s="16"/>
      <c r="L831" s="16"/>
      <c r="M831" s="26"/>
      <c r="N831" s="26"/>
      <c r="O831" s="16"/>
      <c r="P831" s="1"/>
      <c r="Q831" s="1"/>
      <c r="R831" s="1"/>
      <c r="S831" s="1"/>
      <c r="T831" s="1"/>
      <c r="U831" s="33"/>
      <c r="V831" s="16"/>
      <c r="W831" s="1"/>
      <c r="X831" s="1"/>
    </row>
    <row r="832" spans="1:24">
      <c r="A832" s="1"/>
      <c r="B832" s="16"/>
      <c r="C832" s="16"/>
      <c r="D832" s="16"/>
      <c r="E832" s="16"/>
      <c r="F832" s="16"/>
      <c r="G832" s="16"/>
      <c r="H832" s="16"/>
      <c r="I832" s="16"/>
      <c r="J832" s="16"/>
      <c r="K832" s="16"/>
      <c r="L832" s="16"/>
      <c r="M832" s="26"/>
      <c r="N832" s="26"/>
      <c r="O832" s="16"/>
      <c r="P832" s="1"/>
      <c r="Q832" s="1"/>
      <c r="R832" s="1"/>
      <c r="S832" s="1"/>
      <c r="T832" s="1"/>
      <c r="U832" s="33"/>
      <c r="V832" s="16"/>
      <c r="W832" s="1"/>
      <c r="X832" s="1"/>
    </row>
    <row r="833" spans="1:24">
      <c r="A833" s="1"/>
      <c r="B833" s="16"/>
      <c r="C833" s="16"/>
      <c r="D833" s="16"/>
      <c r="E833" s="16"/>
      <c r="F833" s="16"/>
      <c r="G833" s="16"/>
      <c r="H833" s="16"/>
      <c r="I833" s="16"/>
      <c r="J833" s="16"/>
      <c r="K833" s="16"/>
      <c r="L833" s="16"/>
      <c r="M833" s="26"/>
      <c r="N833" s="26"/>
      <c r="O833" s="16"/>
      <c r="P833" s="1"/>
      <c r="Q833" s="1"/>
      <c r="R833" s="1"/>
      <c r="S833" s="1"/>
      <c r="T833" s="1"/>
      <c r="U833" s="33"/>
      <c r="V833" s="16"/>
      <c r="W833" s="1"/>
      <c r="X833" s="1"/>
    </row>
    <row r="834" spans="1:24">
      <c r="A834" s="1"/>
      <c r="B834" s="16"/>
      <c r="C834" s="16"/>
      <c r="D834" s="16"/>
      <c r="E834" s="16"/>
      <c r="F834" s="16"/>
      <c r="G834" s="16"/>
      <c r="H834" s="16"/>
      <c r="I834" s="16"/>
      <c r="J834" s="16"/>
      <c r="K834" s="16"/>
      <c r="L834" s="16"/>
      <c r="M834" s="26"/>
      <c r="N834" s="26"/>
      <c r="O834" s="16"/>
      <c r="P834" s="1"/>
      <c r="Q834" s="1"/>
      <c r="R834" s="1"/>
      <c r="S834" s="1"/>
      <c r="T834" s="1"/>
      <c r="U834" s="33"/>
      <c r="V834" s="16"/>
      <c r="W834" s="1"/>
      <c r="X834" s="1"/>
    </row>
    <row r="835" spans="1:24">
      <c r="A835" s="1"/>
      <c r="B835" s="16"/>
      <c r="C835" s="16"/>
      <c r="D835" s="16"/>
      <c r="E835" s="16"/>
      <c r="F835" s="16"/>
      <c r="G835" s="16"/>
      <c r="H835" s="16"/>
      <c r="I835" s="16"/>
      <c r="J835" s="16"/>
      <c r="K835" s="16"/>
      <c r="L835" s="16"/>
      <c r="M835" s="26"/>
      <c r="N835" s="26"/>
      <c r="O835" s="16"/>
      <c r="P835" s="1"/>
      <c r="Q835" s="1"/>
      <c r="R835" s="1"/>
      <c r="S835" s="1"/>
      <c r="T835" s="1"/>
      <c r="U835" s="33"/>
      <c r="V835" s="16"/>
      <c r="W835" s="1"/>
      <c r="X835" s="1"/>
    </row>
    <row r="836" spans="1:24">
      <c r="A836" s="1"/>
      <c r="B836" s="16"/>
      <c r="C836" s="16"/>
      <c r="D836" s="16"/>
      <c r="E836" s="16"/>
      <c r="F836" s="16"/>
      <c r="G836" s="16"/>
      <c r="H836" s="16"/>
      <c r="I836" s="16"/>
      <c r="J836" s="16"/>
      <c r="K836" s="16"/>
      <c r="L836" s="16"/>
      <c r="M836" s="26"/>
      <c r="N836" s="26"/>
      <c r="O836" s="16"/>
      <c r="P836" s="1"/>
      <c r="Q836" s="1"/>
      <c r="R836" s="1"/>
      <c r="S836" s="1"/>
      <c r="T836" s="1"/>
      <c r="U836" s="33"/>
      <c r="V836" s="16"/>
      <c r="W836" s="1"/>
      <c r="X836" s="1"/>
    </row>
    <row r="837" spans="1:24">
      <c r="A837" s="1"/>
      <c r="B837" s="16"/>
      <c r="C837" s="16"/>
      <c r="D837" s="16"/>
      <c r="E837" s="16"/>
      <c r="F837" s="16"/>
      <c r="G837" s="16"/>
      <c r="H837" s="16"/>
      <c r="I837" s="16"/>
      <c r="J837" s="16"/>
      <c r="K837" s="16"/>
      <c r="L837" s="16"/>
      <c r="M837" s="26"/>
      <c r="N837" s="26"/>
      <c r="O837" s="16"/>
      <c r="P837" s="1"/>
      <c r="Q837" s="1"/>
      <c r="R837" s="1"/>
      <c r="S837" s="1"/>
      <c r="T837" s="1"/>
      <c r="U837" s="33"/>
      <c r="V837" s="16"/>
      <c r="W837" s="1"/>
      <c r="X837" s="1"/>
    </row>
    <row r="838" spans="1:24">
      <c r="A838" s="1"/>
      <c r="B838" s="16"/>
      <c r="C838" s="16"/>
      <c r="D838" s="16"/>
      <c r="E838" s="16"/>
      <c r="F838" s="16"/>
      <c r="G838" s="16"/>
      <c r="H838" s="16"/>
      <c r="I838" s="16"/>
      <c r="J838" s="16"/>
      <c r="K838" s="16"/>
      <c r="L838" s="16"/>
      <c r="M838" s="26"/>
      <c r="N838" s="26"/>
      <c r="O838" s="16"/>
      <c r="P838" s="1"/>
      <c r="Q838" s="1"/>
      <c r="R838" s="1"/>
      <c r="S838" s="1"/>
      <c r="T838" s="1"/>
      <c r="U838" s="33"/>
      <c r="V838" s="16"/>
      <c r="W838" s="1"/>
      <c r="X838" s="1"/>
    </row>
    <row r="839" spans="1:24">
      <c r="A839" s="1"/>
      <c r="B839" s="16"/>
      <c r="C839" s="16"/>
      <c r="D839" s="16"/>
      <c r="E839" s="16"/>
      <c r="F839" s="16"/>
      <c r="G839" s="16"/>
      <c r="H839" s="16"/>
      <c r="I839" s="16"/>
      <c r="J839" s="16"/>
      <c r="K839" s="16"/>
      <c r="L839" s="16"/>
      <c r="M839" s="26"/>
      <c r="N839" s="26"/>
      <c r="O839" s="16"/>
      <c r="P839" s="1"/>
      <c r="Q839" s="1"/>
      <c r="R839" s="1"/>
      <c r="S839" s="1"/>
      <c r="T839" s="1"/>
      <c r="U839" s="33"/>
      <c r="V839" s="16"/>
      <c r="W839" s="1"/>
      <c r="X839" s="1"/>
    </row>
    <row r="840" spans="1:24">
      <c r="A840" s="1"/>
      <c r="B840" s="16"/>
      <c r="C840" s="16"/>
      <c r="D840" s="16"/>
      <c r="E840" s="16"/>
      <c r="F840" s="16"/>
      <c r="G840" s="16"/>
      <c r="H840" s="16"/>
      <c r="I840" s="16"/>
      <c r="J840" s="16"/>
      <c r="K840" s="16"/>
      <c r="L840" s="16"/>
      <c r="M840" s="26"/>
      <c r="N840" s="26"/>
      <c r="O840" s="16"/>
      <c r="P840" s="1"/>
      <c r="Q840" s="1"/>
      <c r="R840" s="1"/>
      <c r="S840" s="1"/>
      <c r="T840" s="1"/>
      <c r="U840" s="33"/>
      <c r="V840" s="16"/>
      <c r="W840" s="1"/>
      <c r="X840" s="1"/>
    </row>
    <row r="841" spans="1:24">
      <c r="A841" s="1"/>
      <c r="B841" s="16"/>
      <c r="C841" s="16"/>
      <c r="D841" s="16"/>
      <c r="E841" s="16"/>
      <c r="F841" s="16"/>
      <c r="G841" s="16"/>
      <c r="H841" s="16"/>
      <c r="I841" s="16"/>
      <c r="J841" s="16"/>
      <c r="K841" s="16"/>
      <c r="L841" s="16"/>
      <c r="M841" s="26"/>
      <c r="N841" s="26"/>
      <c r="O841" s="16"/>
      <c r="P841" s="1"/>
      <c r="Q841" s="1"/>
      <c r="R841" s="1"/>
      <c r="S841" s="1"/>
      <c r="T841" s="1"/>
      <c r="U841" s="33"/>
      <c r="V841" s="16"/>
      <c r="W841" s="1"/>
      <c r="X841" s="1"/>
    </row>
    <row r="842" spans="1:24">
      <c r="A842" s="1"/>
      <c r="B842" s="16"/>
      <c r="C842" s="16"/>
      <c r="D842" s="16"/>
      <c r="E842" s="16"/>
      <c r="F842" s="16"/>
      <c r="G842" s="16"/>
      <c r="H842" s="16"/>
      <c r="I842" s="16"/>
      <c r="J842" s="16"/>
      <c r="K842" s="16"/>
      <c r="L842" s="16"/>
      <c r="M842" s="26"/>
      <c r="N842" s="26"/>
      <c r="O842" s="16"/>
      <c r="P842" s="1"/>
      <c r="Q842" s="1"/>
      <c r="R842" s="1"/>
      <c r="S842" s="1"/>
      <c r="T842" s="1"/>
      <c r="U842" s="33"/>
      <c r="V842" s="16"/>
      <c r="W842" s="1"/>
      <c r="X842" s="1"/>
    </row>
    <row r="843" spans="1:24">
      <c r="A843" s="1"/>
      <c r="B843" s="16"/>
      <c r="C843" s="16"/>
      <c r="D843" s="16"/>
      <c r="E843" s="16"/>
      <c r="F843" s="16"/>
      <c r="G843" s="16"/>
      <c r="H843" s="16"/>
      <c r="I843" s="16"/>
      <c r="J843" s="16"/>
      <c r="K843" s="16"/>
      <c r="L843" s="16"/>
      <c r="M843" s="26"/>
      <c r="N843" s="26"/>
      <c r="O843" s="16"/>
      <c r="P843" s="1"/>
      <c r="Q843" s="1"/>
      <c r="R843" s="1"/>
      <c r="S843" s="1"/>
      <c r="T843" s="1"/>
      <c r="U843" s="33"/>
      <c r="V843" s="16"/>
      <c r="W843" s="1"/>
      <c r="X843" s="1"/>
    </row>
    <row r="844" spans="1:24">
      <c r="A844" s="1"/>
      <c r="B844" s="16"/>
      <c r="C844" s="16"/>
      <c r="D844" s="16"/>
      <c r="E844" s="16"/>
      <c r="F844" s="16"/>
      <c r="G844" s="16"/>
      <c r="H844" s="16"/>
      <c r="I844" s="16"/>
      <c r="J844" s="16"/>
      <c r="K844" s="16"/>
      <c r="L844" s="16"/>
      <c r="M844" s="26"/>
      <c r="N844" s="26"/>
      <c r="O844" s="16"/>
      <c r="P844" s="1"/>
      <c r="Q844" s="1"/>
      <c r="R844" s="1"/>
      <c r="S844" s="1"/>
      <c r="T844" s="1"/>
      <c r="U844" s="33"/>
      <c r="V844" s="16"/>
      <c r="W844" s="1"/>
      <c r="X844" s="1"/>
    </row>
    <row r="845" spans="1:24">
      <c r="A845" s="1"/>
      <c r="B845" s="16"/>
      <c r="C845" s="16"/>
      <c r="D845" s="16"/>
      <c r="E845" s="16"/>
      <c r="F845" s="16"/>
      <c r="G845" s="16"/>
      <c r="H845" s="16"/>
      <c r="I845" s="16"/>
      <c r="J845" s="16"/>
      <c r="K845" s="16"/>
      <c r="L845" s="16"/>
      <c r="M845" s="26"/>
      <c r="N845" s="26"/>
      <c r="O845" s="16"/>
      <c r="P845" s="1"/>
      <c r="Q845" s="1"/>
      <c r="R845" s="1"/>
      <c r="S845" s="1"/>
      <c r="T845" s="1"/>
      <c r="U845" s="33"/>
      <c r="V845" s="16"/>
      <c r="W845" s="1"/>
      <c r="X845" s="1"/>
    </row>
    <row r="846" spans="1:24">
      <c r="A846" s="1"/>
      <c r="B846" s="16"/>
      <c r="C846" s="16"/>
      <c r="D846" s="16"/>
      <c r="E846" s="16"/>
      <c r="F846" s="16"/>
      <c r="G846" s="16"/>
      <c r="H846" s="16"/>
      <c r="I846" s="16"/>
      <c r="J846" s="16"/>
      <c r="K846" s="16"/>
      <c r="L846" s="16"/>
      <c r="M846" s="26"/>
      <c r="N846" s="26"/>
      <c r="O846" s="16"/>
      <c r="P846" s="1"/>
      <c r="Q846" s="1"/>
      <c r="R846" s="1"/>
      <c r="S846" s="1"/>
      <c r="T846" s="1"/>
      <c r="U846" s="33"/>
      <c r="V846" s="16"/>
      <c r="W846" s="1"/>
      <c r="X846" s="1"/>
    </row>
    <row r="847" spans="1:24">
      <c r="A847" s="1"/>
      <c r="B847" s="16"/>
      <c r="C847" s="16"/>
      <c r="D847" s="16"/>
      <c r="E847" s="16"/>
      <c r="F847" s="16"/>
      <c r="G847" s="16"/>
      <c r="H847" s="16"/>
      <c r="I847" s="16"/>
      <c r="J847" s="16"/>
      <c r="K847" s="16"/>
      <c r="L847" s="16"/>
      <c r="M847" s="26"/>
      <c r="N847" s="26"/>
      <c r="O847" s="16"/>
      <c r="P847" s="1"/>
      <c r="Q847" s="1"/>
      <c r="R847" s="1"/>
      <c r="S847" s="1"/>
      <c r="T847" s="1"/>
      <c r="U847" s="33"/>
      <c r="V847" s="16"/>
      <c r="W847" s="1"/>
      <c r="X847" s="1"/>
    </row>
    <row r="848" spans="1:24">
      <c r="A848" s="1"/>
      <c r="B848" s="16"/>
      <c r="C848" s="16"/>
      <c r="D848" s="16"/>
      <c r="E848" s="16"/>
      <c r="F848" s="16"/>
      <c r="G848" s="16"/>
      <c r="H848" s="16"/>
      <c r="I848" s="16"/>
      <c r="J848" s="16"/>
      <c r="K848" s="16"/>
      <c r="L848" s="16"/>
      <c r="M848" s="26"/>
      <c r="N848" s="26"/>
      <c r="O848" s="16"/>
      <c r="P848" s="1"/>
      <c r="Q848" s="1"/>
      <c r="R848" s="1"/>
      <c r="S848" s="1"/>
      <c r="T848" s="1"/>
      <c r="U848" s="33"/>
      <c r="V848" s="16"/>
      <c r="W848" s="1"/>
      <c r="X848" s="1"/>
    </row>
    <row r="849" spans="1:24">
      <c r="A849" s="1"/>
      <c r="B849" s="16"/>
      <c r="C849" s="16"/>
      <c r="D849" s="16"/>
      <c r="E849" s="16"/>
      <c r="F849" s="16"/>
      <c r="G849" s="16"/>
      <c r="H849" s="16"/>
      <c r="I849" s="16"/>
      <c r="J849" s="16"/>
      <c r="K849" s="16"/>
      <c r="L849" s="16"/>
      <c r="M849" s="26"/>
      <c r="N849" s="26"/>
      <c r="O849" s="16"/>
      <c r="P849" s="1"/>
      <c r="Q849" s="1"/>
      <c r="R849" s="1"/>
      <c r="S849" s="1"/>
      <c r="T849" s="1"/>
      <c r="U849" s="33"/>
      <c r="V849" s="16"/>
      <c r="W849" s="1"/>
      <c r="X849" s="1"/>
    </row>
    <row r="850" spans="1:24">
      <c r="A850" s="1"/>
      <c r="B850" s="16"/>
      <c r="C850" s="16"/>
      <c r="D850" s="16"/>
      <c r="E850" s="16"/>
      <c r="F850" s="16"/>
      <c r="G850" s="16"/>
      <c r="H850" s="16"/>
      <c r="I850" s="16"/>
      <c r="J850" s="16"/>
      <c r="K850" s="16"/>
      <c r="L850" s="16"/>
      <c r="M850" s="26"/>
      <c r="N850" s="26"/>
      <c r="O850" s="16"/>
      <c r="P850" s="1"/>
      <c r="Q850" s="1"/>
      <c r="R850" s="1"/>
      <c r="S850" s="1"/>
      <c r="T850" s="1"/>
      <c r="U850" s="33"/>
      <c r="V850" s="16"/>
      <c r="W850" s="1"/>
      <c r="X850" s="1"/>
    </row>
    <row r="851" spans="1:24">
      <c r="A851" s="1"/>
      <c r="B851" s="16"/>
      <c r="C851" s="16"/>
      <c r="D851" s="16"/>
      <c r="E851" s="16"/>
      <c r="F851" s="16"/>
      <c r="G851" s="16"/>
      <c r="H851" s="16"/>
      <c r="I851" s="16"/>
      <c r="J851" s="16"/>
      <c r="K851" s="16"/>
      <c r="L851" s="16"/>
      <c r="M851" s="26"/>
      <c r="N851" s="26"/>
      <c r="O851" s="16"/>
      <c r="P851" s="1"/>
      <c r="Q851" s="1"/>
      <c r="R851" s="1"/>
      <c r="S851" s="1"/>
      <c r="T851" s="1"/>
      <c r="U851" s="33"/>
      <c r="V851" s="16"/>
      <c r="W851" s="1"/>
      <c r="X851" s="1"/>
    </row>
    <row r="852" spans="1:24">
      <c r="A852" s="1"/>
      <c r="B852" s="16"/>
      <c r="C852" s="16"/>
      <c r="D852" s="16"/>
      <c r="E852" s="16"/>
      <c r="F852" s="16"/>
      <c r="G852" s="16"/>
      <c r="H852" s="16"/>
      <c r="I852" s="16"/>
      <c r="J852" s="16"/>
      <c r="K852" s="16"/>
      <c r="L852" s="16"/>
      <c r="M852" s="26"/>
      <c r="N852" s="26"/>
      <c r="O852" s="16"/>
      <c r="P852" s="1"/>
      <c r="Q852" s="1"/>
      <c r="R852" s="1"/>
      <c r="S852" s="1"/>
      <c r="T852" s="1"/>
      <c r="U852" s="33"/>
      <c r="V852" s="16"/>
      <c r="W852" s="1"/>
      <c r="X852" s="1"/>
    </row>
    <row r="853" spans="1:24">
      <c r="A853" s="1"/>
      <c r="B853" s="16"/>
      <c r="C853" s="16"/>
      <c r="D853" s="16"/>
      <c r="E853" s="16"/>
      <c r="F853" s="16"/>
      <c r="G853" s="16"/>
      <c r="H853" s="16"/>
      <c r="I853" s="16"/>
      <c r="J853" s="16"/>
      <c r="K853" s="16"/>
      <c r="L853" s="16"/>
      <c r="M853" s="26"/>
      <c r="N853" s="26"/>
      <c r="O853" s="16"/>
      <c r="P853" s="1"/>
      <c r="Q853" s="1"/>
      <c r="R853" s="1"/>
      <c r="S853" s="1"/>
      <c r="T853" s="1"/>
      <c r="U853" s="33"/>
      <c r="V853" s="16"/>
      <c r="W853" s="1"/>
      <c r="X853" s="1"/>
    </row>
    <row r="854" spans="1:24">
      <c r="A854" s="1"/>
      <c r="B854" s="16"/>
      <c r="C854" s="16"/>
      <c r="D854" s="16"/>
      <c r="E854" s="16"/>
      <c r="F854" s="16"/>
      <c r="G854" s="16"/>
      <c r="H854" s="16"/>
      <c r="I854" s="16"/>
      <c r="J854" s="16"/>
      <c r="K854" s="16"/>
      <c r="L854" s="16"/>
      <c r="M854" s="26"/>
      <c r="N854" s="26"/>
      <c r="O854" s="16"/>
      <c r="P854" s="1"/>
      <c r="Q854" s="1"/>
      <c r="R854" s="1"/>
      <c r="S854" s="1"/>
      <c r="T854" s="1"/>
      <c r="U854" s="33"/>
      <c r="V854" s="16"/>
      <c r="W854" s="1"/>
      <c r="X854" s="1"/>
    </row>
    <row r="855" spans="1:24">
      <c r="A855" s="1"/>
      <c r="B855" s="16"/>
      <c r="C855" s="16"/>
      <c r="D855" s="16"/>
      <c r="E855" s="16"/>
      <c r="F855" s="16"/>
      <c r="G855" s="16"/>
      <c r="H855" s="16"/>
      <c r="I855" s="16"/>
      <c r="J855" s="16"/>
      <c r="K855" s="16"/>
      <c r="L855" s="16"/>
      <c r="M855" s="26"/>
      <c r="N855" s="26"/>
      <c r="O855" s="16"/>
      <c r="P855" s="1"/>
      <c r="Q855" s="1"/>
      <c r="R855" s="1"/>
      <c r="S855" s="1"/>
      <c r="T855" s="1"/>
      <c r="U855" s="33"/>
      <c r="V855" s="16"/>
      <c r="W855" s="1"/>
      <c r="X855" s="1"/>
    </row>
    <row r="856" spans="1:24">
      <c r="A856" s="1"/>
      <c r="B856" s="16"/>
      <c r="C856" s="16"/>
      <c r="D856" s="16"/>
      <c r="E856" s="16"/>
      <c r="F856" s="16"/>
      <c r="G856" s="16"/>
      <c r="H856" s="16"/>
      <c r="I856" s="16"/>
      <c r="J856" s="16"/>
      <c r="K856" s="16"/>
      <c r="L856" s="16"/>
      <c r="M856" s="26"/>
      <c r="N856" s="26"/>
      <c r="O856" s="16"/>
      <c r="P856" s="1"/>
      <c r="Q856" s="1"/>
      <c r="R856" s="1"/>
      <c r="S856" s="1"/>
      <c r="T856" s="1"/>
      <c r="U856" s="33"/>
      <c r="V856" s="16"/>
      <c r="W856" s="1"/>
      <c r="X856" s="1"/>
    </row>
    <row r="857" spans="1:24">
      <c r="A857" s="1"/>
      <c r="B857" s="16"/>
      <c r="C857" s="16"/>
      <c r="D857" s="16"/>
      <c r="E857" s="16"/>
      <c r="F857" s="16"/>
      <c r="G857" s="16"/>
      <c r="H857" s="16"/>
      <c r="I857" s="16"/>
      <c r="J857" s="16"/>
      <c r="K857" s="16"/>
      <c r="L857" s="16"/>
      <c r="M857" s="26"/>
      <c r="N857" s="26"/>
      <c r="O857" s="16"/>
      <c r="P857" s="1"/>
      <c r="Q857" s="1"/>
      <c r="R857" s="1"/>
      <c r="S857" s="1"/>
      <c r="T857" s="1"/>
      <c r="U857" s="33"/>
      <c r="V857" s="16"/>
      <c r="W857" s="1"/>
      <c r="X857" s="1"/>
    </row>
    <row r="858" spans="1:24">
      <c r="A858" s="1"/>
      <c r="B858" s="16"/>
      <c r="C858" s="16"/>
      <c r="D858" s="16"/>
      <c r="E858" s="16"/>
      <c r="F858" s="16"/>
      <c r="G858" s="16"/>
      <c r="H858" s="16"/>
      <c r="I858" s="16"/>
      <c r="J858" s="16"/>
      <c r="K858" s="16"/>
      <c r="L858" s="16"/>
      <c r="M858" s="26"/>
      <c r="N858" s="26"/>
      <c r="O858" s="16"/>
      <c r="P858" s="1"/>
      <c r="Q858" s="1"/>
      <c r="R858" s="1"/>
      <c r="S858" s="1"/>
      <c r="T858" s="1"/>
      <c r="U858" s="33"/>
      <c r="V858" s="16"/>
      <c r="W858" s="1"/>
      <c r="X858" s="1"/>
    </row>
    <row r="859" spans="1:24">
      <c r="A859" s="1"/>
      <c r="B859" s="16"/>
      <c r="C859" s="16"/>
      <c r="D859" s="16"/>
      <c r="E859" s="16"/>
      <c r="F859" s="16"/>
      <c r="G859" s="16"/>
      <c r="H859" s="16"/>
      <c r="I859" s="16"/>
      <c r="J859" s="16"/>
      <c r="K859" s="16"/>
      <c r="L859" s="16"/>
      <c r="M859" s="26"/>
      <c r="N859" s="26"/>
      <c r="O859" s="16"/>
      <c r="P859" s="1"/>
      <c r="Q859" s="1"/>
      <c r="R859" s="1"/>
      <c r="S859" s="1"/>
      <c r="T859" s="1"/>
      <c r="U859" s="33"/>
      <c r="V859" s="16"/>
      <c r="W859" s="1"/>
      <c r="X859" s="1"/>
    </row>
    <row r="860" spans="1:24">
      <c r="A860" s="1"/>
      <c r="B860" s="16"/>
      <c r="C860" s="16"/>
      <c r="D860" s="16"/>
      <c r="E860" s="16"/>
      <c r="F860" s="16"/>
      <c r="G860" s="16"/>
      <c r="H860" s="16"/>
      <c r="I860" s="16"/>
      <c r="J860" s="16"/>
      <c r="K860" s="16"/>
      <c r="L860" s="16"/>
      <c r="M860" s="26"/>
      <c r="N860" s="26"/>
      <c r="O860" s="16"/>
      <c r="P860" s="1"/>
      <c r="Q860" s="1"/>
      <c r="R860" s="1"/>
      <c r="S860" s="1"/>
      <c r="T860" s="1"/>
      <c r="U860" s="33"/>
      <c r="V860" s="16"/>
      <c r="W860" s="1"/>
      <c r="X860" s="1"/>
    </row>
    <row r="861" spans="1:24">
      <c r="A861" s="1"/>
      <c r="B861" s="16"/>
      <c r="C861" s="16"/>
      <c r="D861" s="16"/>
      <c r="E861" s="16"/>
      <c r="F861" s="16"/>
      <c r="G861" s="16"/>
      <c r="H861" s="16"/>
      <c r="I861" s="16"/>
      <c r="J861" s="16"/>
      <c r="K861" s="16"/>
      <c r="L861" s="16"/>
      <c r="M861" s="26"/>
      <c r="N861" s="26"/>
      <c r="O861" s="16"/>
      <c r="P861" s="1"/>
      <c r="Q861" s="1"/>
      <c r="R861" s="1"/>
      <c r="S861" s="1"/>
      <c r="T861" s="1"/>
      <c r="U861" s="33"/>
      <c r="V861" s="16"/>
      <c r="W861" s="1"/>
      <c r="X861" s="1"/>
    </row>
    <row r="862" spans="1:24">
      <c r="A862" s="1"/>
      <c r="B862" s="16"/>
      <c r="C862" s="16"/>
      <c r="D862" s="16"/>
      <c r="E862" s="16"/>
      <c r="F862" s="16"/>
      <c r="G862" s="16"/>
      <c r="H862" s="16"/>
      <c r="I862" s="16"/>
      <c r="J862" s="16"/>
      <c r="K862" s="16"/>
      <c r="L862" s="16"/>
      <c r="M862" s="26"/>
      <c r="N862" s="26"/>
      <c r="O862" s="16"/>
      <c r="P862" s="1"/>
      <c r="Q862" s="1"/>
      <c r="R862" s="1"/>
      <c r="S862" s="1"/>
      <c r="T862" s="1"/>
      <c r="U862" s="33"/>
      <c r="V862" s="16"/>
      <c r="W862" s="1"/>
      <c r="X862" s="1"/>
    </row>
    <row r="863" spans="1:24">
      <c r="A863" s="1"/>
      <c r="B863" s="16"/>
      <c r="C863" s="16"/>
      <c r="D863" s="16"/>
      <c r="E863" s="16"/>
      <c r="F863" s="16"/>
      <c r="G863" s="16"/>
      <c r="H863" s="16"/>
      <c r="I863" s="16"/>
      <c r="J863" s="16"/>
      <c r="K863" s="16"/>
      <c r="L863" s="16"/>
      <c r="M863" s="26"/>
      <c r="N863" s="26"/>
      <c r="O863" s="16"/>
      <c r="P863" s="1"/>
      <c r="Q863" s="1"/>
      <c r="R863" s="1"/>
      <c r="S863" s="1"/>
      <c r="T863" s="1"/>
      <c r="U863" s="33"/>
      <c r="V863" s="16"/>
      <c r="W863" s="1"/>
      <c r="X863" s="1"/>
    </row>
    <row r="864" spans="1:24">
      <c r="A864" s="1"/>
      <c r="B864" s="16"/>
      <c r="C864" s="16"/>
      <c r="D864" s="16"/>
      <c r="E864" s="16"/>
      <c r="F864" s="16"/>
      <c r="G864" s="16"/>
      <c r="H864" s="16"/>
      <c r="I864" s="16"/>
      <c r="J864" s="16"/>
      <c r="K864" s="16"/>
      <c r="L864" s="16"/>
      <c r="M864" s="26"/>
      <c r="N864" s="26"/>
      <c r="O864" s="16"/>
      <c r="P864" s="1"/>
      <c r="Q864" s="1"/>
      <c r="R864" s="1"/>
      <c r="S864" s="1"/>
      <c r="T864" s="1"/>
      <c r="U864" s="33"/>
      <c r="V864" s="16"/>
      <c r="W864" s="1"/>
      <c r="X864" s="1"/>
    </row>
    <row r="865" spans="1:24">
      <c r="A865" s="1"/>
      <c r="B865" s="16"/>
      <c r="C865" s="16"/>
      <c r="D865" s="16"/>
      <c r="E865" s="16"/>
      <c r="F865" s="16"/>
      <c r="G865" s="16"/>
      <c r="H865" s="16"/>
      <c r="I865" s="16"/>
      <c r="J865" s="16"/>
      <c r="K865" s="16"/>
      <c r="L865" s="16"/>
      <c r="M865" s="26"/>
      <c r="N865" s="26"/>
      <c r="O865" s="16"/>
      <c r="P865" s="1"/>
      <c r="Q865" s="1"/>
      <c r="R865" s="1"/>
      <c r="S865" s="1"/>
      <c r="T865" s="1"/>
      <c r="U865" s="33"/>
      <c r="V865" s="16"/>
      <c r="W865" s="1"/>
      <c r="X865" s="1"/>
    </row>
    <row r="866" spans="1:24">
      <c r="A866" s="1"/>
      <c r="B866" s="16"/>
      <c r="C866" s="16"/>
      <c r="D866" s="16"/>
      <c r="E866" s="16"/>
      <c r="F866" s="16"/>
      <c r="G866" s="16"/>
      <c r="H866" s="16"/>
      <c r="I866" s="16"/>
      <c r="J866" s="16"/>
      <c r="K866" s="16"/>
      <c r="L866" s="16"/>
      <c r="M866" s="26"/>
      <c r="N866" s="26"/>
      <c r="O866" s="16"/>
      <c r="P866" s="1"/>
      <c r="Q866" s="1"/>
      <c r="R866" s="1"/>
      <c r="S866" s="1"/>
      <c r="T866" s="1"/>
      <c r="U866" s="33"/>
      <c r="V866" s="16"/>
      <c r="W866" s="1"/>
      <c r="X866" s="1"/>
    </row>
    <row r="867" spans="1:24">
      <c r="A867" s="1"/>
      <c r="B867" s="16"/>
      <c r="C867" s="16"/>
      <c r="D867" s="16"/>
      <c r="E867" s="16"/>
      <c r="F867" s="16"/>
      <c r="G867" s="16"/>
      <c r="H867" s="16"/>
      <c r="I867" s="16"/>
      <c r="J867" s="16"/>
      <c r="K867" s="16"/>
      <c r="L867" s="16"/>
      <c r="M867" s="26"/>
      <c r="N867" s="26"/>
      <c r="O867" s="16"/>
      <c r="P867" s="1"/>
      <c r="Q867" s="1"/>
      <c r="R867" s="1"/>
      <c r="S867" s="1"/>
      <c r="T867" s="1"/>
      <c r="U867" s="33"/>
      <c r="V867" s="16"/>
      <c r="W867" s="1"/>
      <c r="X867" s="1"/>
    </row>
    <row r="868" spans="1:24">
      <c r="A868" s="1"/>
      <c r="B868" s="16"/>
      <c r="C868" s="16"/>
      <c r="D868" s="16"/>
      <c r="E868" s="16"/>
      <c r="F868" s="16"/>
      <c r="G868" s="16"/>
      <c r="H868" s="16"/>
      <c r="I868" s="16"/>
      <c r="J868" s="16"/>
      <c r="K868" s="16"/>
      <c r="L868" s="16"/>
      <c r="M868" s="26"/>
      <c r="N868" s="26"/>
      <c r="O868" s="16"/>
      <c r="P868" s="1"/>
      <c r="Q868" s="1"/>
      <c r="R868" s="1"/>
      <c r="S868" s="1"/>
      <c r="T868" s="1"/>
      <c r="U868" s="33"/>
      <c r="V868" s="16"/>
      <c r="W868" s="1"/>
      <c r="X868" s="1"/>
    </row>
    <row r="869" spans="1:24">
      <c r="A869" s="1"/>
      <c r="B869" s="16"/>
      <c r="C869" s="16"/>
      <c r="D869" s="16"/>
      <c r="E869" s="16"/>
      <c r="F869" s="16"/>
      <c r="G869" s="16"/>
      <c r="H869" s="16"/>
      <c r="I869" s="16"/>
      <c r="J869" s="16"/>
      <c r="K869" s="16"/>
      <c r="L869" s="16"/>
      <c r="M869" s="26"/>
      <c r="N869" s="26"/>
      <c r="O869" s="16"/>
      <c r="P869" s="1"/>
      <c r="Q869" s="1"/>
      <c r="R869" s="1"/>
      <c r="S869" s="1"/>
      <c r="T869" s="1"/>
      <c r="U869" s="33"/>
      <c r="V869" s="16"/>
      <c r="W869" s="1"/>
      <c r="X869" s="1"/>
    </row>
    <row r="870" spans="1:24">
      <c r="A870" s="1"/>
      <c r="B870" s="16"/>
      <c r="C870" s="16"/>
      <c r="D870" s="16"/>
      <c r="E870" s="16"/>
      <c r="F870" s="16"/>
      <c r="G870" s="16"/>
      <c r="H870" s="16"/>
      <c r="I870" s="16"/>
      <c r="J870" s="16"/>
      <c r="K870" s="16"/>
      <c r="L870" s="16"/>
      <c r="M870" s="26"/>
      <c r="N870" s="26"/>
      <c r="O870" s="16"/>
      <c r="P870" s="1"/>
      <c r="Q870" s="1"/>
      <c r="R870" s="1"/>
      <c r="S870" s="1"/>
      <c r="T870" s="1"/>
      <c r="U870" s="33"/>
      <c r="V870" s="16"/>
      <c r="W870" s="1"/>
      <c r="X870" s="1"/>
    </row>
    <row r="871" spans="1:24">
      <c r="A871" s="1"/>
      <c r="B871" s="16"/>
      <c r="C871" s="16"/>
      <c r="D871" s="16"/>
      <c r="E871" s="16"/>
      <c r="F871" s="16"/>
      <c r="G871" s="16"/>
      <c r="H871" s="16"/>
      <c r="I871" s="16"/>
      <c r="J871" s="16"/>
      <c r="K871" s="16"/>
      <c r="L871" s="16"/>
      <c r="M871" s="26"/>
      <c r="N871" s="26"/>
      <c r="O871" s="16"/>
      <c r="P871" s="1"/>
      <c r="Q871" s="1"/>
      <c r="R871" s="1"/>
      <c r="S871" s="1"/>
      <c r="T871" s="1"/>
      <c r="U871" s="33"/>
      <c r="V871" s="16"/>
      <c r="W871" s="1"/>
      <c r="X871" s="1"/>
    </row>
    <row r="872" spans="1:24">
      <c r="A872" s="1"/>
      <c r="B872" s="16"/>
      <c r="C872" s="16"/>
      <c r="D872" s="16"/>
      <c r="E872" s="16"/>
      <c r="F872" s="16"/>
      <c r="G872" s="16"/>
      <c r="H872" s="16"/>
      <c r="I872" s="16"/>
      <c r="J872" s="16"/>
      <c r="K872" s="16"/>
      <c r="L872" s="16"/>
      <c r="M872" s="26"/>
      <c r="N872" s="26"/>
      <c r="O872" s="16"/>
      <c r="P872" s="1"/>
      <c r="Q872" s="1"/>
      <c r="R872" s="1"/>
      <c r="S872" s="1"/>
      <c r="T872" s="1"/>
      <c r="U872" s="33"/>
      <c r="V872" s="16"/>
      <c r="W872" s="1"/>
      <c r="X872" s="1"/>
    </row>
    <row r="873" spans="1:24">
      <c r="A873" s="1"/>
      <c r="B873" s="16"/>
      <c r="C873" s="16"/>
      <c r="D873" s="16"/>
      <c r="E873" s="16"/>
      <c r="F873" s="16"/>
      <c r="G873" s="16"/>
      <c r="H873" s="16"/>
      <c r="I873" s="16"/>
      <c r="J873" s="16"/>
      <c r="K873" s="16"/>
      <c r="L873" s="16"/>
      <c r="M873" s="26"/>
      <c r="N873" s="26"/>
      <c r="O873" s="16"/>
      <c r="P873" s="1"/>
      <c r="Q873" s="1"/>
      <c r="R873" s="1"/>
      <c r="S873" s="1"/>
      <c r="T873" s="1"/>
      <c r="U873" s="33"/>
      <c r="V873" s="16"/>
      <c r="W873" s="1"/>
      <c r="X873" s="1"/>
    </row>
    <row r="874" spans="1:24">
      <c r="A874" s="1"/>
      <c r="B874" s="16"/>
      <c r="C874" s="16"/>
      <c r="D874" s="16"/>
      <c r="E874" s="16"/>
      <c r="F874" s="16"/>
      <c r="G874" s="16"/>
      <c r="H874" s="16"/>
      <c r="I874" s="16"/>
      <c r="J874" s="16"/>
      <c r="K874" s="16"/>
      <c r="L874" s="16"/>
      <c r="M874" s="26"/>
      <c r="N874" s="26"/>
      <c r="O874" s="16"/>
      <c r="P874" s="1"/>
      <c r="Q874" s="1"/>
      <c r="R874" s="1"/>
      <c r="S874" s="1"/>
      <c r="T874" s="1"/>
      <c r="U874" s="33"/>
      <c r="V874" s="16"/>
      <c r="W874" s="1"/>
      <c r="X874" s="1"/>
    </row>
    <row r="875" spans="1:24">
      <c r="A875" s="1"/>
      <c r="B875" s="16"/>
      <c r="C875" s="16"/>
      <c r="D875" s="16"/>
      <c r="E875" s="16"/>
      <c r="F875" s="16"/>
      <c r="G875" s="16"/>
      <c r="H875" s="16"/>
      <c r="I875" s="16"/>
      <c r="J875" s="16"/>
      <c r="K875" s="16"/>
      <c r="L875" s="16"/>
      <c r="M875" s="26"/>
      <c r="N875" s="26"/>
      <c r="O875" s="16"/>
      <c r="P875" s="1"/>
      <c r="Q875" s="1"/>
      <c r="R875" s="1"/>
      <c r="S875" s="1"/>
      <c r="T875" s="1"/>
      <c r="U875" s="33"/>
      <c r="V875" s="16"/>
      <c r="W875" s="1"/>
      <c r="X875" s="1"/>
    </row>
    <row r="876" spans="1:24">
      <c r="A876" s="1"/>
      <c r="B876" s="16"/>
      <c r="C876" s="16"/>
      <c r="D876" s="16"/>
      <c r="E876" s="16"/>
      <c r="F876" s="16"/>
      <c r="G876" s="16"/>
      <c r="H876" s="16"/>
      <c r="I876" s="16"/>
      <c r="J876" s="16"/>
      <c r="K876" s="16"/>
      <c r="L876" s="16"/>
      <c r="M876" s="26"/>
      <c r="N876" s="26"/>
      <c r="O876" s="16"/>
      <c r="P876" s="1"/>
      <c r="Q876" s="1"/>
      <c r="R876" s="1"/>
      <c r="S876" s="1"/>
      <c r="T876" s="1"/>
      <c r="U876" s="33"/>
      <c r="V876" s="16"/>
      <c r="W876" s="1"/>
      <c r="X876" s="1"/>
    </row>
    <row r="877" spans="1:24">
      <c r="A877" s="1"/>
      <c r="B877" s="16"/>
      <c r="C877" s="16"/>
      <c r="D877" s="16"/>
      <c r="E877" s="16"/>
      <c r="F877" s="16"/>
      <c r="G877" s="16"/>
      <c r="H877" s="16"/>
      <c r="I877" s="16"/>
      <c r="J877" s="16"/>
      <c r="K877" s="16"/>
      <c r="L877" s="16"/>
      <c r="M877" s="26"/>
      <c r="N877" s="26"/>
      <c r="O877" s="16"/>
      <c r="P877" s="1"/>
      <c r="Q877" s="1"/>
      <c r="R877" s="1"/>
      <c r="S877" s="1"/>
      <c r="T877" s="1"/>
      <c r="U877" s="33"/>
      <c r="V877" s="16"/>
      <c r="W877" s="1"/>
      <c r="X877" s="1"/>
    </row>
    <row r="878" spans="1:24">
      <c r="A878" s="1"/>
      <c r="B878" s="16"/>
      <c r="C878" s="16"/>
      <c r="D878" s="16"/>
      <c r="E878" s="16"/>
      <c r="F878" s="16"/>
      <c r="G878" s="16"/>
      <c r="H878" s="16"/>
      <c r="I878" s="16"/>
      <c r="J878" s="16"/>
      <c r="K878" s="16"/>
      <c r="L878" s="16"/>
      <c r="M878" s="26"/>
      <c r="N878" s="26"/>
      <c r="O878" s="16"/>
      <c r="P878" s="1"/>
      <c r="Q878" s="1"/>
      <c r="R878" s="1"/>
      <c r="S878" s="1"/>
      <c r="T878" s="1"/>
      <c r="U878" s="33"/>
      <c r="V878" s="16"/>
      <c r="W878" s="1"/>
      <c r="X878" s="1"/>
    </row>
    <row r="879" spans="1:24">
      <c r="A879" s="1"/>
      <c r="B879" s="16"/>
      <c r="C879" s="16"/>
      <c r="D879" s="16"/>
      <c r="E879" s="16"/>
      <c r="F879" s="16"/>
      <c r="G879" s="16"/>
      <c r="H879" s="16"/>
      <c r="I879" s="16"/>
      <c r="J879" s="16"/>
      <c r="K879" s="16"/>
      <c r="L879" s="16"/>
      <c r="M879" s="26"/>
      <c r="N879" s="26"/>
      <c r="O879" s="16"/>
      <c r="P879" s="1"/>
      <c r="Q879" s="1"/>
      <c r="R879" s="1"/>
      <c r="S879" s="1"/>
      <c r="T879" s="1"/>
      <c r="U879" s="33"/>
      <c r="V879" s="16"/>
      <c r="W879" s="1"/>
      <c r="X879" s="1"/>
    </row>
    <row r="880" spans="1:24">
      <c r="A880" s="1"/>
      <c r="B880" s="16"/>
      <c r="C880" s="16"/>
      <c r="D880" s="16"/>
      <c r="E880" s="16"/>
      <c r="F880" s="16"/>
      <c r="G880" s="16"/>
      <c r="H880" s="16"/>
      <c r="I880" s="16"/>
      <c r="J880" s="16"/>
      <c r="K880" s="16"/>
      <c r="L880" s="16"/>
      <c r="M880" s="26"/>
      <c r="N880" s="26"/>
      <c r="O880" s="16"/>
      <c r="P880" s="1"/>
      <c r="Q880" s="1"/>
      <c r="R880" s="1"/>
      <c r="S880" s="1"/>
      <c r="T880" s="1"/>
      <c r="U880" s="33"/>
      <c r="V880" s="16"/>
      <c r="W880" s="1"/>
      <c r="X880" s="1"/>
    </row>
    <row r="881" spans="1:24">
      <c r="A881" s="1"/>
      <c r="B881" s="16"/>
      <c r="C881" s="16"/>
      <c r="D881" s="16"/>
      <c r="E881" s="16"/>
      <c r="F881" s="16"/>
      <c r="G881" s="16"/>
      <c r="H881" s="16"/>
      <c r="I881" s="16"/>
      <c r="J881" s="16"/>
      <c r="K881" s="16"/>
      <c r="L881" s="16"/>
      <c r="M881" s="26"/>
      <c r="N881" s="26"/>
      <c r="O881" s="16"/>
      <c r="P881" s="1"/>
      <c r="Q881" s="1"/>
      <c r="R881" s="1"/>
      <c r="S881" s="1"/>
      <c r="T881" s="1"/>
      <c r="U881" s="33"/>
      <c r="V881" s="16"/>
      <c r="W881" s="1"/>
      <c r="X881" s="1"/>
    </row>
    <row r="882" spans="1:24">
      <c r="A882" s="1"/>
      <c r="B882" s="16"/>
      <c r="C882" s="16"/>
      <c r="D882" s="16"/>
      <c r="E882" s="16"/>
      <c r="F882" s="16"/>
      <c r="G882" s="16"/>
      <c r="H882" s="16"/>
      <c r="I882" s="16"/>
      <c r="J882" s="16"/>
      <c r="K882" s="16"/>
      <c r="L882" s="16"/>
      <c r="M882" s="26"/>
      <c r="N882" s="26"/>
      <c r="O882" s="16"/>
      <c r="P882" s="1"/>
      <c r="Q882" s="1"/>
      <c r="R882" s="1"/>
      <c r="S882" s="1"/>
      <c r="T882" s="1"/>
      <c r="U882" s="33"/>
      <c r="V882" s="16"/>
      <c r="W882" s="1"/>
      <c r="X882" s="1"/>
    </row>
    <row r="883" spans="1:24">
      <c r="A883" s="1"/>
      <c r="B883" s="16"/>
      <c r="C883" s="16"/>
      <c r="D883" s="16"/>
      <c r="E883" s="16"/>
      <c r="F883" s="16"/>
      <c r="G883" s="16"/>
      <c r="H883" s="16"/>
      <c r="I883" s="16"/>
      <c r="J883" s="16"/>
      <c r="K883" s="16"/>
      <c r="L883" s="16"/>
      <c r="M883" s="26"/>
      <c r="N883" s="26"/>
      <c r="O883" s="16"/>
      <c r="P883" s="1"/>
      <c r="Q883" s="1"/>
      <c r="R883" s="1"/>
      <c r="S883" s="1"/>
      <c r="T883" s="1"/>
      <c r="U883" s="33"/>
      <c r="V883" s="16"/>
      <c r="W883" s="1"/>
      <c r="X883" s="1"/>
    </row>
    <row r="884" spans="1:24">
      <c r="A884" s="1"/>
      <c r="B884" s="16"/>
      <c r="C884" s="16"/>
      <c r="D884" s="16"/>
      <c r="E884" s="16"/>
      <c r="F884" s="16"/>
      <c r="G884" s="16"/>
      <c r="H884" s="16"/>
      <c r="I884" s="16"/>
      <c r="J884" s="16"/>
      <c r="K884" s="16"/>
      <c r="L884" s="16"/>
      <c r="M884" s="26"/>
      <c r="N884" s="26"/>
      <c r="O884" s="16"/>
      <c r="P884" s="1"/>
      <c r="Q884" s="1"/>
      <c r="R884" s="1"/>
      <c r="S884" s="1"/>
      <c r="T884" s="1"/>
      <c r="U884" s="33"/>
      <c r="V884" s="16"/>
      <c r="W884" s="1"/>
      <c r="X884" s="1"/>
    </row>
    <row r="885" spans="1:24">
      <c r="A885" s="1"/>
      <c r="B885" s="16"/>
      <c r="C885" s="16"/>
      <c r="D885" s="16"/>
      <c r="E885" s="16"/>
      <c r="F885" s="16"/>
      <c r="G885" s="16"/>
      <c r="H885" s="16"/>
      <c r="I885" s="16"/>
      <c r="J885" s="16"/>
      <c r="K885" s="16"/>
      <c r="L885" s="16"/>
      <c r="M885" s="26"/>
      <c r="N885" s="26"/>
      <c r="O885" s="16"/>
      <c r="P885" s="1"/>
      <c r="Q885" s="1"/>
      <c r="R885" s="1"/>
      <c r="S885" s="1"/>
      <c r="T885" s="1"/>
      <c r="U885" s="33"/>
      <c r="V885" s="16"/>
      <c r="W885" s="1"/>
      <c r="X885" s="1"/>
    </row>
    <row r="886" spans="1:24">
      <c r="A886" s="1"/>
      <c r="B886" s="16"/>
      <c r="C886" s="16"/>
      <c r="D886" s="16"/>
      <c r="E886" s="16"/>
      <c r="F886" s="16"/>
      <c r="G886" s="16"/>
      <c r="H886" s="16"/>
      <c r="I886" s="16"/>
      <c r="J886" s="16"/>
      <c r="K886" s="16"/>
      <c r="L886" s="16"/>
      <c r="M886" s="26"/>
      <c r="N886" s="26"/>
      <c r="O886" s="16"/>
      <c r="P886" s="1"/>
      <c r="Q886" s="1"/>
      <c r="R886" s="1"/>
      <c r="S886" s="1"/>
      <c r="T886" s="1"/>
      <c r="U886" s="33"/>
      <c r="V886" s="16"/>
      <c r="W886" s="1"/>
      <c r="X886" s="1"/>
    </row>
    <row r="887" spans="1:24">
      <c r="A887" s="1"/>
      <c r="B887" s="16"/>
      <c r="C887" s="16"/>
      <c r="D887" s="16"/>
      <c r="E887" s="16"/>
      <c r="F887" s="16"/>
      <c r="G887" s="16"/>
      <c r="H887" s="16"/>
      <c r="I887" s="16"/>
      <c r="J887" s="16"/>
      <c r="K887" s="16"/>
      <c r="L887" s="16"/>
      <c r="M887" s="26"/>
      <c r="N887" s="26"/>
      <c r="O887" s="16"/>
      <c r="P887" s="1"/>
      <c r="Q887" s="1"/>
      <c r="R887" s="1"/>
      <c r="S887" s="1"/>
      <c r="T887" s="1"/>
      <c r="U887" s="33"/>
      <c r="V887" s="16"/>
      <c r="W887" s="1"/>
      <c r="X887" s="1"/>
    </row>
    <row r="888" spans="1:24">
      <c r="A888" s="1"/>
      <c r="B888" s="16"/>
      <c r="C888" s="16"/>
      <c r="D888" s="16"/>
      <c r="E888" s="16"/>
      <c r="F888" s="16"/>
      <c r="G888" s="16"/>
      <c r="H888" s="16"/>
      <c r="I888" s="16"/>
      <c r="J888" s="16"/>
      <c r="K888" s="16"/>
      <c r="L888" s="16"/>
      <c r="M888" s="26"/>
      <c r="N888" s="26"/>
      <c r="O888" s="16"/>
      <c r="P888" s="1"/>
      <c r="Q888" s="1"/>
      <c r="R888" s="1"/>
      <c r="S888" s="1"/>
      <c r="T888" s="1"/>
      <c r="U888" s="33"/>
      <c r="V888" s="16"/>
      <c r="W888" s="1"/>
      <c r="X888" s="1"/>
    </row>
    <row r="889" spans="1:24">
      <c r="A889" s="1"/>
      <c r="B889" s="16"/>
      <c r="C889" s="16"/>
      <c r="D889" s="16"/>
      <c r="E889" s="16"/>
      <c r="F889" s="16"/>
      <c r="G889" s="16"/>
      <c r="H889" s="16"/>
      <c r="I889" s="16"/>
      <c r="J889" s="16"/>
      <c r="K889" s="16"/>
      <c r="L889" s="16"/>
      <c r="M889" s="26"/>
      <c r="N889" s="26"/>
      <c r="O889" s="16"/>
      <c r="P889" s="1"/>
      <c r="Q889" s="1"/>
      <c r="R889" s="1"/>
      <c r="S889" s="1"/>
      <c r="T889" s="1"/>
      <c r="U889" s="33"/>
      <c r="V889" s="16"/>
      <c r="W889" s="1"/>
      <c r="X889" s="1"/>
    </row>
    <row r="890" spans="1:24">
      <c r="A890" s="1"/>
      <c r="B890" s="16"/>
      <c r="C890" s="16"/>
      <c r="D890" s="16"/>
      <c r="E890" s="16"/>
      <c r="F890" s="16"/>
      <c r="G890" s="16"/>
      <c r="H890" s="16"/>
      <c r="I890" s="16"/>
      <c r="J890" s="16"/>
      <c r="K890" s="16"/>
      <c r="L890" s="16"/>
      <c r="M890" s="26"/>
      <c r="N890" s="26"/>
      <c r="O890" s="16"/>
      <c r="P890" s="1"/>
      <c r="Q890" s="1"/>
      <c r="R890" s="1"/>
      <c r="S890" s="1"/>
      <c r="T890" s="1"/>
      <c r="U890" s="33"/>
      <c r="V890" s="16"/>
      <c r="W890" s="1"/>
      <c r="X890" s="1"/>
    </row>
    <row r="891" spans="1:24">
      <c r="A891" s="1"/>
      <c r="B891" s="16"/>
      <c r="C891" s="16"/>
      <c r="D891" s="16"/>
      <c r="E891" s="16"/>
      <c r="F891" s="16"/>
      <c r="G891" s="16"/>
      <c r="H891" s="16"/>
      <c r="I891" s="16"/>
      <c r="J891" s="16"/>
      <c r="K891" s="16"/>
      <c r="L891" s="16"/>
      <c r="M891" s="26"/>
      <c r="N891" s="26"/>
      <c r="O891" s="16"/>
      <c r="P891" s="1"/>
      <c r="Q891" s="1"/>
      <c r="R891" s="1"/>
      <c r="S891" s="1"/>
      <c r="T891" s="1"/>
      <c r="U891" s="33"/>
      <c r="V891" s="16"/>
      <c r="W891" s="1"/>
      <c r="X891" s="1"/>
    </row>
    <row r="892" spans="1:24">
      <c r="A892" s="1"/>
      <c r="B892" s="16"/>
      <c r="C892" s="16"/>
      <c r="D892" s="16"/>
      <c r="E892" s="16"/>
      <c r="F892" s="16"/>
      <c r="G892" s="16"/>
      <c r="H892" s="16"/>
      <c r="I892" s="16"/>
      <c r="J892" s="16"/>
      <c r="K892" s="16"/>
      <c r="L892" s="16"/>
      <c r="M892" s="26"/>
      <c r="N892" s="26"/>
      <c r="O892" s="16"/>
      <c r="P892" s="1"/>
      <c r="Q892" s="1"/>
      <c r="R892" s="1"/>
      <c r="S892" s="1"/>
      <c r="T892" s="1"/>
      <c r="U892" s="33"/>
      <c r="V892" s="16"/>
      <c r="W892" s="1"/>
      <c r="X892" s="1"/>
    </row>
    <row r="893" spans="1:24">
      <c r="A893" s="1"/>
      <c r="B893" s="16"/>
      <c r="C893" s="16"/>
      <c r="D893" s="16"/>
      <c r="E893" s="16"/>
      <c r="F893" s="16"/>
      <c r="G893" s="16"/>
      <c r="H893" s="16"/>
      <c r="I893" s="16"/>
      <c r="J893" s="16"/>
      <c r="K893" s="16"/>
      <c r="L893" s="16"/>
      <c r="M893" s="26"/>
      <c r="N893" s="26"/>
      <c r="O893" s="16"/>
      <c r="P893" s="1"/>
      <c r="Q893" s="1"/>
      <c r="R893" s="1"/>
      <c r="S893" s="1"/>
      <c r="T893" s="1"/>
      <c r="U893" s="33"/>
      <c r="V893" s="16"/>
      <c r="W893" s="1"/>
      <c r="X893" s="1"/>
    </row>
    <row r="894" spans="1:24">
      <c r="A894" s="1"/>
      <c r="B894" s="16"/>
      <c r="C894" s="16"/>
      <c r="D894" s="16"/>
      <c r="E894" s="16"/>
      <c r="F894" s="16"/>
      <c r="G894" s="16"/>
      <c r="H894" s="16"/>
      <c r="I894" s="16"/>
      <c r="J894" s="16"/>
      <c r="K894" s="16"/>
      <c r="L894" s="16"/>
      <c r="M894" s="26"/>
      <c r="N894" s="26"/>
      <c r="O894" s="16"/>
      <c r="P894" s="1"/>
      <c r="Q894" s="1"/>
      <c r="R894" s="1"/>
      <c r="S894" s="1"/>
      <c r="T894" s="1"/>
      <c r="U894" s="33"/>
      <c r="V894" s="16"/>
      <c r="W894" s="1"/>
      <c r="X894" s="1"/>
    </row>
    <row r="895" spans="1:24">
      <c r="A895" s="1"/>
      <c r="B895" s="16"/>
      <c r="C895" s="16"/>
      <c r="D895" s="16"/>
      <c r="E895" s="16"/>
      <c r="F895" s="16"/>
      <c r="G895" s="16"/>
      <c r="H895" s="16"/>
      <c r="I895" s="16"/>
      <c r="J895" s="16"/>
      <c r="K895" s="16"/>
      <c r="L895" s="16"/>
      <c r="M895" s="26"/>
      <c r="N895" s="26"/>
      <c r="O895" s="16"/>
      <c r="P895" s="1"/>
      <c r="Q895" s="1"/>
      <c r="R895" s="1"/>
      <c r="S895" s="1"/>
      <c r="T895" s="1"/>
      <c r="U895" s="33"/>
      <c r="V895" s="16"/>
      <c r="W895" s="1"/>
      <c r="X895" s="1"/>
    </row>
    <row r="896" spans="1:24">
      <c r="A896" s="1"/>
      <c r="B896" s="16"/>
      <c r="C896" s="16"/>
      <c r="D896" s="16"/>
      <c r="E896" s="16"/>
      <c r="F896" s="16"/>
      <c r="G896" s="16"/>
      <c r="H896" s="16"/>
      <c r="I896" s="16"/>
      <c r="J896" s="16"/>
      <c r="K896" s="16"/>
      <c r="L896" s="16"/>
      <c r="M896" s="26"/>
      <c r="N896" s="26"/>
      <c r="O896" s="16"/>
      <c r="P896" s="1"/>
      <c r="Q896" s="1"/>
      <c r="R896" s="1"/>
      <c r="S896" s="1"/>
      <c r="T896" s="1"/>
      <c r="U896" s="33"/>
      <c r="V896" s="16"/>
      <c r="W896" s="1"/>
      <c r="X896" s="1"/>
    </row>
    <row r="897" spans="1:24">
      <c r="A897" s="1"/>
      <c r="B897" s="16"/>
      <c r="C897" s="16"/>
      <c r="D897" s="16"/>
      <c r="E897" s="16"/>
      <c r="F897" s="16"/>
      <c r="G897" s="16"/>
      <c r="H897" s="16"/>
      <c r="I897" s="16"/>
      <c r="J897" s="16"/>
      <c r="K897" s="16"/>
      <c r="L897" s="16"/>
      <c r="M897" s="26"/>
      <c r="N897" s="26"/>
      <c r="O897" s="16"/>
      <c r="P897" s="1"/>
      <c r="Q897" s="1"/>
      <c r="R897" s="1"/>
      <c r="S897" s="1"/>
      <c r="T897" s="1"/>
      <c r="U897" s="33"/>
      <c r="V897" s="16"/>
      <c r="W897" s="1"/>
      <c r="X897" s="1"/>
    </row>
    <row r="898" spans="1:24">
      <c r="A898" s="1"/>
      <c r="B898" s="16"/>
      <c r="C898" s="16"/>
      <c r="D898" s="16"/>
      <c r="E898" s="16"/>
      <c r="F898" s="16"/>
      <c r="G898" s="16"/>
      <c r="H898" s="16"/>
      <c r="I898" s="16"/>
      <c r="J898" s="16"/>
      <c r="K898" s="16"/>
      <c r="L898" s="16"/>
      <c r="M898" s="26"/>
      <c r="N898" s="26"/>
      <c r="O898" s="16"/>
      <c r="P898" s="1"/>
      <c r="Q898" s="1"/>
      <c r="R898" s="1"/>
      <c r="S898" s="1"/>
      <c r="T898" s="1"/>
      <c r="U898" s="33"/>
      <c r="V898" s="16"/>
      <c r="W898" s="1"/>
      <c r="X898" s="1"/>
    </row>
    <row r="899" spans="1:24">
      <c r="A899" s="1"/>
      <c r="B899" s="16"/>
      <c r="C899" s="16"/>
      <c r="D899" s="16"/>
      <c r="E899" s="16"/>
      <c r="F899" s="16"/>
      <c r="G899" s="16"/>
      <c r="H899" s="16"/>
      <c r="I899" s="16"/>
      <c r="J899" s="16"/>
      <c r="K899" s="16"/>
      <c r="L899" s="16"/>
      <c r="M899" s="26"/>
      <c r="N899" s="26"/>
      <c r="O899" s="16"/>
      <c r="P899" s="1"/>
      <c r="Q899" s="1"/>
      <c r="R899" s="1"/>
      <c r="S899" s="1"/>
      <c r="T899" s="1"/>
      <c r="U899" s="33"/>
      <c r="V899" s="16"/>
      <c r="W899" s="1"/>
      <c r="X899" s="1"/>
    </row>
    <row r="900" spans="1:24">
      <c r="A900" s="1"/>
      <c r="B900" s="16"/>
      <c r="C900" s="16"/>
      <c r="D900" s="16"/>
      <c r="E900" s="16"/>
      <c r="F900" s="16"/>
      <c r="G900" s="16"/>
      <c r="H900" s="16"/>
      <c r="I900" s="16"/>
      <c r="J900" s="16"/>
      <c r="K900" s="16"/>
      <c r="L900" s="16"/>
      <c r="M900" s="26"/>
      <c r="N900" s="26"/>
      <c r="O900" s="16"/>
      <c r="P900" s="1"/>
      <c r="Q900" s="1"/>
      <c r="R900" s="1"/>
      <c r="S900" s="1"/>
      <c r="T900" s="1"/>
      <c r="U900" s="33"/>
      <c r="V900" s="16"/>
      <c r="W900" s="1"/>
      <c r="X900" s="1"/>
    </row>
    <row r="901" spans="1:24">
      <c r="A901" s="1"/>
      <c r="B901" s="16"/>
      <c r="C901" s="16"/>
      <c r="D901" s="16"/>
      <c r="E901" s="16"/>
      <c r="F901" s="16"/>
      <c r="G901" s="16"/>
      <c r="H901" s="16"/>
      <c r="I901" s="16"/>
      <c r="J901" s="16"/>
      <c r="K901" s="16"/>
      <c r="L901" s="16"/>
      <c r="M901" s="26"/>
      <c r="N901" s="26"/>
      <c r="O901" s="16"/>
      <c r="P901" s="1"/>
      <c r="Q901" s="1"/>
      <c r="R901" s="1"/>
      <c r="S901" s="1"/>
      <c r="T901" s="1"/>
      <c r="U901" s="33"/>
      <c r="V901" s="16"/>
      <c r="W901" s="1"/>
      <c r="X901" s="1"/>
    </row>
    <row r="902" spans="1:24">
      <c r="A902" s="1"/>
      <c r="B902" s="16"/>
      <c r="C902" s="16"/>
      <c r="D902" s="16"/>
      <c r="E902" s="16"/>
      <c r="F902" s="16"/>
      <c r="G902" s="16"/>
      <c r="H902" s="16"/>
      <c r="I902" s="16"/>
      <c r="J902" s="16"/>
      <c r="K902" s="16"/>
      <c r="L902" s="16"/>
      <c r="M902" s="26"/>
      <c r="N902" s="26"/>
      <c r="O902" s="16"/>
      <c r="P902" s="1"/>
      <c r="Q902" s="1"/>
      <c r="R902" s="1"/>
      <c r="S902" s="1"/>
      <c r="T902" s="1"/>
      <c r="U902" s="33"/>
      <c r="V902" s="16"/>
      <c r="W902" s="1"/>
      <c r="X902" s="1"/>
    </row>
    <row r="903" spans="1:24">
      <c r="A903" s="1"/>
      <c r="B903" s="16"/>
      <c r="C903" s="16"/>
      <c r="D903" s="16"/>
      <c r="E903" s="16"/>
      <c r="F903" s="16"/>
      <c r="G903" s="16"/>
      <c r="H903" s="16"/>
      <c r="I903" s="16"/>
      <c r="J903" s="16"/>
      <c r="K903" s="16"/>
      <c r="L903" s="16"/>
      <c r="M903" s="26"/>
      <c r="N903" s="26"/>
      <c r="O903" s="16"/>
      <c r="P903" s="1"/>
      <c r="Q903" s="1"/>
      <c r="R903" s="1"/>
      <c r="S903" s="1"/>
      <c r="T903" s="1"/>
      <c r="U903" s="33"/>
      <c r="V903" s="16"/>
      <c r="W903" s="1"/>
      <c r="X903" s="1"/>
    </row>
    <row r="904" spans="1:24">
      <c r="A904" s="1"/>
      <c r="B904" s="16"/>
      <c r="C904" s="16"/>
      <c r="D904" s="16"/>
      <c r="E904" s="16"/>
      <c r="F904" s="16"/>
      <c r="G904" s="16"/>
      <c r="H904" s="16"/>
      <c r="I904" s="16"/>
      <c r="J904" s="16"/>
      <c r="K904" s="16"/>
      <c r="L904" s="16"/>
      <c r="M904" s="26"/>
      <c r="N904" s="26"/>
      <c r="O904" s="16"/>
      <c r="P904" s="1"/>
      <c r="Q904" s="1"/>
      <c r="R904" s="1"/>
      <c r="S904" s="1"/>
      <c r="T904" s="1"/>
      <c r="U904" s="33"/>
      <c r="V904" s="16"/>
      <c r="W904" s="1"/>
      <c r="X904" s="1"/>
    </row>
    <row r="905" spans="1:24">
      <c r="A905" s="1"/>
      <c r="B905" s="16"/>
      <c r="C905" s="16"/>
      <c r="D905" s="16"/>
      <c r="E905" s="16"/>
      <c r="F905" s="16"/>
      <c r="G905" s="16"/>
      <c r="H905" s="16"/>
      <c r="I905" s="16"/>
      <c r="J905" s="16"/>
      <c r="K905" s="16"/>
      <c r="L905" s="16"/>
      <c r="M905" s="26"/>
      <c r="N905" s="26"/>
      <c r="O905" s="16"/>
      <c r="P905" s="1"/>
      <c r="Q905" s="1"/>
      <c r="R905" s="1"/>
      <c r="S905" s="1"/>
      <c r="T905" s="1"/>
      <c r="U905" s="33"/>
      <c r="V905" s="16"/>
      <c r="W905" s="1"/>
      <c r="X905" s="1"/>
    </row>
    <row r="906" spans="1:24">
      <c r="A906" s="1"/>
      <c r="B906" s="16"/>
      <c r="C906" s="16"/>
      <c r="D906" s="16"/>
      <c r="E906" s="16"/>
      <c r="F906" s="16"/>
      <c r="G906" s="16"/>
      <c r="H906" s="16"/>
      <c r="I906" s="16"/>
      <c r="J906" s="16"/>
      <c r="K906" s="16"/>
      <c r="L906" s="16"/>
      <c r="M906" s="26"/>
      <c r="N906" s="26"/>
      <c r="O906" s="16"/>
      <c r="P906" s="1"/>
      <c r="Q906" s="1"/>
      <c r="R906" s="1"/>
      <c r="S906" s="1"/>
      <c r="T906" s="1"/>
      <c r="U906" s="33"/>
      <c r="V906" s="16"/>
      <c r="W906" s="1"/>
      <c r="X906" s="1"/>
    </row>
    <row r="907" spans="1:24">
      <c r="A907" s="1"/>
      <c r="B907" s="16"/>
      <c r="C907" s="16"/>
      <c r="D907" s="16"/>
      <c r="E907" s="16"/>
      <c r="F907" s="16"/>
      <c r="G907" s="16"/>
      <c r="H907" s="16"/>
      <c r="I907" s="16"/>
      <c r="J907" s="16"/>
      <c r="K907" s="16"/>
      <c r="L907" s="16"/>
      <c r="M907" s="26"/>
      <c r="N907" s="26"/>
      <c r="O907" s="16"/>
      <c r="P907" s="1"/>
      <c r="Q907" s="1"/>
      <c r="R907" s="1"/>
      <c r="S907" s="1"/>
      <c r="T907" s="1"/>
      <c r="U907" s="33"/>
      <c r="V907" s="16"/>
      <c r="W907" s="1"/>
      <c r="X907" s="1"/>
    </row>
    <row r="908" spans="1:24">
      <c r="A908" s="1"/>
      <c r="B908" s="16"/>
      <c r="C908" s="16"/>
      <c r="D908" s="16"/>
      <c r="E908" s="16"/>
      <c r="F908" s="16"/>
      <c r="G908" s="16"/>
      <c r="H908" s="16"/>
      <c r="I908" s="16"/>
      <c r="J908" s="16"/>
      <c r="K908" s="16"/>
      <c r="L908" s="16"/>
      <c r="M908" s="26"/>
      <c r="N908" s="26"/>
      <c r="O908" s="16"/>
      <c r="P908" s="1"/>
      <c r="Q908" s="1"/>
      <c r="R908" s="1"/>
      <c r="S908" s="1"/>
      <c r="T908" s="1"/>
      <c r="U908" s="33"/>
      <c r="V908" s="16"/>
      <c r="W908" s="1"/>
      <c r="X908" s="1"/>
    </row>
    <row r="909" spans="1:24">
      <c r="A909" s="1"/>
      <c r="B909" s="16"/>
      <c r="C909" s="16"/>
      <c r="D909" s="16"/>
      <c r="E909" s="16"/>
      <c r="F909" s="16"/>
      <c r="G909" s="16"/>
      <c r="H909" s="16"/>
      <c r="I909" s="16"/>
      <c r="J909" s="16"/>
      <c r="K909" s="16"/>
      <c r="L909" s="16"/>
      <c r="M909" s="26"/>
      <c r="N909" s="26"/>
      <c r="O909" s="16"/>
      <c r="P909" s="1"/>
      <c r="Q909" s="1"/>
      <c r="R909" s="1"/>
      <c r="S909" s="1"/>
      <c r="T909" s="1"/>
      <c r="U909" s="33"/>
      <c r="V909" s="16"/>
      <c r="W909" s="1"/>
      <c r="X909" s="1"/>
    </row>
    <row r="910" spans="1:24">
      <c r="A910" s="1"/>
      <c r="B910" s="16"/>
      <c r="C910" s="16"/>
      <c r="D910" s="16"/>
      <c r="E910" s="16"/>
      <c r="F910" s="16"/>
      <c r="G910" s="16"/>
      <c r="H910" s="16"/>
      <c r="I910" s="16"/>
      <c r="J910" s="16"/>
      <c r="K910" s="16"/>
      <c r="L910" s="16"/>
      <c r="M910" s="26"/>
      <c r="N910" s="26"/>
      <c r="O910" s="16"/>
      <c r="P910" s="1"/>
      <c r="Q910" s="1"/>
      <c r="R910" s="1"/>
      <c r="S910" s="1"/>
      <c r="T910" s="1"/>
      <c r="U910" s="33"/>
      <c r="V910" s="16"/>
      <c r="W910" s="1"/>
      <c r="X910" s="1"/>
    </row>
    <row r="911" spans="1:24">
      <c r="A911" s="1"/>
      <c r="B911" s="16"/>
      <c r="C911" s="16"/>
      <c r="D911" s="16"/>
      <c r="E911" s="16"/>
      <c r="F911" s="16"/>
      <c r="G911" s="16"/>
      <c r="H911" s="16"/>
      <c r="I911" s="16"/>
      <c r="J911" s="16"/>
      <c r="K911" s="16"/>
      <c r="L911" s="16"/>
      <c r="M911" s="26"/>
      <c r="N911" s="26"/>
      <c r="O911" s="16"/>
      <c r="P911" s="1"/>
      <c r="Q911" s="1"/>
      <c r="R911" s="1"/>
      <c r="S911" s="1"/>
      <c r="T911" s="1"/>
      <c r="U911" s="33"/>
      <c r="V911" s="16"/>
      <c r="W911" s="1"/>
      <c r="X911" s="1"/>
    </row>
    <row r="912" spans="1:24">
      <c r="A912" s="1"/>
      <c r="B912" s="16"/>
      <c r="C912" s="16"/>
      <c r="D912" s="16"/>
      <c r="E912" s="16"/>
      <c r="F912" s="16"/>
      <c r="G912" s="16"/>
      <c r="H912" s="16"/>
      <c r="I912" s="16"/>
      <c r="J912" s="16"/>
      <c r="K912" s="16"/>
      <c r="L912" s="16"/>
      <c r="M912" s="26"/>
      <c r="N912" s="26"/>
      <c r="O912" s="16"/>
      <c r="P912" s="1"/>
      <c r="Q912" s="1"/>
      <c r="R912" s="1"/>
      <c r="S912" s="1"/>
      <c r="T912" s="1"/>
      <c r="U912" s="33"/>
      <c r="V912" s="16"/>
      <c r="W912" s="1"/>
      <c r="X912" s="1"/>
    </row>
    <row r="913" spans="1:24">
      <c r="A913" s="1"/>
      <c r="B913" s="16"/>
      <c r="C913" s="16"/>
      <c r="D913" s="16"/>
      <c r="E913" s="16"/>
      <c r="F913" s="16"/>
      <c r="G913" s="16"/>
      <c r="H913" s="16"/>
      <c r="I913" s="16"/>
      <c r="J913" s="16"/>
      <c r="K913" s="16"/>
      <c r="L913" s="16"/>
      <c r="M913" s="26"/>
      <c r="N913" s="26"/>
      <c r="O913" s="16"/>
      <c r="P913" s="1"/>
      <c r="Q913" s="1"/>
      <c r="R913" s="1"/>
      <c r="S913" s="1"/>
      <c r="T913" s="1"/>
      <c r="U913" s="33"/>
      <c r="V913" s="16"/>
      <c r="W913" s="1"/>
      <c r="X913" s="1"/>
    </row>
    <row r="914" spans="1:24">
      <c r="A914" s="1"/>
      <c r="B914" s="16"/>
      <c r="C914" s="16"/>
      <c r="D914" s="16"/>
      <c r="E914" s="16"/>
      <c r="F914" s="16"/>
      <c r="G914" s="16"/>
      <c r="H914" s="16"/>
      <c r="I914" s="16"/>
      <c r="J914" s="16"/>
      <c r="K914" s="16"/>
      <c r="L914" s="16"/>
      <c r="M914" s="26"/>
      <c r="N914" s="26"/>
      <c r="O914" s="16"/>
      <c r="P914" s="1"/>
      <c r="Q914" s="1"/>
      <c r="R914" s="1"/>
      <c r="S914" s="1"/>
      <c r="T914" s="1"/>
      <c r="U914" s="33"/>
      <c r="V914" s="16"/>
      <c r="W914" s="1"/>
      <c r="X914" s="1"/>
    </row>
    <row r="915" spans="1:24">
      <c r="A915" s="1"/>
      <c r="B915" s="16"/>
      <c r="C915" s="16"/>
      <c r="D915" s="16"/>
      <c r="E915" s="16"/>
      <c r="F915" s="16"/>
      <c r="G915" s="16"/>
      <c r="H915" s="16"/>
      <c r="I915" s="16"/>
      <c r="J915" s="16"/>
      <c r="K915" s="16"/>
      <c r="L915" s="16"/>
      <c r="M915" s="26"/>
      <c r="N915" s="26"/>
      <c r="O915" s="16"/>
      <c r="P915" s="1"/>
      <c r="Q915" s="1"/>
      <c r="R915" s="1"/>
      <c r="S915" s="1"/>
      <c r="T915" s="1"/>
      <c r="U915" s="33"/>
      <c r="V915" s="16"/>
      <c r="W915" s="1"/>
      <c r="X915" s="1"/>
    </row>
    <row r="916" spans="1:24">
      <c r="A916" s="1"/>
      <c r="B916" s="16"/>
      <c r="C916" s="16"/>
      <c r="D916" s="16"/>
      <c r="E916" s="16"/>
      <c r="F916" s="16"/>
      <c r="G916" s="16"/>
      <c r="H916" s="16"/>
      <c r="I916" s="16"/>
      <c r="J916" s="16"/>
      <c r="K916" s="16"/>
      <c r="L916" s="16"/>
      <c r="M916" s="26"/>
      <c r="N916" s="26"/>
      <c r="O916" s="16"/>
      <c r="P916" s="1"/>
      <c r="Q916" s="1"/>
      <c r="R916" s="1"/>
      <c r="S916" s="1"/>
      <c r="T916" s="1"/>
      <c r="U916" s="33"/>
      <c r="V916" s="16"/>
      <c r="W916" s="1"/>
      <c r="X916" s="1"/>
    </row>
    <row r="917" spans="1:24">
      <c r="A917" s="1"/>
      <c r="B917" s="16"/>
      <c r="C917" s="16"/>
      <c r="D917" s="16"/>
      <c r="E917" s="16"/>
      <c r="F917" s="16"/>
      <c r="G917" s="16"/>
      <c r="H917" s="16"/>
      <c r="I917" s="16"/>
      <c r="J917" s="16"/>
      <c r="K917" s="16"/>
      <c r="L917" s="16"/>
      <c r="M917" s="26"/>
      <c r="N917" s="26"/>
      <c r="O917" s="16"/>
      <c r="P917" s="1"/>
      <c r="Q917" s="1"/>
      <c r="R917" s="1"/>
      <c r="S917" s="1"/>
      <c r="T917" s="1"/>
      <c r="U917" s="33"/>
      <c r="V917" s="16"/>
      <c r="W917" s="1"/>
      <c r="X917" s="1"/>
    </row>
    <row r="918" spans="1:24">
      <c r="A918" s="1"/>
      <c r="B918" s="16"/>
      <c r="C918" s="16"/>
      <c r="D918" s="16"/>
      <c r="E918" s="16"/>
      <c r="F918" s="16"/>
      <c r="G918" s="16"/>
      <c r="H918" s="16"/>
      <c r="I918" s="16"/>
      <c r="J918" s="16"/>
      <c r="K918" s="16"/>
      <c r="L918" s="16"/>
      <c r="M918" s="26"/>
      <c r="N918" s="26"/>
      <c r="O918" s="16"/>
      <c r="P918" s="1"/>
      <c r="Q918" s="1"/>
      <c r="R918" s="1"/>
      <c r="S918" s="1"/>
      <c r="T918" s="1"/>
      <c r="U918" s="33"/>
      <c r="V918" s="16"/>
      <c r="W918" s="1"/>
      <c r="X918" s="1"/>
    </row>
    <row r="919" spans="1:24">
      <c r="A919" s="1"/>
      <c r="B919" s="16"/>
      <c r="C919" s="16"/>
      <c r="D919" s="16"/>
      <c r="E919" s="16"/>
      <c r="F919" s="16"/>
      <c r="G919" s="16"/>
      <c r="H919" s="16"/>
      <c r="I919" s="16"/>
      <c r="J919" s="16"/>
      <c r="K919" s="16"/>
      <c r="L919" s="16"/>
      <c r="M919" s="26"/>
      <c r="N919" s="26"/>
      <c r="O919" s="16"/>
      <c r="P919" s="1"/>
      <c r="Q919" s="1"/>
      <c r="R919" s="1"/>
      <c r="S919" s="1"/>
      <c r="T919" s="1"/>
      <c r="U919" s="33"/>
      <c r="V919" s="16"/>
      <c r="W919" s="1"/>
      <c r="X919" s="1"/>
    </row>
    <row r="920" spans="1:24">
      <c r="A920" s="1"/>
      <c r="B920" s="16"/>
      <c r="C920" s="16"/>
      <c r="D920" s="16"/>
      <c r="E920" s="16"/>
      <c r="F920" s="16"/>
      <c r="G920" s="16"/>
      <c r="H920" s="16"/>
      <c r="I920" s="16"/>
      <c r="J920" s="16"/>
      <c r="K920" s="16"/>
      <c r="L920" s="16"/>
      <c r="M920" s="26"/>
      <c r="N920" s="26"/>
      <c r="O920" s="16"/>
      <c r="P920" s="1"/>
      <c r="Q920" s="1"/>
      <c r="R920" s="1"/>
      <c r="S920" s="1"/>
      <c r="T920" s="1"/>
      <c r="U920" s="33"/>
      <c r="V920" s="16"/>
      <c r="W920" s="1"/>
      <c r="X920" s="1"/>
    </row>
    <row r="921" spans="1:24">
      <c r="A921" s="1"/>
      <c r="B921" s="16"/>
      <c r="C921" s="16"/>
      <c r="D921" s="16"/>
      <c r="E921" s="16"/>
      <c r="F921" s="16"/>
      <c r="G921" s="16"/>
      <c r="H921" s="16"/>
      <c r="I921" s="16"/>
      <c r="J921" s="16"/>
      <c r="K921" s="16"/>
      <c r="L921" s="16"/>
      <c r="M921" s="26"/>
      <c r="N921" s="26"/>
      <c r="O921" s="16"/>
      <c r="P921" s="1"/>
      <c r="Q921" s="1"/>
      <c r="R921" s="1"/>
      <c r="S921" s="1"/>
      <c r="T921" s="1"/>
      <c r="U921" s="33"/>
      <c r="V921" s="16"/>
      <c r="W921" s="1"/>
      <c r="X921" s="1"/>
    </row>
    <row r="922" spans="1:24">
      <c r="A922" s="1"/>
      <c r="B922" s="16"/>
      <c r="C922" s="16"/>
      <c r="D922" s="16"/>
      <c r="E922" s="16"/>
      <c r="F922" s="16"/>
      <c r="G922" s="16"/>
      <c r="H922" s="16"/>
      <c r="I922" s="16"/>
      <c r="J922" s="16"/>
      <c r="K922" s="16"/>
      <c r="L922" s="16"/>
      <c r="M922" s="26"/>
      <c r="N922" s="26"/>
      <c r="O922" s="16"/>
      <c r="P922" s="1"/>
      <c r="Q922" s="1"/>
      <c r="R922" s="1"/>
      <c r="S922" s="1"/>
      <c r="T922" s="1"/>
      <c r="U922" s="33"/>
      <c r="V922" s="16"/>
      <c r="W922" s="1"/>
      <c r="X922" s="1"/>
    </row>
    <row r="923" spans="1:24">
      <c r="A923" s="1"/>
      <c r="B923" s="16"/>
      <c r="C923" s="16"/>
      <c r="D923" s="16"/>
      <c r="E923" s="16"/>
      <c r="F923" s="16"/>
      <c r="G923" s="16"/>
      <c r="H923" s="16"/>
      <c r="I923" s="16"/>
      <c r="J923" s="16"/>
      <c r="K923" s="16"/>
      <c r="L923" s="16"/>
      <c r="M923" s="26"/>
      <c r="N923" s="26"/>
      <c r="O923" s="16"/>
      <c r="P923" s="1"/>
      <c r="Q923" s="1"/>
      <c r="R923" s="1"/>
      <c r="S923" s="1"/>
      <c r="T923" s="1"/>
      <c r="U923" s="33"/>
      <c r="V923" s="16"/>
      <c r="W923" s="1"/>
      <c r="X923" s="1"/>
    </row>
    <row r="924" spans="1:24">
      <c r="A924" s="1"/>
      <c r="B924" s="16"/>
      <c r="C924" s="16"/>
      <c r="D924" s="16"/>
      <c r="E924" s="16"/>
      <c r="F924" s="16"/>
      <c r="G924" s="16"/>
      <c r="H924" s="16"/>
      <c r="I924" s="16"/>
      <c r="J924" s="16"/>
      <c r="K924" s="16"/>
      <c r="L924" s="16"/>
      <c r="M924" s="26"/>
      <c r="N924" s="26"/>
      <c r="O924" s="16"/>
      <c r="P924" s="1"/>
      <c r="Q924" s="1"/>
      <c r="R924" s="1"/>
      <c r="S924" s="1"/>
      <c r="T924" s="1"/>
      <c r="U924" s="33"/>
      <c r="V924" s="16"/>
      <c r="W924" s="1"/>
      <c r="X924" s="1"/>
    </row>
    <row r="925" spans="1:24">
      <c r="A925" s="1"/>
      <c r="B925" s="16"/>
      <c r="C925" s="16"/>
      <c r="D925" s="16"/>
      <c r="E925" s="16"/>
      <c r="F925" s="16"/>
      <c r="G925" s="16"/>
      <c r="H925" s="16"/>
      <c r="I925" s="16"/>
      <c r="J925" s="16"/>
      <c r="K925" s="16"/>
      <c r="L925" s="16"/>
      <c r="M925" s="26"/>
      <c r="N925" s="26"/>
      <c r="O925" s="16"/>
      <c r="P925" s="1"/>
      <c r="Q925" s="1"/>
      <c r="R925" s="1"/>
      <c r="S925" s="1"/>
      <c r="T925" s="1"/>
      <c r="U925" s="33"/>
      <c r="V925" s="16"/>
      <c r="W925" s="1"/>
      <c r="X925" s="1"/>
    </row>
    <row r="926" spans="1:24">
      <c r="A926" s="1"/>
      <c r="B926" s="16"/>
      <c r="C926" s="16"/>
      <c r="D926" s="16"/>
      <c r="E926" s="16"/>
      <c r="F926" s="16"/>
      <c r="G926" s="16"/>
      <c r="H926" s="16"/>
      <c r="I926" s="16"/>
      <c r="J926" s="16"/>
      <c r="K926" s="16"/>
      <c r="L926" s="16"/>
      <c r="M926" s="26"/>
      <c r="N926" s="26"/>
      <c r="O926" s="16"/>
      <c r="P926" s="1"/>
      <c r="Q926" s="1"/>
      <c r="R926" s="1"/>
      <c r="S926" s="1"/>
      <c r="T926" s="1"/>
      <c r="U926" s="33"/>
      <c r="V926" s="16"/>
      <c r="W926" s="1"/>
      <c r="X926" s="1"/>
    </row>
    <row r="927" spans="1:24">
      <c r="A927" s="1"/>
      <c r="B927" s="16"/>
      <c r="C927" s="16"/>
      <c r="D927" s="16"/>
      <c r="E927" s="16"/>
      <c r="F927" s="16"/>
      <c r="G927" s="16"/>
      <c r="H927" s="16"/>
      <c r="I927" s="16"/>
      <c r="J927" s="16"/>
      <c r="K927" s="16"/>
      <c r="L927" s="16"/>
      <c r="M927" s="26"/>
      <c r="N927" s="26"/>
      <c r="O927" s="16"/>
      <c r="P927" s="1"/>
      <c r="Q927" s="1"/>
      <c r="R927" s="1"/>
      <c r="S927" s="1"/>
      <c r="T927" s="1"/>
      <c r="U927" s="33"/>
      <c r="V927" s="16"/>
      <c r="W927" s="1"/>
      <c r="X927" s="1"/>
    </row>
    <row r="928" spans="1:24">
      <c r="A928" s="1"/>
      <c r="B928" s="16"/>
      <c r="C928" s="16"/>
      <c r="D928" s="16"/>
      <c r="E928" s="16"/>
      <c r="F928" s="16"/>
      <c r="G928" s="16"/>
      <c r="H928" s="16"/>
      <c r="I928" s="16"/>
      <c r="J928" s="16"/>
      <c r="K928" s="16"/>
      <c r="L928" s="16"/>
      <c r="M928" s="26"/>
      <c r="N928" s="26"/>
      <c r="O928" s="16"/>
      <c r="P928" s="1"/>
      <c r="Q928" s="1"/>
      <c r="R928" s="1"/>
      <c r="S928" s="1"/>
      <c r="T928" s="1"/>
      <c r="U928" s="33"/>
      <c r="V928" s="16"/>
      <c r="W928" s="1"/>
      <c r="X928" s="1"/>
    </row>
    <row r="929" spans="1:24">
      <c r="A929" s="1"/>
      <c r="B929" s="16"/>
      <c r="C929" s="16"/>
      <c r="D929" s="16"/>
      <c r="E929" s="16"/>
      <c r="F929" s="16"/>
      <c r="G929" s="16"/>
      <c r="H929" s="16"/>
      <c r="I929" s="16"/>
      <c r="J929" s="16"/>
      <c r="K929" s="16"/>
      <c r="L929" s="16"/>
      <c r="M929" s="26"/>
      <c r="N929" s="26"/>
      <c r="O929" s="16"/>
      <c r="P929" s="1"/>
      <c r="Q929" s="1"/>
      <c r="R929" s="1"/>
      <c r="S929" s="1"/>
      <c r="T929" s="1"/>
      <c r="U929" s="33"/>
      <c r="V929" s="16"/>
      <c r="W929" s="1"/>
      <c r="X929" s="1"/>
    </row>
    <row r="930" spans="1:24">
      <c r="A930" s="1"/>
      <c r="B930" s="16"/>
      <c r="C930" s="16"/>
      <c r="D930" s="16"/>
      <c r="E930" s="16"/>
      <c r="F930" s="16"/>
      <c r="G930" s="16"/>
      <c r="H930" s="16"/>
      <c r="I930" s="16"/>
      <c r="J930" s="16"/>
      <c r="K930" s="16"/>
      <c r="L930" s="16"/>
      <c r="M930" s="26"/>
      <c r="N930" s="26"/>
      <c r="O930" s="16"/>
      <c r="P930" s="1"/>
      <c r="Q930" s="1"/>
      <c r="R930" s="1"/>
      <c r="S930" s="1"/>
      <c r="T930" s="1"/>
      <c r="U930" s="33"/>
      <c r="V930" s="16"/>
      <c r="W930" s="1"/>
      <c r="X930" s="1"/>
    </row>
    <row r="931" spans="1:24">
      <c r="A931" s="1"/>
      <c r="B931" s="16"/>
      <c r="C931" s="16"/>
      <c r="D931" s="16"/>
      <c r="E931" s="16"/>
      <c r="F931" s="16"/>
      <c r="G931" s="16"/>
      <c r="H931" s="16"/>
      <c r="I931" s="16"/>
      <c r="J931" s="16"/>
      <c r="K931" s="16"/>
      <c r="L931" s="16"/>
      <c r="M931" s="26"/>
      <c r="N931" s="26"/>
      <c r="O931" s="16"/>
      <c r="P931" s="1"/>
      <c r="Q931" s="1"/>
      <c r="R931" s="1"/>
      <c r="S931" s="1"/>
      <c r="T931" s="1"/>
      <c r="U931" s="33"/>
      <c r="V931" s="16"/>
      <c r="W931" s="1"/>
      <c r="X931" s="1"/>
    </row>
    <row r="932" spans="1:24">
      <c r="A932" s="1"/>
      <c r="B932" s="16"/>
      <c r="C932" s="16"/>
      <c r="D932" s="16"/>
      <c r="E932" s="16"/>
      <c r="F932" s="16"/>
      <c r="G932" s="16"/>
      <c r="H932" s="16"/>
      <c r="I932" s="16"/>
      <c r="J932" s="16"/>
      <c r="K932" s="16"/>
      <c r="L932" s="16"/>
      <c r="M932" s="26"/>
      <c r="N932" s="26"/>
      <c r="O932" s="16"/>
      <c r="P932" s="1"/>
      <c r="Q932" s="1"/>
      <c r="R932" s="1"/>
      <c r="S932" s="1"/>
      <c r="T932" s="1"/>
      <c r="U932" s="33"/>
      <c r="V932" s="16"/>
      <c r="W932" s="1"/>
      <c r="X932" s="1"/>
    </row>
    <row r="933" spans="1:24">
      <c r="A933" s="1"/>
      <c r="B933" s="16"/>
      <c r="C933" s="16"/>
      <c r="D933" s="16"/>
      <c r="E933" s="16"/>
      <c r="F933" s="16"/>
      <c r="G933" s="16"/>
      <c r="H933" s="16"/>
      <c r="I933" s="16"/>
      <c r="J933" s="16"/>
      <c r="K933" s="16"/>
      <c r="L933" s="16"/>
      <c r="M933" s="26"/>
      <c r="N933" s="26"/>
      <c r="O933" s="16"/>
      <c r="P933" s="1"/>
      <c r="Q933" s="1"/>
      <c r="R933" s="1"/>
      <c r="S933" s="1"/>
      <c r="T933" s="1"/>
      <c r="U933" s="33"/>
      <c r="V933" s="16"/>
      <c r="W933" s="1"/>
      <c r="X933" s="1"/>
    </row>
    <row r="934" spans="1:24">
      <c r="A934" s="1"/>
      <c r="B934" s="16"/>
      <c r="C934" s="16"/>
      <c r="D934" s="16"/>
      <c r="E934" s="16"/>
      <c r="F934" s="16"/>
      <c r="G934" s="16"/>
      <c r="H934" s="16"/>
      <c r="I934" s="16"/>
      <c r="J934" s="16"/>
      <c r="K934" s="16"/>
      <c r="L934" s="16"/>
      <c r="M934" s="26"/>
      <c r="N934" s="26"/>
      <c r="O934" s="16"/>
      <c r="P934" s="1"/>
      <c r="Q934" s="1"/>
      <c r="R934" s="1"/>
      <c r="S934" s="1"/>
      <c r="T934" s="1"/>
      <c r="U934" s="33"/>
      <c r="V934" s="16"/>
      <c r="W934" s="1"/>
      <c r="X934" s="1"/>
    </row>
    <row r="935" spans="1:24">
      <c r="A935" s="1"/>
      <c r="B935" s="16"/>
      <c r="C935" s="16"/>
      <c r="D935" s="16"/>
      <c r="E935" s="16"/>
      <c r="F935" s="16"/>
      <c r="G935" s="16"/>
      <c r="H935" s="16"/>
      <c r="I935" s="16"/>
      <c r="J935" s="16"/>
      <c r="K935" s="16"/>
      <c r="L935" s="16"/>
      <c r="M935" s="26"/>
      <c r="N935" s="26"/>
      <c r="O935" s="16"/>
      <c r="P935" s="1"/>
      <c r="Q935" s="1"/>
      <c r="R935" s="1"/>
      <c r="S935" s="1"/>
      <c r="T935" s="1"/>
      <c r="U935" s="33"/>
      <c r="V935" s="16"/>
      <c r="W935" s="1"/>
      <c r="X935" s="1"/>
    </row>
    <row r="936" spans="1:24">
      <c r="A936" s="1"/>
      <c r="B936" s="16"/>
      <c r="C936" s="16"/>
      <c r="D936" s="16"/>
      <c r="E936" s="16"/>
      <c r="F936" s="16"/>
      <c r="G936" s="16"/>
      <c r="H936" s="16"/>
      <c r="I936" s="16"/>
      <c r="J936" s="16"/>
      <c r="K936" s="16"/>
      <c r="L936" s="16"/>
      <c r="M936" s="26"/>
      <c r="N936" s="26"/>
      <c r="O936" s="16"/>
      <c r="P936" s="1"/>
      <c r="Q936" s="1"/>
      <c r="R936" s="1"/>
      <c r="S936" s="1"/>
      <c r="T936" s="1"/>
      <c r="U936" s="33"/>
      <c r="V936" s="16"/>
      <c r="W936" s="1"/>
      <c r="X936" s="1"/>
    </row>
    <row r="937" spans="1:24">
      <c r="A937" s="1"/>
      <c r="B937" s="16"/>
      <c r="C937" s="16"/>
      <c r="D937" s="16"/>
      <c r="E937" s="16"/>
      <c r="F937" s="16"/>
      <c r="G937" s="16"/>
      <c r="H937" s="16"/>
      <c r="I937" s="16"/>
      <c r="J937" s="16"/>
      <c r="K937" s="16"/>
      <c r="L937" s="16"/>
      <c r="M937" s="26"/>
      <c r="N937" s="26"/>
      <c r="O937" s="16"/>
      <c r="P937" s="1"/>
      <c r="Q937" s="1"/>
      <c r="R937" s="1"/>
      <c r="S937" s="1"/>
      <c r="T937" s="1"/>
      <c r="U937" s="33"/>
      <c r="V937" s="16"/>
      <c r="W937" s="1"/>
      <c r="X937" s="1"/>
    </row>
    <row r="938" spans="1:24">
      <c r="A938" s="1"/>
      <c r="B938" s="16"/>
      <c r="C938" s="16"/>
      <c r="D938" s="16"/>
      <c r="E938" s="16"/>
      <c r="F938" s="16"/>
      <c r="G938" s="16"/>
      <c r="H938" s="16"/>
      <c r="I938" s="16"/>
      <c r="J938" s="16"/>
      <c r="K938" s="16"/>
      <c r="L938" s="16"/>
      <c r="M938" s="26"/>
      <c r="N938" s="26"/>
      <c r="O938" s="16"/>
      <c r="P938" s="1"/>
      <c r="Q938" s="1"/>
      <c r="R938" s="1"/>
      <c r="S938" s="1"/>
      <c r="T938" s="1"/>
      <c r="U938" s="33"/>
      <c r="V938" s="16"/>
      <c r="W938" s="1"/>
      <c r="X938" s="1"/>
    </row>
    <row r="939" spans="1:24">
      <c r="A939" s="1"/>
      <c r="B939" s="16"/>
      <c r="C939" s="16"/>
      <c r="D939" s="16"/>
      <c r="E939" s="16"/>
      <c r="F939" s="16"/>
      <c r="G939" s="16"/>
      <c r="H939" s="16"/>
      <c r="I939" s="16"/>
      <c r="J939" s="16"/>
      <c r="K939" s="16"/>
      <c r="L939" s="16"/>
      <c r="M939" s="26"/>
      <c r="N939" s="26"/>
      <c r="O939" s="16"/>
      <c r="P939" s="1"/>
      <c r="Q939" s="1"/>
      <c r="R939" s="1"/>
      <c r="S939" s="1"/>
      <c r="T939" s="1"/>
      <c r="U939" s="33"/>
      <c r="V939" s="16"/>
      <c r="W939" s="1"/>
      <c r="X939" s="1"/>
    </row>
    <row r="940" spans="1:24">
      <c r="A940" s="1"/>
      <c r="B940" s="16"/>
      <c r="C940" s="16"/>
      <c r="D940" s="16"/>
      <c r="E940" s="16"/>
      <c r="F940" s="16"/>
      <c r="G940" s="16"/>
      <c r="H940" s="16"/>
      <c r="I940" s="16"/>
      <c r="J940" s="16"/>
      <c r="K940" s="16"/>
      <c r="L940" s="16"/>
      <c r="M940" s="26"/>
      <c r="N940" s="26"/>
      <c r="O940" s="16"/>
      <c r="P940" s="1"/>
      <c r="Q940" s="1"/>
      <c r="R940" s="1"/>
      <c r="S940" s="1"/>
      <c r="T940" s="1"/>
      <c r="U940" s="33"/>
      <c r="V940" s="16"/>
      <c r="W940" s="1"/>
      <c r="X940" s="1"/>
    </row>
    <row r="941" spans="1:24">
      <c r="A941" s="1"/>
      <c r="B941" s="16"/>
      <c r="C941" s="16"/>
      <c r="D941" s="16"/>
      <c r="E941" s="16"/>
      <c r="F941" s="16"/>
      <c r="G941" s="16"/>
      <c r="H941" s="16"/>
      <c r="I941" s="16"/>
      <c r="J941" s="16"/>
      <c r="K941" s="16"/>
      <c r="L941" s="16"/>
      <c r="M941" s="26"/>
      <c r="N941" s="26"/>
      <c r="O941" s="16"/>
      <c r="P941" s="1"/>
      <c r="Q941" s="1"/>
      <c r="R941" s="1"/>
      <c r="S941" s="1"/>
      <c r="T941" s="1"/>
      <c r="U941" s="33"/>
      <c r="V941" s="16"/>
      <c r="W941" s="1"/>
      <c r="X941" s="1"/>
    </row>
    <row r="942" spans="1:24">
      <c r="A942" s="1"/>
      <c r="B942" s="16"/>
      <c r="C942" s="16"/>
      <c r="D942" s="16"/>
      <c r="E942" s="16"/>
      <c r="F942" s="16"/>
      <c r="G942" s="16"/>
      <c r="H942" s="16"/>
      <c r="I942" s="16"/>
      <c r="J942" s="16"/>
      <c r="K942" s="16"/>
      <c r="L942" s="16"/>
      <c r="M942" s="26"/>
      <c r="N942" s="26"/>
      <c r="O942" s="16"/>
      <c r="P942" s="1"/>
      <c r="Q942" s="1"/>
      <c r="R942" s="1"/>
      <c r="S942" s="1"/>
      <c r="T942" s="1"/>
      <c r="U942" s="33"/>
      <c r="V942" s="16"/>
      <c r="W942" s="1"/>
      <c r="X942" s="1"/>
    </row>
    <row r="943" spans="1:24">
      <c r="A943" s="1"/>
      <c r="B943" s="16"/>
      <c r="C943" s="16"/>
      <c r="D943" s="16"/>
      <c r="E943" s="16"/>
      <c r="F943" s="16"/>
      <c r="G943" s="16"/>
      <c r="H943" s="16"/>
      <c r="I943" s="16"/>
      <c r="J943" s="16"/>
      <c r="K943" s="16"/>
      <c r="L943" s="16"/>
      <c r="M943" s="26"/>
      <c r="N943" s="26"/>
      <c r="O943" s="16"/>
      <c r="P943" s="1"/>
      <c r="Q943" s="1"/>
      <c r="R943" s="1"/>
      <c r="S943" s="1"/>
      <c r="T943" s="1"/>
      <c r="U943" s="33"/>
      <c r="V943" s="16"/>
      <c r="W943" s="1"/>
      <c r="X943" s="1"/>
    </row>
    <row r="944" spans="1:24">
      <c r="A944" s="1"/>
      <c r="B944" s="16"/>
      <c r="C944" s="16"/>
      <c r="D944" s="16"/>
      <c r="E944" s="16"/>
      <c r="F944" s="16"/>
      <c r="G944" s="16"/>
      <c r="H944" s="16"/>
      <c r="I944" s="16"/>
      <c r="J944" s="16"/>
      <c r="K944" s="16"/>
      <c r="L944" s="16"/>
      <c r="M944" s="26"/>
      <c r="N944" s="26"/>
      <c r="O944" s="16"/>
      <c r="P944" s="1"/>
      <c r="Q944" s="1"/>
      <c r="R944" s="1"/>
      <c r="S944" s="1"/>
      <c r="T944" s="1"/>
      <c r="U944" s="33"/>
      <c r="V944" s="16"/>
      <c r="W944" s="1"/>
      <c r="X944" s="1"/>
    </row>
    <row r="945" spans="1:24">
      <c r="A945" s="1"/>
      <c r="B945" s="16"/>
      <c r="C945" s="16"/>
      <c r="D945" s="16"/>
      <c r="E945" s="16"/>
      <c r="F945" s="16"/>
      <c r="G945" s="16"/>
      <c r="H945" s="16"/>
      <c r="I945" s="16"/>
      <c r="J945" s="16"/>
      <c r="K945" s="16"/>
      <c r="L945" s="16"/>
      <c r="M945" s="26"/>
      <c r="N945" s="26"/>
      <c r="O945" s="16"/>
      <c r="P945" s="1"/>
      <c r="Q945" s="1"/>
      <c r="R945" s="1"/>
      <c r="S945" s="1"/>
      <c r="T945" s="1"/>
      <c r="U945" s="33"/>
      <c r="V945" s="16"/>
      <c r="W945" s="1"/>
      <c r="X945" s="1"/>
    </row>
    <row r="946" spans="1:24">
      <c r="A946" s="1"/>
      <c r="B946" s="16"/>
      <c r="C946" s="16"/>
      <c r="D946" s="16"/>
      <c r="E946" s="16"/>
      <c r="F946" s="16"/>
      <c r="G946" s="16"/>
      <c r="H946" s="16"/>
      <c r="I946" s="16"/>
      <c r="J946" s="16"/>
      <c r="K946" s="16"/>
      <c r="L946" s="16"/>
      <c r="M946" s="26"/>
      <c r="N946" s="26"/>
      <c r="O946" s="16"/>
      <c r="P946" s="1"/>
      <c r="Q946" s="1"/>
      <c r="R946" s="1"/>
      <c r="S946" s="1"/>
      <c r="T946" s="1"/>
      <c r="U946" s="33"/>
      <c r="V946" s="16"/>
      <c r="W946" s="1"/>
      <c r="X946" s="1"/>
    </row>
    <row r="947" spans="1:24">
      <c r="A947" s="1"/>
      <c r="B947" s="16"/>
      <c r="C947" s="16"/>
      <c r="D947" s="16"/>
      <c r="E947" s="16"/>
      <c r="F947" s="16"/>
      <c r="G947" s="16"/>
      <c r="H947" s="16"/>
      <c r="I947" s="16"/>
      <c r="J947" s="16"/>
      <c r="K947" s="16"/>
      <c r="L947" s="16"/>
      <c r="M947" s="26"/>
      <c r="N947" s="26"/>
      <c r="O947" s="16"/>
      <c r="P947" s="1"/>
      <c r="Q947" s="1"/>
      <c r="R947" s="1"/>
      <c r="S947" s="1"/>
      <c r="T947" s="1"/>
      <c r="U947" s="33"/>
      <c r="V947" s="16"/>
      <c r="W947" s="1"/>
      <c r="X947" s="1"/>
    </row>
    <row r="948" spans="1:24">
      <c r="A948" s="1"/>
      <c r="B948" s="16"/>
      <c r="C948" s="16"/>
      <c r="D948" s="16"/>
      <c r="E948" s="16"/>
      <c r="F948" s="16"/>
      <c r="G948" s="16"/>
      <c r="H948" s="16"/>
      <c r="I948" s="16"/>
      <c r="J948" s="16"/>
      <c r="K948" s="16"/>
      <c r="L948" s="16"/>
      <c r="M948" s="26"/>
      <c r="N948" s="26"/>
      <c r="O948" s="16"/>
      <c r="P948" s="1"/>
      <c r="Q948" s="1"/>
      <c r="R948" s="1"/>
      <c r="S948" s="1"/>
      <c r="T948" s="1"/>
      <c r="U948" s="33"/>
      <c r="V948" s="16"/>
      <c r="W948" s="1"/>
      <c r="X948" s="1"/>
    </row>
    <row r="949" spans="1:24">
      <c r="A949" s="1"/>
      <c r="B949" s="16"/>
      <c r="C949" s="16"/>
      <c r="D949" s="16"/>
      <c r="E949" s="16"/>
      <c r="F949" s="16"/>
      <c r="G949" s="16"/>
      <c r="H949" s="16"/>
      <c r="I949" s="16"/>
      <c r="J949" s="16"/>
      <c r="K949" s="16"/>
      <c r="L949" s="16"/>
      <c r="M949" s="26"/>
      <c r="N949" s="26"/>
      <c r="O949" s="16"/>
      <c r="P949" s="1"/>
      <c r="Q949" s="1"/>
      <c r="R949" s="1"/>
      <c r="S949" s="1"/>
      <c r="T949" s="1"/>
      <c r="U949" s="33"/>
      <c r="V949" s="16"/>
      <c r="W949" s="1"/>
      <c r="X949" s="1"/>
    </row>
    <row r="950" spans="1:24">
      <c r="A950" s="1"/>
      <c r="B950" s="16"/>
      <c r="C950" s="16"/>
      <c r="D950" s="16"/>
      <c r="E950" s="16"/>
      <c r="F950" s="16"/>
      <c r="G950" s="16"/>
      <c r="H950" s="16"/>
      <c r="I950" s="16"/>
      <c r="J950" s="16"/>
      <c r="K950" s="16"/>
      <c r="L950" s="16"/>
      <c r="M950" s="26"/>
      <c r="N950" s="26"/>
      <c r="O950" s="16"/>
      <c r="P950" s="1"/>
      <c r="Q950" s="1"/>
      <c r="R950" s="1"/>
      <c r="S950" s="1"/>
      <c r="T950" s="1"/>
      <c r="U950" s="33"/>
      <c r="V950" s="16"/>
      <c r="W950" s="1"/>
      <c r="X950" s="1"/>
    </row>
    <row r="951" spans="1:24">
      <c r="A951" s="1"/>
      <c r="B951" s="16"/>
      <c r="C951" s="16"/>
      <c r="D951" s="16"/>
      <c r="E951" s="16"/>
      <c r="F951" s="16"/>
      <c r="G951" s="16"/>
      <c r="H951" s="16"/>
      <c r="I951" s="16"/>
      <c r="J951" s="16"/>
      <c r="K951" s="16"/>
      <c r="L951" s="16"/>
      <c r="M951" s="26"/>
      <c r="N951" s="26"/>
      <c r="O951" s="16"/>
      <c r="P951" s="1"/>
      <c r="Q951" s="1"/>
      <c r="R951" s="1"/>
      <c r="S951" s="1"/>
      <c r="T951" s="1"/>
      <c r="U951" s="33"/>
      <c r="V951" s="16"/>
      <c r="W951" s="1"/>
      <c r="X951" s="1"/>
    </row>
    <row r="952" spans="1:24">
      <c r="A952" s="1"/>
      <c r="B952" s="16"/>
      <c r="C952" s="16"/>
      <c r="D952" s="16"/>
      <c r="E952" s="16"/>
      <c r="F952" s="16"/>
      <c r="G952" s="16"/>
      <c r="H952" s="16"/>
      <c r="I952" s="16"/>
      <c r="J952" s="16"/>
      <c r="K952" s="16"/>
      <c r="L952" s="16"/>
      <c r="M952" s="26"/>
      <c r="N952" s="26"/>
      <c r="O952" s="16"/>
      <c r="P952" s="1"/>
      <c r="Q952" s="1"/>
      <c r="R952" s="1"/>
      <c r="S952" s="1"/>
      <c r="T952" s="1"/>
      <c r="U952" s="33"/>
      <c r="V952" s="16"/>
      <c r="W952" s="1"/>
      <c r="X952" s="1"/>
    </row>
    <row r="953" spans="1:24">
      <c r="A953" s="1"/>
      <c r="B953" s="16"/>
      <c r="C953" s="16"/>
      <c r="D953" s="16"/>
      <c r="E953" s="16"/>
      <c r="F953" s="16"/>
      <c r="G953" s="16"/>
      <c r="H953" s="16"/>
      <c r="I953" s="16"/>
      <c r="J953" s="16"/>
      <c r="K953" s="16"/>
      <c r="L953" s="16"/>
      <c r="M953" s="26"/>
      <c r="N953" s="26"/>
      <c r="O953" s="16"/>
      <c r="P953" s="1"/>
      <c r="Q953" s="1"/>
      <c r="R953" s="1"/>
      <c r="S953" s="1"/>
      <c r="T953" s="1"/>
      <c r="U953" s="33"/>
      <c r="V953" s="16"/>
      <c r="W953" s="1"/>
      <c r="X953" s="1"/>
    </row>
    <row r="954" spans="1:24">
      <c r="A954" s="1"/>
      <c r="B954" s="16"/>
      <c r="C954" s="16"/>
      <c r="D954" s="16"/>
      <c r="E954" s="16"/>
      <c r="F954" s="16"/>
      <c r="G954" s="16"/>
      <c r="H954" s="16"/>
      <c r="I954" s="16"/>
      <c r="J954" s="16"/>
      <c r="K954" s="16"/>
      <c r="L954" s="16"/>
      <c r="M954" s="26"/>
      <c r="N954" s="26"/>
      <c r="O954" s="16"/>
      <c r="P954" s="1"/>
      <c r="Q954" s="1"/>
      <c r="R954" s="1"/>
      <c r="S954" s="1"/>
      <c r="T954" s="1"/>
      <c r="U954" s="33"/>
      <c r="V954" s="16"/>
      <c r="W954" s="1"/>
      <c r="X954" s="1"/>
    </row>
    <row r="955" spans="1:24">
      <c r="A955" s="1"/>
      <c r="B955" s="16"/>
      <c r="C955" s="16"/>
      <c r="D955" s="16"/>
      <c r="E955" s="16"/>
      <c r="F955" s="16"/>
      <c r="G955" s="16"/>
      <c r="H955" s="16"/>
      <c r="I955" s="16"/>
      <c r="J955" s="16"/>
      <c r="K955" s="16"/>
      <c r="L955" s="16"/>
      <c r="M955" s="26"/>
      <c r="N955" s="26"/>
      <c r="O955" s="16"/>
      <c r="P955" s="1"/>
      <c r="Q955" s="1"/>
      <c r="R955" s="1"/>
      <c r="S955" s="1"/>
      <c r="T955" s="1"/>
      <c r="U955" s="33"/>
      <c r="V955" s="16"/>
      <c r="W955" s="1"/>
      <c r="X955" s="1"/>
    </row>
    <row r="956" spans="1:24">
      <c r="A956" s="1"/>
      <c r="B956" s="16"/>
      <c r="C956" s="16"/>
      <c r="D956" s="16"/>
      <c r="E956" s="16"/>
      <c r="F956" s="16"/>
      <c r="G956" s="16"/>
      <c r="H956" s="16"/>
      <c r="I956" s="16"/>
      <c r="J956" s="16"/>
      <c r="K956" s="16"/>
      <c r="L956" s="16"/>
      <c r="M956" s="26"/>
      <c r="N956" s="26"/>
      <c r="O956" s="16"/>
      <c r="P956" s="1"/>
      <c r="Q956" s="1"/>
      <c r="R956" s="1"/>
      <c r="S956" s="1"/>
      <c r="T956" s="1"/>
      <c r="U956" s="33"/>
      <c r="V956" s="16"/>
      <c r="W956" s="1"/>
      <c r="X956" s="1"/>
    </row>
    <row r="957" spans="1:24">
      <c r="A957" s="1"/>
      <c r="B957" s="16"/>
      <c r="C957" s="16"/>
      <c r="D957" s="16"/>
      <c r="E957" s="16"/>
      <c r="F957" s="16"/>
      <c r="G957" s="16"/>
      <c r="H957" s="16"/>
      <c r="I957" s="16"/>
      <c r="J957" s="16"/>
      <c r="K957" s="16"/>
      <c r="L957" s="16"/>
      <c r="M957" s="26"/>
      <c r="N957" s="26"/>
      <c r="O957" s="16"/>
      <c r="P957" s="1"/>
      <c r="Q957" s="1"/>
      <c r="R957" s="1"/>
      <c r="S957" s="1"/>
      <c r="T957" s="1"/>
      <c r="U957" s="33"/>
      <c r="V957" s="16"/>
      <c r="W957" s="1"/>
      <c r="X957" s="1"/>
    </row>
    <row r="958" spans="1:24">
      <c r="A958" s="1"/>
      <c r="B958" s="16"/>
      <c r="C958" s="16"/>
      <c r="D958" s="16"/>
      <c r="E958" s="16"/>
      <c r="F958" s="16"/>
      <c r="G958" s="16"/>
      <c r="H958" s="16"/>
      <c r="I958" s="16"/>
      <c r="J958" s="16"/>
      <c r="K958" s="16"/>
      <c r="L958" s="16"/>
      <c r="M958" s="26"/>
      <c r="N958" s="26"/>
      <c r="O958" s="16"/>
      <c r="P958" s="1"/>
      <c r="Q958" s="1"/>
      <c r="R958" s="1"/>
      <c r="S958" s="1"/>
      <c r="T958" s="1"/>
      <c r="U958" s="33"/>
      <c r="V958" s="16"/>
      <c r="W958" s="1"/>
      <c r="X958" s="1"/>
    </row>
    <row r="959" spans="1:24">
      <c r="A959" s="1"/>
      <c r="B959" s="16"/>
      <c r="C959" s="16"/>
      <c r="D959" s="16"/>
      <c r="E959" s="16"/>
      <c r="F959" s="16"/>
      <c r="G959" s="16"/>
      <c r="H959" s="16"/>
      <c r="I959" s="16"/>
      <c r="J959" s="16"/>
      <c r="K959" s="16"/>
      <c r="L959" s="16"/>
      <c r="M959" s="26"/>
      <c r="N959" s="26"/>
      <c r="O959" s="16"/>
      <c r="P959" s="1"/>
      <c r="Q959" s="1"/>
      <c r="R959" s="1"/>
      <c r="S959" s="1"/>
      <c r="T959" s="1"/>
      <c r="U959" s="33"/>
      <c r="V959" s="16"/>
      <c r="W959" s="1"/>
      <c r="X959" s="1"/>
    </row>
    <row r="960" spans="1:24">
      <c r="A960" s="1"/>
      <c r="B960" s="16"/>
      <c r="C960" s="16"/>
      <c r="D960" s="16"/>
      <c r="E960" s="16"/>
      <c r="F960" s="16"/>
      <c r="G960" s="16"/>
      <c r="H960" s="16"/>
      <c r="I960" s="16"/>
      <c r="J960" s="16"/>
      <c r="K960" s="16"/>
      <c r="L960" s="16"/>
      <c r="M960" s="26"/>
      <c r="N960" s="26"/>
      <c r="O960" s="16"/>
      <c r="P960" s="1"/>
      <c r="Q960" s="1"/>
      <c r="R960" s="1"/>
      <c r="S960" s="1"/>
      <c r="T960" s="1"/>
      <c r="U960" s="33"/>
      <c r="V960" s="16"/>
      <c r="W960" s="1"/>
      <c r="X960" s="1"/>
    </row>
    <row r="961" spans="1:24">
      <c r="A961" s="1"/>
      <c r="B961" s="16"/>
      <c r="C961" s="16"/>
      <c r="D961" s="16"/>
      <c r="E961" s="16"/>
      <c r="F961" s="16"/>
      <c r="G961" s="16"/>
      <c r="H961" s="16"/>
      <c r="I961" s="16"/>
      <c r="J961" s="16"/>
      <c r="K961" s="16"/>
      <c r="L961" s="16"/>
      <c r="M961" s="26"/>
      <c r="N961" s="26"/>
      <c r="O961" s="16"/>
      <c r="P961" s="1"/>
      <c r="Q961" s="1"/>
      <c r="R961" s="1"/>
      <c r="S961" s="1"/>
      <c r="T961" s="1"/>
      <c r="U961" s="33"/>
      <c r="V961" s="16"/>
      <c r="W961" s="1"/>
      <c r="X961" s="1"/>
    </row>
    <row r="962" spans="1:24">
      <c r="A962" s="1"/>
      <c r="B962" s="16"/>
      <c r="C962" s="16"/>
      <c r="D962" s="16"/>
      <c r="E962" s="16"/>
      <c r="F962" s="16"/>
      <c r="G962" s="16"/>
      <c r="H962" s="16"/>
      <c r="I962" s="16"/>
      <c r="J962" s="16"/>
      <c r="K962" s="16"/>
      <c r="L962" s="16"/>
      <c r="M962" s="26"/>
      <c r="N962" s="26"/>
      <c r="O962" s="16"/>
      <c r="P962" s="1"/>
      <c r="Q962" s="1"/>
      <c r="R962" s="1"/>
      <c r="S962" s="1"/>
      <c r="T962" s="1"/>
      <c r="U962" s="33"/>
      <c r="V962" s="16"/>
      <c r="W962" s="1"/>
      <c r="X962" s="1"/>
    </row>
    <row r="963" spans="1:24">
      <c r="A963" s="1"/>
      <c r="B963" s="16"/>
      <c r="C963" s="16"/>
      <c r="D963" s="16"/>
      <c r="E963" s="16"/>
      <c r="F963" s="16"/>
      <c r="G963" s="16"/>
      <c r="H963" s="16"/>
      <c r="I963" s="16"/>
      <c r="J963" s="16"/>
      <c r="K963" s="16"/>
      <c r="L963" s="16"/>
      <c r="M963" s="26"/>
      <c r="N963" s="26"/>
      <c r="O963" s="16"/>
      <c r="P963" s="1"/>
      <c r="Q963" s="1"/>
      <c r="R963" s="1"/>
      <c r="S963" s="1"/>
      <c r="T963" s="1"/>
      <c r="U963" s="33"/>
      <c r="V963" s="16"/>
      <c r="W963" s="1"/>
      <c r="X963" s="1"/>
    </row>
    <row r="964" spans="1:24">
      <c r="A964" s="1"/>
      <c r="B964" s="16"/>
      <c r="C964" s="16"/>
      <c r="D964" s="16"/>
      <c r="E964" s="16"/>
      <c r="F964" s="16"/>
      <c r="G964" s="16"/>
      <c r="H964" s="16"/>
      <c r="I964" s="16"/>
      <c r="J964" s="16"/>
      <c r="K964" s="16"/>
      <c r="L964" s="16"/>
      <c r="M964" s="26"/>
      <c r="N964" s="26"/>
      <c r="O964" s="16"/>
      <c r="P964" s="1"/>
      <c r="Q964" s="1"/>
      <c r="R964" s="1"/>
      <c r="S964" s="1"/>
      <c r="T964" s="1"/>
      <c r="U964" s="33"/>
      <c r="V964" s="16"/>
      <c r="W964" s="1"/>
      <c r="X964" s="1"/>
    </row>
    <row r="965" spans="1:24">
      <c r="A965" s="1"/>
      <c r="B965" s="16"/>
      <c r="C965" s="16"/>
      <c r="D965" s="16"/>
      <c r="E965" s="16"/>
      <c r="F965" s="16"/>
      <c r="G965" s="16"/>
      <c r="H965" s="16"/>
      <c r="I965" s="16"/>
      <c r="J965" s="16"/>
      <c r="K965" s="16"/>
      <c r="L965" s="16"/>
      <c r="M965" s="26"/>
      <c r="N965" s="26"/>
      <c r="O965" s="16"/>
      <c r="P965" s="1"/>
      <c r="Q965" s="1"/>
      <c r="R965" s="1"/>
      <c r="S965" s="1"/>
      <c r="T965" s="1"/>
      <c r="U965" s="33"/>
      <c r="V965" s="16"/>
      <c r="W965" s="1"/>
      <c r="X965" s="1"/>
    </row>
    <row r="966" spans="1:24">
      <c r="A966" s="1"/>
      <c r="B966" s="16"/>
      <c r="C966" s="16"/>
      <c r="D966" s="16"/>
      <c r="E966" s="16"/>
      <c r="F966" s="16"/>
      <c r="G966" s="16"/>
      <c r="H966" s="16"/>
      <c r="I966" s="16"/>
      <c r="J966" s="16"/>
      <c r="K966" s="16"/>
      <c r="L966" s="16"/>
      <c r="M966" s="26"/>
      <c r="N966" s="26"/>
      <c r="O966" s="16"/>
      <c r="P966" s="1"/>
      <c r="Q966" s="1"/>
      <c r="R966" s="1"/>
      <c r="S966" s="1"/>
      <c r="T966" s="1"/>
      <c r="U966" s="33"/>
      <c r="V966" s="16"/>
      <c r="W966" s="1"/>
      <c r="X966" s="1"/>
    </row>
    <row r="967" spans="1:24">
      <c r="A967" s="1"/>
      <c r="B967" s="16"/>
      <c r="C967" s="16"/>
      <c r="D967" s="16"/>
      <c r="E967" s="16"/>
      <c r="F967" s="16"/>
      <c r="G967" s="16"/>
      <c r="H967" s="16"/>
      <c r="I967" s="16"/>
      <c r="J967" s="16"/>
      <c r="K967" s="16"/>
      <c r="L967" s="16"/>
      <c r="M967" s="26"/>
      <c r="N967" s="26"/>
      <c r="O967" s="16"/>
      <c r="P967" s="1"/>
      <c r="Q967" s="1"/>
      <c r="R967" s="1"/>
      <c r="S967" s="1"/>
      <c r="T967" s="1"/>
      <c r="U967" s="33"/>
      <c r="V967" s="16"/>
      <c r="W967" s="1"/>
      <c r="X967" s="1"/>
    </row>
    <row r="968" spans="1:24">
      <c r="A968" s="1"/>
      <c r="B968" s="16"/>
      <c r="C968" s="16"/>
      <c r="D968" s="16"/>
      <c r="E968" s="16"/>
      <c r="F968" s="16"/>
      <c r="G968" s="16"/>
      <c r="H968" s="16"/>
      <c r="I968" s="16"/>
      <c r="J968" s="16"/>
      <c r="K968" s="16"/>
      <c r="L968" s="16"/>
      <c r="M968" s="26"/>
      <c r="N968" s="26"/>
      <c r="O968" s="16"/>
      <c r="P968" s="1"/>
      <c r="Q968" s="1"/>
      <c r="R968" s="1"/>
      <c r="S968" s="1"/>
      <c r="T968" s="1"/>
      <c r="U968" s="33"/>
      <c r="V968" s="16"/>
      <c r="W968" s="1"/>
      <c r="X968" s="1"/>
    </row>
    <row r="969" spans="1:24">
      <c r="A969" s="1"/>
      <c r="B969" s="16"/>
      <c r="C969" s="16"/>
      <c r="D969" s="16"/>
      <c r="E969" s="16"/>
      <c r="F969" s="16"/>
      <c r="G969" s="16"/>
      <c r="H969" s="16"/>
      <c r="I969" s="16"/>
      <c r="J969" s="16"/>
      <c r="K969" s="16"/>
      <c r="L969" s="16"/>
      <c r="M969" s="26"/>
      <c r="N969" s="26"/>
      <c r="O969" s="16"/>
      <c r="P969" s="1"/>
      <c r="Q969" s="1"/>
      <c r="R969" s="1"/>
      <c r="S969" s="1"/>
      <c r="T969" s="1"/>
      <c r="U969" s="33"/>
      <c r="V969" s="16"/>
      <c r="W969" s="1"/>
      <c r="X969" s="1"/>
    </row>
    <row r="970" spans="1:24">
      <c r="A970" s="1"/>
      <c r="B970" s="16"/>
      <c r="C970" s="16"/>
      <c r="D970" s="16"/>
      <c r="E970" s="16"/>
      <c r="F970" s="16"/>
      <c r="G970" s="16"/>
      <c r="H970" s="16"/>
      <c r="I970" s="16"/>
      <c r="J970" s="16"/>
      <c r="K970" s="16"/>
      <c r="L970" s="16"/>
      <c r="M970" s="26"/>
      <c r="N970" s="26"/>
      <c r="O970" s="16"/>
      <c r="P970" s="1"/>
      <c r="Q970" s="1"/>
      <c r="R970" s="1"/>
      <c r="S970" s="1"/>
      <c r="T970" s="1"/>
      <c r="U970" s="33"/>
      <c r="V970" s="16"/>
      <c r="W970" s="1"/>
      <c r="X970" s="1"/>
    </row>
    <row r="971" spans="1:24">
      <c r="A971" s="1"/>
      <c r="B971" s="16"/>
      <c r="C971" s="16"/>
      <c r="D971" s="16"/>
      <c r="E971" s="16"/>
      <c r="F971" s="16"/>
      <c r="G971" s="16"/>
      <c r="H971" s="16"/>
      <c r="I971" s="16"/>
      <c r="J971" s="16"/>
      <c r="K971" s="16"/>
      <c r="L971" s="16"/>
      <c r="M971" s="26"/>
      <c r="N971" s="26"/>
      <c r="O971" s="16"/>
      <c r="P971" s="1"/>
      <c r="Q971" s="1"/>
      <c r="R971" s="1"/>
      <c r="S971" s="1"/>
      <c r="T971" s="1"/>
      <c r="U971" s="33"/>
      <c r="V971" s="16"/>
      <c r="W971" s="1"/>
      <c r="X971" s="1"/>
    </row>
    <row r="972" spans="1:24">
      <c r="A972" s="1"/>
      <c r="B972" s="16"/>
      <c r="C972" s="16"/>
      <c r="D972" s="16"/>
      <c r="E972" s="16"/>
      <c r="F972" s="16"/>
      <c r="G972" s="16"/>
      <c r="H972" s="16"/>
      <c r="I972" s="16"/>
      <c r="J972" s="16"/>
      <c r="K972" s="16"/>
      <c r="L972" s="16"/>
      <c r="M972" s="26"/>
      <c r="N972" s="26"/>
      <c r="O972" s="16"/>
      <c r="P972" s="1"/>
      <c r="Q972" s="1"/>
      <c r="R972" s="1"/>
      <c r="S972" s="1"/>
      <c r="T972" s="1"/>
      <c r="U972" s="33"/>
      <c r="V972" s="16"/>
      <c r="W972" s="1"/>
      <c r="X972" s="1"/>
    </row>
    <row r="973" spans="1:24">
      <c r="A973" s="1"/>
      <c r="B973" s="16"/>
      <c r="C973" s="16"/>
      <c r="D973" s="16"/>
      <c r="E973" s="16"/>
      <c r="F973" s="16"/>
      <c r="G973" s="16"/>
      <c r="H973" s="16"/>
      <c r="I973" s="16"/>
      <c r="J973" s="16"/>
      <c r="K973" s="16"/>
      <c r="L973" s="16"/>
      <c r="M973" s="26"/>
      <c r="N973" s="26"/>
      <c r="O973" s="16"/>
      <c r="P973" s="1"/>
      <c r="Q973" s="1"/>
      <c r="R973" s="1"/>
      <c r="S973" s="1"/>
      <c r="T973" s="1"/>
      <c r="U973" s="33"/>
      <c r="V973" s="16"/>
      <c r="W973" s="1"/>
      <c r="X973" s="1"/>
    </row>
    <row r="974" spans="1:24">
      <c r="A974" s="1"/>
      <c r="B974" s="16"/>
      <c r="C974" s="16"/>
      <c r="D974" s="16"/>
      <c r="E974" s="16"/>
      <c r="F974" s="16"/>
      <c r="G974" s="16"/>
      <c r="H974" s="16"/>
      <c r="I974" s="16"/>
      <c r="J974" s="16"/>
      <c r="K974" s="16"/>
      <c r="L974" s="16"/>
      <c r="M974" s="26"/>
      <c r="N974" s="26"/>
      <c r="O974" s="16"/>
      <c r="P974" s="1"/>
      <c r="Q974" s="1"/>
      <c r="R974" s="1"/>
      <c r="S974" s="1"/>
      <c r="T974" s="1"/>
      <c r="U974" s="33"/>
      <c r="V974" s="16"/>
      <c r="W974" s="1"/>
      <c r="X974" s="1"/>
    </row>
    <row r="975" spans="1:24">
      <c r="A975" s="1"/>
      <c r="B975" s="16"/>
      <c r="C975" s="16"/>
      <c r="D975" s="16"/>
      <c r="E975" s="16"/>
      <c r="F975" s="16"/>
      <c r="G975" s="16"/>
      <c r="H975" s="16"/>
      <c r="I975" s="16"/>
      <c r="J975" s="16"/>
      <c r="K975" s="16"/>
      <c r="L975" s="16"/>
      <c r="M975" s="26"/>
      <c r="N975" s="26"/>
      <c r="O975" s="16"/>
      <c r="P975" s="1"/>
      <c r="Q975" s="1"/>
      <c r="R975" s="1"/>
      <c r="S975" s="1"/>
      <c r="T975" s="1"/>
      <c r="U975" s="33"/>
      <c r="V975" s="16"/>
      <c r="W975" s="1"/>
      <c r="X975" s="1"/>
    </row>
    <row r="976" spans="1:24">
      <c r="A976" s="1"/>
      <c r="B976" s="16"/>
      <c r="C976" s="16"/>
      <c r="D976" s="16"/>
      <c r="E976" s="16"/>
      <c r="F976" s="16"/>
      <c r="G976" s="16"/>
      <c r="H976" s="16"/>
      <c r="I976" s="16"/>
      <c r="J976" s="16"/>
      <c r="K976" s="16"/>
      <c r="L976" s="16"/>
      <c r="M976" s="26"/>
      <c r="N976" s="26"/>
      <c r="O976" s="16"/>
      <c r="P976" s="1"/>
      <c r="Q976" s="1"/>
      <c r="R976" s="1"/>
      <c r="S976" s="1"/>
      <c r="T976" s="1"/>
      <c r="U976" s="33"/>
      <c r="V976" s="16"/>
      <c r="W976" s="1"/>
      <c r="X976" s="1"/>
    </row>
    <row r="977" spans="1:24">
      <c r="A977" s="1"/>
      <c r="B977" s="16"/>
      <c r="C977" s="16"/>
      <c r="D977" s="16"/>
      <c r="E977" s="16"/>
      <c r="F977" s="16"/>
      <c r="G977" s="16"/>
      <c r="H977" s="16"/>
      <c r="I977" s="16"/>
      <c r="J977" s="16"/>
      <c r="K977" s="16"/>
      <c r="L977" s="16"/>
      <c r="M977" s="26"/>
      <c r="N977" s="26"/>
      <c r="O977" s="16"/>
      <c r="P977" s="1"/>
      <c r="Q977" s="1"/>
      <c r="R977" s="1"/>
      <c r="S977" s="1"/>
      <c r="T977" s="1"/>
      <c r="U977" s="33"/>
      <c r="V977" s="16"/>
      <c r="W977" s="1"/>
      <c r="X977" s="1"/>
    </row>
    <row r="978" spans="1:24">
      <c r="A978" s="1"/>
      <c r="B978" s="16"/>
      <c r="C978" s="16"/>
      <c r="D978" s="16"/>
      <c r="E978" s="16"/>
      <c r="F978" s="16"/>
      <c r="G978" s="16"/>
      <c r="H978" s="16"/>
      <c r="I978" s="16"/>
      <c r="J978" s="16"/>
      <c r="K978" s="16"/>
      <c r="L978" s="16"/>
      <c r="M978" s="26"/>
      <c r="N978" s="26"/>
      <c r="O978" s="16"/>
      <c r="P978" s="1"/>
      <c r="Q978" s="1"/>
      <c r="R978" s="1"/>
      <c r="S978" s="1"/>
      <c r="T978" s="1"/>
      <c r="U978" s="33"/>
      <c r="V978" s="16"/>
      <c r="W978" s="1"/>
      <c r="X978" s="1"/>
    </row>
    <row r="979" spans="1:24">
      <c r="A979" s="1"/>
      <c r="B979" s="16"/>
      <c r="C979" s="16"/>
      <c r="D979" s="16"/>
      <c r="E979" s="16"/>
      <c r="F979" s="16"/>
      <c r="G979" s="16"/>
      <c r="H979" s="16"/>
      <c r="I979" s="16"/>
      <c r="J979" s="16"/>
      <c r="K979" s="16"/>
      <c r="L979" s="16"/>
      <c r="M979" s="26"/>
      <c r="N979" s="26"/>
      <c r="O979" s="16"/>
      <c r="P979" s="1"/>
      <c r="Q979" s="1"/>
      <c r="R979" s="1"/>
      <c r="S979" s="1"/>
      <c r="T979" s="1"/>
      <c r="U979" s="33"/>
      <c r="V979" s="16"/>
      <c r="W979" s="1"/>
      <c r="X979" s="1"/>
    </row>
    <row r="980" spans="1:24">
      <c r="A980" s="1"/>
      <c r="B980" s="16"/>
      <c r="C980" s="16"/>
      <c r="D980" s="16"/>
      <c r="E980" s="16"/>
      <c r="F980" s="16"/>
      <c r="G980" s="16"/>
      <c r="H980" s="16"/>
      <c r="I980" s="16"/>
      <c r="J980" s="16"/>
      <c r="K980" s="16"/>
      <c r="L980" s="16"/>
      <c r="M980" s="26"/>
      <c r="N980" s="26"/>
      <c r="O980" s="16"/>
      <c r="P980" s="1"/>
      <c r="Q980" s="1"/>
      <c r="R980" s="1"/>
      <c r="S980" s="1"/>
      <c r="T980" s="1"/>
      <c r="U980" s="33"/>
      <c r="V980" s="16"/>
      <c r="W980" s="1"/>
      <c r="X980" s="1"/>
    </row>
    <row r="981" spans="1:24">
      <c r="A981" s="1"/>
      <c r="B981" s="16"/>
      <c r="C981" s="16"/>
      <c r="D981" s="16"/>
      <c r="E981" s="16"/>
      <c r="F981" s="16"/>
      <c r="G981" s="16"/>
      <c r="H981" s="16"/>
      <c r="I981" s="16"/>
      <c r="J981" s="16"/>
      <c r="K981" s="16"/>
      <c r="L981" s="16"/>
      <c r="M981" s="26"/>
      <c r="N981" s="26"/>
      <c r="O981" s="16"/>
      <c r="P981" s="1"/>
      <c r="Q981" s="1"/>
      <c r="R981" s="1"/>
      <c r="S981" s="1"/>
      <c r="T981" s="1"/>
      <c r="U981" s="33"/>
      <c r="V981" s="16"/>
      <c r="W981" s="1"/>
      <c r="X981" s="1"/>
    </row>
    <row r="982" spans="1:24">
      <c r="A982" s="1"/>
      <c r="B982" s="16"/>
      <c r="C982" s="16"/>
      <c r="D982" s="16"/>
      <c r="E982" s="16"/>
      <c r="F982" s="16"/>
      <c r="G982" s="16"/>
      <c r="H982" s="16"/>
      <c r="I982" s="16"/>
      <c r="J982" s="16"/>
      <c r="K982" s="16"/>
      <c r="L982" s="16"/>
      <c r="M982" s="26"/>
      <c r="N982" s="26"/>
      <c r="O982" s="16"/>
      <c r="P982" s="1"/>
      <c r="Q982" s="1"/>
      <c r="R982" s="1"/>
      <c r="S982" s="1"/>
      <c r="T982" s="1"/>
      <c r="U982" s="33"/>
      <c r="V982" s="16"/>
      <c r="W982" s="1"/>
      <c r="X982" s="1"/>
    </row>
    <row r="983" spans="1:24">
      <c r="A983" s="1"/>
      <c r="B983" s="16"/>
      <c r="C983" s="16"/>
      <c r="D983" s="16"/>
      <c r="E983" s="16"/>
      <c r="F983" s="16"/>
      <c r="G983" s="16"/>
      <c r="H983" s="16"/>
      <c r="I983" s="16"/>
      <c r="J983" s="16"/>
      <c r="K983" s="16"/>
      <c r="L983" s="16"/>
      <c r="M983" s="26"/>
      <c r="N983" s="26"/>
      <c r="O983" s="16"/>
      <c r="P983" s="1"/>
      <c r="Q983" s="1"/>
      <c r="R983" s="1"/>
      <c r="S983" s="1"/>
      <c r="T983" s="1"/>
      <c r="U983" s="33"/>
      <c r="V983" s="16"/>
      <c r="W983" s="1"/>
      <c r="X983" s="1"/>
    </row>
    <row r="984" spans="1:24">
      <c r="A984" s="1"/>
      <c r="B984" s="16"/>
      <c r="C984" s="16"/>
      <c r="D984" s="16"/>
      <c r="E984" s="16"/>
      <c r="F984" s="16"/>
      <c r="G984" s="16"/>
      <c r="H984" s="16"/>
      <c r="I984" s="16"/>
      <c r="J984" s="16"/>
      <c r="K984" s="16"/>
      <c r="L984" s="16"/>
      <c r="M984" s="26"/>
      <c r="N984" s="26"/>
      <c r="O984" s="16"/>
      <c r="P984" s="1"/>
      <c r="Q984" s="1"/>
      <c r="R984" s="1"/>
      <c r="S984" s="1"/>
      <c r="T984" s="1"/>
      <c r="U984" s="33"/>
      <c r="V984" s="16"/>
      <c r="W984" s="1"/>
      <c r="X984" s="1"/>
    </row>
    <row r="985" spans="1:24">
      <c r="A985" s="1"/>
      <c r="B985" s="16"/>
      <c r="C985" s="16"/>
      <c r="D985" s="16"/>
      <c r="E985" s="16"/>
      <c r="F985" s="16"/>
      <c r="G985" s="16"/>
      <c r="H985" s="16"/>
      <c r="I985" s="16"/>
      <c r="J985" s="16"/>
      <c r="K985" s="16"/>
      <c r="L985" s="16"/>
      <c r="M985" s="26"/>
      <c r="N985" s="26"/>
      <c r="O985" s="16"/>
      <c r="P985" s="1"/>
      <c r="Q985" s="1"/>
      <c r="R985" s="1"/>
      <c r="S985" s="1"/>
      <c r="T985" s="1"/>
      <c r="U985" s="33"/>
      <c r="V985" s="16"/>
      <c r="W985" s="1"/>
      <c r="X985" s="1"/>
    </row>
    <row r="986" spans="1:24">
      <c r="A986" s="1"/>
      <c r="B986" s="16"/>
      <c r="C986" s="16"/>
      <c r="D986" s="16"/>
      <c r="E986" s="16"/>
      <c r="F986" s="16"/>
      <c r="G986" s="16"/>
      <c r="H986" s="16"/>
      <c r="I986" s="16"/>
      <c r="J986" s="16"/>
      <c r="K986" s="16"/>
      <c r="L986" s="16"/>
      <c r="M986" s="26"/>
      <c r="N986" s="26"/>
      <c r="O986" s="16"/>
      <c r="P986" s="1"/>
      <c r="Q986" s="1"/>
      <c r="R986" s="1"/>
      <c r="S986" s="1"/>
      <c r="T986" s="1"/>
      <c r="U986" s="33"/>
      <c r="V986" s="16"/>
      <c r="W986" s="1"/>
      <c r="X986" s="1"/>
    </row>
    <row r="987" spans="1:24">
      <c r="A987" s="1"/>
      <c r="B987" s="16"/>
      <c r="C987" s="16"/>
      <c r="D987" s="16"/>
      <c r="E987" s="16"/>
      <c r="F987" s="16"/>
      <c r="G987" s="16"/>
      <c r="H987" s="16"/>
      <c r="I987" s="16"/>
      <c r="J987" s="16"/>
      <c r="K987" s="16"/>
      <c r="L987" s="16"/>
      <c r="M987" s="26"/>
      <c r="N987" s="26"/>
      <c r="O987" s="16"/>
      <c r="P987" s="1"/>
      <c r="Q987" s="1"/>
      <c r="R987" s="1"/>
      <c r="S987" s="1"/>
      <c r="T987" s="1"/>
      <c r="U987" s="33"/>
      <c r="V987" s="16"/>
      <c r="W987" s="1"/>
      <c r="X987" s="1"/>
    </row>
    <row r="988" spans="1:24">
      <c r="A988" s="1"/>
      <c r="B988" s="16"/>
      <c r="C988" s="16"/>
      <c r="D988" s="16"/>
      <c r="E988" s="16"/>
      <c r="F988" s="16"/>
      <c r="G988" s="16"/>
      <c r="H988" s="16"/>
      <c r="I988" s="16"/>
      <c r="J988" s="16"/>
      <c r="K988" s="16"/>
      <c r="L988" s="16"/>
      <c r="M988" s="26"/>
      <c r="N988" s="26"/>
      <c r="O988" s="16"/>
      <c r="P988" s="1"/>
      <c r="Q988" s="1"/>
      <c r="R988" s="1"/>
      <c r="S988" s="1"/>
      <c r="T988" s="1"/>
      <c r="U988" s="33"/>
      <c r="V988" s="16"/>
      <c r="W988" s="1"/>
      <c r="X988" s="1"/>
    </row>
    <row r="989" spans="1:24">
      <c r="A989" s="1"/>
      <c r="B989" s="16"/>
      <c r="C989" s="16"/>
      <c r="D989" s="16"/>
      <c r="E989" s="16"/>
      <c r="F989" s="16"/>
      <c r="G989" s="16"/>
      <c r="H989" s="16"/>
      <c r="I989" s="16"/>
      <c r="J989" s="16"/>
      <c r="K989" s="16"/>
      <c r="L989" s="16"/>
      <c r="M989" s="26"/>
      <c r="N989" s="26"/>
      <c r="O989" s="16"/>
      <c r="P989" s="1"/>
      <c r="Q989" s="1"/>
      <c r="R989" s="1"/>
      <c r="S989" s="1"/>
      <c r="T989" s="1"/>
      <c r="U989" s="33"/>
      <c r="V989" s="16"/>
      <c r="W989" s="1"/>
      <c r="X989" s="1"/>
    </row>
    <row r="990" spans="1:24">
      <c r="A990" s="1"/>
      <c r="B990" s="16"/>
      <c r="C990" s="16"/>
      <c r="D990" s="16"/>
      <c r="E990" s="16"/>
      <c r="F990" s="16"/>
      <c r="G990" s="16"/>
      <c r="H990" s="16"/>
      <c r="I990" s="16"/>
      <c r="J990" s="16"/>
      <c r="K990" s="16"/>
      <c r="L990" s="16"/>
      <c r="M990" s="26"/>
      <c r="N990" s="26"/>
      <c r="O990" s="16"/>
      <c r="P990" s="1"/>
      <c r="Q990" s="1"/>
      <c r="R990" s="1"/>
      <c r="S990" s="1"/>
      <c r="T990" s="1"/>
      <c r="U990" s="33"/>
      <c r="V990" s="16"/>
      <c r="W990" s="1"/>
      <c r="X990" s="1"/>
    </row>
    <row r="991" spans="1:24">
      <c r="A991" s="1"/>
      <c r="B991" s="16"/>
      <c r="C991" s="16"/>
      <c r="D991" s="16"/>
      <c r="E991" s="16"/>
      <c r="F991" s="16"/>
      <c r="G991" s="16"/>
      <c r="H991" s="16"/>
      <c r="I991" s="16"/>
      <c r="J991" s="16"/>
      <c r="K991" s="16"/>
      <c r="L991" s="16"/>
      <c r="M991" s="26"/>
      <c r="N991" s="26"/>
      <c r="O991" s="16"/>
      <c r="P991" s="1"/>
      <c r="Q991" s="1"/>
      <c r="R991" s="1"/>
      <c r="S991" s="1"/>
      <c r="T991" s="1"/>
      <c r="U991" s="33"/>
      <c r="V991" s="16"/>
      <c r="W991" s="1"/>
      <c r="X991" s="1"/>
    </row>
    <row r="992" spans="1:24">
      <c r="A992" s="1"/>
      <c r="B992" s="16"/>
      <c r="C992" s="16"/>
      <c r="D992" s="16"/>
      <c r="E992" s="16"/>
      <c r="F992" s="16"/>
      <c r="G992" s="16"/>
      <c r="H992" s="16"/>
      <c r="I992" s="16"/>
      <c r="J992" s="16"/>
      <c r="K992" s="16"/>
      <c r="L992" s="16"/>
      <c r="M992" s="26"/>
      <c r="N992" s="26"/>
      <c r="O992" s="16"/>
      <c r="P992" s="1"/>
      <c r="Q992" s="1"/>
      <c r="R992" s="1"/>
      <c r="S992" s="1"/>
      <c r="T992" s="1"/>
      <c r="U992" s="33"/>
      <c r="V992" s="16"/>
      <c r="W992" s="1"/>
      <c r="X992" s="1"/>
    </row>
    <row r="993" spans="1:24">
      <c r="A993" s="1"/>
      <c r="B993" s="16"/>
      <c r="C993" s="16"/>
      <c r="D993" s="16"/>
      <c r="E993" s="16"/>
      <c r="F993" s="16"/>
      <c r="G993" s="16"/>
      <c r="H993" s="16"/>
      <c r="I993" s="16"/>
      <c r="J993" s="16"/>
      <c r="K993" s="16"/>
      <c r="L993" s="16"/>
      <c r="M993" s="26"/>
      <c r="N993" s="26"/>
      <c r="O993" s="16"/>
      <c r="P993" s="1"/>
      <c r="Q993" s="1"/>
      <c r="R993" s="1"/>
      <c r="S993" s="1"/>
      <c r="T993" s="1"/>
      <c r="U993" s="33"/>
      <c r="V993" s="16"/>
      <c r="W993" s="1"/>
      <c r="X993" s="1"/>
    </row>
    <row r="994" spans="1:24">
      <c r="A994" s="1"/>
      <c r="B994" s="16"/>
      <c r="C994" s="16"/>
      <c r="D994" s="16"/>
      <c r="E994" s="16"/>
      <c r="F994" s="16"/>
      <c r="G994" s="16"/>
      <c r="H994" s="16"/>
      <c r="I994" s="16"/>
      <c r="J994" s="16"/>
      <c r="K994" s="16"/>
      <c r="L994" s="16"/>
      <c r="M994" s="26"/>
      <c r="N994" s="26"/>
      <c r="O994" s="16"/>
      <c r="P994" s="1"/>
      <c r="Q994" s="1"/>
      <c r="R994" s="1"/>
      <c r="S994" s="1"/>
      <c r="T994" s="1"/>
      <c r="U994" s="33"/>
      <c r="V994" s="16"/>
      <c r="W994" s="1"/>
      <c r="X994" s="1"/>
    </row>
    <row r="995" spans="1:24">
      <c r="A995" s="1"/>
      <c r="B995" s="16"/>
      <c r="C995" s="16"/>
      <c r="D995" s="16"/>
      <c r="E995" s="16"/>
      <c r="F995" s="16"/>
      <c r="G995" s="16"/>
      <c r="H995" s="16"/>
      <c r="I995" s="16"/>
      <c r="J995" s="16"/>
      <c r="K995" s="16"/>
      <c r="L995" s="16"/>
      <c r="M995" s="26"/>
      <c r="N995" s="26"/>
      <c r="O995" s="16"/>
      <c r="P995" s="1"/>
      <c r="Q995" s="1"/>
      <c r="R995" s="1"/>
      <c r="S995" s="1"/>
      <c r="T995" s="1"/>
      <c r="U995" s="33"/>
      <c r="V995" s="16"/>
      <c r="W995" s="1"/>
      <c r="X995" s="1"/>
    </row>
    <row r="996" spans="1:24">
      <c r="A996" s="1"/>
      <c r="B996" s="16"/>
      <c r="C996" s="16"/>
      <c r="D996" s="16"/>
      <c r="E996" s="16"/>
      <c r="F996" s="16"/>
      <c r="G996" s="16"/>
      <c r="H996" s="16"/>
      <c r="I996" s="16"/>
      <c r="J996" s="16"/>
      <c r="K996" s="16"/>
      <c r="L996" s="16"/>
      <c r="M996" s="26"/>
      <c r="N996" s="26"/>
      <c r="O996" s="16"/>
      <c r="P996" s="1"/>
      <c r="Q996" s="1"/>
      <c r="R996" s="1"/>
      <c r="S996" s="1"/>
      <c r="T996" s="1"/>
      <c r="U996" s="33"/>
      <c r="V996" s="16"/>
      <c r="W996" s="1"/>
      <c r="X996" s="1"/>
    </row>
    <row r="997" spans="1:24">
      <c r="A997" s="1"/>
      <c r="B997" s="16"/>
      <c r="C997" s="16"/>
      <c r="D997" s="16"/>
      <c r="E997" s="16"/>
      <c r="F997" s="16"/>
      <c r="G997" s="16"/>
      <c r="H997" s="16"/>
      <c r="I997" s="16"/>
      <c r="J997" s="16"/>
      <c r="K997" s="16"/>
      <c r="L997" s="16"/>
      <c r="M997" s="26"/>
      <c r="N997" s="26"/>
      <c r="O997" s="16"/>
      <c r="P997" s="1"/>
      <c r="Q997" s="1"/>
      <c r="R997" s="1"/>
      <c r="S997" s="1"/>
      <c r="T997" s="1"/>
      <c r="U997" s="33"/>
      <c r="V997" s="16"/>
      <c r="W997" s="1"/>
      <c r="X997" s="1"/>
    </row>
    <row r="998" spans="1:24">
      <c r="A998" s="1"/>
      <c r="B998" s="16"/>
      <c r="C998" s="16"/>
      <c r="D998" s="16"/>
      <c r="E998" s="16"/>
      <c r="F998" s="16"/>
      <c r="G998" s="16"/>
      <c r="H998" s="16"/>
      <c r="I998" s="16"/>
      <c r="J998" s="16"/>
      <c r="K998" s="16"/>
      <c r="L998" s="16"/>
      <c r="M998" s="26"/>
      <c r="N998" s="26"/>
      <c r="O998" s="16"/>
      <c r="P998" s="1"/>
      <c r="Q998" s="1"/>
      <c r="R998" s="1"/>
      <c r="S998" s="1"/>
      <c r="T998" s="1"/>
      <c r="U998" s="33"/>
      <c r="V998" s="16"/>
      <c r="W998" s="1"/>
      <c r="X998" s="1"/>
    </row>
    <row r="999" spans="1:24">
      <c r="A999" s="1"/>
      <c r="B999" s="16"/>
      <c r="C999" s="16"/>
      <c r="D999" s="16"/>
      <c r="E999" s="16"/>
      <c r="F999" s="16"/>
      <c r="G999" s="16"/>
      <c r="H999" s="16"/>
      <c r="I999" s="16"/>
      <c r="J999" s="16"/>
      <c r="K999" s="16"/>
      <c r="L999" s="16"/>
      <c r="M999" s="26"/>
      <c r="N999" s="26"/>
      <c r="O999" s="16"/>
      <c r="P999" s="1"/>
      <c r="Q999" s="1"/>
      <c r="R999" s="1"/>
      <c r="S999" s="1"/>
      <c r="T999" s="1"/>
      <c r="U999" s="33"/>
      <c r="V999" s="16"/>
      <c r="W999" s="1"/>
      <c r="X999" s="1"/>
    </row>
    <row r="1000" spans="1:24">
      <c r="A1000" s="1"/>
      <c r="B1000" s="16"/>
      <c r="C1000" s="16"/>
      <c r="D1000" s="16"/>
      <c r="E1000" s="16"/>
      <c r="F1000" s="16"/>
      <c r="G1000" s="16"/>
      <c r="H1000" s="16"/>
      <c r="I1000" s="16"/>
      <c r="J1000" s="16"/>
      <c r="K1000" s="16"/>
      <c r="L1000" s="16"/>
      <c r="M1000" s="26"/>
      <c r="N1000" s="26"/>
      <c r="O1000" s="16"/>
      <c r="P1000" s="1"/>
      <c r="Q1000" s="1"/>
      <c r="R1000" s="1"/>
      <c r="S1000" s="1"/>
      <c r="T1000" s="1"/>
      <c r="U1000" s="33"/>
      <c r="V1000" s="16"/>
      <c r="W1000" s="1"/>
      <c r="X1000" s="1"/>
    </row>
    <row r="1001" spans="1:24">
      <c r="A1001" s="1"/>
      <c r="B1001" s="16"/>
      <c r="C1001" s="16"/>
      <c r="D1001" s="16"/>
      <c r="E1001" s="16"/>
      <c r="F1001" s="16"/>
      <c r="G1001" s="16"/>
      <c r="H1001" s="16"/>
      <c r="I1001" s="16"/>
      <c r="J1001" s="16"/>
      <c r="K1001" s="16"/>
      <c r="L1001" s="16"/>
      <c r="M1001" s="26"/>
      <c r="N1001" s="26"/>
      <c r="O1001" s="16"/>
      <c r="P1001" s="1"/>
      <c r="Q1001" s="1"/>
      <c r="R1001" s="1"/>
      <c r="S1001" s="1"/>
      <c r="T1001" s="1"/>
      <c r="U1001" s="33"/>
      <c r="V1001" s="16"/>
      <c r="W1001" s="1"/>
      <c r="X1001" s="1"/>
    </row>
    <row r="1002" spans="1:24">
      <c r="A1002" s="1"/>
      <c r="B1002" s="16"/>
      <c r="C1002" s="16"/>
      <c r="D1002" s="16"/>
      <c r="E1002" s="16"/>
      <c r="F1002" s="16"/>
      <c r="G1002" s="16"/>
      <c r="H1002" s="16"/>
      <c r="I1002" s="16"/>
      <c r="J1002" s="16"/>
      <c r="K1002" s="16"/>
      <c r="L1002" s="16"/>
      <c r="M1002" s="26"/>
      <c r="N1002" s="26"/>
      <c r="O1002" s="16"/>
      <c r="P1002" s="1"/>
      <c r="Q1002" s="1"/>
      <c r="R1002" s="1"/>
      <c r="S1002" s="1"/>
      <c r="T1002" s="1"/>
      <c r="U1002" s="33"/>
      <c r="V1002" s="16"/>
      <c r="W1002" s="1"/>
      <c r="X1002" s="1"/>
    </row>
    <row r="1003" spans="1:24">
      <c r="A1003" s="1"/>
      <c r="B1003" s="16"/>
      <c r="C1003" s="16"/>
      <c r="D1003" s="16"/>
      <c r="E1003" s="16"/>
      <c r="F1003" s="16"/>
      <c r="G1003" s="16"/>
      <c r="H1003" s="16"/>
      <c r="I1003" s="16"/>
      <c r="J1003" s="16"/>
      <c r="K1003" s="16"/>
      <c r="L1003" s="16"/>
      <c r="M1003" s="26"/>
      <c r="N1003" s="26"/>
      <c r="O1003" s="16"/>
      <c r="P1003" s="1"/>
      <c r="Q1003" s="1"/>
      <c r="R1003" s="1"/>
      <c r="S1003" s="1"/>
      <c r="T1003" s="1"/>
      <c r="U1003" s="33"/>
      <c r="V1003" s="16"/>
      <c r="W1003" s="1"/>
      <c r="X1003" s="1"/>
    </row>
    <row r="1004" spans="1:24">
      <c r="A1004" s="1"/>
      <c r="B1004" s="16"/>
      <c r="C1004" s="16"/>
      <c r="D1004" s="16"/>
      <c r="E1004" s="16"/>
      <c r="F1004" s="16"/>
      <c r="G1004" s="16"/>
      <c r="H1004" s="16"/>
      <c r="I1004" s="16"/>
      <c r="J1004" s="16"/>
      <c r="K1004" s="16"/>
      <c r="L1004" s="16"/>
      <c r="M1004" s="26"/>
      <c r="N1004" s="26"/>
      <c r="O1004" s="16"/>
      <c r="P1004" s="1"/>
      <c r="Q1004" s="1"/>
      <c r="R1004" s="1"/>
      <c r="S1004" s="1"/>
      <c r="T1004" s="1"/>
      <c r="U1004" s="33"/>
      <c r="V1004" s="16"/>
      <c r="W1004" s="1"/>
      <c r="X1004" s="1"/>
    </row>
    <row r="1005" spans="1:24">
      <c r="A1005" s="1"/>
      <c r="B1005" s="16"/>
      <c r="C1005" s="16"/>
      <c r="D1005" s="16"/>
      <c r="E1005" s="16"/>
      <c r="F1005" s="16"/>
      <c r="G1005" s="16"/>
      <c r="H1005" s="16"/>
      <c r="I1005" s="16"/>
      <c r="J1005" s="16"/>
      <c r="K1005" s="16"/>
      <c r="L1005" s="16"/>
      <c r="M1005" s="26"/>
      <c r="N1005" s="26"/>
      <c r="O1005" s="16"/>
      <c r="P1005" s="1"/>
      <c r="Q1005" s="1"/>
      <c r="R1005" s="1"/>
      <c r="S1005" s="1"/>
      <c r="T1005" s="1"/>
      <c r="U1005" s="33"/>
      <c r="V1005" s="16"/>
      <c r="W1005" s="1"/>
      <c r="X1005" s="1"/>
    </row>
    <row r="1006" spans="1:24">
      <c r="A1006" s="1"/>
      <c r="B1006" s="16"/>
      <c r="C1006" s="16"/>
      <c r="D1006" s="16"/>
      <c r="E1006" s="16"/>
      <c r="F1006" s="16"/>
      <c r="G1006" s="16"/>
      <c r="H1006" s="16"/>
      <c r="I1006" s="16"/>
      <c r="J1006" s="16"/>
      <c r="K1006" s="16"/>
      <c r="L1006" s="16"/>
      <c r="M1006" s="26"/>
      <c r="N1006" s="26"/>
      <c r="O1006" s="16"/>
      <c r="P1006" s="1"/>
      <c r="Q1006" s="1"/>
      <c r="R1006" s="1"/>
      <c r="S1006" s="1"/>
      <c r="T1006" s="1"/>
      <c r="U1006" s="33"/>
      <c r="V1006" s="16"/>
      <c r="W1006" s="1"/>
      <c r="X1006" s="1"/>
    </row>
    <row r="1007" spans="1:24">
      <c r="A1007" s="1"/>
      <c r="B1007" s="16"/>
      <c r="C1007" s="16"/>
      <c r="D1007" s="16"/>
      <c r="E1007" s="16"/>
      <c r="F1007" s="16"/>
      <c r="G1007" s="16"/>
      <c r="H1007" s="16"/>
      <c r="I1007" s="16"/>
      <c r="J1007" s="16"/>
      <c r="K1007" s="16"/>
      <c r="L1007" s="16"/>
      <c r="M1007" s="26"/>
      <c r="N1007" s="26"/>
      <c r="O1007" s="16"/>
      <c r="P1007" s="1"/>
      <c r="Q1007" s="1"/>
      <c r="R1007" s="1"/>
      <c r="S1007" s="1"/>
      <c r="T1007" s="1"/>
      <c r="U1007" s="33"/>
      <c r="V1007" s="16"/>
      <c r="W1007" s="1"/>
      <c r="X1007" s="1"/>
    </row>
    <row r="1008" spans="1:24">
      <c r="A1008" s="1"/>
      <c r="B1008" s="16"/>
      <c r="C1008" s="16"/>
      <c r="D1008" s="16"/>
      <c r="E1008" s="16"/>
      <c r="F1008" s="16"/>
      <c r="G1008" s="16"/>
      <c r="H1008" s="16"/>
      <c r="I1008" s="16"/>
      <c r="J1008" s="16"/>
      <c r="K1008" s="16"/>
      <c r="L1008" s="16"/>
      <c r="M1008" s="26"/>
      <c r="N1008" s="26"/>
      <c r="O1008" s="16"/>
      <c r="P1008" s="1"/>
      <c r="Q1008" s="1"/>
      <c r="R1008" s="1"/>
      <c r="S1008" s="1"/>
      <c r="T1008" s="1"/>
      <c r="U1008" s="33"/>
      <c r="V1008" s="16"/>
      <c r="W1008" s="1"/>
      <c r="X1008" s="1"/>
    </row>
    <row r="1009" spans="1:24">
      <c r="A1009" s="1"/>
      <c r="B1009" s="16"/>
      <c r="C1009" s="16"/>
      <c r="D1009" s="16"/>
      <c r="E1009" s="16"/>
      <c r="F1009" s="16"/>
      <c r="G1009" s="16"/>
      <c r="H1009" s="16"/>
      <c r="I1009" s="16"/>
      <c r="J1009" s="16"/>
      <c r="K1009" s="16"/>
      <c r="L1009" s="16"/>
      <c r="M1009" s="26"/>
      <c r="N1009" s="26"/>
      <c r="O1009" s="16"/>
      <c r="P1009" s="1"/>
      <c r="Q1009" s="1"/>
      <c r="R1009" s="1"/>
      <c r="S1009" s="1"/>
      <c r="T1009" s="1"/>
      <c r="U1009" s="33"/>
      <c r="V1009" s="16"/>
      <c r="W1009" s="1"/>
      <c r="X1009" s="1"/>
    </row>
    <row r="1010" spans="1:24">
      <c r="A1010" s="1"/>
      <c r="B1010" s="16"/>
      <c r="C1010" s="16"/>
      <c r="D1010" s="16"/>
      <c r="E1010" s="16"/>
      <c r="F1010" s="16"/>
      <c r="G1010" s="16"/>
      <c r="H1010" s="16"/>
      <c r="I1010" s="16"/>
      <c r="J1010" s="16"/>
      <c r="K1010" s="16"/>
      <c r="L1010" s="16"/>
      <c r="M1010" s="26"/>
      <c r="N1010" s="26"/>
      <c r="O1010" s="16"/>
      <c r="P1010" s="1"/>
      <c r="Q1010" s="1"/>
      <c r="R1010" s="1"/>
      <c r="S1010" s="1"/>
      <c r="T1010" s="1"/>
      <c r="U1010" s="33"/>
      <c r="V1010" s="16"/>
      <c r="W1010" s="1"/>
      <c r="X1010" s="1"/>
    </row>
    <row r="1011" spans="1:24">
      <c r="A1011" s="1"/>
      <c r="B1011" s="16"/>
      <c r="C1011" s="16"/>
      <c r="D1011" s="16"/>
      <c r="E1011" s="16"/>
      <c r="F1011" s="16"/>
      <c r="G1011" s="16"/>
      <c r="H1011" s="16"/>
      <c r="I1011" s="16"/>
      <c r="J1011" s="16"/>
      <c r="K1011" s="16"/>
      <c r="L1011" s="16"/>
      <c r="M1011" s="26"/>
      <c r="N1011" s="26"/>
      <c r="O1011" s="16"/>
      <c r="P1011" s="1"/>
      <c r="Q1011" s="1"/>
      <c r="R1011" s="1"/>
      <c r="S1011" s="1"/>
      <c r="T1011" s="1"/>
      <c r="U1011" s="33"/>
      <c r="V1011" s="16"/>
      <c r="W1011" s="1"/>
      <c r="X1011" s="1"/>
    </row>
    <row r="1012" spans="1:24">
      <c r="A1012" s="1"/>
      <c r="B1012" s="16"/>
      <c r="C1012" s="16"/>
      <c r="D1012" s="16"/>
      <c r="E1012" s="16"/>
      <c r="F1012" s="16"/>
      <c r="G1012" s="16"/>
      <c r="H1012" s="16"/>
      <c r="I1012" s="16"/>
      <c r="J1012" s="16"/>
      <c r="K1012" s="16"/>
      <c r="L1012" s="16"/>
      <c r="M1012" s="26"/>
      <c r="N1012" s="26"/>
      <c r="O1012" s="16"/>
      <c r="P1012" s="1"/>
      <c r="Q1012" s="1"/>
      <c r="R1012" s="1"/>
      <c r="S1012" s="1"/>
      <c r="T1012" s="1"/>
      <c r="U1012" s="33"/>
      <c r="V1012" s="16"/>
      <c r="W1012" s="1"/>
      <c r="X1012" s="1"/>
    </row>
    <row r="1013" spans="1:24">
      <c r="A1013" s="1"/>
      <c r="B1013" s="16"/>
      <c r="C1013" s="16"/>
      <c r="D1013" s="16"/>
      <c r="E1013" s="16"/>
      <c r="F1013" s="16"/>
      <c r="G1013" s="16"/>
      <c r="H1013" s="16"/>
      <c r="I1013" s="16"/>
      <c r="J1013" s="16"/>
      <c r="K1013" s="16"/>
      <c r="L1013" s="16"/>
      <c r="M1013" s="26"/>
      <c r="N1013" s="26"/>
      <c r="O1013" s="16"/>
      <c r="P1013" s="1"/>
      <c r="Q1013" s="1"/>
      <c r="R1013" s="1"/>
      <c r="S1013" s="1"/>
      <c r="T1013" s="1"/>
      <c r="U1013" s="33"/>
      <c r="V1013" s="16"/>
      <c r="W1013" s="1"/>
      <c r="X1013" s="1"/>
    </row>
    <row r="1014" spans="1:24">
      <c r="A1014" s="1"/>
      <c r="B1014" s="16"/>
      <c r="C1014" s="16"/>
      <c r="D1014" s="16"/>
      <c r="E1014" s="16"/>
      <c r="F1014" s="16"/>
      <c r="G1014" s="16"/>
      <c r="H1014" s="16"/>
      <c r="I1014" s="16"/>
      <c r="J1014" s="16"/>
      <c r="K1014" s="16"/>
      <c r="L1014" s="16"/>
      <c r="M1014" s="26"/>
      <c r="N1014" s="26"/>
      <c r="O1014" s="16"/>
      <c r="P1014" s="1"/>
      <c r="Q1014" s="1"/>
      <c r="R1014" s="1"/>
      <c r="S1014" s="1"/>
      <c r="T1014" s="1"/>
      <c r="U1014" s="33"/>
      <c r="V1014" s="16"/>
      <c r="W1014" s="1"/>
      <c r="X1014" s="1"/>
    </row>
    <row r="1015" spans="1:24">
      <c r="A1015" s="1"/>
      <c r="B1015" s="16"/>
      <c r="C1015" s="16"/>
      <c r="D1015" s="16"/>
      <c r="E1015" s="16"/>
      <c r="F1015" s="16"/>
      <c r="G1015" s="16"/>
      <c r="H1015" s="16"/>
      <c r="I1015" s="16"/>
      <c r="J1015" s="16"/>
      <c r="K1015" s="16"/>
      <c r="L1015" s="16"/>
      <c r="M1015" s="26"/>
      <c r="N1015" s="26"/>
      <c r="O1015" s="16"/>
      <c r="P1015" s="1"/>
      <c r="Q1015" s="1"/>
      <c r="R1015" s="1"/>
      <c r="S1015" s="1"/>
      <c r="T1015" s="1"/>
      <c r="U1015" s="33"/>
      <c r="V1015" s="16"/>
      <c r="W1015" s="1"/>
      <c r="X1015" s="1"/>
    </row>
    <row r="1016" spans="1:24">
      <c r="A1016" s="1"/>
      <c r="B1016" s="16"/>
      <c r="C1016" s="16"/>
      <c r="D1016" s="16"/>
      <c r="E1016" s="16"/>
      <c r="F1016" s="16"/>
      <c r="G1016" s="16"/>
      <c r="H1016" s="16"/>
      <c r="I1016" s="16"/>
      <c r="J1016" s="16"/>
      <c r="K1016" s="16"/>
      <c r="L1016" s="16"/>
      <c r="M1016" s="26"/>
      <c r="N1016" s="26"/>
      <c r="O1016" s="16"/>
      <c r="P1016" s="1"/>
      <c r="Q1016" s="1"/>
      <c r="R1016" s="1"/>
      <c r="S1016" s="1"/>
      <c r="T1016" s="1"/>
      <c r="U1016" s="33"/>
      <c r="V1016" s="16"/>
      <c r="W1016" s="1"/>
      <c r="X1016" s="1"/>
    </row>
    <row r="1017" spans="1:24">
      <c r="A1017" s="1"/>
      <c r="B1017" s="16"/>
      <c r="C1017" s="16"/>
      <c r="D1017" s="16"/>
      <c r="E1017" s="16"/>
      <c r="F1017" s="16"/>
      <c r="G1017" s="16"/>
      <c r="H1017" s="16"/>
      <c r="I1017" s="16"/>
      <c r="J1017" s="16"/>
      <c r="K1017" s="16"/>
      <c r="L1017" s="16"/>
      <c r="M1017" s="26"/>
      <c r="N1017" s="26"/>
      <c r="O1017" s="16"/>
      <c r="P1017" s="1"/>
      <c r="Q1017" s="1"/>
      <c r="R1017" s="1"/>
      <c r="S1017" s="1"/>
      <c r="T1017" s="1"/>
      <c r="U1017" s="33"/>
      <c r="V1017" s="16"/>
      <c r="W1017" s="1"/>
      <c r="X1017" s="1"/>
    </row>
    <row r="1018" spans="1:24">
      <c r="A1018" s="1"/>
      <c r="B1018" s="16"/>
      <c r="C1018" s="16"/>
      <c r="D1018" s="16"/>
      <c r="E1018" s="16"/>
      <c r="F1018" s="16"/>
      <c r="G1018" s="16"/>
      <c r="H1018" s="16"/>
      <c r="I1018" s="16"/>
      <c r="J1018" s="16"/>
      <c r="K1018" s="16"/>
      <c r="L1018" s="16"/>
      <c r="M1018" s="26"/>
      <c r="N1018" s="26"/>
      <c r="O1018" s="16"/>
      <c r="P1018" s="1"/>
      <c r="Q1018" s="1"/>
      <c r="R1018" s="1"/>
      <c r="S1018" s="1"/>
      <c r="T1018" s="1"/>
      <c r="U1018" s="33"/>
      <c r="V1018" s="16"/>
      <c r="W1018" s="1"/>
      <c r="X1018" s="1"/>
    </row>
    <row r="1019" spans="1:24">
      <c r="A1019" s="1"/>
      <c r="B1019" s="16"/>
      <c r="C1019" s="16"/>
      <c r="D1019" s="16"/>
      <c r="E1019" s="16"/>
      <c r="F1019" s="16"/>
      <c r="G1019" s="16"/>
      <c r="H1019" s="16"/>
      <c r="I1019" s="16"/>
      <c r="J1019" s="16"/>
      <c r="K1019" s="16"/>
      <c r="L1019" s="16"/>
      <c r="M1019" s="26"/>
      <c r="N1019" s="26"/>
      <c r="O1019" s="16"/>
      <c r="P1019" s="1"/>
      <c r="Q1019" s="1"/>
      <c r="R1019" s="1"/>
      <c r="S1019" s="1"/>
      <c r="T1019" s="1"/>
      <c r="U1019" s="33"/>
      <c r="V1019" s="16"/>
      <c r="W1019" s="1"/>
      <c r="X1019" s="1"/>
    </row>
    <row r="1020" spans="1:24">
      <c r="A1020" s="1"/>
      <c r="B1020" s="16"/>
      <c r="C1020" s="16"/>
      <c r="D1020" s="16"/>
      <c r="E1020" s="16"/>
      <c r="F1020" s="16"/>
      <c r="G1020" s="16"/>
      <c r="H1020" s="16"/>
      <c r="I1020" s="16"/>
      <c r="J1020" s="16"/>
      <c r="K1020" s="16"/>
      <c r="L1020" s="16"/>
      <c r="M1020" s="26"/>
      <c r="N1020" s="26"/>
      <c r="O1020" s="16"/>
      <c r="P1020" s="1"/>
      <c r="Q1020" s="1"/>
      <c r="R1020" s="1"/>
      <c r="S1020" s="1"/>
      <c r="T1020" s="1"/>
      <c r="U1020" s="33"/>
      <c r="V1020" s="16"/>
      <c r="W1020" s="1"/>
      <c r="X1020" s="1"/>
    </row>
    <row r="1021" spans="1:24">
      <c r="A1021" s="1"/>
      <c r="B1021" s="16"/>
      <c r="C1021" s="16"/>
      <c r="D1021" s="16"/>
      <c r="E1021" s="16"/>
      <c r="F1021" s="16"/>
      <c r="G1021" s="16"/>
      <c r="H1021" s="16"/>
      <c r="I1021" s="16"/>
      <c r="J1021" s="16"/>
      <c r="K1021" s="16"/>
      <c r="L1021" s="16"/>
      <c r="M1021" s="26"/>
      <c r="N1021" s="26"/>
      <c r="O1021" s="16"/>
      <c r="P1021" s="1"/>
      <c r="Q1021" s="1"/>
      <c r="R1021" s="1"/>
      <c r="S1021" s="1"/>
      <c r="T1021" s="1"/>
      <c r="U1021" s="33"/>
      <c r="V1021" s="16"/>
      <c r="W1021" s="1"/>
      <c r="X1021" s="1"/>
    </row>
    <row r="1022" spans="1:24">
      <c r="A1022" s="1"/>
      <c r="B1022" s="16"/>
      <c r="C1022" s="16"/>
      <c r="D1022" s="16"/>
      <c r="E1022" s="16"/>
      <c r="F1022" s="16"/>
      <c r="G1022" s="16"/>
      <c r="H1022" s="16"/>
      <c r="I1022" s="16"/>
      <c r="J1022" s="16"/>
      <c r="K1022" s="16"/>
      <c r="L1022" s="16"/>
      <c r="M1022" s="26"/>
      <c r="N1022" s="26"/>
      <c r="O1022" s="16"/>
      <c r="P1022" s="1"/>
      <c r="Q1022" s="1"/>
      <c r="R1022" s="1"/>
      <c r="S1022" s="1"/>
      <c r="T1022" s="1"/>
      <c r="U1022" s="33"/>
      <c r="V1022" s="16"/>
      <c r="W1022" s="1"/>
      <c r="X1022" s="1"/>
    </row>
    <row r="1023" spans="1:24">
      <c r="A1023" s="1"/>
      <c r="B1023" s="16"/>
      <c r="C1023" s="16"/>
      <c r="D1023" s="16"/>
      <c r="E1023" s="16"/>
      <c r="F1023" s="16"/>
      <c r="G1023" s="16"/>
      <c r="H1023" s="16"/>
      <c r="I1023" s="16"/>
      <c r="J1023" s="16"/>
      <c r="K1023" s="16"/>
      <c r="L1023" s="16"/>
      <c r="M1023" s="26"/>
      <c r="N1023" s="26"/>
      <c r="O1023" s="16"/>
      <c r="P1023" s="1"/>
      <c r="Q1023" s="1"/>
      <c r="R1023" s="1"/>
      <c r="S1023" s="1"/>
      <c r="T1023" s="1"/>
      <c r="U1023" s="33"/>
      <c r="V1023" s="16"/>
      <c r="W1023" s="1"/>
      <c r="X1023" s="1"/>
    </row>
    <row r="1024" spans="1:24">
      <c r="A1024" s="1"/>
      <c r="B1024" s="16"/>
      <c r="C1024" s="16"/>
      <c r="D1024" s="16"/>
      <c r="E1024" s="16"/>
      <c r="F1024" s="16"/>
      <c r="G1024" s="16"/>
      <c r="H1024" s="16"/>
      <c r="I1024" s="16"/>
      <c r="J1024" s="16"/>
      <c r="K1024" s="16"/>
      <c r="L1024" s="16"/>
      <c r="M1024" s="26"/>
      <c r="N1024" s="26"/>
      <c r="O1024" s="16"/>
      <c r="P1024" s="1"/>
      <c r="Q1024" s="1"/>
      <c r="R1024" s="1"/>
      <c r="S1024" s="1"/>
      <c r="T1024" s="1"/>
      <c r="U1024" s="33"/>
      <c r="V1024" s="16"/>
      <c r="W1024" s="1"/>
      <c r="X1024" s="1"/>
    </row>
    <row r="1025" spans="1:24">
      <c r="A1025" s="1"/>
      <c r="B1025" s="16"/>
      <c r="C1025" s="16"/>
      <c r="D1025" s="16"/>
      <c r="E1025" s="16"/>
      <c r="F1025" s="16"/>
      <c r="G1025" s="16"/>
      <c r="H1025" s="16"/>
      <c r="I1025" s="16"/>
      <c r="J1025" s="16"/>
      <c r="K1025" s="16"/>
      <c r="L1025" s="16"/>
      <c r="M1025" s="26"/>
      <c r="N1025" s="26"/>
      <c r="O1025" s="16"/>
      <c r="P1025" s="1"/>
      <c r="Q1025" s="1"/>
      <c r="R1025" s="1"/>
      <c r="S1025" s="1"/>
      <c r="T1025" s="1"/>
      <c r="U1025" s="33"/>
      <c r="V1025" s="16"/>
      <c r="W1025" s="1"/>
      <c r="X1025" s="1"/>
    </row>
    <row r="1026" spans="1:24">
      <c r="A1026" s="1"/>
      <c r="B1026" s="16"/>
      <c r="C1026" s="16"/>
      <c r="D1026" s="16"/>
      <c r="E1026" s="16"/>
      <c r="F1026" s="16"/>
      <c r="G1026" s="16"/>
      <c r="H1026" s="16"/>
      <c r="I1026" s="16"/>
      <c r="J1026" s="16"/>
      <c r="K1026" s="16"/>
      <c r="L1026" s="16"/>
      <c r="M1026" s="26"/>
      <c r="N1026" s="26"/>
      <c r="O1026" s="16"/>
      <c r="P1026" s="1"/>
      <c r="Q1026" s="1"/>
      <c r="R1026" s="1"/>
      <c r="S1026" s="1"/>
      <c r="T1026" s="1"/>
      <c r="U1026" s="33"/>
      <c r="V1026" s="16"/>
      <c r="W1026" s="1"/>
      <c r="X1026" s="1"/>
    </row>
    <row r="1027" spans="1:24">
      <c r="A1027" s="1"/>
      <c r="B1027" s="16"/>
      <c r="C1027" s="16"/>
      <c r="D1027" s="16"/>
      <c r="E1027" s="16"/>
      <c r="F1027" s="16"/>
      <c r="G1027" s="16"/>
      <c r="H1027" s="16"/>
      <c r="I1027" s="16"/>
      <c r="J1027" s="16"/>
      <c r="K1027" s="16"/>
      <c r="L1027" s="16"/>
      <c r="M1027" s="26"/>
      <c r="N1027" s="26"/>
      <c r="O1027" s="16"/>
      <c r="P1027" s="1"/>
      <c r="Q1027" s="1"/>
      <c r="R1027" s="1"/>
      <c r="S1027" s="1"/>
      <c r="T1027" s="1"/>
      <c r="U1027" s="33"/>
      <c r="V1027" s="16"/>
      <c r="W1027" s="1"/>
      <c r="X1027" s="1"/>
    </row>
    <row r="1028" spans="1:24">
      <c r="A1028" s="1"/>
      <c r="B1028" s="16"/>
      <c r="C1028" s="16"/>
      <c r="D1028" s="16"/>
      <c r="E1028" s="16"/>
      <c r="F1028" s="16"/>
      <c r="G1028" s="16"/>
      <c r="H1028" s="16"/>
      <c r="I1028" s="16"/>
      <c r="J1028" s="16"/>
      <c r="K1028" s="16"/>
      <c r="L1028" s="16"/>
      <c r="M1028" s="26"/>
      <c r="N1028" s="26"/>
      <c r="O1028" s="16"/>
      <c r="P1028" s="1"/>
      <c r="Q1028" s="1"/>
      <c r="R1028" s="1"/>
      <c r="S1028" s="1"/>
      <c r="T1028" s="1"/>
      <c r="U1028" s="33"/>
      <c r="V1028" s="16"/>
      <c r="W1028" s="1"/>
      <c r="X1028" s="1"/>
    </row>
    <row r="1029" spans="1:24">
      <c r="A1029" s="1"/>
      <c r="B1029" s="16"/>
      <c r="C1029" s="16"/>
      <c r="D1029" s="16"/>
      <c r="E1029" s="16"/>
      <c r="F1029" s="16"/>
      <c r="G1029" s="16"/>
      <c r="H1029" s="16"/>
      <c r="I1029" s="16"/>
      <c r="J1029" s="16"/>
      <c r="K1029" s="16"/>
      <c r="L1029" s="16"/>
      <c r="M1029" s="26"/>
      <c r="N1029" s="26"/>
      <c r="O1029" s="16"/>
      <c r="P1029" s="1"/>
      <c r="Q1029" s="1"/>
      <c r="R1029" s="1"/>
      <c r="S1029" s="1"/>
      <c r="T1029" s="1"/>
      <c r="U1029" s="33"/>
      <c r="V1029" s="16"/>
      <c r="W1029" s="1"/>
      <c r="X1029" s="1"/>
    </row>
    <row r="1030" spans="1:24">
      <c r="A1030" s="1"/>
      <c r="B1030" s="16"/>
      <c r="C1030" s="16"/>
      <c r="D1030" s="16"/>
      <c r="E1030" s="16"/>
      <c r="F1030" s="16"/>
      <c r="G1030" s="16"/>
      <c r="H1030" s="16"/>
      <c r="I1030" s="16"/>
      <c r="J1030" s="16"/>
      <c r="K1030" s="16"/>
      <c r="L1030" s="16"/>
      <c r="M1030" s="26"/>
      <c r="N1030" s="26"/>
      <c r="O1030" s="16"/>
      <c r="P1030" s="1"/>
      <c r="Q1030" s="1"/>
      <c r="R1030" s="1"/>
      <c r="S1030" s="1"/>
      <c r="T1030" s="1"/>
      <c r="U1030" s="33"/>
      <c r="V1030" s="16"/>
      <c r="W1030" s="1"/>
      <c r="X1030" s="1"/>
    </row>
    <row r="1031" spans="1:24">
      <c r="A1031" s="1"/>
      <c r="B1031" s="16"/>
      <c r="C1031" s="16"/>
      <c r="D1031" s="16"/>
      <c r="E1031" s="16"/>
      <c r="F1031" s="16"/>
      <c r="G1031" s="16"/>
      <c r="H1031" s="16"/>
      <c r="I1031" s="16"/>
      <c r="J1031" s="16"/>
      <c r="K1031" s="16"/>
      <c r="L1031" s="16"/>
      <c r="M1031" s="26"/>
      <c r="N1031" s="26"/>
      <c r="O1031" s="16"/>
      <c r="P1031" s="1"/>
      <c r="Q1031" s="1"/>
      <c r="R1031" s="1"/>
      <c r="S1031" s="1"/>
      <c r="T1031" s="1"/>
      <c r="U1031" s="33"/>
      <c r="V1031" s="16"/>
      <c r="W1031" s="1"/>
      <c r="X1031" s="1"/>
    </row>
    <row r="1032" spans="1:24">
      <c r="A1032" s="1"/>
      <c r="B1032" s="16"/>
      <c r="C1032" s="16"/>
      <c r="D1032" s="16"/>
      <c r="E1032" s="16"/>
      <c r="F1032" s="16"/>
      <c r="G1032" s="16"/>
      <c r="H1032" s="16"/>
      <c r="I1032" s="16"/>
      <c r="J1032" s="16"/>
      <c r="K1032" s="16"/>
      <c r="L1032" s="16"/>
      <c r="M1032" s="26"/>
      <c r="N1032" s="26"/>
      <c r="O1032" s="16"/>
      <c r="P1032" s="1"/>
      <c r="Q1032" s="1"/>
      <c r="R1032" s="1"/>
      <c r="S1032" s="1"/>
      <c r="T1032" s="1"/>
      <c r="U1032" s="33"/>
      <c r="V1032" s="16"/>
      <c r="W1032" s="1"/>
      <c r="X1032" s="1"/>
    </row>
    <row r="1033" spans="1:24">
      <c r="A1033" s="1"/>
      <c r="B1033" s="16"/>
      <c r="C1033" s="16"/>
      <c r="D1033" s="16"/>
      <c r="E1033" s="16"/>
      <c r="F1033" s="16"/>
      <c r="G1033" s="16"/>
      <c r="H1033" s="16"/>
      <c r="I1033" s="16"/>
      <c r="J1033" s="16"/>
      <c r="K1033" s="16"/>
      <c r="L1033" s="16"/>
      <c r="M1033" s="26"/>
      <c r="N1033" s="26"/>
      <c r="O1033" s="16"/>
      <c r="P1033" s="1"/>
      <c r="Q1033" s="1"/>
      <c r="R1033" s="1"/>
      <c r="S1033" s="1"/>
      <c r="T1033" s="1"/>
      <c r="U1033" s="33"/>
      <c r="V1033" s="16"/>
      <c r="W1033" s="1"/>
      <c r="X1033" s="1"/>
    </row>
    <row r="1034" spans="1:24">
      <c r="A1034" s="1"/>
      <c r="B1034" s="16"/>
      <c r="C1034" s="16"/>
      <c r="D1034" s="16"/>
      <c r="E1034" s="16"/>
      <c r="F1034" s="16"/>
      <c r="G1034" s="16"/>
      <c r="H1034" s="16"/>
      <c r="I1034" s="16"/>
      <c r="J1034" s="16"/>
      <c r="K1034" s="16"/>
      <c r="L1034" s="16"/>
      <c r="M1034" s="26"/>
      <c r="N1034" s="26"/>
      <c r="O1034" s="16"/>
      <c r="P1034" s="1"/>
      <c r="Q1034" s="1"/>
      <c r="R1034" s="1"/>
      <c r="S1034" s="1"/>
      <c r="T1034" s="1"/>
      <c r="U1034" s="33"/>
      <c r="V1034" s="16"/>
      <c r="W1034" s="1"/>
      <c r="X1034" s="1"/>
    </row>
    <row r="1035" spans="1:24">
      <c r="A1035" s="1"/>
      <c r="B1035" s="16"/>
      <c r="C1035" s="16"/>
      <c r="D1035" s="16"/>
      <c r="E1035" s="16"/>
      <c r="F1035" s="16"/>
      <c r="G1035" s="16"/>
      <c r="H1035" s="16"/>
      <c r="I1035" s="16"/>
      <c r="J1035" s="16"/>
      <c r="K1035" s="16"/>
      <c r="L1035" s="16"/>
      <c r="M1035" s="26"/>
      <c r="N1035" s="26"/>
      <c r="O1035" s="16"/>
      <c r="P1035" s="1"/>
      <c r="Q1035" s="1"/>
      <c r="R1035" s="1"/>
      <c r="S1035" s="1"/>
      <c r="T1035" s="1"/>
      <c r="U1035" s="33"/>
      <c r="V1035" s="16"/>
      <c r="W1035" s="1"/>
      <c r="X1035" s="1"/>
    </row>
    <row r="1036" spans="1:24">
      <c r="A1036" s="1"/>
      <c r="B1036" s="16"/>
      <c r="C1036" s="16"/>
      <c r="D1036" s="16"/>
      <c r="E1036" s="16"/>
      <c r="F1036" s="16"/>
      <c r="G1036" s="16"/>
      <c r="H1036" s="16"/>
      <c r="I1036" s="16"/>
      <c r="J1036" s="16"/>
      <c r="K1036" s="16"/>
      <c r="L1036" s="16"/>
      <c r="M1036" s="26"/>
      <c r="N1036" s="26"/>
      <c r="O1036" s="16"/>
      <c r="P1036" s="1"/>
      <c r="Q1036" s="1"/>
      <c r="R1036" s="1"/>
      <c r="S1036" s="1"/>
      <c r="T1036" s="1"/>
      <c r="U1036" s="33"/>
      <c r="V1036" s="16"/>
      <c r="W1036" s="1"/>
      <c r="X1036" s="1"/>
    </row>
    <row r="1037" spans="1:24">
      <c r="A1037" s="1"/>
      <c r="B1037" s="16"/>
      <c r="C1037" s="16"/>
      <c r="D1037" s="16"/>
      <c r="E1037" s="16"/>
      <c r="F1037" s="16"/>
      <c r="G1037" s="16"/>
      <c r="H1037" s="16"/>
      <c r="I1037" s="16"/>
      <c r="J1037" s="16"/>
      <c r="K1037" s="16"/>
      <c r="L1037" s="16"/>
      <c r="M1037" s="26"/>
      <c r="N1037" s="26"/>
      <c r="O1037" s="16"/>
      <c r="P1037" s="1"/>
      <c r="Q1037" s="1"/>
      <c r="R1037" s="1"/>
      <c r="S1037" s="1"/>
      <c r="T1037" s="1"/>
      <c r="U1037" s="33"/>
      <c r="V1037" s="16"/>
      <c r="W1037" s="1"/>
      <c r="X1037" s="1"/>
    </row>
    <row r="1038" spans="1:24">
      <c r="A1038" s="1"/>
      <c r="B1038" s="16"/>
      <c r="C1038" s="16"/>
      <c r="D1038" s="16"/>
      <c r="E1038" s="16"/>
      <c r="F1038" s="16"/>
      <c r="G1038" s="16"/>
      <c r="H1038" s="16"/>
      <c r="I1038" s="16"/>
      <c r="J1038" s="16"/>
      <c r="K1038" s="16"/>
      <c r="L1038" s="16"/>
      <c r="M1038" s="26"/>
      <c r="N1038" s="26"/>
      <c r="O1038" s="16"/>
      <c r="P1038" s="1"/>
      <c r="Q1038" s="1"/>
      <c r="R1038" s="1"/>
      <c r="S1038" s="1"/>
      <c r="T1038" s="1"/>
      <c r="U1038" s="33"/>
      <c r="V1038" s="16"/>
      <c r="W1038" s="1"/>
      <c r="X1038" s="1"/>
    </row>
    <row r="1039" spans="1:24">
      <c r="A1039" s="1"/>
      <c r="B1039" s="16"/>
      <c r="C1039" s="16"/>
      <c r="D1039" s="16"/>
      <c r="E1039" s="16"/>
      <c r="F1039" s="16"/>
      <c r="G1039" s="16"/>
      <c r="H1039" s="16"/>
      <c r="I1039" s="16"/>
      <c r="J1039" s="16"/>
      <c r="K1039" s="16"/>
      <c r="L1039" s="16"/>
      <c r="M1039" s="26"/>
      <c r="N1039" s="26"/>
      <c r="O1039" s="16"/>
      <c r="P1039" s="1"/>
      <c r="Q1039" s="1"/>
      <c r="R1039" s="1"/>
      <c r="S1039" s="1"/>
      <c r="T1039" s="1"/>
      <c r="U1039" s="33"/>
      <c r="V1039" s="16"/>
      <c r="W1039" s="1"/>
      <c r="X1039" s="1"/>
    </row>
    <row r="1040" spans="1:24">
      <c r="A1040" s="1"/>
      <c r="B1040" s="16"/>
      <c r="C1040" s="16"/>
      <c r="D1040" s="16"/>
      <c r="E1040" s="16"/>
      <c r="F1040" s="16"/>
      <c r="G1040" s="16"/>
      <c r="H1040" s="16"/>
      <c r="I1040" s="16"/>
      <c r="J1040" s="16"/>
      <c r="K1040" s="16"/>
      <c r="L1040" s="16"/>
      <c r="M1040" s="26"/>
      <c r="N1040" s="26"/>
      <c r="O1040" s="16"/>
      <c r="P1040" s="1"/>
      <c r="Q1040" s="1"/>
      <c r="R1040" s="1"/>
      <c r="S1040" s="1"/>
      <c r="T1040" s="1"/>
      <c r="U1040" s="33"/>
      <c r="V1040" s="16"/>
      <c r="W1040" s="1"/>
      <c r="X1040" s="1"/>
    </row>
    <row r="1041" spans="1:24">
      <c r="A1041" s="1"/>
      <c r="B1041" s="16"/>
      <c r="C1041" s="16"/>
      <c r="D1041" s="16"/>
      <c r="E1041" s="16"/>
      <c r="F1041" s="16"/>
      <c r="G1041" s="16"/>
      <c r="H1041" s="16"/>
      <c r="I1041" s="16"/>
      <c r="J1041" s="16"/>
      <c r="K1041" s="16"/>
      <c r="L1041" s="16"/>
      <c r="M1041" s="26"/>
      <c r="N1041" s="26"/>
      <c r="O1041" s="16"/>
      <c r="P1041" s="1"/>
      <c r="Q1041" s="1"/>
      <c r="R1041" s="1"/>
      <c r="S1041" s="1"/>
      <c r="T1041" s="1"/>
      <c r="U1041" s="33"/>
      <c r="V1041" s="16"/>
      <c r="W1041" s="1"/>
      <c r="X1041" s="1"/>
    </row>
    <row r="1042" spans="1:24">
      <c r="A1042" s="1"/>
      <c r="B1042" s="16"/>
      <c r="C1042" s="16"/>
      <c r="D1042" s="16"/>
      <c r="E1042" s="16"/>
      <c r="F1042" s="16"/>
      <c r="G1042" s="16"/>
      <c r="H1042" s="16"/>
      <c r="I1042" s="16"/>
      <c r="J1042" s="16"/>
      <c r="K1042" s="16"/>
      <c r="L1042" s="16"/>
      <c r="M1042" s="26"/>
      <c r="N1042" s="26"/>
      <c r="O1042" s="16"/>
      <c r="P1042" s="1"/>
      <c r="Q1042" s="1"/>
      <c r="R1042" s="1"/>
      <c r="S1042" s="1"/>
      <c r="T1042" s="1"/>
      <c r="U1042" s="33"/>
      <c r="V1042" s="16"/>
      <c r="W1042" s="1"/>
      <c r="X1042" s="1"/>
    </row>
    <row r="1043" spans="1:24">
      <c r="A1043" s="1"/>
      <c r="B1043" s="16"/>
      <c r="C1043" s="16"/>
      <c r="D1043" s="16"/>
      <c r="E1043" s="16"/>
      <c r="F1043" s="16"/>
      <c r="G1043" s="16"/>
      <c r="H1043" s="16"/>
      <c r="I1043" s="16"/>
      <c r="J1043" s="16"/>
      <c r="K1043" s="16"/>
      <c r="L1043" s="16"/>
      <c r="M1043" s="26"/>
      <c r="N1043" s="26"/>
      <c r="O1043" s="16"/>
      <c r="P1043" s="1"/>
      <c r="Q1043" s="1"/>
      <c r="R1043" s="1"/>
      <c r="S1043" s="1"/>
      <c r="T1043" s="1"/>
      <c r="U1043" s="33"/>
      <c r="V1043" s="16"/>
      <c r="W1043" s="1"/>
      <c r="X1043" s="1"/>
    </row>
    <row r="1044" spans="1:24">
      <c r="A1044" s="1"/>
      <c r="B1044" s="16"/>
      <c r="C1044" s="16"/>
      <c r="D1044" s="16"/>
      <c r="E1044" s="16"/>
      <c r="F1044" s="16"/>
      <c r="G1044" s="16"/>
      <c r="H1044" s="16"/>
      <c r="I1044" s="16"/>
      <c r="J1044" s="16"/>
      <c r="K1044" s="16"/>
      <c r="L1044" s="16"/>
      <c r="M1044" s="26"/>
      <c r="N1044" s="26"/>
      <c r="O1044" s="16"/>
      <c r="P1044" s="1"/>
      <c r="Q1044" s="1"/>
      <c r="R1044" s="1"/>
      <c r="S1044" s="1"/>
      <c r="T1044" s="1"/>
      <c r="U1044" s="33"/>
      <c r="V1044" s="16"/>
      <c r="W1044" s="1"/>
      <c r="X1044" s="1"/>
    </row>
    <row r="1045" spans="1:24">
      <c r="A1045" s="1"/>
      <c r="B1045" s="16"/>
      <c r="C1045" s="16"/>
      <c r="D1045" s="16"/>
      <c r="E1045" s="16"/>
      <c r="F1045" s="16"/>
      <c r="G1045" s="16"/>
      <c r="H1045" s="16"/>
      <c r="I1045" s="16"/>
      <c r="J1045" s="16"/>
      <c r="K1045" s="16"/>
      <c r="L1045" s="16"/>
      <c r="M1045" s="26"/>
      <c r="N1045" s="26"/>
      <c r="O1045" s="16"/>
      <c r="P1045" s="1"/>
      <c r="Q1045" s="1"/>
      <c r="R1045" s="1"/>
      <c r="S1045" s="1"/>
      <c r="T1045" s="1"/>
      <c r="U1045" s="33"/>
      <c r="V1045" s="16"/>
      <c r="W1045" s="1"/>
      <c r="X1045" s="1"/>
    </row>
    <row r="1046" spans="1:24">
      <c r="A1046" s="1"/>
      <c r="B1046" s="16"/>
      <c r="C1046" s="16"/>
      <c r="D1046" s="16"/>
      <c r="E1046" s="16"/>
      <c r="F1046" s="16"/>
      <c r="G1046" s="16"/>
      <c r="H1046" s="16"/>
      <c r="I1046" s="16"/>
      <c r="J1046" s="16"/>
      <c r="K1046" s="16"/>
      <c r="L1046" s="16"/>
      <c r="M1046" s="26"/>
      <c r="N1046" s="26"/>
      <c r="O1046" s="16"/>
      <c r="P1046" s="1"/>
      <c r="Q1046" s="1"/>
      <c r="R1046" s="1"/>
      <c r="S1046" s="1"/>
      <c r="T1046" s="1"/>
      <c r="U1046" s="33"/>
      <c r="V1046" s="16"/>
      <c r="W1046" s="1"/>
      <c r="X1046" s="1"/>
    </row>
    <row r="1047" spans="1:24">
      <c r="A1047" s="1"/>
      <c r="B1047" s="16"/>
      <c r="C1047" s="16"/>
      <c r="D1047" s="16"/>
      <c r="E1047" s="16"/>
      <c r="F1047" s="16"/>
      <c r="G1047" s="16"/>
      <c r="H1047" s="16"/>
      <c r="I1047" s="16"/>
      <c r="J1047" s="16"/>
      <c r="K1047" s="16"/>
      <c r="L1047" s="16"/>
      <c r="M1047" s="26"/>
      <c r="N1047" s="26"/>
      <c r="O1047" s="16"/>
      <c r="P1047" s="1"/>
      <c r="Q1047" s="1"/>
      <c r="R1047" s="1"/>
      <c r="S1047" s="1"/>
      <c r="T1047" s="1"/>
      <c r="U1047" s="33"/>
      <c r="V1047" s="16"/>
      <c r="W1047" s="1"/>
      <c r="X1047" s="1"/>
    </row>
    <row r="1048" spans="1:24">
      <c r="A1048" s="1"/>
      <c r="B1048" s="16"/>
      <c r="C1048" s="16"/>
      <c r="D1048" s="16"/>
      <c r="E1048" s="16"/>
      <c r="F1048" s="16"/>
      <c r="G1048" s="16"/>
      <c r="H1048" s="16"/>
      <c r="I1048" s="16"/>
      <c r="J1048" s="16"/>
      <c r="K1048" s="16"/>
      <c r="L1048" s="16"/>
      <c r="M1048" s="26"/>
      <c r="N1048" s="26"/>
      <c r="O1048" s="16"/>
      <c r="P1048" s="1"/>
      <c r="Q1048" s="1"/>
      <c r="R1048" s="1"/>
      <c r="S1048" s="1"/>
      <c r="T1048" s="1"/>
      <c r="U1048" s="33"/>
      <c r="V1048" s="16"/>
      <c r="W1048" s="1"/>
      <c r="X1048" s="1"/>
    </row>
    <row r="1049" spans="1:24">
      <c r="A1049" s="1"/>
      <c r="B1049" s="16"/>
      <c r="C1049" s="16"/>
      <c r="D1049" s="16"/>
      <c r="E1049" s="16"/>
      <c r="F1049" s="16"/>
      <c r="G1049" s="16"/>
      <c r="H1049" s="16"/>
      <c r="I1049" s="16"/>
      <c r="J1049" s="16"/>
      <c r="K1049" s="16"/>
      <c r="L1049" s="16"/>
      <c r="M1049" s="26"/>
      <c r="N1049" s="26"/>
      <c r="O1049" s="16"/>
      <c r="P1049" s="1"/>
      <c r="Q1049" s="1"/>
      <c r="R1049" s="1"/>
      <c r="S1049" s="1"/>
      <c r="T1049" s="1"/>
      <c r="U1049" s="33"/>
      <c r="V1049" s="16"/>
      <c r="W1049" s="1"/>
      <c r="X1049" s="1"/>
    </row>
    <row r="1050" spans="1:24">
      <c r="A1050" s="1"/>
      <c r="B1050" s="16"/>
      <c r="C1050" s="16"/>
      <c r="D1050" s="16"/>
      <c r="E1050" s="16"/>
      <c r="F1050" s="16"/>
      <c r="G1050" s="16"/>
      <c r="H1050" s="16"/>
      <c r="I1050" s="16"/>
      <c r="J1050" s="16"/>
      <c r="K1050" s="16"/>
      <c r="L1050" s="16"/>
      <c r="M1050" s="26"/>
      <c r="N1050" s="26"/>
      <c r="O1050" s="16"/>
      <c r="P1050" s="1"/>
      <c r="Q1050" s="1"/>
      <c r="R1050" s="1"/>
      <c r="S1050" s="1"/>
      <c r="T1050" s="1"/>
      <c r="U1050" s="33"/>
      <c r="V1050" s="16"/>
      <c r="W1050" s="1"/>
      <c r="X1050" s="1"/>
    </row>
    <row r="1051" spans="1:24">
      <c r="A1051" s="1"/>
      <c r="B1051" s="16"/>
      <c r="C1051" s="16"/>
      <c r="D1051" s="16"/>
      <c r="E1051" s="16"/>
      <c r="F1051" s="16"/>
      <c r="G1051" s="16"/>
      <c r="H1051" s="16"/>
      <c r="I1051" s="16"/>
      <c r="J1051" s="16"/>
      <c r="K1051" s="16"/>
      <c r="L1051" s="16"/>
      <c r="M1051" s="26"/>
      <c r="N1051" s="26"/>
      <c r="O1051" s="16"/>
      <c r="P1051" s="1"/>
      <c r="Q1051" s="1"/>
      <c r="R1051" s="1"/>
      <c r="S1051" s="1"/>
      <c r="T1051" s="1"/>
      <c r="U1051" s="33"/>
      <c r="V1051" s="16"/>
      <c r="W1051" s="1"/>
      <c r="X1051" s="1"/>
    </row>
    <row r="1052" spans="1:24">
      <c r="A1052" s="1"/>
      <c r="B1052" s="16"/>
      <c r="C1052" s="16"/>
      <c r="D1052" s="16"/>
      <c r="E1052" s="16"/>
      <c r="F1052" s="16"/>
      <c r="G1052" s="16"/>
      <c r="H1052" s="16"/>
      <c r="I1052" s="16"/>
      <c r="J1052" s="16"/>
      <c r="K1052" s="16"/>
      <c r="L1052" s="16"/>
      <c r="M1052" s="26"/>
      <c r="N1052" s="26"/>
      <c r="O1052" s="16"/>
      <c r="P1052" s="1"/>
      <c r="Q1052" s="1"/>
      <c r="R1052" s="1"/>
      <c r="S1052" s="1"/>
      <c r="T1052" s="1"/>
      <c r="U1052" s="33"/>
      <c r="V1052" s="16"/>
      <c r="W1052" s="1"/>
      <c r="X1052" s="1"/>
    </row>
    <row r="1053" spans="1:24">
      <c r="A1053" s="1"/>
      <c r="B1053" s="16"/>
      <c r="C1053" s="16"/>
      <c r="D1053" s="16"/>
      <c r="E1053" s="16"/>
      <c r="F1053" s="16"/>
      <c r="G1053" s="16"/>
      <c r="H1053" s="16"/>
      <c r="I1053" s="16"/>
      <c r="J1053" s="16"/>
      <c r="K1053" s="16"/>
      <c r="L1053" s="16"/>
      <c r="M1053" s="26"/>
      <c r="N1053" s="26"/>
      <c r="O1053" s="16"/>
      <c r="P1053" s="1"/>
      <c r="Q1053" s="1"/>
      <c r="R1053" s="1"/>
      <c r="S1053" s="1"/>
      <c r="T1053" s="1"/>
      <c r="U1053" s="33"/>
      <c r="V1053" s="16"/>
      <c r="W1053" s="1"/>
      <c r="X1053" s="1"/>
    </row>
    <row r="1054" spans="1:24">
      <c r="A1054" s="1"/>
      <c r="B1054" s="16"/>
      <c r="C1054" s="16"/>
      <c r="D1054" s="16"/>
      <c r="E1054" s="16"/>
      <c r="F1054" s="16"/>
      <c r="G1054" s="16"/>
      <c r="H1054" s="16"/>
      <c r="I1054" s="16"/>
      <c r="J1054" s="16"/>
      <c r="K1054" s="16"/>
      <c r="L1054" s="16"/>
      <c r="M1054" s="26"/>
      <c r="N1054" s="26"/>
      <c r="O1054" s="16"/>
      <c r="P1054" s="1"/>
      <c r="Q1054" s="1"/>
      <c r="R1054" s="1"/>
      <c r="S1054" s="1"/>
      <c r="T1054" s="1"/>
      <c r="U1054" s="33"/>
      <c r="V1054" s="16"/>
      <c r="W1054" s="1"/>
      <c r="X1054" s="1"/>
    </row>
    <row r="1055" spans="1:24">
      <c r="A1055" s="1"/>
      <c r="B1055" s="16"/>
      <c r="C1055" s="16"/>
      <c r="D1055" s="16"/>
      <c r="E1055" s="16"/>
      <c r="F1055" s="16"/>
      <c r="G1055" s="16"/>
      <c r="H1055" s="16"/>
      <c r="I1055" s="16"/>
      <c r="J1055" s="16"/>
      <c r="K1055" s="16"/>
      <c r="L1055" s="16"/>
      <c r="M1055" s="26"/>
      <c r="N1055" s="26"/>
      <c r="O1055" s="16"/>
      <c r="P1055" s="1"/>
      <c r="Q1055" s="1"/>
      <c r="R1055" s="1"/>
      <c r="S1055" s="1"/>
      <c r="T1055" s="1"/>
      <c r="U1055" s="33"/>
      <c r="V1055" s="16"/>
      <c r="W1055" s="1"/>
      <c r="X1055" s="1"/>
    </row>
    <row r="1056" spans="1:24">
      <c r="A1056" s="1"/>
      <c r="B1056" s="16"/>
      <c r="C1056" s="16"/>
      <c r="D1056" s="16"/>
      <c r="E1056" s="16"/>
      <c r="F1056" s="16"/>
      <c r="G1056" s="16"/>
      <c r="H1056" s="16"/>
      <c r="I1056" s="16"/>
      <c r="J1056" s="16"/>
      <c r="K1056" s="16"/>
      <c r="L1056" s="16"/>
      <c r="M1056" s="26"/>
      <c r="N1056" s="26"/>
      <c r="O1056" s="16"/>
      <c r="P1056" s="1"/>
      <c r="Q1056" s="1"/>
      <c r="R1056" s="1"/>
      <c r="S1056" s="1"/>
      <c r="T1056" s="1"/>
      <c r="U1056" s="33"/>
      <c r="V1056" s="16"/>
      <c r="W1056" s="1"/>
      <c r="X1056" s="1"/>
    </row>
    <row r="1057" spans="1:24">
      <c r="A1057" s="1"/>
      <c r="B1057" s="16"/>
      <c r="C1057" s="16"/>
      <c r="D1057" s="16"/>
      <c r="E1057" s="16"/>
      <c r="F1057" s="16"/>
      <c r="G1057" s="16"/>
      <c r="H1057" s="16"/>
      <c r="I1057" s="16"/>
      <c r="J1057" s="16"/>
      <c r="K1057" s="16"/>
      <c r="L1057" s="16"/>
      <c r="M1057" s="26"/>
      <c r="N1057" s="26"/>
      <c r="O1057" s="16"/>
      <c r="P1057" s="1"/>
      <c r="Q1057" s="1"/>
      <c r="R1057" s="1"/>
      <c r="S1057" s="1"/>
      <c r="T1057" s="1"/>
      <c r="U1057" s="33"/>
      <c r="V1057" s="16"/>
      <c r="W1057" s="1"/>
      <c r="X1057" s="1"/>
    </row>
    <row r="1058" spans="1:24">
      <c r="A1058" s="1"/>
      <c r="B1058" s="16"/>
      <c r="C1058" s="16"/>
      <c r="D1058" s="16"/>
      <c r="E1058" s="16"/>
      <c r="F1058" s="16"/>
      <c r="G1058" s="16"/>
      <c r="H1058" s="16"/>
      <c r="I1058" s="16"/>
      <c r="J1058" s="16"/>
      <c r="K1058" s="16"/>
      <c r="L1058" s="16"/>
      <c r="M1058" s="26"/>
      <c r="N1058" s="26"/>
      <c r="O1058" s="16"/>
      <c r="P1058" s="1"/>
      <c r="Q1058" s="1"/>
      <c r="R1058" s="1"/>
      <c r="S1058" s="1"/>
      <c r="T1058" s="1"/>
      <c r="U1058" s="33"/>
      <c r="V1058" s="16"/>
      <c r="W1058" s="1"/>
      <c r="X1058" s="1"/>
    </row>
    <row r="1059" spans="1:24">
      <c r="A1059" s="1"/>
      <c r="B1059" s="16"/>
      <c r="C1059" s="16"/>
      <c r="D1059" s="16"/>
      <c r="E1059" s="16"/>
      <c r="F1059" s="16"/>
      <c r="G1059" s="16"/>
      <c r="H1059" s="16"/>
      <c r="I1059" s="16"/>
      <c r="J1059" s="16"/>
      <c r="K1059" s="16"/>
      <c r="L1059" s="16"/>
      <c r="M1059" s="26"/>
      <c r="N1059" s="26"/>
      <c r="O1059" s="16"/>
      <c r="P1059" s="1"/>
      <c r="Q1059" s="1"/>
      <c r="R1059" s="1"/>
      <c r="S1059" s="1"/>
      <c r="T1059" s="1"/>
      <c r="U1059" s="33"/>
      <c r="V1059" s="16"/>
      <c r="W1059" s="1"/>
      <c r="X1059" s="1"/>
    </row>
    <row r="1060" spans="1:24">
      <c r="A1060" s="1"/>
      <c r="B1060" s="16"/>
      <c r="C1060" s="16"/>
      <c r="D1060" s="16"/>
      <c r="E1060" s="16"/>
      <c r="F1060" s="16"/>
      <c r="G1060" s="16"/>
      <c r="H1060" s="16"/>
      <c r="I1060" s="16"/>
      <c r="J1060" s="16"/>
      <c r="K1060" s="16"/>
      <c r="L1060" s="16"/>
      <c r="M1060" s="26"/>
      <c r="N1060" s="26"/>
      <c r="O1060" s="16"/>
      <c r="P1060" s="1"/>
      <c r="Q1060" s="1"/>
      <c r="R1060" s="1"/>
      <c r="S1060" s="1"/>
      <c r="T1060" s="1"/>
      <c r="U1060" s="33"/>
      <c r="V1060" s="16"/>
      <c r="W1060" s="1"/>
      <c r="X1060" s="1"/>
    </row>
    <row r="1061" spans="1:24">
      <c r="A1061" s="1"/>
      <c r="B1061" s="16"/>
      <c r="C1061" s="16"/>
      <c r="D1061" s="16"/>
      <c r="E1061" s="16"/>
      <c r="F1061" s="16"/>
      <c r="G1061" s="16"/>
      <c r="H1061" s="16"/>
      <c r="I1061" s="16"/>
      <c r="J1061" s="16"/>
      <c r="K1061" s="16"/>
      <c r="L1061" s="16"/>
      <c r="M1061" s="26"/>
      <c r="N1061" s="26"/>
      <c r="O1061" s="16"/>
      <c r="P1061" s="1"/>
      <c r="Q1061" s="1"/>
      <c r="R1061" s="1"/>
      <c r="S1061" s="1"/>
      <c r="T1061" s="1"/>
      <c r="U1061" s="33"/>
      <c r="V1061" s="16"/>
      <c r="W1061" s="1"/>
      <c r="X1061" s="1"/>
    </row>
    <row r="1062" spans="1:24">
      <c r="A1062" s="1"/>
      <c r="B1062" s="16"/>
      <c r="C1062" s="16"/>
      <c r="D1062" s="16"/>
      <c r="E1062" s="16"/>
      <c r="F1062" s="16"/>
      <c r="G1062" s="16"/>
      <c r="H1062" s="16"/>
      <c r="I1062" s="16"/>
      <c r="J1062" s="16"/>
      <c r="K1062" s="16"/>
      <c r="L1062" s="16"/>
      <c r="M1062" s="26"/>
      <c r="N1062" s="26"/>
      <c r="O1062" s="16"/>
      <c r="P1062" s="1"/>
      <c r="Q1062" s="1"/>
      <c r="R1062" s="1"/>
      <c r="S1062" s="1"/>
      <c r="T1062" s="1"/>
      <c r="U1062" s="33"/>
      <c r="V1062" s="16"/>
      <c r="W1062" s="1"/>
      <c r="X1062" s="1"/>
    </row>
    <row r="1063" spans="1:24">
      <c r="A1063" s="1"/>
      <c r="B1063" s="16"/>
      <c r="C1063" s="16"/>
      <c r="D1063" s="16"/>
      <c r="E1063" s="16"/>
      <c r="F1063" s="16"/>
      <c r="G1063" s="16"/>
      <c r="H1063" s="16"/>
      <c r="I1063" s="16"/>
      <c r="J1063" s="16"/>
      <c r="K1063" s="16"/>
      <c r="L1063" s="16"/>
      <c r="M1063" s="26"/>
      <c r="N1063" s="26"/>
      <c r="O1063" s="16"/>
      <c r="P1063" s="1"/>
      <c r="Q1063" s="1"/>
      <c r="R1063" s="1"/>
      <c r="S1063" s="1"/>
      <c r="T1063" s="1"/>
      <c r="U1063" s="33"/>
      <c r="V1063" s="16"/>
      <c r="W1063" s="1"/>
      <c r="X1063" s="1"/>
    </row>
    <row r="1064" spans="1:24">
      <c r="A1064" s="1"/>
      <c r="B1064" s="16"/>
      <c r="C1064" s="16"/>
      <c r="D1064" s="16"/>
      <c r="E1064" s="16"/>
      <c r="F1064" s="16"/>
      <c r="G1064" s="16"/>
      <c r="H1064" s="16"/>
      <c r="I1064" s="16"/>
      <c r="J1064" s="16"/>
      <c r="K1064" s="16"/>
      <c r="L1064" s="16"/>
      <c r="M1064" s="26"/>
      <c r="N1064" s="26"/>
      <c r="O1064" s="16"/>
      <c r="P1064" s="1"/>
      <c r="Q1064" s="1"/>
      <c r="R1064" s="1"/>
      <c r="S1064" s="1"/>
      <c r="T1064" s="1"/>
      <c r="U1064" s="33"/>
      <c r="V1064" s="16"/>
      <c r="W1064" s="1"/>
      <c r="X1064" s="1"/>
    </row>
    <row r="1065" spans="1:24">
      <c r="A1065" s="1"/>
      <c r="B1065" s="16"/>
      <c r="C1065" s="16"/>
      <c r="D1065" s="16"/>
      <c r="E1065" s="16"/>
      <c r="F1065" s="16"/>
      <c r="G1065" s="16"/>
      <c r="H1065" s="16"/>
      <c r="I1065" s="16"/>
      <c r="J1065" s="16"/>
      <c r="K1065" s="16"/>
      <c r="L1065" s="16"/>
      <c r="M1065" s="26"/>
      <c r="N1065" s="26"/>
      <c r="O1065" s="16"/>
      <c r="P1065" s="1"/>
      <c r="Q1065" s="1"/>
      <c r="R1065" s="1"/>
      <c r="S1065" s="1"/>
      <c r="T1065" s="1"/>
      <c r="U1065" s="33"/>
      <c r="V1065" s="16"/>
      <c r="W1065" s="1"/>
      <c r="X1065" s="1"/>
    </row>
    <row r="1066" spans="1:24">
      <c r="A1066" s="1"/>
      <c r="B1066" s="16"/>
      <c r="C1066" s="16"/>
      <c r="D1066" s="16"/>
      <c r="E1066" s="16"/>
      <c r="F1066" s="16"/>
      <c r="G1066" s="16"/>
      <c r="H1066" s="16"/>
      <c r="I1066" s="16"/>
      <c r="J1066" s="16"/>
      <c r="K1066" s="16"/>
      <c r="L1066" s="16"/>
      <c r="M1066" s="26"/>
      <c r="N1066" s="26"/>
      <c r="O1066" s="16"/>
      <c r="P1066" s="1"/>
      <c r="Q1066" s="1"/>
      <c r="R1066" s="1"/>
      <c r="S1066" s="1"/>
      <c r="T1066" s="1"/>
      <c r="U1066" s="33"/>
      <c r="V1066" s="16"/>
      <c r="W1066" s="1"/>
      <c r="X1066" s="1"/>
    </row>
    <row r="1067" spans="1:24">
      <c r="A1067" s="1"/>
      <c r="B1067" s="16"/>
      <c r="C1067" s="16"/>
      <c r="D1067" s="16"/>
      <c r="E1067" s="16"/>
      <c r="F1067" s="16"/>
      <c r="G1067" s="16"/>
      <c r="H1067" s="16"/>
      <c r="I1067" s="16"/>
      <c r="J1067" s="16"/>
      <c r="K1067" s="16"/>
      <c r="L1067" s="16"/>
      <c r="M1067" s="26"/>
      <c r="N1067" s="26"/>
      <c r="O1067" s="16"/>
      <c r="P1067" s="1"/>
      <c r="Q1067" s="1"/>
      <c r="R1067" s="1"/>
      <c r="S1067" s="1"/>
      <c r="T1067" s="1"/>
      <c r="U1067" s="33"/>
      <c r="V1067" s="16"/>
      <c r="W1067" s="1"/>
      <c r="X1067" s="1"/>
    </row>
    <row r="1068" spans="1:24">
      <c r="A1068" s="1"/>
      <c r="B1068" s="16"/>
      <c r="C1068" s="16"/>
      <c r="D1068" s="16"/>
      <c r="E1068" s="16"/>
      <c r="F1068" s="16"/>
      <c r="G1068" s="16"/>
      <c r="H1068" s="16"/>
      <c r="I1068" s="16"/>
      <c r="J1068" s="16"/>
      <c r="K1068" s="16"/>
      <c r="L1068" s="16"/>
      <c r="M1068" s="26"/>
      <c r="N1068" s="26"/>
      <c r="O1068" s="16"/>
      <c r="P1068" s="1"/>
      <c r="Q1068" s="1"/>
      <c r="R1068" s="1"/>
      <c r="S1068" s="1"/>
      <c r="T1068" s="1"/>
      <c r="U1068" s="33"/>
      <c r="V1068" s="16"/>
      <c r="W1068" s="1"/>
      <c r="X1068" s="1"/>
    </row>
    <row r="1069" spans="1:24">
      <c r="A1069" s="1"/>
      <c r="B1069" s="16"/>
      <c r="C1069" s="16"/>
      <c r="D1069" s="16"/>
      <c r="E1069" s="16"/>
      <c r="F1069" s="16"/>
      <c r="G1069" s="16"/>
      <c r="H1069" s="16"/>
      <c r="I1069" s="16"/>
      <c r="J1069" s="16"/>
      <c r="K1069" s="16"/>
      <c r="L1069" s="16"/>
      <c r="M1069" s="26"/>
      <c r="N1069" s="26"/>
      <c r="O1069" s="16"/>
      <c r="P1069" s="1"/>
      <c r="Q1069" s="1"/>
      <c r="R1069" s="1"/>
      <c r="S1069" s="1"/>
      <c r="T1069" s="1"/>
      <c r="U1069" s="33"/>
      <c r="V1069" s="16"/>
      <c r="W1069" s="1"/>
      <c r="X1069" s="1"/>
    </row>
    <row r="1070" spans="1:24">
      <c r="A1070" s="1"/>
      <c r="B1070" s="16"/>
      <c r="C1070" s="16"/>
      <c r="D1070" s="16"/>
      <c r="E1070" s="16"/>
      <c r="F1070" s="16"/>
      <c r="G1070" s="16"/>
      <c r="H1070" s="16"/>
      <c r="I1070" s="16"/>
      <c r="J1070" s="16"/>
      <c r="K1070" s="16"/>
      <c r="L1070" s="16"/>
      <c r="M1070" s="26"/>
      <c r="N1070" s="26"/>
      <c r="O1070" s="16"/>
      <c r="P1070" s="1"/>
      <c r="Q1070" s="1"/>
      <c r="R1070" s="1"/>
      <c r="S1070" s="1"/>
      <c r="T1070" s="1"/>
      <c r="U1070" s="33"/>
      <c r="V1070" s="16"/>
      <c r="W1070" s="1"/>
      <c r="X1070" s="1"/>
    </row>
    <row r="1071" spans="1:24">
      <c r="A1071" s="1"/>
      <c r="B1071" s="16"/>
      <c r="C1071" s="16"/>
      <c r="D1071" s="16"/>
      <c r="E1071" s="16"/>
      <c r="F1071" s="16"/>
      <c r="G1071" s="16"/>
      <c r="H1071" s="16"/>
      <c r="I1071" s="16"/>
      <c r="J1071" s="16"/>
      <c r="K1071" s="16"/>
      <c r="L1071" s="16"/>
      <c r="M1071" s="26"/>
      <c r="N1071" s="26"/>
      <c r="O1071" s="16"/>
      <c r="P1071" s="1"/>
      <c r="Q1071" s="1"/>
      <c r="R1071" s="1"/>
      <c r="S1071" s="1"/>
      <c r="T1071" s="1"/>
      <c r="U1071" s="33"/>
      <c r="V1071" s="16"/>
      <c r="W1071" s="1"/>
      <c r="X1071" s="1"/>
    </row>
    <row r="1072" spans="1:24">
      <c r="A1072" s="1"/>
      <c r="B1072" s="16"/>
      <c r="C1072" s="16"/>
      <c r="D1072" s="16"/>
      <c r="E1072" s="16"/>
      <c r="F1072" s="16"/>
      <c r="G1072" s="16"/>
      <c r="H1072" s="16"/>
      <c r="I1072" s="16"/>
      <c r="J1072" s="16"/>
      <c r="K1072" s="16"/>
      <c r="L1072" s="16"/>
      <c r="M1072" s="26"/>
      <c r="N1072" s="26"/>
      <c r="O1072" s="16"/>
      <c r="P1072" s="1"/>
      <c r="Q1072" s="1"/>
      <c r="R1072" s="1"/>
      <c r="S1072" s="1"/>
      <c r="T1072" s="1"/>
      <c r="U1072" s="33"/>
      <c r="V1072" s="16"/>
      <c r="W1072" s="1"/>
      <c r="X1072" s="1"/>
    </row>
    <row r="1073" spans="1:24">
      <c r="A1073" s="1"/>
      <c r="B1073" s="16"/>
      <c r="C1073" s="16"/>
      <c r="D1073" s="16"/>
      <c r="E1073" s="16"/>
      <c r="F1073" s="16"/>
      <c r="G1073" s="16"/>
      <c r="H1073" s="16"/>
      <c r="I1073" s="16"/>
      <c r="J1073" s="16"/>
      <c r="K1073" s="16"/>
      <c r="L1073" s="16"/>
      <c r="M1073" s="26"/>
      <c r="N1073" s="26"/>
      <c r="O1073" s="16"/>
      <c r="P1073" s="1"/>
      <c r="Q1073" s="1"/>
      <c r="R1073" s="1"/>
      <c r="S1073" s="1"/>
      <c r="T1073" s="1"/>
      <c r="U1073" s="33"/>
      <c r="V1073" s="16"/>
      <c r="W1073" s="1"/>
      <c r="X1073" s="1"/>
    </row>
    <row r="1074" spans="1:24">
      <c r="A1074" s="1"/>
      <c r="B1074" s="16"/>
      <c r="C1074" s="16"/>
      <c r="D1074" s="16"/>
      <c r="E1074" s="16"/>
      <c r="F1074" s="16"/>
      <c r="G1074" s="16"/>
      <c r="H1074" s="16"/>
      <c r="I1074" s="16"/>
      <c r="J1074" s="16"/>
      <c r="K1074" s="16"/>
      <c r="L1074" s="16"/>
      <c r="M1074" s="26"/>
      <c r="N1074" s="26"/>
      <c r="O1074" s="16"/>
      <c r="P1074" s="1"/>
      <c r="Q1074" s="1"/>
      <c r="R1074" s="1"/>
      <c r="S1074" s="1"/>
      <c r="T1074" s="1"/>
      <c r="U1074" s="33"/>
      <c r="V1074" s="16"/>
      <c r="W1074" s="1"/>
      <c r="X1074" s="1"/>
    </row>
    <row r="1075" spans="1:24">
      <c r="A1075" s="1"/>
      <c r="B1075" s="16"/>
      <c r="C1075" s="16"/>
      <c r="D1075" s="16"/>
      <c r="E1075" s="16"/>
      <c r="F1075" s="16"/>
      <c r="G1075" s="16"/>
      <c r="H1075" s="16"/>
      <c r="I1075" s="16"/>
      <c r="J1075" s="16"/>
      <c r="K1075" s="16"/>
      <c r="L1075" s="16"/>
      <c r="M1075" s="26"/>
      <c r="N1075" s="26"/>
      <c r="O1075" s="16"/>
      <c r="P1075" s="1"/>
      <c r="Q1075" s="1"/>
      <c r="R1075" s="1"/>
      <c r="S1075" s="1"/>
      <c r="T1075" s="1"/>
      <c r="U1075" s="33"/>
      <c r="V1075" s="16"/>
      <c r="W1075" s="1"/>
      <c r="X1075" s="1"/>
    </row>
    <row r="1076" spans="1:24">
      <c r="A1076" s="1"/>
      <c r="B1076" s="16"/>
      <c r="C1076" s="16"/>
      <c r="D1076" s="16"/>
      <c r="E1076" s="16"/>
      <c r="F1076" s="16"/>
      <c r="G1076" s="16"/>
      <c r="H1076" s="16"/>
      <c r="I1076" s="16"/>
      <c r="J1076" s="16"/>
      <c r="K1076" s="16"/>
      <c r="L1076" s="16"/>
      <c r="M1076" s="26"/>
      <c r="N1076" s="26"/>
      <c r="O1076" s="16"/>
      <c r="P1076" s="1"/>
      <c r="Q1076" s="1"/>
      <c r="R1076" s="1"/>
      <c r="S1076" s="1"/>
      <c r="T1076" s="1"/>
      <c r="U1076" s="33"/>
      <c r="V1076" s="16"/>
      <c r="W1076" s="1"/>
      <c r="X1076" s="1"/>
    </row>
    <row r="1077" spans="1:24">
      <c r="A1077" s="1"/>
      <c r="B1077" s="16"/>
      <c r="C1077" s="16"/>
      <c r="D1077" s="16"/>
      <c r="E1077" s="16"/>
      <c r="F1077" s="16"/>
      <c r="G1077" s="16"/>
      <c r="H1077" s="16"/>
      <c r="I1077" s="16"/>
      <c r="J1077" s="16"/>
      <c r="K1077" s="16"/>
      <c r="L1077" s="16"/>
      <c r="M1077" s="26"/>
      <c r="N1077" s="26"/>
      <c r="O1077" s="16"/>
      <c r="P1077" s="1"/>
      <c r="Q1077" s="1"/>
      <c r="R1077" s="1"/>
      <c r="S1077" s="1"/>
      <c r="T1077" s="1"/>
      <c r="U1077" s="33"/>
      <c r="V1077" s="16"/>
      <c r="W1077" s="1"/>
      <c r="X1077" s="1"/>
    </row>
    <row r="1078" spans="1:24">
      <c r="A1078" s="1"/>
      <c r="B1078" s="16"/>
      <c r="C1078" s="16"/>
      <c r="D1078" s="16"/>
      <c r="E1078" s="16"/>
      <c r="F1078" s="16"/>
      <c r="G1078" s="16"/>
      <c r="H1078" s="16"/>
      <c r="I1078" s="16"/>
      <c r="J1078" s="16"/>
      <c r="K1078" s="16"/>
      <c r="L1078" s="16"/>
      <c r="M1078" s="26"/>
      <c r="N1078" s="26"/>
      <c r="O1078" s="16"/>
      <c r="P1078" s="1"/>
      <c r="Q1078" s="1"/>
      <c r="R1078" s="1"/>
      <c r="S1078" s="1"/>
      <c r="T1078" s="1"/>
      <c r="U1078" s="33"/>
      <c r="V1078" s="16"/>
      <c r="W1078" s="1"/>
      <c r="X1078" s="1"/>
    </row>
    <row r="1079" spans="1:24">
      <c r="A1079" s="1"/>
      <c r="B1079" s="16"/>
      <c r="C1079" s="16"/>
      <c r="D1079" s="16"/>
      <c r="E1079" s="16"/>
      <c r="F1079" s="16"/>
      <c r="G1079" s="16"/>
      <c r="H1079" s="16"/>
      <c r="I1079" s="16"/>
      <c r="J1079" s="16"/>
      <c r="K1079" s="16"/>
      <c r="L1079" s="16"/>
      <c r="M1079" s="26"/>
      <c r="N1079" s="26"/>
      <c r="O1079" s="16"/>
      <c r="P1079" s="1"/>
      <c r="Q1079" s="1"/>
      <c r="R1079" s="1"/>
      <c r="S1079" s="1"/>
      <c r="T1079" s="1"/>
      <c r="U1079" s="33"/>
      <c r="V1079" s="16"/>
      <c r="W1079" s="1"/>
      <c r="X1079" s="1"/>
    </row>
    <row r="1080" spans="1:24">
      <c r="A1080" s="1"/>
      <c r="B1080" s="16"/>
      <c r="C1080" s="16"/>
      <c r="D1080" s="16"/>
      <c r="E1080" s="16"/>
      <c r="F1080" s="16"/>
      <c r="G1080" s="16"/>
      <c r="H1080" s="16"/>
      <c r="I1080" s="16"/>
      <c r="J1080" s="16"/>
      <c r="K1080" s="16"/>
      <c r="L1080" s="16"/>
      <c r="M1080" s="26"/>
      <c r="N1080" s="26"/>
      <c r="O1080" s="16"/>
      <c r="P1080" s="1"/>
      <c r="Q1080" s="1"/>
      <c r="R1080" s="1"/>
      <c r="S1080" s="1"/>
      <c r="T1080" s="1"/>
      <c r="U1080" s="33"/>
      <c r="V1080" s="16"/>
      <c r="W1080" s="1"/>
      <c r="X1080" s="1"/>
    </row>
    <row r="1081" spans="1:24">
      <c r="A1081" s="1"/>
      <c r="B1081" s="16"/>
      <c r="C1081" s="16"/>
      <c r="D1081" s="16"/>
      <c r="E1081" s="16"/>
      <c r="F1081" s="16"/>
      <c r="G1081" s="16"/>
      <c r="H1081" s="16"/>
      <c r="I1081" s="16"/>
      <c r="J1081" s="16"/>
      <c r="K1081" s="16"/>
      <c r="L1081" s="16"/>
      <c r="M1081" s="26"/>
      <c r="N1081" s="26"/>
      <c r="O1081" s="16"/>
      <c r="P1081" s="1"/>
      <c r="Q1081" s="1"/>
      <c r="R1081" s="1"/>
      <c r="S1081" s="1"/>
      <c r="T1081" s="1"/>
      <c r="U1081" s="33"/>
      <c r="V1081" s="16"/>
      <c r="W1081" s="1"/>
      <c r="X1081" s="1"/>
    </row>
    <row r="1082" spans="1:24">
      <c r="A1082" s="1"/>
      <c r="B1082" s="16"/>
      <c r="C1082" s="16"/>
      <c r="D1082" s="16"/>
      <c r="E1082" s="16"/>
      <c r="F1082" s="16"/>
      <c r="G1082" s="16"/>
      <c r="H1082" s="16"/>
      <c r="I1082" s="16"/>
      <c r="J1082" s="16"/>
      <c r="K1082" s="16"/>
      <c r="L1082" s="16"/>
      <c r="M1082" s="26"/>
      <c r="N1082" s="26"/>
      <c r="O1082" s="16"/>
      <c r="P1082" s="1"/>
      <c r="Q1082" s="1"/>
      <c r="R1082" s="1"/>
      <c r="S1082" s="1"/>
      <c r="T1082" s="1"/>
      <c r="U1082" s="33"/>
      <c r="V1082" s="16"/>
      <c r="W1082" s="1"/>
      <c r="X1082" s="1"/>
    </row>
    <row r="1083" spans="1:24">
      <c r="A1083" s="1"/>
      <c r="B1083" s="16"/>
      <c r="C1083" s="16"/>
      <c r="D1083" s="16"/>
      <c r="E1083" s="16"/>
      <c r="F1083" s="16"/>
      <c r="G1083" s="16"/>
      <c r="H1083" s="16"/>
      <c r="I1083" s="16"/>
      <c r="J1083" s="16"/>
      <c r="K1083" s="16"/>
      <c r="L1083" s="16"/>
      <c r="M1083" s="26"/>
      <c r="N1083" s="26"/>
      <c r="O1083" s="16"/>
      <c r="P1083" s="1"/>
      <c r="Q1083" s="1"/>
      <c r="R1083" s="1"/>
      <c r="S1083" s="1"/>
      <c r="T1083" s="1"/>
      <c r="U1083" s="33"/>
      <c r="V1083" s="16"/>
      <c r="W1083" s="1"/>
      <c r="X1083" s="1"/>
    </row>
    <row r="1084" spans="1:24">
      <c r="A1084" s="1"/>
      <c r="B1084" s="16"/>
      <c r="C1084" s="16"/>
      <c r="D1084" s="16"/>
      <c r="E1084" s="16"/>
      <c r="F1084" s="16"/>
      <c r="G1084" s="16"/>
      <c r="H1084" s="16"/>
      <c r="I1084" s="16"/>
      <c r="J1084" s="16"/>
      <c r="K1084" s="16"/>
      <c r="L1084" s="16"/>
      <c r="M1084" s="26"/>
      <c r="N1084" s="26"/>
      <c r="O1084" s="16"/>
      <c r="P1084" s="1"/>
      <c r="Q1084" s="1"/>
      <c r="R1084" s="1"/>
      <c r="S1084" s="1"/>
      <c r="T1084" s="1"/>
      <c r="U1084" s="33"/>
      <c r="V1084" s="16"/>
      <c r="W1084" s="1"/>
      <c r="X1084" s="1"/>
    </row>
    <row r="1085" spans="1:24">
      <c r="A1085" s="1"/>
      <c r="B1085" s="16"/>
      <c r="C1085" s="16"/>
      <c r="D1085" s="16"/>
      <c r="E1085" s="16"/>
      <c r="F1085" s="16"/>
      <c r="G1085" s="16"/>
      <c r="H1085" s="16"/>
      <c r="I1085" s="16"/>
      <c r="J1085" s="16"/>
      <c r="K1085" s="16"/>
      <c r="L1085" s="16"/>
      <c r="M1085" s="26"/>
      <c r="N1085" s="26"/>
      <c r="O1085" s="16"/>
      <c r="P1085" s="1"/>
      <c r="Q1085" s="1"/>
      <c r="R1085" s="1"/>
      <c r="S1085" s="1"/>
      <c r="T1085" s="1"/>
      <c r="U1085" s="33"/>
      <c r="V1085" s="16"/>
      <c r="W1085" s="1"/>
      <c r="X1085" s="1"/>
    </row>
    <row r="1086" spans="1:24">
      <c r="A1086" s="1"/>
      <c r="B1086" s="16"/>
      <c r="C1086" s="16"/>
      <c r="D1086" s="16"/>
      <c r="E1086" s="16"/>
      <c r="F1086" s="16"/>
      <c r="G1086" s="16"/>
      <c r="H1086" s="16"/>
      <c r="I1086" s="16"/>
      <c r="J1086" s="16"/>
      <c r="K1086" s="16"/>
      <c r="L1086" s="16"/>
      <c r="M1086" s="26"/>
      <c r="N1086" s="26"/>
      <c r="O1086" s="16"/>
      <c r="P1086" s="1"/>
      <c r="Q1086" s="1"/>
      <c r="R1086" s="1"/>
      <c r="S1086" s="1"/>
      <c r="T1086" s="1"/>
      <c r="U1086" s="33"/>
      <c r="V1086" s="16"/>
      <c r="W1086" s="1"/>
      <c r="X1086" s="1"/>
    </row>
    <row r="1087" spans="1:24">
      <c r="A1087" s="1"/>
      <c r="B1087" s="16"/>
      <c r="C1087" s="16"/>
      <c r="D1087" s="16"/>
      <c r="E1087" s="16"/>
      <c r="F1087" s="16"/>
      <c r="G1087" s="16"/>
      <c r="H1087" s="16"/>
      <c r="I1087" s="16"/>
      <c r="J1087" s="16"/>
      <c r="K1087" s="16"/>
      <c r="L1087" s="16"/>
      <c r="M1087" s="26"/>
      <c r="N1087" s="26"/>
      <c r="O1087" s="16"/>
      <c r="P1087" s="1"/>
      <c r="Q1087" s="1"/>
      <c r="R1087" s="1"/>
      <c r="S1087" s="1"/>
      <c r="T1087" s="1"/>
      <c r="U1087" s="33"/>
      <c r="V1087" s="16"/>
      <c r="W1087" s="1"/>
      <c r="X1087" s="1"/>
    </row>
    <row r="1088" spans="1:24">
      <c r="A1088" s="1"/>
      <c r="B1088" s="16"/>
      <c r="C1088" s="16"/>
      <c r="D1088" s="16"/>
      <c r="E1088" s="16"/>
      <c r="F1088" s="16"/>
      <c r="G1088" s="16"/>
      <c r="H1088" s="16"/>
      <c r="I1088" s="16"/>
      <c r="J1088" s="16"/>
      <c r="K1088" s="16"/>
      <c r="L1088" s="16"/>
      <c r="M1088" s="26"/>
      <c r="N1088" s="26"/>
      <c r="O1088" s="16"/>
      <c r="P1088" s="1"/>
      <c r="Q1088" s="1"/>
      <c r="R1088" s="1"/>
      <c r="S1088" s="1"/>
      <c r="T1088" s="1"/>
      <c r="U1088" s="33"/>
      <c r="V1088" s="16"/>
      <c r="W1088" s="1"/>
      <c r="X1088" s="1"/>
    </row>
    <row r="1089" spans="1:24">
      <c r="A1089" s="1"/>
      <c r="B1089" s="16"/>
      <c r="C1089" s="16"/>
      <c r="D1089" s="16"/>
      <c r="E1089" s="16"/>
      <c r="F1089" s="16"/>
      <c r="G1089" s="16"/>
      <c r="H1089" s="16"/>
      <c r="I1089" s="16"/>
      <c r="J1089" s="16"/>
      <c r="K1089" s="16"/>
      <c r="L1089" s="16"/>
      <c r="M1089" s="26"/>
      <c r="N1089" s="26"/>
      <c r="O1089" s="16"/>
      <c r="P1089" s="1"/>
      <c r="Q1089" s="1"/>
      <c r="R1089" s="1"/>
      <c r="S1089" s="1"/>
      <c r="T1089" s="1"/>
      <c r="U1089" s="33"/>
      <c r="V1089" s="16"/>
      <c r="W1089" s="1"/>
      <c r="X1089" s="1"/>
    </row>
    <row r="1090" spans="1:24">
      <c r="A1090" s="1"/>
      <c r="B1090" s="16"/>
      <c r="C1090" s="16"/>
      <c r="D1090" s="16"/>
      <c r="E1090" s="16"/>
      <c r="F1090" s="16"/>
      <c r="G1090" s="16"/>
      <c r="H1090" s="16"/>
      <c r="I1090" s="16"/>
      <c r="J1090" s="16"/>
      <c r="K1090" s="16"/>
      <c r="L1090" s="16"/>
      <c r="M1090" s="26"/>
      <c r="N1090" s="26"/>
      <c r="O1090" s="16"/>
      <c r="P1090" s="1"/>
      <c r="Q1090" s="1"/>
      <c r="R1090" s="1"/>
      <c r="S1090" s="1"/>
      <c r="T1090" s="1"/>
      <c r="U1090" s="33"/>
      <c r="V1090" s="16"/>
      <c r="W1090" s="1"/>
      <c r="X1090" s="1"/>
    </row>
    <row r="1091" spans="1:24">
      <c r="A1091" s="1"/>
      <c r="B1091" s="16"/>
      <c r="C1091" s="16"/>
      <c r="D1091" s="16"/>
      <c r="E1091" s="16"/>
      <c r="F1091" s="16"/>
      <c r="G1091" s="16"/>
      <c r="H1091" s="16"/>
      <c r="I1091" s="16"/>
      <c r="J1091" s="16"/>
      <c r="K1091" s="16"/>
      <c r="L1091" s="16"/>
      <c r="M1091" s="26"/>
      <c r="N1091" s="26"/>
      <c r="O1091" s="16"/>
      <c r="P1091" s="1"/>
      <c r="Q1091" s="1"/>
      <c r="R1091" s="1"/>
      <c r="S1091" s="1"/>
      <c r="T1091" s="1"/>
      <c r="U1091" s="33"/>
      <c r="V1091" s="16"/>
      <c r="W1091" s="1"/>
      <c r="X1091" s="1"/>
    </row>
    <row r="1092" spans="1:24">
      <c r="A1092" s="1"/>
      <c r="B1092" s="16"/>
      <c r="C1092" s="16"/>
      <c r="D1092" s="16"/>
      <c r="E1092" s="16"/>
      <c r="F1092" s="16"/>
      <c r="G1092" s="16"/>
      <c r="H1092" s="16"/>
      <c r="I1092" s="16"/>
      <c r="J1092" s="16"/>
      <c r="K1092" s="16"/>
      <c r="L1092" s="16"/>
      <c r="M1092" s="26"/>
      <c r="N1092" s="26"/>
      <c r="O1092" s="16"/>
      <c r="P1092" s="1"/>
      <c r="Q1092" s="1"/>
      <c r="R1092" s="1"/>
      <c r="S1092" s="1"/>
      <c r="T1092" s="1"/>
      <c r="U1092" s="33"/>
      <c r="V1092" s="16"/>
      <c r="W1092" s="1"/>
      <c r="X1092" s="1"/>
    </row>
    <row r="1093" spans="1:24">
      <c r="A1093" s="1"/>
      <c r="B1093" s="16"/>
      <c r="C1093" s="16"/>
      <c r="D1093" s="16"/>
      <c r="E1093" s="16"/>
      <c r="F1093" s="16"/>
      <c r="G1093" s="16"/>
      <c r="H1093" s="16"/>
      <c r="I1093" s="16"/>
      <c r="J1093" s="16"/>
      <c r="K1093" s="16"/>
      <c r="L1093" s="16"/>
      <c r="M1093" s="26"/>
      <c r="N1093" s="26"/>
      <c r="O1093" s="16"/>
      <c r="P1093" s="1"/>
      <c r="Q1093" s="1"/>
      <c r="R1093" s="1"/>
      <c r="S1093" s="1"/>
      <c r="T1093" s="1"/>
      <c r="U1093" s="33"/>
      <c r="V1093" s="16"/>
      <c r="W1093" s="1"/>
      <c r="X1093" s="1"/>
    </row>
    <row r="1094" spans="1:24">
      <c r="A1094" s="1"/>
      <c r="B1094" s="16"/>
      <c r="C1094" s="16"/>
      <c r="D1094" s="16"/>
      <c r="E1094" s="16"/>
      <c r="F1094" s="16"/>
      <c r="G1094" s="16"/>
      <c r="H1094" s="16"/>
      <c r="I1094" s="16"/>
      <c r="J1094" s="16"/>
      <c r="K1094" s="16"/>
      <c r="L1094" s="16"/>
      <c r="M1094" s="26"/>
      <c r="N1094" s="26"/>
      <c r="O1094" s="16"/>
      <c r="P1094" s="1"/>
      <c r="Q1094" s="1"/>
      <c r="R1094" s="1"/>
      <c r="S1094" s="1"/>
      <c r="T1094" s="1"/>
      <c r="U1094" s="33"/>
      <c r="V1094" s="16"/>
      <c r="W1094" s="1"/>
      <c r="X1094" s="1"/>
    </row>
    <row r="1095" spans="1:24">
      <c r="A1095" s="1"/>
      <c r="B1095" s="16"/>
      <c r="C1095" s="16"/>
      <c r="D1095" s="16"/>
      <c r="E1095" s="16"/>
      <c r="F1095" s="16"/>
      <c r="G1095" s="16"/>
      <c r="H1095" s="16"/>
      <c r="I1095" s="16"/>
      <c r="J1095" s="16"/>
      <c r="K1095" s="16"/>
      <c r="L1095" s="16"/>
      <c r="M1095" s="26"/>
      <c r="N1095" s="26"/>
      <c r="O1095" s="16"/>
      <c r="P1095" s="1"/>
      <c r="Q1095" s="1"/>
      <c r="R1095" s="1"/>
      <c r="S1095" s="1"/>
      <c r="T1095" s="1"/>
      <c r="U1095" s="33"/>
      <c r="V1095" s="16"/>
      <c r="W1095" s="1"/>
      <c r="X1095" s="1"/>
    </row>
    <row r="1096" spans="1:24">
      <c r="A1096" s="1"/>
      <c r="B1096" s="16"/>
      <c r="C1096" s="16"/>
      <c r="D1096" s="16"/>
      <c r="E1096" s="16"/>
      <c r="F1096" s="16"/>
      <c r="G1096" s="16"/>
      <c r="H1096" s="16"/>
      <c r="I1096" s="16"/>
      <c r="J1096" s="16"/>
      <c r="K1096" s="16"/>
      <c r="L1096" s="16"/>
      <c r="M1096" s="26"/>
      <c r="N1096" s="26"/>
      <c r="O1096" s="16"/>
      <c r="P1096" s="1"/>
      <c r="Q1096" s="1"/>
      <c r="R1096" s="1"/>
      <c r="S1096" s="1"/>
      <c r="T1096" s="1"/>
      <c r="U1096" s="33"/>
      <c r="V1096" s="16"/>
      <c r="W1096" s="1"/>
      <c r="X1096" s="1"/>
    </row>
    <row r="1097" spans="1:24">
      <c r="A1097" s="1"/>
      <c r="B1097" s="16"/>
      <c r="C1097" s="16"/>
      <c r="D1097" s="16"/>
      <c r="E1097" s="16"/>
      <c r="F1097" s="16"/>
      <c r="G1097" s="16"/>
      <c r="H1097" s="16"/>
      <c r="I1097" s="16"/>
      <c r="J1097" s="16"/>
      <c r="K1097" s="16"/>
      <c r="L1097" s="16"/>
      <c r="M1097" s="26"/>
      <c r="N1097" s="26"/>
      <c r="O1097" s="16"/>
      <c r="P1097" s="1"/>
      <c r="Q1097" s="1"/>
      <c r="R1097" s="1"/>
      <c r="S1097" s="1"/>
      <c r="T1097" s="1"/>
      <c r="U1097" s="33"/>
      <c r="V1097" s="16"/>
      <c r="W1097" s="1"/>
      <c r="X1097" s="1"/>
    </row>
    <row r="1098" spans="1:24">
      <c r="A1098" s="1"/>
      <c r="B1098" s="16"/>
      <c r="C1098" s="16"/>
      <c r="D1098" s="16"/>
      <c r="E1098" s="16"/>
      <c r="F1098" s="16"/>
      <c r="G1098" s="16"/>
      <c r="H1098" s="16"/>
      <c r="I1098" s="16"/>
      <c r="J1098" s="16"/>
      <c r="K1098" s="16"/>
      <c r="L1098" s="16"/>
      <c r="M1098" s="26"/>
      <c r="N1098" s="26"/>
      <c r="O1098" s="16"/>
      <c r="P1098" s="1"/>
      <c r="Q1098" s="1"/>
      <c r="R1098" s="1"/>
      <c r="S1098" s="1"/>
      <c r="T1098" s="1"/>
      <c r="U1098" s="33"/>
      <c r="V1098" s="16"/>
      <c r="W1098" s="1"/>
      <c r="X1098" s="1"/>
    </row>
    <row r="1099" spans="1:24">
      <c r="A1099" s="1"/>
      <c r="B1099" s="16"/>
      <c r="C1099" s="16"/>
      <c r="D1099" s="16"/>
      <c r="E1099" s="16"/>
      <c r="F1099" s="16"/>
      <c r="G1099" s="16"/>
      <c r="H1099" s="16"/>
      <c r="I1099" s="16"/>
      <c r="J1099" s="16"/>
      <c r="K1099" s="16"/>
      <c r="L1099" s="16"/>
      <c r="M1099" s="26"/>
      <c r="N1099" s="26"/>
      <c r="O1099" s="16"/>
      <c r="P1099" s="1"/>
      <c r="Q1099" s="1"/>
      <c r="R1099" s="1"/>
      <c r="S1099" s="1"/>
      <c r="T1099" s="1"/>
      <c r="U1099" s="33"/>
      <c r="V1099" s="16"/>
      <c r="W1099" s="1"/>
      <c r="X1099" s="1"/>
    </row>
    <row r="1100" spans="1:24">
      <c r="A1100" s="1"/>
      <c r="B1100" s="16"/>
      <c r="C1100" s="16"/>
      <c r="D1100" s="16"/>
      <c r="E1100" s="16"/>
      <c r="F1100" s="16"/>
      <c r="G1100" s="16"/>
      <c r="H1100" s="16"/>
      <c r="I1100" s="16"/>
      <c r="J1100" s="16"/>
      <c r="K1100" s="16"/>
      <c r="L1100" s="16"/>
      <c r="M1100" s="26"/>
      <c r="N1100" s="26"/>
      <c r="O1100" s="16"/>
      <c r="P1100" s="1"/>
      <c r="Q1100" s="1"/>
      <c r="R1100" s="1"/>
      <c r="S1100" s="1"/>
      <c r="T1100" s="1"/>
      <c r="U1100" s="33"/>
      <c r="V1100" s="16"/>
      <c r="W1100" s="1"/>
      <c r="X1100" s="1"/>
    </row>
    <row r="1101" spans="1:24">
      <c r="A1101" s="1"/>
      <c r="B1101" s="16"/>
      <c r="C1101" s="16"/>
      <c r="D1101" s="16"/>
      <c r="E1101" s="16"/>
      <c r="F1101" s="16"/>
      <c r="G1101" s="16"/>
      <c r="H1101" s="16"/>
      <c r="I1101" s="16"/>
      <c r="J1101" s="16"/>
      <c r="K1101" s="16"/>
      <c r="L1101" s="16"/>
      <c r="M1101" s="26"/>
      <c r="N1101" s="26"/>
      <c r="O1101" s="16"/>
      <c r="P1101" s="1"/>
      <c r="Q1101" s="1"/>
      <c r="R1101" s="1"/>
      <c r="S1101" s="1"/>
      <c r="T1101" s="1"/>
      <c r="U1101" s="33"/>
      <c r="V1101" s="16"/>
      <c r="W1101" s="1"/>
      <c r="X1101" s="1"/>
    </row>
    <row r="1102" spans="1:24">
      <c r="A1102" s="1"/>
      <c r="B1102" s="16"/>
      <c r="C1102" s="16"/>
      <c r="D1102" s="16"/>
      <c r="E1102" s="16"/>
      <c r="F1102" s="16"/>
      <c r="G1102" s="16"/>
      <c r="H1102" s="16"/>
      <c r="I1102" s="16"/>
      <c r="J1102" s="16"/>
      <c r="K1102" s="16"/>
      <c r="L1102" s="16"/>
      <c r="M1102" s="26"/>
      <c r="N1102" s="26"/>
      <c r="O1102" s="16"/>
      <c r="P1102" s="1"/>
      <c r="Q1102" s="1"/>
      <c r="R1102" s="1"/>
      <c r="S1102" s="1"/>
      <c r="T1102" s="1"/>
      <c r="U1102" s="33"/>
      <c r="V1102" s="16"/>
      <c r="W1102" s="1"/>
      <c r="X1102" s="1"/>
    </row>
    <row r="1103" spans="1:24">
      <c r="A1103" s="1"/>
      <c r="B1103" s="16"/>
      <c r="C1103" s="16"/>
      <c r="D1103" s="16"/>
      <c r="E1103" s="16"/>
      <c r="F1103" s="16"/>
      <c r="G1103" s="16"/>
      <c r="H1103" s="16"/>
      <c r="I1103" s="16"/>
      <c r="J1103" s="16"/>
      <c r="K1103" s="16"/>
      <c r="L1103" s="16"/>
      <c r="M1103" s="26"/>
      <c r="N1103" s="26"/>
      <c r="O1103" s="16"/>
      <c r="P1103" s="1"/>
      <c r="Q1103" s="1"/>
      <c r="R1103" s="1"/>
      <c r="S1103" s="1"/>
      <c r="T1103" s="1"/>
      <c r="U1103" s="33"/>
      <c r="V1103" s="16"/>
      <c r="W1103" s="1"/>
      <c r="X1103" s="1"/>
    </row>
    <row r="1104" spans="1:24">
      <c r="A1104" s="1"/>
      <c r="B1104" s="16"/>
      <c r="C1104" s="16"/>
      <c r="D1104" s="16"/>
      <c r="E1104" s="16"/>
      <c r="F1104" s="16"/>
      <c r="G1104" s="16"/>
      <c r="H1104" s="16"/>
      <c r="I1104" s="16"/>
      <c r="J1104" s="16"/>
      <c r="K1104" s="16"/>
      <c r="L1104" s="16"/>
      <c r="M1104" s="26"/>
      <c r="N1104" s="26"/>
      <c r="O1104" s="16"/>
      <c r="P1104" s="1"/>
      <c r="Q1104" s="1"/>
      <c r="R1104" s="1"/>
      <c r="S1104" s="1"/>
      <c r="T1104" s="1"/>
      <c r="U1104" s="33"/>
      <c r="V1104" s="16"/>
      <c r="W1104" s="1"/>
      <c r="X1104" s="1"/>
    </row>
    <row r="1105" spans="1:24">
      <c r="A1105" s="1"/>
      <c r="B1105" s="16"/>
      <c r="C1105" s="16"/>
      <c r="D1105" s="16"/>
      <c r="E1105" s="16"/>
      <c r="F1105" s="16"/>
      <c r="G1105" s="16"/>
      <c r="H1105" s="16"/>
      <c r="I1105" s="16"/>
      <c r="J1105" s="16"/>
      <c r="K1105" s="16"/>
      <c r="L1105" s="16"/>
      <c r="M1105" s="26"/>
      <c r="N1105" s="26"/>
      <c r="O1105" s="16"/>
      <c r="P1105" s="1"/>
      <c r="Q1105" s="1"/>
      <c r="R1105" s="1"/>
      <c r="S1105" s="1"/>
      <c r="T1105" s="1"/>
      <c r="U1105" s="33"/>
      <c r="V1105" s="16"/>
      <c r="W1105" s="1"/>
      <c r="X1105" s="1"/>
    </row>
    <row r="1106" spans="1:24">
      <c r="A1106" s="1"/>
      <c r="B1106" s="16"/>
      <c r="C1106" s="16"/>
      <c r="D1106" s="16"/>
      <c r="E1106" s="16"/>
      <c r="F1106" s="16"/>
      <c r="G1106" s="16"/>
      <c r="H1106" s="16"/>
      <c r="I1106" s="16"/>
      <c r="J1106" s="16"/>
      <c r="K1106" s="16"/>
      <c r="L1106" s="16"/>
      <c r="M1106" s="26"/>
      <c r="N1106" s="26"/>
      <c r="O1106" s="16"/>
      <c r="P1106" s="1"/>
      <c r="Q1106" s="1"/>
      <c r="R1106" s="1"/>
      <c r="S1106" s="1"/>
      <c r="T1106" s="1"/>
      <c r="U1106" s="33"/>
      <c r="V1106" s="16"/>
      <c r="W1106" s="1"/>
      <c r="X1106" s="1"/>
    </row>
    <row r="1107" spans="1:24">
      <c r="A1107" s="1"/>
      <c r="B1107" s="16"/>
      <c r="C1107" s="16"/>
      <c r="D1107" s="16"/>
      <c r="E1107" s="16"/>
      <c r="F1107" s="16"/>
      <c r="G1107" s="16"/>
      <c r="H1107" s="16"/>
      <c r="I1107" s="16"/>
      <c r="J1107" s="16"/>
      <c r="K1107" s="16"/>
      <c r="L1107" s="16"/>
      <c r="M1107" s="26"/>
      <c r="N1107" s="26"/>
      <c r="O1107" s="16"/>
      <c r="P1107" s="1"/>
      <c r="Q1107" s="1"/>
      <c r="R1107" s="1"/>
      <c r="S1107" s="1"/>
      <c r="T1107" s="1"/>
      <c r="U1107" s="33"/>
      <c r="V1107" s="16"/>
      <c r="W1107" s="1"/>
      <c r="X1107" s="1"/>
    </row>
    <row r="1108" spans="1:24">
      <c r="A1108" s="1"/>
      <c r="B1108" s="16"/>
      <c r="C1108" s="16"/>
      <c r="D1108" s="16"/>
      <c r="E1108" s="16"/>
      <c r="F1108" s="16"/>
      <c r="G1108" s="16"/>
      <c r="H1108" s="16"/>
      <c r="I1108" s="16"/>
      <c r="J1108" s="16"/>
      <c r="K1108" s="16"/>
      <c r="L1108" s="16"/>
      <c r="M1108" s="26"/>
      <c r="N1108" s="26"/>
      <c r="O1108" s="16"/>
      <c r="P1108" s="1"/>
      <c r="Q1108" s="1"/>
      <c r="R1108" s="1"/>
      <c r="S1108" s="1"/>
      <c r="T1108" s="1"/>
      <c r="U1108" s="33"/>
      <c r="V1108" s="16"/>
      <c r="W1108" s="1"/>
      <c r="X1108" s="1"/>
    </row>
    <row r="1109" spans="1:24">
      <c r="A1109" s="1"/>
      <c r="B1109" s="16"/>
      <c r="C1109" s="16"/>
      <c r="D1109" s="16"/>
      <c r="E1109" s="16"/>
      <c r="F1109" s="16"/>
      <c r="G1109" s="16"/>
      <c r="H1109" s="16"/>
      <c r="I1109" s="16"/>
      <c r="J1109" s="16"/>
      <c r="K1109" s="16"/>
      <c r="L1109" s="16"/>
      <c r="M1109" s="26"/>
      <c r="N1109" s="26"/>
      <c r="O1109" s="16"/>
      <c r="P1109" s="1"/>
      <c r="Q1109" s="1"/>
      <c r="R1109" s="1"/>
      <c r="S1109" s="1"/>
      <c r="T1109" s="1"/>
      <c r="U1109" s="33"/>
      <c r="V1109" s="16"/>
      <c r="W1109" s="1"/>
      <c r="X1109" s="1"/>
    </row>
    <row r="1110" spans="1:24">
      <c r="A1110" s="1"/>
      <c r="B1110" s="16"/>
      <c r="C1110" s="16"/>
      <c r="D1110" s="16"/>
      <c r="E1110" s="16"/>
      <c r="F1110" s="16"/>
      <c r="G1110" s="16"/>
      <c r="H1110" s="16"/>
      <c r="I1110" s="16"/>
      <c r="J1110" s="16"/>
      <c r="K1110" s="16"/>
      <c r="L1110" s="16"/>
      <c r="M1110" s="26"/>
      <c r="N1110" s="26"/>
      <c r="O1110" s="16"/>
      <c r="P1110" s="1"/>
      <c r="Q1110" s="1"/>
      <c r="R1110" s="1"/>
      <c r="S1110" s="1"/>
      <c r="T1110" s="1"/>
      <c r="U1110" s="33"/>
      <c r="V1110" s="16"/>
      <c r="W1110" s="1"/>
      <c r="X1110" s="1"/>
    </row>
    <row r="1111" spans="1:24">
      <c r="A1111" s="1"/>
      <c r="B1111" s="16"/>
      <c r="C1111" s="16"/>
      <c r="D1111" s="16"/>
      <c r="E1111" s="16"/>
      <c r="F1111" s="16"/>
      <c r="G1111" s="16"/>
      <c r="H1111" s="16"/>
      <c r="I1111" s="16"/>
      <c r="J1111" s="16"/>
      <c r="K1111" s="16"/>
      <c r="L1111" s="16"/>
      <c r="M1111" s="26"/>
      <c r="N1111" s="26"/>
      <c r="O1111" s="16"/>
      <c r="P1111" s="1"/>
      <c r="Q1111" s="1"/>
      <c r="R1111" s="1"/>
      <c r="S1111" s="1"/>
      <c r="T1111" s="1"/>
      <c r="U1111" s="33"/>
      <c r="V1111" s="16"/>
      <c r="W1111" s="1"/>
      <c r="X1111" s="1"/>
    </row>
    <row r="1112" spans="1:24">
      <c r="A1112" s="1"/>
      <c r="B1112" s="16"/>
      <c r="C1112" s="16"/>
      <c r="D1112" s="16"/>
      <c r="E1112" s="16"/>
      <c r="F1112" s="16"/>
      <c r="G1112" s="16"/>
      <c r="H1112" s="16"/>
      <c r="I1112" s="16"/>
      <c r="J1112" s="16"/>
      <c r="K1112" s="16"/>
      <c r="L1112" s="16"/>
      <c r="M1112" s="26"/>
      <c r="N1112" s="26"/>
      <c r="O1112" s="16"/>
      <c r="P1112" s="1"/>
      <c r="Q1112" s="1"/>
      <c r="R1112" s="1"/>
      <c r="S1112" s="1"/>
      <c r="T1112" s="1"/>
      <c r="U1112" s="33"/>
      <c r="V1112" s="16"/>
      <c r="W1112" s="1"/>
      <c r="X1112" s="1"/>
    </row>
    <row r="1113" spans="1:24">
      <c r="A1113" s="1"/>
      <c r="B1113" s="16"/>
      <c r="C1113" s="16"/>
      <c r="D1113" s="16"/>
      <c r="E1113" s="16"/>
      <c r="F1113" s="16"/>
      <c r="G1113" s="16"/>
      <c r="H1113" s="16"/>
      <c r="I1113" s="16"/>
      <c r="J1113" s="16"/>
      <c r="K1113" s="16"/>
      <c r="L1113" s="16"/>
      <c r="M1113" s="26"/>
      <c r="N1113" s="26"/>
      <c r="O1113" s="16"/>
      <c r="P1113" s="1"/>
      <c r="Q1113" s="1"/>
      <c r="R1113" s="1"/>
      <c r="S1113" s="1"/>
      <c r="T1113" s="1"/>
      <c r="U1113" s="33"/>
      <c r="V1113" s="16"/>
      <c r="W1113" s="1"/>
      <c r="X1113" s="1"/>
    </row>
    <row r="1114" spans="1:24">
      <c r="A1114" s="1"/>
      <c r="B1114" s="16"/>
      <c r="C1114" s="16"/>
      <c r="D1114" s="16"/>
      <c r="E1114" s="16"/>
      <c r="F1114" s="16"/>
      <c r="G1114" s="16"/>
      <c r="H1114" s="16"/>
      <c r="I1114" s="16"/>
      <c r="J1114" s="16"/>
      <c r="K1114" s="16"/>
      <c r="L1114" s="16"/>
      <c r="M1114" s="26"/>
      <c r="N1114" s="26"/>
      <c r="O1114" s="16"/>
      <c r="P1114" s="1"/>
      <c r="Q1114" s="1"/>
      <c r="R1114" s="1"/>
      <c r="S1114" s="1"/>
      <c r="T1114" s="1"/>
      <c r="U1114" s="33"/>
      <c r="V1114" s="16"/>
      <c r="W1114" s="1"/>
      <c r="X1114" s="1"/>
    </row>
    <row r="1115" spans="1:24">
      <c r="A1115" s="1"/>
      <c r="B1115" s="16"/>
      <c r="C1115" s="16"/>
      <c r="D1115" s="16"/>
      <c r="E1115" s="16"/>
      <c r="F1115" s="16"/>
      <c r="G1115" s="16"/>
      <c r="H1115" s="16"/>
      <c r="I1115" s="16"/>
      <c r="J1115" s="16"/>
      <c r="K1115" s="16"/>
      <c r="L1115" s="16"/>
      <c r="M1115" s="26"/>
      <c r="N1115" s="26"/>
      <c r="O1115" s="16"/>
      <c r="P1115" s="1"/>
      <c r="Q1115" s="1"/>
      <c r="R1115" s="1"/>
      <c r="S1115" s="1"/>
      <c r="T1115" s="1"/>
      <c r="U1115" s="33"/>
      <c r="V1115" s="16"/>
      <c r="W1115" s="1"/>
      <c r="X1115" s="1"/>
    </row>
    <row r="1116" spans="1:24">
      <c r="A1116" s="1"/>
      <c r="B1116" s="16"/>
      <c r="C1116" s="16"/>
      <c r="D1116" s="16"/>
      <c r="E1116" s="16"/>
      <c r="F1116" s="16"/>
      <c r="G1116" s="16"/>
      <c r="H1116" s="16"/>
      <c r="I1116" s="16"/>
      <c r="J1116" s="16"/>
      <c r="K1116" s="16"/>
      <c r="L1116" s="16"/>
      <c r="M1116" s="26"/>
      <c r="N1116" s="26"/>
      <c r="O1116" s="16"/>
      <c r="P1116" s="1"/>
      <c r="Q1116" s="1"/>
      <c r="R1116" s="1"/>
      <c r="S1116" s="1"/>
      <c r="T1116" s="1"/>
      <c r="U1116" s="33"/>
      <c r="V1116" s="16"/>
      <c r="W1116" s="1"/>
      <c r="X1116" s="1"/>
    </row>
    <row r="1117" spans="1:24">
      <c r="A1117" s="1"/>
      <c r="B1117" s="16"/>
      <c r="C1117" s="16"/>
      <c r="D1117" s="16"/>
      <c r="E1117" s="16"/>
      <c r="F1117" s="16"/>
      <c r="G1117" s="16"/>
      <c r="H1117" s="16"/>
      <c r="I1117" s="16"/>
      <c r="J1117" s="16"/>
      <c r="K1117" s="16"/>
      <c r="L1117" s="16"/>
      <c r="M1117" s="26"/>
      <c r="N1117" s="26"/>
      <c r="O1117" s="16"/>
      <c r="P1117" s="1"/>
      <c r="Q1117" s="1"/>
      <c r="R1117" s="1"/>
      <c r="S1117" s="1"/>
      <c r="T1117" s="1"/>
      <c r="U1117" s="33"/>
      <c r="V1117" s="16"/>
      <c r="W1117" s="1"/>
      <c r="X1117" s="1"/>
    </row>
    <row r="1118" spans="1:24">
      <c r="A1118" s="1"/>
      <c r="B1118" s="16"/>
      <c r="C1118" s="16"/>
      <c r="D1118" s="16"/>
      <c r="E1118" s="16"/>
      <c r="F1118" s="16"/>
      <c r="G1118" s="16"/>
      <c r="H1118" s="16"/>
      <c r="I1118" s="16"/>
      <c r="J1118" s="16"/>
      <c r="K1118" s="16"/>
      <c r="L1118" s="16"/>
      <c r="M1118" s="26"/>
      <c r="N1118" s="26"/>
      <c r="O1118" s="16"/>
      <c r="P1118" s="1"/>
      <c r="Q1118" s="1"/>
      <c r="R1118" s="1"/>
      <c r="S1118" s="1"/>
      <c r="T1118" s="1"/>
      <c r="U1118" s="33"/>
      <c r="V1118" s="16"/>
      <c r="W1118" s="1"/>
      <c r="X1118" s="1"/>
    </row>
    <row r="1119" spans="1:24">
      <c r="A1119" s="1"/>
      <c r="B1119" s="16"/>
      <c r="C1119" s="16"/>
      <c r="D1119" s="16"/>
      <c r="E1119" s="16"/>
      <c r="F1119" s="16"/>
      <c r="G1119" s="16"/>
      <c r="H1119" s="16"/>
      <c r="I1119" s="16"/>
      <c r="J1119" s="16"/>
      <c r="K1119" s="16"/>
      <c r="L1119" s="16"/>
      <c r="M1119" s="26"/>
      <c r="N1119" s="26"/>
      <c r="O1119" s="16"/>
      <c r="P1119" s="1"/>
      <c r="Q1119" s="1"/>
      <c r="R1119" s="1"/>
      <c r="S1119" s="1"/>
      <c r="T1119" s="1"/>
      <c r="U1119" s="33"/>
      <c r="V1119" s="16"/>
      <c r="W1119" s="1"/>
      <c r="X1119" s="1"/>
    </row>
    <row r="1120" spans="1:24">
      <c r="A1120" s="1"/>
      <c r="B1120" s="16"/>
      <c r="C1120" s="16"/>
      <c r="D1120" s="16"/>
      <c r="E1120" s="16"/>
      <c r="F1120" s="16"/>
      <c r="G1120" s="16"/>
      <c r="H1120" s="16"/>
      <c r="I1120" s="16"/>
      <c r="J1120" s="16"/>
      <c r="K1120" s="16"/>
      <c r="L1120" s="16"/>
      <c r="M1120" s="26"/>
      <c r="N1120" s="26"/>
      <c r="O1120" s="16"/>
      <c r="P1120" s="1"/>
      <c r="Q1120" s="1"/>
      <c r="R1120" s="1"/>
      <c r="S1120" s="1"/>
      <c r="T1120" s="1"/>
      <c r="U1120" s="33"/>
      <c r="V1120" s="16"/>
      <c r="W1120" s="1"/>
      <c r="X1120" s="1"/>
    </row>
    <row r="1121" spans="1:24">
      <c r="A1121" s="1"/>
      <c r="B1121" s="16"/>
      <c r="C1121" s="16"/>
      <c r="D1121" s="16"/>
      <c r="E1121" s="16"/>
      <c r="F1121" s="16"/>
      <c r="G1121" s="16"/>
      <c r="H1121" s="16"/>
      <c r="I1121" s="16"/>
      <c r="J1121" s="16"/>
      <c r="K1121" s="16"/>
      <c r="L1121" s="16"/>
      <c r="M1121" s="26"/>
      <c r="N1121" s="26"/>
      <c r="O1121" s="16"/>
      <c r="P1121" s="1"/>
      <c r="Q1121" s="1"/>
      <c r="R1121" s="1"/>
      <c r="S1121" s="1"/>
      <c r="T1121" s="1"/>
      <c r="U1121" s="33"/>
      <c r="V1121" s="16"/>
      <c r="W1121" s="1"/>
      <c r="X1121" s="1"/>
    </row>
    <row r="1122" spans="1:24">
      <c r="A1122" s="1"/>
      <c r="B1122" s="16"/>
      <c r="C1122" s="16"/>
      <c r="D1122" s="16"/>
      <c r="E1122" s="16"/>
      <c r="F1122" s="16"/>
      <c r="G1122" s="16"/>
      <c r="H1122" s="16"/>
      <c r="I1122" s="16"/>
      <c r="J1122" s="16"/>
      <c r="K1122" s="16"/>
      <c r="L1122" s="16"/>
      <c r="M1122" s="26"/>
      <c r="N1122" s="26"/>
      <c r="O1122" s="16"/>
      <c r="P1122" s="1"/>
      <c r="Q1122" s="1"/>
      <c r="R1122" s="1"/>
      <c r="S1122" s="1"/>
      <c r="T1122" s="1"/>
      <c r="U1122" s="33"/>
      <c r="V1122" s="16"/>
      <c r="W1122" s="1"/>
      <c r="X1122" s="1"/>
    </row>
    <row r="1123" spans="1:24">
      <c r="A1123" s="1"/>
      <c r="B1123" s="16"/>
      <c r="C1123" s="16"/>
      <c r="D1123" s="16"/>
      <c r="E1123" s="16"/>
      <c r="F1123" s="16"/>
      <c r="G1123" s="16"/>
      <c r="H1123" s="16"/>
      <c r="I1123" s="16"/>
      <c r="J1123" s="16"/>
      <c r="K1123" s="16"/>
      <c r="L1123" s="16"/>
      <c r="M1123" s="26"/>
      <c r="N1123" s="26"/>
      <c r="O1123" s="16"/>
      <c r="P1123" s="1"/>
      <c r="Q1123" s="1"/>
      <c r="R1123" s="1"/>
      <c r="S1123" s="1"/>
      <c r="T1123" s="1"/>
      <c r="U1123" s="33"/>
      <c r="V1123" s="16"/>
      <c r="W1123" s="1"/>
      <c r="X1123" s="1"/>
    </row>
    <row r="1124" spans="1:24">
      <c r="A1124" s="1"/>
      <c r="B1124" s="16"/>
      <c r="C1124" s="16"/>
      <c r="D1124" s="16"/>
      <c r="E1124" s="16"/>
      <c r="F1124" s="16"/>
      <c r="G1124" s="16"/>
      <c r="H1124" s="16"/>
      <c r="I1124" s="16"/>
      <c r="J1124" s="16"/>
      <c r="K1124" s="16"/>
      <c r="L1124" s="16"/>
      <c r="M1124" s="26"/>
      <c r="N1124" s="26"/>
      <c r="O1124" s="16"/>
      <c r="P1124" s="1"/>
      <c r="Q1124" s="1"/>
      <c r="R1124" s="1"/>
      <c r="S1124" s="1"/>
      <c r="T1124" s="1"/>
      <c r="U1124" s="33"/>
      <c r="V1124" s="16"/>
      <c r="W1124" s="1"/>
      <c r="X1124" s="1"/>
    </row>
    <row r="1125" spans="1:24">
      <c r="A1125" s="1"/>
      <c r="B1125" s="16"/>
      <c r="C1125" s="16"/>
      <c r="D1125" s="16"/>
      <c r="E1125" s="16"/>
      <c r="F1125" s="16"/>
      <c r="G1125" s="16"/>
      <c r="H1125" s="16"/>
      <c r="I1125" s="16"/>
      <c r="J1125" s="16"/>
      <c r="K1125" s="16"/>
      <c r="L1125" s="16"/>
      <c r="M1125" s="26"/>
      <c r="N1125" s="26"/>
      <c r="O1125" s="16"/>
      <c r="P1125" s="1"/>
      <c r="Q1125" s="1"/>
      <c r="R1125" s="1"/>
      <c r="S1125" s="1"/>
      <c r="T1125" s="1"/>
      <c r="U1125" s="33"/>
      <c r="V1125" s="16"/>
      <c r="W1125" s="1"/>
      <c r="X1125" s="1"/>
    </row>
    <row r="1126" spans="1:24">
      <c r="A1126" s="1"/>
      <c r="B1126" s="16"/>
      <c r="C1126" s="16"/>
      <c r="D1126" s="16"/>
      <c r="E1126" s="16"/>
      <c r="F1126" s="16"/>
      <c r="G1126" s="16"/>
      <c r="H1126" s="16"/>
      <c r="I1126" s="16"/>
      <c r="J1126" s="16"/>
      <c r="K1126" s="16"/>
      <c r="L1126" s="16"/>
      <c r="M1126" s="26"/>
      <c r="N1126" s="26"/>
      <c r="O1126" s="16"/>
      <c r="P1126" s="1"/>
      <c r="Q1126" s="1"/>
      <c r="R1126" s="1"/>
      <c r="S1126" s="1"/>
      <c r="T1126" s="1"/>
      <c r="U1126" s="33"/>
      <c r="V1126" s="16"/>
      <c r="W1126" s="1"/>
      <c r="X1126" s="1"/>
    </row>
    <row r="1127" spans="1:24">
      <c r="A1127" s="1"/>
      <c r="B1127" s="16"/>
      <c r="C1127" s="16"/>
      <c r="D1127" s="16"/>
      <c r="E1127" s="16"/>
      <c r="F1127" s="16"/>
      <c r="G1127" s="16"/>
      <c r="H1127" s="16"/>
      <c r="I1127" s="16"/>
      <c r="J1127" s="16"/>
      <c r="K1127" s="16"/>
      <c r="L1127" s="16"/>
      <c r="M1127" s="26"/>
      <c r="N1127" s="26"/>
      <c r="O1127" s="16"/>
      <c r="P1127" s="1"/>
      <c r="Q1127" s="1"/>
      <c r="R1127" s="1"/>
      <c r="S1127" s="1"/>
      <c r="T1127" s="1"/>
      <c r="U1127" s="33"/>
      <c r="V1127" s="16"/>
      <c r="W1127" s="1"/>
      <c r="X1127" s="1"/>
    </row>
    <row r="1128" spans="1:24">
      <c r="A1128" s="1"/>
      <c r="B1128" s="16"/>
      <c r="C1128" s="16"/>
      <c r="D1128" s="16"/>
      <c r="E1128" s="16"/>
      <c r="F1128" s="16"/>
      <c r="G1128" s="16"/>
      <c r="H1128" s="16"/>
      <c r="I1128" s="16"/>
      <c r="J1128" s="16"/>
      <c r="K1128" s="16"/>
      <c r="L1128" s="16"/>
      <c r="M1128" s="26"/>
      <c r="N1128" s="26"/>
      <c r="O1128" s="16"/>
      <c r="P1128" s="1"/>
      <c r="Q1128" s="1"/>
      <c r="R1128" s="1"/>
      <c r="S1128" s="1"/>
      <c r="T1128" s="1"/>
      <c r="U1128" s="33"/>
      <c r="V1128" s="16"/>
      <c r="W1128" s="1"/>
      <c r="X1128" s="1"/>
    </row>
    <row r="1129" spans="1:24">
      <c r="A1129" s="1"/>
      <c r="B1129" s="16"/>
      <c r="C1129" s="16"/>
      <c r="D1129" s="16"/>
      <c r="E1129" s="16"/>
      <c r="F1129" s="16"/>
      <c r="G1129" s="16"/>
      <c r="H1129" s="16"/>
      <c r="I1129" s="16"/>
      <c r="J1129" s="16"/>
      <c r="K1129" s="16"/>
      <c r="L1129" s="16"/>
      <c r="M1129" s="26"/>
      <c r="N1129" s="26"/>
      <c r="O1129" s="16"/>
      <c r="P1129" s="1"/>
      <c r="Q1129" s="1"/>
      <c r="R1129" s="1"/>
      <c r="S1129" s="1"/>
      <c r="T1129" s="1"/>
      <c r="U1129" s="33"/>
      <c r="V1129" s="16"/>
      <c r="W1129" s="1"/>
      <c r="X1129" s="1"/>
    </row>
    <row r="1130" spans="1:24">
      <c r="A1130" s="1"/>
      <c r="B1130" s="16"/>
      <c r="C1130" s="16"/>
      <c r="D1130" s="16"/>
      <c r="E1130" s="16"/>
      <c r="F1130" s="16"/>
      <c r="G1130" s="16"/>
      <c r="H1130" s="16"/>
      <c r="I1130" s="16"/>
      <c r="J1130" s="16"/>
      <c r="K1130" s="16"/>
      <c r="L1130" s="16"/>
      <c r="M1130" s="26"/>
      <c r="N1130" s="26"/>
      <c r="O1130" s="16"/>
      <c r="P1130" s="1"/>
      <c r="Q1130" s="1"/>
      <c r="R1130" s="1"/>
      <c r="S1130" s="1"/>
      <c r="T1130" s="1"/>
      <c r="U1130" s="33"/>
      <c r="V1130" s="16"/>
      <c r="W1130" s="1"/>
      <c r="X1130" s="1"/>
    </row>
    <row r="1131" spans="1:24">
      <c r="A1131" s="1"/>
      <c r="B1131" s="16"/>
      <c r="C1131" s="16"/>
      <c r="D1131" s="16"/>
      <c r="E1131" s="16"/>
      <c r="F1131" s="16"/>
      <c r="G1131" s="16"/>
      <c r="H1131" s="16"/>
      <c r="I1131" s="16"/>
      <c r="J1131" s="16"/>
      <c r="K1131" s="16"/>
      <c r="L1131" s="16"/>
      <c r="M1131" s="26"/>
      <c r="N1131" s="26"/>
      <c r="O1131" s="16"/>
      <c r="P1131" s="1"/>
      <c r="Q1131" s="1"/>
      <c r="R1131" s="1"/>
      <c r="S1131" s="1"/>
      <c r="T1131" s="1"/>
      <c r="U1131" s="33"/>
      <c r="V1131" s="16"/>
      <c r="W1131" s="1"/>
      <c r="X1131" s="1"/>
    </row>
    <row r="1132" spans="1:24">
      <c r="A1132" s="1"/>
      <c r="B1132" s="16"/>
      <c r="C1132" s="16"/>
      <c r="D1132" s="16"/>
      <c r="E1132" s="16"/>
      <c r="F1132" s="16"/>
      <c r="G1132" s="16"/>
      <c r="H1132" s="16"/>
      <c r="I1132" s="16"/>
      <c r="J1132" s="16"/>
      <c r="K1132" s="16"/>
      <c r="L1132" s="16"/>
      <c r="M1132" s="26"/>
      <c r="N1132" s="26"/>
      <c r="O1132" s="16"/>
      <c r="P1132" s="1"/>
      <c r="Q1132" s="1"/>
      <c r="R1132" s="1"/>
      <c r="S1132" s="1"/>
      <c r="T1132" s="1"/>
      <c r="U1132" s="33"/>
      <c r="V1132" s="16"/>
      <c r="W1132" s="1"/>
      <c r="X1132" s="1"/>
    </row>
    <row r="1133" spans="1:24">
      <c r="A1133" s="1"/>
      <c r="B1133" s="16"/>
      <c r="C1133" s="16"/>
      <c r="D1133" s="16"/>
      <c r="E1133" s="16"/>
      <c r="F1133" s="16"/>
      <c r="G1133" s="16"/>
      <c r="H1133" s="16"/>
      <c r="I1133" s="16"/>
      <c r="J1133" s="16"/>
      <c r="K1133" s="16"/>
      <c r="L1133" s="16"/>
      <c r="M1133" s="26"/>
      <c r="N1133" s="26"/>
      <c r="O1133" s="16"/>
      <c r="P1133" s="1"/>
      <c r="Q1133" s="1"/>
      <c r="R1133" s="1"/>
      <c r="S1133" s="1"/>
      <c r="T1133" s="1"/>
      <c r="U1133" s="33"/>
      <c r="V1133" s="16"/>
      <c r="W1133" s="1"/>
      <c r="X1133" s="1"/>
    </row>
    <row r="1134" spans="1:24">
      <c r="A1134" s="1"/>
      <c r="B1134" s="16"/>
      <c r="C1134" s="16"/>
      <c r="D1134" s="16"/>
      <c r="E1134" s="16"/>
      <c r="F1134" s="16"/>
      <c r="G1134" s="16"/>
      <c r="H1134" s="16"/>
      <c r="I1134" s="16"/>
      <c r="J1134" s="16"/>
      <c r="K1134" s="16"/>
      <c r="L1134" s="16"/>
      <c r="M1134" s="26"/>
      <c r="N1134" s="26"/>
      <c r="O1134" s="16"/>
      <c r="P1134" s="1"/>
      <c r="Q1134" s="1"/>
      <c r="R1134" s="1"/>
      <c r="S1134" s="1"/>
      <c r="T1134" s="1"/>
      <c r="U1134" s="33"/>
      <c r="V1134" s="16"/>
      <c r="W1134" s="1"/>
      <c r="X1134" s="1"/>
    </row>
    <row r="1135" spans="1:24">
      <c r="A1135" s="1"/>
      <c r="B1135" s="16"/>
      <c r="C1135" s="16"/>
      <c r="D1135" s="16"/>
      <c r="E1135" s="16"/>
      <c r="F1135" s="16"/>
      <c r="G1135" s="16"/>
      <c r="H1135" s="16"/>
      <c r="I1135" s="16"/>
      <c r="J1135" s="16"/>
      <c r="K1135" s="16"/>
      <c r="L1135" s="16"/>
      <c r="M1135" s="26"/>
      <c r="N1135" s="26"/>
      <c r="O1135" s="16"/>
      <c r="P1135" s="1"/>
      <c r="Q1135" s="1"/>
      <c r="R1135" s="1"/>
      <c r="S1135" s="1"/>
      <c r="T1135" s="1"/>
      <c r="U1135" s="33"/>
      <c r="V1135" s="16"/>
      <c r="W1135" s="1"/>
      <c r="X1135" s="1"/>
    </row>
    <row r="1136" spans="1:24">
      <c r="A1136" s="1"/>
      <c r="B1136" s="16"/>
      <c r="C1136" s="16"/>
      <c r="D1136" s="16"/>
      <c r="E1136" s="16"/>
      <c r="F1136" s="16"/>
      <c r="G1136" s="16"/>
      <c r="H1136" s="16"/>
      <c r="I1136" s="16"/>
      <c r="J1136" s="16"/>
      <c r="K1136" s="16"/>
      <c r="L1136" s="16"/>
      <c r="M1136" s="26"/>
      <c r="N1136" s="26"/>
      <c r="O1136" s="16"/>
      <c r="P1136" s="1"/>
      <c r="Q1136" s="1"/>
      <c r="R1136" s="1"/>
      <c r="S1136" s="1"/>
      <c r="T1136" s="1"/>
      <c r="U1136" s="33"/>
      <c r="V1136" s="16"/>
      <c r="W1136" s="1"/>
      <c r="X1136" s="1"/>
    </row>
    <row r="1137" spans="1:24">
      <c r="A1137" s="1"/>
      <c r="B1137" s="16"/>
      <c r="C1137" s="16"/>
      <c r="D1137" s="16"/>
      <c r="E1137" s="16"/>
      <c r="F1137" s="16"/>
      <c r="G1137" s="16"/>
      <c r="H1137" s="16"/>
      <c r="I1137" s="16"/>
      <c r="J1137" s="16"/>
      <c r="K1137" s="16"/>
      <c r="L1137" s="16"/>
      <c r="M1137" s="26"/>
      <c r="N1137" s="26"/>
      <c r="O1137" s="16"/>
      <c r="P1137" s="1"/>
      <c r="Q1137" s="1"/>
      <c r="R1137" s="1"/>
      <c r="S1137" s="1"/>
      <c r="T1137" s="1"/>
      <c r="U1137" s="33"/>
      <c r="V1137" s="16"/>
      <c r="W1137" s="1"/>
      <c r="X1137" s="1"/>
    </row>
    <row r="1138" spans="1:24">
      <c r="A1138" s="1"/>
      <c r="B1138" s="16"/>
      <c r="C1138" s="16"/>
      <c r="D1138" s="16"/>
      <c r="E1138" s="16"/>
      <c r="F1138" s="16"/>
      <c r="G1138" s="16"/>
      <c r="H1138" s="16"/>
      <c r="I1138" s="16"/>
      <c r="J1138" s="16"/>
      <c r="K1138" s="16"/>
      <c r="L1138" s="16"/>
      <c r="M1138" s="26"/>
      <c r="N1138" s="26"/>
      <c r="O1138" s="16"/>
      <c r="P1138" s="1"/>
      <c r="Q1138" s="1"/>
      <c r="R1138" s="1"/>
      <c r="S1138" s="1"/>
      <c r="T1138" s="1"/>
      <c r="U1138" s="33"/>
      <c r="V1138" s="16"/>
      <c r="W1138" s="1"/>
      <c r="X1138" s="1"/>
    </row>
    <row r="1139" spans="1:24">
      <c r="A1139" s="1"/>
      <c r="B1139" s="16"/>
      <c r="C1139" s="16"/>
      <c r="D1139" s="16"/>
      <c r="E1139" s="16"/>
      <c r="F1139" s="16"/>
      <c r="G1139" s="16"/>
      <c r="H1139" s="16"/>
      <c r="I1139" s="16"/>
      <c r="J1139" s="16"/>
      <c r="K1139" s="16"/>
      <c r="L1139" s="16"/>
      <c r="M1139" s="26"/>
      <c r="N1139" s="26"/>
      <c r="O1139" s="16"/>
      <c r="P1139" s="1"/>
      <c r="Q1139" s="1"/>
      <c r="R1139" s="1"/>
      <c r="S1139" s="1"/>
      <c r="T1139" s="1"/>
      <c r="U1139" s="33"/>
      <c r="V1139" s="16"/>
      <c r="W1139" s="1"/>
      <c r="X1139" s="1"/>
    </row>
    <row r="1140" spans="1:24">
      <c r="A1140" s="1"/>
      <c r="B1140" s="16"/>
      <c r="C1140" s="16"/>
      <c r="D1140" s="16"/>
      <c r="E1140" s="16"/>
      <c r="F1140" s="16"/>
      <c r="G1140" s="16"/>
      <c r="H1140" s="16"/>
      <c r="I1140" s="16"/>
      <c r="J1140" s="16"/>
      <c r="K1140" s="16"/>
      <c r="L1140" s="16"/>
      <c r="M1140" s="26"/>
      <c r="N1140" s="26"/>
      <c r="O1140" s="16"/>
      <c r="P1140" s="1"/>
      <c r="Q1140" s="1"/>
      <c r="R1140" s="1"/>
      <c r="S1140" s="1"/>
      <c r="T1140" s="1"/>
      <c r="U1140" s="33"/>
      <c r="V1140" s="16"/>
      <c r="W1140" s="1"/>
      <c r="X1140" s="1"/>
    </row>
    <row r="1141" spans="1:24">
      <c r="A1141" s="1"/>
      <c r="B1141" s="16"/>
      <c r="C1141" s="16"/>
      <c r="D1141" s="16"/>
      <c r="E1141" s="16"/>
      <c r="F1141" s="16"/>
      <c r="G1141" s="16"/>
      <c r="H1141" s="16"/>
      <c r="I1141" s="16"/>
      <c r="J1141" s="16"/>
      <c r="K1141" s="16"/>
      <c r="L1141" s="16"/>
      <c r="M1141" s="26"/>
      <c r="N1141" s="26"/>
      <c r="O1141" s="16"/>
      <c r="P1141" s="1"/>
      <c r="Q1141" s="1"/>
      <c r="R1141" s="1"/>
      <c r="S1141" s="1"/>
      <c r="T1141" s="1"/>
      <c r="U1141" s="33"/>
      <c r="V1141" s="16"/>
      <c r="W1141" s="1"/>
      <c r="X1141" s="1"/>
    </row>
    <row r="1142" spans="1:24">
      <c r="A1142" s="1"/>
      <c r="B1142" s="16"/>
      <c r="C1142" s="16"/>
      <c r="D1142" s="16"/>
      <c r="E1142" s="16"/>
      <c r="F1142" s="16"/>
      <c r="G1142" s="16"/>
      <c r="H1142" s="16"/>
      <c r="I1142" s="16"/>
      <c r="J1142" s="16"/>
      <c r="K1142" s="16"/>
      <c r="L1142" s="16"/>
      <c r="M1142" s="26"/>
      <c r="N1142" s="26"/>
      <c r="O1142" s="16"/>
      <c r="P1142" s="1"/>
      <c r="Q1142" s="1"/>
      <c r="R1142" s="1"/>
      <c r="S1142" s="1"/>
      <c r="T1142" s="1"/>
      <c r="U1142" s="33"/>
      <c r="V1142" s="16"/>
      <c r="W1142" s="1"/>
      <c r="X1142" s="1"/>
    </row>
    <row r="1143" spans="1:24">
      <c r="A1143" s="1"/>
      <c r="B1143" s="16"/>
      <c r="C1143" s="16"/>
      <c r="D1143" s="16"/>
      <c r="E1143" s="16"/>
      <c r="F1143" s="16"/>
      <c r="G1143" s="16"/>
      <c r="H1143" s="16"/>
      <c r="I1143" s="16"/>
      <c r="J1143" s="16"/>
      <c r="K1143" s="16"/>
      <c r="L1143" s="16"/>
      <c r="M1143" s="26"/>
      <c r="N1143" s="26"/>
      <c r="O1143" s="16"/>
      <c r="P1143" s="1"/>
      <c r="Q1143" s="1"/>
      <c r="R1143" s="1"/>
      <c r="S1143" s="1"/>
      <c r="T1143" s="1"/>
      <c r="U1143" s="33"/>
      <c r="V1143" s="16"/>
      <c r="W1143" s="1"/>
      <c r="X1143" s="1"/>
    </row>
    <row r="1144" spans="1:24">
      <c r="A1144" s="1"/>
      <c r="B1144" s="16"/>
      <c r="C1144" s="16"/>
      <c r="D1144" s="16"/>
      <c r="E1144" s="16"/>
      <c r="F1144" s="16"/>
      <c r="G1144" s="16"/>
      <c r="H1144" s="16"/>
      <c r="I1144" s="16"/>
      <c r="J1144" s="16"/>
      <c r="K1144" s="16"/>
      <c r="L1144" s="16"/>
      <c r="M1144" s="26"/>
      <c r="N1144" s="26"/>
      <c r="O1144" s="16"/>
      <c r="P1144" s="1"/>
      <c r="Q1144" s="1"/>
      <c r="R1144" s="1"/>
      <c r="S1144" s="1"/>
      <c r="T1144" s="1"/>
      <c r="U1144" s="33"/>
      <c r="V1144" s="16"/>
      <c r="W1144" s="1"/>
      <c r="X1144" s="1"/>
    </row>
    <row r="1145" spans="1:24">
      <c r="A1145" s="1"/>
      <c r="B1145" s="16"/>
      <c r="C1145" s="16"/>
      <c r="D1145" s="16"/>
      <c r="E1145" s="16"/>
      <c r="F1145" s="16"/>
      <c r="G1145" s="16"/>
      <c r="H1145" s="16"/>
      <c r="I1145" s="16"/>
      <c r="J1145" s="16"/>
      <c r="K1145" s="16"/>
      <c r="L1145" s="16"/>
      <c r="M1145" s="26"/>
      <c r="N1145" s="26"/>
      <c r="O1145" s="16"/>
      <c r="P1145" s="1"/>
      <c r="Q1145" s="1"/>
      <c r="R1145" s="1"/>
      <c r="S1145" s="1"/>
      <c r="T1145" s="1"/>
      <c r="U1145" s="33"/>
      <c r="V1145" s="16"/>
      <c r="W1145" s="1"/>
      <c r="X1145" s="1"/>
    </row>
    <row r="1146" spans="1:24">
      <c r="A1146" s="1"/>
      <c r="B1146" s="16"/>
      <c r="C1146" s="16"/>
      <c r="D1146" s="16"/>
      <c r="E1146" s="16"/>
      <c r="F1146" s="16"/>
      <c r="G1146" s="16"/>
      <c r="H1146" s="16"/>
      <c r="I1146" s="16"/>
      <c r="J1146" s="16"/>
      <c r="K1146" s="16"/>
      <c r="L1146" s="16"/>
      <c r="M1146" s="26"/>
      <c r="N1146" s="26"/>
      <c r="O1146" s="16"/>
      <c r="P1146" s="1"/>
      <c r="Q1146" s="1"/>
      <c r="R1146" s="1"/>
      <c r="S1146" s="1"/>
      <c r="T1146" s="1"/>
      <c r="U1146" s="33"/>
      <c r="V1146" s="16"/>
      <c r="W1146" s="1"/>
      <c r="X1146" s="1"/>
    </row>
    <row r="1147" spans="1:24">
      <c r="A1147" s="1"/>
      <c r="B1147" s="16"/>
      <c r="C1147" s="16"/>
      <c r="D1147" s="16"/>
      <c r="E1147" s="16"/>
      <c r="F1147" s="16"/>
      <c r="G1147" s="16"/>
      <c r="H1147" s="16"/>
      <c r="I1147" s="16"/>
      <c r="J1147" s="16"/>
      <c r="K1147" s="16"/>
      <c r="L1147" s="16"/>
      <c r="M1147" s="26"/>
      <c r="N1147" s="26"/>
      <c r="O1147" s="16"/>
      <c r="P1147" s="1"/>
      <c r="Q1147" s="1"/>
      <c r="R1147" s="1"/>
      <c r="S1147" s="1"/>
      <c r="T1147" s="1"/>
      <c r="U1147" s="33"/>
      <c r="V1147" s="16"/>
      <c r="W1147" s="1"/>
      <c r="X1147" s="1"/>
    </row>
    <row r="1148" spans="1:24">
      <c r="A1148" s="1"/>
      <c r="B1148" s="16"/>
      <c r="C1148" s="16"/>
      <c r="D1148" s="16"/>
      <c r="E1148" s="16"/>
      <c r="F1148" s="16"/>
      <c r="G1148" s="16"/>
      <c r="H1148" s="16"/>
      <c r="I1148" s="16"/>
      <c r="J1148" s="16"/>
      <c r="K1148" s="16"/>
      <c r="L1148" s="16"/>
      <c r="M1148" s="26"/>
      <c r="N1148" s="26"/>
      <c r="O1148" s="16"/>
      <c r="P1148" s="1"/>
      <c r="Q1148" s="1"/>
      <c r="R1148" s="1"/>
      <c r="S1148" s="1"/>
      <c r="T1148" s="1"/>
      <c r="U1148" s="33"/>
      <c r="V1148" s="16"/>
      <c r="W1148" s="1"/>
      <c r="X1148" s="1"/>
    </row>
    <row r="1149" spans="1:24">
      <c r="A1149" s="1"/>
      <c r="B1149" s="16"/>
      <c r="C1149" s="16"/>
      <c r="D1149" s="16"/>
      <c r="E1149" s="16"/>
      <c r="F1149" s="16"/>
      <c r="G1149" s="16"/>
      <c r="H1149" s="16"/>
      <c r="I1149" s="16"/>
      <c r="J1149" s="16"/>
      <c r="K1149" s="16"/>
      <c r="L1149" s="16"/>
      <c r="M1149" s="26"/>
      <c r="N1149" s="26"/>
      <c r="O1149" s="16"/>
      <c r="P1149" s="1"/>
      <c r="Q1149" s="1"/>
      <c r="R1149" s="1"/>
      <c r="S1149" s="1"/>
      <c r="T1149" s="1"/>
      <c r="U1149" s="33"/>
      <c r="V1149" s="16"/>
      <c r="W1149" s="1"/>
      <c r="X1149" s="1"/>
    </row>
    <row r="1150" spans="1:24">
      <c r="A1150" s="1"/>
      <c r="B1150" s="16"/>
      <c r="C1150" s="16"/>
      <c r="D1150" s="16"/>
      <c r="E1150" s="16"/>
      <c r="F1150" s="16"/>
      <c r="G1150" s="16"/>
      <c r="H1150" s="16"/>
      <c r="I1150" s="16"/>
      <c r="J1150" s="16"/>
      <c r="K1150" s="16"/>
      <c r="L1150" s="16"/>
      <c r="M1150" s="26"/>
      <c r="N1150" s="26"/>
      <c r="O1150" s="16"/>
      <c r="P1150" s="1"/>
      <c r="Q1150" s="1"/>
      <c r="R1150" s="1"/>
      <c r="S1150" s="1"/>
      <c r="T1150" s="1"/>
      <c r="U1150" s="33"/>
      <c r="V1150" s="16"/>
      <c r="W1150" s="1"/>
      <c r="X1150" s="1"/>
    </row>
    <row r="1151" spans="1:24">
      <c r="A1151" s="1"/>
      <c r="B1151" s="16"/>
      <c r="C1151" s="16"/>
      <c r="D1151" s="16"/>
      <c r="E1151" s="16"/>
      <c r="F1151" s="16"/>
      <c r="G1151" s="16"/>
      <c r="H1151" s="16"/>
      <c r="I1151" s="16"/>
      <c r="J1151" s="16"/>
      <c r="K1151" s="16"/>
      <c r="L1151" s="16"/>
      <c r="M1151" s="26"/>
      <c r="N1151" s="26"/>
      <c r="O1151" s="16"/>
      <c r="P1151" s="1"/>
      <c r="Q1151" s="1"/>
      <c r="R1151" s="1"/>
      <c r="S1151" s="1"/>
      <c r="T1151" s="1"/>
      <c r="U1151" s="33"/>
      <c r="V1151" s="16"/>
      <c r="W1151" s="1"/>
      <c r="X1151" s="1"/>
    </row>
    <row r="1152" spans="1:24">
      <c r="A1152" s="1"/>
      <c r="B1152" s="16"/>
      <c r="C1152" s="16"/>
      <c r="D1152" s="16"/>
      <c r="E1152" s="16"/>
      <c r="F1152" s="16"/>
      <c r="G1152" s="16"/>
      <c r="H1152" s="16"/>
      <c r="I1152" s="16"/>
      <c r="J1152" s="16"/>
      <c r="K1152" s="16"/>
      <c r="L1152" s="16"/>
      <c r="M1152" s="26"/>
      <c r="N1152" s="26"/>
      <c r="O1152" s="16"/>
      <c r="P1152" s="1"/>
      <c r="Q1152" s="1"/>
      <c r="R1152" s="1"/>
      <c r="S1152" s="1"/>
      <c r="T1152" s="1"/>
      <c r="U1152" s="33"/>
      <c r="V1152" s="16"/>
      <c r="W1152" s="1"/>
      <c r="X1152" s="1"/>
    </row>
    <row r="1153" spans="1:24">
      <c r="A1153" s="1"/>
      <c r="B1153" s="16"/>
      <c r="C1153" s="16"/>
      <c r="D1153" s="16"/>
      <c r="E1153" s="16"/>
      <c r="F1153" s="16"/>
      <c r="G1153" s="16"/>
      <c r="H1153" s="16"/>
      <c r="I1153" s="16"/>
      <c r="J1153" s="16"/>
      <c r="K1153" s="16"/>
      <c r="L1153" s="16"/>
      <c r="M1153" s="26"/>
      <c r="N1153" s="26"/>
      <c r="O1153" s="16"/>
      <c r="P1153" s="1"/>
      <c r="Q1153" s="1"/>
      <c r="R1153" s="1"/>
      <c r="S1153" s="1"/>
      <c r="T1153" s="1"/>
      <c r="U1153" s="33"/>
      <c r="V1153" s="16"/>
      <c r="W1153" s="1"/>
      <c r="X1153" s="1"/>
    </row>
    <row r="1154" spans="1:24">
      <c r="A1154" s="1"/>
      <c r="B1154" s="16"/>
      <c r="C1154" s="16"/>
      <c r="D1154" s="16"/>
      <c r="E1154" s="16"/>
      <c r="F1154" s="16"/>
      <c r="G1154" s="16"/>
      <c r="H1154" s="16"/>
      <c r="I1154" s="16"/>
      <c r="J1154" s="16"/>
      <c r="K1154" s="16"/>
      <c r="L1154" s="16"/>
      <c r="M1154" s="26"/>
      <c r="N1154" s="26"/>
      <c r="O1154" s="16"/>
      <c r="P1154" s="1"/>
      <c r="Q1154" s="1"/>
      <c r="R1154" s="1"/>
      <c r="S1154" s="1"/>
      <c r="T1154" s="1"/>
      <c r="U1154" s="33"/>
      <c r="V1154" s="16"/>
      <c r="W1154" s="1"/>
      <c r="X1154" s="1"/>
    </row>
    <row r="1155" spans="1:24">
      <c r="A1155" s="1"/>
      <c r="B1155" s="16"/>
      <c r="C1155" s="16"/>
      <c r="D1155" s="16"/>
      <c r="E1155" s="16"/>
      <c r="F1155" s="16"/>
      <c r="G1155" s="16"/>
      <c r="H1155" s="16"/>
      <c r="I1155" s="16"/>
      <c r="J1155" s="16"/>
      <c r="K1155" s="16"/>
      <c r="L1155" s="16"/>
      <c r="M1155" s="26"/>
      <c r="N1155" s="26"/>
      <c r="O1155" s="16"/>
      <c r="P1155" s="1"/>
      <c r="Q1155" s="1"/>
      <c r="R1155" s="1"/>
      <c r="S1155" s="1"/>
      <c r="T1155" s="1"/>
      <c r="U1155" s="33"/>
      <c r="V1155" s="16"/>
      <c r="W1155" s="1"/>
      <c r="X1155" s="1"/>
    </row>
    <row r="1156" spans="1:24">
      <c r="A1156" s="1"/>
      <c r="B1156" s="16"/>
      <c r="C1156" s="16"/>
      <c r="D1156" s="16"/>
      <c r="E1156" s="16"/>
      <c r="F1156" s="16"/>
      <c r="G1156" s="16"/>
      <c r="H1156" s="16"/>
      <c r="I1156" s="16"/>
      <c r="J1156" s="16"/>
      <c r="K1156" s="16"/>
      <c r="L1156" s="16"/>
      <c r="M1156" s="26"/>
      <c r="N1156" s="26"/>
      <c r="O1156" s="16"/>
      <c r="P1156" s="1"/>
      <c r="Q1156" s="1"/>
      <c r="R1156" s="1"/>
      <c r="S1156" s="1"/>
      <c r="T1156" s="1"/>
      <c r="U1156" s="33"/>
      <c r="V1156" s="16"/>
      <c r="W1156" s="1"/>
      <c r="X1156" s="1"/>
    </row>
    <row r="1157" spans="1:24">
      <c r="A1157" s="1"/>
      <c r="B1157" s="16"/>
      <c r="C1157" s="16"/>
      <c r="D1157" s="16"/>
      <c r="E1157" s="16"/>
      <c r="F1157" s="16"/>
      <c r="G1157" s="16"/>
      <c r="H1157" s="16"/>
      <c r="I1157" s="16"/>
      <c r="J1157" s="16"/>
      <c r="K1157" s="16"/>
      <c r="L1157" s="16"/>
      <c r="M1157" s="26"/>
      <c r="N1157" s="26"/>
      <c r="O1157" s="16"/>
      <c r="P1157" s="1"/>
      <c r="Q1157" s="1"/>
      <c r="R1157" s="1"/>
      <c r="S1157" s="1"/>
      <c r="T1157" s="1"/>
      <c r="U1157" s="33"/>
      <c r="V1157" s="16"/>
      <c r="W1157" s="1"/>
      <c r="X1157" s="1"/>
    </row>
    <row r="1158" spans="1:24">
      <c r="A1158" s="1"/>
      <c r="B1158" s="16"/>
      <c r="C1158" s="16"/>
      <c r="D1158" s="16"/>
      <c r="E1158" s="16"/>
      <c r="F1158" s="16"/>
      <c r="G1158" s="16"/>
      <c r="H1158" s="16"/>
      <c r="I1158" s="16"/>
      <c r="J1158" s="16"/>
      <c r="K1158" s="16"/>
      <c r="L1158" s="16"/>
      <c r="M1158" s="26"/>
      <c r="N1158" s="26"/>
      <c r="O1158" s="16"/>
      <c r="P1158" s="1"/>
      <c r="Q1158" s="1"/>
      <c r="R1158" s="1"/>
      <c r="S1158" s="1"/>
      <c r="T1158" s="1"/>
      <c r="U1158" s="33"/>
      <c r="V1158" s="16"/>
      <c r="W1158" s="1"/>
      <c r="X1158" s="1"/>
    </row>
    <row r="1159" spans="1:24">
      <c r="A1159" s="1"/>
      <c r="B1159" s="16"/>
      <c r="C1159" s="16"/>
      <c r="D1159" s="16"/>
      <c r="E1159" s="16"/>
      <c r="F1159" s="16"/>
      <c r="G1159" s="16"/>
      <c r="H1159" s="16"/>
      <c r="I1159" s="16"/>
      <c r="J1159" s="16"/>
      <c r="K1159" s="16"/>
      <c r="L1159" s="16"/>
      <c r="M1159" s="26"/>
      <c r="N1159" s="26"/>
      <c r="O1159" s="16"/>
      <c r="P1159" s="1"/>
      <c r="Q1159" s="1"/>
      <c r="R1159" s="1"/>
      <c r="S1159" s="1"/>
      <c r="T1159" s="1"/>
      <c r="U1159" s="33"/>
      <c r="V1159" s="16"/>
      <c r="W1159" s="1"/>
      <c r="X1159" s="1"/>
    </row>
    <row r="1160" spans="1:24">
      <c r="A1160" s="1"/>
      <c r="B1160" s="16"/>
      <c r="C1160" s="16"/>
      <c r="D1160" s="16"/>
      <c r="E1160" s="16"/>
      <c r="F1160" s="16"/>
      <c r="G1160" s="16"/>
      <c r="H1160" s="16"/>
      <c r="I1160" s="16"/>
      <c r="J1160" s="16"/>
      <c r="K1160" s="16"/>
      <c r="L1160" s="16"/>
      <c r="M1160" s="26"/>
      <c r="N1160" s="26"/>
      <c r="O1160" s="16"/>
      <c r="P1160" s="1"/>
      <c r="Q1160" s="1"/>
      <c r="R1160" s="1"/>
      <c r="S1160" s="1"/>
      <c r="T1160" s="1"/>
      <c r="U1160" s="33"/>
      <c r="V1160" s="16"/>
      <c r="W1160" s="1"/>
      <c r="X1160" s="1"/>
    </row>
    <row r="1161" spans="1:24">
      <c r="A1161" s="1"/>
      <c r="B1161" s="16"/>
      <c r="C1161" s="16"/>
      <c r="D1161" s="16"/>
      <c r="E1161" s="16"/>
      <c r="F1161" s="16"/>
      <c r="G1161" s="16"/>
      <c r="H1161" s="16"/>
      <c r="I1161" s="16"/>
      <c r="J1161" s="16"/>
      <c r="K1161" s="16"/>
      <c r="L1161" s="16"/>
      <c r="M1161" s="26"/>
      <c r="N1161" s="26"/>
      <c r="O1161" s="16"/>
      <c r="P1161" s="1"/>
      <c r="Q1161" s="1"/>
      <c r="R1161" s="1"/>
      <c r="S1161" s="1"/>
      <c r="T1161" s="1"/>
      <c r="U1161" s="33"/>
      <c r="V1161" s="16"/>
      <c r="W1161" s="1"/>
      <c r="X1161" s="1"/>
    </row>
    <row r="1162" spans="1:24">
      <c r="A1162" s="1"/>
      <c r="B1162" s="16"/>
      <c r="C1162" s="16"/>
      <c r="D1162" s="16"/>
      <c r="E1162" s="16"/>
      <c r="F1162" s="16"/>
      <c r="G1162" s="16"/>
      <c r="H1162" s="16"/>
      <c r="I1162" s="16"/>
      <c r="J1162" s="16"/>
      <c r="K1162" s="16"/>
      <c r="L1162" s="16"/>
      <c r="M1162" s="26"/>
      <c r="N1162" s="26"/>
      <c r="O1162" s="16"/>
      <c r="P1162" s="1"/>
      <c r="Q1162" s="1"/>
      <c r="R1162" s="1"/>
      <c r="S1162" s="1"/>
      <c r="T1162" s="1"/>
      <c r="U1162" s="33"/>
      <c r="V1162" s="16"/>
      <c r="W1162" s="1"/>
      <c r="X1162" s="1"/>
    </row>
    <row r="1163" spans="1:24">
      <c r="A1163" s="1"/>
      <c r="B1163" s="16"/>
      <c r="C1163" s="16"/>
      <c r="D1163" s="16"/>
      <c r="E1163" s="16"/>
      <c r="F1163" s="16"/>
      <c r="G1163" s="16"/>
      <c r="H1163" s="16"/>
      <c r="I1163" s="16"/>
      <c r="J1163" s="16"/>
      <c r="K1163" s="16"/>
      <c r="L1163" s="16"/>
      <c r="M1163" s="26"/>
      <c r="N1163" s="26"/>
      <c r="O1163" s="16"/>
      <c r="P1163" s="1"/>
      <c r="Q1163" s="1"/>
      <c r="R1163" s="1"/>
      <c r="S1163" s="1"/>
      <c r="T1163" s="1"/>
      <c r="U1163" s="33"/>
      <c r="V1163" s="16"/>
      <c r="W1163" s="1"/>
      <c r="X1163" s="1"/>
    </row>
    <row r="1164" spans="1:24">
      <c r="A1164" s="1"/>
      <c r="B1164" s="16"/>
      <c r="C1164" s="16"/>
      <c r="D1164" s="16"/>
      <c r="E1164" s="16"/>
      <c r="F1164" s="16"/>
      <c r="G1164" s="16"/>
      <c r="H1164" s="16"/>
      <c r="I1164" s="16"/>
      <c r="J1164" s="16"/>
      <c r="K1164" s="16"/>
      <c r="L1164" s="16"/>
      <c r="M1164" s="26"/>
      <c r="N1164" s="26"/>
      <c r="O1164" s="16"/>
      <c r="P1164" s="1"/>
      <c r="Q1164" s="1"/>
      <c r="R1164" s="1"/>
      <c r="S1164" s="1"/>
      <c r="T1164" s="1"/>
      <c r="U1164" s="33"/>
      <c r="V1164" s="16"/>
      <c r="W1164" s="1"/>
      <c r="X1164" s="1"/>
    </row>
    <row r="1165" spans="1:24">
      <c r="A1165" s="1"/>
      <c r="B1165" s="16"/>
      <c r="C1165" s="16"/>
      <c r="D1165" s="16"/>
      <c r="E1165" s="16"/>
      <c r="F1165" s="16"/>
      <c r="G1165" s="16"/>
      <c r="H1165" s="16"/>
      <c r="I1165" s="16"/>
      <c r="J1165" s="16"/>
      <c r="K1165" s="16"/>
      <c r="L1165" s="16"/>
      <c r="M1165" s="26"/>
      <c r="N1165" s="26"/>
      <c r="O1165" s="16"/>
      <c r="P1165" s="1"/>
      <c r="Q1165" s="1"/>
      <c r="R1165" s="1"/>
      <c r="S1165" s="1"/>
      <c r="T1165" s="1"/>
      <c r="U1165" s="33"/>
      <c r="V1165" s="16"/>
      <c r="W1165" s="1"/>
      <c r="X1165" s="1"/>
    </row>
    <row r="1166" spans="1:24">
      <c r="A1166" s="1"/>
      <c r="B1166" s="16"/>
      <c r="C1166" s="16"/>
      <c r="D1166" s="16"/>
      <c r="E1166" s="16"/>
      <c r="F1166" s="16"/>
      <c r="G1166" s="16"/>
      <c r="H1166" s="16"/>
      <c r="I1166" s="16"/>
      <c r="J1166" s="16"/>
      <c r="K1166" s="16"/>
      <c r="L1166" s="16"/>
      <c r="M1166" s="26"/>
      <c r="N1166" s="26"/>
      <c r="O1166" s="16"/>
      <c r="P1166" s="1"/>
      <c r="Q1166" s="1"/>
      <c r="R1166" s="1"/>
      <c r="S1166" s="1"/>
      <c r="T1166" s="1"/>
      <c r="U1166" s="33"/>
      <c r="V1166" s="16"/>
      <c r="W1166" s="1"/>
      <c r="X1166" s="1"/>
    </row>
    <row r="1167" spans="1:24">
      <c r="A1167" s="1"/>
      <c r="B1167" s="16"/>
      <c r="C1167" s="16"/>
      <c r="D1167" s="16"/>
      <c r="E1167" s="16"/>
      <c r="F1167" s="16"/>
      <c r="G1167" s="16"/>
      <c r="H1167" s="16"/>
      <c r="I1167" s="16"/>
      <c r="J1167" s="16"/>
      <c r="K1167" s="16"/>
      <c r="L1167" s="16"/>
      <c r="M1167" s="26"/>
      <c r="N1167" s="26"/>
      <c r="O1167" s="16"/>
      <c r="P1167" s="1"/>
      <c r="Q1167" s="1"/>
      <c r="R1167" s="1"/>
      <c r="S1167" s="1"/>
      <c r="T1167" s="1"/>
      <c r="U1167" s="33"/>
      <c r="V1167" s="16"/>
      <c r="W1167" s="1"/>
      <c r="X1167" s="1"/>
    </row>
    <row r="1168" spans="1:24">
      <c r="A1168" s="1"/>
      <c r="B1168" s="16"/>
      <c r="C1168" s="16"/>
      <c r="D1168" s="16"/>
      <c r="E1168" s="16"/>
      <c r="F1168" s="16"/>
      <c r="G1168" s="16"/>
      <c r="H1168" s="16"/>
      <c r="I1168" s="16"/>
      <c r="J1168" s="16"/>
      <c r="K1168" s="16"/>
      <c r="L1168" s="16"/>
      <c r="M1168" s="26"/>
      <c r="N1168" s="26"/>
      <c r="O1168" s="16"/>
      <c r="P1168" s="1"/>
      <c r="Q1168" s="1"/>
      <c r="R1168" s="1"/>
      <c r="S1168" s="1"/>
      <c r="T1168" s="1"/>
      <c r="U1168" s="33"/>
      <c r="V1168" s="16"/>
      <c r="W1168" s="1"/>
      <c r="X1168" s="1"/>
    </row>
    <row r="1169" spans="1:24">
      <c r="A1169" s="1"/>
      <c r="B1169" s="16"/>
      <c r="C1169" s="16"/>
      <c r="D1169" s="16"/>
      <c r="E1169" s="16"/>
      <c r="F1169" s="16"/>
      <c r="G1169" s="16"/>
      <c r="H1169" s="16"/>
      <c r="I1169" s="16"/>
      <c r="J1169" s="16"/>
      <c r="K1169" s="16"/>
      <c r="L1169" s="16"/>
      <c r="M1169" s="26"/>
      <c r="N1169" s="26"/>
      <c r="O1169" s="16"/>
      <c r="P1169" s="1"/>
      <c r="Q1169" s="1"/>
      <c r="R1169" s="1"/>
      <c r="S1169" s="1"/>
      <c r="T1169" s="1"/>
      <c r="U1169" s="33"/>
      <c r="V1169" s="16"/>
      <c r="W1169" s="1"/>
      <c r="X1169" s="1"/>
    </row>
    <row r="1170" spans="1:24">
      <c r="A1170" s="1"/>
      <c r="B1170" s="16"/>
      <c r="C1170" s="16"/>
      <c r="D1170" s="16"/>
      <c r="E1170" s="16"/>
      <c r="F1170" s="16"/>
      <c r="G1170" s="16"/>
      <c r="H1170" s="16"/>
      <c r="I1170" s="16"/>
      <c r="J1170" s="16"/>
      <c r="K1170" s="16"/>
      <c r="L1170" s="16"/>
      <c r="M1170" s="26"/>
      <c r="N1170" s="26"/>
      <c r="O1170" s="16"/>
      <c r="P1170" s="1"/>
      <c r="Q1170" s="1"/>
      <c r="R1170" s="1"/>
      <c r="S1170" s="1"/>
      <c r="T1170" s="1"/>
      <c r="U1170" s="33"/>
      <c r="V1170" s="16"/>
      <c r="W1170" s="1"/>
      <c r="X1170" s="1"/>
    </row>
    <row r="1171" spans="1:24">
      <c r="A1171" s="1"/>
      <c r="B1171" s="16"/>
      <c r="C1171" s="16"/>
      <c r="D1171" s="16"/>
      <c r="E1171" s="16"/>
      <c r="F1171" s="16"/>
      <c r="G1171" s="16"/>
      <c r="H1171" s="16"/>
      <c r="I1171" s="16"/>
      <c r="J1171" s="16"/>
      <c r="K1171" s="16"/>
      <c r="L1171" s="16"/>
      <c r="M1171" s="26"/>
      <c r="N1171" s="26"/>
      <c r="O1171" s="16"/>
      <c r="P1171" s="1"/>
      <c r="Q1171" s="1"/>
      <c r="R1171" s="1"/>
      <c r="S1171" s="1"/>
      <c r="T1171" s="1"/>
      <c r="U1171" s="33"/>
      <c r="V1171" s="16"/>
      <c r="W1171" s="1"/>
      <c r="X1171" s="1"/>
    </row>
    <row r="1172" spans="1:24">
      <c r="A1172" s="1"/>
      <c r="B1172" s="16"/>
      <c r="C1172" s="16"/>
      <c r="D1172" s="16"/>
      <c r="E1172" s="16"/>
      <c r="F1172" s="16"/>
      <c r="G1172" s="16"/>
      <c r="H1172" s="16"/>
      <c r="I1172" s="16"/>
      <c r="J1172" s="16"/>
      <c r="K1172" s="16"/>
      <c r="L1172" s="16"/>
      <c r="M1172" s="26"/>
      <c r="N1172" s="26"/>
      <c r="O1172" s="16"/>
      <c r="P1172" s="1"/>
      <c r="Q1172" s="1"/>
      <c r="R1172" s="1"/>
      <c r="S1172" s="1"/>
      <c r="T1172" s="1"/>
      <c r="U1172" s="33"/>
      <c r="V1172" s="16"/>
      <c r="W1172" s="1"/>
      <c r="X1172" s="1"/>
    </row>
    <row r="1173" spans="1:24">
      <c r="A1173" s="1"/>
      <c r="B1173" s="16"/>
      <c r="C1173" s="16"/>
      <c r="D1173" s="16"/>
      <c r="E1173" s="16"/>
      <c r="F1173" s="16"/>
      <c r="G1173" s="16"/>
      <c r="H1173" s="16"/>
      <c r="I1173" s="16"/>
      <c r="J1173" s="16"/>
      <c r="K1173" s="16"/>
      <c r="L1173" s="16"/>
      <c r="M1173" s="26"/>
      <c r="N1173" s="26"/>
      <c r="O1173" s="16"/>
      <c r="P1173" s="1"/>
      <c r="Q1173" s="1"/>
      <c r="R1173" s="1"/>
      <c r="S1173" s="1"/>
      <c r="T1173" s="1"/>
      <c r="U1173" s="33"/>
      <c r="V1173" s="16"/>
      <c r="W1173" s="1"/>
      <c r="X1173" s="1"/>
    </row>
    <row r="1174" spans="1:24">
      <c r="A1174" s="1"/>
      <c r="B1174" s="16"/>
      <c r="C1174" s="16"/>
      <c r="D1174" s="16"/>
      <c r="E1174" s="16"/>
      <c r="F1174" s="16"/>
      <c r="G1174" s="16"/>
      <c r="H1174" s="16"/>
      <c r="I1174" s="16"/>
      <c r="J1174" s="16"/>
      <c r="K1174" s="16"/>
      <c r="L1174" s="16"/>
      <c r="M1174" s="26"/>
      <c r="N1174" s="26"/>
      <c r="O1174" s="16"/>
      <c r="P1174" s="1"/>
      <c r="Q1174" s="1"/>
      <c r="R1174" s="1"/>
      <c r="S1174" s="1"/>
      <c r="T1174" s="1"/>
      <c r="U1174" s="33"/>
      <c r="V1174" s="16"/>
      <c r="W1174" s="1"/>
      <c r="X1174" s="1"/>
    </row>
    <row r="1175" spans="1:24">
      <c r="A1175" s="1"/>
      <c r="B1175" s="16"/>
      <c r="C1175" s="16"/>
      <c r="D1175" s="16"/>
      <c r="E1175" s="16"/>
      <c r="F1175" s="16"/>
      <c r="G1175" s="16"/>
      <c r="H1175" s="16"/>
      <c r="I1175" s="16"/>
      <c r="J1175" s="16"/>
      <c r="K1175" s="16"/>
      <c r="L1175" s="16"/>
      <c r="M1175" s="26"/>
      <c r="N1175" s="26"/>
      <c r="O1175" s="16"/>
      <c r="P1175" s="1"/>
      <c r="Q1175" s="1"/>
      <c r="R1175" s="1"/>
      <c r="S1175" s="1"/>
      <c r="T1175" s="1"/>
      <c r="U1175" s="33"/>
      <c r="V1175" s="16"/>
      <c r="W1175" s="1"/>
      <c r="X1175" s="1"/>
    </row>
    <row r="1176" spans="1:24">
      <c r="A1176" s="1"/>
      <c r="B1176" s="16"/>
      <c r="C1176" s="16"/>
      <c r="D1176" s="16"/>
      <c r="E1176" s="16"/>
      <c r="F1176" s="16"/>
      <c r="G1176" s="16"/>
      <c r="H1176" s="16"/>
      <c r="I1176" s="16"/>
      <c r="J1176" s="16"/>
      <c r="K1176" s="16"/>
      <c r="L1176" s="16"/>
      <c r="M1176" s="26"/>
      <c r="N1176" s="26"/>
      <c r="O1176" s="16"/>
      <c r="P1176" s="1"/>
      <c r="Q1176" s="1"/>
      <c r="R1176" s="1"/>
      <c r="S1176" s="1"/>
      <c r="T1176" s="1"/>
      <c r="U1176" s="33"/>
      <c r="V1176" s="16"/>
      <c r="W1176" s="1"/>
      <c r="X1176" s="1"/>
    </row>
    <row r="1177" spans="1:24">
      <c r="A1177" s="1"/>
      <c r="B1177" s="16"/>
      <c r="C1177" s="16"/>
      <c r="D1177" s="16"/>
      <c r="E1177" s="16"/>
      <c r="F1177" s="16"/>
      <c r="G1177" s="16"/>
      <c r="H1177" s="16"/>
      <c r="I1177" s="16"/>
      <c r="J1177" s="16"/>
      <c r="K1177" s="16"/>
      <c r="L1177" s="16"/>
      <c r="M1177" s="26"/>
      <c r="N1177" s="26"/>
      <c r="O1177" s="16"/>
      <c r="P1177" s="1"/>
      <c r="Q1177" s="1"/>
      <c r="R1177" s="1"/>
      <c r="S1177" s="1"/>
      <c r="T1177" s="1"/>
      <c r="U1177" s="33"/>
      <c r="V1177" s="16"/>
      <c r="W1177" s="1"/>
      <c r="X1177" s="1"/>
    </row>
    <row r="1178" spans="1:24">
      <c r="A1178" s="1"/>
      <c r="B1178" s="16"/>
      <c r="C1178" s="16"/>
      <c r="D1178" s="16"/>
      <c r="E1178" s="16"/>
      <c r="F1178" s="16"/>
      <c r="G1178" s="16"/>
      <c r="H1178" s="16"/>
      <c r="I1178" s="16"/>
      <c r="J1178" s="16"/>
      <c r="K1178" s="16"/>
      <c r="L1178" s="16"/>
      <c r="M1178" s="26"/>
      <c r="N1178" s="26"/>
      <c r="O1178" s="16"/>
      <c r="P1178" s="1"/>
      <c r="Q1178" s="1"/>
      <c r="R1178" s="1"/>
      <c r="S1178" s="1"/>
      <c r="T1178" s="1"/>
      <c r="U1178" s="33"/>
      <c r="V1178" s="16"/>
      <c r="W1178" s="1"/>
      <c r="X1178" s="1"/>
    </row>
    <row r="1179" spans="1:24">
      <c r="A1179" s="1"/>
      <c r="B1179" s="16"/>
      <c r="C1179" s="16"/>
      <c r="D1179" s="16"/>
      <c r="E1179" s="16"/>
      <c r="F1179" s="16"/>
      <c r="G1179" s="16"/>
      <c r="H1179" s="16"/>
      <c r="I1179" s="16"/>
      <c r="J1179" s="16"/>
      <c r="K1179" s="16"/>
      <c r="L1179" s="16"/>
      <c r="M1179" s="26"/>
      <c r="N1179" s="26"/>
      <c r="O1179" s="16"/>
      <c r="P1179" s="1"/>
      <c r="Q1179" s="1"/>
      <c r="R1179" s="1"/>
      <c r="S1179" s="1"/>
      <c r="T1179" s="1"/>
      <c r="U1179" s="33"/>
      <c r="V1179" s="16"/>
      <c r="W1179" s="1"/>
      <c r="X1179" s="1"/>
    </row>
    <row r="1180" spans="1:24">
      <c r="A1180" s="1"/>
      <c r="B1180" s="16"/>
      <c r="C1180" s="16"/>
      <c r="D1180" s="16"/>
      <c r="E1180" s="16"/>
      <c r="F1180" s="16"/>
      <c r="G1180" s="16"/>
      <c r="H1180" s="16"/>
      <c r="I1180" s="16"/>
      <c r="J1180" s="16"/>
      <c r="K1180" s="16"/>
      <c r="L1180" s="16"/>
      <c r="M1180" s="26"/>
      <c r="N1180" s="26"/>
      <c r="O1180" s="16"/>
      <c r="P1180" s="1"/>
      <c r="Q1180" s="1"/>
      <c r="R1180" s="1"/>
      <c r="S1180" s="1"/>
      <c r="T1180" s="1"/>
      <c r="U1180" s="33"/>
      <c r="V1180" s="16"/>
      <c r="W1180" s="1"/>
      <c r="X1180" s="1"/>
    </row>
    <row r="1181" spans="1:24">
      <c r="A1181" s="1"/>
      <c r="B1181" s="16"/>
      <c r="C1181" s="16"/>
      <c r="D1181" s="16"/>
      <c r="E1181" s="16"/>
      <c r="F1181" s="16"/>
      <c r="G1181" s="16"/>
      <c r="H1181" s="16"/>
      <c r="I1181" s="16"/>
      <c r="J1181" s="16"/>
      <c r="K1181" s="16"/>
      <c r="L1181" s="16"/>
      <c r="M1181" s="26"/>
      <c r="N1181" s="26"/>
      <c r="O1181" s="16"/>
      <c r="P1181" s="1"/>
      <c r="Q1181" s="1"/>
      <c r="R1181" s="1"/>
      <c r="S1181" s="1"/>
      <c r="T1181" s="1"/>
      <c r="U1181" s="33"/>
      <c r="V1181" s="16"/>
      <c r="W1181" s="1"/>
      <c r="X1181" s="1"/>
    </row>
    <row r="1182" spans="1:24">
      <c r="A1182" s="1"/>
      <c r="B1182" s="16"/>
      <c r="C1182" s="16"/>
      <c r="D1182" s="16"/>
      <c r="E1182" s="16"/>
      <c r="F1182" s="16"/>
      <c r="G1182" s="16"/>
      <c r="H1182" s="16"/>
      <c r="I1182" s="16"/>
      <c r="J1182" s="16"/>
      <c r="K1182" s="16"/>
      <c r="L1182" s="16"/>
      <c r="M1182" s="26"/>
      <c r="N1182" s="26"/>
      <c r="O1182" s="16"/>
      <c r="P1182" s="1"/>
      <c r="Q1182" s="1"/>
      <c r="R1182" s="1"/>
      <c r="S1182" s="1"/>
      <c r="T1182" s="1"/>
      <c r="U1182" s="33"/>
      <c r="V1182" s="16"/>
      <c r="W1182" s="1"/>
      <c r="X1182" s="1"/>
    </row>
    <row r="1183" spans="1:24">
      <c r="A1183" s="1"/>
      <c r="B1183" s="16"/>
      <c r="C1183" s="16"/>
      <c r="D1183" s="16"/>
      <c r="E1183" s="16"/>
      <c r="F1183" s="16"/>
      <c r="G1183" s="16"/>
      <c r="H1183" s="16"/>
      <c r="I1183" s="16"/>
      <c r="J1183" s="16"/>
      <c r="K1183" s="16"/>
      <c r="L1183" s="16"/>
      <c r="M1183" s="26"/>
      <c r="N1183" s="26"/>
      <c r="O1183" s="16"/>
      <c r="P1183" s="1"/>
      <c r="Q1183" s="1"/>
      <c r="R1183" s="1"/>
      <c r="S1183" s="1"/>
      <c r="T1183" s="1"/>
      <c r="U1183" s="33"/>
      <c r="V1183" s="16"/>
      <c r="W1183" s="1"/>
      <c r="X1183" s="1"/>
    </row>
    <row r="1184" spans="1:24">
      <c r="A1184" s="1"/>
      <c r="B1184" s="16"/>
      <c r="C1184" s="16"/>
      <c r="D1184" s="16"/>
      <c r="E1184" s="16"/>
      <c r="F1184" s="16"/>
      <c r="G1184" s="16"/>
      <c r="H1184" s="16"/>
      <c r="I1184" s="16"/>
      <c r="J1184" s="16"/>
      <c r="K1184" s="16"/>
      <c r="L1184" s="16"/>
      <c r="M1184" s="26"/>
      <c r="N1184" s="26"/>
      <c r="O1184" s="16"/>
      <c r="P1184" s="1"/>
      <c r="Q1184" s="1"/>
      <c r="R1184" s="1"/>
      <c r="S1184" s="1"/>
      <c r="T1184" s="1"/>
      <c r="U1184" s="33"/>
      <c r="V1184" s="16"/>
      <c r="W1184" s="1"/>
      <c r="X1184" s="1"/>
    </row>
    <row r="1185" spans="1:24">
      <c r="A1185" s="1"/>
      <c r="B1185" s="16"/>
      <c r="C1185" s="16"/>
      <c r="D1185" s="16"/>
      <c r="E1185" s="16"/>
      <c r="F1185" s="16"/>
      <c r="G1185" s="16"/>
      <c r="H1185" s="16"/>
      <c r="I1185" s="16"/>
      <c r="J1185" s="16"/>
      <c r="K1185" s="16"/>
      <c r="L1185" s="16"/>
      <c r="M1185" s="26"/>
      <c r="N1185" s="26"/>
      <c r="O1185" s="16"/>
      <c r="P1185" s="1"/>
      <c r="Q1185" s="1"/>
      <c r="R1185" s="1"/>
      <c r="S1185" s="1"/>
      <c r="T1185" s="1"/>
      <c r="U1185" s="33"/>
      <c r="V1185" s="16"/>
      <c r="W1185" s="1"/>
      <c r="X1185" s="1"/>
    </row>
    <row r="1186" spans="1:24">
      <c r="A1186" s="1"/>
      <c r="B1186" s="16"/>
      <c r="C1186" s="16"/>
      <c r="D1186" s="16"/>
      <c r="E1186" s="16"/>
      <c r="F1186" s="16"/>
      <c r="G1186" s="16"/>
      <c r="H1186" s="16"/>
      <c r="I1186" s="16"/>
      <c r="J1186" s="16"/>
      <c r="K1186" s="16"/>
      <c r="L1186" s="16"/>
      <c r="M1186" s="26"/>
      <c r="N1186" s="26"/>
      <c r="O1186" s="16"/>
      <c r="P1186" s="1"/>
      <c r="Q1186" s="1"/>
      <c r="R1186" s="1"/>
      <c r="S1186" s="1"/>
      <c r="T1186" s="1"/>
      <c r="U1186" s="33"/>
      <c r="V1186" s="16"/>
      <c r="W1186" s="1"/>
      <c r="X1186" s="1"/>
    </row>
    <row r="1187" spans="1:24">
      <c r="A1187" s="1"/>
      <c r="B1187" s="16"/>
      <c r="C1187" s="16"/>
      <c r="D1187" s="16"/>
      <c r="E1187" s="16"/>
      <c r="F1187" s="16"/>
      <c r="G1187" s="16"/>
      <c r="H1187" s="16"/>
      <c r="I1187" s="16"/>
      <c r="J1187" s="16"/>
      <c r="K1187" s="16"/>
      <c r="L1187" s="16"/>
      <c r="M1187" s="26"/>
      <c r="N1187" s="26"/>
      <c r="O1187" s="16"/>
      <c r="P1187" s="1"/>
      <c r="Q1187" s="1"/>
      <c r="R1187" s="1"/>
      <c r="S1187" s="1"/>
      <c r="T1187" s="1"/>
      <c r="U1187" s="33"/>
      <c r="V1187" s="16"/>
      <c r="W1187" s="1"/>
      <c r="X1187" s="1"/>
    </row>
    <row r="1188" spans="1:24">
      <c r="A1188" s="1"/>
      <c r="B1188" s="16"/>
      <c r="C1188" s="16"/>
      <c r="D1188" s="16"/>
      <c r="E1188" s="16"/>
      <c r="F1188" s="16"/>
      <c r="G1188" s="16"/>
      <c r="H1188" s="16"/>
      <c r="I1188" s="16"/>
      <c r="J1188" s="16"/>
      <c r="K1188" s="16"/>
      <c r="L1188" s="16"/>
      <c r="M1188" s="26"/>
      <c r="N1188" s="26"/>
      <c r="O1188" s="16"/>
      <c r="P1188" s="1"/>
      <c r="Q1188" s="1"/>
      <c r="R1188" s="1"/>
      <c r="S1188" s="1"/>
      <c r="T1188" s="1"/>
      <c r="U1188" s="33"/>
      <c r="V1188" s="16"/>
      <c r="W1188" s="1"/>
      <c r="X1188" s="1"/>
    </row>
    <row r="1189" spans="1:24">
      <c r="A1189" s="1"/>
      <c r="B1189" s="16"/>
      <c r="C1189" s="16"/>
      <c r="D1189" s="16"/>
      <c r="E1189" s="16"/>
      <c r="F1189" s="16"/>
      <c r="G1189" s="16"/>
      <c r="H1189" s="16"/>
      <c r="I1189" s="16"/>
      <c r="J1189" s="16"/>
      <c r="K1189" s="16"/>
      <c r="L1189" s="16"/>
      <c r="M1189" s="26"/>
      <c r="N1189" s="26"/>
      <c r="O1189" s="16"/>
      <c r="P1189" s="1"/>
      <c r="Q1189" s="1"/>
      <c r="R1189" s="1"/>
      <c r="S1189" s="1"/>
      <c r="T1189" s="1"/>
      <c r="U1189" s="33"/>
      <c r="V1189" s="16"/>
      <c r="W1189" s="1"/>
      <c r="X1189" s="1"/>
    </row>
    <row r="1190" spans="1:24">
      <c r="A1190" s="1"/>
      <c r="B1190" s="16"/>
      <c r="C1190" s="16"/>
      <c r="D1190" s="16"/>
      <c r="E1190" s="16"/>
      <c r="F1190" s="16"/>
      <c r="G1190" s="16"/>
      <c r="H1190" s="16"/>
      <c r="I1190" s="16"/>
      <c r="J1190" s="16"/>
      <c r="K1190" s="16"/>
      <c r="L1190" s="16"/>
      <c r="M1190" s="26"/>
      <c r="N1190" s="26"/>
      <c r="O1190" s="16"/>
      <c r="P1190" s="1"/>
      <c r="Q1190" s="1"/>
      <c r="R1190" s="1"/>
      <c r="S1190" s="1"/>
      <c r="T1190" s="1"/>
      <c r="U1190" s="33"/>
      <c r="V1190" s="16"/>
      <c r="W1190" s="1"/>
      <c r="X1190" s="1"/>
    </row>
    <row r="1191" spans="1:24">
      <c r="A1191" s="1"/>
      <c r="B1191" s="16"/>
      <c r="C1191" s="16"/>
      <c r="D1191" s="16"/>
      <c r="E1191" s="16"/>
      <c r="F1191" s="16"/>
      <c r="G1191" s="16"/>
      <c r="H1191" s="16"/>
      <c r="I1191" s="16"/>
      <c r="J1191" s="16"/>
      <c r="K1191" s="16"/>
      <c r="L1191" s="16"/>
      <c r="M1191" s="26"/>
      <c r="N1191" s="26"/>
      <c r="O1191" s="16"/>
      <c r="P1191" s="1"/>
      <c r="Q1191" s="1"/>
      <c r="R1191" s="1"/>
      <c r="S1191" s="1"/>
      <c r="T1191" s="1"/>
      <c r="U1191" s="33"/>
      <c r="V1191" s="16"/>
      <c r="W1191" s="1"/>
      <c r="X1191" s="1"/>
    </row>
    <row r="1192" spans="1:24">
      <c r="A1192" s="1"/>
      <c r="B1192" s="16"/>
      <c r="C1192" s="16"/>
      <c r="D1192" s="16"/>
      <c r="E1192" s="16"/>
      <c r="F1192" s="16"/>
      <c r="G1192" s="16"/>
      <c r="H1192" s="16"/>
      <c r="I1192" s="16"/>
      <c r="J1192" s="16"/>
      <c r="K1192" s="16"/>
      <c r="L1192" s="16"/>
      <c r="M1192" s="26"/>
      <c r="N1192" s="26"/>
      <c r="O1192" s="16"/>
      <c r="P1192" s="1"/>
      <c r="Q1192" s="1"/>
      <c r="R1192" s="1"/>
      <c r="S1192" s="1"/>
      <c r="T1192" s="1"/>
      <c r="U1192" s="33"/>
      <c r="V1192" s="16"/>
      <c r="W1192" s="1"/>
      <c r="X1192" s="1"/>
    </row>
    <row r="1193" spans="1:24">
      <c r="A1193" s="1"/>
      <c r="B1193" s="16"/>
      <c r="C1193" s="16"/>
      <c r="D1193" s="16"/>
      <c r="E1193" s="16"/>
      <c r="F1193" s="16"/>
      <c r="G1193" s="16"/>
      <c r="H1193" s="16"/>
      <c r="I1193" s="16"/>
      <c r="J1193" s="16"/>
      <c r="K1193" s="16"/>
      <c r="L1193" s="16"/>
      <c r="M1193" s="26"/>
      <c r="N1193" s="26"/>
      <c r="O1193" s="16"/>
      <c r="P1193" s="1"/>
      <c r="Q1193" s="1"/>
      <c r="R1193" s="1"/>
      <c r="S1193" s="1"/>
      <c r="T1193" s="1"/>
      <c r="U1193" s="33"/>
      <c r="V1193" s="16"/>
      <c r="W1193" s="1"/>
      <c r="X1193" s="1"/>
    </row>
    <row r="1194" spans="1:24">
      <c r="A1194" s="1"/>
      <c r="B1194" s="16"/>
      <c r="C1194" s="16"/>
      <c r="D1194" s="16"/>
      <c r="E1194" s="16"/>
      <c r="F1194" s="16"/>
      <c r="G1194" s="16"/>
      <c r="H1194" s="16"/>
      <c r="I1194" s="16"/>
      <c r="J1194" s="16"/>
      <c r="K1194" s="16"/>
      <c r="L1194" s="16"/>
      <c r="M1194" s="26"/>
      <c r="N1194" s="26"/>
      <c r="O1194" s="16"/>
      <c r="P1194" s="1"/>
      <c r="Q1194" s="1"/>
      <c r="R1194" s="1"/>
      <c r="S1194" s="1"/>
      <c r="T1194" s="1"/>
      <c r="U1194" s="33"/>
      <c r="V1194" s="16"/>
      <c r="W1194" s="1"/>
      <c r="X1194" s="1"/>
    </row>
    <row r="1195" spans="1:24">
      <c r="A1195" s="1"/>
      <c r="B1195" s="16"/>
      <c r="C1195" s="16"/>
      <c r="D1195" s="16"/>
      <c r="E1195" s="16"/>
      <c r="F1195" s="16"/>
      <c r="G1195" s="16"/>
      <c r="H1195" s="16"/>
      <c r="I1195" s="16"/>
      <c r="J1195" s="16"/>
      <c r="K1195" s="16"/>
      <c r="L1195" s="16"/>
      <c r="M1195" s="26"/>
      <c r="N1195" s="26"/>
      <c r="O1195" s="16"/>
      <c r="P1195" s="1"/>
      <c r="Q1195" s="1"/>
      <c r="R1195" s="1"/>
      <c r="S1195" s="1"/>
      <c r="T1195" s="1"/>
      <c r="U1195" s="33"/>
      <c r="V1195" s="16"/>
      <c r="W1195" s="1"/>
      <c r="X1195" s="1"/>
    </row>
    <row r="1196" spans="1:24">
      <c r="A1196" s="1"/>
      <c r="B1196" s="16"/>
      <c r="C1196" s="16"/>
      <c r="D1196" s="16"/>
      <c r="E1196" s="16"/>
      <c r="F1196" s="16"/>
      <c r="G1196" s="16"/>
      <c r="H1196" s="16"/>
      <c r="I1196" s="16"/>
      <c r="J1196" s="16"/>
      <c r="K1196" s="16"/>
      <c r="L1196" s="16"/>
      <c r="M1196" s="26"/>
      <c r="N1196" s="26"/>
      <c r="O1196" s="16"/>
      <c r="P1196" s="1"/>
      <c r="Q1196" s="1"/>
      <c r="R1196" s="1"/>
      <c r="S1196" s="1"/>
      <c r="T1196" s="1"/>
      <c r="U1196" s="33"/>
      <c r="V1196" s="16"/>
      <c r="W1196" s="1"/>
      <c r="X1196" s="1"/>
    </row>
    <row r="1197" spans="1:24">
      <c r="A1197" s="1"/>
      <c r="B1197" s="16"/>
      <c r="C1197" s="16"/>
      <c r="D1197" s="16"/>
      <c r="E1197" s="16"/>
      <c r="F1197" s="16"/>
      <c r="G1197" s="16"/>
      <c r="H1197" s="16"/>
      <c r="I1197" s="16"/>
      <c r="J1197" s="16"/>
      <c r="K1197" s="16"/>
      <c r="L1197" s="16"/>
      <c r="M1197" s="26"/>
      <c r="N1197" s="26"/>
      <c r="O1197" s="16"/>
      <c r="P1197" s="1"/>
      <c r="Q1197" s="1"/>
      <c r="R1197" s="1"/>
      <c r="S1197" s="1"/>
      <c r="T1197" s="1"/>
      <c r="U1197" s="33"/>
      <c r="V1197" s="16"/>
      <c r="W1197" s="1"/>
      <c r="X1197" s="1"/>
    </row>
    <row r="1198" spans="1:24">
      <c r="A1198" s="1"/>
      <c r="B1198" s="16"/>
      <c r="C1198" s="16"/>
      <c r="D1198" s="16"/>
      <c r="E1198" s="16"/>
      <c r="F1198" s="16"/>
      <c r="G1198" s="16"/>
      <c r="H1198" s="16"/>
      <c r="I1198" s="16"/>
      <c r="J1198" s="16"/>
      <c r="K1198" s="16"/>
      <c r="L1198" s="16"/>
      <c r="M1198" s="26"/>
      <c r="N1198" s="26"/>
      <c r="O1198" s="16"/>
      <c r="P1198" s="1"/>
      <c r="Q1198" s="1"/>
      <c r="R1198" s="1"/>
      <c r="S1198" s="1"/>
      <c r="T1198" s="1"/>
      <c r="U1198" s="33"/>
      <c r="V1198" s="16"/>
      <c r="W1198" s="1"/>
      <c r="X1198" s="1"/>
    </row>
    <row r="1199" spans="1:24">
      <c r="A1199" s="1"/>
      <c r="B1199" s="16"/>
      <c r="C1199" s="16"/>
      <c r="D1199" s="16"/>
      <c r="E1199" s="16"/>
      <c r="F1199" s="16"/>
      <c r="G1199" s="16"/>
      <c r="H1199" s="16"/>
      <c r="I1199" s="16"/>
      <c r="J1199" s="16"/>
      <c r="K1199" s="16"/>
      <c r="L1199" s="16"/>
      <c r="M1199" s="26"/>
      <c r="N1199" s="26"/>
      <c r="O1199" s="16"/>
      <c r="P1199" s="1"/>
      <c r="Q1199" s="1"/>
      <c r="R1199" s="1"/>
      <c r="S1199" s="1"/>
      <c r="T1199" s="1"/>
      <c r="U1199" s="33"/>
      <c r="V1199" s="16"/>
      <c r="W1199" s="1"/>
      <c r="X1199" s="1"/>
    </row>
    <row r="1200" spans="1:24">
      <c r="A1200" s="1"/>
      <c r="B1200" s="16"/>
      <c r="C1200" s="16"/>
      <c r="D1200" s="16"/>
      <c r="E1200" s="16"/>
      <c r="F1200" s="16"/>
      <c r="G1200" s="16"/>
      <c r="H1200" s="16"/>
      <c r="I1200" s="16"/>
      <c r="J1200" s="16"/>
      <c r="K1200" s="16"/>
      <c r="L1200" s="16"/>
      <c r="M1200" s="26"/>
      <c r="N1200" s="26"/>
      <c r="O1200" s="16"/>
      <c r="P1200" s="1"/>
      <c r="Q1200" s="1"/>
      <c r="R1200" s="1"/>
      <c r="S1200" s="1"/>
      <c r="T1200" s="1"/>
      <c r="U1200" s="33"/>
      <c r="V1200" s="16"/>
      <c r="W1200" s="1"/>
      <c r="X1200" s="1"/>
    </row>
    <row r="1201" spans="1:24">
      <c r="A1201" s="1"/>
      <c r="B1201" s="16"/>
      <c r="C1201" s="16"/>
      <c r="D1201" s="16"/>
      <c r="E1201" s="16"/>
      <c r="F1201" s="16"/>
      <c r="G1201" s="16"/>
      <c r="H1201" s="16"/>
      <c r="I1201" s="16"/>
      <c r="J1201" s="16"/>
      <c r="K1201" s="16"/>
      <c r="L1201" s="16"/>
      <c r="M1201" s="26"/>
      <c r="N1201" s="26"/>
      <c r="O1201" s="16"/>
      <c r="P1201" s="1"/>
      <c r="Q1201" s="1"/>
      <c r="R1201" s="1"/>
      <c r="S1201" s="1"/>
      <c r="T1201" s="1"/>
      <c r="U1201" s="33"/>
      <c r="V1201" s="16"/>
      <c r="W1201" s="1"/>
      <c r="X1201" s="1"/>
    </row>
    <row r="1202" spans="1:24">
      <c r="A1202" s="1"/>
      <c r="B1202" s="16"/>
      <c r="C1202" s="16"/>
      <c r="D1202" s="16"/>
      <c r="E1202" s="16"/>
      <c r="F1202" s="16"/>
      <c r="G1202" s="16"/>
      <c r="H1202" s="16"/>
      <c r="I1202" s="16"/>
      <c r="J1202" s="16"/>
      <c r="K1202" s="16"/>
      <c r="L1202" s="16"/>
      <c r="M1202" s="26"/>
      <c r="N1202" s="26"/>
      <c r="O1202" s="16"/>
      <c r="P1202" s="1"/>
      <c r="Q1202" s="1"/>
      <c r="R1202" s="1"/>
      <c r="S1202" s="1"/>
      <c r="T1202" s="1"/>
      <c r="U1202" s="33"/>
      <c r="V1202" s="16"/>
      <c r="W1202" s="1"/>
      <c r="X1202" s="1"/>
    </row>
    <row r="1203" spans="1:24">
      <c r="A1203" s="1"/>
      <c r="B1203" s="16"/>
      <c r="C1203" s="16"/>
      <c r="D1203" s="16"/>
      <c r="E1203" s="16"/>
      <c r="F1203" s="16"/>
      <c r="G1203" s="16"/>
      <c r="H1203" s="16"/>
      <c r="I1203" s="16"/>
      <c r="J1203" s="16"/>
      <c r="K1203" s="16"/>
      <c r="L1203" s="16"/>
      <c r="M1203" s="26"/>
      <c r="N1203" s="26"/>
      <c r="O1203" s="16"/>
      <c r="P1203" s="1"/>
      <c r="Q1203" s="1"/>
      <c r="R1203" s="1"/>
      <c r="S1203" s="1"/>
      <c r="T1203" s="1"/>
      <c r="U1203" s="33"/>
      <c r="V1203" s="16"/>
      <c r="W1203" s="1"/>
      <c r="X1203" s="1"/>
    </row>
    <row r="1204" spans="1:24">
      <c r="A1204" s="1"/>
      <c r="B1204" s="16"/>
      <c r="C1204" s="16"/>
      <c r="D1204" s="16"/>
      <c r="E1204" s="16"/>
      <c r="F1204" s="16"/>
      <c r="G1204" s="16"/>
      <c r="H1204" s="16"/>
      <c r="I1204" s="16"/>
      <c r="J1204" s="16"/>
      <c r="K1204" s="16"/>
      <c r="L1204" s="16"/>
      <c r="M1204" s="26"/>
      <c r="N1204" s="26"/>
      <c r="O1204" s="16"/>
      <c r="P1204" s="1"/>
      <c r="Q1204" s="1"/>
      <c r="R1204" s="1"/>
      <c r="S1204" s="1"/>
      <c r="T1204" s="1"/>
      <c r="U1204" s="33"/>
      <c r="V1204" s="16"/>
      <c r="W1204" s="1"/>
      <c r="X1204" s="1"/>
    </row>
    <row r="1205" spans="1:24">
      <c r="A1205" s="1"/>
      <c r="B1205" s="16"/>
      <c r="C1205" s="16"/>
      <c r="D1205" s="16"/>
      <c r="E1205" s="16"/>
      <c r="F1205" s="16"/>
      <c r="G1205" s="16"/>
      <c r="H1205" s="16"/>
      <c r="I1205" s="16"/>
      <c r="J1205" s="16"/>
      <c r="K1205" s="16"/>
      <c r="L1205" s="16"/>
      <c r="M1205" s="26"/>
      <c r="N1205" s="26"/>
      <c r="O1205" s="16"/>
      <c r="P1205" s="1"/>
      <c r="Q1205" s="1"/>
      <c r="R1205" s="1"/>
      <c r="S1205" s="1"/>
      <c r="T1205" s="1"/>
      <c r="U1205" s="33"/>
      <c r="V1205" s="16"/>
      <c r="W1205" s="1"/>
      <c r="X1205" s="1"/>
    </row>
    <row r="1206" spans="1:24">
      <c r="A1206" s="1"/>
      <c r="B1206" s="16"/>
      <c r="C1206" s="16"/>
      <c r="D1206" s="16"/>
      <c r="E1206" s="16"/>
      <c r="F1206" s="16"/>
      <c r="G1206" s="16"/>
      <c r="H1206" s="16"/>
      <c r="I1206" s="16"/>
      <c r="J1206" s="16"/>
      <c r="K1206" s="16"/>
      <c r="L1206" s="16"/>
      <c r="M1206" s="26"/>
      <c r="N1206" s="26"/>
      <c r="O1206" s="16"/>
      <c r="P1206" s="1"/>
      <c r="Q1206" s="1"/>
      <c r="R1206" s="1"/>
      <c r="S1206" s="1"/>
      <c r="T1206" s="1"/>
      <c r="U1206" s="33"/>
      <c r="V1206" s="16"/>
      <c r="W1206" s="1"/>
      <c r="X1206" s="1"/>
    </row>
    <row r="1207" spans="1:24">
      <c r="A1207" s="1"/>
      <c r="B1207" s="16"/>
      <c r="C1207" s="16"/>
      <c r="D1207" s="16"/>
      <c r="E1207" s="16"/>
      <c r="F1207" s="16"/>
      <c r="G1207" s="16"/>
      <c r="H1207" s="16"/>
      <c r="I1207" s="16"/>
      <c r="J1207" s="16"/>
      <c r="K1207" s="16"/>
      <c r="L1207" s="16"/>
      <c r="M1207" s="26"/>
      <c r="N1207" s="26"/>
      <c r="O1207" s="16"/>
      <c r="P1207" s="1"/>
      <c r="Q1207" s="1"/>
      <c r="R1207" s="1"/>
      <c r="S1207" s="1"/>
      <c r="T1207" s="1"/>
      <c r="U1207" s="33"/>
      <c r="V1207" s="16"/>
      <c r="W1207" s="1"/>
      <c r="X1207" s="1"/>
    </row>
    <row r="1208" spans="1:24">
      <c r="A1208" s="1"/>
      <c r="B1208" s="16"/>
      <c r="C1208" s="16"/>
      <c r="D1208" s="16"/>
      <c r="E1208" s="16"/>
      <c r="F1208" s="16"/>
      <c r="G1208" s="16"/>
      <c r="H1208" s="16"/>
      <c r="I1208" s="16"/>
      <c r="J1208" s="16"/>
      <c r="K1208" s="16"/>
      <c r="L1208" s="16"/>
      <c r="M1208" s="26"/>
      <c r="N1208" s="26"/>
      <c r="O1208" s="16"/>
      <c r="P1208" s="1"/>
      <c r="Q1208" s="1"/>
      <c r="R1208" s="1"/>
      <c r="S1208" s="1"/>
      <c r="T1208" s="1"/>
      <c r="U1208" s="33"/>
      <c r="V1208" s="16"/>
      <c r="W1208" s="1"/>
      <c r="X1208" s="1"/>
    </row>
    <row r="1209" spans="1:24">
      <c r="A1209" s="1"/>
      <c r="B1209" s="16"/>
      <c r="C1209" s="16"/>
      <c r="D1209" s="16"/>
      <c r="E1209" s="16"/>
      <c r="F1209" s="16"/>
      <c r="G1209" s="16"/>
      <c r="H1209" s="16"/>
      <c r="I1209" s="16"/>
      <c r="J1209" s="16"/>
      <c r="K1209" s="16"/>
      <c r="L1209" s="16"/>
      <c r="M1209" s="26"/>
      <c r="N1209" s="26"/>
      <c r="O1209" s="16"/>
      <c r="P1209" s="1"/>
      <c r="Q1209" s="1"/>
      <c r="R1209" s="1"/>
      <c r="S1209" s="1"/>
      <c r="T1209" s="1"/>
      <c r="U1209" s="33"/>
      <c r="V1209" s="16"/>
      <c r="W1209" s="1"/>
      <c r="X1209" s="1"/>
    </row>
    <row r="1210" spans="1:24">
      <c r="A1210" s="1"/>
      <c r="B1210" s="16"/>
      <c r="C1210" s="16"/>
      <c r="D1210" s="16"/>
      <c r="E1210" s="16"/>
      <c r="F1210" s="16"/>
      <c r="G1210" s="16"/>
      <c r="H1210" s="16"/>
      <c r="I1210" s="16"/>
      <c r="J1210" s="16"/>
      <c r="K1210" s="16"/>
      <c r="L1210" s="16"/>
      <c r="M1210" s="26"/>
      <c r="N1210" s="26"/>
      <c r="O1210" s="16"/>
      <c r="P1210" s="1"/>
      <c r="Q1210" s="1"/>
      <c r="R1210" s="1"/>
      <c r="S1210" s="1"/>
      <c r="T1210" s="1"/>
      <c r="U1210" s="33"/>
      <c r="V1210" s="16"/>
      <c r="W1210" s="1"/>
      <c r="X1210" s="1"/>
    </row>
    <row r="1211" spans="1:24">
      <c r="A1211" s="1"/>
      <c r="B1211" s="16"/>
      <c r="C1211" s="16"/>
      <c r="D1211" s="16"/>
      <c r="E1211" s="16"/>
      <c r="F1211" s="16"/>
      <c r="G1211" s="16"/>
      <c r="H1211" s="16"/>
      <c r="I1211" s="16"/>
      <c r="J1211" s="16"/>
      <c r="K1211" s="16"/>
      <c r="L1211" s="16"/>
      <c r="M1211" s="26"/>
      <c r="N1211" s="26"/>
      <c r="O1211" s="16"/>
      <c r="P1211" s="1"/>
      <c r="Q1211" s="1"/>
      <c r="R1211" s="1"/>
      <c r="S1211" s="1"/>
      <c r="T1211" s="1"/>
      <c r="U1211" s="33"/>
      <c r="V1211" s="16"/>
      <c r="W1211" s="1"/>
      <c r="X1211" s="1"/>
    </row>
    <row r="1212" spans="1:24">
      <c r="A1212" s="1"/>
      <c r="B1212" s="16"/>
      <c r="C1212" s="16"/>
      <c r="D1212" s="16"/>
      <c r="E1212" s="16"/>
      <c r="F1212" s="16"/>
      <c r="G1212" s="16"/>
      <c r="H1212" s="16"/>
      <c r="I1212" s="16"/>
      <c r="J1212" s="16"/>
      <c r="K1212" s="16"/>
      <c r="L1212" s="16"/>
      <c r="M1212" s="26"/>
      <c r="N1212" s="26"/>
      <c r="O1212" s="16"/>
      <c r="P1212" s="1"/>
      <c r="Q1212" s="1"/>
      <c r="R1212" s="1"/>
      <c r="S1212" s="1"/>
      <c r="T1212" s="1"/>
      <c r="U1212" s="33"/>
      <c r="V1212" s="16"/>
      <c r="W1212" s="1"/>
      <c r="X1212" s="1"/>
    </row>
    <row r="1213" spans="1:24">
      <c r="A1213" s="1"/>
      <c r="B1213" s="16"/>
      <c r="C1213" s="16"/>
      <c r="D1213" s="16"/>
      <c r="E1213" s="16"/>
      <c r="F1213" s="16"/>
      <c r="G1213" s="16"/>
      <c r="H1213" s="16"/>
      <c r="I1213" s="16"/>
      <c r="J1213" s="16"/>
      <c r="K1213" s="16"/>
      <c r="L1213" s="16"/>
      <c r="M1213" s="26"/>
      <c r="N1213" s="26"/>
      <c r="O1213" s="16"/>
      <c r="P1213" s="1"/>
      <c r="Q1213" s="1"/>
      <c r="R1213" s="1"/>
      <c r="S1213" s="1"/>
      <c r="T1213" s="1"/>
      <c r="U1213" s="33"/>
      <c r="V1213" s="16"/>
      <c r="W1213" s="1"/>
      <c r="X1213" s="1"/>
    </row>
    <row r="1214" spans="1:24">
      <c r="A1214" s="1"/>
      <c r="B1214" s="16"/>
      <c r="C1214" s="16"/>
      <c r="D1214" s="16"/>
      <c r="E1214" s="16"/>
      <c r="F1214" s="16"/>
      <c r="G1214" s="16"/>
      <c r="H1214" s="16"/>
      <c r="I1214" s="16"/>
      <c r="J1214" s="16"/>
      <c r="K1214" s="16"/>
      <c r="L1214" s="16"/>
      <c r="M1214" s="26"/>
      <c r="N1214" s="26"/>
      <c r="O1214" s="16"/>
      <c r="P1214" s="1"/>
      <c r="Q1214" s="1"/>
      <c r="R1214" s="1"/>
      <c r="S1214" s="1"/>
      <c r="T1214" s="1"/>
      <c r="U1214" s="33"/>
      <c r="V1214" s="16"/>
      <c r="W1214" s="1"/>
      <c r="X1214" s="1"/>
    </row>
    <row r="1215" spans="1:24">
      <c r="A1215" s="1"/>
      <c r="B1215" s="16"/>
      <c r="C1215" s="16"/>
      <c r="D1215" s="16"/>
      <c r="E1215" s="16"/>
      <c r="F1215" s="16"/>
      <c r="G1215" s="16"/>
      <c r="H1215" s="16"/>
      <c r="I1215" s="16"/>
      <c r="J1215" s="16"/>
      <c r="K1215" s="16"/>
      <c r="L1215" s="16"/>
      <c r="M1215" s="26"/>
      <c r="N1215" s="26"/>
      <c r="O1215" s="16"/>
      <c r="P1215" s="1"/>
      <c r="Q1215" s="1"/>
      <c r="R1215" s="1"/>
      <c r="S1215" s="1"/>
      <c r="T1215" s="1"/>
      <c r="U1215" s="33"/>
      <c r="V1215" s="16"/>
      <c r="W1215" s="1"/>
      <c r="X1215" s="1"/>
    </row>
    <row r="1216" spans="1:24">
      <c r="A1216" s="1"/>
      <c r="B1216" s="16"/>
      <c r="C1216" s="16"/>
      <c r="D1216" s="16"/>
      <c r="E1216" s="16"/>
      <c r="F1216" s="16"/>
      <c r="G1216" s="16"/>
      <c r="H1216" s="16"/>
      <c r="I1216" s="16"/>
      <c r="J1216" s="16"/>
      <c r="K1216" s="16"/>
      <c r="L1216" s="16"/>
      <c r="M1216" s="26"/>
      <c r="N1216" s="26"/>
      <c r="O1216" s="16"/>
      <c r="P1216" s="1"/>
      <c r="Q1216" s="1"/>
      <c r="R1216" s="1"/>
      <c r="S1216" s="1"/>
      <c r="T1216" s="1"/>
      <c r="U1216" s="33"/>
      <c r="V1216" s="16"/>
      <c r="W1216" s="1"/>
      <c r="X1216" s="1"/>
    </row>
    <row r="1217" spans="1:24">
      <c r="A1217" s="1"/>
      <c r="B1217" s="16"/>
      <c r="C1217" s="16"/>
      <c r="D1217" s="16"/>
      <c r="E1217" s="16"/>
      <c r="F1217" s="16"/>
      <c r="G1217" s="16"/>
      <c r="H1217" s="16"/>
      <c r="I1217" s="16"/>
      <c r="J1217" s="16"/>
      <c r="K1217" s="16"/>
      <c r="L1217" s="16"/>
      <c r="M1217" s="26"/>
      <c r="N1217" s="26"/>
      <c r="O1217" s="16"/>
      <c r="P1217" s="1"/>
      <c r="Q1217" s="1"/>
      <c r="R1217" s="1"/>
      <c r="S1217" s="1"/>
      <c r="T1217" s="1"/>
      <c r="U1217" s="33"/>
      <c r="V1217" s="16"/>
      <c r="W1217" s="1"/>
      <c r="X1217" s="1"/>
    </row>
    <row r="1218" spans="1:24">
      <c r="A1218" s="1"/>
      <c r="B1218" s="16"/>
      <c r="C1218" s="16"/>
      <c r="D1218" s="16"/>
      <c r="E1218" s="16"/>
      <c r="F1218" s="16"/>
      <c r="G1218" s="16"/>
      <c r="H1218" s="16"/>
      <c r="I1218" s="16"/>
      <c r="J1218" s="16"/>
      <c r="K1218" s="16"/>
      <c r="L1218" s="16"/>
      <c r="M1218" s="26"/>
      <c r="N1218" s="26"/>
      <c r="O1218" s="16"/>
      <c r="P1218" s="1"/>
      <c r="Q1218" s="1"/>
      <c r="R1218" s="1"/>
      <c r="S1218" s="1"/>
      <c r="T1218" s="1"/>
      <c r="U1218" s="33"/>
      <c r="V1218" s="16"/>
      <c r="W1218" s="1"/>
      <c r="X1218" s="1"/>
    </row>
    <row r="1219" spans="1:24">
      <c r="A1219" s="1"/>
      <c r="B1219" s="16"/>
      <c r="C1219" s="16"/>
      <c r="D1219" s="16"/>
      <c r="E1219" s="16"/>
      <c r="F1219" s="16"/>
      <c r="G1219" s="16"/>
      <c r="H1219" s="16"/>
      <c r="I1219" s="16"/>
      <c r="J1219" s="16"/>
      <c r="K1219" s="16"/>
      <c r="L1219" s="16"/>
      <c r="M1219" s="26"/>
      <c r="N1219" s="26"/>
      <c r="O1219" s="16"/>
      <c r="P1219" s="1"/>
      <c r="Q1219" s="1"/>
      <c r="R1219" s="1"/>
      <c r="S1219" s="1"/>
      <c r="T1219" s="1"/>
      <c r="U1219" s="33"/>
      <c r="V1219" s="16"/>
      <c r="W1219" s="1"/>
      <c r="X1219" s="1"/>
    </row>
    <row r="1220" spans="1:24">
      <c r="A1220" s="1"/>
      <c r="B1220" s="16"/>
      <c r="C1220" s="16"/>
      <c r="D1220" s="16"/>
      <c r="E1220" s="16"/>
      <c r="F1220" s="16"/>
      <c r="G1220" s="16"/>
      <c r="H1220" s="16"/>
      <c r="I1220" s="16"/>
      <c r="J1220" s="16"/>
      <c r="K1220" s="16"/>
      <c r="L1220" s="16"/>
      <c r="M1220" s="26"/>
      <c r="N1220" s="26"/>
      <c r="O1220" s="16"/>
      <c r="P1220" s="1"/>
      <c r="Q1220" s="1"/>
      <c r="R1220" s="1"/>
      <c r="S1220" s="1"/>
      <c r="T1220" s="1"/>
      <c r="U1220" s="33"/>
      <c r="V1220" s="16"/>
      <c r="W1220" s="1"/>
      <c r="X1220" s="1"/>
    </row>
    <row r="1221" spans="1:24">
      <c r="A1221" s="1"/>
      <c r="B1221" s="16"/>
      <c r="C1221" s="16"/>
      <c r="D1221" s="16"/>
      <c r="E1221" s="16"/>
      <c r="F1221" s="16"/>
      <c r="G1221" s="16"/>
      <c r="H1221" s="16"/>
      <c r="I1221" s="16"/>
      <c r="J1221" s="16"/>
      <c r="K1221" s="16"/>
      <c r="L1221" s="16"/>
      <c r="M1221" s="26"/>
      <c r="N1221" s="26"/>
      <c r="O1221" s="16"/>
      <c r="P1221" s="1"/>
      <c r="Q1221" s="1"/>
      <c r="R1221" s="1"/>
      <c r="S1221" s="1"/>
      <c r="T1221" s="1"/>
      <c r="U1221" s="33"/>
      <c r="V1221" s="16"/>
      <c r="W1221" s="1"/>
      <c r="X1221" s="1"/>
    </row>
    <row r="1222" spans="1:24">
      <c r="A1222" s="1"/>
      <c r="B1222" s="16"/>
      <c r="C1222" s="16"/>
      <c r="D1222" s="16"/>
      <c r="E1222" s="16"/>
      <c r="F1222" s="16"/>
      <c r="G1222" s="16"/>
      <c r="H1222" s="16"/>
      <c r="I1222" s="16"/>
      <c r="J1222" s="16"/>
      <c r="K1222" s="16"/>
      <c r="L1222" s="16"/>
      <c r="M1222" s="26"/>
      <c r="N1222" s="26"/>
      <c r="O1222" s="16"/>
      <c r="P1222" s="1"/>
      <c r="Q1222" s="1"/>
      <c r="R1222" s="1"/>
      <c r="S1222" s="1"/>
      <c r="T1222" s="1"/>
      <c r="U1222" s="33"/>
      <c r="V1222" s="16"/>
      <c r="W1222" s="1"/>
      <c r="X1222" s="1"/>
    </row>
    <row r="1223" spans="1:24">
      <c r="A1223" s="1"/>
      <c r="B1223" s="16"/>
      <c r="C1223" s="16"/>
      <c r="D1223" s="16"/>
      <c r="E1223" s="16"/>
      <c r="F1223" s="16"/>
      <c r="G1223" s="16"/>
      <c r="H1223" s="16"/>
      <c r="I1223" s="16"/>
      <c r="J1223" s="16"/>
      <c r="K1223" s="16"/>
      <c r="L1223" s="16"/>
      <c r="M1223" s="26"/>
      <c r="N1223" s="26"/>
      <c r="O1223" s="16"/>
      <c r="P1223" s="1"/>
      <c r="Q1223" s="1"/>
      <c r="R1223" s="1"/>
      <c r="S1223" s="1"/>
      <c r="T1223" s="1"/>
      <c r="U1223" s="33"/>
      <c r="V1223" s="16"/>
      <c r="W1223" s="1"/>
      <c r="X1223" s="1"/>
    </row>
    <row r="1224" spans="1:24">
      <c r="A1224" s="1"/>
      <c r="B1224" s="16"/>
      <c r="C1224" s="16"/>
      <c r="D1224" s="16"/>
      <c r="E1224" s="16"/>
      <c r="F1224" s="16"/>
      <c r="G1224" s="16"/>
      <c r="H1224" s="16"/>
      <c r="I1224" s="16"/>
      <c r="J1224" s="16"/>
      <c r="K1224" s="16"/>
      <c r="L1224" s="16"/>
      <c r="M1224" s="26"/>
      <c r="N1224" s="26"/>
      <c r="O1224" s="16"/>
      <c r="P1224" s="1"/>
      <c r="Q1224" s="1"/>
      <c r="R1224" s="1"/>
      <c r="S1224" s="1"/>
      <c r="T1224" s="1"/>
      <c r="U1224" s="33"/>
      <c r="V1224" s="16"/>
      <c r="W1224" s="1"/>
      <c r="X1224" s="1"/>
    </row>
    <row r="1225" spans="1:24">
      <c r="A1225" s="1"/>
      <c r="B1225" s="16"/>
      <c r="C1225" s="16"/>
      <c r="D1225" s="16"/>
      <c r="E1225" s="16"/>
      <c r="F1225" s="16"/>
      <c r="G1225" s="16"/>
      <c r="H1225" s="16"/>
      <c r="I1225" s="16"/>
      <c r="J1225" s="16"/>
      <c r="K1225" s="16"/>
      <c r="L1225" s="16"/>
      <c r="M1225" s="26"/>
      <c r="N1225" s="26"/>
      <c r="O1225" s="16"/>
      <c r="P1225" s="1"/>
      <c r="Q1225" s="1"/>
      <c r="R1225" s="1"/>
      <c r="S1225" s="1"/>
      <c r="T1225" s="1"/>
      <c r="U1225" s="33"/>
      <c r="V1225" s="16"/>
      <c r="W1225" s="1"/>
      <c r="X1225" s="1"/>
    </row>
    <row r="1226" spans="1:24">
      <c r="A1226" s="1"/>
      <c r="B1226" s="16"/>
      <c r="C1226" s="16"/>
      <c r="D1226" s="16"/>
      <c r="E1226" s="16"/>
      <c r="F1226" s="16"/>
      <c r="G1226" s="16"/>
      <c r="H1226" s="16"/>
      <c r="I1226" s="16"/>
      <c r="J1226" s="16"/>
      <c r="K1226" s="16"/>
      <c r="L1226" s="16"/>
      <c r="M1226" s="26"/>
      <c r="N1226" s="26"/>
      <c r="O1226" s="16"/>
      <c r="P1226" s="1"/>
      <c r="Q1226" s="1"/>
      <c r="R1226" s="1"/>
      <c r="S1226" s="1"/>
      <c r="T1226" s="1"/>
      <c r="U1226" s="33"/>
      <c r="V1226" s="16"/>
      <c r="W1226" s="1"/>
      <c r="X1226" s="1"/>
    </row>
    <row r="1227" spans="1:24">
      <c r="A1227" s="1"/>
      <c r="B1227" s="16"/>
      <c r="C1227" s="16"/>
      <c r="D1227" s="16"/>
      <c r="E1227" s="16"/>
      <c r="F1227" s="16"/>
      <c r="G1227" s="16"/>
      <c r="H1227" s="16"/>
      <c r="I1227" s="16"/>
      <c r="J1227" s="16"/>
      <c r="K1227" s="16"/>
      <c r="L1227" s="16"/>
      <c r="M1227" s="26"/>
      <c r="N1227" s="26"/>
      <c r="O1227" s="16"/>
      <c r="P1227" s="1"/>
      <c r="Q1227" s="1"/>
      <c r="R1227" s="1"/>
      <c r="S1227" s="1"/>
      <c r="T1227" s="1"/>
      <c r="U1227" s="33"/>
      <c r="V1227" s="16"/>
      <c r="W1227" s="1"/>
      <c r="X1227" s="1"/>
    </row>
    <row r="1228" spans="1:24">
      <c r="A1228" s="1"/>
      <c r="B1228" s="16"/>
      <c r="C1228" s="16"/>
      <c r="D1228" s="16"/>
      <c r="E1228" s="16"/>
      <c r="F1228" s="16"/>
      <c r="G1228" s="16"/>
      <c r="H1228" s="16"/>
      <c r="I1228" s="16"/>
      <c r="J1228" s="16"/>
      <c r="K1228" s="16"/>
      <c r="L1228" s="16"/>
      <c r="M1228" s="26"/>
      <c r="N1228" s="26"/>
      <c r="O1228" s="16"/>
      <c r="P1228" s="1"/>
      <c r="Q1228" s="1"/>
      <c r="R1228" s="1"/>
      <c r="S1228" s="1"/>
      <c r="T1228" s="1"/>
      <c r="U1228" s="33"/>
      <c r="V1228" s="16"/>
      <c r="W1228" s="1"/>
      <c r="X1228" s="1"/>
    </row>
    <row r="1229" spans="1:24">
      <c r="A1229" s="1"/>
      <c r="B1229" s="16"/>
      <c r="C1229" s="16"/>
      <c r="D1229" s="16"/>
      <c r="E1229" s="16"/>
      <c r="F1229" s="16"/>
      <c r="G1229" s="16"/>
      <c r="H1229" s="16"/>
      <c r="I1229" s="16"/>
      <c r="J1229" s="16"/>
      <c r="K1229" s="16"/>
      <c r="L1229" s="16"/>
      <c r="M1229" s="26"/>
      <c r="N1229" s="26"/>
      <c r="O1229" s="16"/>
      <c r="P1229" s="1"/>
      <c r="Q1229" s="1"/>
      <c r="R1229" s="1"/>
      <c r="S1229" s="1"/>
      <c r="T1229" s="1"/>
      <c r="U1229" s="33"/>
      <c r="V1229" s="16"/>
      <c r="W1229" s="1"/>
      <c r="X1229" s="1"/>
    </row>
    <row r="1230" spans="1:24">
      <c r="A1230" s="1"/>
      <c r="B1230" s="16"/>
      <c r="C1230" s="16"/>
      <c r="D1230" s="16"/>
      <c r="E1230" s="16"/>
      <c r="F1230" s="16"/>
      <c r="G1230" s="16"/>
      <c r="H1230" s="16"/>
      <c r="I1230" s="16"/>
      <c r="J1230" s="16"/>
      <c r="K1230" s="16"/>
      <c r="L1230" s="16"/>
      <c r="M1230" s="26"/>
      <c r="N1230" s="26"/>
      <c r="O1230" s="16"/>
      <c r="P1230" s="1"/>
      <c r="Q1230" s="1"/>
      <c r="R1230" s="1"/>
      <c r="S1230" s="1"/>
      <c r="T1230" s="1"/>
      <c r="U1230" s="33"/>
      <c r="V1230" s="16"/>
      <c r="W1230" s="1"/>
      <c r="X1230" s="1"/>
    </row>
    <row r="1231" spans="1:24">
      <c r="A1231" s="1"/>
      <c r="B1231" s="16"/>
      <c r="C1231" s="16"/>
      <c r="D1231" s="16"/>
      <c r="E1231" s="16"/>
      <c r="F1231" s="16"/>
      <c r="G1231" s="16"/>
      <c r="H1231" s="16"/>
      <c r="I1231" s="16"/>
      <c r="J1231" s="16"/>
      <c r="K1231" s="16"/>
      <c r="L1231" s="16"/>
      <c r="M1231" s="26"/>
      <c r="N1231" s="26"/>
      <c r="O1231" s="16"/>
      <c r="P1231" s="1"/>
      <c r="Q1231" s="1"/>
      <c r="R1231" s="1"/>
      <c r="S1231" s="1"/>
      <c r="T1231" s="1"/>
      <c r="U1231" s="33"/>
      <c r="V1231" s="16"/>
      <c r="W1231" s="1"/>
      <c r="X1231" s="1"/>
    </row>
    <row r="1232" spans="1:24">
      <c r="A1232" s="1"/>
      <c r="B1232" s="16"/>
      <c r="C1232" s="16"/>
      <c r="D1232" s="16"/>
      <c r="E1232" s="16"/>
      <c r="F1232" s="16"/>
      <c r="G1232" s="16"/>
      <c r="H1232" s="16"/>
      <c r="I1232" s="16"/>
      <c r="J1232" s="16"/>
      <c r="K1232" s="16"/>
      <c r="L1232" s="16"/>
      <c r="M1232" s="26"/>
      <c r="N1232" s="26"/>
      <c r="O1232" s="16"/>
      <c r="P1232" s="1"/>
      <c r="Q1232" s="1"/>
      <c r="R1232" s="1"/>
      <c r="S1232" s="1"/>
      <c r="T1232" s="1"/>
      <c r="U1232" s="33"/>
      <c r="V1232" s="16"/>
      <c r="W1232" s="1"/>
      <c r="X1232" s="1"/>
    </row>
    <row r="1233" spans="1:24">
      <c r="A1233" s="1"/>
      <c r="B1233" s="16"/>
      <c r="C1233" s="16"/>
      <c r="D1233" s="16"/>
      <c r="E1233" s="16"/>
      <c r="F1233" s="16"/>
      <c r="G1233" s="16"/>
      <c r="H1233" s="16"/>
      <c r="I1233" s="16"/>
      <c r="J1233" s="16"/>
      <c r="K1233" s="16"/>
      <c r="L1233" s="16"/>
      <c r="M1233" s="26"/>
      <c r="N1233" s="26"/>
      <c r="O1233" s="16"/>
      <c r="P1233" s="1"/>
      <c r="Q1233" s="1"/>
      <c r="R1233" s="1"/>
      <c r="S1233" s="1"/>
      <c r="T1233" s="1"/>
      <c r="U1233" s="33"/>
      <c r="V1233" s="16"/>
      <c r="W1233" s="1"/>
      <c r="X1233" s="1"/>
    </row>
    <row r="1234" spans="1:24">
      <c r="A1234" s="1"/>
      <c r="B1234" s="16"/>
      <c r="C1234" s="16"/>
      <c r="D1234" s="16"/>
      <c r="E1234" s="16"/>
      <c r="F1234" s="16"/>
      <c r="G1234" s="16"/>
      <c r="H1234" s="16"/>
      <c r="I1234" s="16"/>
      <c r="J1234" s="16"/>
      <c r="K1234" s="16"/>
      <c r="L1234" s="16"/>
      <c r="M1234" s="26"/>
      <c r="N1234" s="26"/>
      <c r="O1234" s="16"/>
      <c r="P1234" s="1"/>
      <c r="Q1234" s="1"/>
      <c r="R1234" s="1"/>
      <c r="S1234" s="1"/>
      <c r="T1234" s="1"/>
      <c r="U1234" s="33"/>
      <c r="V1234" s="16"/>
      <c r="W1234" s="1"/>
      <c r="X1234" s="1"/>
    </row>
    <row r="1235" spans="1:24">
      <c r="A1235" s="1"/>
      <c r="B1235" s="16"/>
      <c r="C1235" s="16"/>
      <c r="D1235" s="16"/>
      <c r="E1235" s="16"/>
      <c r="F1235" s="16"/>
      <c r="G1235" s="16"/>
      <c r="H1235" s="16"/>
      <c r="I1235" s="16"/>
      <c r="J1235" s="16"/>
      <c r="K1235" s="16"/>
      <c r="L1235" s="16"/>
      <c r="M1235" s="26"/>
      <c r="N1235" s="26"/>
      <c r="O1235" s="16"/>
      <c r="P1235" s="1"/>
      <c r="Q1235" s="1"/>
      <c r="R1235" s="1"/>
      <c r="S1235" s="1"/>
      <c r="T1235" s="1"/>
      <c r="U1235" s="33"/>
      <c r="V1235" s="16"/>
      <c r="W1235" s="1"/>
      <c r="X1235" s="1"/>
    </row>
    <row r="1236" spans="1:24">
      <c r="A1236" s="1"/>
      <c r="B1236" s="16"/>
      <c r="C1236" s="16"/>
      <c r="D1236" s="16"/>
      <c r="E1236" s="16"/>
      <c r="F1236" s="16"/>
      <c r="G1236" s="16"/>
      <c r="H1236" s="16"/>
      <c r="I1236" s="16"/>
      <c r="J1236" s="16"/>
      <c r="K1236" s="16"/>
      <c r="L1236" s="16"/>
      <c r="M1236" s="26"/>
      <c r="N1236" s="26"/>
      <c r="O1236" s="16"/>
      <c r="P1236" s="1"/>
      <c r="Q1236" s="1"/>
      <c r="R1236" s="1"/>
      <c r="S1236" s="1"/>
      <c r="T1236" s="1"/>
      <c r="U1236" s="33"/>
      <c r="V1236" s="16"/>
      <c r="W1236" s="1"/>
      <c r="X1236" s="1"/>
    </row>
    <row r="1237" spans="1:24">
      <c r="A1237" s="1"/>
      <c r="B1237" s="16"/>
      <c r="C1237" s="16"/>
      <c r="D1237" s="16"/>
      <c r="E1237" s="16"/>
      <c r="F1237" s="16"/>
      <c r="G1237" s="16"/>
      <c r="H1237" s="16"/>
      <c r="I1237" s="16"/>
      <c r="J1237" s="16"/>
      <c r="K1237" s="16"/>
      <c r="L1237" s="16"/>
      <c r="M1237" s="26"/>
      <c r="N1237" s="26"/>
      <c r="O1237" s="16"/>
      <c r="P1237" s="1"/>
      <c r="Q1237" s="1"/>
      <c r="R1237" s="1"/>
      <c r="S1237" s="1"/>
      <c r="T1237" s="1"/>
      <c r="U1237" s="33"/>
      <c r="V1237" s="16"/>
      <c r="W1237" s="1"/>
      <c r="X1237" s="1"/>
    </row>
    <row r="1238" spans="1:24">
      <c r="A1238" s="1"/>
      <c r="B1238" s="16"/>
      <c r="C1238" s="16"/>
      <c r="D1238" s="16"/>
      <c r="E1238" s="16"/>
      <c r="F1238" s="16"/>
      <c r="G1238" s="16"/>
      <c r="H1238" s="16"/>
      <c r="I1238" s="16"/>
      <c r="J1238" s="16"/>
      <c r="K1238" s="16"/>
      <c r="L1238" s="16"/>
      <c r="M1238" s="26"/>
      <c r="N1238" s="26"/>
      <c r="O1238" s="16"/>
      <c r="P1238" s="1"/>
      <c r="Q1238" s="1"/>
      <c r="R1238" s="1"/>
      <c r="S1238" s="1"/>
      <c r="T1238" s="1"/>
      <c r="U1238" s="33"/>
      <c r="V1238" s="16"/>
      <c r="W1238" s="1"/>
      <c r="X1238" s="1"/>
    </row>
    <row r="1239" spans="1:24">
      <c r="A1239" s="1"/>
      <c r="B1239" s="16"/>
      <c r="C1239" s="16"/>
      <c r="D1239" s="16"/>
      <c r="E1239" s="16"/>
      <c r="F1239" s="16"/>
      <c r="G1239" s="16"/>
      <c r="H1239" s="16"/>
      <c r="I1239" s="16"/>
      <c r="J1239" s="16"/>
      <c r="K1239" s="16"/>
      <c r="L1239" s="16"/>
      <c r="M1239" s="26"/>
      <c r="N1239" s="26"/>
      <c r="O1239" s="16"/>
      <c r="P1239" s="1"/>
      <c r="Q1239" s="1"/>
      <c r="R1239" s="1"/>
      <c r="S1239" s="1"/>
      <c r="T1239" s="1"/>
      <c r="U1239" s="33"/>
      <c r="V1239" s="16"/>
      <c r="W1239" s="1"/>
      <c r="X1239" s="1"/>
    </row>
    <row r="1240" spans="1:24">
      <c r="A1240" s="1"/>
      <c r="B1240" s="16"/>
      <c r="C1240" s="16"/>
      <c r="D1240" s="16"/>
      <c r="E1240" s="16"/>
      <c r="F1240" s="16"/>
      <c r="G1240" s="16"/>
      <c r="H1240" s="16"/>
      <c r="I1240" s="16"/>
      <c r="J1240" s="16"/>
      <c r="K1240" s="16"/>
      <c r="L1240" s="16"/>
      <c r="M1240" s="26"/>
      <c r="N1240" s="26"/>
      <c r="O1240" s="16"/>
      <c r="P1240" s="1"/>
      <c r="Q1240" s="1"/>
      <c r="R1240" s="1"/>
      <c r="S1240" s="1"/>
      <c r="T1240" s="1"/>
      <c r="U1240" s="33"/>
      <c r="V1240" s="16"/>
      <c r="W1240" s="1"/>
      <c r="X1240" s="1"/>
    </row>
    <row r="1241" spans="1:24">
      <c r="A1241" s="1"/>
      <c r="B1241" s="16"/>
      <c r="C1241" s="16"/>
      <c r="D1241" s="16"/>
      <c r="E1241" s="16"/>
      <c r="F1241" s="16"/>
      <c r="G1241" s="16"/>
      <c r="H1241" s="16"/>
      <c r="I1241" s="16"/>
      <c r="J1241" s="16"/>
      <c r="K1241" s="16"/>
      <c r="L1241" s="16"/>
      <c r="M1241" s="26"/>
      <c r="N1241" s="26"/>
      <c r="O1241" s="16"/>
      <c r="P1241" s="1"/>
      <c r="Q1241" s="1"/>
      <c r="R1241" s="1"/>
      <c r="S1241" s="1"/>
      <c r="T1241" s="1"/>
      <c r="U1241" s="33"/>
      <c r="V1241" s="16"/>
      <c r="W1241" s="1"/>
      <c r="X1241" s="1"/>
    </row>
    <row r="1242" spans="1:24">
      <c r="A1242" s="1"/>
      <c r="B1242" s="16"/>
      <c r="C1242" s="16"/>
      <c r="D1242" s="16"/>
      <c r="E1242" s="16"/>
      <c r="F1242" s="16"/>
      <c r="G1242" s="16"/>
      <c r="H1242" s="16"/>
      <c r="I1242" s="16"/>
      <c r="J1242" s="16"/>
      <c r="K1242" s="16"/>
      <c r="L1242" s="16"/>
      <c r="M1242" s="26"/>
      <c r="N1242" s="26"/>
      <c r="O1242" s="16"/>
      <c r="P1242" s="1"/>
      <c r="Q1242" s="1"/>
      <c r="R1242" s="1"/>
      <c r="S1242" s="1"/>
      <c r="T1242" s="1"/>
      <c r="U1242" s="33"/>
      <c r="V1242" s="16"/>
      <c r="W1242" s="1"/>
      <c r="X1242" s="1"/>
    </row>
    <row r="1243" spans="1:24">
      <c r="A1243" s="1"/>
      <c r="B1243" s="16"/>
      <c r="C1243" s="16"/>
      <c r="D1243" s="16"/>
      <c r="E1243" s="16"/>
      <c r="F1243" s="16"/>
      <c r="G1243" s="16"/>
      <c r="H1243" s="16"/>
      <c r="I1243" s="16"/>
      <c r="J1243" s="16"/>
      <c r="K1243" s="16"/>
      <c r="L1243" s="16"/>
      <c r="M1243" s="26"/>
      <c r="N1243" s="26"/>
      <c r="O1243" s="16"/>
      <c r="P1243" s="1"/>
      <c r="Q1243" s="1"/>
      <c r="R1243" s="1"/>
      <c r="S1243" s="1"/>
      <c r="T1243" s="1"/>
      <c r="U1243" s="33"/>
      <c r="V1243" s="16"/>
      <c r="W1243" s="1"/>
      <c r="X1243" s="1"/>
    </row>
    <row r="1244" spans="1:24">
      <c r="A1244" s="1"/>
      <c r="B1244" s="16"/>
      <c r="C1244" s="16"/>
      <c r="D1244" s="16"/>
      <c r="E1244" s="16"/>
      <c r="F1244" s="16"/>
      <c r="G1244" s="16"/>
      <c r="H1244" s="16"/>
      <c r="I1244" s="16"/>
      <c r="J1244" s="16"/>
      <c r="K1244" s="16"/>
      <c r="L1244" s="16"/>
      <c r="M1244" s="26"/>
      <c r="N1244" s="26"/>
      <c r="O1244" s="16"/>
      <c r="P1244" s="1"/>
      <c r="Q1244" s="1"/>
      <c r="R1244" s="1"/>
      <c r="S1244" s="1"/>
      <c r="T1244" s="1"/>
      <c r="U1244" s="33"/>
      <c r="V1244" s="16"/>
      <c r="W1244" s="1"/>
      <c r="X1244" s="1"/>
    </row>
    <row r="1245" spans="1:24">
      <c r="A1245" s="1"/>
      <c r="B1245" s="16"/>
      <c r="C1245" s="16"/>
      <c r="D1245" s="16"/>
      <c r="E1245" s="16"/>
      <c r="F1245" s="16"/>
      <c r="G1245" s="16"/>
      <c r="H1245" s="16"/>
      <c r="I1245" s="16"/>
      <c r="J1245" s="16"/>
      <c r="K1245" s="16"/>
      <c r="L1245" s="16"/>
      <c r="M1245" s="26"/>
      <c r="N1245" s="26"/>
      <c r="O1245" s="16"/>
      <c r="P1245" s="1"/>
      <c r="Q1245" s="1"/>
      <c r="R1245" s="1"/>
      <c r="S1245" s="1"/>
      <c r="T1245" s="1"/>
      <c r="U1245" s="33"/>
      <c r="V1245" s="16"/>
      <c r="W1245" s="1"/>
      <c r="X1245" s="1"/>
    </row>
    <row r="1246" spans="1:24">
      <c r="A1246" s="1"/>
      <c r="B1246" s="16"/>
      <c r="C1246" s="16"/>
      <c r="D1246" s="16"/>
      <c r="E1246" s="16"/>
      <c r="F1246" s="16"/>
      <c r="G1246" s="16"/>
      <c r="H1246" s="16"/>
      <c r="I1246" s="16"/>
      <c r="J1246" s="16"/>
      <c r="K1246" s="16"/>
      <c r="L1246" s="16"/>
      <c r="M1246" s="26"/>
      <c r="N1246" s="26"/>
      <c r="O1246" s="16"/>
      <c r="P1246" s="1"/>
      <c r="Q1246" s="1"/>
      <c r="R1246" s="1"/>
      <c r="S1246" s="1"/>
      <c r="T1246" s="1"/>
      <c r="U1246" s="33"/>
      <c r="V1246" s="16"/>
      <c r="W1246" s="1"/>
      <c r="X1246" s="1"/>
    </row>
    <row r="1247" spans="1:24">
      <c r="A1247" s="1"/>
      <c r="B1247" s="16"/>
      <c r="C1247" s="16"/>
      <c r="D1247" s="16"/>
      <c r="E1247" s="16"/>
      <c r="F1247" s="16"/>
      <c r="G1247" s="16"/>
      <c r="H1247" s="16"/>
      <c r="I1247" s="16"/>
      <c r="J1247" s="16"/>
      <c r="K1247" s="16"/>
      <c r="L1247" s="16"/>
      <c r="M1247" s="26"/>
      <c r="N1247" s="26"/>
      <c r="O1247" s="16"/>
      <c r="P1247" s="1"/>
      <c r="Q1247" s="1"/>
      <c r="R1247" s="1"/>
      <c r="S1247" s="1"/>
      <c r="T1247" s="1"/>
      <c r="U1247" s="33"/>
      <c r="V1247" s="16"/>
      <c r="W1247" s="1"/>
      <c r="X1247" s="1"/>
    </row>
    <row r="1248" spans="1:24">
      <c r="A1248" s="1"/>
      <c r="B1248" s="16"/>
      <c r="C1248" s="16"/>
      <c r="D1248" s="16"/>
      <c r="E1248" s="16"/>
      <c r="F1248" s="16"/>
      <c r="G1248" s="16"/>
      <c r="H1248" s="16"/>
      <c r="I1248" s="16"/>
      <c r="J1248" s="16"/>
      <c r="K1248" s="16"/>
      <c r="L1248" s="16"/>
      <c r="M1248" s="26"/>
      <c r="N1248" s="26"/>
      <c r="O1248" s="16"/>
      <c r="P1248" s="1"/>
      <c r="Q1248" s="1"/>
      <c r="R1248" s="1"/>
      <c r="S1248" s="1"/>
      <c r="T1248" s="1"/>
      <c r="U1248" s="33"/>
      <c r="V1248" s="16"/>
      <c r="W1248" s="1"/>
      <c r="X1248" s="1"/>
    </row>
    <row r="1249" spans="1:24">
      <c r="A1249" s="1"/>
      <c r="B1249" s="16"/>
      <c r="C1249" s="16"/>
      <c r="D1249" s="16"/>
      <c r="E1249" s="16"/>
      <c r="F1249" s="16"/>
      <c r="G1249" s="16"/>
      <c r="H1249" s="16"/>
      <c r="I1249" s="16"/>
      <c r="J1249" s="16"/>
      <c r="K1249" s="16"/>
      <c r="L1249" s="16"/>
      <c r="M1249" s="26"/>
      <c r="N1249" s="26"/>
      <c r="O1249" s="16"/>
      <c r="P1249" s="1"/>
      <c r="Q1249" s="1"/>
      <c r="R1249" s="1"/>
      <c r="S1249" s="1"/>
      <c r="T1249" s="1"/>
      <c r="U1249" s="33"/>
      <c r="V1249" s="16"/>
      <c r="W1249" s="1"/>
      <c r="X1249" s="1"/>
    </row>
    <row r="1250" spans="1:24">
      <c r="A1250" s="1"/>
      <c r="B1250" s="16"/>
      <c r="C1250" s="16"/>
      <c r="D1250" s="16"/>
      <c r="E1250" s="16"/>
      <c r="F1250" s="16"/>
      <c r="G1250" s="16"/>
      <c r="H1250" s="16"/>
      <c r="I1250" s="16"/>
      <c r="J1250" s="16"/>
      <c r="K1250" s="16"/>
      <c r="L1250" s="16"/>
      <c r="M1250" s="26"/>
      <c r="N1250" s="26"/>
      <c r="O1250" s="16"/>
      <c r="P1250" s="1"/>
      <c r="Q1250" s="1"/>
      <c r="R1250" s="1"/>
      <c r="S1250" s="1"/>
      <c r="T1250" s="1"/>
      <c r="U1250" s="33"/>
      <c r="V1250" s="16"/>
      <c r="W1250" s="1"/>
      <c r="X1250" s="1"/>
    </row>
    <row r="1251" spans="1:24">
      <c r="A1251" s="1"/>
      <c r="B1251" s="16"/>
      <c r="C1251" s="16"/>
      <c r="D1251" s="16"/>
      <c r="E1251" s="16"/>
      <c r="F1251" s="16"/>
      <c r="G1251" s="16"/>
      <c r="H1251" s="16"/>
      <c r="I1251" s="16"/>
      <c r="J1251" s="16"/>
      <c r="K1251" s="16"/>
      <c r="L1251" s="16"/>
      <c r="M1251" s="26"/>
      <c r="N1251" s="26"/>
      <c r="O1251" s="16"/>
      <c r="P1251" s="1"/>
      <c r="Q1251" s="1"/>
      <c r="R1251" s="1"/>
      <c r="S1251" s="1"/>
      <c r="T1251" s="1"/>
      <c r="U1251" s="33"/>
      <c r="V1251" s="16"/>
      <c r="W1251" s="1"/>
      <c r="X1251" s="1"/>
    </row>
    <row r="1252" spans="1:24">
      <c r="A1252" s="1"/>
      <c r="B1252" s="16"/>
      <c r="C1252" s="16"/>
      <c r="D1252" s="16"/>
      <c r="E1252" s="16"/>
      <c r="F1252" s="16"/>
      <c r="G1252" s="16"/>
      <c r="H1252" s="16"/>
      <c r="I1252" s="16"/>
      <c r="J1252" s="16"/>
      <c r="K1252" s="16"/>
      <c r="L1252" s="16"/>
      <c r="M1252" s="26"/>
      <c r="N1252" s="26"/>
      <c r="O1252" s="16"/>
      <c r="P1252" s="1"/>
      <c r="Q1252" s="1"/>
      <c r="R1252" s="1"/>
      <c r="S1252" s="1"/>
      <c r="T1252" s="1"/>
      <c r="U1252" s="33"/>
      <c r="V1252" s="16"/>
      <c r="W1252" s="1"/>
      <c r="X1252" s="1"/>
    </row>
    <row r="1253" spans="1:24">
      <c r="A1253" s="1"/>
      <c r="B1253" s="16"/>
      <c r="C1253" s="16"/>
      <c r="D1253" s="16"/>
      <c r="E1253" s="16"/>
      <c r="F1253" s="16"/>
      <c r="G1253" s="16"/>
      <c r="H1253" s="16"/>
      <c r="I1253" s="16"/>
      <c r="J1253" s="16"/>
      <c r="K1253" s="16"/>
      <c r="L1253" s="16"/>
      <c r="M1253" s="26"/>
      <c r="N1253" s="26"/>
      <c r="O1253" s="16"/>
      <c r="P1253" s="1"/>
      <c r="Q1253" s="1"/>
      <c r="R1253" s="1"/>
      <c r="S1253" s="1"/>
      <c r="T1253" s="1"/>
      <c r="U1253" s="33"/>
      <c r="V1253" s="16"/>
      <c r="W1253" s="1"/>
      <c r="X1253" s="1"/>
    </row>
    <row r="1254" spans="1:24">
      <c r="A1254" s="1"/>
      <c r="B1254" s="16"/>
      <c r="C1254" s="16"/>
      <c r="D1254" s="16"/>
      <c r="E1254" s="16"/>
      <c r="F1254" s="16"/>
      <c r="G1254" s="16"/>
      <c r="H1254" s="16"/>
      <c r="I1254" s="16"/>
      <c r="J1254" s="16"/>
      <c r="K1254" s="16"/>
      <c r="L1254" s="16"/>
      <c r="M1254" s="26"/>
      <c r="N1254" s="26"/>
      <c r="O1254" s="16"/>
      <c r="P1254" s="1"/>
      <c r="Q1254" s="1"/>
      <c r="R1254" s="1"/>
      <c r="S1254" s="1"/>
      <c r="T1254" s="1"/>
      <c r="U1254" s="33"/>
      <c r="V1254" s="16"/>
      <c r="W1254" s="1"/>
      <c r="X1254" s="1"/>
    </row>
    <row r="1255" spans="1:24">
      <c r="A1255" s="1"/>
      <c r="B1255" s="16"/>
      <c r="C1255" s="16"/>
      <c r="D1255" s="16"/>
      <c r="E1255" s="16"/>
      <c r="F1255" s="16"/>
      <c r="G1255" s="16"/>
      <c r="H1255" s="16"/>
      <c r="I1255" s="16"/>
      <c r="J1255" s="16"/>
      <c r="K1255" s="16"/>
      <c r="L1255" s="16"/>
      <c r="M1255" s="26"/>
      <c r="N1255" s="26"/>
      <c r="O1255" s="16"/>
      <c r="P1255" s="1"/>
      <c r="Q1255" s="1"/>
      <c r="R1255" s="1"/>
      <c r="S1255" s="1"/>
      <c r="T1255" s="1"/>
      <c r="U1255" s="33"/>
      <c r="V1255" s="16"/>
      <c r="W1255" s="1"/>
      <c r="X1255" s="1"/>
    </row>
    <row r="1256" spans="1:24">
      <c r="A1256" s="1"/>
      <c r="B1256" s="16"/>
      <c r="C1256" s="16"/>
      <c r="D1256" s="16"/>
      <c r="E1256" s="16"/>
      <c r="F1256" s="16"/>
      <c r="G1256" s="16"/>
      <c r="H1256" s="16"/>
      <c r="I1256" s="16"/>
      <c r="J1256" s="16"/>
      <c r="K1256" s="16"/>
      <c r="L1256" s="16"/>
      <c r="M1256" s="26"/>
      <c r="N1256" s="26"/>
      <c r="O1256" s="16"/>
      <c r="P1256" s="1"/>
      <c r="Q1256" s="1"/>
      <c r="R1256" s="1"/>
      <c r="S1256" s="1"/>
      <c r="T1256" s="1"/>
      <c r="U1256" s="33"/>
      <c r="V1256" s="16"/>
      <c r="W1256" s="1"/>
      <c r="X1256" s="1"/>
    </row>
    <row r="1257" spans="1:24">
      <c r="A1257" s="1"/>
      <c r="B1257" s="16"/>
      <c r="C1257" s="16"/>
      <c r="D1257" s="16"/>
      <c r="E1257" s="16"/>
      <c r="F1257" s="16"/>
      <c r="G1257" s="16"/>
      <c r="H1257" s="16"/>
      <c r="I1257" s="16"/>
      <c r="J1257" s="16"/>
      <c r="K1257" s="16"/>
      <c r="L1257" s="16"/>
      <c r="M1257" s="26"/>
      <c r="N1257" s="26"/>
      <c r="O1257" s="16"/>
      <c r="P1257" s="1"/>
      <c r="Q1257" s="1"/>
      <c r="R1257" s="1"/>
      <c r="S1257" s="1"/>
      <c r="T1257" s="1"/>
      <c r="U1257" s="33"/>
      <c r="V1257" s="16"/>
      <c r="W1257" s="1"/>
      <c r="X1257" s="1"/>
    </row>
    <row r="1258" spans="1:24">
      <c r="A1258" s="1"/>
      <c r="B1258" s="16"/>
      <c r="C1258" s="16"/>
      <c r="D1258" s="16"/>
      <c r="E1258" s="16"/>
      <c r="F1258" s="16"/>
      <c r="G1258" s="16"/>
      <c r="H1258" s="16"/>
      <c r="I1258" s="16"/>
      <c r="J1258" s="16"/>
      <c r="K1258" s="16"/>
      <c r="L1258" s="16"/>
      <c r="M1258" s="26"/>
      <c r="N1258" s="26"/>
      <c r="O1258" s="16"/>
      <c r="P1258" s="1"/>
      <c r="Q1258" s="1"/>
      <c r="R1258" s="1"/>
      <c r="S1258" s="1"/>
      <c r="T1258" s="1"/>
      <c r="U1258" s="33"/>
      <c r="V1258" s="16"/>
      <c r="W1258" s="1"/>
      <c r="X1258" s="1"/>
    </row>
    <row r="1259" spans="1:24">
      <c r="A1259" s="1"/>
      <c r="B1259" s="16"/>
      <c r="C1259" s="16"/>
      <c r="D1259" s="16"/>
      <c r="E1259" s="16"/>
      <c r="F1259" s="16"/>
      <c r="G1259" s="16"/>
      <c r="H1259" s="16"/>
      <c r="I1259" s="16"/>
      <c r="J1259" s="16"/>
      <c r="K1259" s="16"/>
      <c r="L1259" s="16"/>
      <c r="M1259" s="26"/>
      <c r="N1259" s="26"/>
      <c r="O1259" s="16"/>
      <c r="P1259" s="1"/>
      <c r="Q1259" s="1"/>
      <c r="R1259" s="1"/>
      <c r="S1259" s="1"/>
      <c r="T1259" s="1"/>
      <c r="U1259" s="33"/>
      <c r="V1259" s="16"/>
      <c r="W1259" s="1"/>
      <c r="X1259" s="1"/>
    </row>
    <row r="1260" spans="1:24">
      <c r="A1260" s="1"/>
      <c r="B1260" s="16"/>
      <c r="C1260" s="16"/>
      <c r="D1260" s="16"/>
      <c r="E1260" s="16"/>
      <c r="F1260" s="16"/>
      <c r="G1260" s="16"/>
      <c r="H1260" s="16"/>
      <c r="I1260" s="16"/>
      <c r="J1260" s="16"/>
      <c r="K1260" s="16"/>
      <c r="L1260" s="16"/>
      <c r="M1260" s="26"/>
      <c r="N1260" s="26"/>
      <c r="O1260" s="16"/>
      <c r="P1260" s="1"/>
      <c r="Q1260" s="1"/>
      <c r="R1260" s="1"/>
      <c r="S1260" s="1"/>
      <c r="T1260" s="1"/>
      <c r="U1260" s="33"/>
      <c r="V1260" s="16"/>
      <c r="W1260" s="1"/>
      <c r="X1260" s="1"/>
    </row>
    <row r="1261" spans="1:24">
      <c r="A1261" s="1"/>
      <c r="B1261" s="16"/>
      <c r="C1261" s="16"/>
      <c r="D1261" s="16"/>
      <c r="E1261" s="16"/>
      <c r="F1261" s="16"/>
      <c r="G1261" s="16"/>
      <c r="H1261" s="16"/>
      <c r="I1261" s="16"/>
      <c r="J1261" s="16"/>
      <c r="K1261" s="16"/>
      <c r="L1261" s="16"/>
      <c r="M1261" s="26"/>
      <c r="N1261" s="26"/>
      <c r="O1261" s="16"/>
      <c r="P1261" s="1"/>
      <c r="Q1261" s="1"/>
      <c r="R1261" s="1"/>
      <c r="S1261" s="1"/>
      <c r="T1261" s="1"/>
      <c r="U1261" s="33"/>
      <c r="V1261" s="16"/>
      <c r="W1261" s="1"/>
      <c r="X1261" s="1"/>
    </row>
    <row r="1262" spans="1:24">
      <c r="A1262" s="1"/>
      <c r="B1262" s="16"/>
      <c r="C1262" s="16"/>
      <c r="D1262" s="16"/>
      <c r="E1262" s="16"/>
      <c r="F1262" s="16"/>
      <c r="G1262" s="16"/>
      <c r="H1262" s="16"/>
      <c r="I1262" s="16"/>
      <c r="J1262" s="16"/>
      <c r="K1262" s="16"/>
      <c r="L1262" s="16"/>
      <c r="M1262" s="26"/>
      <c r="N1262" s="26"/>
      <c r="O1262" s="16"/>
      <c r="P1262" s="1"/>
      <c r="Q1262" s="1"/>
      <c r="R1262" s="1"/>
      <c r="S1262" s="1"/>
      <c r="T1262" s="1"/>
      <c r="U1262" s="33"/>
      <c r="V1262" s="16"/>
      <c r="W1262" s="1"/>
      <c r="X1262" s="1"/>
    </row>
    <row r="1263" spans="1:24">
      <c r="A1263" s="1"/>
      <c r="B1263" s="16"/>
      <c r="C1263" s="16"/>
      <c r="D1263" s="16"/>
      <c r="E1263" s="16"/>
      <c r="F1263" s="16"/>
      <c r="G1263" s="16"/>
      <c r="H1263" s="16"/>
      <c r="I1263" s="16"/>
      <c r="J1263" s="16"/>
      <c r="K1263" s="16"/>
      <c r="L1263" s="16"/>
      <c r="M1263" s="26"/>
      <c r="N1263" s="26"/>
      <c r="O1263" s="16"/>
      <c r="P1263" s="1"/>
      <c r="Q1263" s="1"/>
      <c r="R1263" s="1"/>
      <c r="S1263" s="1"/>
      <c r="T1263" s="1"/>
      <c r="U1263" s="33"/>
      <c r="V1263" s="16"/>
      <c r="W1263" s="1"/>
      <c r="X1263" s="1"/>
    </row>
    <row r="1264" spans="1:24">
      <c r="A1264" s="1"/>
      <c r="B1264" s="16"/>
      <c r="C1264" s="16"/>
      <c r="D1264" s="16"/>
      <c r="E1264" s="16"/>
      <c r="F1264" s="16"/>
      <c r="G1264" s="16"/>
      <c r="H1264" s="16"/>
      <c r="I1264" s="16"/>
      <c r="J1264" s="16"/>
      <c r="K1264" s="16"/>
      <c r="L1264" s="16"/>
      <c r="M1264" s="26"/>
      <c r="N1264" s="26"/>
      <c r="O1264" s="16"/>
      <c r="P1264" s="1"/>
      <c r="Q1264" s="1"/>
      <c r="R1264" s="1"/>
      <c r="S1264" s="1"/>
      <c r="T1264" s="1"/>
      <c r="U1264" s="33"/>
      <c r="V1264" s="16"/>
      <c r="W1264" s="1"/>
      <c r="X1264" s="1"/>
    </row>
    <row r="1265" spans="1:24">
      <c r="A1265" s="1"/>
      <c r="B1265" s="16"/>
      <c r="C1265" s="16"/>
      <c r="D1265" s="16"/>
      <c r="E1265" s="16"/>
      <c r="F1265" s="16"/>
      <c r="G1265" s="16"/>
      <c r="H1265" s="16"/>
      <c r="I1265" s="16"/>
      <c r="J1265" s="16"/>
      <c r="K1265" s="16"/>
      <c r="L1265" s="16"/>
      <c r="M1265" s="26"/>
      <c r="N1265" s="26"/>
      <c r="O1265" s="16"/>
      <c r="P1265" s="1"/>
      <c r="Q1265" s="1"/>
      <c r="R1265" s="1"/>
      <c r="S1265" s="1"/>
      <c r="T1265" s="1"/>
      <c r="U1265" s="33"/>
      <c r="V1265" s="16"/>
      <c r="W1265" s="1"/>
      <c r="X1265" s="1"/>
    </row>
    <row r="1266" spans="1:24">
      <c r="A1266" s="1"/>
      <c r="B1266" s="16"/>
      <c r="C1266" s="16"/>
      <c r="D1266" s="16"/>
      <c r="E1266" s="16"/>
      <c r="F1266" s="16"/>
      <c r="G1266" s="16"/>
      <c r="H1266" s="16"/>
      <c r="I1266" s="16"/>
      <c r="J1266" s="16"/>
      <c r="K1266" s="16"/>
      <c r="L1266" s="16"/>
      <c r="M1266" s="26"/>
      <c r="N1266" s="26"/>
      <c r="O1266" s="16"/>
      <c r="P1266" s="1"/>
      <c r="Q1266" s="1"/>
      <c r="R1266" s="1"/>
      <c r="S1266" s="1"/>
      <c r="T1266" s="1"/>
      <c r="U1266" s="33"/>
      <c r="V1266" s="16"/>
      <c r="W1266" s="1"/>
      <c r="X1266" s="1"/>
    </row>
    <row r="1267" spans="1:24">
      <c r="A1267" s="1"/>
      <c r="B1267" s="16"/>
      <c r="C1267" s="16"/>
      <c r="D1267" s="16"/>
      <c r="E1267" s="16"/>
      <c r="F1267" s="16"/>
      <c r="G1267" s="16"/>
      <c r="H1267" s="16"/>
      <c r="I1267" s="16"/>
      <c r="J1267" s="16"/>
      <c r="K1267" s="16"/>
      <c r="L1267" s="16"/>
      <c r="M1267" s="26"/>
      <c r="N1267" s="26"/>
      <c r="O1267" s="16"/>
      <c r="P1267" s="1"/>
      <c r="Q1267" s="1"/>
      <c r="R1267" s="1"/>
      <c r="S1267" s="1"/>
      <c r="T1267" s="1"/>
      <c r="U1267" s="33"/>
      <c r="V1267" s="16"/>
      <c r="W1267" s="1"/>
      <c r="X1267" s="1"/>
    </row>
    <row r="1268" spans="1:24">
      <c r="A1268" s="1"/>
      <c r="B1268" s="16"/>
      <c r="C1268" s="16"/>
      <c r="D1268" s="16"/>
      <c r="E1268" s="16"/>
      <c r="F1268" s="16"/>
      <c r="G1268" s="16"/>
      <c r="H1268" s="16"/>
      <c r="I1268" s="16"/>
      <c r="J1268" s="16"/>
      <c r="K1268" s="16"/>
      <c r="L1268" s="16"/>
      <c r="M1268" s="26"/>
      <c r="N1268" s="26"/>
      <c r="O1268" s="16"/>
      <c r="P1268" s="1"/>
      <c r="Q1268" s="1"/>
      <c r="R1268" s="1"/>
      <c r="S1268" s="1"/>
      <c r="T1268" s="1"/>
      <c r="U1268" s="33"/>
      <c r="V1268" s="16"/>
      <c r="W1268" s="1"/>
      <c r="X1268" s="1"/>
    </row>
    <row r="1269" spans="1:24">
      <c r="A1269" s="1"/>
      <c r="B1269" s="16"/>
      <c r="C1269" s="16"/>
      <c r="D1269" s="16"/>
      <c r="E1269" s="16"/>
      <c r="F1269" s="16"/>
      <c r="G1269" s="16"/>
      <c r="H1269" s="16"/>
      <c r="I1269" s="16"/>
      <c r="J1269" s="16"/>
      <c r="K1269" s="16"/>
      <c r="L1269" s="16"/>
      <c r="M1269" s="26"/>
      <c r="N1269" s="26"/>
      <c r="O1269" s="16"/>
      <c r="P1269" s="1"/>
      <c r="Q1269" s="1"/>
      <c r="R1269" s="1"/>
      <c r="S1269" s="1"/>
      <c r="T1269" s="1"/>
      <c r="U1269" s="33"/>
      <c r="V1269" s="16"/>
      <c r="W1269" s="1"/>
      <c r="X1269" s="1"/>
    </row>
    <row r="1270" spans="1:24">
      <c r="A1270" s="1"/>
      <c r="B1270" s="16"/>
      <c r="C1270" s="16"/>
      <c r="D1270" s="16"/>
      <c r="E1270" s="16"/>
      <c r="F1270" s="16"/>
      <c r="G1270" s="16"/>
      <c r="H1270" s="16"/>
      <c r="I1270" s="16"/>
      <c r="J1270" s="16"/>
      <c r="K1270" s="16"/>
      <c r="L1270" s="16"/>
      <c r="M1270" s="26"/>
      <c r="N1270" s="26"/>
      <c r="O1270" s="16"/>
      <c r="P1270" s="1"/>
      <c r="Q1270" s="1"/>
      <c r="R1270" s="1"/>
      <c r="S1270" s="1"/>
      <c r="T1270" s="1"/>
      <c r="U1270" s="33"/>
      <c r="V1270" s="16"/>
      <c r="W1270" s="1"/>
      <c r="X1270" s="1"/>
    </row>
    <row r="1271" spans="1:24">
      <c r="A1271" s="1"/>
      <c r="B1271" s="16"/>
      <c r="C1271" s="16"/>
      <c r="D1271" s="16"/>
      <c r="E1271" s="16"/>
      <c r="F1271" s="16"/>
      <c r="G1271" s="16"/>
      <c r="H1271" s="16"/>
      <c r="I1271" s="16"/>
      <c r="J1271" s="16"/>
      <c r="K1271" s="16"/>
      <c r="L1271" s="16"/>
      <c r="M1271" s="26"/>
      <c r="N1271" s="26"/>
      <c r="O1271" s="16"/>
      <c r="P1271" s="1"/>
      <c r="Q1271" s="1"/>
      <c r="R1271" s="1"/>
      <c r="S1271" s="1"/>
      <c r="T1271" s="1"/>
      <c r="U1271" s="33"/>
      <c r="V1271" s="16"/>
      <c r="W1271" s="1"/>
      <c r="X1271" s="1"/>
    </row>
    <row r="1272" spans="1:24">
      <c r="A1272" s="1"/>
      <c r="B1272" s="16"/>
      <c r="C1272" s="16"/>
      <c r="D1272" s="16"/>
      <c r="E1272" s="16"/>
      <c r="F1272" s="16"/>
      <c r="G1272" s="16"/>
      <c r="H1272" s="16"/>
      <c r="I1272" s="16"/>
      <c r="J1272" s="16"/>
      <c r="K1272" s="16"/>
      <c r="L1272" s="16"/>
      <c r="M1272" s="26"/>
      <c r="N1272" s="26"/>
      <c r="O1272" s="16"/>
      <c r="P1272" s="1"/>
      <c r="Q1272" s="1"/>
      <c r="R1272" s="1"/>
      <c r="S1272" s="1"/>
      <c r="T1272" s="1"/>
      <c r="U1272" s="33"/>
      <c r="V1272" s="16"/>
      <c r="W1272" s="1"/>
      <c r="X1272" s="1"/>
    </row>
    <row r="1273" spans="1:24">
      <c r="A1273" s="1"/>
      <c r="B1273" s="16"/>
      <c r="C1273" s="16"/>
      <c r="D1273" s="16"/>
      <c r="E1273" s="16"/>
      <c r="F1273" s="16"/>
      <c r="G1273" s="16"/>
      <c r="H1273" s="16"/>
      <c r="I1273" s="16"/>
      <c r="J1273" s="16"/>
      <c r="K1273" s="16"/>
      <c r="L1273" s="16"/>
      <c r="M1273" s="26"/>
      <c r="N1273" s="26"/>
      <c r="O1273" s="16"/>
      <c r="P1273" s="1"/>
      <c r="Q1273" s="1"/>
      <c r="R1273" s="1"/>
      <c r="S1273" s="1"/>
      <c r="T1273" s="1"/>
      <c r="U1273" s="33"/>
      <c r="V1273" s="16"/>
      <c r="W1273" s="1"/>
      <c r="X1273" s="1"/>
    </row>
    <row r="1274" spans="1:24">
      <c r="A1274" s="1"/>
      <c r="B1274" s="16"/>
      <c r="C1274" s="16"/>
      <c r="D1274" s="16"/>
      <c r="E1274" s="16"/>
      <c r="F1274" s="16"/>
      <c r="G1274" s="16"/>
      <c r="H1274" s="16"/>
      <c r="I1274" s="16"/>
      <c r="J1274" s="16"/>
      <c r="K1274" s="16"/>
      <c r="L1274" s="16"/>
      <c r="M1274" s="26"/>
      <c r="N1274" s="26"/>
      <c r="O1274" s="16"/>
      <c r="P1274" s="1"/>
      <c r="Q1274" s="1"/>
      <c r="R1274" s="1"/>
      <c r="S1274" s="1"/>
      <c r="T1274" s="1"/>
      <c r="U1274" s="33"/>
      <c r="V1274" s="16"/>
      <c r="W1274" s="1"/>
      <c r="X1274" s="1"/>
    </row>
    <row r="1275" spans="1:24">
      <c r="A1275" s="1"/>
      <c r="B1275" s="16"/>
      <c r="C1275" s="16"/>
      <c r="D1275" s="16"/>
      <c r="E1275" s="16"/>
      <c r="F1275" s="16"/>
      <c r="G1275" s="16"/>
      <c r="H1275" s="16"/>
      <c r="I1275" s="16"/>
      <c r="J1275" s="16"/>
      <c r="K1275" s="16"/>
      <c r="L1275" s="16"/>
      <c r="M1275" s="26"/>
      <c r="N1275" s="26"/>
      <c r="O1275" s="16"/>
      <c r="P1275" s="1"/>
      <c r="Q1275" s="1"/>
      <c r="R1275" s="1"/>
      <c r="S1275" s="1"/>
      <c r="T1275" s="1"/>
      <c r="U1275" s="33"/>
      <c r="V1275" s="16"/>
      <c r="W1275" s="1"/>
      <c r="X1275" s="1"/>
    </row>
    <row r="1276" spans="1:24">
      <c r="A1276" s="1"/>
      <c r="B1276" s="16"/>
      <c r="C1276" s="16"/>
      <c r="D1276" s="16"/>
      <c r="E1276" s="16"/>
      <c r="F1276" s="16"/>
      <c r="G1276" s="16"/>
      <c r="H1276" s="16"/>
      <c r="I1276" s="16"/>
      <c r="J1276" s="16"/>
      <c r="K1276" s="16"/>
      <c r="L1276" s="16"/>
      <c r="M1276" s="26"/>
      <c r="N1276" s="26"/>
      <c r="O1276" s="16"/>
      <c r="P1276" s="1"/>
      <c r="Q1276" s="1"/>
      <c r="R1276" s="1"/>
      <c r="S1276" s="1"/>
      <c r="T1276" s="1"/>
      <c r="U1276" s="33"/>
      <c r="V1276" s="16"/>
      <c r="W1276" s="1"/>
      <c r="X1276" s="1"/>
    </row>
    <row r="1277" spans="1:24">
      <c r="A1277" s="1"/>
      <c r="B1277" s="16"/>
      <c r="C1277" s="16"/>
      <c r="D1277" s="16"/>
      <c r="E1277" s="16"/>
      <c r="F1277" s="16"/>
      <c r="G1277" s="16"/>
      <c r="H1277" s="16"/>
      <c r="I1277" s="16"/>
      <c r="J1277" s="16"/>
      <c r="K1277" s="16"/>
      <c r="L1277" s="16"/>
      <c r="M1277" s="26"/>
      <c r="N1277" s="26"/>
      <c r="O1277" s="16"/>
      <c r="P1277" s="1"/>
      <c r="Q1277" s="1"/>
      <c r="R1277" s="1"/>
      <c r="S1277" s="1"/>
      <c r="T1277" s="1"/>
      <c r="U1277" s="33"/>
      <c r="V1277" s="16"/>
      <c r="W1277" s="1"/>
      <c r="X1277" s="1"/>
    </row>
    <row r="1278" spans="1:24">
      <c r="A1278" s="1"/>
      <c r="B1278" s="16"/>
      <c r="C1278" s="16"/>
      <c r="D1278" s="16"/>
      <c r="E1278" s="16"/>
      <c r="F1278" s="16"/>
      <c r="G1278" s="16"/>
      <c r="H1278" s="16"/>
      <c r="I1278" s="16"/>
      <c r="J1278" s="16"/>
      <c r="K1278" s="16"/>
      <c r="L1278" s="16"/>
      <c r="M1278" s="26"/>
      <c r="N1278" s="26"/>
      <c r="O1278" s="16"/>
      <c r="P1278" s="1"/>
      <c r="Q1278" s="1"/>
      <c r="R1278" s="1"/>
      <c r="S1278" s="1"/>
      <c r="T1278" s="1"/>
      <c r="U1278" s="33"/>
      <c r="V1278" s="16"/>
      <c r="W1278" s="1"/>
      <c r="X1278" s="1"/>
    </row>
    <row r="1279" spans="1:24">
      <c r="A1279" s="1"/>
      <c r="B1279" s="16"/>
      <c r="C1279" s="16"/>
      <c r="D1279" s="16"/>
      <c r="E1279" s="16"/>
      <c r="F1279" s="16"/>
      <c r="G1279" s="16"/>
      <c r="H1279" s="16"/>
      <c r="I1279" s="16"/>
      <c r="J1279" s="16"/>
      <c r="K1279" s="16"/>
      <c r="L1279" s="16"/>
      <c r="M1279" s="26"/>
      <c r="N1279" s="26"/>
      <c r="O1279" s="16"/>
      <c r="P1279" s="1"/>
      <c r="Q1279" s="1"/>
      <c r="R1279" s="1"/>
      <c r="S1279" s="1"/>
      <c r="T1279" s="1"/>
      <c r="U1279" s="33"/>
      <c r="V1279" s="16"/>
      <c r="W1279" s="1"/>
      <c r="X1279" s="1"/>
    </row>
    <row r="1280" spans="1:24">
      <c r="A1280" s="1"/>
      <c r="B1280" s="16"/>
      <c r="C1280" s="16"/>
      <c r="D1280" s="16"/>
      <c r="E1280" s="16"/>
      <c r="F1280" s="16"/>
      <c r="G1280" s="16"/>
      <c r="H1280" s="16"/>
      <c r="I1280" s="16"/>
      <c r="J1280" s="16"/>
      <c r="K1280" s="16"/>
      <c r="L1280" s="16"/>
      <c r="M1280" s="26"/>
      <c r="N1280" s="26"/>
      <c r="O1280" s="16"/>
      <c r="P1280" s="1"/>
      <c r="Q1280" s="1"/>
      <c r="R1280" s="1"/>
      <c r="S1280" s="1"/>
      <c r="T1280" s="1"/>
      <c r="U1280" s="33"/>
      <c r="V1280" s="16"/>
      <c r="W1280" s="1"/>
      <c r="X1280" s="1"/>
    </row>
    <row r="1281" spans="1:24">
      <c r="A1281" s="1"/>
      <c r="B1281" s="16"/>
      <c r="C1281" s="16"/>
      <c r="D1281" s="16"/>
      <c r="E1281" s="16"/>
      <c r="F1281" s="16"/>
      <c r="G1281" s="16"/>
      <c r="H1281" s="16"/>
      <c r="I1281" s="16"/>
      <c r="J1281" s="16"/>
      <c r="K1281" s="16"/>
      <c r="L1281" s="16"/>
      <c r="M1281" s="26"/>
      <c r="N1281" s="26"/>
      <c r="O1281" s="16"/>
      <c r="P1281" s="1"/>
      <c r="Q1281" s="1"/>
      <c r="R1281" s="1"/>
      <c r="S1281" s="1"/>
      <c r="T1281" s="1"/>
      <c r="U1281" s="33"/>
      <c r="V1281" s="16"/>
      <c r="W1281" s="1"/>
      <c r="X1281" s="1"/>
    </row>
    <row r="1282" spans="1:24">
      <c r="A1282" s="1"/>
      <c r="B1282" s="16"/>
      <c r="C1282" s="16"/>
      <c r="D1282" s="16"/>
      <c r="E1282" s="16"/>
      <c r="F1282" s="16"/>
      <c r="G1282" s="16"/>
      <c r="H1282" s="16"/>
      <c r="I1282" s="16"/>
      <c r="J1282" s="16"/>
      <c r="K1282" s="16"/>
      <c r="L1282" s="16"/>
      <c r="M1282" s="26"/>
      <c r="N1282" s="26"/>
      <c r="O1282" s="16"/>
      <c r="P1282" s="1"/>
      <c r="Q1282" s="1"/>
      <c r="R1282" s="1"/>
      <c r="S1282" s="1"/>
      <c r="T1282" s="1"/>
      <c r="U1282" s="33"/>
      <c r="V1282" s="16"/>
      <c r="W1282" s="1"/>
      <c r="X1282" s="1"/>
    </row>
    <row r="1283" spans="1:24">
      <c r="A1283" s="1"/>
      <c r="B1283" s="16"/>
      <c r="C1283" s="16"/>
      <c r="D1283" s="16"/>
      <c r="E1283" s="16"/>
      <c r="F1283" s="16"/>
      <c r="G1283" s="16"/>
      <c r="H1283" s="16"/>
      <c r="I1283" s="16"/>
      <c r="J1283" s="16"/>
      <c r="K1283" s="16"/>
      <c r="L1283" s="16"/>
      <c r="M1283" s="26"/>
      <c r="N1283" s="26"/>
      <c r="O1283" s="16"/>
      <c r="P1283" s="1"/>
      <c r="Q1283" s="1"/>
      <c r="R1283" s="1"/>
      <c r="S1283" s="1"/>
      <c r="T1283" s="1"/>
      <c r="U1283" s="33"/>
      <c r="V1283" s="16"/>
      <c r="W1283" s="1"/>
      <c r="X1283" s="1"/>
    </row>
    <row r="1284" spans="1:24">
      <c r="A1284" s="1"/>
      <c r="B1284" s="16"/>
      <c r="C1284" s="16"/>
      <c r="D1284" s="16"/>
      <c r="E1284" s="16"/>
      <c r="F1284" s="16"/>
      <c r="G1284" s="16"/>
      <c r="H1284" s="16"/>
      <c r="I1284" s="16"/>
      <c r="J1284" s="16"/>
      <c r="K1284" s="16"/>
      <c r="L1284" s="16"/>
      <c r="M1284" s="26"/>
      <c r="N1284" s="26"/>
      <c r="O1284" s="16"/>
      <c r="P1284" s="1"/>
      <c r="Q1284" s="1"/>
      <c r="R1284" s="1"/>
      <c r="S1284" s="1"/>
      <c r="T1284" s="1"/>
      <c r="U1284" s="33"/>
      <c r="V1284" s="16"/>
      <c r="W1284" s="1"/>
      <c r="X1284" s="1"/>
    </row>
    <row r="1285" spans="1:24">
      <c r="A1285" s="1"/>
      <c r="B1285" s="16"/>
      <c r="C1285" s="16"/>
      <c r="D1285" s="16"/>
      <c r="E1285" s="16"/>
      <c r="F1285" s="16"/>
      <c r="G1285" s="16"/>
      <c r="H1285" s="16"/>
      <c r="I1285" s="16"/>
      <c r="J1285" s="16"/>
      <c r="K1285" s="16"/>
      <c r="L1285" s="16"/>
      <c r="M1285" s="26"/>
      <c r="N1285" s="26"/>
      <c r="O1285" s="16"/>
      <c r="P1285" s="1"/>
      <c r="Q1285" s="1"/>
      <c r="R1285" s="1"/>
      <c r="S1285" s="1"/>
      <c r="T1285" s="1"/>
      <c r="U1285" s="33"/>
      <c r="V1285" s="16"/>
      <c r="W1285" s="1"/>
      <c r="X1285" s="1"/>
    </row>
    <row r="1286" spans="1:24">
      <c r="A1286" s="1"/>
      <c r="B1286" s="16"/>
      <c r="C1286" s="16"/>
      <c r="D1286" s="16"/>
      <c r="E1286" s="16"/>
      <c r="F1286" s="16"/>
      <c r="G1286" s="16"/>
      <c r="H1286" s="16"/>
      <c r="I1286" s="16"/>
      <c r="J1286" s="16"/>
      <c r="K1286" s="16"/>
      <c r="L1286" s="16"/>
      <c r="M1286" s="26"/>
      <c r="N1286" s="26"/>
      <c r="O1286" s="16"/>
      <c r="P1286" s="1"/>
      <c r="Q1286" s="1"/>
      <c r="R1286" s="1"/>
      <c r="S1286" s="1"/>
      <c r="T1286" s="1"/>
      <c r="U1286" s="33"/>
      <c r="V1286" s="16"/>
      <c r="W1286" s="1"/>
      <c r="X1286" s="1"/>
    </row>
    <row r="1287" spans="1:24">
      <c r="A1287" s="1"/>
      <c r="B1287" s="16"/>
      <c r="C1287" s="16"/>
      <c r="D1287" s="16"/>
      <c r="E1287" s="16"/>
      <c r="F1287" s="16"/>
      <c r="G1287" s="16"/>
      <c r="H1287" s="16"/>
      <c r="I1287" s="16"/>
      <c r="J1287" s="16"/>
      <c r="K1287" s="16"/>
      <c r="L1287" s="16"/>
      <c r="M1287" s="26"/>
      <c r="N1287" s="26"/>
      <c r="O1287" s="16"/>
      <c r="P1287" s="1"/>
      <c r="Q1287" s="1"/>
      <c r="R1287" s="1"/>
      <c r="S1287" s="1"/>
      <c r="T1287" s="1"/>
      <c r="U1287" s="33"/>
      <c r="V1287" s="16"/>
      <c r="W1287" s="1"/>
      <c r="X1287" s="1"/>
    </row>
    <row r="1288" spans="1:24">
      <c r="A1288" s="1"/>
      <c r="B1288" s="16"/>
      <c r="C1288" s="16"/>
      <c r="D1288" s="16"/>
      <c r="E1288" s="16"/>
      <c r="F1288" s="16"/>
      <c r="G1288" s="16"/>
      <c r="H1288" s="16"/>
      <c r="I1288" s="16"/>
      <c r="J1288" s="16"/>
      <c r="K1288" s="16"/>
      <c r="L1288" s="16"/>
      <c r="M1288" s="26"/>
      <c r="N1288" s="26"/>
      <c r="O1288" s="16"/>
      <c r="P1288" s="1"/>
      <c r="Q1288" s="1"/>
      <c r="R1288" s="1"/>
      <c r="S1288" s="1"/>
      <c r="T1288" s="1"/>
      <c r="U1288" s="33"/>
      <c r="V1288" s="16"/>
      <c r="W1288" s="1"/>
      <c r="X1288" s="1"/>
    </row>
    <row r="1289" spans="1:24">
      <c r="A1289" s="1"/>
      <c r="B1289" s="16"/>
      <c r="C1289" s="16"/>
      <c r="D1289" s="16"/>
      <c r="E1289" s="16"/>
      <c r="F1289" s="16"/>
      <c r="G1289" s="16"/>
      <c r="H1289" s="16"/>
      <c r="I1289" s="16"/>
      <c r="J1289" s="16"/>
      <c r="K1289" s="16"/>
      <c r="L1289" s="16"/>
      <c r="M1289" s="26"/>
      <c r="N1289" s="26"/>
      <c r="O1289" s="16"/>
      <c r="P1289" s="1"/>
      <c r="Q1289" s="1"/>
      <c r="R1289" s="1"/>
      <c r="S1289" s="1"/>
      <c r="T1289" s="1"/>
      <c r="U1289" s="33"/>
      <c r="V1289" s="16"/>
      <c r="W1289" s="1"/>
      <c r="X1289" s="1"/>
    </row>
    <row r="1290" spans="1:24">
      <c r="A1290" s="1"/>
      <c r="B1290" s="16"/>
      <c r="C1290" s="16"/>
      <c r="D1290" s="16"/>
      <c r="E1290" s="16"/>
      <c r="F1290" s="16"/>
      <c r="G1290" s="16"/>
      <c r="H1290" s="16"/>
      <c r="I1290" s="16"/>
      <c r="J1290" s="16"/>
      <c r="K1290" s="16"/>
      <c r="L1290" s="16"/>
      <c r="M1290" s="26"/>
      <c r="N1290" s="26"/>
      <c r="O1290" s="16"/>
      <c r="P1290" s="1"/>
      <c r="Q1290" s="1"/>
      <c r="R1290" s="1"/>
      <c r="S1290" s="1"/>
      <c r="T1290" s="1"/>
      <c r="U1290" s="33"/>
      <c r="V1290" s="16"/>
      <c r="W1290" s="1"/>
      <c r="X1290" s="1"/>
    </row>
    <row r="1291" spans="1:24">
      <c r="A1291" s="1"/>
      <c r="B1291" s="16"/>
      <c r="C1291" s="16"/>
      <c r="D1291" s="16"/>
      <c r="E1291" s="16"/>
      <c r="F1291" s="16"/>
      <c r="G1291" s="16"/>
      <c r="H1291" s="16"/>
      <c r="I1291" s="16"/>
      <c r="J1291" s="16"/>
      <c r="K1291" s="16"/>
      <c r="L1291" s="16"/>
      <c r="M1291" s="26"/>
      <c r="N1291" s="26"/>
      <c r="O1291" s="16"/>
      <c r="P1291" s="1"/>
      <c r="Q1291" s="1"/>
      <c r="R1291" s="1"/>
      <c r="S1291" s="1"/>
      <c r="T1291" s="1"/>
      <c r="U1291" s="33"/>
      <c r="V1291" s="16"/>
      <c r="W1291" s="1"/>
      <c r="X1291" s="1"/>
    </row>
    <row r="1292" spans="1:24">
      <c r="A1292" s="1"/>
      <c r="B1292" s="16"/>
      <c r="C1292" s="16"/>
      <c r="D1292" s="16"/>
      <c r="E1292" s="16"/>
      <c r="F1292" s="16"/>
      <c r="G1292" s="16"/>
      <c r="H1292" s="16"/>
      <c r="I1292" s="16"/>
      <c r="J1292" s="16"/>
      <c r="K1292" s="16"/>
      <c r="L1292" s="16"/>
      <c r="M1292" s="26"/>
      <c r="N1292" s="26"/>
      <c r="O1292" s="16"/>
      <c r="P1292" s="1"/>
      <c r="Q1292" s="1"/>
      <c r="R1292" s="1"/>
      <c r="S1292" s="1"/>
      <c r="T1292" s="1"/>
      <c r="U1292" s="33"/>
      <c r="V1292" s="16"/>
      <c r="W1292" s="1"/>
      <c r="X1292" s="1"/>
    </row>
    <row r="1293" spans="1:24">
      <c r="A1293" s="1"/>
      <c r="B1293" s="16"/>
      <c r="C1293" s="16"/>
      <c r="D1293" s="16"/>
      <c r="E1293" s="16"/>
      <c r="F1293" s="16"/>
      <c r="G1293" s="16"/>
      <c r="H1293" s="16"/>
      <c r="I1293" s="16"/>
      <c r="J1293" s="16"/>
      <c r="K1293" s="16"/>
      <c r="L1293" s="16"/>
      <c r="M1293" s="26"/>
      <c r="N1293" s="26"/>
      <c r="O1293" s="16"/>
      <c r="P1293" s="1"/>
      <c r="Q1293" s="1"/>
      <c r="R1293" s="1"/>
      <c r="S1293" s="1"/>
      <c r="T1293" s="1"/>
      <c r="U1293" s="33"/>
      <c r="V1293" s="16"/>
      <c r="W1293" s="1"/>
      <c r="X1293" s="1"/>
    </row>
    <row r="1294" spans="1:24">
      <c r="A1294" s="1"/>
      <c r="B1294" s="16"/>
      <c r="C1294" s="16"/>
      <c r="D1294" s="16"/>
      <c r="E1294" s="16"/>
      <c r="F1294" s="16"/>
      <c r="G1294" s="16"/>
      <c r="H1294" s="16"/>
      <c r="I1294" s="16"/>
      <c r="J1294" s="16"/>
      <c r="K1294" s="16"/>
      <c r="L1294" s="16"/>
      <c r="M1294" s="26"/>
      <c r="N1294" s="26"/>
      <c r="O1294" s="16"/>
      <c r="P1294" s="1"/>
      <c r="Q1294" s="1"/>
      <c r="R1294" s="1"/>
      <c r="S1294" s="1"/>
      <c r="T1294" s="1"/>
      <c r="U1294" s="33"/>
      <c r="V1294" s="16"/>
      <c r="W1294" s="1"/>
      <c r="X1294" s="1"/>
    </row>
    <row r="1295" spans="1:24">
      <c r="A1295" s="1"/>
      <c r="B1295" s="16"/>
      <c r="C1295" s="16"/>
      <c r="D1295" s="16"/>
      <c r="E1295" s="16"/>
      <c r="F1295" s="16"/>
      <c r="G1295" s="16"/>
      <c r="H1295" s="16"/>
      <c r="I1295" s="16"/>
      <c r="J1295" s="16"/>
      <c r="K1295" s="16"/>
      <c r="L1295" s="16"/>
      <c r="M1295" s="26"/>
      <c r="N1295" s="26"/>
      <c r="O1295" s="16"/>
      <c r="P1295" s="1"/>
      <c r="Q1295" s="1"/>
      <c r="R1295" s="1"/>
      <c r="S1295" s="1"/>
      <c r="T1295" s="1"/>
      <c r="U1295" s="33"/>
      <c r="V1295" s="16"/>
      <c r="W1295" s="1"/>
      <c r="X1295" s="1"/>
    </row>
    <row r="1296" spans="1:24">
      <c r="A1296" s="1"/>
      <c r="B1296" s="16"/>
      <c r="C1296" s="16"/>
      <c r="D1296" s="16"/>
      <c r="E1296" s="16"/>
      <c r="F1296" s="16"/>
      <c r="G1296" s="16"/>
      <c r="H1296" s="16"/>
      <c r="I1296" s="16"/>
      <c r="J1296" s="16"/>
      <c r="K1296" s="16"/>
      <c r="L1296" s="16"/>
      <c r="M1296" s="26"/>
      <c r="N1296" s="26"/>
      <c r="O1296" s="16"/>
      <c r="P1296" s="1"/>
      <c r="Q1296" s="1"/>
      <c r="R1296" s="1"/>
      <c r="S1296" s="1"/>
      <c r="T1296" s="1"/>
      <c r="U1296" s="33"/>
      <c r="V1296" s="16"/>
      <c r="W1296" s="1"/>
      <c r="X1296" s="1"/>
    </row>
    <row r="1297" spans="1:24">
      <c r="A1297" s="1"/>
      <c r="B1297" s="16"/>
      <c r="C1297" s="16"/>
      <c r="D1297" s="16"/>
      <c r="E1297" s="16"/>
      <c r="F1297" s="16"/>
      <c r="G1297" s="16"/>
      <c r="H1297" s="16"/>
      <c r="I1297" s="16"/>
      <c r="J1297" s="16"/>
      <c r="K1297" s="16"/>
      <c r="L1297" s="16"/>
      <c r="M1297" s="26"/>
      <c r="N1297" s="26"/>
      <c r="O1297" s="16"/>
      <c r="P1297" s="1"/>
      <c r="Q1297" s="1"/>
      <c r="R1297" s="1"/>
      <c r="S1297" s="1"/>
      <c r="T1297" s="1"/>
      <c r="U1297" s="33"/>
      <c r="V1297" s="16"/>
      <c r="W1297" s="1"/>
      <c r="X1297" s="1"/>
    </row>
    <row r="1298" spans="1:24">
      <c r="A1298" s="1"/>
      <c r="B1298" s="16"/>
      <c r="C1298" s="16"/>
      <c r="D1298" s="16"/>
      <c r="E1298" s="16"/>
      <c r="F1298" s="16"/>
      <c r="G1298" s="16"/>
      <c r="H1298" s="16"/>
      <c r="I1298" s="16"/>
      <c r="J1298" s="16"/>
      <c r="K1298" s="16"/>
      <c r="L1298" s="16"/>
      <c r="M1298" s="26"/>
      <c r="N1298" s="26"/>
      <c r="O1298" s="16"/>
      <c r="P1298" s="1"/>
      <c r="Q1298" s="1"/>
      <c r="R1298" s="1"/>
      <c r="S1298" s="1"/>
      <c r="T1298" s="1"/>
      <c r="U1298" s="33"/>
      <c r="V1298" s="16"/>
      <c r="W1298" s="1"/>
      <c r="X1298" s="1"/>
    </row>
    <row r="1299" spans="1:24">
      <c r="A1299" s="1"/>
      <c r="B1299" s="16"/>
      <c r="C1299" s="16"/>
      <c r="D1299" s="16"/>
      <c r="E1299" s="16"/>
      <c r="F1299" s="16"/>
      <c r="G1299" s="16"/>
      <c r="H1299" s="16"/>
      <c r="I1299" s="16"/>
      <c r="J1299" s="16"/>
      <c r="K1299" s="16"/>
      <c r="L1299" s="16"/>
      <c r="M1299" s="26"/>
      <c r="N1299" s="26"/>
      <c r="O1299" s="16"/>
      <c r="P1299" s="1"/>
      <c r="Q1299" s="1"/>
      <c r="R1299" s="1"/>
      <c r="S1299" s="1"/>
      <c r="T1299" s="1"/>
      <c r="U1299" s="33"/>
      <c r="V1299" s="16"/>
      <c r="W1299" s="1"/>
      <c r="X1299" s="1"/>
    </row>
    <row r="1300" spans="1:24">
      <c r="A1300" s="1"/>
      <c r="B1300" s="16"/>
      <c r="C1300" s="16"/>
      <c r="D1300" s="16"/>
      <c r="E1300" s="16"/>
      <c r="F1300" s="16"/>
      <c r="G1300" s="16"/>
      <c r="H1300" s="16"/>
      <c r="I1300" s="16"/>
      <c r="J1300" s="16"/>
      <c r="K1300" s="16"/>
      <c r="L1300" s="16"/>
      <c r="M1300" s="26"/>
      <c r="N1300" s="26"/>
      <c r="O1300" s="16"/>
      <c r="P1300" s="1"/>
      <c r="Q1300" s="1"/>
      <c r="R1300" s="1"/>
      <c r="S1300" s="1"/>
      <c r="T1300" s="1"/>
      <c r="U1300" s="33"/>
      <c r="V1300" s="16"/>
      <c r="W1300" s="1"/>
      <c r="X1300" s="1"/>
    </row>
    <row r="1301" spans="1:24">
      <c r="A1301" s="1"/>
      <c r="B1301" s="16"/>
      <c r="C1301" s="16"/>
      <c r="D1301" s="16"/>
      <c r="E1301" s="16"/>
      <c r="F1301" s="16"/>
      <c r="G1301" s="16"/>
      <c r="H1301" s="16"/>
      <c r="I1301" s="16"/>
      <c r="J1301" s="16"/>
      <c r="K1301" s="16"/>
      <c r="L1301" s="16"/>
      <c r="M1301" s="26"/>
      <c r="N1301" s="26"/>
      <c r="O1301" s="16"/>
      <c r="P1301" s="1"/>
      <c r="Q1301" s="1"/>
      <c r="R1301" s="1"/>
      <c r="S1301" s="1"/>
      <c r="T1301" s="1"/>
      <c r="U1301" s="33"/>
      <c r="V1301" s="16"/>
      <c r="W1301" s="1"/>
      <c r="X1301" s="1"/>
    </row>
    <row r="1302" spans="1:24">
      <c r="A1302" s="1"/>
      <c r="B1302" s="16"/>
      <c r="C1302" s="16"/>
      <c r="D1302" s="16"/>
      <c r="E1302" s="16"/>
      <c r="F1302" s="16"/>
      <c r="G1302" s="16"/>
      <c r="H1302" s="16"/>
      <c r="I1302" s="16"/>
      <c r="J1302" s="16"/>
      <c r="K1302" s="16"/>
      <c r="L1302" s="16"/>
      <c r="M1302" s="26"/>
      <c r="N1302" s="26"/>
      <c r="O1302" s="16"/>
      <c r="P1302" s="1"/>
      <c r="Q1302" s="1"/>
      <c r="R1302" s="1"/>
      <c r="S1302" s="1"/>
      <c r="T1302" s="1"/>
      <c r="U1302" s="33"/>
      <c r="V1302" s="16"/>
      <c r="W1302" s="1"/>
      <c r="X1302" s="1"/>
    </row>
    <row r="1303" spans="1:24">
      <c r="A1303" s="1"/>
      <c r="B1303" s="16"/>
      <c r="C1303" s="16"/>
      <c r="D1303" s="16"/>
      <c r="E1303" s="16"/>
      <c r="F1303" s="16"/>
      <c r="G1303" s="16"/>
      <c r="H1303" s="16"/>
      <c r="I1303" s="16"/>
      <c r="J1303" s="16"/>
      <c r="K1303" s="16"/>
      <c r="L1303" s="16"/>
      <c r="M1303" s="26"/>
      <c r="N1303" s="26"/>
      <c r="O1303" s="16"/>
      <c r="P1303" s="1"/>
      <c r="Q1303" s="1"/>
      <c r="R1303" s="1"/>
      <c r="S1303" s="1"/>
      <c r="T1303" s="1"/>
      <c r="U1303" s="33"/>
      <c r="V1303" s="16"/>
      <c r="W1303" s="1"/>
      <c r="X1303" s="1"/>
    </row>
    <row r="1304" spans="1:24">
      <c r="A1304" s="1"/>
      <c r="B1304" s="16"/>
      <c r="C1304" s="16"/>
      <c r="D1304" s="16"/>
      <c r="E1304" s="16"/>
      <c r="F1304" s="16"/>
      <c r="G1304" s="16"/>
      <c r="H1304" s="16"/>
      <c r="I1304" s="16"/>
      <c r="J1304" s="16"/>
      <c r="K1304" s="16"/>
      <c r="L1304" s="16"/>
      <c r="M1304" s="26"/>
      <c r="N1304" s="26"/>
      <c r="O1304" s="16"/>
      <c r="P1304" s="1"/>
      <c r="Q1304" s="1"/>
      <c r="R1304" s="1"/>
      <c r="S1304" s="1"/>
      <c r="T1304" s="1"/>
      <c r="U1304" s="33"/>
      <c r="V1304" s="16"/>
      <c r="W1304" s="1"/>
      <c r="X1304" s="1"/>
    </row>
    <row r="1305" spans="1:24">
      <c r="A1305" s="1"/>
      <c r="B1305" s="16"/>
      <c r="C1305" s="16"/>
      <c r="D1305" s="16"/>
      <c r="E1305" s="16"/>
      <c r="F1305" s="16"/>
      <c r="G1305" s="16"/>
      <c r="H1305" s="16"/>
      <c r="I1305" s="16"/>
      <c r="J1305" s="16"/>
      <c r="K1305" s="16"/>
      <c r="L1305" s="16"/>
      <c r="M1305" s="26"/>
      <c r="N1305" s="26"/>
      <c r="O1305" s="16"/>
      <c r="P1305" s="1"/>
      <c r="Q1305" s="1"/>
      <c r="R1305" s="1"/>
      <c r="S1305" s="1"/>
      <c r="T1305" s="1"/>
      <c r="U1305" s="33"/>
      <c r="V1305" s="16"/>
      <c r="W1305" s="1"/>
      <c r="X1305" s="1"/>
    </row>
    <row r="1306" spans="1:24">
      <c r="A1306" s="1"/>
      <c r="B1306" s="16"/>
      <c r="C1306" s="16"/>
      <c r="D1306" s="16"/>
      <c r="E1306" s="16"/>
      <c r="F1306" s="16"/>
      <c r="G1306" s="16"/>
      <c r="H1306" s="16"/>
      <c r="I1306" s="16"/>
      <c r="J1306" s="16"/>
      <c r="K1306" s="16"/>
      <c r="L1306" s="16"/>
      <c r="M1306" s="26"/>
      <c r="N1306" s="26"/>
      <c r="O1306" s="16"/>
      <c r="P1306" s="1"/>
      <c r="Q1306" s="1"/>
      <c r="R1306" s="1"/>
      <c r="S1306" s="1"/>
      <c r="T1306" s="1"/>
      <c r="U1306" s="33"/>
      <c r="V1306" s="16"/>
      <c r="W1306" s="1"/>
      <c r="X1306" s="1"/>
    </row>
    <row r="1307" spans="1:24">
      <c r="A1307" s="1"/>
      <c r="B1307" s="16"/>
      <c r="C1307" s="16"/>
      <c r="D1307" s="16"/>
      <c r="E1307" s="16"/>
      <c r="F1307" s="16"/>
      <c r="G1307" s="16"/>
      <c r="H1307" s="16"/>
      <c r="I1307" s="16"/>
      <c r="J1307" s="16"/>
      <c r="K1307" s="16"/>
      <c r="L1307" s="16"/>
      <c r="M1307" s="26"/>
      <c r="N1307" s="26"/>
      <c r="O1307" s="16"/>
      <c r="P1307" s="1"/>
      <c r="Q1307" s="1"/>
      <c r="R1307" s="1"/>
      <c r="S1307" s="1"/>
      <c r="T1307" s="1"/>
      <c r="U1307" s="33"/>
      <c r="V1307" s="16"/>
      <c r="W1307" s="1"/>
      <c r="X1307" s="1"/>
    </row>
    <row r="1308" spans="1:24">
      <c r="A1308" s="1"/>
      <c r="B1308" s="16"/>
      <c r="C1308" s="16"/>
      <c r="D1308" s="16"/>
      <c r="E1308" s="16"/>
      <c r="F1308" s="16"/>
      <c r="G1308" s="16"/>
      <c r="H1308" s="16"/>
      <c r="I1308" s="16"/>
      <c r="J1308" s="16"/>
      <c r="K1308" s="16"/>
      <c r="L1308" s="16"/>
      <c r="M1308" s="26"/>
      <c r="N1308" s="26"/>
      <c r="O1308" s="16"/>
      <c r="P1308" s="1"/>
      <c r="Q1308" s="1"/>
      <c r="R1308" s="1"/>
      <c r="S1308" s="1"/>
      <c r="T1308" s="1"/>
      <c r="U1308" s="33"/>
      <c r="V1308" s="16"/>
      <c r="W1308" s="1"/>
      <c r="X1308" s="1"/>
    </row>
    <row r="1309" spans="1:24">
      <c r="A1309" s="1"/>
      <c r="B1309" s="16"/>
      <c r="C1309" s="16"/>
      <c r="D1309" s="16"/>
      <c r="E1309" s="16"/>
      <c r="F1309" s="16"/>
      <c r="G1309" s="16"/>
      <c r="H1309" s="16"/>
      <c r="I1309" s="16"/>
      <c r="J1309" s="16"/>
      <c r="K1309" s="16"/>
      <c r="L1309" s="16"/>
      <c r="M1309" s="26"/>
      <c r="N1309" s="26"/>
      <c r="O1309" s="16"/>
      <c r="P1309" s="1"/>
      <c r="Q1309" s="1"/>
      <c r="R1309" s="1"/>
      <c r="S1309" s="1"/>
      <c r="T1309" s="1"/>
      <c r="U1309" s="33"/>
      <c r="V1309" s="16"/>
      <c r="W1309" s="1"/>
      <c r="X1309" s="1"/>
    </row>
    <row r="1310" spans="1:24">
      <c r="A1310" s="1"/>
      <c r="B1310" s="16"/>
      <c r="C1310" s="16"/>
      <c r="D1310" s="16"/>
      <c r="E1310" s="16"/>
      <c r="F1310" s="16"/>
      <c r="G1310" s="16"/>
      <c r="H1310" s="16"/>
      <c r="I1310" s="16"/>
      <c r="J1310" s="16"/>
      <c r="K1310" s="16"/>
      <c r="L1310" s="16"/>
      <c r="M1310" s="26"/>
      <c r="N1310" s="26"/>
      <c r="O1310" s="16"/>
      <c r="P1310" s="1"/>
      <c r="Q1310" s="1"/>
      <c r="R1310" s="1"/>
      <c r="S1310" s="1"/>
      <c r="T1310" s="1"/>
      <c r="U1310" s="33"/>
      <c r="V1310" s="16"/>
      <c r="W1310" s="1"/>
      <c r="X1310" s="1"/>
    </row>
    <row r="1311" spans="1:24">
      <c r="A1311" s="1"/>
      <c r="B1311" s="16"/>
      <c r="C1311" s="16"/>
      <c r="D1311" s="16"/>
      <c r="E1311" s="16"/>
      <c r="F1311" s="16"/>
      <c r="G1311" s="16"/>
      <c r="H1311" s="16"/>
      <c r="I1311" s="16"/>
      <c r="J1311" s="16"/>
      <c r="K1311" s="16"/>
      <c r="L1311" s="16"/>
      <c r="M1311" s="26"/>
      <c r="N1311" s="26"/>
      <c r="O1311" s="16"/>
      <c r="P1311" s="1"/>
      <c r="Q1311" s="1"/>
      <c r="R1311" s="1"/>
      <c r="S1311" s="1"/>
      <c r="T1311" s="1"/>
      <c r="U1311" s="33"/>
      <c r="V1311" s="16"/>
      <c r="W1311" s="1"/>
      <c r="X1311" s="1"/>
    </row>
    <row r="1312" spans="1:24">
      <c r="A1312" s="1"/>
      <c r="B1312" s="16"/>
      <c r="C1312" s="16"/>
      <c r="D1312" s="16"/>
      <c r="E1312" s="16"/>
      <c r="F1312" s="16"/>
      <c r="G1312" s="16"/>
      <c r="H1312" s="16"/>
      <c r="I1312" s="16"/>
      <c r="J1312" s="16"/>
      <c r="K1312" s="16"/>
      <c r="L1312" s="16"/>
      <c r="M1312" s="26"/>
      <c r="N1312" s="26"/>
      <c r="O1312" s="16"/>
      <c r="P1312" s="1"/>
      <c r="Q1312" s="1"/>
      <c r="R1312" s="1"/>
      <c r="S1312" s="1"/>
      <c r="T1312" s="1"/>
      <c r="U1312" s="33"/>
      <c r="V1312" s="16"/>
      <c r="W1312" s="1"/>
      <c r="X1312" s="1"/>
    </row>
    <row r="1313" spans="1:24">
      <c r="A1313" s="1"/>
      <c r="B1313" s="16"/>
      <c r="C1313" s="16"/>
      <c r="D1313" s="16"/>
      <c r="E1313" s="16"/>
      <c r="F1313" s="16"/>
      <c r="G1313" s="16"/>
      <c r="H1313" s="16"/>
      <c r="I1313" s="16"/>
      <c r="J1313" s="16"/>
      <c r="K1313" s="16"/>
      <c r="L1313" s="16"/>
      <c r="M1313" s="26"/>
      <c r="N1313" s="26"/>
      <c r="O1313" s="16"/>
      <c r="P1313" s="1"/>
      <c r="Q1313" s="1"/>
      <c r="R1313" s="1"/>
      <c r="S1313" s="1"/>
      <c r="T1313" s="1"/>
      <c r="U1313" s="33"/>
      <c r="V1313" s="16"/>
      <c r="W1313" s="1"/>
      <c r="X1313" s="1"/>
    </row>
    <row r="1314" spans="1:24">
      <c r="A1314" s="1"/>
      <c r="B1314" s="16"/>
      <c r="C1314" s="16"/>
      <c r="D1314" s="16"/>
      <c r="E1314" s="16"/>
      <c r="F1314" s="16"/>
      <c r="G1314" s="16"/>
      <c r="H1314" s="16"/>
      <c r="I1314" s="16"/>
      <c r="J1314" s="16"/>
      <c r="K1314" s="16"/>
      <c r="L1314" s="16"/>
      <c r="M1314" s="26"/>
      <c r="N1314" s="26"/>
      <c r="O1314" s="16"/>
      <c r="P1314" s="1"/>
      <c r="Q1314" s="1"/>
      <c r="R1314" s="1"/>
      <c r="S1314" s="1"/>
      <c r="T1314" s="1"/>
      <c r="U1314" s="33"/>
      <c r="V1314" s="16"/>
      <c r="W1314" s="1"/>
      <c r="X1314" s="1"/>
    </row>
    <row r="1315" spans="1:24">
      <c r="A1315" s="1"/>
      <c r="B1315" s="16"/>
      <c r="C1315" s="16"/>
      <c r="D1315" s="16"/>
      <c r="E1315" s="16"/>
      <c r="F1315" s="16"/>
      <c r="G1315" s="16"/>
      <c r="H1315" s="16"/>
      <c r="I1315" s="16"/>
      <c r="J1315" s="16"/>
      <c r="K1315" s="16"/>
      <c r="L1315" s="16"/>
      <c r="M1315" s="26"/>
      <c r="N1315" s="26"/>
      <c r="O1315" s="16"/>
      <c r="P1315" s="1"/>
      <c r="Q1315" s="1"/>
      <c r="R1315" s="1"/>
      <c r="S1315" s="1"/>
      <c r="T1315" s="1"/>
      <c r="U1315" s="33"/>
      <c r="V1315" s="16"/>
      <c r="W1315" s="1"/>
      <c r="X1315" s="1"/>
    </row>
    <row r="1316" spans="1:24">
      <c r="A1316" s="1"/>
      <c r="B1316" s="16"/>
      <c r="C1316" s="16"/>
      <c r="D1316" s="16"/>
      <c r="E1316" s="16"/>
      <c r="F1316" s="16"/>
      <c r="G1316" s="16"/>
      <c r="H1316" s="16"/>
      <c r="I1316" s="16"/>
      <c r="J1316" s="16"/>
      <c r="K1316" s="16"/>
      <c r="L1316" s="16"/>
      <c r="M1316" s="26"/>
      <c r="N1316" s="26"/>
      <c r="O1316" s="16"/>
      <c r="P1316" s="1"/>
      <c r="Q1316" s="1"/>
      <c r="R1316" s="1"/>
      <c r="S1316" s="1"/>
      <c r="T1316" s="1"/>
      <c r="U1316" s="33"/>
      <c r="V1316" s="16"/>
      <c r="W1316" s="1"/>
      <c r="X1316" s="1"/>
    </row>
    <row r="1317" spans="1:24">
      <c r="A1317" s="1"/>
      <c r="B1317" s="16"/>
      <c r="C1317" s="16"/>
      <c r="D1317" s="16"/>
      <c r="E1317" s="16"/>
      <c r="F1317" s="16"/>
      <c r="G1317" s="16"/>
      <c r="H1317" s="16"/>
      <c r="I1317" s="16"/>
      <c r="J1317" s="16"/>
      <c r="K1317" s="16"/>
      <c r="L1317" s="16"/>
      <c r="M1317" s="26"/>
      <c r="N1317" s="26"/>
      <c r="O1317" s="16"/>
      <c r="P1317" s="1"/>
      <c r="Q1317" s="1"/>
      <c r="R1317" s="1"/>
      <c r="S1317" s="1"/>
      <c r="T1317" s="1"/>
      <c r="U1317" s="33"/>
      <c r="V1317" s="16"/>
      <c r="W1317" s="1"/>
      <c r="X1317" s="1"/>
    </row>
    <row r="1318" spans="1:24">
      <c r="A1318" s="1"/>
      <c r="B1318" s="16"/>
      <c r="C1318" s="16"/>
      <c r="D1318" s="16"/>
      <c r="E1318" s="16"/>
      <c r="F1318" s="16"/>
      <c r="G1318" s="16"/>
      <c r="H1318" s="16"/>
      <c r="I1318" s="16"/>
      <c r="J1318" s="16"/>
      <c r="K1318" s="16"/>
      <c r="L1318" s="16"/>
      <c r="M1318" s="26"/>
      <c r="N1318" s="26"/>
      <c r="O1318" s="16"/>
      <c r="P1318" s="1"/>
      <c r="Q1318" s="1"/>
      <c r="R1318" s="1"/>
      <c r="S1318" s="1"/>
      <c r="T1318" s="1"/>
      <c r="U1318" s="33"/>
      <c r="V1318" s="16"/>
      <c r="W1318" s="1"/>
      <c r="X1318" s="1"/>
    </row>
    <row r="1319" spans="1:24">
      <c r="A1319" s="1"/>
      <c r="B1319" s="16"/>
      <c r="C1319" s="16"/>
      <c r="D1319" s="16"/>
      <c r="E1319" s="16"/>
      <c r="F1319" s="16"/>
      <c r="G1319" s="16"/>
      <c r="H1319" s="16"/>
      <c r="I1319" s="16"/>
      <c r="J1319" s="16"/>
      <c r="K1319" s="16"/>
      <c r="L1319" s="16"/>
      <c r="M1319" s="26"/>
      <c r="N1319" s="26"/>
      <c r="O1319" s="16"/>
      <c r="P1319" s="1"/>
      <c r="Q1319" s="1"/>
      <c r="R1319" s="1"/>
      <c r="S1319" s="1"/>
      <c r="T1319" s="1"/>
      <c r="U1319" s="33"/>
      <c r="V1319" s="16"/>
      <c r="W1319" s="1"/>
      <c r="X1319" s="1"/>
    </row>
    <row r="1320" spans="1:24">
      <c r="A1320" s="1"/>
      <c r="B1320" s="16"/>
      <c r="C1320" s="16"/>
      <c r="D1320" s="16"/>
      <c r="E1320" s="16"/>
      <c r="F1320" s="16"/>
      <c r="G1320" s="16"/>
      <c r="H1320" s="16"/>
      <c r="I1320" s="16"/>
      <c r="J1320" s="16"/>
      <c r="K1320" s="16"/>
      <c r="L1320" s="16"/>
      <c r="M1320" s="26"/>
      <c r="N1320" s="26"/>
      <c r="O1320" s="16"/>
      <c r="P1320" s="1"/>
      <c r="Q1320" s="1"/>
      <c r="R1320" s="1"/>
      <c r="S1320" s="1"/>
      <c r="T1320" s="1"/>
      <c r="U1320" s="33"/>
      <c r="V1320" s="16"/>
      <c r="W1320" s="1"/>
      <c r="X1320" s="1"/>
    </row>
    <row r="1321" spans="1:24">
      <c r="A1321" s="1"/>
      <c r="B1321" s="16"/>
      <c r="C1321" s="16"/>
      <c r="D1321" s="16"/>
      <c r="E1321" s="16"/>
      <c r="F1321" s="16"/>
      <c r="G1321" s="16"/>
      <c r="H1321" s="16"/>
      <c r="I1321" s="16"/>
      <c r="J1321" s="16"/>
      <c r="K1321" s="16"/>
      <c r="L1321" s="16"/>
      <c r="M1321" s="26"/>
      <c r="N1321" s="26"/>
      <c r="O1321" s="16"/>
      <c r="P1321" s="1"/>
      <c r="Q1321" s="1"/>
      <c r="R1321" s="1"/>
      <c r="S1321" s="1"/>
      <c r="T1321" s="1"/>
      <c r="U1321" s="33"/>
      <c r="V1321" s="16"/>
      <c r="W1321" s="1"/>
      <c r="X1321" s="1"/>
    </row>
    <row r="1322" spans="1:24">
      <c r="A1322" s="1"/>
      <c r="B1322" s="16"/>
      <c r="C1322" s="16"/>
      <c r="D1322" s="16"/>
      <c r="E1322" s="16"/>
      <c r="F1322" s="16"/>
      <c r="G1322" s="16"/>
      <c r="H1322" s="16"/>
      <c r="I1322" s="16"/>
      <c r="J1322" s="16"/>
      <c r="K1322" s="16"/>
      <c r="L1322" s="16"/>
      <c r="M1322" s="26"/>
      <c r="N1322" s="26"/>
      <c r="O1322" s="16"/>
      <c r="P1322" s="1"/>
      <c r="Q1322" s="1"/>
      <c r="R1322" s="1"/>
      <c r="S1322" s="1"/>
      <c r="T1322" s="1"/>
      <c r="U1322" s="33"/>
      <c r="V1322" s="16"/>
      <c r="W1322" s="1"/>
      <c r="X1322" s="1"/>
    </row>
    <row r="1323" spans="1:24">
      <c r="A1323" s="1"/>
      <c r="B1323" s="16"/>
      <c r="C1323" s="16"/>
      <c r="D1323" s="16"/>
      <c r="E1323" s="16"/>
      <c r="F1323" s="16"/>
      <c r="G1323" s="16"/>
      <c r="H1323" s="16"/>
      <c r="I1323" s="16"/>
      <c r="J1323" s="16"/>
      <c r="K1323" s="16"/>
      <c r="L1323" s="16"/>
      <c r="M1323" s="26"/>
      <c r="N1323" s="26"/>
      <c r="O1323" s="16"/>
      <c r="P1323" s="1"/>
      <c r="Q1323" s="1"/>
      <c r="R1323" s="1"/>
      <c r="S1323" s="1"/>
      <c r="T1323" s="1"/>
      <c r="U1323" s="33"/>
      <c r="V1323" s="16"/>
      <c r="W1323" s="1"/>
      <c r="X1323" s="1"/>
    </row>
    <row r="1324" spans="1:24">
      <c r="A1324" s="1"/>
      <c r="B1324" s="16"/>
      <c r="C1324" s="16"/>
      <c r="D1324" s="16"/>
      <c r="E1324" s="16"/>
      <c r="F1324" s="16"/>
      <c r="G1324" s="16"/>
      <c r="H1324" s="16"/>
      <c r="I1324" s="16"/>
      <c r="J1324" s="16"/>
      <c r="K1324" s="16"/>
      <c r="L1324" s="16"/>
      <c r="M1324" s="26"/>
      <c r="N1324" s="26"/>
      <c r="O1324" s="16"/>
      <c r="P1324" s="1"/>
      <c r="Q1324" s="1"/>
      <c r="R1324" s="1"/>
      <c r="S1324" s="1"/>
      <c r="T1324" s="1"/>
      <c r="U1324" s="33"/>
      <c r="V1324" s="16"/>
      <c r="W1324" s="1"/>
      <c r="X1324" s="1"/>
    </row>
    <row r="1325" spans="1:24">
      <c r="A1325" s="1"/>
      <c r="B1325" s="16"/>
      <c r="C1325" s="16"/>
      <c r="D1325" s="16"/>
      <c r="E1325" s="16"/>
      <c r="F1325" s="16"/>
      <c r="G1325" s="16"/>
      <c r="H1325" s="16"/>
      <c r="I1325" s="16"/>
      <c r="J1325" s="16"/>
      <c r="K1325" s="16"/>
      <c r="L1325" s="16"/>
      <c r="M1325" s="26"/>
      <c r="N1325" s="26"/>
      <c r="O1325" s="16"/>
      <c r="P1325" s="1"/>
      <c r="Q1325" s="1"/>
      <c r="R1325" s="1"/>
      <c r="S1325" s="1"/>
      <c r="T1325" s="1"/>
      <c r="U1325" s="33"/>
      <c r="V1325" s="16"/>
      <c r="W1325" s="1"/>
      <c r="X1325" s="1"/>
    </row>
    <row r="1326" spans="1:24">
      <c r="A1326" s="1"/>
      <c r="B1326" s="16"/>
      <c r="C1326" s="16"/>
      <c r="D1326" s="16"/>
      <c r="E1326" s="16"/>
      <c r="F1326" s="16"/>
      <c r="G1326" s="16"/>
      <c r="H1326" s="16"/>
      <c r="I1326" s="16"/>
      <c r="J1326" s="16"/>
      <c r="K1326" s="16"/>
      <c r="L1326" s="16"/>
      <c r="M1326" s="26"/>
      <c r="N1326" s="26"/>
      <c r="O1326" s="16"/>
      <c r="P1326" s="1"/>
      <c r="Q1326" s="1"/>
      <c r="R1326" s="1"/>
      <c r="S1326" s="1"/>
      <c r="T1326" s="1"/>
      <c r="U1326" s="33"/>
      <c r="V1326" s="16"/>
      <c r="W1326" s="1"/>
      <c r="X1326" s="1"/>
    </row>
    <row r="1327" spans="1:24">
      <c r="A1327" s="1"/>
      <c r="B1327" s="16"/>
      <c r="C1327" s="16"/>
      <c r="D1327" s="16"/>
      <c r="E1327" s="16"/>
      <c r="F1327" s="16"/>
      <c r="G1327" s="16"/>
      <c r="H1327" s="16"/>
      <c r="I1327" s="16"/>
      <c r="J1327" s="16"/>
      <c r="K1327" s="16"/>
      <c r="L1327" s="16"/>
      <c r="M1327" s="26"/>
      <c r="N1327" s="26"/>
      <c r="O1327" s="16"/>
      <c r="P1327" s="1"/>
      <c r="Q1327" s="1"/>
      <c r="R1327" s="1"/>
      <c r="S1327" s="1"/>
      <c r="T1327" s="1"/>
      <c r="U1327" s="33"/>
      <c r="V1327" s="16"/>
      <c r="W1327" s="1"/>
      <c r="X1327" s="1"/>
    </row>
    <row r="1328" spans="1:24">
      <c r="A1328" s="1"/>
      <c r="B1328" s="16"/>
      <c r="C1328" s="16"/>
      <c r="D1328" s="16"/>
      <c r="E1328" s="16"/>
      <c r="F1328" s="16"/>
      <c r="G1328" s="16"/>
      <c r="H1328" s="16"/>
      <c r="I1328" s="16"/>
      <c r="J1328" s="16"/>
      <c r="K1328" s="16"/>
      <c r="L1328" s="16"/>
      <c r="M1328" s="26"/>
      <c r="N1328" s="26"/>
      <c r="O1328" s="16"/>
      <c r="P1328" s="1"/>
      <c r="Q1328" s="1"/>
      <c r="R1328" s="1"/>
      <c r="S1328" s="1"/>
      <c r="T1328" s="1"/>
      <c r="U1328" s="33"/>
      <c r="V1328" s="16"/>
      <c r="W1328" s="1"/>
      <c r="X1328" s="1"/>
    </row>
    <row r="1329" spans="1:24">
      <c r="A1329" s="1"/>
      <c r="B1329" s="16"/>
      <c r="C1329" s="16"/>
      <c r="D1329" s="16"/>
      <c r="E1329" s="16"/>
      <c r="F1329" s="16"/>
      <c r="G1329" s="16"/>
      <c r="H1329" s="16"/>
      <c r="I1329" s="16"/>
      <c r="J1329" s="16"/>
      <c r="K1329" s="16"/>
      <c r="L1329" s="16"/>
      <c r="M1329" s="26"/>
      <c r="N1329" s="26"/>
      <c r="O1329" s="16"/>
      <c r="P1329" s="1"/>
      <c r="Q1329" s="1"/>
      <c r="R1329" s="1"/>
      <c r="S1329" s="1"/>
      <c r="T1329" s="1"/>
      <c r="U1329" s="33"/>
      <c r="V1329" s="16"/>
      <c r="W1329" s="1"/>
      <c r="X1329" s="1"/>
    </row>
    <row r="1330" spans="1:24">
      <c r="A1330" s="1"/>
      <c r="B1330" s="16"/>
      <c r="C1330" s="16"/>
      <c r="D1330" s="16"/>
      <c r="E1330" s="16"/>
      <c r="F1330" s="16"/>
      <c r="G1330" s="16"/>
      <c r="H1330" s="16"/>
      <c r="I1330" s="16"/>
      <c r="J1330" s="16"/>
      <c r="K1330" s="16"/>
      <c r="L1330" s="16"/>
      <c r="M1330" s="26"/>
      <c r="N1330" s="26"/>
      <c r="O1330" s="16"/>
      <c r="P1330" s="1"/>
      <c r="Q1330" s="1"/>
      <c r="R1330" s="1"/>
      <c r="S1330" s="1"/>
      <c r="T1330" s="1"/>
      <c r="U1330" s="33"/>
      <c r="V1330" s="16"/>
      <c r="W1330" s="1"/>
      <c r="X1330" s="1"/>
    </row>
    <row r="1331" spans="1:24">
      <c r="A1331" s="1"/>
      <c r="B1331" s="16"/>
      <c r="C1331" s="16"/>
      <c r="D1331" s="16"/>
      <c r="E1331" s="16"/>
      <c r="F1331" s="16"/>
      <c r="G1331" s="16"/>
      <c r="H1331" s="16"/>
      <c r="I1331" s="16"/>
      <c r="J1331" s="16"/>
      <c r="K1331" s="16"/>
      <c r="L1331" s="16"/>
      <c r="M1331" s="26"/>
      <c r="N1331" s="26"/>
      <c r="O1331" s="16"/>
      <c r="P1331" s="1"/>
      <c r="Q1331" s="1"/>
      <c r="R1331" s="1"/>
      <c r="S1331" s="1"/>
      <c r="T1331" s="1"/>
      <c r="U1331" s="33"/>
      <c r="V1331" s="16"/>
      <c r="W1331" s="1"/>
      <c r="X1331" s="1"/>
    </row>
    <row r="1332" spans="1:24">
      <c r="A1332" s="1"/>
      <c r="B1332" s="16"/>
      <c r="C1332" s="16"/>
      <c r="D1332" s="16"/>
      <c r="E1332" s="16"/>
      <c r="F1332" s="16"/>
      <c r="G1332" s="16"/>
      <c r="H1332" s="16"/>
      <c r="I1332" s="16"/>
      <c r="J1332" s="16"/>
      <c r="K1332" s="16"/>
      <c r="L1332" s="16"/>
      <c r="M1332" s="26"/>
      <c r="N1332" s="26"/>
      <c r="O1332" s="16"/>
      <c r="P1332" s="1"/>
      <c r="Q1332" s="1"/>
      <c r="R1332" s="1"/>
      <c r="S1332" s="1"/>
      <c r="T1332" s="1"/>
      <c r="U1332" s="33"/>
      <c r="V1332" s="16"/>
      <c r="W1332" s="1"/>
      <c r="X1332" s="1"/>
    </row>
    <row r="1333" spans="1:24">
      <c r="A1333" s="1"/>
      <c r="B1333" s="16"/>
      <c r="C1333" s="16"/>
      <c r="D1333" s="16"/>
      <c r="E1333" s="16"/>
      <c r="F1333" s="16"/>
      <c r="G1333" s="16"/>
      <c r="H1333" s="16"/>
      <c r="I1333" s="16"/>
      <c r="J1333" s="16"/>
      <c r="K1333" s="16"/>
      <c r="L1333" s="16"/>
      <c r="M1333" s="26"/>
      <c r="N1333" s="26"/>
      <c r="O1333" s="16"/>
      <c r="P1333" s="1"/>
      <c r="Q1333" s="1"/>
      <c r="R1333" s="1"/>
      <c r="S1333" s="1"/>
      <c r="T1333" s="1"/>
      <c r="U1333" s="33"/>
      <c r="V1333" s="16"/>
      <c r="W1333" s="1"/>
      <c r="X1333" s="1"/>
    </row>
    <row r="1334" spans="1:24">
      <c r="A1334" s="1"/>
      <c r="B1334" s="16"/>
      <c r="C1334" s="16"/>
      <c r="D1334" s="16"/>
      <c r="E1334" s="16"/>
      <c r="F1334" s="16"/>
      <c r="G1334" s="16"/>
      <c r="H1334" s="16"/>
      <c r="I1334" s="16"/>
      <c r="J1334" s="16"/>
      <c r="K1334" s="16"/>
      <c r="L1334" s="16"/>
      <c r="M1334" s="26"/>
      <c r="N1334" s="26"/>
      <c r="O1334" s="16"/>
      <c r="P1334" s="1"/>
      <c r="Q1334" s="1"/>
      <c r="R1334" s="1"/>
      <c r="S1334" s="1"/>
      <c r="T1334" s="1"/>
      <c r="U1334" s="33"/>
      <c r="V1334" s="16"/>
      <c r="W1334" s="1"/>
      <c r="X1334" s="1"/>
    </row>
    <row r="1335" spans="1:24">
      <c r="A1335" s="1"/>
      <c r="B1335" s="16"/>
      <c r="C1335" s="16"/>
      <c r="D1335" s="16"/>
      <c r="E1335" s="16"/>
      <c r="F1335" s="16"/>
      <c r="G1335" s="16"/>
      <c r="H1335" s="16"/>
      <c r="I1335" s="16"/>
      <c r="J1335" s="16"/>
      <c r="K1335" s="16"/>
      <c r="L1335" s="16"/>
      <c r="M1335" s="26"/>
      <c r="N1335" s="26"/>
      <c r="O1335" s="16"/>
      <c r="P1335" s="1"/>
      <c r="Q1335" s="1"/>
      <c r="R1335" s="1"/>
      <c r="S1335" s="1"/>
      <c r="T1335" s="1"/>
      <c r="U1335" s="33"/>
      <c r="V1335" s="16"/>
      <c r="W1335" s="1"/>
      <c r="X1335" s="1"/>
    </row>
    <row r="1336" spans="1:24">
      <c r="A1336" s="1"/>
      <c r="B1336" s="16"/>
      <c r="C1336" s="16"/>
      <c r="D1336" s="16"/>
      <c r="E1336" s="16"/>
      <c r="F1336" s="16"/>
      <c r="G1336" s="16"/>
      <c r="H1336" s="16"/>
      <c r="I1336" s="16"/>
      <c r="J1336" s="16"/>
      <c r="K1336" s="16"/>
      <c r="L1336" s="16"/>
      <c r="M1336" s="26"/>
      <c r="N1336" s="26"/>
      <c r="O1336" s="16"/>
      <c r="P1336" s="1"/>
      <c r="Q1336" s="1"/>
      <c r="R1336" s="1"/>
      <c r="S1336" s="1"/>
      <c r="T1336" s="1"/>
      <c r="U1336" s="33"/>
      <c r="V1336" s="16"/>
      <c r="W1336" s="1"/>
      <c r="X1336" s="1"/>
    </row>
    <row r="1337" spans="1:24">
      <c r="A1337" s="1"/>
      <c r="B1337" s="16"/>
      <c r="C1337" s="16"/>
      <c r="D1337" s="16"/>
      <c r="E1337" s="16"/>
      <c r="F1337" s="16"/>
      <c r="G1337" s="16"/>
      <c r="H1337" s="16"/>
      <c r="I1337" s="16"/>
      <c r="J1337" s="16"/>
      <c r="K1337" s="16"/>
      <c r="L1337" s="16"/>
      <c r="M1337" s="26"/>
      <c r="N1337" s="26"/>
      <c r="O1337" s="16"/>
      <c r="P1337" s="1"/>
      <c r="Q1337" s="1"/>
      <c r="R1337" s="1"/>
      <c r="S1337" s="1"/>
      <c r="T1337" s="1"/>
      <c r="U1337" s="33"/>
      <c r="V1337" s="16"/>
      <c r="W1337" s="1"/>
      <c r="X1337" s="1"/>
    </row>
    <row r="1338" spans="1:24">
      <c r="A1338" s="1"/>
      <c r="B1338" s="16"/>
      <c r="C1338" s="16"/>
      <c r="D1338" s="16"/>
      <c r="E1338" s="16"/>
      <c r="F1338" s="16"/>
      <c r="G1338" s="16"/>
      <c r="H1338" s="16"/>
      <c r="I1338" s="16"/>
      <c r="J1338" s="16"/>
      <c r="K1338" s="16"/>
      <c r="L1338" s="16"/>
      <c r="M1338" s="26"/>
      <c r="N1338" s="26"/>
      <c r="O1338" s="16"/>
      <c r="P1338" s="1"/>
      <c r="Q1338" s="1"/>
      <c r="R1338" s="1"/>
      <c r="S1338" s="1"/>
      <c r="T1338" s="1"/>
      <c r="U1338" s="33"/>
      <c r="V1338" s="16"/>
      <c r="W1338" s="1"/>
      <c r="X1338" s="1"/>
    </row>
    <row r="1339" spans="1:24">
      <c r="A1339" s="1"/>
      <c r="B1339" s="16"/>
      <c r="C1339" s="16"/>
      <c r="D1339" s="16"/>
      <c r="E1339" s="16"/>
      <c r="F1339" s="16"/>
      <c r="G1339" s="16"/>
      <c r="H1339" s="16"/>
      <c r="I1339" s="16"/>
      <c r="J1339" s="16"/>
      <c r="K1339" s="16"/>
      <c r="L1339" s="16"/>
      <c r="M1339" s="26"/>
      <c r="N1339" s="26"/>
      <c r="O1339" s="16"/>
      <c r="P1339" s="1"/>
      <c r="Q1339" s="1"/>
      <c r="R1339" s="1"/>
      <c r="S1339" s="1"/>
      <c r="T1339" s="1"/>
      <c r="U1339" s="33"/>
      <c r="V1339" s="16"/>
      <c r="W1339" s="1"/>
      <c r="X1339" s="1"/>
    </row>
    <row r="1340" spans="1:24">
      <c r="A1340" s="1"/>
      <c r="B1340" s="16"/>
      <c r="C1340" s="16"/>
      <c r="D1340" s="16"/>
      <c r="E1340" s="16"/>
      <c r="F1340" s="16"/>
      <c r="G1340" s="16"/>
      <c r="H1340" s="16"/>
      <c r="I1340" s="16"/>
      <c r="J1340" s="16"/>
      <c r="K1340" s="16"/>
      <c r="L1340" s="16"/>
      <c r="M1340" s="26"/>
      <c r="N1340" s="26"/>
      <c r="O1340" s="16"/>
      <c r="P1340" s="1"/>
      <c r="Q1340" s="1"/>
      <c r="R1340" s="1"/>
      <c r="S1340" s="1"/>
      <c r="T1340" s="1"/>
      <c r="U1340" s="33"/>
      <c r="V1340" s="16"/>
      <c r="W1340" s="1"/>
      <c r="X1340" s="1"/>
    </row>
    <row r="1341" spans="1:24">
      <c r="A1341" s="1"/>
      <c r="B1341" s="16"/>
      <c r="C1341" s="16"/>
      <c r="D1341" s="16"/>
      <c r="E1341" s="16"/>
      <c r="F1341" s="16"/>
      <c r="G1341" s="16"/>
      <c r="H1341" s="16"/>
      <c r="I1341" s="16"/>
      <c r="J1341" s="16"/>
      <c r="K1341" s="16"/>
      <c r="L1341" s="16"/>
      <c r="M1341" s="26"/>
      <c r="N1341" s="26"/>
      <c r="O1341" s="16"/>
      <c r="P1341" s="1"/>
      <c r="Q1341" s="1"/>
      <c r="R1341" s="1"/>
      <c r="S1341" s="1"/>
      <c r="T1341" s="1"/>
      <c r="U1341" s="33"/>
      <c r="V1341" s="16"/>
      <c r="W1341" s="1"/>
      <c r="X1341" s="1"/>
    </row>
    <row r="1342" spans="1:24">
      <c r="A1342" s="1"/>
      <c r="B1342" s="16"/>
      <c r="C1342" s="16"/>
      <c r="D1342" s="16"/>
      <c r="E1342" s="16"/>
      <c r="F1342" s="16"/>
      <c r="G1342" s="16"/>
      <c r="H1342" s="16"/>
      <c r="I1342" s="16"/>
      <c r="J1342" s="16"/>
      <c r="K1342" s="16"/>
      <c r="L1342" s="16"/>
      <c r="M1342" s="26"/>
      <c r="N1342" s="26"/>
      <c r="O1342" s="16"/>
      <c r="P1342" s="1"/>
      <c r="Q1342" s="1"/>
      <c r="R1342" s="1"/>
      <c r="S1342" s="1"/>
      <c r="T1342" s="1"/>
      <c r="U1342" s="33"/>
      <c r="V1342" s="16"/>
      <c r="W1342" s="1"/>
      <c r="X1342" s="1"/>
    </row>
    <row r="1343" spans="1:24">
      <c r="A1343" s="1"/>
      <c r="B1343" s="16"/>
      <c r="C1343" s="16"/>
      <c r="D1343" s="16"/>
      <c r="E1343" s="16"/>
      <c r="F1343" s="16"/>
      <c r="G1343" s="16"/>
      <c r="H1343" s="16"/>
      <c r="I1343" s="16"/>
      <c r="J1343" s="16"/>
      <c r="K1343" s="16"/>
      <c r="L1343" s="16"/>
      <c r="M1343" s="26"/>
      <c r="N1343" s="26"/>
      <c r="O1343" s="16"/>
      <c r="P1343" s="1"/>
      <c r="Q1343" s="1"/>
      <c r="R1343" s="1"/>
      <c r="S1343" s="1"/>
      <c r="T1343" s="1"/>
      <c r="U1343" s="33"/>
      <c r="V1343" s="16"/>
      <c r="W1343" s="1"/>
      <c r="X1343" s="1"/>
    </row>
    <row r="1344" spans="1:24">
      <c r="A1344" s="1"/>
      <c r="B1344" s="16"/>
      <c r="C1344" s="16"/>
      <c r="D1344" s="16"/>
      <c r="E1344" s="16"/>
      <c r="F1344" s="16"/>
      <c r="G1344" s="16"/>
      <c r="H1344" s="16"/>
      <c r="I1344" s="16"/>
      <c r="J1344" s="16"/>
      <c r="K1344" s="16"/>
      <c r="L1344" s="16"/>
      <c r="M1344" s="26"/>
      <c r="N1344" s="26"/>
      <c r="O1344" s="16"/>
      <c r="P1344" s="1"/>
      <c r="Q1344" s="1"/>
      <c r="R1344" s="1"/>
      <c r="S1344" s="1"/>
      <c r="T1344" s="1"/>
      <c r="U1344" s="33"/>
      <c r="V1344" s="16"/>
      <c r="W1344" s="1"/>
      <c r="X1344" s="1"/>
    </row>
    <row r="1345" spans="1:24">
      <c r="A1345" s="1"/>
      <c r="B1345" s="16"/>
      <c r="C1345" s="16"/>
      <c r="D1345" s="16"/>
      <c r="E1345" s="16"/>
      <c r="F1345" s="16"/>
      <c r="G1345" s="16"/>
      <c r="H1345" s="16"/>
      <c r="I1345" s="16"/>
      <c r="J1345" s="16"/>
      <c r="K1345" s="16"/>
      <c r="L1345" s="16"/>
      <c r="M1345" s="26"/>
      <c r="N1345" s="26"/>
      <c r="O1345" s="16"/>
      <c r="P1345" s="1"/>
      <c r="Q1345" s="1"/>
      <c r="R1345" s="1"/>
      <c r="S1345" s="1"/>
      <c r="T1345" s="1"/>
      <c r="U1345" s="33"/>
      <c r="V1345" s="16"/>
      <c r="W1345" s="1"/>
      <c r="X1345" s="1"/>
    </row>
    <row r="1346" spans="1:24">
      <c r="A1346" s="1"/>
      <c r="B1346" s="16"/>
      <c r="C1346" s="16"/>
      <c r="D1346" s="16"/>
      <c r="E1346" s="16"/>
      <c r="F1346" s="16"/>
      <c r="G1346" s="16"/>
      <c r="H1346" s="16"/>
      <c r="I1346" s="16"/>
      <c r="J1346" s="16"/>
      <c r="K1346" s="16"/>
      <c r="L1346" s="16"/>
      <c r="M1346" s="26"/>
      <c r="N1346" s="26"/>
      <c r="O1346" s="16"/>
      <c r="P1346" s="1"/>
      <c r="Q1346" s="1"/>
      <c r="R1346" s="1"/>
      <c r="S1346" s="1"/>
      <c r="T1346" s="1"/>
      <c r="U1346" s="33"/>
      <c r="V1346" s="16"/>
      <c r="W1346" s="1"/>
      <c r="X1346" s="1"/>
    </row>
    <row r="1347" spans="1:24">
      <c r="A1347" s="1"/>
      <c r="B1347" s="16"/>
      <c r="C1347" s="16"/>
      <c r="D1347" s="16"/>
      <c r="E1347" s="16"/>
      <c r="F1347" s="16"/>
      <c r="G1347" s="16"/>
      <c r="H1347" s="16"/>
      <c r="I1347" s="16"/>
      <c r="J1347" s="16"/>
      <c r="K1347" s="16"/>
      <c r="L1347" s="16"/>
      <c r="M1347" s="26"/>
      <c r="N1347" s="26"/>
      <c r="O1347" s="16"/>
      <c r="P1347" s="1"/>
      <c r="Q1347" s="1"/>
      <c r="R1347" s="1"/>
      <c r="S1347" s="1"/>
      <c r="T1347" s="1"/>
      <c r="U1347" s="33"/>
      <c r="V1347" s="16"/>
      <c r="W1347" s="1"/>
      <c r="X1347" s="1"/>
    </row>
    <row r="1348" spans="1:24">
      <c r="A1348" s="1"/>
      <c r="B1348" s="16"/>
      <c r="C1348" s="16"/>
      <c r="D1348" s="16"/>
      <c r="E1348" s="16"/>
      <c r="F1348" s="16"/>
      <c r="G1348" s="16"/>
      <c r="H1348" s="16"/>
      <c r="I1348" s="16"/>
      <c r="J1348" s="16"/>
      <c r="K1348" s="16"/>
      <c r="L1348" s="16"/>
      <c r="M1348" s="26"/>
      <c r="N1348" s="26"/>
      <c r="O1348" s="16"/>
      <c r="P1348" s="1"/>
      <c r="Q1348" s="1"/>
      <c r="R1348" s="1"/>
      <c r="S1348" s="1"/>
      <c r="T1348" s="1"/>
      <c r="U1348" s="33"/>
      <c r="V1348" s="16"/>
      <c r="W1348" s="1"/>
      <c r="X1348" s="1"/>
    </row>
    <row r="1349" spans="1:24">
      <c r="A1349" s="1"/>
      <c r="B1349" s="16"/>
      <c r="C1349" s="16"/>
      <c r="D1349" s="16"/>
      <c r="E1349" s="16"/>
      <c r="F1349" s="16"/>
      <c r="G1349" s="16"/>
      <c r="H1349" s="16"/>
      <c r="I1349" s="16"/>
      <c r="J1349" s="16"/>
      <c r="K1349" s="16"/>
      <c r="L1349" s="16"/>
      <c r="M1349" s="26"/>
      <c r="N1349" s="26"/>
      <c r="O1349" s="16"/>
      <c r="P1349" s="1"/>
      <c r="Q1349" s="1"/>
      <c r="R1349" s="1"/>
      <c r="S1349" s="1"/>
      <c r="T1349" s="1"/>
      <c r="U1349" s="33"/>
      <c r="V1349" s="16"/>
      <c r="W1349" s="1"/>
      <c r="X1349" s="1"/>
    </row>
    <row r="1350" spans="1:24">
      <c r="A1350" s="1"/>
      <c r="B1350" s="16"/>
      <c r="C1350" s="16"/>
      <c r="D1350" s="16"/>
      <c r="E1350" s="16"/>
      <c r="F1350" s="16"/>
      <c r="G1350" s="16"/>
      <c r="H1350" s="16"/>
      <c r="I1350" s="16"/>
      <c r="J1350" s="16"/>
      <c r="K1350" s="16"/>
      <c r="L1350" s="16"/>
      <c r="M1350" s="26"/>
      <c r="N1350" s="26"/>
      <c r="O1350" s="16"/>
      <c r="P1350" s="1"/>
      <c r="Q1350" s="1"/>
      <c r="R1350" s="1"/>
      <c r="S1350" s="1"/>
      <c r="T1350" s="1"/>
      <c r="U1350" s="33"/>
      <c r="V1350" s="16"/>
      <c r="W1350" s="1"/>
      <c r="X1350" s="1"/>
    </row>
    <row r="1351" spans="1:24">
      <c r="A1351" s="1"/>
      <c r="B1351" s="16"/>
      <c r="C1351" s="16"/>
      <c r="D1351" s="16"/>
      <c r="E1351" s="16"/>
      <c r="F1351" s="16"/>
      <c r="G1351" s="16"/>
      <c r="H1351" s="16"/>
      <c r="I1351" s="16"/>
      <c r="J1351" s="16"/>
      <c r="K1351" s="16"/>
      <c r="L1351" s="16"/>
      <c r="M1351" s="26"/>
      <c r="N1351" s="26"/>
      <c r="O1351" s="16"/>
      <c r="P1351" s="1"/>
      <c r="Q1351" s="1"/>
      <c r="R1351" s="1"/>
      <c r="S1351" s="1"/>
      <c r="T1351" s="1"/>
      <c r="U1351" s="33"/>
      <c r="V1351" s="16"/>
      <c r="W1351" s="1"/>
      <c r="X1351" s="1"/>
    </row>
    <row r="1352" spans="1:24">
      <c r="A1352" s="1"/>
      <c r="B1352" s="16"/>
      <c r="C1352" s="16"/>
      <c r="D1352" s="16"/>
      <c r="E1352" s="16"/>
      <c r="F1352" s="16"/>
      <c r="G1352" s="16"/>
      <c r="H1352" s="16"/>
      <c r="I1352" s="16"/>
      <c r="J1352" s="16"/>
      <c r="K1352" s="16"/>
      <c r="L1352" s="16"/>
      <c r="M1352" s="26"/>
      <c r="N1352" s="26"/>
      <c r="O1352" s="16"/>
      <c r="P1352" s="1"/>
      <c r="Q1352" s="1"/>
      <c r="R1352" s="1"/>
      <c r="S1352" s="1"/>
      <c r="T1352" s="1"/>
      <c r="U1352" s="33"/>
      <c r="V1352" s="16"/>
      <c r="W1352" s="1"/>
      <c r="X1352" s="1"/>
    </row>
    <row r="1353" spans="1:24">
      <c r="A1353" s="1"/>
      <c r="B1353" s="16"/>
      <c r="C1353" s="16"/>
      <c r="D1353" s="16"/>
      <c r="E1353" s="16"/>
      <c r="F1353" s="16"/>
      <c r="G1353" s="16"/>
      <c r="H1353" s="16"/>
      <c r="I1353" s="16"/>
      <c r="J1353" s="16"/>
      <c r="K1353" s="16"/>
      <c r="L1353" s="16"/>
      <c r="M1353" s="26"/>
      <c r="N1353" s="26"/>
      <c r="O1353" s="16"/>
      <c r="P1353" s="1"/>
      <c r="Q1353" s="1"/>
      <c r="R1353" s="1"/>
      <c r="S1353" s="1"/>
      <c r="T1353" s="1"/>
      <c r="U1353" s="33"/>
      <c r="V1353" s="16"/>
      <c r="W1353" s="1"/>
      <c r="X1353" s="1"/>
    </row>
    <row r="1354" spans="1:24">
      <c r="A1354" s="1"/>
      <c r="B1354" s="16"/>
      <c r="C1354" s="16"/>
      <c r="D1354" s="16"/>
      <c r="E1354" s="16"/>
      <c r="F1354" s="16"/>
      <c r="G1354" s="16"/>
      <c r="H1354" s="16"/>
      <c r="I1354" s="16"/>
      <c r="J1354" s="16"/>
      <c r="K1354" s="16"/>
      <c r="L1354" s="16"/>
      <c r="M1354" s="26"/>
      <c r="N1354" s="26"/>
      <c r="O1354" s="16"/>
      <c r="P1354" s="1"/>
      <c r="Q1354" s="1"/>
      <c r="R1354" s="1"/>
      <c r="S1354" s="1"/>
      <c r="T1354" s="1"/>
      <c r="U1354" s="33"/>
      <c r="V1354" s="16"/>
      <c r="W1354" s="1"/>
      <c r="X1354" s="1"/>
    </row>
    <row r="1355" spans="1:24">
      <c r="A1355" s="1"/>
      <c r="B1355" s="16"/>
      <c r="C1355" s="16"/>
      <c r="D1355" s="16"/>
      <c r="E1355" s="16"/>
      <c r="F1355" s="16"/>
      <c r="G1355" s="16"/>
      <c r="H1355" s="16"/>
      <c r="I1355" s="16"/>
      <c r="J1355" s="16"/>
      <c r="K1355" s="16"/>
      <c r="L1355" s="16"/>
      <c r="M1355" s="26"/>
      <c r="N1355" s="26"/>
      <c r="O1355" s="16"/>
      <c r="P1355" s="1"/>
      <c r="Q1355" s="1"/>
      <c r="R1355" s="1"/>
      <c r="S1355" s="1"/>
      <c r="T1355" s="1"/>
      <c r="U1355" s="33"/>
      <c r="V1355" s="16"/>
      <c r="W1355" s="1"/>
      <c r="X1355" s="1"/>
    </row>
    <row r="1356" spans="1:24">
      <c r="A1356" s="1"/>
      <c r="B1356" s="16"/>
      <c r="C1356" s="16"/>
      <c r="D1356" s="16"/>
      <c r="E1356" s="16"/>
      <c r="F1356" s="16"/>
      <c r="G1356" s="16"/>
      <c r="H1356" s="16"/>
      <c r="I1356" s="16"/>
      <c r="J1356" s="16"/>
      <c r="K1356" s="16"/>
      <c r="L1356" s="16"/>
      <c r="M1356" s="26"/>
      <c r="N1356" s="26"/>
      <c r="O1356" s="16"/>
      <c r="P1356" s="1"/>
      <c r="Q1356" s="1"/>
      <c r="R1356" s="1"/>
      <c r="S1356" s="1"/>
      <c r="T1356" s="1"/>
      <c r="U1356" s="33"/>
      <c r="V1356" s="16"/>
      <c r="W1356" s="1"/>
      <c r="X1356" s="1"/>
    </row>
    <row r="1357" spans="1:24">
      <c r="A1357" s="1"/>
      <c r="B1357" s="16"/>
      <c r="C1357" s="16"/>
      <c r="D1357" s="16"/>
      <c r="E1357" s="16"/>
      <c r="F1357" s="16"/>
      <c r="G1357" s="16"/>
      <c r="H1357" s="16"/>
      <c r="I1357" s="16"/>
      <c r="J1357" s="16"/>
      <c r="K1357" s="16"/>
      <c r="L1357" s="16"/>
      <c r="M1357" s="26"/>
      <c r="N1357" s="26"/>
      <c r="O1357" s="16"/>
      <c r="P1357" s="1"/>
      <c r="Q1357" s="1"/>
      <c r="R1357" s="1"/>
      <c r="S1357" s="1"/>
      <c r="T1357" s="1"/>
      <c r="U1357" s="33"/>
      <c r="V1357" s="16"/>
      <c r="W1357" s="1"/>
      <c r="X1357" s="1"/>
    </row>
    <row r="1358" spans="1:24">
      <c r="A1358" s="1"/>
      <c r="B1358" s="16"/>
      <c r="C1358" s="16"/>
      <c r="D1358" s="16"/>
      <c r="E1358" s="16"/>
      <c r="F1358" s="16"/>
      <c r="G1358" s="16"/>
      <c r="H1358" s="16"/>
      <c r="I1358" s="16"/>
      <c r="J1358" s="16"/>
      <c r="K1358" s="16"/>
      <c r="L1358" s="16"/>
      <c r="M1358" s="26"/>
      <c r="N1358" s="26"/>
      <c r="O1358" s="16"/>
      <c r="P1358" s="1"/>
      <c r="Q1358" s="1"/>
      <c r="R1358" s="1"/>
      <c r="S1358" s="1"/>
      <c r="T1358" s="1"/>
      <c r="U1358" s="33"/>
      <c r="V1358" s="16"/>
      <c r="W1358" s="1"/>
      <c r="X1358" s="1"/>
    </row>
    <row r="1359" spans="1:24">
      <c r="A1359" s="1"/>
      <c r="B1359" s="16"/>
      <c r="C1359" s="16"/>
      <c r="D1359" s="16"/>
      <c r="E1359" s="16"/>
      <c r="F1359" s="16"/>
      <c r="G1359" s="16"/>
      <c r="H1359" s="16"/>
      <c r="I1359" s="16"/>
      <c r="J1359" s="16"/>
      <c r="K1359" s="16"/>
      <c r="L1359" s="16"/>
      <c r="M1359" s="26"/>
      <c r="N1359" s="26"/>
      <c r="O1359" s="16"/>
      <c r="P1359" s="1"/>
      <c r="Q1359" s="1"/>
      <c r="R1359" s="1"/>
      <c r="S1359" s="1"/>
      <c r="T1359" s="1"/>
      <c r="U1359" s="33"/>
      <c r="V1359" s="16"/>
      <c r="W1359" s="1"/>
      <c r="X1359" s="1"/>
    </row>
    <row r="1360" spans="1:24">
      <c r="A1360" s="1"/>
      <c r="B1360" s="16"/>
      <c r="C1360" s="16"/>
      <c r="D1360" s="16"/>
      <c r="E1360" s="16"/>
      <c r="F1360" s="16"/>
      <c r="G1360" s="16"/>
      <c r="H1360" s="16"/>
      <c r="I1360" s="16"/>
      <c r="J1360" s="16"/>
      <c r="K1360" s="16"/>
      <c r="L1360" s="16"/>
      <c r="M1360" s="26"/>
      <c r="N1360" s="26"/>
      <c r="O1360" s="16"/>
      <c r="P1360" s="1"/>
      <c r="Q1360" s="1"/>
      <c r="R1360" s="1"/>
      <c r="S1360" s="1"/>
      <c r="T1360" s="1"/>
      <c r="U1360" s="33"/>
      <c r="V1360" s="16"/>
      <c r="W1360" s="1"/>
      <c r="X1360" s="1"/>
    </row>
    <row r="1361" spans="1:24">
      <c r="A1361" s="1"/>
      <c r="B1361" s="16"/>
      <c r="C1361" s="16"/>
      <c r="D1361" s="16"/>
      <c r="E1361" s="16"/>
      <c r="F1361" s="16"/>
      <c r="G1361" s="16"/>
      <c r="H1361" s="16"/>
      <c r="I1361" s="16"/>
      <c r="J1361" s="16"/>
      <c r="K1361" s="16"/>
      <c r="L1361" s="16"/>
      <c r="M1361" s="26"/>
      <c r="N1361" s="26"/>
      <c r="O1361" s="16"/>
      <c r="P1361" s="1"/>
      <c r="Q1361" s="1"/>
      <c r="R1361" s="1"/>
      <c r="S1361" s="1"/>
      <c r="T1361" s="1"/>
      <c r="U1361" s="33"/>
      <c r="V1361" s="16"/>
      <c r="W1361" s="1"/>
      <c r="X1361" s="1"/>
    </row>
    <row r="1362" spans="1:24">
      <c r="A1362" s="1"/>
      <c r="B1362" s="16"/>
      <c r="C1362" s="16"/>
      <c r="D1362" s="16"/>
      <c r="E1362" s="16"/>
      <c r="F1362" s="16"/>
      <c r="G1362" s="16"/>
      <c r="H1362" s="16"/>
      <c r="I1362" s="16"/>
      <c r="J1362" s="16"/>
      <c r="K1362" s="16"/>
      <c r="L1362" s="16"/>
      <c r="M1362" s="26"/>
      <c r="N1362" s="26"/>
      <c r="O1362" s="16"/>
      <c r="P1362" s="1"/>
      <c r="Q1362" s="1"/>
      <c r="R1362" s="1"/>
      <c r="S1362" s="1"/>
      <c r="T1362" s="1"/>
      <c r="U1362" s="33"/>
      <c r="V1362" s="16"/>
      <c r="W1362" s="1"/>
      <c r="X1362" s="1"/>
    </row>
    <row r="1363" spans="1:24">
      <c r="A1363" s="1"/>
      <c r="B1363" s="16"/>
      <c r="C1363" s="16"/>
      <c r="D1363" s="16"/>
      <c r="E1363" s="16"/>
      <c r="F1363" s="16"/>
      <c r="G1363" s="16"/>
      <c r="H1363" s="16"/>
      <c r="I1363" s="16"/>
      <c r="J1363" s="16"/>
      <c r="K1363" s="16"/>
      <c r="L1363" s="16"/>
      <c r="M1363" s="26"/>
      <c r="N1363" s="26"/>
      <c r="O1363" s="16"/>
      <c r="P1363" s="1"/>
      <c r="Q1363" s="1"/>
      <c r="R1363" s="1"/>
      <c r="S1363" s="1"/>
      <c r="T1363" s="1"/>
      <c r="U1363" s="33"/>
      <c r="V1363" s="16"/>
      <c r="W1363" s="1"/>
      <c r="X1363" s="1"/>
    </row>
    <row r="1364" spans="1:24">
      <c r="A1364" s="1"/>
      <c r="B1364" s="16"/>
      <c r="C1364" s="16"/>
      <c r="D1364" s="16"/>
      <c r="E1364" s="16"/>
      <c r="F1364" s="16"/>
      <c r="G1364" s="16"/>
      <c r="H1364" s="16"/>
      <c r="I1364" s="16"/>
      <c r="J1364" s="16"/>
      <c r="K1364" s="16"/>
      <c r="L1364" s="16"/>
      <c r="M1364" s="26"/>
      <c r="N1364" s="26"/>
      <c r="O1364" s="16"/>
      <c r="P1364" s="1"/>
      <c r="Q1364" s="1"/>
      <c r="R1364" s="1"/>
      <c r="S1364" s="1"/>
      <c r="T1364" s="1"/>
      <c r="U1364" s="33"/>
      <c r="V1364" s="16"/>
      <c r="W1364" s="1"/>
      <c r="X1364" s="1"/>
    </row>
    <row r="1365" spans="1:24">
      <c r="A1365" s="1"/>
      <c r="B1365" s="16"/>
      <c r="C1365" s="16"/>
      <c r="D1365" s="16"/>
      <c r="E1365" s="16"/>
      <c r="F1365" s="16"/>
      <c r="G1365" s="16"/>
      <c r="H1365" s="16"/>
      <c r="I1365" s="16"/>
      <c r="J1365" s="16"/>
      <c r="K1365" s="16"/>
      <c r="L1365" s="16"/>
      <c r="M1365" s="26"/>
      <c r="N1365" s="26"/>
      <c r="O1365" s="16"/>
      <c r="P1365" s="1"/>
      <c r="Q1365" s="1"/>
      <c r="R1365" s="1"/>
      <c r="S1365" s="1"/>
      <c r="T1365" s="1"/>
      <c r="U1365" s="33"/>
      <c r="V1365" s="16"/>
      <c r="W1365" s="1"/>
      <c r="X1365" s="1"/>
    </row>
    <row r="1366" spans="1:24">
      <c r="A1366" s="1"/>
      <c r="B1366" s="16"/>
      <c r="C1366" s="16"/>
      <c r="D1366" s="16"/>
      <c r="E1366" s="16"/>
      <c r="F1366" s="16"/>
      <c r="G1366" s="16"/>
      <c r="H1366" s="16"/>
      <c r="I1366" s="16"/>
      <c r="J1366" s="16"/>
      <c r="K1366" s="16"/>
      <c r="L1366" s="16"/>
      <c r="M1366" s="26"/>
      <c r="N1366" s="26"/>
      <c r="O1366" s="16"/>
      <c r="P1366" s="1"/>
      <c r="Q1366" s="1"/>
      <c r="R1366" s="1"/>
      <c r="S1366" s="1"/>
      <c r="T1366" s="1"/>
      <c r="U1366" s="33"/>
      <c r="V1366" s="16"/>
      <c r="W1366" s="1"/>
      <c r="X1366" s="1"/>
    </row>
    <row r="1367" spans="1:24">
      <c r="A1367" s="1"/>
      <c r="B1367" s="16"/>
      <c r="C1367" s="16"/>
      <c r="D1367" s="16"/>
      <c r="E1367" s="16"/>
      <c r="F1367" s="16"/>
      <c r="G1367" s="16"/>
      <c r="H1367" s="16"/>
      <c r="I1367" s="16"/>
      <c r="J1367" s="16"/>
      <c r="K1367" s="16"/>
      <c r="L1367" s="16"/>
      <c r="M1367" s="26"/>
      <c r="N1367" s="26"/>
      <c r="O1367" s="16"/>
      <c r="P1367" s="1"/>
      <c r="Q1367" s="1"/>
      <c r="R1367" s="1"/>
      <c r="S1367" s="1"/>
      <c r="T1367" s="1"/>
      <c r="U1367" s="33"/>
      <c r="V1367" s="16"/>
      <c r="W1367" s="1"/>
      <c r="X1367" s="1"/>
    </row>
    <row r="1368" spans="1:24">
      <c r="A1368" s="1"/>
      <c r="B1368" s="16"/>
      <c r="C1368" s="16"/>
      <c r="D1368" s="16"/>
      <c r="E1368" s="16"/>
      <c r="F1368" s="16"/>
      <c r="G1368" s="16"/>
      <c r="H1368" s="16"/>
      <c r="I1368" s="16"/>
      <c r="J1368" s="16"/>
      <c r="K1368" s="16"/>
      <c r="L1368" s="16"/>
      <c r="M1368" s="26"/>
      <c r="N1368" s="26"/>
      <c r="O1368" s="16"/>
      <c r="P1368" s="1"/>
      <c r="Q1368" s="1"/>
      <c r="R1368" s="1"/>
      <c r="S1368" s="1"/>
      <c r="T1368" s="1"/>
      <c r="U1368" s="33"/>
      <c r="V1368" s="16"/>
      <c r="W1368" s="1"/>
      <c r="X1368" s="1"/>
    </row>
    <row r="1369" spans="1:24">
      <c r="A1369" s="1"/>
      <c r="B1369" s="16"/>
      <c r="C1369" s="16"/>
      <c r="D1369" s="16"/>
      <c r="E1369" s="16"/>
      <c r="F1369" s="16"/>
      <c r="G1369" s="16"/>
      <c r="H1369" s="16"/>
      <c r="I1369" s="16"/>
      <c r="J1369" s="16"/>
      <c r="K1369" s="16"/>
      <c r="L1369" s="16"/>
      <c r="M1369" s="26"/>
      <c r="N1369" s="26"/>
      <c r="O1369" s="16"/>
      <c r="P1369" s="1"/>
      <c r="Q1369" s="1"/>
      <c r="R1369" s="1"/>
      <c r="S1369" s="1"/>
      <c r="T1369" s="1"/>
      <c r="U1369" s="33"/>
      <c r="V1369" s="16"/>
      <c r="W1369" s="1"/>
      <c r="X1369" s="1"/>
    </row>
    <row r="1370" spans="1:24">
      <c r="A1370" s="1"/>
      <c r="B1370" s="16"/>
      <c r="C1370" s="16"/>
      <c r="D1370" s="16"/>
      <c r="E1370" s="16"/>
      <c r="F1370" s="16"/>
      <c r="G1370" s="16"/>
      <c r="H1370" s="16"/>
      <c r="I1370" s="16"/>
      <c r="J1370" s="16"/>
      <c r="K1370" s="16"/>
      <c r="L1370" s="16"/>
      <c r="M1370" s="26"/>
      <c r="N1370" s="26"/>
      <c r="O1370" s="16"/>
      <c r="P1370" s="1"/>
      <c r="Q1370" s="1"/>
      <c r="R1370" s="1"/>
      <c r="S1370" s="1"/>
      <c r="T1370" s="1"/>
      <c r="U1370" s="33"/>
      <c r="V1370" s="16"/>
      <c r="W1370" s="1"/>
      <c r="X1370" s="1"/>
    </row>
    <row r="1371" spans="1:24">
      <c r="A1371" s="1"/>
      <c r="B1371" s="16"/>
      <c r="C1371" s="16"/>
      <c r="D1371" s="16"/>
      <c r="E1371" s="16"/>
      <c r="F1371" s="16"/>
      <c r="G1371" s="16"/>
      <c r="H1371" s="16"/>
      <c r="I1371" s="16"/>
      <c r="J1371" s="16"/>
      <c r="K1371" s="16"/>
      <c r="L1371" s="16"/>
      <c r="M1371" s="26"/>
      <c r="N1371" s="26"/>
      <c r="O1371" s="16"/>
      <c r="P1371" s="1"/>
      <c r="Q1371" s="1"/>
      <c r="R1371" s="1"/>
      <c r="S1371" s="1"/>
      <c r="T1371" s="1"/>
      <c r="U1371" s="33"/>
      <c r="V1371" s="16"/>
      <c r="W1371" s="1"/>
      <c r="X1371" s="1"/>
    </row>
    <row r="1372" spans="1:24">
      <c r="A1372" s="1"/>
      <c r="B1372" s="16"/>
      <c r="C1372" s="16"/>
      <c r="D1372" s="16"/>
      <c r="E1372" s="16"/>
      <c r="F1372" s="16"/>
      <c r="G1372" s="16"/>
      <c r="H1372" s="16"/>
      <c r="I1372" s="16"/>
      <c r="J1372" s="16"/>
      <c r="K1372" s="16"/>
      <c r="L1372" s="16"/>
      <c r="M1372" s="26"/>
      <c r="N1372" s="26"/>
      <c r="O1372" s="16"/>
      <c r="P1372" s="1"/>
      <c r="Q1372" s="1"/>
      <c r="R1372" s="1"/>
      <c r="S1372" s="1"/>
      <c r="T1372" s="1"/>
      <c r="U1372" s="33"/>
      <c r="V1372" s="16"/>
      <c r="W1372" s="1"/>
      <c r="X1372" s="1"/>
    </row>
    <row r="1373" spans="1:24">
      <c r="A1373" s="1"/>
      <c r="B1373" s="16"/>
      <c r="C1373" s="16"/>
      <c r="D1373" s="16"/>
      <c r="E1373" s="16"/>
      <c r="F1373" s="16"/>
      <c r="G1373" s="16"/>
      <c r="H1373" s="16"/>
      <c r="I1373" s="16"/>
      <c r="J1373" s="16"/>
      <c r="K1373" s="16"/>
      <c r="L1373" s="16"/>
      <c r="M1373" s="26"/>
      <c r="N1373" s="26"/>
      <c r="O1373" s="16"/>
      <c r="P1373" s="1"/>
      <c r="Q1373" s="1"/>
      <c r="R1373" s="1"/>
      <c r="S1373" s="1"/>
      <c r="T1373" s="1"/>
      <c r="U1373" s="33"/>
      <c r="V1373" s="16"/>
      <c r="W1373" s="1"/>
      <c r="X1373" s="1"/>
    </row>
    <row r="1374" spans="1:24">
      <c r="A1374" s="1"/>
      <c r="B1374" s="16"/>
      <c r="C1374" s="16"/>
      <c r="D1374" s="16"/>
      <c r="E1374" s="16"/>
      <c r="F1374" s="16"/>
      <c r="G1374" s="16"/>
      <c r="H1374" s="16"/>
      <c r="I1374" s="16"/>
      <c r="J1374" s="16"/>
      <c r="K1374" s="16"/>
      <c r="L1374" s="16"/>
      <c r="M1374" s="26"/>
      <c r="N1374" s="26"/>
      <c r="O1374" s="16"/>
      <c r="P1374" s="1"/>
      <c r="Q1374" s="1"/>
      <c r="R1374" s="1"/>
      <c r="S1374" s="1"/>
      <c r="T1374" s="1"/>
      <c r="U1374" s="33"/>
      <c r="V1374" s="16"/>
      <c r="W1374" s="1"/>
      <c r="X1374" s="1"/>
    </row>
    <row r="1375" spans="1:24">
      <c r="A1375" s="1"/>
      <c r="B1375" s="16"/>
      <c r="C1375" s="16"/>
      <c r="D1375" s="16"/>
      <c r="E1375" s="16"/>
      <c r="F1375" s="16"/>
      <c r="G1375" s="16"/>
      <c r="H1375" s="16"/>
      <c r="I1375" s="16"/>
      <c r="J1375" s="16"/>
      <c r="K1375" s="16"/>
      <c r="L1375" s="16"/>
      <c r="M1375" s="26"/>
      <c r="N1375" s="26"/>
      <c r="O1375" s="16"/>
      <c r="P1375" s="1"/>
      <c r="Q1375" s="1"/>
      <c r="R1375" s="1"/>
      <c r="S1375" s="1"/>
      <c r="T1375" s="1"/>
      <c r="U1375" s="33"/>
      <c r="V1375" s="16"/>
      <c r="W1375" s="1"/>
      <c r="X1375" s="1"/>
    </row>
    <row r="1376" spans="1:24">
      <c r="A1376" s="1"/>
      <c r="B1376" s="16"/>
      <c r="C1376" s="16"/>
      <c r="D1376" s="16"/>
      <c r="E1376" s="16"/>
      <c r="F1376" s="16"/>
      <c r="G1376" s="16"/>
      <c r="H1376" s="16"/>
      <c r="I1376" s="16"/>
      <c r="J1376" s="16"/>
      <c r="K1376" s="16"/>
      <c r="L1376" s="16"/>
      <c r="M1376" s="26"/>
      <c r="N1376" s="26"/>
      <c r="O1376" s="16"/>
      <c r="P1376" s="1"/>
      <c r="Q1376" s="1"/>
      <c r="R1376" s="1"/>
      <c r="S1376" s="1"/>
      <c r="T1376" s="1"/>
      <c r="U1376" s="33"/>
      <c r="V1376" s="16"/>
      <c r="W1376" s="1"/>
      <c r="X1376" s="1"/>
    </row>
    <row r="1377" spans="1:24">
      <c r="A1377" s="1"/>
      <c r="B1377" s="16"/>
      <c r="C1377" s="16"/>
      <c r="D1377" s="16"/>
      <c r="E1377" s="16"/>
      <c r="F1377" s="16"/>
      <c r="G1377" s="16"/>
      <c r="H1377" s="16"/>
      <c r="I1377" s="16"/>
      <c r="J1377" s="16"/>
      <c r="K1377" s="16"/>
      <c r="L1377" s="16"/>
      <c r="M1377" s="26"/>
      <c r="N1377" s="26"/>
      <c r="O1377" s="16"/>
      <c r="P1377" s="1"/>
      <c r="Q1377" s="1"/>
      <c r="R1377" s="1"/>
      <c r="S1377" s="1"/>
      <c r="T1377" s="1"/>
      <c r="U1377" s="33"/>
      <c r="V1377" s="16"/>
      <c r="W1377" s="1"/>
      <c r="X1377" s="1"/>
    </row>
    <row r="1378" spans="1:24">
      <c r="A1378" s="1"/>
      <c r="B1378" s="16"/>
      <c r="C1378" s="16"/>
      <c r="D1378" s="16"/>
      <c r="E1378" s="16"/>
      <c r="F1378" s="16"/>
      <c r="G1378" s="16"/>
      <c r="H1378" s="16"/>
      <c r="I1378" s="16"/>
      <c r="J1378" s="16"/>
      <c r="K1378" s="16"/>
      <c r="L1378" s="16"/>
      <c r="M1378" s="26"/>
      <c r="N1378" s="26"/>
      <c r="O1378" s="16"/>
      <c r="P1378" s="1"/>
      <c r="Q1378" s="1"/>
      <c r="R1378" s="1"/>
      <c r="S1378" s="1"/>
      <c r="T1378" s="1"/>
      <c r="U1378" s="33"/>
      <c r="V1378" s="16"/>
      <c r="W1378" s="1"/>
      <c r="X1378" s="1"/>
    </row>
    <row r="1379" spans="1:24">
      <c r="A1379" s="1"/>
      <c r="B1379" s="16"/>
      <c r="C1379" s="16"/>
      <c r="D1379" s="16"/>
      <c r="E1379" s="16"/>
      <c r="F1379" s="16"/>
      <c r="G1379" s="16"/>
      <c r="H1379" s="16"/>
      <c r="I1379" s="16"/>
      <c r="J1379" s="16"/>
      <c r="K1379" s="16"/>
      <c r="L1379" s="16"/>
      <c r="M1379" s="26"/>
      <c r="N1379" s="26"/>
      <c r="O1379" s="16"/>
      <c r="P1379" s="1"/>
      <c r="Q1379" s="1"/>
      <c r="R1379" s="1"/>
      <c r="S1379" s="1"/>
      <c r="T1379" s="1"/>
      <c r="U1379" s="33"/>
      <c r="V1379" s="16"/>
      <c r="W1379" s="1"/>
      <c r="X1379" s="1"/>
    </row>
    <row r="1380" spans="1:24">
      <c r="A1380" s="1"/>
      <c r="B1380" s="16"/>
      <c r="C1380" s="16"/>
      <c r="D1380" s="16"/>
      <c r="E1380" s="16"/>
      <c r="F1380" s="16"/>
      <c r="G1380" s="16"/>
      <c r="H1380" s="16"/>
      <c r="I1380" s="16"/>
      <c r="J1380" s="16"/>
      <c r="K1380" s="16"/>
      <c r="L1380" s="16"/>
      <c r="M1380" s="26"/>
      <c r="N1380" s="26"/>
      <c r="O1380" s="16"/>
      <c r="P1380" s="1"/>
      <c r="Q1380" s="1"/>
      <c r="R1380" s="1"/>
      <c r="S1380" s="1"/>
      <c r="T1380" s="1"/>
      <c r="U1380" s="33"/>
      <c r="V1380" s="16"/>
      <c r="W1380" s="1"/>
      <c r="X1380" s="1"/>
    </row>
    <row r="1381" spans="1:24">
      <c r="A1381" s="1"/>
      <c r="B1381" s="16"/>
      <c r="C1381" s="16"/>
      <c r="D1381" s="16"/>
      <c r="E1381" s="16"/>
      <c r="F1381" s="16"/>
      <c r="G1381" s="16"/>
      <c r="H1381" s="16"/>
      <c r="I1381" s="16"/>
      <c r="J1381" s="16"/>
      <c r="K1381" s="16"/>
      <c r="L1381" s="16"/>
      <c r="M1381" s="26"/>
      <c r="N1381" s="26"/>
      <c r="O1381" s="16"/>
      <c r="P1381" s="1"/>
      <c r="Q1381" s="1"/>
      <c r="R1381" s="1"/>
      <c r="S1381" s="1"/>
      <c r="T1381" s="1"/>
      <c r="U1381" s="33"/>
      <c r="V1381" s="16"/>
      <c r="W1381" s="1"/>
      <c r="X1381" s="1"/>
    </row>
    <row r="1382" spans="1:24">
      <c r="A1382" s="1"/>
      <c r="B1382" s="16"/>
      <c r="C1382" s="16"/>
      <c r="D1382" s="16"/>
      <c r="E1382" s="16"/>
      <c r="F1382" s="16"/>
      <c r="G1382" s="16"/>
      <c r="H1382" s="16"/>
      <c r="I1382" s="16"/>
      <c r="J1382" s="16"/>
      <c r="K1382" s="16"/>
      <c r="L1382" s="16"/>
      <c r="M1382" s="26"/>
      <c r="N1382" s="26"/>
      <c r="O1382" s="16"/>
      <c r="P1382" s="1"/>
      <c r="Q1382" s="1"/>
      <c r="R1382" s="1"/>
      <c r="S1382" s="1"/>
      <c r="T1382" s="1"/>
      <c r="U1382" s="33"/>
      <c r="V1382" s="16"/>
      <c r="W1382" s="1"/>
      <c r="X1382" s="1"/>
    </row>
    <row r="1383" spans="1:24">
      <c r="A1383" s="1"/>
      <c r="B1383" s="16"/>
      <c r="C1383" s="16"/>
      <c r="D1383" s="16"/>
      <c r="E1383" s="16"/>
      <c r="F1383" s="16"/>
      <c r="G1383" s="16"/>
      <c r="H1383" s="16"/>
      <c r="I1383" s="16"/>
      <c r="J1383" s="16"/>
      <c r="K1383" s="16"/>
      <c r="L1383" s="16"/>
      <c r="M1383" s="26"/>
      <c r="N1383" s="26"/>
      <c r="O1383" s="16"/>
      <c r="P1383" s="1"/>
      <c r="Q1383" s="1"/>
      <c r="R1383" s="1"/>
      <c r="S1383" s="1"/>
      <c r="T1383" s="1"/>
      <c r="U1383" s="33"/>
      <c r="V1383" s="16"/>
      <c r="W1383" s="1"/>
      <c r="X1383" s="1"/>
    </row>
    <row r="1384" spans="1:24">
      <c r="A1384" s="1"/>
      <c r="B1384" s="16"/>
      <c r="C1384" s="16"/>
      <c r="D1384" s="16"/>
      <c r="E1384" s="16"/>
      <c r="F1384" s="16"/>
      <c r="G1384" s="16"/>
      <c r="H1384" s="16"/>
      <c r="I1384" s="16"/>
      <c r="J1384" s="16"/>
      <c r="K1384" s="16"/>
      <c r="L1384" s="16"/>
      <c r="M1384" s="26"/>
      <c r="N1384" s="26"/>
      <c r="O1384" s="16"/>
      <c r="P1384" s="1"/>
      <c r="Q1384" s="1"/>
      <c r="R1384" s="1"/>
      <c r="S1384" s="1"/>
      <c r="T1384" s="1"/>
      <c r="U1384" s="33"/>
      <c r="V1384" s="16"/>
      <c r="W1384" s="1"/>
      <c r="X1384" s="1"/>
    </row>
    <row r="1385" spans="1:24">
      <c r="A1385" s="1"/>
      <c r="B1385" s="16"/>
      <c r="C1385" s="16"/>
      <c r="D1385" s="16"/>
      <c r="E1385" s="16"/>
      <c r="F1385" s="16"/>
      <c r="G1385" s="16"/>
      <c r="H1385" s="16"/>
      <c r="I1385" s="16"/>
      <c r="J1385" s="16"/>
      <c r="K1385" s="16"/>
      <c r="L1385" s="16"/>
      <c r="M1385" s="26"/>
      <c r="N1385" s="26"/>
      <c r="O1385" s="16"/>
      <c r="P1385" s="1"/>
      <c r="Q1385" s="1"/>
      <c r="R1385" s="1"/>
      <c r="S1385" s="1"/>
      <c r="T1385" s="1"/>
      <c r="U1385" s="33"/>
      <c r="V1385" s="16"/>
      <c r="W1385" s="1"/>
      <c r="X1385" s="1"/>
    </row>
    <row r="1386" spans="1:24">
      <c r="A1386" s="1"/>
      <c r="B1386" s="16"/>
      <c r="C1386" s="16"/>
      <c r="D1386" s="16"/>
      <c r="E1386" s="16"/>
      <c r="F1386" s="16"/>
      <c r="G1386" s="16"/>
      <c r="H1386" s="16"/>
      <c r="I1386" s="16"/>
      <c r="J1386" s="16"/>
      <c r="K1386" s="16"/>
      <c r="L1386" s="16"/>
      <c r="M1386" s="26"/>
      <c r="N1386" s="26"/>
      <c r="O1386" s="16"/>
      <c r="P1386" s="1"/>
      <c r="Q1386" s="1"/>
      <c r="R1386" s="1"/>
      <c r="S1386" s="1"/>
      <c r="T1386" s="1"/>
      <c r="U1386" s="33"/>
      <c r="V1386" s="16"/>
      <c r="W1386" s="1"/>
      <c r="X1386" s="1"/>
    </row>
    <row r="1387" spans="1:24">
      <c r="A1387" s="1"/>
      <c r="B1387" s="16"/>
      <c r="C1387" s="16"/>
      <c r="D1387" s="16"/>
      <c r="E1387" s="16"/>
      <c r="F1387" s="16"/>
      <c r="G1387" s="16"/>
      <c r="H1387" s="16"/>
      <c r="I1387" s="16"/>
      <c r="J1387" s="16"/>
      <c r="K1387" s="16"/>
      <c r="L1387" s="16"/>
      <c r="M1387" s="26"/>
      <c r="N1387" s="26"/>
      <c r="O1387" s="16"/>
      <c r="P1387" s="1"/>
      <c r="Q1387" s="1"/>
      <c r="R1387" s="1"/>
      <c r="S1387" s="1"/>
      <c r="T1387" s="1"/>
      <c r="U1387" s="33"/>
      <c r="V1387" s="16"/>
      <c r="W1387" s="1"/>
      <c r="X1387" s="1"/>
    </row>
    <row r="1388" spans="1:24">
      <c r="A1388" s="1"/>
      <c r="B1388" s="16"/>
      <c r="C1388" s="16"/>
      <c r="D1388" s="16"/>
      <c r="E1388" s="16"/>
      <c r="F1388" s="16"/>
      <c r="G1388" s="16"/>
      <c r="H1388" s="16"/>
      <c r="I1388" s="16"/>
      <c r="J1388" s="16"/>
      <c r="K1388" s="16"/>
      <c r="L1388" s="16"/>
      <c r="M1388" s="26"/>
      <c r="N1388" s="26"/>
      <c r="O1388" s="16"/>
      <c r="P1388" s="1"/>
      <c r="Q1388" s="1"/>
      <c r="R1388" s="1"/>
      <c r="S1388" s="1"/>
      <c r="T1388" s="1"/>
      <c r="U1388" s="33"/>
      <c r="V1388" s="16"/>
      <c r="W1388" s="1"/>
      <c r="X1388" s="1"/>
    </row>
    <row r="1389" spans="1:24">
      <c r="A1389" s="1"/>
      <c r="B1389" s="16"/>
      <c r="C1389" s="16"/>
      <c r="D1389" s="16"/>
      <c r="E1389" s="16"/>
      <c r="F1389" s="16"/>
      <c r="G1389" s="16"/>
      <c r="H1389" s="16"/>
      <c r="I1389" s="16"/>
      <c r="J1389" s="16"/>
      <c r="K1389" s="16"/>
      <c r="L1389" s="16"/>
      <c r="M1389" s="26"/>
      <c r="N1389" s="26"/>
      <c r="O1389" s="16"/>
      <c r="P1389" s="1"/>
      <c r="Q1389" s="1"/>
      <c r="R1389" s="1"/>
      <c r="S1389" s="1"/>
      <c r="T1389" s="1"/>
      <c r="U1389" s="33"/>
      <c r="V1389" s="16"/>
      <c r="W1389" s="1"/>
      <c r="X1389" s="1"/>
    </row>
    <row r="1390" spans="1:24">
      <c r="A1390" s="1"/>
      <c r="B1390" s="16"/>
      <c r="C1390" s="16"/>
      <c r="D1390" s="16"/>
      <c r="E1390" s="16"/>
      <c r="F1390" s="16"/>
      <c r="G1390" s="16"/>
      <c r="H1390" s="16"/>
      <c r="I1390" s="16"/>
      <c r="J1390" s="16"/>
      <c r="K1390" s="16"/>
      <c r="L1390" s="16"/>
      <c r="M1390" s="26"/>
      <c r="N1390" s="26"/>
      <c r="O1390" s="16"/>
      <c r="P1390" s="1"/>
      <c r="Q1390" s="1"/>
      <c r="R1390" s="1"/>
      <c r="S1390" s="1"/>
      <c r="T1390" s="1"/>
      <c r="U1390" s="33"/>
      <c r="V1390" s="16"/>
      <c r="W1390" s="1"/>
      <c r="X1390" s="1"/>
    </row>
    <row r="1391" spans="1:24">
      <c r="A1391" s="1"/>
      <c r="B1391" s="16"/>
      <c r="C1391" s="16"/>
      <c r="D1391" s="16"/>
      <c r="E1391" s="16"/>
      <c r="F1391" s="16"/>
      <c r="G1391" s="16"/>
      <c r="H1391" s="16"/>
      <c r="I1391" s="16"/>
      <c r="J1391" s="16"/>
      <c r="K1391" s="16"/>
      <c r="L1391" s="16"/>
      <c r="M1391" s="26"/>
      <c r="N1391" s="26"/>
      <c r="O1391" s="16"/>
      <c r="P1391" s="1"/>
      <c r="Q1391" s="1"/>
      <c r="R1391" s="1"/>
      <c r="S1391" s="1"/>
      <c r="T1391" s="1"/>
      <c r="U1391" s="33"/>
      <c r="V1391" s="16"/>
      <c r="W1391" s="1"/>
      <c r="X1391" s="1"/>
    </row>
    <row r="1392" spans="1:24">
      <c r="A1392" s="1"/>
      <c r="B1392" s="16"/>
      <c r="C1392" s="16"/>
      <c r="D1392" s="16"/>
      <c r="E1392" s="16"/>
      <c r="F1392" s="16"/>
      <c r="G1392" s="16"/>
      <c r="H1392" s="16"/>
      <c r="I1392" s="16"/>
      <c r="J1392" s="16"/>
      <c r="K1392" s="16"/>
      <c r="L1392" s="16"/>
      <c r="M1392" s="26"/>
      <c r="N1392" s="26"/>
      <c r="O1392" s="16"/>
      <c r="P1392" s="1"/>
      <c r="Q1392" s="1"/>
      <c r="R1392" s="1"/>
      <c r="S1392" s="1"/>
      <c r="T1392" s="1"/>
      <c r="U1392" s="33"/>
      <c r="V1392" s="16"/>
      <c r="W1392" s="1"/>
      <c r="X1392" s="1"/>
    </row>
    <row r="1393" spans="1:24">
      <c r="A1393" s="1"/>
      <c r="B1393" s="16"/>
      <c r="C1393" s="16"/>
      <c r="D1393" s="16"/>
      <c r="E1393" s="16"/>
      <c r="F1393" s="16"/>
      <c r="G1393" s="16"/>
      <c r="H1393" s="16"/>
      <c r="I1393" s="16"/>
      <c r="J1393" s="16"/>
      <c r="K1393" s="16"/>
      <c r="L1393" s="16"/>
      <c r="M1393" s="26"/>
      <c r="N1393" s="26"/>
      <c r="O1393" s="16"/>
      <c r="P1393" s="1"/>
      <c r="Q1393" s="1"/>
      <c r="R1393" s="1"/>
      <c r="S1393" s="1"/>
      <c r="T1393" s="1"/>
      <c r="U1393" s="33"/>
      <c r="V1393" s="16"/>
      <c r="W1393" s="1"/>
      <c r="X1393" s="1"/>
    </row>
    <row r="1394" spans="1:24">
      <c r="A1394" s="1"/>
      <c r="B1394" s="16"/>
      <c r="C1394" s="16"/>
      <c r="D1394" s="16"/>
      <c r="E1394" s="16"/>
      <c r="F1394" s="16"/>
      <c r="G1394" s="16"/>
      <c r="H1394" s="16"/>
      <c r="I1394" s="16"/>
      <c r="J1394" s="16"/>
      <c r="K1394" s="16"/>
      <c r="L1394" s="16"/>
      <c r="M1394" s="26"/>
      <c r="N1394" s="26"/>
      <c r="O1394" s="16"/>
      <c r="P1394" s="1"/>
      <c r="Q1394" s="1"/>
      <c r="R1394" s="1"/>
      <c r="S1394" s="1"/>
      <c r="T1394" s="1"/>
      <c r="U1394" s="33"/>
      <c r="V1394" s="16"/>
      <c r="W1394" s="1"/>
      <c r="X1394" s="1"/>
    </row>
    <row r="1395" spans="1:24">
      <c r="A1395" s="1"/>
      <c r="B1395" s="16"/>
      <c r="C1395" s="16"/>
      <c r="D1395" s="16"/>
      <c r="E1395" s="16"/>
      <c r="F1395" s="16"/>
      <c r="G1395" s="16"/>
      <c r="H1395" s="16"/>
      <c r="I1395" s="16"/>
      <c r="J1395" s="16"/>
      <c r="K1395" s="16"/>
      <c r="L1395" s="16"/>
      <c r="M1395" s="26"/>
      <c r="N1395" s="26"/>
      <c r="O1395" s="16"/>
      <c r="P1395" s="1"/>
      <c r="Q1395" s="1"/>
      <c r="R1395" s="1"/>
      <c r="S1395" s="1"/>
      <c r="T1395" s="1"/>
      <c r="U1395" s="33"/>
      <c r="V1395" s="16"/>
      <c r="W1395" s="1"/>
      <c r="X1395" s="1"/>
    </row>
    <row r="1396" spans="1:24">
      <c r="A1396" s="1"/>
      <c r="B1396" s="16"/>
      <c r="C1396" s="16"/>
      <c r="D1396" s="16"/>
      <c r="E1396" s="16"/>
      <c r="F1396" s="16"/>
      <c r="G1396" s="16"/>
      <c r="H1396" s="16"/>
      <c r="I1396" s="16"/>
      <c r="J1396" s="16"/>
      <c r="K1396" s="16"/>
      <c r="L1396" s="16"/>
      <c r="M1396" s="26"/>
      <c r="N1396" s="26"/>
      <c r="O1396" s="16"/>
      <c r="P1396" s="1"/>
      <c r="Q1396" s="1"/>
      <c r="R1396" s="1"/>
      <c r="S1396" s="1"/>
      <c r="T1396" s="1"/>
      <c r="U1396" s="33"/>
      <c r="V1396" s="16"/>
      <c r="W1396" s="1"/>
      <c r="X1396" s="1"/>
    </row>
    <row r="1397" spans="1:24">
      <c r="A1397" s="1"/>
      <c r="B1397" s="16"/>
      <c r="C1397" s="16"/>
      <c r="D1397" s="16"/>
      <c r="E1397" s="16"/>
      <c r="F1397" s="16"/>
      <c r="G1397" s="16"/>
      <c r="H1397" s="16"/>
      <c r="I1397" s="16"/>
      <c r="J1397" s="16"/>
      <c r="K1397" s="16"/>
      <c r="L1397" s="16"/>
      <c r="M1397" s="26"/>
      <c r="N1397" s="26"/>
      <c r="O1397" s="16"/>
      <c r="P1397" s="1"/>
      <c r="Q1397" s="1"/>
      <c r="R1397" s="1"/>
      <c r="S1397" s="1"/>
      <c r="T1397" s="1"/>
      <c r="U1397" s="33"/>
      <c r="V1397" s="16"/>
      <c r="W1397" s="1"/>
      <c r="X1397" s="1"/>
    </row>
    <row r="1398" spans="1:24">
      <c r="A1398" s="1"/>
      <c r="B1398" s="16"/>
      <c r="C1398" s="16"/>
      <c r="D1398" s="16"/>
      <c r="E1398" s="16"/>
      <c r="F1398" s="16"/>
      <c r="G1398" s="16"/>
      <c r="H1398" s="16"/>
      <c r="I1398" s="16"/>
      <c r="J1398" s="16"/>
      <c r="K1398" s="16"/>
      <c r="L1398" s="16"/>
      <c r="M1398" s="26"/>
      <c r="N1398" s="26"/>
      <c r="O1398" s="16"/>
      <c r="P1398" s="1"/>
      <c r="Q1398" s="1"/>
      <c r="R1398" s="1"/>
      <c r="S1398" s="1"/>
      <c r="T1398" s="1"/>
      <c r="U1398" s="33"/>
      <c r="V1398" s="16"/>
      <c r="W1398" s="1"/>
      <c r="X1398" s="1"/>
    </row>
    <row r="1399" spans="1:24">
      <c r="A1399" s="1"/>
      <c r="B1399" s="16"/>
      <c r="C1399" s="16"/>
      <c r="D1399" s="16"/>
      <c r="E1399" s="16"/>
      <c r="F1399" s="16"/>
      <c r="G1399" s="16"/>
      <c r="H1399" s="16"/>
      <c r="I1399" s="16"/>
      <c r="J1399" s="16"/>
      <c r="K1399" s="16"/>
      <c r="L1399" s="16"/>
      <c r="M1399" s="26"/>
      <c r="N1399" s="26"/>
      <c r="O1399" s="16"/>
      <c r="P1399" s="1"/>
      <c r="Q1399" s="1"/>
      <c r="R1399" s="1"/>
      <c r="S1399" s="1"/>
      <c r="T1399" s="1"/>
      <c r="U1399" s="33"/>
      <c r="V1399" s="16"/>
      <c r="W1399" s="1"/>
      <c r="X1399" s="1"/>
    </row>
    <row r="1400" spans="1:24">
      <c r="A1400" s="1"/>
      <c r="B1400" s="16"/>
      <c r="C1400" s="16"/>
      <c r="D1400" s="16"/>
      <c r="E1400" s="16"/>
      <c r="F1400" s="16"/>
      <c r="G1400" s="16"/>
      <c r="H1400" s="16"/>
      <c r="I1400" s="16"/>
      <c r="J1400" s="16"/>
      <c r="K1400" s="16"/>
      <c r="L1400" s="16"/>
      <c r="M1400" s="26"/>
      <c r="N1400" s="26"/>
      <c r="O1400" s="16"/>
      <c r="P1400" s="1"/>
      <c r="Q1400" s="1"/>
      <c r="R1400" s="1"/>
      <c r="S1400" s="1"/>
      <c r="T1400" s="1"/>
      <c r="U1400" s="33"/>
      <c r="V1400" s="16"/>
      <c r="W1400" s="1"/>
      <c r="X1400" s="1"/>
    </row>
    <row r="1401" spans="1:24">
      <c r="A1401" s="1"/>
      <c r="B1401" s="16"/>
      <c r="C1401" s="16"/>
      <c r="D1401" s="16"/>
      <c r="E1401" s="16"/>
      <c r="F1401" s="16"/>
      <c r="G1401" s="16"/>
      <c r="H1401" s="16"/>
      <c r="I1401" s="16"/>
      <c r="J1401" s="16"/>
      <c r="K1401" s="16"/>
      <c r="L1401" s="16"/>
      <c r="M1401" s="26"/>
      <c r="N1401" s="26"/>
      <c r="O1401" s="16"/>
      <c r="P1401" s="1"/>
      <c r="Q1401" s="1"/>
      <c r="R1401" s="1"/>
      <c r="S1401" s="1"/>
      <c r="T1401" s="1"/>
      <c r="U1401" s="33"/>
      <c r="V1401" s="16"/>
      <c r="W1401" s="1"/>
      <c r="X1401" s="1"/>
    </row>
    <row r="1402" spans="1:24">
      <c r="A1402" s="1"/>
      <c r="B1402" s="16"/>
      <c r="C1402" s="16"/>
      <c r="D1402" s="16"/>
      <c r="E1402" s="16"/>
      <c r="F1402" s="16"/>
      <c r="G1402" s="16"/>
      <c r="H1402" s="16"/>
      <c r="I1402" s="16"/>
      <c r="J1402" s="16"/>
      <c r="K1402" s="16"/>
      <c r="L1402" s="16"/>
      <c r="M1402" s="26"/>
      <c r="N1402" s="26"/>
      <c r="O1402" s="16"/>
      <c r="P1402" s="1"/>
      <c r="Q1402" s="1"/>
      <c r="R1402" s="1"/>
      <c r="S1402" s="1"/>
      <c r="T1402" s="1"/>
      <c r="U1402" s="33"/>
      <c r="V1402" s="16"/>
      <c r="W1402" s="1"/>
      <c r="X1402" s="1"/>
    </row>
    <row r="1403" spans="1:24">
      <c r="A1403" s="1"/>
      <c r="B1403" s="16"/>
      <c r="C1403" s="16"/>
      <c r="D1403" s="16"/>
      <c r="E1403" s="16"/>
      <c r="F1403" s="16"/>
      <c r="G1403" s="16"/>
      <c r="H1403" s="16"/>
      <c r="I1403" s="16"/>
      <c r="J1403" s="16"/>
      <c r="K1403" s="16"/>
      <c r="L1403" s="16"/>
      <c r="M1403" s="26"/>
      <c r="N1403" s="26"/>
      <c r="O1403" s="16"/>
      <c r="P1403" s="1"/>
      <c r="Q1403" s="1"/>
      <c r="R1403" s="1"/>
      <c r="S1403" s="1"/>
      <c r="T1403" s="1"/>
      <c r="U1403" s="33"/>
      <c r="V1403" s="16"/>
      <c r="W1403" s="1"/>
      <c r="X1403" s="1"/>
    </row>
    <row r="1404" spans="1:24">
      <c r="A1404" s="1"/>
      <c r="B1404" s="16"/>
      <c r="C1404" s="16"/>
      <c r="D1404" s="16"/>
      <c r="E1404" s="16"/>
      <c r="F1404" s="16"/>
      <c r="G1404" s="16"/>
      <c r="H1404" s="16"/>
      <c r="I1404" s="16"/>
      <c r="J1404" s="16"/>
      <c r="K1404" s="16"/>
      <c r="L1404" s="16"/>
      <c r="M1404" s="26"/>
      <c r="N1404" s="26"/>
      <c r="O1404" s="16"/>
      <c r="P1404" s="1"/>
      <c r="Q1404" s="1"/>
      <c r="R1404" s="1"/>
      <c r="S1404" s="1"/>
      <c r="T1404" s="1"/>
      <c r="U1404" s="33"/>
      <c r="V1404" s="16"/>
      <c r="W1404" s="1"/>
      <c r="X1404" s="1"/>
    </row>
    <row r="1405" spans="1:24">
      <c r="A1405" s="1"/>
      <c r="B1405" s="16"/>
      <c r="C1405" s="16"/>
      <c r="D1405" s="16"/>
      <c r="E1405" s="16"/>
      <c r="F1405" s="16"/>
      <c r="G1405" s="16"/>
      <c r="H1405" s="16"/>
      <c r="I1405" s="16"/>
      <c r="J1405" s="16"/>
      <c r="K1405" s="16"/>
      <c r="L1405" s="16"/>
      <c r="M1405" s="26"/>
      <c r="N1405" s="26"/>
      <c r="O1405" s="16"/>
      <c r="P1405" s="1"/>
      <c r="Q1405" s="1"/>
      <c r="R1405" s="1"/>
      <c r="S1405" s="1"/>
      <c r="T1405" s="1"/>
      <c r="U1405" s="33"/>
      <c r="V1405" s="16"/>
      <c r="W1405" s="1"/>
      <c r="X1405" s="1"/>
    </row>
    <row r="1406" spans="1:24">
      <c r="A1406" s="1"/>
      <c r="B1406" s="16"/>
      <c r="C1406" s="16"/>
      <c r="D1406" s="16"/>
      <c r="E1406" s="16"/>
      <c r="F1406" s="16"/>
      <c r="G1406" s="16"/>
      <c r="H1406" s="16"/>
      <c r="I1406" s="16"/>
      <c r="J1406" s="16"/>
      <c r="K1406" s="16"/>
      <c r="L1406" s="16"/>
      <c r="M1406" s="26"/>
      <c r="N1406" s="26"/>
      <c r="O1406" s="16"/>
      <c r="P1406" s="1"/>
      <c r="Q1406" s="1"/>
      <c r="R1406" s="1"/>
      <c r="S1406" s="1"/>
      <c r="T1406" s="1"/>
      <c r="U1406" s="33"/>
      <c r="V1406" s="16"/>
      <c r="W1406" s="1"/>
      <c r="X1406" s="1"/>
    </row>
    <row r="1407" spans="1:24">
      <c r="A1407" s="1"/>
      <c r="B1407" s="16"/>
      <c r="C1407" s="16"/>
      <c r="D1407" s="16"/>
      <c r="E1407" s="16"/>
      <c r="F1407" s="16"/>
      <c r="G1407" s="16"/>
      <c r="H1407" s="16"/>
      <c r="I1407" s="16"/>
      <c r="J1407" s="16"/>
      <c r="K1407" s="16"/>
      <c r="L1407" s="16"/>
      <c r="M1407" s="26"/>
      <c r="N1407" s="26"/>
      <c r="O1407" s="16"/>
      <c r="P1407" s="1"/>
      <c r="Q1407" s="1"/>
      <c r="R1407" s="1"/>
      <c r="S1407" s="1"/>
      <c r="T1407" s="1"/>
      <c r="U1407" s="33"/>
      <c r="V1407" s="16"/>
      <c r="W1407" s="1"/>
      <c r="X1407" s="1"/>
    </row>
    <row r="1408" spans="1:24">
      <c r="A1408" s="1"/>
      <c r="B1408" s="16"/>
      <c r="C1408" s="16"/>
      <c r="D1408" s="16"/>
      <c r="E1408" s="16"/>
      <c r="F1408" s="16"/>
      <c r="G1408" s="16"/>
      <c r="H1408" s="16"/>
      <c r="I1408" s="16"/>
      <c r="J1408" s="16"/>
      <c r="K1408" s="16"/>
      <c r="L1408" s="16"/>
      <c r="M1408" s="26"/>
      <c r="N1408" s="26"/>
      <c r="O1408" s="16"/>
      <c r="P1408" s="1"/>
      <c r="Q1408" s="1"/>
      <c r="R1408" s="1"/>
      <c r="S1408" s="1"/>
      <c r="T1408" s="1"/>
      <c r="U1408" s="33"/>
      <c r="V1408" s="16"/>
      <c r="W1408" s="1"/>
      <c r="X1408" s="1"/>
    </row>
    <row r="1409" spans="1:24">
      <c r="A1409" s="1"/>
      <c r="B1409" s="16"/>
      <c r="C1409" s="16"/>
      <c r="D1409" s="16"/>
      <c r="E1409" s="16"/>
      <c r="F1409" s="16"/>
      <c r="G1409" s="16"/>
      <c r="H1409" s="16"/>
      <c r="I1409" s="16"/>
      <c r="J1409" s="16"/>
      <c r="K1409" s="16"/>
      <c r="L1409" s="16"/>
      <c r="M1409" s="26"/>
      <c r="N1409" s="26"/>
      <c r="O1409" s="16"/>
      <c r="P1409" s="1"/>
      <c r="Q1409" s="1"/>
      <c r="R1409" s="1"/>
      <c r="S1409" s="1"/>
      <c r="T1409" s="1"/>
      <c r="U1409" s="33"/>
      <c r="V1409" s="16"/>
      <c r="W1409" s="1"/>
      <c r="X1409" s="1"/>
    </row>
    <row r="1410" spans="1:24">
      <c r="A1410" s="1"/>
      <c r="B1410" s="16"/>
      <c r="C1410" s="16"/>
      <c r="D1410" s="16"/>
      <c r="E1410" s="16"/>
      <c r="F1410" s="16"/>
      <c r="G1410" s="16"/>
      <c r="H1410" s="16"/>
      <c r="I1410" s="16"/>
      <c r="J1410" s="16"/>
      <c r="K1410" s="16"/>
      <c r="L1410" s="16"/>
      <c r="M1410" s="26"/>
      <c r="N1410" s="26"/>
      <c r="O1410" s="16"/>
      <c r="P1410" s="1"/>
      <c r="Q1410" s="1"/>
      <c r="R1410" s="1"/>
      <c r="S1410" s="1"/>
      <c r="T1410" s="1"/>
      <c r="U1410" s="33"/>
      <c r="V1410" s="16"/>
      <c r="W1410" s="1"/>
      <c r="X1410" s="1"/>
    </row>
    <row r="1411" spans="1:24">
      <c r="A1411" s="1"/>
      <c r="B1411" s="16"/>
      <c r="C1411" s="16"/>
      <c r="D1411" s="16"/>
      <c r="E1411" s="16"/>
      <c r="F1411" s="16"/>
      <c r="G1411" s="16"/>
      <c r="H1411" s="16"/>
      <c r="I1411" s="16"/>
      <c r="J1411" s="16"/>
      <c r="K1411" s="16"/>
      <c r="L1411" s="16"/>
      <c r="M1411" s="26"/>
      <c r="N1411" s="26"/>
      <c r="O1411" s="16"/>
      <c r="P1411" s="1"/>
      <c r="Q1411" s="1"/>
      <c r="R1411" s="1"/>
      <c r="S1411" s="1"/>
      <c r="T1411" s="1"/>
      <c r="U1411" s="33"/>
      <c r="V1411" s="16"/>
      <c r="W1411" s="1"/>
      <c r="X1411" s="1"/>
    </row>
    <row r="1412" spans="1:24">
      <c r="A1412" s="1"/>
      <c r="B1412" s="16"/>
      <c r="C1412" s="16"/>
      <c r="D1412" s="16"/>
      <c r="E1412" s="16"/>
      <c r="F1412" s="16"/>
      <c r="G1412" s="16"/>
      <c r="H1412" s="16"/>
      <c r="I1412" s="16"/>
      <c r="J1412" s="16"/>
      <c r="K1412" s="16"/>
      <c r="L1412" s="16"/>
      <c r="M1412" s="26"/>
      <c r="N1412" s="26"/>
      <c r="O1412" s="16"/>
      <c r="P1412" s="1"/>
      <c r="Q1412" s="1"/>
      <c r="R1412" s="1"/>
      <c r="S1412" s="1"/>
      <c r="T1412" s="1"/>
      <c r="U1412" s="33"/>
      <c r="V1412" s="16"/>
      <c r="W1412" s="1"/>
      <c r="X1412" s="1"/>
    </row>
    <row r="1413" spans="1:24">
      <c r="A1413" s="1"/>
      <c r="B1413" s="16"/>
      <c r="C1413" s="16"/>
      <c r="D1413" s="16"/>
      <c r="E1413" s="16"/>
      <c r="F1413" s="16"/>
      <c r="G1413" s="16"/>
      <c r="H1413" s="16"/>
      <c r="I1413" s="16"/>
      <c r="J1413" s="16"/>
      <c r="K1413" s="16"/>
      <c r="L1413" s="16"/>
      <c r="M1413" s="26"/>
      <c r="N1413" s="26"/>
      <c r="O1413" s="16"/>
      <c r="P1413" s="1"/>
      <c r="Q1413" s="1"/>
      <c r="R1413" s="1"/>
      <c r="S1413" s="1"/>
      <c r="T1413" s="1"/>
      <c r="U1413" s="33"/>
      <c r="V1413" s="16"/>
      <c r="W1413" s="1"/>
      <c r="X1413" s="1"/>
    </row>
    <row r="1414" spans="1:24">
      <c r="A1414" s="1"/>
      <c r="B1414" s="16"/>
      <c r="C1414" s="16"/>
      <c r="D1414" s="16"/>
      <c r="E1414" s="16"/>
      <c r="F1414" s="16"/>
      <c r="G1414" s="16"/>
      <c r="H1414" s="16"/>
      <c r="I1414" s="16"/>
      <c r="J1414" s="16"/>
      <c r="K1414" s="16"/>
      <c r="L1414" s="16"/>
      <c r="M1414" s="26"/>
      <c r="N1414" s="26"/>
      <c r="O1414" s="16"/>
      <c r="P1414" s="1"/>
      <c r="Q1414" s="1"/>
      <c r="R1414" s="1"/>
      <c r="S1414" s="1"/>
      <c r="T1414" s="1"/>
      <c r="U1414" s="33"/>
      <c r="V1414" s="16"/>
      <c r="W1414" s="1"/>
      <c r="X1414" s="1"/>
    </row>
    <row r="1415" spans="1:24">
      <c r="A1415" s="1"/>
      <c r="B1415" s="16"/>
      <c r="C1415" s="16"/>
      <c r="D1415" s="16"/>
      <c r="E1415" s="16"/>
      <c r="F1415" s="16"/>
      <c r="G1415" s="16"/>
      <c r="H1415" s="16"/>
      <c r="I1415" s="16"/>
      <c r="J1415" s="16"/>
      <c r="K1415" s="16"/>
      <c r="L1415" s="16"/>
      <c r="M1415" s="26"/>
      <c r="N1415" s="26"/>
      <c r="O1415" s="16"/>
      <c r="P1415" s="1"/>
      <c r="Q1415" s="1"/>
      <c r="R1415" s="1"/>
      <c r="S1415" s="1"/>
      <c r="T1415" s="1"/>
      <c r="U1415" s="33"/>
      <c r="V1415" s="16"/>
      <c r="W1415" s="1"/>
      <c r="X1415" s="1"/>
    </row>
    <row r="1416" spans="1:24">
      <c r="A1416" s="1"/>
      <c r="B1416" s="16"/>
      <c r="C1416" s="16"/>
      <c r="D1416" s="16"/>
      <c r="E1416" s="16"/>
      <c r="F1416" s="16"/>
      <c r="G1416" s="16"/>
      <c r="H1416" s="16"/>
      <c r="I1416" s="16"/>
      <c r="J1416" s="16"/>
      <c r="K1416" s="16"/>
      <c r="L1416" s="16"/>
      <c r="M1416" s="26"/>
      <c r="N1416" s="26"/>
      <c r="O1416" s="16"/>
      <c r="P1416" s="1"/>
      <c r="Q1416" s="1"/>
      <c r="R1416" s="1"/>
      <c r="S1416" s="1"/>
      <c r="T1416" s="1"/>
      <c r="U1416" s="33"/>
      <c r="V1416" s="16"/>
      <c r="W1416" s="1"/>
      <c r="X1416" s="1"/>
    </row>
    <row r="1417" spans="1:24">
      <c r="A1417" s="1"/>
      <c r="B1417" s="16"/>
      <c r="C1417" s="16"/>
      <c r="D1417" s="16"/>
      <c r="E1417" s="16"/>
      <c r="F1417" s="16"/>
      <c r="G1417" s="16"/>
      <c r="H1417" s="16"/>
      <c r="I1417" s="16"/>
      <c r="J1417" s="16"/>
      <c r="K1417" s="16"/>
      <c r="L1417" s="16"/>
      <c r="M1417" s="26"/>
      <c r="N1417" s="26"/>
      <c r="O1417" s="16"/>
      <c r="P1417" s="1"/>
      <c r="Q1417" s="1"/>
      <c r="R1417" s="1"/>
      <c r="S1417" s="1"/>
      <c r="T1417" s="1"/>
      <c r="U1417" s="33"/>
      <c r="V1417" s="16"/>
      <c r="W1417" s="1"/>
      <c r="X1417" s="1"/>
    </row>
    <row r="1418" spans="1:24">
      <c r="A1418" s="1"/>
      <c r="B1418" s="16"/>
      <c r="C1418" s="16"/>
      <c r="D1418" s="16"/>
      <c r="E1418" s="16"/>
      <c r="F1418" s="16"/>
      <c r="G1418" s="16"/>
      <c r="H1418" s="16"/>
      <c r="I1418" s="16"/>
      <c r="J1418" s="16"/>
      <c r="K1418" s="16"/>
      <c r="L1418" s="16"/>
      <c r="M1418" s="26"/>
      <c r="N1418" s="26"/>
      <c r="O1418" s="16"/>
      <c r="P1418" s="1"/>
      <c r="Q1418" s="1"/>
      <c r="R1418" s="1"/>
      <c r="S1418" s="1"/>
      <c r="T1418" s="1"/>
      <c r="U1418" s="33"/>
      <c r="V1418" s="16"/>
      <c r="W1418" s="1"/>
      <c r="X1418" s="1"/>
    </row>
    <row r="1419" spans="1:24">
      <c r="A1419" s="1"/>
      <c r="B1419" s="16"/>
      <c r="C1419" s="16"/>
      <c r="D1419" s="16"/>
      <c r="E1419" s="16"/>
      <c r="F1419" s="16"/>
      <c r="G1419" s="16"/>
      <c r="H1419" s="16"/>
      <c r="I1419" s="16"/>
      <c r="J1419" s="16"/>
      <c r="K1419" s="16"/>
      <c r="L1419" s="16"/>
      <c r="M1419" s="26"/>
      <c r="N1419" s="26"/>
      <c r="O1419" s="16"/>
      <c r="P1419" s="1"/>
      <c r="Q1419" s="1"/>
      <c r="R1419" s="1"/>
      <c r="S1419" s="1"/>
      <c r="T1419" s="1"/>
      <c r="U1419" s="33"/>
      <c r="V1419" s="16"/>
      <c r="W1419" s="1"/>
      <c r="X1419" s="1"/>
    </row>
    <row r="1420" spans="1:24">
      <c r="A1420" s="1"/>
      <c r="B1420" s="16"/>
      <c r="C1420" s="16"/>
      <c r="D1420" s="16"/>
      <c r="E1420" s="16"/>
      <c r="F1420" s="16"/>
      <c r="G1420" s="16"/>
      <c r="H1420" s="16"/>
      <c r="I1420" s="16"/>
      <c r="J1420" s="16"/>
      <c r="K1420" s="16"/>
      <c r="L1420" s="16"/>
      <c r="M1420" s="26"/>
      <c r="N1420" s="26"/>
      <c r="O1420" s="16"/>
      <c r="P1420" s="1"/>
      <c r="Q1420" s="1"/>
      <c r="R1420" s="1"/>
      <c r="S1420" s="1"/>
      <c r="T1420" s="1"/>
      <c r="U1420" s="33"/>
      <c r="V1420" s="16"/>
      <c r="W1420" s="1"/>
      <c r="X1420" s="1"/>
    </row>
    <row r="1421" spans="1:24">
      <c r="A1421" s="1"/>
      <c r="B1421" s="16"/>
      <c r="C1421" s="16"/>
      <c r="D1421" s="16"/>
      <c r="E1421" s="16"/>
      <c r="F1421" s="16"/>
      <c r="G1421" s="16"/>
      <c r="H1421" s="16"/>
      <c r="I1421" s="16"/>
      <c r="J1421" s="16"/>
      <c r="K1421" s="16"/>
      <c r="L1421" s="16"/>
      <c r="M1421" s="26"/>
      <c r="N1421" s="26"/>
      <c r="O1421" s="16"/>
      <c r="P1421" s="1"/>
      <c r="Q1421" s="1"/>
      <c r="R1421" s="1"/>
      <c r="S1421" s="1"/>
      <c r="T1421" s="1"/>
      <c r="U1421" s="33"/>
      <c r="V1421" s="16"/>
      <c r="W1421" s="1"/>
      <c r="X1421" s="1"/>
    </row>
    <row r="1422" spans="1:24">
      <c r="A1422" s="1"/>
      <c r="B1422" s="16"/>
      <c r="C1422" s="16"/>
      <c r="D1422" s="16"/>
      <c r="E1422" s="16"/>
      <c r="F1422" s="16"/>
      <c r="G1422" s="16"/>
      <c r="H1422" s="16"/>
      <c r="I1422" s="16"/>
      <c r="J1422" s="16"/>
      <c r="K1422" s="16"/>
      <c r="L1422" s="16"/>
      <c r="M1422" s="26"/>
      <c r="N1422" s="26"/>
      <c r="O1422" s="16"/>
      <c r="P1422" s="1"/>
      <c r="Q1422" s="1"/>
      <c r="R1422" s="1"/>
      <c r="S1422" s="1"/>
      <c r="T1422" s="1"/>
      <c r="U1422" s="33"/>
      <c r="V1422" s="16"/>
      <c r="W1422" s="1"/>
      <c r="X1422" s="1"/>
    </row>
    <row r="1423" spans="1:24">
      <c r="A1423" s="1"/>
      <c r="B1423" s="16"/>
      <c r="C1423" s="16"/>
      <c r="D1423" s="16"/>
      <c r="E1423" s="16"/>
      <c r="F1423" s="16"/>
      <c r="G1423" s="16"/>
      <c r="H1423" s="16"/>
      <c r="I1423" s="16"/>
      <c r="J1423" s="16"/>
      <c r="K1423" s="16"/>
      <c r="L1423" s="16"/>
      <c r="M1423" s="26"/>
      <c r="N1423" s="26"/>
      <c r="O1423" s="16"/>
      <c r="P1423" s="1"/>
      <c r="Q1423" s="1"/>
      <c r="R1423" s="1"/>
      <c r="S1423" s="1"/>
      <c r="T1423" s="1"/>
      <c r="U1423" s="33"/>
      <c r="V1423" s="16"/>
      <c r="W1423" s="1"/>
      <c r="X1423" s="1"/>
    </row>
    <row r="1424" spans="1:24">
      <c r="A1424" s="1"/>
      <c r="B1424" s="16"/>
      <c r="C1424" s="16"/>
      <c r="D1424" s="16"/>
      <c r="E1424" s="16"/>
      <c r="F1424" s="16"/>
      <c r="G1424" s="16"/>
      <c r="H1424" s="16"/>
      <c r="I1424" s="16"/>
      <c r="J1424" s="16"/>
      <c r="K1424" s="16"/>
      <c r="L1424" s="16"/>
      <c r="M1424" s="26"/>
      <c r="N1424" s="26"/>
      <c r="O1424" s="16"/>
      <c r="P1424" s="1"/>
      <c r="Q1424" s="1"/>
      <c r="R1424" s="1"/>
      <c r="S1424" s="1"/>
      <c r="T1424" s="1"/>
      <c r="U1424" s="33"/>
      <c r="V1424" s="16"/>
      <c r="W1424" s="1"/>
      <c r="X1424" s="1"/>
    </row>
    <row r="1425" spans="1:24">
      <c r="A1425" s="1"/>
      <c r="B1425" s="16"/>
      <c r="C1425" s="16"/>
      <c r="D1425" s="16"/>
      <c r="E1425" s="16"/>
      <c r="F1425" s="16"/>
      <c r="G1425" s="16"/>
      <c r="H1425" s="16"/>
      <c r="I1425" s="16"/>
      <c r="J1425" s="16"/>
      <c r="K1425" s="16"/>
      <c r="L1425" s="16"/>
      <c r="M1425" s="26"/>
      <c r="N1425" s="26"/>
      <c r="O1425" s="16"/>
      <c r="P1425" s="1"/>
      <c r="Q1425" s="1"/>
      <c r="R1425" s="1"/>
      <c r="S1425" s="1"/>
      <c r="T1425" s="1"/>
      <c r="U1425" s="33"/>
      <c r="V1425" s="16"/>
      <c r="W1425" s="1"/>
      <c r="X1425" s="1"/>
    </row>
    <row r="1426" spans="1:24">
      <c r="A1426" s="1"/>
      <c r="B1426" s="16"/>
      <c r="C1426" s="16"/>
      <c r="D1426" s="16"/>
      <c r="E1426" s="16"/>
      <c r="F1426" s="16"/>
      <c r="G1426" s="16"/>
      <c r="H1426" s="16"/>
      <c r="I1426" s="16"/>
      <c r="J1426" s="16"/>
      <c r="K1426" s="16"/>
      <c r="L1426" s="16"/>
      <c r="M1426" s="26"/>
      <c r="N1426" s="26"/>
      <c r="O1426" s="16"/>
      <c r="P1426" s="1"/>
      <c r="Q1426" s="1"/>
      <c r="R1426" s="1"/>
      <c r="S1426" s="1"/>
      <c r="T1426" s="1"/>
      <c r="U1426" s="33"/>
      <c r="V1426" s="16"/>
      <c r="W1426" s="1"/>
      <c r="X1426" s="1"/>
    </row>
    <row r="1427" spans="1:24">
      <c r="A1427" s="1"/>
      <c r="B1427" s="16"/>
      <c r="C1427" s="16"/>
      <c r="D1427" s="16"/>
      <c r="E1427" s="16"/>
      <c r="F1427" s="16"/>
      <c r="G1427" s="16"/>
      <c r="H1427" s="16"/>
      <c r="I1427" s="16"/>
      <c r="J1427" s="16"/>
      <c r="K1427" s="16"/>
      <c r="L1427" s="16"/>
      <c r="M1427" s="26"/>
      <c r="N1427" s="26"/>
      <c r="O1427" s="16"/>
      <c r="P1427" s="1"/>
      <c r="Q1427" s="1"/>
      <c r="R1427" s="1"/>
      <c r="S1427" s="1"/>
      <c r="T1427" s="1"/>
      <c r="U1427" s="33"/>
      <c r="V1427" s="16"/>
      <c r="W1427" s="1"/>
      <c r="X1427" s="1"/>
    </row>
    <row r="1428" spans="1:24">
      <c r="A1428" s="1"/>
      <c r="B1428" s="16"/>
      <c r="C1428" s="16"/>
      <c r="D1428" s="16"/>
      <c r="E1428" s="16"/>
      <c r="F1428" s="16"/>
      <c r="G1428" s="16"/>
      <c r="H1428" s="16"/>
      <c r="I1428" s="16"/>
      <c r="J1428" s="16"/>
      <c r="K1428" s="16"/>
      <c r="L1428" s="16"/>
      <c r="M1428" s="26"/>
      <c r="N1428" s="26"/>
      <c r="O1428" s="16"/>
      <c r="P1428" s="1"/>
      <c r="Q1428" s="1"/>
      <c r="R1428" s="1"/>
      <c r="S1428" s="1"/>
      <c r="T1428" s="1"/>
      <c r="U1428" s="33"/>
      <c r="V1428" s="16"/>
      <c r="W1428" s="1"/>
      <c r="X1428" s="1"/>
    </row>
    <row r="1429" spans="1:24">
      <c r="A1429" s="1"/>
      <c r="B1429" s="16"/>
      <c r="C1429" s="16"/>
      <c r="D1429" s="16"/>
      <c r="E1429" s="16"/>
      <c r="F1429" s="16"/>
      <c r="G1429" s="16"/>
      <c r="H1429" s="16"/>
      <c r="I1429" s="16"/>
      <c r="J1429" s="16"/>
      <c r="K1429" s="16"/>
      <c r="L1429" s="16"/>
      <c r="M1429" s="26"/>
      <c r="N1429" s="26"/>
      <c r="O1429" s="16"/>
      <c r="P1429" s="1"/>
      <c r="Q1429" s="1"/>
      <c r="R1429" s="1"/>
      <c r="S1429" s="1"/>
      <c r="T1429" s="1"/>
      <c r="U1429" s="33"/>
      <c r="V1429" s="16"/>
      <c r="W1429" s="1"/>
      <c r="X1429" s="1"/>
    </row>
    <row r="1430" spans="1:24">
      <c r="A1430" s="1"/>
      <c r="B1430" s="16"/>
      <c r="C1430" s="16"/>
      <c r="D1430" s="16"/>
      <c r="E1430" s="16"/>
      <c r="F1430" s="16"/>
      <c r="G1430" s="16"/>
      <c r="H1430" s="16"/>
      <c r="I1430" s="16"/>
      <c r="J1430" s="16"/>
      <c r="K1430" s="16"/>
      <c r="L1430" s="16"/>
      <c r="M1430" s="26"/>
      <c r="N1430" s="26"/>
      <c r="O1430" s="16"/>
      <c r="P1430" s="1"/>
      <c r="Q1430" s="1"/>
      <c r="R1430" s="1"/>
      <c r="S1430" s="1"/>
      <c r="T1430" s="1"/>
      <c r="U1430" s="33"/>
      <c r="V1430" s="16"/>
      <c r="W1430" s="1"/>
      <c r="X1430" s="1"/>
    </row>
    <row r="1431" spans="1:24">
      <c r="A1431" s="1"/>
      <c r="B1431" s="16"/>
      <c r="C1431" s="16"/>
      <c r="D1431" s="16"/>
      <c r="E1431" s="16"/>
      <c r="F1431" s="16"/>
      <c r="G1431" s="16"/>
      <c r="H1431" s="16"/>
      <c r="I1431" s="16"/>
      <c r="J1431" s="16"/>
      <c r="K1431" s="16"/>
      <c r="L1431" s="16"/>
      <c r="M1431" s="26"/>
      <c r="N1431" s="26"/>
      <c r="O1431" s="16"/>
      <c r="P1431" s="1"/>
      <c r="Q1431" s="1"/>
      <c r="R1431" s="1"/>
      <c r="S1431" s="1"/>
      <c r="T1431" s="1"/>
      <c r="U1431" s="33"/>
      <c r="V1431" s="16"/>
      <c r="W1431" s="1"/>
      <c r="X1431" s="1"/>
    </row>
    <row r="1432" spans="1:24">
      <c r="A1432" s="1"/>
      <c r="B1432" s="16"/>
      <c r="C1432" s="16"/>
      <c r="D1432" s="16"/>
      <c r="E1432" s="16"/>
      <c r="F1432" s="16"/>
      <c r="G1432" s="16"/>
      <c r="H1432" s="16"/>
      <c r="I1432" s="16"/>
      <c r="J1432" s="16"/>
      <c r="K1432" s="16"/>
      <c r="L1432" s="16"/>
      <c r="M1432" s="26"/>
      <c r="N1432" s="26"/>
      <c r="O1432" s="16"/>
      <c r="P1432" s="1"/>
      <c r="Q1432" s="1"/>
      <c r="R1432" s="1"/>
      <c r="S1432" s="1"/>
      <c r="T1432" s="1"/>
      <c r="U1432" s="33"/>
      <c r="V1432" s="16"/>
      <c r="W1432" s="1"/>
      <c r="X1432" s="1"/>
    </row>
    <row r="1433" spans="1:24">
      <c r="A1433" s="1"/>
      <c r="B1433" s="16"/>
      <c r="C1433" s="16"/>
      <c r="D1433" s="16"/>
      <c r="E1433" s="16"/>
      <c r="F1433" s="16"/>
      <c r="G1433" s="16"/>
      <c r="H1433" s="16"/>
      <c r="I1433" s="16"/>
      <c r="J1433" s="16"/>
      <c r="K1433" s="16"/>
      <c r="L1433" s="16"/>
      <c r="M1433" s="26"/>
      <c r="N1433" s="26"/>
      <c r="O1433" s="16"/>
      <c r="P1433" s="1"/>
      <c r="Q1433" s="1"/>
      <c r="R1433" s="1"/>
      <c r="S1433" s="1"/>
      <c r="T1433" s="1"/>
      <c r="U1433" s="33"/>
      <c r="V1433" s="16"/>
      <c r="W1433" s="1"/>
      <c r="X1433" s="1"/>
    </row>
    <row r="1434" spans="1:24">
      <c r="A1434" s="1"/>
      <c r="B1434" s="16"/>
      <c r="C1434" s="16"/>
      <c r="D1434" s="16"/>
      <c r="E1434" s="16"/>
      <c r="F1434" s="16"/>
      <c r="G1434" s="16"/>
      <c r="H1434" s="16"/>
      <c r="I1434" s="16"/>
      <c r="J1434" s="16"/>
      <c r="K1434" s="16"/>
      <c r="L1434" s="16"/>
      <c r="M1434" s="26"/>
      <c r="N1434" s="26"/>
      <c r="O1434" s="16"/>
      <c r="P1434" s="1"/>
      <c r="Q1434" s="1"/>
      <c r="R1434" s="1"/>
      <c r="S1434" s="1"/>
      <c r="T1434" s="1"/>
      <c r="U1434" s="33"/>
      <c r="V1434" s="16"/>
      <c r="W1434" s="1"/>
      <c r="X1434" s="1"/>
    </row>
    <row r="1435" spans="1:24">
      <c r="A1435" s="1"/>
      <c r="B1435" s="16"/>
      <c r="C1435" s="16"/>
      <c r="D1435" s="16"/>
      <c r="E1435" s="16"/>
      <c r="F1435" s="16"/>
      <c r="G1435" s="16"/>
      <c r="H1435" s="16"/>
      <c r="I1435" s="16"/>
      <c r="J1435" s="16"/>
      <c r="K1435" s="16"/>
      <c r="L1435" s="16"/>
      <c r="M1435" s="26"/>
      <c r="N1435" s="26"/>
      <c r="O1435" s="16"/>
      <c r="P1435" s="1"/>
      <c r="Q1435" s="1"/>
      <c r="R1435" s="1"/>
      <c r="S1435" s="1"/>
      <c r="T1435" s="1"/>
      <c r="U1435" s="33"/>
      <c r="V1435" s="16"/>
      <c r="W1435" s="1"/>
      <c r="X1435" s="1"/>
    </row>
    <row r="1436" spans="1:24">
      <c r="A1436" s="1"/>
      <c r="B1436" s="16"/>
      <c r="C1436" s="16"/>
      <c r="D1436" s="16"/>
      <c r="E1436" s="16"/>
      <c r="F1436" s="16"/>
      <c r="G1436" s="16"/>
      <c r="H1436" s="16"/>
      <c r="I1436" s="16"/>
      <c r="J1436" s="16"/>
      <c r="K1436" s="16"/>
      <c r="L1436" s="16"/>
      <c r="M1436" s="26"/>
      <c r="N1436" s="26"/>
      <c r="O1436" s="16"/>
      <c r="P1436" s="1"/>
      <c r="Q1436" s="1"/>
      <c r="R1436" s="1"/>
      <c r="S1436" s="1"/>
      <c r="T1436" s="1"/>
      <c r="U1436" s="33"/>
      <c r="V1436" s="16"/>
      <c r="W1436" s="1"/>
      <c r="X1436" s="1"/>
    </row>
    <row r="1437" spans="1:24">
      <c r="A1437" s="1"/>
      <c r="B1437" s="16"/>
      <c r="C1437" s="16"/>
      <c r="D1437" s="16"/>
      <c r="E1437" s="16"/>
      <c r="F1437" s="16"/>
      <c r="G1437" s="16"/>
      <c r="H1437" s="16"/>
      <c r="I1437" s="16"/>
      <c r="J1437" s="16"/>
      <c r="K1437" s="16"/>
      <c r="L1437" s="16"/>
      <c r="M1437" s="26"/>
      <c r="N1437" s="26"/>
      <c r="O1437" s="16"/>
      <c r="P1437" s="1"/>
      <c r="Q1437" s="1"/>
      <c r="R1437" s="1"/>
      <c r="S1437" s="1"/>
      <c r="T1437" s="1"/>
      <c r="U1437" s="33"/>
      <c r="V1437" s="16"/>
      <c r="W1437" s="1"/>
      <c r="X1437" s="1"/>
    </row>
    <row r="1438" spans="1:24">
      <c r="A1438" s="1"/>
      <c r="B1438" s="16"/>
      <c r="C1438" s="16"/>
      <c r="D1438" s="16"/>
      <c r="E1438" s="16"/>
      <c r="F1438" s="16"/>
      <c r="G1438" s="16"/>
      <c r="H1438" s="16"/>
      <c r="I1438" s="16"/>
      <c r="J1438" s="16"/>
      <c r="K1438" s="16"/>
      <c r="L1438" s="16"/>
      <c r="M1438" s="26"/>
      <c r="N1438" s="26"/>
      <c r="O1438" s="16"/>
      <c r="P1438" s="1"/>
      <c r="Q1438" s="1"/>
      <c r="R1438" s="1"/>
      <c r="S1438" s="1"/>
      <c r="T1438" s="1"/>
      <c r="U1438" s="33"/>
      <c r="V1438" s="16"/>
      <c r="W1438" s="1"/>
      <c r="X1438" s="1"/>
    </row>
    <row r="1439" spans="1:24">
      <c r="A1439" s="1"/>
      <c r="B1439" s="16"/>
      <c r="C1439" s="16"/>
      <c r="D1439" s="16"/>
      <c r="E1439" s="16"/>
      <c r="F1439" s="16"/>
      <c r="G1439" s="16"/>
      <c r="H1439" s="16"/>
      <c r="I1439" s="16"/>
      <c r="J1439" s="16"/>
      <c r="K1439" s="16"/>
      <c r="L1439" s="16"/>
      <c r="M1439" s="26"/>
      <c r="N1439" s="26"/>
      <c r="O1439" s="16"/>
      <c r="P1439" s="1"/>
      <c r="Q1439" s="1"/>
      <c r="R1439" s="1"/>
      <c r="S1439" s="1"/>
      <c r="T1439" s="1"/>
      <c r="U1439" s="33"/>
      <c r="V1439" s="16"/>
      <c r="W1439" s="1"/>
      <c r="X1439" s="1"/>
    </row>
    <row r="1440" spans="1:24">
      <c r="A1440" s="1"/>
      <c r="B1440" s="16"/>
      <c r="C1440" s="16"/>
      <c r="D1440" s="16"/>
      <c r="E1440" s="16"/>
      <c r="F1440" s="16"/>
      <c r="G1440" s="16"/>
      <c r="H1440" s="16"/>
      <c r="I1440" s="16"/>
      <c r="J1440" s="16"/>
      <c r="K1440" s="16"/>
      <c r="L1440" s="16"/>
      <c r="M1440" s="26"/>
      <c r="N1440" s="26"/>
      <c r="O1440" s="16"/>
      <c r="P1440" s="1"/>
      <c r="Q1440" s="1"/>
      <c r="R1440" s="1"/>
      <c r="S1440" s="1"/>
      <c r="T1440" s="1"/>
      <c r="U1440" s="33"/>
      <c r="V1440" s="16"/>
      <c r="W1440" s="1"/>
      <c r="X1440" s="1"/>
    </row>
    <row r="1441" spans="1:24">
      <c r="A1441" s="1"/>
      <c r="B1441" s="16"/>
      <c r="C1441" s="16"/>
      <c r="D1441" s="16"/>
      <c r="E1441" s="16"/>
      <c r="F1441" s="16"/>
      <c r="G1441" s="16"/>
      <c r="H1441" s="16"/>
      <c r="I1441" s="16"/>
      <c r="J1441" s="16"/>
      <c r="K1441" s="16"/>
      <c r="L1441" s="16"/>
      <c r="M1441" s="26"/>
      <c r="N1441" s="26"/>
      <c r="O1441" s="16"/>
      <c r="P1441" s="1"/>
      <c r="Q1441" s="1"/>
      <c r="R1441" s="1"/>
      <c r="S1441" s="1"/>
      <c r="T1441" s="1"/>
      <c r="U1441" s="33"/>
      <c r="V1441" s="16"/>
      <c r="W1441" s="1"/>
      <c r="X1441" s="1"/>
    </row>
    <row r="1442" spans="1:24">
      <c r="A1442" s="1"/>
      <c r="B1442" s="16"/>
      <c r="C1442" s="16"/>
      <c r="D1442" s="16"/>
      <c r="E1442" s="16"/>
      <c r="F1442" s="16"/>
      <c r="G1442" s="16"/>
      <c r="H1442" s="16"/>
      <c r="I1442" s="16"/>
      <c r="J1442" s="16"/>
      <c r="K1442" s="16"/>
      <c r="L1442" s="16"/>
      <c r="M1442" s="26"/>
      <c r="N1442" s="26"/>
      <c r="O1442" s="16"/>
      <c r="P1442" s="1"/>
      <c r="Q1442" s="1"/>
      <c r="R1442" s="1"/>
      <c r="S1442" s="1"/>
      <c r="T1442" s="1"/>
      <c r="U1442" s="33"/>
      <c r="V1442" s="16"/>
      <c r="W1442" s="1"/>
      <c r="X1442" s="1"/>
    </row>
    <row r="1443" spans="1:24">
      <c r="A1443" s="1"/>
      <c r="B1443" s="16"/>
      <c r="C1443" s="16"/>
      <c r="D1443" s="16"/>
      <c r="E1443" s="16"/>
      <c r="F1443" s="16"/>
      <c r="G1443" s="16"/>
      <c r="H1443" s="16"/>
      <c r="I1443" s="16"/>
      <c r="J1443" s="16"/>
      <c r="K1443" s="16"/>
      <c r="L1443" s="16"/>
      <c r="M1443" s="26"/>
      <c r="N1443" s="26"/>
      <c r="O1443" s="16"/>
      <c r="P1443" s="1"/>
      <c r="Q1443" s="1"/>
      <c r="R1443" s="1"/>
      <c r="S1443" s="1"/>
      <c r="T1443" s="1"/>
      <c r="U1443" s="33"/>
      <c r="V1443" s="16"/>
      <c r="W1443" s="1"/>
      <c r="X1443" s="1"/>
    </row>
    <row r="1444" spans="1:24">
      <c r="A1444" s="1"/>
      <c r="B1444" s="16"/>
      <c r="C1444" s="16"/>
      <c r="D1444" s="16"/>
      <c r="E1444" s="16"/>
      <c r="F1444" s="16"/>
      <c r="G1444" s="16"/>
      <c r="H1444" s="16"/>
      <c r="I1444" s="16"/>
      <c r="J1444" s="16"/>
      <c r="K1444" s="16"/>
      <c r="L1444" s="16"/>
      <c r="M1444" s="26"/>
      <c r="N1444" s="26"/>
      <c r="O1444" s="16"/>
      <c r="P1444" s="1"/>
      <c r="Q1444" s="1"/>
      <c r="R1444" s="1"/>
      <c r="S1444" s="1"/>
      <c r="T1444" s="1"/>
      <c r="U1444" s="33"/>
      <c r="V1444" s="16"/>
      <c r="W1444" s="1"/>
      <c r="X1444" s="1"/>
    </row>
    <row r="1445" spans="1:24">
      <c r="A1445" s="1"/>
      <c r="B1445" s="16"/>
      <c r="C1445" s="16"/>
      <c r="D1445" s="16"/>
      <c r="E1445" s="16"/>
      <c r="F1445" s="16"/>
      <c r="G1445" s="16"/>
      <c r="H1445" s="16"/>
      <c r="I1445" s="16"/>
      <c r="J1445" s="16"/>
      <c r="K1445" s="16"/>
      <c r="L1445" s="16"/>
      <c r="M1445" s="26"/>
      <c r="N1445" s="26"/>
      <c r="O1445" s="16"/>
      <c r="P1445" s="1"/>
      <c r="Q1445" s="1"/>
      <c r="R1445" s="1"/>
      <c r="S1445" s="1"/>
      <c r="T1445" s="1"/>
      <c r="U1445" s="33"/>
      <c r="V1445" s="16"/>
      <c r="W1445" s="1"/>
      <c r="X1445" s="1"/>
    </row>
    <row r="1446" spans="1:24">
      <c r="A1446" s="1"/>
      <c r="B1446" s="16"/>
      <c r="C1446" s="16"/>
      <c r="D1446" s="16"/>
      <c r="E1446" s="16"/>
      <c r="F1446" s="16"/>
      <c r="G1446" s="16"/>
      <c r="H1446" s="16"/>
      <c r="I1446" s="16"/>
      <c r="J1446" s="16"/>
      <c r="K1446" s="16"/>
      <c r="L1446" s="16"/>
      <c r="M1446" s="26"/>
      <c r="N1446" s="26"/>
      <c r="O1446" s="16"/>
      <c r="P1446" s="1"/>
      <c r="Q1446" s="1"/>
      <c r="R1446" s="1"/>
      <c r="S1446" s="1"/>
      <c r="T1446" s="1"/>
      <c r="U1446" s="33"/>
      <c r="V1446" s="16"/>
      <c r="W1446" s="1"/>
      <c r="X1446" s="1"/>
    </row>
    <row r="1447" spans="1:24">
      <c r="A1447" s="1"/>
      <c r="B1447" s="16"/>
      <c r="C1447" s="16"/>
      <c r="D1447" s="16"/>
      <c r="E1447" s="16"/>
      <c r="F1447" s="16"/>
      <c r="G1447" s="16"/>
      <c r="H1447" s="16"/>
      <c r="I1447" s="16"/>
      <c r="J1447" s="16"/>
      <c r="K1447" s="16"/>
      <c r="L1447" s="16"/>
      <c r="M1447" s="26"/>
      <c r="N1447" s="26"/>
      <c r="O1447" s="16"/>
      <c r="P1447" s="1"/>
      <c r="Q1447" s="1"/>
      <c r="R1447" s="1"/>
      <c r="S1447" s="1"/>
      <c r="T1447" s="1"/>
      <c r="U1447" s="33"/>
      <c r="V1447" s="16"/>
      <c r="W1447" s="1"/>
      <c r="X1447" s="1"/>
    </row>
    <row r="1448" spans="1:24">
      <c r="A1448" s="1"/>
      <c r="B1448" s="16"/>
      <c r="C1448" s="16"/>
      <c r="D1448" s="16"/>
      <c r="E1448" s="16"/>
      <c r="F1448" s="16"/>
      <c r="G1448" s="16"/>
      <c r="H1448" s="16"/>
      <c r="I1448" s="16"/>
      <c r="J1448" s="16"/>
      <c r="K1448" s="16"/>
      <c r="L1448" s="16"/>
      <c r="M1448" s="26"/>
      <c r="N1448" s="26"/>
      <c r="O1448" s="16"/>
      <c r="P1448" s="1"/>
      <c r="Q1448" s="1"/>
      <c r="R1448" s="1"/>
      <c r="S1448" s="1"/>
      <c r="T1448" s="1"/>
      <c r="U1448" s="33"/>
      <c r="V1448" s="16"/>
      <c r="W1448" s="1"/>
      <c r="X1448" s="1"/>
    </row>
    <row r="1449" spans="1:24">
      <c r="A1449" s="1"/>
      <c r="B1449" s="16"/>
      <c r="C1449" s="16"/>
      <c r="D1449" s="16"/>
      <c r="E1449" s="16"/>
      <c r="F1449" s="16"/>
      <c r="G1449" s="16"/>
      <c r="H1449" s="16"/>
      <c r="I1449" s="16"/>
      <c r="J1449" s="16"/>
      <c r="K1449" s="16"/>
      <c r="L1449" s="16"/>
      <c r="M1449" s="26"/>
      <c r="N1449" s="26"/>
      <c r="O1449" s="16"/>
      <c r="P1449" s="1"/>
      <c r="Q1449" s="1"/>
      <c r="R1449" s="1"/>
      <c r="S1449" s="1"/>
      <c r="T1449" s="1"/>
      <c r="U1449" s="33"/>
      <c r="V1449" s="16"/>
      <c r="W1449" s="1"/>
      <c r="X1449" s="1"/>
    </row>
    <row r="1450" spans="1:24">
      <c r="A1450" s="1"/>
      <c r="B1450" s="16"/>
      <c r="C1450" s="16"/>
      <c r="D1450" s="16"/>
      <c r="E1450" s="16"/>
      <c r="F1450" s="16"/>
      <c r="G1450" s="16"/>
      <c r="H1450" s="16"/>
      <c r="I1450" s="16"/>
      <c r="J1450" s="16"/>
      <c r="K1450" s="16"/>
      <c r="L1450" s="16"/>
      <c r="M1450" s="26"/>
      <c r="N1450" s="26"/>
      <c r="O1450" s="16"/>
      <c r="P1450" s="1"/>
      <c r="Q1450" s="1"/>
      <c r="R1450" s="1"/>
      <c r="S1450" s="1"/>
      <c r="T1450" s="1"/>
      <c r="U1450" s="33"/>
      <c r="V1450" s="16"/>
      <c r="W1450" s="1"/>
      <c r="X1450" s="1"/>
    </row>
    <row r="1451" spans="1:24">
      <c r="A1451" s="1"/>
      <c r="B1451" s="16"/>
      <c r="C1451" s="16"/>
      <c r="D1451" s="16"/>
      <c r="E1451" s="16"/>
      <c r="F1451" s="16"/>
      <c r="G1451" s="16"/>
      <c r="H1451" s="16"/>
      <c r="I1451" s="16"/>
      <c r="J1451" s="16"/>
      <c r="K1451" s="16"/>
      <c r="L1451" s="16"/>
      <c r="M1451" s="26"/>
      <c r="N1451" s="26"/>
      <c r="O1451" s="16"/>
      <c r="P1451" s="1"/>
      <c r="Q1451" s="1"/>
      <c r="R1451" s="1"/>
      <c r="S1451" s="1"/>
      <c r="T1451" s="1"/>
      <c r="U1451" s="33"/>
      <c r="V1451" s="16"/>
      <c r="W1451" s="1"/>
      <c r="X1451" s="1"/>
    </row>
    <row r="1452" spans="1:24">
      <c r="A1452" s="1"/>
      <c r="B1452" s="16"/>
      <c r="C1452" s="16"/>
      <c r="D1452" s="16"/>
      <c r="E1452" s="16"/>
      <c r="F1452" s="16"/>
      <c r="G1452" s="16"/>
      <c r="H1452" s="16"/>
      <c r="I1452" s="16"/>
      <c r="J1452" s="16"/>
      <c r="K1452" s="16"/>
      <c r="L1452" s="16"/>
      <c r="M1452" s="26"/>
      <c r="N1452" s="26"/>
      <c r="O1452" s="16"/>
      <c r="P1452" s="1"/>
      <c r="Q1452" s="1"/>
      <c r="R1452" s="1"/>
      <c r="S1452" s="1"/>
      <c r="T1452" s="1"/>
      <c r="U1452" s="33"/>
      <c r="V1452" s="16"/>
      <c r="W1452" s="1"/>
      <c r="X1452" s="1"/>
    </row>
    <row r="1453" spans="1:24">
      <c r="A1453" s="1"/>
      <c r="B1453" s="16"/>
      <c r="C1453" s="16"/>
      <c r="D1453" s="16"/>
      <c r="E1453" s="16"/>
      <c r="F1453" s="16"/>
      <c r="G1453" s="16"/>
      <c r="H1453" s="16"/>
      <c r="I1453" s="16"/>
      <c r="J1453" s="16"/>
      <c r="K1453" s="16"/>
      <c r="L1453" s="16"/>
      <c r="M1453" s="26"/>
      <c r="N1453" s="26"/>
      <c r="O1453" s="16"/>
      <c r="P1453" s="1"/>
      <c r="Q1453" s="1"/>
      <c r="R1453" s="1"/>
      <c r="S1453" s="1"/>
      <c r="T1453" s="1"/>
      <c r="U1453" s="33"/>
      <c r="V1453" s="16"/>
      <c r="W1453" s="1"/>
      <c r="X1453" s="1"/>
    </row>
    <row r="1454" spans="1:24">
      <c r="A1454" s="1"/>
      <c r="B1454" s="16"/>
      <c r="C1454" s="16"/>
      <c r="D1454" s="16"/>
      <c r="E1454" s="16"/>
      <c r="F1454" s="16"/>
      <c r="G1454" s="16"/>
      <c r="H1454" s="16"/>
      <c r="I1454" s="16"/>
      <c r="J1454" s="16"/>
      <c r="K1454" s="16"/>
      <c r="L1454" s="16"/>
      <c r="M1454" s="26"/>
      <c r="N1454" s="26"/>
      <c r="O1454" s="16"/>
      <c r="P1454" s="1"/>
      <c r="Q1454" s="1"/>
      <c r="R1454" s="1"/>
      <c r="S1454" s="1"/>
      <c r="T1454" s="1"/>
      <c r="U1454" s="33"/>
      <c r="V1454" s="16"/>
      <c r="W1454" s="1"/>
      <c r="X1454" s="1"/>
    </row>
    <row r="1455" spans="1:24">
      <c r="A1455" s="1"/>
      <c r="B1455" s="16"/>
      <c r="C1455" s="16"/>
      <c r="D1455" s="16"/>
      <c r="E1455" s="16"/>
      <c r="F1455" s="16"/>
      <c r="G1455" s="16"/>
      <c r="H1455" s="16"/>
      <c r="I1455" s="16"/>
      <c r="J1455" s="16"/>
      <c r="K1455" s="16"/>
      <c r="L1455" s="16"/>
      <c r="M1455" s="26"/>
      <c r="N1455" s="26"/>
      <c r="O1455" s="16"/>
      <c r="P1455" s="1"/>
      <c r="Q1455" s="1"/>
      <c r="R1455" s="1"/>
      <c r="S1455" s="1"/>
      <c r="T1455" s="1"/>
      <c r="U1455" s="33"/>
      <c r="V1455" s="16"/>
      <c r="W1455" s="1"/>
      <c r="X1455" s="1"/>
    </row>
    <row r="1456" spans="1:24">
      <c r="A1456" s="1"/>
      <c r="B1456" s="16"/>
      <c r="C1456" s="16"/>
      <c r="D1456" s="16"/>
      <c r="E1456" s="16"/>
      <c r="F1456" s="16"/>
      <c r="G1456" s="16"/>
      <c r="H1456" s="16"/>
      <c r="I1456" s="16"/>
      <c r="J1456" s="16"/>
      <c r="K1456" s="16"/>
      <c r="L1456" s="16"/>
      <c r="M1456" s="26"/>
      <c r="N1456" s="26"/>
      <c r="O1456" s="16"/>
      <c r="P1456" s="1"/>
      <c r="Q1456" s="1"/>
      <c r="R1456" s="1"/>
      <c r="S1456" s="1"/>
      <c r="T1456" s="1"/>
      <c r="U1456" s="33"/>
      <c r="V1456" s="16"/>
      <c r="W1456" s="1"/>
      <c r="X1456" s="1"/>
    </row>
    <row r="1457" spans="1:24">
      <c r="A1457" s="1"/>
      <c r="B1457" s="16"/>
      <c r="C1457" s="16"/>
      <c r="D1457" s="16"/>
      <c r="E1457" s="16"/>
      <c r="F1457" s="16"/>
      <c r="G1457" s="16"/>
      <c r="H1457" s="16"/>
      <c r="I1457" s="16"/>
      <c r="J1457" s="16"/>
      <c r="K1457" s="16"/>
      <c r="L1457" s="16"/>
      <c r="M1457" s="26"/>
      <c r="N1457" s="26"/>
      <c r="O1457" s="16"/>
      <c r="P1457" s="1"/>
      <c r="Q1457" s="1"/>
      <c r="R1457" s="1"/>
      <c r="S1457" s="1"/>
      <c r="T1457" s="1"/>
      <c r="U1457" s="33"/>
      <c r="V1457" s="16"/>
      <c r="W1457" s="1"/>
      <c r="X1457" s="1"/>
    </row>
    <row r="1458" spans="1:24">
      <c r="A1458" s="1"/>
      <c r="B1458" s="16"/>
      <c r="C1458" s="16"/>
      <c r="D1458" s="16"/>
      <c r="E1458" s="16"/>
      <c r="F1458" s="16"/>
      <c r="G1458" s="16"/>
      <c r="H1458" s="16"/>
      <c r="I1458" s="16"/>
      <c r="J1458" s="16"/>
      <c r="K1458" s="16"/>
      <c r="L1458" s="16"/>
      <c r="M1458" s="26"/>
      <c r="N1458" s="26"/>
      <c r="O1458" s="16"/>
      <c r="P1458" s="1"/>
      <c r="Q1458" s="1"/>
      <c r="R1458" s="1"/>
      <c r="S1458" s="1"/>
      <c r="T1458" s="1"/>
      <c r="U1458" s="33"/>
      <c r="V1458" s="16"/>
      <c r="W1458" s="1"/>
      <c r="X1458" s="1"/>
    </row>
    <row r="1459" spans="1:24">
      <c r="A1459" s="1"/>
      <c r="B1459" s="16"/>
      <c r="C1459" s="16"/>
      <c r="D1459" s="16"/>
      <c r="E1459" s="16"/>
      <c r="F1459" s="16"/>
      <c r="G1459" s="16"/>
      <c r="H1459" s="16"/>
      <c r="I1459" s="16"/>
      <c r="J1459" s="16"/>
      <c r="K1459" s="16"/>
      <c r="L1459" s="16"/>
      <c r="M1459" s="26"/>
      <c r="N1459" s="26"/>
      <c r="O1459" s="16"/>
      <c r="P1459" s="1"/>
      <c r="Q1459" s="1"/>
      <c r="R1459" s="1"/>
      <c r="S1459" s="1"/>
      <c r="T1459" s="1"/>
      <c r="U1459" s="33"/>
      <c r="V1459" s="16"/>
      <c r="W1459" s="1"/>
      <c r="X1459" s="1"/>
    </row>
    <row r="1460" spans="1:24">
      <c r="A1460" s="1"/>
      <c r="B1460" s="16"/>
      <c r="C1460" s="16"/>
      <c r="D1460" s="16"/>
      <c r="E1460" s="16"/>
      <c r="F1460" s="16"/>
      <c r="G1460" s="16"/>
      <c r="H1460" s="16"/>
      <c r="I1460" s="16"/>
      <c r="J1460" s="16"/>
      <c r="K1460" s="16"/>
      <c r="L1460" s="16"/>
      <c r="M1460" s="26"/>
      <c r="N1460" s="26"/>
      <c r="O1460" s="16"/>
      <c r="P1460" s="1"/>
      <c r="Q1460" s="1"/>
      <c r="R1460" s="1"/>
      <c r="S1460" s="1"/>
      <c r="T1460" s="1"/>
      <c r="U1460" s="33"/>
      <c r="V1460" s="16"/>
      <c r="W1460" s="1"/>
      <c r="X1460" s="1"/>
    </row>
    <row r="1461" spans="1:24">
      <c r="A1461" s="1"/>
      <c r="B1461" s="16"/>
      <c r="C1461" s="16"/>
      <c r="D1461" s="16"/>
      <c r="E1461" s="16"/>
      <c r="F1461" s="16"/>
      <c r="G1461" s="16"/>
      <c r="H1461" s="16"/>
      <c r="I1461" s="16"/>
      <c r="J1461" s="16"/>
      <c r="K1461" s="16"/>
      <c r="L1461" s="16"/>
      <c r="M1461" s="26"/>
      <c r="N1461" s="26"/>
      <c r="O1461" s="16"/>
      <c r="P1461" s="1"/>
      <c r="Q1461" s="1"/>
      <c r="R1461" s="1"/>
      <c r="S1461" s="1"/>
      <c r="T1461" s="1"/>
      <c r="U1461" s="33"/>
      <c r="V1461" s="16"/>
      <c r="W1461" s="1"/>
      <c r="X1461" s="1"/>
    </row>
    <row r="1462" spans="1:24">
      <c r="A1462" s="1"/>
      <c r="B1462" s="16"/>
      <c r="C1462" s="16"/>
      <c r="D1462" s="16"/>
      <c r="E1462" s="16"/>
      <c r="F1462" s="16"/>
      <c r="G1462" s="16"/>
      <c r="H1462" s="16"/>
      <c r="I1462" s="16"/>
      <c r="J1462" s="16"/>
      <c r="K1462" s="16"/>
      <c r="L1462" s="16"/>
      <c r="M1462" s="26"/>
      <c r="N1462" s="26"/>
      <c r="O1462" s="16"/>
      <c r="P1462" s="1"/>
      <c r="Q1462" s="1"/>
      <c r="R1462" s="1"/>
      <c r="S1462" s="1"/>
      <c r="T1462" s="1"/>
      <c r="U1462" s="33"/>
      <c r="V1462" s="16"/>
      <c r="W1462" s="1"/>
      <c r="X1462" s="1"/>
    </row>
    <row r="1463" spans="1:24">
      <c r="A1463" s="1"/>
      <c r="B1463" s="16"/>
      <c r="C1463" s="16"/>
      <c r="D1463" s="16"/>
      <c r="E1463" s="16"/>
      <c r="F1463" s="16"/>
      <c r="G1463" s="16"/>
      <c r="H1463" s="16"/>
      <c r="I1463" s="16"/>
      <c r="J1463" s="16"/>
      <c r="K1463" s="16"/>
      <c r="L1463" s="16"/>
      <c r="M1463" s="26"/>
      <c r="N1463" s="26"/>
      <c r="O1463" s="16"/>
      <c r="P1463" s="1"/>
      <c r="Q1463" s="1"/>
      <c r="R1463" s="1"/>
      <c r="S1463" s="1"/>
      <c r="T1463" s="1"/>
      <c r="U1463" s="33"/>
      <c r="V1463" s="16"/>
      <c r="W1463" s="1"/>
      <c r="X1463" s="1"/>
    </row>
    <row r="1464" spans="1:24">
      <c r="A1464" s="1"/>
      <c r="B1464" s="16"/>
      <c r="C1464" s="16"/>
      <c r="D1464" s="16"/>
      <c r="E1464" s="16"/>
      <c r="F1464" s="16"/>
      <c r="G1464" s="16"/>
      <c r="H1464" s="16"/>
      <c r="I1464" s="16"/>
      <c r="J1464" s="16"/>
      <c r="K1464" s="16"/>
      <c r="L1464" s="16"/>
      <c r="M1464" s="26"/>
      <c r="N1464" s="26"/>
      <c r="O1464" s="16"/>
      <c r="P1464" s="1"/>
      <c r="Q1464" s="1"/>
      <c r="R1464" s="1"/>
      <c r="S1464" s="1"/>
      <c r="T1464" s="1"/>
      <c r="U1464" s="33"/>
      <c r="V1464" s="16"/>
      <c r="W1464" s="1"/>
      <c r="X1464" s="1"/>
    </row>
    <row r="1465" spans="1:24">
      <c r="A1465" s="1"/>
      <c r="B1465" s="16"/>
      <c r="C1465" s="16"/>
      <c r="D1465" s="16"/>
      <c r="E1465" s="16"/>
      <c r="F1465" s="16"/>
      <c r="G1465" s="16"/>
      <c r="H1465" s="16"/>
      <c r="I1465" s="16"/>
      <c r="J1465" s="16"/>
      <c r="K1465" s="16"/>
      <c r="L1465" s="16"/>
      <c r="M1465" s="26"/>
      <c r="N1465" s="26"/>
      <c r="O1465" s="16"/>
      <c r="P1465" s="1"/>
      <c r="Q1465" s="1"/>
      <c r="R1465" s="1"/>
      <c r="S1465" s="1"/>
      <c r="T1465" s="1"/>
      <c r="U1465" s="33"/>
      <c r="V1465" s="16"/>
      <c r="W1465" s="1"/>
      <c r="X1465" s="1"/>
    </row>
    <row r="1466" spans="1:24">
      <c r="A1466" s="1"/>
      <c r="B1466" s="16"/>
      <c r="C1466" s="16"/>
      <c r="D1466" s="16"/>
      <c r="E1466" s="16"/>
      <c r="F1466" s="16"/>
      <c r="G1466" s="16"/>
      <c r="H1466" s="16"/>
      <c r="I1466" s="16"/>
      <c r="J1466" s="16"/>
      <c r="K1466" s="16"/>
      <c r="L1466" s="16"/>
      <c r="M1466" s="26"/>
      <c r="N1466" s="26"/>
      <c r="O1466" s="16"/>
      <c r="P1466" s="1"/>
      <c r="Q1466" s="1"/>
      <c r="R1466" s="1"/>
      <c r="S1466" s="1"/>
      <c r="T1466" s="1"/>
      <c r="U1466" s="33"/>
      <c r="V1466" s="16"/>
      <c r="W1466" s="1"/>
      <c r="X1466" s="1"/>
    </row>
    <row r="1467" spans="1:24">
      <c r="A1467" s="1"/>
      <c r="B1467" s="16"/>
      <c r="C1467" s="16"/>
      <c r="D1467" s="16"/>
      <c r="E1467" s="16"/>
      <c r="F1467" s="16"/>
      <c r="G1467" s="16"/>
      <c r="H1467" s="16"/>
      <c r="I1467" s="16"/>
      <c r="J1467" s="16"/>
      <c r="K1467" s="16"/>
      <c r="L1467" s="16"/>
      <c r="M1467" s="26"/>
      <c r="N1467" s="26"/>
      <c r="O1467" s="16"/>
      <c r="P1467" s="1"/>
      <c r="Q1467" s="1"/>
      <c r="R1467" s="1"/>
      <c r="S1467" s="1"/>
      <c r="T1467" s="1"/>
      <c r="U1467" s="33"/>
      <c r="V1467" s="16"/>
      <c r="W1467" s="1"/>
      <c r="X1467" s="1"/>
    </row>
    <row r="1468" spans="1:24">
      <c r="A1468" s="1"/>
      <c r="B1468" s="16"/>
      <c r="C1468" s="16"/>
      <c r="D1468" s="16"/>
      <c r="E1468" s="16"/>
      <c r="F1468" s="16"/>
      <c r="G1468" s="16"/>
      <c r="H1468" s="16"/>
      <c r="I1468" s="16"/>
      <c r="J1468" s="16"/>
      <c r="K1468" s="16"/>
      <c r="L1468" s="16"/>
      <c r="M1468" s="26"/>
      <c r="N1468" s="26"/>
      <c r="O1468" s="16"/>
      <c r="P1468" s="1"/>
      <c r="Q1468" s="1"/>
      <c r="R1468" s="1"/>
      <c r="S1468" s="1"/>
      <c r="T1468" s="1"/>
      <c r="U1468" s="33"/>
      <c r="V1468" s="16"/>
      <c r="W1468" s="1"/>
      <c r="X1468" s="1"/>
    </row>
    <row r="1469" spans="1:24">
      <c r="A1469" s="1"/>
      <c r="B1469" s="16"/>
      <c r="C1469" s="16"/>
      <c r="D1469" s="16"/>
      <c r="E1469" s="16"/>
      <c r="F1469" s="16"/>
      <c r="G1469" s="16"/>
      <c r="H1469" s="16"/>
      <c r="I1469" s="16"/>
      <c r="J1469" s="16"/>
      <c r="K1469" s="16"/>
      <c r="L1469" s="16"/>
      <c r="M1469" s="26"/>
      <c r="N1469" s="26"/>
      <c r="O1469" s="16"/>
      <c r="P1469" s="1"/>
      <c r="Q1469" s="1"/>
      <c r="R1469" s="1"/>
      <c r="S1469" s="1"/>
      <c r="T1469" s="1"/>
      <c r="U1469" s="33"/>
      <c r="V1469" s="16"/>
      <c r="W1469" s="1"/>
      <c r="X1469" s="1"/>
    </row>
    <row r="1470" spans="1:24">
      <c r="A1470" s="1"/>
      <c r="B1470" s="16"/>
      <c r="C1470" s="16"/>
      <c r="D1470" s="16"/>
      <c r="E1470" s="16"/>
      <c r="F1470" s="16"/>
      <c r="G1470" s="16"/>
      <c r="H1470" s="16"/>
      <c r="I1470" s="16"/>
      <c r="J1470" s="16"/>
      <c r="K1470" s="16"/>
      <c r="L1470" s="16"/>
      <c r="M1470" s="26"/>
      <c r="N1470" s="26"/>
      <c r="O1470" s="16"/>
      <c r="P1470" s="1"/>
      <c r="Q1470" s="1"/>
      <c r="R1470" s="1"/>
      <c r="S1470" s="1"/>
      <c r="T1470" s="1"/>
      <c r="U1470" s="33"/>
      <c r="V1470" s="16"/>
      <c r="W1470" s="1"/>
      <c r="X1470" s="1"/>
    </row>
    <row r="1471" spans="1:24">
      <c r="A1471" s="1"/>
      <c r="B1471" s="16"/>
      <c r="C1471" s="16"/>
      <c r="D1471" s="16"/>
      <c r="E1471" s="16"/>
      <c r="F1471" s="16"/>
      <c r="G1471" s="16"/>
      <c r="H1471" s="16"/>
      <c r="I1471" s="16"/>
      <c r="J1471" s="16"/>
      <c r="K1471" s="16"/>
      <c r="L1471" s="16"/>
      <c r="M1471" s="26"/>
      <c r="N1471" s="26"/>
      <c r="O1471" s="16"/>
      <c r="P1471" s="1"/>
      <c r="Q1471" s="1"/>
      <c r="R1471" s="1"/>
      <c r="S1471" s="1"/>
      <c r="T1471" s="1"/>
      <c r="U1471" s="33"/>
      <c r="V1471" s="16"/>
      <c r="W1471" s="1"/>
      <c r="X1471" s="1"/>
    </row>
    <row r="1472" spans="1:24">
      <c r="A1472" s="1"/>
      <c r="B1472" s="16"/>
      <c r="C1472" s="16"/>
      <c r="D1472" s="16"/>
      <c r="E1472" s="16"/>
      <c r="F1472" s="16"/>
      <c r="G1472" s="16"/>
      <c r="H1472" s="16"/>
      <c r="I1472" s="16"/>
      <c r="J1472" s="16"/>
      <c r="K1472" s="16"/>
      <c r="L1472" s="16"/>
      <c r="M1472" s="26"/>
      <c r="N1472" s="26"/>
      <c r="O1472" s="16"/>
      <c r="P1472" s="1"/>
      <c r="Q1472" s="1"/>
      <c r="R1472" s="1"/>
      <c r="S1472" s="1"/>
      <c r="T1472" s="1"/>
      <c r="U1472" s="33"/>
      <c r="V1472" s="16"/>
      <c r="W1472" s="1"/>
      <c r="X1472" s="1"/>
    </row>
    <row r="1473" spans="1:24">
      <c r="A1473" s="1"/>
      <c r="B1473" s="16"/>
      <c r="C1473" s="16"/>
      <c r="D1473" s="16"/>
      <c r="E1473" s="16"/>
      <c r="F1473" s="16"/>
      <c r="G1473" s="16"/>
      <c r="H1473" s="16"/>
      <c r="I1473" s="16"/>
      <c r="J1473" s="16"/>
      <c r="K1473" s="16"/>
      <c r="L1473" s="16"/>
      <c r="M1473" s="26"/>
      <c r="N1473" s="26"/>
      <c r="O1473" s="16"/>
      <c r="P1473" s="1"/>
      <c r="Q1473" s="1"/>
      <c r="R1473" s="1"/>
      <c r="S1473" s="1"/>
      <c r="T1473" s="1"/>
      <c r="U1473" s="33"/>
      <c r="V1473" s="16"/>
      <c r="W1473" s="1"/>
      <c r="X1473" s="1"/>
    </row>
    <row r="1474" spans="1:24">
      <c r="A1474" s="1"/>
      <c r="B1474" s="16"/>
      <c r="C1474" s="16"/>
      <c r="D1474" s="16"/>
      <c r="E1474" s="16"/>
      <c r="F1474" s="16"/>
      <c r="G1474" s="16"/>
      <c r="H1474" s="16"/>
      <c r="I1474" s="16"/>
      <c r="J1474" s="16"/>
      <c r="K1474" s="16"/>
      <c r="L1474" s="16"/>
      <c r="M1474" s="26"/>
      <c r="N1474" s="26"/>
      <c r="O1474" s="16"/>
      <c r="P1474" s="1"/>
      <c r="Q1474" s="1"/>
      <c r="R1474" s="1"/>
      <c r="S1474" s="1"/>
      <c r="T1474" s="1"/>
      <c r="U1474" s="33"/>
      <c r="V1474" s="16"/>
      <c r="W1474" s="1"/>
      <c r="X1474" s="1"/>
    </row>
    <row r="1475" spans="1:24">
      <c r="A1475" s="1"/>
      <c r="B1475" s="16"/>
      <c r="C1475" s="16"/>
      <c r="D1475" s="16"/>
      <c r="E1475" s="16"/>
      <c r="F1475" s="16"/>
      <c r="G1475" s="16"/>
      <c r="H1475" s="16"/>
      <c r="I1475" s="16"/>
      <c r="J1475" s="16"/>
      <c r="K1475" s="16"/>
      <c r="L1475" s="16"/>
      <c r="M1475" s="26"/>
      <c r="N1475" s="26"/>
      <c r="O1475" s="16"/>
      <c r="P1475" s="1"/>
      <c r="Q1475" s="1"/>
      <c r="R1475" s="1"/>
      <c r="S1475" s="1"/>
      <c r="T1475" s="1"/>
      <c r="U1475" s="33"/>
      <c r="V1475" s="16"/>
      <c r="W1475" s="1"/>
      <c r="X1475" s="1"/>
    </row>
    <row r="1476" spans="1:24">
      <c r="A1476" s="1"/>
      <c r="B1476" s="16"/>
      <c r="C1476" s="16"/>
      <c r="D1476" s="16"/>
      <c r="E1476" s="16"/>
      <c r="F1476" s="16"/>
      <c r="G1476" s="16"/>
      <c r="H1476" s="16"/>
      <c r="I1476" s="16"/>
      <c r="J1476" s="16"/>
      <c r="K1476" s="16"/>
      <c r="L1476" s="16"/>
      <c r="M1476" s="26"/>
      <c r="N1476" s="26"/>
      <c r="O1476" s="16"/>
      <c r="P1476" s="1"/>
      <c r="Q1476" s="1"/>
      <c r="R1476" s="1"/>
      <c r="S1476" s="1"/>
      <c r="T1476" s="1"/>
      <c r="U1476" s="33"/>
      <c r="V1476" s="16"/>
      <c r="W1476" s="1"/>
      <c r="X1476" s="1"/>
    </row>
    <row r="1477" spans="1:24">
      <c r="A1477" s="1"/>
      <c r="B1477" s="16"/>
      <c r="C1477" s="16"/>
      <c r="D1477" s="16"/>
      <c r="E1477" s="16"/>
      <c r="F1477" s="16"/>
      <c r="G1477" s="16"/>
      <c r="H1477" s="16"/>
      <c r="I1477" s="16"/>
      <c r="J1477" s="16"/>
      <c r="K1477" s="16"/>
      <c r="L1477" s="16"/>
      <c r="M1477" s="26"/>
      <c r="N1477" s="26"/>
      <c r="O1477" s="16"/>
      <c r="P1477" s="1"/>
      <c r="Q1477" s="1"/>
      <c r="R1477" s="1"/>
      <c r="S1477" s="1"/>
      <c r="T1477" s="1"/>
      <c r="U1477" s="33"/>
      <c r="V1477" s="16"/>
      <c r="W1477" s="1"/>
      <c r="X1477" s="1"/>
    </row>
    <row r="1478" spans="1:24">
      <c r="A1478" s="1"/>
      <c r="B1478" s="16"/>
      <c r="C1478" s="16"/>
      <c r="D1478" s="16"/>
      <c r="E1478" s="16"/>
      <c r="F1478" s="16"/>
      <c r="G1478" s="16"/>
      <c r="H1478" s="16"/>
      <c r="I1478" s="16"/>
      <c r="J1478" s="16"/>
      <c r="K1478" s="16"/>
      <c r="L1478" s="16"/>
      <c r="M1478" s="26"/>
      <c r="N1478" s="26"/>
      <c r="O1478" s="16"/>
      <c r="P1478" s="1"/>
      <c r="Q1478" s="1"/>
      <c r="R1478" s="1"/>
      <c r="S1478" s="1"/>
      <c r="T1478" s="1"/>
      <c r="U1478" s="33"/>
      <c r="V1478" s="16"/>
      <c r="W1478" s="1"/>
      <c r="X1478" s="1"/>
    </row>
    <row r="1479" spans="1:24">
      <c r="A1479" s="1"/>
      <c r="B1479" s="16"/>
      <c r="C1479" s="16"/>
      <c r="D1479" s="16"/>
      <c r="E1479" s="16"/>
      <c r="F1479" s="16"/>
      <c r="G1479" s="16"/>
      <c r="H1479" s="16"/>
      <c r="I1479" s="16"/>
      <c r="J1479" s="16"/>
      <c r="K1479" s="16"/>
      <c r="L1479" s="16"/>
      <c r="M1479" s="26"/>
      <c r="N1479" s="26"/>
      <c r="O1479" s="16"/>
      <c r="P1479" s="1"/>
      <c r="Q1479" s="1"/>
      <c r="R1479" s="1"/>
      <c r="S1479" s="1"/>
      <c r="T1479" s="1"/>
      <c r="U1479" s="33"/>
      <c r="V1479" s="16"/>
      <c r="W1479" s="1"/>
      <c r="X1479" s="1"/>
    </row>
    <row r="1480" spans="1:24">
      <c r="A1480" s="1"/>
      <c r="B1480" s="16"/>
      <c r="C1480" s="16"/>
      <c r="D1480" s="16"/>
      <c r="E1480" s="16"/>
      <c r="F1480" s="16"/>
      <c r="G1480" s="16"/>
      <c r="H1480" s="16"/>
      <c r="I1480" s="16"/>
      <c r="J1480" s="16"/>
      <c r="K1480" s="16"/>
      <c r="L1480" s="16"/>
      <c r="M1480" s="26"/>
      <c r="N1480" s="26"/>
      <c r="O1480" s="16"/>
      <c r="P1480" s="1"/>
      <c r="Q1480" s="1"/>
      <c r="R1480" s="1"/>
      <c r="S1480" s="1"/>
      <c r="T1480" s="1"/>
      <c r="U1480" s="33"/>
      <c r="V1480" s="16"/>
      <c r="W1480" s="1"/>
      <c r="X1480" s="1"/>
    </row>
    <row r="1481" spans="1:24">
      <c r="A1481" s="1"/>
      <c r="B1481" s="16"/>
      <c r="C1481" s="16"/>
      <c r="D1481" s="16"/>
      <c r="E1481" s="16"/>
      <c r="F1481" s="16"/>
      <c r="G1481" s="16"/>
      <c r="H1481" s="16"/>
      <c r="I1481" s="16"/>
      <c r="J1481" s="16"/>
      <c r="K1481" s="16"/>
      <c r="L1481" s="16"/>
      <c r="M1481" s="26"/>
      <c r="N1481" s="26"/>
      <c r="O1481" s="16"/>
      <c r="P1481" s="1"/>
      <c r="Q1481" s="1"/>
      <c r="R1481" s="1"/>
      <c r="S1481" s="1"/>
      <c r="T1481" s="1"/>
      <c r="U1481" s="33"/>
      <c r="V1481" s="16"/>
      <c r="W1481" s="1"/>
      <c r="X1481" s="1"/>
    </row>
    <row r="1482" spans="1:24">
      <c r="A1482" s="1"/>
      <c r="B1482" s="16"/>
      <c r="C1482" s="16"/>
      <c r="D1482" s="16"/>
      <c r="E1482" s="16"/>
      <c r="F1482" s="16"/>
      <c r="G1482" s="16"/>
      <c r="H1482" s="16"/>
      <c r="I1482" s="16"/>
      <c r="J1482" s="16"/>
      <c r="K1482" s="16"/>
      <c r="L1482" s="16"/>
      <c r="M1482" s="26"/>
      <c r="N1482" s="26"/>
      <c r="O1482" s="16"/>
      <c r="P1482" s="1"/>
      <c r="Q1482" s="1"/>
      <c r="R1482" s="1"/>
      <c r="S1482" s="1"/>
      <c r="T1482" s="1"/>
      <c r="U1482" s="33"/>
      <c r="V1482" s="16"/>
      <c r="W1482" s="1"/>
      <c r="X1482" s="1"/>
    </row>
    <row r="1483" spans="1:24">
      <c r="A1483" s="1"/>
      <c r="B1483" s="16"/>
      <c r="C1483" s="16"/>
      <c r="D1483" s="16"/>
      <c r="E1483" s="16"/>
      <c r="F1483" s="16"/>
      <c r="G1483" s="16"/>
      <c r="H1483" s="16"/>
      <c r="I1483" s="16"/>
      <c r="J1483" s="16"/>
      <c r="K1483" s="16"/>
      <c r="L1483" s="16"/>
      <c r="M1483" s="26"/>
      <c r="N1483" s="26"/>
      <c r="O1483" s="16"/>
      <c r="P1483" s="1"/>
      <c r="Q1483" s="1"/>
      <c r="R1483" s="1"/>
      <c r="S1483" s="1"/>
      <c r="T1483" s="1"/>
      <c r="U1483" s="33"/>
      <c r="V1483" s="16"/>
      <c r="W1483" s="1"/>
      <c r="X1483" s="1"/>
    </row>
    <row r="1484" spans="1:24">
      <c r="A1484" s="1"/>
      <c r="B1484" s="16"/>
      <c r="C1484" s="16"/>
      <c r="D1484" s="16"/>
      <c r="E1484" s="16"/>
      <c r="F1484" s="16"/>
      <c r="G1484" s="16"/>
      <c r="H1484" s="16"/>
      <c r="I1484" s="16"/>
      <c r="J1484" s="16"/>
      <c r="K1484" s="16"/>
      <c r="L1484" s="16"/>
      <c r="M1484" s="26"/>
      <c r="N1484" s="26"/>
      <c r="O1484" s="16"/>
      <c r="P1484" s="1"/>
      <c r="Q1484" s="1"/>
      <c r="R1484" s="1"/>
      <c r="S1484" s="1"/>
      <c r="T1484" s="1"/>
      <c r="U1484" s="33"/>
      <c r="V1484" s="16"/>
      <c r="W1484" s="1"/>
      <c r="X1484" s="1"/>
    </row>
    <row r="1485" spans="1:24">
      <c r="A1485" s="1"/>
      <c r="B1485" s="16"/>
      <c r="C1485" s="16"/>
      <c r="D1485" s="16"/>
      <c r="E1485" s="16"/>
      <c r="F1485" s="16"/>
      <c r="G1485" s="16"/>
      <c r="H1485" s="16"/>
      <c r="I1485" s="16"/>
      <c r="J1485" s="16"/>
      <c r="K1485" s="16"/>
      <c r="L1485" s="16"/>
      <c r="M1485" s="26"/>
      <c r="N1485" s="26"/>
      <c r="O1485" s="16"/>
      <c r="P1485" s="1"/>
      <c r="Q1485" s="1"/>
      <c r="R1485" s="1"/>
      <c r="S1485" s="1"/>
      <c r="T1485" s="1"/>
      <c r="U1485" s="33"/>
      <c r="V1485" s="16"/>
      <c r="W1485" s="1"/>
      <c r="X1485" s="1"/>
    </row>
    <row r="1486" spans="1:24">
      <c r="A1486" s="1"/>
      <c r="B1486" s="16"/>
      <c r="C1486" s="16"/>
      <c r="D1486" s="16"/>
      <c r="E1486" s="16"/>
      <c r="F1486" s="16"/>
      <c r="G1486" s="16"/>
      <c r="H1486" s="16"/>
      <c r="I1486" s="16"/>
      <c r="J1486" s="16"/>
      <c r="K1486" s="16"/>
      <c r="L1486" s="16"/>
      <c r="M1486" s="26"/>
      <c r="N1486" s="26"/>
      <c r="O1486" s="16"/>
      <c r="P1486" s="1"/>
      <c r="Q1486" s="1"/>
      <c r="R1486" s="1"/>
      <c r="S1486" s="1"/>
      <c r="T1486" s="1"/>
      <c r="U1486" s="33"/>
      <c r="V1486" s="16"/>
      <c r="W1486" s="1"/>
      <c r="X1486" s="1"/>
    </row>
    <row r="1487" spans="1:24">
      <c r="A1487" s="1"/>
      <c r="B1487" s="16"/>
      <c r="C1487" s="16"/>
      <c r="D1487" s="16"/>
      <c r="E1487" s="16"/>
      <c r="F1487" s="16"/>
      <c r="G1487" s="16"/>
      <c r="H1487" s="16"/>
      <c r="I1487" s="16"/>
      <c r="J1487" s="16"/>
      <c r="K1487" s="16"/>
      <c r="L1487" s="16"/>
      <c r="M1487" s="26"/>
      <c r="N1487" s="26"/>
      <c r="O1487" s="16"/>
      <c r="P1487" s="1"/>
      <c r="Q1487" s="1"/>
      <c r="R1487" s="1"/>
      <c r="S1487" s="1"/>
      <c r="T1487" s="1"/>
      <c r="U1487" s="33"/>
      <c r="V1487" s="16"/>
      <c r="W1487" s="1"/>
      <c r="X1487" s="1"/>
    </row>
    <row r="1488" spans="1:24">
      <c r="A1488" s="1"/>
      <c r="B1488" s="16"/>
      <c r="C1488" s="16"/>
      <c r="D1488" s="16"/>
      <c r="E1488" s="16"/>
      <c r="F1488" s="16"/>
      <c r="G1488" s="16"/>
      <c r="H1488" s="16"/>
      <c r="I1488" s="16"/>
      <c r="J1488" s="16"/>
      <c r="K1488" s="16"/>
      <c r="L1488" s="16"/>
      <c r="M1488" s="26"/>
      <c r="N1488" s="26"/>
      <c r="O1488" s="16"/>
      <c r="P1488" s="1"/>
      <c r="Q1488" s="1"/>
      <c r="R1488" s="1"/>
      <c r="S1488" s="1"/>
      <c r="T1488" s="1"/>
      <c r="U1488" s="33"/>
      <c r="V1488" s="16"/>
      <c r="W1488" s="1"/>
      <c r="X1488" s="1"/>
    </row>
    <row r="1489" spans="1:24">
      <c r="A1489" s="1"/>
      <c r="B1489" s="16"/>
      <c r="C1489" s="16"/>
      <c r="D1489" s="16"/>
      <c r="E1489" s="16"/>
      <c r="F1489" s="16"/>
      <c r="G1489" s="16"/>
      <c r="H1489" s="16"/>
      <c r="I1489" s="16"/>
      <c r="J1489" s="16"/>
      <c r="K1489" s="16"/>
      <c r="L1489" s="16"/>
      <c r="M1489" s="26"/>
      <c r="N1489" s="26"/>
      <c r="O1489" s="16"/>
      <c r="P1489" s="1"/>
      <c r="Q1489" s="1"/>
      <c r="R1489" s="1"/>
      <c r="S1489" s="1"/>
      <c r="T1489" s="1"/>
      <c r="U1489" s="33"/>
      <c r="V1489" s="16"/>
      <c r="W1489" s="1"/>
      <c r="X1489" s="1"/>
    </row>
    <row r="1490" spans="1:24">
      <c r="A1490" s="1"/>
      <c r="B1490" s="16"/>
      <c r="C1490" s="16"/>
      <c r="D1490" s="16"/>
      <c r="E1490" s="16"/>
      <c r="F1490" s="16"/>
      <c r="G1490" s="16"/>
      <c r="H1490" s="16"/>
      <c r="I1490" s="16"/>
      <c r="J1490" s="16"/>
      <c r="K1490" s="16"/>
      <c r="L1490" s="16"/>
      <c r="M1490" s="26"/>
      <c r="N1490" s="26"/>
      <c r="O1490" s="16"/>
      <c r="P1490" s="1"/>
      <c r="Q1490" s="1"/>
      <c r="R1490" s="1"/>
      <c r="S1490" s="1"/>
      <c r="T1490" s="1"/>
      <c r="U1490" s="33"/>
      <c r="V1490" s="16"/>
      <c r="W1490" s="1"/>
      <c r="X1490" s="1"/>
    </row>
    <row r="1491" spans="1:24">
      <c r="A1491" s="1"/>
      <c r="B1491" s="16"/>
      <c r="C1491" s="16"/>
      <c r="D1491" s="16"/>
      <c r="E1491" s="16"/>
      <c r="F1491" s="16"/>
      <c r="G1491" s="16"/>
      <c r="H1491" s="16"/>
      <c r="I1491" s="16"/>
      <c r="J1491" s="16"/>
      <c r="K1491" s="16"/>
      <c r="L1491" s="16"/>
      <c r="M1491" s="26"/>
      <c r="N1491" s="26"/>
      <c r="O1491" s="16"/>
      <c r="P1491" s="1"/>
      <c r="Q1491" s="1"/>
      <c r="R1491" s="1"/>
      <c r="S1491" s="1"/>
      <c r="T1491" s="1"/>
      <c r="U1491" s="33"/>
      <c r="V1491" s="16"/>
      <c r="W1491" s="1"/>
      <c r="X1491" s="1"/>
    </row>
    <row r="1492" spans="1:24">
      <c r="A1492" s="1"/>
      <c r="B1492" s="16"/>
      <c r="C1492" s="16"/>
      <c r="D1492" s="16"/>
      <c r="E1492" s="16"/>
      <c r="F1492" s="16"/>
      <c r="G1492" s="16"/>
      <c r="H1492" s="16"/>
      <c r="I1492" s="16"/>
      <c r="J1492" s="16"/>
      <c r="K1492" s="16"/>
      <c r="L1492" s="16"/>
      <c r="M1492" s="26"/>
      <c r="N1492" s="26"/>
      <c r="O1492" s="16"/>
      <c r="P1492" s="1"/>
      <c r="Q1492" s="1"/>
      <c r="R1492" s="1"/>
      <c r="S1492" s="1"/>
      <c r="T1492" s="1"/>
      <c r="U1492" s="33"/>
      <c r="V1492" s="16"/>
      <c r="W1492" s="1"/>
      <c r="X1492" s="1"/>
    </row>
    <row r="1493" spans="1:24">
      <c r="A1493" s="1"/>
      <c r="B1493" s="16"/>
      <c r="C1493" s="16"/>
      <c r="D1493" s="16"/>
      <c r="E1493" s="16"/>
      <c r="F1493" s="16"/>
      <c r="G1493" s="16"/>
      <c r="H1493" s="16"/>
      <c r="I1493" s="16"/>
      <c r="J1493" s="16"/>
      <c r="K1493" s="16"/>
      <c r="L1493" s="16"/>
      <c r="M1493" s="26"/>
      <c r="N1493" s="26"/>
      <c r="O1493" s="16"/>
      <c r="P1493" s="1"/>
      <c r="Q1493" s="1"/>
      <c r="R1493" s="1"/>
      <c r="S1493" s="1"/>
      <c r="T1493" s="1"/>
      <c r="U1493" s="33"/>
      <c r="V1493" s="16"/>
      <c r="W1493" s="1"/>
      <c r="X1493" s="1"/>
    </row>
    <row r="1494" spans="1:24">
      <c r="A1494" s="1"/>
      <c r="B1494" s="16"/>
      <c r="C1494" s="16"/>
      <c r="D1494" s="16"/>
      <c r="E1494" s="16"/>
      <c r="F1494" s="16"/>
      <c r="G1494" s="16"/>
      <c r="H1494" s="16"/>
      <c r="I1494" s="16"/>
      <c r="J1494" s="16"/>
      <c r="K1494" s="16"/>
      <c r="L1494" s="16"/>
      <c r="M1494" s="26"/>
      <c r="N1494" s="26"/>
      <c r="O1494" s="16"/>
      <c r="P1494" s="1"/>
      <c r="Q1494" s="1"/>
      <c r="R1494" s="1"/>
      <c r="S1494" s="1"/>
      <c r="T1494" s="1"/>
      <c r="U1494" s="33"/>
      <c r="V1494" s="16"/>
      <c r="W1494" s="1"/>
      <c r="X1494" s="1"/>
    </row>
    <row r="1495" spans="1:24">
      <c r="A1495" s="1"/>
      <c r="B1495" s="16"/>
      <c r="C1495" s="16"/>
      <c r="D1495" s="16"/>
      <c r="E1495" s="16"/>
      <c r="F1495" s="16"/>
      <c r="G1495" s="16"/>
      <c r="H1495" s="16"/>
      <c r="I1495" s="16"/>
      <c r="J1495" s="16"/>
      <c r="K1495" s="16"/>
      <c r="L1495" s="16"/>
      <c r="M1495" s="26"/>
      <c r="N1495" s="26"/>
      <c r="O1495" s="16"/>
      <c r="P1495" s="1"/>
      <c r="Q1495" s="1"/>
      <c r="R1495" s="1"/>
      <c r="S1495" s="1"/>
      <c r="T1495" s="1"/>
      <c r="U1495" s="33"/>
      <c r="V1495" s="16"/>
      <c r="W1495" s="1"/>
      <c r="X1495" s="1"/>
    </row>
    <row r="1496" spans="1:24">
      <c r="A1496" s="1"/>
      <c r="B1496" s="16"/>
      <c r="C1496" s="16"/>
      <c r="D1496" s="16"/>
      <c r="E1496" s="16"/>
      <c r="F1496" s="16"/>
      <c r="G1496" s="16"/>
      <c r="H1496" s="16"/>
      <c r="I1496" s="16"/>
      <c r="J1496" s="16"/>
      <c r="K1496" s="16"/>
      <c r="L1496" s="16"/>
      <c r="M1496" s="26"/>
      <c r="N1496" s="26"/>
      <c r="O1496" s="16"/>
      <c r="P1496" s="1"/>
      <c r="Q1496" s="1"/>
      <c r="R1496" s="1"/>
      <c r="S1496" s="1"/>
      <c r="T1496" s="1"/>
      <c r="U1496" s="33"/>
      <c r="V1496" s="16"/>
      <c r="W1496" s="1"/>
      <c r="X1496" s="1"/>
    </row>
    <row r="1497" spans="1:24">
      <c r="A1497" s="1"/>
      <c r="B1497" s="16"/>
      <c r="C1497" s="16"/>
      <c r="D1497" s="16"/>
      <c r="E1497" s="16"/>
      <c r="F1497" s="16"/>
      <c r="G1497" s="16"/>
      <c r="H1497" s="16"/>
      <c r="I1497" s="16"/>
      <c r="J1497" s="16"/>
      <c r="K1497" s="16"/>
      <c r="L1497" s="16"/>
      <c r="M1497" s="26"/>
      <c r="N1497" s="26"/>
      <c r="O1497" s="16"/>
      <c r="P1497" s="1"/>
      <c r="Q1497" s="1"/>
      <c r="R1497" s="1"/>
      <c r="S1497" s="1"/>
      <c r="T1497" s="1"/>
      <c r="U1497" s="33"/>
      <c r="V1497" s="16"/>
      <c r="W1497" s="1"/>
      <c r="X1497" s="1"/>
    </row>
    <row r="1498" spans="1:24">
      <c r="A1498" s="1"/>
      <c r="B1498" s="16"/>
      <c r="C1498" s="16"/>
      <c r="D1498" s="16"/>
      <c r="E1498" s="16"/>
      <c r="F1498" s="16"/>
      <c r="G1498" s="16"/>
      <c r="H1498" s="16"/>
      <c r="I1498" s="16"/>
      <c r="J1498" s="16"/>
      <c r="K1498" s="16"/>
      <c r="L1498" s="16"/>
      <c r="M1498" s="26"/>
      <c r="N1498" s="26"/>
      <c r="O1498" s="16"/>
      <c r="P1498" s="1"/>
      <c r="Q1498" s="1"/>
      <c r="R1498" s="1"/>
      <c r="S1498" s="1"/>
      <c r="T1498" s="1"/>
      <c r="U1498" s="33"/>
      <c r="V1498" s="16"/>
      <c r="W1498" s="1"/>
      <c r="X1498" s="1"/>
    </row>
    <row r="1499" spans="1:24">
      <c r="A1499" s="1"/>
      <c r="B1499" s="16"/>
      <c r="C1499" s="16"/>
      <c r="D1499" s="16"/>
      <c r="E1499" s="16"/>
      <c r="F1499" s="16"/>
      <c r="G1499" s="16"/>
      <c r="H1499" s="16"/>
      <c r="I1499" s="16"/>
      <c r="J1499" s="16"/>
      <c r="K1499" s="16"/>
      <c r="L1499" s="16"/>
      <c r="M1499" s="26"/>
      <c r="N1499" s="26"/>
      <c r="O1499" s="16"/>
      <c r="P1499" s="1"/>
      <c r="Q1499" s="1"/>
      <c r="R1499" s="1"/>
      <c r="S1499" s="1"/>
      <c r="T1499" s="1"/>
      <c r="U1499" s="33"/>
      <c r="V1499" s="16"/>
      <c r="W1499" s="1"/>
      <c r="X1499" s="1"/>
    </row>
    <row r="1500" spans="1:24">
      <c r="A1500" s="1"/>
      <c r="B1500" s="16"/>
      <c r="C1500" s="16"/>
      <c r="D1500" s="16"/>
      <c r="E1500" s="16"/>
      <c r="F1500" s="16"/>
      <c r="G1500" s="16"/>
      <c r="H1500" s="16"/>
      <c r="I1500" s="16"/>
      <c r="J1500" s="16"/>
      <c r="K1500" s="16"/>
      <c r="L1500" s="16"/>
      <c r="M1500" s="26"/>
      <c r="N1500" s="26"/>
      <c r="O1500" s="16"/>
      <c r="P1500" s="1"/>
      <c r="Q1500" s="1"/>
      <c r="R1500" s="1"/>
      <c r="S1500" s="1"/>
      <c r="T1500" s="1"/>
      <c r="U1500" s="33"/>
      <c r="V1500" s="16"/>
      <c r="W1500" s="1"/>
      <c r="X1500" s="1"/>
    </row>
    <row r="1501" spans="1:24">
      <c r="A1501" s="1"/>
      <c r="B1501" s="16"/>
      <c r="C1501" s="16"/>
      <c r="D1501" s="16"/>
      <c r="E1501" s="16"/>
      <c r="F1501" s="16"/>
      <c r="G1501" s="16"/>
      <c r="H1501" s="16"/>
      <c r="I1501" s="16"/>
      <c r="J1501" s="16"/>
      <c r="K1501" s="16"/>
      <c r="L1501" s="16"/>
      <c r="M1501" s="26"/>
      <c r="N1501" s="26"/>
      <c r="O1501" s="16"/>
      <c r="P1501" s="1"/>
      <c r="Q1501" s="1"/>
      <c r="R1501" s="1"/>
      <c r="S1501" s="1"/>
      <c r="T1501" s="1"/>
      <c r="U1501" s="33"/>
      <c r="V1501" s="16"/>
      <c r="W1501" s="1"/>
      <c r="X1501" s="1"/>
    </row>
    <row r="1502" spans="1:24">
      <c r="A1502" s="1"/>
      <c r="B1502" s="16"/>
      <c r="C1502" s="16"/>
      <c r="D1502" s="16"/>
      <c r="E1502" s="16"/>
      <c r="F1502" s="16"/>
      <c r="G1502" s="16"/>
      <c r="H1502" s="16"/>
      <c r="I1502" s="16"/>
      <c r="J1502" s="16"/>
      <c r="K1502" s="16"/>
      <c r="L1502" s="16"/>
      <c r="M1502" s="26"/>
      <c r="N1502" s="26"/>
      <c r="O1502" s="16"/>
      <c r="P1502" s="1"/>
      <c r="Q1502" s="1"/>
      <c r="R1502" s="1"/>
      <c r="S1502" s="1"/>
      <c r="T1502" s="1"/>
      <c r="U1502" s="33"/>
      <c r="V1502" s="16"/>
      <c r="W1502" s="1"/>
      <c r="X1502" s="1"/>
    </row>
    <row r="1503" spans="1:24">
      <c r="A1503" s="1"/>
      <c r="B1503" s="16"/>
      <c r="C1503" s="16"/>
      <c r="D1503" s="16"/>
      <c r="E1503" s="16"/>
      <c r="F1503" s="16"/>
      <c r="G1503" s="16"/>
      <c r="H1503" s="16"/>
      <c r="I1503" s="16"/>
      <c r="J1503" s="16"/>
      <c r="K1503" s="16"/>
      <c r="L1503" s="16"/>
      <c r="M1503" s="26"/>
      <c r="N1503" s="26"/>
      <c r="O1503" s="16"/>
      <c r="P1503" s="1"/>
      <c r="Q1503" s="1"/>
      <c r="R1503" s="1"/>
      <c r="S1503" s="1"/>
      <c r="T1503" s="1"/>
      <c r="U1503" s="33"/>
      <c r="V1503" s="16"/>
      <c r="W1503" s="1"/>
      <c r="X1503" s="1"/>
    </row>
    <row r="1504" spans="1:24">
      <c r="A1504" s="1"/>
      <c r="B1504" s="16"/>
      <c r="C1504" s="16"/>
      <c r="D1504" s="16"/>
      <c r="E1504" s="16"/>
      <c r="F1504" s="16"/>
      <c r="G1504" s="16"/>
      <c r="H1504" s="16"/>
      <c r="I1504" s="16"/>
      <c r="J1504" s="16"/>
      <c r="K1504" s="16"/>
      <c r="L1504" s="16"/>
      <c r="M1504" s="26"/>
      <c r="N1504" s="26"/>
      <c r="O1504" s="16"/>
      <c r="P1504" s="1"/>
      <c r="Q1504" s="1"/>
      <c r="R1504" s="1"/>
      <c r="S1504" s="1"/>
      <c r="T1504" s="1"/>
      <c r="U1504" s="33"/>
      <c r="V1504" s="16"/>
      <c r="W1504" s="1"/>
      <c r="X1504" s="1"/>
    </row>
    <row r="1505" spans="1:24">
      <c r="A1505" s="1"/>
      <c r="B1505" s="16"/>
      <c r="C1505" s="16"/>
      <c r="D1505" s="16"/>
      <c r="E1505" s="16"/>
      <c r="F1505" s="16"/>
      <c r="G1505" s="16"/>
      <c r="H1505" s="16"/>
      <c r="I1505" s="16"/>
      <c r="J1505" s="16"/>
      <c r="K1505" s="16"/>
      <c r="L1505" s="16"/>
      <c r="M1505" s="26"/>
      <c r="N1505" s="26"/>
      <c r="O1505" s="16"/>
      <c r="P1505" s="1"/>
      <c r="Q1505" s="1"/>
      <c r="R1505" s="1"/>
      <c r="S1505" s="1"/>
      <c r="T1505" s="1"/>
      <c r="U1505" s="33"/>
      <c r="V1505" s="16"/>
      <c r="W1505" s="1"/>
      <c r="X1505" s="1"/>
    </row>
    <row r="1506" spans="1:24">
      <c r="A1506" s="1"/>
      <c r="B1506" s="16"/>
      <c r="C1506" s="16"/>
      <c r="D1506" s="16"/>
      <c r="E1506" s="16"/>
      <c r="F1506" s="16"/>
      <c r="G1506" s="16"/>
      <c r="H1506" s="16"/>
      <c r="I1506" s="16"/>
      <c r="J1506" s="16"/>
      <c r="K1506" s="16"/>
      <c r="L1506" s="16"/>
      <c r="M1506" s="26"/>
      <c r="N1506" s="26"/>
      <c r="O1506" s="16"/>
      <c r="P1506" s="1"/>
      <c r="Q1506" s="1"/>
      <c r="R1506" s="1"/>
      <c r="S1506" s="1"/>
      <c r="T1506" s="1"/>
      <c r="U1506" s="33"/>
      <c r="V1506" s="16"/>
      <c r="W1506" s="1"/>
      <c r="X1506" s="1"/>
    </row>
    <row r="1507" spans="1:24">
      <c r="A1507" s="1"/>
      <c r="B1507" s="16"/>
      <c r="C1507" s="16"/>
      <c r="D1507" s="16"/>
      <c r="E1507" s="16"/>
      <c r="F1507" s="16"/>
      <c r="G1507" s="16"/>
      <c r="H1507" s="16"/>
      <c r="I1507" s="16"/>
      <c r="J1507" s="16"/>
      <c r="K1507" s="16"/>
      <c r="L1507" s="16"/>
      <c r="M1507" s="26"/>
      <c r="N1507" s="26"/>
      <c r="O1507" s="16"/>
      <c r="P1507" s="1"/>
      <c r="Q1507" s="1"/>
      <c r="R1507" s="1"/>
      <c r="S1507" s="1"/>
      <c r="T1507" s="1"/>
      <c r="U1507" s="33"/>
      <c r="V1507" s="16"/>
      <c r="W1507" s="1"/>
      <c r="X1507" s="1"/>
    </row>
    <row r="1508" spans="1:24">
      <c r="A1508" s="1"/>
      <c r="B1508" s="16"/>
      <c r="C1508" s="16"/>
      <c r="D1508" s="16"/>
      <c r="E1508" s="16"/>
      <c r="F1508" s="16"/>
      <c r="G1508" s="16"/>
      <c r="H1508" s="16"/>
      <c r="I1508" s="16"/>
      <c r="J1508" s="16"/>
      <c r="K1508" s="16"/>
      <c r="L1508" s="16"/>
      <c r="M1508" s="26"/>
      <c r="N1508" s="26"/>
      <c r="O1508" s="16"/>
      <c r="P1508" s="1"/>
      <c r="Q1508" s="1"/>
      <c r="R1508" s="1"/>
      <c r="S1508" s="1"/>
      <c r="T1508" s="1"/>
      <c r="U1508" s="33"/>
      <c r="V1508" s="16"/>
      <c r="W1508" s="1"/>
      <c r="X1508" s="1"/>
    </row>
    <row r="1509" spans="1:24">
      <c r="A1509" s="1"/>
      <c r="B1509" s="16"/>
      <c r="C1509" s="16"/>
      <c r="D1509" s="16"/>
      <c r="E1509" s="16"/>
      <c r="F1509" s="16"/>
      <c r="G1509" s="16"/>
      <c r="H1509" s="16"/>
      <c r="I1509" s="16"/>
      <c r="J1509" s="16"/>
      <c r="K1509" s="16"/>
      <c r="L1509" s="16"/>
      <c r="M1509" s="26"/>
      <c r="N1509" s="26"/>
      <c r="O1509" s="16"/>
      <c r="P1509" s="1"/>
      <c r="Q1509" s="1"/>
      <c r="R1509" s="1"/>
      <c r="S1509" s="1"/>
      <c r="T1509" s="1"/>
      <c r="U1509" s="33"/>
      <c r="V1509" s="16"/>
      <c r="W1509" s="1"/>
      <c r="X1509" s="1"/>
    </row>
    <row r="1510" spans="1:24">
      <c r="A1510" s="1"/>
      <c r="B1510" s="16"/>
      <c r="C1510" s="16"/>
      <c r="D1510" s="16"/>
      <c r="E1510" s="16"/>
      <c r="F1510" s="16"/>
      <c r="G1510" s="16"/>
      <c r="H1510" s="16"/>
      <c r="I1510" s="16"/>
      <c r="J1510" s="16"/>
      <c r="K1510" s="16"/>
      <c r="L1510" s="16"/>
      <c r="M1510" s="26"/>
      <c r="N1510" s="26"/>
      <c r="O1510" s="16"/>
      <c r="P1510" s="1"/>
      <c r="Q1510" s="1"/>
      <c r="R1510" s="1"/>
      <c r="S1510" s="1"/>
      <c r="T1510" s="1"/>
      <c r="U1510" s="33"/>
      <c r="V1510" s="16"/>
      <c r="W1510" s="1"/>
      <c r="X1510" s="1"/>
    </row>
    <row r="1511" spans="1:24">
      <c r="A1511" s="1"/>
      <c r="B1511" s="16"/>
      <c r="C1511" s="16"/>
      <c r="D1511" s="16"/>
      <c r="E1511" s="16"/>
      <c r="F1511" s="16"/>
      <c r="G1511" s="16"/>
      <c r="H1511" s="16"/>
      <c r="I1511" s="16"/>
      <c r="J1511" s="16"/>
      <c r="K1511" s="16"/>
      <c r="L1511" s="16"/>
      <c r="M1511" s="26"/>
      <c r="N1511" s="26"/>
      <c r="O1511" s="16"/>
      <c r="P1511" s="1"/>
      <c r="Q1511" s="1"/>
      <c r="R1511" s="1"/>
      <c r="S1511" s="1"/>
      <c r="T1511" s="1"/>
      <c r="U1511" s="33"/>
      <c r="V1511" s="16"/>
      <c r="W1511" s="1"/>
      <c r="X1511" s="1"/>
    </row>
    <row r="1512" spans="1:24">
      <c r="A1512" s="1"/>
      <c r="B1512" s="16"/>
      <c r="C1512" s="16"/>
      <c r="D1512" s="16"/>
      <c r="E1512" s="16"/>
      <c r="F1512" s="16"/>
      <c r="G1512" s="16"/>
      <c r="H1512" s="16"/>
      <c r="I1512" s="16"/>
      <c r="J1512" s="16"/>
      <c r="K1512" s="16"/>
      <c r="L1512" s="16"/>
      <c r="M1512" s="26"/>
      <c r="N1512" s="26"/>
      <c r="O1512" s="16"/>
      <c r="P1512" s="1"/>
      <c r="Q1512" s="1"/>
      <c r="R1512" s="1"/>
      <c r="S1512" s="1"/>
      <c r="T1512" s="1"/>
      <c r="U1512" s="33"/>
      <c r="V1512" s="16"/>
      <c r="W1512" s="1"/>
      <c r="X1512" s="1"/>
    </row>
    <row r="1513" spans="1:24">
      <c r="A1513" s="1"/>
      <c r="B1513" s="16"/>
      <c r="C1513" s="16"/>
      <c r="D1513" s="16"/>
      <c r="E1513" s="16"/>
      <c r="F1513" s="16"/>
      <c r="G1513" s="16"/>
      <c r="H1513" s="16"/>
      <c r="I1513" s="16"/>
      <c r="J1513" s="16"/>
      <c r="K1513" s="16"/>
      <c r="L1513" s="16"/>
      <c r="M1513" s="26"/>
      <c r="N1513" s="26"/>
      <c r="O1513" s="16"/>
      <c r="P1513" s="1"/>
      <c r="Q1513" s="1"/>
      <c r="R1513" s="1"/>
      <c r="S1513" s="1"/>
      <c r="T1513" s="1"/>
      <c r="U1513" s="33"/>
      <c r="V1513" s="16"/>
      <c r="W1513" s="1"/>
      <c r="X1513" s="1"/>
    </row>
    <row r="1514" spans="1:24">
      <c r="A1514" s="1"/>
      <c r="B1514" s="16"/>
      <c r="C1514" s="16"/>
      <c r="D1514" s="16"/>
      <c r="E1514" s="16"/>
      <c r="F1514" s="16"/>
      <c r="G1514" s="16"/>
      <c r="H1514" s="16"/>
      <c r="I1514" s="16"/>
      <c r="J1514" s="16"/>
      <c r="K1514" s="16"/>
      <c r="L1514" s="16"/>
      <c r="M1514" s="26"/>
      <c r="N1514" s="26"/>
      <c r="O1514" s="16"/>
      <c r="P1514" s="1"/>
      <c r="Q1514" s="1"/>
      <c r="R1514" s="1"/>
      <c r="S1514" s="1"/>
      <c r="T1514" s="1"/>
      <c r="U1514" s="33"/>
      <c r="V1514" s="16"/>
      <c r="W1514" s="1"/>
      <c r="X1514" s="1"/>
    </row>
    <row r="1515" spans="1:24">
      <c r="A1515" s="1"/>
      <c r="B1515" s="16"/>
      <c r="C1515" s="16"/>
      <c r="D1515" s="16"/>
      <c r="E1515" s="16"/>
      <c r="F1515" s="16"/>
      <c r="G1515" s="16"/>
      <c r="H1515" s="16"/>
      <c r="I1515" s="16"/>
      <c r="J1515" s="16"/>
      <c r="K1515" s="16"/>
      <c r="L1515" s="16"/>
      <c r="M1515" s="26"/>
      <c r="N1515" s="26"/>
      <c r="O1515" s="16"/>
      <c r="P1515" s="1"/>
      <c r="Q1515" s="1"/>
      <c r="R1515" s="1"/>
      <c r="S1515" s="1"/>
      <c r="T1515" s="1"/>
      <c r="U1515" s="33"/>
      <c r="V1515" s="16"/>
      <c r="W1515" s="1"/>
      <c r="X1515" s="1"/>
    </row>
    <row r="1516" spans="1:24">
      <c r="A1516" s="1"/>
      <c r="B1516" s="16"/>
      <c r="C1516" s="16"/>
      <c r="D1516" s="16"/>
      <c r="E1516" s="16"/>
      <c r="F1516" s="16"/>
      <c r="G1516" s="16"/>
      <c r="H1516" s="16"/>
      <c r="I1516" s="16"/>
      <c r="J1516" s="16"/>
      <c r="K1516" s="16"/>
      <c r="L1516" s="16"/>
      <c r="M1516" s="26"/>
      <c r="N1516" s="26"/>
      <c r="O1516" s="16"/>
      <c r="P1516" s="1"/>
      <c r="Q1516" s="1"/>
      <c r="R1516" s="1"/>
      <c r="S1516" s="1"/>
      <c r="T1516" s="1"/>
      <c r="U1516" s="33"/>
      <c r="V1516" s="16"/>
      <c r="W1516" s="1"/>
      <c r="X1516" s="1"/>
    </row>
    <row r="1517" spans="1:24">
      <c r="A1517" s="1"/>
      <c r="B1517" s="16"/>
      <c r="C1517" s="16"/>
      <c r="D1517" s="16"/>
      <c r="E1517" s="16"/>
      <c r="F1517" s="16"/>
      <c r="G1517" s="16"/>
      <c r="H1517" s="16"/>
      <c r="I1517" s="16"/>
      <c r="J1517" s="16"/>
      <c r="K1517" s="16"/>
      <c r="L1517" s="16"/>
      <c r="M1517" s="26"/>
      <c r="N1517" s="26"/>
      <c r="O1517" s="16"/>
      <c r="P1517" s="1"/>
      <c r="Q1517" s="1"/>
      <c r="R1517" s="1"/>
      <c r="S1517" s="1"/>
      <c r="T1517" s="1"/>
      <c r="U1517" s="33"/>
      <c r="V1517" s="16"/>
      <c r="W1517" s="1"/>
      <c r="X1517" s="1"/>
    </row>
    <row r="1518" spans="1:24">
      <c r="A1518" s="1"/>
      <c r="B1518" s="16"/>
      <c r="C1518" s="16"/>
      <c r="D1518" s="16"/>
      <c r="E1518" s="16"/>
      <c r="F1518" s="16"/>
      <c r="G1518" s="16"/>
      <c r="H1518" s="16"/>
      <c r="I1518" s="16"/>
      <c r="J1518" s="16"/>
      <c r="K1518" s="16"/>
      <c r="L1518" s="16"/>
      <c r="M1518" s="26"/>
      <c r="N1518" s="26"/>
      <c r="O1518" s="16"/>
      <c r="P1518" s="1"/>
      <c r="Q1518" s="1"/>
      <c r="R1518" s="1"/>
      <c r="S1518" s="1"/>
      <c r="T1518" s="1"/>
      <c r="U1518" s="33"/>
      <c r="V1518" s="16"/>
      <c r="W1518" s="1"/>
      <c r="X1518" s="1"/>
    </row>
    <row r="1519" spans="1:24">
      <c r="A1519" s="1"/>
      <c r="B1519" s="16"/>
      <c r="C1519" s="16"/>
      <c r="D1519" s="16"/>
      <c r="E1519" s="16"/>
      <c r="F1519" s="16"/>
      <c r="G1519" s="16"/>
      <c r="H1519" s="16"/>
      <c r="I1519" s="16"/>
      <c r="J1519" s="16"/>
      <c r="K1519" s="16"/>
      <c r="L1519" s="16"/>
      <c r="M1519" s="26"/>
      <c r="N1519" s="26"/>
      <c r="O1519" s="16"/>
      <c r="P1519" s="1"/>
      <c r="Q1519" s="1"/>
      <c r="R1519" s="1"/>
      <c r="S1519" s="1"/>
      <c r="T1519" s="1"/>
      <c r="U1519" s="33"/>
      <c r="V1519" s="16"/>
      <c r="W1519" s="1"/>
      <c r="X1519" s="1"/>
    </row>
    <row r="1520" spans="1:24">
      <c r="A1520" s="1"/>
      <c r="B1520" s="16"/>
      <c r="C1520" s="16"/>
      <c r="D1520" s="16"/>
      <c r="E1520" s="16"/>
      <c r="F1520" s="16"/>
      <c r="G1520" s="16"/>
      <c r="H1520" s="16"/>
      <c r="I1520" s="16"/>
      <c r="J1520" s="16"/>
      <c r="K1520" s="16"/>
      <c r="L1520" s="16"/>
      <c r="M1520" s="26"/>
      <c r="N1520" s="26"/>
      <c r="O1520" s="16"/>
      <c r="P1520" s="1"/>
      <c r="Q1520" s="1"/>
      <c r="R1520" s="1"/>
      <c r="S1520" s="1"/>
      <c r="T1520" s="1"/>
      <c r="U1520" s="33"/>
      <c r="V1520" s="16"/>
      <c r="W1520" s="1"/>
      <c r="X1520" s="1"/>
    </row>
    <row r="1521" spans="1:24">
      <c r="A1521" s="1"/>
      <c r="B1521" s="16"/>
      <c r="C1521" s="16"/>
      <c r="D1521" s="16"/>
      <c r="E1521" s="16"/>
      <c r="F1521" s="16"/>
      <c r="G1521" s="16"/>
      <c r="H1521" s="16"/>
      <c r="I1521" s="16"/>
      <c r="J1521" s="16"/>
      <c r="K1521" s="16"/>
      <c r="L1521" s="16"/>
      <c r="M1521" s="26"/>
      <c r="N1521" s="26"/>
      <c r="O1521" s="16"/>
      <c r="P1521" s="1"/>
      <c r="Q1521" s="1"/>
      <c r="R1521" s="1"/>
      <c r="S1521" s="1"/>
      <c r="T1521" s="1"/>
      <c r="U1521" s="33"/>
      <c r="V1521" s="16"/>
      <c r="W1521" s="1"/>
      <c r="X1521" s="1"/>
    </row>
    <row r="1522" spans="1:24">
      <c r="A1522" s="1"/>
      <c r="B1522" s="16"/>
      <c r="C1522" s="16"/>
      <c r="D1522" s="16"/>
      <c r="E1522" s="16"/>
      <c r="F1522" s="16"/>
      <c r="G1522" s="16"/>
      <c r="H1522" s="16"/>
      <c r="I1522" s="16"/>
      <c r="J1522" s="16"/>
      <c r="K1522" s="16"/>
      <c r="L1522" s="16"/>
      <c r="M1522" s="26"/>
      <c r="N1522" s="26"/>
      <c r="O1522" s="16"/>
      <c r="P1522" s="1"/>
      <c r="Q1522" s="1"/>
      <c r="R1522" s="1"/>
      <c r="S1522" s="1"/>
      <c r="T1522" s="1"/>
      <c r="U1522" s="33"/>
      <c r="V1522" s="16"/>
      <c r="W1522" s="1"/>
      <c r="X1522" s="1"/>
    </row>
    <row r="1523" spans="1:24">
      <c r="A1523" s="1"/>
      <c r="B1523" s="16"/>
      <c r="C1523" s="16"/>
      <c r="D1523" s="16"/>
      <c r="E1523" s="16"/>
      <c r="F1523" s="16"/>
      <c r="G1523" s="16"/>
      <c r="H1523" s="16"/>
      <c r="I1523" s="16"/>
      <c r="J1523" s="16"/>
      <c r="K1523" s="16"/>
      <c r="L1523" s="16"/>
      <c r="M1523" s="26"/>
      <c r="N1523" s="26"/>
      <c r="O1523" s="16"/>
      <c r="P1523" s="1"/>
      <c r="Q1523" s="1"/>
      <c r="R1523" s="1"/>
      <c r="S1523" s="1"/>
      <c r="T1523" s="1"/>
      <c r="U1523" s="33"/>
      <c r="V1523" s="16"/>
      <c r="W1523" s="1"/>
      <c r="X1523" s="1"/>
    </row>
    <row r="1524" spans="1:24">
      <c r="A1524" s="1"/>
      <c r="B1524" s="16"/>
      <c r="C1524" s="16"/>
      <c r="D1524" s="16"/>
      <c r="E1524" s="16"/>
      <c r="F1524" s="16"/>
      <c r="G1524" s="16"/>
      <c r="H1524" s="16"/>
      <c r="I1524" s="16"/>
      <c r="J1524" s="16"/>
      <c r="K1524" s="16"/>
      <c r="L1524" s="16"/>
      <c r="M1524" s="26"/>
      <c r="N1524" s="26"/>
      <c r="O1524" s="16"/>
      <c r="P1524" s="1"/>
      <c r="Q1524" s="1"/>
      <c r="R1524" s="1"/>
      <c r="S1524" s="1"/>
      <c r="T1524" s="1"/>
      <c r="U1524" s="33"/>
      <c r="V1524" s="16"/>
      <c r="W1524" s="1"/>
      <c r="X1524" s="1"/>
    </row>
    <row r="1525" spans="1:24">
      <c r="A1525" s="1"/>
      <c r="B1525" s="16"/>
      <c r="C1525" s="16"/>
      <c r="D1525" s="16"/>
      <c r="E1525" s="16"/>
      <c r="F1525" s="16"/>
      <c r="G1525" s="16"/>
      <c r="H1525" s="16"/>
      <c r="I1525" s="16"/>
      <c r="J1525" s="16"/>
      <c r="K1525" s="16"/>
      <c r="L1525" s="16"/>
      <c r="M1525" s="26"/>
      <c r="N1525" s="26"/>
      <c r="O1525" s="16"/>
      <c r="P1525" s="1"/>
      <c r="Q1525" s="1"/>
      <c r="R1525" s="1"/>
      <c r="S1525" s="1"/>
      <c r="T1525" s="1"/>
      <c r="U1525" s="33"/>
      <c r="V1525" s="16"/>
      <c r="W1525" s="1"/>
      <c r="X1525" s="1"/>
    </row>
    <row r="1526" spans="1:24">
      <c r="A1526" s="1"/>
      <c r="B1526" s="16"/>
      <c r="C1526" s="16"/>
      <c r="D1526" s="16"/>
      <c r="E1526" s="16"/>
      <c r="F1526" s="16"/>
      <c r="G1526" s="16"/>
      <c r="H1526" s="16"/>
      <c r="I1526" s="16"/>
      <c r="J1526" s="16"/>
      <c r="K1526" s="16"/>
      <c r="L1526" s="16"/>
      <c r="M1526" s="26"/>
      <c r="N1526" s="26"/>
      <c r="O1526" s="16"/>
      <c r="P1526" s="1"/>
      <c r="Q1526" s="1"/>
      <c r="R1526" s="1"/>
      <c r="S1526" s="1"/>
      <c r="T1526" s="1"/>
      <c r="U1526" s="33"/>
      <c r="V1526" s="16"/>
      <c r="W1526" s="1"/>
      <c r="X1526" s="1"/>
    </row>
    <row r="1527" spans="1:24">
      <c r="A1527" s="1"/>
      <c r="B1527" s="16"/>
      <c r="C1527" s="16"/>
      <c r="D1527" s="16"/>
      <c r="E1527" s="16"/>
      <c r="F1527" s="16"/>
      <c r="G1527" s="16"/>
      <c r="H1527" s="16"/>
      <c r="I1527" s="16"/>
      <c r="J1527" s="16"/>
      <c r="K1527" s="16"/>
      <c r="L1527" s="16"/>
      <c r="M1527" s="26"/>
      <c r="N1527" s="26"/>
      <c r="O1527" s="16"/>
      <c r="P1527" s="1"/>
      <c r="Q1527" s="1"/>
      <c r="R1527" s="1"/>
      <c r="S1527" s="1"/>
      <c r="T1527" s="1"/>
      <c r="U1527" s="33"/>
      <c r="V1527" s="16"/>
      <c r="W1527" s="1"/>
      <c r="X1527" s="1"/>
    </row>
    <row r="1528" spans="1:24">
      <c r="A1528" s="1"/>
      <c r="B1528" s="16"/>
      <c r="C1528" s="16"/>
      <c r="D1528" s="16"/>
      <c r="E1528" s="16"/>
      <c r="F1528" s="16"/>
      <c r="G1528" s="16"/>
      <c r="H1528" s="16"/>
      <c r="I1528" s="16"/>
      <c r="J1528" s="16"/>
      <c r="K1528" s="16"/>
      <c r="L1528" s="16"/>
      <c r="M1528" s="26"/>
      <c r="N1528" s="26"/>
      <c r="O1528" s="16"/>
      <c r="P1528" s="1"/>
      <c r="Q1528" s="1"/>
      <c r="R1528" s="1"/>
      <c r="S1528" s="1"/>
      <c r="T1528" s="1"/>
      <c r="U1528" s="33"/>
      <c r="V1528" s="16"/>
      <c r="W1528" s="1"/>
      <c r="X1528" s="1"/>
    </row>
    <row r="1529" spans="1:24">
      <c r="A1529" s="1"/>
      <c r="B1529" s="16"/>
      <c r="C1529" s="16"/>
      <c r="D1529" s="16"/>
      <c r="E1529" s="16"/>
      <c r="F1529" s="16"/>
      <c r="G1529" s="16"/>
      <c r="H1529" s="16"/>
      <c r="I1529" s="16"/>
      <c r="J1529" s="16"/>
      <c r="K1529" s="16"/>
      <c r="L1529" s="16"/>
      <c r="M1529" s="26"/>
      <c r="N1529" s="26"/>
      <c r="O1529" s="16"/>
      <c r="P1529" s="1"/>
      <c r="Q1529" s="1"/>
      <c r="R1529" s="1"/>
      <c r="S1529" s="1"/>
      <c r="T1529" s="1"/>
      <c r="U1529" s="33"/>
      <c r="V1529" s="16"/>
      <c r="W1529" s="1"/>
      <c r="X1529" s="1"/>
    </row>
    <row r="1530" spans="1:24">
      <c r="A1530" s="1"/>
      <c r="B1530" s="16"/>
      <c r="C1530" s="16"/>
      <c r="D1530" s="16"/>
      <c r="E1530" s="16"/>
      <c r="F1530" s="16"/>
      <c r="G1530" s="16"/>
      <c r="H1530" s="16"/>
      <c r="I1530" s="16"/>
      <c r="J1530" s="16"/>
      <c r="K1530" s="16"/>
      <c r="L1530" s="16"/>
      <c r="M1530" s="26"/>
      <c r="N1530" s="26"/>
      <c r="O1530" s="16"/>
      <c r="P1530" s="1"/>
      <c r="Q1530" s="1"/>
      <c r="R1530" s="1"/>
      <c r="S1530" s="1"/>
      <c r="T1530" s="1"/>
      <c r="U1530" s="33"/>
      <c r="V1530" s="16"/>
      <c r="W1530" s="1"/>
      <c r="X1530" s="1"/>
    </row>
    <row r="1531" spans="1:24">
      <c r="A1531" s="1"/>
      <c r="B1531" s="16"/>
      <c r="C1531" s="16"/>
      <c r="D1531" s="16"/>
      <c r="E1531" s="16"/>
      <c r="F1531" s="16"/>
      <c r="G1531" s="16"/>
      <c r="H1531" s="16"/>
      <c r="I1531" s="16"/>
      <c r="J1531" s="16"/>
      <c r="K1531" s="16"/>
      <c r="L1531" s="16"/>
      <c r="M1531" s="26"/>
      <c r="N1531" s="26"/>
      <c r="O1531" s="16"/>
      <c r="P1531" s="1"/>
      <c r="Q1531" s="1"/>
      <c r="R1531" s="1"/>
      <c r="S1531" s="1"/>
      <c r="T1531" s="1"/>
      <c r="U1531" s="33"/>
      <c r="V1531" s="16"/>
      <c r="W1531" s="1"/>
      <c r="X1531" s="1"/>
    </row>
    <row r="1532" spans="1:24">
      <c r="A1532" s="1"/>
      <c r="B1532" s="16"/>
      <c r="C1532" s="16"/>
      <c r="D1532" s="16"/>
      <c r="E1532" s="16"/>
      <c r="F1532" s="16"/>
      <c r="G1532" s="16"/>
      <c r="H1532" s="16"/>
      <c r="I1532" s="16"/>
      <c r="J1532" s="16"/>
      <c r="K1532" s="16"/>
      <c r="L1532" s="16"/>
      <c r="M1532" s="26"/>
      <c r="N1532" s="26"/>
      <c r="O1532" s="16"/>
      <c r="P1532" s="1"/>
      <c r="Q1532" s="1"/>
      <c r="R1532" s="1"/>
      <c r="S1532" s="1"/>
      <c r="T1532" s="1"/>
      <c r="U1532" s="33"/>
      <c r="V1532" s="16"/>
      <c r="W1532" s="1"/>
      <c r="X1532" s="1"/>
    </row>
    <row r="1533" spans="1:24">
      <c r="A1533" s="1"/>
      <c r="B1533" s="16"/>
      <c r="C1533" s="16"/>
      <c r="D1533" s="16"/>
      <c r="E1533" s="16"/>
      <c r="F1533" s="16"/>
      <c r="G1533" s="16"/>
      <c r="H1533" s="16"/>
      <c r="I1533" s="16"/>
      <c r="J1533" s="16"/>
      <c r="K1533" s="16"/>
      <c r="L1533" s="16"/>
      <c r="M1533" s="26"/>
      <c r="N1533" s="26"/>
      <c r="O1533" s="16"/>
      <c r="P1533" s="1"/>
      <c r="Q1533" s="1"/>
      <c r="R1533" s="1"/>
      <c r="S1533" s="1"/>
      <c r="T1533" s="1"/>
      <c r="U1533" s="33"/>
      <c r="V1533" s="16"/>
      <c r="W1533" s="1"/>
      <c r="X1533" s="1"/>
    </row>
    <row r="1534" spans="1:24">
      <c r="A1534" s="1"/>
      <c r="B1534" s="16"/>
      <c r="C1534" s="16"/>
      <c r="D1534" s="16"/>
      <c r="E1534" s="16"/>
      <c r="F1534" s="16"/>
      <c r="G1534" s="16"/>
      <c r="H1534" s="16"/>
      <c r="I1534" s="16"/>
      <c r="J1534" s="16"/>
      <c r="K1534" s="16"/>
      <c r="L1534" s="16"/>
      <c r="M1534" s="26"/>
      <c r="N1534" s="26"/>
      <c r="O1534" s="16"/>
      <c r="P1534" s="1"/>
      <c r="Q1534" s="1"/>
      <c r="R1534" s="1"/>
      <c r="S1534" s="1"/>
      <c r="T1534" s="1"/>
      <c r="U1534" s="33"/>
      <c r="V1534" s="16"/>
      <c r="W1534" s="1"/>
      <c r="X1534" s="1"/>
    </row>
    <row r="1535" spans="1:24">
      <c r="A1535" s="1"/>
      <c r="B1535" s="16"/>
      <c r="C1535" s="16"/>
      <c r="D1535" s="16"/>
      <c r="E1535" s="16"/>
      <c r="F1535" s="16"/>
      <c r="G1535" s="16"/>
      <c r="H1535" s="16"/>
      <c r="I1535" s="16"/>
      <c r="J1535" s="16"/>
      <c r="K1535" s="16"/>
      <c r="L1535" s="16"/>
      <c r="M1535" s="26"/>
      <c r="N1535" s="26"/>
      <c r="O1535" s="16"/>
      <c r="P1535" s="1"/>
      <c r="Q1535" s="1"/>
      <c r="R1535" s="1"/>
      <c r="S1535" s="1"/>
      <c r="T1535" s="1"/>
      <c r="U1535" s="33"/>
      <c r="V1535" s="16"/>
      <c r="W1535" s="1"/>
      <c r="X1535" s="1"/>
    </row>
    <row r="1536" spans="1:24">
      <c r="A1536" s="1"/>
      <c r="B1536" s="16"/>
      <c r="C1536" s="16"/>
      <c r="D1536" s="16"/>
      <c r="E1536" s="16"/>
      <c r="F1536" s="16"/>
      <c r="G1536" s="16"/>
      <c r="H1536" s="16"/>
      <c r="I1536" s="16"/>
      <c r="J1536" s="16"/>
      <c r="K1536" s="16"/>
      <c r="L1536" s="16"/>
      <c r="M1536" s="26"/>
      <c r="N1536" s="26"/>
      <c r="O1536" s="16"/>
      <c r="P1536" s="1"/>
      <c r="Q1536" s="1"/>
      <c r="R1536" s="1"/>
      <c r="S1536" s="1"/>
      <c r="T1536" s="1"/>
      <c r="U1536" s="33"/>
      <c r="V1536" s="16"/>
      <c r="W1536" s="1"/>
      <c r="X1536" s="1"/>
    </row>
    <row r="1537" spans="1:24">
      <c r="A1537" s="1"/>
      <c r="B1537" s="16"/>
      <c r="C1537" s="16"/>
      <c r="D1537" s="16"/>
      <c r="E1537" s="16"/>
      <c r="F1537" s="16"/>
      <c r="G1537" s="16"/>
      <c r="H1537" s="16"/>
      <c r="I1537" s="16"/>
      <c r="J1537" s="16"/>
      <c r="K1537" s="16"/>
      <c r="L1537" s="16"/>
      <c r="M1537" s="26"/>
      <c r="N1537" s="26"/>
      <c r="O1537" s="16"/>
      <c r="P1537" s="1"/>
      <c r="Q1537" s="1"/>
      <c r="R1537" s="1"/>
      <c r="S1537" s="1"/>
      <c r="T1537" s="1"/>
      <c r="U1537" s="33"/>
      <c r="V1537" s="16"/>
      <c r="W1537" s="1"/>
      <c r="X1537" s="1"/>
    </row>
    <row r="1538" spans="1:24">
      <c r="A1538" s="1"/>
      <c r="B1538" s="16"/>
      <c r="C1538" s="16"/>
      <c r="D1538" s="16"/>
      <c r="E1538" s="16"/>
      <c r="F1538" s="16"/>
      <c r="G1538" s="16"/>
      <c r="H1538" s="16"/>
      <c r="I1538" s="16"/>
      <c r="J1538" s="16"/>
      <c r="K1538" s="16"/>
      <c r="L1538" s="16"/>
      <c r="M1538" s="26"/>
      <c r="N1538" s="26"/>
      <c r="O1538" s="16"/>
      <c r="P1538" s="1"/>
      <c r="Q1538" s="1"/>
      <c r="R1538" s="1"/>
      <c r="S1538" s="1"/>
      <c r="T1538" s="1"/>
      <c r="U1538" s="33"/>
      <c r="V1538" s="16"/>
      <c r="W1538" s="1"/>
      <c r="X1538" s="1"/>
    </row>
    <row r="1539" spans="1:24">
      <c r="A1539" s="1"/>
      <c r="B1539" s="16"/>
      <c r="C1539" s="16"/>
      <c r="D1539" s="16"/>
      <c r="E1539" s="16"/>
      <c r="F1539" s="16"/>
      <c r="G1539" s="16"/>
      <c r="H1539" s="16"/>
      <c r="I1539" s="16"/>
      <c r="J1539" s="16"/>
      <c r="K1539" s="16"/>
      <c r="L1539" s="16"/>
      <c r="M1539" s="26"/>
      <c r="N1539" s="26"/>
      <c r="O1539" s="16"/>
      <c r="P1539" s="1"/>
      <c r="Q1539" s="1"/>
      <c r="R1539" s="1"/>
      <c r="S1539" s="1"/>
      <c r="T1539" s="1"/>
      <c r="U1539" s="33"/>
      <c r="V1539" s="16"/>
      <c r="W1539" s="1"/>
      <c r="X1539" s="1"/>
    </row>
    <row r="1540" spans="1:24">
      <c r="A1540" s="1"/>
      <c r="B1540" s="16"/>
      <c r="C1540" s="16"/>
      <c r="D1540" s="16"/>
      <c r="E1540" s="16"/>
      <c r="F1540" s="16"/>
      <c r="G1540" s="16"/>
      <c r="H1540" s="16"/>
      <c r="I1540" s="16"/>
      <c r="J1540" s="16"/>
      <c r="K1540" s="16"/>
      <c r="L1540" s="16"/>
      <c r="M1540" s="26"/>
      <c r="N1540" s="26"/>
      <c r="O1540" s="16"/>
      <c r="P1540" s="1"/>
      <c r="Q1540" s="1"/>
      <c r="R1540" s="1"/>
      <c r="S1540" s="1"/>
      <c r="T1540" s="1"/>
      <c r="U1540" s="33"/>
      <c r="V1540" s="16"/>
      <c r="W1540" s="1"/>
      <c r="X1540" s="1"/>
    </row>
    <row r="1541" spans="1:24">
      <c r="A1541" s="1"/>
      <c r="B1541" s="16"/>
      <c r="C1541" s="16"/>
      <c r="D1541" s="16"/>
      <c r="E1541" s="16"/>
      <c r="F1541" s="16"/>
      <c r="G1541" s="16"/>
      <c r="H1541" s="16"/>
      <c r="I1541" s="16"/>
      <c r="J1541" s="16"/>
      <c r="K1541" s="16"/>
      <c r="L1541" s="16"/>
      <c r="M1541" s="26"/>
      <c r="N1541" s="26"/>
      <c r="O1541" s="16"/>
      <c r="P1541" s="1"/>
      <c r="Q1541" s="1"/>
      <c r="R1541" s="1"/>
      <c r="S1541" s="1"/>
      <c r="T1541" s="1"/>
      <c r="U1541" s="33"/>
      <c r="V1541" s="16"/>
      <c r="W1541" s="1"/>
      <c r="X1541" s="1"/>
    </row>
    <row r="1542" spans="1:24">
      <c r="A1542" s="1"/>
      <c r="B1542" s="16"/>
      <c r="C1542" s="16"/>
      <c r="D1542" s="16"/>
      <c r="E1542" s="16"/>
      <c r="F1542" s="16"/>
      <c r="G1542" s="16"/>
      <c r="H1542" s="16"/>
      <c r="I1542" s="16"/>
      <c r="J1542" s="16"/>
      <c r="K1542" s="16"/>
      <c r="L1542" s="16"/>
      <c r="M1542" s="26"/>
      <c r="N1542" s="26"/>
      <c r="O1542" s="16"/>
      <c r="P1542" s="1"/>
      <c r="Q1542" s="1"/>
      <c r="R1542" s="1"/>
      <c r="S1542" s="1"/>
      <c r="T1542" s="1"/>
      <c r="U1542" s="33"/>
      <c r="V1542" s="16"/>
      <c r="W1542" s="1"/>
      <c r="X1542" s="1"/>
    </row>
    <row r="1543" spans="1:24">
      <c r="A1543" s="1"/>
      <c r="B1543" s="16"/>
      <c r="C1543" s="16"/>
      <c r="D1543" s="16"/>
      <c r="E1543" s="16"/>
      <c r="F1543" s="16"/>
      <c r="G1543" s="16"/>
      <c r="H1543" s="16"/>
      <c r="I1543" s="16"/>
      <c r="J1543" s="16"/>
      <c r="K1543" s="16"/>
      <c r="L1543" s="16"/>
      <c r="M1543" s="26"/>
      <c r="N1543" s="26"/>
      <c r="O1543" s="16"/>
      <c r="P1543" s="1"/>
      <c r="Q1543" s="1"/>
      <c r="R1543" s="1"/>
      <c r="S1543" s="1"/>
      <c r="T1543" s="1"/>
      <c r="U1543" s="33"/>
      <c r="V1543" s="16"/>
      <c r="W1543" s="1"/>
      <c r="X1543" s="1"/>
    </row>
    <row r="1544" spans="1:24">
      <c r="A1544" s="1"/>
      <c r="B1544" s="16"/>
      <c r="C1544" s="16"/>
      <c r="D1544" s="16"/>
      <c r="E1544" s="16"/>
      <c r="F1544" s="16"/>
      <c r="G1544" s="16"/>
      <c r="H1544" s="16"/>
      <c r="I1544" s="16"/>
      <c r="J1544" s="16"/>
      <c r="K1544" s="16"/>
      <c r="L1544" s="16"/>
      <c r="M1544" s="26"/>
      <c r="N1544" s="26"/>
      <c r="O1544" s="16"/>
      <c r="P1544" s="1"/>
      <c r="Q1544" s="1"/>
      <c r="R1544" s="1"/>
      <c r="S1544" s="1"/>
      <c r="T1544" s="1"/>
      <c r="U1544" s="33"/>
      <c r="V1544" s="16"/>
      <c r="W1544" s="1"/>
      <c r="X1544" s="1"/>
    </row>
    <row r="1545" spans="1:24">
      <c r="A1545" s="1"/>
      <c r="B1545" s="16"/>
      <c r="C1545" s="16"/>
      <c r="D1545" s="16"/>
      <c r="E1545" s="16"/>
      <c r="F1545" s="16"/>
      <c r="G1545" s="16"/>
      <c r="H1545" s="16"/>
      <c r="I1545" s="16"/>
      <c r="J1545" s="16"/>
      <c r="K1545" s="16"/>
      <c r="L1545" s="16"/>
      <c r="M1545" s="26"/>
      <c r="N1545" s="26"/>
      <c r="O1545" s="16"/>
      <c r="P1545" s="1"/>
      <c r="Q1545" s="1"/>
      <c r="R1545" s="1"/>
      <c r="S1545" s="1"/>
      <c r="T1545" s="1"/>
      <c r="U1545" s="33"/>
      <c r="V1545" s="16"/>
      <c r="W1545" s="1"/>
      <c r="X1545" s="1"/>
    </row>
    <row r="1546" spans="1:24">
      <c r="A1546" s="1"/>
      <c r="B1546" s="16"/>
      <c r="C1546" s="16"/>
      <c r="D1546" s="16"/>
      <c r="E1546" s="16"/>
      <c r="F1546" s="16"/>
      <c r="G1546" s="16"/>
      <c r="H1546" s="16"/>
      <c r="I1546" s="16"/>
      <c r="J1546" s="16"/>
      <c r="K1546" s="16"/>
      <c r="L1546" s="16"/>
      <c r="M1546" s="26"/>
      <c r="N1546" s="26"/>
      <c r="O1546" s="16"/>
      <c r="P1546" s="1"/>
      <c r="Q1546" s="1"/>
      <c r="R1546" s="1"/>
      <c r="S1546" s="1"/>
      <c r="T1546" s="1"/>
      <c r="U1546" s="33"/>
      <c r="V1546" s="16"/>
      <c r="W1546" s="1"/>
      <c r="X1546" s="1"/>
    </row>
    <row r="1547" spans="1:24">
      <c r="A1547" s="1"/>
      <c r="B1547" s="16"/>
      <c r="C1547" s="16"/>
      <c r="D1547" s="16"/>
      <c r="E1547" s="16"/>
      <c r="F1547" s="16"/>
      <c r="G1547" s="16"/>
      <c r="H1547" s="16"/>
      <c r="I1547" s="16"/>
      <c r="J1547" s="16"/>
      <c r="K1547" s="16"/>
      <c r="L1547" s="16"/>
      <c r="M1547" s="26"/>
      <c r="N1547" s="26"/>
      <c r="O1547" s="16"/>
      <c r="P1547" s="1"/>
      <c r="Q1547" s="1"/>
      <c r="R1547" s="1"/>
      <c r="S1547" s="1"/>
      <c r="T1547" s="1"/>
      <c r="U1547" s="33"/>
      <c r="V1547" s="16"/>
      <c r="W1547" s="1"/>
      <c r="X1547" s="1"/>
    </row>
    <row r="1548" spans="1:24">
      <c r="A1548" s="1"/>
      <c r="B1548" s="16"/>
      <c r="C1548" s="16"/>
      <c r="D1548" s="16"/>
      <c r="E1548" s="16"/>
      <c r="F1548" s="16"/>
      <c r="G1548" s="16"/>
      <c r="H1548" s="16"/>
      <c r="I1548" s="16"/>
      <c r="J1548" s="16"/>
      <c r="K1548" s="16"/>
      <c r="L1548" s="16"/>
      <c r="M1548" s="26"/>
      <c r="N1548" s="26"/>
      <c r="O1548" s="16"/>
      <c r="P1548" s="1"/>
      <c r="Q1548" s="1"/>
      <c r="R1548" s="1"/>
      <c r="S1548" s="1"/>
      <c r="T1548" s="1"/>
      <c r="U1548" s="33"/>
      <c r="V1548" s="16"/>
      <c r="W1548" s="1"/>
      <c r="X1548" s="1"/>
    </row>
    <row r="1549" spans="1:24">
      <c r="A1549" s="1"/>
      <c r="B1549" s="16"/>
      <c r="C1549" s="16"/>
      <c r="D1549" s="16"/>
      <c r="E1549" s="16"/>
      <c r="F1549" s="16"/>
      <c r="G1549" s="16"/>
      <c r="H1549" s="16"/>
      <c r="I1549" s="16"/>
      <c r="J1549" s="16"/>
      <c r="K1549" s="16"/>
      <c r="L1549" s="16"/>
      <c r="M1549" s="26"/>
      <c r="N1549" s="26"/>
      <c r="O1549" s="16"/>
      <c r="P1549" s="1"/>
      <c r="Q1549" s="1"/>
      <c r="R1549" s="1"/>
      <c r="S1549" s="1"/>
      <c r="T1549" s="1"/>
      <c r="U1549" s="33"/>
      <c r="V1549" s="16"/>
      <c r="W1549" s="1"/>
      <c r="X1549" s="1"/>
    </row>
    <row r="1550" spans="1:24">
      <c r="A1550" s="1"/>
      <c r="B1550" s="16"/>
      <c r="C1550" s="16"/>
      <c r="D1550" s="16"/>
      <c r="E1550" s="16"/>
      <c r="F1550" s="16"/>
      <c r="G1550" s="16"/>
      <c r="H1550" s="16"/>
      <c r="I1550" s="16"/>
      <c r="J1550" s="16"/>
      <c r="K1550" s="16"/>
      <c r="L1550" s="16"/>
      <c r="M1550" s="26"/>
      <c r="N1550" s="26"/>
      <c r="O1550" s="16"/>
      <c r="P1550" s="1"/>
      <c r="Q1550" s="1"/>
      <c r="R1550" s="1"/>
      <c r="S1550" s="1"/>
      <c r="T1550" s="1"/>
      <c r="U1550" s="33"/>
      <c r="V1550" s="16"/>
      <c r="W1550" s="1"/>
      <c r="X1550" s="1"/>
    </row>
    <row r="1551" spans="1:24">
      <c r="A1551" s="1"/>
      <c r="B1551" s="16"/>
      <c r="C1551" s="16"/>
      <c r="D1551" s="16"/>
      <c r="E1551" s="16"/>
      <c r="F1551" s="16"/>
      <c r="G1551" s="16"/>
      <c r="H1551" s="16"/>
      <c r="I1551" s="16"/>
      <c r="J1551" s="16"/>
      <c r="K1551" s="16"/>
      <c r="L1551" s="16"/>
      <c r="M1551" s="26"/>
      <c r="N1551" s="26"/>
      <c r="O1551" s="16"/>
      <c r="P1551" s="1"/>
      <c r="Q1551" s="1"/>
      <c r="R1551" s="1"/>
      <c r="S1551" s="1"/>
      <c r="T1551" s="1"/>
      <c r="U1551" s="33"/>
      <c r="V1551" s="16"/>
      <c r="W1551" s="1"/>
      <c r="X1551" s="1"/>
    </row>
    <row r="1552" spans="1:24">
      <c r="A1552" s="1"/>
      <c r="B1552" s="16"/>
      <c r="C1552" s="16"/>
      <c r="D1552" s="16"/>
      <c r="E1552" s="16"/>
      <c r="F1552" s="16"/>
      <c r="G1552" s="16"/>
      <c r="H1552" s="16"/>
      <c r="I1552" s="16"/>
      <c r="J1552" s="16"/>
      <c r="K1552" s="16"/>
      <c r="L1552" s="16"/>
      <c r="M1552" s="26"/>
      <c r="N1552" s="26"/>
      <c r="O1552" s="16"/>
      <c r="P1552" s="1"/>
      <c r="Q1552" s="1"/>
      <c r="R1552" s="1"/>
      <c r="S1552" s="1"/>
      <c r="T1552" s="1"/>
      <c r="U1552" s="33"/>
      <c r="V1552" s="16"/>
      <c r="W1552" s="1"/>
      <c r="X1552" s="1"/>
    </row>
    <row r="1553" spans="1:24">
      <c r="A1553" s="1"/>
      <c r="B1553" s="16"/>
      <c r="C1553" s="16"/>
      <c r="D1553" s="16"/>
      <c r="E1553" s="16"/>
      <c r="F1553" s="16"/>
      <c r="G1553" s="16"/>
      <c r="H1553" s="16"/>
      <c r="I1553" s="16"/>
      <c r="J1553" s="16"/>
      <c r="K1553" s="16"/>
      <c r="L1553" s="16"/>
      <c r="M1553" s="26"/>
      <c r="N1553" s="26"/>
      <c r="O1553" s="16"/>
      <c r="P1553" s="1"/>
      <c r="Q1553" s="1"/>
      <c r="R1553" s="1"/>
      <c r="S1553" s="1"/>
      <c r="T1553" s="1"/>
      <c r="U1553" s="33"/>
      <c r="V1553" s="16"/>
      <c r="W1553" s="1"/>
      <c r="X1553" s="1"/>
    </row>
    <row r="1554" spans="1:24">
      <c r="A1554" s="1"/>
      <c r="B1554" s="16"/>
      <c r="C1554" s="16"/>
      <c r="D1554" s="16"/>
      <c r="E1554" s="16"/>
      <c r="F1554" s="16"/>
      <c r="G1554" s="16"/>
      <c r="H1554" s="16"/>
      <c r="I1554" s="16"/>
      <c r="J1554" s="16"/>
      <c r="K1554" s="16"/>
      <c r="L1554" s="16"/>
      <c r="M1554" s="26"/>
      <c r="N1554" s="26"/>
      <c r="O1554" s="16"/>
      <c r="P1554" s="1"/>
      <c r="Q1554" s="1"/>
      <c r="R1554" s="1"/>
      <c r="S1554" s="1"/>
      <c r="T1554" s="1"/>
      <c r="U1554" s="33"/>
      <c r="V1554" s="16"/>
      <c r="W1554" s="1"/>
      <c r="X1554" s="1"/>
    </row>
    <row r="1555" spans="1:24">
      <c r="A1555" s="1"/>
      <c r="B1555" s="16"/>
      <c r="C1555" s="16"/>
      <c r="D1555" s="16"/>
      <c r="E1555" s="16"/>
      <c r="F1555" s="16"/>
      <c r="G1555" s="16"/>
      <c r="H1555" s="16"/>
      <c r="I1555" s="16"/>
      <c r="J1555" s="16"/>
      <c r="K1555" s="16"/>
      <c r="L1555" s="16"/>
      <c r="M1555" s="26"/>
      <c r="N1555" s="26"/>
      <c r="O1555" s="16"/>
      <c r="P1555" s="1"/>
      <c r="Q1555" s="1"/>
      <c r="R1555" s="1"/>
      <c r="S1555" s="1"/>
      <c r="T1555" s="1"/>
      <c r="U1555" s="33"/>
      <c r="V1555" s="16"/>
      <c r="W1555" s="1"/>
      <c r="X1555" s="1"/>
    </row>
    <row r="1556" spans="1:24">
      <c r="A1556" s="1"/>
      <c r="B1556" s="16"/>
      <c r="C1556" s="16"/>
      <c r="D1556" s="16"/>
      <c r="E1556" s="16"/>
      <c r="F1556" s="16"/>
      <c r="G1556" s="16"/>
      <c r="H1556" s="16"/>
      <c r="I1556" s="16"/>
      <c r="J1556" s="16"/>
      <c r="K1556" s="16"/>
      <c r="L1556" s="16"/>
      <c r="M1556" s="26"/>
      <c r="N1556" s="26"/>
      <c r="O1556" s="16"/>
      <c r="P1556" s="1"/>
      <c r="Q1556" s="1"/>
      <c r="R1556" s="1"/>
      <c r="S1556" s="1"/>
      <c r="T1556" s="1"/>
      <c r="U1556" s="33"/>
      <c r="V1556" s="16"/>
      <c r="W1556" s="1"/>
      <c r="X1556" s="1"/>
    </row>
    <row r="1557" spans="1:24">
      <c r="A1557" s="1"/>
      <c r="B1557" s="16"/>
      <c r="C1557" s="16"/>
      <c r="D1557" s="16"/>
      <c r="E1557" s="16"/>
      <c r="F1557" s="16"/>
      <c r="G1557" s="16"/>
      <c r="H1557" s="16"/>
      <c r="I1557" s="16"/>
      <c r="J1557" s="16"/>
      <c r="K1557" s="16"/>
      <c r="L1557" s="16"/>
      <c r="M1557" s="26"/>
      <c r="N1557" s="26"/>
      <c r="O1557" s="16"/>
      <c r="P1557" s="1"/>
      <c r="Q1557" s="1"/>
      <c r="R1557" s="1"/>
      <c r="S1557" s="1"/>
      <c r="T1557" s="1"/>
      <c r="U1557" s="33"/>
      <c r="V1557" s="16"/>
      <c r="W1557" s="1"/>
      <c r="X1557" s="1"/>
    </row>
    <row r="1558" spans="1:24">
      <c r="A1558" s="1"/>
      <c r="B1558" s="16"/>
      <c r="C1558" s="16"/>
      <c r="D1558" s="16"/>
      <c r="E1558" s="16"/>
      <c r="F1558" s="16"/>
      <c r="G1558" s="16"/>
      <c r="H1558" s="16"/>
      <c r="I1558" s="16"/>
      <c r="J1558" s="16"/>
      <c r="K1558" s="16"/>
      <c r="L1558" s="16"/>
      <c r="M1558" s="26"/>
      <c r="N1558" s="26"/>
      <c r="O1558" s="16"/>
      <c r="P1558" s="1"/>
      <c r="Q1558" s="1"/>
      <c r="R1558" s="1"/>
      <c r="S1558" s="1"/>
      <c r="T1558" s="1"/>
      <c r="U1558" s="33"/>
      <c r="V1558" s="16"/>
      <c r="W1558" s="1"/>
      <c r="X1558" s="1"/>
    </row>
    <row r="1559" spans="1:24">
      <c r="A1559" s="1"/>
      <c r="B1559" s="16"/>
      <c r="C1559" s="16"/>
      <c r="D1559" s="16"/>
      <c r="E1559" s="16"/>
      <c r="F1559" s="16"/>
      <c r="G1559" s="16"/>
      <c r="H1559" s="16"/>
      <c r="I1559" s="16"/>
      <c r="J1559" s="16"/>
      <c r="K1559" s="16"/>
      <c r="L1559" s="16"/>
      <c r="M1559" s="26"/>
      <c r="N1559" s="26"/>
      <c r="O1559" s="16"/>
      <c r="P1559" s="1"/>
      <c r="Q1559" s="1"/>
      <c r="R1559" s="1"/>
      <c r="S1559" s="1"/>
      <c r="T1559" s="1"/>
      <c r="U1559" s="33"/>
      <c r="V1559" s="16"/>
      <c r="W1559" s="1"/>
      <c r="X1559" s="1"/>
    </row>
    <row r="1560" spans="1:24">
      <c r="A1560" s="1"/>
      <c r="B1560" s="16"/>
      <c r="C1560" s="16"/>
      <c r="D1560" s="16"/>
      <c r="E1560" s="16"/>
      <c r="F1560" s="16"/>
      <c r="G1560" s="16"/>
      <c r="H1560" s="16"/>
      <c r="I1560" s="16"/>
      <c r="J1560" s="16"/>
      <c r="K1560" s="16"/>
      <c r="L1560" s="16"/>
      <c r="M1560" s="26"/>
      <c r="N1560" s="26"/>
      <c r="O1560" s="16"/>
      <c r="P1560" s="1"/>
      <c r="Q1560" s="1"/>
      <c r="R1560" s="1"/>
      <c r="S1560" s="1"/>
      <c r="T1560" s="1"/>
      <c r="U1560" s="33"/>
      <c r="V1560" s="16"/>
      <c r="W1560" s="1"/>
      <c r="X1560" s="1"/>
    </row>
    <row r="1561" spans="1:24">
      <c r="A1561" s="1"/>
      <c r="B1561" s="16"/>
      <c r="C1561" s="16"/>
      <c r="D1561" s="16"/>
      <c r="E1561" s="16"/>
      <c r="F1561" s="16"/>
      <c r="G1561" s="16"/>
      <c r="H1561" s="16"/>
      <c r="I1561" s="16"/>
      <c r="J1561" s="16"/>
      <c r="K1561" s="16"/>
      <c r="L1561" s="16"/>
      <c r="M1561" s="26"/>
      <c r="N1561" s="26"/>
      <c r="O1561" s="16"/>
      <c r="P1561" s="1"/>
      <c r="Q1561" s="1"/>
      <c r="R1561" s="1"/>
      <c r="S1561" s="1"/>
      <c r="T1561" s="1"/>
      <c r="U1561" s="33"/>
      <c r="V1561" s="16"/>
      <c r="W1561" s="1"/>
      <c r="X1561" s="1"/>
    </row>
    <row r="1562" spans="1:24">
      <c r="A1562" s="1"/>
      <c r="B1562" s="16"/>
      <c r="C1562" s="16"/>
      <c r="D1562" s="16"/>
      <c r="E1562" s="16"/>
      <c r="F1562" s="16"/>
      <c r="G1562" s="16"/>
      <c r="H1562" s="16"/>
      <c r="I1562" s="16"/>
      <c r="J1562" s="16"/>
      <c r="K1562" s="16"/>
      <c r="L1562" s="16"/>
      <c r="M1562" s="26"/>
      <c r="N1562" s="26"/>
      <c r="O1562" s="16"/>
      <c r="P1562" s="1"/>
      <c r="Q1562" s="1"/>
      <c r="R1562" s="1"/>
      <c r="S1562" s="1"/>
      <c r="T1562" s="1"/>
      <c r="U1562" s="33"/>
      <c r="V1562" s="16"/>
      <c r="W1562" s="1"/>
      <c r="X1562" s="1"/>
    </row>
    <row r="1563" spans="1:24">
      <c r="A1563" s="1"/>
      <c r="B1563" s="16"/>
      <c r="C1563" s="16"/>
      <c r="D1563" s="16"/>
      <c r="E1563" s="16"/>
      <c r="F1563" s="16"/>
      <c r="G1563" s="16"/>
      <c r="H1563" s="16"/>
      <c r="I1563" s="16"/>
      <c r="J1563" s="16"/>
      <c r="K1563" s="16"/>
      <c r="L1563" s="16"/>
      <c r="M1563" s="26"/>
      <c r="N1563" s="26"/>
      <c r="O1563" s="16"/>
      <c r="P1563" s="1"/>
      <c r="Q1563" s="1"/>
      <c r="R1563" s="1"/>
      <c r="S1563" s="1"/>
      <c r="T1563" s="1"/>
      <c r="U1563" s="33"/>
      <c r="V1563" s="16"/>
      <c r="W1563" s="1"/>
      <c r="X1563" s="1"/>
    </row>
    <row r="1564" spans="1:24">
      <c r="A1564" s="1"/>
      <c r="B1564" s="16"/>
      <c r="C1564" s="16"/>
      <c r="D1564" s="16"/>
      <c r="E1564" s="16"/>
      <c r="F1564" s="16"/>
      <c r="G1564" s="16"/>
      <c r="H1564" s="16"/>
      <c r="I1564" s="16"/>
      <c r="J1564" s="16"/>
      <c r="K1564" s="16"/>
      <c r="L1564" s="16"/>
      <c r="M1564" s="26"/>
      <c r="N1564" s="26"/>
      <c r="O1564" s="16"/>
      <c r="P1564" s="1"/>
      <c r="Q1564" s="1"/>
      <c r="R1564" s="1"/>
      <c r="S1564" s="1"/>
      <c r="T1564" s="1"/>
      <c r="U1564" s="33"/>
      <c r="V1564" s="16"/>
      <c r="W1564" s="1"/>
      <c r="X1564" s="1"/>
    </row>
    <row r="1565" spans="1:24">
      <c r="A1565" s="1"/>
      <c r="B1565" s="16"/>
      <c r="C1565" s="16"/>
      <c r="D1565" s="16"/>
      <c r="E1565" s="16"/>
      <c r="F1565" s="16"/>
      <c r="G1565" s="16"/>
      <c r="H1565" s="16"/>
      <c r="I1565" s="16"/>
      <c r="J1565" s="16"/>
      <c r="K1565" s="16"/>
      <c r="L1565" s="16"/>
      <c r="M1565" s="26"/>
      <c r="N1565" s="26"/>
      <c r="O1565" s="16"/>
      <c r="P1565" s="1"/>
      <c r="Q1565" s="1"/>
      <c r="R1565" s="1"/>
      <c r="S1565" s="1"/>
      <c r="T1565" s="1"/>
      <c r="U1565" s="33"/>
      <c r="V1565" s="16"/>
      <c r="W1565" s="1"/>
      <c r="X1565" s="1"/>
    </row>
    <row r="1566" spans="1:24">
      <c r="A1566" s="1"/>
      <c r="B1566" s="16"/>
      <c r="C1566" s="16"/>
      <c r="D1566" s="16"/>
      <c r="E1566" s="16"/>
      <c r="F1566" s="16"/>
      <c r="G1566" s="16"/>
      <c r="H1566" s="16"/>
      <c r="I1566" s="16"/>
      <c r="J1566" s="16"/>
      <c r="K1566" s="16"/>
      <c r="L1566" s="16"/>
      <c r="M1566" s="26"/>
      <c r="N1566" s="26"/>
      <c r="O1566" s="16"/>
      <c r="P1566" s="1"/>
      <c r="Q1566" s="1"/>
      <c r="R1566" s="1"/>
      <c r="S1566" s="1"/>
      <c r="T1566" s="1"/>
      <c r="U1566" s="33"/>
      <c r="V1566" s="16"/>
      <c r="W1566" s="1"/>
      <c r="X1566" s="1"/>
    </row>
    <row r="1567" spans="1:24">
      <c r="A1567" s="1"/>
      <c r="B1567" s="16"/>
      <c r="C1567" s="16"/>
      <c r="D1567" s="16"/>
      <c r="E1567" s="16"/>
      <c r="F1567" s="16"/>
      <c r="G1567" s="16"/>
      <c r="H1567" s="16"/>
      <c r="I1567" s="16"/>
      <c r="J1567" s="16"/>
      <c r="K1567" s="16"/>
      <c r="L1567" s="16"/>
      <c r="M1567" s="26"/>
      <c r="N1567" s="26"/>
      <c r="O1567" s="16"/>
      <c r="P1567" s="1"/>
      <c r="Q1567" s="1"/>
      <c r="R1567" s="1"/>
      <c r="S1567" s="1"/>
      <c r="T1567" s="1"/>
      <c r="U1567" s="33"/>
      <c r="V1567" s="16"/>
      <c r="W1567" s="1"/>
      <c r="X1567" s="1"/>
    </row>
    <row r="1568" spans="1:24">
      <c r="A1568" s="1"/>
      <c r="B1568" s="16"/>
      <c r="C1568" s="16"/>
      <c r="D1568" s="16"/>
      <c r="E1568" s="16"/>
      <c r="F1568" s="16"/>
      <c r="G1568" s="16"/>
      <c r="H1568" s="16"/>
      <c r="I1568" s="16"/>
      <c r="J1568" s="16"/>
      <c r="K1568" s="16"/>
      <c r="L1568" s="16"/>
      <c r="M1568" s="26"/>
      <c r="N1568" s="26"/>
      <c r="O1568" s="16"/>
      <c r="P1568" s="1"/>
      <c r="Q1568" s="1"/>
      <c r="R1568" s="1"/>
      <c r="S1568" s="1"/>
      <c r="T1568" s="1"/>
      <c r="U1568" s="33"/>
      <c r="V1568" s="16"/>
      <c r="W1568" s="1"/>
      <c r="X1568" s="1"/>
    </row>
    <row r="1569" spans="1:24">
      <c r="A1569" s="1"/>
      <c r="B1569" s="16"/>
      <c r="C1569" s="16"/>
      <c r="D1569" s="16"/>
      <c r="E1569" s="16"/>
      <c r="F1569" s="16"/>
      <c r="G1569" s="16"/>
      <c r="H1569" s="16"/>
      <c r="I1569" s="16"/>
      <c r="J1569" s="16"/>
      <c r="K1569" s="16"/>
      <c r="L1569" s="16"/>
      <c r="M1569" s="26"/>
      <c r="N1569" s="26"/>
      <c r="O1569" s="16"/>
      <c r="P1569" s="1"/>
      <c r="Q1569" s="1"/>
      <c r="R1569" s="1"/>
      <c r="S1569" s="1"/>
      <c r="T1569" s="1"/>
      <c r="U1569" s="33"/>
      <c r="V1569" s="16"/>
      <c r="W1569" s="1"/>
      <c r="X1569" s="1"/>
    </row>
    <row r="1570" spans="1:24">
      <c r="A1570" s="1"/>
      <c r="B1570" s="16"/>
      <c r="C1570" s="16"/>
      <c r="D1570" s="16"/>
      <c r="E1570" s="16"/>
      <c r="F1570" s="16"/>
      <c r="G1570" s="16"/>
      <c r="H1570" s="16"/>
      <c r="I1570" s="16"/>
      <c r="J1570" s="16"/>
      <c r="K1570" s="16"/>
      <c r="L1570" s="16"/>
      <c r="M1570" s="26"/>
      <c r="N1570" s="26"/>
      <c r="O1570" s="16"/>
      <c r="P1570" s="1"/>
      <c r="Q1570" s="1"/>
      <c r="R1570" s="1"/>
      <c r="S1570" s="1"/>
      <c r="T1570" s="1"/>
      <c r="U1570" s="33"/>
      <c r="V1570" s="16"/>
      <c r="W1570" s="1"/>
      <c r="X1570" s="1"/>
    </row>
    <row r="1571" spans="1:24">
      <c r="A1571" s="1"/>
      <c r="B1571" s="16"/>
      <c r="C1571" s="16"/>
      <c r="D1571" s="16"/>
      <c r="E1571" s="16"/>
      <c r="F1571" s="16"/>
      <c r="G1571" s="16"/>
      <c r="H1571" s="16"/>
      <c r="I1571" s="16"/>
      <c r="J1571" s="16"/>
      <c r="K1571" s="16"/>
      <c r="L1571" s="16"/>
      <c r="M1571" s="26"/>
      <c r="N1571" s="26"/>
      <c r="O1571" s="16"/>
      <c r="P1571" s="1"/>
      <c r="Q1571" s="1"/>
      <c r="R1571" s="1"/>
      <c r="S1571" s="1"/>
      <c r="T1571" s="1"/>
      <c r="U1571" s="33"/>
      <c r="V1571" s="16"/>
      <c r="W1571" s="1"/>
      <c r="X1571" s="1"/>
    </row>
    <row r="1572" spans="1:24">
      <c r="A1572" s="1"/>
      <c r="B1572" s="16"/>
      <c r="C1572" s="16"/>
      <c r="D1572" s="16"/>
      <c r="E1572" s="16"/>
      <c r="F1572" s="16"/>
      <c r="G1572" s="16"/>
      <c r="H1572" s="16"/>
      <c r="I1572" s="16"/>
      <c r="J1572" s="16"/>
      <c r="K1572" s="16"/>
      <c r="L1572" s="16"/>
      <c r="M1572" s="26"/>
      <c r="N1572" s="26"/>
      <c r="O1572" s="16"/>
      <c r="P1572" s="1"/>
      <c r="Q1572" s="1"/>
      <c r="R1572" s="1"/>
      <c r="S1572" s="1"/>
      <c r="T1572" s="1"/>
      <c r="U1572" s="33"/>
      <c r="V1572" s="16"/>
      <c r="W1572" s="1"/>
      <c r="X1572" s="1"/>
    </row>
    <row r="1573" spans="1:24">
      <c r="A1573" s="1"/>
      <c r="B1573" s="16"/>
      <c r="C1573" s="16"/>
      <c r="D1573" s="16"/>
      <c r="E1573" s="16"/>
      <c r="F1573" s="16"/>
      <c r="G1573" s="16"/>
      <c r="H1573" s="16"/>
      <c r="I1573" s="16"/>
      <c r="J1573" s="16"/>
      <c r="K1573" s="16"/>
      <c r="L1573" s="16"/>
      <c r="M1573" s="26"/>
      <c r="N1573" s="26"/>
      <c r="O1573" s="16"/>
      <c r="P1573" s="1"/>
      <c r="Q1573" s="1"/>
      <c r="R1573" s="1"/>
      <c r="S1573" s="1"/>
      <c r="T1573" s="1"/>
      <c r="U1573" s="33"/>
      <c r="V1573" s="16"/>
      <c r="W1573" s="1"/>
      <c r="X1573" s="1"/>
    </row>
    <row r="1574" spans="1:24">
      <c r="A1574" s="1"/>
      <c r="B1574" s="16"/>
      <c r="C1574" s="16"/>
      <c r="D1574" s="16"/>
      <c r="E1574" s="16"/>
      <c r="F1574" s="16"/>
      <c r="G1574" s="16"/>
      <c r="H1574" s="16"/>
      <c r="I1574" s="16"/>
      <c r="J1574" s="16"/>
      <c r="K1574" s="16"/>
      <c r="L1574" s="16"/>
      <c r="M1574" s="26"/>
      <c r="N1574" s="26"/>
      <c r="O1574" s="16"/>
      <c r="P1574" s="1"/>
      <c r="Q1574" s="1"/>
      <c r="R1574" s="1"/>
      <c r="S1574" s="1"/>
      <c r="T1574" s="1"/>
      <c r="U1574" s="33"/>
      <c r="V1574" s="16"/>
      <c r="W1574" s="1"/>
      <c r="X1574" s="1"/>
    </row>
    <row r="1575" spans="1:24">
      <c r="A1575" s="1"/>
      <c r="B1575" s="16"/>
      <c r="C1575" s="16"/>
      <c r="D1575" s="16"/>
      <c r="E1575" s="16"/>
      <c r="F1575" s="16"/>
      <c r="G1575" s="16"/>
      <c r="H1575" s="16"/>
      <c r="I1575" s="16"/>
      <c r="J1575" s="16"/>
      <c r="K1575" s="16"/>
      <c r="L1575" s="16"/>
      <c r="M1575" s="26"/>
      <c r="N1575" s="26"/>
      <c r="O1575" s="16"/>
      <c r="P1575" s="1"/>
      <c r="Q1575" s="1"/>
      <c r="R1575" s="1"/>
      <c r="S1575" s="1"/>
      <c r="T1575" s="1"/>
      <c r="U1575" s="33"/>
      <c r="V1575" s="16"/>
      <c r="W1575" s="1"/>
      <c r="X1575" s="1"/>
    </row>
    <row r="1576" spans="1:24">
      <c r="A1576" s="1"/>
      <c r="B1576" s="16"/>
      <c r="C1576" s="16"/>
      <c r="D1576" s="16"/>
      <c r="E1576" s="16"/>
      <c r="F1576" s="16"/>
      <c r="G1576" s="16"/>
      <c r="H1576" s="16"/>
      <c r="I1576" s="16"/>
      <c r="J1576" s="16"/>
      <c r="K1576" s="16"/>
      <c r="L1576" s="16"/>
      <c r="M1576" s="26"/>
      <c r="N1576" s="26"/>
      <c r="O1576" s="16"/>
      <c r="P1576" s="1"/>
      <c r="Q1576" s="1"/>
      <c r="R1576" s="1"/>
      <c r="S1576" s="1"/>
      <c r="T1576" s="1"/>
      <c r="U1576" s="33"/>
      <c r="V1576" s="16"/>
      <c r="W1576" s="1"/>
      <c r="X1576" s="1"/>
    </row>
    <row r="1577" spans="1:24">
      <c r="A1577" s="1"/>
      <c r="B1577" s="16"/>
      <c r="C1577" s="16"/>
      <c r="D1577" s="16"/>
      <c r="E1577" s="16"/>
      <c r="F1577" s="16"/>
      <c r="G1577" s="16"/>
      <c r="H1577" s="16"/>
      <c r="I1577" s="16"/>
      <c r="J1577" s="16"/>
      <c r="K1577" s="16"/>
      <c r="L1577" s="16"/>
      <c r="M1577" s="26"/>
      <c r="N1577" s="26"/>
      <c r="O1577" s="16"/>
      <c r="P1577" s="1"/>
      <c r="Q1577" s="1"/>
      <c r="R1577" s="1"/>
      <c r="S1577" s="1"/>
      <c r="T1577" s="1"/>
      <c r="U1577" s="33"/>
      <c r="V1577" s="16"/>
      <c r="W1577" s="1"/>
      <c r="X1577" s="1"/>
    </row>
    <row r="1578" spans="1:24">
      <c r="A1578" s="1"/>
      <c r="B1578" s="16"/>
      <c r="C1578" s="16"/>
      <c r="D1578" s="16"/>
      <c r="E1578" s="16"/>
      <c r="F1578" s="16"/>
      <c r="G1578" s="16"/>
      <c r="H1578" s="16"/>
      <c r="I1578" s="16"/>
      <c r="J1578" s="16"/>
      <c r="K1578" s="16"/>
      <c r="L1578" s="16"/>
      <c r="M1578" s="26"/>
      <c r="N1578" s="26"/>
      <c r="O1578" s="16"/>
      <c r="P1578" s="1"/>
      <c r="Q1578" s="1"/>
      <c r="R1578" s="1"/>
      <c r="S1578" s="1"/>
      <c r="T1578" s="1"/>
      <c r="U1578" s="33"/>
      <c r="V1578" s="16"/>
      <c r="W1578" s="1"/>
      <c r="X1578" s="1"/>
    </row>
    <row r="1579" spans="1:24">
      <c r="A1579" s="1"/>
      <c r="B1579" s="16"/>
      <c r="C1579" s="16"/>
      <c r="D1579" s="16"/>
      <c r="E1579" s="16"/>
      <c r="F1579" s="16"/>
      <c r="G1579" s="16"/>
      <c r="H1579" s="16"/>
      <c r="I1579" s="16"/>
      <c r="J1579" s="16"/>
      <c r="K1579" s="16"/>
      <c r="L1579" s="16"/>
      <c r="M1579" s="26"/>
      <c r="N1579" s="26"/>
      <c r="O1579" s="16"/>
      <c r="P1579" s="1"/>
      <c r="Q1579" s="1"/>
      <c r="R1579" s="1"/>
      <c r="S1579" s="1"/>
      <c r="T1579" s="1"/>
      <c r="U1579" s="33"/>
      <c r="V1579" s="16"/>
      <c r="W1579" s="1"/>
      <c r="X1579" s="1"/>
    </row>
    <row r="1580" spans="1:24">
      <c r="A1580" s="1"/>
      <c r="B1580" s="16"/>
      <c r="C1580" s="16"/>
      <c r="D1580" s="16"/>
      <c r="E1580" s="16"/>
      <c r="F1580" s="16"/>
      <c r="G1580" s="16"/>
      <c r="H1580" s="16"/>
      <c r="I1580" s="16"/>
      <c r="J1580" s="16"/>
      <c r="K1580" s="16"/>
      <c r="L1580" s="16"/>
      <c r="M1580" s="26"/>
      <c r="N1580" s="26"/>
      <c r="O1580" s="16"/>
      <c r="P1580" s="1"/>
      <c r="Q1580" s="1"/>
      <c r="R1580" s="1"/>
      <c r="S1580" s="1"/>
      <c r="T1580" s="1"/>
      <c r="U1580" s="33"/>
      <c r="V1580" s="16"/>
      <c r="W1580" s="1"/>
      <c r="X1580" s="1"/>
    </row>
    <row r="1581" spans="1:24">
      <c r="A1581" s="1"/>
      <c r="B1581" s="16"/>
      <c r="C1581" s="16"/>
      <c r="D1581" s="16"/>
      <c r="E1581" s="16"/>
      <c r="F1581" s="16"/>
      <c r="G1581" s="16"/>
      <c r="H1581" s="16"/>
      <c r="I1581" s="16"/>
      <c r="J1581" s="16"/>
      <c r="K1581" s="16"/>
      <c r="L1581" s="16"/>
      <c r="M1581" s="26"/>
      <c r="N1581" s="26"/>
      <c r="O1581" s="16"/>
      <c r="P1581" s="1"/>
      <c r="Q1581" s="1"/>
      <c r="R1581" s="1"/>
      <c r="S1581" s="1"/>
      <c r="T1581" s="1"/>
      <c r="U1581" s="33"/>
      <c r="V1581" s="16"/>
      <c r="W1581" s="1"/>
      <c r="X1581" s="1"/>
    </row>
    <row r="1582" spans="1:24">
      <c r="A1582" s="1"/>
      <c r="B1582" s="16"/>
      <c r="C1582" s="16"/>
      <c r="D1582" s="16"/>
      <c r="E1582" s="16"/>
      <c r="F1582" s="16"/>
      <c r="G1582" s="16"/>
      <c r="H1582" s="16"/>
      <c r="I1582" s="16"/>
      <c r="J1582" s="16"/>
      <c r="K1582" s="16"/>
      <c r="L1582" s="16"/>
      <c r="M1582" s="26"/>
      <c r="N1582" s="26"/>
      <c r="O1582" s="16"/>
      <c r="P1582" s="1"/>
      <c r="Q1582" s="1"/>
      <c r="R1582" s="1"/>
      <c r="S1582" s="1"/>
      <c r="T1582" s="1"/>
      <c r="U1582" s="33"/>
      <c r="V1582" s="16"/>
      <c r="W1582" s="1"/>
      <c r="X1582" s="1"/>
    </row>
    <row r="1583" spans="1:24">
      <c r="A1583" s="1"/>
      <c r="B1583" s="16"/>
      <c r="C1583" s="16"/>
      <c r="D1583" s="16"/>
      <c r="E1583" s="16"/>
      <c r="F1583" s="16"/>
      <c r="G1583" s="16"/>
      <c r="H1583" s="16"/>
      <c r="I1583" s="16"/>
      <c r="J1583" s="16"/>
      <c r="K1583" s="16"/>
      <c r="L1583" s="16"/>
      <c r="M1583" s="26"/>
      <c r="N1583" s="26"/>
      <c r="O1583" s="16"/>
      <c r="P1583" s="1"/>
      <c r="Q1583" s="1"/>
      <c r="R1583" s="1"/>
      <c r="S1583" s="1"/>
      <c r="T1583" s="1"/>
      <c r="U1583" s="33"/>
      <c r="V1583" s="16"/>
      <c r="W1583" s="1"/>
      <c r="X1583" s="1"/>
    </row>
    <row r="1584" spans="1:24">
      <c r="A1584" s="1"/>
      <c r="B1584" s="16"/>
      <c r="C1584" s="16"/>
      <c r="D1584" s="16"/>
      <c r="E1584" s="16"/>
      <c r="F1584" s="16"/>
      <c r="G1584" s="16"/>
      <c r="H1584" s="16"/>
      <c r="I1584" s="16"/>
      <c r="J1584" s="16"/>
      <c r="K1584" s="16"/>
      <c r="L1584" s="16"/>
      <c r="M1584" s="26"/>
      <c r="N1584" s="26"/>
      <c r="O1584" s="16"/>
      <c r="P1584" s="1"/>
      <c r="Q1584" s="1"/>
      <c r="R1584" s="1"/>
      <c r="S1584" s="1"/>
      <c r="T1584" s="1"/>
      <c r="U1584" s="33"/>
      <c r="V1584" s="16"/>
      <c r="W1584" s="1"/>
      <c r="X1584" s="1"/>
    </row>
    <row r="1585" spans="1:24">
      <c r="A1585" s="1"/>
      <c r="B1585" s="16"/>
      <c r="C1585" s="16"/>
      <c r="D1585" s="16"/>
      <c r="E1585" s="16"/>
      <c r="F1585" s="16"/>
      <c r="G1585" s="16"/>
      <c r="H1585" s="16"/>
      <c r="I1585" s="16"/>
      <c r="J1585" s="16"/>
      <c r="K1585" s="16"/>
      <c r="L1585" s="16"/>
      <c r="M1585" s="26"/>
      <c r="N1585" s="26"/>
      <c r="O1585" s="16"/>
      <c r="P1585" s="1"/>
      <c r="Q1585" s="1"/>
      <c r="R1585" s="1"/>
      <c r="S1585" s="1"/>
      <c r="T1585" s="1"/>
      <c r="U1585" s="33"/>
      <c r="V1585" s="16"/>
      <c r="W1585" s="1"/>
      <c r="X1585" s="1"/>
    </row>
    <row r="1586" spans="1:24">
      <c r="A1586" s="1"/>
      <c r="B1586" s="16"/>
      <c r="C1586" s="16"/>
      <c r="D1586" s="16"/>
      <c r="E1586" s="16"/>
      <c r="F1586" s="16"/>
      <c r="G1586" s="16"/>
      <c r="H1586" s="16"/>
      <c r="I1586" s="16"/>
      <c r="J1586" s="16"/>
      <c r="K1586" s="16"/>
      <c r="L1586" s="16"/>
      <c r="M1586" s="26"/>
      <c r="N1586" s="26"/>
      <c r="O1586" s="16"/>
      <c r="P1586" s="1"/>
      <c r="Q1586" s="1"/>
      <c r="R1586" s="1"/>
      <c r="S1586" s="1"/>
      <c r="T1586" s="1"/>
      <c r="U1586" s="33"/>
      <c r="V1586" s="16"/>
      <c r="W1586" s="1"/>
      <c r="X1586" s="1"/>
    </row>
    <row r="1587" spans="1:24">
      <c r="A1587" s="1"/>
      <c r="B1587" s="16"/>
      <c r="C1587" s="16"/>
      <c r="D1587" s="16"/>
      <c r="E1587" s="16"/>
      <c r="F1587" s="16"/>
      <c r="G1587" s="16"/>
      <c r="H1587" s="16"/>
      <c r="I1587" s="16"/>
      <c r="J1587" s="16"/>
      <c r="K1587" s="16"/>
      <c r="L1587" s="16"/>
      <c r="M1587" s="26"/>
      <c r="N1587" s="26"/>
      <c r="O1587" s="16"/>
      <c r="P1587" s="1"/>
      <c r="Q1587" s="1"/>
      <c r="R1587" s="1"/>
      <c r="S1587" s="1"/>
      <c r="T1587" s="1"/>
      <c r="U1587" s="33"/>
      <c r="V1587" s="16"/>
      <c r="W1587" s="1"/>
      <c r="X1587" s="1"/>
    </row>
    <row r="1588" spans="1:24">
      <c r="A1588" s="1"/>
      <c r="B1588" s="16"/>
      <c r="C1588" s="16"/>
      <c r="D1588" s="16"/>
      <c r="E1588" s="16"/>
      <c r="F1588" s="16"/>
      <c r="G1588" s="16"/>
      <c r="H1588" s="16"/>
      <c r="I1588" s="16"/>
      <c r="J1588" s="16"/>
      <c r="K1588" s="16"/>
      <c r="L1588" s="16"/>
      <c r="M1588" s="26"/>
      <c r="N1588" s="26"/>
      <c r="O1588" s="16"/>
      <c r="P1588" s="1"/>
      <c r="Q1588" s="1"/>
      <c r="R1588" s="1"/>
      <c r="S1588" s="1"/>
      <c r="T1588" s="1"/>
      <c r="U1588" s="33"/>
      <c r="V1588" s="16"/>
      <c r="W1588" s="1"/>
      <c r="X1588" s="1"/>
    </row>
    <row r="1589" spans="1:24">
      <c r="A1589" s="1"/>
      <c r="B1589" s="16"/>
      <c r="C1589" s="16"/>
      <c r="D1589" s="16"/>
      <c r="E1589" s="16"/>
      <c r="F1589" s="16"/>
      <c r="G1589" s="16"/>
      <c r="H1589" s="16"/>
      <c r="I1589" s="16"/>
      <c r="J1589" s="16"/>
      <c r="K1589" s="16"/>
      <c r="L1589" s="16"/>
      <c r="M1589" s="26"/>
      <c r="N1589" s="26"/>
      <c r="O1589" s="16"/>
      <c r="P1589" s="1"/>
      <c r="Q1589" s="1"/>
      <c r="R1589" s="1"/>
      <c r="S1589" s="1"/>
      <c r="T1589" s="1"/>
      <c r="U1589" s="33"/>
      <c r="V1589" s="16"/>
      <c r="W1589" s="1"/>
      <c r="X1589" s="1"/>
    </row>
    <row r="1590" spans="1:24">
      <c r="A1590" s="1"/>
      <c r="B1590" s="16"/>
      <c r="C1590" s="16"/>
      <c r="D1590" s="16"/>
      <c r="E1590" s="16"/>
      <c r="F1590" s="16"/>
      <c r="G1590" s="16"/>
      <c r="H1590" s="16"/>
      <c r="I1590" s="16"/>
      <c r="J1590" s="16"/>
      <c r="K1590" s="16"/>
      <c r="L1590" s="16"/>
      <c r="M1590" s="26"/>
      <c r="N1590" s="26"/>
      <c r="O1590" s="16"/>
      <c r="P1590" s="1"/>
      <c r="Q1590" s="1"/>
      <c r="R1590" s="1"/>
      <c r="S1590" s="1"/>
      <c r="T1590" s="1"/>
      <c r="U1590" s="33"/>
      <c r="V1590" s="16"/>
      <c r="W1590" s="1"/>
      <c r="X1590" s="1"/>
    </row>
    <row r="1591" spans="1:24">
      <c r="A1591" s="1"/>
      <c r="B1591" s="16"/>
      <c r="C1591" s="16"/>
      <c r="D1591" s="16"/>
      <c r="E1591" s="16"/>
      <c r="F1591" s="16"/>
      <c r="G1591" s="16"/>
      <c r="H1591" s="16"/>
      <c r="I1591" s="16"/>
      <c r="J1591" s="16"/>
      <c r="K1591" s="16"/>
      <c r="L1591" s="16"/>
      <c r="M1591" s="26"/>
      <c r="N1591" s="26"/>
      <c r="O1591" s="16"/>
      <c r="P1591" s="1"/>
      <c r="Q1591" s="1"/>
      <c r="R1591" s="1"/>
      <c r="S1591" s="1"/>
      <c r="T1591" s="1"/>
      <c r="U1591" s="33"/>
      <c r="V1591" s="16"/>
      <c r="W1591" s="1"/>
      <c r="X1591" s="1"/>
    </row>
    <row r="1592" spans="1:24">
      <c r="A1592" s="1"/>
      <c r="B1592" s="16"/>
      <c r="C1592" s="16"/>
      <c r="D1592" s="16"/>
      <c r="E1592" s="16"/>
      <c r="F1592" s="16"/>
      <c r="G1592" s="16"/>
      <c r="H1592" s="16"/>
      <c r="I1592" s="16"/>
      <c r="J1592" s="16"/>
      <c r="K1592" s="16"/>
      <c r="L1592" s="16"/>
      <c r="M1592" s="26"/>
      <c r="N1592" s="26"/>
      <c r="O1592" s="16"/>
      <c r="P1592" s="1"/>
      <c r="Q1592" s="1"/>
      <c r="R1592" s="1"/>
      <c r="S1592" s="1"/>
      <c r="T1592" s="1"/>
      <c r="U1592" s="33"/>
      <c r="V1592" s="16"/>
      <c r="W1592" s="1"/>
      <c r="X1592" s="1"/>
    </row>
    <row r="1593" spans="1:24">
      <c r="A1593" s="1"/>
      <c r="B1593" s="16"/>
      <c r="C1593" s="16"/>
      <c r="D1593" s="16"/>
      <c r="E1593" s="16"/>
      <c r="F1593" s="16"/>
      <c r="G1593" s="16"/>
      <c r="H1593" s="16"/>
      <c r="I1593" s="16"/>
      <c r="J1593" s="16"/>
      <c r="K1593" s="16"/>
      <c r="L1593" s="16"/>
      <c r="M1593" s="26"/>
      <c r="N1593" s="26"/>
      <c r="O1593" s="16"/>
      <c r="P1593" s="1"/>
      <c r="Q1593" s="1"/>
      <c r="R1593" s="1"/>
      <c r="S1593" s="1"/>
      <c r="T1593" s="1"/>
      <c r="U1593" s="33"/>
      <c r="V1593" s="16"/>
      <c r="W1593" s="1"/>
      <c r="X1593" s="1"/>
    </row>
    <row r="1594" spans="1:24">
      <c r="A1594" s="1"/>
      <c r="B1594" s="16"/>
      <c r="C1594" s="16"/>
      <c r="D1594" s="16"/>
      <c r="E1594" s="16"/>
      <c r="F1594" s="16"/>
      <c r="G1594" s="16"/>
      <c r="H1594" s="16"/>
      <c r="I1594" s="16"/>
      <c r="J1594" s="16"/>
      <c r="K1594" s="16"/>
      <c r="L1594" s="16"/>
      <c r="M1594" s="26"/>
      <c r="N1594" s="26"/>
      <c r="O1594" s="16"/>
      <c r="P1594" s="1"/>
      <c r="Q1594" s="1"/>
      <c r="R1594" s="1"/>
      <c r="S1594" s="1"/>
      <c r="T1594" s="1"/>
      <c r="U1594" s="33"/>
      <c r="V1594" s="16"/>
      <c r="W1594" s="1"/>
      <c r="X1594" s="1"/>
    </row>
    <row r="1595" spans="1:24">
      <c r="A1595" s="1"/>
      <c r="B1595" s="16"/>
      <c r="C1595" s="16"/>
      <c r="D1595" s="16"/>
      <c r="E1595" s="16"/>
      <c r="F1595" s="16"/>
      <c r="G1595" s="16"/>
      <c r="H1595" s="16"/>
      <c r="I1595" s="16"/>
      <c r="J1595" s="16"/>
      <c r="K1595" s="16"/>
      <c r="L1595" s="16"/>
      <c r="M1595" s="26"/>
      <c r="N1595" s="26"/>
      <c r="O1595" s="16"/>
      <c r="P1595" s="1"/>
      <c r="Q1595" s="1"/>
      <c r="R1595" s="1"/>
      <c r="S1595" s="1"/>
      <c r="T1595" s="1"/>
      <c r="U1595" s="33"/>
      <c r="V1595" s="16"/>
      <c r="W1595" s="1"/>
      <c r="X1595" s="1"/>
    </row>
    <row r="1596" spans="1:24">
      <c r="A1596" s="1"/>
      <c r="B1596" s="16"/>
      <c r="C1596" s="16"/>
      <c r="D1596" s="16"/>
      <c r="E1596" s="16"/>
      <c r="F1596" s="16"/>
      <c r="G1596" s="16"/>
      <c r="H1596" s="16"/>
      <c r="I1596" s="16"/>
      <c r="J1596" s="16"/>
      <c r="K1596" s="16"/>
      <c r="L1596" s="16"/>
      <c r="M1596" s="26"/>
      <c r="N1596" s="26"/>
      <c r="O1596" s="16"/>
      <c r="P1596" s="1"/>
      <c r="Q1596" s="1"/>
      <c r="R1596" s="1"/>
      <c r="S1596" s="1"/>
      <c r="T1596" s="1"/>
      <c r="U1596" s="33"/>
      <c r="V1596" s="16"/>
      <c r="W1596" s="1"/>
      <c r="X1596" s="1"/>
    </row>
    <row r="1597" spans="1:24">
      <c r="A1597" s="1"/>
      <c r="B1597" s="16"/>
      <c r="C1597" s="16"/>
      <c r="D1597" s="16"/>
      <c r="E1597" s="16"/>
      <c r="F1597" s="16"/>
      <c r="G1597" s="16"/>
      <c r="H1597" s="16"/>
      <c r="I1597" s="16"/>
      <c r="J1597" s="16"/>
      <c r="K1597" s="16"/>
      <c r="L1597" s="16"/>
      <c r="M1597" s="26"/>
      <c r="N1597" s="26"/>
      <c r="O1597" s="16"/>
      <c r="P1597" s="1"/>
      <c r="Q1597" s="1"/>
      <c r="R1597" s="1"/>
      <c r="S1597" s="1"/>
      <c r="T1597" s="1"/>
      <c r="U1597" s="33"/>
      <c r="V1597" s="16"/>
      <c r="W1597" s="1"/>
      <c r="X1597" s="1"/>
    </row>
    <row r="1598" spans="1:24">
      <c r="A1598" s="1"/>
      <c r="B1598" s="16"/>
      <c r="C1598" s="16"/>
      <c r="D1598" s="16"/>
      <c r="E1598" s="16"/>
      <c r="F1598" s="16"/>
      <c r="G1598" s="16"/>
      <c r="H1598" s="16"/>
      <c r="I1598" s="16"/>
      <c r="J1598" s="16"/>
      <c r="K1598" s="16"/>
      <c r="L1598" s="16"/>
      <c r="M1598" s="26"/>
      <c r="N1598" s="26"/>
      <c r="O1598" s="16"/>
      <c r="P1598" s="1"/>
      <c r="Q1598" s="1"/>
      <c r="R1598" s="1"/>
      <c r="S1598" s="1"/>
      <c r="T1598" s="1"/>
      <c r="U1598" s="33"/>
      <c r="V1598" s="16"/>
      <c r="W1598" s="1"/>
      <c r="X1598" s="1"/>
    </row>
    <row r="1599" spans="1:24">
      <c r="A1599" s="1"/>
      <c r="B1599" s="16"/>
      <c r="C1599" s="16"/>
      <c r="D1599" s="16"/>
      <c r="E1599" s="16"/>
      <c r="F1599" s="16"/>
      <c r="G1599" s="16"/>
      <c r="H1599" s="16"/>
      <c r="I1599" s="16"/>
      <c r="J1599" s="16"/>
      <c r="K1599" s="16"/>
      <c r="L1599" s="16"/>
      <c r="M1599" s="26"/>
      <c r="N1599" s="26"/>
      <c r="O1599" s="16"/>
      <c r="P1599" s="1"/>
      <c r="Q1599" s="1"/>
      <c r="R1599" s="1"/>
      <c r="S1599" s="1"/>
      <c r="T1599" s="1"/>
      <c r="U1599" s="33"/>
      <c r="V1599" s="16"/>
      <c r="W1599" s="1"/>
      <c r="X1599" s="1"/>
    </row>
    <row r="1600" spans="1:24">
      <c r="A1600" s="1"/>
      <c r="B1600" s="16"/>
      <c r="C1600" s="16"/>
      <c r="D1600" s="16"/>
      <c r="E1600" s="16"/>
      <c r="F1600" s="16"/>
      <c r="G1600" s="16"/>
      <c r="H1600" s="16"/>
      <c r="I1600" s="16"/>
      <c r="J1600" s="16"/>
      <c r="K1600" s="16"/>
      <c r="L1600" s="16"/>
      <c r="M1600" s="26"/>
      <c r="N1600" s="26"/>
      <c r="O1600" s="16"/>
      <c r="P1600" s="1"/>
      <c r="Q1600" s="1"/>
      <c r="R1600" s="1"/>
      <c r="S1600" s="1"/>
      <c r="T1600" s="1"/>
      <c r="U1600" s="33"/>
      <c r="V1600" s="16"/>
      <c r="W1600" s="1"/>
      <c r="X1600" s="1"/>
    </row>
    <row r="1601" spans="1:24">
      <c r="A1601" s="1"/>
      <c r="B1601" s="16"/>
      <c r="C1601" s="16"/>
      <c r="D1601" s="16"/>
      <c r="E1601" s="16"/>
      <c r="F1601" s="16"/>
      <c r="G1601" s="16"/>
      <c r="H1601" s="16"/>
      <c r="I1601" s="16"/>
      <c r="J1601" s="16"/>
      <c r="K1601" s="16"/>
      <c r="L1601" s="16"/>
      <c r="M1601" s="26"/>
      <c r="N1601" s="26"/>
      <c r="O1601" s="16"/>
      <c r="P1601" s="1"/>
      <c r="Q1601" s="1"/>
      <c r="R1601" s="1"/>
      <c r="S1601" s="1"/>
      <c r="T1601" s="1"/>
      <c r="U1601" s="33"/>
      <c r="V1601" s="16"/>
      <c r="W1601" s="1"/>
      <c r="X1601" s="1"/>
    </row>
    <row r="1602" spans="1:24">
      <c r="A1602" s="1"/>
      <c r="B1602" s="16"/>
      <c r="C1602" s="16"/>
      <c r="D1602" s="16"/>
      <c r="E1602" s="16"/>
      <c r="F1602" s="16"/>
      <c r="G1602" s="16"/>
      <c r="H1602" s="16"/>
      <c r="I1602" s="16"/>
      <c r="J1602" s="16"/>
      <c r="K1602" s="16"/>
      <c r="L1602" s="16"/>
      <c r="M1602" s="26"/>
      <c r="N1602" s="26"/>
      <c r="O1602" s="16"/>
      <c r="P1602" s="1"/>
      <c r="Q1602" s="1"/>
      <c r="R1602" s="1"/>
      <c r="S1602" s="1"/>
      <c r="T1602" s="1"/>
      <c r="U1602" s="33"/>
      <c r="V1602" s="16"/>
      <c r="W1602" s="1"/>
      <c r="X1602" s="1"/>
    </row>
    <row r="1603" spans="1:24">
      <c r="A1603" s="1"/>
      <c r="B1603" s="16"/>
      <c r="C1603" s="16"/>
      <c r="D1603" s="16"/>
      <c r="E1603" s="16"/>
      <c r="F1603" s="16"/>
      <c r="G1603" s="16"/>
      <c r="H1603" s="16"/>
      <c r="I1603" s="16"/>
      <c r="J1603" s="16"/>
      <c r="K1603" s="16"/>
      <c r="L1603" s="16"/>
      <c r="M1603" s="26"/>
      <c r="N1603" s="26"/>
      <c r="O1603" s="16"/>
      <c r="P1603" s="1"/>
      <c r="Q1603" s="1"/>
      <c r="R1603" s="1"/>
      <c r="S1603" s="1"/>
      <c r="T1603" s="1"/>
      <c r="U1603" s="33"/>
      <c r="V1603" s="16"/>
      <c r="W1603" s="1"/>
      <c r="X1603" s="1"/>
    </row>
    <row r="1604" spans="1:24">
      <c r="A1604" s="1"/>
      <c r="B1604" s="16"/>
      <c r="C1604" s="16"/>
      <c r="D1604" s="16"/>
      <c r="E1604" s="16"/>
      <c r="F1604" s="16"/>
      <c r="G1604" s="16"/>
      <c r="H1604" s="16"/>
      <c r="I1604" s="16"/>
      <c r="J1604" s="16"/>
      <c r="K1604" s="16"/>
      <c r="L1604" s="16"/>
      <c r="M1604" s="26"/>
      <c r="N1604" s="26"/>
      <c r="O1604" s="16"/>
      <c r="P1604" s="1"/>
      <c r="Q1604" s="1"/>
      <c r="R1604" s="1"/>
      <c r="S1604" s="1"/>
      <c r="T1604" s="1"/>
      <c r="U1604" s="33"/>
      <c r="V1604" s="16"/>
      <c r="W1604" s="1"/>
      <c r="X1604" s="1"/>
    </row>
    <row r="1605" spans="1:24">
      <c r="A1605" s="1"/>
      <c r="B1605" s="16"/>
      <c r="C1605" s="16"/>
      <c r="D1605" s="16"/>
      <c r="E1605" s="16"/>
      <c r="F1605" s="16"/>
      <c r="G1605" s="16"/>
      <c r="H1605" s="16"/>
      <c r="I1605" s="16"/>
      <c r="J1605" s="16"/>
      <c r="K1605" s="16"/>
      <c r="L1605" s="16"/>
      <c r="M1605" s="26"/>
      <c r="N1605" s="26"/>
      <c r="O1605" s="16"/>
      <c r="P1605" s="1"/>
      <c r="Q1605" s="1"/>
      <c r="R1605" s="1"/>
      <c r="S1605" s="1"/>
      <c r="T1605" s="1"/>
      <c r="U1605" s="33"/>
      <c r="V1605" s="16"/>
      <c r="W1605" s="1"/>
      <c r="X1605" s="1"/>
    </row>
    <row r="1606" spans="1:24">
      <c r="A1606" s="1"/>
      <c r="B1606" s="16"/>
      <c r="C1606" s="16"/>
      <c r="D1606" s="16"/>
      <c r="E1606" s="16"/>
      <c r="F1606" s="16"/>
      <c r="G1606" s="16"/>
      <c r="H1606" s="16"/>
      <c r="I1606" s="16"/>
      <c r="J1606" s="16"/>
      <c r="K1606" s="16"/>
      <c r="L1606" s="16"/>
      <c r="M1606" s="26"/>
      <c r="N1606" s="26"/>
      <c r="O1606" s="16"/>
      <c r="P1606" s="1"/>
      <c r="Q1606" s="1"/>
      <c r="R1606" s="1"/>
      <c r="S1606" s="1"/>
      <c r="T1606" s="1"/>
      <c r="U1606" s="33"/>
      <c r="V1606" s="16"/>
      <c r="W1606" s="1"/>
      <c r="X1606" s="1"/>
    </row>
    <row r="1607" spans="1:24">
      <c r="A1607" s="1"/>
      <c r="B1607" s="16"/>
      <c r="C1607" s="16"/>
      <c r="D1607" s="16"/>
      <c r="E1607" s="16"/>
      <c r="F1607" s="16"/>
      <c r="G1607" s="16"/>
      <c r="H1607" s="16"/>
      <c r="I1607" s="16"/>
      <c r="J1607" s="16"/>
      <c r="K1607" s="16"/>
      <c r="L1607" s="16"/>
      <c r="M1607" s="26"/>
      <c r="N1607" s="26"/>
      <c r="O1607" s="16"/>
      <c r="P1607" s="1"/>
      <c r="Q1607" s="1"/>
      <c r="R1607" s="1"/>
      <c r="S1607" s="1"/>
      <c r="T1607" s="1"/>
      <c r="U1607" s="33"/>
      <c r="V1607" s="16"/>
      <c r="W1607" s="1"/>
      <c r="X1607" s="1"/>
    </row>
    <row r="1608" spans="1:24">
      <c r="A1608" s="1"/>
      <c r="B1608" s="16"/>
      <c r="C1608" s="16"/>
      <c r="D1608" s="16"/>
      <c r="E1608" s="16"/>
      <c r="F1608" s="16"/>
      <c r="G1608" s="16"/>
      <c r="H1608" s="16"/>
      <c r="I1608" s="16"/>
      <c r="J1608" s="16"/>
      <c r="K1608" s="16"/>
      <c r="L1608" s="16"/>
      <c r="M1608" s="26"/>
      <c r="N1608" s="26"/>
      <c r="O1608" s="16"/>
      <c r="P1608" s="1"/>
      <c r="Q1608" s="1"/>
      <c r="R1608" s="1"/>
      <c r="S1608" s="1"/>
      <c r="T1608" s="1"/>
      <c r="U1608" s="33"/>
      <c r="V1608" s="16"/>
      <c r="W1608" s="1"/>
      <c r="X1608" s="1"/>
    </row>
    <row r="1609" spans="1:24">
      <c r="A1609" s="1"/>
      <c r="B1609" s="16"/>
      <c r="C1609" s="16"/>
      <c r="D1609" s="16"/>
      <c r="E1609" s="16"/>
      <c r="F1609" s="16"/>
      <c r="G1609" s="16"/>
      <c r="H1609" s="16"/>
      <c r="I1609" s="16"/>
      <c r="J1609" s="16"/>
      <c r="K1609" s="16"/>
      <c r="L1609" s="16"/>
      <c r="M1609" s="26"/>
      <c r="N1609" s="26"/>
      <c r="O1609" s="16"/>
      <c r="P1609" s="1"/>
      <c r="Q1609" s="1"/>
      <c r="R1609" s="1"/>
      <c r="S1609" s="1"/>
      <c r="T1609" s="1"/>
      <c r="U1609" s="33"/>
      <c r="V1609" s="16"/>
      <c r="W1609" s="1"/>
      <c r="X1609" s="1"/>
    </row>
    <row r="1610" spans="1:24">
      <c r="A1610" s="1"/>
      <c r="B1610" s="16"/>
      <c r="C1610" s="16"/>
      <c r="D1610" s="16"/>
      <c r="E1610" s="16"/>
      <c r="F1610" s="16"/>
      <c r="G1610" s="16"/>
      <c r="H1610" s="16"/>
      <c r="I1610" s="16"/>
      <c r="J1610" s="16"/>
      <c r="K1610" s="16"/>
      <c r="L1610" s="16"/>
      <c r="M1610" s="26"/>
      <c r="N1610" s="26"/>
      <c r="O1610" s="16"/>
      <c r="P1610" s="1"/>
      <c r="Q1610" s="1"/>
      <c r="R1610" s="1"/>
      <c r="S1610" s="1"/>
      <c r="T1610" s="1"/>
      <c r="U1610" s="33"/>
      <c r="V1610" s="16"/>
      <c r="W1610" s="1"/>
      <c r="X1610" s="1"/>
    </row>
    <row r="1611" spans="1:24">
      <c r="A1611" s="1"/>
      <c r="B1611" s="16"/>
      <c r="C1611" s="16"/>
      <c r="D1611" s="16"/>
      <c r="E1611" s="16"/>
      <c r="F1611" s="16"/>
      <c r="G1611" s="16"/>
      <c r="H1611" s="16"/>
      <c r="I1611" s="16"/>
      <c r="J1611" s="16"/>
      <c r="K1611" s="16"/>
      <c r="L1611" s="16"/>
      <c r="M1611" s="26"/>
      <c r="N1611" s="26"/>
      <c r="O1611" s="16"/>
      <c r="P1611" s="1"/>
      <c r="Q1611" s="1"/>
      <c r="R1611" s="1"/>
      <c r="S1611" s="1"/>
      <c r="T1611" s="1"/>
      <c r="U1611" s="33"/>
      <c r="V1611" s="16"/>
      <c r="W1611" s="1"/>
      <c r="X1611" s="1"/>
    </row>
    <row r="1612" spans="1:24">
      <c r="A1612" s="1"/>
      <c r="B1612" s="16"/>
      <c r="C1612" s="16"/>
      <c r="D1612" s="16"/>
      <c r="E1612" s="16"/>
      <c r="F1612" s="16"/>
      <c r="G1612" s="16"/>
      <c r="H1612" s="16"/>
      <c r="I1612" s="16"/>
      <c r="J1612" s="16"/>
      <c r="K1612" s="16"/>
      <c r="L1612" s="16"/>
      <c r="M1612" s="26"/>
      <c r="N1612" s="26"/>
      <c r="O1612" s="16"/>
      <c r="P1612" s="1"/>
      <c r="Q1612" s="1"/>
      <c r="R1612" s="1"/>
      <c r="S1612" s="1"/>
      <c r="T1612" s="1"/>
      <c r="U1612" s="33"/>
      <c r="V1612" s="16"/>
      <c r="W1612" s="1"/>
      <c r="X1612" s="1"/>
    </row>
    <row r="1613" spans="1:24">
      <c r="A1613" s="1"/>
      <c r="B1613" s="16"/>
      <c r="C1613" s="16"/>
      <c r="D1613" s="16"/>
      <c r="E1613" s="16"/>
      <c r="F1613" s="16"/>
      <c r="G1613" s="16"/>
      <c r="H1613" s="16"/>
      <c r="I1613" s="16"/>
      <c r="J1613" s="16"/>
      <c r="K1613" s="16"/>
      <c r="L1613" s="16"/>
      <c r="M1613" s="26"/>
      <c r="N1613" s="26"/>
      <c r="O1613" s="16"/>
      <c r="P1613" s="1"/>
      <c r="Q1613" s="1"/>
      <c r="R1613" s="1"/>
      <c r="S1613" s="1"/>
      <c r="T1613" s="1"/>
      <c r="U1613" s="33"/>
      <c r="V1613" s="16"/>
      <c r="W1613" s="1"/>
      <c r="X1613" s="1"/>
    </row>
    <row r="1614" spans="1:24">
      <c r="A1614" s="1"/>
      <c r="B1614" s="16"/>
      <c r="C1614" s="16"/>
      <c r="D1614" s="16"/>
      <c r="E1614" s="16"/>
      <c r="F1614" s="16"/>
      <c r="G1614" s="16"/>
      <c r="H1614" s="16"/>
      <c r="I1614" s="16"/>
      <c r="J1614" s="16"/>
      <c r="K1614" s="16"/>
      <c r="L1614" s="16"/>
      <c r="M1614" s="26"/>
      <c r="N1614" s="26"/>
      <c r="O1614" s="16"/>
      <c r="P1614" s="1"/>
      <c r="Q1614" s="1"/>
      <c r="R1614" s="1"/>
      <c r="S1614" s="1"/>
      <c r="T1614" s="1"/>
      <c r="U1614" s="33"/>
      <c r="V1614" s="16"/>
      <c r="W1614" s="1"/>
      <c r="X1614" s="1"/>
    </row>
    <row r="1615" spans="1:24">
      <c r="A1615" s="1"/>
      <c r="B1615" s="16"/>
      <c r="C1615" s="16"/>
      <c r="D1615" s="16"/>
      <c r="E1615" s="16"/>
      <c r="F1615" s="16"/>
      <c r="G1615" s="16"/>
      <c r="H1615" s="16"/>
      <c r="I1615" s="16"/>
      <c r="J1615" s="16"/>
      <c r="K1615" s="16"/>
      <c r="L1615" s="16"/>
      <c r="M1615" s="26"/>
      <c r="N1615" s="26"/>
      <c r="O1615" s="16"/>
      <c r="P1615" s="1"/>
      <c r="Q1615" s="1"/>
      <c r="R1615" s="1"/>
      <c r="S1615" s="1"/>
      <c r="T1615" s="1"/>
      <c r="U1615" s="33"/>
      <c r="V1615" s="16"/>
      <c r="W1615" s="1"/>
      <c r="X1615" s="1"/>
    </row>
    <row r="1616" spans="1:24">
      <c r="A1616" s="1"/>
      <c r="B1616" s="16"/>
      <c r="C1616" s="16"/>
      <c r="D1616" s="16"/>
      <c r="E1616" s="16"/>
      <c r="F1616" s="16"/>
      <c r="G1616" s="16"/>
      <c r="H1616" s="16"/>
      <c r="I1616" s="16"/>
      <c r="J1616" s="16"/>
      <c r="K1616" s="16"/>
      <c r="L1616" s="16"/>
      <c r="M1616" s="26"/>
      <c r="N1616" s="26"/>
      <c r="O1616" s="16"/>
      <c r="P1616" s="1"/>
      <c r="Q1616" s="1"/>
      <c r="R1616" s="1"/>
      <c r="S1616" s="1"/>
      <c r="T1616" s="1"/>
      <c r="U1616" s="33"/>
      <c r="V1616" s="16"/>
      <c r="W1616" s="1"/>
      <c r="X1616" s="1"/>
    </row>
    <row r="1617" spans="1:24">
      <c r="A1617" s="1"/>
      <c r="B1617" s="16"/>
      <c r="C1617" s="16"/>
      <c r="D1617" s="16"/>
      <c r="E1617" s="16"/>
      <c r="F1617" s="16"/>
      <c r="G1617" s="16"/>
      <c r="H1617" s="16"/>
      <c r="I1617" s="16"/>
      <c r="J1617" s="16"/>
      <c r="K1617" s="16"/>
      <c r="L1617" s="16"/>
      <c r="M1617" s="26"/>
      <c r="N1617" s="26"/>
      <c r="O1617" s="16"/>
      <c r="P1617" s="1"/>
      <c r="Q1617" s="1"/>
      <c r="R1617" s="1"/>
      <c r="S1617" s="1"/>
      <c r="T1617" s="1"/>
      <c r="U1617" s="33"/>
      <c r="V1617" s="16"/>
      <c r="W1617" s="1"/>
      <c r="X1617" s="1"/>
    </row>
    <row r="1618" spans="1:24">
      <c r="A1618" s="1"/>
      <c r="B1618" s="16"/>
      <c r="C1618" s="16"/>
      <c r="D1618" s="16"/>
      <c r="E1618" s="16"/>
      <c r="F1618" s="16"/>
      <c r="G1618" s="16"/>
      <c r="H1618" s="16"/>
      <c r="I1618" s="16"/>
      <c r="J1618" s="16"/>
      <c r="K1618" s="16"/>
      <c r="L1618" s="16"/>
      <c r="M1618" s="26"/>
      <c r="N1618" s="26"/>
      <c r="O1618" s="16"/>
      <c r="P1618" s="1"/>
      <c r="Q1618" s="1"/>
      <c r="R1618" s="1"/>
      <c r="S1618" s="1"/>
      <c r="T1618" s="1"/>
      <c r="U1618" s="33"/>
      <c r="V1618" s="16"/>
      <c r="W1618" s="1"/>
      <c r="X1618" s="1"/>
    </row>
    <row r="1619" spans="1:24">
      <c r="A1619" s="1"/>
      <c r="B1619" s="16"/>
      <c r="C1619" s="16"/>
      <c r="D1619" s="16"/>
      <c r="E1619" s="16"/>
      <c r="F1619" s="16"/>
      <c r="G1619" s="16"/>
      <c r="H1619" s="16"/>
      <c r="I1619" s="16"/>
      <c r="J1619" s="16"/>
      <c r="K1619" s="16"/>
      <c r="L1619" s="16"/>
      <c r="M1619" s="26"/>
      <c r="N1619" s="26"/>
      <c r="O1619" s="16"/>
      <c r="P1619" s="1"/>
      <c r="Q1619" s="1"/>
      <c r="R1619" s="1"/>
      <c r="S1619" s="1"/>
      <c r="T1619" s="1"/>
      <c r="U1619" s="33"/>
      <c r="V1619" s="16"/>
      <c r="W1619" s="1"/>
      <c r="X1619" s="1"/>
    </row>
    <row r="1620" spans="1:24">
      <c r="A1620" s="1"/>
      <c r="B1620" s="16"/>
      <c r="C1620" s="16"/>
      <c r="D1620" s="16"/>
      <c r="E1620" s="16"/>
      <c r="F1620" s="16"/>
      <c r="G1620" s="16"/>
      <c r="H1620" s="16"/>
      <c r="I1620" s="16"/>
      <c r="J1620" s="16"/>
      <c r="K1620" s="16"/>
      <c r="L1620" s="16"/>
      <c r="M1620" s="26"/>
      <c r="N1620" s="26"/>
      <c r="O1620" s="16"/>
      <c r="P1620" s="1"/>
      <c r="Q1620" s="1"/>
      <c r="R1620" s="1"/>
      <c r="S1620" s="1"/>
      <c r="T1620" s="1"/>
      <c r="U1620" s="33"/>
      <c r="V1620" s="16"/>
      <c r="W1620" s="1"/>
      <c r="X1620" s="1"/>
    </row>
    <row r="1621" spans="1:24">
      <c r="A1621" s="1"/>
      <c r="B1621" s="16"/>
      <c r="C1621" s="16"/>
      <c r="D1621" s="16"/>
      <c r="E1621" s="16"/>
      <c r="F1621" s="16"/>
      <c r="G1621" s="16"/>
      <c r="H1621" s="16"/>
      <c r="I1621" s="16"/>
      <c r="J1621" s="16"/>
      <c r="K1621" s="16"/>
      <c r="L1621" s="16"/>
      <c r="M1621" s="26"/>
      <c r="N1621" s="26"/>
      <c r="O1621" s="16"/>
      <c r="P1621" s="1"/>
      <c r="Q1621" s="1"/>
      <c r="R1621" s="1"/>
      <c r="S1621" s="1"/>
      <c r="T1621" s="1"/>
      <c r="U1621" s="33"/>
      <c r="V1621" s="16"/>
      <c r="W1621" s="1"/>
      <c r="X1621" s="1"/>
    </row>
    <row r="1622" spans="1:24">
      <c r="A1622" s="1"/>
      <c r="B1622" s="16"/>
      <c r="C1622" s="16"/>
      <c r="D1622" s="16"/>
      <c r="E1622" s="16"/>
      <c r="F1622" s="16"/>
      <c r="G1622" s="16"/>
      <c r="H1622" s="16"/>
      <c r="I1622" s="16"/>
      <c r="J1622" s="16"/>
      <c r="K1622" s="16"/>
      <c r="L1622" s="16"/>
      <c r="M1622" s="26"/>
      <c r="N1622" s="26"/>
      <c r="O1622" s="16"/>
      <c r="P1622" s="1"/>
      <c r="Q1622" s="1"/>
      <c r="R1622" s="1"/>
      <c r="S1622" s="1"/>
      <c r="T1622" s="1"/>
      <c r="U1622" s="33"/>
      <c r="V1622" s="16"/>
      <c r="W1622" s="1"/>
      <c r="X1622" s="1"/>
    </row>
    <row r="1623" spans="1:24">
      <c r="A1623" s="1"/>
      <c r="B1623" s="16"/>
      <c r="C1623" s="16"/>
      <c r="D1623" s="16"/>
      <c r="E1623" s="16"/>
      <c r="F1623" s="16"/>
      <c r="G1623" s="16"/>
      <c r="H1623" s="16"/>
      <c r="I1623" s="16"/>
      <c r="J1623" s="16"/>
      <c r="K1623" s="16"/>
      <c r="L1623" s="16"/>
      <c r="M1623" s="26"/>
      <c r="N1623" s="26"/>
      <c r="O1623" s="16"/>
      <c r="P1623" s="1"/>
      <c r="Q1623" s="1"/>
      <c r="R1623" s="1"/>
      <c r="S1623" s="1"/>
      <c r="T1623" s="1"/>
      <c r="U1623" s="33"/>
      <c r="V1623" s="16"/>
      <c r="W1623" s="1"/>
      <c r="X1623" s="1"/>
    </row>
    <row r="1624" spans="1:24">
      <c r="A1624" s="1"/>
      <c r="B1624" s="16"/>
      <c r="C1624" s="16"/>
      <c r="D1624" s="16"/>
      <c r="E1624" s="16"/>
      <c r="F1624" s="16"/>
      <c r="G1624" s="16"/>
      <c r="H1624" s="16"/>
      <c r="I1624" s="16"/>
      <c r="J1624" s="16"/>
      <c r="K1624" s="16"/>
      <c r="L1624" s="16"/>
      <c r="M1624" s="26"/>
      <c r="N1624" s="26"/>
      <c r="O1624" s="16"/>
      <c r="P1624" s="1"/>
      <c r="Q1624" s="1"/>
      <c r="R1624" s="1"/>
      <c r="S1624" s="1"/>
      <c r="T1624" s="1"/>
      <c r="U1624" s="33"/>
      <c r="V1624" s="16"/>
      <c r="W1624" s="1"/>
      <c r="X1624" s="1"/>
    </row>
    <row r="1625" spans="1:24">
      <c r="A1625" s="1"/>
      <c r="B1625" s="16"/>
      <c r="C1625" s="16"/>
      <c r="D1625" s="16"/>
      <c r="E1625" s="16"/>
      <c r="F1625" s="16"/>
      <c r="G1625" s="16"/>
      <c r="H1625" s="16"/>
      <c r="I1625" s="16"/>
      <c r="J1625" s="16"/>
      <c r="K1625" s="16"/>
      <c r="L1625" s="16"/>
      <c r="M1625" s="26"/>
      <c r="N1625" s="26"/>
      <c r="O1625" s="16"/>
      <c r="P1625" s="1"/>
      <c r="Q1625" s="1"/>
      <c r="R1625" s="1"/>
      <c r="S1625" s="1"/>
      <c r="T1625" s="1"/>
      <c r="U1625" s="33"/>
      <c r="V1625" s="16"/>
      <c r="W1625" s="1"/>
      <c r="X1625" s="1"/>
    </row>
    <row r="1626" spans="1:24">
      <c r="A1626" s="1"/>
      <c r="B1626" s="16"/>
      <c r="C1626" s="16"/>
      <c r="D1626" s="16"/>
      <c r="E1626" s="16"/>
      <c r="F1626" s="16"/>
      <c r="G1626" s="16"/>
      <c r="H1626" s="16"/>
      <c r="I1626" s="16"/>
      <c r="J1626" s="16"/>
      <c r="K1626" s="16"/>
      <c r="L1626" s="16"/>
      <c r="M1626" s="26"/>
      <c r="N1626" s="26"/>
      <c r="O1626" s="16"/>
      <c r="P1626" s="1"/>
      <c r="Q1626" s="1"/>
      <c r="R1626" s="1"/>
      <c r="S1626" s="1"/>
      <c r="T1626" s="1"/>
      <c r="U1626" s="33"/>
      <c r="V1626" s="16"/>
      <c r="W1626" s="1"/>
      <c r="X1626" s="1"/>
    </row>
    <row r="1627" spans="1:24">
      <c r="A1627" s="1"/>
      <c r="B1627" s="16"/>
      <c r="C1627" s="16"/>
      <c r="D1627" s="16"/>
      <c r="E1627" s="16"/>
      <c r="F1627" s="16"/>
      <c r="G1627" s="16"/>
      <c r="H1627" s="16"/>
      <c r="I1627" s="16"/>
      <c r="J1627" s="16"/>
      <c r="K1627" s="16"/>
      <c r="L1627" s="16"/>
      <c r="M1627" s="26"/>
      <c r="N1627" s="26"/>
      <c r="O1627" s="16"/>
      <c r="P1627" s="1"/>
      <c r="Q1627" s="1"/>
      <c r="R1627" s="1"/>
      <c r="S1627" s="1"/>
      <c r="T1627" s="1"/>
      <c r="U1627" s="33"/>
      <c r="V1627" s="16"/>
      <c r="W1627" s="1"/>
      <c r="X1627" s="1"/>
    </row>
    <row r="1628" spans="1:24">
      <c r="A1628" s="1"/>
      <c r="B1628" s="16"/>
      <c r="C1628" s="16"/>
      <c r="D1628" s="16"/>
      <c r="E1628" s="16"/>
      <c r="F1628" s="16"/>
      <c r="G1628" s="16"/>
      <c r="H1628" s="16"/>
      <c r="I1628" s="16"/>
      <c r="J1628" s="16"/>
      <c r="K1628" s="16"/>
      <c r="L1628" s="16"/>
      <c r="M1628" s="26"/>
      <c r="N1628" s="26"/>
      <c r="O1628" s="16"/>
      <c r="P1628" s="1"/>
      <c r="Q1628" s="1"/>
      <c r="R1628" s="1"/>
      <c r="S1628" s="1"/>
      <c r="T1628" s="1"/>
      <c r="U1628" s="33"/>
      <c r="V1628" s="16"/>
      <c r="W1628" s="1"/>
      <c r="X1628" s="1"/>
    </row>
    <row r="1629" spans="1:24">
      <c r="A1629" s="1"/>
      <c r="B1629" s="16"/>
      <c r="C1629" s="16"/>
      <c r="D1629" s="16"/>
      <c r="E1629" s="16"/>
      <c r="F1629" s="16"/>
      <c r="G1629" s="16"/>
      <c r="H1629" s="16"/>
      <c r="I1629" s="16"/>
      <c r="J1629" s="16"/>
      <c r="K1629" s="16"/>
      <c r="L1629" s="16"/>
      <c r="M1629" s="26"/>
      <c r="N1629" s="26"/>
      <c r="O1629" s="16"/>
      <c r="P1629" s="1"/>
      <c r="Q1629" s="1"/>
      <c r="R1629" s="1"/>
      <c r="S1629" s="1"/>
      <c r="T1629" s="1"/>
      <c r="U1629" s="33"/>
      <c r="V1629" s="16"/>
      <c r="W1629" s="1"/>
      <c r="X1629" s="1"/>
    </row>
    <row r="1630" spans="1:24">
      <c r="A1630" s="1"/>
      <c r="B1630" s="16"/>
      <c r="C1630" s="16"/>
      <c r="D1630" s="16"/>
      <c r="E1630" s="16"/>
      <c r="F1630" s="16"/>
      <c r="G1630" s="16"/>
      <c r="H1630" s="16"/>
      <c r="I1630" s="16"/>
      <c r="J1630" s="16"/>
      <c r="K1630" s="16"/>
      <c r="L1630" s="16"/>
      <c r="M1630" s="26"/>
      <c r="N1630" s="26"/>
      <c r="O1630" s="16"/>
      <c r="P1630" s="1"/>
      <c r="Q1630" s="1"/>
      <c r="R1630" s="1"/>
      <c r="S1630" s="1"/>
      <c r="T1630" s="1"/>
      <c r="U1630" s="33"/>
      <c r="V1630" s="16"/>
      <c r="W1630" s="1"/>
      <c r="X1630" s="1"/>
    </row>
    <row r="1631" spans="1:24">
      <c r="A1631" s="1"/>
      <c r="B1631" s="16"/>
      <c r="C1631" s="16"/>
      <c r="D1631" s="16"/>
      <c r="E1631" s="16"/>
      <c r="F1631" s="16"/>
      <c r="G1631" s="16"/>
      <c r="H1631" s="16"/>
      <c r="I1631" s="16"/>
      <c r="J1631" s="16"/>
      <c r="K1631" s="16"/>
      <c r="L1631" s="16"/>
      <c r="M1631" s="26"/>
      <c r="N1631" s="26"/>
      <c r="O1631" s="16"/>
      <c r="P1631" s="1"/>
      <c r="Q1631" s="1"/>
      <c r="R1631" s="1"/>
      <c r="S1631" s="1"/>
      <c r="T1631" s="1"/>
      <c r="U1631" s="33"/>
      <c r="V1631" s="16"/>
      <c r="W1631" s="1"/>
      <c r="X1631" s="1"/>
    </row>
    <row r="1632" spans="1:24">
      <c r="A1632" s="1"/>
      <c r="B1632" s="16"/>
      <c r="C1632" s="16"/>
      <c r="D1632" s="16"/>
      <c r="E1632" s="16"/>
      <c r="F1632" s="16"/>
      <c r="G1632" s="16"/>
      <c r="H1632" s="16"/>
      <c r="I1632" s="16"/>
      <c r="J1632" s="16"/>
      <c r="K1632" s="16"/>
      <c r="L1632" s="16"/>
      <c r="M1632" s="26"/>
      <c r="N1632" s="26"/>
      <c r="O1632" s="16"/>
      <c r="P1632" s="1"/>
      <c r="Q1632" s="1"/>
      <c r="R1632" s="1"/>
      <c r="S1632" s="1"/>
      <c r="T1632" s="1"/>
      <c r="U1632" s="33"/>
      <c r="V1632" s="16"/>
      <c r="W1632" s="1"/>
      <c r="X1632" s="1"/>
    </row>
    <row r="1633" spans="1:24">
      <c r="A1633" s="1"/>
      <c r="B1633" s="16"/>
      <c r="C1633" s="16"/>
      <c r="D1633" s="16"/>
      <c r="E1633" s="16"/>
      <c r="F1633" s="16"/>
      <c r="G1633" s="16"/>
      <c r="H1633" s="16"/>
      <c r="I1633" s="16"/>
      <c r="J1633" s="16"/>
      <c r="K1633" s="16"/>
      <c r="L1633" s="16"/>
      <c r="M1633" s="26"/>
      <c r="N1633" s="26"/>
      <c r="O1633" s="16"/>
      <c r="P1633" s="1"/>
      <c r="Q1633" s="1"/>
      <c r="R1633" s="1"/>
      <c r="S1633" s="1"/>
      <c r="T1633" s="1"/>
      <c r="U1633" s="33"/>
      <c r="V1633" s="16"/>
      <c r="W1633" s="1"/>
      <c r="X1633" s="1"/>
    </row>
    <row r="1634" spans="1:24">
      <c r="A1634" s="1"/>
      <c r="B1634" s="16"/>
      <c r="C1634" s="16"/>
      <c r="D1634" s="16"/>
      <c r="E1634" s="16"/>
      <c r="F1634" s="16"/>
      <c r="G1634" s="16"/>
      <c r="H1634" s="16"/>
      <c r="I1634" s="16"/>
      <c r="J1634" s="16"/>
      <c r="K1634" s="16"/>
      <c r="L1634" s="16"/>
      <c r="M1634" s="26"/>
      <c r="N1634" s="26"/>
      <c r="O1634" s="16"/>
      <c r="P1634" s="1"/>
      <c r="Q1634" s="1"/>
      <c r="R1634" s="1"/>
      <c r="S1634" s="1"/>
      <c r="T1634" s="1"/>
      <c r="U1634" s="33"/>
      <c r="V1634" s="16"/>
      <c r="W1634" s="1"/>
      <c r="X1634" s="1"/>
    </row>
    <row r="1635" spans="1:24">
      <c r="A1635" s="1"/>
      <c r="B1635" s="16"/>
      <c r="C1635" s="16"/>
      <c r="D1635" s="16"/>
      <c r="E1635" s="16"/>
      <c r="F1635" s="16"/>
      <c r="G1635" s="16"/>
      <c r="H1635" s="16"/>
      <c r="I1635" s="16"/>
      <c r="J1635" s="16"/>
      <c r="K1635" s="16"/>
      <c r="L1635" s="16"/>
      <c r="M1635" s="26"/>
      <c r="N1635" s="26"/>
      <c r="O1635" s="16"/>
      <c r="P1635" s="1"/>
      <c r="Q1635" s="1"/>
      <c r="R1635" s="1"/>
      <c r="S1635" s="1"/>
      <c r="T1635" s="1"/>
      <c r="U1635" s="33"/>
      <c r="V1635" s="16"/>
      <c r="W1635" s="1"/>
      <c r="X1635" s="1"/>
    </row>
    <row r="1636" spans="1:24">
      <c r="A1636" s="1"/>
      <c r="B1636" s="16"/>
      <c r="C1636" s="16"/>
      <c r="D1636" s="16"/>
      <c r="E1636" s="16"/>
      <c r="F1636" s="16"/>
      <c r="G1636" s="16"/>
      <c r="H1636" s="16"/>
      <c r="I1636" s="16"/>
      <c r="J1636" s="16"/>
      <c r="K1636" s="16"/>
      <c r="L1636" s="16"/>
      <c r="M1636" s="26"/>
      <c r="N1636" s="26"/>
      <c r="O1636" s="16"/>
      <c r="P1636" s="1"/>
      <c r="Q1636" s="1"/>
      <c r="R1636" s="1"/>
      <c r="S1636" s="1"/>
      <c r="T1636" s="1"/>
      <c r="U1636" s="33"/>
      <c r="V1636" s="16"/>
      <c r="W1636" s="1"/>
      <c r="X1636" s="1"/>
    </row>
    <row r="1637" spans="1:24">
      <c r="A1637" s="1"/>
      <c r="B1637" s="16"/>
      <c r="C1637" s="16"/>
      <c r="D1637" s="16"/>
      <c r="E1637" s="16"/>
      <c r="F1637" s="16"/>
      <c r="G1637" s="16"/>
      <c r="H1637" s="16"/>
      <c r="I1637" s="16"/>
      <c r="J1637" s="16"/>
      <c r="K1637" s="16"/>
      <c r="L1637" s="16"/>
      <c r="M1637" s="26"/>
      <c r="N1637" s="26"/>
      <c r="O1637" s="16"/>
      <c r="P1637" s="1"/>
      <c r="Q1637" s="1"/>
      <c r="R1637" s="1"/>
      <c r="S1637" s="1"/>
      <c r="T1637" s="1"/>
      <c r="U1637" s="33"/>
      <c r="V1637" s="16"/>
      <c r="W1637" s="1"/>
      <c r="X1637" s="1"/>
    </row>
    <row r="1638" spans="1:24">
      <c r="A1638" s="1"/>
      <c r="B1638" s="16"/>
      <c r="C1638" s="16"/>
      <c r="D1638" s="16"/>
      <c r="E1638" s="16"/>
      <c r="F1638" s="16"/>
      <c r="G1638" s="16"/>
      <c r="H1638" s="16"/>
      <c r="I1638" s="16"/>
      <c r="J1638" s="16"/>
      <c r="K1638" s="16"/>
      <c r="L1638" s="16"/>
      <c r="M1638" s="26"/>
      <c r="N1638" s="26"/>
      <c r="O1638" s="16"/>
      <c r="P1638" s="1"/>
      <c r="Q1638" s="1"/>
      <c r="R1638" s="1"/>
      <c r="S1638" s="1"/>
      <c r="T1638" s="1"/>
      <c r="U1638" s="33"/>
      <c r="V1638" s="16"/>
      <c r="W1638" s="1"/>
      <c r="X1638" s="1"/>
    </row>
    <row r="1639" spans="1:24">
      <c r="A1639" s="1"/>
      <c r="B1639" s="16"/>
      <c r="C1639" s="16"/>
      <c r="D1639" s="16"/>
      <c r="E1639" s="16"/>
      <c r="F1639" s="16"/>
      <c r="G1639" s="16"/>
      <c r="H1639" s="16"/>
      <c r="I1639" s="16"/>
      <c r="J1639" s="16"/>
      <c r="K1639" s="16"/>
      <c r="L1639" s="16"/>
      <c r="M1639" s="26"/>
      <c r="N1639" s="26"/>
      <c r="O1639" s="16"/>
      <c r="P1639" s="1"/>
      <c r="Q1639" s="1"/>
      <c r="R1639" s="1"/>
      <c r="S1639" s="1"/>
      <c r="T1639" s="1"/>
      <c r="U1639" s="33"/>
      <c r="V1639" s="16"/>
      <c r="W1639" s="1"/>
      <c r="X1639" s="1"/>
    </row>
    <row r="1640" spans="1:24">
      <c r="A1640" s="1"/>
      <c r="B1640" s="16"/>
      <c r="C1640" s="16"/>
      <c r="D1640" s="16"/>
      <c r="E1640" s="16"/>
      <c r="F1640" s="16"/>
      <c r="G1640" s="16"/>
      <c r="H1640" s="16"/>
      <c r="I1640" s="16"/>
      <c r="J1640" s="16"/>
      <c r="K1640" s="16"/>
      <c r="L1640" s="16"/>
      <c r="M1640" s="26"/>
      <c r="N1640" s="26"/>
      <c r="O1640" s="16"/>
      <c r="P1640" s="1"/>
      <c r="Q1640" s="1"/>
      <c r="R1640" s="1"/>
      <c r="S1640" s="1"/>
      <c r="T1640" s="1"/>
      <c r="U1640" s="33"/>
      <c r="V1640" s="16"/>
      <c r="W1640" s="1"/>
      <c r="X1640" s="1"/>
    </row>
    <row r="1641" spans="1:24">
      <c r="A1641" s="1"/>
      <c r="B1641" s="16"/>
      <c r="C1641" s="16"/>
      <c r="D1641" s="16"/>
      <c r="E1641" s="16"/>
      <c r="F1641" s="16"/>
      <c r="G1641" s="16"/>
      <c r="H1641" s="16"/>
      <c r="I1641" s="16"/>
      <c r="J1641" s="16"/>
      <c r="K1641" s="16"/>
      <c r="L1641" s="16"/>
      <c r="M1641" s="26"/>
      <c r="N1641" s="26"/>
      <c r="O1641" s="16"/>
      <c r="P1641" s="1"/>
      <c r="Q1641" s="1"/>
      <c r="R1641" s="1"/>
      <c r="S1641" s="1"/>
      <c r="T1641" s="1"/>
      <c r="U1641" s="33"/>
      <c r="V1641" s="16"/>
      <c r="W1641" s="1"/>
      <c r="X1641" s="1"/>
    </row>
    <row r="1642" spans="1:24">
      <c r="A1642" s="1"/>
      <c r="B1642" s="16"/>
      <c r="C1642" s="16"/>
      <c r="D1642" s="16"/>
      <c r="E1642" s="16"/>
      <c r="F1642" s="16"/>
      <c r="G1642" s="16"/>
      <c r="H1642" s="16"/>
      <c r="I1642" s="16"/>
      <c r="J1642" s="16"/>
      <c r="K1642" s="16"/>
      <c r="L1642" s="16"/>
      <c r="M1642" s="26"/>
      <c r="N1642" s="26"/>
      <c r="O1642" s="16"/>
      <c r="P1642" s="1"/>
      <c r="Q1642" s="1"/>
      <c r="R1642" s="1"/>
      <c r="S1642" s="1"/>
      <c r="T1642" s="1"/>
      <c r="U1642" s="33"/>
      <c r="V1642" s="16"/>
      <c r="W1642" s="1"/>
      <c r="X1642" s="1"/>
    </row>
    <row r="1643" spans="1:24">
      <c r="A1643" s="1"/>
      <c r="B1643" s="16"/>
      <c r="C1643" s="16"/>
      <c r="D1643" s="16"/>
      <c r="E1643" s="16"/>
      <c r="F1643" s="16"/>
      <c r="G1643" s="16"/>
      <c r="H1643" s="16"/>
      <c r="I1643" s="16"/>
      <c r="J1643" s="16"/>
      <c r="K1643" s="16"/>
      <c r="L1643" s="16"/>
      <c r="M1643" s="26"/>
      <c r="N1643" s="26"/>
      <c r="O1643" s="16"/>
      <c r="P1643" s="1"/>
      <c r="Q1643" s="1"/>
      <c r="R1643" s="1"/>
      <c r="S1643" s="1"/>
      <c r="T1643" s="1"/>
      <c r="U1643" s="33"/>
      <c r="V1643" s="16"/>
      <c r="W1643" s="1"/>
      <c r="X1643" s="1"/>
    </row>
    <row r="1644" spans="1:24">
      <c r="A1644" s="1"/>
      <c r="B1644" s="16"/>
      <c r="C1644" s="16"/>
      <c r="D1644" s="16"/>
      <c r="E1644" s="16"/>
      <c r="F1644" s="16"/>
      <c r="G1644" s="16"/>
      <c r="H1644" s="16"/>
      <c r="I1644" s="16"/>
      <c r="J1644" s="16"/>
      <c r="K1644" s="16"/>
      <c r="L1644" s="16"/>
      <c r="M1644" s="26"/>
      <c r="N1644" s="26"/>
      <c r="O1644" s="16"/>
      <c r="P1644" s="1"/>
      <c r="Q1644" s="1"/>
      <c r="R1644" s="1"/>
      <c r="S1644" s="1"/>
      <c r="T1644" s="1"/>
      <c r="U1644" s="33"/>
      <c r="V1644" s="16"/>
      <c r="W1644" s="1"/>
      <c r="X1644" s="1"/>
    </row>
    <row r="1645" spans="1:24">
      <c r="A1645" s="1"/>
      <c r="B1645" s="16"/>
      <c r="C1645" s="16"/>
      <c r="D1645" s="16"/>
      <c r="E1645" s="16"/>
      <c r="F1645" s="16"/>
      <c r="G1645" s="16"/>
      <c r="H1645" s="16"/>
      <c r="I1645" s="16"/>
      <c r="J1645" s="16"/>
      <c r="K1645" s="16"/>
      <c r="L1645" s="16"/>
      <c r="M1645" s="26"/>
      <c r="N1645" s="26"/>
      <c r="O1645" s="16"/>
      <c r="P1645" s="1"/>
      <c r="Q1645" s="1"/>
      <c r="R1645" s="1"/>
      <c r="S1645" s="1"/>
      <c r="T1645" s="1"/>
      <c r="U1645" s="33"/>
      <c r="V1645" s="16"/>
      <c r="W1645" s="1"/>
      <c r="X1645" s="1"/>
    </row>
    <row r="1646" spans="1:24">
      <c r="A1646" s="1"/>
      <c r="B1646" s="16"/>
      <c r="C1646" s="16"/>
      <c r="D1646" s="16"/>
      <c r="E1646" s="16"/>
      <c r="F1646" s="16"/>
      <c r="G1646" s="16"/>
      <c r="H1646" s="16"/>
      <c r="I1646" s="16"/>
      <c r="J1646" s="16"/>
      <c r="K1646" s="16"/>
      <c r="L1646" s="16"/>
      <c r="M1646" s="26"/>
      <c r="N1646" s="26"/>
      <c r="O1646" s="16"/>
      <c r="P1646" s="1"/>
      <c r="Q1646" s="1"/>
      <c r="R1646" s="1"/>
      <c r="S1646" s="1"/>
      <c r="T1646" s="1"/>
      <c r="U1646" s="33"/>
      <c r="V1646" s="16"/>
      <c r="W1646" s="1"/>
      <c r="X1646" s="1"/>
    </row>
    <row r="1647" spans="1:24">
      <c r="A1647" s="1"/>
      <c r="B1647" s="16"/>
      <c r="C1647" s="16"/>
      <c r="D1647" s="16"/>
      <c r="E1647" s="16"/>
      <c r="F1647" s="16"/>
      <c r="G1647" s="16"/>
      <c r="H1647" s="16"/>
      <c r="I1647" s="16"/>
      <c r="J1647" s="16"/>
      <c r="K1647" s="16"/>
      <c r="L1647" s="16"/>
      <c r="M1647" s="26"/>
      <c r="N1647" s="26"/>
      <c r="O1647" s="16"/>
      <c r="P1647" s="1"/>
      <c r="Q1647" s="1"/>
      <c r="R1647" s="1"/>
      <c r="S1647" s="1"/>
      <c r="T1647" s="1"/>
      <c r="U1647" s="33"/>
      <c r="V1647" s="16"/>
      <c r="W1647" s="1"/>
      <c r="X1647" s="1"/>
    </row>
    <row r="1648" spans="1:24">
      <c r="A1648" s="1"/>
      <c r="B1648" s="16"/>
      <c r="C1648" s="16"/>
      <c r="D1648" s="16"/>
      <c r="E1648" s="16"/>
      <c r="F1648" s="16"/>
      <c r="G1648" s="16"/>
      <c r="H1648" s="16"/>
      <c r="I1648" s="16"/>
      <c r="J1648" s="16"/>
      <c r="K1648" s="16"/>
      <c r="L1648" s="16"/>
      <c r="M1648" s="26"/>
      <c r="N1648" s="26"/>
      <c r="O1648" s="16"/>
      <c r="P1648" s="1"/>
      <c r="Q1648" s="1"/>
      <c r="R1648" s="1"/>
      <c r="S1648" s="1"/>
      <c r="T1648" s="1"/>
      <c r="U1648" s="33"/>
      <c r="V1648" s="16"/>
      <c r="W1648" s="1"/>
      <c r="X1648" s="1"/>
    </row>
    <row r="1649" spans="1:24">
      <c r="A1649" s="1"/>
      <c r="B1649" s="16"/>
      <c r="C1649" s="16"/>
      <c r="D1649" s="16"/>
      <c r="E1649" s="16"/>
      <c r="F1649" s="16"/>
      <c r="G1649" s="16"/>
      <c r="H1649" s="16"/>
      <c r="I1649" s="16"/>
      <c r="J1649" s="16"/>
      <c r="K1649" s="16"/>
      <c r="L1649" s="16"/>
      <c r="M1649" s="26"/>
      <c r="N1649" s="26"/>
      <c r="O1649" s="16"/>
      <c r="P1649" s="1"/>
      <c r="Q1649" s="1"/>
      <c r="R1649" s="1"/>
      <c r="S1649" s="1"/>
      <c r="T1649" s="1"/>
      <c r="U1649" s="33"/>
      <c r="V1649" s="16"/>
      <c r="W1649" s="1"/>
      <c r="X1649" s="1"/>
    </row>
    <row r="1650" spans="1:24">
      <c r="A1650" s="1"/>
      <c r="B1650" s="16"/>
      <c r="C1650" s="16"/>
      <c r="D1650" s="16"/>
      <c r="E1650" s="16"/>
      <c r="F1650" s="16"/>
      <c r="G1650" s="16"/>
      <c r="H1650" s="16"/>
      <c r="I1650" s="16"/>
      <c r="J1650" s="16"/>
      <c r="K1650" s="16"/>
      <c r="L1650" s="16"/>
      <c r="M1650" s="26"/>
      <c r="N1650" s="26"/>
      <c r="O1650" s="16"/>
      <c r="P1650" s="1"/>
      <c r="Q1650" s="1"/>
      <c r="R1650" s="1"/>
      <c r="S1650" s="1"/>
      <c r="T1650" s="1"/>
      <c r="U1650" s="33"/>
      <c r="V1650" s="16"/>
      <c r="W1650" s="1"/>
      <c r="X1650" s="1"/>
    </row>
    <row r="1651" spans="1:24">
      <c r="A1651" s="1"/>
      <c r="B1651" s="16"/>
      <c r="C1651" s="16"/>
      <c r="D1651" s="16"/>
      <c r="E1651" s="16"/>
      <c r="F1651" s="16"/>
      <c r="G1651" s="16"/>
      <c r="H1651" s="16"/>
      <c r="I1651" s="16"/>
      <c r="J1651" s="16"/>
      <c r="K1651" s="16"/>
      <c r="L1651" s="16"/>
      <c r="M1651" s="26"/>
      <c r="N1651" s="26"/>
      <c r="O1651" s="16"/>
      <c r="P1651" s="1"/>
      <c r="Q1651" s="1"/>
      <c r="R1651" s="1"/>
      <c r="S1651" s="1"/>
      <c r="T1651" s="1"/>
      <c r="U1651" s="33"/>
      <c r="V1651" s="16"/>
      <c r="W1651" s="1"/>
      <c r="X1651" s="1"/>
    </row>
    <row r="1652" spans="1:24">
      <c r="A1652" s="1"/>
      <c r="B1652" s="16"/>
      <c r="C1652" s="16"/>
      <c r="D1652" s="16"/>
      <c r="E1652" s="16"/>
      <c r="F1652" s="16"/>
      <c r="G1652" s="16"/>
      <c r="H1652" s="16"/>
      <c r="I1652" s="16"/>
      <c r="J1652" s="16"/>
      <c r="K1652" s="16"/>
      <c r="L1652" s="16"/>
      <c r="M1652" s="26"/>
      <c r="N1652" s="26"/>
      <c r="O1652" s="16"/>
      <c r="P1652" s="1"/>
      <c r="Q1652" s="1"/>
      <c r="R1652" s="1"/>
      <c r="S1652" s="1"/>
      <c r="T1652" s="1"/>
      <c r="U1652" s="33"/>
      <c r="V1652" s="16"/>
      <c r="W1652" s="1"/>
      <c r="X1652" s="1"/>
    </row>
    <row r="1653" spans="1:24">
      <c r="A1653" s="1"/>
      <c r="B1653" s="16"/>
      <c r="C1653" s="16"/>
      <c r="D1653" s="16"/>
      <c r="E1653" s="16"/>
      <c r="F1653" s="16"/>
      <c r="G1653" s="16"/>
      <c r="H1653" s="16"/>
      <c r="I1653" s="16"/>
      <c r="J1653" s="16"/>
      <c r="K1653" s="16"/>
      <c r="L1653" s="16"/>
      <c r="M1653" s="26"/>
      <c r="N1653" s="26"/>
      <c r="O1653" s="16"/>
      <c r="P1653" s="1"/>
      <c r="Q1653" s="1"/>
      <c r="R1653" s="1"/>
      <c r="S1653" s="1"/>
      <c r="T1653" s="1"/>
      <c r="U1653" s="33"/>
      <c r="V1653" s="16"/>
      <c r="W1653" s="1"/>
      <c r="X1653" s="1"/>
    </row>
    <row r="1654" spans="1:24">
      <c r="A1654" s="1"/>
      <c r="B1654" s="16"/>
      <c r="C1654" s="16"/>
      <c r="D1654" s="16"/>
      <c r="E1654" s="16"/>
      <c r="F1654" s="16"/>
      <c r="G1654" s="16"/>
      <c r="H1654" s="16"/>
      <c r="I1654" s="16"/>
      <c r="J1654" s="16"/>
      <c r="K1654" s="16"/>
      <c r="L1654" s="16"/>
      <c r="M1654" s="26"/>
      <c r="N1654" s="26"/>
      <c r="O1654" s="16"/>
      <c r="P1654" s="1"/>
      <c r="Q1654" s="1"/>
      <c r="R1654" s="1"/>
      <c r="S1654" s="1"/>
      <c r="T1654" s="1"/>
      <c r="U1654" s="33"/>
      <c r="V1654" s="16"/>
      <c r="W1654" s="1"/>
      <c r="X1654" s="1"/>
    </row>
    <row r="1655" spans="1:24">
      <c r="A1655" s="1"/>
      <c r="B1655" s="16"/>
      <c r="C1655" s="16"/>
      <c r="D1655" s="16"/>
      <c r="E1655" s="16"/>
      <c r="F1655" s="16"/>
      <c r="G1655" s="16"/>
      <c r="H1655" s="16"/>
      <c r="I1655" s="16"/>
      <c r="J1655" s="16"/>
      <c r="K1655" s="16"/>
      <c r="L1655" s="16"/>
      <c r="M1655" s="26"/>
      <c r="N1655" s="26"/>
      <c r="O1655" s="16"/>
      <c r="P1655" s="1"/>
      <c r="Q1655" s="1"/>
      <c r="R1655" s="1"/>
      <c r="S1655" s="1"/>
      <c r="T1655" s="1"/>
      <c r="U1655" s="33"/>
      <c r="V1655" s="16"/>
      <c r="W1655" s="1"/>
      <c r="X1655" s="1"/>
    </row>
    <row r="1656" spans="1:24">
      <c r="A1656" s="1"/>
      <c r="B1656" s="16"/>
      <c r="C1656" s="16"/>
      <c r="D1656" s="16"/>
      <c r="E1656" s="16"/>
      <c r="F1656" s="16"/>
      <c r="G1656" s="16"/>
      <c r="H1656" s="16"/>
      <c r="I1656" s="16"/>
      <c r="J1656" s="16"/>
      <c r="K1656" s="16"/>
      <c r="L1656" s="16"/>
      <c r="M1656" s="26"/>
      <c r="N1656" s="26"/>
      <c r="O1656" s="16"/>
      <c r="P1656" s="1"/>
      <c r="Q1656" s="1"/>
      <c r="R1656" s="1"/>
      <c r="S1656" s="1"/>
      <c r="T1656" s="1"/>
      <c r="U1656" s="33"/>
      <c r="V1656" s="16"/>
      <c r="W1656" s="1"/>
      <c r="X1656" s="1"/>
    </row>
    <row r="1657" spans="1:24">
      <c r="A1657" s="1"/>
      <c r="B1657" s="16"/>
      <c r="C1657" s="16"/>
      <c r="D1657" s="16"/>
      <c r="E1657" s="16"/>
      <c r="F1657" s="16"/>
      <c r="G1657" s="16"/>
      <c r="H1657" s="16"/>
      <c r="I1657" s="16"/>
      <c r="J1657" s="16"/>
      <c r="K1657" s="16"/>
      <c r="L1657" s="16"/>
      <c r="M1657" s="26"/>
      <c r="N1657" s="26"/>
      <c r="O1657" s="16"/>
      <c r="P1657" s="1"/>
      <c r="Q1657" s="1"/>
      <c r="R1657" s="1"/>
      <c r="S1657" s="1"/>
      <c r="T1657" s="1"/>
      <c r="U1657" s="33"/>
      <c r="V1657" s="16"/>
      <c r="W1657" s="1"/>
      <c r="X1657" s="1"/>
    </row>
    <row r="1658" spans="1:24">
      <c r="A1658" s="1"/>
      <c r="B1658" s="16"/>
      <c r="C1658" s="16"/>
      <c r="D1658" s="16"/>
      <c r="E1658" s="16"/>
      <c r="F1658" s="16"/>
      <c r="G1658" s="16"/>
      <c r="H1658" s="16"/>
      <c r="I1658" s="16"/>
      <c r="J1658" s="16"/>
      <c r="K1658" s="16"/>
      <c r="L1658" s="16"/>
      <c r="M1658" s="26"/>
      <c r="N1658" s="26"/>
      <c r="O1658" s="16"/>
      <c r="P1658" s="1"/>
      <c r="Q1658" s="1"/>
      <c r="R1658" s="1"/>
      <c r="S1658" s="1"/>
      <c r="T1658" s="1"/>
      <c r="U1658" s="33"/>
      <c r="V1658" s="16"/>
      <c r="W1658" s="1"/>
      <c r="X1658" s="1"/>
    </row>
    <row r="1659" spans="1:24">
      <c r="A1659" s="1"/>
      <c r="B1659" s="16"/>
      <c r="C1659" s="16"/>
      <c r="D1659" s="16"/>
      <c r="E1659" s="16"/>
      <c r="F1659" s="16"/>
      <c r="G1659" s="16"/>
      <c r="H1659" s="16"/>
      <c r="I1659" s="16"/>
      <c r="J1659" s="16"/>
      <c r="K1659" s="16"/>
      <c r="L1659" s="16"/>
      <c r="M1659" s="26"/>
      <c r="N1659" s="26"/>
      <c r="O1659" s="16"/>
      <c r="P1659" s="1"/>
      <c r="Q1659" s="1"/>
      <c r="R1659" s="1"/>
      <c r="S1659" s="1"/>
      <c r="T1659" s="1"/>
      <c r="U1659" s="33"/>
      <c r="V1659" s="16"/>
      <c r="W1659" s="1"/>
      <c r="X1659" s="1"/>
    </row>
    <row r="1660" spans="1:24">
      <c r="A1660" s="1"/>
      <c r="B1660" s="16"/>
      <c r="C1660" s="16"/>
      <c r="D1660" s="16"/>
      <c r="E1660" s="16"/>
      <c r="F1660" s="16"/>
      <c r="G1660" s="16"/>
      <c r="H1660" s="16"/>
      <c r="I1660" s="16"/>
      <c r="J1660" s="16"/>
      <c r="K1660" s="16"/>
      <c r="L1660" s="16"/>
      <c r="M1660" s="26"/>
      <c r="N1660" s="26"/>
      <c r="O1660" s="16"/>
      <c r="P1660" s="1"/>
      <c r="Q1660" s="1"/>
      <c r="R1660" s="1"/>
      <c r="S1660" s="1"/>
      <c r="T1660" s="1"/>
      <c r="U1660" s="33"/>
      <c r="V1660" s="16"/>
      <c r="W1660" s="1"/>
      <c r="X1660" s="1"/>
    </row>
    <row r="1661" spans="1:24">
      <c r="A1661" s="1"/>
      <c r="B1661" s="16"/>
      <c r="C1661" s="16"/>
      <c r="D1661" s="16"/>
      <c r="E1661" s="16"/>
      <c r="F1661" s="16"/>
      <c r="G1661" s="16"/>
      <c r="H1661" s="16"/>
      <c r="I1661" s="16"/>
      <c r="J1661" s="16"/>
      <c r="K1661" s="16"/>
      <c r="L1661" s="16"/>
      <c r="M1661" s="26"/>
      <c r="N1661" s="26"/>
      <c r="O1661" s="16"/>
      <c r="P1661" s="1"/>
      <c r="Q1661" s="1"/>
      <c r="R1661" s="1"/>
      <c r="S1661" s="1"/>
      <c r="T1661" s="1"/>
      <c r="U1661" s="33"/>
      <c r="V1661" s="16"/>
      <c r="W1661" s="1"/>
      <c r="X1661" s="1"/>
    </row>
    <row r="1662" spans="1:24">
      <c r="A1662" s="1"/>
      <c r="B1662" s="16"/>
      <c r="C1662" s="16"/>
      <c r="D1662" s="16"/>
      <c r="E1662" s="16"/>
      <c r="F1662" s="16"/>
      <c r="G1662" s="16"/>
      <c r="H1662" s="16"/>
      <c r="I1662" s="16"/>
      <c r="J1662" s="16"/>
      <c r="K1662" s="16"/>
      <c r="L1662" s="16"/>
      <c r="M1662" s="26"/>
      <c r="N1662" s="26"/>
      <c r="O1662" s="16"/>
      <c r="P1662" s="1"/>
      <c r="Q1662" s="1"/>
      <c r="R1662" s="1"/>
      <c r="S1662" s="1"/>
      <c r="T1662" s="1"/>
      <c r="U1662" s="33"/>
      <c r="V1662" s="16"/>
      <c r="W1662" s="1"/>
      <c r="X1662" s="1"/>
    </row>
    <row r="1663" spans="1:24">
      <c r="A1663" s="1"/>
      <c r="B1663" s="16"/>
      <c r="C1663" s="16"/>
      <c r="D1663" s="16"/>
      <c r="E1663" s="16"/>
      <c r="F1663" s="16"/>
      <c r="G1663" s="16"/>
      <c r="H1663" s="16"/>
      <c r="I1663" s="16"/>
      <c r="J1663" s="16"/>
      <c r="K1663" s="16"/>
      <c r="L1663" s="16"/>
      <c r="M1663" s="26"/>
      <c r="N1663" s="26"/>
      <c r="O1663" s="16"/>
      <c r="P1663" s="1"/>
      <c r="Q1663" s="1"/>
      <c r="R1663" s="1"/>
      <c r="S1663" s="1"/>
      <c r="T1663" s="1"/>
      <c r="U1663" s="33"/>
      <c r="V1663" s="16"/>
      <c r="W1663" s="1"/>
      <c r="X1663" s="1"/>
    </row>
    <row r="1664" spans="1:24">
      <c r="A1664" s="1"/>
      <c r="B1664" s="16"/>
      <c r="C1664" s="16"/>
      <c r="D1664" s="16"/>
      <c r="E1664" s="16"/>
      <c r="F1664" s="16"/>
      <c r="G1664" s="16"/>
      <c r="H1664" s="16"/>
      <c r="I1664" s="16"/>
      <c r="J1664" s="16"/>
      <c r="K1664" s="16"/>
      <c r="L1664" s="16"/>
      <c r="M1664" s="26"/>
      <c r="N1664" s="26"/>
      <c r="O1664" s="16"/>
      <c r="P1664" s="1"/>
      <c r="Q1664" s="1"/>
      <c r="R1664" s="1"/>
      <c r="S1664" s="1"/>
      <c r="T1664" s="1"/>
      <c r="U1664" s="33"/>
      <c r="V1664" s="16"/>
      <c r="W1664" s="1"/>
      <c r="X1664" s="1"/>
    </row>
    <row r="1665" spans="1:24">
      <c r="A1665" s="1"/>
      <c r="B1665" s="16"/>
      <c r="C1665" s="16"/>
      <c r="D1665" s="16"/>
      <c r="E1665" s="16"/>
      <c r="F1665" s="16"/>
      <c r="G1665" s="16"/>
      <c r="H1665" s="16"/>
      <c r="I1665" s="16"/>
      <c r="J1665" s="16"/>
      <c r="K1665" s="16"/>
      <c r="L1665" s="16"/>
      <c r="M1665" s="26"/>
      <c r="N1665" s="26"/>
      <c r="O1665" s="16"/>
      <c r="P1665" s="1"/>
      <c r="Q1665" s="1"/>
      <c r="R1665" s="1"/>
      <c r="S1665" s="1"/>
      <c r="T1665" s="1"/>
      <c r="U1665" s="33"/>
      <c r="V1665" s="16"/>
      <c r="W1665" s="1"/>
      <c r="X1665" s="1"/>
    </row>
    <row r="1666" spans="1:24">
      <c r="A1666" s="1"/>
      <c r="B1666" s="16"/>
      <c r="C1666" s="16"/>
      <c r="D1666" s="16"/>
      <c r="E1666" s="16"/>
      <c r="F1666" s="16"/>
      <c r="G1666" s="16"/>
      <c r="H1666" s="16"/>
      <c r="I1666" s="16"/>
      <c r="J1666" s="16"/>
      <c r="K1666" s="16"/>
      <c r="L1666" s="16"/>
      <c r="M1666" s="26"/>
      <c r="N1666" s="26"/>
      <c r="O1666" s="16"/>
      <c r="P1666" s="1"/>
      <c r="Q1666" s="1"/>
      <c r="R1666" s="1"/>
      <c r="S1666" s="1"/>
      <c r="T1666" s="1"/>
      <c r="U1666" s="33"/>
      <c r="V1666" s="16"/>
      <c r="W1666" s="1"/>
      <c r="X1666" s="1"/>
    </row>
    <row r="1667" spans="1:24">
      <c r="A1667" s="1"/>
      <c r="B1667" s="16"/>
      <c r="C1667" s="16"/>
      <c r="D1667" s="16"/>
      <c r="E1667" s="16"/>
      <c r="F1667" s="16"/>
      <c r="G1667" s="16"/>
      <c r="H1667" s="16"/>
      <c r="I1667" s="16"/>
      <c r="J1667" s="16"/>
      <c r="K1667" s="16"/>
      <c r="L1667" s="16"/>
      <c r="M1667" s="26"/>
      <c r="N1667" s="26"/>
      <c r="O1667" s="16"/>
      <c r="P1667" s="1"/>
      <c r="Q1667" s="1"/>
      <c r="R1667" s="1"/>
      <c r="S1667" s="1"/>
      <c r="T1667" s="1"/>
      <c r="U1667" s="33"/>
      <c r="V1667" s="16"/>
      <c r="W1667" s="1"/>
      <c r="X1667" s="1"/>
    </row>
    <row r="1668" spans="1:24">
      <c r="A1668" s="1"/>
      <c r="B1668" s="16"/>
      <c r="C1668" s="16"/>
      <c r="D1668" s="16"/>
      <c r="E1668" s="16"/>
      <c r="F1668" s="16"/>
      <c r="G1668" s="16"/>
      <c r="H1668" s="16"/>
      <c r="I1668" s="16"/>
      <c r="J1668" s="16"/>
      <c r="K1668" s="16"/>
      <c r="L1668" s="16"/>
      <c r="M1668" s="26"/>
      <c r="N1668" s="26"/>
      <c r="O1668" s="16"/>
      <c r="P1668" s="1"/>
      <c r="Q1668" s="1"/>
      <c r="R1668" s="1"/>
      <c r="S1668" s="1"/>
      <c r="T1668" s="1"/>
      <c r="U1668" s="33"/>
      <c r="V1668" s="16"/>
      <c r="W1668" s="1"/>
      <c r="X1668" s="1"/>
    </row>
    <row r="1669" spans="1:24">
      <c r="A1669" s="1"/>
      <c r="B1669" s="16"/>
      <c r="C1669" s="16"/>
      <c r="D1669" s="16"/>
      <c r="E1669" s="16"/>
      <c r="F1669" s="16"/>
      <c r="G1669" s="16"/>
      <c r="H1669" s="16"/>
      <c r="I1669" s="16"/>
      <c r="J1669" s="16"/>
      <c r="K1669" s="16"/>
      <c r="L1669" s="16"/>
      <c r="M1669" s="26"/>
      <c r="N1669" s="26"/>
      <c r="O1669" s="16"/>
      <c r="P1669" s="1"/>
      <c r="Q1669" s="1"/>
      <c r="R1669" s="1"/>
      <c r="S1669" s="1"/>
      <c r="T1669" s="1"/>
      <c r="U1669" s="33"/>
      <c r="V1669" s="16"/>
      <c r="W1669" s="1"/>
      <c r="X1669" s="1"/>
    </row>
    <row r="1670" spans="1:24">
      <c r="A1670" s="1"/>
      <c r="B1670" s="16"/>
      <c r="C1670" s="16"/>
      <c r="D1670" s="16"/>
      <c r="E1670" s="16"/>
      <c r="F1670" s="16"/>
      <c r="G1670" s="16"/>
      <c r="H1670" s="16"/>
      <c r="I1670" s="16"/>
      <c r="J1670" s="16"/>
      <c r="K1670" s="16"/>
      <c r="L1670" s="16"/>
      <c r="M1670" s="26"/>
      <c r="N1670" s="26"/>
      <c r="O1670" s="16"/>
      <c r="P1670" s="1"/>
      <c r="Q1670" s="1"/>
      <c r="R1670" s="1"/>
      <c r="S1670" s="1"/>
      <c r="T1670" s="1"/>
      <c r="U1670" s="33"/>
      <c r="V1670" s="16"/>
      <c r="W1670" s="1"/>
      <c r="X1670" s="1"/>
    </row>
    <row r="1671" spans="1:24">
      <c r="A1671" s="1"/>
      <c r="B1671" s="16"/>
      <c r="C1671" s="16"/>
      <c r="D1671" s="16"/>
      <c r="E1671" s="16"/>
      <c r="F1671" s="16"/>
      <c r="G1671" s="16"/>
      <c r="H1671" s="16"/>
      <c r="I1671" s="16"/>
      <c r="J1671" s="16"/>
      <c r="K1671" s="16"/>
      <c r="L1671" s="16"/>
      <c r="M1671" s="26"/>
      <c r="N1671" s="26"/>
      <c r="O1671" s="16"/>
      <c r="P1671" s="1"/>
      <c r="Q1671" s="1"/>
      <c r="R1671" s="1"/>
      <c r="S1671" s="1"/>
      <c r="T1671" s="1"/>
      <c r="U1671" s="33"/>
      <c r="V1671" s="16"/>
      <c r="W1671" s="1"/>
      <c r="X1671" s="1"/>
    </row>
    <row r="1672" spans="1:24">
      <c r="A1672" s="1"/>
      <c r="B1672" s="16"/>
      <c r="C1672" s="16"/>
      <c r="D1672" s="16"/>
      <c r="E1672" s="16"/>
      <c r="F1672" s="16"/>
      <c r="G1672" s="16"/>
      <c r="H1672" s="16"/>
      <c r="I1672" s="16"/>
      <c r="J1672" s="16"/>
      <c r="K1672" s="16"/>
      <c r="L1672" s="16"/>
      <c r="M1672" s="26"/>
      <c r="N1672" s="26"/>
      <c r="O1672" s="16"/>
      <c r="P1672" s="1"/>
      <c r="Q1672" s="1"/>
      <c r="R1672" s="1"/>
      <c r="S1672" s="1"/>
      <c r="T1672" s="1"/>
      <c r="U1672" s="33"/>
      <c r="V1672" s="16"/>
      <c r="W1672" s="1"/>
      <c r="X1672" s="1"/>
    </row>
    <row r="1673" spans="1:24">
      <c r="A1673" s="1"/>
      <c r="B1673" s="16"/>
      <c r="C1673" s="16"/>
      <c r="D1673" s="16"/>
      <c r="E1673" s="16"/>
      <c r="F1673" s="16"/>
      <c r="G1673" s="16"/>
      <c r="H1673" s="16"/>
      <c r="I1673" s="16"/>
      <c r="J1673" s="16"/>
      <c r="K1673" s="16"/>
      <c r="L1673" s="16"/>
      <c r="M1673" s="26"/>
      <c r="N1673" s="26"/>
      <c r="O1673" s="16"/>
      <c r="P1673" s="1"/>
      <c r="Q1673" s="1"/>
      <c r="R1673" s="1"/>
      <c r="S1673" s="1"/>
      <c r="T1673" s="1"/>
      <c r="U1673" s="33"/>
      <c r="V1673" s="16"/>
      <c r="W1673" s="1"/>
      <c r="X1673" s="1"/>
    </row>
    <row r="1674" spans="1:24">
      <c r="A1674" s="1"/>
      <c r="B1674" s="16"/>
      <c r="C1674" s="16"/>
      <c r="D1674" s="16"/>
      <c r="E1674" s="16"/>
      <c r="F1674" s="16"/>
      <c r="G1674" s="16"/>
      <c r="H1674" s="16"/>
      <c r="I1674" s="16"/>
      <c r="J1674" s="16"/>
      <c r="K1674" s="16"/>
      <c r="L1674" s="16"/>
      <c r="M1674" s="26"/>
      <c r="N1674" s="26"/>
      <c r="O1674" s="16"/>
      <c r="P1674" s="1"/>
      <c r="Q1674" s="1"/>
      <c r="R1674" s="1"/>
      <c r="S1674" s="1"/>
      <c r="T1674" s="1"/>
      <c r="U1674" s="33"/>
      <c r="V1674" s="16"/>
      <c r="W1674" s="1"/>
      <c r="X1674" s="1"/>
    </row>
    <row r="1675" spans="1:24">
      <c r="A1675" s="1"/>
      <c r="B1675" s="16"/>
      <c r="C1675" s="16"/>
      <c r="D1675" s="16"/>
      <c r="E1675" s="16"/>
      <c r="F1675" s="16"/>
      <c r="G1675" s="16"/>
      <c r="H1675" s="16"/>
      <c r="I1675" s="16"/>
      <c r="J1675" s="16"/>
      <c r="K1675" s="16"/>
      <c r="L1675" s="16"/>
      <c r="M1675" s="26"/>
      <c r="N1675" s="26"/>
      <c r="O1675" s="16"/>
      <c r="P1675" s="1"/>
      <c r="Q1675" s="1"/>
      <c r="R1675" s="1"/>
      <c r="S1675" s="1"/>
      <c r="T1675" s="1"/>
      <c r="U1675" s="33"/>
      <c r="V1675" s="16"/>
      <c r="W1675" s="1"/>
      <c r="X1675" s="1"/>
    </row>
    <row r="1676" spans="1:24">
      <c r="A1676" s="1"/>
      <c r="B1676" s="16"/>
      <c r="C1676" s="16"/>
      <c r="D1676" s="16"/>
      <c r="E1676" s="16"/>
      <c r="F1676" s="16"/>
      <c r="G1676" s="16"/>
      <c r="H1676" s="16"/>
      <c r="I1676" s="16"/>
      <c r="J1676" s="16"/>
      <c r="K1676" s="16"/>
      <c r="L1676" s="16"/>
      <c r="M1676" s="26"/>
      <c r="N1676" s="26"/>
      <c r="O1676" s="16"/>
      <c r="P1676" s="1"/>
      <c r="Q1676" s="1"/>
      <c r="R1676" s="1"/>
      <c r="S1676" s="1"/>
      <c r="T1676" s="1"/>
      <c r="U1676" s="33"/>
      <c r="V1676" s="16"/>
      <c r="W1676" s="1"/>
      <c r="X1676" s="1"/>
    </row>
    <row r="1677" spans="1:24">
      <c r="A1677" s="1"/>
      <c r="B1677" s="16"/>
      <c r="C1677" s="16"/>
      <c r="D1677" s="16"/>
      <c r="E1677" s="16"/>
      <c r="F1677" s="16"/>
      <c r="G1677" s="16"/>
      <c r="H1677" s="16"/>
      <c r="I1677" s="16"/>
      <c r="J1677" s="16"/>
      <c r="K1677" s="16"/>
      <c r="L1677" s="16"/>
      <c r="M1677" s="26"/>
      <c r="N1677" s="26"/>
      <c r="O1677" s="16"/>
      <c r="P1677" s="1"/>
      <c r="Q1677" s="1"/>
      <c r="R1677" s="1"/>
      <c r="S1677" s="1"/>
      <c r="T1677" s="1"/>
      <c r="U1677" s="33"/>
      <c r="V1677" s="16"/>
      <c r="W1677" s="1"/>
      <c r="X1677" s="1"/>
    </row>
    <row r="1678" spans="1:24">
      <c r="A1678" s="1"/>
      <c r="B1678" s="16"/>
      <c r="C1678" s="16"/>
      <c r="D1678" s="16"/>
      <c r="E1678" s="16"/>
      <c r="F1678" s="16"/>
      <c r="G1678" s="16"/>
      <c r="H1678" s="16"/>
      <c r="I1678" s="16"/>
      <c r="J1678" s="16"/>
      <c r="K1678" s="16"/>
      <c r="L1678" s="16"/>
      <c r="M1678" s="26"/>
      <c r="N1678" s="26"/>
      <c r="O1678" s="16"/>
      <c r="P1678" s="1"/>
      <c r="Q1678" s="1"/>
      <c r="R1678" s="1"/>
      <c r="S1678" s="1"/>
      <c r="T1678" s="1"/>
      <c r="U1678" s="33"/>
      <c r="V1678" s="16"/>
      <c r="W1678" s="1"/>
      <c r="X1678" s="1"/>
    </row>
    <row r="1679" spans="1:24">
      <c r="A1679" s="1"/>
      <c r="B1679" s="16"/>
      <c r="C1679" s="16"/>
      <c r="D1679" s="16"/>
      <c r="E1679" s="16"/>
      <c r="F1679" s="16"/>
      <c r="G1679" s="16"/>
      <c r="H1679" s="16"/>
      <c r="I1679" s="16"/>
      <c r="J1679" s="16"/>
      <c r="K1679" s="16"/>
      <c r="L1679" s="16"/>
      <c r="M1679" s="26"/>
      <c r="N1679" s="26"/>
      <c r="O1679" s="16"/>
      <c r="P1679" s="1"/>
      <c r="Q1679" s="1"/>
      <c r="R1679" s="1"/>
      <c r="S1679" s="1"/>
      <c r="T1679" s="1"/>
      <c r="U1679" s="33"/>
      <c r="V1679" s="16"/>
      <c r="W1679" s="1"/>
      <c r="X1679" s="1"/>
    </row>
    <row r="1680" spans="1:24">
      <c r="A1680" s="1"/>
      <c r="B1680" s="16"/>
      <c r="C1680" s="16"/>
      <c r="D1680" s="16"/>
      <c r="E1680" s="16"/>
      <c r="F1680" s="16"/>
      <c r="G1680" s="16"/>
      <c r="H1680" s="16"/>
      <c r="I1680" s="16"/>
      <c r="J1680" s="16"/>
      <c r="K1680" s="16"/>
      <c r="L1680" s="16"/>
      <c r="M1680" s="26"/>
      <c r="N1680" s="26"/>
      <c r="O1680" s="16"/>
      <c r="P1680" s="1"/>
      <c r="Q1680" s="1"/>
      <c r="R1680" s="1"/>
      <c r="S1680" s="1"/>
      <c r="T1680" s="1"/>
      <c r="U1680" s="33"/>
      <c r="V1680" s="16"/>
      <c r="W1680" s="1"/>
      <c r="X1680" s="1"/>
    </row>
    <row r="1681" spans="1:24">
      <c r="A1681" s="1"/>
      <c r="B1681" s="16"/>
      <c r="C1681" s="16"/>
      <c r="D1681" s="16"/>
      <c r="E1681" s="16"/>
      <c r="F1681" s="16"/>
      <c r="G1681" s="16"/>
      <c r="H1681" s="16"/>
      <c r="I1681" s="16"/>
      <c r="J1681" s="16"/>
      <c r="K1681" s="16"/>
      <c r="L1681" s="16"/>
      <c r="M1681" s="26"/>
      <c r="N1681" s="26"/>
      <c r="O1681" s="16"/>
      <c r="P1681" s="1"/>
      <c r="Q1681" s="1"/>
      <c r="R1681" s="1"/>
      <c r="S1681" s="1"/>
      <c r="T1681" s="1"/>
      <c r="U1681" s="33"/>
      <c r="V1681" s="16"/>
      <c r="W1681" s="1"/>
      <c r="X1681" s="1"/>
    </row>
    <row r="1682" spans="1:24">
      <c r="A1682" s="1"/>
      <c r="B1682" s="16"/>
      <c r="C1682" s="16"/>
      <c r="D1682" s="16"/>
      <c r="E1682" s="16"/>
      <c r="F1682" s="16"/>
      <c r="G1682" s="16"/>
      <c r="H1682" s="16"/>
      <c r="I1682" s="16"/>
      <c r="J1682" s="16"/>
      <c r="K1682" s="16"/>
      <c r="L1682" s="16"/>
      <c r="M1682" s="26"/>
      <c r="N1682" s="26"/>
      <c r="O1682" s="16"/>
      <c r="P1682" s="1"/>
      <c r="Q1682" s="1"/>
      <c r="R1682" s="1"/>
      <c r="S1682" s="1"/>
      <c r="T1682" s="1"/>
      <c r="U1682" s="33"/>
      <c r="V1682" s="16"/>
      <c r="W1682" s="1"/>
      <c r="X1682" s="1"/>
    </row>
    <row r="1683" spans="1:24">
      <c r="A1683" s="1"/>
      <c r="B1683" s="16"/>
      <c r="C1683" s="16"/>
      <c r="D1683" s="16"/>
      <c r="E1683" s="16"/>
      <c r="F1683" s="16"/>
      <c r="G1683" s="16"/>
      <c r="H1683" s="16"/>
      <c r="I1683" s="16"/>
      <c r="J1683" s="16"/>
      <c r="K1683" s="16"/>
      <c r="L1683" s="16"/>
      <c r="M1683" s="26"/>
      <c r="N1683" s="26"/>
      <c r="O1683" s="16"/>
      <c r="P1683" s="1"/>
      <c r="Q1683" s="1"/>
      <c r="R1683" s="1"/>
      <c r="S1683" s="1"/>
      <c r="T1683" s="1"/>
      <c r="U1683" s="33"/>
      <c r="V1683" s="16"/>
      <c r="W1683" s="1"/>
      <c r="X1683" s="1"/>
    </row>
    <row r="1684" spans="1:24">
      <c r="A1684" s="1"/>
      <c r="B1684" s="16"/>
      <c r="C1684" s="16"/>
      <c r="D1684" s="16"/>
      <c r="E1684" s="16"/>
      <c r="F1684" s="16"/>
      <c r="G1684" s="16"/>
      <c r="H1684" s="16"/>
      <c r="I1684" s="16"/>
      <c r="J1684" s="16"/>
      <c r="K1684" s="16"/>
      <c r="L1684" s="16"/>
      <c r="M1684" s="26"/>
      <c r="N1684" s="26"/>
      <c r="O1684" s="16"/>
      <c r="P1684" s="1"/>
      <c r="Q1684" s="1"/>
      <c r="R1684" s="1"/>
      <c r="S1684" s="1"/>
      <c r="T1684" s="1"/>
      <c r="U1684" s="33"/>
      <c r="V1684" s="16"/>
      <c r="W1684" s="1"/>
      <c r="X1684" s="1"/>
    </row>
    <row r="1685" spans="1:24">
      <c r="A1685" s="1"/>
      <c r="B1685" s="16"/>
      <c r="C1685" s="16"/>
      <c r="D1685" s="16"/>
      <c r="E1685" s="16"/>
      <c r="F1685" s="16"/>
      <c r="G1685" s="16"/>
      <c r="H1685" s="16"/>
      <c r="I1685" s="16"/>
      <c r="J1685" s="16"/>
      <c r="K1685" s="16"/>
      <c r="L1685" s="16"/>
      <c r="M1685" s="26"/>
      <c r="N1685" s="26"/>
      <c r="O1685" s="16"/>
      <c r="P1685" s="1"/>
      <c r="Q1685" s="1"/>
      <c r="R1685" s="1"/>
      <c r="S1685" s="1"/>
      <c r="T1685" s="1"/>
      <c r="U1685" s="33"/>
      <c r="V1685" s="16"/>
      <c r="W1685" s="1"/>
      <c r="X1685" s="1"/>
    </row>
    <row r="1686" spans="1:24">
      <c r="A1686" s="1"/>
      <c r="B1686" s="16"/>
      <c r="C1686" s="16"/>
      <c r="D1686" s="16"/>
      <c r="E1686" s="16"/>
      <c r="F1686" s="16"/>
      <c r="G1686" s="16"/>
      <c r="H1686" s="16"/>
      <c r="I1686" s="16"/>
      <c r="J1686" s="16"/>
      <c r="K1686" s="16"/>
      <c r="L1686" s="16"/>
      <c r="M1686" s="26"/>
      <c r="N1686" s="26"/>
      <c r="O1686" s="16"/>
      <c r="P1686" s="1"/>
      <c r="Q1686" s="1"/>
      <c r="R1686" s="1"/>
      <c r="S1686" s="1"/>
      <c r="T1686" s="1"/>
      <c r="U1686" s="33"/>
      <c r="V1686" s="16"/>
      <c r="W1686" s="1"/>
      <c r="X1686" s="1"/>
    </row>
    <row r="1687" spans="1:24">
      <c r="A1687" s="1"/>
      <c r="B1687" s="16"/>
      <c r="C1687" s="16"/>
      <c r="D1687" s="16"/>
      <c r="E1687" s="16"/>
      <c r="F1687" s="16"/>
      <c r="G1687" s="16"/>
      <c r="H1687" s="16"/>
      <c r="I1687" s="16"/>
      <c r="J1687" s="16"/>
      <c r="K1687" s="16"/>
      <c r="L1687" s="16"/>
      <c r="M1687" s="26"/>
      <c r="N1687" s="26"/>
      <c r="O1687" s="16"/>
      <c r="P1687" s="1"/>
      <c r="Q1687" s="1"/>
      <c r="R1687" s="1"/>
      <c r="S1687" s="1"/>
      <c r="T1687" s="1"/>
      <c r="U1687" s="33"/>
      <c r="V1687" s="16"/>
      <c r="W1687" s="1"/>
      <c r="X1687" s="1"/>
    </row>
    <row r="1688" spans="1:24">
      <c r="A1688" s="1"/>
      <c r="B1688" s="16"/>
      <c r="C1688" s="16"/>
      <c r="D1688" s="16"/>
      <c r="E1688" s="16"/>
      <c r="F1688" s="16"/>
      <c r="G1688" s="16"/>
      <c r="H1688" s="16"/>
      <c r="I1688" s="16"/>
      <c r="J1688" s="16"/>
      <c r="K1688" s="16"/>
      <c r="L1688" s="16"/>
      <c r="M1688" s="26"/>
      <c r="N1688" s="26"/>
      <c r="O1688" s="16"/>
      <c r="P1688" s="1"/>
      <c r="Q1688" s="1"/>
      <c r="R1688" s="1"/>
      <c r="S1688" s="1"/>
      <c r="T1688" s="1"/>
      <c r="U1688" s="33"/>
      <c r="V1688" s="16"/>
      <c r="W1688" s="1"/>
      <c r="X1688" s="1"/>
    </row>
    <row r="1689" spans="1:24">
      <c r="A1689" s="1"/>
      <c r="B1689" s="16"/>
      <c r="C1689" s="16"/>
      <c r="D1689" s="16"/>
      <c r="E1689" s="16"/>
      <c r="F1689" s="16"/>
      <c r="G1689" s="16"/>
      <c r="H1689" s="16"/>
      <c r="I1689" s="16"/>
      <c r="J1689" s="16"/>
      <c r="K1689" s="16"/>
      <c r="L1689" s="16"/>
      <c r="M1689" s="26"/>
      <c r="N1689" s="26"/>
      <c r="O1689" s="16"/>
      <c r="P1689" s="1"/>
      <c r="Q1689" s="1"/>
      <c r="R1689" s="1"/>
      <c r="S1689" s="1"/>
      <c r="T1689" s="1"/>
      <c r="U1689" s="33"/>
      <c r="V1689" s="16"/>
      <c r="W1689" s="1"/>
      <c r="X1689" s="1"/>
    </row>
    <row r="1690" spans="1:24">
      <c r="A1690" s="1"/>
      <c r="B1690" s="16"/>
      <c r="C1690" s="16"/>
      <c r="D1690" s="16"/>
      <c r="E1690" s="16"/>
      <c r="F1690" s="16"/>
      <c r="G1690" s="16"/>
      <c r="H1690" s="16"/>
      <c r="I1690" s="16"/>
      <c r="J1690" s="16"/>
      <c r="K1690" s="16"/>
      <c r="L1690" s="16"/>
      <c r="M1690" s="26"/>
      <c r="N1690" s="26"/>
      <c r="O1690" s="16"/>
      <c r="P1690" s="1"/>
      <c r="Q1690" s="1"/>
      <c r="R1690" s="1"/>
      <c r="S1690" s="1"/>
      <c r="T1690" s="1"/>
      <c r="U1690" s="33"/>
      <c r="V1690" s="16"/>
      <c r="W1690" s="1"/>
      <c r="X1690" s="1"/>
    </row>
    <row r="1691" spans="1:24">
      <c r="A1691" s="1"/>
      <c r="B1691" s="16"/>
      <c r="C1691" s="16"/>
      <c r="D1691" s="16"/>
      <c r="E1691" s="16"/>
      <c r="F1691" s="16"/>
      <c r="G1691" s="16"/>
      <c r="H1691" s="16"/>
      <c r="I1691" s="16"/>
      <c r="J1691" s="16"/>
      <c r="K1691" s="16"/>
      <c r="L1691" s="16"/>
      <c r="M1691" s="26"/>
      <c r="N1691" s="26"/>
      <c r="O1691" s="16"/>
      <c r="P1691" s="1"/>
      <c r="Q1691" s="1"/>
      <c r="R1691" s="1"/>
      <c r="S1691" s="1"/>
      <c r="T1691" s="1"/>
      <c r="U1691" s="33"/>
      <c r="V1691" s="16"/>
      <c r="W1691" s="1"/>
      <c r="X1691" s="1"/>
    </row>
    <row r="1692" spans="1:24">
      <c r="A1692" s="1"/>
      <c r="B1692" s="16"/>
      <c r="C1692" s="16"/>
      <c r="D1692" s="16"/>
      <c r="E1692" s="16"/>
      <c r="F1692" s="16"/>
      <c r="G1692" s="16"/>
      <c r="H1692" s="16"/>
      <c r="I1692" s="16"/>
      <c r="J1692" s="16"/>
      <c r="K1692" s="16"/>
      <c r="L1692" s="16"/>
      <c r="M1692" s="26"/>
      <c r="N1692" s="26"/>
      <c r="O1692" s="16"/>
      <c r="P1692" s="1"/>
      <c r="Q1692" s="1"/>
      <c r="R1692" s="1"/>
      <c r="S1692" s="1"/>
      <c r="T1692" s="1"/>
      <c r="U1692" s="33"/>
      <c r="V1692" s="16"/>
      <c r="W1692" s="1"/>
      <c r="X1692" s="1"/>
    </row>
    <row r="1693" spans="1:24">
      <c r="A1693" s="1"/>
      <c r="B1693" s="16"/>
      <c r="C1693" s="16"/>
      <c r="D1693" s="16"/>
      <c r="E1693" s="16"/>
      <c r="F1693" s="16"/>
      <c r="G1693" s="16"/>
      <c r="H1693" s="16"/>
      <c r="I1693" s="16"/>
      <c r="J1693" s="16"/>
      <c r="K1693" s="16"/>
      <c r="L1693" s="16"/>
      <c r="M1693" s="26"/>
      <c r="N1693" s="26"/>
      <c r="O1693" s="16"/>
      <c r="P1693" s="1"/>
      <c r="Q1693" s="1"/>
      <c r="R1693" s="1"/>
      <c r="S1693" s="1"/>
      <c r="T1693" s="1"/>
      <c r="U1693" s="33"/>
      <c r="V1693" s="16"/>
      <c r="W1693" s="1"/>
      <c r="X1693" s="1"/>
    </row>
    <row r="1694" spans="1:24">
      <c r="A1694" s="1"/>
      <c r="B1694" s="16"/>
      <c r="C1694" s="16"/>
      <c r="D1694" s="16"/>
      <c r="E1694" s="16"/>
      <c r="F1694" s="16"/>
      <c r="G1694" s="16"/>
      <c r="H1694" s="16"/>
      <c r="I1694" s="16"/>
      <c r="J1694" s="16"/>
      <c r="K1694" s="16"/>
      <c r="L1694" s="16"/>
      <c r="M1694" s="26"/>
      <c r="N1694" s="26"/>
      <c r="O1694" s="16"/>
      <c r="P1694" s="1"/>
      <c r="Q1694" s="1"/>
      <c r="R1694" s="1"/>
      <c r="S1694" s="1"/>
      <c r="T1694" s="1"/>
      <c r="U1694" s="33"/>
      <c r="V1694" s="16"/>
      <c r="W1694" s="1"/>
      <c r="X1694" s="1"/>
    </row>
    <row r="1695" spans="1:24">
      <c r="A1695" s="1"/>
      <c r="B1695" s="16"/>
      <c r="C1695" s="16"/>
      <c r="D1695" s="16"/>
      <c r="E1695" s="16"/>
      <c r="F1695" s="16"/>
      <c r="G1695" s="16"/>
      <c r="H1695" s="16"/>
      <c r="I1695" s="16"/>
      <c r="J1695" s="16"/>
      <c r="K1695" s="16"/>
      <c r="L1695" s="16"/>
      <c r="M1695" s="26"/>
      <c r="N1695" s="26"/>
      <c r="O1695" s="16"/>
      <c r="P1695" s="1"/>
      <c r="Q1695" s="1"/>
      <c r="R1695" s="1"/>
      <c r="S1695" s="1"/>
      <c r="T1695" s="1"/>
      <c r="U1695" s="33"/>
      <c r="V1695" s="16"/>
      <c r="W1695" s="1"/>
      <c r="X1695" s="1"/>
    </row>
    <row r="1696" spans="1:24">
      <c r="A1696" s="1"/>
      <c r="B1696" s="16"/>
      <c r="C1696" s="16"/>
      <c r="D1696" s="16"/>
      <c r="E1696" s="16"/>
      <c r="F1696" s="16"/>
      <c r="G1696" s="16"/>
      <c r="H1696" s="16"/>
      <c r="I1696" s="16"/>
      <c r="J1696" s="16"/>
      <c r="K1696" s="16"/>
      <c r="L1696" s="16"/>
      <c r="M1696" s="26"/>
      <c r="N1696" s="26"/>
      <c r="O1696" s="16"/>
      <c r="P1696" s="1"/>
      <c r="Q1696" s="1"/>
      <c r="R1696" s="1"/>
      <c r="S1696" s="1"/>
      <c r="T1696" s="1"/>
      <c r="U1696" s="33"/>
      <c r="V1696" s="16"/>
      <c r="W1696" s="1"/>
      <c r="X1696" s="1"/>
    </row>
    <row r="1697" spans="1:24">
      <c r="A1697" s="1"/>
      <c r="B1697" s="16"/>
      <c r="C1697" s="16"/>
      <c r="D1697" s="16"/>
      <c r="E1697" s="16"/>
      <c r="F1697" s="16"/>
      <c r="G1697" s="16"/>
      <c r="H1697" s="16"/>
      <c r="I1697" s="16"/>
      <c r="J1697" s="16"/>
      <c r="K1697" s="16"/>
      <c r="L1697" s="16"/>
      <c r="M1697" s="26"/>
      <c r="N1697" s="26"/>
      <c r="O1697" s="16"/>
      <c r="P1697" s="1"/>
      <c r="Q1697" s="1"/>
      <c r="R1697" s="1"/>
      <c r="S1697" s="1"/>
      <c r="T1697" s="1"/>
      <c r="U1697" s="33"/>
      <c r="V1697" s="16"/>
      <c r="W1697" s="1"/>
      <c r="X1697" s="1"/>
    </row>
    <row r="1698" spans="1:24">
      <c r="A1698" s="1"/>
      <c r="B1698" s="16"/>
      <c r="C1698" s="16"/>
      <c r="D1698" s="16"/>
      <c r="E1698" s="16"/>
      <c r="F1698" s="16"/>
      <c r="G1698" s="16"/>
      <c r="H1698" s="16"/>
      <c r="I1698" s="16"/>
      <c r="J1698" s="16"/>
      <c r="K1698" s="16"/>
      <c r="L1698" s="16"/>
      <c r="M1698" s="26"/>
      <c r="N1698" s="26"/>
      <c r="O1698" s="16"/>
      <c r="P1698" s="1"/>
      <c r="Q1698" s="1"/>
      <c r="R1698" s="1"/>
      <c r="S1698" s="1"/>
      <c r="T1698" s="1"/>
      <c r="U1698" s="33"/>
      <c r="V1698" s="16"/>
      <c r="W1698" s="1"/>
      <c r="X1698" s="1"/>
    </row>
    <row r="1699" spans="1:24">
      <c r="A1699" s="1"/>
      <c r="B1699" s="16"/>
      <c r="C1699" s="16"/>
      <c r="D1699" s="16"/>
      <c r="E1699" s="16"/>
      <c r="F1699" s="16"/>
      <c r="G1699" s="16"/>
      <c r="H1699" s="16"/>
      <c r="I1699" s="16"/>
      <c r="J1699" s="16"/>
      <c r="K1699" s="16"/>
      <c r="L1699" s="16"/>
      <c r="M1699" s="26"/>
      <c r="N1699" s="26"/>
      <c r="O1699" s="16"/>
      <c r="P1699" s="1"/>
      <c r="Q1699" s="1"/>
      <c r="R1699" s="1"/>
      <c r="S1699" s="1"/>
      <c r="T1699" s="1"/>
      <c r="U1699" s="33"/>
      <c r="V1699" s="16"/>
      <c r="W1699" s="1"/>
      <c r="X1699" s="1"/>
    </row>
    <row r="1700" spans="1:24">
      <c r="A1700" s="1"/>
      <c r="B1700" s="16"/>
      <c r="C1700" s="16"/>
      <c r="D1700" s="16"/>
      <c r="E1700" s="16"/>
      <c r="F1700" s="16"/>
      <c r="G1700" s="16"/>
      <c r="H1700" s="16"/>
      <c r="I1700" s="16"/>
      <c r="J1700" s="16"/>
      <c r="K1700" s="16"/>
      <c r="L1700" s="16"/>
      <c r="M1700" s="26"/>
      <c r="N1700" s="26"/>
      <c r="O1700" s="16"/>
      <c r="P1700" s="1"/>
      <c r="Q1700" s="1"/>
      <c r="R1700" s="1"/>
      <c r="S1700" s="1"/>
      <c r="T1700" s="1"/>
      <c r="U1700" s="33"/>
      <c r="V1700" s="16"/>
      <c r="W1700" s="1"/>
      <c r="X1700" s="1"/>
    </row>
    <row r="1701" spans="1:24">
      <c r="A1701" s="1"/>
      <c r="B1701" s="16"/>
      <c r="C1701" s="16"/>
      <c r="D1701" s="16"/>
      <c r="E1701" s="16"/>
      <c r="F1701" s="16"/>
      <c r="G1701" s="16"/>
      <c r="H1701" s="16"/>
      <c r="I1701" s="16"/>
      <c r="J1701" s="16"/>
      <c r="K1701" s="16"/>
      <c r="L1701" s="16"/>
      <c r="M1701" s="26"/>
      <c r="N1701" s="26"/>
      <c r="O1701" s="16"/>
      <c r="P1701" s="1"/>
      <c r="Q1701" s="1"/>
      <c r="R1701" s="1"/>
      <c r="S1701" s="1"/>
      <c r="T1701" s="1"/>
      <c r="U1701" s="33"/>
      <c r="V1701" s="16"/>
      <c r="W1701" s="1"/>
      <c r="X1701" s="1"/>
    </row>
    <row r="1702" spans="1:24">
      <c r="A1702" s="1"/>
      <c r="B1702" s="16"/>
      <c r="C1702" s="16"/>
      <c r="D1702" s="16"/>
      <c r="E1702" s="16"/>
      <c r="F1702" s="16"/>
      <c r="G1702" s="16"/>
      <c r="H1702" s="16"/>
      <c r="I1702" s="16"/>
      <c r="J1702" s="16"/>
      <c r="K1702" s="16"/>
      <c r="L1702" s="16"/>
      <c r="M1702" s="26"/>
      <c r="N1702" s="26"/>
      <c r="O1702" s="16"/>
      <c r="P1702" s="1"/>
      <c r="Q1702" s="1"/>
      <c r="R1702" s="1"/>
      <c r="S1702" s="1"/>
      <c r="T1702" s="1"/>
      <c r="U1702" s="33"/>
      <c r="V1702" s="16"/>
      <c r="W1702" s="1"/>
      <c r="X1702" s="1"/>
    </row>
    <row r="1703" spans="1:24">
      <c r="A1703" s="1"/>
      <c r="B1703" s="16"/>
      <c r="C1703" s="16"/>
      <c r="D1703" s="16"/>
      <c r="E1703" s="16"/>
      <c r="F1703" s="16"/>
      <c r="G1703" s="16"/>
      <c r="H1703" s="16"/>
      <c r="I1703" s="16"/>
      <c r="J1703" s="16"/>
      <c r="K1703" s="16"/>
      <c r="L1703" s="16"/>
      <c r="M1703" s="26"/>
      <c r="N1703" s="26"/>
      <c r="O1703" s="16"/>
      <c r="P1703" s="1"/>
      <c r="Q1703" s="1"/>
      <c r="R1703" s="1"/>
      <c r="S1703" s="1"/>
      <c r="T1703" s="1"/>
      <c r="U1703" s="33"/>
      <c r="V1703" s="16"/>
      <c r="W1703" s="1"/>
      <c r="X1703" s="1"/>
    </row>
    <row r="1704" spans="1:24">
      <c r="A1704" s="1"/>
      <c r="B1704" s="16"/>
      <c r="C1704" s="16"/>
      <c r="D1704" s="16"/>
      <c r="E1704" s="16"/>
      <c r="F1704" s="16"/>
      <c r="G1704" s="16"/>
      <c r="H1704" s="16"/>
      <c r="I1704" s="16"/>
      <c r="J1704" s="16"/>
      <c r="K1704" s="16"/>
      <c r="L1704" s="16"/>
      <c r="M1704" s="26"/>
      <c r="N1704" s="26"/>
      <c r="O1704" s="16"/>
      <c r="P1704" s="1"/>
      <c r="Q1704" s="1"/>
      <c r="R1704" s="1"/>
      <c r="S1704" s="1"/>
      <c r="T1704" s="1"/>
      <c r="U1704" s="33"/>
      <c r="V1704" s="16"/>
      <c r="W1704" s="1"/>
      <c r="X1704" s="1"/>
    </row>
    <row r="1705" spans="1:24">
      <c r="A1705" s="1"/>
      <c r="B1705" s="16"/>
      <c r="C1705" s="16"/>
      <c r="D1705" s="16"/>
      <c r="E1705" s="16"/>
      <c r="F1705" s="16"/>
      <c r="G1705" s="16"/>
      <c r="H1705" s="16"/>
      <c r="I1705" s="16"/>
      <c r="J1705" s="16"/>
      <c r="K1705" s="16"/>
      <c r="L1705" s="16"/>
      <c r="M1705" s="26"/>
      <c r="N1705" s="26"/>
      <c r="O1705" s="16"/>
      <c r="P1705" s="1"/>
      <c r="Q1705" s="1"/>
      <c r="R1705" s="1"/>
      <c r="S1705" s="1"/>
      <c r="T1705" s="1"/>
      <c r="U1705" s="33"/>
      <c r="V1705" s="16"/>
      <c r="W1705" s="1"/>
      <c r="X1705" s="1"/>
    </row>
    <row r="1706" spans="1:24">
      <c r="A1706" s="1"/>
      <c r="B1706" s="16"/>
      <c r="C1706" s="16"/>
      <c r="D1706" s="16"/>
      <c r="E1706" s="16"/>
      <c r="F1706" s="16"/>
      <c r="G1706" s="16"/>
      <c r="H1706" s="16"/>
      <c r="I1706" s="16"/>
      <c r="J1706" s="16"/>
      <c r="K1706" s="16"/>
      <c r="L1706" s="16"/>
      <c r="M1706" s="26"/>
      <c r="N1706" s="26"/>
      <c r="O1706" s="16"/>
      <c r="P1706" s="1"/>
      <c r="Q1706" s="1"/>
      <c r="R1706" s="1"/>
      <c r="S1706" s="1"/>
      <c r="T1706" s="1"/>
      <c r="U1706" s="33"/>
      <c r="V1706" s="16"/>
      <c r="W1706" s="1"/>
      <c r="X1706" s="1"/>
    </row>
    <row r="1707" spans="1:24">
      <c r="A1707" s="1"/>
      <c r="B1707" s="16"/>
      <c r="C1707" s="16"/>
      <c r="D1707" s="16"/>
      <c r="E1707" s="16"/>
      <c r="F1707" s="16"/>
      <c r="G1707" s="16"/>
      <c r="H1707" s="16"/>
      <c r="I1707" s="16"/>
      <c r="J1707" s="16"/>
      <c r="K1707" s="16"/>
      <c r="L1707" s="16"/>
      <c r="M1707" s="26"/>
      <c r="N1707" s="26"/>
      <c r="O1707" s="16"/>
      <c r="P1707" s="1"/>
      <c r="Q1707" s="1"/>
      <c r="R1707" s="1"/>
      <c r="S1707" s="1"/>
      <c r="T1707" s="1"/>
      <c r="U1707" s="33"/>
      <c r="V1707" s="16"/>
      <c r="W1707" s="1"/>
      <c r="X1707" s="1"/>
    </row>
    <row r="1708" spans="1:24">
      <c r="A1708" s="1"/>
      <c r="B1708" s="16"/>
      <c r="C1708" s="16"/>
      <c r="D1708" s="16"/>
      <c r="E1708" s="16"/>
      <c r="F1708" s="16"/>
      <c r="G1708" s="16"/>
      <c r="H1708" s="16"/>
      <c r="I1708" s="16"/>
      <c r="J1708" s="16"/>
      <c r="K1708" s="16"/>
      <c r="L1708" s="16"/>
      <c r="M1708" s="26"/>
      <c r="N1708" s="26"/>
      <c r="O1708" s="16"/>
      <c r="P1708" s="1"/>
      <c r="Q1708" s="1"/>
      <c r="R1708" s="1"/>
      <c r="S1708" s="1"/>
      <c r="T1708" s="1"/>
      <c r="U1708" s="33"/>
      <c r="V1708" s="16"/>
      <c r="W1708" s="1"/>
      <c r="X1708" s="1"/>
    </row>
    <row r="1709" spans="1:24">
      <c r="A1709" s="1"/>
      <c r="B1709" s="16"/>
      <c r="C1709" s="16"/>
      <c r="D1709" s="16"/>
      <c r="E1709" s="16"/>
      <c r="F1709" s="16"/>
      <c r="G1709" s="16"/>
      <c r="H1709" s="16"/>
      <c r="I1709" s="16"/>
      <c r="J1709" s="16"/>
      <c r="K1709" s="16"/>
      <c r="L1709" s="16"/>
      <c r="M1709" s="26"/>
      <c r="N1709" s="26"/>
      <c r="O1709" s="16"/>
      <c r="P1709" s="1"/>
      <c r="Q1709" s="1"/>
      <c r="R1709" s="1"/>
      <c r="S1709" s="1"/>
      <c r="T1709" s="1"/>
      <c r="U1709" s="33"/>
      <c r="V1709" s="16"/>
      <c r="W1709" s="1"/>
      <c r="X1709" s="1"/>
    </row>
    <row r="1710" spans="1:24">
      <c r="A1710" s="1"/>
      <c r="B1710" s="16"/>
      <c r="C1710" s="16"/>
      <c r="D1710" s="16"/>
      <c r="E1710" s="16"/>
      <c r="F1710" s="16"/>
      <c r="G1710" s="16"/>
      <c r="H1710" s="16"/>
      <c r="I1710" s="16"/>
      <c r="J1710" s="16"/>
      <c r="K1710" s="16"/>
      <c r="L1710" s="16"/>
      <c r="M1710" s="26"/>
      <c r="N1710" s="26"/>
      <c r="O1710" s="16"/>
      <c r="P1710" s="1"/>
      <c r="Q1710" s="1"/>
      <c r="R1710" s="1"/>
      <c r="S1710" s="1"/>
      <c r="T1710" s="1"/>
      <c r="U1710" s="33"/>
      <c r="V1710" s="16"/>
      <c r="W1710" s="1"/>
      <c r="X1710" s="1"/>
    </row>
    <row r="1711" spans="1:24">
      <c r="A1711" s="1"/>
      <c r="B1711" s="16"/>
      <c r="C1711" s="16"/>
      <c r="D1711" s="16"/>
      <c r="E1711" s="16"/>
      <c r="F1711" s="16"/>
      <c r="G1711" s="16"/>
      <c r="H1711" s="16"/>
      <c r="I1711" s="16"/>
      <c r="J1711" s="16"/>
      <c r="K1711" s="16"/>
      <c r="L1711" s="16"/>
      <c r="M1711" s="26"/>
      <c r="N1711" s="26"/>
      <c r="O1711" s="16"/>
      <c r="P1711" s="1"/>
      <c r="Q1711" s="1"/>
      <c r="R1711" s="1"/>
      <c r="S1711" s="1"/>
      <c r="T1711" s="1"/>
      <c r="U1711" s="33"/>
      <c r="V1711" s="16"/>
      <c r="W1711" s="1"/>
      <c r="X1711" s="1"/>
    </row>
    <row r="1712" spans="1:24">
      <c r="A1712" s="1"/>
      <c r="B1712" s="16"/>
      <c r="C1712" s="16"/>
      <c r="D1712" s="16"/>
      <c r="E1712" s="16"/>
      <c r="F1712" s="16"/>
      <c r="G1712" s="16"/>
      <c r="H1712" s="16"/>
      <c r="I1712" s="16"/>
      <c r="J1712" s="16"/>
      <c r="K1712" s="16"/>
      <c r="L1712" s="16"/>
      <c r="M1712" s="26"/>
      <c r="N1712" s="26"/>
      <c r="O1712" s="16"/>
      <c r="P1712" s="1"/>
      <c r="Q1712" s="1"/>
      <c r="R1712" s="1"/>
      <c r="S1712" s="1"/>
      <c r="T1712" s="1"/>
      <c r="U1712" s="33"/>
      <c r="V1712" s="16"/>
      <c r="W1712" s="1"/>
      <c r="X1712" s="1"/>
    </row>
    <row r="1713" spans="1:24">
      <c r="A1713" s="1"/>
      <c r="B1713" s="16"/>
      <c r="C1713" s="16"/>
      <c r="D1713" s="16"/>
      <c r="E1713" s="16"/>
      <c r="F1713" s="16"/>
      <c r="G1713" s="16"/>
      <c r="H1713" s="16"/>
      <c r="I1713" s="16"/>
      <c r="J1713" s="16"/>
      <c r="K1713" s="16"/>
      <c r="L1713" s="16"/>
      <c r="M1713" s="26"/>
      <c r="N1713" s="26"/>
      <c r="O1713" s="16"/>
      <c r="P1713" s="1"/>
      <c r="Q1713" s="1"/>
      <c r="R1713" s="1"/>
      <c r="S1713" s="1"/>
      <c r="T1713" s="1"/>
      <c r="U1713" s="33"/>
      <c r="V1713" s="16"/>
      <c r="W1713" s="1"/>
      <c r="X1713" s="1"/>
    </row>
    <row r="1714" spans="1:24">
      <c r="A1714" s="1"/>
      <c r="B1714" s="16"/>
      <c r="C1714" s="16"/>
      <c r="D1714" s="16"/>
      <c r="E1714" s="16"/>
      <c r="F1714" s="16"/>
      <c r="G1714" s="16"/>
      <c r="H1714" s="16"/>
      <c r="I1714" s="16"/>
      <c r="J1714" s="16"/>
      <c r="K1714" s="16"/>
      <c r="L1714" s="16"/>
      <c r="M1714" s="26"/>
      <c r="N1714" s="26"/>
      <c r="O1714" s="16"/>
      <c r="P1714" s="1"/>
      <c r="Q1714" s="1"/>
      <c r="R1714" s="1"/>
      <c r="S1714" s="1"/>
      <c r="T1714" s="1"/>
      <c r="U1714" s="33"/>
      <c r="V1714" s="16"/>
      <c r="W1714" s="1"/>
      <c r="X1714" s="1"/>
    </row>
    <row r="1715" spans="1:24">
      <c r="A1715" s="1"/>
      <c r="B1715" s="16"/>
      <c r="C1715" s="16"/>
      <c r="D1715" s="16"/>
      <c r="E1715" s="16"/>
      <c r="F1715" s="16"/>
      <c r="G1715" s="16"/>
      <c r="H1715" s="16"/>
      <c r="I1715" s="16"/>
      <c r="J1715" s="16"/>
      <c r="K1715" s="16"/>
      <c r="L1715" s="16"/>
      <c r="M1715" s="26"/>
      <c r="N1715" s="26"/>
      <c r="O1715" s="16"/>
      <c r="P1715" s="1"/>
      <c r="Q1715" s="1"/>
      <c r="R1715" s="1"/>
      <c r="S1715" s="1"/>
      <c r="T1715" s="1"/>
      <c r="U1715" s="33"/>
      <c r="V1715" s="16"/>
      <c r="W1715" s="1"/>
      <c r="X1715" s="1"/>
    </row>
    <row r="1716" spans="1:24">
      <c r="A1716" s="1"/>
      <c r="B1716" s="16"/>
      <c r="C1716" s="16"/>
      <c r="D1716" s="16"/>
      <c r="E1716" s="16"/>
      <c r="F1716" s="16"/>
      <c r="G1716" s="16"/>
      <c r="H1716" s="16"/>
      <c r="I1716" s="16"/>
      <c r="J1716" s="16"/>
      <c r="K1716" s="16"/>
      <c r="L1716" s="16"/>
      <c r="M1716" s="26"/>
      <c r="N1716" s="26"/>
      <c r="O1716" s="16"/>
      <c r="P1716" s="1"/>
      <c r="Q1716" s="1"/>
      <c r="R1716" s="1"/>
      <c r="S1716" s="1"/>
      <c r="T1716" s="1"/>
      <c r="U1716" s="33"/>
      <c r="V1716" s="16"/>
      <c r="W1716" s="1"/>
      <c r="X1716" s="1"/>
    </row>
    <row r="1717" spans="1:24">
      <c r="A1717" s="1"/>
      <c r="B1717" s="16"/>
      <c r="C1717" s="16"/>
      <c r="D1717" s="16"/>
      <c r="E1717" s="16"/>
      <c r="F1717" s="16"/>
      <c r="G1717" s="16"/>
      <c r="H1717" s="16"/>
      <c r="I1717" s="16"/>
      <c r="J1717" s="16"/>
      <c r="K1717" s="16"/>
      <c r="L1717" s="16"/>
      <c r="M1717" s="26"/>
      <c r="N1717" s="26"/>
      <c r="O1717" s="16"/>
      <c r="P1717" s="1"/>
      <c r="Q1717" s="1"/>
      <c r="R1717" s="1"/>
      <c r="S1717" s="1"/>
      <c r="T1717" s="1"/>
      <c r="U1717" s="33"/>
      <c r="V1717" s="16"/>
      <c r="W1717" s="1"/>
      <c r="X1717" s="1"/>
    </row>
    <row r="1718" spans="1:24">
      <c r="A1718" s="1"/>
      <c r="B1718" s="16"/>
      <c r="C1718" s="16"/>
      <c r="D1718" s="16"/>
      <c r="E1718" s="16"/>
      <c r="F1718" s="16"/>
      <c r="G1718" s="16"/>
      <c r="H1718" s="16"/>
      <c r="I1718" s="16"/>
      <c r="J1718" s="16"/>
      <c r="K1718" s="16"/>
      <c r="L1718" s="16"/>
      <c r="M1718" s="26"/>
      <c r="N1718" s="26"/>
      <c r="O1718" s="16"/>
      <c r="P1718" s="1"/>
      <c r="Q1718" s="1"/>
      <c r="R1718" s="1"/>
      <c r="S1718" s="1"/>
      <c r="T1718" s="1"/>
      <c r="U1718" s="33"/>
      <c r="V1718" s="16"/>
      <c r="W1718" s="1"/>
      <c r="X1718" s="1"/>
    </row>
    <row r="1719" spans="1:24">
      <c r="A1719" s="1"/>
      <c r="B1719" s="16"/>
      <c r="C1719" s="16"/>
      <c r="D1719" s="16"/>
      <c r="E1719" s="16"/>
      <c r="F1719" s="16"/>
      <c r="G1719" s="16"/>
      <c r="H1719" s="16"/>
      <c r="I1719" s="16"/>
      <c r="J1719" s="16"/>
      <c r="K1719" s="16"/>
      <c r="L1719" s="16"/>
      <c r="M1719" s="26"/>
      <c r="N1719" s="26"/>
      <c r="O1719" s="16"/>
      <c r="P1719" s="1"/>
      <c r="Q1719" s="1"/>
      <c r="R1719" s="1"/>
      <c r="S1719" s="1"/>
      <c r="T1719" s="1"/>
      <c r="U1719" s="33"/>
      <c r="V1719" s="16"/>
      <c r="W1719" s="1"/>
      <c r="X1719" s="1"/>
    </row>
    <row r="1720" spans="1:24">
      <c r="A1720" s="1"/>
      <c r="B1720" s="16"/>
      <c r="C1720" s="16"/>
      <c r="D1720" s="16"/>
      <c r="E1720" s="16"/>
      <c r="F1720" s="16"/>
      <c r="G1720" s="16"/>
      <c r="H1720" s="16"/>
      <c r="I1720" s="16"/>
      <c r="J1720" s="16"/>
      <c r="K1720" s="16"/>
      <c r="L1720" s="16"/>
      <c r="M1720" s="26"/>
      <c r="N1720" s="26"/>
      <c r="O1720" s="16"/>
      <c r="P1720" s="1"/>
      <c r="Q1720" s="1"/>
      <c r="R1720" s="1"/>
      <c r="S1720" s="1"/>
      <c r="T1720" s="1"/>
      <c r="U1720" s="33"/>
      <c r="V1720" s="16"/>
      <c r="W1720" s="1"/>
      <c r="X1720" s="1"/>
    </row>
    <row r="1721" spans="1:24">
      <c r="A1721" s="1"/>
      <c r="B1721" s="16"/>
      <c r="C1721" s="16"/>
      <c r="D1721" s="16"/>
      <c r="E1721" s="16"/>
      <c r="F1721" s="16"/>
      <c r="G1721" s="16"/>
      <c r="H1721" s="16"/>
      <c r="I1721" s="16"/>
      <c r="J1721" s="16"/>
      <c r="K1721" s="16"/>
      <c r="L1721" s="16"/>
      <c r="M1721" s="26"/>
      <c r="N1721" s="26"/>
      <c r="O1721" s="16"/>
      <c r="P1721" s="1"/>
      <c r="Q1721" s="1"/>
      <c r="R1721" s="1"/>
      <c r="S1721" s="1"/>
      <c r="T1721" s="1"/>
      <c r="U1721" s="33"/>
      <c r="V1721" s="16"/>
      <c r="W1721" s="1"/>
      <c r="X1721" s="1"/>
    </row>
    <row r="1722" spans="1:24">
      <c r="A1722" s="1"/>
      <c r="B1722" s="16"/>
      <c r="C1722" s="16"/>
      <c r="D1722" s="16"/>
      <c r="E1722" s="16"/>
      <c r="F1722" s="16"/>
      <c r="G1722" s="16"/>
      <c r="H1722" s="16"/>
      <c r="I1722" s="16"/>
      <c r="J1722" s="16"/>
      <c r="K1722" s="16"/>
      <c r="L1722" s="16"/>
      <c r="M1722" s="26"/>
      <c r="N1722" s="26"/>
      <c r="O1722" s="16"/>
      <c r="P1722" s="1"/>
      <c r="Q1722" s="1"/>
      <c r="R1722" s="1"/>
      <c r="S1722" s="1"/>
      <c r="T1722" s="1"/>
      <c r="U1722" s="33"/>
      <c r="V1722" s="16"/>
      <c r="W1722" s="1"/>
      <c r="X1722" s="1"/>
    </row>
    <row r="1723" spans="1:24">
      <c r="A1723" s="1"/>
      <c r="B1723" s="16"/>
      <c r="C1723" s="16"/>
      <c r="D1723" s="16"/>
      <c r="E1723" s="16"/>
      <c r="F1723" s="16"/>
      <c r="G1723" s="16"/>
      <c r="H1723" s="16"/>
      <c r="I1723" s="16"/>
      <c r="J1723" s="16"/>
      <c r="K1723" s="16"/>
      <c r="L1723" s="16"/>
      <c r="M1723" s="26"/>
      <c r="N1723" s="26"/>
      <c r="O1723" s="16"/>
      <c r="P1723" s="1"/>
      <c r="Q1723" s="1"/>
      <c r="R1723" s="1"/>
      <c r="S1723" s="1"/>
      <c r="T1723" s="1"/>
      <c r="U1723" s="33"/>
      <c r="V1723" s="16"/>
      <c r="W1723" s="1"/>
      <c r="X1723" s="1"/>
    </row>
    <row r="1724" spans="1:24">
      <c r="A1724" s="1"/>
      <c r="B1724" s="16"/>
      <c r="C1724" s="16"/>
      <c r="D1724" s="16"/>
      <c r="E1724" s="16"/>
      <c r="F1724" s="16"/>
      <c r="G1724" s="16"/>
      <c r="H1724" s="16"/>
      <c r="I1724" s="16"/>
      <c r="J1724" s="16"/>
      <c r="K1724" s="16"/>
      <c r="L1724" s="16"/>
      <c r="M1724" s="26"/>
      <c r="N1724" s="26"/>
      <c r="O1724" s="16"/>
      <c r="P1724" s="1"/>
      <c r="Q1724" s="1"/>
      <c r="R1724" s="1"/>
      <c r="S1724" s="1"/>
      <c r="T1724" s="1"/>
      <c r="U1724" s="33"/>
      <c r="V1724" s="16"/>
      <c r="W1724" s="1"/>
      <c r="X1724" s="1"/>
    </row>
    <row r="1725" spans="1:24">
      <c r="A1725" s="1"/>
      <c r="B1725" s="16"/>
      <c r="C1725" s="16"/>
      <c r="D1725" s="16"/>
      <c r="E1725" s="16"/>
      <c r="F1725" s="16"/>
      <c r="G1725" s="16"/>
      <c r="H1725" s="16"/>
      <c r="I1725" s="16"/>
      <c r="J1725" s="16"/>
      <c r="K1725" s="16"/>
      <c r="L1725" s="16"/>
      <c r="M1725" s="26"/>
      <c r="N1725" s="26"/>
      <c r="O1725" s="16"/>
      <c r="P1725" s="1"/>
      <c r="Q1725" s="1"/>
      <c r="R1725" s="1"/>
      <c r="S1725" s="1"/>
      <c r="T1725" s="1"/>
      <c r="U1725" s="33"/>
      <c r="V1725" s="16"/>
      <c r="W1725" s="1"/>
      <c r="X1725" s="1"/>
    </row>
    <row r="1726" spans="1:24">
      <c r="A1726" s="1"/>
      <c r="B1726" s="16"/>
      <c r="C1726" s="16"/>
      <c r="D1726" s="16"/>
      <c r="E1726" s="16"/>
      <c r="F1726" s="16"/>
      <c r="G1726" s="16"/>
      <c r="H1726" s="16"/>
      <c r="I1726" s="16"/>
      <c r="J1726" s="16"/>
      <c r="K1726" s="16"/>
      <c r="L1726" s="16"/>
      <c r="M1726" s="26"/>
      <c r="N1726" s="26"/>
      <c r="O1726" s="16"/>
      <c r="P1726" s="1"/>
      <c r="Q1726" s="1"/>
      <c r="R1726" s="1"/>
      <c r="S1726" s="1"/>
      <c r="T1726" s="1"/>
      <c r="U1726" s="33"/>
      <c r="V1726" s="16"/>
      <c r="W1726" s="1"/>
      <c r="X1726" s="1"/>
    </row>
    <row r="1727" spans="1:24">
      <c r="A1727" s="1"/>
      <c r="B1727" s="16"/>
      <c r="C1727" s="16"/>
      <c r="D1727" s="16"/>
      <c r="E1727" s="16"/>
      <c r="F1727" s="16"/>
      <c r="G1727" s="16"/>
      <c r="H1727" s="16"/>
      <c r="I1727" s="16"/>
      <c r="J1727" s="16"/>
      <c r="K1727" s="16"/>
      <c r="L1727" s="16"/>
      <c r="M1727" s="26"/>
      <c r="N1727" s="26"/>
      <c r="O1727" s="16"/>
      <c r="P1727" s="1"/>
      <c r="Q1727" s="1"/>
      <c r="R1727" s="1"/>
      <c r="S1727" s="1"/>
      <c r="T1727" s="1"/>
      <c r="U1727" s="33"/>
      <c r="V1727" s="16"/>
      <c r="W1727" s="1"/>
      <c r="X1727" s="1"/>
    </row>
    <row r="1728" spans="1:24">
      <c r="A1728" s="1"/>
      <c r="B1728" s="16"/>
      <c r="C1728" s="16"/>
      <c r="D1728" s="16"/>
      <c r="E1728" s="16"/>
      <c r="F1728" s="16"/>
      <c r="G1728" s="16"/>
      <c r="H1728" s="16"/>
      <c r="I1728" s="16"/>
      <c r="J1728" s="16"/>
      <c r="K1728" s="16"/>
      <c r="L1728" s="16"/>
      <c r="M1728" s="26"/>
      <c r="N1728" s="26"/>
      <c r="O1728" s="16"/>
      <c r="P1728" s="1"/>
      <c r="Q1728" s="1"/>
      <c r="R1728" s="1"/>
      <c r="S1728" s="1"/>
      <c r="T1728" s="1"/>
      <c r="U1728" s="33"/>
      <c r="V1728" s="16"/>
      <c r="W1728" s="1"/>
      <c r="X1728" s="1"/>
    </row>
    <row r="1729" spans="1:24">
      <c r="A1729" s="1"/>
      <c r="B1729" s="16"/>
      <c r="C1729" s="16"/>
      <c r="D1729" s="16"/>
      <c r="E1729" s="16"/>
      <c r="F1729" s="16"/>
      <c r="G1729" s="16"/>
      <c r="H1729" s="16"/>
      <c r="I1729" s="16"/>
      <c r="J1729" s="16"/>
      <c r="K1729" s="16"/>
      <c r="L1729" s="16"/>
      <c r="M1729" s="26"/>
      <c r="N1729" s="26"/>
      <c r="O1729" s="16"/>
      <c r="P1729" s="1"/>
      <c r="Q1729" s="1"/>
      <c r="R1729" s="1"/>
      <c r="S1729" s="1"/>
      <c r="T1729" s="1"/>
      <c r="U1729" s="33"/>
      <c r="V1729" s="16"/>
      <c r="W1729" s="1"/>
      <c r="X1729" s="1"/>
    </row>
    <row r="1730" spans="1:24">
      <c r="A1730" s="1"/>
      <c r="B1730" s="16"/>
      <c r="C1730" s="16"/>
      <c r="D1730" s="16"/>
      <c r="E1730" s="16"/>
      <c r="F1730" s="16"/>
      <c r="G1730" s="16"/>
      <c r="H1730" s="16"/>
      <c r="I1730" s="16"/>
      <c r="J1730" s="16"/>
      <c r="K1730" s="16"/>
      <c r="L1730" s="16"/>
      <c r="M1730" s="26"/>
      <c r="N1730" s="26"/>
      <c r="O1730" s="16"/>
      <c r="P1730" s="1"/>
      <c r="Q1730" s="1"/>
      <c r="R1730" s="1"/>
      <c r="S1730" s="1"/>
      <c r="T1730" s="1"/>
      <c r="U1730" s="33"/>
      <c r="V1730" s="16"/>
      <c r="W1730" s="1"/>
      <c r="X1730" s="1"/>
    </row>
    <row r="1731" spans="1:24">
      <c r="A1731" s="1"/>
      <c r="B1731" s="16"/>
      <c r="C1731" s="16"/>
      <c r="D1731" s="16"/>
      <c r="E1731" s="16"/>
      <c r="F1731" s="16"/>
      <c r="G1731" s="16"/>
      <c r="H1731" s="16"/>
      <c r="I1731" s="16"/>
      <c r="J1731" s="16"/>
      <c r="K1731" s="16"/>
      <c r="L1731" s="16"/>
      <c r="M1731" s="26"/>
      <c r="N1731" s="26"/>
      <c r="O1731" s="16"/>
      <c r="P1731" s="1"/>
      <c r="Q1731" s="1"/>
      <c r="R1731" s="1"/>
      <c r="S1731" s="1"/>
      <c r="T1731" s="1"/>
      <c r="U1731" s="33"/>
      <c r="V1731" s="16"/>
      <c r="W1731" s="1"/>
      <c r="X1731" s="1"/>
    </row>
    <row r="1732" spans="1:24">
      <c r="A1732" s="1"/>
      <c r="B1732" s="16"/>
      <c r="C1732" s="16"/>
      <c r="D1732" s="16"/>
      <c r="E1732" s="16"/>
      <c r="F1732" s="16"/>
      <c r="G1732" s="16"/>
      <c r="H1732" s="16"/>
      <c r="I1732" s="16"/>
      <c r="J1732" s="16"/>
      <c r="K1732" s="16"/>
      <c r="L1732" s="16"/>
      <c r="M1732" s="26"/>
      <c r="N1732" s="26"/>
      <c r="O1732" s="16"/>
      <c r="P1732" s="1"/>
      <c r="Q1732" s="1"/>
      <c r="R1732" s="1"/>
      <c r="S1732" s="1"/>
      <c r="T1732" s="1"/>
      <c r="U1732" s="33"/>
      <c r="V1732" s="16"/>
      <c r="W1732" s="1"/>
      <c r="X1732" s="1"/>
    </row>
    <row r="1733" spans="1:24">
      <c r="A1733" s="1"/>
      <c r="B1733" s="16"/>
      <c r="C1733" s="16"/>
      <c r="D1733" s="16"/>
      <c r="E1733" s="16"/>
      <c r="F1733" s="16"/>
      <c r="G1733" s="16"/>
      <c r="H1733" s="16"/>
      <c r="I1733" s="16"/>
      <c r="J1733" s="16"/>
      <c r="K1733" s="16"/>
      <c r="L1733" s="16"/>
      <c r="M1733" s="26"/>
      <c r="N1733" s="26"/>
      <c r="O1733" s="16"/>
      <c r="P1733" s="1"/>
      <c r="Q1733" s="1"/>
      <c r="R1733" s="1"/>
      <c r="S1733" s="1"/>
      <c r="T1733" s="1"/>
      <c r="U1733" s="33"/>
      <c r="V1733" s="16"/>
      <c r="W1733" s="1"/>
      <c r="X1733" s="1"/>
    </row>
    <row r="1734" spans="1:24">
      <c r="A1734" s="1"/>
      <c r="B1734" s="16"/>
      <c r="C1734" s="16"/>
      <c r="D1734" s="16"/>
      <c r="E1734" s="16"/>
      <c r="F1734" s="16"/>
      <c r="G1734" s="16"/>
      <c r="H1734" s="16"/>
      <c r="I1734" s="16"/>
      <c r="J1734" s="16"/>
      <c r="K1734" s="16"/>
      <c r="L1734" s="16"/>
      <c r="M1734" s="26"/>
      <c r="N1734" s="26"/>
      <c r="O1734" s="16"/>
      <c r="P1734" s="1"/>
      <c r="Q1734" s="1"/>
      <c r="R1734" s="1"/>
      <c r="S1734" s="1"/>
      <c r="T1734" s="1"/>
      <c r="U1734" s="33"/>
      <c r="V1734" s="16"/>
      <c r="W1734" s="1"/>
      <c r="X1734" s="1"/>
    </row>
    <row r="1735" spans="1:24">
      <c r="A1735" s="1"/>
      <c r="B1735" s="16"/>
      <c r="C1735" s="16"/>
      <c r="D1735" s="16"/>
      <c r="E1735" s="16"/>
      <c r="F1735" s="16"/>
      <c r="G1735" s="16"/>
      <c r="H1735" s="16"/>
      <c r="I1735" s="16"/>
      <c r="J1735" s="16"/>
      <c r="K1735" s="16"/>
      <c r="L1735" s="16"/>
      <c r="M1735" s="26"/>
      <c r="N1735" s="26"/>
      <c r="O1735" s="16"/>
      <c r="P1735" s="1"/>
      <c r="Q1735" s="1"/>
      <c r="R1735" s="1"/>
      <c r="S1735" s="1"/>
      <c r="T1735" s="1"/>
      <c r="U1735" s="33"/>
      <c r="V1735" s="16"/>
      <c r="W1735" s="1"/>
      <c r="X1735" s="1"/>
    </row>
    <row r="1736" spans="1:24">
      <c r="A1736" s="1"/>
      <c r="B1736" s="16"/>
      <c r="C1736" s="16"/>
      <c r="D1736" s="16"/>
      <c r="E1736" s="16"/>
      <c r="F1736" s="16"/>
      <c r="G1736" s="16"/>
      <c r="H1736" s="16"/>
      <c r="I1736" s="16"/>
      <c r="J1736" s="16"/>
      <c r="K1736" s="16"/>
      <c r="L1736" s="16"/>
      <c r="M1736" s="26"/>
      <c r="N1736" s="26"/>
      <c r="O1736" s="16"/>
      <c r="P1736" s="1"/>
      <c r="Q1736" s="1"/>
      <c r="R1736" s="1"/>
      <c r="S1736" s="1"/>
      <c r="T1736" s="1"/>
      <c r="U1736" s="33"/>
      <c r="V1736" s="16"/>
      <c r="W1736" s="1"/>
      <c r="X1736" s="1"/>
    </row>
    <row r="1737" spans="1:24">
      <c r="A1737" s="1"/>
      <c r="B1737" s="16"/>
      <c r="C1737" s="16"/>
      <c r="D1737" s="16"/>
      <c r="E1737" s="16"/>
      <c r="F1737" s="16"/>
      <c r="G1737" s="16"/>
      <c r="H1737" s="16"/>
      <c r="I1737" s="16"/>
      <c r="J1737" s="16"/>
      <c r="K1737" s="16"/>
      <c r="L1737" s="16"/>
      <c r="M1737" s="26"/>
      <c r="N1737" s="26"/>
      <c r="O1737" s="16"/>
      <c r="P1737" s="1"/>
      <c r="Q1737" s="1"/>
      <c r="R1737" s="1"/>
      <c r="S1737" s="1"/>
      <c r="T1737" s="1"/>
      <c r="U1737" s="33"/>
      <c r="V1737" s="16"/>
      <c r="W1737" s="1"/>
      <c r="X1737" s="1"/>
    </row>
    <row r="1738" spans="1:24">
      <c r="A1738" s="1"/>
      <c r="B1738" s="16"/>
      <c r="C1738" s="16"/>
      <c r="D1738" s="16"/>
      <c r="E1738" s="16"/>
      <c r="F1738" s="16"/>
      <c r="G1738" s="16"/>
      <c r="H1738" s="16"/>
      <c r="I1738" s="16"/>
      <c r="J1738" s="16"/>
      <c r="K1738" s="16"/>
      <c r="L1738" s="16"/>
      <c r="M1738" s="26"/>
      <c r="N1738" s="26"/>
      <c r="O1738" s="16"/>
      <c r="P1738" s="1"/>
      <c r="Q1738" s="1"/>
      <c r="R1738" s="1"/>
      <c r="S1738" s="1"/>
      <c r="T1738" s="1"/>
      <c r="U1738" s="33"/>
      <c r="V1738" s="16"/>
      <c r="W1738" s="1"/>
      <c r="X1738" s="1"/>
    </row>
    <row r="1739" spans="1:24">
      <c r="A1739" s="1"/>
      <c r="B1739" s="16"/>
      <c r="C1739" s="16"/>
      <c r="D1739" s="16"/>
      <c r="E1739" s="16"/>
      <c r="F1739" s="16"/>
      <c r="G1739" s="16"/>
      <c r="H1739" s="16"/>
      <c r="I1739" s="16"/>
      <c r="J1739" s="16"/>
      <c r="K1739" s="16"/>
      <c r="L1739" s="16"/>
      <c r="M1739" s="26"/>
      <c r="N1739" s="26"/>
      <c r="O1739" s="16"/>
      <c r="P1739" s="1"/>
      <c r="Q1739" s="1"/>
      <c r="R1739" s="1"/>
      <c r="S1739" s="1"/>
      <c r="T1739" s="1"/>
      <c r="U1739" s="33"/>
      <c r="V1739" s="16"/>
      <c r="W1739" s="1"/>
      <c r="X1739" s="1"/>
    </row>
    <row r="1740" spans="1:24">
      <c r="A1740" s="1"/>
      <c r="B1740" s="16"/>
      <c r="C1740" s="16"/>
      <c r="D1740" s="16"/>
      <c r="E1740" s="16"/>
      <c r="F1740" s="16"/>
      <c r="G1740" s="16"/>
      <c r="H1740" s="16"/>
      <c r="I1740" s="16"/>
      <c r="J1740" s="16"/>
      <c r="K1740" s="16"/>
      <c r="L1740" s="16"/>
      <c r="M1740" s="26"/>
      <c r="N1740" s="26"/>
      <c r="O1740" s="16"/>
      <c r="P1740" s="1"/>
      <c r="Q1740" s="1"/>
      <c r="R1740" s="1"/>
      <c r="S1740" s="1"/>
      <c r="T1740" s="1"/>
      <c r="U1740" s="33"/>
      <c r="V1740" s="16"/>
      <c r="W1740" s="1"/>
      <c r="X1740" s="1"/>
    </row>
    <row r="1741" spans="1:24">
      <c r="A1741" s="1"/>
      <c r="B1741" s="16"/>
      <c r="C1741" s="16"/>
      <c r="D1741" s="16"/>
      <c r="E1741" s="16"/>
      <c r="F1741" s="16"/>
      <c r="G1741" s="16"/>
      <c r="H1741" s="16"/>
      <c r="I1741" s="16"/>
      <c r="J1741" s="16"/>
      <c r="K1741" s="16"/>
      <c r="L1741" s="16"/>
      <c r="M1741" s="26"/>
      <c r="N1741" s="26"/>
      <c r="O1741" s="16"/>
      <c r="P1741" s="1"/>
      <c r="Q1741" s="1"/>
      <c r="R1741" s="1"/>
      <c r="S1741" s="1"/>
      <c r="T1741" s="1"/>
      <c r="U1741" s="33"/>
      <c r="V1741" s="16"/>
      <c r="W1741" s="1"/>
      <c r="X1741" s="1"/>
    </row>
    <row r="1742" spans="1:24">
      <c r="A1742" s="1"/>
      <c r="B1742" s="16"/>
      <c r="C1742" s="16"/>
      <c r="D1742" s="16"/>
      <c r="E1742" s="16"/>
      <c r="F1742" s="16"/>
      <c r="G1742" s="16"/>
      <c r="H1742" s="16"/>
      <c r="I1742" s="16"/>
      <c r="J1742" s="16"/>
      <c r="K1742" s="16"/>
      <c r="L1742" s="16"/>
      <c r="M1742" s="26"/>
      <c r="N1742" s="26"/>
      <c r="O1742" s="16"/>
      <c r="P1742" s="1"/>
      <c r="Q1742" s="1"/>
      <c r="R1742" s="1"/>
      <c r="S1742" s="1"/>
      <c r="T1742" s="1"/>
      <c r="U1742" s="33"/>
      <c r="V1742" s="16"/>
      <c r="W1742" s="1"/>
      <c r="X1742" s="1"/>
    </row>
    <row r="1743" spans="1:24">
      <c r="A1743" s="1"/>
      <c r="B1743" s="16"/>
      <c r="C1743" s="16"/>
      <c r="D1743" s="16"/>
      <c r="E1743" s="16"/>
      <c r="F1743" s="16"/>
      <c r="G1743" s="16"/>
      <c r="H1743" s="16"/>
      <c r="I1743" s="16"/>
      <c r="J1743" s="16"/>
      <c r="K1743" s="16"/>
      <c r="L1743" s="16"/>
      <c r="M1743" s="26"/>
      <c r="N1743" s="26"/>
      <c r="O1743" s="16"/>
      <c r="P1743" s="1"/>
      <c r="Q1743" s="1"/>
      <c r="R1743" s="1"/>
      <c r="S1743" s="1"/>
      <c r="T1743" s="1"/>
      <c r="U1743" s="33"/>
      <c r="V1743" s="16"/>
      <c r="W1743" s="1"/>
      <c r="X1743" s="1"/>
    </row>
    <row r="1744" spans="1:24">
      <c r="A1744" s="1"/>
      <c r="B1744" s="16"/>
      <c r="C1744" s="16"/>
      <c r="D1744" s="16"/>
      <c r="E1744" s="16"/>
      <c r="F1744" s="16"/>
      <c r="G1744" s="16"/>
      <c r="H1744" s="16"/>
      <c r="I1744" s="16"/>
      <c r="J1744" s="16"/>
      <c r="K1744" s="16"/>
      <c r="L1744" s="16"/>
      <c r="M1744" s="26"/>
      <c r="N1744" s="26"/>
      <c r="O1744" s="16"/>
      <c r="P1744" s="1"/>
      <c r="Q1744" s="1"/>
      <c r="R1744" s="1"/>
      <c r="S1744" s="1"/>
      <c r="T1744" s="1"/>
      <c r="U1744" s="33"/>
      <c r="V1744" s="16"/>
      <c r="W1744" s="1"/>
      <c r="X1744" s="1"/>
    </row>
    <row r="1745" spans="1:24">
      <c r="A1745" s="1"/>
      <c r="B1745" s="16"/>
      <c r="C1745" s="16"/>
      <c r="D1745" s="16"/>
      <c r="E1745" s="16"/>
      <c r="F1745" s="16"/>
      <c r="G1745" s="16"/>
      <c r="H1745" s="16"/>
      <c r="I1745" s="16"/>
      <c r="J1745" s="16"/>
      <c r="K1745" s="16"/>
      <c r="L1745" s="16"/>
      <c r="M1745" s="26"/>
      <c r="N1745" s="26"/>
      <c r="O1745" s="16"/>
      <c r="P1745" s="1"/>
      <c r="Q1745" s="1"/>
      <c r="R1745" s="1"/>
      <c r="S1745" s="1"/>
      <c r="T1745" s="1"/>
      <c r="U1745" s="33"/>
      <c r="V1745" s="16"/>
      <c r="W1745" s="1"/>
      <c r="X1745" s="1"/>
    </row>
    <row r="1746" spans="1:24">
      <c r="A1746" s="1"/>
      <c r="B1746" s="16"/>
      <c r="C1746" s="16"/>
      <c r="D1746" s="16"/>
      <c r="E1746" s="16"/>
      <c r="F1746" s="16"/>
      <c r="G1746" s="16"/>
      <c r="H1746" s="16"/>
      <c r="I1746" s="16"/>
      <c r="J1746" s="16"/>
      <c r="K1746" s="16"/>
      <c r="L1746" s="16"/>
      <c r="M1746" s="26"/>
      <c r="N1746" s="26"/>
      <c r="O1746" s="16"/>
      <c r="P1746" s="1"/>
      <c r="Q1746" s="1"/>
      <c r="R1746" s="1"/>
      <c r="S1746" s="1"/>
      <c r="T1746" s="1"/>
      <c r="U1746" s="33"/>
      <c r="V1746" s="16"/>
      <c r="W1746" s="1"/>
      <c r="X1746" s="1"/>
    </row>
    <row r="1747" spans="1:24">
      <c r="A1747" s="1"/>
      <c r="B1747" s="16"/>
      <c r="C1747" s="16"/>
      <c r="D1747" s="16"/>
      <c r="E1747" s="16"/>
      <c r="F1747" s="16"/>
      <c r="G1747" s="16"/>
      <c r="H1747" s="16"/>
      <c r="I1747" s="16"/>
      <c r="J1747" s="16"/>
      <c r="K1747" s="16"/>
      <c r="L1747" s="16"/>
      <c r="M1747" s="26"/>
      <c r="N1747" s="26"/>
      <c r="O1747" s="16"/>
      <c r="P1747" s="1"/>
      <c r="Q1747" s="1"/>
      <c r="R1747" s="1"/>
      <c r="S1747" s="1"/>
      <c r="T1747" s="1"/>
      <c r="U1747" s="33"/>
      <c r="V1747" s="16"/>
      <c r="W1747" s="1"/>
      <c r="X1747" s="1"/>
    </row>
    <row r="1748" spans="1:24">
      <c r="A1748" s="1"/>
      <c r="B1748" s="16"/>
      <c r="C1748" s="16"/>
      <c r="D1748" s="16"/>
      <c r="E1748" s="16"/>
      <c r="F1748" s="16"/>
      <c r="G1748" s="16"/>
      <c r="H1748" s="16"/>
      <c r="I1748" s="16"/>
      <c r="J1748" s="16"/>
      <c r="K1748" s="16"/>
      <c r="L1748" s="16"/>
      <c r="M1748" s="26"/>
      <c r="N1748" s="26"/>
      <c r="O1748" s="16"/>
      <c r="P1748" s="1"/>
      <c r="Q1748" s="1"/>
      <c r="R1748" s="1"/>
      <c r="S1748" s="1"/>
      <c r="T1748" s="1"/>
      <c r="U1748" s="33"/>
      <c r="V1748" s="16"/>
      <c r="W1748" s="1"/>
      <c r="X1748" s="1"/>
    </row>
    <row r="1749" spans="1:24">
      <c r="A1749" s="1"/>
      <c r="B1749" s="16"/>
      <c r="C1749" s="16"/>
      <c r="D1749" s="16"/>
      <c r="E1749" s="16"/>
      <c r="F1749" s="16"/>
      <c r="G1749" s="16"/>
      <c r="H1749" s="16"/>
      <c r="I1749" s="16"/>
      <c r="J1749" s="16"/>
      <c r="K1749" s="16"/>
      <c r="L1749" s="16"/>
      <c r="M1749" s="26"/>
      <c r="N1749" s="26"/>
      <c r="O1749" s="16"/>
      <c r="P1749" s="1"/>
      <c r="Q1749" s="1"/>
      <c r="R1749" s="1"/>
      <c r="S1749" s="1"/>
      <c r="T1749" s="1"/>
      <c r="U1749" s="33"/>
      <c r="V1749" s="16"/>
      <c r="W1749" s="1"/>
      <c r="X1749" s="1"/>
    </row>
    <row r="1750" spans="1:24">
      <c r="A1750" s="1"/>
      <c r="B1750" s="16"/>
      <c r="C1750" s="16"/>
      <c r="D1750" s="16"/>
      <c r="E1750" s="16"/>
      <c r="F1750" s="16"/>
      <c r="G1750" s="16"/>
      <c r="H1750" s="16"/>
      <c r="I1750" s="16"/>
      <c r="J1750" s="16"/>
      <c r="K1750" s="16"/>
      <c r="L1750" s="16"/>
      <c r="M1750" s="26"/>
      <c r="N1750" s="26"/>
      <c r="O1750" s="16"/>
      <c r="P1750" s="1"/>
      <c r="Q1750" s="1"/>
      <c r="R1750" s="1"/>
      <c r="S1750" s="1"/>
      <c r="T1750" s="1"/>
      <c r="U1750" s="33"/>
      <c r="V1750" s="16"/>
      <c r="W1750" s="1"/>
      <c r="X1750" s="1"/>
    </row>
    <row r="1751" spans="1:24">
      <c r="A1751" s="1"/>
      <c r="B1751" s="16"/>
      <c r="C1751" s="16"/>
      <c r="D1751" s="16"/>
      <c r="E1751" s="16"/>
      <c r="F1751" s="16"/>
      <c r="G1751" s="16"/>
      <c r="H1751" s="16"/>
      <c r="I1751" s="16"/>
      <c r="J1751" s="16"/>
      <c r="K1751" s="16"/>
      <c r="L1751" s="16"/>
      <c r="M1751" s="26"/>
      <c r="N1751" s="26"/>
      <c r="O1751" s="16"/>
      <c r="P1751" s="1"/>
      <c r="Q1751" s="1"/>
      <c r="R1751" s="1"/>
      <c r="S1751" s="1"/>
      <c r="T1751" s="1"/>
      <c r="U1751" s="33"/>
      <c r="V1751" s="16"/>
      <c r="W1751" s="1"/>
      <c r="X1751" s="1"/>
    </row>
    <row r="1752" spans="1:24">
      <c r="A1752" s="1"/>
      <c r="B1752" s="16"/>
      <c r="C1752" s="16"/>
      <c r="D1752" s="16"/>
      <c r="E1752" s="16"/>
      <c r="F1752" s="16"/>
      <c r="G1752" s="16"/>
      <c r="H1752" s="16"/>
      <c r="I1752" s="16"/>
      <c r="J1752" s="16"/>
      <c r="K1752" s="16"/>
      <c r="L1752" s="16"/>
      <c r="M1752" s="26"/>
      <c r="N1752" s="26"/>
      <c r="O1752" s="16"/>
      <c r="P1752" s="1"/>
      <c r="Q1752" s="1"/>
      <c r="R1752" s="1"/>
      <c r="S1752" s="1"/>
      <c r="T1752" s="1"/>
      <c r="U1752" s="33"/>
      <c r="V1752" s="16"/>
      <c r="W1752" s="1"/>
      <c r="X1752" s="1"/>
    </row>
    <row r="1753" spans="1:24">
      <c r="A1753" s="1"/>
      <c r="B1753" s="16"/>
      <c r="C1753" s="16"/>
      <c r="D1753" s="16"/>
      <c r="E1753" s="16"/>
      <c r="F1753" s="16"/>
      <c r="G1753" s="16"/>
      <c r="H1753" s="16"/>
      <c r="I1753" s="16"/>
      <c r="J1753" s="16"/>
      <c r="K1753" s="16"/>
      <c r="L1753" s="16"/>
      <c r="M1753" s="26"/>
      <c r="N1753" s="26"/>
      <c r="O1753" s="16"/>
      <c r="P1753" s="1"/>
      <c r="Q1753" s="1"/>
      <c r="R1753" s="1"/>
      <c r="S1753" s="1"/>
      <c r="T1753" s="1"/>
      <c r="U1753" s="33"/>
      <c r="V1753" s="16"/>
      <c r="W1753" s="1"/>
      <c r="X1753" s="1"/>
    </row>
    <row r="1754" spans="1:24">
      <c r="A1754" s="1"/>
      <c r="B1754" s="16"/>
      <c r="C1754" s="16"/>
      <c r="D1754" s="16"/>
      <c r="E1754" s="16"/>
      <c r="F1754" s="16"/>
      <c r="G1754" s="16"/>
      <c r="H1754" s="16"/>
      <c r="I1754" s="16"/>
      <c r="J1754" s="16"/>
      <c r="K1754" s="16"/>
      <c r="L1754" s="16"/>
      <c r="M1754" s="26"/>
      <c r="N1754" s="26"/>
      <c r="O1754" s="16"/>
      <c r="P1754" s="1"/>
      <c r="Q1754" s="1"/>
      <c r="R1754" s="1"/>
      <c r="S1754" s="1"/>
      <c r="T1754" s="1"/>
      <c r="U1754" s="33"/>
      <c r="V1754" s="16"/>
      <c r="W1754" s="1"/>
      <c r="X1754" s="1"/>
    </row>
    <row r="1755" spans="1:24">
      <c r="A1755" s="1"/>
      <c r="B1755" s="16"/>
      <c r="C1755" s="16"/>
      <c r="D1755" s="16"/>
      <c r="E1755" s="16"/>
      <c r="F1755" s="16"/>
      <c r="G1755" s="16"/>
      <c r="H1755" s="16"/>
      <c r="I1755" s="16"/>
      <c r="J1755" s="16"/>
      <c r="K1755" s="16"/>
      <c r="L1755" s="16"/>
      <c r="M1755" s="26"/>
      <c r="N1755" s="26"/>
      <c r="O1755" s="16"/>
      <c r="P1755" s="1"/>
      <c r="Q1755" s="1"/>
      <c r="R1755" s="1"/>
      <c r="S1755" s="1"/>
      <c r="T1755" s="1"/>
      <c r="U1755" s="33"/>
      <c r="V1755" s="16"/>
      <c r="W1755" s="1"/>
      <c r="X1755" s="1"/>
    </row>
    <row r="1756" spans="1:24">
      <c r="A1756" s="1"/>
      <c r="B1756" s="16"/>
      <c r="C1756" s="16"/>
      <c r="D1756" s="16"/>
      <c r="E1756" s="16"/>
      <c r="F1756" s="16"/>
      <c r="G1756" s="16"/>
      <c r="H1756" s="16"/>
      <c r="I1756" s="16"/>
      <c r="J1756" s="16"/>
      <c r="K1756" s="16"/>
      <c r="L1756" s="16"/>
      <c r="M1756" s="26"/>
      <c r="N1756" s="26"/>
      <c r="O1756" s="16"/>
      <c r="P1756" s="1"/>
      <c r="Q1756" s="1"/>
      <c r="R1756" s="1"/>
      <c r="S1756" s="1"/>
      <c r="T1756" s="1"/>
      <c r="U1756" s="33"/>
      <c r="V1756" s="16"/>
      <c r="W1756" s="1"/>
      <c r="X1756" s="1"/>
    </row>
    <row r="1757" spans="1:24">
      <c r="A1757" s="1"/>
      <c r="B1757" s="16"/>
      <c r="C1757" s="16"/>
      <c r="D1757" s="16"/>
      <c r="E1757" s="16"/>
      <c r="F1757" s="16"/>
      <c r="G1757" s="16"/>
      <c r="H1757" s="16"/>
      <c r="I1757" s="16"/>
      <c r="J1757" s="16"/>
      <c r="K1757" s="16"/>
      <c r="L1757" s="16"/>
      <c r="M1757" s="26"/>
      <c r="N1757" s="26"/>
      <c r="O1757" s="16"/>
      <c r="P1757" s="1"/>
      <c r="Q1757" s="1"/>
      <c r="R1757" s="1"/>
      <c r="S1757" s="1"/>
      <c r="T1757" s="1"/>
      <c r="U1757" s="33"/>
      <c r="V1757" s="16"/>
      <c r="W1757" s="1"/>
      <c r="X1757" s="1"/>
    </row>
    <row r="1758" spans="1:24">
      <c r="A1758" s="1"/>
      <c r="B1758" s="16"/>
      <c r="C1758" s="16"/>
      <c r="D1758" s="16"/>
      <c r="E1758" s="16"/>
      <c r="F1758" s="16"/>
      <c r="G1758" s="16"/>
      <c r="H1758" s="16"/>
      <c r="I1758" s="16"/>
      <c r="J1758" s="16"/>
      <c r="K1758" s="16"/>
      <c r="L1758" s="16"/>
      <c r="M1758" s="26"/>
      <c r="N1758" s="26"/>
      <c r="O1758" s="16"/>
      <c r="P1758" s="1"/>
      <c r="Q1758" s="1"/>
      <c r="R1758" s="1"/>
      <c r="S1758" s="1"/>
      <c r="T1758" s="1"/>
      <c r="U1758" s="33"/>
      <c r="V1758" s="16"/>
      <c r="W1758" s="1"/>
      <c r="X1758" s="1"/>
    </row>
    <row r="1759" spans="1:24">
      <c r="A1759" s="1"/>
      <c r="B1759" s="16"/>
      <c r="C1759" s="16"/>
      <c r="D1759" s="16"/>
      <c r="E1759" s="16"/>
      <c r="F1759" s="16"/>
      <c r="G1759" s="16"/>
      <c r="H1759" s="16"/>
      <c r="I1759" s="16"/>
      <c r="J1759" s="16"/>
      <c r="K1759" s="16"/>
      <c r="L1759" s="16"/>
      <c r="M1759" s="26"/>
      <c r="N1759" s="26"/>
      <c r="O1759" s="16"/>
      <c r="P1759" s="1"/>
      <c r="Q1759" s="1"/>
      <c r="R1759" s="1"/>
      <c r="S1759" s="1"/>
      <c r="T1759" s="1"/>
      <c r="U1759" s="33"/>
      <c r="V1759" s="16"/>
      <c r="W1759" s="1"/>
      <c r="X1759" s="1"/>
    </row>
    <row r="1760" spans="1:24">
      <c r="A1760" s="1"/>
      <c r="B1760" s="16"/>
      <c r="C1760" s="16"/>
      <c r="D1760" s="16"/>
      <c r="E1760" s="16"/>
      <c r="F1760" s="16"/>
      <c r="G1760" s="16"/>
      <c r="H1760" s="16"/>
      <c r="I1760" s="16"/>
      <c r="J1760" s="16"/>
      <c r="K1760" s="16"/>
      <c r="L1760" s="16"/>
      <c r="M1760" s="26"/>
      <c r="N1760" s="26"/>
      <c r="O1760" s="16"/>
      <c r="P1760" s="1"/>
      <c r="Q1760" s="1"/>
      <c r="R1760" s="1"/>
      <c r="S1760" s="1"/>
      <c r="T1760" s="1"/>
      <c r="U1760" s="33"/>
      <c r="V1760" s="16"/>
      <c r="W1760" s="1"/>
      <c r="X1760" s="1"/>
    </row>
    <row r="1761" spans="1:24">
      <c r="A1761" s="1"/>
      <c r="B1761" s="16"/>
      <c r="C1761" s="16"/>
      <c r="D1761" s="16"/>
      <c r="E1761" s="16"/>
      <c r="F1761" s="16"/>
      <c r="G1761" s="16"/>
      <c r="H1761" s="16"/>
      <c r="I1761" s="16"/>
      <c r="J1761" s="16"/>
      <c r="K1761" s="16"/>
      <c r="L1761" s="16"/>
      <c r="M1761" s="26"/>
      <c r="N1761" s="26"/>
      <c r="O1761" s="16"/>
      <c r="P1761" s="1"/>
      <c r="Q1761" s="1"/>
      <c r="R1761" s="1"/>
      <c r="S1761" s="1"/>
      <c r="T1761" s="1"/>
      <c r="U1761" s="33"/>
      <c r="V1761" s="16"/>
      <c r="W1761" s="1"/>
      <c r="X1761" s="1"/>
    </row>
    <row r="1762" spans="1:24">
      <c r="A1762" s="1"/>
      <c r="B1762" s="16"/>
      <c r="C1762" s="16"/>
      <c r="D1762" s="16"/>
      <c r="E1762" s="16"/>
      <c r="F1762" s="16"/>
      <c r="G1762" s="16"/>
      <c r="H1762" s="16"/>
      <c r="I1762" s="16"/>
      <c r="J1762" s="16"/>
      <c r="K1762" s="16"/>
      <c r="L1762" s="16"/>
      <c r="M1762" s="26"/>
      <c r="N1762" s="26"/>
      <c r="O1762" s="16"/>
      <c r="P1762" s="1"/>
      <c r="Q1762" s="1"/>
      <c r="R1762" s="1"/>
      <c r="S1762" s="1"/>
      <c r="T1762" s="1"/>
      <c r="U1762" s="33"/>
      <c r="V1762" s="16"/>
      <c r="W1762" s="1"/>
      <c r="X1762" s="1"/>
    </row>
    <row r="1763" spans="1:24">
      <c r="A1763" s="1"/>
      <c r="B1763" s="16"/>
      <c r="C1763" s="16"/>
      <c r="D1763" s="16"/>
      <c r="E1763" s="16"/>
      <c r="F1763" s="16"/>
      <c r="G1763" s="16"/>
      <c r="H1763" s="16"/>
      <c r="I1763" s="16"/>
      <c r="J1763" s="16"/>
      <c r="K1763" s="16"/>
      <c r="L1763" s="16"/>
      <c r="M1763" s="26"/>
      <c r="N1763" s="26"/>
      <c r="O1763" s="16"/>
      <c r="P1763" s="1"/>
      <c r="Q1763" s="1"/>
      <c r="R1763" s="1"/>
      <c r="S1763" s="1"/>
      <c r="T1763" s="1"/>
      <c r="U1763" s="33"/>
      <c r="V1763" s="16"/>
      <c r="W1763" s="1"/>
      <c r="X1763" s="1"/>
    </row>
    <row r="1764" spans="1:24">
      <c r="A1764" s="1"/>
      <c r="B1764" s="16"/>
      <c r="C1764" s="16"/>
      <c r="D1764" s="16"/>
      <c r="E1764" s="16"/>
      <c r="F1764" s="16"/>
      <c r="G1764" s="16"/>
      <c r="H1764" s="16"/>
      <c r="I1764" s="16"/>
      <c r="J1764" s="16"/>
      <c r="K1764" s="16"/>
      <c r="L1764" s="16"/>
      <c r="M1764" s="26"/>
      <c r="N1764" s="26"/>
      <c r="O1764" s="16"/>
      <c r="P1764" s="1"/>
      <c r="Q1764" s="1"/>
      <c r="R1764" s="1"/>
      <c r="S1764" s="1"/>
      <c r="T1764" s="1"/>
      <c r="U1764" s="33"/>
      <c r="V1764" s="16"/>
      <c r="W1764" s="1"/>
      <c r="X1764" s="1"/>
    </row>
    <row r="1765" spans="1:24">
      <c r="A1765" s="1"/>
      <c r="B1765" s="16"/>
      <c r="C1765" s="16"/>
      <c r="D1765" s="16"/>
      <c r="E1765" s="16"/>
      <c r="F1765" s="16"/>
      <c r="G1765" s="16"/>
      <c r="H1765" s="16"/>
      <c r="I1765" s="16"/>
      <c r="J1765" s="16"/>
      <c r="K1765" s="16"/>
      <c r="L1765" s="16"/>
      <c r="M1765" s="26"/>
      <c r="N1765" s="26"/>
      <c r="O1765" s="16"/>
      <c r="P1765" s="1"/>
      <c r="Q1765" s="1"/>
      <c r="R1765" s="1"/>
      <c r="S1765" s="1"/>
      <c r="T1765" s="1"/>
      <c r="U1765" s="33"/>
      <c r="V1765" s="16"/>
      <c r="W1765" s="1"/>
      <c r="X1765" s="1"/>
    </row>
    <row r="1766" spans="1:24">
      <c r="A1766" s="1"/>
      <c r="B1766" s="16"/>
      <c r="C1766" s="16"/>
      <c r="D1766" s="16"/>
      <c r="E1766" s="16"/>
      <c r="F1766" s="16"/>
      <c r="G1766" s="16"/>
      <c r="H1766" s="16"/>
      <c r="I1766" s="16"/>
      <c r="J1766" s="16"/>
      <c r="K1766" s="16"/>
      <c r="L1766" s="16"/>
      <c r="M1766" s="26"/>
      <c r="N1766" s="26"/>
      <c r="O1766" s="16"/>
      <c r="P1766" s="1"/>
      <c r="Q1766" s="1"/>
      <c r="R1766" s="1"/>
      <c r="S1766" s="1"/>
      <c r="T1766" s="1"/>
      <c r="U1766" s="33"/>
      <c r="V1766" s="16"/>
      <c r="W1766" s="1"/>
      <c r="X1766" s="1"/>
    </row>
    <row r="1767" spans="1:24">
      <c r="A1767" s="1"/>
      <c r="B1767" s="16"/>
      <c r="C1767" s="16"/>
      <c r="D1767" s="16"/>
      <c r="E1767" s="16"/>
      <c r="F1767" s="16"/>
      <c r="G1767" s="16"/>
      <c r="H1767" s="16"/>
      <c r="I1767" s="16"/>
      <c r="J1767" s="16"/>
      <c r="K1767" s="16"/>
      <c r="L1767" s="16"/>
      <c r="M1767" s="26"/>
      <c r="N1767" s="26"/>
      <c r="O1767" s="16"/>
      <c r="P1767" s="1"/>
      <c r="Q1767" s="1"/>
      <c r="R1767" s="1"/>
      <c r="S1767" s="1"/>
      <c r="T1767" s="1"/>
      <c r="U1767" s="33"/>
      <c r="V1767" s="16"/>
      <c r="W1767" s="1"/>
      <c r="X1767" s="1"/>
    </row>
    <row r="1768" spans="1:24">
      <c r="A1768" s="1"/>
      <c r="B1768" s="16"/>
      <c r="C1768" s="16"/>
      <c r="D1768" s="16"/>
      <c r="E1768" s="16"/>
      <c r="F1768" s="16"/>
      <c r="G1768" s="16"/>
      <c r="H1768" s="16"/>
      <c r="I1768" s="16"/>
      <c r="J1768" s="16"/>
      <c r="K1768" s="16"/>
      <c r="L1768" s="16"/>
      <c r="M1768" s="26"/>
      <c r="N1768" s="26"/>
      <c r="O1768" s="16"/>
      <c r="P1768" s="1"/>
      <c r="Q1768" s="1"/>
      <c r="R1768" s="1"/>
      <c r="S1768" s="1"/>
      <c r="T1768" s="1"/>
      <c r="U1768" s="33"/>
      <c r="V1768" s="16"/>
      <c r="W1768" s="1"/>
      <c r="X1768" s="1"/>
    </row>
    <row r="1769" spans="1:24">
      <c r="A1769" s="1"/>
      <c r="B1769" s="16"/>
      <c r="C1769" s="16"/>
      <c r="D1769" s="16"/>
      <c r="E1769" s="16"/>
      <c r="F1769" s="16"/>
      <c r="G1769" s="16"/>
      <c r="H1769" s="16"/>
      <c r="I1769" s="16"/>
      <c r="J1769" s="16"/>
      <c r="K1769" s="16"/>
      <c r="L1769" s="16"/>
      <c r="M1769" s="26"/>
      <c r="N1769" s="26"/>
      <c r="O1769" s="16"/>
      <c r="P1769" s="1"/>
      <c r="Q1769" s="1"/>
      <c r="R1769" s="1"/>
      <c r="S1769" s="1"/>
      <c r="T1769" s="1"/>
      <c r="U1769" s="33"/>
      <c r="V1769" s="16"/>
      <c r="W1769" s="1"/>
      <c r="X1769" s="1"/>
    </row>
    <row r="1770" spans="1:24">
      <c r="A1770" s="1"/>
      <c r="B1770" s="16"/>
      <c r="C1770" s="16"/>
      <c r="D1770" s="16"/>
      <c r="E1770" s="16"/>
      <c r="F1770" s="16"/>
      <c r="G1770" s="16"/>
      <c r="H1770" s="16"/>
      <c r="I1770" s="16"/>
      <c r="J1770" s="16"/>
      <c r="K1770" s="16"/>
      <c r="L1770" s="16"/>
      <c r="M1770" s="26"/>
      <c r="N1770" s="26"/>
      <c r="O1770" s="16"/>
      <c r="P1770" s="1"/>
      <c r="Q1770" s="1"/>
      <c r="R1770" s="1"/>
      <c r="S1770" s="1"/>
      <c r="T1770" s="1"/>
      <c r="U1770" s="33"/>
      <c r="V1770" s="16"/>
      <c r="W1770" s="1"/>
      <c r="X1770" s="1"/>
    </row>
    <row r="1771" spans="1:24">
      <c r="A1771" s="1"/>
      <c r="B1771" s="16"/>
      <c r="C1771" s="16"/>
      <c r="D1771" s="16"/>
      <c r="E1771" s="16"/>
      <c r="F1771" s="16"/>
      <c r="G1771" s="16"/>
      <c r="H1771" s="16"/>
      <c r="I1771" s="16"/>
      <c r="J1771" s="16"/>
      <c r="K1771" s="16"/>
      <c r="L1771" s="16"/>
      <c r="M1771" s="26"/>
      <c r="N1771" s="26"/>
      <c r="O1771" s="16"/>
      <c r="P1771" s="1"/>
      <c r="Q1771" s="1"/>
      <c r="R1771" s="1"/>
      <c r="S1771" s="1"/>
      <c r="T1771" s="1"/>
      <c r="U1771" s="33"/>
      <c r="V1771" s="16"/>
      <c r="W1771" s="1"/>
      <c r="X1771" s="1"/>
    </row>
    <row r="1772" spans="1:24">
      <c r="A1772" s="1"/>
      <c r="B1772" s="16"/>
      <c r="C1772" s="16"/>
      <c r="D1772" s="16"/>
      <c r="E1772" s="16"/>
      <c r="F1772" s="16"/>
      <c r="G1772" s="16"/>
      <c r="H1772" s="16"/>
      <c r="I1772" s="16"/>
      <c r="J1772" s="16"/>
      <c r="K1772" s="16"/>
      <c r="L1772" s="16"/>
      <c r="M1772" s="26"/>
      <c r="N1772" s="26"/>
      <c r="O1772" s="16"/>
      <c r="P1772" s="1"/>
      <c r="Q1772" s="1"/>
      <c r="R1772" s="1"/>
      <c r="S1772" s="1"/>
      <c r="T1772" s="1"/>
      <c r="U1772" s="33"/>
      <c r="V1772" s="16"/>
      <c r="W1772" s="1"/>
      <c r="X1772" s="1"/>
    </row>
    <row r="1773" spans="1:24">
      <c r="A1773" s="1"/>
      <c r="B1773" s="16"/>
      <c r="C1773" s="16"/>
      <c r="D1773" s="16"/>
      <c r="E1773" s="16"/>
      <c r="F1773" s="16"/>
      <c r="G1773" s="16"/>
      <c r="H1773" s="16"/>
      <c r="I1773" s="16"/>
      <c r="J1773" s="16"/>
      <c r="K1773" s="16"/>
      <c r="L1773" s="16"/>
      <c r="M1773" s="26"/>
      <c r="N1773" s="26"/>
      <c r="O1773" s="16"/>
      <c r="P1773" s="1"/>
      <c r="Q1773" s="1"/>
      <c r="R1773" s="1"/>
      <c r="S1773" s="1"/>
      <c r="T1773" s="1"/>
      <c r="U1773" s="33"/>
      <c r="V1773" s="16"/>
      <c r="W1773" s="1"/>
      <c r="X1773" s="1"/>
    </row>
    <row r="1774" spans="1:24">
      <c r="A1774" s="1"/>
      <c r="B1774" s="16"/>
      <c r="C1774" s="16"/>
      <c r="D1774" s="16"/>
      <c r="E1774" s="16"/>
      <c r="F1774" s="16"/>
      <c r="G1774" s="16"/>
      <c r="H1774" s="16"/>
      <c r="I1774" s="16"/>
      <c r="J1774" s="16"/>
      <c r="K1774" s="16"/>
      <c r="L1774" s="16"/>
      <c r="M1774" s="26"/>
      <c r="N1774" s="26"/>
      <c r="O1774" s="16"/>
      <c r="P1774" s="1"/>
      <c r="Q1774" s="1"/>
      <c r="R1774" s="1"/>
      <c r="S1774" s="1"/>
      <c r="T1774" s="1"/>
      <c r="U1774" s="33"/>
      <c r="V1774" s="16"/>
      <c r="W1774" s="1"/>
      <c r="X1774" s="1"/>
    </row>
    <row r="1775" spans="1:24">
      <c r="A1775" s="1"/>
      <c r="B1775" s="16"/>
      <c r="C1775" s="16"/>
      <c r="D1775" s="16"/>
      <c r="E1775" s="16"/>
      <c r="F1775" s="16"/>
      <c r="G1775" s="16"/>
      <c r="H1775" s="16"/>
      <c r="I1775" s="16"/>
      <c r="J1775" s="16"/>
      <c r="K1775" s="16"/>
      <c r="L1775" s="16"/>
      <c r="M1775" s="26"/>
      <c r="N1775" s="26"/>
      <c r="O1775" s="16"/>
      <c r="P1775" s="1"/>
      <c r="Q1775" s="1"/>
      <c r="R1775" s="1"/>
      <c r="S1775" s="1"/>
      <c r="T1775" s="1"/>
      <c r="U1775" s="33"/>
      <c r="V1775" s="16"/>
      <c r="W1775" s="1"/>
      <c r="X1775" s="1"/>
    </row>
    <row r="1776" spans="1:24">
      <c r="A1776" s="1"/>
      <c r="B1776" s="16"/>
      <c r="C1776" s="16"/>
      <c r="D1776" s="16"/>
      <c r="E1776" s="16"/>
      <c r="F1776" s="16"/>
      <c r="G1776" s="16"/>
      <c r="H1776" s="16"/>
      <c r="I1776" s="16"/>
      <c r="J1776" s="16"/>
      <c r="K1776" s="16"/>
      <c r="L1776" s="16"/>
      <c r="M1776" s="26"/>
      <c r="N1776" s="26"/>
      <c r="O1776" s="16"/>
      <c r="P1776" s="1"/>
      <c r="Q1776" s="1"/>
      <c r="R1776" s="1"/>
      <c r="S1776" s="1"/>
      <c r="T1776" s="1"/>
      <c r="U1776" s="33"/>
      <c r="V1776" s="16"/>
      <c r="W1776" s="1"/>
      <c r="X1776" s="1"/>
    </row>
    <row r="1777" spans="1:24">
      <c r="A1777" s="1"/>
      <c r="B1777" s="16"/>
      <c r="C1777" s="16"/>
      <c r="D1777" s="16"/>
      <c r="E1777" s="16"/>
      <c r="F1777" s="16"/>
      <c r="G1777" s="16"/>
      <c r="H1777" s="16"/>
      <c r="I1777" s="16"/>
      <c r="J1777" s="16"/>
      <c r="K1777" s="16"/>
      <c r="L1777" s="16"/>
      <c r="M1777" s="26"/>
      <c r="N1777" s="26"/>
      <c r="O1777" s="16"/>
      <c r="P1777" s="1"/>
      <c r="Q1777" s="1"/>
      <c r="R1777" s="1"/>
      <c r="S1777" s="1"/>
      <c r="T1777" s="1"/>
      <c r="U1777" s="33"/>
      <c r="V1777" s="16"/>
      <c r="W1777" s="1"/>
      <c r="X1777" s="1"/>
    </row>
    <row r="1778" spans="1:24">
      <c r="A1778" s="1"/>
      <c r="B1778" s="16"/>
      <c r="C1778" s="16"/>
      <c r="D1778" s="16"/>
      <c r="E1778" s="16"/>
      <c r="F1778" s="16"/>
      <c r="G1778" s="16"/>
      <c r="H1778" s="16"/>
      <c r="I1778" s="16"/>
      <c r="J1778" s="16"/>
      <c r="K1778" s="16"/>
      <c r="L1778" s="16"/>
      <c r="M1778" s="26"/>
      <c r="N1778" s="26"/>
      <c r="O1778" s="16"/>
      <c r="P1778" s="1"/>
      <c r="Q1778" s="1"/>
      <c r="R1778" s="1"/>
      <c r="S1778" s="1"/>
      <c r="T1778" s="1"/>
      <c r="U1778" s="33"/>
      <c r="V1778" s="16"/>
      <c r="W1778" s="1"/>
      <c r="X1778" s="1"/>
    </row>
    <row r="1779" spans="1:24">
      <c r="A1779" s="1"/>
      <c r="B1779" s="16"/>
      <c r="C1779" s="16"/>
      <c r="D1779" s="16"/>
      <c r="E1779" s="16"/>
      <c r="F1779" s="16"/>
      <c r="G1779" s="16"/>
      <c r="H1779" s="16"/>
      <c r="I1779" s="16"/>
      <c r="J1779" s="16"/>
      <c r="K1779" s="16"/>
      <c r="L1779" s="16"/>
      <c r="M1779" s="26"/>
      <c r="N1779" s="26"/>
      <c r="O1779" s="16"/>
      <c r="P1779" s="1"/>
      <c r="Q1779" s="1"/>
      <c r="R1779" s="1"/>
      <c r="S1779" s="1"/>
      <c r="T1779" s="1"/>
      <c r="U1779" s="33"/>
      <c r="V1779" s="16"/>
      <c r="W1779" s="1"/>
      <c r="X1779" s="1"/>
    </row>
    <row r="1780" spans="1:24">
      <c r="A1780" s="1"/>
      <c r="B1780" s="16"/>
      <c r="C1780" s="16"/>
      <c r="D1780" s="16"/>
      <c r="E1780" s="16"/>
      <c r="F1780" s="16"/>
      <c r="G1780" s="16"/>
      <c r="H1780" s="16"/>
      <c r="I1780" s="16"/>
      <c r="J1780" s="16"/>
      <c r="K1780" s="16"/>
      <c r="L1780" s="16"/>
      <c r="M1780" s="26"/>
      <c r="N1780" s="26"/>
      <c r="O1780" s="16"/>
      <c r="P1780" s="1"/>
      <c r="Q1780" s="1"/>
      <c r="R1780" s="1"/>
      <c r="S1780" s="1"/>
      <c r="T1780" s="1"/>
      <c r="U1780" s="33"/>
      <c r="V1780" s="16"/>
      <c r="W1780" s="1"/>
      <c r="X1780" s="1"/>
    </row>
    <row r="1781" spans="1:24">
      <c r="A1781" s="1"/>
      <c r="B1781" s="16"/>
      <c r="C1781" s="16"/>
      <c r="D1781" s="16"/>
      <c r="E1781" s="16"/>
      <c r="F1781" s="16"/>
      <c r="G1781" s="16"/>
      <c r="H1781" s="16"/>
      <c r="I1781" s="16"/>
      <c r="J1781" s="16"/>
      <c r="K1781" s="16"/>
      <c r="L1781" s="16"/>
      <c r="M1781" s="26"/>
      <c r="N1781" s="26"/>
      <c r="O1781" s="16"/>
      <c r="P1781" s="1"/>
      <c r="Q1781" s="1"/>
      <c r="R1781" s="1"/>
      <c r="S1781" s="1"/>
      <c r="T1781" s="1"/>
      <c r="U1781" s="33"/>
      <c r="V1781" s="16"/>
      <c r="W1781" s="1"/>
      <c r="X1781" s="1"/>
    </row>
    <row r="1782" spans="1:24">
      <c r="A1782" s="1"/>
      <c r="B1782" s="16"/>
      <c r="C1782" s="16"/>
      <c r="D1782" s="16"/>
      <c r="E1782" s="16"/>
      <c r="F1782" s="16"/>
      <c r="G1782" s="16"/>
      <c r="H1782" s="16"/>
      <c r="I1782" s="16"/>
      <c r="J1782" s="16"/>
      <c r="K1782" s="16"/>
      <c r="L1782" s="16"/>
      <c r="M1782" s="26"/>
      <c r="N1782" s="26"/>
      <c r="O1782" s="16"/>
      <c r="P1782" s="1"/>
      <c r="Q1782" s="1"/>
      <c r="R1782" s="1"/>
      <c r="S1782" s="1"/>
      <c r="T1782" s="1"/>
      <c r="U1782" s="33"/>
      <c r="V1782" s="16"/>
      <c r="W1782" s="1"/>
      <c r="X1782" s="1"/>
    </row>
    <row r="1783" spans="1:24">
      <c r="A1783" s="1"/>
      <c r="B1783" s="16"/>
      <c r="C1783" s="16"/>
      <c r="D1783" s="16"/>
      <c r="E1783" s="16"/>
      <c r="F1783" s="16"/>
      <c r="G1783" s="16"/>
      <c r="H1783" s="16"/>
      <c r="I1783" s="16"/>
      <c r="J1783" s="16"/>
      <c r="K1783" s="16"/>
      <c r="L1783" s="16"/>
      <c r="M1783" s="26"/>
      <c r="N1783" s="26"/>
      <c r="O1783" s="16"/>
      <c r="P1783" s="1"/>
      <c r="Q1783" s="1"/>
      <c r="R1783" s="1"/>
      <c r="S1783" s="1"/>
      <c r="T1783" s="1"/>
      <c r="U1783" s="33"/>
      <c r="V1783" s="16"/>
      <c r="W1783" s="1"/>
      <c r="X1783" s="1"/>
    </row>
    <row r="1784" spans="1:24">
      <c r="A1784" s="1"/>
      <c r="B1784" s="16"/>
      <c r="C1784" s="16"/>
      <c r="D1784" s="16"/>
      <c r="E1784" s="16"/>
      <c r="F1784" s="16"/>
      <c r="G1784" s="16"/>
      <c r="H1784" s="16"/>
      <c r="I1784" s="16"/>
      <c r="J1784" s="16"/>
      <c r="K1784" s="16"/>
      <c r="L1784" s="16"/>
      <c r="M1784" s="26"/>
      <c r="N1784" s="26"/>
      <c r="O1784" s="16"/>
      <c r="P1784" s="1"/>
      <c r="Q1784" s="1"/>
      <c r="R1784" s="1"/>
      <c r="S1784" s="1"/>
      <c r="T1784" s="1"/>
      <c r="U1784" s="33"/>
      <c r="V1784" s="16"/>
      <c r="W1784" s="1"/>
      <c r="X1784" s="1"/>
    </row>
    <row r="1785" spans="1:24">
      <c r="A1785" s="1"/>
      <c r="B1785" s="16"/>
      <c r="C1785" s="16"/>
      <c r="D1785" s="16"/>
      <c r="E1785" s="16"/>
      <c r="F1785" s="16"/>
      <c r="G1785" s="16"/>
      <c r="H1785" s="16"/>
      <c r="I1785" s="16"/>
      <c r="J1785" s="16"/>
      <c r="K1785" s="16"/>
      <c r="L1785" s="16"/>
      <c r="M1785" s="26"/>
      <c r="N1785" s="26"/>
      <c r="O1785" s="16"/>
      <c r="P1785" s="1"/>
      <c r="Q1785" s="1"/>
      <c r="R1785" s="1"/>
      <c r="S1785" s="1"/>
      <c r="T1785" s="1"/>
      <c r="U1785" s="33"/>
      <c r="V1785" s="16"/>
      <c r="W1785" s="1"/>
      <c r="X1785" s="1"/>
    </row>
    <row r="1786" spans="1:24">
      <c r="A1786" s="1"/>
      <c r="B1786" s="16"/>
      <c r="C1786" s="16"/>
      <c r="D1786" s="16"/>
      <c r="E1786" s="16"/>
      <c r="F1786" s="16"/>
      <c r="G1786" s="16"/>
      <c r="H1786" s="16"/>
      <c r="I1786" s="16"/>
      <c r="J1786" s="16"/>
      <c r="K1786" s="16"/>
      <c r="L1786" s="16"/>
      <c r="M1786" s="16"/>
      <c r="N1786" s="16"/>
      <c r="O1786" s="16"/>
      <c r="P1786" s="1"/>
      <c r="Q1786" s="1"/>
      <c r="R1786" s="1"/>
      <c r="S1786" s="1"/>
      <c r="T1786" s="1"/>
      <c r="U1786" s="33"/>
      <c r="V1786" s="16"/>
      <c r="W1786" s="1"/>
      <c r="X1786" s="1"/>
    </row>
  </sheetData>
  <mergeCells count="24">
    <mergeCell ref="A1:A2"/>
    <mergeCell ref="B1:B2"/>
    <mergeCell ref="C1:C2"/>
    <mergeCell ref="D1:D2"/>
    <mergeCell ref="E1:E2"/>
    <mergeCell ref="F1:F2"/>
    <mergeCell ref="G1:G2"/>
    <mergeCell ref="H1:H2"/>
    <mergeCell ref="I1:I2"/>
    <mergeCell ref="J1:J2"/>
    <mergeCell ref="K1:K2"/>
    <mergeCell ref="L1:L2"/>
    <mergeCell ref="M1:M2"/>
    <mergeCell ref="N1:N2"/>
    <mergeCell ref="V1:V2"/>
    <mergeCell ref="W1:W2"/>
    <mergeCell ref="X1:X2"/>
    <mergeCell ref="O1:O2"/>
    <mergeCell ref="P1:P2"/>
    <mergeCell ref="Q1:Q2"/>
    <mergeCell ref="R1:R2"/>
    <mergeCell ref="S1:S2"/>
    <mergeCell ref="T1:T2"/>
    <mergeCell ref="U1:U2"/>
  </mergeCells>
  <conditionalFormatting sqref="D5">
    <cfRule type="containsBlanks" dxfId="9" priority="1">
      <formula>LEN(TRIM(D5))=0</formula>
    </cfRule>
  </conditionalFormatting>
  <conditionalFormatting sqref="P1:Q63 U1:U63">
    <cfRule type="containsBlanks" dxfId="8" priority="2">
      <formula>LEN(TRIM(P1))=0</formula>
    </cfRule>
  </conditionalFormatting>
  <hyperlinks>
    <hyperlink ref="V3" r:id="rId1" xr:uid="{00000000-0004-0000-0400-000000000000}"/>
    <hyperlink ref="V4" r:id="rId2" xr:uid="{00000000-0004-0000-0400-000001000000}"/>
    <hyperlink ref="V5" r:id="rId3" xr:uid="{00000000-0004-0000-0400-000002000000}"/>
    <hyperlink ref="V6" r:id="rId4" xr:uid="{00000000-0004-0000-0400-000003000000}"/>
    <hyperlink ref="V7" r:id="rId5" xr:uid="{00000000-0004-0000-0400-000004000000}"/>
    <hyperlink ref="V8" r:id="rId6" xr:uid="{00000000-0004-0000-0400-000005000000}"/>
    <hyperlink ref="V9" r:id="rId7" xr:uid="{00000000-0004-0000-0400-000006000000}"/>
    <hyperlink ref="V10" r:id="rId8" xr:uid="{00000000-0004-0000-0400-000007000000}"/>
    <hyperlink ref="V11" r:id="rId9" xr:uid="{00000000-0004-0000-0400-000008000000}"/>
    <hyperlink ref="V12" r:id="rId10" xr:uid="{00000000-0004-0000-0400-000009000000}"/>
    <hyperlink ref="V13" r:id="rId11" xr:uid="{00000000-0004-0000-0400-00000A000000}"/>
    <hyperlink ref="V14" r:id="rId12" xr:uid="{00000000-0004-0000-0400-00000B000000}"/>
    <hyperlink ref="V15" r:id="rId13" xr:uid="{00000000-0004-0000-0400-00000C000000}"/>
    <hyperlink ref="V16" r:id="rId14" xr:uid="{00000000-0004-0000-0400-00000D000000}"/>
    <hyperlink ref="V17" r:id="rId15" xr:uid="{00000000-0004-0000-0400-00000E000000}"/>
    <hyperlink ref="V18" r:id="rId16" xr:uid="{00000000-0004-0000-0400-00000F000000}"/>
    <hyperlink ref="V19" r:id="rId17" xr:uid="{00000000-0004-0000-0400-000010000000}"/>
    <hyperlink ref="V20" r:id="rId18" xr:uid="{00000000-0004-0000-0400-000011000000}"/>
    <hyperlink ref="V21" r:id="rId19" xr:uid="{00000000-0004-0000-0400-000012000000}"/>
    <hyperlink ref="V22" r:id="rId20" xr:uid="{00000000-0004-0000-0400-000013000000}"/>
    <hyperlink ref="V23" r:id="rId21" xr:uid="{00000000-0004-0000-0400-000014000000}"/>
    <hyperlink ref="V24" r:id="rId22" xr:uid="{00000000-0004-0000-0400-000015000000}"/>
    <hyperlink ref="V25" r:id="rId23" xr:uid="{00000000-0004-0000-0400-000016000000}"/>
    <hyperlink ref="V26" r:id="rId24" xr:uid="{00000000-0004-0000-0400-000017000000}"/>
    <hyperlink ref="V27" r:id="rId25" xr:uid="{00000000-0004-0000-0400-000018000000}"/>
    <hyperlink ref="V28" r:id="rId26" xr:uid="{00000000-0004-0000-0400-000019000000}"/>
    <hyperlink ref="V29" r:id="rId27" xr:uid="{00000000-0004-0000-0400-00001A000000}"/>
    <hyperlink ref="V30" r:id="rId28" xr:uid="{00000000-0004-0000-0400-00001B000000}"/>
    <hyperlink ref="V31" r:id="rId29" xr:uid="{00000000-0004-0000-0400-00001C000000}"/>
    <hyperlink ref="V32" r:id="rId30" xr:uid="{00000000-0004-0000-0400-00001D000000}"/>
    <hyperlink ref="V33" r:id="rId31" xr:uid="{00000000-0004-0000-0400-00001E000000}"/>
    <hyperlink ref="V34" r:id="rId32" xr:uid="{00000000-0004-0000-0400-00001F000000}"/>
    <hyperlink ref="V35" r:id="rId33" xr:uid="{00000000-0004-0000-0400-000020000000}"/>
    <hyperlink ref="V36" r:id="rId34" xr:uid="{00000000-0004-0000-0400-000021000000}"/>
    <hyperlink ref="V37" r:id="rId35" xr:uid="{00000000-0004-0000-0400-000022000000}"/>
    <hyperlink ref="V38" r:id="rId36" xr:uid="{00000000-0004-0000-0400-000023000000}"/>
    <hyperlink ref="V39" r:id="rId37" xr:uid="{00000000-0004-0000-0400-000024000000}"/>
    <hyperlink ref="V40" r:id="rId38" xr:uid="{00000000-0004-0000-0400-000025000000}"/>
    <hyperlink ref="V41" r:id="rId39" xr:uid="{00000000-0004-0000-0400-000026000000}"/>
    <hyperlink ref="V42" r:id="rId40" xr:uid="{00000000-0004-0000-0400-000027000000}"/>
    <hyperlink ref="V43" r:id="rId41" xr:uid="{00000000-0004-0000-0400-000028000000}"/>
    <hyperlink ref="V44" r:id="rId42" xr:uid="{00000000-0004-0000-0400-000029000000}"/>
    <hyperlink ref="V45" r:id="rId43" xr:uid="{00000000-0004-0000-0400-00002A000000}"/>
    <hyperlink ref="V46" r:id="rId44" xr:uid="{00000000-0004-0000-0400-00002B000000}"/>
    <hyperlink ref="V47" r:id="rId45" xr:uid="{00000000-0004-0000-0400-00002C000000}"/>
    <hyperlink ref="V48" r:id="rId46" xr:uid="{00000000-0004-0000-0400-00002D000000}"/>
    <hyperlink ref="V49" r:id="rId47" xr:uid="{00000000-0004-0000-0400-00002E000000}"/>
    <hyperlink ref="V50" r:id="rId48" xr:uid="{00000000-0004-0000-0400-00002F000000}"/>
    <hyperlink ref="V51" r:id="rId49" xr:uid="{00000000-0004-0000-0400-000030000000}"/>
    <hyperlink ref="V52" r:id="rId50" xr:uid="{00000000-0004-0000-0400-000031000000}"/>
    <hyperlink ref="V53" r:id="rId51" xr:uid="{00000000-0004-0000-0400-000032000000}"/>
    <hyperlink ref="V54" r:id="rId52" xr:uid="{00000000-0004-0000-0400-000033000000}"/>
    <hyperlink ref="V55" r:id="rId53" xr:uid="{00000000-0004-0000-0400-000034000000}"/>
    <hyperlink ref="V56" r:id="rId54" xr:uid="{00000000-0004-0000-0400-000035000000}"/>
    <hyperlink ref="V57" r:id="rId55" xr:uid="{00000000-0004-0000-0400-000036000000}"/>
    <hyperlink ref="V58" r:id="rId56" xr:uid="{00000000-0004-0000-0400-000037000000}"/>
    <hyperlink ref="V59" r:id="rId57" xr:uid="{00000000-0004-0000-0400-000038000000}"/>
    <hyperlink ref="V60" r:id="rId58" xr:uid="{00000000-0004-0000-0400-000039000000}"/>
    <hyperlink ref="V61" r:id="rId59" xr:uid="{00000000-0004-0000-0400-00003A000000}"/>
    <hyperlink ref="V62" r:id="rId60" xr:uid="{00000000-0004-0000-0400-00003B000000}"/>
    <hyperlink ref="V63" r:id="rId61" xr:uid="{00000000-0004-0000-0400-00003C000000}"/>
  </hyperlinks>
  <pageMargins left="0" right="0" top="0" bottom="0" header="0" footer="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X1787"/>
  <sheetViews>
    <sheetView workbookViewId="0">
      <pane xSplit="3" topLeftCell="D1" activePane="topRight" state="frozen"/>
      <selection pane="topRight" activeCell="E2" sqref="E2"/>
    </sheetView>
  </sheetViews>
  <sheetFormatPr defaultColWidth="14.44140625" defaultRowHeight="15" customHeight="1"/>
  <cols>
    <col min="1" max="1" width="8.5546875" customWidth="1"/>
    <col min="2" max="2" width="12" customWidth="1"/>
    <col min="6" max="6" width="43.88671875" customWidth="1"/>
    <col min="8" max="10" width="14.44140625" hidden="1"/>
    <col min="11" max="11" width="27.33203125" hidden="1" customWidth="1"/>
    <col min="12" max="12" width="22.6640625" hidden="1" customWidth="1"/>
    <col min="13" max="14" width="17.44140625" customWidth="1"/>
    <col min="15" max="15" width="14.44140625" hidden="1"/>
    <col min="18" max="18" width="15.44140625" customWidth="1"/>
    <col min="19" max="19" width="69.6640625" customWidth="1"/>
    <col min="20" max="20" width="15.44140625" hidden="1" customWidth="1"/>
    <col min="21" max="21" width="26.5546875" customWidth="1"/>
    <col min="22" max="22" width="51.109375" customWidth="1"/>
    <col min="23" max="23" width="23.33203125" customWidth="1"/>
    <col min="24" max="24" width="15.44140625" customWidth="1"/>
  </cols>
  <sheetData>
    <row r="1" spans="1:24">
      <c r="A1" s="98" t="s">
        <v>942</v>
      </c>
      <c r="B1" s="96" t="s">
        <v>841</v>
      </c>
      <c r="C1" s="96" t="s">
        <v>842</v>
      </c>
      <c r="D1" s="96" t="s">
        <v>843</v>
      </c>
      <c r="E1" s="96" t="s">
        <v>844</v>
      </c>
      <c r="F1" s="96" t="s">
        <v>845</v>
      </c>
      <c r="G1" s="96" t="s">
        <v>846</v>
      </c>
      <c r="H1" s="96" t="s">
        <v>847</v>
      </c>
      <c r="I1" s="96" t="s">
        <v>848</v>
      </c>
      <c r="J1" s="96" t="s">
        <v>849</v>
      </c>
      <c r="K1" s="96" t="s">
        <v>850</v>
      </c>
      <c r="L1" s="96" t="s">
        <v>851</v>
      </c>
      <c r="M1" s="96" t="s">
        <v>852</v>
      </c>
      <c r="N1" s="96" t="s">
        <v>853</v>
      </c>
      <c r="O1" s="96" t="s">
        <v>854</v>
      </c>
      <c r="P1" s="95" t="s">
        <v>855</v>
      </c>
      <c r="Q1" s="95" t="s">
        <v>856</v>
      </c>
      <c r="R1" s="95" t="s">
        <v>857</v>
      </c>
      <c r="S1" s="95" t="s">
        <v>858</v>
      </c>
      <c r="T1" s="95" t="s">
        <v>859</v>
      </c>
      <c r="U1" s="95" t="s">
        <v>860</v>
      </c>
      <c r="V1" s="96" t="s">
        <v>861</v>
      </c>
      <c r="W1" s="96" t="s">
        <v>862</v>
      </c>
      <c r="X1" s="96" t="s">
        <v>863</v>
      </c>
    </row>
    <row r="2" spans="1:24">
      <c r="A2" s="97"/>
      <c r="B2" s="97"/>
      <c r="C2" s="97"/>
      <c r="D2" s="97"/>
      <c r="E2" s="97"/>
      <c r="F2" s="97"/>
      <c r="G2" s="97"/>
      <c r="H2" s="97"/>
      <c r="I2" s="97"/>
      <c r="J2" s="97"/>
      <c r="K2" s="97"/>
      <c r="L2" s="97"/>
      <c r="M2" s="97"/>
      <c r="N2" s="97"/>
      <c r="O2" s="97"/>
      <c r="P2" s="94"/>
      <c r="Q2" s="94"/>
      <c r="R2" s="94"/>
      <c r="S2" s="94"/>
      <c r="T2" s="94"/>
      <c r="U2" s="94"/>
      <c r="V2" s="97"/>
      <c r="W2" s="97"/>
      <c r="X2" s="97"/>
    </row>
    <row r="3" spans="1:24">
      <c r="A3" s="15">
        <v>1</v>
      </c>
      <c r="B3" s="15">
        <f ca="1">IFERROR(__xludf.DUMMYFUNCTION("query(Rekap!A2:AD1787,""Select B,E,F,G,D,H,U,V,W where C='PKM Kewirausahaan'"")"),2796)</f>
        <v>2796</v>
      </c>
      <c r="C3" s="16" t="str">
        <f ca="1">IFERROR(__xludf.DUMMYFUNCTION("""COMPUTED_VALUE"""),"AHMAD ZAKY MUBAAROK ")</f>
        <v xml:space="preserve">AHMAD ZAKY MUBAAROK </v>
      </c>
      <c r="D3" s="16" t="str">
        <f ca="1">IFERROR(__xludf.DUMMYFUNCTION("""COMPUTED_VALUE"""),"5015211119")</f>
        <v>5015211119</v>
      </c>
      <c r="E3" s="16" t="str">
        <f ca="1">IFERROR(__xludf.DUMMYFUNCTION("""COMPUTED_VALUE"""),"Departemen Perencanaan Wilayah dan Kota")</f>
        <v>Departemen Perencanaan Wilayah dan Kota</v>
      </c>
      <c r="F3" s="16" t="str">
        <f ca="1">IFERROR(__xludf.DUMMYFUNCTION("""COMPUTED_VALUE"""),"PLATFORM PENDAMPINGAN PERSIAPAN KOMPETISI SAINS NASIONAL (KSN) BERBASIS WEBSITE SEBAGAI UPAYA TALENT SCOUTING DAN PEMERATAAN AKSES PENDIDIKAN SISWA DI INDONESIA")</f>
        <v>PLATFORM PENDAMPINGAN PERSIAPAN KOMPETISI SAINS NASIONAL (KSN) BERBASIS WEBSITE SEBAGAI UPAYA TALENT SCOUTING DAN PEMERATAAN AKSES PENDIDIKAN SISWA DI INDONESIA</v>
      </c>
      <c r="G3" s="16" t="str">
        <f ca="1">IFERROR(__xludf.DUMMYFUNCTION("""COMPUTED_VALUE"""),"Bahalwan Apriyansyah, S.T., MBA.")</f>
        <v>Bahalwan Apriyansyah, S.T., MBA.</v>
      </c>
      <c r="H3" s="16" t="str">
        <f ca="1">IFERROR(__xludf.DUMMYFUNCTION("""COMPUTED_VALUE"""),"MY Alief Samboro, S.T., M.Ds.")</f>
        <v>MY Alief Samboro, S.T., M.Ds.</v>
      </c>
      <c r="I3" s="16" t="str">
        <f ca="1">IFERROR(__xludf.DUMMYFUNCTION("""COMPUTED_VALUE"""),"Atikah Aghdhi Pratiwi, S.T., M.T.")</f>
        <v>Atikah Aghdhi Pratiwi, S.T., M.T.</v>
      </c>
      <c r="J3" s="16"/>
      <c r="K3" s="17" t="s">
        <v>943</v>
      </c>
      <c r="L3" s="17" t="s">
        <v>944</v>
      </c>
      <c r="M3" s="19" t="b">
        <v>1</v>
      </c>
      <c r="N3" s="19" t="b">
        <v>1</v>
      </c>
      <c r="O3" s="1" t="s">
        <v>945</v>
      </c>
      <c r="P3" s="7" t="str">
        <f ca="1">IFERROR(__xludf.DUMMYFUNCTION("iferror(vlookup(B3,importrange(""https://docs.google.com/spreadsheets/d/1boHyJQ4e2FU0QG8MHwEi6qjX4hvZWVCHcFfXjq7bbMc/edit?resourcekey#gid=923248883"",""Prop!$C$1:$M""),12,0),IFERROR(vlookup(B3,importrange(""https://docs.google.com/spreadsheets/d/1boHyJQ4e"&amp;"2FU0QG8MHwEi6qjX4hvZWVCHcFfXjq7bbMc/edit?resourcekey#gid=923248883"",""Prop!$N$1:$X""),11,0),iferror(vlookup(B3,importrange(""https://docs.google.com/spreadsheets/d/1boHyJQ4e2FU0QG8MHwEi6qjX4hvZWVCHcFfXjq7bbMc/edit?resourcekey#gid=923248883"",""Prop!$Y$1:"&amp;"$AI""),11,0),iferror(vlookup(B3,importrange(""https://docs.google.com/spreadsheets/d/1boHyJQ4e2FU0QG8MHwEi6qjX4hvZWVCHcFfXjq7bbMc/edit?resourcekey#gid=923248883"",""Prop!$AJ$1:$AT""),11,0),iferror(vlookup(B3,importrange(""https://docs.google.com/spreadshe"&amp;"ets/d/1boHyJQ4e2FU0QG8MHwEi6qjX4hvZWVCHcFfXjq7bbMc/edit?resourcekey#gid=923248883"",""Prop!$AU$1:$BE""),11,0),iferror(vlookup(B3,importrange(""https://docs.google.com/spreadsheets/d/1boHyJQ4e2FU0QG8MHwEi6qjX4hvZWVCHcFfXjq7bbMc/edit?resourcekey#gid=9232488"&amp;"83"",""Prop!$BF$1:$BP""),11,0),iferror(vlookup(B3,importrange(""https://docs.google.com/spreadsheets/d/1boHyJQ4e2FU0QG8MHwEi6qjX4hvZWVCHcFfXjq7bbMc/edit?resourcekey#gid=923248883"",""Prop!$BQ$1:$CA""),11,0),iferror(vlookup(B3,importrange(""https://docs.go"&amp;"ogle.com/spreadsheets/d/1boHyJQ4e2FU0QG8MHwEi6qjX4hvZWVCHcFfXjq7bbMc/edit?resourcekey#gid=923248883"",""Prop!$CB$1:$CL""),11,0),iferror(vlookup(B3,importrange(""https://docs.google.com/spreadsheets/d/1boHyJQ4e2FU0QG8MHwEi6qjX4hvZWVCHcFfXjq7bbMc/edit?resou"&amp;"rcekey#gid=923248883"",""Prop!$CM$1:$CX""),12,0),iferror(vlookup(B3,importrange(""https://docs.google.com/spreadsheets/d/1boHyJQ4e2FU0QG8MHwEi6qjX4hvZWVCHcFfXjq7bbMc/edit?resourcekey#gid=923248883"",""Prop!$CV$1:$DI""),11,0)))))))))))"),"https://drive.google.com/open?id=1k8zLIgRQcoFn9otSd0PNm94o4591fNV_")</f>
        <v>https://drive.google.com/open?id=1k8zLIgRQcoFn9otSd0PNm94o4591fNV_</v>
      </c>
      <c r="Q3" s="7" t="str">
        <f ca="1">IFERROR(__xludf.DUMMYFUNCTION("iferror(vlookup(B3,importrange(""https://docs.google.com/spreadsheets/d/1p53T2AuvvIqhP7Nf-bo3Uhj8cbKYRPpZdsrBv3x3bAQ/edit?resourcekey#gid=1321652304"",""Prop!$C$1:$M""),11,0),IFERROR(vlookup(B3,importrange(""https://docs.google.com/spreadsheets/d/1p53T2Au"&amp;"vvIqhP7Nf-bo3Uhj8cbKYRPpZdsrBv3x3bAQ/edit?resourcekey#gid=1321652304"",""Prop!$N$1:$X""),11,0),iferror(vlookup(B3,importrange(""https://docs.google.com/spreadsheets/d/1p53T2AuvvIqhP7Nf-bo3Uhj8cbKYRPpZdsrBv3x3bAQ/edit?resourcekey#gid=1321652304"",""Prop!$Y"&amp;"$1:$AI""),11,0),iferror(vlookup(B3,importrange(""https://docs.google.com/spreadsheets/d/1p53T2AuvvIqhP7Nf-bo3Uhj8cbKYRPpZdsrBv3x3bAQ/edit?resourcekey#gid=1321652304"",""Prop!$AJ$1:$AT""),11,0),iferror(vlookup(B3,importrange(""https://docs.google.com/sprea"&amp;"dsheets/d/1p53T2AuvvIqhP7Nf-bo3Uhj8cbKYRPpZdsrBv3x3bAQ/edit?resourcekey#gid=1321652304"",""Prop!$AU$1:$BE""),11,0),iferror(vlookup(B3,importrange(""https://docs.google.com/spreadsheets/d/1p53T2AuvvIqhP7Nf-bo3Uhj8cbKYRPpZdsrBv3x3bAQ/edit?resourcekey#gid=13"&amp;"21652304"",""Prop!$BF$1:$BP""),11,0),iferror(vlookup(B3,importrange(""https://docs.google.com/spreadsheets/d/1p53T2AuvvIqhP7Nf-bo3Uhj8cbKYRPpZdsrBv3x3bAQ/edit?resourcekey#gid=1321652304"",""Prop!$BQ$1:$CA""),11,0),iferror(vlookup(B3,importrange(""https://"&amp;"docs.google.com/spreadsheets/d/1p53T2AuvvIqhP7Nf-bo3Uhj8cbKYRPpZdsrBv3x3bAQ/edit?resourcekey#gid=1321652304"",""Prop!$CB$1:$CL""),11,0),iferror(vlookup(B3,importrange(""https://docs.google.com/spreadsheets/d/1p53T2AuvvIqhP7Nf-bo3Uhj8cbKYRPpZdsrBv3x3bAQ/ed"&amp;"it?resourcekey#gid=1321652304"",""Prop!$CM$1:$CX""),12,0),iferror(vlookup(B3,importrange(""https://docs.google.com/spreadsheets/d/1p53T2AuvvIqhP7Nf-bo3Uhj8cbKYRPpZdsrBv3x3bAQ/edit?resourcekey#gid=1321652304"",""Prop!$CY$1:$DI""),11,0)))))))))))"),"https://drive.google.com/open?id=1VXAZCuvVslYjuvQdHX4n1Vh3ISrssJ9G")</f>
        <v>https://drive.google.com/open?id=1VXAZCuvVslYjuvQdHX4n1Vh3ISrssJ9G</v>
      </c>
      <c r="R3" s="20" t="s">
        <v>946</v>
      </c>
      <c r="S3" s="20" t="str">
        <f ca="1">IFERROR(__xludf.DUMMYFUNCTION("IFERROR(vlookup(B3,IMPORTRANGE(""https://docs.google.com/spreadsheets/d/1g_jfYYK_KeipEDNDUgqgrsxK94XiocfNQIcP-v1QVhI/edit?resourcekey#gid=233272945"",""Nilai!B:CT""),21,0),"" "")"),"-")</f>
        <v>-</v>
      </c>
      <c r="T3" s="20" t="str">
        <f ca="1">IFERROR(__xludf.DUMMYFUNCTION("IFERROR(vlookup(B3,IMPORTRANGE(""https://docs.google.com/spreadsheets/d/1g_jfYYK_KeipEDNDUgqgrsxK94XiocfNQIcP-v1QVhI/edit?resourcekey#gid=233272945"",""Nilai!B:CT""),97,0),"" "")"),"LAYAK UPLOAD KE SIMBELMAWA")</f>
        <v>LAYAK UPLOAD KE SIMBELMAWA</v>
      </c>
      <c r="U3" s="21" t="s">
        <v>739</v>
      </c>
      <c r="V3" s="85" t="s">
        <v>947</v>
      </c>
      <c r="W3" s="17" t="s">
        <v>948</v>
      </c>
      <c r="X3" s="34" t="s">
        <v>949</v>
      </c>
    </row>
    <row r="4" spans="1:24">
      <c r="A4" s="15">
        <v>2</v>
      </c>
      <c r="B4" s="15">
        <f ca="1">IFERROR(__xludf.DUMMYFUNCTION("""COMPUTED_VALUE"""),3316)</f>
        <v>3316</v>
      </c>
      <c r="C4" s="16" t="str">
        <f ca="1">IFERROR(__xludf.DUMMYFUNCTION("""COMPUTED_VALUE"""),"SYNTHIA MARSITA RAHMA")</f>
        <v>SYNTHIA MARSITA RAHMA</v>
      </c>
      <c r="D4" s="16" t="str">
        <f ca="1">IFERROR(__xludf.DUMMYFUNCTION("""COMPUTED_VALUE"""),"5031201007")</f>
        <v>5031201007</v>
      </c>
      <c r="E4" s="16" t="str">
        <f ca="1">IFERROR(__xludf.DUMMYFUNCTION("""COMPUTED_VALUE"""),"Departemen Manajemen Bisnis")</f>
        <v>Departemen Manajemen Bisnis</v>
      </c>
      <c r="F4" s="16" t="str">
        <f ca="1">IFERROR(__xludf.DUMMYFUNCTION("""COMPUTED_VALUE"""),"Viral.in: Aplikasi Penyedia Layanan Jasa Marketing Bagi UMKM")</f>
        <v>Viral.in: Aplikasi Penyedia Layanan Jasa Marketing Bagi UMKM</v>
      </c>
      <c r="G4" s="16" t="str">
        <f ca="1">IFERROR(__xludf.DUMMYFUNCTION("""COMPUTED_VALUE"""),"Gita Widi Bhawika, S.ST., M.MT")</f>
        <v>Gita Widi Bhawika, S.ST., M.MT</v>
      </c>
      <c r="H4" s="16" t="str">
        <f ca="1">IFERROR(__xludf.DUMMYFUNCTION("""COMPUTED_VALUE"""),"MY Alief Samboro, S.T., M.Ds.")</f>
        <v>MY Alief Samboro, S.T., M.Ds.</v>
      </c>
      <c r="I4" s="16" t="str">
        <f ca="1">IFERROR(__xludf.DUMMYFUNCTION("""COMPUTED_VALUE"""),"R.Eka Rizkiantono, S.Sn, M.Ds")</f>
        <v>R.Eka Rizkiantono, S.Sn, M.Ds</v>
      </c>
      <c r="J4" s="16"/>
      <c r="K4" s="17" t="s">
        <v>943</v>
      </c>
      <c r="L4" s="17" t="s">
        <v>944</v>
      </c>
      <c r="M4" s="19" t="b">
        <v>0</v>
      </c>
      <c r="N4" s="19" t="b">
        <v>0</v>
      </c>
      <c r="O4" s="1" t="s">
        <v>945</v>
      </c>
      <c r="P4" s="24" t="str">
        <f ca="1">IFERROR(__xludf.DUMMYFUNCTION("iferror(vlookup(B4,importrange(""https://docs.google.com/spreadsheets/d/1boHyJQ4e2FU0QG8MHwEi6qjX4hvZWVCHcFfXjq7bbMc/edit?resourcekey#gid=923248883"",""Prop!$C$1:$M""),12,0),IFERROR(vlookup(B4,importrange(""https://docs.google.com/spreadsheets/d/1boHyJQ4e"&amp;"2FU0QG8MHwEi6qjX4hvZWVCHcFfXjq7bbMc/edit?resourcekey#gid=923248883"",""Prop!$N$1:$X""),11,0),iferror(vlookup(B4,importrange(""https://docs.google.com/spreadsheets/d/1boHyJQ4e2FU0QG8MHwEi6qjX4hvZWVCHcFfXjq7bbMc/edit?resourcekey#gid=923248883"",""Prop!$Y$1:"&amp;"$AI""),11,0),iferror(vlookup(B4,importrange(""https://docs.google.com/spreadsheets/d/1boHyJQ4e2FU0QG8MHwEi6qjX4hvZWVCHcFfXjq7bbMc/edit?resourcekey#gid=923248883"",""Prop!$AJ$1:$AT""),11,0),iferror(vlookup(B4,importrange(""https://docs.google.com/spreadshe"&amp;"ets/d/1boHyJQ4e2FU0QG8MHwEi6qjX4hvZWVCHcFfXjq7bbMc/edit?resourcekey#gid=923248883"",""Prop!$AU$1:$BE""),11,0),iferror(vlookup(B4,importrange(""https://docs.google.com/spreadsheets/d/1boHyJQ4e2FU0QG8MHwEi6qjX4hvZWVCHcFfXjq7bbMc/edit?resourcekey#gid=9232488"&amp;"83"",""Prop!$BF$1:$BP""),11,0),iferror(vlookup(B4,importrange(""https://docs.google.com/spreadsheets/d/1boHyJQ4e2FU0QG8MHwEi6qjX4hvZWVCHcFfXjq7bbMc/edit?resourcekey#gid=923248883"",""Prop!$BQ$1:$CA""),11,0),iferror(vlookup(B4,importrange(""https://docs.go"&amp;"ogle.com/spreadsheets/d/1boHyJQ4e2FU0QG8MHwEi6qjX4hvZWVCHcFfXjq7bbMc/edit?resourcekey#gid=923248883"",""Prop!$CB$1:$CL""),11,0),iferror(vlookup(B4,importrange(""https://docs.google.com/spreadsheets/d/1boHyJQ4e2FU0QG8MHwEi6qjX4hvZWVCHcFfXjq7bbMc/edit?resou"&amp;"rcekey#gid=923248883"",""Prop!$CM$1:$CX""),12,0),iferror(vlookup(B4,importrange(""https://docs.google.com/spreadsheets/d/1boHyJQ4e2FU0QG8MHwEi6qjX4hvZWVCHcFfXjq7bbMc/edit?resourcekey#gid=923248883"",""Prop!$CV$1:$DI""),11,0)))))))))))"),"")</f>
        <v/>
      </c>
      <c r="Q4" s="1" t="str">
        <f ca="1">IFERROR(__xludf.DUMMYFUNCTION("iferror(vlookup(B4,importrange(""https://docs.google.com/spreadsheets/d/1p53T2AuvvIqhP7Nf-bo3Uhj8cbKYRPpZdsrBv3x3bAQ/edit?resourcekey#gid=1321652304"",""Prop!$C$1:$M""),11,0),IFERROR(vlookup(B4,importrange(""https://docs.google.com/spreadsheets/d/1p53T2Au"&amp;"vvIqhP7Nf-bo3Uhj8cbKYRPpZdsrBv3x3bAQ/edit?resourcekey#gid=1321652304"",""Prop!$N$1:$X""),11,0),iferror(vlookup(B4,importrange(""https://docs.google.com/spreadsheets/d/1p53T2AuvvIqhP7Nf-bo3Uhj8cbKYRPpZdsrBv3x3bAQ/edit?resourcekey#gid=1321652304"",""Prop!$Y"&amp;"$1:$AI""),11,0),iferror(vlookup(B4,importrange(""https://docs.google.com/spreadsheets/d/1p53T2AuvvIqhP7Nf-bo3Uhj8cbKYRPpZdsrBv3x3bAQ/edit?resourcekey#gid=1321652304"",""Prop!$AJ$1:$AT""),11,0),iferror(vlookup(B4,importrange(""https://docs.google.com/sprea"&amp;"dsheets/d/1p53T2AuvvIqhP7Nf-bo3Uhj8cbKYRPpZdsrBv3x3bAQ/edit?resourcekey#gid=1321652304"",""Prop!$AU$1:$BE""),11,0),iferror(vlookup(B4,importrange(""https://docs.google.com/spreadsheets/d/1p53T2AuvvIqhP7Nf-bo3Uhj8cbKYRPpZdsrBv3x3bAQ/edit?resourcekey#gid=13"&amp;"21652304"",""Prop!$BF$1:$BP""),11,0),iferror(vlookup(B4,importrange(""https://docs.google.com/spreadsheets/d/1p53T2AuvvIqhP7Nf-bo3Uhj8cbKYRPpZdsrBv3x3bAQ/edit?resourcekey#gid=1321652304"",""Prop!$BQ$1:$CA""),11,0),iferror(vlookup(B4,importrange(""https://"&amp;"docs.google.com/spreadsheets/d/1p53T2AuvvIqhP7Nf-bo3Uhj8cbKYRPpZdsrBv3x3bAQ/edit?resourcekey#gid=1321652304"",""Prop!$CB$1:$CL""),11,0),iferror(vlookup(B4,importrange(""https://docs.google.com/spreadsheets/d/1p53T2AuvvIqhP7Nf-bo3Uhj8cbKYRPpZdsrBv3x3bAQ/ed"&amp;"it?resourcekey#gid=1321652304"",""Prop!$CM$1:$CX""),12,0),iferror(vlookup(B4,importrange(""https://docs.google.com/spreadsheets/d/1p53T2AuvvIqhP7Nf-bo3Uhj8cbKYRPpZdsrBv3x3bAQ/edit?resourcekey#gid=1321652304"",""Prop!$CY$1:$DI""),11,0)))))))))))"),"")</f>
        <v/>
      </c>
      <c r="R4" s="20" t="s">
        <v>946</v>
      </c>
      <c r="S4" s="20" t="str">
        <f ca="1">IFERROR(__xludf.DUMMYFUNCTION("IFERROR(vlookup(B4,IMPORTRANGE(""https://docs.google.com/spreadsheets/d/1g_jfYYK_KeipEDNDUgqgrsxK94XiocfNQIcP-v1QVhI/edit?resourcekey#gid=233272945"",""Nilai!B:CT""),21,0),"" "")")," ")</f>
        <v xml:space="preserve"> </v>
      </c>
      <c r="T4" s="20" t="str">
        <f ca="1">IFERROR(__xludf.DUMMYFUNCTION("IFERROR(vlookup(B4,IMPORTRANGE(""https://docs.google.com/spreadsheets/d/1g_jfYYK_KeipEDNDUgqgrsxK94XiocfNQIcP-v1QVhI/edit?resourcekey#gid=233272945"",""Nilai!B:CT""),97,0),"" "")")," ")</f>
        <v xml:space="preserve"> </v>
      </c>
      <c r="U4" s="21" t="s">
        <v>739</v>
      </c>
      <c r="V4" s="85" t="s">
        <v>947</v>
      </c>
      <c r="W4" s="17" t="s">
        <v>948</v>
      </c>
      <c r="X4" s="34" t="b">
        <v>0</v>
      </c>
    </row>
    <row r="5" spans="1:24">
      <c r="A5" s="15">
        <v>3</v>
      </c>
      <c r="B5" s="15">
        <f ca="1">IFERROR(__xludf.DUMMYFUNCTION("""COMPUTED_VALUE"""),3173)</f>
        <v>3173</v>
      </c>
      <c r="C5" s="16" t="str">
        <f ca="1">IFERROR(__xludf.DUMMYFUNCTION("""COMPUTED_VALUE"""),"ACHMAD AMIN FAIZAL")</f>
        <v>ACHMAD AMIN FAIZAL</v>
      </c>
      <c r="D5" s="16" t="str">
        <f ca="1">IFERROR(__xludf.DUMMYFUNCTION("""COMPUTED_VALUE"""),"5031201052")</f>
        <v>5031201052</v>
      </c>
      <c r="E5" s="16" t="str">
        <f ca="1">IFERROR(__xludf.DUMMYFUNCTION("""COMPUTED_VALUE"""),"Departemen Manajemen Bisnis")</f>
        <v>Departemen Manajemen Bisnis</v>
      </c>
      <c r="F5" s="16" t="str">
        <f ca="1">IFERROR(__xludf.DUMMYFUNCTION("""COMPUTED_VALUE"""),"Menty : Aplikasi Deteksi Dini Masalah Kesehatan Mental dan Chat Secara Anonim untuk Remaja")</f>
        <v>Menty : Aplikasi Deteksi Dini Masalah Kesehatan Mental dan Chat Secara Anonim untuk Remaja</v>
      </c>
      <c r="G5" s="16" t="str">
        <f ca="1">IFERROR(__xludf.DUMMYFUNCTION("""COMPUTED_VALUE"""),"Gita Widi Bhawika, S.ST., M.MT")</f>
        <v>Gita Widi Bhawika, S.ST., M.MT</v>
      </c>
      <c r="H5" s="16" t="str">
        <f ca="1">IFERROR(__xludf.DUMMYFUNCTION("""COMPUTED_VALUE"""),"Drs. Bandung Arry Sanjoyo, Mi.Komp.")</f>
        <v>Drs. Bandung Arry Sanjoyo, Mi.Komp.</v>
      </c>
      <c r="I5" s="16" t="str">
        <f ca="1">IFERROR(__xludf.DUMMYFUNCTION("""COMPUTED_VALUE"""),"Moh. Singgih Purwanto, S.Si., M.T")</f>
        <v>Moh. Singgih Purwanto, S.Si., M.T</v>
      </c>
      <c r="J5" s="16"/>
      <c r="K5" s="17" t="s">
        <v>943</v>
      </c>
      <c r="L5" s="17" t="s">
        <v>944</v>
      </c>
      <c r="M5" s="19" t="b">
        <v>0</v>
      </c>
      <c r="N5" s="19" t="b">
        <v>0</v>
      </c>
      <c r="O5" s="1" t="s">
        <v>945</v>
      </c>
      <c r="P5" s="24" t="str">
        <f ca="1">IFERROR(__xludf.DUMMYFUNCTION("iferror(vlookup(B5,importrange(""https://docs.google.com/spreadsheets/d/1boHyJQ4e2FU0QG8MHwEi6qjX4hvZWVCHcFfXjq7bbMc/edit?resourcekey#gid=923248883"",""Prop!$C$1:$M""),12,0),IFERROR(vlookup(B5,importrange(""https://docs.google.com/spreadsheets/d/1boHyJQ4e"&amp;"2FU0QG8MHwEi6qjX4hvZWVCHcFfXjq7bbMc/edit?resourcekey#gid=923248883"",""Prop!$N$1:$X""),11,0),iferror(vlookup(B5,importrange(""https://docs.google.com/spreadsheets/d/1boHyJQ4e2FU0QG8MHwEi6qjX4hvZWVCHcFfXjq7bbMc/edit?resourcekey#gid=923248883"",""Prop!$Y$1:"&amp;"$AI""),11,0),iferror(vlookup(B5,importrange(""https://docs.google.com/spreadsheets/d/1boHyJQ4e2FU0QG8MHwEi6qjX4hvZWVCHcFfXjq7bbMc/edit?resourcekey#gid=923248883"",""Prop!$AJ$1:$AT""),11,0),iferror(vlookup(B5,importrange(""https://docs.google.com/spreadshe"&amp;"ets/d/1boHyJQ4e2FU0QG8MHwEi6qjX4hvZWVCHcFfXjq7bbMc/edit?resourcekey#gid=923248883"",""Prop!$AU$1:$BE""),11,0),iferror(vlookup(B5,importrange(""https://docs.google.com/spreadsheets/d/1boHyJQ4e2FU0QG8MHwEi6qjX4hvZWVCHcFfXjq7bbMc/edit?resourcekey#gid=9232488"&amp;"83"",""Prop!$BF$1:$BP""),11,0),iferror(vlookup(B5,importrange(""https://docs.google.com/spreadsheets/d/1boHyJQ4e2FU0QG8MHwEi6qjX4hvZWVCHcFfXjq7bbMc/edit?resourcekey#gid=923248883"",""Prop!$BQ$1:$CA""),11,0),iferror(vlookup(B5,importrange(""https://docs.go"&amp;"ogle.com/spreadsheets/d/1boHyJQ4e2FU0QG8MHwEi6qjX4hvZWVCHcFfXjq7bbMc/edit?resourcekey#gid=923248883"",""Prop!$CB$1:$CL""),11,0),iferror(vlookup(B5,importrange(""https://docs.google.com/spreadsheets/d/1boHyJQ4e2FU0QG8MHwEi6qjX4hvZWVCHcFfXjq7bbMc/edit?resou"&amp;"rcekey#gid=923248883"",""Prop!$CM$1:$CX""),12,0),iferror(vlookup(B5,importrange(""https://docs.google.com/spreadsheets/d/1boHyJQ4e2FU0QG8MHwEi6qjX4hvZWVCHcFfXjq7bbMc/edit?resourcekey#gid=923248883"",""Prop!$CV$1:$DI""),11,0)))))))))))"),"")</f>
        <v/>
      </c>
      <c r="Q5" s="1" t="str">
        <f ca="1">IFERROR(__xludf.DUMMYFUNCTION("iferror(vlookup(B5,importrange(""https://docs.google.com/spreadsheets/d/1p53T2AuvvIqhP7Nf-bo3Uhj8cbKYRPpZdsrBv3x3bAQ/edit?resourcekey#gid=1321652304"",""Prop!$C$1:$M""),11,0),IFERROR(vlookup(B5,importrange(""https://docs.google.com/spreadsheets/d/1p53T2Au"&amp;"vvIqhP7Nf-bo3Uhj8cbKYRPpZdsrBv3x3bAQ/edit?resourcekey#gid=1321652304"",""Prop!$N$1:$X""),11,0),iferror(vlookup(B5,importrange(""https://docs.google.com/spreadsheets/d/1p53T2AuvvIqhP7Nf-bo3Uhj8cbKYRPpZdsrBv3x3bAQ/edit?resourcekey#gid=1321652304"",""Prop!$Y"&amp;"$1:$AI""),11,0),iferror(vlookup(B5,importrange(""https://docs.google.com/spreadsheets/d/1p53T2AuvvIqhP7Nf-bo3Uhj8cbKYRPpZdsrBv3x3bAQ/edit?resourcekey#gid=1321652304"",""Prop!$AJ$1:$AT""),11,0),iferror(vlookup(B5,importrange(""https://docs.google.com/sprea"&amp;"dsheets/d/1p53T2AuvvIqhP7Nf-bo3Uhj8cbKYRPpZdsrBv3x3bAQ/edit?resourcekey#gid=1321652304"",""Prop!$AU$1:$BE""),11,0),iferror(vlookup(B5,importrange(""https://docs.google.com/spreadsheets/d/1p53T2AuvvIqhP7Nf-bo3Uhj8cbKYRPpZdsrBv3x3bAQ/edit?resourcekey#gid=13"&amp;"21652304"",""Prop!$BF$1:$BP""),11,0),iferror(vlookup(B5,importrange(""https://docs.google.com/spreadsheets/d/1p53T2AuvvIqhP7Nf-bo3Uhj8cbKYRPpZdsrBv3x3bAQ/edit?resourcekey#gid=1321652304"",""Prop!$BQ$1:$CA""),11,0),iferror(vlookup(B5,importrange(""https://"&amp;"docs.google.com/spreadsheets/d/1p53T2AuvvIqhP7Nf-bo3Uhj8cbKYRPpZdsrBv3x3bAQ/edit?resourcekey#gid=1321652304"",""Prop!$CB$1:$CL""),11,0),iferror(vlookup(B5,importrange(""https://docs.google.com/spreadsheets/d/1p53T2AuvvIqhP7Nf-bo3Uhj8cbKYRPpZdsrBv3x3bAQ/ed"&amp;"it?resourcekey#gid=1321652304"",""Prop!$CM$1:$CX""),12,0),iferror(vlookup(B5,importrange(""https://docs.google.com/spreadsheets/d/1p53T2AuvvIqhP7Nf-bo3Uhj8cbKYRPpZdsrBv3x3bAQ/edit?resourcekey#gid=1321652304"",""Prop!$CY$1:$DI""),11,0)))))))))))"),"")</f>
        <v/>
      </c>
      <c r="R5" s="20" t="s">
        <v>946</v>
      </c>
      <c r="S5" s="20" t="str">
        <f ca="1">IFERROR(__xludf.DUMMYFUNCTION("IFERROR(vlookup(B5,IMPORTRANGE(""https://docs.google.com/spreadsheets/d/1g_jfYYK_KeipEDNDUgqgrsxK94XiocfNQIcP-v1QVhI/edit?resourcekey#gid=233272945"",""Nilai!B:CT""),21,0),"" "")")," ")</f>
        <v xml:space="preserve"> </v>
      </c>
      <c r="T5" s="20" t="str">
        <f ca="1">IFERROR(__xludf.DUMMYFUNCTION("IFERROR(vlookup(B5,IMPORTRANGE(""https://docs.google.com/spreadsheets/d/1g_jfYYK_KeipEDNDUgqgrsxK94XiocfNQIcP-v1QVhI/edit?resourcekey#gid=233272945"",""Nilai!B:CT""),97,0),"" "")")," ")</f>
        <v xml:space="preserve"> </v>
      </c>
      <c r="U5" s="21" t="s">
        <v>739</v>
      </c>
      <c r="V5" s="85" t="s">
        <v>947</v>
      </c>
      <c r="W5" s="17" t="s">
        <v>948</v>
      </c>
      <c r="X5" s="34" t="b">
        <v>0</v>
      </c>
    </row>
    <row r="6" spans="1:24">
      <c r="A6" s="15">
        <v>4</v>
      </c>
      <c r="B6" s="15">
        <f ca="1">IFERROR(__xludf.DUMMYFUNCTION("""COMPUTED_VALUE"""),2913)</f>
        <v>2913</v>
      </c>
      <c r="C6" s="16" t="str">
        <f ca="1">IFERROR(__xludf.DUMMYFUNCTION("""COMPUTED_VALUE"""),"GHEA WAHYU CHRISTIANTI")</f>
        <v>GHEA WAHYU CHRISTIANTI</v>
      </c>
      <c r="D6" s="16" t="str">
        <f ca="1">IFERROR(__xludf.DUMMYFUNCTION("""COMPUTED_VALUE"""),"5031201038")</f>
        <v>5031201038</v>
      </c>
      <c r="E6" s="16" t="str">
        <f ca="1">IFERROR(__xludf.DUMMYFUNCTION("""COMPUTED_VALUE"""),"Departemen Manajemen Bisnis")</f>
        <v>Departemen Manajemen Bisnis</v>
      </c>
      <c r="F6" s="16" t="str">
        <f ca="1">IFERROR(__xludf.DUMMYFUNCTION("""COMPUTED_VALUE"""),"APLIKASI SEW AND GO (APLIKASI LAYANAN JAHIT BERBASIS LOCATION BASED SERVICES DAN HOME BASED SERVICES)")</f>
        <v>APLIKASI SEW AND GO (APLIKASI LAYANAN JAHIT BERBASIS LOCATION BASED SERVICES DAN HOME BASED SERVICES)</v>
      </c>
      <c r="G6" s="16" t="str">
        <f ca="1">IFERROR(__xludf.DUMMYFUNCTION("""COMPUTED_VALUE"""),"Gita Widi Bhawika, S.ST., M.MT")</f>
        <v>Gita Widi Bhawika, S.ST., M.MT</v>
      </c>
      <c r="H6" s="16" t="str">
        <f ca="1">IFERROR(__xludf.DUMMYFUNCTION("""COMPUTED_VALUE"""),"MY Alief Samboro, S.T., M.Ds.")</f>
        <v>MY Alief Samboro, S.T., M.Ds.</v>
      </c>
      <c r="I6" s="16" t="str">
        <f ca="1">IFERROR(__xludf.DUMMYFUNCTION("""COMPUTED_VALUE"""),"R.Eka Rizkiantono, S.Sn, M.Ds")</f>
        <v>R.Eka Rizkiantono, S.Sn, M.Ds</v>
      </c>
      <c r="J6" s="16"/>
      <c r="K6" s="17" t="s">
        <v>943</v>
      </c>
      <c r="L6" s="17" t="s">
        <v>944</v>
      </c>
      <c r="M6" s="19" t="b">
        <v>0</v>
      </c>
      <c r="N6" s="19" t="b">
        <v>0</v>
      </c>
      <c r="O6" s="1" t="s">
        <v>945</v>
      </c>
      <c r="P6" s="7" t="str">
        <f ca="1">IFERROR(__xludf.DUMMYFUNCTION("iferror(vlookup(B6,importrange(""https://docs.google.com/spreadsheets/d/1boHyJQ4e2FU0QG8MHwEi6qjX4hvZWVCHcFfXjq7bbMc/edit?resourcekey#gid=923248883"",""Prop!$C$1:$M""),12,0),IFERROR(vlookup(B6,importrange(""https://docs.google.com/spreadsheets/d/1boHyJQ4e"&amp;"2FU0QG8MHwEi6qjX4hvZWVCHcFfXjq7bbMc/edit?resourcekey#gid=923248883"",""Prop!$N$1:$X""),11,0),iferror(vlookup(B6,importrange(""https://docs.google.com/spreadsheets/d/1boHyJQ4e2FU0QG8MHwEi6qjX4hvZWVCHcFfXjq7bbMc/edit?resourcekey#gid=923248883"",""Prop!$Y$1:"&amp;"$AI""),11,0),iferror(vlookup(B6,importrange(""https://docs.google.com/spreadsheets/d/1boHyJQ4e2FU0QG8MHwEi6qjX4hvZWVCHcFfXjq7bbMc/edit?resourcekey#gid=923248883"",""Prop!$AJ$1:$AT""),11,0),iferror(vlookup(B6,importrange(""https://docs.google.com/spreadshe"&amp;"ets/d/1boHyJQ4e2FU0QG8MHwEi6qjX4hvZWVCHcFfXjq7bbMc/edit?resourcekey#gid=923248883"",""Prop!$AU$1:$BE""),11,0),iferror(vlookup(B6,importrange(""https://docs.google.com/spreadsheets/d/1boHyJQ4e2FU0QG8MHwEi6qjX4hvZWVCHcFfXjq7bbMc/edit?resourcekey#gid=9232488"&amp;"83"",""Prop!$BF$1:$BP""),11,0),iferror(vlookup(B6,importrange(""https://docs.google.com/spreadsheets/d/1boHyJQ4e2FU0QG8MHwEi6qjX4hvZWVCHcFfXjq7bbMc/edit?resourcekey#gid=923248883"",""Prop!$BQ$1:$CA""),11,0),iferror(vlookup(B6,importrange(""https://docs.go"&amp;"ogle.com/spreadsheets/d/1boHyJQ4e2FU0QG8MHwEi6qjX4hvZWVCHcFfXjq7bbMc/edit?resourcekey#gid=923248883"",""Prop!$CB$1:$CL""),11,0),iferror(vlookup(B6,importrange(""https://docs.google.com/spreadsheets/d/1boHyJQ4e2FU0QG8MHwEi6qjX4hvZWVCHcFfXjq7bbMc/edit?resou"&amp;"rcekey#gid=923248883"",""Prop!$CM$1:$CX""),12,0),iferror(vlookup(B6,importrange(""https://docs.google.com/spreadsheets/d/1boHyJQ4e2FU0QG8MHwEi6qjX4hvZWVCHcFfXjq7bbMc/edit?resourcekey#gid=923248883"",""Prop!$CV$1:$DI""),11,0)))))))))))"),"https://drive.google.com/open?id=1WT_Dz967B0wMUoXRITXB4mYrgmrE0ohP")</f>
        <v>https://drive.google.com/open?id=1WT_Dz967B0wMUoXRITXB4mYrgmrE0ohP</v>
      </c>
      <c r="Q6" s="7" t="str">
        <f ca="1">IFERROR(__xludf.DUMMYFUNCTION("iferror(vlookup(B6,importrange(""https://docs.google.com/spreadsheets/d/1p53T2AuvvIqhP7Nf-bo3Uhj8cbKYRPpZdsrBv3x3bAQ/edit?resourcekey#gid=1321652304"",""Prop!$C$1:$M""),11,0),IFERROR(vlookup(B6,importrange(""https://docs.google.com/spreadsheets/d/1p53T2Au"&amp;"vvIqhP7Nf-bo3Uhj8cbKYRPpZdsrBv3x3bAQ/edit?resourcekey#gid=1321652304"",""Prop!$N$1:$X""),11,0),iferror(vlookup(B6,importrange(""https://docs.google.com/spreadsheets/d/1p53T2AuvvIqhP7Nf-bo3Uhj8cbKYRPpZdsrBv3x3bAQ/edit?resourcekey#gid=1321652304"",""Prop!$Y"&amp;"$1:$AI""),11,0),iferror(vlookup(B6,importrange(""https://docs.google.com/spreadsheets/d/1p53T2AuvvIqhP7Nf-bo3Uhj8cbKYRPpZdsrBv3x3bAQ/edit?resourcekey#gid=1321652304"",""Prop!$AJ$1:$AT""),11,0),iferror(vlookup(B6,importrange(""https://docs.google.com/sprea"&amp;"dsheets/d/1p53T2AuvvIqhP7Nf-bo3Uhj8cbKYRPpZdsrBv3x3bAQ/edit?resourcekey#gid=1321652304"",""Prop!$AU$1:$BE""),11,0),iferror(vlookup(B6,importrange(""https://docs.google.com/spreadsheets/d/1p53T2AuvvIqhP7Nf-bo3Uhj8cbKYRPpZdsrBv3x3bAQ/edit?resourcekey#gid=13"&amp;"21652304"",""Prop!$BF$1:$BP""),11,0),iferror(vlookup(B6,importrange(""https://docs.google.com/spreadsheets/d/1p53T2AuvvIqhP7Nf-bo3Uhj8cbKYRPpZdsrBv3x3bAQ/edit?resourcekey#gid=1321652304"",""Prop!$BQ$1:$CA""),11,0),iferror(vlookup(B6,importrange(""https://"&amp;"docs.google.com/spreadsheets/d/1p53T2AuvvIqhP7Nf-bo3Uhj8cbKYRPpZdsrBv3x3bAQ/edit?resourcekey#gid=1321652304"",""Prop!$CB$1:$CL""),11,0),iferror(vlookup(B6,importrange(""https://docs.google.com/spreadsheets/d/1p53T2AuvvIqhP7Nf-bo3Uhj8cbKYRPpZdsrBv3x3bAQ/ed"&amp;"it?resourcekey#gid=1321652304"",""Prop!$CM$1:$CX""),12,0),iferror(vlookup(B6,importrange(""https://docs.google.com/spreadsheets/d/1p53T2AuvvIqhP7Nf-bo3Uhj8cbKYRPpZdsrBv3x3bAQ/edit?resourcekey#gid=1321652304"",""Prop!$CY$1:$DI""),11,0)))))))))))"),"https://drive.google.com/open?id=1cwtBBSiWPGdj1OUkWubH3snlbeOV38Ef")</f>
        <v>https://drive.google.com/open?id=1cwtBBSiWPGdj1OUkWubH3snlbeOV38Ef</v>
      </c>
      <c r="R6" s="20" t="s">
        <v>946</v>
      </c>
      <c r="S6" s="20" t="str">
        <f ca="1">IFERROR(__xludf.DUMMYFUNCTION("IFERROR(vlookup(B6,IMPORTRANGE(""https://docs.google.com/spreadsheets/d/1g_jfYYK_KeipEDNDUgqgrsxK94XiocfNQIcP-v1QVhI/edit?resourcekey#gid=233272945"",""Nilai!B:CT""),21,0),"" "")"),"daftar isi spasi tidak 1.15. No halaman pakai calibri bukan TNR; fokus pada launching bukan bisnis; anggaran tidak sesuai; tanggal lampiran masih feb; justifikasi anggaran tidak jelas")</f>
        <v>daftar isi spasi tidak 1.15. No halaman pakai calibri bukan TNR; fokus pada launching bukan bisnis; anggaran tidak sesuai; tanggal lampiran masih feb; justifikasi anggaran tidak jelas</v>
      </c>
      <c r="T6" s="20" t="str">
        <f ca="1">IFERROR(__xludf.DUMMYFUNCTION("IFERROR(vlookup(B6,IMPORTRANGE(""https://docs.google.com/spreadsheets/d/1g_jfYYK_KeipEDNDUgqgrsxK94XiocfNQIcP-v1QVhI/edit?resourcekey#gid=233272945"",""Nilai!B:CT""),97,0),"" "")"),"TIDAK LAYAK UPLOAD KE SIMBELMAWA")</f>
        <v>TIDAK LAYAK UPLOAD KE SIMBELMAWA</v>
      </c>
      <c r="U6" s="21" t="s">
        <v>739</v>
      </c>
      <c r="V6" s="85" t="s">
        <v>947</v>
      </c>
      <c r="W6" s="17" t="s">
        <v>948</v>
      </c>
      <c r="X6" s="34" t="b">
        <v>0</v>
      </c>
    </row>
    <row r="7" spans="1:24">
      <c r="A7" s="15">
        <v>5</v>
      </c>
      <c r="B7" s="15">
        <f ca="1">IFERROR(__xludf.DUMMYFUNCTION("""COMPUTED_VALUE"""),3142)</f>
        <v>3142</v>
      </c>
      <c r="C7" s="16" t="str">
        <f ca="1">IFERROR(__xludf.DUMMYFUNCTION("""COMPUTED_VALUE"""),"AURA AGHARID PRITINA")</f>
        <v>AURA AGHARID PRITINA</v>
      </c>
      <c r="D7" s="16" t="str">
        <f ca="1">IFERROR(__xludf.DUMMYFUNCTION("""COMPUTED_VALUE"""),"02111940000116")</f>
        <v>02111940000116</v>
      </c>
      <c r="E7" s="16" t="str">
        <f ca="1">IFERROR(__xludf.DUMMYFUNCTION("""COMPUTED_VALUE"""),"Departemen Teknik Mesin")</f>
        <v>Departemen Teknik Mesin</v>
      </c>
      <c r="F7" s="16" t="str">
        <f ca="1">IFERROR(__xludf.DUMMYFUNCTION("""COMPUTED_VALUE"""),"UCO BANK menggunakan Automatic Vending Machine untuk Meningkatkan Antusias Masyarakat dalam Menabung Minyak Jelantah
 ")</f>
        <v xml:space="preserve">UCO BANK menggunakan Automatic Vending Machine untuk Meningkatkan Antusias Masyarakat dalam Menabung Minyak Jelantah
 </v>
      </c>
      <c r="G7" s="16" t="str">
        <f ca="1">IFERROR(__xludf.DUMMYFUNCTION("""COMPUTED_VALUE"""),"Dr.Eng. Unggul Wasiwitono, S.T., M.Eng.Sc.")</f>
        <v>Dr.Eng. Unggul Wasiwitono, S.T., M.Eng.Sc.</v>
      </c>
      <c r="H7" s="16" t="str">
        <f ca="1">IFERROR(__xludf.DUMMYFUNCTION("""COMPUTED_VALUE"""),"Drs. Bandung Arry Sanjoyo, Mi.Komp.")</f>
        <v>Drs. Bandung Arry Sanjoyo, Mi.Komp.</v>
      </c>
      <c r="I7" s="16" t="str">
        <f ca="1">IFERROR(__xludf.DUMMYFUNCTION("""COMPUTED_VALUE"""),"Moh. Singgih Purwanto, S.Si., M.T")</f>
        <v>Moh. Singgih Purwanto, S.Si., M.T</v>
      </c>
      <c r="J7" s="16"/>
      <c r="K7" s="17" t="s">
        <v>943</v>
      </c>
      <c r="L7" s="17" t="s">
        <v>944</v>
      </c>
      <c r="M7" s="19" t="b">
        <v>1</v>
      </c>
      <c r="N7" s="19" t="b">
        <v>1</v>
      </c>
      <c r="O7" s="1" t="s">
        <v>950</v>
      </c>
      <c r="P7" s="7" t="str">
        <f ca="1">IFERROR(__xludf.DUMMYFUNCTION("iferror(vlookup(B7,importrange(""https://docs.google.com/spreadsheets/d/1boHyJQ4e2FU0QG8MHwEi6qjX4hvZWVCHcFfXjq7bbMc/edit?resourcekey#gid=923248883"",""Prop!$C$1:$M""),12,0),IFERROR(vlookup(B7,importrange(""https://docs.google.com/spreadsheets/d/1boHyJQ4e"&amp;"2FU0QG8MHwEi6qjX4hvZWVCHcFfXjq7bbMc/edit?resourcekey#gid=923248883"",""Prop!$N$1:$X""),11,0),iferror(vlookup(B7,importrange(""https://docs.google.com/spreadsheets/d/1boHyJQ4e2FU0QG8MHwEi6qjX4hvZWVCHcFfXjq7bbMc/edit?resourcekey#gid=923248883"",""Prop!$Y$1:"&amp;"$AI""),11,0),iferror(vlookup(B7,importrange(""https://docs.google.com/spreadsheets/d/1boHyJQ4e2FU0QG8MHwEi6qjX4hvZWVCHcFfXjq7bbMc/edit?resourcekey#gid=923248883"",""Prop!$AJ$1:$AT""),11,0),iferror(vlookup(B7,importrange(""https://docs.google.com/spreadshe"&amp;"ets/d/1boHyJQ4e2FU0QG8MHwEi6qjX4hvZWVCHcFfXjq7bbMc/edit?resourcekey#gid=923248883"",""Prop!$AU$1:$BE""),11,0),iferror(vlookup(B7,importrange(""https://docs.google.com/spreadsheets/d/1boHyJQ4e2FU0QG8MHwEi6qjX4hvZWVCHcFfXjq7bbMc/edit?resourcekey#gid=9232488"&amp;"83"",""Prop!$BF$1:$BP""),11,0),iferror(vlookup(B7,importrange(""https://docs.google.com/spreadsheets/d/1boHyJQ4e2FU0QG8MHwEi6qjX4hvZWVCHcFfXjq7bbMc/edit?resourcekey#gid=923248883"",""Prop!$BQ$1:$CA""),11,0),iferror(vlookup(B7,importrange(""https://docs.go"&amp;"ogle.com/spreadsheets/d/1boHyJQ4e2FU0QG8MHwEi6qjX4hvZWVCHcFfXjq7bbMc/edit?resourcekey#gid=923248883"",""Prop!$CB$1:$CL""),11,0),iferror(vlookup(B7,importrange(""https://docs.google.com/spreadsheets/d/1boHyJQ4e2FU0QG8MHwEi6qjX4hvZWVCHcFfXjq7bbMc/edit?resou"&amp;"rcekey#gid=923248883"",""Prop!$CM$1:$CX""),12,0),iferror(vlookup(B7,importrange(""https://docs.google.com/spreadsheets/d/1boHyJQ4e2FU0QG8MHwEi6qjX4hvZWVCHcFfXjq7bbMc/edit?resourcekey#gid=923248883"",""Prop!$CV$1:$DI""),11,0)))))))))))"),"https://drive.google.com/open?id=17r6eGhxF6T2uFVApyBy2KYRIxsP_euua")</f>
        <v>https://drive.google.com/open?id=17r6eGhxF6T2uFVApyBy2KYRIxsP_euua</v>
      </c>
      <c r="Q7" s="7" t="str">
        <f ca="1">IFERROR(__xludf.DUMMYFUNCTION("iferror(vlookup(B7,importrange(""https://docs.google.com/spreadsheets/d/1p53T2AuvvIqhP7Nf-bo3Uhj8cbKYRPpZdsrBv3x3bAQ/edit?resourcekey#gid=1321652304"",""Prop!$C$1:$M""),11,0),IFERROR(vlookup(B7,importrange(""https://docs.google.com/spreadsheets/d/1p53T2Au"&amp;"vvIqhP7Nf-bo3Uhj8cbKYRPpZdsrBv3x3bAQ/edit?resourcekey#gid=1321652304"",""Prop!$N$1:$X""),11,0),iferror(vlookup(B7,importrange(""https://docs.google.com/spreadsheets/d/1p53T2AuvvIqhP7Nf-bo3Uhj8cbKYRPpZdsrBv3x3bAQ/edit?resourcekey#gid=1321652304"",""Prop!$Y"&amp;"$1:$AI""),11,0),iferror(vlookup(B7,importrange(""https://docs.google.com/spreadsheets/d/1p53T2AuvvIqhP7Nf-bo3Uhj8cbKYRPpZdsrBv3x3bAQ/edit?resourcekey#gid=1321652304"",""Prop!$AJ$1:$AT""),11,0),iferror(vlookup(B7,importrange(""https://docs.google.com/sprea"&amp;"dsheets/d/1p53T2AuvvIqhP7Nf-bo3Uhj8cbKYRPpZdsrBv3x3bAQ/edit?resourcekey#gid=1321652304"",""Prop!$AU$1:$BE""),11,0),iferror(vlookup(B7,importrange(""https://docs.google.com/spreadsheets/d/1p53T2AuvvIqhP7Nf-bo3Uhj8cbKYRPpZdsrBv3x3bAQ/edit?resourcekey#gid=13"&amp;"21652304"",""Prop!$BF$1:$BP""),11,0),iferror(vlookup(B7,importrange(""https://docs.google.com/spreadsheets/d/1p53T2AuvvIqhP7Nf-bo3Uhj8cbKYRPpZdsrBv3x3bAQ/edit?resourcekey#gid=1321652304"",""Prop!$BQ$1:$CA""),11,0),iferror(vlookup(B7,importrange(""https://"&amp;"docs.google.com/spreadsheets/d/1p53T2AuvvIqhP7Nf-bo3Uhj8cbKYRPpZdsrBv3x3bAQ/edit?resourcekey#gid=1321652304"",""Prop!$CB$1:$CL""),11,0),iferror(vlookup(B7,importrange(""https://docs.google.com/spreadsheets/d/1p53T2AuvvIqhP7Nf-bo3Uhj8cbKYRPpZdsrBv3x3bAQ/ed"&amp;"it?resourcekey#gid=1321652304"",""Prop!$CM$1:$CX""),12,0),iferror(vlookup(B7,importrange(""https://docs.google.com/spreadsheets/d/1p53T2AuvvIqhP7Nf-bo3Uhj8cbKYRPpZdsrBv3x3bAQ/edit?resourcekey#gid=1321652304"",""Prop!$CY$1:$DI""),11,0)))))))))))"),"https://drive.google.com/open?id=1mLuEK9IyHOx8H6snC42cYOYDlEzgsQ9U")</f>
        <v>https://drive.google.com/open?id=1mLuEK9IyHOx8H6snC42cYOYDlEzgsQ9U</v>
      </c>
      <c r="R7" s="20" t="s">
        <v>946</v>
      </c>
      <c r="S7" s="20" t="str">
        <f ca="1">IFERROR(__xludf.DUMMYFUNCTION("IFERROR(vlookup(B7,IMPORTRANGE(""https://docs.google.com/spreadsheets/d/1g_jfYYK_KeipEDNDUgqgrsxK94XiocfNQIcP-v1QVhI/edit?resourcekey#gid=233272945"",""Nilai!B:CT""),21,0),"" "")"),"yg di upload masih comment2an; halaman daftar isi ada di kanan atas; anggaran sewa dan jsa max 15%")</f>
        <v>yg di upload masih comment2an; halaman daftar isi ada di kanan atas; anggaran sewa dan jsa max 15%</v>
      </c>
      <c r="T7" s="20" t="str">
        <f ca="1">IFERROR(__xludf.DUMMYFUNCTION("IFERROR(vlookup(B7,IMPORTRANGE(""https://docs.google.com/spreadsheets/d/1g_jfYYK_KeipEDNDUgqgrsxK94XiocfNQIcP-v1QVhI/edit?resourcekey#gid=233272945"",""Nilai!B:CT""),97,0),"" "")"),"LAYAK UPLOAD KE SIMBELMAWA DENGAN REVISI")</f>
        <v>LAYAK UPLOAD KE SIMBELMAWA DENGAN REVISI</v>
      </c>
      <c r="U7" s="21" t="s">
        <v>739</v>
      </c>
      <c r="V7" s="85" t="s">
        <v>947</v>
      </c>
      <c r="W7" s="17" t="s">
        <v>951</v>
      </c>
      <c r="X7" s="34" t="s">
        <v>949</v>
      </c>
    </row>
    <row r="8" spans="1:24">
      <c r="A8" s="15">
        <v>6</v>
      </c>
      <c r="B8" s="15">
        <f ca="1">IFERROR(__xludf.DUMMYFUNCTION("""COMPUTED_VALUE"""),4164)</f>
        <v>4164</v>
      </c>
      <c r="C8" s="16" t="str">
        <f ca="1">IFERROR(__xludf.DUMMYFUNCTION("""COMPUTED_VALUE"""),"Pramudya Tiandana Wisnu Gautama")</f>
        <v>Pramudya Tiandana Wisnu Gautama</v>
      </c>
      <c r="D8" s="16" t="str">
        <f ca="1">IFERROR(__xludf.DUMMYFUNCTION("""COMPUTED_VALUE"""),"05111940000018")</f>
        <v>05111940000018</v>
      </c>
      <c r="E8" s="16" t="str">
        <f ca="1">IFERROR(__xludf.DUMMYFUNCTION("""COMPUTED_VALUE"""),"Departemen Teknik Informatika")</f>
        <v>Departemen Teknik Informatika</v>
      </c>
      <c r="F8" s="16" t="str">
        <f ca="1">IFERROR(__xludf.DUMMYFUNCTION("""COMPUTED_VALUE"""),"Platform Penyedia Data Supplier Ekspor Produk Komoditas Nonmanufaktur Bermodel Komunitas Bersistem Filter Machine Learning Guna Memudahkan Arus Suplai Ekspor Indonesia")</f>
        <v>Platform Penyedia Data Supplier Ekspor Produk Komoditas Nonmanufaktur Bermodel Komunitas Bersistem Filter Machine Learning Guna Memudahkan Arus Suplai Ekspor Indonesia</v>
      </c>
      <c r="G8" s="16"/>
      <c r="H8" s="16" t="str">
        <f ca="1">IFERROR(__xludf.DUMMYFUNCTION("""COMPUTED_VALUE"""),"Ahmad Fauzan Adziimaa, S.T., M.Sc.")</f>
        <v>Ahmad Fauzan Adziimaa, S.T., M.Sc.</v>
      </c>
      <c r="I8" s="16" t="str">
        <f ca="1">IFERROR(__xludf.DUMMYFUNCTION("""COMPUTED_VALUE"""),"Dr. Hendro Juwono, M.Si.")</f>
        <v>Dr. Hendro Juwono, M.Si.</v>
      </c>
      <c r="J8" s="16"/>
      <c r="K8" s="17" t="s">
        <v>952</v>
      </c>
      <c r="L8" s="17" t="s">
        <v>953</v>
      </c>
      <c r="M8" s="19" t="b">
        <v>1</v>
      </c>
      <c r="N8" s="19" t="b">
        <v>1</v>
      </c>
      <c r="O8" s="1" t="s">
        <v>950</v>
      </c>
      <c r="P8" s="7" t="str">
        <f ca="1">IFERROR(__xludf.DUMMYFUNCTION("iferror(vlookup(B8,importrange(""https://docs.google.com/spreadsheets/d/1boHyJQ4e2FU0QG8MHwEi6qjX4hvZWVCHcFfXjq7bbMc/edit?resourcekey#gid=923248883"",""Prop!$C$1:$M""),12,0),IFERROR(vlookup(B8,importrange(""https://docs.google.com/spreadsheets/d/1boHyJQ4e"&amp;"2FU0QG8MHwEi6qjX4hvZWVCHcFfXjq7bbMc/edit?resourcekey#gid=923248883"",""Prop!$N$1:$X""),11,0),iferror(vlookup(B8,importrange(""https://docs.google.com/spreadsheets/d/1boHyJQ4e2FU0QG8MHwEi6qjX4hvZWVCHcFfXjq7bbMc/edit?resourcekey#gid=923248883"",""Prop!$Y$1:"&amp;"$AI""),11,0),iferror(vlookup(B8,importrange(""https://docs.google.com/spreadsheets/d/1boHyJQ4e2FU0QG8MHwEi6qjX4hvZWVCHcFfXjq7bbMc/edit?resourcekey#gid=923248883"",""Prop!$AJ$1:$AT""),11,0),iferror(vlookup(B8,importrange(""https://docs.google.com/spreadshe"&amp;"ets/d/1boHyJQ4e2FU0QG8MHwEi6qjX4hvZWVCHcFfXjq7bbMc/edit?resourcekey#gid=923248883"",""Prop!$AU$1:$BE""),11,0),iferror(vlookup(B8,importrange(""https://docs.google.com/spreadsheets/d/1boHyJQ4e2FU0QG8MHwEi6qjX4hvZWVCHcFfXjq7bbMc/edit?resourcekey#gid=9232488"&amp;"83"",""Prop!$BF$1:$BP""),11,0),iferror(vlookup(B8,importrange(""https://docs.google.com/spreadsheets/d/1boHyJQ4e2FU0QG8MHwEi6qjX4hvZWVCHcFfXjq7bbMc/edit?resourcekey#gid=923248883"",""Prop!$BQ$1:$CA""),11,0),iferror(vlookup(B8,importrange(""https://docs.go"&amp;"ogle.com/spreadsheets/d/1boHyJQ4e2FU0QG8MHwEi6qjX4hvZWVCHcFfXjq7bbMc/edit?resourcekey#gid=923248883"",""Prop!$CB$1:$CL""),11,0),iferror(vlookup(B8,importrange(""https://docs.google.com/spreadsheets/d/1boHyJQ4e2FU0QG8MHwEi6qjX4hvZWVCHcFfXjq7bbMc/edit?resou"&amp;"rcekey#gid=923248883"",""Prop!$CM$1:$CX""),12,0),iferror(vlookup(B8,importrange(""https://docs.google.com/spreadsheets/d/1boHyJQ4e2FU0QG8MHwEi6qjX4hvZWVCHcFfXjq7bbMc/edit?resourcekey#gid=923248883"",""Prop!$CV$1:$DI""),11,0)))))))))))"),"https://drive.google.com/open?id=1G2knk1c_gtOgE5u_oOFUDVz1SrMNt9AE")</f>
        <v>https://drive.google.com/open?id=1G2knk1c_gtOgE5u_oOFUDVz1SrMNt9AE</v>
      </c>
      <c r="Q8" s="1" t="str">
        <f ca="1">IFERROR(__xludf.DUMMYFUNCTION("iferror(vlookup(B8,importrange(""https://docs.google.com/spreadsheets/d/1p53T2AuvvIqhP7Nf-bo3Uhj8cbKYRPpZdsrBv3x3bAQ/edit?resourcekey#gid=1321652304"",""Prop!$C$1:$M""),11,0),IFERROR(vlookup(B8,importrange(""https://docs.google.com/spreadsheets/d/1p53T2Au"&amp;"vvIqhP7Nf-bo3Uhj8cbKYRPpZdsrBv3x3bAQ/edit?resourcekey#gid=1321652304"",""Prop!$N$1:$X""),11,0),iferror(vlookup(B8,importrange(""https://docs.google.com/spreadsheets/d/1p53T2AuvvIqhP7Nf-bo3Uhj8cbKYRPpZdsrBv3x3bAQ/edit?resourcekey#gid=1321652304"",""Prop!$Y"&amp;"$1:$AI""),11,0),iferror(vlookup(B8,importrange(""https://docs.google.com/spreadsheets/d/1p53T2AuvvIqhP7Nf-bo3Uhj8cbKYRPpZdsrBv3x3bAQ/edit?resourcekey#gid=1321652304"",""Prop!$AJ$1:$AT""),11,0),iferror(vlookup(B8,importrange(""https://docs.google.com/sprea"&amp;"dsheets/d/1p53T2AuvvIqhP7Nf-bo3Uhj8cbKYRPpZdsrBv3x3bAQ/edit?resourcekey#gid=1321652304"",""Prop!$AU$1:$BE""),11,0),iferror(vlookup(B8,importrange(""https://docs.google.com/spreadsheets/d/1p53T2AuvvIqhP7Nf-bo3Uhj8cbKYRPpZdsrBv3x3bAQ/edit?resourcekey#gid=13"&amp;"21652304"",""Prop!$BF$1:$BP""),11,0),iferror(vlookup(B8,importrange(""https://docs.google.com/spreadsheets/d/1p53T2AuvvIqhP7Nf-bo3Uhj8cbKYRPpZdsrBv3x3bAQ/edit?resourcekey#gid=1321652304"",""Prop!$BQ$1:$CA""),11,0),iferror(vlookup(B8,importrange(""https://"&amp;"docs.google.com/spreadsheets/d/1p53T2AuvvIqhP7Nf-bo3Uhj8cbKYRPpZdsrBv3x3bAQ/edit?resourcekey#gid=1321652304"",""Prop!$CB$1:$CL""),11,0),iferror(vlookup(B8,importrange(""https://docs.google.com/spreadsheets/d/1p53T2AuvvIqhP7Nf-bo3Uhj8cbKYRPpZdsrBv3x3bAQ/ed"&amp;"it?resourcekey#gid=1321652304"",""Prop!$CM$1:$CX""),12,0),iferror(vlookup(B8,importrange(""https://docs.google.com/spreadsheets/d/1p53T2AuvvIqhP7Nf-bo3Uhj8cbKYRPpZdsrBv3x3bAQ/edit?resourcekey#gid=1321652304"",""Prop!$CY$1:$DI""),11,0)))))))))))"),"")</f>
        <v/>
      </c>
      <c r="R8" s="20" t="s">
        <v>946</v>
      </c>
      <c r="S8" s="20" t="str">
        <f ca="1">IFERROR(__xludf.DUMMYFUNCTION("IFERROR(vlookup(B8,IMPORTRANGE(""https://docs.google.com/spreadsheets/d/1g_jfYYK_KeipEDNDUgqgrsxK94XiocfNQIcP-v1QVhI/edit?resourcekey#gid=233272945"",""Nilai!B:CT""),21,0),"" "")"),"revisi dari saya mana?")</f>
        <v>revisi dari saya mana?</v>
      </c>
      <c r="T8" s="20" t="str">
        <f ca="1">IFERROR(__xludf.DUMMYFUNCTION("IFERROR(vlookup(B8,IMPORTRANGE(""https://docs.google.com/spreadsheets/d/1g_jfYYK_KeipEDNDUgqgrsxK94XiocfNQIcP-v1QVhI/edit?resourcekey#gid=233272945"",""Nilai!B:CT""),97,0),"" "")"),"LAYAK UPLOAD KE SIMBELMAWA DENGAN REVISI")</f>
        <v>LAYAK UPLOAD KE SIMBELMAWA DENGAN REVISI</v>
      </c>
      <c r="U8" s="21" t="s">
        <v>739</v>
      </c>
      <c r="V8" s="85" t="s">
        <v>947</v>
      </c>
      <c r="W8" s="17" t="s">
        <v>951</v>
      </c>
      <c r="X8" s="34" t="s">
        <v>949</v>
      </c>
    </row>
    <row r="9" spans="1:24">
      <c r="A9" s="15">
        <v>7</v>
      </c>
      <c r="B9" s="15">
        <f ca="1">IFERROR(__xludf.DUMMYFUNCTION("""COMPUTED_VALUE"""),3281)</f>
        <v>3281</v>
      </c>
      <c r="C9" s="16" t="str">
        <f ca="1">IFERROR(__xludf.DUMMYFUNCTION("""COMPUTED_VALUE"""),"FARHAN FADLURRAHMAN SUTRISNO")</f>
        <v>FARHAN FADLURRAHMAN SUTRISNO</v>
      </c>
      <c r="D9" s="16" t="str">
        <f ca="1">IFERROR(__xludf.DUMMYFUNCTION("""COMPUTED_VALUE"""),"5007201102")</f>
        <v>5007201102</v>
      </c>
      <c r="E9" s="16" t="str">
        <f ca="1">IFERROR(__xludf.DUMMYFUNCTION("""COMPUTED_VALUE"""),"Departemen Teknik Mesin")</f>
        <v>Departemen Teknik Mesin</v>
      </c>
      <c r="F9" s="16" t="str">
        <f ca="1">IFERROR(__xludf.DUMMYFUNCTION("""COMPUTED_VALUE"""),"""SwastaMita"" Aplikasi Berbasis Android Guna Mempermudah Mobilitas Masyarakat dan Tourism Dalam Melakukan Pendakian di Indonesia Menggunakan Strategi Storynomics Tourism")</f>
        <v>"SwastaMita" Aplikasi Berbasis Android Guna Mempermudah Mobilitas Masyarakat dan Tourism Dalam Melakukan Pendakian di Indonesia Menggunakan Strategi Storynomics Tourism</v>
      </c>
      <c r="G9" s="16" t="str">
        <f ca="1">IFERROR(__xludf.DUMMYFUNCTION("""COMPUTED_VALUE"""),"Mohammad Khoirul Effendi, S.T., M.Sc.Eng., Ph.D.")</f>
        <v>Mohammad Khoirul Effendi, S.T., M.Sc.Eng., Ph.D.</v>
      </c>
      <c r="H9" s="16" t="str">
        <f ca="1">IFERROR(__xludf.DUMMYFUNCTION("""COMPUTED_VALUE"""),"Ahmad Fauzan Adziimaa, S.T., M.Sc.")</f>
        <v>Ahmad Fauzan Adziimaa, S.T., M.Sc.</v>
      </c>
      <c r="I9" s="16" t="str">
        <f ca="1">IFERROR(__xludf.DUMMYFUNCTION("""COMPUTED_VALUE"""),"Dr. Hendro Juwono, M.Si.")</f>
        <v>Dr. Hendro Juwono, M.Si.</v>
      </c>
      <c r="J9" s="16"/>
      <c r="K9" s="17" t="s">
        <v>952</v>
      </c>
      <c r="L9" s="17" t="s">
        <v>953</v>
      </c>
      <c r="M9" s="19" t="b">
        <v>1</v>
      </c>
      <c r="N9" s="19" t="b">
        <v>1</v>
      </c>
      <c r="O9" s="1" t="s">
        <v>950</v>
      </c>
      <c r="P9" s="7" t="str">
        <f ca="1">IFERROR(__xludf.DUMMYFUNCTION("iferror(vlookup(B9,importrange(""https://docs.google.com/spreadsheets/d/1boHyJQ4e2FU0QG8MHwEi6qjX4hvZWVCHcFfXjq7bbMc/edit?resourcekey#gid=923248883"",""Prop!$C$1:$M""),12,0),IFERROR(vlookup(B9,importrange(""https://docs.google.com/spreadsheets/d/1boHyJQ4e"&amp;"2FU0QG8MHwEi6qjX4hvZWVCHcFfXjq7bbMc/edit?resourcekey#gid=923248883"",""Prop!$N$1:$X""),11,0),iferror(vlookup(B9,importrange(""https://docs.google.com/spreadsheets/d/1boHyJQ4e2FU0QG8MHwEi6qjX4hvZWVCHcFfXjq7bbMc/edit?resourcekey#gid=923248883"",""Prop!$Y$1:"&amp;"$AI""),11,0),iferror(vlookup(B9,importrange(""https://docs.google.com/spreadsheets/d/1boHyJQ4e2FU0QG8MHwEi6qjX4hvZWVCHcFfXjq7bbMc/edit?resourcekey#gid=923248883"",""Prop!$AJ$1:$AT""),11,0),iferror(vlookup(B9,importrange(""https://docs.google.com/spreadshe"&amp;"ets/d/1boHyJQ4e2FU0QG8MHwEi6qjX4hvZWVCHcFfXjq7bbMc/edit?resourcekey#gid=923248883"",""Prop!$AU$1:$BE""),11,0),iferror(vlookup(B9,importrange(""https://docs.google.com/spreadsheets/d/1boHyJQ4e2FU0QG8MHwEi6qjX4hvZWVCHcFfXjq7bbMc/edit?resourcekey#gid=9232488"&amp;"83"",""Prop!$BF$1:$BP""),11,0),iferror(vlookup(B9,importrange(""https://docs.google.com/spreadsheets/d/1boHyJQ4e2FU0QG8MHwEi6qjX4hvZWVCHcFfXjq7bbMc/edit?resourcekey#gid=923248883"",""Prop!$BQ$1:$CA""),11,0),iferror(vlookup(B9,importrange(""https://docs.go"&amp;"ogle.com/spreadsheets/d/1boHyJQ4e2FU0QG8MHwEi6qjX4hvZWVCHcFfXjq7bbMc/edit?resourcekey#gid=923248883"",""Prop!$CB$1:$CL""),11,0),iferror(vlookup(B9,importrange(""https://docs.google.com/spreadsheets/d/1boHyJQ4e2FU0QG8MHwEi6qjX4hvZWVCHcFfXjq7bbMc/edit?resou"&amp;"rcekey#gid=923248883"",""Prop!$CM$1:$CX""),12,0),iferror(vlookup(B9,importrange(""https://docs.google.com/spreadsheets/d/1boHyJQ4e2FU0QG8MHwEi6qjX4hvZWVCHcFfXjq7bbMc/edit?resourcekey#gid=923248883"",""Prop!$CV$1:$DI""),11,0)))))))))))"),"https://drive.google.com/open?id=1pDGVTB1BmQtHw-Txs0D7Muh3ox0LvboE")</f>
        <v>https://drive.google.com/open?id=1pDGVTB1BmQtHw-Txs0D7Muh3ox0LvboE</v>
      </c>
      <c r="Q9" s="7" t="str">
        <f ca="1">IFERROR(__xludf.DUMMYFUNCTION("iferror(vlookup(B9,importrange(""https://docs.google.com/spreadsheets/d/1p53T2AuvvIqhP7Nf-bo3Uhj8cbKYRPpZdsrBv3x3bAQ/edit?resourcekey#gid=1321652304"",""Prop!$C$1:$M""),11,0),IFERROR(vlookup(B9,importrange(""https://docs.google.com/spreadsheets/d/1p53T2Au"&amp;"vvIqhP7Nf-bo3Uhj8cbKYRPpZdsrBv3x3bAQ/edit?resourcekey#gid=1321652304"",""Prop!$N$1:$X""),11,0),iferror(vlookup(B9,importrange(""https://docs.google.com/spreadsheets/d/1p53T2AuvvIqhP7Nf-bo3Uhj8cbKYRPpZdsrBv3x3bAQ/edit?resourcekey#gid=1321652304"",""Prop!$Y"&amp;"$1:$AI""),11,0),iferror(vlookup(B9,importrange(""https://docs.google.com/spreadsheets/d/1p53T2AuvvIqhP7Nf-bo3Uhj8cbKYRPpZdsrBv3x3bAQ/edit?resourcekey#gid=1321652304"",""Prop!$AJ$1:$AT""),11,0),iferror(vlookup(B9,importrange(""https://docs.google.com/sprea"&amp;"dsheets/d/1p53T2AuvvIqhP7Nf-bo3Uhj8cbKYRPpZdsrBv3x3bAQ/edit?resourcekey#gid=1321652304"",""Prop!$AU$1:$BE""),11,0),iferror(vlookup(B9,importrange(""https://docs.google.com/spreadsheets/d/1p53T2AuvvIqhP7Nf-bo3Uhj8cbKYRPpZdsrBv3x3bAQ/edit?resourcekey#gid=13"&amp;"21652304"",""Prop!$BF$1:$BP""),11,0),iferror(vlookup(B9,importrange(""https://docs.google.com/spreadsheets/d/1p53T2AuvvIqhP7Nf-bo3Uhj8cbKYRPpZdsrBv3x3bAQ/edit?resourcekey#gid=1321652304"",""Prop!$BQ$1:$CA""),11,0),iferror(vlookup(B9,importrange(""https://"&amp;"docs.google.com/spreadsheets/d/1p53T2AuvvIqhP7Nf-bo3Uhj8cbKYRPpZdsrBv3x3bAQ/edit?resourcekey#gid=1321652304"",""Prop!$CB$1:$CL""),11,0),iferror(vlookup(B9,importrange(""https://docs.google.com/spreadsheets/d/1p53T2AuvvIqhP7Nf-bo3Uhj8cbKYRPpZdsrBv3x3bAQ/ed"&amp;"it?resourcekey#gid=1321652304"",""Prop!$CM$1:$CX""),12,0),iferror(vlookup(B9,importrange(""https://docs.google.com/spreadsheets/d/1p53T2AuvvIqhP7Nf-bo3Uhj8cbKYRPpZdsrBv3x3bAQ/edit?resourcekey#gid=1321652304"",""Prop!$CY$1:$DI""),11,0)))))))))))"),"https://drive.google.com/open?id=1zKGbmlZwr89DPpnyo9J1m75uVcRAxJCq")</f>
        <v>https://drive.google.com/open?id=1zKGbmlZwr89DPpnyo9J1m75uVcRAxJCq</v>
      </c>
      <c r="R9" s="20" t="s">
        <v>946</v>
      </c>
      <c r="S9" s="20" t="str">
        <f ca="1">IFERROR(__xludf.DUMMYFUNCTION("IFERROR(vlookup(B9,IMPORTRANGE(""https://docs.google.com/spreadsheets/d/1g_jfYYK_KeipEDNDUgqgrsxK94XiocfNQIcP-v1QVhI/edit?resourcekey#gid=233272945"",""Nilai!B:CT""),21,0),"" "")"),"bedanya lampiran format jadwal dgn yang di bagian utama proposal apa ya?; ")</f>
        <v xml:space="preserve">bedanya lampiran format jadwal dgn yang di bagian utama proposal apa ya?; </v>
      </c>
      <c r="T9" s="20" t="str">
        <f ca="1">IFERROR(__xludf.DUMMYFUNCTION("IFERROR(vlookup(B9,IMPORTRANGE(""https://docs.google.com/spreadsheets/d/1g_jfYYK_KeipEDNDUgqgrsxK94XiocfNQIcP-v1QVhI/edit?resourcekey#gid=233272945"",""Nilai!B:CT""),97,0),"" "")"),"LAYAK UPLOAD KE SIMBELMAWA")</f>
        <v>LAYAK UPLOAD KE SIMBELMAWA</v>
      </c>
      <c r="U9" s="21" t="s">
        <v>739</v>
      </c>
      <c r="V9" s="85" t="s">
        <v>947</v>
      </c>
      <c r="W9" s="17" t="s">
        <v>951</v>
      </c>
      <c r="X9" s="34" t="s">
        <v>949</v>
      </c>
    </row>
    <row r="10" spans="1:24">
      <c r="A10" s="15">
        <v>8</v>
      </c>
      <c r="B10" s="15">
        <f ca="1">IFERROR(__xludf.DUMMYFUNCTION("""COMPUTED_VALUE"""),3606)</f>
        <v>3606</v>
      </c>
      <c r="C10" s="16" t="str">
        <f ca="1">IFERROR(__xludf.DUMMYFUNCTION("""COMPUTED_VALUE"""),"GHIFARY MUHAMMAD")</f>
        <v>GHIFARY MUHAMMAD</v>
      </c>
      <c r="D10" s="16" t="str">
        <f ca="1">IFERROR(__xludf.DUMMYFUNCTION("""COMPUTED_VALUE"""),"5026201156")</f>
        <v>5026201156</v>
      </c>
      <c r="E10" s="16" t="str">
        <f ca="1">IFERROR(__xludf.DUMMYFUNCTION("""COMPUTED_VALUE"""),"Departemen Sistem Informasi")</f>
        <v>Departemen Sistem Informasi</v>
      </c>
      <c r="F10" s="16" t="str">
        <f ca="1">IFERROR(__xludf.DUMMYFUNCTION("""COMPUTED_VALUE"""),"Layanan dan Produk Perlindungan Keamanan Barang Pribadi Berbasis IoT dengan Model Bisnis Manufaktur dan Recurring Revenue")</f>
        <v>Layanan dan Produk Perlindungan Keamanan Barang Pribadi Berbasis IoT dengan Model Bisnis Manufaktur dan Recurring Revenue</v>
      </c>
      <c r="G10" s="16" t="str">
        <f ca="1">IFERROR(__xludf.DUMMYFUNCTION("""COMPUTED_VALUE"""),"Ika Nurkasanah, S.Kom., M.Sc.")</f>
        <v>Ika Nurkasanah, S.Kom., M.Sc.</v>
      </c>
      <c r="H10" s="16" t="str">
        <f ca="1">IFERROR(__xludf.DUMMYFUNCTION("""COMPUTED_VALUE"""),"Muchammad Nurif, S.E., M.T.")</f>
        <v>Muchammad Nurif, S.E., M.T.</v>
      </c>
      <c r="I10" s="16" t="str">
        <f ca="1">IFERROR(__xludf.DUMMYFUNCTION("""COMPUTED_VALUE"""),"Bahalwan Apriyansyah, S.T., MBA.")</f>
        <v>Bahalwan Apriyansyah, S.T., MBA.</v>
      </c>
      <c r="J10" s="16"/>
      <c r="K10" s="17" t="s">
        <v>952</v>
      </c>
      <c r="L10" s="17" t="s">
        <v>953</v>
      </c>
      <c r="M10" s="19" t="b">
        <v>1</v>
      </c>
      <c r="N10" s="19" t="b">
        <v>1</v>
      </c>
      <c r="O10" s="1" t="s">
        <v>950</v>
      </c>
      <c r="P10" s="7" t="str">
        <f ca="1">IFERROR(__xludf.DUMMYFUNCTION("iferror(vlookup(B10,importrange(""https://docs.google.com/spreadsheets/d/1boHyJQ4e2FU0QG8MHwEi6qjX4hvZWVCHcFfXjq7bbMc/edit?resourcekey#gid=923248883"",""Prop!$C$1:$M""),12,0),IFERROR(vlookup(B10,importrange(""https://docs.google.com/spreadsheets/d/1boHyJQ"&amp;"4e2FU0QG8MHwEi6qjX4hvZWVCHcFfXjq7bbMc/edit?resourcekey#gid=923248883"",""Prop!$N$1:$X""),11,0),iferror(vlookup(B10,importrange(""https://docs.google.com/spreadsheets/d/1boHyJQ4e2FU0QG8MHwEi6qjX4hvZWVCHcFfXjq7bbMc/edit?resourcekey#gid=923248883"",""Prop!$Y"&amp;"$1:$AI""),11,0),iferror(vlookup(B10,importrange(""https://docs.google.com/spreadsheets/d/1boHyJQ4e2FU0QG8MHwEi6qjX4hvZWVCHcFfXjq7bbMc/edit?resourcekey#gid=923248883"",""Prop!$AJ$1:$AT""),11,0),iferror(vlookup(B10,importrange(""https://docs.google.com/spre"&amp;"adsheets/d/1boHyJQ4e2FU0QG8MHwEi6qjX4hvZWVCHcFfXjq7bbMc/edit?resourcekey#gid=923248883"",""Prop!$AU$1:$BE""),11,0),iferror(vlookup(B10,importrange(""https://docs.google.com/spreadsheets/d/1boHyJQ4e2FU0QG8MHwEi6qjX4hvZWVCHcFfXjq7bbMc/edit?resourcekey#gid=9"&amp;"23248883"",""Prop!$BF$1:$BP""),11,0),iferror(vlookup(B10,importrange(""https://docs.google.com/spreadsheets/d/1boHyJQ4e2FU0QG8MHwEi6qjX4hvZWVCHcFfXjq7bbMc/edit?resourcekey#gid=923248883"",""Prop!$BQ$1:$CA""),11,0),iferror(vlookup(B10,importrange(""https:/"&amp;"/docs.google.com/spreadsheets/d/1boHyJQ4e2FU0QG8MHwEi6qjX4hvZWVCHcFfXjq7bbMc/edit?resourcekey#gid=923248883"",""Prop!$CB$1:$CL""),11,0),iferror(vlookup(B10,importrange(""https://docs.google.com/spreadsheets/d/1boHyJQ4e2FU0QG8MHwEi6qjX4hvZWVCHcFfXjq7bbMc/e"&amp;"dit?resourcekey#gid=923248883"",""Prop!$CM$1:$CX""),12,0),iferror(vlookup(B10,importrange(""https://docs.google.com/spreadsheets/d/1boHyJQ4e2FU0QG8MHwEi6qjX4hvZWVCHcFfXjq7bbMc/edit?resourcekey#gid=923248883"",""Prop!$CV$1:$DI""),11,0)))))))))))"),"https://drive.google.com/open?id=1V7zWUoujPYHgJaEM5xZMC8PSsGffa39q")</f>
        <v>https://drive.google.com/open?id=1V7zWUoujPYHgJaEM5xZMC8PSsGffa39q</v>
      </c>
      <c r="Q10" s="7" t="str">
        <f ca="1">IFERROR(__xludf.DUMMYFUNCTION("iferror(vlookup(B10,importrange(""https://docs.google.com/spreadsheets/d/1p53T2AuvvIqhP7Nf-bo3Uhj8cbKYRPpZdsrBv3x3bAQ/edit?resourcekey#gid=1321652304"",""Prop!$C$1:$M""),11,0),IFERROR(vlookup(B10,importrange(""https://docs.google.com/spreadsheets/d/1p53T2"&amp;"AuvvIqhP7Nf-bo3Uhj8cbKYRPpZdsrBv3x3bAQ/edit?resourcekey#gid=1321652304"",""Prop!$N$1:$X""),11,0),iferror(vlookup(B10,importrange(""https://docs.google.com/spreadsheets/d/1p53T2AuvvIqhP7Nf-bo3Uhj8cbKYRPpZdsrBv3x3bAQ/edit?resourcekey#gid=1321652304"",""Prop"&amp;"!$Y$1:$AI""),11,0),iferror(vlookup(B10,importrange(""https://docs.google.com/spreadsheets/d/1p53T2AuvvIqhP7Nf-bo3Uhj8cbKYRPpZdsrBv3x3bAQ/edit?resourcekey#gid=1321652304"",""Prop!$AJ$1:$AT""),11,0),iferror(vlookup(B10,importrange(""https://docs.google.com/"&amp;"spreadsheets/d/1p53T2AuvvIqhP7Nf-bo3Uhj8cbKYRPpZdsrBv3x3bAQ/edit?resourcekey#gid=1321652304"",""Prop!$AU$1:$BE""),11,0),iferror(vlookup(B10,importrange(""https://docs.google.com/spreadsheets/d/1p53T2AuvvIqhP7Nf-bo3Uhj8cbKYRPpZdsrBv3x3bAQ/edit?resourcekey#"&amp;"gid=1321652304"",""Prop!$BF$1:$BP""),11,0),iferror(vlookup(B10,importrange(""https://docs.google.com/spreadsheets/d/1p53T2AuvvIqhP7Nf-bo3Uhj8cbKYRPpZdsrBv3x3bAQ/edit?resourcekey#gid=1321652304"",""Prop!$BQ$1:$CA""),11,0),iferror(vlookup(B10,importrange("""&amp;"https://docs.google.com/spreadsheets/d/1p53T2AuvvIqhP7Nf-bo3Uhj8cbKYRPpZdsrBv3x3bAQ/edit?resourcekey#gid=1321652304"",""Prop!$CB$1:$CL""),11,0),iferror(vlookup(B10,importrange(""https://docs.google.com/spreadsheets/d/1p53T2AuvvIqhP7Nf-bo3Uhj8cbKYRPpZdsrBv"&amp;"3x3bAQ/edit?resourcekey#gid=1321652304"",""Prop!$CM$1:$CX""),12,0),iferror(vlookup(B10,importrange(""https://docs.google.com/spreadsheets/d/1p53T2AuvvIqhP7Nf-bo3Uhj8cbKYRPpZdsrBv3x3bAQ/edit?resourcekey#gid=1321652304"",""Prop!$CY$1:$DI""),11,0)))))))))))"),"https://drive.google.com/open?id=1FmwsmhfqTaDPZroiETSJEL100VXBg-KU")</f>
        <v>https://drive.google.com/open?id=1FmwsmhfqTaDPZroiETSJEL100VXBg-KU</v>
      </c>
      <c r="R10" s="20" t="s">
        <v>946</v>
      </c>
      <c r="S10" s="20" t="str">
        <f ca="1">IFERROR(__xludf.DUMMYFUNCTION("IFERROR(vlookup(B10,IMPORTRANGE(""https://docs.google.com/spreadsheets/d/1g_jfYYK_KeipEDNDUgqgrsxK94XiocfNQIcP-v1QVhI/edit?resourcekey#gid=233272945"",""Nilai!B:CT""),21,0),"" "")"),"daftar isi bukan 1.15; ")</f>
        <v xml:space="preserve">daftar isi bukan 1.15; </v>
      </c>
      <c r="T10" s="20" t="str">
        <f ca="1">IFERROR(__xludf.DUMMYFUNCTION("IFERROR(vlookup(B10,IMPORTRANGE(""https://docs.google.com/spreadsheets/d/1g_jfYYK_KeipEDNDUgqgrsxK94XiocfNQIcP-v1QVhI/edit?resourcekey#gid=233272945"",""Nilai!B:CT""),97,0),"" "")"),"LAYAK UPLOAD KE SIMBELMAWA")</f>
        <v>LAYAK UPLOAD KE SIMBELMAWA</v>
      </c>
      <c r="U10" s="21" t="s">
        <v>739</v>
      </c>
      <c r="V10" s="85" t="s">
        <v>947</v>
      </c>
      <c r="W10" s="17" t="s">
        <v>951</v>
      </c>
      <c r="X10" s="34" t="s">
        <v>949</v>
      </c>
    </row>
    <row r="11" spans="1:24">
      <c r="A11" s="15">
        <v>9</v>
      </c>
      <c r="B11" s="15">
        <f ca="1">IFERROR(__xludf.DUMMYFUNCTION("""COMPUTED_VALUE"""),2339)</f>
        <v>2339</v>
      </c>
      <c r="C11" s="16" t="str">
        <f ca="1">IFERROR(__xludf.DUMMYFUNCTION("""COMPUTED_VALUE"""),"HANDI ARDIANSYAH")</f>
        <v>HANDI ARDIANSYAH</v>
      </c>
      <c r="D11" s="16" t="str">
        <f ca="1">IFERROR(__xludf.DUMMYFUNCTION("""COMPUTED_VALUE"""),"5004201156")</f>
        <v>5004201156</v>
      </c>
      <c r="E11" s="16" t="str">
        <f ca="1">IFERROR(__xludf.DUMMYFUNCTION("""COMPUTED_VALUE"""),"Departemen Kimia")</f>
        <v>Departemen Kimia</v>
      </c>
      <c r="F11" s="16" t="str">
        <f ca="1">IFERROR(__xludf.DUMMYFUNCTION("""COMPUTED_VALUE"""),"Aplikasi Cerdas Pengelolaan Sampah Berbasis Machine Learning dan Artificial intelligence untuk Meningkatkan Nilai dari Sampah Berdasarkan Ilmu Kimia")</f>
        <v>Aplikasi Cerdas Pengelolaan Sampah Berbasis Machine Learning dan Artificial intelligence untuk Meningkatkan Nilai dari Sampah Berdasarkan Ilmu Kimia</v>
      </c>
      <c r="G11" s="16" t="str">
        <f ca="1">IFERROR(__xludf.DUMMYFUNCTION("""COMPUTED_VALUE"""),"Dr. Triyanda Gunawan, S.Si.")</f>
        <v>Dr. Triyanda Gunawan, S.Si.</v>
      </c>
      <c r="H11" s="16" t="str">
        <f ca="1">IFERROR(__xludf.DUMMYFUNCTION("""COMPUTED_VALUE"""),"Drs. Bandung Arry Sanjoyo, Mi.Komp.")</f>
        <v>Drs. Bandung Arry Sanjoyo, Mi.Komp.</v>
      </c>
      <c r="I11" s="16" t="str">
        <f ca="1">IFERROR(__xludf.DUMMYFUNCTION("""COMPUTED_VALUE"""),"Wibawati, S.Si., M.Si")</f>
        <v>Wibawati, S.Si., M.Si</v>
      </c>
      <c r="J11" s="16"/>
      <c r="K11" s="17" t="s">
        <v>952</v>
      </c>
      <c r="L11" s="17" t="s">
        <v>953</v>
      </c>
      <c r="M11" s="19" t="b">
        <v>0</v>
      </c>
      <c r="N11" s="19" t="b">
        <v>0</v>
      </c>
      <c r="O11" s="1" t="s">
        <v>950</v>
      </c>
      <c r="P11" s="7" t="str">
        <f ca="1">IFERROR(__xludf.DUMMYFUNCTION("iferror(vlookup(B11,importrange(""https://docs.google.com/spreadsheets/d/1boHyJQ4e2FU0QG8MHwEi6qjX4hvZWVCHcFfXjq7bbMc/edit?resourcekey#gid=923248883"",""Prop!$C$1:$M""),12,0),IFERROR(vlookup(B11,importrange(""https://docs.google.com/spreadsheets/d/1boHyJQ"&amp;"4e2FU0QG8MHwEi6qjX4hvZWVCHcFfXjq7bbMc/edit?resourcekey#gid=923248883"",""Prop!$N$1:$X""),11,0),iferror(vlookup(B11,importrange(""https://docs.google.com/spreadsheets/d/1boHyJQ4e2FU0QG8MHwEi6qjX4hvZWVCHcFfXjq7bbMc/edit?resourcekey#gid=923248883"",""Prop!$Y"&amp;"$1:$AI""),11,0),iferror(vlookup(B11,importrange(""https://docs.google.com/spreadsheets/d/1boHyJQ4e2FU0QG8MHwEi6qjX4hvZWVCHcFfXjq7bbMc/edit?resourcekey#gid=923248883"",""Prop!$AJ$1:$AT""),11,0),iferror(vlookup(B11,importrange(""https://docs.google.com/spre"&amp;"adsheets/d/1boHyJQ4e2FU0QG8MHwEi6qjX4hvZWVCHcFfXjq7bbMc/edit?resourcekey#gid=923248883"",""Prop!$AU$1:$BE""),11,0),iferror(vlookup(B11,importrange(""https://docs.google.com/spreadsheets/d/1boHyJQ4e2FU0QG8MHwEi6qjX4hvZWVCHcFfXjq7bbMc/edit?resourcekey#gid=9"&amp;"23248883"",""Prop!$BF$1:$BP""),11,0),iferror(vlookup(B11,importrange(""https://docs.google.com/spreadsheets/d/1boHyJQ4e2FU0QG8MHwEi6qjX4hvZWVCHcFfXjq7bbMc/edit?resourcekey#gid=923248883"",""Prop!$BQ$1:$CA""),11,0),iferror(vlookup(B11,importrange(""https:/"&amp;"/docs.google.com/spreadsheets/d/1boHyJQ4e2FU0QG8MHwEi6qjX4hvZWVCHcFfXjq7bbMc/edit?resourcekey#gid=923248883"",""Prop!$CB$1:$CL""),11,0),iferror(vlookup(B11,importrange(""https://docs.google.com/spreadsheets/d/1boHyJQ4e2FU0QG8MHwEi6qjX4hvZWVCHcFfXjq7bbMc/e"&amp;"dit?resourcekey#gid=923248883"",""Prop!$CM$1:$CX""),12,0),iferror(vlookup(B11,importrange(""https://docs.google.com/spreadsheets/d/1boHyJQ4e2FU0QG8MHwEi6qjX4hvZWVCHcFfXjq7bbMc/edit?resourcekey#gid=923248883"",""Prop!$CV$1:$DI""),11,0)))))))))))"),"https://drive.google.com/open?id=1uIFk2DmUj2jm4VqWMZOz4l4wpRH48X7r")</f>
        <v>https://drive.google.com/open?id=1uIFk2DmUj2jm4VqWMZOz4l4wpRH48X7r</v>
      </c>
      <c r="Q11" s="7" t="str">
        <f ca="1">IFERROR(__xludf.DUMMYFUNCTION("iferror(vlookup(B11,importrange(""https://docs.google.com/spreadsheets/d/1p53T2AuvvIqhP7Nf-bo3Uhj8cbKYRPpZdsrBv3x3bAQ/edit?resourcekey#gid=1321652304"",""Prop!$C$1:$M""),11,0),IFERROR(vlookup(B11,importrange(""https://docs.google.com/spreadsheets/d/1p53T2"&amp;"AuvvIqhP7Nf-bo3Uhj8cbKYRPpZdsrBv3x3bAQ/edit?resourcekey#gid=1321652304"",""Prop!$N$1:$X""),11,0),iferror(vlookup(B11,importrange(""https://docs.google.com/spreadsheets/d/1p53T2AuvvIqhP7Nf-bo3Uhj8cbKYRPpZdsrBv3x3bAQ/edit?resourcekey#gid=1321652304"",""Prop"&amp;"!$Y$1:$AI""),11,0),iferror(vlookup(B11,importrange(""https://docs.google.com/spreadsheets/d/1p53T2AuvvIqhP7Nf-bo3Uhj8cbKYRPpZdsrBv3x3bAQ/edit?resourcekey#gid=1321652304"",""Prop!$AJ$1:$AT""),11,0),iferror(vlookup(B11,importrange(""https://docs.google.com/"&amp;"spreadsheets/d/1p53T2AuvvIqhP7Nf-bo3Uhj8cbKYRPpZdsrBv3x3bAQ/edit?resourcekey#gid=1321652304"",""Prop!$AU$1:$BE""),11,0),iferror(vlookup(B11,importrange(""https://docs.google.com/spreadsheets/d/1p53T2AuvvIqhP7Nf-bo3Uhj8cbKYRPpZdsrBv3x3bAQ/edit?resourcekey#"&amp;"gid=1321652304"",""Prop!$BF$1:$BP""),11,0),iferror(vlookup(B11,importrange(""https://docs.google.com/spreadsheets/d/1p53T2AuvvIqhP7Nf-bo3Uhj8cbKYRPpZdsrBv3x3bAQ/edit?resourcekey#gid=1321652304"",""Prop!$BQ$1:$CA""),11,0),iferror(vlookup(B11,importrange("""&amp;"https://docs.google.com/spreadsheets/d/1p53T2AuvvIqhP7Nf-bo3Uhj8cbKYRPpZdsrBv3x3bAQ/edit?resourcekey#gid=1321652304"",""Prop!$CB$1:$CL""),11,0),iferror(vlookup(B11,importrange(""https://docs.google.com/spreadsheets/d/1p53T2AuvvIqhP7Nf-bo3Uhj8cbKYRPpZdsrBv"&amp;"3x3bAQ/edit?resourcekey#gid=1321652304"",""Prop!$CM$1:$CX""),12,0),iferror(vlookup(B11,importrange(""https://docs.google.com/spreadsheets/d/1p53T2AuvvIqhP7Nf-bo3Uhj8cbKYRPpZdsrBv3x3bAQ/edit?resourcekey#gid=1321652304"",""Prop!$CY$1:$DI""),11,0)))))))))))"),"https://drive.google.com/open?id=1co68Y66YcghuCCiQhuFD2esh9AgE7-7S")</f>
        <v>https://drive.google.com/open?id=1co68Y66YcghuCCiQhuFD2esh9AgE7-7S</v>
      </c>
      <c r="R11" s="20" t="s">
        <v>946</v>
      </c>
      <c r="S11" s="20" t="str">
        <f ca="1">IFERROR(__xludf.DUMMYFUNCTION("IFERROR(vlookup(B11,IMPORTRANGE(""https://docs.google.com/spreadsheets/d/1g_jfYYK_KeipEDNDUgqgrsxK94XiocfNQIcP-v1QVhI/edit?resourcekey#gid=233272945"",""Nilai!B:CT""),21,0),"" "")"),"-")</f>
        <v>-</v>
      </c>
      <c r="T11" s="20" t="str">
        <f ca="1">IFERROR(__xludf.DUMMYFUNCTION("IFERROR(vlookup(B11,IMPORTRANGE(""https://docs.google.com/spreadsheets/d/1g_jfYYK_KeipEDNDUgqgrsxK94XiocfNQIcP-v1QVhI/edit?resourcekey#gid=233272945"",""Nilai!B:CT""),97,0),"" "")"),"LAYAK UPLOAD KE SIMBELMAWA")</f>
        <v>LAYAK UPLOAD KE SIMBELMAWA</v>
      </c>
      <c r="U11" s="21" t="s">
        <v>739</v>
      </c>
      <c r="V11" s="85" t="s">
        <v>947</v>
      </c>
      <c r="W11" s="17" t="s">
        <v>954</v>
      </c>
      <c r="X11" s="34" t="s">
        <v>949</v>
      </c>
    </row>
    <row r="12" spans="1:24">
      <c r="A12" s="15">
        <v>10</v>
      </c>
      <c r="B12" s="15">
        <f ca="1">IFERROR(__xludf.DUMMYFUNCTION("""COMPUTED_VALUE"""),3597)</f>
        <v>3597</v>
      </c>
      <c r="C12" s="16" t="str">
        <f ca="1">IFERROR(__xludf.DUMMYFUNCTION("""COMPUTED_VALUE"""),"RINDY RAFIDA")</f>
        <v>RINDY RAFIDA</v>
      </c>
      <c r="D12" s="16" t="str">
        <f ca="1">IFERROR(__xludf.DUMMYFUNCTION("""COMPUTED_VALUE"""),"06211940000094")</f>
        <v>06211940000094</v>
      </c>
      <c r="E12" s="16" t="str">
        <f ca="1">IFERROR(__xludf.DUMMYFUNCTION("""COMPUTED_VALUE"""),"Departemen Statistika")</f>
        <v>Departemen Statistika</v>
      </c>
      <c r="F12" s="16" t="str">
        <f ca="1">IFERROR(__xludf.DUMMYFUNCTION("""COMPUTED_VALUE"""),"MASAK.AN : Layanan Groceries Online Pedagang Sayur Keliling ")</f>
        <v xml:space="preserve">MASAK.AN : Layanan Groceries Online Pedagang Sayur Keliling </v>
      </c>
      <c r="G12" s="16" t="str">
        <f ca="1">IFERROR(__xludf.DUMMYFUNCTION("""COMPUTED_VALUE"""),"Dr. Dra. Kartika Fithriasari, M.Si.")</f>
        <v>Dr. Dra. Kartika Fithriasari, M.Si.</v>
      </c>
      <c r="H12" s="16" t="str">
        <f ca="1">IFERROR(__xludf.DUMMYFUNCTION("""COMPUTED_VALUE"""),"Muchammad Nurif, S.E., M.T.")</f>
        <v>Muchammad Nurif, S.E., M.T.</v>
      </c>
      <c r="I12" s="16" t="str">
        <f ca="1">IFERROR(__xludf.DUMMYFUNCTION("""COMPUTED_VALUE"""),"Bahalwan Apriyansyah, S.T., MBA.")</f>
        <v>Bahalwan Apriyansyah, S.T., MBA.</v>
      </c>
      <c r="J12" s="16"/>
      <c r="K12" s="17" t="s">
        <v>952</v>
      </c>
      <c r="L12" s="17" t="s">
        <v>953</v>
      </c>
      <c r="M12" s="19" t="b">
        <v>0</v>
      </c>
      <c r="N12" s="19" t="b">
        <v>0</v>
      </c>
      <c r="O12" s="1" t="s">
        <v>955</v>
      </c>
      <c r="P12" s="7" t="str">
        <f ca="1">IFERROR(__xludf.DUMMYFUNCTION("iferror(vlookup(B12,importrange(""https://docs.google.com/spreadsheets/d/1boHyJQ4e2FU0QG8MHwEi6qjX4hvZWVCHcFfXjq7bbMc/edit?resourcekey#gid=923248883"",""Prop!$C$1:$M""),12,0),IFERROR(vlookup(B12,importrange(""https://docs.google.com/spreadsheets/d/1boHyJQ"&amp;"4e2FU0QG8MHwEi6qjX4hvZWVCHcFfXjq7bbMc/edit?resourcekey#gid=923248883"",""Prop!$N$1:$X""),11,0),iferror(vlookup(B12,importrange(""https://docs.google.com/spreadsheets/d/1boHyJQ4e2FU0QG8MHwEi6qjX4hvZWVCHcFfXjq7bbMc/edit?resourcekey#gid=923248883"",""Prop!$Y"&amp;"$1:$AI""),11,0),iferror(vlookup(B12,importrange(""https://docs.google.com/spreadsheets/d/1boHyJQ4e2FU0QG8MHwEi6qjX4hvZWVCHcFfXjq7bbMc/edit?resourcekey#gid=923248883"",""Prop!$AJ$1:$AT""),11,0),iferror(vlookup(B12,importrange(""https://docs.google.com/spre"&amp;"adsheets/d/1boHyJQ4e2FU0QG8MHwEi6qjX4hvZWVCHcFfXjq7bbMc/edit?resourcekey#gid=923248883"",""Prop!$AU$1:$BE""),11,0),iferror(vlookup(B12,importrange(""https://docs.google.com/spreadsheets/d/1boHyJQ4e2FU0QG8MHwEi6qjX4hvZWVCHcFfXjq7bbMc/edit?resourcekey#gid=9"&amp;"23248883"",""Prop!$BF$1:$BP""),11,0),iferror(vlookup(B12,importrange(""https://docs.google.com/spreadsheets/d/1boHyJQ4e2FU0QG8MHwEi6qjX4hvZWVCHcFfXjq7bbMc/edit?resourcekey#gid=923248883"",""Prop!$BQ$1:$CA""),11,0),iferror(vlookup(B12,importrange(""https:/"&amp;"/docs.google.com/spreadsheets/d/1boHyJQ4e2FU0QG8MHwEi6qjX4hvZWVCHcFfXjq7bbMc/edit?resourcekey#gid=923248883"",""Prop!$CB$1:$CL""),11,0),iferror(vlookup(B12,importrange(""https://docs.google.com/spreadsheets/d/1boHyJQ4e2FU0QG8MHwEi6qjX4hvZWVCHcFfXjq7bbMc/e"&amp;"dit?resourcekey#gid=923248883"",""Prop!$CM$1:$CX""),12,0),iferror(vlookup(B12,importrange(""https://docs.google.com/spreadsheets/d/1boHyJQ4e2FU0QG8MHwEi6qjX4hvZWVCHcFfXjq7bbMc/edit?resourcekey#gid=923248883"",""Prop!$CV$1:$DI""),11,0)))))))))))"),"https://drive.google.com/open?id=1nohuO2OTDyFE1mptovdgkaCIAeP4Zkhh")</f>
        <v>https://drive.google.com/open?id=1nohuO2OTDyFE1mptovdgkaCIAeP4Zkhh</v>
      </c>
      <c r="Q12" s="7" t="str">
        <f ca="1">IFERROR(__xludf.DUMMYFUNCTION("iferror(vlookup(B12,importrange(""https://docs.google.com/spreadsheets/d/1p53T2AuvvIqhP7Nf-bo3Uhj8cbKYRPpZdsrBv3x3bAQ/edit?resourcekey#gid=1321652304"",""Prop!$C$1:$M""),11,0),IFERROR(vlookup(B12,importrange(""https://docs.google.com/spreadsheets/d/1p53T2"&amp;"AuvvIqhP7Nf-bo3Uhj8cbKYRPpZdsrBv3x3bAQ/edit?resourcekey#gid=1321652304"",""Prop!$N$1:$X""),11,0),iferror(vlookup(B12,importrange(""https://docs.google.com/spreadsheets/d/1p53T2AuvvIqhP7Nf-bo3Uhj8cbKYRPpZdsrBv3x3bAQ/edit?resourcekey#gid=1321652304"",""Prop"&amp;"!$Y$1:$AI""),11,0),iferror(vlookup(B12,importrange(""https://docs.google.com/spreadsheets/d/1p53T2AuvvIqhP7Nf-bo3Uhj8cbKYRPpZdsrBv3x3bAQ/edit?resourcekey#gid=1321652304"",""Prop!$AJ$1:$AT""),11,0),iferror(vlookup(B12,importrange(""https://docs.google.com/"&amp;"spreadsheets/d/1p53T2AuvvIqhP7Nf-bo3Uhj8cbKYRPpZdsrBv3x3bAQ/edit?resourcekey#gid=1321652304"",""Prop!$AU$1:$BE""),11,0),iferror(vlookup(B12,importrange(""https://docs.google.com/spreadsheets/d/1p53T2AuvvIqhP7Nf-bo3Uhj8cbKYRPpZdsrBv3x3bAQ/edit?resourcekey#"&amp;"gid=1321652304"",""Prop!$BF$1:$BP""),11,0),iferror(vlookup(B12,importrange(""https://docs.google.com/spreadsheets/d/1p53T2AuvvIqhP7Nf-bo3Uhj8cbKYRPpZdsrBv3x3bAQ/edit?resourcekey#gid=1321652304"",""Prop!$BQ$1:$CA""),11,0),iferror(vlookup(B12,importrange("""&amp;"https://docs.google.com/spreadsheets/d/1p53T2AuvvIqhP7Nf-bo3Uhj8cbKYRPpZdsrBv3x3bAQ/edit?resourcekey#gid=1321652304"",""Prop!$CB$1:$CL""),11,0),iferror(vlookup(B12,importrange(""https://docs.google.com/spreadsheets/d/1p53T2AuvvIqhP7Nf-bo3Uhj8cbKYRPpZdsrBv"&amp;"3x3bAQ/edit?resourcekey#gid=1321652304"",""Prop!$CM$1:$CX""),12,0),iferror(vlookup(B12,importrange(""https://docs.google.com/spreadsheets/d/1p53T2AuvvIqhP7Nf-bo3Uhj8cbKYRPpZdsrBv3x3bAQ/edit?resourcekey#gid=1321652304"",""Prop!$CY$1:$DI""),11,0)))))))))))"),"https://drive.google.com/open?id=1Kdxbb4zSPU8mEymPNK5Wa2dd743gIXW3")</f>
        <v>https://drive.google.com/open?id=1Kdxbb4zSPU8mEymPNK5Wa2dd743gIXW3</v>
      </c>
      <c r="R12" s="20" t="s">
        <v>946</v>
      </c>
      <c r="S12" s="20" t="str">
        <f ca="1">IFERROR(__xludf.DUMMYFUNCTION("IFERROR(vlookup(B12,IMPORTRANGE(""https://docs.google.com/spreadsheets/d/1g_jfYYK_KeipEDNDUgqgrsxK94XiocfNQIcP-v1QVhI/edit?resourcekey#gid=233272945"",""Nilai!B:CT""),21,0),"" "")"),"Kok anggaran dari perguruan tinggi malah yg lebih besar?")</f>
        <v>Kok anggaran dari perguruan tinggi malah yg lebih besar?</v>
      </c>
      <c r="T12" s="20" t="str">
        <f ca="1">IFERROR(__xludf.DUMMYFUNCTION("IFERROR(vlookup(B12,IMPORTRANGE(""https://docs.google.com/spreadsheets/d/1g_jfYYK_KeipEDNDUgqgrsxK94XiocfNQIcP-v1QVhI/edit?resourcekey#gid=233272945"",""Nilai!B:CT""),97,0),"" "")"),"LAYAK UPLOAD KE SIMBELMAWA DENGAN REVISI")</f>
        <v>LAYAK UPLOAD KE SIMBELMAWA DENGAN REVISI</v>
      </c>
      <c r="U12" s="21" t="s">
        <v>739</v>
      </c>
      <c r="V12" s="85" t="s">
        <v>947</v>
      </c>
      <c r="W12" s="17" t="s">
        <v>954</v>
      </c>
      <c r="X12" s="34" t="b">
        <v>0</v>
      </c>
    </row>
    <row r="13" spans="1:24">
      <c r="A13" s="15">
        <v>11</v>
      </c>
      <c r="B13" s="15">
        <f ca="1">IFERROR(__xludf.DUMMYFUNCTION("""COMPUTED_VALUE"""),2407)</f>
        <v>2407</v>
      </c>
      <c r="C13" s="16" t="str">
        <f ca="1">IFERROR(__xludf.DUMMYFUNCTION("""COMPUTED_VALUE"""),"BRYAN IRVANDO FICHRY")</f>
        <v>BRYAN IRVANDO FICHRY</v>
      </c>
      <c r="D13" s="16" t="str">
        <f ca="1">IFERROR(__xludf.DUMMYFUNCTION("""COMPUTED_VALUE"""),"10511910000015")</f>
        <v>10511910000015</v>
      </c>
      <c r="E13" s="16" t="str">
        <f ca="1">IFERROR(__xludf.DUMMYFUNCTION("""COMPUTED_VALUE"""),"Departemen Teknik Instrumentasi")</f>
        <v>Departemen Teknik Instrumentasi</v>
      </c>
      <c r="F13" s="16" t="str">
        <f ca="1">IFERROR(__xludf.DUMMYFUNCTION("""COMPUTED_VALUE"""),"Jasa Cetak dan Produksi PCB Berbasis CNC dan Sablon Otomatis")</f>
        <v>Jasa Cetak dan Produksi PCB Berbasis CNC dan Sablon Otomatis</v>
      </c>
      <c r="G13" s="16" t="str">
        <f ca="1">IFERROR(__xludf.DUMMYFUNCTION("""COMPUTED_VALUE"""),"Safira Firdaus Mujiyanti, S.T., M.T.")</f>
        <v>Safira Firdaus Mujiyanti, S.T., M.T.</v>
      </c>
      <c r="H13" s="16" t="str">
        <f ca="1">IFERROR(__xludf.DUMMYFUNCTION("""COMPUTED_VALUE"""),"Ahmad Fauzan Adziimaa, S.T., M.Sc.")</f>
        <v>Ahmad Fauzan Adziimaa, S.T., M.Sc.</v>
      </c>
      <c r="I13" s="16" t="str">
        <f ca="1">IFERROR(__xludf.DUMMYFUNCTION("""COMPUTED_VALUE"""),"Dr. Hendro Juwono, M.Si.")</f>
        <v>Dr. Hendro Juwono, M.Si.</v>
      </c>
      <c r="J13" s="16"/>
      <c r="K13" s="17" t="s">
        <v>952</v>
      </c>
      <c r="L13" s="17" t="s">
        <v>956</v>
      </c>
      <c r="M13" s="19" t="b">
        <v>1</v>
      </c>
      <c r="N13" s="19" t="b">
        <v>1</v>
      </c>
      <c r="O13" s="1" t="s">
        <v>955</v>
      </c>
      <c r="P13" s="7" t="str">
        <f ca="1">IFERROR(__xludf.DUMMYFUNCTION("iferror(vlookup(B13,importrange(""https://docs.google.com/spreadsheets/d/1boHyJQ4e2FU0QG8MHwEi6qjX4hvZWVCHcFfXjq7bbMc/edit?resourcekey#gid=923248883"",""Prop!$C$1:$M""),12,0),IFERROR(vlookup(B13,importrange(""https://docs.google.com/spreadsheets/d/1boHyJQ"&amp;"4e2FU0QG8MHwEi6qjX4hvZWVCHcFfXjq7bbMc/edit?resourcekey#gid=923248883"",""Prop!$N$1:$X""),11,0),iferror(vlookup(B13,importrange(""https://docs.google.com/spreadsheets/d/1boHyJQ4e2FU0QG8MHwEi6qjX4hvZWVCHcFfXjq7bbMc/edit?resourcekey#gid=923248883"",""Prop!$Y"&amp;"$1:$AI""),11,0),iferror(vlookup(B13,importrange(""https://docs.google.com/spreadsheets/d/1boHyJQ4e2FU0QG8MHwEi6qjX4hvZWVCHcFfXjq7bbMc/edit?resourcekey#gid=923248883"",""Prop!$AJ$1:$AT""),11,0),iferror(vlookup(B13,importrange(""https://docs.google.com/spre"&amp;"adsheets/d/1boHyJQ4e2FU0QG8MHwEi6qjX4hvZWVCHcFfXjq7bbMc/edit?resourcekey#gid=923248883"",""Prop!$AU$1:$BE""),11,0),iferror(vlookup(B13,importrange(""https://docs.google.com/spreadsheets/d/1boHyJQ4e2FU0QG8MHwEi6qjX4hvZWVCHcFfXjq7bbMc/edit?resourcekey#gid=9"&amp;"23248883"",""Prop!$BF$1:$BP""),11,0),iferror(vlookup(B13,importrange(""https://docs.google.com/spreadsheets/d/1boHyJQ4e2FU0QG8MHwEi6qjX4hvZWVCHcFfXjq7bbMc/edit?resourcekey#gid=923248883"",""Prop!$BQ$1:$CA""),11,0),iferror(vlookup(B13,importrange(""https:/"&amp;"/docs.google.com/spreadsheets/d/1boHyJQ4e2FU0QG8MHwEi6qjX4hvZWVCHcFfXjq7bbMc/edit?resourcekey#gid=923248883"",""Prop!$CB$1:$CL""),11,0),iferror(vlookup(B13,importrange(""https://docs.google.com/spreadsheets/d/1boHyJQ4e2FU0QG8MHwEi6qjX4hvZWVCHcFfXjq7bbMc/e"&amp;"dit?resourcekey#gid=923248883"",""Prop!$CM$1:$CX""),12,0),iferror(vlookup(B13,importrange(""https://docs.google.com/spreadsheets/d/1boHyJQ4e2FU0QG8MHwEi6qjX4hvZWVCHcFfXjq7bbMc/edit?resourcekey#gid=923248883"",""Prop!$CV$1:$DI""),11,0)))))))))))"),"https://drive.google.com/open?id=1s4p74lqJjKEsC_wsTN5oz5L36DjVco6x")</f>
        <v>https://drive.google.com/open?id=1s4p74lqJjKEsC_wsTN5oz5L36DjVco6x</v>
      </c>
      <c r="Q13" s="7" t="str">
        <f ca="1">IFERROR(__xludf.DUMMYFUNCTION("iferror(vlookup(B13,importrange(""https://docs.google.com/spreadsheets/d/1p53T2AuvvIqhP7Nf-bo3Uhj8cbKYRPpZdsrBv3x3bAQ/edit?resourcekey#gid=1321652304"",""Prop!$C$1:$M""),11,0),IFERROR(vlookup(B13,importrange(""https://docs.google.com/spreadsheets/d/1p53T2"&amp;"AuvvIqhP7Nf-bo3Uhj8cbKYRPpZdsrBv3x3bAQ/edit?resourcekey#gid=1321652304"",""Prop!$N$1:$X""),11,0),iferror(vlookup(B13,importrange(""https://docs.google.com/spreadsheets/d/1p53T2AuvvIqhP7Nf-bo3Uhj8cbKYRPpZdsrBv3x3bAQ/edit?resourcekey#gid=1321652304"",""Prop"&amp;"!$Y$1:$AI""),11,0),iferror(vlookup(B13,importrange(""https://docs.google.com/spreadsheets/d/1p53T2AuvvIqhP7Nf-bo3Uhj8cbKYRPpZdsrBv3x3bAQ/edit?resourcekey#gid=1321652304"",""Prop!$AJ$1:$AT""),11,0),iferror(vlookup(B13,importrange(""https://docs.google.com/"&amp;"spreadsheets/d/1p53T2AuvvIqhP7Nf-bo3Uhj8cbKYRPpZdsrBv3x3bAQ/edit?resourcekey#gid=1321652304"",""Prop!$AU$1:$BE""),11,0),iferror(vlookup(B13,importrange(""https://docs.google.com/spreadsheets/d/1p53T2AuvvIqhP7Nf-bo3Uhj8cbKYRPpZdsrBv3x3bAQ/edit?resourcekey#"&amp;"gid=1321652304"",""Prop!$BF$1:$BP""),11,0),iferror(vlookup(B13,importrange(""https://docs.google.com/spreadsheets/d/1p53T2AuvvIqhP7Nf-bo3Uhj8cbKYRPpZdsrBv3x3bAQ/edit?resourcekey#gid=1321652304"",""Prop!$BQ$1:$CA""),11,0),iferror(vlookup(B13,importrange("""&amp;"https://docs.google.com/spreadsheets/d/1p53T2AuvvIqhP7Nf-bo3Uhj8cbKYRPpZdsrBv3x3bAQ/edit?resourcekey#gid=1321652304"",""Prop!$CB$1:$CL""),11,0),iferror(vlookup(B13,importrange(""https://docs.google.com/spreadsheets/d/1p53T2AuvvIqhP7Nf-bo3Uhj8cbKYRPpZdsrBv"&amp;"3x3bAQ/edit?resourcekey#gid=1321652304"",""Prop!$CM$1:$CX""),12,0),iferror(vlookup(B13,importrange(""https://docs.google.com/spreadsheets/d/1p53T2AuvvIqhP7Nf-bo3Uhj8cbKYRPpZdsrBv3x3bAQ/edit?resourcekey#gid=1321652304"",""Prop!$CY$1:$DI""),11,0)))))))))))"),"https://drive.google.com/open?id=1i-I7EcuGPRAKLuqehrhObEqeG2yPOIJg")</f>
        <v>https://drive.google.com/open?id=1i-I7EcuGPRAKLuqehrhObEqeG2yPOIJg</v>
      </c>
      <c r="R13" s="20" t="s">
        <v>946</v>
      </c>
      <c r="S13" s="20" t="str">
        <f ca="1">IFERROR(__xludf.DUMMYFUNCTION("IFERROR(vlookup(B13,IMPORTRANGE(""https://docs.google.com/spreadsheets/d/1g_jfYYK_KeipEDNDUgqgrsxK94XiocfNQIcP-v1QVhI/edit?resourcekey#gid=233272945"",""Nilai!B:CT""),21,0),"" "")"),"-")</f>
        <v>-</v>
      </c>
      <c r="T13" s="20" t="str">
        <f ca="1">IFERROR(__xludf.DUMMYFUNCTION("IFERROR(vlookup(B13,IMPORTRANGE(""https://docs.google.com/spreadsheets/d/1g_jfYYK_KeipEDNDUgqgrsxK94XiocfNQIcP-v1QVhI/edit?resourcekey#gid=233272945"",""Nilai!B:CT""),97,0),"" "")"),"LAYAK UPLOAD KE SIMBELMAWA")</f>
        <v>LAYAK UPLOAD KE SIMBELMAWA</v>
      </c>
      <c r="U13" s="21" t="s">
        <v>739</v>
      </c>
      <c r="V13" s="85" t="s">
        <v>947</v>
      </c>
      <c r="W13" s="17" t="s">
        <v>954</v>
      </c>
      <c r="X13" s="34" t="b">
        <v>0</v>
      </c>
    </row>
    <row r="14" spans="1:24">
      <c r="A14" s="15">
        <v>12</v>
      </c>
      <c r="B14" s="15">
        <f ca="1">IFERROR(__xludf.DUMMYFUNCTION("""COMPUTED_VALUE"""),2618)</f>
        <v>2618</v>
      </c>
      <c r="C14" s="16" t="str">
        <f ca="1">IFERROR(__xludf.DUMMYFUNCTION("""COMPUTED_VALUE"""),"MUHAMMAD FIRMANSYAH PRAYOGI")</f>
        <v>MUHAMMAD FIRMANSYAH PRAYOGI</v>
      </c>
      <c r="D14" s="16" t="str">
        <f ca="1">IFERROR(__xludf.DUMMYFUNCTION("""COMPUTED_VALUE"""),"5031201014")</f>
        <v>5031201014</v>
      </c>
      <c r="E14" s="16" t="str">
        <f ca="1">IFERROR(__xludf.DUMMYFUNCTION("""COMPUTED_VALUE"""),"Departemen Manajemen Bisnis")</f>
        <v>Departemen Manajemen Bisnis</v>
      </c>
      <c r="F14" s="16" t="str">
        <f ca="1">IFERROR(__xludf.DUMMYFUNCTION("""COMPUTED_VALUE"""),"Thriftment: Implementasi Showrooming pada Aplikasi Perantara Penjualan Pakaian Bekas dengan Virtual Fitting")</f>
        <v>Thriftment: Implementasi Showrooming pada Aplikasi Perantara Penjualan Pakaian Bekas dengan Virtual Fitting</v>
      </c>
      <c r="G14" s="16" t="str">
        <f ca="1">IFERROR(__xludf.DUMMYFUNCTION("""COMPUTED_VALUE"""),"Lissa Rosdiana Noer, S.T., M.MT.")</f>
        <v>Lissa Rosdiana Noer, S.T., M.MT.</v>
      </c>
      <c r="H14" s="16" t="str">
        <f ca="1">IFERROR(__xludf.DUMMYFUNCTION("""COMPUTED_VALUE"""),"Ahmad Fauzan Adziimaa, S.T., M.Sc.")</f>
        <v>Ahmad Fauzan Adziimaa, S.T., M.Sc.</v>
      </c>
      <c r="I14" s="16" t="str">
        <f ca="1">IFERROR(__xludf.DUMMYFUNCTION("""COMPUTED_VALUE"""),"Daril Ridho Zuchrillah, S.T., M.T.")</f>
        <v>Daril Ridho Zuchrillah, S.T., M.T.</v>
      </c>
      <c r="J14" s="16"/>
      <c r="K14" s="17" t="s">
        <v>952</v>
      </c>
      <c r="L14" s="17" t="s">
        <v>956</v>
      </c>
      <c r="M14" s="19" t="b">
        <v>0</v>
      </c>
      <c r="N14" s="19" t="b">
        <v>0</v>
      </c>
      <c r="O14" s="1" t="s">
        <v>955</v>
      </c>
      <c r="P14" s="7" t="str">
        <f ca="1">IFERROR(__xludf.DUMMYFUNCTION("iferror(vlookup(B14,importrange(""https://docs.google.com/spreadsheets/d/1boHyJQ4e2FU0QG8MHwEi6qjX4hvZWVCHcFfXjq7bbMc/edit?resourcekey#gid=923248883"",""Prop!$C$1:$M""),12,0),IFERROR(vlookup(B14,importrange(""https://docs.google.com/spreadsheets/d/1boHyJQ"&amp;"4e2FU0QG8MHwEi6qjX4hvZWVCHcFfXjq7bbMc/edit?resourcekey#gid=923248883"",""Prop!$N$1:$X""),11,0),iferror(vlookup(B14,importrange(""https://docs.google.com/spreadsheets/d/1boHyJQ4e2FU0QG8MHwEi6qjX4hvZWVCHcFfXjq7bbMc/edit?resourcekey#gid=923248883"",""Prop!$Y"&amp;"$1:$AI""),11,0),iferror(vlookup(B14,importrange(""https://docs.google.com/spreadsheets/d/1boHyJQ4e2FU0QG8MHwEi6qjX4hvZWVCHcFfXjq7bbMc/edit?resourcekey#gid=923248883"",""Prop!$AJ$1:$AT""),11,0),iferror(vlookup(B14,importrange(""https://docs.google.com/spre"&amp;"adsheets/d/1boHyJQ4e2FU0QG8MHwEi6qjX4hvZWVCHcFfXjq7bbMc/edit?resourcekey#gid=923248883"",""Prop!$AU$1:$BE""),11,0),iferror(vlookup(B14,importrange(""https://docs.google.com/spreadsheets/d/1boHyJQ4e2FU0QG8MHwEi6qjX4hvZWVCHcFfXjq7bbMc/edit?resourcekey#gid=9"&amp;"23248883"",""Prop!$BF$1:$BP""),11,0),iferror(vlookup(B14,importrange(""https://docs.google.com/spreadsheets/d/1boHyJQ4e2FU0QG8MHwEi6qjX4hvZWVCHcFfXjq7bbMc/edit?resourcekey#gid=923248883"",""Prop!$BQ$1:$CA""),11,0),iferror(vlookup(B14,importrange(""https:/"&amp;"/docs.google.com/spreadsheets/d/1boHyJQ4e2FU0QG8MHwEi6qjX4hvZWVCHcFfXjq7bbMc/edit?resourcekey#gid=923248883"",""Prop!$CB$1:$CL""),11,0),iferror(vlookup(B14,importrange(""https://docs.google.com/spreadsheets/d/1boHyJQ4e2FU0QG8MHwEi6qjX4hvZWVCHcFfXjq7bbMc/e"&amp;"dit?resourcekey#gid=923248883"",""Prop!$CM$1:$CX""),12,0),iferror(vlookup(B14,importrange(""https://docs.google.com/spreadsheets/d/1boHyJQ4e2FU0QG8MHwEi6qjX4hvZWVCHcFfXjq7bbMc/edit?resourcekey#gid=923248883"",""Prop!$CV$1:$DI""),11,0)))))))))))"),"https://drive.google.com/open?id=1nh1Q3FHZ2FnyA7xc5KgX0-7CjWXn6Vfy")</f>
        <v>https://drive.google.com/open?id=1nh1Q3FHZ2FnyA7xc5KgX0-7CjWXn6Vfy</v>
      </c>
      <c r="Q14" s="7" t="str">
        <f ca="1">IFERROR(__xludf.DUMMYFUNCTION("iferror(vlookup(B14,importrange(""https://docs.google.com/spreadsheets/d/1p53T2AuvvIqhP7Nf-bo3Uhj8cbKYRPpZdsrBv3x3bAQ/edit?resourcekey#gid=1321652304"",""Prop!$C$1:$M""),11,0),IFERROR(vlookup(B14,importrange(""https://docs.google.com/spreadsheets/d/1p53T2"&amp;"AuvvIqhP7Nf-bo3Uhj8cbKYRPpZdsrBv3x3bAQ/edit?resourcekey#gid=1321652304"",""Prop!$N$1:$X""),11,0),iferror(vlookup(B14,importrange(""https://docs.google.com/spreadsheets/d/1p53T2AuvvIqhP7Nf-bo3Uhj8cbKYRPpZdsrBv3x3bAQ/edit?resourcekey#gid=1321652304"",""Prop"&amp;"!$Y$1:$AI""),11,0),iferror(vlookup(B14,importrange(""https://docs.google.com/spreadsheets/d/1p53T2AuvvIqhP7Nf-bo3Uhj8cbKYRPpZdsrBv3x3bAQ/edit?resourcekey#gid=1321652304"",""Prop!$AJ$1:$AT""),11,0),iferror(vlookup(B14,importrange(""https://docs.google.com/"&amp;"spreadsheets/d/1p53T2AuvvIqhP7Nf-bo3Uhj8cbKYRPpZdsrBv3x3bAQ/edit?resourcekey#gid=1321652304"",""Prop!$AU$1:$BE""),11,0),iferror(vlookup(B14,importrange(""https://docs.google.com/spreadsheets/d/1p53T2AuvvIqhP7Nf-bo3Uhj8cbKYRPpZdsrBv3x3bAQ/edit?resourcekey#"&amp;"gid=1321652304"",""Prop!$BF$1:$BP""),11,0),iferror(vlookup(B14,importrange(""https://docs.google.com/spreadsheets/d/1p53T2AuvvIqhP7Nf-bo3Uhj8cbKYRPpZdsrBv3x3bAQ/edit?resourcekey#gid=1321652304"",""Prop!$BQ$1:$CA""),11,0),iferror(vlookup(B14,importrange("""&amp;"https://docs.google.com/spreadsheets/d/1p53T2AuvvIqhP7Nf-bo3Uhj8cbKYRPpZdsrBv3x3bAQ/edit?resourcekey#gid=1321652304"",""Prop!$CB$1:$CL""),11,0),iferror(vlookup(B14,importrange(""https://docs.google.com/spreadsheets/d/1p53T2AuvvIqhP7Nf-bo3Uhj8cbKYRPpZdsrBv"&amp;"3x3bAQ/edit?resourcekey#gid=1321652304"",""Prop!$CM$1:$CX""),12,0),iferror(vlookup(B14,importrange(""https://docs.google.com/spreadsheets/d/1p53T2AuvvIqhP7Nf-bo3Uhj8cbKYRPpZdsrBv3x3bAQ/edit?resourcekey#gid=1321652304"",""Prop!$CY$1:$DI""),11,0)))))))))))"),"https://drive.google.com/open?id=1bKl_osuMCiVdw30PzkuRyilml_Y91PAz")</f>
        <v>https://drive.google.com/open?id=1bKl_osuMCiVdw30PzkuRyilml_Y91PAz</v>
      </c>
      <c r="R14" s="20" t="s">
        <v>946</v>
      </c>
      <c r="S14" s="20" t="str">
        <f ca="1">IFERROR(__xludf.DUMMYFUNCTION("IFERROR(vlookup(B14,IMPORTRANGE(""https://docs.google.com/spreadsheets/d/1g_jfYYK_KeipEDNDUgqgrsxK94XiocfNQIcP-v1QVhI/edit?resourcekey#gid=233272945"",""Nilai!B:CT""),21,0),"" "")"),"anggaran terlalu kecil, bisa dimaksimalkan ke 8.750.000; lampiran biodata pakai format lama; keunggulan dibandingkan OLX kurang mendukung justru")</f>
        <v>anggaran terlalu kecil, bisa dimaksimalkan ke 8.750.000; lampiran biodata pakai format lama; keunggulan dibandingkan OLX kurang mendukung justru</v>
      </c>
      <c r="T14" s="20" t="str">
        <f ca="1">IFERROR(__xludf.DUMMYFUNCTION("IFERROR(vlookup(B14,IMPORTRANGE(""https://docs.google.com/spreadsheets/d/1g_jfYYK_KeipEDNDUgqgrsxK94XiocfNQIcP-v1QVhI/edit?resourcekey#gid=233272945"",""Nilai!B:CT""),97,0),"" "")"),"LAYAK UPLOAD KE SIMBELMAWA DENGAN REVISI")</f>
        <v>LAYAK UPLOAD KE SIMBELMAWA DENGAN REVISI</v>
      </c>
      <c r="U14" s="21" t="s">
        <v>739</v>
      </c>
      <c r="V14" s="85" t="s">
        <v>947</v>
      </c>
      <c r="W14" s="17" t="s">
        <v>954</v>
      </c>
      <c r="X14" s="34" t="b">
        <v>0</v>
      </c>
    </row>
    <row r="15" spans="1:24">
      <c r="A15" s="15">
        <v>13</v>
      </c>
      <c r="B15" s="15">
        <f ca="1">IFERROR(__xludf.DUMMYFUNCTION("""COMPUTED_VALUE"""),2143)</f>
        <v>2143</v>
      </c>
      <c r="C15" s="16" t="str">
        <f ca="1">IFERROR(__xludf.DUMMYFUNCTION("""COMPUTED_VALUE"""),"WAFIYUDDIN TSALATSYANTO")</f>
        <v>WAFIYUDDIN TSALATSYANTO</v>
      </c>
      <c r="D15" s="16" t="str">
        <f ca="1">IFERROR(__xludf.DUMMYFUNCTION("""COMPUTED_VALUE"""),"5020201073")</f>
        <v>5020201073</v>
      </c>
      <c r="E15" s="16" t="str">
        <f ca="1">IFERROR(__xludf.DUMMYFUNCTION("""COMPUTED_VALUE"""),"Departemen Teknik Kelautan")</f>
        <v>Departemen Teknik Kelautan</v>
      </c>
      <c r="F15" s="16" t="str">
        <f ca="1">IFERROR(__xludf.DUMMYFUNCTION("""COMPUTED_VALUE"""),"Magtras (Maggot Trash) Sebagai Inovasi Bisnis Pengelolaan Sampah Organik Berbasis Maggot BSF untuk tercapainya dunia dengan pembangunan berkelanjutan 2030")</f>
        <v>Magtras (Maggot Trash) Sebagai Inovasi Bisnis Pengelolaan Sampah Organik Berbasis Maggot BSF untuk tercapainya dunia dengan pembangunan berkelanjutan 2030</v>
      </c>
      <c r="G15" s="16" t="str">
        <f ca="1">IFERROR(__xludf.DUMMYFUNCTION("""COMPUTED_VALUE"""),"Wimala Lalitya Dhanistha, S.T., M.T.")</f>
        <v>Wimala Lalitya Dhanistha, S.T., M.T.</v>
      </c>
      <c r="H15" s="16" t="str">
        <f ca="1">IFERROR(__xludf.DUMMYFUNCTION("""COMPUTED_VALUE"""),"Gita Widi Bhawika, S.ST., M.MT")</f>
        <v>Gita Widi Bhawika, S.ST., M.MT</v>
      </c>
      <c r="I15" s="16" t="str">
        <f ca="1">IFERROR(__xludf.DUMMYFUNCTION("""COMPUTED_VALUE"""),"Daril Ridho Zuchrillah, S.T., M.T.")</f>
        <v>Daril Ridho Zuchrillah, S.T., M.T.</v>
      </c>
      <c r="J15" s="16"/>
      <c r="K15" s="17" t="s">
        <v>952</v>
      </c>
      <c r="L15" s="17" t="s">
        <v>956</v>
      </c>
      <c r="M15" s="19" t="b">
        <v>0</v>
      </c>
      <c r="N15" s="19" t="b">
        <v>0</v>
      </c>
      <c r="O15" s="1" t="s">
        <v>957</v>
      </c>
      <c r="P15" s="7" t="str">
        <f ca="1">IFERROR(__xludf.DUMMYFUNCTION("iferror(vlookup(B15,importrange(""https://docs.google.com/spreadsheets/d/1boHyJQ4e2FU0QG8MHwEi6qjX4hvZWVCHcFfXjq7bbMc/edit?resourcekey#gid=923248883"",""Prop!$C$1:$M""),12,0),IFERROR(vlookup(B15,importrange(""https://docs.google.com/spreadsheets/d/1boHyJQ"&amp;"4e2FU0QG8MHwEi6qjX4hvZWVCHcFfXjq7bbMc/edit?resourcekey#gid=923248883"",""Prop!$N$1:$X""),11,0),iferror(vlookup(B15,importrange(""https://docs.google.com/spreadsheets/d/1boHyJQ4e2FU0QG8MHwEi6qjX4hvZWVCHcFfXjq7bbMc/edit?resourcekey#gid=923248883"",""Prop!$Y"&amp;"$1:$AI""),11,0),iferror(vlookup(B15,importrange(""https://docs.google.com/spreadsheets/d/1boHyJQ4e2FU0QG8MHwEi6qjX4hvZWVCHcFfXjq7bbMc/edit?resourcekey#gid=923248883"",""Prop!$AJ$1:$AT""),11,0),iferror(vlookup(B15,importrange(""https://docs.google.com/spre"&amp;"adsheets/d/1boHyJQ4e2FU0QG8MHwEi6qjX4hvZWVCHcFfXjq7bbMc/edit?resourcekey#gid=923248883"",""Prop!$AU$1:$BE""),11,0),iferror(vlookup(B15,importrange(""https://docs.google.com/spreadsheets/d/1boHyJQ4e2FU0QG8MHwEi6qjX4hvZWVCHcFfXjq7bbMc/edit?resourcekey#gid=9"&amp;"23248883"",""Prop!$BF$1:$BP""),11,0),iferror(vlookup(B15,importrange(""https://docs.google.com/spreadsheets/d/1boHyJQ4e2FU0QG8MHwEi6qjX4hvZWVCHcFfXjq7bbMc/edit?resourcekey#gid=923248883"",""Prop!$BQ$1:$CA""),11,0),iferror(vlookup(B15,importrange(""https:/"&amp;"/docs.google.com/spreadsheets/d/1boHyJQ4e2FU0QG8MHwEi6qjX4hvZWVCHcFfXjq7bbMc/edit?resourcekey#gid=923248883"",""Prop!$CB$1:$CL""),11,0),iferror(vlookup(B15,importrange(""https://docs.google.com/spreadsheets/d/1boHyJQ4e2FU0QG8MHwEi6qjX4hvZWVCHcFfXjq7bbMc/e"&amp;"dit?resourcekey#gid=923248883"",""Prop!$CM$1:$CX""),12,0),iferror(vlookup(B15,importrange(""https://docs.google.com/spreadsheets/d/1boHyJQ4e2FU0QG8MHwEi6qjX4hvZWVCHcFfXjq7bbMc/edit?resourcekey#gid=923248883"",""Prop!$CV$1:$DI""),11,0)))))))))))"),"https://drive.google.com/open?id=1ipMbGR_4ZF61dsoL2bBaG5IAovi_iChI")</f>
        <v>https://drive.google.com/open?id=1ipMbGR_4ZF61dsoL2bBaG5IAovi_iChI</v>
      </c>
      <c r="Q15" s="7" t="str">
        <f ca="1">IFERROR(__xludf.DUMMYFUNCTION("iferror(vlookup(B15,importrange(""https://docs.google.com/spreadsheets/d/1p53T2AuvvIqhP7Nf-bo3Uhj8cbKYRPpZdsrBv3x3bAQ/edit?resourcekey#gid=1321652304"",""Prop!$C$1:$M""),11,0),IFERROR(vlookup(B15,importrange(""https://docs.google.com/spreadsheets/d/1p53T2"&amp;"AuvvIqhP7Nf-bo3Uhj8cbKYRPpZdsrBv3x3bAQ/edit?resourcekey#gid=1321652304"",""Prop!$N$1:$X""),11,0),iferror(vlookup(B15,importrange(""https://docs.google.com/spreadsheets/d/1p53T2AuvvIqhP7Nf-bo3Uhj8cbKYRPpZdsrBv3x3bAQ/edit?resourcekey#gid=1321652304"",""Prop"&amp;"!$Y$1:$AI""),11,0),iferror(vlookup(B15,importrange(""https://docs.google.com/spreadsheets/d/1p53T2AuvvIqhP7Nf-bo3Uhj8cbKYRPpZdsrBv3x3bAQ/edit?resourcekey#gid=1321652304"",""Prop!$AJ$1:$AT""),11,0),iferror(vlookup(B15,importrange(""https://docs.google.com/"&amp;"spreadsheets/d/1p53T2AuvvIqhP7Nf-bo3Uhj8cbKYRPpZdsrBv3x3bAQ/edit?resourcekey#gid=1321652304"",""Prop!$AU$1:$BE""),11,0),iferror(vlookup(B15,importrange(""https://docs.google.com/spreadsheets/d/1p53T2AuvvIqhP7Nf-bo3Uhj8cbKYRPpZdsrBv3x3bAQ/edit?resourcekey#"&amp;"gid=1321652304"",""Prop!$BF$1:$BP""),11,0),iferror(vlookup(B15,importrange(""https://docs.google.com/spreadsheets/d/1p53T2AuvvIqhP7Nf-bo3Uhj8cbKYRPpZdsrBv3x3bAQ/edit?resourcekey#gid=1321652304"",""Prop!$BQ$1:$CA""),11,0),iferror(vlookup(B15,importrange("""&amp;"https://docs.google.com/spreadsheets/d/1p53T2AuvvIqhP7Nf-bo3Uhj8cbKYRPpZdsrBv3x3bAQ/edit?resourcekey#gid=1321652304"",""Prop!$CB$1:$CL""),11,0),iferror(vlookup(B15,importrange(""https://docs.google.com/spreadsheets/d/1p53T2AuvvIqhP7Nf-bo3Uhj8cbKYRPpZdsrBv"&amp;"3x3bAQ/edit?resourcekey#gid=1321652304"",""Prop!$CM$1:$CX""),12,0),iferror(vlookup(B15,importrange(""https://docs.google.com/spreadsheets/d/1p53T2AuvvIqhP7Nf-bo3Uhj8cbKYRPpZdsrBv3x3bAQ/edit?resourcekey#gid=1321652304"",""Prop!$CY$1:$DI""),11,0)))))))))))"),"https://drive.google.com/open?id=1m04OSsz-RJM1OB5YE2ZCiPXLW1zxPbkz")</f>
        <v>https://drive.google.com/open?id=1m04OSsz-RJM1OB5YE2ZCiPXLW1zxPbkz</v>
      </c>
      <c r="R15" s="20" t="s">
        <v>946</v>
      </c>
      <c r="S15" s="20" t="str">
        <f ca="1">IFERROR(__xludf.DUMMYFUNCTION("IFERROR(vlookup(B15,IMPORTRANGE(""https://docs.google.com/spreadsheets/d/1g_jfYYK_KeipEDNDUgqgrsxK94XiocfNQIcP-v1QVhI/edit?resourcekey#gid=233272945"",""Nilai!B:CT""),21,0),"" "")"),"-")</f>
        <v>-</v>
      </c>
      <c r="T15" s="20" t="str">
        <f ca="1">IFERROR(__xludf.DUMMYFUNCTION("IFERROR(vlookup(B15,IMPORTRANGE(""https://docs.google.com/spreadsheets/d/1g_jfYYK_KeipEDNDUgqgrsxK94XiocfNQIcP-v1QVhI/edit?resourcekey#gid=233272945"",""Nilai!B:CT""),97,0),"" "")"),"LAYAK UPLOAD KE SIMBELMAWA")</f>
        <v>LAYAK UPLOAD KE SIMBELMAWA</v>
      </c>
      <c r="U15" s="21" t="s">
        <v>739</v>
      </c>
      <c r="V15" s="85" t="s">
        <v>947</v>
      </c>
      <c r="W15" s="17" t="s">
        <v>958</v>
      </c>
      <c r="X15" s="34" t="b">
        <v>0</v>
      </c>
    </row>
    <row r="16" spans="1:24">
      <c r="A16" s="15">
        <v>14</v>
      </c>
      <c r="B16" s="15">
        <f ca="1">IFERROR(__xludf.DUMMYFUNCTION("""COMPUTED_VALUE"""),2894)</f>
        <v>2894</v>
      </c>
      <c r="C16" s="16" t="str">
        <f ca="1">IFERROR(__xludf.DUMMYFUNCTION("""COMPUTED_VALUE"""),"ADIELLA FADIA ADITYA")</f>
        <v>ADIELLA FADIA ADITYA</v>
      </c>
      <c r="D16" s="16" t="str">
        <f ca="1">IFERROR(__xludf.DUMMYFUNCTION("""COMPUTED_VALUE"""),"5002201013")</f>
        <v>5002201013</v>
      </c>
      <c r="E16" s="16" t="str">
        <f ca="1">IFERROR(__xludf.DUMMYFUNCTION("""COMPUTED_VALUE"""),"Departemen Matematika")</f>
        <v>Departemen Matematika</v>
      </c>
      <c r="F16" s="16" t="str">
        <f ca="1">IFERROR(__xludf.DUMMYFUNCTION("""COMPUTED_VALUE"""),"PENGEMBANGAN APLIKASI GOFFICE SEBAGAI DIGITALISASI UMKM BISNIS FOTOKOPI DAN PERCETAKAN DI SURABAYA")</f>
        <v>PENGEMBANGAN APLIKASI GOFFICE SEBAGAI DIGITALISASI UMKM BISNIS FOTOKOPI DAN PERCETAKAN DI SURABAYA</v>
      </c>
      <c r="G16" s="16" t="str">
        <f ca="1">IFERROR(__xludf.DUMMYFUNCTION("""COMPUTED_VALUE"""),"Alvida Mustika Rukmi, S.Si, M.Si")</f>
        <v>Alvida Mustika Rukmi, S.Si, M.Si</v>
      </c>
      <c r="H16" s="16" t="str">
        <f ca="1">IFERROR(__xludf.DUMMYFUNCTION("""COMPUTED_VALUE"""),"Gita Widi Bhawika, S.ST., M.MT")</f>
        <v>Gita Widi Bhawika, S.ST., M.MT</v>
      </c>
      <c r="I16" s="16" t="str">
        <f ca="1">IFERROR(__xludf.DUMMYFUNCTION("""COMPUTED_VALUE"""),"Sena Safarina , S.Si., M.Sc., D.Sc")</f>
        <v>Sena Safarina , S.Si., M.Sc., D.Sc</v>
      </c>
      <c r="J16" s="16"/>
      <c r="K16" s="17" t="s">
        <v>952</v>
      </c>
      <c r="L16" s="17" t="s">
        <v>956</v>
      </c>
      <c r="M16" s="19" t="b">
        <v>0</v>
      </c>
      <c r="N16" s="19" t="b">
        <v>0</v>
      </c>
      <c r="O16" s="1" t="s">
        <v>957</v>
      </c>
      <c r="P16" s="7" t="str">
        <f ca="1">IFERROR(__xludf.DUMMYFUNCTION("iferror(vlookup(B16,importrange(""https://docs.google.com/spreadsheets/d/1boHyJQ4e2FU0QG8MHwEi6qjX4hvZWVCHcFfXjq7bbMc/edit?resourcekey#gid=923248883"",""Prop!$C$1:$M""),12,0),IFERROR(vlookup(B16,importrange(""https://docs.google.com/spreadsheets/d/1boHyJQ"&amp;"4e2FU0QG8MHwEi6qjX4hvZWVCHcFfXjq7bbMc/edit?resourcekey#gid=923248883"",""Prop!$N$1:$X""),11,0),iferror(vlookup(B16,importrange(""https://docs.google.com/spreadsheets/d/1boHyJQ4e2FU0QG8MHwEi6qjX4hvZWVCHcFfXjq7bbMc/edit?resourcekey#gid=923248883"",""Prop!$Y"&amp;"$1:$AI""),11,0),iferror(vlookup(B16,importrange(""https://docs.google.com/spreadsheets/d/1boHyJQ4e2FU0QG8MHwEi6qjX4hvZWVCHcFfXjq7bbMc/edit?resourcekey#gid=923248883"",""Prop!$AJ$1:$AT""),11,0),iferror(vlookup(B16,importrange(""https://docs.google.com/spre"&amp;"adsheets/d/1boHyJQ4e2FU0QG8MHwEi6qjX4hvZWVCHcFfXjq7bbMc/edit?resourcekey#gid=923248883"",""Prop!$AU$1:$BE""),11,0),iferror(vlookup(B16,importrange(""https://docs.google.com/spreadsheets/d/1boHyJQ4e2FU0QG8MHwEi6qjX4hvZWVCHcFfXjq7bbMc/edit?resourcekey#gid=9"&amp;"23248883"",""Prop!$BF$1:$BP""),11,0),iferror(vlookup(B16,importrange(""https://docs.google.com/spreadsheets/d/1boHyJQ4e2FU0QG8MHwEi6qjX4hvZWVCHcFfXjq7bbMc/edit?resourcekey#gid=923248883"",""Prop!$BQ$1:$CA""),11,0),iferror(vlookup(B16,importrange(""https:/"&amp;"/docs.google.com/spreadsheets/d/1boHyJQ4e2FU0QG8MHwEi6qjX4hvZWVCHcFfXjq7bbMc/edit?resourcekey#gid=923248883"",""Prop!$CB$1:$CL""),11,0),iferror(vlookup(B16,importrange(""https://docs.google.com/spreadsheets/d/1boHyJQ4e2FU0QG8MHwEi6qjX4hvZWVCHcFfXjq7bbMc/e"&amp;"dit?resourcekey#gid=923248883"",""Prop!$CM$1:$CX""),12,0),iferror(vlookup(B16,importrange(""https://docs.google.com/spreadsheets/d/1boHyJQ4e2FU0QG8MHwEi6qjX4hvZWVCHcFfXjq7bbMc/edit?resourcekey#gid=923248883"",""Prop!$CV$1:$DI""),11,0)))))))))))"),"https://drive.google.com/open?id=1za7mu7rjUYVyivCSo8kqWsoN2_kSaaaL")</f>
        <v>https://drive.google.com/open?id=1za7mu7rjUYVyivCSo8kqWsoN2_kSaaaL</v>
      </c>
      <c r="Q16" s="7" t="str">
        <f ca="1">IFERROR(__xludf.DUMMYFUNCTION("iferror(vlookup(B16,importrange(""https://docs.google.com/spreadsheets/d/1p53T2AuvvIqhP7Nf-bo3Uhj8cbKYRPpZdsrBv3x3bAQ/edit?resourcekey#gid=1321652304"",""Prop!$C$1:$M""),11,0),IFERROR(vlookup(B16,importrange(""https://docs.google.com/spreadsheets/d/1p53T2"&amp;"AuvvIqhP7Nf-bo3Uhj8cbKYRPpZdsrBv3x3bAQ/edit?resourcekey#gid=1321652304"",""Prop!$N$1:$X""),11,0),iferror(vlookup(B16,importrange(""https://docs.google.com/spreadsheets/d/1p53T2AuvvIqhP7Nf-bo3Uhj8cbKYRPpZdsrBv3x3bAQ/edit?resourcekey#gid=1321652304"",""Prop"&amp;"!$Y$1:$AI""),11,0),iferror(vlookup(B16,importrange(""https://docs.google.com/spreadsheets/d/1p53T2AuvvIqhP7Nf-bo3Uhj8cbKYRPpZdsrBv3x3bAQ/edit?resourcekey#gid=1321652304"",""Prop!$AJ$1:$AT""),11,0),iferror(vlookup(B16,importrange(""https://docs.google.com/"&amp;"spreadsheets/d/1p53T2AuvvIqhP7Nf-bo3Uhj8cbKYRPpZdsrBv3x3bAQ/edit?resourcekey#gid=1321652304"",""Prop!$AU$1:$BE""),11,0),iferror(vlookup(B16,importrange(""https://docs.google.com/spreadsheets/d/1p53T2AuvvIqhP7Nf-bo3Uhj8cbKYRPpZdsrBv3x3bAQ/edit?resourcekey#"&amp;"gid=1321652304"",""Prop!$BF$1:$BP""),11,0),iferror(vlookup(B16,importrange(""https://docs.google.com/spreadsheets/d/1p53T2AuvvIqhP7Nf-bo3Uhj8cbKYRPpZdsrBv3x3bAQ/edit?resourcekey#gid=1321652304"",""Prop!$BQ$1:$CA""),11,0),iferror(vlookup(B16,importrange("""&amp;"https://docs.google.com/spreadsheets/d/1p53T2AuvvIqhP7Nf-bo3Uhj8cbKYRPpZdsrBv3x3bAQ/edit?resourcekey#gid=1321652304"",""Prop!$CB$1:$CL""),11,0),iferror(vlookup(B16,importrange(""https://docs.google.com/spreadsheets/d/1p53T2AuvvIqhP7Nf-bo3Uhj8cbKYRPpZdsrBv"&amp;"3x3bAQ/edit?resourcekey#gid=1321652304"",""Prop!$CM$1:$CX""),12,0),iferror(vlookup(B16,importrange(""https://docs.google.com/spreadsheets/d/1p53T2AuvvIqhP7Nf-bo3Uhj8cbKYRPpZdsrBv3x3bAQ/edit?resourcekey#gid=1321652304"",""Prop!$CY$1:$DI""),11,0)))))))))))"),"https://drive.google.com/open?id=1pCxWAf4a6KJbT-2hJVHoL43jETH5mX1O")</f>
        <v>https://drive.google.com/open?id=1pCxWAf4a6KJbT-2hJVHoL43jETH5mX1O</v>
      </c>
      <c r="R16" s="20" t="s">
        <v>946</v>
      </c>
      <c r="S16" s="20" t="str">
        <f ca="1">IFERROR(__xludf.DUMMYFUNCTION("IFERROR(vlookup(B16,IMPORTRANGE(""https://docs.google.com/spreadsheets/d/1g_jfYYK_KeipEDNDUgqgrsxK94XiocfNQIcP-v1QVhI/edit?resourcekey#gid=233272945"",""Nilai!B:CT""),21,0),"" "")"),"Anggaran belum dipecah; ")</f>
        <v xml:space="preserve">Anggaran belum dipecah; </v>
      </c>
      <c r="T16" s="20" t="str">
        <f ca="1">IFERROR(__xludf.DUMMYFUNCTION("IFERROR(vlookup(B16,IMPORTRANGE(""https://docs.google.com/spreadsheets/d/1g_jfYYK_KeipEDNDUgqgrsxK94XiocfNQIcP-v1QVhI/edit?resourcekey#gid=233272945"",""Nilai!B:CT""),97,0),"" "")"),"LAYAK UPLOAD KE SIMBELMAWA DENGAN REVISI")</f>
        <v>LAYAK UPLOAD KE SIMBELMAWA DENGAN REVISI</v>
      </c>
      <c r="U16" s="21" t="s">
        <v>739</v>
      </c>
      <c r="V16" s="85" t="s">
        <v>947</v>
      </c>
      <c r="W16" s="17" t="s">
        <v>958</v>
      </c>
      <c r="X16" s="34" t="b">
        <v>0</v>
      </c>
    </row>
    <row r="17" spans="1:24">
      <c r="A17" s="15">
        <v>15</v>
      </c>
      <c r="B17" s="15">
        <f ca="1">IFERROR(__xludf.DUMMYFUNCTION("""COMPUTED_VALUE"""),4038)</f>
        <v>4038</v>
      </c>
      <c r="C17" s="16" t="str">
        <f ca="1">IFERROR(__xludf.DUMMYFUNCTION("""COMPUTED_VALUE"""),"Inez Nabila Yustisia")</f>
        <v>Inez Nabila Yustisia</v>
      </c>
      <c r="D17" s="16" t="str">
        <f ca="1">IFERROR(__xludf.DUMMYFUNCTION("""COMPUTED_VALUE"""),"5014211096")</f>
        <v>5014211096</v>
      </c>
      <c r="E17" s="16" t="str">
        <f ca="1">IFERROR(__xludf.DUMMYFUNCTION("""COMPUTED_VALUE"""),"Departemen Teknik Lingkungan")</f>
        <v>Departemen Teknik Lingkungan</v>
      </c>
      <c r="F17" s="16" t="str">
        <f ca="1">IFERROR(__xludf.DUMMYFUNCTION("""COMPUTED_VALUE"""),"Sima: SIMA : Menginang Kekinian untuk Menjaga Kesehatan Gigi di Era Modern")</f>
        <v>Sima: SIMA : Menginang Kekinian untuk Menjaga Kesehatan Gigi di Era Modern</v>
      </c>
      <c r="G17" s="16" t="str">
        <f ca="1">IFERROR(__xludf.DUMMYFUNCTION("""COMPUTED_VALUE"""),"Deqi Rizkivia Radita, S.T., M.Sc.")</f>
        <v>Deqi Rizkivia Radita, S.T., M.Sc.</v>
      </c>
      <c r="H17" s="16" t="str">
        <f ca="1">IFERROR(__xludf.DUMMYFUNCTION("""COMPUTED_VALUE"""),"Dr. Adithya Sudiarno, S.T., M.T.")</f>
        <v>Dr. Adithya Sudiarno, S.T., M.T.</v>
      </c>
      <c r="I17" s="16" t="str">
        <f ca="1">IFERROR(__xludf.DUMMYFUNCTION("""COMPUTED_VALUE"""),"Daril Ridho Zuchrillah, S.T., M.T.")</f>
        <v>Daril Ridho Zuchrillah, S.T., M.T.</v>
      </c>
      <c r="J17" s="16"/>
      <c r="K17" s="17" t="s">
        <v>952</v>
      </c>
      <c r="L17" s="17" t="s">
        <v>956</v>
      </c>
      <c r="M17" s="19" t="b">
        <v>0</v>
      </c>
      <c r="N17" s="19" t="b">
        <v>0</v>
      </c>
      <c r="O17" s="1" t="s">
        <v>957</v>
      </c>
      <c r="P17" s="24" t="str">
        <f ca="1">IFERROR(__xludf.DUMMYFUNCTION("iferror(vlookup(B17,importrange(""https://docs.google.com/spreadsheets/d/1boHyJQ4e2FU0QG8MHwEi6qjX4hvZWVCHcFfXjq7bbMc/edit?resourcekey#gid=923248883"",""Prop!$C$1:$M""),12,0),IFERROR(vlookup(B17,importrange(""https://docs.google.com/spreadsheets/d/1boHyJQ"&amp;"4e2FU0QG8MHwEi6qjX4hvZWVCHcFfXjq7bbMc/edit?resourcekey#gid=923248883"",""Prop!$N$1:$X""),11,0),iferror(vlookup(B17,importrange(""https://docs.google.com/spreadsheets/d/1boHyJQ4e2FU0QG8MHwEi6qjX4hvZWVCHcFfXjq7bbMc/edit?resourcekey#gid=923248883"",""Prop!$Y"&amp;"$1:$AI""),11,0),iferror(vlookup(B17,importrange(""https://docs.google.com/spreadsheets/d/1boHyJQ4e2FU0QG8MHwEi6qjX4hvZWVCHcFfXjq7bbMc/edit?resourcekey#gid=923248883"",""Prop!$AJ$1:$AT""),11,0),iferror(vlookup(B17,importrange(""https://docs.google.com/spre"&amp;"adsheets/d/1boHyJQ4e2FU0QG8MHwEi6qjX4hvZWVCHcFfXjq7bbMc/edit?resourcekey#gid=923248883"",""Prop!$AU$1:$BE""),11,0),iferror(vlookup(B17,importrange(""https://docs.google.com/spreadsheets/d/1boHyJQ4e2FU0QG8MHwEi6qjX4hvZWVCHcFfXjq7bbMc/edit?resourcekey#gid=9"&amp;"23248883"",""Prop!$BF$1:$BP""),11,0),iferror(vlookup(B17,importrange(""https://docs.google.com/spreadsheets/d/1boHyJQ4e2FU0QG8MHwEi6qjX4hvZWVCHcFfXjq7bbMc/edit?resourcekey#gid=923248883"",""Prop!$BQ$1:$CA""),11,0),iferror(vlookup(B17,importrange(""https:/"&amp;"/docs.google.com/spreadsheets/d/1boHyJQ4e2FU0QG8MHwEi6qjX4hvZWVCHcFfXjq7bbMc/edit?resourcekey#gid=923248883"",""Prop!$CB$1:$CL""),11,0),iferror(vlookup(B17,importrange(""https://docs.google.com/spreadsheets/d/1boHyJQ4e2FU0QG8MHwEi6qjX4hvZWVCHcFfXjq7bbMc/e"&amp;"dit?resourcekey#gid=923248883"",""Prop!$CM$1:$CX""),12,0),iferror(vlookup(B17,importrange(""https://docs.google.com/spreadsheets/d/1boHyJQ4e2FU0QG8MHwEi6qjX4hvZWVCHcFfXjq7bbMc/edit?resourcekey#gid=923248883"",""Prop!$CV$1:$DI""),11,0)))))))))))"),"")</f>
        <v/>
      </c>
      <c r="Q17" s="1" t="str">
        <f ca="1">IFERROR(__xludf.DUMMYFUNCTION("iferror(vlookup(B17,importrange(""https://docs.google.com/spreadsheets/d/1p53T2AuvvIqhP7Nf-bo3Uhj8cbKYRPpZdsrBv3x3bAQ/edit?resourcekey#gid=1321652304"",""Prop!$C$1:$M""),11,0),IFERROR(vlookup(B17,importrange(""https://docs.google.com/spreadsheets/d/1p53T2"&amp;"AuvvIqhP7Nf-bo3Uhj8cbKYRPpZdsrBv3x3bAQ/edit?resourcekey#gid=1321652304"",""Prop!$N$1:$X""),11,0),iferror(vlookup(B17,importrange(""https://docs.google.com/spreadsheets/d/1p53T2AuvvIqhP7Nf-bo3Uhj8cbKYRPpZdsrBv3x3bAQ/edit?resourcekey#gid=1321652304"",""Prop"&amp;"!$Y$1:$AI""),11,0),iferror(vlookup(B17,importrange(""https://docs.google.com/spreadsheets/d/1p53T2AuvvIqhP7Nf-bo3Uhj8cbKYRPpZdsrBv3x3bAQ/edit?resourcekey#gid=1321652304"",""Prop!$AJ$1:$AT""),11,0),iferror(vlookup(B17,importrange(""https://docs.google.com/"&amp;"spreadsheets/d/1p53T2AuvvIqhP7Nf-bo3Uhj8cbKYRPpZdsrBv3x3bAQ/edit?resourcekey#gid=1321652304"",""Prop!$AU$1:$BE""),11,0),iferror(vlookup(B17,importrange(""https://docs.google.com/spreadsheets/d/1p53T2AuvvIqhP7Nf-bo3Uhj8cbKYRPpZdsrBv3x3bAQ/edit?resourcekey#"&amp;"gid=1321652304"",""Prop!$BF$1:$BP""),11,0),iferror(vlookup(B17,importrange(""https://docs.google.com/spreadsheets/d/1p53T2AuvvIqhP7Nf-bo3Uhj8cbKYRPpZdsrBv3x3bAQ/edit?resourcekey#gid=1321652304"",""Prop!$BQ$1:$CA""),11,0),iferror(vlookup(B17,importrange("""&amp;"https://docs.google.com/spreadsheets/d/1p53T2AuvvIqhP7Nf-bo3Uhj8cbKYRPpZdsrBv3x3bAQ/edit?resourcekey#gid=1321652304"",""Prop!$CB$1:$CL""),11,0),iferror(vlookup(B17,importrange(""https://docs.google.com/spreadsheets/d/1p53T2AuvvIqhP7Nf-bo3Uhj8cbKYRPpZdsrBv"&amp;"3x3bAQ/edit?resourcekey#gid=1321652304"",""Prop!$CM$1:$CX""),12,0),iferror(vlookup(B17,importrange(""https://docs.google.com/spreadsheets/d/1p53T2AuvvIqhP7Nf-bo3Uhj8cbKYRPpZdsrBv3x3bAQ/edit?resourcekey#gid=1321652304"",""Prop!$CY$1:$DI""),11,0)))))))))))"),"")</f>
        <v/>
      </c>
      <c r="R17" s="20" t="s">
        <v>946</v>
      </c>
      <c r="S17" s="20" t="str">
        <f ca="1">IFERROR(__xludf.DUMMYFUNCTION("IFERROR(vlookup(B17,IMPORTRANGE(""https://docs.google.com/spreadsheets/d/1g_jfYYK_KeipEDNDUgqgrsxK94XiocfNQIcP-v1QVhI/edit?resourcekey#gid=233272945"",""Nilai!B:CT""),21,0),"" "")"),"tidak ada proposal")</f>
        <v>tidak ada proposal</v>
      </c>
      <c r="T17" s="20" t="str">
        <f ca="1">IFERROR(__xludf.DUMMYFUNCTION("IFERROR(vlookup(B17,IMPORTRANGE(""https://docs.google.com/spreadsheets/d/1g_jfYYK_KeipEDNDUgqgrsxK94XiocfNQIcP-v1QVhI/edit?resourcekey#gid=233272945"",""Nilai!B:CT""),97,0),"" "")"),"TIDAK LAYAK UPLOAD KE SIMBELMAWA")</f>
        <v>TIDAK LAYAK UPLOAD KE SIMBELMAWA</v>
      </c>
      <c r="U17" s="21" t="s">
        <v>739</v>
      </c>
      <c r="V17" s="85" t="s">
        <v>947</v>
      </c>
      <c r="W17" s="17" t="s">
        <v>958</v>
      </c>
      <c r="X17" s="34" t="b">
        <v>0</v>
      </c>
    </row>
    <row r="18" spans="1:24">
      <c r="A18" s="15">
        <v>16</v>
      </c>
      <c r="B18" s="15">
        <f ca="1">IFERROR(__xludf.DUMMYFUNCTION("""COMPUTED_VALUE"""),3815)</f>
        <v>3815</v>
      </c>
      <c r="C18" s="16" t="str">
        <f ca="1">IFERROR(__xludf.DUMMYFUNCTION("""COMPUTED_VALUE"""),"MUHAMMAD HANAN ADLI ")</f>
        <v xml:space="preserve">MUHAMMAD HANAN ADLI </v>
      </c>
      <c r="D18" s="16" t="str">
        <f ca="1">IFERROR(__xludf.DUMMYFUNCTION("""COMPUTED_VALUE"""),"5010211156")</f>
        <v>5010211156</v>
      </c>
      <c r="E18" s="16" t="str">
        <f ca="1">IFERROR(__xludf.DUMMYFUNCTION("""COMPUTED_VALUE"""),"Departemen Teknik Sistem dan Industri")</f>
        <v>Departemen Teknik Sistem dan Industri</v>
      </c>
      <c r="F18" s="16" t="str">
        <f ca="1">IFERROR(__xludf.DUMMYFUNCTION("""COMPUTED_VALUE"""),"Verdant: Aplikasi Penyedia Jasa Layanan  Desain Taman Rumah Berbasis Teknologi 3d Modelling")</f>
        <v>Verdant: Aplikasi Penyedia Jasa Layanan  Desain Taman Rumah Berbasis Teknologi 3d Modelling</v>
      </c>
      <c r="G18" s="16" t="str">
        <f ca="1">IFERROR(__xludf.DUMMYFUNCTION("""COMPUTED_VALUE"""),"Atikah Aghdhi Pratiwi, S.T., M.T.")</f>
        <v>Atikah Aghdhi Pratiwi, S.T., M.T.</v>
      </c>
      <c r="H18" s="16" t="str">
        <f ca="1">IFERROR(__xludf.DUMMYFUNCTION("""COMPUTED_VALUE"""),"Dr. Adithya Sudiarno, S.T., M.T.")</f>
        <v>Dr. Adithya Sudiarno, S.T., M.T.</v>
      </c>
      <c r="I18" s="16" t="str">
        <f ca="1">IFERROR(__xludf.DUMMYFUNCTION("""COMPUTED_VALUE"""),"Daril Ridho Zuchrillah, S.T., M.T.")</f>
        <v>Daril Ridho Zuchrillah, S.T., M.T.</v>
      </c>
      <c r="J18" s="16"/>
      <c r="K18" s="17" t="s">
        <v>952</v>
      </c>
      <c r="L18" s="17" t="s">
        <v>959</v>
      </c>
      <c r="M18" s="19" t="b">
        <v>0</v>
      </c>
      <c r="N18" s="19" t="b">
        <v>0</v>
      </c>
      <c r="O18" s="1" t="s">
        <v>957</v>
      </c>
      <c r="P18" s="7" t="str">
        <f ca="1">IFERROR(__xludf.DUMMYFUNCTION("iferror(vlookup(B18,importrange(""https://docs.google.com/spreadsheets/d/1boHyJQ4e2FU0QG8MHwEi6qjX4hvZWVCHcFfXjq7bbMc/edit?resourcekey#gid=923248883"",""Prop!$C$1:$M""),12,0),IFERROR(vlookup(B18,importrange(""https://docs.google.com/spreadsheets/d/1boHyJQ"&amp;"4e2FU0QG8MHwEi6qjX4hvZWVCHcFfXjq7bbMc/edit?resourcekey#gid=923248883"",""Prop!$N$1:$X""),11,0),iferror(vlookup(B18,importrange(""https://docs.google.com/spreadsheets/d/1boHyJQ4e2FU0QG8MHwEi6qjX4hvZWVCHcFfXjq7bbMc/edit?resourcekey#gid=923248883"",""Prop!$Y"&amp;"$1:$AI""),11,0),iferror(vlookup(B18,importrange(""https://docs.google.com/spreadsheets/d/1boHyJQ4e2FU0QG8MHwEi6qjX4hvZWVCHcFfXjq7bbMc/edit?resourcekey#gid=923248883"",""Prop!$AJ$1:$AT""),11,0),iferror(vlookup(B18,importrange(""https://docs.google.com/spre"&amp;"adsheets/d/1boHyJQ4e2FU0QG8MHwEi6qjX4hvZWVCHcFfXjq7bbMc/edit?resourcekey#gid=923248883"",""Prop!$AU$1:$BE""),11,0),iferror(vlookup(B18,importrange(""https://docs.google.com/spreadsheets/d/1boHyJQ4e2FU0QG8MHwEi6qjX4hvZWVCHcFfXjq7bbMc/edit?resourcekey#gid=9"&amp;"23248883"",""Prop!$BF$1:$BP""),11,0),iferror(vlookup(B18,importrange(""https://docs.google.com/spreadsheets/d/1boHyJQ4e2FU0QG8MHwEi6qjX4hvZWVCHcFfXjq7bbMc/edit?resourcekey#gid=923248883"",""Prop!$BQ$1:$CA""),11,0),iferror(vlookup(B18,importrange(""https:/"&amp;"/docs.google.com/spreadsheets/d/1boHyJQ4e2FU0QG8MHwEi6qjX4hvZWVCHcFfXjq7bbMc/edit?resourcekey#gid=923248883"",""Prop!$CB$1:$CL""),11,0),iferror(vlookup(B18,importrange(""https://docs.google.com/spreadsheets/d/1boHyJQ4e2FU0QG8MHwEi6qjX4hvZWVCHcFfXjq7bbMc/e"&amp;"dit?resourcekey#gid=923248883"",""Prop!$CM$1:$CX""),12,0),iferror(vlookup(B18,importrange(""https://docs.google.com/spreadsheets/d/1boHyJQ4e2FU0QG8MHwEi6qjX4hvZWVCHcFfXjq7bbMc/edit?resourcekey#gid=923248883"",""Prop!$CV$1:$DI""),11,0)))))))))))"),"https://drive.google.com/open?id=1iKGA5NprOSGIOHQGsThVRqoSLrNf7lpX")</f>
        <v>https://drive.google.com/open?id=1iKGA5NprOSGIOHQGsThVRqoSLrNf7lpX</v>
      </c>
      <c r="Q18" s="7" t="str">
        <f ca="1">IFERROR(__xludf.DUMMYFUNCTION("iferror(vlookup(B18,importrange(""https://docs.google.com/spreadsheets/d/1p53T2AuvvIqhP7Nf-bo3Uhj8cbKYRPpZdsrBv3x3bAQ/edit?resourcekey#gid=1321652304"",""Prop!$C$1:$M""),11,0),IFERROR(vlookup(B18,importrange(""https://docs.google.com/spreadsheets/d/1p53T2"&amp;"AuvvIqhP7Nf-bo3Uhj8cbKYRPpZdsrBv3x3bAQ/edit?resourcekey#gid=1321652304"",""Prop!$N$1:$X""),11,0),iferror(vlookup(B18,importrange(""https://docs.google.com/spreadsheets/d/1p53T2AuvvIqhP7Nf-bo3Uhj8cbKYRPpZdsrBv3x3bAQ/edit?resourcekey#gid=1321652304"",""Prop"&amp;"!$Y$1:$AI""),11,0),iferror(vlookup(B18,importrange(""https://docs.google.com/spreadsheets/d/1p53T2AuvvIqhP7Nf-bo3Uhj8cbKYRPpZdsrBv3x3bAQ/edit?resourcekey#gid=1321652304"",""Prop!$AJ$1:$AT""),11,0),iferror(vlookup(B18,importrange(""https://docs.google.com/"&amp;"spreadsheets/d/1p53T2AuvvIqhP7Nf-bo3Uhj8cbKYRPpZdsrBv3x3bAQ/edit?resourcekey#gid=1321652304"",""Prop!$AU$1:$BE""),11,0),iferror(vlookup(B18,importrange(""https://docs.google.com/spreadsheets/d/1p53T2AuvvIqhP7Nf-bo3Uhj8cbKYRPpZdsrBv3x3bAQ/edit?resourcekey#"&amp;"gid=1321652304"",""Prop!$BF$1:$BP""),11,0),iferror(vlookup(B18,importrange(""https://docs.google.com/spreadsheets/d/1p53T2AuvvIqhP7Nf-bo3Uhj8cbKYRPpZdsrBv3x3bAQ/edit?resourcekey#gid=1321652304"",""Prop!$BQ$1:$CA""),11,0),iferror(vlookup(B18,importrange("""&amp;"https://docs.google.com/spreadsheets/d/1p53T2AuvvIqhP7Nf-bo3Uhj8cbKYRPpZdsrBv3x3bAQ/edit?resourcekey#gid=1321652304"",""Prop!$CB$1:$CL""),11,0),iferror(vlookup(B18,importrange(""https://docs.google.com/spreadsheets/d/1p53T2AuvvIqhP7Nf-bo3Uhj8cbKYRPpZdsrBv"&amp;"3x3bAQ/edit?resourcekey#gid=1321652304"",""Prop!$CM$1:$CX""),12,0),iferror(vlookup(B18,importrange(""https://docs.google.com/spreadsheets/d/1p53T2AuvvIqhP7Nf-bo3Uhj8cbKYRPpZdsrBv3x3bAQ/edit?resourcekey#gid=1321652304"",""Prop!$CY$1:$DI""),11,0)))))))))))"),"https://drive.google.com/open?id=1fjSgDiEmqGEc4eHhyprjvrhsRdKbr2Fc")</f>
        <v>https://drive.google.com/open?id=1fjSgDiEmqGEc4eHhyprjvrhsRdKbr2Fc</v>
      </c>
      <c r="R18" s="20" t="s">
        <v>946</v>
      </c>
      <c r="S18" s="20" t="str">
        <f ca="1">IFERROR(__xludf.DUMMYFUNCTION("IFERROR(vlookup(B18,IMPORTRANGE(""https://docs.google.com/spreadsheets/d/1g_jfYYK_KeipEDNDUgqgrsxK94XiocfNQIcP-v1QVhI/edit?resourcekey#gid=233272945"",""Nilai!B:CT""),21,0),"" "")"),"daftar isi masih spasi 1.5; anggaran tidak ada; prinsip bisnis nya tidak muncul; lampiran mhs tidak ada ttd, malah dosennya ada; surat pernyataan tidak ada ttd dan materai")</f>
        <v>daftar isi masih spasi 1.5; anggaran tidak ada; prinsip bisnis nya tidak muncul; lampiran mhs tidak ada ttd, malah dosennya ada; surat pernyataan tidak ada ttd dan materai</v>
      </c>
      <c r="T18" s="20" t="str">
        <f ca="1">IFERROR(__xludf.DUMMYFUNCTION("IFERROR(vlookup(B18,IMPORTRANGE(""https://docs.google.com/spreadsheets/d/1g_jfYYK_KeipEDNDUgqgrsxK94XiocfNQIcP-v1QVhI/edit?resourcekey#gid=233272945"",""Nilai!B:CT""),97,0),"" "")"),"TIDAK LAYAK UPLOAD KE SIMBELMAWA")</f>
        <v>TIDAK LAYAK UPLOAD KE SIMBELMAWA</v>
      </c>
      <c r="U18" s="21" t="s">
        <v>739</v>
      </c>
      <c r="V18" s="85" t="s">
        <v>947</v>
      </c>
      <c r="W18" s="17" t="s">
        <v>958</v>
      </c>
      <c r="X18" s="34" t="b">
        <v>0</v>
      </c>
    </row>
    <row r="19" spans="1:24">
      <c r="A19" s="15">
        <v>17</v>
      </c>
      <c r="B19" s="15">
        <f ca="1">IFERROR(__xludf.DUMMYFUNCTION("""COMPUTED_VALUE"""),2065)</f>
        <v>2065</v>
      </c>
      <c r="C19" s="16" t="str">
        <f ca="1">IFERROR(__xludf.DUMMYFUNCTION("""COMPUTED_VALUE"""),"ZAKIYATUL ROFIKHOH")</f>
        <v>ZAKIYATUL ROFIKHOH</v>
      </c>
      <c r="D19" s="16" t="str">
        <f ca="1">IFERROR(__xludf.DUMMYFUNCTION("""COMPUTED_VALUE"""),"5014201003")</f>
        <v>5014201003</v>
      </c>
      <c r="E19" s="16" t="str">
        <f ca="1">IFERROR(__xludf.DUMMYFUNCTION("""COMPUTED_VALUE"""),"Departemen Teknik Lingkungan")</f>
        <v>Departemen Teknik Lingkungan</v>
      </c>
      <c r="F19" s="16" t="str">
        <f ca="1">IFERROR(__xludf.DUMMYFUNCTION("""COMPUTED_VALUE"""),"Inovasi Permainan Kartu Kuartet dengan Fitur Augmented Reality guna Membentuk Sikap Peduli Lingkungan bagi Anak-anak")</f>
        <v>Inovasi Permainan Kartu Kuartet dengan Fitur Augmented Reality guna Membentuk Sikap Peduli Lingkungan bagi Anak-anak</v>
      </c>
      <c r="G19" s="16" t="str">
        <f ca="1">IFERROR(__xludf.DUMMYFUNCTION("""COMPUTED_VALUE"""),"Ainul Firdatun Nisaa, S.T., M.Sc.")</f>
        <v>Ainul Firdatun Nisaa, S.T., M.Sc.</v>
      </c>
      <c r="H19" s="16" t="str">
        <f ca="1">IFERROR(__xludf.DUMMYFUNCTION("""COMPUTED_VALUE"""),"Muchammad Nurif, S.E., M.T.")</f>
        <v>Muchammad Nurif, S.E., M.T.</v>
      </c>
      <c r="I19" s="16" t="str">
        <f ca="1">IFERROR(__xludf.DUMMYFUNCTION("""COMPUTED_VALUE"""),"Bahalwan Apriyansyah, S.T., MBA.")</f>
        <v>Bahalwan Apriyansyah, S.T., MBA.</v>
      </c>
      <c r="J19" s="16"/>
      <c r="K19" s="17" t="s">
        <v>952</v>
      </c>
      <c r="L19" s="17" t="s">
        <v>959</v>
      </c>
      <c r="M19" s="19" t="b">
        <v>0</v>
      </c>
      <c r="N19" s="19" t="b">
        <v>0</v>
      </c>
      <c r="O19" s="1" t="s">
        <v>957</v>
      </c>
      <c r="P19" s="7" t="str">
        <f ca="1">IFERROR(__xludf.DUMMYFUNCTION("iferror(vlookup(B19,importrange(""https://docs.google.com/spreadsheets/d/1boHyJQ4e2FU0QG8MHwEi6qjX4hvZWVCHcFfXjq7bbMc/edit?resourcekey#gid=923248883"",""Prop!$C$1:$M""),12,0),IFERROR(vlookup(B19,importrange(""https://docs.google.com/spreadsheets/d/1boHyJQ"&amp;"4e2FU0QG8MHwEi6qjX4hvZWVCHcFfXjq7bbMc/edit?resourcekey#gid=923248883"",""Prop!$N$1:$X""),11,0),iferror(vlookup(B19,importrange(""https://docs.google.com/spreadsheets/d/1boHyJQ4e2FU0QG8MHwEi6qjX4hvZWVCHcFfXjq7bbMc/edit?resourcekey#gid=923248883"",""Prop!$Y"&amp;"$1:$AI""),11,0),iferror(vlookup(B19,importrange(""https://docs.google.com/spreadsheets/d/1boHyJQ4e2FU0QG8MHwEi6qjX4hvZWVCHcFfXjq7bbMc/edit?resourcekey#gid=923248883"",""Prop!$AJ$1:$AT""),11,0),iferror(vlookup(B19,importrange(""https://docs.google.com/spre"&amp;"adsheets/d/1boHyJQ4e2FU0QG8MHwEi6qjX4hvZWVCHcFfXjq7bbMc/edit?resourcekey#gid=923248883"",""Prop!$AU$1:$BE""),11,0),iferror(vlookup(B19,importrange(""https://docs.google.com/spreadsheets/d/1boHyJQ4e2FU0QG8MHwEi6qjX4hvZWVCHcFfXjq7bbMc/edit?resourcekey#gid=9"&amp;"23248883"",""Prop!$BF$1:$BP""),11,0),iferror(vlookup(B19,importrange(""https://docs.google.com/spreadsheets/d/1boHyJQ4e2FU0QG8MHwEi6qjX4hvZWVCHcFfXjq7bbMc/edit?resourcekey#gid=923248883"",""Prop!$BQ$1:$CA""),11,0),iferror(vlookup(B19,importrange(""https:/"&amp;"/docs.google.com/spreadsheets/d/1boHyJQ4e2FU0QG8MHwEi6qjX4hvZWVCHcFfXjq7bbMc/edit?resourcekey#gid=923248883"",""Prop!$CB$1:$CL""),11,0),iferror(vlookup(B19,importrange(""https://docs.google.com/spreadsheets/d/1boHyJQ4e2FU0QG8MHwEi6qjX4hvZWVCHcFfXjq7bbMc/e"&amp;"dit?resourcekey#gid=923248883"",""Prop!$CM$1:$CX""),12,0),iferror(vlookup(B19,importrange(""https://docs.google.com/spreadsheets/d/1boHyJQ4e2FU0QG8MHwEi6qjX4hvZWVCHcFfXjq7bbMc/edit?resourcekey#gid=923248883"",""Prop!$CV$1:$DI""),11,0)))))))))))"),"https://drive.google.com/open?id=1F4PMvDxvfQUH1P2oTLh3XMHuWb73SyMI")</f>
        <v>https://drive.google.com/open?id=1F4PMvDxvfQUH1P2oTLh3XMHuWb73SyMI</v>
      </c>
      <c r="Q19" s="7" t="str">
        <f ca="1">IFERROR(__xludf.DUMMYFUNCTION("iferror(vlookup(B19,importrange(""https://docs.google.com/spreadsheets/d/1p53T2AuvvIqhP7Nf-bo3Uhj8cbKYRPpZdsrBv3x3bAQ/edit?resourcekey#gid=1321652304"",""Prop!$C$1:$M""),11,0),IFERROR(vlookup(B19,importrange(""https://docs.google.com/spreadsheets/d/1p53T2"&amp;"AuvvIqhP7Nf-bo3Uhj8cbKYRPpZdsrBv3x3bAQ/edit?resourcekey#gid=1321652304"",""Prop!$N$1:$X""),11,0),iferror(vlookup(B19,importrange(""https://docs.google.com/spreadsheets/d/1p53T2AuvvIqhP7Nf-bo3Uhj8cbKYRPpZdsrBv3x3bAQ/edit?resourcekey#gid=1321652304"",""Prop"&amp;"!$Y$1:$AI""),11,0),iferror(vlookup(B19,importrange(""https://docs.google.com/spreadsheets/d/1p53T2AuvvIqhP7Nf-bo3Uhj8cbKYRPpZdsrBv3x3bAQ/edit?resourcekey#gid=1321652304"",""Prop!$AJ$1:$AT""),11,0),iferror(vlookup(B19,importrange(""https://docs.google.com/"&amp;"spreadsheets/d/1p53T2AuvvIqhP7Nf-bo3Uhj8cbKYRPpZdsrBv3x3bAQ/edit?resourcekey#gid=1321652304"",""Prop!$AU$1:$BE""),11,0),iferror(vlookup(B19,importrange(""https://docs.google.com/spreadsheets/d/1p53T2AuvvIqhP7Nf-bo3Uhj8cbKYRPpZdsrBv3x3bAQ/edit?resourcekey#"&amp;"gid=1321652304"",""Prop!$BF$1:$BP""),11,0),iferror(vlookup(B19,importrange(""https://docs.google.com/spreadsheets/d/1p53T2AuvvIqhP7Nf-bo3Uhj8cbKYRPpZdsrBv3x3bAQ/edit?resourcekey#gid=1321652304"",""Prop!$BQ$1:$CA""),11,0),iferror(vlookup(B19,importrange("""&amp;"https://docs.google.com/spreadsheets/d/1p53T2AuvvIqhP7Nf-bo3Uhj8cbKYRPpZdsrBv3x3bAQ/edit?resourcekey#gid=1321652304"",""Prop!$CB$1:$CL""),11,0),iferror(vlookup(B19,importrange(""https://docs.google.com/spreadsheets/d/1p53T2AuvvIqhP7Nf-bo3Uhj8cbKYRPpZdsrBv"&amp;"3x3bAQ/edit?resourcekey#gid=1321652304"",""Prop!$CM$1:$CX""),12,0),iferror(vlookup(B19,importrange(""https://docs.google.com/spreadsheets/d/1p53T2AuvvIqhP7Nf-bo3Uhj8cbKYRPpZdsrBv3x3bAQ/edit?resourcekey#gid=1321652304"",""Prop!$CY$1:$DI""),11,0)))))))))))"),"https://drive.google.com/open?id=1zjpH9DSc3mnvgug5pMc8Y-GYMIEjot_x")</f>
        <v>https://drive.google.com/open?id=1zjpH9DSc3mnvgug5pMc8Y-GYMIEjot_x</v>
      </c>
      <c r="R19" s="20" t="s">
        <v>946</v>
      </c>
      <c r="S19" s="20" t="str">
        <f ca="1">IFERROR(__xludf.DUMMYFUNCTION("IFERROR(vlookup(B19,IMPORTRANGE(""https://docs.google.com/spreadsheets/d/1g_jfYYK_KeipEDNDUgqgrsxK94XiocfNQIcP-v1QVhI/edit?resourcekey#gid=233272945"",""Nilai!B:CT""),21,0),"" "")"),"anggaran terlalu kecil, kenapa tidak dimaksimalkan di 8.750?")</f>
        <v>anggaran terlalu kecil, kenapa tidak dimaksimalkan di 8.750?</v>
      </c>
      <c r="T19" s="20" t="str">
        <f ca="1">IFERROR(__xludf.DUMMYFUNCTION("IFERROR(vlookup(B19,IMPORTRANGE(""https://docs.google.com/spreadsheets/d/1g_jfYYK_KeipEDNDUgqgrsxK94XiocfNQIcP-v1QVhI/edit?resourcekey#gid=233272945"",""Nilai!B:CT""),97,0),"" "")"),"LAYAK UPLOAD KE SIMBELMAWA DENGAN REVISI")</f>
        <v>LAYAK UPLOAD KE SIMBELMAWA DENGAN REVISI</v>
      </c>
      <c r="U19" s="21" t="s">
        <v>739</v>
      </c>
      <c r="V19" s="85" t="s">
        <v>947</v>
      </c>
      <c r="W19" s="17" t="s">
        <v>960</v>
      </c>
      <c r="X19" s="34" t="b">
        <v>0</v>
      </c>
    </row>
    <row r="20" spans="1:24">
      <c r="A20" s="15">
        <v>18</v>
      </c>
      <c r="B20" s="15">
        <f ca="1">IFERROR(__xludf.DUMMYFUNCTION("""COMPUTED_VALUE"""),2087)</f>
        <v>2087</v>
      </c>
      <c r="C20" s="16" t="str">
        <f ca="1">IFERROR(__xludf.DUMMYFUNCTION("""COMPUTED_VALUE"""),"PUTU NICOLAS DESPLAT")</f>
        <v>PUTU NICOLAS DESPLAT</v>
      </c>
      <c r="D20" s="16" t="str">
        <f ca="1">IFERROR(__xludf.DUMMYFUNCTION("""COMPUTED_VALUE"""),"5006211104")</f>
        <v>5006211104</v>
      </c>
      <c r="E20" s="16" t="str">
        <f ca="1">IFERROR(__xludf.DUMMYFUNCTION("""COMPUTED_VALUE"""),"Departemen Aktuaria")</f>
        <v>Departemen Aktuaria</v>
      </c>
      <c r="F20" s="16" t="str">
        <f ca="1">IFERROR(__xludf.DUMMYFUNCTION("""COMPUTED_VALUE"""),"NFT AVATAR PIXEL ART MAKER")</f>
        <v>NFT AVATAR PIXEL ART MAKER</v>
      </c>
      <c r="G20" s="16" t="str">
        <f ca="1">IFERROR(__xludf.DUMMYFUNCTION("""COMPUTED_VALUE"""),"Imam Safawi Ahmad, S.Si., M.Si.")</f>
        <v>Imam Safawi Ahmad, S.Si., M.Si.</v>
      </c>
      <c r="H20" s="16" t="str">
        <f ca="1">IFERROR(__xludf.DUMMYFUNCTION("""COMPUTED_VALUE"""),"Muchammad Nurif, S.E., M.T.")</f>
        <v>Muchammad Nurif, S.E., M.T.</v>
      </c>
      <c r="I20" s="16" t="str">
        <f ca="1">IFERROR(__xludf.DUMMYFUNCTION("""COMPUTED_VALUE"""),"Bahalwan Apriyansyah, S.T., MBA.")</f>
        <v>Bahalwan Apriyansyah, S.T., MBA.</v>
      </c>
      <c r="J20" s="16"/>
      <c r="K20" s="17" t="s">
        <v>952</v>
      </c>
      <c r="L20" s="17" t="s">
        <v>959</v>
      </c>
      <c r="M20" s="19" t="b">
        <v>1</v>
      </c>
      <c r="N20" s="19" t="b">
        <v>1</v>
      </c>
      <c r="O20" s="1" t="s">
        <v>957</v>
      </c>
      <c r="P20" s="7" t="str">
        <f ca="1">IFERROR(__xludf.DUMMYFUNCTION("iferror(vlookup(B20,importrange(""https://docs.google.com/spreadsheets/d/1boHyJQ4e2FU0QG8MHwEi6qjX4hvZWVCHcFfXjq7bbMc/edit?resourcekey#gid=923248883"",""Prop!$C$1:$M""),12,0),IFERROR(vlookup(B20,importrange(""https://docs.google.com/spreadsheets/d/1boHyJQ"&amp;"4e2FU0QG8MHwEi6qjX4hvZWVCHcFfXjq7bbMc/edit?resourcekey#gid=923248883"",""Prop!$N$1:$X""),11,0),iferror(vlookup(B20,importrange(""https://docs.google.com/spreadsheets/d/1boHyJQ4e2FU0QG8MHwEi6qjX4hvZWVCHcFfXjq7bbMc/edit?resourcekey#gid=923248883"",""Prop!$Y"&amp;"$1:$AI""),11,0),iferror(vlookup(B20,importrange(""https://docs.google.com/spreadsheets/d/1boHyJQ4e2FU0QG8MHwEi6qjX4hvZWVCHcFfXjq7bbMc/edit?resourcekey#gid=923248883"",""Prop!$AJ$1:$AT""),11,0),iferror(vlookup(B20,importrange(""https://docs.google.com/spre"&amp;"adsheets/d/1boHyJQ4e2FU0QG8MHwEi6qjX4hvZWVCHcFfXjq7bbMc/edit?resourcekey#gid=923248883"",""Prop!$AU$1:$BE""),11,0),iferror(vlookup(B20,importrange(""https://docs.google.com/spreadsheets/d/1boHyJQ4e2FU0QG8MHwEi6qjX4hvZWVCHcFfXjq7bbMc/edit?resourcekey#gid=9"&amp;"23248883"",""Prop!$BF$1:$BP""),11,0),iferror(vlookup(B20,importrange(""https://docs.google.com/spreadsheets/d/1boHyJQ4e2FU0QG8MHwEi6qjX4hvZWVCHcFfXjq7bbMc/edit?resourcekey#gid=923248883"",""Prop!$BQ$1:$CA""),11,0),iferror(vlookup(B20,importrange(""https:/"&amp;"/docs.google.com/spreadsheets/d/1boHyJQ4e2FU0QG8MHwEi6qjX4hvZWVCHcFfXjq7bbMc/edit?resourcekey#gid=923248883"",""Prop!$CB$1:$CL""),11,0),iferror(vlookup(B20,importrange(""https://docs.google.com/spreadsheets/d/1boHyJQ4e2FU0QG8MHwEi6qjX4hvZWVCHcFfXjq7bbMc/e"&amp;"dit?resourcekey#gid=923248883"",""Prop!$CM$1:$CX""),12,0),iferror(vlookup(B20,importrange(""https://docs.google.com/spreadsheets/d/1boHyJQ4e2FU0QG8MHwEi6qjX4hvZWVCHcFfXjq7bbMc/edit?resourcekey#gid=923248883"",""Prop!$CV$1:$DI""),11,0)))))))))))"),"https://drive.google.com/open?id=1aEDkjxJpewR6yEjz98-NgciFOvhTIalO")</f>
        <v>https://drive.google.com/open?id=1aEDkjxJpewR6yEjz98-NgciFOvhTIalO</v>
      </c>
      <c r="Q20" s="7" t="str">
        <f ca="1">IFERROR(__xludf.DUMMYFUNCTION("iferror(vlookup(B20,importrange(""https://docs.google.com/spreadsheets/d/1p53T2AuvvIqhP7Nf-bo3Uhj8cbKYRPpZdsrBv3x3bAQ/edit?resourcekey#gid=1321652304"",""Prop!$C$1:$M""),11,0),IFERROR(vlookup(B20,importrange(""https://docs.google.com/spreadsheets/d/1p53T2"&amp;"AuvvIqhP7Nf-bo3Uhj8cbKYRPpZdsrBv3x3bAQ/edit?resourcekey#gid=1321652304"",""Prop!$N$1:$X""),11,0),iferror(vlookup(B20,importrange(""https://docs.google.com/spreadsheets/d/1p53T2AuvvIqhP7Nf-bo3Uhj8cbKYRPpZdsrBv3x3bAQ/edit?resourcekey#gid=1321652304"",""Prop"&amp;"!$Y$1:$AI""),11,0),iferror(vlookup(B20,importrange(""https://docs.google.com/spreadsheets/d/1p53T2AuvvIqhP7Nf-bo3Uhj8cbKYRPpZdsrBv3x3bAQ/edit?resourcekey#gid=1321652304"",""Prop!$AJ$1:$AT""),11,0),iferror(vlookup(B20,importrange(""https://docs.google.com/"&amp;"spreadsheets/d/1p53T2AuvvIqhP7Nf-bo3Uhj8cbKYRPpZdsrBv3x3bAQ/edit?resourcekey#gid=1321652304"",""Prop!$AU$1:$BE""),11,0),iferror(vlookup(B20,importrange(""https://docs.google.com/spreadsheets/d/1p53T2AuvvIqhP7Nf-bo3Uhj8cbKYRPpZdsrBv3x3bAQ/edit?resourcekey#"&amp;"gid=1321652304"",""Prop!$BF$1:$BP""),11,0),iferror(vlookup(B20,importrange(""https://docs.google.com/spreadsheets/d/1p53T2AuvvIqhP7Nf-bo3Uhj8cbKYRPpZdsrBv3x3bAQ/edit?resourcekey#gid=1321652304"",""Prop!$BQ$1:$CA""),11,0),iferror(vlookup(B20,importrange("""&amp;"https://docs.google.com/spreadsheets/d/1p53T2AuvvIqhP7Nf-bo3Uhj8cbKYRPpZdsrBv3x3bAQ/edit?resourcekey#gid=1321652304"",""Prop!$CB$1:$CL""),11,0),iferror(vlookup(B20,importrange(""https://docs.google.com/spreadsheets/d/1p53T2AuvvIqhP7Nf-bo3Uhj8cbKYRPpZdsrBv"&amp;"3x3bAQ/edit?resourcekey#gid=1321652304"",""Prop!$CM$1:$CX""),12,0),iferror(vlookup(B20,importrange(""https://docs.google.com/spreadsheets/d/1p53T2AuvvIqhP7Nf-bo3Uhj8cbKYRPpZdsrBv3x3bAQ/edit?resourcekey#gid=1321652304"",""Prop!$CY$1:$DI""),11,0)))))))))))"),"https://drive.google.com/open?id=1dwdslm9HvRCYPFAZIoUv77mkCSwCAfry")</f>
        <v>https://drive.google.com/open?id=1dwdslm9HvRCYPFAZIoUv77mkCSwCAfry</v>
      </c>
      <c r="R20" s="20" t="s">
        <v>946</v>
      </c>
      <c r="S20" s="20" t="str">
        <f ca="1">IFERROR(__xludf.DUMMYFUNCTION("IFERROR(vlookup(B20,IMPORTRANGE(""https://docs.google.com/spreadsheets/d/1g_jfYYK_KeipEDNDUgqgrsxK94XiocfNQIcP-v1QVhI/edit?resourcekey#gid=233272945"",""Nilai!B:CT""),21,0),"" "")"),"anggaran terlalu kecil, maksimalkan ke 8.750.000; sifat NFT itu seasonal.... perlu membuat segera BEP sebelum seasonal NFT drop")</f>
        <v>anggaran terlalu kecil, maksimalkan ke 8.750.000; sifat NFT itu seasonal.... perlu membuat segera BEP sebelum seasonal NFT drop</v>
      </c>
      <c r="T20" s="20" t="str">
        <f ca="1">IFERROR(__xludf.DUMMYFUNCTION("IFERROR(vlookup(B20,IMPORTRANGE(""https://docs.google.com/spreadsheets/d/1g_jfYYK_KeipEDNDUgqgrsxK94XiocfNQIcP-v1QVhI/edit?resourcekey#gid=233272945"",""Nilai!B:CT""),97,0),"" "")"),"LAYAK UPLOAD KE SIMBELMAWA DENGAN REVISI")</f>
        <v>LAYAK UPLOAD KE SIMBELMAWA DENGAN REVISI</v>
      </c>
      <c r="U20" s="21" t="s">
        <v>739</v>
      </c>
      <c r="V20" s="85" t="s">
        <v>947</v>
      </c>
      <c r="W20" s="17" t="s">
        <v>960</v>
      </c>
      <c r="X20" s="34" t="s">
        <v>949</v>
      </c>
    </row>
    <row r="21" spans="1:24">
      <c r="A21" s="15">
        <v>19</v>
      </c>
      <c r="B21" s="15">
        <f ca="1">IFERROR(__xludf.DUMMYFUNCTION("""COMPUTED_VALUE"""),3009)</f>
        <v>3009</v>
      </c>
      <c r="C21" s="16" t="str">
        <f ca="1">IFERROR(__xludf.DUMMYFUNCTION("""COMPUTED_VALUE"""),"GANDHES ALAMANDA")</f>
        <v>GANDHES ALAMANDA</v>
      </c>
      <c r="D21" s="16" t="str">
        <f ca="1">IFERROR(__xludf.DUMMYFUNCTION("""COMPUTED_VALUE"""),"5003211096")</f>
        <v>5003211096</v>
      </c>
      <c r="E21" s="16" t="str">
        <f ca="1">IFERROR(__xludf.DUMMYFUNCTION("""COMPUTED_VALUE"""),"Departemen Statistika")</f>
        <v>Departemen Statistika</v>
      </c>
      <c r="F21" s="16" t="str">
        <f ca="1">IFERROR(__xludf.DUMMYFUNCTION("""COMPUTED_VALUE"""),"Pengaplikasian Global Positioning System untuk Informasi Titik Kepadatan serta Kesediaan Tempat Umum Berbasis Realtime")</f>
        <v>Pengaplikasian Global Positioning System untuk Informasi Titik Kepadatan serta Kesediaan Tempat Umum Berbasis Realtime</v>
      </c>
      <c r="G21" s="16" t="str">
        <f ca="1">IFERROR(__xludf.DUMMYFUNCTION("""COMPUTED_VALUE"""),"Dr. Dra. Ismaini Zain, M.Si")</f>
        <v>Dr. Dra. Ismaini Zain, M.Si</v>
      </c>
      <c r="H21" s="16" t="str">
        <f ca="1">IFERROR(__xludf.DUMMYFUNCTION("""COMPUTED_VALUE"""),"Drs. Bandung Arry Sanjoyo, Mi.Komp.")</f>
        <v>Drs. Bandung Arry Sanjoyo, Mi.Komp.</v>
      </c>
      <c r="I21" s="16" t="str">
        <f ca="1">IFERROR(__xludf.DUMMYFUNCTION("""COMPUTED_VALUE"""),"Wibawati, S.Si., M.Si")</f>
        <v>Wibawati, S.Si., M.Si</v>
      </c>
      <c r="J21" s="16"/>
      <c r="K21" s="17" t="s">
        <v>961</v>
      </c>
      <c r="L21" s="17" t="s">
        <v>959</v>
      </c>
      <c r="M21" s="19" t="b">
        <v>0</v>
      </c>
      <c r="N21" s="19" t="b">
        <v>0</v>
      </c>
      <c r="O21" s="1" t="s">
        <v>962</v>
      </c>
      <c r="P21" s="7" t="str">
        <f ca="1">IFERROR(__xludf.DUMMYFUNCTION("iferror(vlookup(B21,importrange(""https://docs.google.com/spreadsheets/d/1boHyJQ4e2FU0QG8MHwEi6qjX4hvZWVCHcFfXjq7bbMc/edit?resourcekey#gid=923248883"",""Prop!$C$1:$M""),12,0),IFERROR(vlookup(B21,importrange(""https://docs.google.com/spreadsheets/d/1boHyJQ"&amp;"4e2FU0QG8MHwEi6qjX4hvZWVCHcFfXjq7bbMc/edit?resourcekey#gid=923248883"",""Prop!$N$1:$X""),11,0),iferror(vlookup(B21,importrange(""https://docs.google.com/spreadsheets/d/1boHyJQ4e2FU0QG8MHwEi6qjX4hvZWVCHcFfXjq7bbMc/edit?resourcekey#gid=923248883"",""Prop!$Y"&amp;"$1:$AI""),11,0),iferror(vlookup(B21,importrange(""https://docs.google.com/spreadsheets/d/1boHyJQ4e2FU0QG8MHwEi6qjX4hvZWVCHcFfXjq7bbMc/edit?resourcekey#gid=923248883"",""Prop!$AJ$1:$AT""),11,0),iferror(vlookup(B21,importrange(""https://docs.google.com/spre"&amp;"adsheets/d/1boHyJQ4e2FU0QG8MHwEi6qjX4hvZWVCHcFfXjq7bbMc/edit?resourcekey#gid=923248883"",""Prop!$AU$1:$BE""),11,0),iferror(vlookup(B21,importrange(""https://docs.google.com/spreadsheets/d/1boHyJQ4e2FU0QG8MHwEi6qjX4hvZWVCHcFfXjq7bbMc/edit?resourcekey#gid=9"&amp;"23248883"",""Prop!$BF$1:$BP""),11,0),iferror(vlookup(B21,importrange(""https://docs.google.com/spreadsheets/d/1boHyJQ4e2FU0QG8MHwEi6qjX4hvZWVCHcFfXjq7bbMc/edit?resourcekey#gid=923248883"",""Prop!$BQ$1:$CA""),11,0),iferror(vlookup(B21,importrange(""https:/"&amp;"/docs.google.com/spreadsheets/d/1boHyJQ4e2FU0QG8MHwEi6qjX4hvZWVCHcFfXjq7bbMc/edit?resourcekey#gid=923248883"",""Prop!$CB$1:$CL""),11,0),iferror(vlookup(B21,importrange(""https://docs.google.com/spreadsheets/d/1boHyJQ4e2FU0QG8MHwEi6qjX4hvZWVCHcFfXjq7bbMc/e"&amp;"dit?resourcekey#gid=923248883"",""Prop!$CM$1:$CX""),12,0),iferror(vlookup(B21,importrange(""https://docs.google.com/spreadsheets/d/1boHyJQ4e2FU0QG8MHwEi6qjX4hvZWVCHcFfXjq7bbMc/edit?resourcekey#gid=923248883"",""Prop!$CV$1:$DI""),11,0)))))))))))"),"https://drive.google.com/open?id=1t_W9ix_p3xnbJNq_3WSPl2OHYcg7JLjd")</f>
        <v>https://drive.google.com/open?id=1t_W9ix_p3xnbJNq_3WSPl2OHYcg7JLjd</v>
      </c>
      <c r="Q21" s="7" t="str">
        <f ca="1">IFERROR(__xludf.DUMMYFUNCTION("iferror(vlookup(B21,importrange(""https://docs.google.com/spreadsheets/d/1p53T2AuvvIqhP7Nf-bo3Uhj8cbKYRPpZdsrBv3x3bAQ/edit?resourcekey#gid=1321652304"",""Prop!$C$1:$M""),11,0),IFERROR(vlookup(B21,importrange(""https://docs.google.com/spreadsheets/d/1p53T2"&amp;"AuvvIqhP7Nf-bo3Uhj8cbKYRPpZdsrBv3x3bAQ/edit?resourcekey#gid=1321652304"",""Prop!$N$1:$X""),11,0),iferror(vlookup(B21,importrange(""https://docs.google.com/spreadsheets/d/1p53T2AuvvIqhP7Nf-bo3Uhj8cbKYRPpZdsrBv3x3bAQ/edit?resourcekey#gid=1321652304"",""Prop"&amp;"!$Y$1:$AI""),11,0),iferror(vlookup(B21,importrange(""https://docs.google.com/spreadsheets/d/1p53T2AuvvIqhP7Nf-bo3Uhj8cbKYRPpZdsrBv3x3bAQ/edit?resourcekey#gid=1321652304"",""Prop!$AJ$1:$AT""),11,0),iferror(vlookup(B21,importrange(""https://docs.google.com/"&amp;"spreadsheets/d/1p53T2AuvvIqhP7Nf-bo3Uhj8cbKYRPpZdsrBv3x3bAQ/edit?resourcekey#gid=1321652304"",""Prop!$AU$1:$BE""),11,0),iferror(vlookup(B21,importrange(""https://docs.google.com/spreadsheets/d/1p53T2AuvvIqhP7Nf-bo3Uhj8cbKYRPpZdsrBv3x3bAQ/edit?resourcekey#"&amp;"gid=1321652304"",""Prop!$BF$1:$BP""),11,0),iferror(vlookup(B21,importrange(""https://docs.google.com/spreadsheets/d/1p53T2AuvvIqhP7Nf-bo3Uhj8cbKYRPpZdsrBv3x3bAQ/edit?resourcekey#gid=1321652304"",""Prop!$BQ$1:$CA""),11,0),iferror(vlookup(B21,importrange("""&amp;"https://docs.google.com/spreadsheets/d/1p53T2AuvvIqhP7Nf-bo3Uhj8cbKYRPpZdsrBv3x3bAQ/edit?resourcekey#gid=1321652304"",""Prop!$CB$1:$CL""),11,0),iferror(vlookup(B21,importrange(""https://docs.google.com/spreadsheets/d/1p53T2AuvvIqhP7Nf-bo3Uhj8cbKYRPpZdsrBv"&amp;"3x3bAQ/edit?resourcekey#gid=1321652304"",""Prop!$CM$1:$CX""),12,0),iferror(vlookup(B21,importrange(""https://docs.google.com/spreadsheets/d/1p53T2AuvvIqhP7Nf-bo3Uhj8cbKYRPpZdsrBv3x3bAQ/edit?resourcekey#gid=1321652304"",""Prop!$CY$1:$DI""),11,0)))))))))))"),"https://drive.google.com/open?id=1GKljEbLO0d5Mr_iaXjYgGfEsRCzoDrYK")</f>
        <v>https://drive.google.com/open?id=1GKljEbLO0d5Mr_iaXjYgGfEsRCzoDrYK</v>
      </c>
      <c r="R21" s="20" t="s">
        <v>946</v>
      </c>
      <c r="S21" s="20" t="str">
        <f ca="1">IFERROR(__xludf.DUMMYFUNCTION("IFERROR(vlookup(B21,IMPORTRANGE(""https://docs.google.com/spreadsheets/d/1g_jfYYK_KeipEDNDUgqgrsxK94XiocfNQIcP-v1QVhI/edit?resourcekey#gid=233272945"",""Nilai!B:CT""),21,0),"" "")"),"daftar isi masih spasi 1.5; nomor halaman pakai arial, bukan TNR; analisa kompetitornya tidak apple to apple. karena pedulilindungi bukan profit based apps")</f>
        <v>daftar isi masih spasi 1.5; nomor halaman pakai arial, bukan TNR; analisa kompetitornya tidak apple to apple. karena pedulilindungi bukan profit based apps</v>
      </c>
      <c r="T21" s="20" t="str">
        <f ca="1">IFERROR(__xludf.DUMMYFUNCTION("IFERROR(vlookup(B21,IMPORTRANGE(""https://docs.google.com/spreadsheets/d/1g_jfYYK_KeipEDNDUgqgrsxK94XiocfNQIcP-v1QVhI/edit?resourcekey#gid=233272945"",""Nilai!B:CT""),97,0),"" "")"),"LAYAK UPLOAD KE SIMBELMAWA DENGAN REVISI")</f>
        <v>LAYAK UPLOAD KE SIMBELMAWA DENGAN REVISI</v>
      </c>
      <c r="U21" s="21" t="s">
        <v>739</v>
      </c>
      <c r="V21" s="85" t="s">
        <v>947</v>
      </c>
      <c r="W21" s="17" t="s">
        <v>960</v>
      </c>
      <c r="X21" s="34" t="b">
        <v>0</v>
      </c>
    </row>
    <row r="22" spans="1:24">
      <c r="A22" s="15">
        <v>20</v>
      </c>
      <c r="B22" s="15">
        <f ca="1">IFERROR(__xludf.DUMMYFUNCTION("""COMPUTED_VALUE"""),3331)</f>
        <v>3331</v>
      </c>
      <c r="C22" s="16" t="str">
        <f ca="1">IFERROR(__xludf.DUMMYFUNCTION("""COMPUTED_VALUE"""),"PUTU AZMELLYA PUTRI SANJAYA")</f>
        <v>PUTU AZMELLYA PUTRI SANJAYA</v>
      </c>
      <c r="D22" s="16" t="str">
        <f ca="1">IFERROR(__xludf.DUMMYFUNCTION("""COMPUTED_VALUE"""),"5010201188")</f>
        <v>5010201188</v>
      </c>
      <c r="E22" s="16" t="str">
        <f ca="1">IFERROR(__xludf.DUMMYFUNCTION("""COMPUTED_VALUE"""),"Departemen Teknik Sistem dan Industri")</f>
        <v>Departemen Teknik Sistem dan Industri</v>
      </c>
      <c r="F22" s="16" t="str">
        <f ca="1">IFERROR(__xludf.DUMMYFUNCTION("""COMPUTED_VALUE"""),"Karuna: Re-Imagining Balinese Craft")</f>
        <v>Karuna: Re-Imagining Balinese Craft</v>
      </c>
      <c r="G22" s="16" t="str">
        <f ca="1">IFERROR(__xludf.DUMMYFUNCTION("""COMPUTED_VALUE"""),"Atikah Aghdhi Pratiwi, S.T., M.T.")</f>
        <v>Atikah Aghdhi Pratiwi, S.T., M.T.</v>
      </c>
      <c r="H22" s="16" t="str">
        <f ca="1">IFERROR(__xludf.DUMMYFUNCTION("""COMPUTED_VALUE"""),"Gita Widi Bhawika, S.ST., M.MT")</f>
        <v>Gita Widi Bhawika, S.ST., M.MT</v>
      </c>
      <c r="I22" s="16" t="str">
        <f ca="1">IFERROR(__xludf.DUMMYFUNCTION("""COMPUTED_VALUE"""),"R.Eka Rizkiantono, S.Sn, M.Ds")</f>
        <v>R.Eka Rizkiantono, S.Sn, M.Ds</v>
      </c>
      <c r="J22" s="16"/>
      <c r="K22" s="17" t="s">
        <v>961</v>
      </c>
      <c r="L22" s="17" t="s">
        <v>959</v>
      </c>
      <c r="M22" s="19" t="b">
        <v>1</v>
      </c>
      <c r="N22" s="19" t="b">
        <v>1</v>
      </c>
      <c r="O22" s="1" t="s">
        <v>962</v>
      </c>
      <c r="P22" s="7" t="str">
        <f ca="1">IFERROR(__xludf.DUMMYFUNCTION("iferror(vlookup(B22,importrange(""https://docs.google.com/spreadsheets/d/1boHyJQ4e2FU0QG8MHwEi6qjX4hvZWVCHcFfXjq7bbMc/edit?resourcekey#gid=923248883"",""Prop!$C$1:$M""),12,0),IFERROR(vlookup(B22,importrange(""https://docs.google.com/spreadsheets/d/1boHyJQ"&amp;"4e2FU0QG8MHwEi6qjX4hvZWVCHcFfXjq7bbMc/edit?resourcekey#gid=923248883"",""Prop!$N$1:$X""),11,0),iferror(vlookup(B22,importrange(""https://docs.google.com/spreadsheets/d/1boHyJQ4e2FU0QG8MHwEi6qjX4hvZWVCHcFfXjq7bbMc/edit?resourcekey#gid=923248883"",""Prop!$Y"&amp;"$1:$AI""),11,0),iferror(vlookup(B22,importrange(""https://docs.google.com/spreadsheets/d/1boHyJQ4e2FU0QG8MHwEi6qjX4hvZWVCHcFfXjq7bbMc/edit?resourcekey#gid=923248883"",""Prop!$AJ$1:$AT""),11,0),iferror(vlookup(B22,importrange(""https://docs.google.com/spre"&amp;"adsheets/d/1boHyJQ4e2FU0QG8MHwEi6qjX4hvZWVCHcFfXjq7bbMc/edit?resourcekey#gid=923248883"",""Prop!$AU$1:$BE""),11,0),iferror(vlookup(B22,importrange(""https://docs.google.com/spreadsheets/d/1boHyJQ4e2FU0QG8MHwEi6qjX4hvZWVCHcFfXjq7bbMc/edit?resourcekey#gid=9"&amp;"23248883"",""Prop!$BF$1:$BP""),11,0),iferror(vlookup(B22,importrange(""https://docs.google.com/spreadsheets/d/1boHyJQ4e2FU0QG8MHwEi6qjX4hvZWVCHcFfXjq7bbMc/edit?resourcekey#gid=923248883"",""Prop!$BQ$1:$CA""),11,0),iferror(vlookup(B22,importrange(""https:/"&amp;"/docs.google.com/spreadsheets/d/1boHyJQ4e2FU0QG8MHwEi6qjX4hvZWVCHcFfXjq7bbMc/edit?resourcekey#gid=923248883"",""Prop!$CB$1:$CL""),11,0),iferror(vlookup(B22,importrange(""https://docs.google.com/spreadsheets/d/1boHyJQ4e2FU0QG8MHwEi6qjX4hvZWVCHcFfXjq7bbMc/e"&amp;"dit?resourcekey#gid=923248883"",""Prop!$CM$1:$CX""),12,0),iferror(vlookup(B22,importrange(""https://docs.google.com/spreadsheets/d/1boHyJQ4e2FU0QG8MHwEi6qjX4hvZWVCHcFfXjq7bbMc/edit?resourcekey#gid=923248883"",""Prop!$CV$1:$DI""),11,0)))))))))))"),"https://drive.google.com/open?id=1zQXrfQCYyzLcnsztwHXQ5mdzqr1zoExq")</f>
        <v>https://drive.google.com/open?id=1zQXrfQCYyzLcnsztwHXQ5mdzqr1zoExq</v>
      </c>
      <c r="Q22" s="7" t="str">
        <f ca="1">IFERROR(__xludf.DUMMYFUNCTION("iferror(vlookup(B22,importrange(""https://docs.google.com/spreadsheets/d/1p53T2AuvvIqhP7Nf-bo3Uhj8cbKYRPpZdsrBv3x3bAQ/edit?resourcekey#gid=1321652304"",""Prop!$C$1:$M""),11,0),IFERROR(vlookup(B22,importrange(""https://docs.google.com/spreadsheets/d/1p53T2"&amp;"AuvvIqhP7Nf-bo3Uhj8cbKYRPpZdsrBv3x3bAQ/edit?resourcekey#gid=1321652304"",""Prop!$N$1:$X""),11,0),iferror(vlookup(B22,importrange(""https://docs.google.com/spreadsheets/d/1p53T2AuvvIqhP7Nf-bo3Uhj8cbKYRPpZdsrBv3x3bAQ/edit?resourcekey#gid=1321652304"",""Prop"&amp;"!$Y$1:$AI""),11,0),iferror(vlookup(B22,importrange(""https://docs.google.com/spreadsheets/d/1p53T2AuvvIqhP7Nf-bo3Uhj8cbKYRPpZdsrBv3x3bAQ/edit?resourcekey#gid=1321652304"",""Prop!$AJ$1:$AT""),11,0),iferror(vlookup(B22,importrange(""https://docs.google.com/"&amp;"spreadsheets/d/1p53T2AuvvIqhP7Nf-bo3Uhj8cbKYRPpZdsrBv3x3bAQ/edit?resourcekey#gid=1321652304"",""Prop!$AU$1:$BE""),11,0),iferror(vlookup(B22,importrange(""https://docs.google.com/spreadsheets/d/1p53T2AuvvIqhP7Nf-bo3Uhj8cbKYRPpZdsrBv3x3bAQ/edit?resourcekey#"&amp;"gid=1321652304"",""Prop!$BF$1:$BP""),11,0),iferror(vlookup(B22,importrange(""https://docs.google.com/spreadsheets/d/1p53T2AuvvIqhP7Nf-bo3Uhj8cbKYRPpZdsrBv3x3bAQ/edit?resourcekey#gid=1321652304"",""Prop!$BQ$1:$CA""),11,0),iferror(vlookup(B22,importrange("""&amp;"https://docs.google.com/spreadsheets/d/1p53T2AuvvIqhP7Nf-bo3Uhj8cbKYRPpZdsrBv3x3bAQ/edit?resourcekey#gid=1321652304"",""Prop!$CB$1:$CL""),11,0),iferror(vlookup(B22,importrange(""https://docs.google.com/spreadsheets/d/1p53T2AuvvIqhP7Nf-bo3Uhj8cbKYRPpZdsrBv"&amp;"3x3bAQ/edit?resourcekey#gid=1321652304"",""Prop!$CM$1:$CX""),12,0),iferror(vlookup(B22,importrange(""https://docs.google.com/spreadsheets/d/1p53T2AuvvIqhP7Nf-bo3Uhj8cbKYRPpZdsrBv3x3bAQ/edit?resourcekey#gid=1321652304"",""Prop!$CY$1:$DI""),11,0)))))))))))"),"https://drive.google.com/open?id=1D481aODhjcrSwutry4uE6qo_WbA3JHWg")</f>
        <v>https://drive.google.com/open?id=1D481aODhjcrSwutry4uE6qo_WbA3JHWg</v>
      </c>
      <c r="R22" s="20" t="s">
        <v>946</v>
      </c>
      <c r="S22" s="20" t="str">
        <f ca="1">IFERROR(__xludf.DUMMYFUNCTION("IFERROR(vlookup(B22,IMPORTRANGE(""https://docs.google.com/spreadsheets/d/1g_jfYYK_KeipEDNDUgqgrsxK94XiocfNQIcP-v1QVhI/edit?resourcekey#gid=233272945"",""Nilai!B:CT""),21,0),"" "")"),"kenapa yang di upload masih yang ada comment nya")</f>
        <v>kenapa yang di upload masih yang ada comment nya</v>
      </c>
      <c r="T22" s="20" t="str">
        <f ca="1">IFERROR(__xludf.DUMMYFUNCTION("IFERROR(vlookup(B22,IMPORTRANGE(""https://docs.google.com/spreadsheets/d/1g_jfYYK_KeipEDNDUgqgrsxK94XiocfNQIcP-v1QVhI/edit?resourcekey#gid=233272945"",""Nilai!B:CT""),97,0),"" "")"),"LAYAK UPLOAD KE SIMBELMAWA DENGAN REVISI")</f>
        <v>LAYAK UPLOAD KE SIMBELMAWA DENGAN REVISI</v>
      </c>
      <c r="U22" s="21" t="s">
        <v>739</v>
      </c>
      <c r="V22" s="85" t="s">
        <v>947</v>
      </c>
      <c r="W22" s="17" t="s">
        <v>960</v>
      </c>
      <c r="X22" s="34" t="b">
        <v>0</v>
      </c>
    </row>
    <row r="23" spans="1:24">
      <c r="A23" s="15">
        <v>21</v>
      </c>
      <c r="B23" s="15">
        <f ca="1">IFERROR(__xludf.DUMMYFUNCTION("""COMPUTED_VALUE"""),2958)</f>
        <v>2958</v>
      </c>
      <c r="C23" s="16" t="str">
        <f ca="1">IFERROR(__xludf.DUMMYFUNCTION("""COMPUTED_VALUE"""),"YUNINDA NUR AINI")</f>
        <v>YUNINDA NUR AINI</v>
      </c>
      <c r="D23" s="16" t="str">
        <f ca="1">IFERROR(__xludf.DUMMYFUNCTION("""COMPUTED_VALUE"""),"5031211047")</f>
        <v>5031211047</v>
      </c>
      <c r="E23" s="16" t="str">
        <f ca="1">IFERROR(__xludf.DUMMYFUNCTION("""COMPUTED_VALUE"""),"Departemen Manajemen Bisnis")</f>
        <v>Departemen Manajemen Bisnis</v>
      </c>
      <c r="F23" s="16" t="str">
        <f ca="1">IFERROR(__xludf.DUMMYFUNCTION("""COMPUTED_VALUE"""),"KAYOE : Re-Inovasi Pasar Digital Industri Kerajinan Kayu dengan Augmented Reality")</f>
        <v>KAYOE : Re-Inovasi Pasar Digital Industri Kerajinan Kayu dengan Augmented Reality</v>
      </c>
      <c r="G23" s="16" t="str">
        <f ca="1">IFERROR(__xludf.DUMMYFUNCTION("""COMPUTED_VALUE"""),"Geodita Woro Bramanti, S.T., M.Eng.Sc.")</f>
        <v>Geodita Woro Bramanti, S.T., M.Eng.Sc.</v>
      </c>
      <c r="H23" s="16" t="str">
        <f ca="1">IFERROR(__xludf.DUMMYFUNCTION("""COMPUTED_VALUE"""),"Drs. Bandung Arry Sanjoyo, Mi.Komp.")</f>
        <v>Drs. Bandung Arry Sanjoyo, Mi.Komp.</v>
      </c>
      <c r="I23" s="16" t="str">
        <f ca="1">IFERROR(__xludf.DUMMYFUNCTION("""COMPUTED_VALUE"""),"Wibawati, S.Si., M.Si")</f>
        <v>Wibawati, S.Si., M.Si</v>
      </c>
      <c r="J23" s="16"/>
      <c r="K23" s="17" t="s">
        <v>961</v>
      </c>
      <c r="L23" s="17" t="s">
        <v>963</v>
      </c>
      <c r="M23" s="19" t="b">
        <v>1</v>
      </c>
      <c r="N23" s="19" t="b">
        <v>1</v>
      </c>
      <c r="O23" s="1" t="s">
        <v>962</v>
      </c>
      <c r="P23" s="7" t="str">
        <f ca="1">IFERROR(__xludf.DUMMYFUNCTION("iferror(vlookup(B23,importrange(""https://docs.google.com/spreadsheets/d/1boHyJQ4e2FU0QG8MHwEi6qjX4hvZWVCHcFfXjq7bbMc/edit?resourcekey#gid=923248883"",""Prop!$C$1:$M""),12,0),IFERROR(vlookup(B23,importrange(""https://docs.google.com/spreadsheets/d/1boHyJQ"&amp;"4e2FU0QG8MHwEi6qjX4hvZWVCHcFfXjq7bbMc/edit?resourcekey#gid=923248883"",""Prop!$N$1:$X""),11,0),iferror(vlookup(B23,importrange(""https://docs.google.com/spreadsheets/d/1boHyJQ4e2FU0QG8MHwEi6qjX4hvZWVCHcFfXjq7bbMc/edit?resourcekey#gid=923248883"",""Prop!$Y"&amp;"$1:$AI""),11,0),iferror(vlookup(B23,importrange(""https://docs.google.com/spreadsheets/d/1boHyJQ4e2FU0QG8MHwEi6qjX4hvZWVCHcFfXjq7bbMc/edit?resourcekey#gid=923248883"",""Prop!$AJ$1:$AT""),11,0),iferror(vlookup(B23,importrange(""https://docs.google.com/spre"&amp;"adsheets/d/1boHyJQ4e2FU0QG8MHwEi6qjX4hvZWVCHcFfXjq7bbMc/edit?resourcekey#gid=923248883"",""Prop!$AU$1:$BE""),11,0),iferror(vlookup(B23,importrange(""https://docs.google.com/spreadsheets/d/1boHyJQ4e2FU0QG8MHwEi6qjX4hvZWVCHcFfXjq7bbMc/edit?resourcekey#gid=9"&amp;"23248883"",""Prop!$BF$1:$BP""),11,0),iferror(vlookup(B23,importrange(""https://docs.google.com/spreadsheets/d/1boHyJQ4e2FU0QG8MHwEi6qjX4hvZWVCHcFfXjq7bbMc/edit?resourcekey#gid=923248883"",""Prop!$BQ$1:$CA""),11,0),iferror(vlookup(B23,importrange(""https:/"&amp;"/docs.google.com/spreadsheets/d/1boHyJQ4e2FU0QG8MHwEi6qjX4hvZWVCHcFfXjq7bbMc/edit?resourcekey#gid=923248883"",""Prop!$CB$1:$CL""),11,0),iferror(vlookup(B23,importrange(""https://docs.google.com/spreadsheets/d/1boHyJQ4e2FU0QG8MHwEi6qjX4hvZWVCHcFfXjq7bbMc/e"&amp;"dit?resourcekey#gid=923248883"",""Prop!$CM$1:$CX""),12,0),iferror(vlookup(B23,importrange(""https://docs.google.com/spreadsheets/d/1boHyJQ4e2FU0QG8MHwEi6qjX4hvZWVCHcFfXjq7bbMc/edit?resourcekey#gid=923248883"",""Prop!$CV$1:$DI""),11,0)))))))))))"),"https://drive.google.com/open?id=1S_EE1uD3yMdyuFiaj5YwHA9W2SFTeImz")</f>
        <v>https://drive.google.com/open?id=1S_EE1uD3yMdyuFiaj5YwHA9W2SFTeImz</v>
      </c>
      <c r="Q23" s="7" t="str">
        <f ca="1">IFERROR(__xludf.DUMMYFUNCTION("iferror(vlookup(B23,importrange(""https://docs.google.com/spreadsheets/d/1p53T2AuvvIqhP7Nf-bo3Uhj8cbKYRPpZdsrBv3x3bAQ/edit?resourcekey#gid=1321652304"",""Prop!$C$1:$M""),11,0),IFERROR(vlookup(B23,importrange(""https://docs.google.com/spreadsheets/d/1p53T2"&amp;"AuvvIqhP7Nf-bo3Uhj8cbKYRPpZdsrBv3x3bAQ/edit?resourcekey#gid=1321652304"",""Prop!$N$1:$X""),11,0),iferror(vlookup(B23,importrange(""https://docs.google.com/spreadsheets/d/1p53T2AuvvIqhP7Nf-bo3Uhj8cbKYRPpZdsrBv3x3bAQ/edit?resourcekey#gid=1321652304"",""Prop"&amp;"!$Y$1:$AI""),11,0),iferror(vlookup(B23,importrange(""https://docs.google.com/spreadsheets/d/1p53T2AuvvIqhP7Nf-bo3Uhj8cbKYRPpZdsrBv3x3bAQ/edit?resourcekey#gid=1321652304"",""Prop!$AJ$1:$AT""),11,0),iferror(vlookup(B23,importrange(""https://docs.google.com/"&amp;"spreadsheets/d/1p53T2AuvvIqhP7Nf-bo3Uhj8cbKYRPpZdsrBv3x3bAQ/edit?resourcekey#gid=1321652304"",""Prop!$AU$1:$BE""),11,0),iferror(vlookup(B23,importrange(""https://docs.google.com/spreadsheets/d/1p53T2AuvvIqhP7Nf-bo3Uhj8cbKYRPpZdsrBv3x3bAQ/edit?resourcekey#"&amp;"gid=1321652304"",""Prop!$BF$1:$BP""),11,0),iferror(vlookup(B23,importrange(""https://docs.google.com/spreadsheets/d/1p53T2AuvvIqhP7Nf-bo3Uhj8cbKYRPpZdsrBv3x3bAQ/edit?resourcekey#gid=1321652304"",""Prop!$BQ$1:$CA""),11,0),iferror(vlookup(B23,importrange("""&amp;"https://docs.google.com/spreadsheets/d/1p53T2AuvvIqhP7Nf-bo3Uhj8cbKYRPpZdsrBv3x3bAQ/edit?resourcekey#gid=1321652304"",""Prop!$CB$1:$CL""),11,0),iferror(vlookup(B23,importrange(""https://docs.google.com/spreadsheets/d/1p53T2AuvvIqhP7Nf-bo3Uhj8cbKYRPpZdsrBv"&amp;"3x3bAQ/edit?resourcekey#gid=1321652304"",""Prop!$CM$1:$CX""),12,0),iferror(vlookup(B23,importrange(""https://docs.google.com/spreadsheets/d/1p53T2AuvvIqhP7Nf-bo3Uhj8cbKYRPpZdsrBv3x3bAQ/edit?resourcekey#gid=1321652304"",""Prop!$CY$1:$DI""),11,0)))))))))))"),"https://drive.google.com/open?id=1a6XLRcW5Pm_w0n8lUGA3V6DWd7K3camk")</f>
        <v>https://drive.google.com/open?id=1a6XLRcW5Pm_w0n8lUGA3V6DWd7K3camk</v>
      </c>
      <c r="R23" s="20" t="s">
        <v>946</v>
      </c>
      <c r="S23" s="20" t="str">
        <f ca="1">IFERROR(__xludf.DUMMYFUNCTION("IFERROR(vlookup(B23,IMPORTRANGE(""https://docs.google.com/spreadsheets/d/1g_jfYYK_KeipEDNDUgqgrsxK94XiocfNQIcP-v1QVhI/edit?resourcekey#gid=233272945"",""Nilai!B:CT""),21,0),"" "")"),"nomor halaman tidak ada!!!, margin tidak sesuai, gambar 3.2 tidak muncul")</f>
        <v>nomor halaman tidak ada!!!, margin tidak sesuai, gambar 3.2 tidak muncul</v>
      </c>
      <c r="T23" s="20" t="str">
        <f ca="1">IFERROR(__xludf.DUMMYFUNCTION("IFERROR(vlookup(B23,IMPORTRANGE(""https://docs.google.com/spreadsheets/d/1g_jfYYK_KeipEDNDUgqgrsxK94XiocfNQIcP-v1QVhI/edit?resourcekey#gid=233272945"",""Nilai!B:CT""),97,0),"" "")"),"LAYAK UPLOAD KE SIMBELMAWA DENGAN REVISI")</f>
        <v>LAYAK UPLOAD KE SIMBELMAWA DENGAN REVISI</v>
      </c>
      <c r="U23" s="21" t="s">
        <v>739</v>
      </c>
      <c r="V23" s="85" t="s">
        <v>947</v>
      </c>
      <c r="W23" s="17" t="s">
        <v>960</v>
      </c>
      <c r="X23" s="34" t="s">
        <v>949</v>
      </c>
    </row>
    <row r="24" spans="1:24">
      <c r="A24" s="15">
        <v>22</v>
      </c>
      <c r="B24" s="15">
        <f ca="1">IFERROR(__xludf.DUMMYFUNCTION("""COMPUTED_VALUE"""),2654)</f>
        <v>2654</v>
      </c>
      <c r="C24" s="16" t="str">
        <f ca="1">IFERROR(__xludf.DUMMYFUNCTION("""COMPUTED_VALUE"""),"MOHAMMAD ARIYANSYAH")</f>
        <v>MOHAMMAD ARIYANSYAH</v>
      </c>
      <c r="D24" s="16" t="str">
        <f ca="1">IFERROR(__xludf.DUMMYFUNCTION("""COMPUTED_VALUE"""),"2040201130")</f>
        <v>2040201130</v>
      </c>
      <c r="E24" s="16" t="str">
        <f ca="1">IFERROR(__xludf.DUMMYFUNCTION("""COMPUTED_VALUE"""),"Departemen Teknik Elektro Otomasi")</f>
        <v>Departemen Teknik Elektro Otomasi</v>
      </c>
      <c r="F24" s="16" t="str">
        <f ca="1">IFERROR(__xludf.DUMMYFUNCTION("""COMPUTED_VALUE"""),"HUGME: Produk Penghangatan Terintegrasi Berbasis Solar Cell dan Termoelektrik Sebagai Upaya Mengurangi Risiko Hipotermia bagi para Pendaki
")</f>
        <v xml:space="preserve">HUGME: Produk Penghangatan Terintegrasi Berbasis Solar Cell dan Termoelektrik Sebagai Upaya Mengurangi Risiko Hipotermia bagi para Pendaki
</v>
      </c>
      <c r="G24" s="16" t="str">
        <f ca="1">IFERROR(__xludf.DUMMYFUNCTION("""COMPUTED_VALUE"""),"Fivitria Istiqomah, S.ST., M.Sc.")</f>
        <v>Fivitria Istiqomah, S.ST., M.Sc.</v>
      </c>
      <c r="H24" s="16" t="str">
        <f ca="1">IFERROR(__xludf.DUMMYFUNCTION("""COMPUTED_VALUE"""),"Dr. Adithya Sudiarno, S.T., M.T.")</f>
        <v>Dr. Adithya Sudiarno, S.T., M.T.</v>
      </c>
      <c r="I24" s="16" t="str">
        <f ca="1">IFERROR(__xludf.DUMMYFUNCTION("""COMPUTED_VALUE"""),"Daril Ridho Zuchrillah, S.T., M.T.")</f>
        <v>Daril Ridho Zuchrillah, S.T., M.T.</v>
      </c>
      <c r="J24" s="16"/>
      <c r="K24" s="17" t="s">
        <v>961</v>
      </c>
      <c r="L24" s="17" t="s">
        <v>963</v>
      </c>
      <c r="M24" s="19" t="b">
        <v>0</v>
      </c>
      <c r="N24" s="19" t="b">
        <v>0</v>
      </c>
      <c r="O24" s="1" t="s">
        <v>962</v>
      </c>
      <c r="P24" s="24" t="str">
        <f ca="1">IFERROR(__xludf.DUMMYFUNCTION("iferror(vlookup(B24,importrange(""https://docs.google.com/spreadsheets/d/1boHyJQ4e2FU0QG8MHwEi6qjX4hvZWVCHcFfXjq7bbMc/edit?resourcekey#gid=923248883"",""Prop!$C$1:$M""),12,0),IFERROR(vlookup(B24,importrange(""https://docs.google.com/spreadsheets/d/1boHyJQ"&amp;"4e2FU0QG8MHwEi6qjX4hvZWVCHcFfXjq7bbMc/edit?resourcekey#gid=923248883"",""Prop!$N$1:$X""),11,0),iferror(vlookup(B24,importrange(""https://docs.google.com/spreadsheets/d/1boHyJQ4e2FU0QG8MHwEi6qjX4hvZWVCHcFfXjq7bbMc/edit?resourcekey#gid=923248883"",""Prop!$Y"&amp;"$1:$AI""),11,0),iferror(vlookup(B24,importrange(""https://docs.google.com/spreadsheets/d/1boHyJQ4e2FU0QG8MHwEi6qjX4hvZWVCHcFfXjq7bbMc/edit?resourcekey#gid=923248883"",""Prop!$AJ$1:$AT""),11,0),iferror(vlookup(B24,importrange(""https://docs.google.com/spre"&amp;"adsheets/d/1boHyJQ4e2FU0QG8MHwEi6qjX4hvZWVCHcFfXjq7bbMc/edit?resourcekey#gid=923248883"",""Prop!$AU$1:$BE""),11,0),iferror(vlookup(B24,importrange(""https://docs.google.com/spreadsheets/d/1boHyJQ4e2FU0QG8MHwEi6qjX4hvZWVCHcFfXjq7bbMc/edit?resourcekey#gid=9"&amp;"23248883"",""Prop!$BF$1:$BP""),11,0),iferror(vlookup(B24,importrange(""https://docs.google.com/spreadsheets/d/1boHyJQ4e2FU0QG8MHwEi6qjX4hvZWVCHcFfXjq7bbMc/edit?resourcekey#gid=923248883"",""Prop!$BQ$1:$CA""),11,0),iferror(vlookup(B24,importrange(""https:/"&amp;"/docs.google.com/spreadsheets/d/1boHyJQ4e2FU0QG8MHwEi6qjX4hvZWVCHcFfXjq7bbMc/edit?resourcekey#gid=923248883"",""Prop!$CB$1:$CL""),11,0),iferror(vlookup(B24,importrange(""https://docs.google.com/spreadsheets/d/1boHyJQ4e2FU0QG8MHwEi6qjX4hvZWVCHcFfXjq7bbMc/e"&amp;"dit?resourcekey#gid=923248883"",""Prop!$CM$1:$CX""),12,0),iferror(vlookup(B24,importrange(""https://docs.google.com/spreadsheets/d/1boHyJQ4e2FU0QG8MHwEi6qjX4hvZWVCHcFfXjq7bbMc/edit?resourcekey#gid=923248883"",""Prop!$CV$1:$DI""),11,0)))))))))))"),"")</f>
        <v/>
      </c>
      <c r="Q24" s="1" t="str">
        <f ca="1">IFERROR(__xludf.DUMMYFUNCTION("iferror(vlookup(B24,importrange(""https://docs.google.com/spreadsheets/d/1p53T2AuvvIqhP7Nf-bo3Uhj8cbKYRPpZdsrBv3x3bAQ/edit?resourcekey#gid=1321652304"",""Prop!$C$1:$M""),11,0),IFERROR(vlookup(B24,importrange(""https://docs.google.com/spreadsheets/d/1p53T2"&amp;"AuvvIqhP7Nf-bo3Uhj8cbKYRPpZdsrBv3x3bAQ/edit?resourcekey#gid=1321652304"",""Prop!$N$1:$X""),11,0),iferror(vlookup(B24,importrange(""https://docs.google.com/spreadsheets/d/1p53T2AuvvIqhP7Nf-bo3Uhj8cbKYRPpZdsrBv3x3bAQ/edit?resourcekey#gid=1321652304"",""Prop"&amp;"!$Y$1:$AI""),11,0),iferror(vlookup(B24,importrange(""https://docs.google.com/spreadsheets/d/1p53T2AuvvIqhP7Nf-bo3Uhj8cbKYRPpZdsrBv3x3bAQ/edit?resourcekey#gid=1321652304"",""Prop!$AJ$1:$AT""),11,0),iferror(vlookup(B24,importrange(""https://docs.google.com/"&amp;"spreadsheets/d/1p53T2AuvvIqhP7Nf-bo3Uhj8cbKYRPpZdsrBv3x3bAQ/edit?resourcekey#gid=1321652304"",""Prop!$AU$1:$BE""),11,0),iferror(vlookup(B24,importrange(""https://docs.google.com/spreadsheets/d/1p53T2AuvvIqhP7Nf-bo3Uhj8cbKYRPpZdsrBv3x3bAQ/edit?resourcekey#"&amp;"gid=1321652304"",""Prop!$BF$1:$BP""),11,0),iferror(vlookup(B24,importrange(""https://docs.google.com/spreadsheets/d/1p53T2AuvvIqhP7Nf-bo3Uhj8cbKYRPpZdsrBv3x3bAQ/edit?resourcekey#gid=1321652304"",""Prop!$BQ$1:$CA""),11,0),iferror(vlookup(B24,importrange("""&amp;"https://docs.google.com/spreadsheets/d/1p53T2AuvvIqhP7Nf-bo3Uhj8cbKYRPpZdsrBv3x3bAQ/edit?resourcekey#gid=1321652304"",""Prop!$CB$1:$CL""),11,0),iferror(vlookup(B24,importrange(""https://docs.google.com/spreadsheets/d/1p53T2AuvvIqhP7Nf-bo3Uhj8cbKYRPpZdsrBv"&amp;"3x3bAQ/edit?resourcekey#gid=1321652304"",""Prop!$CM$1:$CX""),12,0),iferror(vlookup(B24,importrange(""https://docs.google.com/spreadsheets/d/1p53T2AuvvIqhP7Nf-bo3Uhj8cbKYRPpZdsrBv3x3bAQ/edit?resourcekey#gid=1321652304"",""Prop!$CY$1:$DI""),11,0)))))))))))"),"")</f>
        <v/>
      </c>
      <c r="R24" s="20" t="s">
        <v>946</v>
      </c>
      <c r="S24" s="20" t="str">
        <f ca="1">IFERROR(__xludf.DUMMYFUNCTION("IFERROR(vlookup(B24,IMPORTRANGE(""https://docs.google.com/spreadsheets/d/1g_jfYYK_KeipEDNDUgqgrsxK94XiocfNQIcP-v1QVhI/edit?resourcekey#gid=233272945"",""Nilai!B:CT""),21,0),"" "")")," ")</f>
        <v xml:space="preserve"> </v>
      </c>
      <c r="T24" s="20" t="str">
        <f ca="1">IFERROR(__xludf.DUMMYFUNCTION("IFERROR(vlookup(B24,IMPORTRANGE(""https://docs.google.com/spreadsheets/d/1g_jfYYK_KeipEDNDUgqgrsxK94XiocfNQIcP-v1QVhI/edit?resourcekey#gid=233272945"",""Nilai!B:CT""),97,0),"" "")")," ")</f>
        <v xml:space="preserve"> </v>
      </c>
      <c r="U24" s="21" t="s">
        <v>739</v>
      </c>
      <c r="V24" s="85" t="s">
        <v>947</v>
      </c>
      <c r="W24" s="17" t="s">
        <v>964</v>
      </c>
      <c r="X24" s="34" t="b">
        <v>0</v>
      </c>
    </row>
    <row r="25" spans="1:24">
      <c r="A25" s="15">
        <v>23</v>
      </c>
      <c r="B25" s="15">
        <f ca="1">IFERROR(__xludf.DUMMYFUNCTION("""COMPUTED_VALUE"""),2520)</f>
        <v>2520</v>
      </c>
      <c r="C25" s="16" t="str">
        <f ca="1">IFERROR(__xludf.DUMMYFUNCTION("""COMPUTED_VALUE"""),"Yudhistira Budiarto")</f>
        <v>Yudhistira Budiarto</v>
      </c>
      <c r="D25" s="16" t="str">
        <f ca="1">IFERROR(__xludf.DUMMYFUNCTION("""COMPUTED_VALUE"""),"5006211107")</f>
        <v>5006211107</v>
      </c>
      <c r="E25" s="16" t="str">
        <f ca="1">IFERROR(__xludf.DUMMYFUNCTION("""COMPUTED_VALUE"""),"Departemen Aktuaria")</f>
        <v>Departemen Aktuaria</v>
      </c>
      <c r="F25" s="16" t="str">
        <f ca="1">IFERROR(__xludf.DUMMYFUNCTION("""COMPUTED_VALUE"""),"APLIKASI PESAN ANTAR PRE-PORTIONED INGREDIENTS “Recipé” SEBAGAI SARANA DALAM MEMBANTU MENYEDIAKAN BAHAN MASAKAN SEGAR SESUAI DENGAN MENU YANG DI PESAN")</f>
        <v>APLIKASI PESAN ANTAR PRE-PORTIONED INGREDIENTS “Recipé” SEBAGAI SARANA DALAM MEMBANTU MENYEDIAKAN BAHAN MASAKAN SEGAR SESUAI DENGAN MENU YANG DI PESAN</v>
      </c>
      <c r="G25" s="16" t="str">
        <f ca="1">IFERROR(__xludf.DUMMYFUNCTION("""COMPUTED_VALUE"""),"Galuh Oktavia Siswono, S.Si., M.Si., M.Act,Sc.")</f>
        <v>Galuh Oktavia Siswono, S.Si., M.Si., M.Act,Sc.</v>
      </c>
      <c r="H25" s="16" t="str">
        <f ca="1">IFERROR(__xludf.DUMMYFUNCTION("""COMPUTED_VALUE"""),"Muchammad Nurif, S.E., M.T.")</f>
        <v>Muchammad Nurif, S.E., M.T.</v>
      </c>
      <c r="I25" s="16" t="str">
        <f ca="1">IFERROR(__xludf.DUMMYFUNCTION("""COMPUTED_VALUE"""),"Bahalwan Apriyansyah, S.T., MBA.")</f>
        <v>Bahalwan Apriyansyah, S.T., MBA.</v>
      </c>
      <c r="J25" s="16"/>
      <c r="K25" s="17" t="s">
        <v>961</v>
      </c>
      <c r="L25" s="17" t="s">
        <v>963</v>
      </c>
      <c r="M25" s="19" t="b">
        <v>0</v>
      </c>
      <c r="N25" s="19" t="b">
        <v>0</v>
      </c>
      <c r="O25" s="1" t="s">
        <v>962</v>
      </c>
      <c r="P25" s="7" t="str">
        <f ca="1">IFERROR(__xludf.DUMMYFUNCTION("iferror(vlookup(B25,importrange(""https://docs.google.com/spreadsheets/d/1boHyJQ4e2FU0QG8MHwEi6qjX4hvZWVCHcFfXjq7bbMc/edit?resourcekey#gid=923248883"",""Prop!$C$1:$M""),12,0),IFERROR(vlookup(B25,importrange(""https://docs.google.com/spreadsheets/d/1boHyJQ"&amp;"4e2FU0QG8MHwEi6qjX4hvZWVCHcFfXjq7bbMc/edit?resourcekey#gid=923248883"",""Prop!$N$1:$X""),11,0),iferror(vlookup(B25,importrange(""https://docs.google.com/spreadsheets/d/1boHyJQ4e2FU0QG8MHwEi6qjX4hvZWVCHcFfXjq7bbMc/edit?resourcekey#gid=923248883"",""Prop!$Y"&amp;"$1:$AI""),11,0),iferror(vlookup(B25,importrange(""https://docs.google.com/spreadsheets/d/1boHyJQ4e2FU0QG8MHwEi6qjX4hvZWVCHcFfXjq7bbMc/edit?resourcekey#gid=923248883"",""Prop!$AJ$1:$AT""),11,0),iferror(vlookup(B25,importrange(""https://docs.google.com/spre"&amp;"adsheets/d/1boHyJQ4e2FU0QG8MHwEi6qjX4hvZWVCHcFfXjq7bbMc/edit?resourcekey#gid=923248883"",""Prop!$AU$1:$BE""),11,0),iferror(vlookup(B25,importrange(""https://docs.google.com/spreadsheets/d/1boHyJQ4e2FU0QG8MHwEi6qjX4hvZWVCHcFfXjq7bbMc/edit?resourcekey#gid=9"&amp;"23248883"",""Prop!$BF$1:$BP""),11,0),iferror(vlookup(B25,importrange(""https://docs.google.com/spreadsheets/d/1boHyJQ4e2FU0QG8MHwEi6qjX4hvZWVCHcFfXjq7bbMc/edit?resourcekey#gid=923248883"",""Prop!$BQ$1:$CA""),11,0),iferror(vlookup(B25,importrange(""https:/"&amp;"/docs.google.com/spreadsheets/d/1boHyJQ4e2FU0QG8MHwEi6qjX4hvZWVCHcFfXjq7bbMc/edit?resourcekey#gid=923248883"",""Prop!$CB$1:$CL""),11,0),iferror(vlookup(B25,importrange(""https://docs.google.com/spreadsheets/d/1boHyJQ4e2FU0QG8MHwEi6qjX4hvZWVCHcFfXjq7bbMc/e"&amp;"dit?resourcekey#gid=923248883"",""Prop!$CM$1:$CX""),12,0),iferror(vlookup(B25,importrange(""https://docs.google.com/spreadsheets/d/1boHyJQ4e2FU0QG8MHwEi6qjX4hvZWVCHcFfXjq7bbMc/edit?resourcekey#gid=923248883"",""Prop!$CV$1:$DI""),11,0)))))))))))"),"https://drive.google.com/open?id=1g3FWD4JPTeWHtEKJv48Yxf7q0pSyQWQM")</f>
        <v>https://drive.google.com/open?id=1g3FWD4JPTeWHtEKJv48Yxf7q0pSyQWQM</v>
      </c>
      <c r="Q25" s="1" t="str">
        <f ca="1">IFERROR(__xludf.DUMMYFUNCTION("iferror(vlookup(B25,importrange(""https://docs.google.com/spreadsheets/d/1p53T2AuvvIqhP7Nf-bo3Uhj8cbKYRPpZdsrBv3x3bAQ/edit?resourcekey#gid=1321652304"",""Prop!$C$1:$M""),11,0),IFERROR(vlookup(B25,importrange(""https://docs.google.com/spreadsheets/d/1p53T2"&amp;"AuvvIqhP7Nf-bo3Uhj8cbKYRPpZdsrBv3x3bAQ/edit?resourcekey#gid=1321652304"",""Prop!$N$1:$X""),11,0),iferror(vlookup(B25,importrange(""https://docs.google.com/spreadsheets/d/1p53T2AuvvIqhP7Nf-bo3Uhj8cbKYRPpZdsrBv3x3bAQ/edit?resourcekey#gid=1321652304"",""Prop"&amp;"!$Y$1:$AI""),11,0),iferror(vlookup(B25,importrange(""https://docs.google.com/spreadsheets/d/1p53T2AuvvIqhP7Nf-bo3Uhj8cbKYRPpZdsrBv3x3bAQ/edit?resourcekey#gid=1321652304"",""Prop!$AJ$1:$AT""),11,0),iferror(vlookup(B25,importrange(""https://docs.google.com/"&amp;"spreadsheets/d/1p53T2AuvvIqhP7Nf-bo3Uhj8cbKYRPpZdsrBv3x3bAQ/edit?resourcekey#gid=1321652304"",""Prop!$AU$1:$BE""),11,0),iferror(vlookup(B25,importrange(""https://docs.google.com/spreadsheets/d/1p53T2AuvvIqhP7Nf-bo3Uhj8cbKYRPpZdsrBv3x3bAQ/edit?resourcekey#"&amp;"gid=1321652304"",""Prop!$BF$1:$BP""),11,0),iferror(vlookup(B25,importrange(""https://docs.google.com/spreadsheets/d/1p53T2AuvvIqhP7Nf-bo3Uhj8cbKYRPpZdsrBv3x3bAQ/edit?resourcekey#gid=1321652304"",""Prop!$BQ$1:$CA""),11,0),iferror(vlookup(B25,importrange("""&amp;"https://docs.google.com/spreadsheets/d/1p53T2AuvvIqhP7Nf-bo3Uhj8cbKYRPpZdsrBv3x3bAQ/edit?resourcekey#gid=1321652304"",""Prop!$CB$1:$CL""),11,0),iferror(vlookup(B25,importrange(""https://docs.google.com/spreadsheets/d/1p53T2AuvvIqhP7Nf-bo3Uhj8cbKYRPpZdsrBv"&amp;"3x3bAQ/edit?resourcekey#gid=1321652304"",""Prop!$CM$1:$CX""),12,0),iferror(vlookup(B25,importrange(""https://docs.google.com/spreadsheets/d/1p53T2AuvvIqhP7Nf-bo3Uhj8cbKYRPpZdsrBv3x3bAQ/edit?resourcekey#gid=1321652304"",""Prop!$CY$1:$DI""),11,0)))))))))))"),"")</f>
        <v/>
      </c>
      <c r="R25" s="20" t="s">
        <v>946</v>
      </c>
      <c r="S25" s="20" t="str">
        <f ca="1">IFERROR(__xludf.DUMMYFUNCTION("IFERROR(vlookup(B25,IMPORTRANGE(""https://docs.google.com/spreadsheets/d/1g_jfYYK_KeipEDNDUgqgrsxK94XiocfNQIcP-v1QVhI/edit?resourcekey#gid=233272945"",""Nilai!B:CT""),21,0),"" "")"),"tidak layak")</f>
        <v>tidak layak</v>
      </c>
      <c r="T25" s="20" t="str">
        <f ca="1">IFERROR(__xludf.DUMMYFUNCTION("IFERROR(vlookup(B25,IMPORTRANGE(""https://docs.google.com/spreadsheets/d/1g_jfYYK_KeipEDNDUgqgrsxK94XiocfNQIcP-v1QVhI/edit?resourcekey#gid=233272945"",""Nilai!B:CT""),97,0),"" "")"),"TIDAK LAYAK UPLOAD KE SIMBELMAWA")</f>
        <v>TIDAK LAYAK UPLOAD KE SIMBELMAWA</v>
      </c>
      <c r="U25" s="21" t="s">
        <v>739</v>
      </c>
      <c r="V25" s="85" t="s">
        <v>947</v>
      </c>
      <c r="W25" s="17" t="s">
        <v>964</v>
      </c>
      <c r="X25" s="34" t="b">
        <v>0</v>
      </c>
    </row>
    <row r="26" spans="1:24">
      <c r="A26" s="15">
        <v>24</v>
      </c>
      <c r="B26" s="15">
        <f ca="1">IFERROR(__xludf.DUMMYFUNCTION("""COMPUTED_VALUE"""),4057)</f>
        <v>4057</v>
      </c>
      <c r="C26" s="16" t="str">
        <f ca="1">IFERROR(__xludf.DUMMYFUNCTION("""COMPUTED_VALUE"""),"MUHAMMAD DZAKY KAMAL")</f>
        <v>MUHAMMAD DZAKY KAMAL</v>
      </c>
      <c r="D26" s="16" t="str">
        <f ca="1">IFERROR(__xludf.DUMMYFUNCTION("""COMPUTED_VALUE"""),"5022201103")</f>
        <v>5022201103</v>
      </c>
      <c r="E26" s="16" t="str">
        <f ca="1">IFERROR(__xludf.DUMMYFUNCTION("""COMPUTED_VALUE"""),"Departemen Teknik Elektro")</f>
        <v>Departemen Teknik Elektro</v>
      </c>
      <c r="F26" s="16" t="str">
        <f ca="1">IFERROR(__xludf.DUMMYFUNCTION("""COMPUTED_VALUE"""),"Platform Layanan Jasa Pekerja Kasar di Bidang Konstruksi Berbasis Digital Sebagai Upaya Meningkatkan Produktivitas dan Efisiensi Kerja")</f>
        <v>Platform Layanan Jasa Pekerja Kasar di Bidang Konstruksi Berbasis Digital Sebagai Upaya Meningkatkan Produktivitas dan Efisiensi Kerja</v>
      </c>
      <c r="G26" s="16" t="str">
        <f ca="1">IFERROR(__xludf.DUMMYFUNCTION("""COMPUTED_VALUE"""),"Dr.Eng. Rony Seto Wibowo, S.T., M.T.")</f>
        <v>Dr.Eng. Rony Seto Wibowo, S.T., M.T.</v>
      </c>
      <c r="H26" s="16" t="str">
        <f ca="1">IFERROR(__xludf.DUMMYFUNCTION("""COMPUTED_VALUE"""),"Dr. Adithya Sudiarno, S.T., M.T.")</f>
        <v>Dr. Adithya Sudiarno, S.T., M.T.</v>
      </c>
      <c r="I26" s="16" t="str">
        <f ca="1">IFERROR(__xludf.DUMMYFUNCTION("""COMPUTED_VALUE"""),"Daril Ridho Zuchrillah, S.T., M.T.")</f>
        <v>Daril Ridho Zuchrillah, S.T., M.T.</v>
      </c>
      <c r="J26" s="16"/>
      <c r="K26" s="17" t="s">
        <v>961</v>
      </c>
      <c r="L26" s="17" t="s">
        <v>963</v>
      </c>
      <c r="M26" s="19" t="b">
        <v>0</v>
      </c>
      <c r="N26" s="19" t="b">
        <v>0</v>
      </c>
      <c r="O26" s="1" t="s">
        <v>962</v>
      </c>
      <c r="P26" s="7" t="str">
        <f ca="1">IFERROR(__xludf.DUMMYFUNCTION("iferror(vlookup(B26,importrange(""https://docs.google.com/spreadsheets/d/1boHyJQ4e2FU0QG8MHwEi6qjX4hvZWVCHcFfXjq7bbMc/edit?resourcekey#gid=923248883"",""Prop!$C$1:$M""),12,0),IFERROR(vlookup(B26,importrange(""https://docs.google.com/spreadsheets/d/1boHyJQ"&amp;"4e2FU0QG8MHwEi6qjX4hvZWVCHcFfXjq7bbMc/edit?resourcekey#gid=923248883"",""Prop!$N$1:$X""),11,0),iferror(vlookup(B26,importrange(""https://docs.google.com/spreadsheets/d/1boHyJQ4e2FU0QG8MHwEi6qjX4hvZWVCHcFfXjq7bbMc/edit?resourcekey#gid=923248883"",""Prop!$Y"&amp;"$1:$AI""),11,0),iferror(vlookup(B26,importrange(""https://docs.google.com/spreadsheets/d/1boHyJQ4e2FU0QG8MHwEi6qjX4hvZWVCHcFfXjq7bbMc/edit?resourcekey#gid=923248883"",""Prop!$AJ$1:$AT""),11,0),iferror(vlookup(B26,importrange(""https://docs.google.com/spre"&amp;"adsheets/d/1boHyJQ4e2FU0QG8MHwEi6qjX4hvZWVCHcFfXjq7bbMc/edit?resourcekey#gid=923248883"",""Prop!$AU$1:$BE""),11,0),iferror(vlookup(B26,importrange(""https://docs.google.com/spreadsheets/d/1boHyJQ4e2FU0QG8MHwEi6qjX4hvZWVCHcFfXjq7bbMc/edit?resourcekey#gid=9"&amp;"23248883"",""Prop!$BF$1:$BP""),11,0),iferror(vlookup(B26,importrange(""https://docs.google.com/spreadsheets/d/1boHyJQ4e2FU0QG8MHwEi6qjX4hvZWVCHcFfXjq7bbMc/edit?resourcekey#gid=923248883"",""Prop!$BQ$1:$CA""),11,0),iferror(vlookup(B26,importrange(""https:/"&amp;"/docs.google.com/spreadsheets/d/1boHyJQ4e2FU0QG8MHwEi6qjX4hvZWVCHcFfXjq7bbMc/edit?resourcekey#gid=923248883"",""Prop!$CB$1:$CL""),11,0),iferror(vlookup(B26,importrange(""https://docs.google.com/spreadsheets/d/1boHyJQ4e2FU0QG8MHwEi6qjX4hvZWVCHcFfXjq7bbMc/e"&amp;"dit?resourcekey#gid=923248883"",""Prop!$CM$1:$CX""),12,0),iferror(vlookup(B26,importrange(""https://docs.google.com/spreadsheets/d/1boHyJQ4e2FU0QG8MHwEi6qjX4hvZWVCHcFfXjq7bbMc/edit?resourcekey#gid=923248883"",""Prop!$CV$1:$DI""),11,0)))))))))))"),"https://drive.google.com/open?id=15JQQPxdvDxFG7s6IFS0Hm68zzZ3J_8A8")</f>
        <v>https://drive.google.com/open?id=15JQQPxdvDxFG7s6IFS0Hm68zzZ3J_8A8</v>
      </c>
      <c r="Q26" s="7" t="str">
        <f ca="1">IFERROR(__xludf.DUMMYFUNCTION("iferror(vlookup(B26,importrange(""https://docs.google.com/spreadsheets/d/1p53T2AuvvIqhP7Nf-bo3Uhj8cbKYRPpZdsrBv3x3bAQ/edit?resourcekey#gid=1321652304"",""Prop!$C$1:$M""),11,0),IFERROR(vlookup(B26,importrange(""https://docs.google.com/spreadsheets/d/1p53T2"&amp;"AuvvIqhP7Nf-bo3Uhj8cbKYRPpZdsrBv3x3bAQ/edit?resourcekey#gid=1321652304"",""Prop!$N$1:$X""),11,0),iferror(vlookup(B26,importrange(""https://docs.google.com/spreadsheets/d/1p53T2AuvvIqhP7Nf-bo3Uhj8cbKYRPpZdsrBv3x3bAQ/edit?resourcekey#gid=1321652304"",""Prop"&amp;"!$Y$1:$AI""),11,0),iferror(vlookup(B26,importrange(""https://docs.google.com/spreadsheets/d/1p53T2AuvvIqhP7Nf-bo3Uhj8cbKYRPpZdsrBv3x3bAQ/edit?resourcekey#gid=1321652304"",""Prop!$AJ$1:$AT""),11,0),iferror(vlookup(B26,importrange(""https://docs.google.com/"&amp;"spreadsheets/d/1p53T2AuvvIqhP7Nf-bo3Uhj8cbKYRPpZdsrBv3x3bAQ/edit?resourcekey#gid=1321652304"",""Prop!$AU$1:$BE""),11,0),iferror(vlookup(B26,importrange(""https://docs.google.com/spreadsheets/d/1p53T2AuvvIqhP7Nf-bo3Uhj8cbKYRPpZdsrBv3x3bAQ/edit?resourcekey#"&amp;"gid=1321652304"",""Prop!$BF$1:$BP""),11,0),iferror(vlookup(B26,importrange(""https://docs.google.com/spreadsheets/d/1p53T2AuvvIqhP7Nf-bo3Uhj8cbKYRPpZdsrBv3x3bAQ/edit?resourcekey#gid=1321652304"",""Prop!$BQ$1:$CA""),11,0),iferror(vlookup(B26,importrange("""&amp;"https://docs.google.com/spreadsheets/d/1p53T2AuvvIqhP7Nf-bo3Uhj8cbKYRPpZdsrBv3x3bAQ/edit?resourcekey#gid=1321652304"",""Prop!$CB$1:$CL""),11,0),iferror(vlookup(B26,importrange(""https://docs.google.com/spreadsheets/d/1p53T2AuvvIqhP7Nf-bo3Uhj8cbKYRPpZdsrBv"&amp;"3x3bAQ/edit?resourcekey#gid=1321652304"",""Prop!$CM$1:$CX""),12,0),iferror(vlookup(B26,importrange(""https://docs.google.com/spreadsheets/d/1p53T2AuvvIqhP7Nf-bo3Uhj8cbKYRPpZdsrBv3x3bAQ/edit?resourcekey#gid=1321652304"",""Prop!$CY$1:$DI""),11,0)))))))))))"),"https://drive.google.com/open?id=1kPLIcpMtsQZTK6BDd5Wpz4sQJ-3OvWzg")</f>
        <v>https://drive.google.com/open?id=1kPLIcpMtsQZTK6BDd5Wpz4sQJ-3OvWzg</v>
      </c>
      <c r="R26" s="20" t="s">
        <v>946</v>
      </c>
      <c r="S26" s="20" t="str">
        <f ca="1">IFERROR(__xludf.DUMMYFUNCTION("IFERROR(vlookup(B26,IMPORTRANGE(""https://docs.google.com/spreadsheets/d/1g_jfYYK_KeipEDNDUgqgrsxK94XiocfNQIcP-v1QVhI/edit?resourcekey#gid=233272945"",""Nilai!B:CT""),21,0),"" "")"),"-")</f>
        <v>-</v>
      </c>
      <c r="T26" s="20" t="str">
        <f ca="1">IFERROR(__xludf.DUMMYFUNCTION("IFERROR(vlookup(B26,IMPORTRANGE(""https://docs.google.com/spreadsheets/d/1g_jfYYK_KeipEDNDUgqgrsxK94XiocfNQIcP-v1QVhI/edit?resourcekey#gid=233272945"",""Nilai!B:CT""),97,0),"" "")"),"LAYAK UPLOAD KE SIMBELMAWA")</f>
        <v>LAYAK UPLOAD KE SIMBELMAWA</v>
      </c>
      <c r="U26" s="35" t="s">
        <v>965</v>
      </c>
      <c r="V26" s="85" t="s">
        <v>947</v>
      </c>
      <c r="W26" s="17" t="s">
        <v>964</v>
      </c>
      <c r="X26" s="34" t="s">
        <v>949</v>
      </c>
    </row>
    <row r="27" spans="1:24">
      <c r="A27" s="15">
        <v>25</v>
      </c>
      <c r="B27" s="15">
        <f ca="1">IFERROR(__xludf.DUMMYFUNCTION("""COMPUTED_VALUE"""),3838)</f>
        <v>3838</v>
      </c>
      <c r="C27" s="16" t="str">
        <f ca="1">IFERROR(__xludf.DUMMYFUNCTION("""COMPUTED_VALUE"""),"VANISSA FARHANIA HARTONO PUTRI")</f>
        <v>VANISSA FARHANIA HARTONO PUTRI</v>
      </c>
      <c r="D27" s="16" t="str">
        <f ca="1">IFERROR(__xludf.DUMMYFUNCTION("""COMPUTED_VALUE"""),"5031201082")</f>
        <v>5031201082</v>
      </c>
      <c r="E27" s="16" t="str">
        <f ca="1">IFERROR(__xludf.DUMMYFUNCTION("""COMPUTED_VALUE"""),"Departemen Manajemen Bisnis")</f>
        <v>Departemen Manajemen Bisnis</v>
      </c>
      <c r="F27" s="16" t="str">
        <f ca="1">IFERROR(__xludf.DUMMYFUNCTION("""COMPUTED_VALUE"""),"E-Rubbish : Aplikasi Penghubung antara Penghasil dengan Pengelola Sampah untuk Melakukan Transaksi dan Penukaran Sampah secara Online")</f>
        <v>E-Rubbish : Aplikasi Penghubung antara Penghasil dengan Pengelola Sampah untuk Melakukan Transaksi dan Penukaran Sampah secara Online</v>
      </c>
      <c r="G27" s="16" t="str">
        <f ca="1">IFERROR(__xludf.DUMMYFUNCTION("""COMPUTED_VALUE"""),"Gita Widi Bhawika, S.ST., M.MT")</f>
        <v>Gita Widi Bhawika, S.ST., M.MT</v>
      </c>
      <c r="H27" s="16" t="str">
        <f ca="1">IFERROR(__xludf.DUMMYFUNCTION("""COMPUTED_VALUE"""),"MY Alief Samboro, S.T., M.Ds.")</f>
        <v>MY Alief Samboro, S.T., M.Ds.</v>
      </c>
      <c r="I27" s="16" t="str">
        <f ca="1">IFERROR(__xludf.DUMMYFUNCTION("""COMPUTED_VALUE"""),"Atikah Aghdhi Pratiwi, S.T., M.T.")</f>
        <v>Atikah Aghdhi Pratiwi, S.T., M.T.</v>
      </c>
      <c r="J27" s="16"/>
      <c r="K27" s="17" t="s">
        <v>961</v>
      </c>
      <c r="L27" s="17" t="s">
        <v>963</v>
      </c>
      <c r="M27" s="19" t="b">
        <v>0</v>
      </c>
      <c r="N27" s="19" t="b">
        <v>0</v>
      </c>
      <c r="O27" s="1" t="s">
        <v>962</v>
      </c>
      <c r="P27" s="7" t="str">
        <f ca="1">IFERROR(__xludf.DUMMYFUNCTION("iferror(vlookup(B27,importrange(""https://docs.google.com/spreadsheets/d/1boHyJQ4e2FU0QG8MHwEi6qjX4hvZWVCHcFfXjq7bbMc/edit?resourcekey#gid=923248883"",""Prop!$C$1:$M""),12,0),IFERROR(vlookup(B27,importrange(""https://docs.google.com/spreadsheets/d/1boHyJQ"&amp;"4e2FU0QG8MHwEi6qjX4hvZWVCHcFfXjq7bbMc/edit?resourcekey#gid=923248883"",""Prop!$N$1:$X""),11,0),iferror(vlookup(B27,importrange(""https://docs.google.com/spreadsheets/d/1boHyJQ4e2FU0QG8MHwEi6qjX4hvZWVCHcFfXjq7bbMc/edit?resourcekey#gid=923248883"",""Prop!$Y"&amp;"$1:$AI""),11,0),iferror(vlookup(B27,importrange(""https://docs.google.com/spreadsheets/d/1boHyJQ4e2FU0QG8MHwEi6qjX4hvZWVCHcFfXjq7bbMc/edit?resourcekey#gid=923248883"",""Prop!$AJ$1:$AT""),11,0),iferror(vlookup(B27,importrange(""https://docs.google.com/spre"&amp;"adsheets/d/1boHyJQ4e2FU0QG8MHwEi6qjX4hvZWVCHcFfXjq7bbMc/edit?resourcekey#gid=923248883"",""Prop!$AU$1:$BE""),11,0),iferror(vlookup(B27,importrange(""https://docs.google.com/spreadsheets/d/1boHyJQ4e2FU0QG8MHwEi6qjX4hvZWVCHcFfXjq7bbMc/edit?resourcekey#gid=9"&amp;"23248883"",""Prop!$BF$1:$BP""),11,0),iferror(vlookup(B27,importrange(""https://docs.google.com/spreadsheets/d/1boHyJQ4e2FU0QG8MHwEi6qjX4hvZWVCHcFfXjq7bbMc/edit?resourcekey#gid=923248883"",""Prop!$BQ$1:$CA""),11,0),iferror(vlookup(B27,importrange(""https:/"&amp;"/docs.google.com/spreadsheets/d/1boHyJQ4e2FU0QG8MHwEi6qjX4hvZWVCHcFfXjq7bbMc/edit?resourcekey#gid=923248883"",""Prop!$CB$1:$CL""),11,0),iferror(vlookup(B27,importrange(""https://docs.google.com/spreadsheets/d/1boHyJQ4e2FU0QG8MHwEi6qjX4hvZWVCHcFfXjq7bbMc/e"&amp;"dit?resourcekey#gid=923248883"",""Prop!$CM$1:$CX""),12,0),iferror(vlookup(B27,importrange(""https://docs.google.com/spreadsheets/d/1boHyJQ4e2FU0QG8MHwEi6qjX4hvZWVCHcFfXjq7bbMc/edit?resourcekey#gid=923248883"",""Prop!$CV$1:$DI""),11,0)))))))))))"),"https://drive.google.com/open?id=1C_uEQzBDBR5yv6Z_cAMuKhFswmzDQJ8k")</f>
        <v>https://drive.google.com/open?id=1C_uEQzBDBR5yv6Z_cAMuKhFswmzDQJ8k</v>
      </c>
      <c r="Q27" s="1" t="str">
        <f ca="1">IFERROR(__xludf.DUMMYFUNCTION("iferror(vlookup(B27,importrange(""https://docs.google.com/spreadsheets/d/1p53T2AuvvIqhP7Nf-bo3Uhj8cbKYRPpZdsrBv3x3bAQ/edit?resourcekey#gid=1321652304"",""Prop!$C$1:$M""),11,0),IFERROR(vlookup(B27,importrange(""https://docs.google.com/spreadsheets/d/1p53T2"&amp;"AuvvIqhP7Nf-bo3Uhj8cbKYRPpZdsrBv3x3bAQ/edit?resourcekey#gid=1321652304"",""Prop!$N$1:$X""),11,0),iferror(vlookup(B27,importrange(""https://docs.google.com/spreadsheets/d/1p53T2AuvvIqhP7Nf-bo3Uhj8cbKYRPpZdsrBv3x3bAQ/edit?resourcekey#gid=1321652304"",""Prop"&amp;"!$Y$1:$AI""),11,0),iferror(vlookup(B27,importrange(""https://docs.google.com/spreadsheets/d/1p53T2AuvvIqhP7Nf-bo3Uhj8cbKYRPpZdsrBv3x3bAQ/edit?resourcekey#gid=1321652304"",""Prop!$AJ$1:$AT""),11,0),iferror(vlookup(B27,importrange(""https://docs.google.com/"&amp;"spreadsheets/d/1p53T2AuvvIqhP7Nf-bo3Uhj8cbKYRPpZdsrBv3x3bAQ/edit?resourcekey#gid=1321652304"",""Prop!$AU$1:$BE""),11,0),iferror(vlookup(B27,importrange(""https://docs.google.com/spreadsheets/d/1p53T2AuvvIqhP7Nf-bo3Uhj8cbKYRPpZdsrBv3x3bAQ/edit?resourcekey#"&amp;"gid=1321652304"",""Prop!$BF$1:$BP""),11,0),iferror(vlookup(B27,importrange(""https://docs.google.com/spreadsheets/d/1p53T2AuvvIqhP7Nf-bo3Uhj8cbKYRPpZdsrBv3x3bAQ/edit?resourcekey#gid=1321652304"",""Prop!$BQ$1:$CA""),11,0),iferror(vlookup(B27,importrange("""&amp;"https://docs.google.com/spreadsheets/d/1p53T2AuvvIqhP7Nf-bo3Uhj8cbKYRPpZdsrBv3x3bAQ/edit?resourcekey#gid=1321652304"",""Prop!$CB$1:$CL""),11,0),iferror(vlookup(B27,importrange(""https://docs.google.com/spreadsheets/d/1p53T2AuvvIqhP7Nf-bo3Uhj8cbKYRPpZdsrBv"&amp;"3x3bAQ/edit?resourcekey#gid=1321652304"",""Prop!$CM$1:$CX""),12,0),iferror(vlookup(B27,importrange(""https://docs.google.com/spreadsheets/d/1p53T2AuvvIqhP7Nf-bo3Uhj8cbKYRPpZdsrBv3x3bAQ/edit?resourcekey#gid=1321652304"",""Prop!$CY$1:$DI""),11,0)))))))))))"),"")</f>
        <v/>
      </c>
      <c r="R27" s="20" t="s">
        <v>946</v>
      </c>
      <c r="S27" s="20" t="str">
        <f ca="1">IFERROR(__xludf.DUMMYFUNCTION("IFERROR(vlookup(B27,IMPORTRANGE(""https://docs.google.com/spreadsheets/d/1g_jfYYK_KeipEDNDUgqgrsxK94XiocfNQIcP-v1QVhI/edit?resourcekey#gid=233272945"",""Nilai!B:CT""),21,0),"" "")")," ")</f>
        <v xml:space="preserve"> </v>
      </c>
      <c r="T27" s="20" t="str">
        <f ca="1">IFERROR(__xludf.DUMMYFUNCTION("IFERROR(vlookup(B27,IMPORTRANGE(""https://docs.google.com/spreadsheets/d/1g_jfYYK_KeipEDNDUgqgrsxK94XiocfNQIcP-v1QVhI/edit?resourcekey#gid=233272945"",""Nilai!B:CT""),97,0),"" "")")," ")</f>
        <v xml:space="preserve"> </v>
      </c>
      <c r="U27" s="35" t="s">
        <v>965</v>
      </c>
      <c r="V27" s="85" t="s">
        <v>947</v>
      </c>
      <c r="W27" s="17" t="s">
        <v>964</v>
      </c>
      <c r="X27" s="34" t="b">
        <v>0</v>
      </c>
    </row>
    <row r="28" spans="1:24">
      <c r="A28" s="15">
        <v>26</v>
      </c>
      <c r="B28" s="15">
        <f ca="1">IFERROR(__xludf.DUMMYFUNCTION("""COMPUTED_VALUE"""),4022)</f>
        <v>4022</v>
      </c>
      <c r="C28" s="16" t="str">
        <f ca="1">IFERROR(__xludf.DUMMYFUNCTION("""COMPUTED_VALUE"""),"FILMORE JOVIAN")</f>
        <v>FILMORE JOVIAN</v>
      </c>
      <c r="D28" s="16" t="str">
        <f ca="1">IFERROR(__xludf.DUMMYFUNCTION("""COMPUTED_VALUE"""),"5007201091")</f>
        <v>5007201091</v>
      </c>
      <c r="E28" s="16" t="str">
        <f ca="1">IFERROR(__xludf.DUMMYFUNCTION("""COMPUTED_VALUE"""),"Departemen Teknik Mesin")</f>
        <v>Departemen Teknik Mesin</v>
      </c>
      <c r="F28" s="16" t="str">
        <f ca="1">IFERROR(__xludf.DUMMYFUNCTION("""COMPUTED_VALUE"""),"MODIFIKASI CUSTOM MOTOR (MONIX) SEBAGAI INOVASI PEMANFAATAN SPARE PART MOTOR BEKAS MENJADI SEPEDA MOTOR UNIK
")</f>
        <v xml:space="preserve">MODIFIKASI CUSTOM MOTOR (MONIX) SEBAGAI INOVASI PEMANFAATAN SPARE PART MOTOR BEKAS MENJADI SEPEDA MOTOR UNIK
</v>
      </c>
      <c r="G28" s="16" t="str">
        <f ca="1">IFERROR(__xludf.DUMMYFUNCTION("""COMPUTED_VALUE"""),"Ir. Julendra Bambang Ariatedja, M.T.")</f>
        <v>Ir. Julendra Bambang Ariatedja, M.T.</v>
      </c>
      <c r="H28" s="16" t="str">
        <f ca="1">IFERROR(__xludf.DUMMYFUNCTION("""COMPUTED_VALUE"""),"Drs. Bandung Arry Sanjoyo, Mi.Komp.")</f>
        <v>Drs. Bandung Arry Sanjoyo, Mi.Komp.</v>
      </c>
      <c r="I28" s="16" t="str">
        <f ca="1">IFERROR(__xludf.DUMMYFUNCTION("""COMPUTED_VALUE"""),"Moh. Singgih Purwanto, S.Si., M.T")</f>
        <v>Moh. Singgih Purwanto, S.Si., M.T</v>
      </c>
      <c r="J28" s="16"/>
      <c r="K28" s="17" t="s">
        <v>961</v>
      </c>
      <c r="L28" s="17" t="s">
        <v>966</v>
      </c>
      <c r="M28" s="19" t="b">
        <v>0</v>
      </c>
      <c r="N28" s="19" t="b">
        <v>1</v>
      </c>
      <c r="O28" s="1" t="s">
        <v>967</v>
      </c>
      <c r="P28" s="7" t="str">
        <f ca="1">IFERROR(__xludf.DUMMYFUNCTION("iferror(vlookup(B28,importrange(""https://docs.google.com/spreadsheets/d/1boHyJQ4e2FU0QG8MHwEi6qjX4hvZWVCHcFfXjq7bbMc/edit?resourcekey#gid=923248883"",""Prop!$C$1:$M""),12,0),IFERROR(vlookup(B28,importrange(""https://docs.google.com/spreadsheets/d/1boHyJQ"&amp;"4e2FU0QG8MHwEi6qjX4hvZWVCHcFfXjq7bbMc/edit?resourcekey#gid=923248883"",""Prop!$N$1:$X""),11,0),iferror(vlookup(B28,importrange(""https://docs.google.com/spreadsheets/d/1boHyJQ4e2FU0QG8MHwEi6qjX4hvZWVCHcFfXjq7bbMc/edit?resourcekey#gid=923248883"",""Prop!$Y"&amp;"$1:$AI""),11,0),iferror(vlookup(B28,importrange(""https://docs.google.com/spreadsheets/d/1boHyJQ4e2FU0QG8MHwEi6qjX4hvZWVCHcFfXjq7bbMc/edit?resourcekey#gid=923248883"",""Prop!$AJ$1:$AT""),11,0),iferror(vlookup(B28,importrange(""https://docs.google.com/spre"&amp;"adsheets/d/1boHyJQ4e2FU0QG8MHwEi6qjX4hvZWVCHcFfXjq7bbMc/edit?resourcekey#gid=923248883"",""Prop!$AU$1:$BE""),11,0),iferror(vlookup(B28,importrange(""https://docs.google.com/spreadsheets/d/1boHyJQ4e2FU0QG8MHwEi6qjX4hvZWVCHcFfXjq7bbMc/edit?resourcekey#gid=9"&amp;"23248883"",""Prop!$BF$1:$BP""),11,0),iferror(vlookup(B28,importrange(""https://docs.google.com/spreadsheets/d/1boHyJQ4e2FU0QG8MHwEi6qjX4hvZWVCHcFfXjq7bbMc/edit?resourcekey#gid=923248883"",""Prop!$BQ$1:$CA""),11,0),iferror(vlookup(B28,importrange(""https:/"&amp;"/docs.google.com/spreadsheets/d/1boHyJQ4e2FU0QG8MHwEi6qjX4hvZWVCHcFfXjq7bbMc/edit?resourcekey#gid=923248883"",""Prop!$CB$1:$CL""),11,0),iferror(vlookup(B28,importrange(""https://docs.google.com/spreadsheets/d/1boHyJQ4e2FU0QG8MHwEi6qjX4hvZWVCHcFfXjq7bbMc/e"&amp;"dit?resourcekey#gid=923248883"",""Prop!$CM$1:$CX""),12,0),iferror(vlookup(B28,importrange(""https://docs.google.com/spreadsheets/d/1boHyJQ4e2FU0QG8MHwEi6qjX4hvZWVCHcFfXjq7bbMc/edit?resourcekey#gid=923248883"",""Prop!$CV$1:$DI""),11,0)))))))))))"),"https://drive.google.com/open?id=11cupvsEeVZibDwLS8q5js1P8zZDvrBYO")</f>
        <v>https://drive.google.com/open?id=11cupvsEeVZibDwLS8q5js1P8zZDvrBYO</v>
      </c>
      <c r="Q28" s="7" t="str">
        <f ca="1">IFERROR(__xludf.DUMMYFUNCTION("iferror(vlookup(B28,importrange(""https://docs.google.com/spreadsheets/d/1p53T2AuvvIqhP7Nf-bo3Uhj8cbKYRPpZdsrBv3x3bAQ/edit?resourcekey#gid=1321652304"",""Prop!$C$1:$M""),11,0),IFERROR(vlookup(B28,importrange(""https://docs.google.com/spreadsheets/d/1p53T2"&amp;"AuvvIqhP7Nf-bo3Uhj8cbKYRPpZdsrBv3x3bAQ/edit?resourcekey#gid=1321652304"",""Prop!$N$1:$X""),11,0),iferror(vlookup(B28,importrange(""https://docs.google.com/spreadsheets/d/1p53T2AuvvIqhP7Nf-bo3Uhj8cbKYRPpZdsrBv3x3bAQ/edit?resourcekey#gid=1321652304"",""Prop"&amp;"!$Y$1:$AI""),11,0),iferror(vlookup(B28,importrange(""https://docs.google.com/spreadsheets/d/1p53T2AuvvIqhP7Nf-bo3Uhj8cbKYRPpZdsrBv3x3bAQ/edit?resourcekey#gid=1321652304"",""Prop!$AJ$1:$AT""),11,0),iferror(vlookup(B28,importrange(""https://docs.google.com/"&amp;"spreadsheets/d/1p53T2AuvvIqhP7Nf-bo3Uhj8cbKYRPpZdsrBv3x3bAQ/edit?resourcekey#gid=1321652304"",""Prop!$AU$1:$BE""),11,0),iferror(vlookup(B28,importrange(""https://docs.google.com/spreadsheets/d/1p53T2AuvvIqhP7Nf-bo3Uhj8cbKYRPpZdsrBv3x3bAQ/edit?resourcekey#"&amp;"gid=1321652304"",""Prop!$BF$1:$BP""),11,0),iferror(vlookup(B28,importrange(""https://docs.google.com/spreadsheets/d/1p53T2AuvvIqhP7Nf-bo3Uhj8cbKYRPpZdsrBv3x3bAQ/edit?resourcekey#gid=1321652304"",""Prop!$BQ$1:$CA""),11,0),iferror(vlookup(B28,importrange("""&amp;"https://docs.google.com/spreadsheets/d/1p53T2AuvvIqhP7Nf-bo3Uhj8cbKYRPpZdsrBv3x3bAQ/edit?resourcekey#gid=1321652304"",""Prop!$CB$1:$CL""),11,0),iferror(vlookup(B28,importrange(""https://docs.google.com/spreadsheets/d/1p53T2AuvvIqhP7Nf-bo3Uhj8cbKYRPpZdsrBv"&amp;"3x3bAQ/edit?resourcekey#gid=1321652304"",""Prop!$CM$1:$CX""),12,0),iferror(vlookup(B28,importrange(""https://docs.google.com/spreadsheets/d/1p53T2AuvvIqhP7Nf-bo3Uhj8cbKYRPpZdsrBv3x3bAQ/edit?resourcekey#gid=1321652304"",""Prop!$CY$1:$DI""),11,0)))))))))))"),"https://drive.google.com/open?id=16OUcJgTvCzArOzofC938jSul2_untIXR")</f>
        <v>https://drive.google.com/open?id=16OUcJgTvCzArOzofC938jSul2_untIXR</v>
      </c>
      <c r="R28" s="20" t="s">
        <v>946</v>
      </c>
      <c r="S28" s="20" t="str">
        <f ca="1">IFERROR(__xludf.DUMMYFUNCTION("IFERROR(vlookup(B28,IMPORTRANGE(""https://docs.google.com/spreadsheets/d/1g_jfYYK_KeipEDNDUgqgrsxK94XiocfNQIcP-v1QVhI/edit?resourcekey#gid=233272945"",""Nilai!B:CT""),21,0),"" "")"),"model bisnis tidak sustainable, ")</f>
        <v xml:space="preserve">model bisnis tidak sustainable, </v>
      </c>
      <c r="T28" s="20" t="str">
        <f ca="1">IFERROR(__xludf.DUMMYFUNCTION("IFERROR(vlookup(B28,IMPORTRANGE(""https://docs.google.com/spreadsheets/d/1g_jfYYK_KeipEDNDUgqgrsxK94XiocfNQIcP-v1QVhI/edit?resourcekey#gid=233272945"",""Nilai!B:CT""),97,0),"" "")"),"LAYAK UPLOAD KE SIMBELMAWA DENGAN REVISI")</f>
        <v>LAYAK UPLOAD KE SIMBELMAWA DENGAN REVISI</v>
      </c>
      <c r="U28" s="35" t="s">
        <v>965</v>
      </c>
      <c r="V28" s="85" t="s">
        <v>947</v>
      </c>
      <c r="W28" s="17" t="s">
        <v>968</v>
      </c>
      <c r="X28" s="34" t="s">
        <v>949</v>
      </c>
    </row>
    <row r="29" spans="1:24">
      <c r="A29" s="15">
        <v>27</v>
      </c>
      <c r="B29" s="15">
        <f ca="1">IFERROR(__xludf.DUMMYFUNCTION("""COMPUTED_VALUE"""),2124)</f>
        <v>2124</v>
      </c>
      <c r="C29" s="16" t="str">
        <f ca="1">IFERROR(__xludf.DUMMYFUNCTION("""COMPUTED_VALUE"""),"Josephine Kezia H")</f>
        <v>Josephine Kezia H</v>
      </c>
      <c r="D29" s="16" t="str">
        <f ca="1">IFERROR(__xludf.DUMMYFUNCTION("""COMPUTED_VALUE"""),"5010211067")</f>
        <v>5010211067</v>
      </c>
      <c r="E29" s="16" t="str">
        <f ca="1">IFERROR(__xludf.DUMMYFUNCTION("""COMPUTED_VALUE"""),"Departemen Teknik Sistem dan Industri")</f>
        <v>Departemen Teknik Sistem dan Industri</v>
      </c>
      <c r="F29" s="16" t="str">
        <f ca="1">IFERROR(__xludf.DUMMYFUNCTION("""COMPUTED_VALUE"""),"LEE MIN TUS: Lilin Aromaterapi 2-in-1 berbahan Mentha spicata dan Eucalyptus urophylla sebagai  Olfactory Training Pengidap Anosmia")</f>
        <v>LEE MIN TUS: Lilin Aromaterapi 2-in-1 berbahan Mentha spicata dan Eucalyptus urophylla sebagai  Olfactory Training Pengidap Anosmia</v>
      </c>
      <c r="G29" s="16" t="str">
        <f ca="1">IFERROR(__xludf.DUMMYFUNCTION("""COMPUTED_VALUE"""),"Dody Hartanto, S.T., M.T.")</f>
        <v>Dody Hartanto, S.T., M.T.</v>
      </c>
      <c r="H29" s="16" t="str">
        <f ca="1">IFERROR(__xludf.DUMMYFUNCTION("""COMPUTED_VALUE"""),"Gita Widi Bhawika, S.ST., M.MT")</f>
        <v>Gita Widi Bhawika, S.ST., M.MT</v>
      </c>
      <c r="I29" s="16" t="str">
        <f ca="1">IFERROR(__xludf.DUMMYFUNCTION("""COMPUTED_VALUE"""),"Daril Ridho Zuchrillah, S.T., M.T.")</f>
        <v>Daril Ridho Zuchrillah, S.T., M.T.</v>
      </c>
      <c r="J29" s="16"/>
      <c r="K29" s="17" t="s">
        <v>961</v>
      </c>
      <c r="L29" s="17" t="s">
        <v>966</v>
      </c>
      <c r="M29" s="19" t="b">
        <v>0</v>
      </c>
      <c r="N29" s="19" t="b">
        <v>0</v>
      </c>
      <c r="O29" s="1" t="s">
        <v>967</v>
      </c>
      <c r="P29" s="7" t="str">
        <f ca="1">IFERROR(__xludf.DUMMYFUNCTION("iferror(vlookup(B29,importrange(""https://docs.google.com/spreadsheets/d/1boHyJQ4e2FU0QG8MHwEi6qjX4hvZWVCHcFfXjq7bbMc/edit?resourcekey#gid=923248883"",""Prop!$C$1:$M""),12,0),IFERROR(vlookup(B29,importrange(""https://docs.google.com/spreadsheets/d/1boHyJQ"&amp;"4e2FU0QG8MHwEi6qjX4hvZWVCHcFfXjq7bbMc/edit?resourcekey#gid=923248883"",""Prop!$N$1:$X""),11,0),iferror(vlookup(B29,importrange(""https://docs.google.com/spreadsheets/d/1boHyJQ4e2FU0QG8MHwEi6qjX4hvZWVCHcFfXjq7bbMc/edit?resourcekey#gid=923248883"",""Prop!$Y"&amp;"$1:$AI""),11,0),iferror(vlookup(B29,importrange(""https://docs.google.com/spreadsheets/d/1boHyJQ4e2FU0QG8MHwEi6qjX4hvZWVCHcFfXjq7bbMc/edit?resourcekey#gid=923248883"",""Prop!$AJ$1:$AT""),11,0),iferror(vlookup(B29,importrange(""https://docs.google.com/spre"&amp;"adsheets/d/1boHyJQ4e2FU0QG8MHwEi6qjX4hvZWVCHcFfXjq7bbMc/edit?resourcekey#gid=923248883"",""Prop!$AU$1:$BE""),11,0),iferror(vlookup(B29,importrange(""https://docs.google.com/spreadsheets/d/1boHyJQ4e2FU0QG8MHwEi6qjX4hvZWVCHcFfXjq7bbMc/edit?resourcekey#gid=9"&amp;"23248883"",""Prop!$BF$1:$BP""),11,0),iferror(vlookup(B29,importrange(""https://docs.google.com/spreadsheets/d/1boHyJQ4e2FU0QG8MHwEi6qjX4hvZWVCHcFfXjq7bbMc/edit?resourcekey#gid=923248883"",""Prop!$BQ$1:$CA""),11,0),iferror(vlookup(B29,importrange(""https:/"&amp;"/docs.google.com/spreadsheets/d/1boHyJQ4e2FU0QG8MHwEi6qjX4hvZWVCHcFfXjq7bbMc/edit?resourcekey#gid=923248883"",""Prop!$CB$1:$CL""),11,0),iferror(vlookup(B29,importrange(""https://docs.google.com/spreadsheets/d/1boHyJQ4e2FU0QG8MHwEi6qjX4hvZWVCHcFfXjq7bbMc/e"&amp;"dit?resourcekey#gid=923248883"",""Prop!$CM$1:$CX""),12,0),iferror(vlookup(B29,importrange(""https://docs.google.com/spreadsheets/d/1boHyJQ4e2FU0QG8MHwEi6qjX4hvZWVCHcFfXjq7bbMc/edit?resourcekey#gid=923248883"",""Prop!$CV$1:$DI""),11,0)))))))))))"),"https://drive.google.com/open?id=1DyOrXNgWE_hY7xKPeCiiWVFT5n56Qi9z")</f>
        <v>https://drive.google.com/open?id=1DyOrXNgWE_hY7xKPeCiiWVFT5n56Qi9z</v>
      </c>
      <c r="Q29" s="7" t="str">
        <f ca="1">IFERROR(__xludf.DUMMYFUNCTION("iferror(vlookup(B29,importrange(""https://docs.google.com/spreadsheets/d/1p53T2AuvvIqhP7Nf-bo3Uhj8cbKYRPpZdsrBv3x3bAQ/edit?resourcekey#gid=1321652304"",""Prop!$C$1:$M""),11,0),IFERROR(vlookup(B29,importrange(""https://docs.google.com/spreadsheets/d/1p53T2"&amp;"AuvvIqhP7Nf-bo3Uhj8cbKYRPpZdsrBv3x3bAQ/edit?resourcekey#gid=1321652304"",""Prop!$N$1:$X""),11,0),iferror(vlookup(B29,importrange(""https://docs.google.com/spreadsheets/d/1p53T2AuvvIqhP7Nf-bo3Uhj8cbKYRPpZdsrBv3x3bAQ/edit?resourcekey#gid=1321652304"",""Prop"&amp;"!$Y$1:$AI""),11,0),iferror(vlookup(B29,importrange(""https://docs.google.com/spreadsheets/d/1p53T2AuvvIqhP7Nf-bo3Uhj8cbKYRPpZdsrBv3x3bAQ/edit?resourcekey#gid=1321652304"",""Prop!$AJ$1:$AT""),11,0),iferror(vlookup(B29,importrange(""https://docs.google.com/"&amp;"spreadsheets/d/1p53T2AuvvIqhP7Nf-bo3Uhj8cbKYRPpZdsrBv3x3bAQ/edit?resourcekey#gid=1321652304"",""Prop!$AU$1:$BE""),11,0),iferror(vlookup(B29,importrange(""https://docs.google.com/spreadsheets/d/1p53T2AuvvIqhP7Nf-bo3Uhj8cbKYRPpZdsrBv3x3bAQ/edit?resourcekey#"&amp;"gid=1321652304"",""Prop!$BF$1:$BP""),11,0),iferror(vlookup(B29,importrange(""https://docs.google.com/spreadsheets/d/1p53T2AuvvIqhP7Nf-bo3Uhj8cbKYRPpZdsrBv3x3bAQ/edit?resourcekey#gid=1321652304"",""Prop!$BQ$1:$CA""),11,0),iferror(vlookup(B29,importrange("""&amp;"https://docs.google.com/spreadsheets/d/1p53T2AuvvIqhP7Nf-bo3Uhj8cbKYRPpZdsrBv3x3bAQ/edit?resourcekey#gid=1321652304"",""Prop!$CB$1:$CL""),11,0),iferror(vlookup(B29,importrange(""https://docs.google.com/spreadsheets/d/1p53T2AuvvIqhP7Nf-bo3Uhj8cbKYRPpZdsrBv"&amp;"3x3bAQ/edit?resourcekey#gid=1321652304"",""Prop!$CM$1:$CX""),12,0),iferror(vlookup(B29,importrange(""https://docs.google.com/spreadsheets/d/1p53T2AuvvIqhP7Nf-bo3Uhj8cbKYRPpZdsrBv3x3bAQ/edit?resourcekey#gid=1321652304"",""Prop!$CY$1:$DI""),11,0)))))))))))"),"https://drive.google.com/open?id=1rigeLedBRjLIXKf0guxJmFsxjraxxXeG")</f>
        <v>https://drive.google.com/open?id=1rigeLedBRjLIXKf0guxJmFsxjraxxXeG</v>
      </c>
      <c r="R29" s="20" t="s">
        <v>946</v>
      </c>
      <c r="S29" s="20" t="str">
        <f ca="1">IFERROR(__xludf.DUMMYFUNCTION("IFERROR(vlookup(B29,IMPORTRANGE(""https://docs.google.com/spreadsheets/d/1g_jfYYK_KeipEDNDUgqgrsxK94XiocfNQIcP-v1QVhI/edit?resourcekey#gid=233272945"",""Nilai!B:CT""),21,0),"" "")"),"-")</f>
        <v>-</v>
      </c>
      <c r="T29" s="20" t="str">
        <f ca="1">IFERROR(__xludf.DUMMYFUNCTION("IFERROR(vlookup(B29,IMPORTRANGE(""https://docs.google.com/spreadsheets/d/1g_jfYYK_KeipEDNDUgqgrsxK94XiocfNQIcP-v1QVhI/edit?resourcekey#gid=233272945"",""Nilai!B:CT""),97,0),"" "")"),"LAYAK UPLOAD KE SIMBELMAWA")</f>
        <v>LAYAK UPLOAD KE SIMBELMAWA</v>
      </c>
      <c r="U29" s="35" t="s">
        <v>965</v>
      </c>
      <c r="V29" s="85" t="s">
        <v>947</v>
      </c>
      <c r="W29" s="17" t="s">
        <v>968</v>
      </c>
      <c r="X29" s="34" t="s">
        <v>949</v>
      </c>
    </row>
    <row r="30" spans="1:24">
      <c r="A30" s="15">
        <v>28</v>
      </c>
      <c r="B30" s="15">
        <f ca="1">IFERROR(__xludf.DUMMYFUNCTION("""COMPUTED_VALUE"""),3938)</f>
        <v>3938</v>
      </c>
      <c r="C30" s="16" t="str">
        <f ca="1">IFERROR(__xludf.DUMMYFUNCTION("""COMPUTED_VALUE"""),"CHANDRA ARYO WIBOWO")</f>
        <v>CHANDRA ARYO WIBOWO</v>
      </c>
      <c r="D30" s="16" t="str">
        <f ca="1">IFERROR(__xludf.DUMMYFUNCTION("""COMPUTED_VALUE"""),"5010211142")</f>
        <v>5010211142</v>
      </c>
      <c r="E30" s="16" t="str">
        <f ca="1">IFERROR(__xludf.DUMMYFUNCTION("""COMPUTED_VALUE"""),"Departemen Teknik Sistem dan Industri")</f>
        <v>Departemen Teknik Sistem dan Industri</v>
      </c>
      <c r="F30" s="16" t="str">
        <f ca="1">IFERROR(__xludf.DUMMYFUNCTION("""COMPUTED_VALUE"""),"LACACARE: ESSENCE ORGANIK DENGAN BAHAN AKTIF UTAMA KROKOT (Portulaca oleracea) SEBAGAI PRODUK SKINCARE YANG RAMAH LINGKUNGAN BERBASIS ZERO WASTE")</f>
        <v>LACACARE: ESSENCE ORGANIK DENGAN BAHAN AKTIF UTAMA KROKOT (Portulaca oleracea) SEBAGAI PRODUK SKINCARE YANG RAMAH LINGKUNGAN BERBASIS ZERO WASTE</v>
      </c>
      <c r="G30" s="16" t="str">
        <f ca="1">IFERROR(__xludf.DUMMYFUNCTION("""COMPUTED_VALUE"""),"Maratus Sholihah, S.T., M.T.")</f>
        <v>Maratus Sholihah, S.T., M.T.</v>
      </c>
      <c r="H30" s="16" t="str">
        <f ca="1">IFERROR(__xludf.DUMMYFUNCTION("""COMPUTED_VALUE"""),"Drs. Bandung Arry Sanjoyo, Mi.Komp.")</f>
        <v>Drs. Bandung Arry Sanjoyo, Mi.Komp.</v>
      </c>
      <c r="I30" s="16" t="str">
        <f ca="1">IFERROR(__xludf.DUMMYFUNCTION("""COMPUTED_VALUE"""),"Wibawati, S.Si., M.Si")</f>
        <v>Wibawati, S.Si., M.Si</v>
      </c>
      <c r="J30" s="16"/>
      <c r="K30" s="17" t="s">
        <v>969</v>
      </c>
      <c r="L30" s="17" t="s">
        <v>966</v>
      </c>
      <c r="M30" s="19" t="b">
        <v>0</v>
      </c>
      <c r="N30" s="19" t="b">
        <v>0</v>
      </c>
      <c r="O30" s="1" t="s">
        <v>967</v>
      </c>
      <c r="P30" s="7" t="str">
        <f ca="1">IFERROR(__xludf.DUMMYFUNCTION("iferror(vlookup(B30,importrange(""https://docs.google.com/spreadsheets/d/1boHyJQ4e2FU0QG8MHwEi6qjX4hvZWVCHcFfXjq7bbMc/edit?resourcekey#gid=923248883"",""Prop!$C$1:$M""),12,0),IFERROR(vlookup(B30,importrange(""https://docs.google.com/spreadsheets/d/1boHyJQ"&amp;"4e2FU0QG8MHwEi6qjX4hvZWVCHcFfXjq7bbMc/edit?resourcekey#gid=923248883"",""Prop!$N$1:$X""),11,0),iferror(vlookup(B30,importrange(""https://docs.google.com/spreadsheets/d/1boHyJQ4e2FU0QG8MHwEi6qjX4hvZWVCHcFfXjq7bbMc/edit?resourcekey#gid=923248883"",""Prop!$Y"&amp;"$1:$AI""),11,0),iferror(vlookup(B30,importrange(""https://docs.google.com/spreadsheets/d/1boHyJQ4e2FU0QG8MHwEi6qjX4hvZWVCHcFfXjq7bbMc/edit?resourcekey#gid=923248883"",""Prop!$AJ$1:$AT""),11,0),iferror(vlookup(B30,importrange(""https://docs.google.com/spre"&amp;"adsheets/d/1boHyJQ4e2FU0QG8MHwEi6qjX4hvZWVCHcFfXjq7bbMc/edit?resourcekey#gid=923248883"",""Prop!$AU$1:$BE""),11,0),iferror(vlookup(B30,importrange(""https://docs.google.com/spreadsheets/d/1boHyJQ4e2FU0QG8MHwEi6qjX4hvZWVCHcFfXjq7bbMc/edit?resourcekey#gid=9"&amp;"23248883"",""Prop!$BF$1:$BP""),11,0),iferror(vlookup(B30,importrange(""https://docs.google.com/spreadsheets/d/1boHyJQ4e2FU0QG8MHwEi6qjX4hvZWVCHcFfXjq7bbMc/edit?resourcekey#gid=923248883"",""Prop!$BQ$1:$CA""),11,0),iferror(vlookup(B30,importrange(""https:/"&amp;"/docs.google.com/spreadsheets/d/1boHyJQ4e2FU0QG8MHwEi6qjX4hvZWVCHcFfXjq7bbMc/edit?resourcekey#gid=923248883"",""Prop!$CB$1:$CL""),11,0),iferror(vlookup(B30,importrange(""https://docs.google.com/spreadsheets/d/1boHyJQ4e2FU0QG8MHwEi6qjX4hvZWVCHcFfXjq7bbMc/e"&amp;"dit?resourcekey#gid=923248883"",""Prop!$CM$1:$CX""),12,0),iferror(vlookup(B30,importrange(""https://docs.google.com/spreadsheets/d/1boHyJQ4e2FU0QG8MHwEi6qjX4hvZWVCHcFfXjq7bbMc/edit?resourcekey#gid=923248883"",""Prop!$CV$1:$DI""),11,0)))))))))))"),"https://drive.google.com/open?id=1XFf9O1nRWROUbp5sya1z5pksRyfB6rFM")</f>
        <v>https://drive.google.com/open?id=1XFf9O1nRWROUbp5sya1z5pksRyfB6rFM</v>
      </c>
      <c r="Q30" s="7" t="str">
        <f ca="1">IFERROR(__xludf.DUMMYFUNCTION("iferror(vlookup(B30,importrange(""https://docs.google.com/spreadsheets/d/1p53T2AuvvIqhP7Nf-bo3Uhj8cbKYRPpZdsrBv3x3bAQ/edit?resourcekey#gid=1321652304"",""Prop!$C$1:$M""),11,0),IFERROR(vlookup(B30,importrange(""https://docs.google.com/spreadsheets/d/1p53T2"&amp;"AuvvIqhP7Nf-bo3Uhj8cbKYRPpZdsrBv3x3bAQ/edit?resourcekey#gid=1321652304"",""Prop!$N$1:$X""),11,0),iferror(vlookup(B30,importrange(""https://docs.google.com/spreadsheets/d/1p53T2AuvvIqhP7Nf-bo3Uhj8cbKYRPpZdsrBv3x3bAQ/edit?resourcekey#gid=1321652304"",""Prop"&amp;"!$Y$1:$AI""),11,0),iferror(vlookup(B30,importrange(""https://docs.google.com/spreadsheets/d/1p53T2AuvvIqhP7Nf-bo3Uhj8cbKYRPpZdsrBv3x3bAQ/edit?resourcekey#gid=1321652304"",""Prop!$AJ$1:$AT""),11,0),iferror(vlookup(B30,importrange(""https://docs.google.com/"&amp;"spreadsheets/d/1p53T2AuvvIqhP7Nf-bo3Uhj8cbKYRPpZdsrBv3x3bAQ/edit?resourcekey#gid=1321652304"",""Prop!$AU$1:$BE""),11,0),iferror(vlookup(B30,importrange(""https://docs.google.com/spreadsheets/d/1p53T2AuvvIqhP7Nf-bo3Uhj8cbKYRPpZdsrBv3x3bAQ/edit?resourcekey#"&amp;"gid=1321652304"",""Prop!$BF$1:$BP""),11,0),iferror(vlookup(B30,importrange(""https://docs.google.com/spreadsheets/d/1p53T2AuvvIqhP7Nf-bo3Uhj8cbKYRPpZdsrBv3x3bAQ/edit?resourcekey#gid=1321652304"",""Prop!$BQ$1:$CA""),11,0),iferror(vlookup(B30,importrange("""&amp;"https://docs.google.com/spreadsheets/d/1p53T2AuvvIqhP7Nf-bo3Uhj8cbKYRPpZdsrBv3x3bAQ/edit?resourcekey#gid=1321652304"",""Prop!$CB$1:$CL""),11,0),iferror(vlookup(B30,importrange(""https://docs.google.com/spreadsheets/d/1p53T2AuvvIqhP7Nf-bo3Uhj8cbKYRPpZdsrBv"&amp;"3x3bAQ/edit?resourcekey#gid=1321652304"",""Prop!$CM$1:$CX""),12,0),iferror(vlookup(B30,importrange(""https://docs.google.com/spreadsheets/d/1p53T2AuvvIqhP7Nf-bo3Uhj8cbKYRPpZdsrBv3x3bAQ/edit?resourcekey#gid=1321652304"",""Prop!$CY$1:$DI""),11,0)))))))))))"),"https://drive.google.com/open?id=1qhkxf-AEPsvfAAxoNxWPY1-5ti63d9GZ")</f>
        <v>https://drive.google.com/open?id=1qhkxf-AEPsvfAAxoNxWPY1-5ti63d9GZ</v>
      </c>
      <c r="R30" s="20" t="s">
        <v>946</v>
      </c>
      <c r="S30" s="20" t="str">
        <f ca="1">IFERROR(__xludf.DUMMYFUNCTION("IFERROR(vlookup(B30,IMPORTRANGE(""https://docs.google.com/spreadsheets/d/1g_jfYYK_KeipEDNDUgqgrsxK94XiocfNQIcP-v1QVhI/edit?resourcekey#gid=233272945"",""Nilai!B:CT""),21,0),"" "")"),"terlalu fokus pada metode pembuatan, buakan bisnisnya")</f>
        <v>terlalu fokus pada metode pembuatan, buakan bisnisnya</v>
      </c>
      <c r="T30" s="20" t="str">
        <f ca="1">IFERROR(__xludf.DUMMYFUNCTION("IFERROR(vlookup(B30,IMPORTRANGE(""https://docs.google.com/spreadsheets/d/1g_jfYYK_KeipEDNDUgqgrsxK94XiocfNQIcP-v1QVhI/edit?resourcekey#gid=233272945"",""Nilai!B:CT""),97,0),"" "")"),"LAYAK UPLOAD KE SIMBELMAWA DENGAN REVISI")</f>
        <v>LAYAK UPLOAD KE SIMBELMAWA DENGAN REVISI</v>
      </c>
      <c r="U30" s="35" t="s">
        <v>965</v>
      </c>
      <c r="V30" s="85" t="s">
        <v>947</v>
      </c>
      <c r="W30" s="17" t="s">
        <v>968</v>
      </c>
      <c r="X30" s="34" t="b">
        <v>0</v>
      </c>
    </row>
    <row r="31" spans="1:24">
      <c r="A31" s="15">
        <v>29</v>
      </c>
      <c r="B31" s="15">
        <f ca="1">IFERROR(__xludf.DUMMYFUNCTION("""COMPUTED_VALUE"""),2062)</f>
        <v>2062</v>
      </c>
      <c r="C31" s="16" t="str">
        <f ca="1">IFERROR(__xludf.DUMMYFUNCTION("""COMPUTED_VALUE"""),"MOCHAMAD HIFNI HAFSYIN HAMID")</f>
        <v>MOCHAMAD HIFNI HAFSYIN HAMID</v>
      </c>
      <c r="D31" s="16" t="str">
        <f ca="1">IFERROR(__xludf.DUMMYFUNCTION("""COMPUTED_VALUE"""),"2039201088")</f>
        <v>2039201088</v>
      </c>
      <c r="E31" s="16" t="str">
        <f ca="1">IFERROR(__xludf.DUMMYFUNCTION("""COMPUTED_VALUE"""),"Departemen Teknik Mesin Industri")</f>
        <v>Departemen Teknik Mesin Industri</v>
      </c>
      <c r="F31" s="16" t="str">
        <f ca="1">IFERROR(__xludf.DUMMYFUNCTION("""COMPUTED_VALUE"""),"APERTA: Platform Layanan Jasa Pekerja Rumah Tangga Bebasis Aplikasi Sebagai Inovasi untuk Memudahkan Mencari Pekerja Rumah Tangga di Indonesia")</f>
        <v>APERTA: Platform Layanan Jasa Pekerja Rumah Tangga Bebasis Aplikasi Sebagai Inovasi untuk Memudahkan Mencari Pekerja Rumah Tangga di Indonesia</v>
      </c>
      <c r="G31" s="16" t="str">
        <f ca="1">IFERROR(__xludf.DUMMYFUNCTION("""COMPUTED_VALUE"""),"Mashuri, S.Si., M.T.")</f>
        <v>Mashuri, S.Si., M.T.</v>
      </c>
      <c r="H31" s="16" t="str">
        <f ca="1">IFERROR(__xludf.DUMMYFUNCTION("""COMPUTED_VALUE"""),"Muchammad Nurif, S.E., M.T.")</f>
        <v>Muchammad Nurif, S.E., M.T.</v>
      </c>
      <c r="I31" s="16" t="str">
        <f ca="1">IFERROR(__xludf.DUMMYFUNCTION("""COMPUTED_VALUE"""),"Bahalwan Apriyansyah, S.T., MBA.")</f>
        <v>Bahalwan Apriyansyah, S.T., MBA.</v>
      </c>
      <c r="J31" s="16"/>
      <c r="K31" s="17" t="s">
        <v>969</v>
      </c>
      <c r="L31" s="17" t="s">
        <v>966</v>
      </c>
      <c r="M31" s="19" t="b">
        <v>0</v>
      </c>
      <c r="N31" s="19" t="b">
        <v>0</v>
      </c>
      <c r="O31" s="1" t="s">
        <v>967</v>
      </c>
      <c r="P31" s="1" t="str">
        <f ca="1">IFERROR(__xludf.DUMMYFUNCTION("iferror(vlookup(B31,importrange(""https://docs.google.com/spreadsheets/d/1boHyJQ4e2FU0QG8MHwEi6qjX4hvZWVCHcFfXjq7bbMc/edit?resourcekey#gid=923248883"",""Prop!$C$1:$M""),12,0),IFERROR(vlookup(B31,importrange(""https://docs.google.com/spreadsheets/d/1boHyJQ"&amp;"4e2FU0QG8MHwEi6qjX4hvZWVCHcFfXjq7bbMc/edit?resourcekey#gid=923248883"",""Prop!$N$1:$X""),11,0),iferror(vlookup(B31,importrange(""https://docs.google.com/spreadsheets/d/1boHyJQ4e2FU0QG8MHwEi6qjX4hvZWVCHcFfXjq7bbMc/edit?resourcekey#gid=923248883"",""Prop!$Y"&amp;"$1:$AI""),11,0),iferror(vlookup(B31,importrange(""https://docs.google.com/spreadsheets/d/1boHyJQ4e2FU0QG8MHwEi6qjX4hvZWVCHcFfXjq7bbMc/edit?resourcekey#gid=923248883"",""Prop!$AJ$1:$AT""),11,0),iferror(vlookup(B31,importrange(""https://docs.google.com/spre"&amp;"adsheets/d/1boHyJQ4e2FU0QG8MHwEi6qjX4hvZWVCHcFfXjq7bbMc/edit?resourcekey#gid=923248883"",""Prop!$AU$1:$BE""),11,0),iferror(vlookup(B31,importrange(""https://docs.google.com/spreadsheets/d/1boHyJQ4e2FU0QG8MHwEi6qjX4hvZWVCHcFfXjq7bbMc/edit?resourcekey#gid=9"&amp;"23248883"",""Prop!$BF$1:$BP""),11,0),iferror(vlookup(B31,importrange(""https://docs.google.com/spreadsheets/d/1boHyJQ4e2FU0QG8MHwEi6qjX4hvZWVCHcFfXjq7bbMc/edit?resourcekey#gid=923248883"",""Prop!$BQ$1:$CA""),11,0),iferror(vlookup(B31,importrange(""https:/"&amp;"/docs.google.com/spreadsheets/d/1boHyJQ4e2FU0QG8MHwEi6qjX4hvZWVCHcFfXjq7bbMc/edit?resourcekey#gid=923248883"",""Prop!$CB$1:$CL""),11,0),iferror(vlookup(B31,importrange(""https://docs.google.com/spreadsheets/d/1boHyJQ4e2FU0QG8MHwEi6qjX4hvZWVCHcFfXjq7bbMc/e"&amp;"dit?resourcekey#gid=923248883"",""Prop!$CM$1:$CX""),12,0),iferror(vlookup(B31,importrange(""https://docs.google.com/spreadsheets/d/1boHyJQ4e2FU0QG8MHwEi6qjX4hvZWVCHcFfXjq7bbMc/edit?resourcekey#gid=923248883"",""Prop!$CV$1:$DI""),11,0)))))))))))"),"")</f>
        <v/>
      </c>
      <c r="Q31" s="7" t="str">
        <f ca="1">IFERROR(__xludf.DUMMYFUNCTION("iferror(vlookup(B31,importrange(""https://docs.google.com/spreadsheets/d/1p53T2AuvvIqhP7Nf-bo3Uhj8cbKYRPpZdsrBv3x3bAQ/edit?resourcekey#gid=1321652304"",""Prop!$C$1:$M""),11,0),IFERROR(vlookup(B31,importrange(""https://docs.google.com/spreadsheets/d/1p53T2"&amp;"AuvvIqhP7Nf-bo3Uhj8cbKYRPpZdsrBv3x3bAQ/edit?resourcekey#gid=1321652304"",""Prop!$N$1:$X""),11,0),iferror(vlookup(B31,importrange(""https://docs.google.com/spreadsheets/d/1p53T2AuvvIqhP7Nf-bo3Uhj8cbKYRPpZdsrBv3x3bAQ/edit?resourcekey#gid=1321652304"",""Prop"&amp;"!$Y$1:$AI""),11,0),iferror(vlookup(B31,importrange(""https://docs.google.com/spreadsheets/d/1p53T2AuvvIqhP7Nf-bo3Uhj8cbKYRPpZdsrBv3x3bAQ/edit?resourcekey#gid=1321652304"",""Prop!$AJ$1:$AT""),11,0),iferror(vlookup(B31,importrange(""https://docs.google.com/"&amp;"spreadsheets/d/1p53T2AuvvIqhP7Nf-bo3Uhj8cbKYRPpZdsrBv3x3bAQ/edit?resourcekey#gid=1321652304"",""Prop!$AU$1:$BE""),11,0),iferror(vlookup(B31,importrange(""https://docs.google.com/spreadsheets/d/1p53T2AuvvIqhP7Nf-bo3Uhj8cbKYRPpZdsrBv3x3bAQ/edit?resourcekey#"&amp;"gid=1321652304"",""Prop!$BF$1:$BP""),11,0),iferror(vlookup(B31,importrange(""https://docs.google.com/spreadsheets/d/1p53T2AuvvIqhP7Nf-bo3Uhj8cbKYRPpZdsrBv3x3bAQ/edit?resourcekey#gid=1321652304"",""Prop!$BQ$1:$CA""),11,0),iferror(vlookup(B31,importrange("""&amp;"https://docs.google.com/spreadsheets/d/1p53T2AuvvIqhP7Nf-bo3Uhj8cbKYRPpZdsrBv3x3bAQ/edit?resourcekey#gid=1321652304"",""Prop!$CB$1:$CL""),11,0),iferror(vlookup(B31,importrange(""https://docs.google.com/spreadsheets/d/1p53T2AuvvIqhP7Nf-bo3Uhj8cbKYRPpZdsrBv"&amp;"3x3bAQ/edit?resourcekey#gid=1321652304"",""Prop!$CM$1:$CX""),12,0),iferror(vlookup(B31,importrange(""https://docs.google.com/spreadsheets/d/1p53T2AuvvIqhP7Nf-bo3Uhj8cbKYRPpZdsrBv3x3bAQ/edit?resourcekey#gid=1321652304"",""Prop!$CY$1:$DI""),11,0)))))))))))"),"https://drive.google.com/open?id=1XkkQWgkQPd9JTiVvrD8G-z11ayKksMGX")</f>
        <v>https://drive.google.com/open?id=1XkkQWgkQPd9JTiVvrD8G-z11ayKksMGX</v>
      </c>
      <c r="R31" s="20" t="s">
        <v>946</v>
      </c>
      <c r="S31" s="20" t="str">
        <f ca="1">IFERROR(__xludf.DUMMYFUNCTION("IFERROR(vlookup(B31,IMPORTRANGE(""https://docs.google.com/spreadsheets/d/1g_jfYYK_KeipEDNDUgqgrsxK94XiocfNQIcP-v1QVhI/edit?resourcekey#gid=233272945"",""Nilai!B:CT""),21,0),"" "")"),"daftar isi masih spasi 1.5, bukan 1.15; model bisnisnya lebih fokus pada pembuatan, bukan berusaha nya, set up bisnis nya terlalu fokus pada PRT, bukan pada konsumen")</f>
        <v>daftar isi masih spasi 1.5, bukan 1.15; model bisnisnya lebih fokus pada pembuatan, bukan berusaha nya, set up bisnis nya terlalu fokus pada PRT, bukan pada konsumen</v>
      </c>
      <c r="T31" s="20" t="str">
        <f ca="1">IFERROR(__xludf.DUMMYFUNCTION("IFERROR(vlookup(B31,IMPORTRANGE(""https://docs.google.com/spreadsheets/d/1g_jfYYK_KeipEDNDUgqgrsxK94XiocfNQIcP-v1QVhI/edit?resourcekey#gid=233272945"",""Nilai!B:CT""),97,0),"" "")"),"LAYAK UPLOAD KE SIMBELMAWA DENGAN REVISI")</f>
        <v>LAYAK UPLOAD KE SIMBELMAWA DENGAN REVISI</v>
      </c>
      <c r="U31" s="35" t="s">
        <v>965</v>
      </c>
      <c r="V31" s="85" t="s">
        <v>947</v>
      </c>
      <c r="W31" s="17" t="s">
        <v>968</v>
      </c>
      <c r="X31" s="34" t="b">
        <v>0</v>
      </c>
    </row>
    <row r="32" spans="1:24">
      <c r="A32" s="15">
        <v>30</v>
      </c>
      <c r="B32" s="15">
        <f ca="1">IFERROR(__xludf.DUMMYFUNCTION("""COMPUTED_VALUE"""),3252)</f>
        <v>3252</v>
      </c>
      <c r="C32" s="16" t="str">
        <f ca="1">IFERROR(__xludf.DUMMYFUNCTION("""COMPUTED_VALUE"""),"ERMI KUSHERAWATI")</f>
        <v>ERMI KUSHERAWATI</v>
      </c>
      <c r="D32" s="16" t="str">
        <f ca="1">IFERROR(__xludf.DUMMYFUNCTION("""COMPUTED_VALUE"""),"5010201038")</f>
        <v>5010201038</v>
      </c>
      <c r="E32" s="16" t="str">
        <f ca="1">IFERROR(__xludf.DUMMYFUNCTION("""COMPUTED_VALUE"""),"Departemen Teknik Sistem dan Industri")</f>
        <v>Departemen Teknik Sistem dan Industri</v>
      </c>
      <c r="F32" s="16" t="str">
        <f ca="1">IFERROR(__xludf.DUMMYFUNCTION("""COMPUTED_VALUE"""),"Pendayagunaan Limbah Daun Jati untuk Batik Ecoprint pada Produk Apparel sebagai Upaya Pelestarian Lingkungan")</f>
        <v>Pendayagunaan Limbah Daun Jati untuk Batik Ecoprint pada Produk Apparel sebagai Upaya Pelestarian Lingkungan</v>
      </c>
      <c r="G32" s="16" t="str">
        <f ca="1">IFERROR(__xludf.DUMMYFUNCTION("""COMPUTED_VALUE"""),"Ratna Sari Dewi, S.T., M.T., Ph.D.")</f>
        <v>Ratna Sari Dewi, S.T., M.T., Ph.D.</v>
      </c>
      <c r="H32" s="16" t="str">
        <f ca="1">IFERROR(__xludf.DUMMYFUNCTION("""COMPUTED_VALUE"""),"Ahmad Fauzan Adziimaa, S.T., M.Sc.")</f>
        <v>Ahmad Fauzan Adziimaa, S.T., M.Sc.</v>
      </c>
      <c r="I32" s="16" t="str">
        <f ca="1">IFERROR(__xludf.DUMMYFUNCTION("""COMPUTED_VALUE"""),"Dr. Hendro Juwono, M.Si.")</f>
        <v>Dr. Hendro Juwono, M.Si.</v>
      </c>
      <c r="J32" s="16"/>
      <c r="K32" s="17" t="s">
        <v>969</v>
      </c>
      <c r="L32" s="17" t="s">
        <v>966</v>
      </c>
      <c r="M32" s="19" t="b">
        <v>0</v>
      </c>
      <c r="N32" s="19" t="b">
        <v>0</v>
      </c>
      <c r="O32" s="1" t="s">
        <v>967</v>
      </c>
      <c r="P32" s="7" t="str">
        <f ca="1">IFERROR(__xludf.DUMMYFUNCTION("iferror(vlookup(B32,importrange(""https://docs.google.com/spreadsheets/d/1boHyJQ4e2FU0QG8MHwEi6qjX4hvZWVCHcFfXjq7bbMc/edit?resourcekey#gid=923248883"",""Prop!$C$1:$M""),12,0),IFERROR(vlookup(B32,importrange(""https://docs.google.com/spreadsheets/d/1boHyJQ"&amp;"4e2FU0QG8MHwEi6qjX4hvZWVCHcFfXjq7bbMc/edit?resourcekey#gid=923248883"",""Prop!$N$1:$X""),11,0),iferror(vlookup(B32,importrange(""https://docs.google.com/spreadsheets/d/1boHyJQ4e2FU0QG8MHwEi6qjX4hvZWVCHcFfXjq7bbMc/edit?resourcekey#gid=923248883"",""Prop!$Y"&amp;"$1:$AI""),11,0),iferror(vlookup(B32,importrange(""https://docs.google.com/spreadsheets/d/1boHyJQ4e2FU0QG8MHwEi6qjX4hvZWVCHcFfXjq7bbMc/edit?resourcekey#gid=923248883"",""Prop!$AJ$1:$AT""),11,0),iferror(vlookup(B32,importrange(""https://docs.google.com/spre"&amp;"adsheets/d/1boHyJQ4e2FU0QG8MHwEi6qjX4hvZWVCHcFfXjq7bbMc/edit?resourcekey#gid=923248883"",""Prop!$AU$1:$BE""),11,0),iferror(vlookup(B32,importrange(""https://docs.google.com/spreadsheets/d/1boHyJQ4e2FU0QG8MHwEi6qjX4hvZWVCHcFfXjq7bbMc/edit?resourcekey#gid=9"&amp;"23248883"",""Prop!$BF$1:$BP""),11,0),iferror(vlookup(B32,importrange(""https://docs.google.com/spreadsheets/d/1boHyJQ4e2FU0QG8MHwEi6qjX4hvZWVCHcFfXjq7bbMc/edit?resourcekey#gid=923248883"",""Prop!$BQ$1:$CA""),11,0),iferror(vlookup(B32,importrange(""https:/"&amp;"/docs.google.com/spreadsheets/d/1boHyJQ4e2FU0QG8MHwEi6qjX4hvZWVCHcFfXjq7bbMc/edit?resourcekey#gid=923248883"",""Prop!$CB$1:$CL""),11,0),iferror(vlookup(B32,importrange(""https://docs.google.com/spreadsheets/d/1boHyJQ4e2FU0QG8MHwEi6qjX4hvZWVCHcFfXjq7bbMc/e"&amp;"dit?resourcekey#gid=923248883"",""Prop!$CM$1:$CX""),12,0),iferror(vlookup(B32,importrange(""https://docs.google.com/spreadsheets/d/1boHyJQ4e2FU0QG8MHwEi6qjX4hvZWVCHcFfXjq7bbMc/edit?resourcekey#gid=923248883"",""Prop!$CV$1:$DI""),11,0)))))))))))"),"https://drive.google.com/open?id=1XSa-JBw-EHbeB8k2f8yFjd4ZihLggu5T")</f>
        <v>https://drive.google.com/open?id=1XSa-JBw-EHbeB8k2f8yFjd4ZihLggu5T</v>
      </c>
      <c r="Q32" s="7" t="str">
        <f ca="1">IFERROR(__xludf.DUMMYFUNCTION("iferror(vlookup(B32,importrange(""https://docs.google.com/spreadsheets/d/1p53T2AuvvIqhP7Nf-bo3Uhj8cbKYRPpZdsrBv3x3bAQ/edit?resourcekey#gid=1321652304"",""Prop!$C$1:$M""),11,0),IFERROR(vlookup(B32,importrange(""https://docs.google.com/spreadsheets/d/1p53T2"&amp;"AuvvIqhP7Nf-bo3Uhj8cbKYRPpZdsrBv3x3bAQ/edit?resourcekey#gid=1321652304"",""Prop!$N$1:$X""),11,0),iferror(vlookup(B32,importrange(""https://docs.google.com/spreadsheets/d/1p53T2AuvvIqhP7Nf-bo3Uhj8cbKYRPpZdsrBv3x3bAQ/edit?resourcekey#gid=1321652304"",""Prop"&amp;"!$Y$1:$AI""),11,0),iferror(vlookup(B32,importrange(""https://docs.google.com/spreadsheets/d/1p53T2AuvvIqhP7Nf-bo3Uhj8cbKYRPpZdsrBv3x3bAQ/edit?resourcekey#gid=1321652304"",""Prop!$AJ$1:$AT""),11,0),iferror(vlookup(B32,importrange(""https://docs.google.com/"&amp;"spreadsheets/d/1p53T2AuvvIqhP7Nf-bo3Uhj8cbKYRPpZdsrBv3x3bAQ/edit?resourcekey#gid=1321652304"",""Prop!$AU$1:$BE""),11,0),iferror(vlookup(B32,importrange(""https://docs.google.com/spreadsheets/d/1p53T2AuvvIqhP7Nf-bo3Uhj8cbKYRPpZdsrBv3x3bAQ/edit?resourcekey#"&amp;"gid=1321652304"",""Prop!$BF$1:$BP""),11,0),iferror(vlookup(B32,importrange(""https://docs.google.com/spreadsheets/d/1p53T2AuvvIqhP7Nf-bo3Uhj8cbKYRPpZdsrBv3x3bAQ/edit?resourcekey#gid=1321652304"",""Prop!$BQ$1:$CA""),11,0),iferror(vlookup(B32,importrange("""&amp;"https://docs.google.com/spreadsheets/d/1p53T2AuvvIqhP7Nf-bo3Uhj8cbKYRPpZdsrBv3x3bAQ/edit?resourcekey#gid=1321652304"",""Prop!$CB$1:$CL""),11,0),iferror(vlookup(B32,importrange(""https://docs.google.com/spreadsheets/d/1p53T2AuvvIqhP7Nf-bo3Uhj8cbKYRPpZdsrBv"&amp;"3x3bAQ/edit?resourcekey#gid=1321652304"",""Prop!$CM$1:$CX""),12,0),iferror(vlookup(B32,importrange(""https://docs.google.com/spreadsheets/d/1p53T2AuvvIqhP7Nf-bo3Uhj8cbKYRPpZdsrBv3x3bAQ/edit?resourcekey#gid=1321652304"",""Prop!$CY$1:$DI""),11,0)))))))))))"),"https://drive.google.com/open?id=1sLV7SBAAP45asrmwQDpOy3YFRZfeaeDl")</f>
        <v>https://drive.google.com/open?id=1sLV7SBAAP45asrmwQDpOy3YFRZfeaeDl</v>
      </c>
      <c r="R32" s="20" t="s">
        <v>946</v>
      </c>
      <c r="S32" s="20" t="str">
        <f ca="1">IFERROR(__xludf.DUMMYFUNCTION("IFERROR(vlookup(B32,IMPORTRANGE(""https://docs.google.com/spreadsheets/d/1g_jfYYK_KeipEDNDUgqgrsxK94XiocfNQIcP-v1QVhI/edit?resourcekey#gid=233272945"",""Nilai!B:CT""),21,0),"" "")"),"model bisnis kurang mengacu pada konsumen, lebih pada produksi")</f>
        <v>model bisnis kurang mengacu pada konsumen, lebih pada produksi</v>
      </c>
      <c r="T32" s="20" t="str">
        <f ca="1">IFERROR(__xludf.DUMMYFUNCTION("IFERROR(vlookup(B32,IMPORTRANGE(""https://docs.google.com/spreadsheets/d/1g_jfYYK_KeipEDNDUgqgrsxK94XiocfNQIcP-v1QVhI/edit?resourcekey#gid=233272945"",""Nilai!B:CT""),97,0),"" "")"),"LAYAK UPLOAD KE SIMBELMAWA DENGAN REVISI")</f>
        <v>LAYAK UPLOAD KE SIMBELMAWA DENGAN REVISI</v>
      </c>
      <c r="U32" s="35" t="s">
        <v>965</v>
      </c>
      <c r="V32" s="85" t="s">
        <v>947</v>
      </c>
      <c r="W32" s="17" t="s">
        <v>970</v>
      </c>
      <c r="X32" s="34" t="b">
        <v>0</v>
      </c>
    </row>
    <row r="33" spans="1:24">
      <c r="A33" s="15">
        <v>32</v>
      </c>
      <c r="B33" s="15">
        <f ca="1">IFERROR(__xludf.DUMMYFUNCTION("""COMPUTED_VALUE"""),2104)</f>
        <v>2104</v>
      </c>
      <c r="C33" s="16" t="str">
        <f ca="1">IFERROR(__xludf.DUMMYFUNCTION("""COMPUTED_VALUE"""),"MUHAMMAD FA`IZ ISMAIL")</f>
        <v>MUHAMMAD FA`IZ ISMAIL</v>
      </c>
      <c r="D33" s="16" t="str">
        <f ca="1">IFERROR(__xludf.DUMMYFUNCTION("""COMPUTED_VALUE"""),"5003201055")</f>
        <v>5003201055</v>
      </c>
      <c r="E33" s="16" t="str">
        <f ca="1">IFERROR(__xludf.DUMMYFUNCTION("""COMPUTED_VALUE"""),"Departemen Statistika")</f>
        <v>Departemen Statistika</v>
      </c>
      <c r="F33" s="16" t="str">
        <f ca="1">IFERROR(__xludf.DUMMYFUNCTION("""COMPUTED_VALUE"""),"""ATAP.IN"" Aplikasi Konsultasi Penjualan bagi Semua Kalangan Bisnis dan UMKM")</f>
        <v>"ATAP.IN" Aplikasi Konsultasi Penjualan bagi Semua Kalangan Bisnis dan UMKM</v>
      </c>
      <c r="G33" s="16" t="str">
        <f ca="1">IFERROR(__xludf.DUMMYFUNCTION("""COMPUTED_VALUE"""),"Dr. Dra. Kartika Fithriasari, M.Si.")</f>
        <v>Dr. Dra. Kartika Fithriasari, M.Si.</v>
      </c>
      <c r="H33" s="16" t="str">
        <f ca="1">IFERROR(__xludf.DUMMYFUNCTION("""COMPUTED_VALUE"""),"Drs. Bandung Arry Sanjoyo, Mi.Komp.")</f>
        <v>Drs. Bandung Arry Sanjoyo, Mi.Komp.</v>
      </c>
      <c r="I33" s="16" t="str">
        <f ca="1">IFERROR(__xludf.DUMMYFUNCTION("""COMPUTED_VALUE"""),"Wibawati, S.Si., M.Si")</f>
        <v>Wibawati, S.Si., M.Si</v>
      </c>
      <c r="J33" s="16"/>
      <c r="K33" s="17" t="s">
        <v>969</v>
      </c>
      <c r="L33" s="17" t="s">
        <v>971</v>
      </c>
      <c r="M33" s="19" t="b">
        <v>0</v>
      </c>
      <c r="N33" s="19" t="b">
        <v>0</v>
      </c>
      <c r="O33" s="1" t="s">
        <v>967</v>
      </c>
      <c r="P33" s="7" t="str">
        <f ca="1">IFERROR(__xludf.DUMMYFUNCTION("iferror(vlookup(B33,importrange(""https://docs.google.com/spreadsheets/d/1boHyJQ4e2FU0QG8MHwEi6qjX4hvZWVCHcFfXjq7bbMc/edit?resourcekey#gid=923248883"",""Prop!$C$1:$M""),12,0),IFERROR(vlookup(B33,importrange(""https://docs.google.com/spreadsheets/d/1boHyJQ"&amp;"4e2FU0QG8MHwEi6qjX4hvZWVCHcFfXjq7bbMc/edit?resourcekey#gid=923248883"",""Prop!$N$1:$X""),11,0),iferror(vlookup(B33,importrange(""https://docs.google.com/spreadsheets/d/1boHyJQ4e2FU0QG8MHwEi6qjX4hvZWVCHcFfXjq7bbMc/edit?resourcekey#gid=923248883"",""Prop!$Y"&amp;"$1:$AI""),11,0),iferror(vlookup(B33,importrange(""https://docs.google.com/spreadsheets/d/1boHyJQ4e2FU0QG8MHwEi6qjX4hvZWVCHcFfXjq7bbMc/edit?resourcekey#gid=923248883"",""Prop!$AJ$1:$AT""),11,0),iferror(vlookup(B33,importrange(""https://docs.google.com/spre"&amp;"adsheets/d/1boHyJQ4e2FU0QG8MHwEi6qjX4hvZWVCHcFfXjq7bbMc/edit?resourcekey#gid=923248883"",""Prop!$AU$1:$BE""),11,0),iferror(vlookup(B33,importrange(""https://docs.google.com/spreadsheets/d/1boHyJQ4e2FU0QG8MHwEi6qjX4hvZWVCHcFfXjq7bbMc/edit?resourcekey#gid=9"&amp;"23248883"",""Prop!$BF$1:$BP""),11,0),iferror(vlookup(B33,importrange(""https://docs.google.com/spreadsheets/d/1boHyJQ4e2FU0QG8MHwEi6qjX4hvZWVCHcFfXjq7bbMc/edit?resourcekey#gid=923248883"",""Prop!$BQ$1:$CA""),11,0),iferror(vlookup(B33,importrange(""https:/"&amp;"/docs.google.com/spreadsheets/d/1boHyJQ4e2FU0QG8MHwEi6qjX4hvZWVCHcFfXjq7bbMc/edit?resourcekey#gid=923248883"",""Prop!$CB$1:$CL""),11,0),iferror(vlookup(B33,importrange(""https://docs.google.com/spreadsheets/d/1boHyJQ4e2FU0QG8MHwEi6qjX4hvZWVCHcFfXjq7bbMc/e"&amp;"dit?resourcekey#gid=923248883"",""Prop!$CM$1:$CX""),12,0),iferror(vlookup(B33,importrange(""https://docs.google.com/spreadsheets/d/1boHyJQ4e2FU0QG8MHwEi6qjX4hvZWVCHcFfXjq7bbMc/edit?resourcekey#gid=923248883"",""Prop!$CV$1:$DI""),11,0)))))))))))"),"https://drive.google.com/open?id=1J5v3TKWKu0zg8ZElwUwDxg59GuTRnjLl")</f>
        <v>https://drive.google.com/open?id=1J5v3TKWKu0zg8ZElwUwDxg59GuTRnjLl</v>
      </c>
      <c r="Q33" s="7" t="str">
        <f ca="1">IFERROR(__xludf.DUMMYFUNCTION("iferror(vlookup(B33,importrange(""https://docs.google.com/spreadsheets/d/1p53T2AuvvIqhP7Nf-bo3Uhj8cbKYRPpZdsrBv3x3bAQ/edit?resourcekey#gid=1321652304"",""Prop!$C$1:$M""),11,0),IFERROR(vlookup(B33,importrange(""https://docs.google.com/spreadsheets/d/1p53T2"&amp;"AuvvIqhP7Nf-bo3Uhj8cbKYRPpZdsrBv3x3bAQ/edit?resourcekey#gid=1321652304"",""Prop!$N$1:$X""),11,0),iferror(vlookup(B33,importrange(""https://docs.google.com/spreadsheets/d/1p53T2AuvvIqhP7Nf-bo3Uhj8cbKYRPpZdsrBv3x3bAQ/edit?resourcekey#gid=1321652304"",""Prop"&amp;"!$Y$1:$AI""),11,0),iferror(vlookup(B33,importrange(""https://docs.google.com/spreadsheets/d/1p53T2AuvvIqhP7Nf-bo3Uhj8cbKYRPpZdsrBv3x3bAQ/edit?resourcekey#gid=1321652304"",""Prop!$AJ$1:$AT""),11,0),iferror(vlookup(B33,importrange(""https://docs.google.com/"&amp;"spreadsheets/d/1p53T2AuvvIqhP7Nf-bo3Uhj8cbKYRPpZdsrBv3x3bAQ/edit?resourcekey#gid=1321652304"",""Prop!$AU$1:$BE""),11,0),iferror(vlookup(B33,importrange(""https://docs.google.com/spreadsheets/d/1p53T2AuvvIqhP7Nf-bo3Uhj8cbKYRPpZdsrBv3x3bAQ/edit?resourcekey#"&amp;"gid=1321652304"",""Prop!$BF$1:$BP""),11,0),iferror(vlookup(B33,importrange(""https://docs.google.com/spreadsheets/d/1p53T2AuvvIqhP7Nf-bo3Uhj8cbKYRPpZdsrBv3x3bAQ/edit?resourcekey#gid=1321652304"",""Prop!$BQ$1:$CA""),11,0),iferror(vlookup(B33,importrange("""&amp;"https://docs.google.com/spreadsheets/d/1p53T2AuvvIqhP7Nf-bo3Uhj8cbKYRPpZdsrBv3x3bAQ/edit?resourcekey#gid=1321652304"",""Prop!$CB$1:$CL""),11,0),iferror(vlookup(B33,importrange(""https://docs.google.com/spreadsheets/d/1p53T2AuvvIqhP7Nf-bo3Uhj8cbKYRPpZdsrBv"&amp;"3x3bAQ/edit?resourcekey#gid=1321652304"",""Prop!$CM$1:$CX""),12,0),iferror(vlookup(B33,importrange(""https://docs.google.com/spreadsheets/d/1p53T2AuvvIqhP7Nf-bo3Uhj8cbKYRPpZdsrBv3x3bAQ/edit?resourcekey#gid=1321652304"",""Prop!$CY$1:$DI""),11,0)))))))))))"),"https://drive.google.com/open?id=1Nx4tFOvVK-eBsPODH0vAto2YkTkhdfwG")</f>
        <v>https://drive.google.com/open?id=1Nx4tFOvVK-eBsPODH0vAto2YkTkhdfwG</v>
      </c>
      <c r="R33" s="20" t="s">
        <v>946</v>
      </c>
      <c r="S33" s="20" t="str">
        <f ca="1">IFERROR(__xludf.DUMMYFUNCTION("IFERROR(vlookup(B33,IMPORTRANGE(""https://docs.google.com/spreadsheets/d/1g_jfYYK_KeipEDNDUgqgrsxK94XiocfNQIcP-v1QVhI/edit?resourcekey#gid=233272945"",""Nilai!B:CT""),21,0),"" "")"),"daftar isi spasi masih 1.5, belum 1.15; definisi aplikasi lainnya itu apa?; poenjabaran mengenai bab 3 tidak ada; substansi anggaran tdk sesuai pedoman")</f>
        <v>daftar isi spasi masih 1.5, belum 1.15; definisi aplikasi lainnya itu apa?; poenjabaran mengenai bab 3 tidak ada; substansi anggaran tdk sesuai pedoman</v>
      </c>
      <c r="T33" s="20" t="str">
        <f ca="1">IFERROR(__xludf.DUMMYFUNCTION("IFERROR(vlookup(B33,IMPORTRANGE(""https://docs.google.com/spreadsheets/d/1g_jfYYK_KeipEDNDUgqgrsxK94XiocfNQIcP-v1QVhI/edit?resourcekey#gid=233272945"",""Nilai!B:CT""),97,0),"" "")"),"TIDAK LAYAK UPLOAD KE SIMBELMAWA")</f>
        <v>TIDAK LAYAK UPLOAD KE SIMBELMAWA</v>
      </c>
      <c r="U33" s="35" t="s">
        <v>965</v>
      </c>
      <c r="V33" s="85" t="s">
        <v>947</v>
      </c>
      <c r="W33" s="17" t="s">
        <v>970</v>
      </c>
      <c r="X33" s="34" t="b">
        <v>0</v>
      </c>
    </row>
    <row r="34" spans="1:24">
      <c r="A34" s="15">
        <v>33</v>
      </c>
      <c r="B34" s="15">
        <f ca="1">IFERROR(__xludf.DUMMYFUNCTION("""COMPUTED_VALUE"""),2513)</f>
        <v>2513</v>
      </c>
      <c r="C34" s="16" t="str">
        <f ca="1">IFERROR(__xludf.DUMMYFUNCTION("""COMPUTED_VALUE"""),"Gloria Marstella Aru")</f>
        <v>Gloria Marstella Aru</v>
      </c>
      <c r="D34" s="16" t="str">
        <f ca="1">IFERROR(__xludf.DUMMYFUNCTION("""COMPUTED_VALUE"""),"2039211061")</f>
        <v>2039211061</v>
      </c>
      <c r="E34" s="16" t="str">
        <f ca="1">IFERROR(__xludf.DUMMYFUNCTION("""COMPUTED_VALUE"""),"Departemen Teknik Mesin Industri")</f>
        <v>Departemen Teknik Mesin Industri</v>
      </c>
      <c r="F34" s="16" t="str">
        <f ca="1">IFERROR(__xludf.DUMMYFUNCTION("""COMPUTED_VALUE"""),"N’GRESIK-AJE : Platform penyedia layanan kebersihan dengan berbagai fasilitas untuk mempermudah gerakan hidup bersih")</f>
        <v>N’GRESIK-AJE : Platform penyedia layanan kebersihan dengan berbagai fasilitas untuk mempermudah gerakan hidup bersih</v>
      </c>
      <c r="G34" s="16" t="str">
        <f ca="1">IFERROR(__xludf.DUMMYFUNCTION("""COMPUTED_VALUE"""),"Rivai Wardhani, S.T., M.Sc.")</f>
        <v>Rivai Wardhani, S.T., M.Sc.</v>
      </c>
      <c r="H34" s="16" t="str">
        <f ca="1">IFERROR(__xludf.DUMMYFUNCTION("""COMPUTED_VALUE"""),"Muchammad Nurif, S.E., M.T.")</f>
        <v>Muchammad Nurif, S.E., M.T.</v>
      </c>
      <c r="I34" s="16" t="str">
        <f ca="1">IFERROR(__xludf.DUMMYFUNCTION("""COMPUTED_VALUE"""),"Bahalwan Apriyansyah, S.T., MBA.")</f>
        <v>Bahalwan Apriyansyah, S.T., MBA.</v>
      </c>
      <c r="J34" s="16"/>
      <c r="K34" s="17" t="s">
        <v>969</v>
      </c>
      <c r="L34" s="17" t="s">
        <v>971</v>
      </c>
      <c r="M34" s="19" t="b">
        <v>0</v>
      </c>
      <c r="N34" s="19" t="b">
        <v>0</v>
      </c>
      <c r="O34" s="1" t="s">
        <v>967</v>
      </c>
      <c r="P34" s="7" t="str">
        <f ca="1">IFERROR(__xludf.DUMMYFUNCTION("iferror(vlookup(B34,importrange(""https://docs.google.com/spreadsheets/d/1boHyJQ4e2FU0QG8MHwEi6qjX4hvZWVCHcFfXjq7bbMc/edit?resourcekey#gid=923248883"",""Prop!$C$1:$M""),12,0),IFERROR(vlookup(B34,importrange(""https://docs.google.com/spreadsheets/d/1boHyJQ"&amp;"4e2FU0QG8MHwEi6qjX4hvZWVCHcFfXjq7bbMc/edit?resourcekey#gid=923248883"",""Prop!$N$1:$X""),11,0),iferror(vlookup(B34,importrange(""https://docs.google.com/spreadsheets/d/1boHyJQ4e2FU0QG8MHwEi6qjX4hvZWVCHcFfXjq7bbMc/edit?resourcekey#gid=923248883"",""Prop!$Y"&amp;"$1:$AI""),11,0),iferror(vlookup(B34,importrange(""https://docs.google.com/spreadsheets/d/1boHyJQ4e2FU0QG8MHwEi6qjX4hvZWVCHcFfXjq7bbMc/edit?resourcekey#gid=923248883"",""Prop!$AJ$1:$AT""),11,0),iferror(vlookup(B34,importrange(""https://docs.google.com/spre"&amp;"adsheets/d/1boHyJQ4e2FU0QG8MHwEi6qjX4hvZWVCHcFfXjq7bbMc/edit?resourcekey#gid=923248883"",""Prop!$AU$1:$BE""),11,0),iferror(vlookup(B34,importrange(""https://docs.google.com/spreadsheets/d/1boHyJQ4e2FU0QG8MHwEi6qjX4hvZWVCHcFfXjq7bbMc/edit?resourcekey#gid=9"&amp;"23248883"",""Prop!$BF$1:$BP""),11,0),iferror(vlookup(B34,importrange(""https://docs.google.com/spreadsheets/d/1boHyJQ4e2FU0QG8MHwEi6qjX4hvZWVCHcFfXjq7bbMc/edit?resourcekey#gid=923248883"",""Prop!$BQ$1:$CA""),11,0),iferror(vlookup(B34,importrange(""https:/"&amp;"/docs.google.com/spreadsheets/d/1boHyJQ4e2FU0QG8MHwEi6qjX4hvZWVCHcFfXjq7bbMc/edit?resourcekey#gid=923248883"",""Prop!$CB$1:$CL""),11,0),iferror(vlookup(B34,importrange(""https://docs.google.com/spreadsheets/d/1boHyJQ4e2FU0QG8MHwEi6qjX4hvZWVCHcFfXjq7bbMc/e"&amp;"dit?resourcekey#gid=923248883"",""Prop!$CM$1:$CX""),12,0),iferror(vlookup(B34,importrange(""https://docs.google.com/spreadsheets/d/1boHyJQ4e2FU0QG8MHwEi6qjX4hvZWVCHcFfXjq7bbMc/edit?resourcekey#gid=923248883"",""Prop!$CV$1:$DI""),11,0)))))))))))"),"https://drive.google.com/open?id=1vEz062dgB9LxNEy18HNrHDPiwEng0jkE")</f>
        <v>https://drive.google.com/open?id=1vEz062dgB9LxNEy18HNrHDPiwEng0jkE</v>
      </c>
      <c r="Q34" s="7" t="str">
        <f ca="1">IFERROR(__xludf.DUMMYFUNCTION("iferror(vlookup(B34,importrange(""https://docs.google.com/spreadsheets/d/1p53T2AuvvIqhP7Nf-bo3Uhj8cbKYRPpZdsrBv3x3bAQ/edit?resourcekey#gid=1321652304"",""Prop!$C$1:$M""),11,0),IFERROR(vlookup(B34,importrange(""https://docs.google.com/spreadsheets/d/1p53T2"&amp;"AuvvIqhP7Nf-bo3Uhj8cbKYRPpZdsrBv3x3bAQ/edit?resourcekey#gid=1321652304"",""Prop!$N$1:$X""),11,0),iferror(vlookup(B34,importrange(""https://docs.google.com/spreadsheets/d/1p53T2AuvvIqhP7Nf-bo3Uhj8cbKYRPpZdsrBv3x3bAQ/edit?resourcekey#gid=1321652304"",""Prop"&amp;"!$Y$1:$AI""),11,0),iferror(vlookup(B34,importrange(""https://docs.google.com/spreadsheets/d/1p53T2AuvvIqhP7Nf-bo3Uhj8cbKYRPpZdsrBv3x3bAQ/edit?resourcekey#gid=1321652304"",""Prop!$AJ$1:$AT""),11,0),iferror(vlookup(B34,importrange(""https://docs.google.com/"&amp;"spreadsheets/d/1p53T2AuvvIqhP7Nf-bo3Uhj8cbKYRPpZdsrBv3x3bAQ/edit?resourcekey#gid=1321652304"",""Prop!$AU$1:$BE""),11,0),iferror(vlookup(B34,importrange(""https://docs.google.com/spreadsheets/d/1p53T2AuvvIqhP7Nf-bo3Uhj8cbKYRPpZdsrBv3x3bAQ/edit?resourcekey#"&amp;"gid=1321652304"",""Prop!$BF$1:$BP""),11,0),iferror(vlookup(B34,importrange(""https://docs.google.com/spreadsheets/d/1p53T2AuvvIqhP7Nf-bo3Uhj8cbKYRPpZdsrBv3x3bAQ/edit?resourcekey#gid=1321652304"",""Prop!$BQ$1:$CA""),11,0),iferror(vlookup(B34,importrange("""&amp;"https://docs.google.com/spreadsheets/d/1p53T2AuvvIqhP7Nf-bo3Uhj8cbKYRPpZdsrBv3x3bAQ/edit?resourcekey#gid=1321652304"",""Prop!$CB$1:$CL""),11,0),iferror(vlookup(B34,importrange(""https://docs.google.com/spreadsheets/d/1p53T2AuvvIqhP7Nf-bo3Uhj8cbKYRPpZdsrBv"&amp;"3x3bAQ/edit?resourcekey#gid=1321652304"",""Prop!$CM$1:$CX""),12,0),iferror(vlookup(B34,importrange(""https://docs.google.com/spreadsheets/d/1p53T2AuvvIqhP7Nf-bo3Uhj8cbKYRPpZdsrBv3x3bAQ/edit?resourcekey#gid=1321652304"",""Prop!$CY$1:$DI""),11,0)))))))))))"),"https://drive.google.com/open?id=1muN8zOHz7uAKttx7EpYrZLYvxneg0e8i")</f>
        <v>https://drive.google.com/open?id=1muN8zOHz7uAKttx7EpYrZLYvxneg0e8i</v>
      </c>
      <c r="R34" s="20" t="s">
        <v>946</v>
      </c>
      <c r="S34" s="20" t="str">
        <f ca="1">IFERROR(__xludf.DUMMYFUNCTION("IFERROR(vlookup(B34,IMPORTRANGE(""https://docs.google.com/spreadsheets/d/1g_jfYYK_KeipEDNDUgqgrsxK94XiocfNQIcP-v1QVhI/edit?resourcekey#gid=233272945"",""Nilai!B:CT""),21,0),"" "")"),"daftar isi spasi masih 1.5, belum 1.15; latar belakang tidak memunculkan kecemerlangan BISNIS; jumlah halaman lebih dr 10; lampiran masih februari, ganti ke maret; prinsip ide bukan menampilkan bisnis, melainkan cenderung ke KC")</f>
        <v>daftar isi spasi masih 1.5, belum 1.15; latar belakang tidak memunculkan kecemerlangan BISNIS; jumlah halaman lebih dr 10; lampiran masih februari, ganti ke maret; prinsip ide bukan menampilkan bisnis, melainkan cenderung ke KC</v>
      </c>
      <c r="T34" s="20" t="str">
        <f ca="1">IFERROR(__xludf.DUMMYFUNCTION("IFERROR(vlookup(B34,IMPORTRANGE(""https://docs.google.com/spreadsheets/d/1g_jfYYK_KeipEDNDUgqgrsxK94XiocfNQIcP-v1QVhI/edit?resourcekey#gid=233272945"",""Nilai!B:CT""),97,0),"" "")"),"TIDAK LAYAK UPLOAD KE SIMBELMAWA")</f>
        <v>TIDAK LAYAK UPLOAD KE SIMBELMAWA</v>
      </c>
      <c r="U34" s="35" t="s">
        <v>965</v>
      </c>
      <c r="V34" s="85" t="s">
        <v>947</v>
      </c>
      <c r="W34" s="17" t="s">
        <v>970</v>
      </c>
      <c r="X34" s="34" t="b">
        <v>0</v>
      </c>
    </row>
    <row r="35" spans="1:24">
      <c r="A35" s="15">
        <v>34</v>
      </c>
      <c r="B35" s="15">
        <f ca="1">IFERROR(__xludf.DUMMYFUNCTION("""COMPUTED_VALUE"""),2782)</f>
        <v>2782</v>
      </c>
      <c r="C35" s="16" t="str">
        <f ca="1">IFERROR(__xludf.DUMMYFUNCTION("""COMPUTED_VALUE"""),"SARLA INTAN CAHYANI")</f>
        <v>SARLA INTAN CAHYANI</v>
      </c>
      <c r="D35" s="16" t="str">
        <f ca="1">IFERROR(__xludf.DUMMYFUNCTION("""COMPUTED_VALUE"""),"5014211011")</f>
        <v>5014211011</v>
      </c>
      <c r="E35" s="16" t="str">
        <f ca="1">IFERROR(__xludf.DUMMYFUNCTION("""COMPUTED_VALUE"""),"Departemen Teknik Lingkungan")</f>
        <v>Departemen Teknik Lingkungan</v>
      </c>
      <c r="F35" s="16" t="str">
        <f ca="1">IFERROR(__xludf.DUMMYFUNCTION("""COMPUTED_VALUE"""),"Bubble Wrap Eco-Friendly Sebagai Upaya Pengurangan 
Sampah Plastik Akibat Meningkatnya Aktivitas Jual Beli Online")</f>
        <v>Bubble Wrap Eco-Friendly Sebagai Upaya Pengurangan 
Sampah Plastik Akibat Meningkatnya Aktivitas Jual Beli Online</v>
      </c>
      <c r="G35" s="16" t="str">
        <f ca="1">IFERROR(__xludf.DUMMYFUNCTION("""COMPUTED_VALUE"""),"Deqi Rizkivia Radita, S.T., M.Sc.")</f>
        <v>Deqi Rizkivia Radita, S.T., M.Sc.</v>
      </c>
      <c r="H35" s="16" t="str">
        <f ca="1">IFERROR(__xludf.DUMMYFUNCTION("""COMPUTED_VALUE"""),"Gita Widi Bhawika, S.ST., M.MT")</f>
        <v>Gita Widi Bhawika, S.ST., M.MT</v>
      </c>
      <c r="I35" s="16" t="str">
        <f ca="1">IFERROR(__xludf.DUMMYFUNCTION("""COMPUTED_VALUE"""),"R.Eka Rizkiantono, S.Sn, M.Ds")</f>
        <v>R.Eka Rizkiantono, S.Sn, M.Ds</v>
      </c>
      <c r="J35" s="16"/>
      <c r="K35" s="17" t="s">
        <v>969</v>
      </c>
      <c r="L35" s="17" t="s">
        <v>971</v>
      </c>
      <c r="M35" s="19" t="b">
        <v>0</v>
      </c>
      <c r="N35" s="19" t="b">
        <v>0</v>
      </c>
      <c r="O35" s="1" t="s">
        <v>972</v>
      </c>
      <c r="P35" s="1" t="str">
        <f ca="1">IFERROR(__xludf.DUMMYFUNCTION("iferror(vlookup(B35,importrange(""https://docs.google.com/spreadsheets/d/1boHyJQ4e2FU0QG8MHwEi6qjX4hvZWVCHcFfXjq7bbMc/edit?resourcekey#gid=923248883"",""Prop!$C$1:$M""),12,0),IFERROR(vlookup(B35,importrange(""https://docs.google.com/spreadsheets/d/1boHyJQ"&amp;"4e2FU0QG8MHwEi6qjX4hvZWVCHcFfXjq7bbMc/edit?resourcekey#gid=923248883"",""Prop!$N$1:$X""),11,0),iferror(vlookup(B35,importrange(""https://docs.google.com/spreadsheets/d/1boHyJQ4e2FU0QG8MHwEi6qjX4hvZWVCHcFfXjq7bbMc/edit?resourcekey#gid=923248883"",""Prop!$Y"&amp;"$1:$AI""),11,0),iferror(vlookup(B35,importrange(""https://docs.google.com/spreadsheets/d/1boHyJQ4e2FU0QG8MHwEi6qjX4hvZWVCHcFfXjq7bbMc/edit?resourcekey#gid=923248883"",""Prop!$AJ$1:$AT""),11,0),iferror(vlookup(B35,importrange(""https://docs.google.com/spre"&amp;"adsheets/d/1boHyJQ4e2FU0QG8MHwEi6qjX4hvZWVCHcFfXjq7bbMc/edit?resourcekey#gid=923248883"",""Prop!$AU$1:$BE""),11,0),iferror(vlookup(B35,importrange(""https://docs.google.com/spreadsheets/d/1boHyJQ4e2FU0QG8MHwEi6qjX4hvZWVCHcFfXjq7bbMc/edit?resourcekey#gid=9"&amp;"23248883"",""Prop!$BF$1:$BP""),11,0),iferror(vlookup(B35,importrange(""https://docs.google.com/spreadsheets/d/1boHyJQ4e2FU0QG8MHwEi6qjX4hvZWVCHcFfXjq7bbMc/edit?resourcekey#gid=923248883"",""Prop!$BQ$1:$CA""),11,0),iferror(vlookup(B35,importrange(""https:/"&amp;"/docs.google.com/spreadsheets/d/1boHyJQ4e2FU0QG8MHwEi6qjX4hvZWVCHcFfXjq7bbMc/edit?resourcekey#gid=923248883"",""Prop!$CB$1:$CL""),11,0),iferror(vlookup(B35,importrange(""https://docs.google.com/spreadsheets/d/1boHyJQ4e2FU0QG8MHwEi6qjX4hvZWVCHcFfXjq7bbMc/e"&amp;"dit?resourcekey#gid=923248883"",""Prop!$CM$1:$CX""),12,0),iferror(vlookup(B35,importrange(""https://docs.google.com/spreadsheets/d/1boHyJQ4e2FU0QG8MHwEi6qjX4hvZWVCHcFfXjq7bbMc/edit?resourcekey#gid=923248883"",""Prop!$CV$1:$DI""),11,0)))))))))))"),"")</f>
        <v/>
      </c>
      <c r="Q35" s="7" t="str">
        <f ca="1">IFERROR(__xludf.DUMMYFUNCTION("iferror(vlookup(B35,importrange(""https://docs.google.com/spreadsheets/d/1p53T2AuvvIqhP7Nf-bo3Uhj8cbKYRPpZdsrBv3x3bAQ/edit?resourcekey#gid=1321652304"",""Prop!$C$1:$M""),11,0),IFERROR(vlookup(B35,importrange(""https://docs.google.com/spreadsheets/d/1p53T2"&amp;"AuvvIqhP7Nf-bo3Uhj8cbKYRPpZdsrBv3x3bAQ/edit?resourcekey#gid=1321652304"",""Prop!$N$1:$X""),11,0),iferror(vlookup(B35,importrange(""https://docs.google.com/spreadsheets/d/1p53T2AuvvIqhP7Nf-bo3Uhj8cbKYRPpZdsrBv3x3bAQ/edit?resourcekey#gid=1321652304"",""Prop"&amp;"!$Y$1:$AI""),11,0),iferror(vlookup(B35,importrange(""https://docs.google.com/spreadsheets/d/1p53T2AuvvIqhP7Nf-bo3Uhj8cbKYRPpZdsrBv3x3bAQ/edit?resourcekey#gid=1321652304"",""Prop!$AJ$1:$AT""),11,0),iferror(vlookup(B35,importrange(""https://docs.google.com/"&amp;"spreadsheets/d/1p53T2AuvvIqhP7Nf-bo3Uhj8cbKYRPpZdsrBv3x3bAQ/edit?resourcekey#gid=1321652304"",""Prop!$AU$1:$BE""),11,0),iferror(vlookup(B35,importrange(""https://docs.google.com/spreadsheets/d/1p53T2AuvvIqhP7Nf-bo3Uhj8cbKYRPpZdsrBv3x3bAQ/edit?resourcekey#"&amp;"gid=1321652304"",""Prop!$BF$1:$BP""),11,0),iferror(vlookup(B35,importrange(""https://docs.google.com/spreadsheets/d/1p53T2AuvvIqhP7Nf-bo3Uhj8cbKYRPpZdsrBv3x3bAQ/edit?resourcekey#gid=1321652304"",""Prop!$BQ$1:$CA""),11,0),iferror(vlookup(B35,importrange("""&amp;"https://docs.google.com/spreadsheets/d/1p53T2AuvvIqhP7Nf-bo3Uhj8cbKYRPpZdsrBv3x3bAQ/edit?resourcekey#gid=1321652304"",""Prop!$CB$1:$CL""),11,0),iferror(vlookup(B35,importrange(""https://docs.google.com/spreadsheets/d/1p53T2AuvvIqhP7Nf-bo3Uhj8cbKYRPpZdsrBv"&amp;"3x3bAQ/edit?resourcekey#gid=1321652304"",""Prop!$CM$1:$CX""),12,0),iferror(vlookup(B35,importrange(""https://docs.google.com/spreadsheets/d/1p53T2AuvvIqhP7Nf-bo3Uhj8cbKYRPpZdsrBv3x3bAQ/edit?resourcekey#gid=1321652304"",""Prop!$CY$1:$DI""),11,0)))))))))))"),"https://drive.google.com/open?id=1cQxTz4I5fD-a0SSWP58e0MPa5NhiYx6Q")</f>
        <v>https://drive.google.com/open?id=1cQxTz4I5fD-a0SSWP58e0MPa5NhiYx6Q</v>
      </c>
      <c r="R35" s="20" t="s">
        <v>946</v>
      </c>
      <c r="S35" s="20" t="str">
        <f ca="1">IFERROR(__xludf.DUMMYFUNCTION("IFERROR(vlookup(B35,IMPORTRANGE(""https://docs.google.com/spreadsheets/d/1g_jfYYK_KeipEDNDUgqgrsxK94XiocfNQIcP-v1QVhI/edit?resourcekey#gid=233272945"",""Nilai!B:CT""),21,0),"" "")"),"Anggaran masih 10 jt, daftar isi masih spasi 1.5; kelayakan bisnis kurang, krn sifatnya masih eksperimental")</f>
        <v>Anggaran masih 10 jt, daftar isi masih spasi 1.5; kelayakan bisnis kurang, krn sifatnya masih eksperimental</v>
      </c>
      <c r="T35" s="20" t="str">
        <f ca="1">IFERROR(__xludf.DUMMYFUNCTION("IFERROR(vlookup(B35,IMPORTRANGE(""https://docs.google.com/spreadsheets/d/1g_jfYYK_KeipEDNDUgqgrsxK94XiocfNQIcP-v1QVhI/edit?resourcekey#gid=233272945"",""Nilai!B:CT""),97,0),"" "")"),"TIDAK LAYAK UPLOAD KE SIMBELMAWA")</f>
        <v>TIDAK LAYAK UPLOAD KE SIMBELMAWA</v>
      </c>
      <c r="U35" s="35" t="s">
        <v>965</v>
      </c>
      <c r="V35" s="85" t="s">
        <v>947</v>
      </c>
      <c r="W35" s="17" t="s">
        <v>970</v>
      </c>
      <c r="X35" s="34" t="b">
        <v>0</v>
      </c>
    </row>
    <row r="36" spans="1:24">
      <c r="A36" s="15">
        <v>35</v>
      </c>
      <c r="B36" s="15">
        <f ca="1">IFERROR(__xludf.DUMMYFUNCTION("""COMPUTED_VALUE"""),2362)</f>
        <v>2362</v>
      </c>
      <c r="C36" s="16" t="str">
        <f ca="1">IFERROR(__xludf.DUMMYFUNCTION("""COMPUTED_VALUE"""),"Nur Azmina Aisyah")</f>
        <v>Nur Azmina Aisyah</v>
      </c>
      <c r="D36" s="16" t="str">
        <f ca="1">IFERROR(__xludf.DUMMYFUNCTION("""COMPUTED_VALUE"""),"5005211071")</f>
        <v>5005211071</v>
      </c>
      <c r="E36" s="16" t="str">
        <f ca="1">IFERROR(__xludf.DUMMYFUNCTION("""COMPUTED_VALUE"""),"Departemen Biologi")</f>
        <v>Departemen Biologi</v>
      </c>
      <c r="F36" s="16" t="str">
        <f ca="1">IFERROR(__xludf.DUMMYFUNCTION("""COMPUTED_VALUE"""),"eFSun : Lotion Tabir Surya dari Kulit Pisang Raja sebagai Upaya Pemanfaatan Sampah Organik menjadi Barang dengan Nilai Jual Tinggi
")</f>
        <v xml:space="preserve">eFSun : Lotion Tabir Surya dari Kulit Pisang Raja sebagai Upaya Pemanfaatan Sampah Organik menjadi Barang dengan Nilai Jual Tinggi
</v>
      </c>
      <c r="G36" s="16" t="str">
        <f ca="1">IFERROR(__xludf.DUMMYFUNCTION("""COMPUTED_VALUE"""),"Kristanti Indah Purwani, S.Si., M.Si.")</f>
        <v>Kristanti Indah Purwani, S.Si., M.Si.</v>
      </c>
      <c r="H36" s="16" t="str">
        <f ca="1">IFERROR(__xludf.DUMMYFUNCTION("""COMPUTED_VALUE"""),"Drs. Bandung Arry Sanjoyo, Mi.Komp.")</f>
        <v>Drs. Bandung Arry Sanjoyo, Mi.Komp.</v>
      </c>
      <c r="I36" s="16" t="str">
        <f ca="1">IFERROR(__xludf.DUMMYFUNCTION("""COMPUTED_VALUE"""),"Lienggar Rahadiantino, S.E., M.Sc")</f>
        <v>Lienggar Rahadiantino, S.E., M.Sc</v>
      </c>
      <c r="J36" s="16"/>
      <c r="K36" s="17" t="s">
        <v>969</v>
      </c>
      <c r="L36" s="23" t="s">
        <v>973</v>
      </c>
      <c r="M36" s="19" t="b">
        <v>1</v>
      </c>
      <c r="N36" s="19" t="b">
        <v>1</v>
      </c>
      <c r="O36" s="1" t="s">
        <v>972</v>
      </c>
      <c r="P36" s="7" t="str">
        <f ca="1">IFERROR(__xludf.DUMMYFUNCTION("iferror(vlookup(B36,importrange(""https://docs.google.com/spreadsheets/d/1boHyJQ4e2FU0QG8MHwEi6qjX4hvZWVCHcFfXjq7bbMc/edit?resourcekey#gid=923248883"",""Prop!$C$1:$M""),12,0),IFERROR(vlookup(B36,importrange(""https://docs.google.com/spreadsheets/d/1boHyJQ"&amp;"4e2FU0QG8MHwEi6qjX4hvZWVCHcFfXjq7bbMc/edit?resourcekey#gid=923248883"",""Prop!$N$1:$X""),11,0),iferror(vlookup(B36,importrange(""https://docs.google.com/spreadsheets/d/1boHyJQ4e2FU0QG8MHwEi6qjX4hvZWVCHcFfXjq7bbMc/edit?resourcekey#gid=923248883"",""Prop!$Y"&amp;"$1:$AI""),11,0),iferror(vlookup(B36,importrange(""https://docs.google.com/spreadsheets/d/1boHyJQ4e2FU0QG8MHwEi6qjX4hvZWVCHcFfXjq7bbMc/edit?resourcekey#gid=923248883"",""Prop!$AJ$1:$AT""),11,0),iferror(vlookup(B36,importrange(""https://docs.google.com/spre"&amp;"adsheets/d/1boHyJQ4e2FU0QG8MHwEi6qjX4hvZWVCHcFfXjq7bbMc/edit?resourcekey#gid=923248883"",""Prop!$AU$1:$BE""),11,0),iferror(vlookup(B36,importrange(""https://docs.google.com/spreadsheets/d/1boHyJQ4e2FU0QG8MHwEi6qjX4hvZWVCHcFfXjq7bbMc/edit?resourcekey#gid=9"&amp;"23248883"",""Prop!$BF$1:$BP""),11,0),iferror(vlookup(B36,importrange(""https://docs.google.com/spreadsheets/d/1boHyJQ4e2FU0QG8MHwEi6qjX4hvZWVCHcFfXjq7bbMc/edit?resourcekey#gid=923248883"",""Prop!$BQ$1:$CA""),11,0),iferror(vlookup(B36,importrange(""https:/"&amp;"/docs.google.com/spreadsheets/d/1boHyJQ4e2FU0QG8MHwEi6qjX4hvZWVCHcFfXjq7bbMc/edit?resourcekey#gid=923248883"",""Prop!$CB$1:$CL""),11,0),iferror(vlookup(B36,importrange(""https://docs.google.com/spreadsheets/d/1boHyJQ4e2FU0QG8MHwEi6qjX4hvZWVCHcFfXjq7bbMc/e"&amp;"dit?resourcekey#gid=923248883"",""Prop!$CM$1:$CX""),12,0),iferror(vlookup(B36,importrange(""https://docs.google.com/spreadsheets/d/1boHyJQ4e2FU0QG8MHwEi6qjX4hvZWVCHcFfXjq7bbMc/edit?resourcekey#gid=923248883"",""Prop!$CV$1:$DI""),11,0)))))))))))"),"https://drive.google.com/open?id=1wiX8zhc0Dpj2Kq_QH-tr7bHrxVUZH_1A")</f>
        <v>https://drive.google.com/open?id=1wiX8zhc0Dpj2Kq_QH-tr7bHrxVUZH_1A</v>
      </c>
      <c r="Q36" s="7" t="str">
        <f ca="1">IFERROR(__xludf.DUMMYFUNCTION("iferror(vlookup(B36,importrange(""https://docs.google.com/spreadsheets/d/1p53T2AuvvIqhP7Nf-bo3Uhj8cbKYRPpZdsrBv3x3bAQ/edit?resourcekey#gid=1321652304"",""Prop!$C$1:$M""),11,0),IFERROR(vlookup(B36,importrange(""https://docs.google.com/spreadsheets/d/1p53T2"&amp;"AuvvIqhP7Nf-bo3Uhj8cbKYRPpZdsrBv3x3bAQ/edit?resourcekey#gid=1321652304"",""Prop!$N$1:$X""),11,0),iferror(vlookup(B36,importrange(""https://docs.google.com/spreadsheets/d/1p53T2AuvvIqhP7Nf-bo3Uhj8cbKYRPpZdsrBv3x3bAQ/edit?resourcekey#gid=1321652304"",""Prop"&amp;"!$Y$1:$AI""),11,0),iferror(vlookup(B36,importrange(""https://docs.google.com/spreadsheets/d/1p53T2AuvvIqhP7Nf-bo3Uhj8cbKYRPpZdsrBv3x3bAQ/edit?resourcekey#gid=1321652304"",""Prop!$AJ$1:$AT""),11,0),iferror(vlookup(B36,importrange(""https://docs.google.com/"&amp;"spreadsheets/d/1p53T2AuvvIqhP7Nf-bo3Uhj8cbKYRPpZdsrBv3x3bAQ/edit?resourcekey#gid=1321652304"",""Prop!$AU$1:$BE""),11,0),iferror(vlookup(B36,importrange(""https://docs.google.com/spreadsheets/d/1p53T2AuvvIqhP7Nf-bo3Uhj8cbKYRPpZdsrBv3x3bAQ/edit?resourcekey#"&amp;"gid=1321652304"",""Prop!$BF$1:$BP""),11,0),iferror(vlookup(B36,importrange(""https://docs.google.com/spreadsheets/d/1p53T2AuvvIqhP7Nf-bo3Uhj8cbKYRPpZdsrBv3x3bAQ/edit?resourcekey#gid=1321652304"",""Prop!$BQ$1:$CA""),11,0),iferror(vlookup(B36,importrange("""&amp;"https://docs.google.com/spreadsheets/d/1p53T2AuvvIqhP7Nf-bo3Uhj8cbKYRPpZdsrBv3x3bAQ/edit?resourcekey#gid=1321652304"",""Prop!$CB$1:$CL""),11,0),iferror(vlookup(B36,importrange(""https://docs.google.com/spreadsheets/d/1p53T2AuvvIqhP7Nf-bo3Uhj8cbKYRPpZdsrBv"&amp;"3x3bAQ/edit?resourcekey#gid=1321652304"",""Prop!$CM$1:$CX""),12,0),iferror(vlookup(B36,importrange(""https://docs.google.com/spreadsheets/d/1p53T2AuvvIqhP7Nf-bo3Uhj8cbKYRPpZdsrBv3x3bAQ/edit?resourcekey#gid=1321652304"",""Prop!$CY$1:$DI""),11,0)))))))))))"),"https://drive.google.com/open?id=1cC7D6SpI6teUYvdlOex2DbaEjbTe-LqB")</f>
        <v>https://drive.google.com/open?id=1cC7D6SpI6teUYvdlOex2DbaEjbTe-LqB</v>
      </c>
      <c r="R36" s="20" t="s">
        <v>946</v>
      </c>
      <c r="S36" s="20" t="str">
        <f ca="1">IFERROR(__xludf.DUMMYFUNCTION("IFERROR(vlookup(B36,IMPORTRANGE(""https://docs.google.com/spreadsheets/d/1g_jfYYK_KeipEDNDUgqgrsxK94XiocfNQIcP-v1QVhI/edit?resourcekey#gid=233272945"",""Nilai!B:CT""),21,0),"" "")"),"masih melakukan uji, belum menjadi PKMK; masih terlalu fokus pada pembuatan, belum pada bisnis")</f>
        <v>masih melakukan uji, belum menjadi PKMK; masih terlalu fokus pada pembuatan, belum pada bisnis</v>
      </c>
      <c r="T36" s="20" t="str">
        <f ca="1">IFERROR(__xludf.DUMMYFUNCTION("IFERROR(vlookup(B36,IMPORTRANGE(""https://docs.google.com/spreadsheets/d/1g_jfYYK_KeipEDNDUgqgrsxK94XiocfNQIcP-v1QVhI/edit?resourcekey#gid=233272945"",""Nilai!B:CT""),97,0),"" "")"),"TIDAK LAYAK UPLOAD KE SIMBELMAWA")</f>
        <v>TIDAK LAYAK UPLOAD KE SIMBELMAWA</v>
      </c>
      <c r="U36" s="35" t="s">
        <v>965</v>
      </c>
      <c r="V36" s="85" t="s">
        <v>947</v>
      </c>
      <c r="W36" s="18" t="s">
        <v>974</v>
      </c>
      <c r="X36" s="34" t="s">
        <v>949</v>
      </c>
    </row>
    <row r="37" spans="1:24">
      <c r="A37" s="15">
        <v>36</v>
      </c>
      <c r="B37" s="15">
        <f ca="1">IFERROR(__xludf.DUMMYFUNCTION("""COMPUTED_VALUE"""),2439)</f>
        <v>2439</v>
      </c>
      <c r="C37" s="16" t="str">
        <f ca="1">IFERROR(__xludf.DUMMYFUNCTION("""COMPUTED_VALUE"""),"Firzan Aulia Pasya")</f>
        <v>Firzan Aulia Pasya</v>
      </c>
      <c r="D37" s="16" t="str">
        <f ca="1">IFERROR(__xludf.DUMMYFUNCTION("""COMPUTED_VALUE"""),"5006211003")</f>
        <v>5006211003</v>
      </c>
      <c r="E37" s="16" t="str">
        <f ca="1">IFERROR(__xludf.DUMMYFUNCTION("""COMPUTED_VALUE"""),"Departemen Aktuaria")</f>
        <v>Departemen Aktuaria</v>
      </c>
      <c r="F37" s="16" t="str">
        <f ca="1">IFERROR(__xludf.DUMMYFUNCTION("""COMPUTED_VALUE"""),"Sabun Mandi Berbahan Dasar Minyak Jelantah Untuk Mengurangi Limbah Minyak Jelantah")</f>
        <v>Sabun Mandi Berbahan Dasar Minyak Jelantah Untuk Mengurangi Limbah Minyak Jelantah</v>
      </c>
      <c r="G37" s="16" t="str">
        <f ca="1">IFERROR(__xludf.DUMMYFUNCTION("""COMPUTED_VALUE"""),"Dr. Drs. Soehardjoepri, M.Si.")</f>
        <v>Dr. Drs. Soehardjoepri, M.Si.</v>
      </c>
      <c r="H37" s="16" t="str">
        <f ca="1">IFERROR(__xludf.DUMMYFUNCTION("""COMPUTED_VALUE"""),"Gita Widi Bhawika, S.ST., M.MT")</f>
        <v>Gita Widi Bhawika, S.ST., M.MT</v>
      </c>
      <c r="I37" s="16" t="str">
        <f ca="1">IFERROR(__xludf.DUMMYFUNCTION("""COMPUTED_VALUE"""),"Atikah Aghdhi Pratiwi, S.T., M.T.")</f>
        <v>Atikah Aghdhi Pratiwi, S.T., M.T.</v>
      </c>
      <c r="J37" s="16"/>
      <c r="K37" s="17" t="s">
        <v>969</v>
      </c>
      <c r="L37" s="23" t="s">
        <v>973</v>
      </c>
      <c r="M37" s="19" t="b">
        <v>0</v>
      </c>
      <c r="N37" s="19" t="b">
        <v>0</v>
      </c>
      <c r="O37" s="1" t="s">
        <v>972</v>
      </c>
      <c r="P37" s="7" t="str">
        <f ca="1">IFERROR(__xludf.DUMMYFUNCTION("iferror(vlookup(B37,importrange(""https://docs.google.com/spreadsheets/d/1boHyJQ4e2FU0QG8MHwEi6qjX4hvZWVCHcFfXjq7bbMc/edit?resourcekey#gid=923248883"",""Prop!$C$1:$M""),12,0),IFERROR(vlookup(B37,importrange(""https://docs.google.com/spreadsheets/d/1boHyJQ"&amp;"4e2FU0QG8MHwEi6qjX4hvZWVCHcFfXjq7bbMc/edit?resourcekey#gid=923248883"",""Prop!$N$1:$X""),11,0),iferror(vlookup(B37,importrange(""https://docs.google.com/spreadsheets/d/1boHyJQ4e2FU0QG8MHwEi6qjX4hvZWVCHcFfXjq7bbMc/edit?resourcekey#gid=923248883"",""Prop!$Y"&amp;"$1:$AI""),11,0),iferror(vlookup(B37,importrange(""https://docs.google.com/spreadsheets/d/1boHyJQ4e2FU0QG8MHwEi6qjX4hvZWVCHcFfXjq7bbMc/edit?resourcekey#gid=923248883"",""Prop!$AJ$1:$AT""),11,0),iferror(vlookup(B37,importrange(""https://docs.google.com/spre"&amp;"adsheets/d/1boHyJQ4e2FU0QG8MHwEi6qjX4hvZWVCHcFfXjq7bbMc/edit?resourcekey#gid=923248883"",""Prop!$AU$1:$BE""),11,0),iferror(vlookup(B37,importrange(""https://docs.google.com/spreadsheets/d/1boHyJQ4e2FU0QG8MHwEi6qjX4hvZWVCHcFfXjq7bbMc/edit?resourcekey#gid=9"&amp;"23248883"",""Prop!$BF$1:$BP""),11,0),iferror(vlookup(B37,importrange(""https://docs.google.com/spreadsheets/d/1boHyJQ4e2FU0QG8MHwEi6qjX4hvZWVCHcFfXjq7bbMc/edit?resourcekey#gid=923248883"",""Prop!$BQ$1:$CA""),11,0),iferror(vlookup(B37,importrange(""https:/"&amp;"/docs.google.com/spreadsheets/d/1boHyJQ4e2FU0QG8MHwEi6qjX4hvZWVCHcFfXjq7bbMc/edit?resourcekey#gid=923248883"",""Prop!$CB$1:$CL""),11,0),iferror(vlookup(B37,importrange(""https://docs.google.com/spreadsheets/d/1boHyJQ4e2FU0QG8MHwEi6qjX4hvZWVCHcFfXjq7bbMc/e"&amp;"dit?resourcekey#gid=923248883"",""Prop!$CM$1:$CX""),12,0),iferror(vlookup(B37,importrange(""https://docs.google.com/spreadsheets/d/1boHyJQ4e2FU0QG8MHwEi6qjX4hvZWVCHcFfXjq7bbMc/edit?resourcekey#gid=923248883"",""Prop!$CV$1:$DI""),11,0)))))))))))"),"https://drive.google.com/open?id=1vXUuk50vBajrbh4uTyXsllYICMTPvIRs")</f>
        <v>https://drive.google.com/open?id=1vXUuk50vBajrbh4uTyXsllYICMTPvIRs</v>
      </c>
      <c r="Q37" s="1" t="str">
        <f ca="1">IFERROR(__xludf.DUMMYFUNCTION("iferror(vlookup(B37,importrange(""https://docs.google.com/spreadsheets/d/1p53T2AuvvIqhP7Nf-bo3Uhj8cbKYRPpZdsrBv3x3bAQ/edit?resourcekey#gid=1321652304"",""Prop!$C$1:$M""),11,0),IFERROR(vlookup(B37,importrange(""https://docs.google.com/spreadsheets/d/1p53T2"&amp;"AuvvIqhP7Nf-bo3Uhj8cbKYRPpZdsrBv3x3bAQ/edit?resourcekey#gid=1321652304"",""Prop!$N$1:$X""),11,0),iferror(vlookup(B37,importrange(""https://docs.google.com/spreadsheets/d/1p53T2AuvvIqhP7Nf-bo3Uhj8cbKYRPpZdsrBv3x3bAQ/edit?resourcekey#gid=1321652304"",""Prop"&amp;"!$Y$1:$AI""),11,0),iferror(vlookup(B37,importrange(""https://docs.google.com/spreadsheets/d/1p53T2AuvvIqhP7Nf-bo3Uhj8cbKYRPpZdsrBv3x3bAQ/edit?resourcekey#gid=1321652304"",""Prop!$AJ$1:$AT""),11,0),iferror(vlookup(B37,importrange(""https://docs.google.com/"&amp;"spreadsheets/d/1p53T2AuvvIqhP7Nf-bo3Uhj8cbKYRPpZdsrBv3x3bAQ/edit?resourcekey#gid=1321652304"",""Prop!$AU$1:$BE""),11,0),iferror(vlookup(B37,importrange(""https://docs.google.com/spreadsheets/d/1p53T2AuvvIqhP7Nf-bo3Uhj8cbKYRPpZdsrBv3x3bAQ/edit?resourcekey#"&amp;"gid=1321652304"",""Prop!$BF$1:$BP""),11,0),iferror(vlookup(B37,importrange(""https://docs.google.com/spreadsheets/d/1p53T2AuvvIqhP7Nf-bo3Uhj8cbKYRPpZdsrBv3x3bAQ/edit?resourcekey#gid=1321652304"",""Prop!$BQ$1:$CA""),11,0),iferror(vlookup(B37,importrange("""&amp;"https://docs.google.com/spreadsheets/d/1p53T2AuvvIqhP7Nf-bo3Uhj8cbKYRPpZdsrBv3x3bAQ/edit?resourcekey#gid=1321652304"",""Prop!$CB$1:$CL""),11,0),iferror(vlookup(B37,importrange(""https://docs.google.com/spreadsheets/d/1p53T2AuvvIqhP7Nf-bo3Uhj8cbKYRPpZdsrBv"&amp;"3x3bAQ/edit?resourcekey#gid=1321652304"",""Prop!$CM$1:$CX""),12,0),iferror(vlookup(B37,importrange(""https://docs.google.com/spreadsheets/d/1p53T2AuvvIqhP7Nf-bo3Uhj8cbKYRPpZdsrBv3x3bAQ/edit?resourcekey#gid=1321652304"",""Prop!$CY$1:$DI""),11,0)))))))))))"),"")</f>
        <v/>
      </c>
      <c r="R37" s="20" t="s">
        <v>946</v>
      </c>
      <c r="S37" s="20" t="str">
        <f ca="1">IFERROR(__xludf.DUMMYFUNCTION("IFERROR(vlookup(B37,IMPORTRANGE(""https://docs.google.com/spreadsheets/d/1g_jfYYK_KeipEDNDUgqgrsxK94XiocfNQIcP-v1QVhI/edit?resourcekey#gid=233272945"",""Nilai!B:CT""),21,0),"" "")"),"Kreativitas tidak muncul; format penulisan tidak mengikuti panduan; ttd di lampiran crop")</f>
        <v>Kreativitas tidak muncul; format penulisan tidak mengikuti panduan; ttd di lampiran crop</v>
      </c>
      <c r="T37" s="20" t="str">
        <f ca="1">IFERROR(__xludf.DUMMYFUNCTION("IFERROR(vlookup(B37,IMPORTRANGE(""https://docs.google.com/spreadsheets/d/1g_jfYYK_KeipEDNDUgqgrsxK94XiocfNQIcP-v1QVhI/edit?resourcekey#gid=233272945"",""Nilai!B:CT""),97,0),"" "")"),"TIDAK LAYAK UPLOAD KE SIMBELMAWA")</f>
        <v>TIDAK LAYAK UPLOAD KE SIMBELMAWA</v>
      </c>
      <c r="U37" s="35" t="s">
        <v>965</v>
      </c>
      <c r="V37" s="85" t="s">
        <v>947</v>
      </c>
      <c r="W37" s="18" t="s">
        <v>974</v>
      </c>
      <c r="X37" s="34" t="b">
        <v>0</v>
      </c>
    </row>
    <row r="38" spans="1:24">
      <c r="A38" s="15">
        <v>37</v>
      </c>
      <c r="B38" s="15">
        <f ca="1">IFERROR(__xludf.DUMMYFUNCTION("""COMPUTED_VALUE"""),3909)</f>
        <v>3909</v>
      </c>
      <c r="C38" s="16" t="str">
        <f ca="1">IFERROR(__xludf.DUMMYFUNCTION("""COMPUTED_VALUE"""),"MUZAKI KURNIANTO")</f>
        <v>MUZAKI KURNIANTO</v>
      </c>
      <c r="D38" s="16" t="str">
        <f ca="1">IFERROR(__xludf.DUMMYFUNCTION("""COMPUTED_VALUE"""),"5014201079")</f>
        <v>5014201079</v>
      </c>
      <c r="E38" s="16" t="str">
        <f ca="1">IFERROR(__xludf.DUMMYFUNCTION("""COMPUTED_VALUE"""),"Departemen Teknik Lingkungan")</f>
        <v>Departemen Teknik Lingkungan</v>
      </c>
      <c r="F38" s="16" t="str">
        <f ca="1">IFERROR(__xludf.DUMMYFUNCTION("""COMPUTED_VALUE"""),"Inovasi Spray Antinyamuk Multifungsi Ramah Lingkungan dari Limbah Kulit Pisang Kepok dalam Upaya Pencegahan Kasus Demam Berdarah")</f>
        <v>Inovasi Spray Antinyamuk Multifungsi Ramah Lingkungan dari Limbah Kulit Pisang Kepok dalam Upaya Pencegahan Kasus Demam Berdarah</v>
      </c>
      <c r="G38" s="16" t="str">
        <f ca="1">IFERROR(__xludf.DUMMYFUNCTION("""COMPUTED_VALUE"""),"Prof. Dr. Dra Fahimah Martak, M.Si")</f>
        <v>Prof. Dr. Dra Fahimah Martak, M.Si</v>
      </c>
      <c r="H38" s="16" t="str">
        <f ca="1">IFERROR(__xludf.DUMMYFUNCTION("""COMPUTED_VALUE"""),"Dr. Dhany Arifianto, S.T., M.Eng.")</f>
        <v>Dr. Dhany Arifianto, S.T., M.Eng.</v>
      </c>
      <c r="I38" s="16" t="str">
        <f ca="1">IFERROR(__xludf.DUMMYFUNCTION("""COMPUTED_VALUE"""),"Ir. Agus Surono, M.T.")</f>
        <v>Ir. Agus Surono, M.T.</v>
      </c>
      <c r="J38" s="16"/>
      <c r="K38" s="17" t="s">
        <v>975</v>
      </c>
      <c r="L38" s="23" t="s">
        <v>973</v>
      </c>
      <c r="M38" s="19" t="b">
        <v>1</v>
      </c>
      <c r="N38" s="19" t="b">
        <v>1</v>
      </c>
      <c r="O38" s="1" t="s">
        <v>972</v>
      </c>
      <c r="P38" s="7" t="str">
        <f ca="1">IFERROR(__xludf.DUMMYFUNCTION("iferror(vlookup(B38,importrange(""https://docs.google.com/spreadsheets/d/1boHyJQ4e2FU0QG8MHwEi6qjX4hvZWVCHcFfXjq7bbMc/edit?resourcekey#gid=923248883"",""Prop!$C$1:$M""),12,0),IFERROR(vlookup(B38,importrange(""https://docs.google.com/spreadsheets/d/1boHyJQ"&amp;"4e2FU0QG8MHwEi6qjX4hvZWVCHcFfXjq7bbMc/edit?resourcekey#gid=923248883"",""Prop!$N$1:$X""),11,0),iferror(vlookup(B38,importrange(""https://docs.google.com/spreadsheets/d/1boHyJQ4e2FU0QG8MHwEi6qjX4hvZWVCHcFfXjq7bbMc/edit?resourcekey#gid=923248883"",""Prop!$Y"&amp;"$1:$AI""),11,0),iferror(vlookup(B38,importrange(""https://docs.google.com/spreadsheets/d/1boHyJQ4e2FU0QG8MHwEi6qjX4hvZWVCHcFfXjq7bbMc/edit?resourcekey#gid=923248883"",""Prop!$AJ$1:$AT""),11,0),iferror(vlookup(B38,importrange(""https://docs.google.com/spre"&amp;"adsheets/d/1boHyJQ4e2FU0QG8MHwEi6qjX4hvZWVCHcFfXjq7bbMc/edit?resourcekey#gid=923248883"",""Prop!$AU$1:$BE""),11,0),iferror(vlookup(B38,importrange(""https://docs.google.com/spreadsheets/d/1boHyJQ4e2FU0QG8MHwEi6qjX4hvZWVCHcFfXjq7bbMc/edit?resourcekey#gid=9"&amp;"23248883"",""Prop!$BF$1:$BP""),11,0),iferror(vlookup(B38,importrange(""https://docs.google.com/spreadsheets/d/1boHyJQ4e2FU0QG8MHwEi6qjX4hvZWVCHcFfXjq7bbMc/edit?resourcekey#gid=923248883"",""Prop!$BQ$1:$CA""),11,0),iferror(vlookup(B38,importrange(""https:/"&amp;"/docs.google.com/spreadsheets/d/1boHyJQ4e2FU0QG8MHwEi6qjX4hvZWVCHcFfXjq7bbMc/edit?resourcekey#gid=923248883"",""Prop!$CB$1:$CL""),11,0),iferror(vlookup(B38,importrange(""https://docs.google.com/spreadsheets/d/1boHyJQ4e2FU0QG8MHwEi6qjX4hvZWVCHcFfXjq7bbMc/e"&amp;"dit?resourcekey#gid=923248883"",""Prop!$CM$1:$CX""),12,0),iferror(vlookup(B38,importrange(""https://docs.google.com/spreadsheets/d/1boHyJQ4e2FU0QG8MHwEi6qjX4hvZWVCHcFfXjq7bbMc/edit?resourcekey#gid=923248883"",""Prop!$CV$1:$DI""),11,0)))))))))))"),"https://drive.google.com/open?id=1tF7r0GzJn8rbjFdON_uWFahaXBjlt5wt")</f>
        <v>https://drive.google.com/open?id=1tF7r0GzJn8rbjFdON_uWFahaXBjlt5wt</v>
      </c>
      <c r="Q38" s="7" t="str">
        <f ca="1">IFERROR(__xludf.DUMMYFUNCTION("iferror(vlookup(B38,importrange(""https://docs.google.com/spreadsheets/d/1p53T2AuvvIqhP7Nf-bo3Uhj8cbKYRPpZdsrBv3x3bAQ/edit?resourcekey#gid=1321652304"",""Prop!$C$1:$M""),11,0),IFERROR(vlookup(B38,importrange(""https://docs.google.com/spreadsheets/d/1p53T2"&amp;"AuvvIqhP7Nf-bo3Uhj8cbKYRPpZdsrBv3x3bAQ/edit?resourcekey#gid=1321652304"",""Prop!$N$1:$X""),11,0),iferror(vlookup(B38,importrange(""https://docs.google.com/spreadsheets/d/1p53T2AuvvIqhP7Nf-bo3Uhj8cbKYRPpZdsrBv3x3bAQ/edit?resourcekey#gid=1321652304"",""Prop"&amp;"!$Y$1:$AI""),11,0),iferror(vlookup(B38,importrange(""https://docs.google.com/spreadsheets/d/1p53T2AuvvIqhP7Nf-bo3Uhj8cbKYRPpZdsrBv3x3bAQ/edit?resourcekey#gid=1321652304"",""Prop!$AJ$1:$AT""),11,0),iferror(vlookup(B38,importrange(""https://docs.google.com/"&amp;"spreadsheets/d/1p53T2AuvvIqhP7Nf-bo3Uhj8cbKYRPpZdsrBv3x3bAQ/edit?resourcekey#gid=1321652304"",""Prop!$AU$1:$BE""),11,0),iferror(vlookup(B38,importrange(""https://docs.google.com/spreadsheets/d/1p53T2AuvvIqhP7Nf-bo3Uhj8cbKYRPpZdsrBv3x3bAQ/edit?resourcekey#"&amp;"gid=1321652304"",""Prop!$BF$1:$BP""),11,0),iferror(vlookup(B38,importrange(""https://docs.google.com/spreadsheets/d/1p53T2AuvvIqhP7Nf-bo3Uhj8cbKYRPpZdsrBv3x3bAQ/edit?resourcekey#gid=1321652304"",""Prop!$BQ$1:$CA""),11,0),iferror(vlookup(B38,importrange("""&amp;"https://docs.google.com/spreadsheets/d/1p53T2AuvvIqhP7Nf-bo3Uhj8cbKYRPpZdsrBv3x3bAQ/edit?resourcekey#gid=1321652304"",""Prop!$CB$1:$CL""),11,0),iferror(vlookup(B38,importrange(""https://docs.google.com/spreadsheets/d/1p53T2AuvvIqhP7Nf-bo3Uhj8cbKYRPpZdsrBv"&amp;"3x3bAQ/edit?resourcekey#gid=1321652304"",""Prop!$CM$1:$CX""),12,0),iferror(vlookup(B38,importrange(""https://docs.google.com/spreadsheets/d/1p53T2AuvvIqhP7Nf-bo3Uhj8cbKYRPpZdsrBv3x3bAQ/edit?resourcekey#gid=1321652304"",""Prop!$CY$1:$DI""),11,0)))))))))))"),"https://drive.google.com/open?id=1OtAFqZwpT_IaukHBHdDlFkURgTRs1hx-")</f>
        <v>https://drive.google.com/open?id=1OtAFqZwpT_IaukHBHdDlFkURgTRs1hx-</v>
      </c>
      <c r="R38" s="20" t="s">
        <v>946</v>
      </c>
      <c r="S38" s="20" t="str">
        <f ca="1">IFERROR(__xludf.DUMMYFUNCTION("IFERROR(vlookup(B38,IMPORTRANGE(""https://docs.google.com/spreadsheets/d/1g_jfYYK_KeipEDNDUgqgrsxK94XiocfNQIcP-v1QVhI/edit?resourcekey#gid=233272945"",""Nilai!B:CT""),21,0),"" "")"),"lampiran masih bulan februari; anggaran masih bisa ditingkatkan")</f>
        <v>lampiran masih bulan februari; anggaran masih bisa ditingkatkan</v>
      </c>
      <c r="T38" s="20" t="str">
        <f ca="1">IFERROR(__xludf.DUMMYFUNCTION("IFERROR(vlookup(B38,IMPORTRANGE(""https://docs.google.com/spreadsheets/d/1g_jfYYK_KeipEDNDUgqgrsxK94XiocfNQIcP-v1QVhI/edit?resourcekey#gid=233272945"",""Nilai!B:CT""),97,0),"" "")"),"LAYAK UPLOAD KE SIMBELMAWA DENGAN REVISI")</f>
        <v>LAYAK UPLOAD KE SIMBELMAWA DENGAN REVISI</v>
      </c>
      <c r="U38" s="35" t="s">
        <v>965</v>
      </c>
      <c r="V38" s="85" t="s">
        <v>947</v>
      </c>
      <c r="W38" s="18" t="s">
        <v>974</v>
      </c>
      <c r="X38" s="34" t="b">
        <v>0</v>
      </c>
    </row>
    <row r="39" spans="1:24">
      <c r="A39" s="15">
        <v>38</v>
      </c>
      <c r="B39" s="15">
        <f ca="1">IFERROR(__xludf.DUMMYFUNCTION("""COMPUTED_VALUE"""),2982)</f>
        <v>2982</v>
      </c>
      <c r="C39" s="16" t="str">
        <f ca="1">IFERROR(__xludf.DUMMYFUNCTION("""COMPUTED_VALUE"""),"MUHAMMAD RAIHAN RAMADHAN")</f>
        <v>MUHAMMAD RAIHAN RAMADHAN</v>
      </c>
      <c r="D39" s="16" t="str">
        <f ca="1">IFERROR(__xludf.DUMMYFUNCTION("""COMPUTED_VALUE"""),"5022201069")</f>
        <v>5022201069</v>
      </c>
      <c r="E39" s="16" t="str">
        <f ca="1">IFERROR(__xludf.DUMMYFUNCTION("""COMPUTED_VALUE"""),"Departemen Teknik Elektro")</f>
        <v>Departemen Teknik Elektro</v>
      </c>
      <c r="F39" s="16" t="str">
        <f ca="1">IFERROR(__xludf.DUMMYFUNCTION("""COMPUTED_VALUE"""),"Tani Pintar: Aplikasi Digital Petani Sebagai Langkah Awal Pendigitalisasian dan Upaya Memberdayakan Petani di Indonesia Guna Mewujudkan Swasembada Pangan Nasional")</f>
        <v>Tani Pintar: Aplikasi Digital Petani Sebagai Langkah Awal Pendigitalisasian dan Upaya Memberdayakan Petani di Indonesia Guna Mewujudkan Swasembada Pangan Nasional</v>
      </c>
      <c r="G39" s="16" t="str">
        <f ca="1">IFERROR(__xludf.DUMMYFUNCTION("""COMPUTED_VALUE"""),"Dr. I Gusti Ngurah Satriyadi Hernanda, S.T., M.T.")</f>
        <v>Dr. I Gusti Ngurah Satriyadi Hernanda, S.T., M.T.</v>
      </c>
      <c r="H39" s="16" t="str">
        <f ca="1">IFERROR(__xludf.DUMMYFUNCTION("""COMPUTED_VALUE"""),"Drs. Bandung Arry Sanjoyo, Mi.Komp.")</f>
        <v>Drs. Bandung Arry Sanjoyo, Mi.Komp.</v>
      </c>
      <c r="I39" s="16" t="str">
        <f ca="1">IFERROR(__xludf.DUMMYFUNCTION("""COMPUTED_VALUE"""),"Wibawati, S.Si., M.Si")</f>
        <v>Wibawati, S.Si., M.Si</v>
      </c>
      <c r="J39" s="16"/>
      <c r="K39" s="17" t="s">
        <v>975</v>
      </c>
      <c r="L39" s="23" t="s">
        <v>973</v>
      </c>
      <c r="M39" s="19" t="b">
        <v>0</v>
      </c>
      <c r="N39" s="19" t="b">
        <v>0</v>
      </c>
      <c r="O39" s="1" t="s">
        <v>972</v>
      </c>
      <c r="P39" s="7" t="str">
        <f ca="1">IFERROR(__xludf.DUMMYFUNCTION("iferror(vlookup(B39,importrange(""https://docs.google.com/spreadsheets/d/1boHyJQ4e2FU0QG8MHwEi6qjX4hvZWVCHcFfXjq7bbMc/edit?resourcekey#gid=923248883"",""Prop!$C$1:$M""),12,0),IFERROR(vlookup(B39,importrange(""https://docs.google.com/spreadsheets/d/1boHyJQ"&amp;"4e2FU0QG8MHwEi6qjX4hvZWVCHcFfXjq7bbMc/edit?resourcekey#gid=923248883"",""Prop!$N$1:$X""),11,0),iferror(vlookup(B39,importrange(""https://docs.google.com/spreadsheets/d/1boHyJQ4e2FU0QG8MHwEi6qjX4hvZWVCHcFfXjq7bbMc/edit?resourcekey#gid=923248883"",""Prop!$Y"&amp;"$1:$AI""),11,0),iferror(vlookup(B39,importrange(""https://docs.google.com/spreadsheets/d/1boHyJQ4e2FU0QG8MHwEi6qjX4hvZWVCHcFfXjq7bbMc/edit?resourcekey#gid=923248883"",""Prop!$AJ$1:$AT""),11,0),iferror(vlookup(B39,importrange(""https://docs.google.com/spre"&amp;"adsheets/d/1boHyJQ4e2FU0QG8MHwEi6qjX4hvZWVCHcFfXjq7bbMc/edit?resourcekey#gid=923248883"",""Prop!$AU$1:$BE""),11,0),iferror(vlookup(B39,importrange(""https://docs.google.com/spreadsheets/d/1boHyJQ4e2FU0QG8MHwEi6qjX4hvZWVCHcFfXjq7bbMc/edit?resourcekey#gid=9"&amp;"23248883"",""Prop!$BF$1:$BP""),11,0),iferror(vlookup(B39,importrange(""https://docs.google.com/spreadsheets/d/1boHyJQ4e2FU0QG8MHwEi6qjX4hvZWVCHcFfXjq7bbMc/edit?resourcekey#gid=923248883"",""Prop!$BQ$1:$CA""),11,0),iferror(vlookup(B39,importrange(""https:/"&amp;"/docs.google.com/spreadsheets/d/1boHyJQ4e2FU0QG8MHwEi6qjX4hvZWVCHcFfXjq7bbMc/edit?resourcekey#gid=923248883"",""Prop!$CB$1:$CL""),11,0),iferror(vlookup(B39,importrange(""https://docs.google.com/spreadsheets/d/1boHyJQ4e2FU0QG8MHwEi6qjX4hvZWVCHcFfXjq7bbMc/e"&amp;"dit?resourcekey#gid=923248883"",""Prop!$CM$1:$CX""),12,0),iferror(vlookup(B39,importrange(""https://docs.google.com/spreadsheets/d/1boHyJQ4e2FU0QG8MHwEi6qjX4hvZWVCHcFfXjq7bbMc/edit?resourcekey#gid=923248883"",""Prop!$CV$1:$DI""),11,0)))))))))))"),"https://drive.google.com/open?id=1UxTMkhmREHV9pdvl0tnat-VkNa40G2Xb")</f>
        <v>https://drive.google.com/open?id=1UxTMkhmREHV9pdvl0tnat-VkNa40G2Xb</v>
      </c>
      <c r="Q39" s="7" t="str">
        <f ca="1">IFERROR(__xludf.DUMMYFUNCTION("iferror(vlookup(B39,importrange(""https://docs.google.com/spreadsheets/d/1p53T2AuvvIqhP7Nf-bo3Uhj8cbKYRPpZdsrBv3x3bAQ/edit?resourcekey#gid=1321652304"",""Prop!$C$1:$M""),11,0),IFERROR(vlookup(B39,importrange(""https://docs.google.com/spreadsheets/d/1p53T2"&amp;"AuvvIqhP7Nf-bo3Uhj8cbKYRPpZdsrBv3x3bAQ/edit?resourcekey#gid=1321652304"",""Prop!$N$1:$X""),11,0),iferror(vlookup(B39,importrange(""https://docs.google.com/spreadsheets/d/1p53T2AuvvIqhP7Nf-bo3Uhj8cbKYRPpZdsrBv3x3bAQ/edit?resourcekey#gid=1321652304"",""Prop"&amp;"!$Y$1:$AI""),11,0),iferror(vlookup(B39,importrange(""https://docs.google.com/spreadsheets/d/1p53T2AuvvIqhP7Nf-bo3Uhj8cbKYRPpZdsrBv3x3bAQ/edit?resourcekey#gid=1321652304"",""Prop!$AJ$1:$AT""),11,0),iferror(vlookup(B39,importrange(""https://docs.google.com/"&amp;"spreadsheets/d/1p53T2AuvvIqhP7Nf-bo3Uhj8cbKYRPpZdsrBv3x3bAQ/edit?resourcekey#gid=1321652304"",""Prop!$AU$1:$BE""),11,0),iferror(vlookup(B39,importrange(""https://docs.google.com/spreadsheets/d/1p53T2AuvvIqhP7Nf-bo3Uhj8cbKYRPpZdsrBv3x3bAQ/edit?resourcekey#"&amp;"gid=1321652304"",""Prop!$BF$1:$BP""),11,0),iferror(vlookup(B39,importrange(""https://docs.google.com/spreadsheets/d/1p53T2AuvvIqhP7Nf-bo3Uhj8cbKYRPpZdsrBv3x3bAQ/edit?resourcekey#gid=1321652304"",""Prop!$BQ$1:$CA""),11,0),iferror(vlookup(B39,importrange("""&amp;"https://docs.google.com/spreadsheets/d/1p53T2AuvvIqhP7Nf-bo3Uhj8cbKYRPpZdsrBv3x3bAQ/edit?resourcekey#gid=1321652304"",""Prop!$CB$1:$CL""),11,0),iferror(vlookup(B39,importrange(""https://docs.google.com/spreadsheets/d/1p53T2AuvvIqhP7Nf-bo3Uhj8cbKYRPpZdsrBv"&amp;"3x3bAQ/edit?resourcekey#gid=1321652304"",""Prop!$CM$1:$CX""),12,0),iferror(vlookup(B39,importrange(""https://docs.google.com/spreadsheets/d/1p53T2AuvvIqhP7Nf-bo3Uhj8cbKYRPpZdsrBv3x3bAQ/edit?resourcekey#gid=1321652304"",""Prop!$CY$1:$DI""),11,0)))))))))))"),"https://drive.google.com/open?id=1KOWShsgFWOrk6CXt7e05O2B1uWcNR2pl")</f>
        <v>https://drive.google.com/open?id=1KOWShsgFWOrk6CXt7e05O2B1uWcNR2pl</v>
      </c>
      <c r="R39" s="20" t="s">
        <v>946</v>
      </c>
      <c r="S39" s="20" t="str">
        <f ca="1">IFERROR(__xludf.DUMMYFUNCTION("IFERROR(vlookup(B39,IMPORTRANGE(""https://docs.google.com/spreadsheets/d/1g_jfYYK_KeipEDNDUgqgrsxK94XiocfNQIcP-v1QVhI/edit?resourcekey#gid=233272945"",""Nilai!B:CT""),21,0),"" "")"),"-")</f>
        <v>-</v>
      </c>
      <c r="T39" s="20" t="str">
        <f ca="1">IFERROR(__xludf.DUMMYFUNCTION("IFERROR(vlookup(B39,IMPORTRANGE(""https://docs.google.com/spreadsheets/d/1g_jfYYK_KeipEDNDUgqgrsxK94XiocfNQIcP-v1QVhI/edit?resourcekey#gid=233272945"",""Nilai!B:CT""),97,0),"" "")"),"LAYAK UPLOAD KE SIMBELMAWA")</f>
        <v>LAYAK UPLOAD KE SIMBELMAWA</v>
      </c>
      <c r="U39" s="35" t="s">
        <v>965</v>
      </c>
      <c r="V39" s="85" t="s">
        <v>947</v>
      </c>
      <c r="W39" s="18" t="s">
        <v>974</v>
      </c>
      <c r="X39" s="34" t="s">
        <v>949</v>
      </c>
    </row>
    <row r="40" spans="1:24">
      <c r="A40" s="15">
        <v>39</v>
      </c>
      <c r="B40" s="15">
        <f ca="1">IFERROR(__xludf.DUMMYFUNCTION("""COMPUTED_VALUE"""),2858)</f>
        <v>2858</v>
      </c>
      <c r="C40" s="16" t="str">
        <f ca="1">IFERROR(__xludf.DUMMYFUNCTION("""COMPUTED_VALUE"""),"PUTRI HERLIANI NABILLA")</f>
        <v>PUTRI HERLIANI NABILLA</v>
      </c>
      <c r="D40" s="16" t="str">
        <f ca="1">IFERROR(__xludf.DUMMYFUNCTION("""COMPUTED_VALUE"""),"5003201014")</f>
        <v>5003201014</v>
      </c>
      <c r="E40" s="16" t="str">
        <f ca="1">IFERROR(__xludf.DUMMYFUNCTION("""COMPUTED_VALUE"""),"Departemen Statistika")</f>
        <v>Departemen Statistika</v>
      </c>
      <c r="F40" s="16" t="str">
        <f ca="1">IFERROR(__xludf.DUMMYFUNCTION("""COMPUTED_VALUE"""),"SCAMUN : Scent Therapy Jahe (Zinger Officinale) dengan Timun (Cucuvis Sativus) Berbasis Herbal Electric Lamp (Hetric Lamp) Ramah Lingkungan")</f>
        <v>SCAMUN : Scent Therapy Jahe (Zinger Officinale) dengan Timun (Cucuvis Sativus) Berbasis Herbal Electric Lamp (Hetric Lamp) Ramah Lingkungan</v>
      </c>
      <c r="G40" s="16" t="str">
        <f ca="1">IFERROR(__xludf.DUMMYFUNCTION("""COMPUTED_VALUE"""),"Dr. Achmad Choiruddin, S.Si., M.Sc.")</f>
        <v>Dr. Achmad Choiruddin, S.Si., M.Sc.</v>
      </c>
      <c r="H40" s="16" t="str">
        <f ca="1">IFERROR(__xludf.DUMMYFUNCTION("""COMPUTED_VALUE"""),"Drs. Bandung Arry Sanjoyo, Mi.Komp.")</f>
        <v>Drs. Bandung Arry Sanjoyo, Mi.Komp.</v>
      </c>
      <c r="I40" s="16" t="str">
        <f ca="1">IFERROR(__xludf.DUMMYFUNCTION("""COMPUTED_VALUE"""),"Wibawati, S.Si., M.Si")</f>
        <v>Wibawati, S.Si., M.Si</v>
      </c>
      <c r="J40" s="16"/>
      <c r="K40" s="17" t="s">
        <v>975</v>
      </c>
      <c r="L40" s="23" t="s">
        <v>973</v>
      </c>
      <c r="M40" s="19" t="b">
        <v>0</v>
      </c>
      <c r="N40" s="19" t="b">
        <v>0</v>
      </c>
      <c r="O40" s="1" t="s">
        <v>972</v>
      </c>
      <c r="P40" s="7" t="str">
        <f ca="1">IFERROR(__xludf.DUMMYFUNCTION("iferror(vlookup(B40,importrange(""https://docs.google.com/spreadsheets/d/1boHyJQ4e2FU0QG8MHwEi6qjX4hvZWVCHcFfXjq7bbMc/edit?resourcekey#gid=923248883"",""Prop!$C$1:$M""),12,0),IFERROR(vlookup(B40,importrange(""https://docs.google.com/spreadsheets/d/1boHyJQ"&amp;"4e2FU0QG8MHwEi6qjX4hvZWVCHcFfXjq7bbMc/edit?resourcekey#gid=923248883"",""Prop!$N$1:$X""),11,0),iferror(vlookup(B40,importrange(""https://docs.google.com/spreadsheets/d/1boHyJQ4e2FU0QG8MHwEi6qjX4hvZWVCHcFfXjq7bbMc/edit?resourcekey#gid=923248883"",""Prop!$Y"&amp;"$1:$AI""),11,0),iferror(vlookup(B40,importrange(""https://docs.google.com/spreadsheets/d/1boHyJQ4e2FU0QG8MHwEi6qjX4hvZWVCHcFfXjq7bbMc/edit?resourcekey#gid=923248883"",""Prop!$AJ$1:$AT""),11,0),iferror(vlookup(B40,importrange(""https://docs.google.com/spre"&amp;"adsheets/d/1boHyJQ4e2FU0QG8MHwEi6qjX4hvZWVCHcFfXjq7bbMc/edit?resourcekey#gid=923248883"",""Prop!$AU$1:$BE""),11,0),iferror(vlookup(B40,importrange(""https://docs.google.com/spreadsheets/d/1boHyJQ4e2FU0QG8MHwEi6qjX4hvZWVCHcFfXjq7bbMc/edit?resourcekey#gid=9"&amp;"23248883"",""Prop!$BF$1:$BP""),11,0),iferror(vlookup(B40,importrange(""https://docs.google.com/spreadsheets/d/1boHyJQ4e2FU0QG8MHwEi6qjX4hvZWVCHcFfXjq7bbMc/edit?resourcekey#gid=923248883"",""Prop!$BQ$1:$CA""),11,0),iferror(vlookup(B40,importrange(""https:/"&amp;"/docs.google.com/spreadsheets/d/1boHyJQ4e2FU0QG8MHwEi6qjX4hvZWVCHcFfXjq7bbMc/edit?resourcekey#gid=923248883"",""Prop!$CB$1:$CL""),11,0),iferror(vlookup(B40,importrange(""https://docs.google.com/spreadsheets/d/1boHyJQ4e2FU0QG8MHwEi6qjX4hvZWVCHcFfXjq7bbMc/e"&amp;"dit?resourcekey#gid=923248883"",""Prop!$CM$1:$CX""),12,0),iferror(vlookup(B40,importrange(""https://docs.google.com/spreadsheets/d/1boHyJQ4e2FU0QG8MHwEi6qjX4hvZWVCHcFfXjq7bbMc/edit?resourcekey#gid=923248883"",""Prop!$CV$1:$DI""),11,0)))))))))))"),"https://drive.google.com/open?id=1kie675L4FYq0hs0ir8QfsGBDw06EC10_")</f>
        <v>https://drive.google.com/open?id=1kie675L4FYq0hs0ir8QfsGBDw06EC10_</v>
      </c>
      <c r="Q40" s="7" t="str">
        <f ca="1">IFERROR(__xludf.DUMMYFUNCTION("iferror(vlookup(B40,importrange(""https://docs.google.com/spreadsheets/d/1p53T2AuvvIqhP7Nf-bo3Uhj8cbKYRPpZdsrBv3x3bAQ/edit?resourcekey#gid=1321652304"",""Prop!$C$1:$M""),11,0),IFERROR(vlookup(B40,importrange(""https://docs.google.com/spreadsheets/d/1p53T2"&amp;"AuvvIqhP7Nf-bo3Uhj8cbKYRPpZdsrBv3x3bAQ/edit?resourcekey#gid=1321652304"",""Prop!$N$1:$X""),11,0),iferror(vlookup(B40,importrange(""https://docs.google.com/spreadsheets/d/1p53T2AuvvIqhP7Nf-bo3Uhj8cbKYRPpZdsrBv3x3bAQ/edit?resourcekey#gid=1321652304"",""Prop"&amp;"!$Y$1:$AI""),11,0),iferror(vlookup(B40,importrange(""https://docs.google.com/spreadsheets/d/1p53T2AuvvIqhP7Nf-bo3Uhj8cbKYRPpZdsrBv3x3bAQ/edit?resourcekey#gid=1321652304"",""Prop!$AJ$1:$AT""),11,0),iferror(vlookup(B40,importrange(""https://docs.google.com/"&amp;"spreadsheets/d/1p53T2AuvvIqhP7Nf-bo3Uhj8cbKYRPpZdsrBv3x3bAQ/edit?resourcekey#gid=1321652304"",""Prop!$AU$1:$BE""),11,0),iferror(vlookup(B40,importrange(""https://docs.google.com/spreadsheets/d/1p53T2AuvvIqhP7Nf-bo3Uhj8cbKYRPpZdsrBv3x3bAQ/edit?resourcekey#"&amp;"gid=1321652304"",""Prop!$BF$1:$BP""),11,0),iferror(vlookup(B40,importrange(""https://docs.google.com/spreadsheets/d/1p53T2AuvvIqhP7Nf-bo3Uhj8cbKYRPpZdsrBv3x3bAQ/edit?resourcekey#gid=1321652304"",""Prop!$BQ$1:$CA""),11,0),iferror(vlookup(B40,importrange("""&amp;"https://docs.google.com/spreadsheets/d/1p53T2AuvvIqhP7Nf-bo3Uhj8cbKYRPpZdsrBv3x3bAQ/edit?resourcekey#gid=1321652304"",""Prop!$CB$1:$CL""),11,0),iferror(vlookup(B40,importrange(""https://docs.google.com/spreadsheets/d/1p53T2AuvvIqhP7Nf-bo3Uhj8cbKYRPpZdsrBv"&amp;"3x3bAQ/edit?resourcekey#gid=1321652304"",""Prop!$CM$1:$CX""),12,0),iferror(vlookup(B40,importrange(""https://docs.google.com/spreadsheets/d/1p53T2AuvvIqhP7Nf-bo3Uhj8cbKYRPpZdsrBv3x3bAQ/edit?resourcekey#gid=1321652304"",""Prop!$CY$1:$DI""),11,0)))))))))))"),"https://drive.google.com/open?id=1ohlsf5rBqFoyE8P3pNNJSfgTML_l4URW")</f>
        <v>https://drive.google.com/open?id=1ohlsf5rBqFoyE8P3pNNJSfgTML_l4URW</v>
      </c>
      <c r="R40" s="20" t="s">
        <v>946</v>
      </c>
      <c r="S40" s="20" t="str">
        <f ca="1">IFERROR(__xludf.DUMMYFUNCTION("IFERROR(vlookup(B40,IMPORTRANGE(""https://docs.google.com/spreadsheets/d/1g_jfYYK_KeipEDNDUgqgrsxK94XiocfNQIcP-v1QVhI/edit?resourcekey#gid=233272945"",""Nilai!B:CT""),21,0),"" "")"),"Jumlah anggaran PT tidak boleh lebih dari 1.750.000")</f>
        <v>Jumlah anggaran PT tidak boleh lebih dari 1.750.000</v>
      </c>
      <c r="T40" s="20" t="str">
        <f ca="1">IFERROR(__xludf.DUMMYFUNCTION("IFERROR(vlookup(B40,IMPORTRANGE(""https://docs.google.com/spreadsheets/d/1g_jfYYK_KeipEDNDUgqgrsxK94XiocfNQIcP-v1QVhI/edit?resourcekey#gid=233272945"",""Nilai!B:CT""),97,0),"" "")"),"LAYAK UPLOAD KE SIMBELMAWA DENGAN REVISI")</f>
        <v>LAYAK UPLOAD KE SIMBELMAWA DENGAN REVISI</v>
      </c>
      <c r="U40" s="35" t="s">
        <v>965</v>
      </c>
      <c r="V40" s="85" t="s">
        <v>947</v>
      </c>
      <c r="W40" s="18" t="s">
        <v>976</v>
      </c>
      <c r="X40" s="34" t="b">
        <v>0</v>
      </c>
    </row>
    <row r="41" spans="1:24">
      <c r="A41" s="15">
        <v>40</v>
      </c>
      <c r="B41" s="15">
        <f ca="1">IFERROR(__xludf.DUMMYFUNCTION("""COMPUTED_VALUE"""),2581)</f>
        <v>2581</v>
      </c>
      <c r="C41" s="16" t="str">
        <f ca="1">IFERROR(__xludf.DUMMYFUNCTION("""COMPUTED_VALUE"""),"KADEK IMELDA ANINDRA")</f>
        <v>KADEK IMELDA ANINDRA</v>
      </c>
      <c r="D41" s="16" t="str">
        <f ca="1">IFERROR(__xludf.DUMMYFUNCTION("""COMPUTED_VALUE"""),"5006211010")</f>
        <v>5006211010</v>
      </c>
      <c r="E41" s="16" t="str">
        <f ca="1">IFERROR(__xludf.DUMMYFUNCTION("""COMPUTED_VALUE"""),"Departemen Aktuaria")</f>
        <v>Departemen Aktuaria</v>
      </c>
      <c r="F41" s="16" t="str">
        <f ca="1">IFERROR(__xludf.DUMMYFUNCTION("""COMPUTED_VALUE"""),"INOVASI HAND SANITIZER ANTI ALKOHOL DENGAN MEMANFAATKAN EKSTRAK DAUN OCIMUM BASILICUM (KEMANGI) YANG HIDUP DI SEKITAR SEBAGAI UPAYA MENJAGA LINGKUNGAN")</f>
        <v>INOVASI HAND SANITIZER ANTI ALKOHOL DENGAN MEMANFAATKAN EKSTRAK DAUN OCIMUM BASILICUM (KEMANGI) YANG HIDUP DI SEKITAR SEBAGAI UPAYA MENJAGA LINGKUNGAN</v>
      </c>
      <c r="G41" s="16" t="str">
        <f ca="1">IFERROR(__xludf.DUMMYFUNCTION("""COMPUTED_VALUE"""),"Galuh Oktavia Siswono, S.Si., M.Si., M.Act,Sc.")</f>
        <v>Galuh Oktavia Siswono, S.Si., M.Si., M.Act,Sc.</v>
      </c>
      <c r="H41" s="16" t="str">
        <f ca="1">IFERROR(__xludf.DUMMYFUNCTION("""COMPUTED_VALUE"""),"MY Alief Samboro, S.T., M.Ds.")</f>
        <v>MY Alief Samboro, S.T., M.Ds.</v>
      </c>
      <c r="I41" s="16" t="str">
        <f ca="1">IFERROR(__xludf.DUMMYFUNCTION("""COMPUTED_VALUE"""),"Mahardika F. Rois, S.T, M.T")</f>
        <v>Mahardika F. Rois, S.T, M.T</v>
      </c>
      <c r="J41" s="16"/>
      <c r="K41" s="17" t="s">
        <v>975</v>
      </c>
      <c r="L41" s="23" t="s">
        <v>973</v>
      </c>
      <c r="M41" s="19" t="b">
        <v>1</v>
      </c>
      <c r="N41" s="19" t="b">
        <v>1</v>
      </c>
      <c r="O41" s="1" t="s">
        <v>972</v>
      </c>
      <c r="P41" s="7" t="str">
        <f ca="1">IFERROR(__xludf.DUMMYFUNCTION("iferror(vlookup(B41,importrange(""https://docs.google.com/spreadsheets/d/1boHyJQ4e2FU0QG8MHwEi6qjX4hvZWVCHcFfXjq7bbMc/edit?resourcekey#gid=923248883"",""Prop!$C$1:$M""),12,0),IFERROR(vlookup(B41,importrange(""https://docs.google.com/spreadsheets/d/1boHyJQ"&amp;"4e2FU0QG8MHwEi6qjX4hvZWVCHcFfXjq7bbMc/edit?resourcekey#gid=923248883"",""Prop!$N$1:$X""),11,0),iferror(vlookup(B41,importrange(""https://docs.google.com/spreadsheets/d/1boHyJQ4e2FU0QG8MHwEi6qjX4hvZWVCHcFfXjq7bbMc/edit?resourcekey#gid=923248883"",""Prop!$Y"&amp;"$1:$AI""),11,0),iferror(vlookup(B41,importrange(""https://docs.google.com/spreadsheets/d/1boHyJQ4e2FU0QG8MHwEi6qjX4hvZWVCHcFfXjq7bbMc/edit?resourcekey#gid=923248883"",""Prop!$AJ$1:$AT""),11,0),iferror(vlookup(B41,importrange(""https://docs.google.com/spre"&amp;"adsheets/d/1boHyJQ4e2FU0QG8MHwEi6qjX4hvZWVCHcFfXjq7bbMc/edit?resourcekey#gid=923248883"",""Prop!$AU$1:$BE""),11,0),iferror(vlookup(B41,importrange(""https://docs.google.com/spreadsheets/d/1boHyJQ4e2FU0QG8MHwEi6qjX4hvZWVCHcFfXjq7bbMc/edit?resourcekey#gid=9"&amp;"23248883"",""Prop!$BF$1:$BP""),11,0),iferror(vlookup(B41,importrange(""https://docs.google.com/spreadsheets/d/1boHyJQ4e2FU0QG8MHwEi6qjX4hvZWVCHcFfXjq7bbMc/edit?resourcekey#gid=923248883"",""Prop!$BQ$1:$CA""),11,0),iferror(vlookup(B41,importrange(""https:/"&amp;"/docs.google.com/spreadsheets/d/1boHyJQ4e2FU0QG8MHwEi6qjX4hvZWVCHcFfXjq7bbMc/edit?resourcekey#gid=923248883"",""Prop!$CB$1:$CL""),11,0),iferror(vlookup(B41,importrange(""https://docs.google.com/spreadsheets/d/1boHyJQ4e2FU0QG8MHwEi6qjX4hvZWVCHcFfXjq7bbMc/e"&amp;"dit?resourcekey#gid=923248883"",""Prop!$CM$1:$CX""),12,0),iferror(vlookup(B41,importrange(""https://docs.google.com/spreadsheets/d/1boHyJQ4e2FU0QG8MHwEi6qjX4hvZWVCHcFfXjq7bbMc/edit?resourcekey#gid=923248883"",""Prop!$CV$1:$DI""),11,0)))))))))))"),"https://drive.google.com/open?id=1whyujI-nEMIEqo5iiCPNc19RnlhMsRLp")</f>
        <v>https://drive.google.com/open?id=1whyujI-nEMIEqo5iiCPNc19RnlhMsRLp</v>
      </c>
      <c r="Q41" s="7" t="str">
        <f ca="1">IFERROR(__xludf.DUMMYFUNCTION("iferror(vlookup(B41,importrange(""https://docs.google.com/spreadsheets/d/1p53T2AuvvIqhP7Nf-bo3Uhj8cbKYRPpZdsrBv3x3bAQ/edit?resourcekey#gid=1321652304"",""Prop!$C$1:$M""),11,0),IFERROR(vlookup(B41,importrange(""https://docs.google.com/spreadsheets/d/1p53T2"&amp;"AuvvIqhP7Nf-bo3Uhj8cbKYRPpZdsrBv3x3bAQ/edit?resourcekey#gid=1321652304"",""Prop!$N$1:$X""),11,0),iferror(vlookup(B41,importrange(""https://docs.google.com/spreadsheets/d/1p53T2AuvvIqhP7Nf-bo3Uhj8cbKYRPpZdsrBv3x3bAQ/edit?resourcekey#gid=1321652304"",""Prop"&amp;"!$Y$1:$AI""),11,0),iferror(vlookup(B41,importrange(""https://docs.google.com/spreadsheets/d/1p53T2AuvvIqhP7Nf-bo3Uhj8cbKYRPpZdsrBv3x3bAQ/edit?resourcekey#gid=1321652304"",""Prop!$AJ$1:$AT""),11,0),iferror(vlookup(B41,importrange(""https://docs.google.com/"&amp;"spreadsheets/d/1p53T2AuvvIqhP7Nf-bo3Uhj8cbKYRPpZdsrBv3x3bAQ/edit?resourcekey#gid=1321652304"",""Prop!$AU$1:$BE""),11,0),iferror(vlookup(B41,importrange(""https://docs.google.com/spreadsheets/d/1p53T2AuvvIqhP7Nf-bo3Uhj8cbKYRPpZdsrBv3x3bAQ/edit?resourcekey#"&amp;"gid=1321652304"",""Prop!$BF$1:$BP""),11,0),iferror(vlookup(B41,importrange(""https://docs.google.com/spreadsheets/d/1p53T2AuvvIqhP7Nf-bo3Uhj8cbKYRPpZdsrBv3x3bAQ/edit?resourcekey#gid=1321652304"",""Prop!$BQ$1:$CA""),11,0),iferror(vlookup(B41,importrange("""&amp;"https://docs.google.com/spreadsheets/d/1p53T2AuvvIqhP7Nf-bo3Uhj8cbKYRPpZdsrBv3x3bAQ/edit?resourcekey#gid=1321652304"",""Prop!$CB$1:$CL""),11,0),iferror(vlookup(B41,importrange(""https://docs.google.com/spreadsheets/d/1p53T2AuvvIqhP7Nf-bo3Uhj8cbKYRPpZdsrBv"&amp;"3x3bAQ/edit?resourcekey#gid=1321652304"",""Prop!$CM$1:$CX""),12,0),iferror(vlookup(B41,importrange(""https://docs.google.com/spreadsheets/d/1p53T2AuvvIqhP7Nf-bo3Uhj8cbKYRPpZdsrBv3x3bAQ/edit?resourcekey#gid=1321652304"",""Prop!$CY$1:$DI""),11,0)))))))))))"),"https://drive.google.com/open?id=1Q9KkUQiQum9M2orLrOUvR-Uv1ughXPfb")</f>
        <v>https://drive.google.com/open?id=1Q9KkUQiQum9M2orLrOUvR-Uv1ughXPfb</v>
      </c>
      <c r="R41" s="20" t="s">
        <v>946</v>
      </c>
      <c r="S41" s="20" t="str">
        <f ca="1">IFERROR(__xludf.DUMMYFUNCTION("IFERROR(vlookup(B41,IMPORTRANGE(""https://docs.google.com/spreadsheets/d/1g_jfYYK_KeipEDNDUgqgrsxK94XiocfNQIcP-v1QVhI/edit?resourcekey#gid=233272945"",""Nilai!B:CT""),21,0),"" "")"),"antara anggran dan justrifikasi tidak sama. PBP tidak masuk akal harus 26 bulan, belum tentu bisnis masih berjalan; keunggulan dibandingkan produk sejenis tidak muncul; lamprian masih februari")</f>
        <v>antara anggran dan justrifikasi tidak sama. PBP tidak masuk akal harus 26 bulan, belum tentu bisnis masih berjalan; keunggulan dibandingkan produk sejenis tidak muncul; lamprian masih februari</v>
      </c>
      <c r="T41" s="20" t="str">
        <f ca="1">IFERROR(__xludf.DUMMYFUNCTION("IFERROR(vlookup(B41,IMPORTRANGE(""https://docs.google.com/spreadsheets/d/1g_jfYYK_KeipEDNDUgqgrsxK94XiocfNQIcP-v1QVhI/edit?resourcekey#gid=233272945"",""Nilai!B:CT""),97,0),"" "")"),"TIDAK LAYAK UPLOAD KE SIMBELMAWA")</f>
        <v>TIDAK LAYAK UPLOAD KE SIMBELMAWA</v>
      </c>
      <c r="U41" s="35" t="s">
        <v>965</v>
      </c>
      <c r="V41" s="85" t="s">
        <v>947</v>
      </c>
      <c r="W41" s="18" t="s">
        <v>976</v>
      </c>
      <c r="X41" s="34" t="s">
        <v>949</v>
      </c>
    </row>
    <row r="42" spans="1:24">
      <c r="A42" s="15">
        <v>41</v>
      </c>
      <c r="B42" s="15">
        <f ca="1">IFERROR(__xludf.DUMMYFUNCTION("""COMPUTED_VALUE"""),2340)</f>
        <v>2340</v>
      </c>
      <c r="C42" s="16" t="str">
        <f ca="1">IFERROR(__xludf.DUMMYFUNCTION("""COMPUTED_VALUE"""),"ERLANGGA AJI E. J.")</f>
        <v>ERLANGGA AJI E. J.</v>
      </c>
      <c r="D42" s="16" t="str">
        <f ca="1">IFERROR(__xludf.DUMMYFUNCTION("""COMPUTED_VALUE"""),"5031211075")</f>
        <v>5031211075</v>
      </c>
      <c r="E42" s="16" t="str">
        <f ca="1">IFERROR(__xludf.DUMMYFUNCTION("""COMPUTED_VALUE"""),"Departemen Manajemen Bisnis")</f>
        <v>Departemen Manajemen Bisnis</v>
      </c>
      <c r="F42" s="16" t="str">
        <f ca="1">IFERROR(__xludf.DUMMYFUNCTION("""COMPUTED_VALUE"""),"PinPin : Platform Sertifikasi Legalitas Lengkap untuk Usaha Mikro Kecil Menengah (UMKM) sebagai Penunjang Value pada Produk
")</f>
        <v xml:space="preserve">PinPin : Platform Sertifikasi Legalitas Lengkap untuk Usaha Mikro Kecil Menengah (UMKM) sebagai Penunjang Value pada Produk
</v>
      </c>
      <c r="G42" s="16" t="str">
        <f ca="1">IFERROR(__xludf.DUMMYFUNCTION("""COMPUTED_VALUE"""),"Ni Gusti Made Rai, S.Psi., M.Psi.")</f>
        <v>Ni Gusti Made Rai, S.Psi., M.Psi.</v>
      </c>
      <c r="H42" s="16" t="str">
        <f ca="1">IFERROR(__xludf.DUMMYFUNCTION("""COMPUTED_VALUE"""),"Drs. Bandung Arry Sanjoyo, Mi.Komp.")</f>
        <v>Drs. Bandung Arry Sanjoyo, Mi.Komp.</v>
      </c>
      <c r="I42" s="16" t="str">
        <f ca="1">IFERROR(__xludf.DUMMYFUNCTION("""COMPUTED_VALUE"""),"Wibawati, S.Si., M.Si")</f>
        <v>Wibawati, S.Si., M.Si</v>
      </c>
      <c r="J42" s="16"/>
      <c r="K42" s="17" t="s">
        <v>975</v>
      </c>
      <c r="L42" s="23" t="s">
        <v>977</v>
      </c>
      <c r="M42" s="19" t="b">
        <v>0</v>
      </c>
      <c r="N42" s="19" t="b">
        <v>1</v>
      </c>
      <c r="O42" s="1" t="s">
        <v>972</v>
      </c>
      <c r="P42" s="7" t="str">
        <f ca="1">IFERROR(__xludf.DUMMYFUNCTION("iferror(vlookup(B42,importrange(""https://docs.google.com/spreadsheets/d/1boHyJQ4e2FU0QG8MHwEi6qjX4hvZWVCHcFfXjq7bbMc/edit?resourcekey#gid=923248883"",""Prop!$C$1:$M""),12,0),IFERROR(vlookup(B42,importrange(""https://docs.google.com/spreadsheets/d/1boHyJQ"&amp;"4e2FU0QG8MHwEi6qjX4hvZWVCHcFfXjq7bbMc/edit?resourcekey#gid=923248883"",""Prop!$N$1:$X""),11,0),iferror(vlookup(B42,importrange(""https://docs.google.com/spreadsheets/d/1boHyJQ4e2FU0QG8MHwEi6qjX4hvZWVCHcFfXjq7bbMc/edit?resourcekey#gid=923248883"",""Prop!$Y"&amp;"$1:$AI""),11,0),iferror(vlookup(B42,importrange(""https://docs.google.com/spreadsheets/d/1boHyJQ4e2FU0QG8MHwEi6qjX4hvZWVCHcFfXjq7bbMc/edit?resourcekey#gid=923248883"",""Prop!$AJ$1:$AT""),11,0),iferror(vlookup(B42,importrange(""https://docs.google.com/spre"&amp;"adsheets/d/1boHyJQ4e2FU0QG8MHwEi6qjX4hvZWVCHcFfXjq7bbMc/edit?resourcekey#gid=923248883"",""Prop!$AU$1:$BE""),11,0),iferror(vlookup(B42,importrange(""https://docs.google.com/spreadsheets/d/1boHyJQ4e2FU0QG8MHwEi6qjX4hvZWVCHcFfXjq7bbMc/edit?resourcekey#gid=9"&amp;"23248883"",""Prop!$BF$1:$BP""),11,0),iferror(vlookup(B42,importrange(""https://docs.google.com/spreadsheets/d/1boHyJQ4e2FU0QG8MHwEi6qjX4hvZWVCHcFfXjq7bbMc/edit?resourcekey#gid=923248883"",""Prop!$BQ$1:$CA""),11,0),iferror(vlookup(B42,importrange(""https:/"&amp;"/docs.google.com/spreadsheets/d/1boHyJQ4e2FU0QG8MHwEi6qjX4hvZWVCHcFfXjq7bbMc/edit?resourcekey#gid=923248883"",""Prop!$CB$1:$CL""),11,0),iferror(vlookup(B42,importrange(""https://docs.google.com/spreadsheets/d/1boHyJQ4e2FU0QG8MHwEi6qjX4hvZWVCHcFfXjq7bbMc/e"&amp;"dit?resourcekey#gid=923248883"",""Prop!$CM$1:$CX""),12,0),iferror(vlookup(B42,importrange(""https://docs.google.com/spreadsheets/d/1boHyJQ4e2FU0QG8MHwEi6qjX4hvZWVCHcFfXjq7bbMc/edit?resourcekey#gid=923248883"",""Prop!$CV$1:$DI""),11,0)))))))))))"),"https://drive.google.com/open?id=1lRQAPowW4HUfcheAIwCDhq9CzCnKWujc")</f>
        <v>https://drive.google.com/open?id=1lRQAPowW4HUfcheAIwCDhq9CzCnKWujc</v>
      </c>
      <c r="Q42" s="7" t="str">
        <f ca="1">IFERROR(__xludf.DUMMYFUNCTION("iferror(vlookup(B42,importrange(""https://docs.google.com/spreadsheets/d/1p53T2AuvvIqhP7Nf-bo3Uhj8cbKYRPpZdsrBv3x3bAQ/edit?resourcekey#gid=1321652304"",""Prop!$C$1:$M""),11,0),IFERROR(vlookup(B42,importrange(""https://docs.google.com/spreadsheets/d/1p53T2"&amp;"AuvvIqhP7Nf-bo3Uhj8cbKYRPpZdsrBv3x3bAQ/edit?resourcekey#gid=1321652304"",""Prop!$N$1:$X""),11,0),iferror(vlookup(B42,importrange(""https://docs.google.com/spreadsheets/d/1p53T2AuvvIqhP7Nf-bo3Uhj8cbKYRPpZdsrBv3x3bAQ/edit?resourcekey#gid=1321652304"",""Prop"&amp;"!$Y$1:$AI""),11,0),iferror(vlookup(B42,importrange(""https://docs.google.com/spreadsheets/d/1p53T2AuvvIqhP7Nf-bo3Uhj8cbKYRPpZdsrBv3x3bAQ/edit?resourcekey#gid=1321652304"",""Prop!$AJ$1:$AT""),11,0),iferror(vlookup(B42,importrange(""https://docs.google.com/"&amp;"spreadsheets/d/1p53T2AuvvIqhP7Nf-bo3Uhj8cbKYRPpZdsrBv3x3bAQ/edit?resourcekey#gid=1321652304"",""Prop!$AU$1:$BE""),11,0),iferror(vlookup(B42,importrange(""https://docs.google.com/spreadsheets/d/1p53T2AuvvIqhP7Nf-bo3Uhj8cbKYRPpZdsrBv3x3bAQ/edit?resourcekey#"&amp;"gid=1321652304"",""Prop!$BF$1:$BP""),11,0),iferror(vlookup(B42,importrange(""https://docs.google.com/spreadsheets/d/1p53T2AuvvIqhP7Nf-bo3Uhj8cbKYRPpZdsrBv3x3bAQ/edit?resourcekey#gid=1321652304"",""Prop!$BQ$1:$CA""),11,0),iferror(vlookup(B42,importrange("""&amp;"https://docs.google.com/spreadsheets/d/1p53T2AuvvIqhP7Nf-bo3Uhj8cbKYRPpZdsrBv3x3bAQ/edit?resourcekey#gid=1321652304"",""Prop!$CB$1:$CL""),11,0),iferror(vlookup(B42,importrange(""https://docs.google.com/spreadsheets/d/1p53T2AuvvIqhP7Nf-bo3Uhj8cbKYRPpZdsrBv"&amp;"3x3bAQ/edit?resourcekey#gid=1321652304"",""Prop!$CM$1:$CX""),12,0),iferror(vlookup(B42,importrange(""https://docs.google.com/spreadsheets/d/1p53T2AuvvIqhP7Nf-bo3Uhj8cbKYRPpZdsrBv3x3bAQ/edit?resourcekey#gid=1321652304"",""Prop!$CY$1:$DI""),11,0)))))))))))"),"https://drive.google.com/open?id=1i10XRzBUgn8S5MNr43-ufeagiKpwMZWg")</f>
        <v>https://drive.google.com/open?id=1i10XRzBUgn8S5MNr43-ufeagiKpwMZWg</v>
      </c>
      <c r="R42" s="20" t="s">
        <v>946</v>
      </c>
      <c r="S42" s="20" t="str">
        <f ca="1">IFERROR(__xludf.DUMMYFUNCTION("IFERROR(vlookup(B42,IMPORTRANGE(""https://docs.google.com/spreadsheets/d/1g_jfYYK_KeipEDNDUgqgrsxK94XiocfNQIcP-v1QVhI/edit?resourcekey#gid=233272945"",""Nilai!B:CT""),21,0),"" "")"),"-")</f>
        <v>-</v>
      </c>
      <c r="T42" s="20" t="str">
        <f ca="1">IFERROR(__xludf.DUMMYFUNCTION("IFERROR(vlookup(B42,IMPORTRANGE(""https://docs.google.com/spreadsheets/d/1g_jfYYK_KeipEDNDUgqgrsxK94XiocfNQIcP-v1QVhI/edit?resourcekey#gid=233272945"",""Nilai!B:CT""),97,0),"" "")"),"LAYAK UPLOAD KE SIMBELMAWA")</f>
        <v>LAYAK UPLOAD KE SIMBELMAWA</v>
      </c>
      <c r="U42" s="35" t="s">
        <v>965</v>
      </c>
      <c r="V42" s="85" t="s">
        <v>947</v>
      </c>
      <c r="W42" s="18" t="s">
        <v>976</v>
      </c>
      <c r="X42" s="34" t="s">
        <v>949</v>
      </c>
    </row>
    <row r="43" spans="1:24">
      <c r="A43" s="15">
        <v>42</v>
      </c>
      <c r="B43" s="15">
        <f ca="1">IFERROR(__xludf.DUMMYFUNCTION("""COMPUTED_VALUE"""),2262)</f>
        <v>2262</v>
      </c>
      <c r="C43" s="16" t="str">
        <f ca="1">IFERROR(__xludf.DUMMYFUNCTION("""COMPUTED_VALUE"""),"Latifatul Fajriyah")</f>
        <v>Latifatul Fajriyah</v>
      </c>
      <c r="D43" s="16" t="str">
        <f ca="1">IFERROR(__xludf.DUMMYFUNCTION("""COMPUTED_VALUE"""),"02311940000054")</f>
        <v>02311940000054</v>
      </c>
      <c r="E43" s="16" t="str">
        <f ca="1">IFERROR(__xludf.DUMMYFUNCTION("""COMPUTED_VALUE"""),"Departemen Teknik Fisika")</f>
        <v>Departemen Teknik Fisika</v>
      </c>
      <c r="F43" s="16" t="str">
        <f ca="1">IFERROR(__xludf.DUMMYFUNCTION("""COMPUTED_VALUE"""),"Inovasi Papan Permainan Monopoli Sebagai Media Pengenalan Kebudayaan Indonesia dan Peluang Bisnis di Era Digital")</f>
        <v>Inovasi Papan Permainan Monopoli Sebagai Media Pengenalan Kebudayaan Indonesia dan Peluang Bisnis di Era Digital</v>
      </c>
      <c r="G43" s="16" t="str">
        <f ca="1">IFERROR(__xludf.DUMMYFUNCTION("""COMPUTED_VALUE"""),"Dyah Sawitri, S.T., M.T.")</f>
        <v>Dyah Sawitri, S.T., M.T.</v>
      </c>
      <c r="H43" s="16" t="str">
        <f ca="1">IFERROR(__xludf.DUMMYFUNCTION("""COMPUTED_VALUE"""),"Gita Widi Bhawika, S.ST., M.MT")</f>
        <v>Gita Widi Bhawika, S.ST., M.MT</v>
      </c>
      <c r="I43" s="16" t="str">
        <f ca="1">IFERROR(__xludf.DUMMYFUNCTION("""COMPUTED_VALUE"""),"R.Eka Rizkiantono, S.Sn, M.Ds")</f>
        <v>R.Eka Rizkiantono, S.Sn, M.Ds</v>
      </c>
      <c r="J43" s="16"/>
      <c r="K43" s="17" t="s">
        <v>975</v>
      </c>
      <c r="L43" s="23" t="s">
        <v>977</v>
      </c>
      <c r="M43" s="19" t="b">
        <v>1</v>
      </c>
      <c r="N43" s="19" t="b">
        <v>1</v>
      </c>
      <c r="O43" s="1" t="s">
        <v>950</v>
      </c>
      <c r="P43" s="7" t="str">
        <f ca="1">IFERROR(__xludf.DUMMYFUNCTION("iferror(vlookup(B43,importrange(""https://docs.google.com/spreadsheets/d/1boHyJQ4e2FU0QG8MHwEi6qjX4hvZWVCHcFfXjq7bbMc/edit?resourcekey#gid=923248883"",""Prop!$C$1:$M""),12,0),IFERROR(vlookup(B43,importrange(""https://docs.google.com/spreadsheets/d/1boHyJQ"&amp;"4e2FU0QG8MHwEi6qjX4hvZWVCHcFfXjq7bbMc/edit?resourcekey#gid=923248883"",""Prop!$N$1:$X""),11,0),iferror(vlookup(B43,importrange(""https://docs.google.com/spreadsheets/d/1boHyJQ4e2FU0QG8MHwEi6qjX4hvZWVCHcFfXjq7bbMc/edit?resourcekey#gid=923248883"",""Prop!$Y"&amp;"$1:$AI""),11,0),iferror(vlookup(B43,importrange(""https://docs.google.com/spreadsheets/d/1boHyJQ4e2FU0QG8MHwEi6qjX4hvZWVCHcFfXjq7bbMc/edit?resourcekey#gid=923248883"",""Prop!$AJ$1:$AT""),11,0),iferror(vlookup(B43,importrange(""https://docs.google.com/spre"&amp;"adsheets/d/1boHyJQ4e2FU0QG8MHwEi6qjX4hvZWVCHcFfXjq7bbMc/edit?resourcekey#gid=923248883"",""Prop!$AU$1:$BE""),11,0),iferror(vlookup(B43,importrange(""https://docs.google.com/spreadsheets/d/1boHyJQ4e2FU0QG8MHwEi6qjX4hvZWVCHcFfXjq7bbMc/edit?resourcekey#gid=9"&amp;"23248883"",""Prop!$BF$1:$BP""),11,0),iferror(vlookup(B43,importrange(""https://docs.google.com/spreadsheets/d/1boHyJQ4e2FU0QG8MHwEi6qjX4hvZWVCHcFfXjq7bbMc/edit?resourcekey#gid=923248883"",""Prop!$BQ$1:$CA""),11,0),iferror(vlookup(B43,importrange(""https:/"&amp;"/docs.google.com/spreadsheets/d/1boHyJQ4e2FU0QG8MHwEi6qjX4hvZWVCHcFfXjq7bbMc/edit?resourcekey#gid=923248883"",""Prop!$CB$1:$CL""),11,0),iferror(vlookup(B43,importrange(""https://docs.google.com/spreadsheets/d/1boHyJQ4e2FU0QG8MHwEi6qjX4hvZWVCHcFfXjq7bbMc/e"&amp;"dit?resourcekey#gid=923248883"",""Prop!$CM$1:$CX""),12,0),iferror(vlookup(B43,importrange(""https://docs.google.com/spreadsheets/d/1boHyJQ4e2FU0QG8MHwEi6qjX4hvZWVCHcFfXjq7bbMc/edit?resourcekey#gid=923248883"",""Prop!$CV$1:$DI""),11,0)))))))))))"),"https://drive.google.com/open?id=1SOV-zoQqH1WCtl5QrmO2sHgZqTYzlAf3")</f>
        <v>https://drive.google.com/open?id=1SOV-zoQqH1WCtl5QrmO2sHgZqTYzlAf3</v>
      </c>
      <c r="Q43" s="7" t="str">
        <f ca="1">IFERROR(__xludf.DUMMYFUNCTION("iferror(vlookup(B43,importrange(""https://docs.google.com/spreadsheets/d/1p53T2AuvvIqhP7Nf-bo3Uhj8cbKYRPpZdsrBv3x3bAQ/edit?resourcekey#gid=1321652304"",""Prop!$C$1:$M""),11,0),IFERROR(vlookup(B43,importrange(""https://docs.google.com/spreadsheets/d/1p53T2"&amp;"AuvvIqhP7Nf-bo3Uhj8cbKYRPpZdsrBv3x3bAQ/edit?resourcekey#gid=1321652304"",""Prop!$N$1:$X""),11,0),iferror(vlookup(B43,importrange(""https://docs.google.com/spreadsheets/d/1p53T2AuvvIqhP7Nf-bo3Uhj8cbKYRPpZdsrBv3x3bAQ/edit?resourcekey#gid=1321652304"",""Prop"&amp;"!$Y$1:$AI""),11,0),iferror(vlookup(B43,importrange(""https://docs.google.com/spreadsheets/d/1p53T2AuvvIqhP7Nf-bo3Uhj8cbKYRPpZdsrBv3x3bAQ/edit?resourcekey#gid=1321652304"",""Prop!$AJ$1:$AT""),11,0),iferror(vlookup(B43,importrange(""https://docs.google.com/"&amp;"spreadsheets/d/1p53T2AuvvIqhP7Nf-bo3Uhj8cbKYRPpZdsrBv3x3bAQ/edit?resourcekey#gid=1321652304"",""Prop!$AU$1:$BE""),11,0),iferror(vlookup(B43,importrange(""https://docs.google.com/spreadsheets/d/1p53T2AuvvIqhP7Nf-bo3Uhj8cbKYRPpZdsrBv3x3bAQ/edit?resourcekey#"&amp;"gid=1321652304"",""Prop!$BF$1:$BP""),11,0),iferror(vlookup(B43,importrange(""https://docs.google.com/spreadsheets/d/1p53T2AuvvIqhP7Nf-bo3Uhj8cbKYRPpZdsrBv3x3bAQ/edit?resourcekey#gid=1321652304"",""Prop!$BQ$1:$CA""),11,0),iferror(vlookup(B43,importrange("""&amp;"https://docs.google.com/spreadsheets/d/1p53T2AuvvIqhP7Nf-bo3Uhj8cbKYRPpZdsrBv3x3bAQ/edit?resourcekey#gid=1321652304"",""Prop!$CB$1:$CL""),11,0),iferror(vlookup(B43,importrange(""https://docs.google.com/spreadsheets/d/1p53T2AuvvIqhP7Nf-bo3Uhj8cbKYRPpZdsrBv"&amp;"3x3bAQ/edit?resourcekey#gid=1321652304"",""Prop!$CM$1:$CX""),12,0),iferror(vlookup(B43,importrange(""https://docs.google.com/spreadsheets/d/1p53T2AuvvIqhP7Nf-bo3Uhj8cbKYRPpZdsrBv3x3bAQ/edit?resourcekey#gid=1321652304"",""Prop!$CY$1:$DI""),11,0)))))))))))"),"https://drive.google.com/open?id=1uV_eMYEkLIJeXcEd9il2rg4QqJQHhpNo")</f>
        <v>https://drive.google.com/open?id=1uV_eMYEkLIJeXcEd9il2rg4QqJQHhpNo</v>
      </c>
      <c r="R43" s="20" t="s">
        <v>946</v>
      </c>
      <c r="S43" s="20" t="str">
        <f ca="1">IFERROR(__xludf.DUMMYFUNCTION("IFERROR(vlookup(B43,IMPORTRANGE(""https://docs.google.com/spreadsheets/d/1g_jfYYK_KeipEDNDUgqgrsxK94XiocfNQIcP-v1QVhI/edit?resourcekey#gid=233272945"",""Nilai!B:CT""),21,0),"" "")"),"tidak ada analisis kompetitor membuat proposal ini menjadi tidak muncul segi kreativitasnya
Mengapa board game tidak muncul urgensi dan apa yang akan membuat permainan ini ""laku"" tidak dimunculkan
fokusnya masih pada pembuatan, belum bisnis")</f>
        <v>tidak ada analisis kompetitor membuat proposal ini menjadi tidak muncul segi kreativitasnya
Mengapa board game tidak muncul urgensi dan apa yang akan membuat permainan ini "laku" tidak dimunculkan
fokusnya masih pada pembuatan, belum bisnis</v>
      </c>
      <c r="T43" s="20" t="str">
        <f ca="1">IFERROR(__xludf.DUMMYFUNCTION("IFERROR(vlookup(B43,IMPORTRANGE(""https://docs.google.com/spreadsheets/d/1g_jfYYK_KeipEDNDUgqgrsxK94XiocfNQIcP-v1QVhI/edit?resourcekey#gid=233272945"",""Nilai!B:CT""),97,0),"" "")"),"LAYAK UPLOAD KE SIMBELMAWA DENGAN REVISI")</f>
        <v>LAYAK UPLOAD KE SIMBELMAWA DENGAN REVISI</v>
      </c>
      <c r="U43" s="35" t="s">
        <v>965</v>
      </c>
      <c r="V43" s="85" t="s">
        <v>947</v>
      </c>
      <c r="W43" s="18" t="s">
        <v>976</v>
      </c>
      <c r="X43" s="34" t="s">
        <v>949</v>
      </c>
    </row>
    <row r="44" spans="1:24">
      <c r="A44" s="15">
        <v>43</v>
      </c>
      <c r="B44" s="15">
        <f ca="1">IFERROR(__xludf.DUMMYFUNCTION("""COMPUTED_VALUE"""),2098)</f>
        <v>2098</v>
      </c>
      <c r="C44" s="16" t="str">
        <f ca="1">IFERROR(__xludf.DUMMYFUNCTION("""COMPUTED_VALUE"""),"SETYA INDRA PRIBADI")</f>
        <v>SETYA INDRA PRIBADI</v>
      </c>
      <c r="D44" s="16" t="str">
        <f ca="1">IFERROR(__xludf.DUMMYFUNCTION("""COMPUTED_VALUE"""),"5006211081")</f>
        <v>5006211081</v>
      </c>
      <c r="E44" s="16" t="str">
        <f ca="1">IFERROR(__xludf.DUMMYFUNCTION("""COMPUTED_VALUE"""),"Departemen Aktuaria")</f>
        <v>Departemen Aktuaria</v>
      </c>
      <c r="F44" s="16" t="str">
        <f ca="1">IFERROR(__xludf.DUMMYFUNCTION("""COMPUTED_VALUE"""),"Platform Konsultasi dengan Aktuaris Berbasis Online Sebagai Penghubung Antara Pihak Umum dan Aktuaris Publik")</f>
        <v>Platform Konsultasi dengan Aktuaris Berbasis Online Sebagai Penghubung Antara Pihak Umum dan Aktuaris Publik</v>
      </c>
      <c r="G44" s="16" t="str">
        <f ca="1">IFERROR(__xludf.DUMMYFUNCTION("""COMPUTED_VALUE"""),"R. Mohamad Atok, S.Si, M.Si, Ph.D")</f>
        <v>R. Mohamad Atok, S.Si, M.Si, Ph.D</v>
      </c>
      <c r="H44" s="16" t="str">
        <f ca="1">IFERROR(__xludf.DUMMYFUNCTION("""COMPUTED_VALUE"""),"Drs. Bandung Arry Sanjoyo, Mi.Komp.")</f>
        <v>Drs. Bandung Arry Sanjoyo, Mi.Komp.</v>
      </c>
      <c r="I44" s="16" t="str">
        <f ca="1">IFERROR(__xludf.DUMMYFUNCTION("""COMPUTED_VALUE"""),"Wibawati, S.Si., M.Si")</f>
        <v>Wibawati, S.Si., M.Si</v>
      </c>
      <c r="J44" s="16"/>
      <c r="K44" s="17" t="s">
        <v>975</v>
      </c>
      <c r="L44" s="23" t="s">
        <v>977</v>
      </c>
      <c r="M44" s="19" t="b">
        <v>0</v>
      </c>
      <c r="N44" s="19" t="b">
        <v>0</v>
      </c>
      <c r="O44" s="1" t="s">
        <v>950</v>
      </c>
      <c r="P44" s="7" t="str">
        <f ca="1">IFERROR(__xludf.DUMMYFUNCTION("iferror(vlookup(B44,importrange(""https://docs.google.com/spreadsheets/d/1boHyJQ4e2FU0QG8MHwEi6qjX4hvZWVCHcFfXjq7bbMc/edit?resourcekey#gid=923248883"",""Prop!$C$1:$M""),12,0),IFERROR(vlookup(B44,importrange(""https://docs.google.com/spreadsheets/d/1boHyJQ"&amp;"4e2FU0QG8MHwEi6qjX4hvZWVCHcFfXjq7bbMc/edit?resourcekey#gid=923248883"",""Prop!$N$1:$X""),11,0),iferror(vlookup(B44,importrange(""https://docs.google.com/spreadsheets/d/1boHyJQ4e2FU0QG8MHwEi6qjX4hvZWVCHcFfXjq7bbMc/edit?resourcekey#gid=923248883"",""Prop!$Y"&amp;"$1:$AI""),11,0),iferror(vlookup(B44,importrange(""https://docs.google.com/spreadsheets/d/1boHyJQ4e2FU0QG8MHwEi6qjX4hvZWVCHcFfXjq7bbMc/edit?resourcekey#gid=923248883"",""Prop!$AJ$1:$AT""),11,0),iferror(vlookup(B44,importrange(""https://docs.google.com/spre"&amp;"adsheets/d/1boHyJQ4e2FU0QG8MHwEi6qjX4hvZWVCHcFfXjq7bbMc/edit?resourcekey#gid=923248883"",""Prop!$AU$1:$BE""),11,0),iferror(vlookup(B44,importrange(""https://docs.google.com/spreadsheets/d/1boHyJQ4e2FU0QG8MHwEi6qjX4hvZWVCHcFfXjq7bbMc/edit?resourcekey#gid=9"&amp;"23248883"",""Prop!$BF$1:$BP""),11,0),iferror(vlookup(B44,importrange(""https://docs.google.com/spreadsheets/d/1boHyJQ4e2FU0QG8MHwEi6qjX4hvZWVCHcFfXjq7bbMc/edit?resourcekey#gid=923248883"",""Prop!$BQ$1:$CA""),11,0),iferror(vlookup(B44,importrange(""https:/"&amp;"/docs.google.com/spreadsheets/d/1boHyJQ4e2FU0QG8MHwEi6qjX4hvZWVCHcFfXjq7bbMc/edit?resourcekey#gid=923248883"",""Prop!$CB$1:$CL""),11,0),iferror(vlookup(B44,importrange(""https://docs.google.com/spreadsheets/d/1boHyJQ4e2FU0QG8MHwEi6qjX4hvZWVCHcFfXjq7bbMc/e"&amp;"dit?resourcekey#gid=923248883"",""Prop!$CM$1:$CX""),12,0),iferror(vlookup(B44,importrange(""https://docs.google.com/spreadsheets/d/1boHyJQ4e2FU0QG8MHwEi6qjX4hvZWVCHcFfXjq7bbMc/edit?resourcekey#gid=923248883"",""Prop!$CV$1:$DI""),11,0)))))))))))"),"https://drive.google.com/open?id=1kGg9LoUaLvm_XTzpZCMgnEm8hgFRSqkt")</f>
        <v>https://drive.google.com/open?id=1kGg9LoUaLvm_XTzpZCMgnEm8hgFRSqkt</v>
      </c>
      <c r="Q44" s="7" t="str">
        <f ca="1">IFERROR(__xludf.DUMMYFUNCTION("iferror(vlookup(B44,importrange(""https://docs.google.com/spreadsheets/d/1p53T2AuvvIqhP7Nf-bo3Uhj8cbKYRPpZdsrBv3x3bAQ/edit?resourcekey#gid=1321652304"",""Prop!$C$1:$M""),11,0),IFERROR(vlookup(B44,importrange(""https://docs.google.com/spreadsheets/d/1p53T2"&amp;"AuvvIqhP7Nf-bo3Uhj8cbKYRPpZdsrBv3x3bAQ/edit?resourcekey#gid=1321652304"",""Prop!$N$1:$X""),11,0),iferror(vlookup(B44,importrange(""https://docs.google.com/spreadsheets/d/1p53T2AuvvIqhP7Nf-bo3Uhj8cbKYRPpZdsrBv3x3bAQ/edit?resourcekey#gid=1321652304"",""Prop"&amp;"!$Y$1:$AI""),11,0),iferror(vlookup(B44,importrange(""https://docs.google.com/spreadsheets/d/1p53T2AuvvIqhP7Nf-bo3Uhj8cbKYRPpZdsrBv3x3bAQ/edit?resourcekey#gid=1321652304"",""Prop!$AJ$1:$AT""),11,0),iferror(vlookup(B44,importrange(""https://docs.google.com/"&amp;"spreadsheets/d/1p53T2AuvvIqhP7Nf-bo3Uhj8cbKYRPpZdsrBv3x3bAQ/edit?resourcekey#gid=1321652304"",""Prop!$AU$1:$BE""),11,0),iferror(vlookup(B44,importrange(""https://docs.google.com/spreadsheets/d/1p53T2AuvvIqhP7Nf-bo3Uhj8cbKYRPpZdsrBv3x3bAQ/edit?resourcekey#"&amp;"gid=1321652304"",""Prop!$BF$1:$BP""),11,0),iferror(vlookup(B44,importrange(""https://docs.google.com/spreadsheets/d/1p53T2AuvvIqhP7Nf-bo3Uhj8cbKYRPpZdsrBv3x3bAQ/edit?resourcekey#gid=1321652304"",""Prop!$BQ$1:$CA""),11,0),iferror(vlookup(B44,importrange("""&amp;"https://docs.google.com/spreadsheets/d/1p53T2AuvvIqhP7Nf-bo3Uhj8cbKYRPpZdsrBv3x3bAQ/edit?resourcekey#gid=1321652304"",""Prop!$CB$1:$CL""),11,0),iferror(vlookup(B44,importrange(""https://docs.google.com/spreadsheets/d/1p53T2AuvvIqhP7Nf-bo3Uhj8cbKYRPpZdsrBv"&amp;"3x3bAQ/edit?resourcekey#gid=1321652304"",""Prop!$CM$1:$CX""),12,0),iferror(vlookup(B44,importrange(""https://docs.google.com/spreadsheets/d/1p53T2AuvvIqhP7Nf-bo3Uhj8cbKYRPpZdsrBv3x3bAQ/edit?resourcekey#gid=1321652304"",""Prop!$CY$1:$DI""),11,0)))))))))))"),"https://drive.google.com/open?id=1SK5mmRPHHANct5Zk8TIROXGD37Dfz5Ay")</f>
        <v>https://drive.google.com/open?id=1SK5mmRPHHANct5Zk8TIROXGD37Dfz5Ay</v>
      </c>
      <c r="R44" s="20" t="s">
        <v>946</v>
      </c>
      <c r="S44" s="20" t="str">
        <f ca="1">IFERROR(__xludf.DUMMYFUNCTION("IFERROR(vlookup(B44,IMPORTRANGE(""https://docs.google.com/spreadsheets/d/1g_jfYYK_KeipEDNDUgqgrsxK94XiocfNQIcP-v1QVhI/edit?resourcekey#gid=233272945"",""Nilai!B:CT""),21,0),"" "")"),"surat pernyataan tidak ada materai
anggaran di badan isi proposal belum dilakukan pemecahan
analisis kompetitor belum muncul dengan baik sehingga muncul kreativitasnya")</f>
        <v>surat pernyataan tidak ada materai
anggaran di badan isi proposal belum dilakukan pemecahan
analisis kompetitor belum muncul dengan baik sehingga muncul kreativitasnya</v>
      </c>
      <c r="T44" s="20" t="str">
        <f ca="1">IFERROR(__xludf.DUMMYFUNCTION("IFERROR(vlookup(B44,IMPORTRANGE(""https://docs.google.com/spreadsheets/d/1g_jfYYK_KeipEDNDUgqgrsxK94XiocfNQIcP-v1QVhI/edit?resourcekey#gid=233272945"",""Nilai!B:CT""),97,0),"" "")"),"LAYAK UPLOAD KE SIMBELMAWA DENGAN REVISI")</f>
        <v>LAYAK UPLOAD KE SIMBELMAWA DENGAN REVISI</v>
      </c>
      <c r="U44" s="35" t="s">
        <v>965</v>
      </c>
      <c r="V44" s="85" t="s">
        <v>947</v>
      </c>
      <c r="W44" s="18" t="s">
        <v>978</v>
      </c>
      <c r="X44" s="34" t="b">
        <v>0</v>
      </c>
    </row>
    <row r="45" spans="1:24">
      <c r="A45" s="15">
        <v>44</v>
      </c>
      <c r="B45" s="15">
        <f ca="1">IFERROR(__xludf.DUMMYFUNCTION("""COMPUTED_VALUE"""),3966)</f>
        <v>3966</v>
      </c>
      <c r="C45" s="16" t="str">
        <f ca="1">IFERROR(__xludf.DUMMYFUNCTION("""COMPUTED_VALUE"""),"Fairuz Zalfa Ardani")</f>
        <v>Fairuz Zalfa Ardani</v>
      </c>
      <c r="D45" s="16" t="str">
        <f ca="1">IFERROR(__xludf.DUMMYFUNCTION("""COMPUTED_VALUE"""),"5014211087")</f>
        <v>5014211087</v>
      </c>
      <c r="E45" s="16" t="str">
        <f ca="1">IFERROR(__xludf.DUMMYFUNCTION("""COMPUTED_VALUE"""),"Departemen Teknik Lingkungan")</f>
        <v>Departemen Teknik Lingkungan</v>
      </c>
      <c r="F45" s="16" t="str">
        <f ca="1">IFERROR(__xludf.DUMMYFUNCTION("""COMPUTED_VALUE"""),"SOYDOTZ: SEDOTAN ECO-FRIENDLY BERBAHAN GELATIN NABATI GUNA MENEKAN PLASTIC WASTE")</f>
        <v>SOYDOTZ: SEDOTAN ECO-FRIENDLY BERBAHAN GELATIN NABATI GUNA MENEKAN PLASTIC WASTE</v>
      </c>
      <c r="G45" s="16" t="str">
        <f ca="1">IFERROR(__xludf.DUMMYFUNCTION("""COMPUTED_VALUE"""),"Deqi Rizkivia Radita, S.T., M.Sc.")</f>
        <v>Deqi Rizkivia Radita, S.T., M.Sc.</v>
      </c>
      <c r="H45" s="16" t="str">
        <f ca="1">IFERROR(__xludf.DUMMYFUNCTION("""COMPUTED_VALUE"""),"Drs. Bandung Arry Sanjoyo, Mi.Komp.")</f>
        <v>Drs. Bandung Arry Sanjoyo, Mi.Komp.</v>
      </c>
      <c r="I45" s="16" t="str">
        <f ca="1">IFERROR(__xludf.DUMMYFUNCTION("""COMPUTED_VALUE"""),"Moh. Singgih Purwanto, S.Si., M.T")</f>
        <v>Moh. Singgih Purwanto, S.Si., M.T</v>
      </c>
      <c r="J45" s="16"/>
      <c r="K45" s="17" t="s">
        <v>975</v>
      </c>
      <c r="L45" s="23" t="s">
        <v>977</v>
      </c>
      <c r="M45" s="19" t="b">
        <v>0</v>
      </c>
      <c r="N45" s="19" t="b">
        <v>0</v>
      </c>
      <c r="O45" s="1" t="s">
        <v>950</v>
      </c>
      <c r="P45" s="24" t="str">
        <f ca="1">IFERROR(__xludf.DUMMYFUNCTION("iferror(vlookup(B45,importrange(""https://docs.google.com/spreadsheets/d/1boHyJQ4e2FU0QG8MHwEi6qjX4hvZWVCHcFfXjq7bbMc/edit?resourcekey#gid=923248883"",""Prop!$C$1:$M""),12,0),IFERROR(vlookup(B45,importrange(""https://docs.google.com/spreadsheets/d/1boHyJQ"&amp;"4e2FU0QG8MHwEi6qjX4hvZWVCHcFfXjq7bbMc/edit?resourcekey#gid=923248883"",""Prop!$N$1:$X""),11,0),iferror(vlookup(B45,importrange(""https://docs.google.com/spreadsheets/d/1boHyJQ4e2FU0QG8MHwEi6qjX4hvZWVCHcFfXjq7bbMc/edit?resourcekey#gid=923248883"",""Prop!$Y"&amp;"$1:$AI""),11,0),iferror(vlookup(B45,importrange(""https://docs.google.com/spreadsheets/d/1boHyJQ4e2FU0QG8MHwEi6qjX4hvZWVCHcFfXjq7bbMc/edit?resourcekey#gid=923248883"",""Prop!$AJ$1:$AT""),11,0),iferror(vlookup(B45,importrange(""https://docs.google.com/spre"&amp;"adsheets/d/1boHyJQ4e2FU0QG8MHwEi6qjX4hvZWVCHcFfXjq7bbMc/edit?resourcekey#gid=923248883"",""Prop!$AU$1:$BE""),11,0),iferror(vlookup(B45,importrange(""https://docs.google.com/spreadsheets/d/1boHyJQ4e2FU0QG8MHwEi6qjX4hvZWVCHcFfXjq7bbMc/edit?resourcekey#gid=9"&amp;"23248883"",""Prop!$BF$1:$BP""),11,0),iferror(vlookup(B45,importrange(""https://docs.google.com/spreadsheets/d/1boHyJQ4e2FU0QG8MHwEi6qjX4hvZWVCHcFfXjq7bbMc/edit?resourcekey#gid=923248883"",""Prop!$BQ$1:$CA""),11,0),iferror(vlookup(B45,importrange(""https:/"&amp;"/docs.google.com/spreadsheets/d/1boHyJQ4e2FU0QG8MHwEi6qjX4hvZWVCHcFfXjq7bbMc/edit?resourcekey#gid=923248883"",""Prop!$CB$1:$CL""),11,0),iferror(vlookup(B45,importrange(""https://docs.google.com/spreadsheets/d/1boHyJQ4e2FU0QG8MHwEi6qjX4hvZWVCHcFfXjq7bbMc/e"&amp;"dit?resourcekey#gid=923248883"",""Prop!$CM$1:$CX""),12,0),iferror(vlookup(B45,importrange(""https://docs.google.com/spreadsheets/d/1boHyJQ4e2FU0QG8MHwEi6qjX4hvZWVCHcFfXjq7bbMc/edit?resourcekey#gid=923248883"",""Prop!$CV$1:$DI""),11,0)))))))))))"),"")</f>
        <v/>
      </c>
      <c r="Q45" s="1" t="str">
        <f ca="1">IFERROR(__xludf.DUMMYFUNCTION("iferror(vlookup(B45,importrange(""https://docs.google.com/spreadsheets/d/1p53T2AuvvIqhP7Nf-bo3Uhj8cbKYRPpZdsrBv3x3bAQ/edit?resourcekey#gid=1321652304"",""Prop!$C$1:$M""),11,0),IFERROR(vlookup(B45,importrange(""https://docs.google.com/spreadsheets/d/1p53T2"&amp;"AuvvIqhP7Nf-bo3Uhj8cbKYRPpZdsrBv3x3bAQ/edit?resourcekey#gid=1321652304"",""Prop!$N$1:$X""),11,0),iferror(vlookup(B45,importrange(""https://docs.google.com/spreadsheets/d/1p53T2AuvvIqhP7Nf-bo3Uhj8cbKYRPpZdsrBv3x3bAQ/edit?resourcekey#gid=1321652304"",""Prop"&amp;"!$Y$1:$AI""),11,0),iferror(vlookup(B45,importrange(""https://docs.google.com/spreadsheets/d/1p53T2AuvvIqhP7Nf-bo3Uhj8cbKYRPpZdsrBv3x3bAQ/edit?resourcekey#gid=1321652304"",""Prop!$AJ$1:$AT""),11,0),iferror(vlookup(B45,importrange(""https://docs.google.com/"&amp;"spreadsheets/d/1p53T2AuvvIqhP7Nf-bo3Uhj8cbKYRPpZdsrBv3x3bAQ/edit?resourcekey#gid=1321652304"",""Prop!$AU$1:$BE""),11,0),iferror(vlookup(B45,importrange(""https://docs.google.com/spreadsheets/d/1p53T2AuvvIqhP7Nf-bo3Uhj8cbKYRPpZdsrBv3x3bAQ/edit?resourcekey#"&amp;"gid=1321652304"",""Prop!$BF$1:$BP""),11,0),iferror(vlookup(B45,importrange(""https://docs.google.com/spreadsheets/d/1p53T2AuvvIqhP7Nf-bo3Uhj8cbKYRPpZdsrBv3x3bAQ/edit?resourcekey#gid=1321652304"",""Prop!$BQ$1:$CA""),11,0),iferror(vlookup(B45,importrange("""&amp;"https://docs.google.com/spreadsheets/d/1p53T2AuvvIqhP7Nf-bo3Uhj8cbKYRPpZdsrBv3x3bAQ/edit?resourcekey#gid=1321652304"",""Prop!$CB$1:$CL""),11,0),iferror(vlookup(B45,importrange(""https://docs.google.com/spreadsheets/d/1p53T2AuvvIqhP7Nf-bo3Uhj8cbKYRPpZdsrBv"&amp;"3x3bAQ/edit?resourcekey#gid=1321652304"",""Prop!$CM$1:$CX""),12,0),iferror(vlookup(B45,importrange(""https://docs.google.com/spreadsheets/d/1p53T2AuvvIqhP7Nf-bo3Uhj8cbKYRPpZdsrBv3x3bAQ/edit?resourcekey#gid=1321652304"",""Prop!$CY$1:$DI""),11,0)))))))))))"),"")</f>
        <v/>
      </c>
      <c r="R45" s="20" t="s">
        <v>946</v>
      </c>
      <c r="S45" s="20" t="str">
        <f ca="1">IFERROR(__xludf.DUMMYFUNCTION("IFERROR(vlookup(B45,IMPORTRANGE(""https://docs.google.com/spreadsheets/d/1g_jfYYK_KeipEDNDUgqgrsxK94XiocfNQIcP-v1QVhI/edit?resourcekey#gid=233272945"",""Nilai!B:CT""),21,0),"" "")")," ")</f>
        <v xml:space="preserve"> </v>
      </c>
      <c r="T45" s="20" t="str">
        <f ca="1">IFERROR(__xludf.DUMMYFUNCTION("IFERROR(vlookup(B45,IMPORTRANGE(""https://docs.google.com/spreadsheets/d/1g_jfYYK_KeipEDNDUgqgrsxK94XiocfNQIcP-v1QVhI/edit?resourcekey#gid=233272945"",""Nilai!B:CT""),97,0),"" "")")," ")</f>
        <v xml:space="preserve"> </v>
      </c>
      <c r="U45" s="35" t="s">
        <v>965</v>
      </c>
      <c r="V45" s="85" t="s">
        <v>947</v>
      </c>
      <c r="W45" s="18" t="s">
        <v>978</v>
      </c>
      <c r="X45" s="34" t="b">
        <v>0</v>
      </c>
    </row>
    <row r="46" spans="1:24">
      <c r="A46" s="15">
        <v>45</v>
      </c>
      <c r="B46" s="15">
        <f ca="1">IFERROR(__xludf.DUMMYFUNCTION("""COMPUTED_VALUE"""),2667)</f>
        <v>2667</v>
      </c>
      <c r="C46" s="16" t="str">
        <f ca="1">IFERROR(__xludf.DUMMYFUNCTION("""COMPUTED_VALUE"""),"TAKHA CAMILLA AISHA AUDYARAHMA")</f>
        <v>TAKHA CAMILLA AISHA AUDYARAHMA</v>
      </c>
      <c r="D46" s="16" t="str">
        <f ca="1">IFERROR(__xludf.DUMMYFUNCTION("""COMPUTED_VALUE"""),"5031201074")</f>
        <v>5031201074</v>
      </c>
      <c r="E46" s="16" t="str">
        <f ca="1">IFERROR(__xludf.DUMMYFUNCTION("""COMPUTED_VALUE"""),"Departemen Manajemen Bisnis")</f>
        <v>Departemen Manajemen Bisnis</v>
      </c>
      <c r="F46" s="16" t="str">
        <f ca="1">IFERROR(__xludf.DUMMYFUNCTION("""COMPUTED_VALUE"""),"Neutra: Spray Penghilang Bau dengan Pengharum Berbahan Organik")</f>
        <v>Neutra: Spray Penghilang Bau dengan Pengharum Berbahan Organik</v>
      </c>
      <c r="G46" s="16" t="str">
        <f ca="1">IFERROR(__xludf.DUMMYFUNCTION("""COMPUTED_VALUE"""),"Gita Widi Bhawika, S.ST., M.MT")</f>
        <v>Gita Widi Bhawika, S.ST., M.MT</v>
      </c>
      <c r="H46" s="16" t="str">
        <f ca="1">IFERROR(__xludf.DUMMYFUNCTION("""COMPUTED_VALUE"""),"Dr. Adithya Sudiarno, S.T., M.T.")</f>
        <v>Dr. Adithya Sudiarno, S.T., M.T.</v>
      </c>
      <c r="I46" s="16" t="str">
        <f ca="1">IFERROR(__xludf.DUMMYFUNCTION("""COMPUTED_VALUE"""),"Daril Ridho Zuchrillah, S.T., M.T.")</f>
        <v>Daril Ridho Zuchrillah, S.T., M.T.</v>
      </c>
      <c r="J46" s="16"/>
      <c r="K46" s="17" t="s">
        <v>975</v>
      </c>
      <c r="L46" s="23" t="s">
        <v>977</v>
      </c>
      <c r="M46" s="19" t="b">
        <v>0</v>
      </c>
      <c r="N46" s="19" t="b">
        <v>0</v>
      </c>
      <c r="O46" s="1" t="s">
        <v>950</v>
      </c>
      <c r="P46" s="7" t="str">
        <f ca="1">IFERROR(__xludf.DUMMYFUNCTION("iferror(vlookup(B46,importrange(""https://docs.google.com/spreadsheets/d/1boHyJQ4e2FU0QG8MHwEi6qjX4hvZWVCHcFfXjq7bbMc/edit?resourcekey#gid=923248883"",""Prop!$C$1:$M""),12,0),IFERROR(vlookup(B46,importrange(""https://docs.google.com/spreadsheets/d/1boHyJQ"&amp;"4e2FU0QG8MHwEi6qjX4hvZWVCHcFfXjq7bbMc/edit?resourcekey#gid=923248883"",""Prop!$N$1:$X""),11,0),iferror(vlookup(B46,importrange(""https://docs.google.com/spreadsheets/d/1boHyJQ4e2FU0QG8MHwEi6qjX4hvZWVCHcFfXjq7bbMc/edit?resourcekey#gid=923248883"",""Prop!$Y"&amp;"$1:$AI""),11,0),iferror(vlookup(B46,importrange(""https://docs.google.com/spreadsheets/d/1boHyJQ4e2FU0QG8MHwEi6qjX4hvZWVCHcFfXjq7bbMc/edit?resourcekey#gid=923248883"",""Prop!$AJ$1:$AT""),11,0),iferror(vlookup(B46,importrange(""https://docs.google.com/spre"&amp;"adsheets/d/1boHyJQ4e2FU0QG8MHwEi6qjX4hvZWVCHcFfXjq7bbMc/edit?resourcekey#gid=923248883"",""Prop!$AU$1:$BE""),11,0),iferror(vlookup(B46,importrange(""https://docs.google.com/spreadsheets/d/1boHyJQ4e2FU0QG8MHwEi6qjX4hvZWVCHcFfXjq7bbMc/edit?resourcekey#gid=9"&amp;"23248883"",""Prop!$BF$1:$BP""),11,0),iferror(vlookup(B46,importrange(""https://docs.google.com/spreadsheets/d/1boHyJQ4e2FU0QG8MHwEi6qjX4hvZWVCHcFfXjq7bbMc/edit?resourcekey#gid=923248883"",""Prop!$BQ$1:$CA""),11,0),iferror(vlookup(B46,importrange(""https:/"&amp;"/docs.google.com/spreadsheets/d/1boHyJQ4e2FU0QG8MHwEi6qjX4hvZWVCHcFfXjq7bbMc/edit?resourcekey#gid=923248883"",""Prop!$CB$1:$CL""),11,0),iferror(vlookup(B46,importrange(""https://docs.google.com/spreadsheets/d/1boHyJQ4e2FU0QG8MHwEi6qjX4hvZWVCHcFfXjq7bbMc/e"&amp;"dit?resourcekey#gid=923248883"",""Prop!$CM$1:$CX""),12,0),iferror(vlookup(B46,importrange(""https://docs.google.com/spreadsheets/d/1boHyJQ4e2FU0QG8MHwEi6qjX4hvZWVCHcFfXjq7bbMc/edit?resourcekey#gid=923248883"",""Prop!$CV$1:$DI""),11,0)))))))))))"),"https://drive.google.com/open?id=1E38Tc4TJj15WslbRsc3K19CZHaf7CP6m")</f>
        <v>https://drive.google.com/open?id=1E38Tc4TJj15WslbRsc3K19CZHaf7CP6m</v>
      </c>
      <c r="Q46" s="7" t="str">
        <f ca="1">IFERROR(__xludf.DUMMYFUNCTION("iferror(vlookup(B46,importrange(""https://docs.google.com/spreadsheets/d/1p53T2AuvvIqhP7Nf-bo3Uhj8cbKYRPpZdsrBv3x3bAQ/edit?resourcekey#gid=1321652304"",""Prop!$C$1:$M""),11,0),IFERROR(vlookup(B46,importrange(""https://docs.google.com/spreadsheets/d/1p53T2"&amp;"AuvvIqhP7Nf-bo3Uhj8cbKYRPpZdsrBv3x3bAQ/edit?resourcekey#gid=1321652304"",""Prop!$N$1:$X""),11,0),iferror(vlookup(B46,importrange(""https://docs.google.com/spreadsheets/d/1p53T2AuvvIqhP7Nf-bo3Uhj8cbKYRPpZdsrBv3x3bAQ/edit?resourcekey#gid=1321652304"",""Prop"&amp;"!$Y$1:$AI""),11,0),iferror(vlookup(B46,importrange(""https://docs.google.com/spreadsheets/d/1p53T2AuvvIqhP7Nf-bo3Uhj8cbKYRPpZdsrBv3x3bAQ/edit?resourcekey#gid=1321652304"",""Prop!$AJ$1:$AT""),11,0),iferror(vlookup(B46,importrange(""https://docs.google.com/"&amp;"spreadsheets/d/1p53T2AuvvIqhP7Nf-bo3Uhj8cbKYRPpZdsrBv3x3bAQ/edit?resourcekey#gid=1321652304"",""Prop!$AU$1:$BE""),11,0),iferror(vlookup(B46,importrange(""https://docs.google.com/spreadsheets/d/1p53T2AuvvIqhP7Nf-bo3Uhj8cbKYRPpZdsrBv3x3bAQ/edit?resourcekey#"&amp;"gid=1321652304"",""Prop!$BF$1:$BP""),11,0),iferror(vlookup(B46,importrange(""https://docs.google.com/spreadsheets/d/1p53T2AuvvIqhP7Nf-bo3Uhj8cbKYRPpZdsrBv3x3bAQ/edit?resourcekey#gid=1321652304"",""Prop!$BQ$1:$CA""),11,0),iferror(vlookup(B46,importrange("""&amp;"https://docs.google.com/spreadsheets/d/1p53T2AuvvIqhP7Nf-bo3Uhj8cbKYRPpZdsrBv3x3bAQ/edit?resourcekey#gid=1321652304"",""Prop!$CB$1:$CL""),11,0),iferror(vlookup(B46,importrange(""https://docs.google.com/spreadsheets/d/1p53T2AuvvIqhP7Nf-bo3Uhj8cbKYRPpZdsrBv"&amp;"3x3bAQ/edit?resourcekey#gid=1321652304"",""Prop!$CM$1:$CX""),12,0),iferror(vlookup(B46,importrange(""https://docs.google.com/spreadsheets/d/1p53T2AuvvIqhP7Nf-bo3Uhj8cbKYRPpZdsrBv3x3bAQ/edit?resourcekey#gid=1321652304"",""Prop!$CY$1:$DI""),11,0)))))))))))"),"https://drive.google.com/open?id=1obki3iu3yHccyNxbJsfiaMzoGbTFqTNV")</f>
        <v>https://drive.google.com/open?id=1obki3iu3yHccyNxbJsfiaMzoGbTFqTNV</v>
      </c>
      <c r="R46" s="20" t="s">
        <v>946</v>
      </c>
      <c r="S46" s="20" t="str">
        <f ca="1">IFERROR(__xludf.DUMMYFUNCTION("IFERROR(vlookup(B46,IMPORTRANGE(""https://docs.google.com/spreadsheets/d/1g_jfYYK_KeipEDNDUgqgrsxK94XiocfNQIcP-v1QVhI/edit?resourcekey#gid=233272945"",""Nilai!B:CT""),21,0),"" "")"),"halaman lebih dari 10, latar belakang usaha tidak kuat")</f>
        <v>halaman lebih dari 10, latar belakang usaha tidak kuat</v>
      </c>
      <c r="T46" s="20" t="str">
        <f ca="1">IFERROR(__xludf.DUMMYFUNCTION("IFERROR(vlookup(B46,IMPORTRANGE(""https://docs.google.com/spreadsheets/d/1g_jfYYK_KeipEDNDUgqgrsxK94XiocfNQIcP-v1QVhI/edit?resourcekey#gid=233272945"",""Nilai!B:CT""),97,0),"" "")"),"TIDAK LAYAK UPLOAD KE SIMBELMAWA")</f>
        <v>TIDAK LAYAK UPLOAD KE SIMBELMAWA</v>
      </c>
      <c r="U46" s="35" t="s">
        <v>965</v>
      </c>
      <c r="V46" s="85" t="s">
        <v>947</v>
      </c>
      <c r="W46" s="18" t="s">
        <v>978</v>
      </c>
      <c r="X46" s="34" t="s">
        <v>949</v>
      </c>
    </row>
    <row r="47" spans="1:24">
      <c r="A47" s="15">
        <v>46</v>
      </c>
      <c r="B47" s="15">
        <f ca="1">IFERROR(__xludf.DUMMYFUNCTION("""COMPUTED_VALUE"""),2267)</f>
        <v>2267</v>
      </c>
      <c r="C47" s="16" t="str">
        <f ca="1">IFERROR(__xludf.DUMMYFUNCTION("""COMPUTED_VALUE"""),"SYABELLA RACHMADIAOCTA TATAKSMARA")</f>
        <v>SYABELLA RACHMADIAOCTA TATAKSMARA</v>
      </c>
      <c r="D47" s="16" t="str">
        <f ca="1">IFERROR(__xludf.DUMMYFUNCTION("""COMPUTED_VALUE"""),"5031201003")</f>
        <v>5031201003</v>
      </c>
      <c r="E47" s="16" t="str">
        <f ca="1">IFERROR(__xludf.DUMMYFUNCTION("""COMPUTED_VALUE"""),"Departemen Manajemen Bisnis")</f>
        <v>Departemen Manajemen Bisnis</v>
      </c>
      <c r="F47" s="16" t="str">
        <f ca="1">IFERROR(__xludf.DUMMYFUNCTION("""COMPUTED_VALUE"""),"Scholar.sip : Aplikasi Penyedia Informasi dan Bimbingan Beasiswa sebagai Upaya Meningkatkan Tingkat Pendidikan dan Ilmu Pengetahuan di Indonesia")</f>
        <v>Scholar.sip : Aplikasi Penyedia Informasi dan Bimbingan Beasiswa sebagai Upaya Meningkatkan Tingkat Pendidikan dan Ilmu Pengetahuan di Indonesia</v>
      </c>
      <c r="G47" s="16" t="str">
        <f ca="1">IFERROR(__xludf.DUMMYFUNCTION("""COMPUTED_VALUE"""),"Gita Widi Bhawika, S.ST., M.MT")</f>
        <v>Gita Widi Bhawika, S.ST., M.MT</v>
      </c>
      <c r="H47" s="16" t="str">
        <f ca="1">IFERROR(__xludf.DUMMYFUNCTION("""COMPUTED_VALUE"""),"MY Alief Samboro, S.T., M.Ds.")</f>
        <v>MY Alief Samboro, S.T., M.Ds.</v>
      </c>
      <c r="I47" s="16" t="str">
        <f ca="1">IFERROR(__xludf.DUMMYFUNCTION("""COMPUTED_VALUE"""),"R.Eka Rizkiantono, S.Sn, M.Ds")</f>
        <v>R.Eka Rizkiantono, S.Sn, M.Ds</v>
      </c>
      <c r="J47" s="16"/>
      <c r="K47" s="17" t="s">
        <v>979</v>
      </c>
      <c r="L47" s="23" t="s">
        <v>977</v>
      </c>
      <c r="M47" s="19" t="b">
        <v>1</v>
      </c>
      <c r="N47" s="19" t="b">
        <v>1</v>
      </c>
      <c r="O47" s="1" t="s">
        <v>950</v>
      </c>
      <c r="P47" s="24" t="str">
        <f ca="1">IFERROR(__xludf.DUMMYFUNCTION("iferror(vlookup(B47,importrange(""https://docs.google.com/spreadsheets/d/1boHyJQ4e2FU0QG8MHwEi6qjX4hvZWVCHcFfXjq7bbMc/edit?resourcekey#gid=923248883"",""Prop!$C$1:$M""),12,0),IFERROR(vlookup(B47,importrange(""https://docs.google.com/spreadsheets/d/1boHyJQ"&amp;"4e2FU0QG8MHwEi6qjX4hvZWVCHcFfXjq7bbMc/edit?resourcekey#gid=923248883"",""Prop!$N$1:$X""),11,0),iferror(vlookup(B47,importrange(""https://docs.google.com/spreadsheets/d/1boHyJQ4e2FU0QG8MHwEi6qjX4hvZWVCHcFfXjq7bbMc/edit?resourcekey#gid=923248883"",""Prop!$Y"&amp;"$1:$AI""),11,0),iferror(vlookup(B47,importrange(""https://docs.google.com/spreadsheets/d/1boHyJQ4e2FU0QG8MHwEi6qjX4hvZWVCHcFfXjq7bbMc/edit?resourcekey#gid=923248883"",""Prop!$AJ$1:$AT""),11,0),iferror(vlookup(B47,importrange(""https://docs.google.com/spre"&amp;"adsheets/d/1boHyJQ4e2FU0QG8MHwEi6qjX4hvZWVCHcFfXjq7bbMc/edit?resourcekey#gid=923248883"",""Prop!$AU$1:$BE""),11,0),iferror(vlookup(B47,importrange(""https://docs.google.com/spreadsheets/d/1boHyJQ4e2FU0QG8MHwEi6qjX4hvZWVCHcFfXjq7bbMc/edit?resourcekey#gid=9"&amp;"23248883"",""Prop!$BF$1:$BP""),11,0),iferror(vlookup(B47,importrange(""https://docs.google.com/spreadsheets/d/1boHyJQ4e2FU0QG8MHwEi6qjX4hvZWVCHcFfXjq7bbMc/edit?resourcekey#gid=923248883"",""Prop!$BQ$1:$CA""),11,0),iferror(vlookup(B47,importrange(""https:/"&amp;"/docs.google.com/spreadsheets/d/1boHyJQ4e2FU0QG8MHwEi6qjX4hvZWVCHcFfXjq7bbMc/edit?resourcekey#gid=923248883"",""Prop!$CB$1:$CL""),11,0),iferror(vlookup(B47,importrange(""https://docs.google.com/spreadsheets/d/1boHyJQ4e2FU0QG8MHwEi6qjX4hvZWVCHcFfXjq7bbMc/e"&amp;"dit?resourcekey#gid=923248883"",""Prop!$CM$1:$CX""),12,0),iferror(vlookup(B47,importrange(""https://docs.google.com/spreadsheets/d/1boHyJQ4e2FU0QG8MHwEi6qjX4hvZWVCHcFfXjq7bbMc/edit?resourcekey#gid=923248883"",""Prop!$CV$1:$DI""),11,0)))))))))))"),"")</f>
        <v/>
      </c>
      <c r="Q47" s="1" t="str">
        <f ca="1">IFERROR(__xludf.DUMMYFUNCTION("iferror(vlookup(B47,importrange(""https://docs.google.com/spreadsheets/d/1p53T2AuvvIqhP7Nf-bo3Uhj8cbKYRPpZdsrBv3x3bAQ/edit?resourcekey#gid=1321652304"",""Prop!$C$1:$M""),11,0),IFERROR(vlookup(B47,importrange(""https://docs.google.com/spreadsheets/d/1p53T2"&amp;"AuvvIqhP7Nf-bo3Uhj8cbKYRPpZdsrBv3x3bAQ/edit?resourcekey#gid=1321652304"",""Prop!$N$1:$X""),11,0),iferror(vlookup(B47,importrange(""https://docs.google.com/spreadsheets/d/1p53T2AuvvIqhP7Nf-bo3Uhj8cbKYRPpZdsrBv3x3bAQ/edit?resourcekey#gid=1321652304"",""Prop"&amp;"!$Y$1:$AI""),11,0),iferror(vlookup(B47,importrange(""https://docs.google.com/spreadsheets/d/1p53T2AuvvIqhP7Nf-bo3Uhj8cbKYRPpZdsrBv3x3bAQ/edit?resourcekey#gid=1321652304"",""Prop!$AJ$1:$AT""),11,0),iferror(vlookup(B47,importrange(""https://docs.google.com/"&amp;"spreadsheets/d/1p53T2AuvvIqhP7Nf-bo3Uhj8cbKYRPpZdsrBv3x3bAQ/edit?resourcekey#gid=1321652304"",""Prop!$AU$1:$BE""),11,0),iferror(vlookup(B47,importrange(""https://docs.google.com/spreadsheets/d/1p53T2AuvvIqhP7Nf-bo3Uhj8cbKYRPpZdsrBv3x3bAQ/edit?resourcekey#"&amp;"gid=1321652304"",""Prop!$BF$1:$BP""),11,0),iferror(vlookup(B47,importrange(""https://docs.google.com/spreadsheets/d/1p53T2AuvvIqhP7Nf-bo3Uhj8cbKYRPpZdsrBv3x3bAQ/edit?resourcekey#gid=1321652304"",""Prop!$BQ$1:$CA""),11,0),iferror(vlookup(B47,importrange("""&amp;"https://docs.google.com/spreadsheets/d/1p53T2AuvvIqhP7Nf-bo3Uhj8cbKYRPpZdsrBv3x3bAQ/edit?resourcekey#gid=1321652304"",""Prop!$CB$1:$CL""),11,0),iferror(vlookup(B47,importrange(""https://docs.google.com/spreadsheets/d/1p53T2AuvvIqhP7Nf-bo3Uhj8cbKYRPpZdsrBv"&amp;"3x3bAQ/edit?resourcekey#gid=1321652304"",""Prop!$CM$1:$CX""),12,0),iferror(vlookup(B47,importrange(""https://docs.google.com/spreadsheets/d/1p53T2AuvvIqhP7Nf-bo3Uhj8cbKYRPpZdsrBv3x3bAQ/edit?resourcekey#gid=1321652304"",""Prop!$CY$1:$DI""),11,0)))))))))))"),"")</f>
        <v/>
      </c>
      <c r="R47" s="20" t="s">
        <v>946</v>
      </c>
      <c r="S47" s="20" t="str">
        <f ca="1">IFERROR(__xludf.DUMMYFUNCTION("IFERROR(vlookup(B47,IMPORTRANGE(""https://docs.google.com/spreadsheets/d/1g_jfYYK_KeipEDNDUgqgrsxK94XiocfNQIcP-v1QVhI/edit?resourcekey#gid=233272945"",""Nilai!B:CT""),21,0),"" "")")," ")</f>
        <v xml:space="preserve"> </v>
      </c>
      <c r="T47" s="20" t="str">
        <f ca="1">IFERROR(__xludf.DUMMYFUNCTION("IFERROR(vlookup(B47,IMPORTRANGE(""https://docs.google.com/spreadsheets/d/1g_jfYYK_KeipEDNDUgqgrsxK94XiocfNQIcP-v1QVhI/edit?resourcekey#gid=233272945"",""Nilai!B:CT""),97,0),"" "")")," ")</f>
        <v xml:space="preserve"> </v>
      </c>
      <c r="U47" s="35" t="s">
        <v>965</v>
      </c>
      <c r="V47" s="85" t="s">
        <v>947</v>
      </c>
      <c r="W47" s="18" t="s">
        <v>978</v>
      </c>
      <c r="X47" s="34" t="b">
        <v>0</v>
      </c>
    </row>
    <row r="48" spans="1:24">
      <c r="A48" s="15">
        <v>47</v>
      </c>
      <c r="B48" s="15">
        <f ca="1">IFERROR(__xludf.DUMMYFUNCTION("""COMPUTED_VALUE"""),3628)</f>
        <v>3628</v>
      </c>
      <c r="C48" s="16" t="str">
        <f ca="1">IFERROR(__xludf.DUMMYFUNCTION("""COMPUTED_VALUE"""),"DIMAS HAQQI WIRATAMA")</f>
        <v>DIMAS HAQQI WIRATAMA</v>
      </c>
      <c r="D48" s="16" t="str">
        <f ca="1">IFERROR(__xludf.DUMMYFUNCTION("""COMPUTED_VALUE"""),"02111840000067")</f>
        <v>02111840000067</v>
      </c>
      <c r="E48" s="16" t="str">
        <f ca="1">IFERROR(__xludf.DUMMYFUNCTION("""COMPUTED_VALUE"""),"Departemen Teknik Mesin")</f>
        <v>Departemen Teknik Mesin</v>
      </c>
      <c r="F48" s="16" t="str">
        <f ca="1">IFERROR(__xludf.DUMMYFUNCTION("""COMPUTED_VALUE"""),"PLATFORM KURSUS ONLINE BERBASIS HARD SKILL ALL-IN-ONE SEBAGAI UPAYA MENINGKATKAN KEMANDIRIAN BERWIRAUSAHA DI INDONESIA")</f>
        <v>PLATFORM KURSUS ONLINE BERBASIS HARD SKILL ALL-IN-ONE SEBAGAI UPAYA MENINGKATKAN KEMANDIRIAN BERWIRAUSAHA DI INDONESIA</v>
      </c>
      <c r="G48" s="16" t="str">
        <f ca="1">IFERROR(__xludf.DUMMYFUNCTION("""COMPUTED_VALUE"""),"Mohammad Khoirul Effendi, S.T., M.Sc.Eng., Ph.D.")</f>
        <v>Mohammad Khoirul Effendi, S.T., M.Sc.Eng., Ph.D.</v>
      </c>
      <c r="H48" s="16" t="str">
        <f ca="1">IFERROR(__xludf.DUMMYFUNCTION("""COMPUTED_VALUE"""),"Muchammad Nurif, S.E., M.T.")</f>
        <v>Muchammad Nurif, S.E., M.T.</v>
      </c>
      <c r="I48" s="16" t="str">
        <f ca="1">IFERROR(__xludf.DUMMYFUNCTION("""COMPUTED_VALUE"""),"Bahalwan Apriyansyah, S.T., MBA.")</f>
        <v>Bahalwan Apriyansyah, S.T., MBA.</v>
      </c>
      <c r="J48" s="16"/>
      <c r="K48" s="17" t="s">
        <v>979</v>
      </c>
      <c r="L48" s="23" t="s">
        <v>980</v>
      </c>
      <c r="M48" s="19" t="b">
        <v>0</v>
      </c>
      <c r="N48" s="19" t="b">
        <v>0</v>
      </c>
      <c r="O48" s="1" t="s">
        <v>950</v>
      </c>
      <c r="P48" s="7" t="str">
        <f ca="1">IFERROR(__xludf.DUMMYFUNCTION("iferror(vlookup(B48,importrange(""https://docs.google.com/spreadsheets/d/1boHyJQ4e2FU0QG8MHwEi6qjX4hvZWVCHcFfXjq7bbMc/edit?resourcekey#gid=923248883"",""Prop!$C$1:$M""),12,0),IFERROR(vlookup(B48,importrange(""https://docs.google.com/spreadsheets/d/1boHyJQ"&amp;"4e2FU0QG8MHwEi6qjX4hvZWVCHcFfXjq7bbMc/edit?resourcekey#gid=923248883"",""Prop!$N$1:$X""),11,0),iferror(vlookup(B48,importrange(""https://docs.google.com/spreadsheets/d/1boHyJQ4e2FU0QG8MHwEi6qjX4hvZWVCHcFfXjq7bbMc/edit?resourcekey#gid=923248883"",""Prop!$Y"&amp;"$1:$AI""),11,0),iferror(vlookup(B48,importrange(""https://docs.google.com/spreadsheets/d/1boHyJQ4e2FU0QG8MHwEi6qjX4hvZWVCHcFfXjq7bbMc/edit?resourcekey#gid=923248883"",""Prop!$AJ$1:$AT""),11,0),iferror(vlookup(B48,importrange(""https://docs.google.com/spre"&amp;"adsheets/d/1boHyJQ4e2FU0QG8MHwEi6qjX4hvZWVCHcFfXjq7bbMc/edit?resourcekey#gid=923248883"",""Prop!$AU$1:$BE""),11,0),iferror(vlookup(B48,importrange(""https://docs.google.com/spreadsheets/d/1boHyJQ4e2FU0QG8MHwEi6qjX4hvZWVCHcFfXjq7bbMc/edit?resourcekey#gid=9"&amp;"23248883"",""Prop!$BF$1:$BP""),11,0),iferror(vlookup(B48,importrange(""https://docs.google.com/spreadsheets/d/1boHyJQ4e2FU0QG8MHwEi6qjX4hvZWVCHcFfXjq7bbMc/edit?resourcekey#gid=923248883"",""Prop!$BQ$1:$CA""),11,0),iferror(vlookup(B48,importrange(""https:/"&amp;"/docs.google.com/spreadsheets/d/1boHyJQ4e2FU0QG8MHwEi6qjX4hvZWVCHcFfXjq7bbMc/edit?resourcekey#gid=923248883"",""Prop!$CB$1:$CL""),11,0),iferror(vlookup(B48,importrange(""https://docs.google.com/spreadsheets/d/1boHyJQ4e2FU0QG8MHwEi6qjX4hvZWVCHcFfXjq7bbMc/e"&amp;"dit?resourcekey#gid=923248883"",""Prop!$CM$1:$CX""),12,0),iferror(vlookup(B48,importrange(""https://docs.google.com/spreadsheets/d/1boHyJQ4e2FU0QG8MHwEi6qjX4hvZWVCHcFfXjq7bbMc/edit?resourcekey#gid=923248883"",""Prop!$CV$1:$DI""),11,0)))))))))))"),"https://drive.google.com/open?id=1QbOPm0qOpeapJqdovStMfk43IV1ZiWBX")</f>
        <v>https://drive.google.com/open?id=1QbOPm0qOpeapJqdovStMfk43IV1ZiWBX</v>
      </c>
      <c r="Q48" s="7" t="str">
        <f ca="1">IFERROR(__xludf.DUMMYFUNCTION("iferror(vlookup(B48,importrange(""https://docs.google.com/spreadsheets/d/1p53T2AuvvIqhP7Nf-bo3Uhj8cbKYRPpZdsrBv3x3bAQ/edit?resourcekey#gid=1321652304"",""Prop!$C$1:$M""),11,0),IFERROR(vlookup(B48,importrange(""https://docs.google.com/spreadsheets/d/1p53T2"&amp;"AuvvIqhP7Nf-bo3Uhj8cbKYRPpZdsrBv3x3bAQ/edit?resourcekey#gid=1321652304"",""Prop!$N$1:$X""),11,0),iferror(vlookup(B48,importrange(""https://docs.google.com/spreadsheets/d/1p53T2AuvvIqhP7Nf-bo3Uhj8cbKYRPpZdsrBv3x3bAQ/edit?resourcekey#gid=1321652304"",""Prop"&amp;"!$Y$1:$AI""),11,0),iferror(vlookup(B48,importrange(""https://docs.google.com/spreadsheets/d/1p53T2AuvvIqhP7Nf-bo3Uhj8cbKYRPpZdsrBv3x3bAQ/edit?resourcekey#gid=1321652304"",""Prop!$AJ$1:$AT""),11,0),iferror(vlookup(B48,importrange(""https://docs.google.com/"&amp;"spreadsheets/d/1p53T2AuvvIqhP7Nf-bo3Uhj8cbKYRPpZdsrBv3x3bAQ/edit?resourcekey#gid=1321652304"",""Prop!$AU$1:$BE""),11,0),iferror(vlookup(B48,importrange(""https://docs.google.com/spreadsheets/d/1p53T2AuvvIqhP7Nf-bo3Uhj8cbKYRPpZdsrBv3x3bAQ/edit?resourcekey#"&amp;"gid=1321652304"",""Prop!$BF$1:$BP""),11,0),iferror(vlookup(B48,importrange(""https://docs.google.com/spreadsheets/d/1p53T2AuvvIqhP7Nf-bo3Uhj8cbKYRPpZdsrBv3x3bAQ/edit?resourcekey#gid=1321652304"",""Prop!$BQ$1:$CA""),11,0),iferror(vlookup(B48,importrange("""&amp;"https://docs.google.com/spreadsheets/d/1p53T2AuvvIqhP7Nf-bo3Uhj8cbKYRPpZdsrBv3x3bAQ/edit?resourcekey#gid=1321652304"",""Prop!$CB$1:$CL""),11,0),iferror(vlookup(B48,importrange(""https://docs.google.com/spreadsheets/d/1p53T2AuvvIqhP7Nf-bo3Uhj8cbKYRPpZdsrBv"&amp;"3x3bAQ/edit?resourcekey#gid=1321652304"",""Prop!$CM$1:$CX""),12,0),iferror(vlookup(B48,importrange(""https://docs.google.com/spreadsheets/d/1p53T2AuvvIqhP7Nf-bo3Uhj8cbKYRPpZdsrBv3x3bAQ/edit?resourcekey#gid=1321652304"",""Prop!$CY$1:$DI""),11,0)))))))))))"),"https://drive.google.com/open?id=1BmdbPI-L5RY3w_O6ZhrCfG0Pa8ib1mIN")</f>
        <v>https://drive.google.com/open?id=1BmdbPI-L5RY3w_O6ZhrCfG0Pa8ib1mIN</v>
      </c>
      <c r="R48" s="20" t="s">
        <v>946</v>
      </c>
      <c r="S48" s="20" t="str">
        <f ca="1">IFERROR(__xludf.DUMMYFUNCTION("IFERROR(vlookup(B48,IMPORTRANGE(""https://docs.google.com/spreadsheets/d/1g_jfYYK_KeipEDNDUgqgrsxK94XiocfNQIcP-v1QVhI/edit?resourcekey#gid=233272945"",""Nilai!B:CT""),21,0),"" "")"),"latar belakang: Potensi pasar belum nampak, spesifikasi teknis belum terjabarkan secara detil. Keunggulan produk belum signifikan. Surat pernyataan ketua masih pakai format lama.")</f>
        <v>latar belakang: Potensi pasar belum nampak, spesifikasi teknis belum terjabarkan secara detil. Keunggulan produk belum signifikan. Surat pernyataan ketua masih pakai format lama.</v>
      </c>
      <c r="T48" s="20" t="str">
        <f ca="1">IFERROR(__xludf.DUMMYFUNCTION("IFERROR(vlookup(B48,IMPORTRANGE(""https://docs.google.com/spreadsheets/d/1g_jfYYK_KeipEDNDUgqgrsxK94XiocfNQIcP-v1QVhI/edit?resourcekey#gid=233272945"",""Nilai!B:CT""),97,0),"" "")"),"LAYAK UPLOAD KE SIMBELMAWA DENGAN REVISI")</f>
        <v>LAYAK UPLOAD KE SIMBELMAWA DENGAN REVISI</v>
      </c>
      <c r="U48" s="36" t="s">
        <v>695</v>
      </c>
      <c r="V48" s="85" t="s">
        <v>947</v>
      </c>
      <c r="W48" s="18" t="s">
        <v>981</v>
      </c>
      <c r="X48" s="34" t="b">
        <v>0</v>
      </c>
    </row>
    <row r="49" spans="1:24">
      <c r="A49" s="15">
        <v>48</v>
      </c>
      <c r="B49" s="15">
        <f ca="1">IFERROR(__xludf.DUMMYFUNCTION("""COMPUTED_VALUE"""),2561)</f>
        <v>2561</v>
      </c>
      <c r="C49" s="16" t="str">
        <f ca="1">IFERROR(__xludf.DUMMYFUNCTION("""COMPUTED_VALUE"""),"ALTA SALSABELLA MAHARANI")</f>
        <v>ALTA SALSABELLA MAHARANI</v>
      </c>
      <c r="D49" s="16" t="str">
        <f ca="1">IFERROR(__xludf.DUMMYFUNCTION("""COMPUTED_VALUE"""),"5002201117")</f>
        <v>5002201117</v>
      </c>
      <c r="E49" s="16" t="str">
        <f ca="1">IFERROR(__xludf.DUMMYFUNCTION("""COMPUTED_VALUE"""),"Departemen Matematika")</f>
        <v>Departemen Matematika</v>
      </c>
      <c r="F49" s="16" t="str">
        <f ca="1">IFERROR(__xludf.DUMMYFUNCTION("""COMPUTED_VALUE"""),"Flabellifer Wrap sebagai Pengganti Bubble Wrap yang Ramah Lingkungan")</f>
        <v>Flabellifer Wrap sebagai Pengganti Bubble Wrap yang Ramah Lingkungan</v>
      </c>
      <c r="G49" s="16" t="str">
        <f ca="1">IFERROR(__xludf.DUMMYFUNCTION("""COMPUTED_VALUE"""),"Dr. Tahiyatul Asfihani, S.Si., M.Si.")</f>
        <v>Dr. Tahiyatul Asfihani, S.Si., M.Si.</v>
      </c>
      <c r="H49" s="16" t="str">
        <f ca="1">IFERROR(__xludf.DUMMYFUNCTION("""COMPUTED_VALUE"""),"MY Alief Samboro, S.T., M.Ds.")</f>
        <v>MY Alief Samboro, S.T., M.Ds.</v>
      </c>
      <c r="I49" s="16" t="str">
        <f ca="1">IFERROR(__xludf.DUMMYFUNCTION("""COMPUTED_VALUE"""),"Atikah Aghdhi Pratiwi, S.T., M.T.")</f>
        <v>Atikah Aghdhi Pratiwi, S.T., M.T.</v>
      </c>
      <c r="J49" s="16"/>
      <c r="K49" s="17" t="s">
        <v>979</v>
      </c>
      <c r="L49" s="23" t="s">
        <v>980</v>
      </c>
      <c r="M49" s="19" t="b">
        <v>1</v>
      </c>
      <c r="N49" s="19" t="b">
        <v>1</v>
      </c>
      <c r="O49" s="1" t="s">
        <v>950</v>
      </c>
      <c r="P49" s="7" t="str">
        <f ca="1">IFERROR(__xludf.DUMMYFUNCTION("iferror(vlookup(B49,importrange(""https://docs.google.com/spreadsheets/d/1boHyJQ4e2FU0QG8MHwEi6qjX4hvZWVCHcFfXjq7bbMc/edit?resourcekey#gid=923248883"",""Prop!$C$1:$M""),12,0),IFERROR(vlookup(B49,importrange(""https://docs.google.com/spreadsheets/d/1boHyJQ"&amp;"4e2FU0QG8MHwEi6qjX4hvZWVCHcFfXjq7bbMc/edit?resourcekey#gid=923248883"",""Prop!$N$1:$X""),11,0),iferror(vlookup(B49,importrange(""https://docs.google.com/spreadsheets/d/1boHyJQ4e2FU0QG8MHwEi6qjX4hvZWVCHcFfXjq7bbMc/edit?resourcekey#gid=923248883"",""Prop!$Y"&amp;"$1:$AI""),11,0),iferror(vlookup(B49,importrange(""https://docs.google.com/spreadsheets/d/1boHyJQ4e2FU0QG8MHwEi6qjX4hvZWVCHcFfXjq7bbMc/edit?resourcekey#gid=923248883"",""Prop!$AJ$1:$AT""),11,0),iferror(vlookup(B49,importrange(""https://docs.google.com/spre"&amp;"adsheets/d/1boHyJQ4e2FU0QG8MHwEi6qjX4hvZWVCHcFfXjq7bbMc/edit?resourcekey#gid=923248883"",""Prop!$AU$1:$BE""),11,0),iferror(vlookup(B49,importrange(""https://docs.google.com/spreadsheets/d/1boHyJQ4e2FU0QG8MHwEi6qjX4hvZWVCHcFfXjq7bbMc/edit?resourcekey#gid=9"&amp;"23248883"",""Prop!$BF$1:$BP""),11,0),iferror(vlookup(B49,importrange(""https://docs.google.com/spreadsheets/d/1boHyJQ4e2FU0QG8MHwEi6qjX4hvZWVCHcFfXjq7bbMc/edit?resourcekey#gid=923248883"",""Prop!$BQ$1:$CA""),11,0),iferror(vlookup(B49,importrange(""https:/"&amp;"/docs.google.com/spreadsheets/d/1boHyJQ4e2FU0QG8MHwEi6qjX4hvZWVCHcFfXjq7bbMc/edit?resourcekey#gid=923248883"",""Prop!$CB$1:$CL""),11,0),iferror(vlookup(B49,importrange(""https://docs.google.com/spreadsheets/d/1boHyJQ4e2FU0QG8MHwEi6qjX4hvZWVCHcFfXjq7bbMc/e"&amp;"dit?resourcekey#gid=923248883"",""Prop!$CM$1:$CX""),12,0),iferror(vlookup(B49,importrange(""https://docs.google.com/spreadsheets/d/1boHyJQ4e2FU0QG8MHwEi6qjX4hvZWVCHcFfXjq7bbMc/edit?resourcekey#gid=923248883"",""Prop!$CV$1:$DI""),11,0)))))))))))"),"https://drive.google.com/open?id=19dodrXMQ5Lh8rIqg3A0Fw48tsefqG28Z")</f>
        <v>https://drive.google.com/open?id=19dodrXMQ5Lh8rIqg3A0Fw48tsefqG28Z</v>
      </c>
      <c r="Q49" s="1" t="str">
        <f ca="1">IFERROR(__xludf.DUMMYFUNCTION("iferror(vlookup(B49,importrange(""https://docs.google.com/spreadsheets/d/1p53T2AuvvIqhP7Nf-bo3Uhj8cbKYRPpZdsrBv3x3bAQ/edit?resourcekey#gid=1321652304"",""Prop!$C$1:$M""),11,0),IFERROR(vlookup(B49,importrange(""https://docs.google.com/spreadsheets/d/1p53T2"&amp;"AuvvIqhP7Nf-bo3Uhj8cbKYRPpZdsrBv3x3bAQ/edit?resourcekey#gid=1321652304"",""Prop!$N$1:$X""),11,0),iferror(vlookup(B49,importrange(""https://docs.google.com/spreadsheets/d/1p53T2AuvvIqhP7Nf-bo3Uhj8cbKYRPpZdsrBv3x3bAQ/edit?resourcekey#gid=1321652304"",""Prop"&amp;"!$Y$1:$AI""),11,0),iferror(vlookup(B49,importrange(""https://docs.google.com/spreadsheets/d/1p53T2AuvvIqhP7Nf-bo3Uhj8cbKYRPpZdsrBv3x3bAQ/edit?resourcekey#gid=1321652304"",""Prop!$AJ$1:$AT""),11,0),iferror(vlookup(B49,importrange(""https://docs.google.com/"&amp;"spreadsheets/d/1p53T2AuvvIqhP7Nf-bo3Uhj8cbKYRPpZdsrBv3x3bAQ/edit?resourcekey#gid=1321652304"",""Prop!$AU$1:$BE""),11,0),iferror(vlookup(B49,importrange(""https://docs.google.com/spreadsheets/d/1p53T2AuvvIqhP7Nf-bo3Uhj8cbKYRPpZdsrBv3x3bAQ/edit?resourcekey#"&amp;"gid=1321652304"",""Prop!$BF$1:$BP""),11,0),iferror(vlookup(B49,importrange(""https://docs.google.com/spreadsheets/d/1p53T2AuvvIqhP7Nf-bo3Uhj8cbKYRPpZdsrBv3x3bAQ/edit?resourcekey#gid=1321652304"",""Prop!$BQ$1:$CA""),11,0),iferror(vlookup(B49,importrange("""&amp;"https://docs.google.com/spreadsheets/d/1p53T2AuvvIqhP7Nf-bo3Uhj8cbKYRPpZdsrBv3x3bAQ/edit?resourcekey#gid=1321652304"",""Prop!$CB$1:$CL""),11,0),iferror(vlookup(B49,importrange(""https://docs.google.com/spreadsheets/d/1p53T2AuvvIqhP7Nf-bo3Uhj8cbKYRPpZdsrBv"&amp;"3x3bAQ/edit?resourcekey#gid=1321652304"",""Prop!$CM$1:$CX""),12,0),iferror(vlookup(B49,importrange(""https://docs.google.com/spreadsheets/d/1p53T2AuvvIqhP7Nf-bo3Uhj8cbKYRPpZdsrBv3x3bAQ/edit?resourcekey#gid=1321652304"",""Prop!$CY$1:$DI""),11,0)))))))))))"),"")</f>
        <v/>
      </c>
      <c r="R49" s="20" t="s">
        <v>946</v>
      </c>
      <c r="S49" s="20" t="str">
        <f ca="1">IFERROR(__xludf.DUMMYFUNCTION("IFERROR(vlookup(B49,IMPORTRANGE(""https://docs.google.com/spreadsheets/d/1g_jfYYK_KeipEDNDUgqgrsxK94XiocfNQIcP-v1QVhI/edit?resourcekey#gid=233272945"",""Nilai!B:CT""),21,0),"" "")"),"masih unggah proposal 1x, ada daftar isi (?), margin tidak tepat/tidak seragam, nomor halaman isi seharusnya di kanan atas. format lampiran masih pakai yang lama. tidak ada surat pernyataan ketua. banyak salah ketik,  tidak ada penarikan referensi/rujukan"&amp;", potensi pasar, detail produk, keunggulan kompetitif produk pada latar belakang, tidak ada cashflow 2 tahun")</f>
        <v>masih unggah proposal 1x, ada daftar isi (?), margin tidak tepat/tidak seragam, nomor halaman isi seharusnya di kanan atas. format lampiran masih pakai yang lama. tidak ada surat pernyataan ketua. banyak salah ketik,  tidak ada penarikan referensi/rujukan, potensi pasar, detail produk, keunggulan kompetitif produk pada latar belakang, tidak ada cashflow 2 tahun</v>
      </c>
      <c r="T49" s="20" t="str">
        <f ca="1">IFERROR(__xludf.DUMMYFUNCTION("IFERROR(vlookup(B49,IMPORTRANGE(""https://docs.google.com/spreadsheets/d/1g_jfYYK_KeipEDNDUgqgrsxK94XiocfNQIcP-v1QVhI/edit?resourcekey#gid=233272945"",""Nilai!B:CT""),97,0),"" "")"),"TIDAK LAYAK UPLOAD KE SIMBELMAWA")</f>
        <v>TIDAK LAYAK UPLOAD KE SIMBELMAWA</v>
      </c>
      <c r="U49" s="36" t="s">
        <v>695</v>
      </c>
      <c r="V49" s="85" t="s">
        <v>947</v>
      </c>
      <c r="W49" s="18" t="s">
        <v>981</v>
      </c>
      <c r="X49" s="34" t="b">
        <v>0</v>
      </c>
    </row>
    <row r="50" spans="1:24">
      <c r="A50" s="15">
        <v>49</v>
      </c>
      <c r="B50" s="15">
        <f ca="1">IFERROR(__xludf.DUMMYFUNCTION("""COMPUTED_VALUE"""),3624)</f>
        <v>3624</v>
      </c>
      <c r="C50" s="16" t="str">
        <f ca="1">IFERROR(__xludf.DUMMYFUNCTION("""COMPUTED_VALUE"""),"AKHMAD THORIQ AFIF")</f>
        <v>AKHMAD THORIQ AFIF</v>
      </c>
      <c r="D50" s="16" t="str">
        <f ca="1">IFERROR(__xludf.DUMMYFUNCTION("""COMPUTED_VALUE"""),"5024201028")</f>
        <v>5024201028</v>
      </c>
      <c r="E50" s="16" t="str">
        <f ca="1">IFERROR(__xludf.DUMMYFUNCTION("""COMPUTED_VALUE"""),"Departemen Teknik Komputer")</f>
        <v>Departemen Teknik Komputer</v>
      </c>
      <c r="F50" s="16" t="str">
        <f ca="1">IFERROR(__xludf.DUMMYFUNCTION("""COMPUTED_VALUE"""),"Foodio - Platform Informasi Kuliner Berbasis Komunitas Sebagai Upaya Meningkatkan Eksposur Usaha Kuliner")</f>
        <v>Foodio - Platform Informasi Kuliner Berbasis Komunitas Sebagai Upaya Meningkatkan Eksposur Usaha Kuliner</v>
      </c>
      <c r="G50" s="16" t="str">
        <f ca="1">IFERROR(__xludf.DUMMYFUNCTION("""COMPUTED_VALUE"""),"Arief Kurniawan, S.T., M.T.")</f>
        <v>Arief Kurniawan, S.T., M.T.</v>
      </c>
      <c r="H50" s="16" t="str">
        <f ca="1">IFERROR(__xludf.DUMMYFUNCTION("""COMPUTED_VALUE"""),"Muchammad Nurif, S.E., M.T.")</f>
        <v>Muchammad Nurif, S.E., M.T.</v>
      </c>
      <c r="I50" s="16" t="str">
        <f ca="1">IFERROR(__xludf.DUMMYFUNCTION("""COMPUTED_VALUE"""),"Bahalwan Apriyansyah, S.T., MBA.")</f>
        <v>Bahalwan Apriyansyah, S.T., MBA.</v>
      </c>
      <c r="J50" s="16"/>
      <c r="K50" s="17" t="s">
        <v>979</v>
      </c>
      <c r="L50" s="23" t="s">
        <v>980</v>
      </c>
      <c r="M50" s="19" t="b">
        <v>1</v>
      </c>
      <c r="N50" s="19" t="b">
        <v>1</v>
      </c>
      <c r="O50" s="1" t="s">
        <v>950</v>
      </c>
      <c r="P50" s="24" t="str">
        <f ca="1">IFERROR(__xludf.DUMMYFUNCTION("iferror(vlookup(B50,importrange(""https://docs.google.com/spreadsheets/d/1boHyJQ4e2FU0QG8MHwEi6qjX4hvZWVCHcFfXjq7bbMc/edit?resourcekey#gid=923248883"",""Prop!$C$1:$M""),12,0),IFERROR(vlookup(B50,importrange(""https://docs.google.com/spreadsheets/d/1boHyJQ"&amp;"4e2FU0QG8MHwEi6qjX4hvZWVCHcFfXjq7bbMc/edit?resourcekey#gid=923248883"",""Prop!$N$1:$X""),11,0),iferror(vlookup(B50,importrange(""https://docs.google.com/spreadsheets/d/1boHyJQ4e2FU0QG8MHwEi6qjX4hvZWVCHcFfXjq7bbMc/edit?resourcekey#gid=923248883"",""Prop!$Y"&amp;"$1:$AI""),11,0),iferror(vlookup(B50,importrange(""https://docs.google.com/spreadsheets/d/1boHyJQ4e2FU0QG8MHwEi6qjX4hvZWVCHcFfXjq7bbMc/edit?resourcekey#gid=923248883"",""Prop!$AJ$1:$AT""),11,0),iferror(vlookup(B50,importrange(""https://docs.google.com/spre"&amp;"adsheets/d/1boHyJQ4e2FU0QG8MHwEi6qjX4hvZWVCHcFfXjq7bbMc/edit?resourcekey#gid=923248883"",""Prop!$AU$1:$BE""),11,0),iferror(vlookup(B50,importrange(""https://docs.google.com/spreadsheets/d/1boHyJQ4e2FU0QG8MHwEi6qjX4hvZWVCHcFfXjq7bbMc/edit?resourcekey#gid=9"&amp;"23248883"",""Prop!$BF$1:$BP""),11,0),iferror(vlookup(B50,importrange(""https://docs.google.com/spreadsheets/d/1boHyJQ4e2FU0QG8MHwEi6qjX4hvZWVCHcFfXjq7bbMc/edit?resourcekey#gid=923248883"",""Prop!$BQ$1:$CA""),11,0),iferror(vlookup(B50,importrange(""https:/"&amp;"/docs.google.com/spreadsheets/d/1boHyJQ4e2FU0QG8MHwEi6qjX4hvZWVCHcFfXjq7bbMc/edit?resourcekey#gid=923248883"",""Prop!$CB$1:$CL""),11,0),iferror(vlookup(B50,importrange(""https://docs.google.com/spreadsheets/d/1boHyJQ4e2FU0QG8MHwEi6qjX4hvZWVCHcFfXjq7bbMc/e"&amp;"dit?resourcekey#gid=923248883"",""Prop!$CM$1:$CX""),12,0),iferror(vlookup(B50,importrange(""https://docs.google.com/spreadsheets/d/1boHyJQ4e2FU0QG8MHwEi6qjX4hvZWVCHcFfXjq7bbMc/edit?resourcekey#gid=923248883"",""Prop!$CV$1:$DI""),11,0)))))))))))"),"")</f>
        <v/>
      </c>
      <c r="Q50" s="7" t="str">
        <f ca="1">IFERROR(__xludf.DUMMYFUNCTION("iferror(vlookup(B50,importrange(""https://docs.google.com/spreadsheets/d/1p53T2AuvvIqhP7Nf-bo3Uhj8cbKYRPpZdsrBv3x3bAQ/edit?resourcekey#gid=1321652304"",""Prop!$C$1:$M""),11,0),IFERROR(vlookup(B50,importrange(""https://docs.google.com/spreadsheets/d/1p53T2"&amp;"AuvvIqhP7Nf-bo3Uhj8cbKYRPpZdsrBv3x3bAQ/edit?resourcekey#gid=1321652304"",""Prop!$N$1:$X""),11,0),iferror(vlookup(B50,importrange(""https://docs.google.com/spreadsheets/d/1p53T2AuvvIqhP7Nf-bo3Uhj8cbKYRPpZdsrBv3x3bAQ/edit?resourcekey#gid=1321652304"",""Prop"&amp;"!$Y$1:$AI""),11,0),iferror(vlookup(B50,importrange(""https://docs.google.com/spreadsheets/d/1p53T2AuvvIqhP7Nf-bo3Uhj8cbKYRPpZdsrBv3x3bAQ/edit?resourcekey#gid=1321652304"",""Prop!$AJ$1:$AT""),11,0),iferror(vlookup(B50,importrange(""https://docs.google.com/"&amp;"spreadsheets/d/1p53T2AuvvIqhP7Nf-bo3Uhj8cbKYRPpZdsrBv3x3bAQ/edit?resourcekey#gid=1321652304"",""Prop!$AU$1:$BE""),11,0),iferror(vlookup(B50,importrange(""https://docs.google.com/spreadsheets/d/1p53T2AuvvIqhP7Nf-bo3Uhj8cbKYRPpZdsrBv3x3bAQ/edit?resourcekey#"&amp;"gid=1321652304"",""Prop!$BF$1:$BP""),11,0),iferror(vlookup(B50,importrange(""https://docs.google.com/spreadsheets/d/1p53T2AuvvIqhP7Nf-bo3Uhj8cbKYRPpZdsrBv3x3bAQ/edit?resourcekey#gid=1321652304"",""Prop!$BQ$1:$CA""),11,0),iferror(vlookup(B50,importrange("""&amp;"https://docs.google.com/spreadsheets/d/1p53T2AuvvIqhP7Nf-bo3Uhj8cbKYRPpZdsrBv3x3bAQ/edit?resourcekey#gid=1321652304"",""Prop!$CB$1:$CL""),11,0),iferror(vlookup(B50,importrange(""https://docs.google.com/spreadsheets/d/1p53T2AuvvIqhP7Nf-bo3Uhj8cbKYRPpZdsrBv"&amp;"3x3bAQ/edit?resourcekey#gid=1321652304"",""Prop!$CM$1:$CX""),12,0),iferror(vlookup(B50,importrange(""https://docs.google.com/spreadsheets/d/1p53T2AuvvIqhP7Nf-bo3Uhj8cbKYRPpZdsrBv3x3bAQ/edit?resourcekey#gid=1321652304"",""Prop!$CY$1:$DI""),11,0)))))))))))"),"https://drive.google.com/open?id=1b_0VBZgrjPTWYy3a6ZMm7gsiUZP7jDfT")</f>
        <v>https://drive.google.com/open?id=1b_0VBZgrjPTWYy3a6ZMm7gsiUZP7jDfT</v>
      </c>
      <c r="R50" s="20" t="s">
        <v>946</v>
      </c>
      <c r="S50" s="20" t="str">
        <f ca="1">IFERROR(__xludf.DUMMYFUNCTION("IFERROR(vlookup(B50,IMPORTRANGE(""https://docs.google.com/spreadsheets/d/1g_jfYYK_KeipEDNDUgqgrsxK94XiocfNQIcP-v1QVhI/edit?resourcekey#gid=233272945"",""Nilai!B:CT""),21,0),"" "")"),"tidak ada dokumen")</f>
        <v>tidak ada dokumen</v>
      </c>
      <c r="T50" s="20" t="str">
        <f ca="1">IFERROR(__xludf.DUMMYFUNCTION("IFERROR(vlookup(B50,IMPORTRANGE(""https://docs.google.com/spreadsheets/d/1g_jfYYK_KeipEDNDUgqgrsxK94XiocfNQIcP-v1QVhI/edit?resourcekey#gid=233272945"",""Nilai!B:CT""),97,0),"" "")"),"TIDAK LAYAK UPLOAD KE SIMBELMAWA")</f>
        <v>TIDAK LAYAK UPLOAD KE SIMBELMAWA</v>
      </c>
      <c r="U50" s="36" t="s">
        <v>695</v>
      </c>
      <c r="V50" s="85" t="s">
        <v>947</v>
      </c>
      <c r="W50" s="18" t="s">
        <v>981</v>
      </c>
      <c r="X50" s="34" t="b">
        <v>0</v>
      </c>
    </row>
    <row r="51" spans="1:24">
      <c r="A51" s="15">
        <v>50</v>
      </c>
      <c r="B51" s="15">
        <f ca="1">IFERROR(__xludf.DUMMYFUNCTION("""COMPUTED_VALUE"""),2910)</f>
        <v>2910</v>
      </c>
      <c r="C51" s="16" t="str">
        <f ca="1">IFERROR(__xludf.DUMMYFUNCTION("""COMPUTED_VALUE"""),"IKA FAIQOTUL HIMMA")</f>
        <v>IKA FAIQOTUL HIMMA</v>
      </c>
      <c r="D51" s="16" t="str">
        <f ca="1">IFERROR(__xludf.DUMMYFUNCTION("""COMPUTED_VALUE"""),"5031201037")</f>
        <v>5031201037</v>
      </c>
      <c r="E51" s="16" t="str">
        <f ca="1">IFERROR(__xludf.DUMMYFUNCTION("""COMPUTED_VALUE"""),"Departemen Manajemen Bisnis")</f>
        <v>Departemen Manajemen Bisnis</v>
      </c>
      <c r="F51" s="16" t="str">
        <f ca="1">IFERROR(__xludf.DUMMYFUNCTION("""COMPUTED_VALUE"""),"BUANG.IN : Aplikasi Pengelola Sampah")</f>
        <v>BUANG.IN : Aplikasi Pengelola Sampah</v>
      </c>
      <c r="G51" s="16" t="str">
        <f ca="1">IFERROR(__xludf.DUMMYFUNCTION("""COMPUTED_VALUE"""),"Gita Widi Bhawika, S.ST., M.MT")</f>
        <v>Gita Widi Bhawika, S.ST., M.MT</v>
      </c>
      <c r="H51" s="16" t="str">
        <f ca="1">IFERROR(__xludf.DUMMYFUNCTION("""COMPUTED_VALUE"""),"MY Alief Samboro, S.T., M.Ds.")</f>
        <v>MY Alief Samboro, S.T., M.Ds.</v>
      </c>
      <c r="I51" s="16" t="str">
        <f ca="1">IFERROR(__xludf.DUMMYFUNCTION("""COMPUTED_VALUE"""),"Sena Safarina , S.Si., M.Sc., D.Sc")</f>
        <v>Sena Safarina , S.Si., M.Sc., D.Sc</v>
      </c>
      <c r="J51" s="16"/>
      <c r="K51" s="17" t="s">
        <v>979</v>
      </c>
      <c r="L51" s="23" t="s">
        <v>980</v>
      </c>
      <c r="M51" s="19" t="b">
        <v>0</v>
      </c>
      <c r="N51" s="19" t="b">
        <v>0</v>
      </c>
      <c r="O51" s="1" t="s">
        <v>955</v>
      </c>
      <c r="P51" s="7" t="str">
        <f ca="1">IFERROR(__xludf.DUMMYFUNCTION("iferror(vlookup(B51,importrange(""https://docs.google.com/spreadsheets/d/1boHyJQ4e2FU0QG8MHwEi6qjX4hvZWVCHcFfXjq7bbMc/edit?resourcekey#gid=923248883"",""Prop!$C$1:$M""),12,0),IFERROR(vlookup(B51,importrange(""https://docs.google.com/spreadsheets/d/1boHyJQ"&amp;"4e2FU0QG8MHwEi6qjX4hvZWVCHcFfXjq7bbMc/edit?resourcekey#gid=923248883"",""Prop!$N$1:$X""),11,0),iferror(vlookup(B51,importrange(""https://docs.google.com/spreadsheets/d/1boHyJQ4e2FU0QG8MHwEi6qjX4hvZWVCHcFfXjq7bbMc/edit?resourcekey#gid=923248883"",""Prop!$Y"&amp;"$1:$AI""),11,0),iferror(vlookup(B51,importrange(""https://docs.google.com/spreadsheets/d/1boHyJQ4e2FU0QG8MHwEi6qjX4hvZWVCHcFfXjq7bbMc/edit?resourcekey#gid=923248883"",""Prop!$AJ$1:$AT""),11,0),iferror(vlookup(B51,importrange(""https://docs.google.com/spre"&amp;"adsheets/d/1boHyJQ4e2FU0QG8MHwEi6qjX4hvZWVCHcFfXjq7bbMc/edit?resourcekey#gid=923248883"",""Prop!$AU$1:$BE""),11,0),iferror(vlookup(B51,importrange(""https://docs.google.com/spreadsheets/d/1boHyJQ4e2FU0QG8MHwEi6qjX4hvZWVCHcFfXjq7bbMc/edit?resourcekey#gid=9"&amp;"23248883"",""Prop!$BF$1:$BP""),11,0),iferror(vlookup(B51,importrange(""https://docs.google.com/spreadsheets/d/1boHyJQ4e2FU0QG8MHwEi6qjX4hvZWVCHcFfXjq7bbMc/edit?resourcekey#gid=923248883"",""Prop!$BQ$1:$CA""),11,0),iferror(vlookup(B51,importrange(""https:/"&amp;"/docs.google.com/spreadsheets/d/1boHyJQ4e2FU0QG8MHwEi6qjX4hvZWVCHcFfXjq7bbMc/edit?resourcekey#gid=923248883"",""Prop!$CB$1:$CL""),11,0),iferror(vlookup(B51,importrange(""https://docs.google.com/spreadsheets/d/1boHyJQ4e2FU0QG8MHwEi6qjX4hvZWVCHcFfXjq7bbMc/e"&amp;"dit?resourcekey#gid=923248883"",""Prop!$CM$1:$CX""),12,0),iferror(vlookup(B51,importrange(""https://docs.google.com/spreadsheets/d/1boHyJQ4e2FU0QG8MHwEi6qjX4hvZWVCHcFfXjq7bbMc/edit?resourcekey#gid=923248883"",""Prop!$CV$1:$DI""),11,0)))))))))))"),"https://drive.google.com/open?id=1tekTTOQsabtQqM8cNGv1ERDPDSBWeBMD")</f>
        <v>https://drive.google.com/open?id=1tekTTOQsabtQqM8cNGv1ERDPDSBWeBMD</v>
      </c>
      <c r="Q51" s="1" t="str">
        <f ca="1">IFERROR(__xludf.DUMMYFUNCTION("iferror(vlookup(B51,importrange(""https://docs.google.com/spreadsheets/d/1p53T2AuvvIqhP7Nf-bo3Uhj8cbKYRPpZdsrBv3x3bAQ/edit?resourcekey#gid=1321652304"",""Prop!$C$1:$M""),11,0),IFERROR(vlookup(B51,importrange(""https://docs.google.com/spreadsheets/d/1p53T2"&amp;"AuvvIqhP7Nf-bo3Uhj8cbKYRPpZdsrBv3x3bAQ/edit?resourcekey#gid=1321652304"",""Prop!$N$1:$X""),11,0),iferror(vlookup(B51,importrange(""https://docs.google.com/spreadsheets/d/1p53T2AuvvIqhP7Nf-bo3Uhj8cbKYRPpZdsrBv3x3bAQ/edit?resourcekey#gid=1321652304"",""Prop"&amp;"!$Y$1:$AI""),11,0),iferror(vlookup(B51,importrange(""https://docs.google.com/spreadsheets/d/1p53T2AuvvIqhP7Nf-bo3Uhj8cbKYRPpZdsrBv3x3bAQ/edit?resourcekey#gid=1321652304"",""Prop!$AJ$1:$AT""),11,0),iferror(vlookup(B51,importrange(""https://docs.google.com/"&amp;"spreadsheets/d/1p53T2AuvvIqhP7Nf-bo3Uhj8cbKYRPpZdsrBv3x3bAQ/edit?resourcekey#gid=1321652304"",""Prop!$AU$1:$BE""),11,0),iferror(vlookup(B51,importrange(""https://docs.google.com/spreadsheets/d/1p53T2AuvvIqhP7Nf-bo3Uhj8cbKYRPpZdsrBv3x3bAQ/edit?resourcekey#"&amp;"gid=1321652304"",""Prop!$BF$1:$BP""),11,0),iferror(vlookup(B51,importrange(""https://docs.google.com/spreadsheets/d/1p53T2AuvvIqhP7Nf-bo3Uhj8cbKYRPpZdsrBv3x3bAQ/edit?resourcekey#gid=1321652304"",""Prop!$BQ$1:$CA""),11,0),iferror(vlookup(B51,importrange("""&amp;"https://docs.google.com/spreadsheets/d/1p53T2AuvvIqhP7Nf-bo3Uhj8cbKYRPpZdsrBv3x3bAQ/edit?resourcekey#gid=1321652304"",""Prop!$CB$1:$CL""),11,0),iferror(vlookup(B51,importrange(""https://docs.google.com/spreadsheets/d/1p53T2AuvvIqhP7Nf-bo3Uhj8cbKYRPpZdsrBv"&amp;"3x3bAQ/edit?resourcekey#gid=1321652304"",""Prop!$CM$1:$CX""),12,0),iferror(vlookup(B51,importrange(""https://docs.google.com/spreadsheets/d/1p53T2AuvvIqhP7Nf-bo3Uhj8cbKYRPpZdsrBv3x3bAQ/edit?resourcekey#gid=1321652304"",""Prop!$CY$1:$DI""),11,0)))))))))))"),"")</f>
        <v/>
      </c>
      <c r="R51" s="20" t="s">
        <v>946</v>
      </c>
      <c r="S51" s="20" t="str">
        <f ca="1">IFERROR(__xludf.DUMMYFUNCTION("IFERROR(vlookup(B51,IMPORTRANGE(""https://docs.google.com/spreadsheets/d/1g_jfYYK_KeipEDNDUgqgrsxK94XiocfNQIcP-v1QVhI/edit?resourcekey#gid=233272945"",""Nilai!B:CT""),21,0),"" "")"),"sudah disampaikan mahasiswa")</f>
        <v>sudah disampaikan mahasiswa</v>
      </c>
      <c r="T51" s="20" t="str">
        <f ca="1">IFERROR(__xludf.DUMMYFUNCTION("IFERROR(vlookup(B51,IMPORTRANGE(""https://docs.google.com/spreadsheets/d/1g_jfYYK_KeipEDNDUgqgrsxK94XiocfNQIcP-v1QVhI/edit?resourcekey#gid=233272945"",""Nilai!B:CT""),97,0),"" "")"),"LAYAK UPLOAD KE SIMBELMAWA DENGAN REVISI")</f>
        <v>LAYAK UPLOAD KE SIMBELMAWA DENGAN REVISI</v>
      </c>
      <c r="U51" s="36" t="s">
        <v>695</v>
      </c>
      <c r="V51" s="85" t="s">
        <v>947</v>
      </c>
      <c r="W51" s="18" t="s">
        <v>981</v>
      </c>
      <c r="X51" s="34" t="b">
        <v>0</v>
      </c>
    </row>
    <row r="52" spans="1:24">
      <c r="A52" s="15">
        <v>51</v>
      </c>
      <c r="B52" s="15">
        <f ca="1">IFERROR(__xludf.DUMMYFUNCTION("""COMPUTED_VALUE"""),2510)</f>
        <v>2510</v>
      </c>
      <c r="C52" s="16" t="str">
        <f ca="1">IFERROR(__xludf.DUMMYFUNCTION("""COMPUTED_VALUE"""),"Yosen Andrea R")</f>
        <v>Yosen Andrea R</v>
      </c>
      <c r="D52" s="16" t="str">
        <f ca="1">IFERROR(__xludf.DUMMYFUNCTION("""COMPUTED_VALUE"""),"5013211085")</f>
        <v>5013211085</v>
      </c>
      <c r="E52" s="16" t="str">
        <f ca="1">IFERROR(__xludf.DUMMYFUNCTION("""COMPUTED_VALUE"""),"Departemen Arsitektur")</f>
        <v>Departemen Arsitektur</v>
      </c>
      <c r="F52" s="16" t="str">
        <f ca="1">IFERROR(__xludf.DUMMYFUNCTION("""COMPUTED_VALUE"""),"Rancang : Platform Marketplace Penyedia Jasa Arsitek sebagai Solusi Meningkatkan Kesejahteraan Bidang Ekonomi Kreatif pada UMKM Arsitektur")</f>
        <v>Rancang : Platform Marketplace Penyedia Jasa Arsitek sebagai Solusi Meningkatkan Kesejahteraan Bidang Ekonomi Kreatif pada UMKM Arsitektur</v>
      </c>
      <c r="G52" s="16" t="str">
        <f ca="1">IFERROR(__xludf.DUMMYFUNCTION("""COMPUTED_VALUE"""),"Andre Parvian Aristio, S.Kom., M.Sc.")</f>
        <v>Andre Parvian Aristio, S.Kom., M.Sc.</v>
      </c>
      <c r="H52" s="16" t="str">
        <f ca="1">IFERROR(__xludf.DUMMYFUNCTION("""COMPUTED_VALUE"""),"MY Alief Samboro, S.T., M.Ds.")</f>
        <v>MY Alief Samboro, S.T., M.Ds.</v>
      </c>
      <c r="I52" s="16" t="str">
        <f ca="1">IFERROR(__xludf.DUMMYFUNCTION("""COMPUTED_VALUE"""),"Atikah Aghdhi Pratiwi, S.T., M.T.")</f>
        <v>Atikah Aghdhi Pratiwi, S.T., M.T.</v>
      </c>
      <c r="J52" s="16"/>
      <c r="K52" s="17" t="s">
        <v>979</v>
      </c>
      <c r="L52" s="23" t="s">
        <v>980</v>
      </c>
      <c r="M52" s="19" t="b">
        <v>0</v>
      </c>
      <c r="N52" s="19" t="b">
        <v>0</v>
      </c>
      <c r="O52" s="1" t="s">
        <v>955</v>
      </c>
      <c r="P52" s="24" t="str">
        <f ca="1">IFERROR(__xludf.DUMMYFUNCTION("iferror(vlookup(B52,importrange(""https://docs.google.com/spreadsheets/d/1boHyJQ4e2FU0QG8MHwEi6qjX4hvZWVCHcFfXjq7bbMc/edit?resourcekey#gid=923248883"",""Prop!$C$1:$M""),12,0),IFERROR(vlookup(B52,importrange(""https://docs.google.com/spreadsheets/d/1boHyJQ"&amp;"4e2FU0QG8MHwEi6qjX4hvZWVCHcFfXjq7bbMc/edit?resourcekey#gid=923248883"",""Prop!$N$1:$X""),11,0),iferror(vlookup(B52,importrange(""https://docs.google.com/spreadsheets/d/1boHyJQ4e2FU0QG8MHwEi6qjX4hvZWVCHcFfXjq7bbMc/edit?resourcekey#gid=923248883"",""Prop!$Y"&amp;"$1:$AI""),11,0),iferror(vlookup(B52,importrange(""https://docs.google.com/spreadsheets/d/1boHyJQ4e2FU0QG8MHwEi6qjX4hvZWVCHcFfXjq7bbMc/edit?resourcekey#gid=923248883"",""Prop!$AJ$1:$AT""),11,0),iferror(vlookup(B52,importrange(""https://docs.google.com/spre"&amp;"adsheets/d/1boHyJQ4e2FU0QG8MHwEi6qjX4hvZWVCHcFfXjq7bbMc/edit?resourcekey#gid=923248883"",""Prop!$AU$1:$BE""),11,0),iferror(vlookup(B52,importrange(""https://docs.google.com/spreadsheets/d/1boHyJQ4e2FU0QG8MHwEi6qjX4hvZWVCHcFfXjq7bbMc/edit?resourcekey#gid=9"&amp;"23248883"",""Prop!$BF$1:$BP""),11,0),iferror(vlookup(B52,importrange(""https://docs.google.com/spreadsheets/d/1boHyJQ4e2FU0QG8MHwEi6qjX4hvZWVCHcFfXjq7bbMc/edit?resourcekey#gid=923248883"",""Prop!$BQ$1:$CA""),11,0),iferror(vlookup(B52,importrange(""https:/"&amp;"/docs.google.com/spreadsheets/d/1boHyJQ4e2FU0QG8MHwEi6qjX4hvZWVCHcFfXjq7bbMc/edit?resourcekey#gid=923248883"",""Prop!$CB$1:$CL""),11,0),iferror(vlookup(B52,importrange(""https://docs.google.com/spreadsheets/d/1boHyJQ4e2FU0QG8MHwEi6qjX4hvZWVCHcFfXjq7bbMc/e"&amp;"dit?resourcekey#gid=923248883"",""Prop!$CM$1:$CX""),12,0),iferror(vlookup(B52,importrange(""https://docs.google.com/spreadsheets/d/1boHyJQ4e2FU0QG8MHwEi6qjX4hvZWVCHcFfXjq7bbMc/edit?resourcekey#gid=923248883"",""Prop!$CV$1:$DI""),11,0)))))))))))"),"")</f>
        <v/>
      </c>
      <c r="Q52" s="1" t="str">
        <f ca="1">IFERROR(__xludf.DUMMYFUNCTION("iferror(vlookup(B52,importrange(""https://docs.google.com/spreadsheets/d/1p53T2AuvvIqhP7Nf-bo3Uhj8cbKYRPpZdsrBv3x3bAQ/edit?resourcekey#gid=1321652304"",""Prop!$C$1:$M""),11,0),IFERROR(vlookup(B52,importrange(""https://docs.google.com/spreadsheets/d/1p53T2"&amp;"AuvvIqhP7Nf-bo3Uhj8cbKYRPpZdsrBv3x3bAQ/edit?resourcekey#gid=1321652304"",""Prop!$N$1:$X""),11,0),iferror(vlookup(B52,importrange(""https://docs.google.com/spreadsheets/d/1p53T2AuvvIqhP7Nf-bo3Uhj8cbKYRPpZdsrBv3x3bAQ/edit?resourcekey#gid=1321652304"",""Prop"&amp;"!$Y$1:$AI""),11,0),iferror(vlookup(B52,importrange(""https://docs.google.com/spreadsheets/d/1p53T2AuvvIqhP7Nf-bo3Uhj8cbKYRPpZdsrBv3x3bAQ/edit?resourcekey#gid=1321652304"",""Prop!$AJ$1:$AT""),11,0),iferror(vlookup(B52,importrange(""https://docs.google.com/"&amp;"spreadsheets/d/1p53T2AuvvIqhP7Nf-bo3Uhj8cbKYRPpZdsrBv3x3bAQ/edit?resourcekey#gid=1321652304"",""Prop!$AU$1:$BE""),11,0),iferror(vlookup(B52,importrange(""https://docs.google.com/spreadsheets/d/1p53T2AuvvIqhP7Nf-bo3Uhj8cbKYRPpZdsrBv3x3bAQ/edit?resourcekey#"&amp;"gid=1321652304"",""Prop!$BF$1:$BP""),11,0),iferror(vlookup(B52,importrange(""https://docs.google.com/spreadsheets/d/1p53T2AuvvIqhP7Nf-bo3Uhj8cbKYRPpZdsrBv3x3bAQ/edit?resourcekey#gid=1321652304"",""Prop!$BQ$1:$CA""),11,0),iferror(vlookup(B52,importrange("""&amp;"https://docs.google.com/spreadsheets/d/1p53T2AuvvIqhP7Nf-bo3Uhj8cbKYRPpZdsrBv3x3bAQ/edit?resourcekey#gid=1321652304"",""Prop!$CB$1:$CL""),11,0),iferror(vlookup(B52,importrange(""https://docs.google.com/spreadsheets/d/1p53T2AuvvIqhP7Nf-bo3Uhj8cbKYRPpZdsrBv"&amp;"3x3bAQ/edit?resourcekey#gid=1321652304"",""Prop!$CM$1:$CX""),12,0),iferror(vlookup(B52,importrange(""https://docs.google.com/spreadsheets/d/1p53T2AuvvIqhP7Nf-bo3Uhj8cbKYRPpZdsrBv3x3bAQ/edit?resourcekey#gid=1321652304"",""Prop!$CY$1:$DI""),11,0)))))))))))"),"")</f>
        <v/>
      </c>
      <c r="R52" s="20" t="s">
        <v>946</v>
      </c>
      <c r="S52" s="20" t="str">
        <f ca="1">IFERROR(__xludf.DUMMYFUNCTION("IFERROR(vlookup(B52,IMPORTRANGE(""https://docs.google.com/spreadsheets/d/1g_jfYYK_KeipEDNDUgqgrsxK94XiocfNQIcP-v1QVhI/edit?resourcekey#gid=233272945"",""Nilai!B:CT""),21,0),"" "")"),"tidak ada dokumen yang diunggah")</f>
        <v>tidak ada dokumen yang diunggah</v>
      </c>
      <c r="T52" s="20" t="str">
        <f ca="1">IFERROR(__xludf.DUMMYFUNCTION("IFERROR(vlookup(B52,IMPORTRANGE(""https://docs.google.com/spreadsheets/d/1g_jfYYK_KeipEDNDUgqgrsxK94XiocfNQIcP-v1QVhI/edit?resourcekey#gid=233272945"",""Nilai!B:CT""),97,0),"" "")"),"TIDAK LAYAK UPLOAD KE SIMBELMAWA")</f>
        <v>TIDAK LAYAK UPLOAD KE SIMBELMAWA</v>
      </c>
      <c r="U52" s="36" t="s">
        <v>695</v>
      </c>
      <c r="V52" s="85" t="s">
        <v>947</v>
      </c>
      <c r="W52" s="18" t="s">
        <v>982</v>
      </c>
      <c r="X52" s="34" t="b">
        <v>0</v>
      </c>
    </row>
    <row r="53" spans="1:24">
      <c r="A53" s="15">
        <v>52</v>
      </c>
      <c r="B53" s="15">
        <f ca="1">IFERROR(__xludf.DUMMYFUNCTION("""COMPUTED_VALUE"""),2737)</f>
        <v>2737</v>
      </c>
      <c r="C53" s="16" t="str">
        <f ca="1">IFERROR(__xludf.DUMMYFUNCTION("""COMPUTED_VALUE"""),"AJENG DINI MAYAIKA")</f>
        <v>AJENG DINI MAYAIKA</v>
      </c>
      <c r="D53" s="16" t="str">
        <f ca="1">IFERROR(__xludf.DUMMYFUNCTION("""COMPUTED_VALUE"""),"5011201003")</f>
        <v>5011201003</v>
      </c>
      <c r="E53" s="16" t="str">
        <f ca="1">IFERROR(__xludf.DUMMYFUNCTION("""COMPUTED_VALUE"""),"Departemen Teknik Material dan Metalurgi")</f>
        <v>Departemen Teknik Material dan Metalurgi</v>
      </c>
      <c r="F53" s="16" t="str">
        <f ca="1">IFERROR(__xludf.DUMMYFUNCTION("""COMPUTED_VALUE"""),"Waste 4 Life: Platform Pengelola Sampah Produk Kecantikan dan Perawatan Tubuh sebagai Sarana Ide Bisnis Berkelanjutan dalam Menghadapi Sciety 5.0")</f>
        <v>Waste 4 Life: Platform Pengelola Sampah Produk Kecantikan dan Perawatan Tubuh sebagai Sarana Ide Bisnis Berkelanjutan dalam Menghadapi Sciety 5.0</v>
      </c>
      <c r="G53" s="16" t="str">
        <f ca="1">IFERROR(__xludf.DUMMYFUNCTION("""COMPUTED_VALUE"""),"Rizky Januar Akbar, S.Kom., M.Eng.")</f>
        <v>Rizky Januar Akbar, S.Kom., M.Eng.</v>
      </c>
      <c r="H53" s="16" t="str">
        <f ca="1">IFERROR(__xludf.DUMMYFUNCTION("""COMPUTED_VALUE"""),"Ahmad Fauzan Adziimaa, S.T., M.Sc.")</f>
        <v>Ahmad Fauzan Adziimaa, S.T., M.Sc.</v>
      </c>
      <c r="I53" s="16" t="str">
        <f ca="1">IFERROR(__xludf.DUMMYFUNCTION("""COMPUTED_VALUE"""),"Sena Safarina , S.Si., M.Sc., D.Sc")</f>
        <v>Sena Safarina , S.Si., M.Sc., D.Sc</v>
      </c>
      <c r="J53" s="16"/>
      <c r="K53" s="17" t="s">
        <v>979</v>
      </c>
      <c r="L53" s="23" t="s">
        <v>980</v>
      </c>
      <c r="M53" s="19" t="b">
        <v>1</v>
      </c>
      <c r="N53" s="19" t="b">
        <v>1</v>
      </c>
      <c r="O53" s="1" t="s">
        <v>955</v>
      </c>
      <c r="P53" s="1" t="str">
        <f ca="1">IFERROR(__xludf.DUMMYFUNCTION("iferror(vlookup(B53,importrange(""https://docs.google.com/spreadsheets/d/1boHyJQ4e2FU0QG8MHwEi6qjX4hvZWVCHcFfXjq7bbMc/edit?resourcekey#gid=923248883"",""Prop!$C$1:$M""),12,0),IFERROR(vlookup(B53,importrange(""https://docs.google.com/spreadsheets/d/1boHyJQ"&amp;"4e2FU0QG8MHwEi6qjX4hvZWVCHcFfXjq7bbMc/edit?resourcekey#gid=923248883"",""Prop!$N$1:$X""),11,0),iferror(vlookup(B53,importrange(""https://docs.google.com/spreadsheets/d/1boHyJQ4e2FU0QG8MHwEi6qjX4hvZWVCHcFfXjq7bbMc/edit?resourcekey#gid=923248883"",""Prop!$Y"&amp;"$1:$AI""),11,0),iferror(vlookup(B53,importrange(""https://docs.google.com/spreadsheets/d/1boHyJQ4e2FU0QG8MHwEi6qjX4hvZWVCHcFfXjq7bbMc/edit?resourcekey#gid=923248883"",""Prop!$AJ$1:$AT""),11,0),iferror(vlookup(B53,importrange(""https://docs.google.com/spre"&amp;"adsheets/d/1boHyJQ4e2FU0QG8MHwEi6qjX4hvZWVCHcFfXjq7bbMc/edit?resourcekey#gid=923248883"",""Prop!$AU$1:$BE""),11,0),iferror(vlookup(B53,importrange(""https://docs.google.com/spreadsheets/d/1boHyJQ4e2FU0QG8MHwEi6qjX4hvZWVCHcFfXjq7bbMc/edit?resourcekey#gid=9"&amp;"23248883"",""Prop!$BF$1:$BP""),11,0),iferror(vlookup(B53,importrange(""https://docs.google.com/spreadsheets/d/1boHyJQ4e2FU0QG8MHwEi6qjX4hvZWVCHcFfXjq7bbMc/edit?resourcekey#gid=923248883"",""Prop!$BQ$1:$CA""),11,0),iferror(vlookup(B53,importrange(""https:/"&amp;"/docs.google.com/spreadsheets/d/1boHyJQ4e2FU0QG8MHwEi6qjX4hvZWVCHcFfXjq7bbMc/edit?resourcekey#gid=923248883"",""Prop!$CB$1:$CL""),11,0),iferror(vlookup(B53,importrange(""https://docs.google.com/spreadsheets/d/1boHyJQ4e2FU0QG8MHwEi6qjX4hvZWVCHcFfXjq7bbMc/e"&amp;"dit?resourcekey#gid=923248883"",""Prop!$CM$1:$CX""),12,0),iferror(vlookup(B53,importrange(""https://docs.google.com/spreadsheets/d/1boHyJQ4e2FU0QG8MHwEi6qjX4hvZWVCHcFfXjq7bbMc/edit?resourcekey#gid=923248883"",""Prop!$CV$1:$DI""),11,0)))))))))))"),"")</f>
        <v/>
      </c>
      <c r="Q53" s="7" t="str">
        <f ca="1">IFERROR(__xludf.DUMMYFUNCTION("iferror(vlookup(B53,importrange(""https://docs.google.com/spreadsheets/d/1p53T2AuvvIqhP7Nf-bo3Uhj8cbKYRPpZdsrBv3x3bAQ/edit?resourcekey#gid=1321652304"",""Prop!$C$1:$M""),11,0),IFERROR(vlookup(B53,importrange(""https://docs.google.com/spreadsheets/d/1p53T2"&amp;"AuvvIqhP7Nf-bo3Uhj8cbKYRPpZdsrBv3x3bAQ/edit?resourcekey#gid=1321652304"",""Prop!$N$1:$X""),11,0),iferror(vlookup(B53,importrange(""https://docs.google.com/spreadsheets/d/1p53T2AuvvIqhP7Nf-bo3Uhj8cbKYRPpZdsrBv3x3bAQ/edit?resourcekey#gid=1321652304"",""Prop"&amp;"!$Y$1:$AI""),11,0),iferror(vlookup(B53,importrange(""https://docs.google.com/spreadsheets/d/1p53T2AuvvIqhP7Nf-bo3Uhj8cbKYRPpZdsrBv3x3bAQ/edit?resourcekey#gid=1321652304"",""Prop!$AJ$1:$AT""),11,0),iferror(vlookup(B53,importrange(""https://docs.google.com/"&amp;"spreadsheets/d/1p53T2AuvvIqhP7Nf-bo3Uhj8cbKYRPpZdsrBv3x3bAQ/edit?resourcekey#gid=1321652304"",""Prop!$AU$1:$BE""),11,0),iferror(vlookup(B53,importrange(""https://docs.google.com/spreadsheets/d/1p53T2AuvvIqhP7Nf-bo3Uhj8cbKYRPpZdsrBv3x3bAQ/edit?resourcekey#"&amp;"gid=1321652304"",""Prop!$BF$1:$BP""),11,0),iferror(vlookup(B53,importrange(""https://docs.google.com/spreadsheets/d/1p53T2AuvvIqhP7Nf-bo3Uhj8cbKYRPpZdsrBv3x3bAQ/edit?resourcekey#gid=1321652304"",""Prop!$BQ$1:$CA""),11,0),iferror(vlookup(B53,importrange("""&amp;"https://docs.google.com/spreadsheets/d/1p53T2AuvvIqhP7Nf-bo3Uhj8cbKYRPpZdsrBv3x3bAQ/edit?resourcekey#gid=1321652304"",""Prop!$CB$1:$CL""),11,0),iferror(vlookup(B53,importrange(""https://docs.google.com/spreadsheets/d/1p53T2AuvvIqhP7Nf-bo3Uhj8cbKYRPpZdsrBv"&amp;"3x3bAQ/edit?resourcekey#gid=1321652304"",""Prop!$CM$1:$CX""),12,0),iferror(vlookup(B53,importrange(""https://docs.google.com/spreadsheets/d/1p53T2AuvvIqhP7Nf-bo3Uhj8cbKYRPpZdsrBv3x3bAQ/edit?resourcekey#gid=1321652304"",""Prop!$CY$1:$DI""),11,0)))))))))))"),"https://drive.google.com/open?id=1zEqXrlnCZX_mF6cxTVP8Kx6gA4gK3IVo")</f>
        <v>https://drive.google.com/open?id=1zEqXrlnCZX_mF6cxTVP8Kx6gA4gK3IVo</v>
      </c>
      <c r="R53" s="20" t="s">
        <v>946</v>
      </c>
      <c r="S53" s="20" t="str">
        <f ca="1">IFERROR(__xludf.DUMMYFUNCTION("IFERROR(vlookup(B53,IMPORTRANGE(""https://docs.google.com/spreadsheets/d/1g_jfYYK_KeipEDNDUgqgrsxK94XiocfNQIcP-v1QVhI/edit?resourcekey#gid=233272945"",""Nilai!B:CT""),21,0),"" "")"),"ada salah ketik. Latar belakang: keunggulan kompetitif produk tidak ada, perbandingan dg kompetitor tidak ada, potensi pasar tidak ada, minim rujukan referensi data primer/sekunder. rumusan masalah belum berfokus pada usaha yang dilakukan, manfaat lebih b"&amp;"aik ditambahkan bagi konsumen/pengguna usaha-bukan hanya ditulis ""masyarakat"". Keberlanjutan usaha belum spesifik. belum ada cashflow 2 tahun. tabel 4.2 diminta sesuai dengan format panduan. Biodata ketua masuk lampiran 1, bukan lampiran 2. layouting la"&amp;"mpiran susunan organisasi perlu diperbaiki. belanja bahan tidak boleh lebih dari Rp1jt per item. Persentase belanja bahan tidak boleh lebih dari 60%. SURAT PERNYATAAN KETUA HARUS DITANDATANGANI. ")</f>
        <v xml:space="preserve">ada salah ketik. Latar belakang: keunggulan kompetitif produk tidak ada, perbandingan dg kompetitor tidak ada, potensi pasar tidak ada, minim rujukan referensi data primer/sekunder. rumusan masalah belum berfokus pada usaha yang dilakukan, manfaat lebih baik ditambahkan bagi konsumen/pengguna usaha-bukan hanya ditulis "masyarakat". Keberlanjutan usaha belum spesifik. belum ada cashflow 2 tahun. tabel 4.2 diminta sesuai dengan format panduan. Biodata ketua masuk lampiran 1, bukan lampiran 2. layouting lampiran susunan organisasi perlu diperbaiki. belanja bahan tidak boleh lebih dari Rp1jt per item. Persentase belanja bahan tidak boleh lebih dari 60%. SURAT PERNYATAAN KETUA HARUS DITANDATANGANI. </v>
      </c>
      <c r="T53" s="20" t="str">
        <f ca="1">IFERROR(__xludf.DUMMYFUNCTION("IFERROR(vlookup(B53,IMPORTRANGE(""https://docs.google.com/spreadsheets/d/1g_jfYYK_KeipEDNDUgqgrsxK94XiocfNQIcP-v1QVhI/edit?resourcekey#gid=233272945"",""Nilai!B:CT""),97,0),"" "")"),"LAYAK UPLOAD KE SIMBELMAWA DENGAN REVISI")</f>
        <v>LAYAK UPLOAD KE SIMBELMAWA DENGAN REVISI</v>
      </c>
      <c r="U53" s="36" t="s">
        <v>695</v>
      </c>
      <c r="V53" s="85" t="s">
        <v>947</v>
      </c>
      <c r="W53" s="18" t="s">
        <v>982</v>
      </c>
      <c r="X53" s="34" t="b">
        <v>0</v>
      </c>
    </row>
    <row r="54" spans="1:24">
      <c r="A54" s="15">
        <v>53</v>
      </c>
      <c r="B54" s="15">
        <f ca="1">IFERROR(__xludf.DUMMYFUNCTION("""COMPUTED_VALUE"""),2083)</f>
        <v>2083</v>
      </c>
      <c r="C54" s="16" t="str">
        <f ca="1">IFERROR(__xludf.DUMMYFUNCTION("""COMPUTED_VALUE"""),"G. I. Osvaldo K.")</f>
        <v>G. I. Osvaldo K.</v>
      </c>
      <c r="D54" s="16" t="str">
        <f ca="1">IFERROR(__xludf.DUMMYFUNCTION("""COMPUTED_VALUE"""),"5025211135")</f>
        <v>5025211135</v>
      </c>
      <c r="E54" s="16" t="str">
        <f ca="1">IFERROR(__xludf.DUMMYFUNCTION("""COMPUTED_VALUE"""),"Departemen Teknik Informatika")</f>
        <v>Departemen Teknik Informatika</v>
      </c>
      <c r="F54" s="16" t="str">
        <f ca="1">IFERROR(__xludf.DUMMYFUNCTION("""COMPUTED_VALUE"""),"GATOM, Platform Marketplace Jasa Terpercaya
Bagi Masyarakat Indonesia")</f>
        <v>GATOM, Platform Marketplace Jasa Terpercaya
Bagi Masyarakat Indonesia</v>
      </c>
      <c r="G54" s="16" t="str">
        <f ca="1">IFERROR(__xludf.DUMMYFUNCTION("""COMPUTED_VALUE"""),"Hadziq Fabroyir, S.Kom., Ph.D.")</f>
        <v>Hadziq Fabroyir, S.Kom., Ph.D.</v>
      </c>
      <c r="H54" s="16" t="str">
        <f ca="1">IFERROR(__xludf.DUMMYFUNCTION("""COMPUTED_VALUE"""),"Muchammad Nurif, S.E., M.T.")</f>
        <v>Muchammad Nurif, S.E., M.T.</v>
      </c>
      <c r="I54" s="16" t="str">
        <f ca="1">IFERROR(__xludf.DUMMYFUNCTION("""COMPUTED_VALUE"""),"Bahalwan Apriyansyah, S.T., MBA.")</f>
        <v>Bahalwan Apriyansyah, S.T., MBA.</v>
      </c>
      <c r="J54" s="16"/>
      <c r="K54" s="17" t="s">
        <v>979</v>
      </c>
      <c r="L54" s="23" t="s">
        <v>980</v>
      </c>
      <c r="M54" s="19" t="b">
        <v>0</v>
      </c>
      <c r="N54" s="19" t="b">
        <v>0</v>
      </c>
      <c r="O54" s="1" t="s">
        <v>955</v>
      </c>
      <c r="P54" s="7" t="str">
        <f ca="1">IFERROR(__xludf.DUMMYFUNCTION("iferror(vlookup(B54,importrange(""https://docs.google.com/spreadsheets/d/1boHyJQ4e2FU0QG8MHwEi6qjX4hvZWVCHcFfXjq7bbMc/edit?resourcekey#gid=923248883"",""Prop!$C$1:$M""),12,0),IFERROR(vlookup(B54,importrange(""https://docs.google.com/spreadsheets/d/1boHyJQ"&amp;"4e2FU0QG8MHwEi6qjX4hvZWVCHcFfXjq7bbMc/edit?resourcekey#gid=923248883"",""Prop!$N$1:$X""),11,0),iferror(vlookup(B54,importrange(""https://docs.google.com/spreadsheets/d/1boHyJQ4e2FU0QG8MHwEi6qjX4hvZWVCHcFfXjq7bbMc/edit?resourcekey#gid=923248883"",""Prop!$Y"&amp;"$1:$AI""),11,0),iferror(vlookup(B54,importrange(""https://docs.google.com/spreadsheets/d/1boHyJQ4e2FU0QG8MHwEi6qjX4hvZWVCHcFfXjq7bbMc/edit?resourcekey#gid=923248883"",""Prop!$AJ$1:$AT""),11,0),iferror(vlookup(B54,importrange(""https://docs.google.com/spre"&amp;"adsheets/d/1boHyJQ4e2FU0QG8MHwEi6qjX4hvZWVCHcFfXjq7bbMc/edit?resourcekey#gid=923248883"",""Prop!$AU$1:$BE""),11,0),iferror(vlookup(B54,importrange(""https://docs.google.com/spreadsheets/d/1boHyJQ4e2FU0QG8MHwEi6qjX4hvZWVCHcFfXjq7bbMc/edit?resourcekey#gid=9"&amp;"23248883"",""Prop!$BF$1:$BP""),11,0),iferror(vlookup(B54,importrange(""https://docs.google.com/spreadsheets/d/1boHyJQ4e2FU0QG8MHwEi6qjX4hvZWVCHcFfXjq7bbMc/edit?resourcekey#gid=923248883"",""Prop!$BQ$1:$CA""),11,0),iferror(vlookup(B54,importrange(""https:/"&amp;"/docs.google.com/spreadsheets/d/1boHyJQ4e2FU0QG8MHwEi6qjX4hvZWVCHcFfXjq7bbMc/edit?resourcekey#gid=923248883"",""Prop!$CB$1:$CL""),11,0),iferror(vlookup(B54,importrange(""https://docs.google.com/spreadsheets/d/1boHyJQ4e2FU0QG8MHwEi6qjX4hvZWVCHcFfXjq7bbMc/e"&amp;"dit?resourcekey#gid=923248883"",""Prop!$CM$1:$CX""),12,0),iferror(vlookup(B54,importrange(""https://docs.google.com/spreadsheets/d/1boHyJQ4e2FU0QG8MHwEi6qjX4hvZWVCHcFfXjq7bbMc/edit?resourcekey#gid=923248883"",""Prop!$CV$1:$DI""),11,0)))))))))))"),"https://drive.google.com/open?id=1-W6VmhSF31KJntFbzu9OwAy7dPv5ev3I")</f>
        <v>https://drive.google.com/open?id=1-W6VmhSF31KJntFbzu9OwAy7dPv5ev3I</v>
      </c>
      <c r="Q54" s="7" t="str">
        <f ca="1">IFERROR(__xludf.DUMMYFUNCTION("iferror(vlookup(B54,importrange(""https://docs.google.com/spreadsheets/d/1p53T2AuvvIqhP7Nf-bo3Uhj8cbKYRPpZdsrBv3x3bAQ/edit?resourcekey#gid=1321652304"",""Prop!$C$1:$M""),11,0),IFERROR(vlookup(B54,importrange(""https://docs.google.com/spreadsheets/d/1p53T2"&amp;"AuvvIqhP7Nf-bo3Uhj8cbKYRPpZdsrBv3x3bAQ/edit?resourcekey#gid=1321652304"",""Prop!$N$1:$X""),11,0),iferror(vlookup(B54,importrange(""https://docs.google.com/spreadsheets/d/1p53T2AuvvIqhP7Nf-bo3Uhj8cbKYRPpZdsrBv3x3bAQ/edit?resourcekey#gid=1321652304"",""Prop"&amp;"!$Y$1:$AI""),11,0),iferror(vlookup(B54,importrange(""https://docs.google.com/spreadsheets/d/1p53T2AuvvIqhP7Nf-bo3Uhj8cbKYRPpZdsrBv3x3bAQ/edit?resourcekey#gid=1321652304"",""Prop!$AJ$1:$AT""),11,0),iferror(vlookup(B54,importrange(""https://docs.google.com/"&amp;"spreadsheets/d/1p53T2AuvvIqhP7Nf-bo3Uhj8cbKYRPpZdsrBv3x3bAQ/edit?resourcekey#gid=1321652304"",""Prop!$AU$1:$BE""),11,0),iferror(vlookup(B54,importrange(""https://docs.google.com/spreadsheets/d/1p53T2AuvvIqhP7Nf-bo3Uhj8cbKYRPpZdsrBv3x3bAQ/edit?resourcekey#"&amp;"gid=1321652304"",""Prop!$BF$1:$BP""),11,0),iferror(vlookup(B54,importrange(""https://docs.google.com/spreadsheets/d/1p53T2AuvvIqhP7Nf-bo3Uhj8cbKYRPpZdsrBv3x3bAQ/edit?resourcekey#gid=1321652304"",""Prop!$BQ$1:$CA""),11,0),iferror(vlookup(B54,importrange("""&amp;"https://docs.google.com/spreadsheets/d/1p53T2AuvvIqhP7Nf-bo3Uhj8cbKYRPpZdsrBv3x3bAQ/edit?resourcekey#gid=1321652304"",""Prop!$CB$1:$CL""),11,0),iferror(vlookup(B54,importrange(""https://docs.google.com/spreadsheets/d/1p53T2AuvvIqhP7Nf-bo3Uhj8cbKYRPpZdsrBv"&amp;"3x3bAQ/edit?resourcekey#gid=1321652304"",""Prop!$CM$1:$CX""),12,0),iferror(vlookup(B54,importrange(""https://docs.google.com/spreadsheets/d/1p53T2AuvvIqhP7Nf-bo3Uhj8cbKYRPpZdsrBv3x3bAQ/edit?resourcekey#gid=1321652304"",""Prop!$CY$1:$DI""),11,0)))))))))))"),"https://drive.google.com/open?id=1ONf5FGRma3no-lO3Azpl2yML6h4bZm9R")</f>
        <v>https://drive.google.com/open?id=1ONf5FGRma3no-lO3Azpl2yML6h4bZm9R</v>
      </c>
      <c r="R54" s="20" t="s">
        <v>946</v>
      </c>
      <c r="S54" s="20" t="str">
        <f ca="1">IFERROR(__xludf.DUMMYFUNCTION("IFERROR(vlookup(B54,IMPORTRANGE(""https://docs.google.com/spreadsheets/d/1g_jfYYK_KeipEDNDUgqgrsxK94XiocfNQIcP-v1QVhI/edit?resourcekey#gid=233272945"",""Nilai!B:CT""),21,0),"" "")"),"Istilah dari bahasa asing dimiringkan. pada latar belakang perlu dicantumkan sitasi dari sumber literatur ilmiah utk mendukung statement yang ada.Jenis font daftar pustaka salah. tujuan lebih baik adalah menjawab dari rumusan masalah yang disusun. Potensi"&amp;" keberlanjutan usaha kurang dalam. ada tata aturan mengenai flowchart yang bersambung ke halaman selanjutnya, mohon diperbaiki. Maksimal pendanaan 7 jt. belanja alat dan bahan per item max 1 jt,  belanja bahan tidak boleh lebih dari 60%, belanja sewa tida"&amp;"k boleh lebih dari 15%, lisensi MAX 6 bulan. surat pernyataan ketua tim hasil pindaninya jangan terlalu kecil")</f>
        <v>Istilah dari bahasa asing dimiringkan. pada latar belakang perlu dicantumkan sitasi dari sumber literatur ilmiah utk mendukung statement yang ada.Jenis font daftar pustaka salah. tujuan lebih baik adalah menjawab dari rumusan masalah yang disusun. Potensi keberlanjutan usaha kurang dalam. ada tata aturan mengenai flowchart yang bersambung ke halaman selanjutnya, mohon diperbaiki. Maksimal pendanaan 7 jt. belanja alat dan bahan per item max 1 jt,  belanja bahan tidak boleh lebih dari 60%, belanja sewa tidak boleh lebih dari 15%, lisensi MAX 6 bulan. surat pernyataan ketua tim hasil pindaninya jangan terlalu kecil</v>
      </c>
      <c r="T54" s="20" t="str">
        <f ca="1">IFERROR(__xludf.DUMMYFUNCTION("IFERROR(vlookup(B54,IMPORTRANGE(""https://docs.google.com/spreadsheets/d/1g_jfYYK_KeipEDNDUgqgrsxK94XiocfNQIcP-v1QVhI/edit?resourcekey#gid=233272945"",""Nilai!B:CT""),97,0),"" "")"),"LAYAK UPLOAD KE SIMBELMAWA DENGAN REVISI")</f>
        <v>LAYAK UPLOAD KE SIMBELMAWA DENGAN REVISI</v>
      </c>
      <c r="U54" s="36" t="s">
        <v>695</v>
      </c>
      <c r="V54" s="85" t="s">
        <v>947</v>
      </c>
      <c r="W54" s="18" t="s">
        <v>982</v>
      </c>
      <c r="X54" s="34" t="s">
        <v>949</v>
      </c>
    </row>
    <row r="55" spans="1:24">
      <c r="A55" s="15">
        <v>54</v>
      </c>
      <c r="B55" s="15">
        <f ca="1">IFERROR(__xludf.DUMMYFUNCTION("""COMPUTED_VALUE"""),3968)</f>
        <v>3968</v>
      </c>
      <c r="C55" s="16" t="str">
        <f ca="1">IFERROR(__xludf.DUMMYFUNCTION("""COMPUTED_VALUE"""),"RINDU MAHARANI JALIL")</f>
        <v>RINDU MAHARANI JALIL</v>
      </c>
      <c r="D55" s="16" t="str">
        <f ca="1">IFERROR(__xludf.DUMMYFUNCTION("""COMPUTED_VALUE"""),"5031201061")</f>
        <v>5031201061</v>
      </c>
      <c r="E55" s="16" t="str">
        <f ca="1">IFERROR(__xludf.DUMMYFUNCTION("""COMPUTED_VALUE"""),"Departemen Manajemen Bisnis")</f>
        <v>Departemen Manajemen Bisnis</v>
      </c>
      <c r="F55" s="16" t="str">
        <f ca="1">IFERROR(__xludf.DUMMYFUNCTION("""COMPUTED_VALUE"""),"Fit4U: Layanan Outfit Matchmaker dalam Menemukan Outfit sesuai Kondisi Pilihan User")</f>
        <v>Fit4U: Layanan Outfit Matchmaker dalam Menemukan Outfit sesuai Kondisi Pilihan User</v>
      </c>
      <c r="G55" s="16" t="str">
        <f ca="1">IFERROR(__xludf.DUMMYFUNCTION("""COMPUTED_VALUE"""),"Gita Widi Bhawika, S.ST., M.MT")</f>
        <v>Gita Widi Bhawika, S.ST., M.MT</v>
      </c>
      <c r="H55" s="16" t="str">
        <f ca="1">IFERROR(__xludf.DUMMYFUNCTION("""COMPUTED_VALUE"""),"Drs. Bandung Arry Sanjoyo, Mi.Komp.")</f>
        <v>Drs. Bandung Arry Sanjoyo, Mi.Komp.</v>
      </c>
      <c r="I55" s="16" t="str">
        <f ca="1">IFERROR(__xludf.DUMMYFUNCTION("""COMPUTED_VALUE"""),"Moh. Singgih Purwanto, S.Si., M.T")</f>
        <v>Moh. Singgih Purwanto, S.Si., M.T</v>
      </c>
      <c r="J55" s="16"/>
      <c r="K55" s="17" t="s">
        <v>979</v>
      </c>
      <c r="L55" s="23" t="s">
        <v>983</v>
      </c>
      <c r="M55" s="19" t="b">
        <v>1</v>
      </c>
      <c r="N55" s="19" t="b">
        <v>1</v>
      </c>
      <c r="O55" s="1" t="s">
        <v>955</v>
      </c>
      <c r="P55" s="7" t="str">
        <f ca="1">IFERROR(__xludf.DUMMYFUNCTION("iferror(vlookup(B55,importrange(""https://docs.google.com/spreadsheets/d/1boHyJQ4e2FU0QG8MHwEi6qjX4hvZWVCHcFfXjq7bbMc/edit?resourcekey#gid=923248883"",""Prop!$C$1:$M""),12,0),IFERROR(vlookup(B55,importrange(""https://docs.google.com/spreadsheets/d/1boHyJQ"&amp;"4e2FU0QG8MHwEi6qjX4hvZWVCHcFfXjq7bbMc/edit?resourcekey#gid=923248883"",""Prop!$N$1:$X""),11,0),iferror(vlookup(B55,importrange(""https://docs.google.com/spreadsheets/d/1boHyJQ4e2FU0QG8MHwEi6qjX4hvZWVCHcFfXjq7bbMc/edit?resourcekey#gid=923248883"",""Prop!$Y"&amp;"$1:$AI""),11,0),iferror(vlookup(B55,importrange(""https://docs.google.com/spreadsheets/d/1boHyJQ4e2FU0QG8MHwEi6qjX4hvZWVCHcFfXjq7bbMc/edit?resourcekey#gid=923248883"",""Prop!$AJ$1:$AT""),11,0),iferror(vlookup(B55,importrange(""https://docs.google.com/spre"&amp;"adsheets/d/1boHyJQ4e2FU0QG8MHwEi6qjX4hvZWVCHcFfXjq7bbMc/edit?resourcekey#gid=923248883"",""Prop!$AU$1:$BE""),11,0),iferror(vlookup(B55,importrange(""https://docs.google.com/spreadsheets/d/1boHyJQ4e2FU0QG8MHwEi6qjX4hvZWVCHcFfXjq7bbMc/edit?resourcekey#gid=9"&amp;"23248883"",""Prop!$BF$1:$BP""),11,0),iferror(vlookup(B55,importrange(""https://docs.google.com/spreadsheets/d/1boHyJQ4e2FU0QG8MHwEi6qjX4hvZWVCHcFfXjq7bbMc/edit?resourcekey#gid=923248883"",""Prop!$BQ$1:$CA""),11,0),iferror(vlookup(B55,importrange(""https:/"&amp;"/docs.google.com/spreadsheets/d/1boHyJQ4e2FU0QG8MHwEi6qjX4hvZWVCHcFfXjq7bbMc/edit?resourcekey#gid=923248883"",""Prop!$CB$1:$CL""),11,0),iferror(vlookup(B55,importrange(""https://docs.google.com/spreadsheets/d/1boHyJQ4e2FU0QG8MHwEi6qjX4hvZWVCHcFfXjq7bbMc/e"&amp;"dit?resourcekey#gid=923248883"",""Prop!$CM$1:$CX""),12,0),iferror(vlookup(B55,importrange(""https://docs.google.com/spreadsheets/d/1boHyJQ4e2FU0QG8MHwEi6qjX4hvZWVCHcFfXjq7bbMc/edit?resourcekey#gid=923248883"",""Prop!$CV$1:$DI""),11,0)))))))))))"),"https://drive.google.com/open?id=1pyGPvTiVxJxS2p4Cw6sFaI9gtG9oZPgT")</f>
        <v>https://drive.google.com/open?id=1pyGPvTiVxJxS2p4Cw6sFaI9gtG9oZPgT</v>
      </c>
      <c r="Q55" s="7" t="str">
        <f ca="1">IFERROR(__xludf.DUMMYFUNCTION("iferror(vlookup(B55,importrange(""https://docs.google.com/spreadsheets/d/1p53T2AuvvIqhP7Nf-bo3Uhj8cbKYRPpZdsrBv3x3bAQ/edit?resourcekey#gid=1321652304"",""Prop!$C$1:$M""),11,0),IFERROR(vlookup(B55,importrange(""https://docs.google.com/spreadsheets/d/1p53T2"&amp;"AuvvIqhP7Nf-bo3Uhj8cbKYRPpZdsrBv3x3bAQ/edit?resourcekey#gid=1321652304"",""Prop!$N$1:$X""),11,0),iferror(vlookup(B55,importrange(""https://docs.google.com/spreadsheets/d/1p53T2AuvvIqhP7Nf-bo3Uhj8cbKYRPpZdsrBv3x3bAQ/edit?resourcekey#gid=1321652304"",""Prop"&amp;"!$Y$1:$AI""),11,0),iferror(vlookup(B55,importrange(""https://docs.google.com/spreadsheets/d/1p53T2AuvvIqhP7Nf-bo3Uhj8cbKYRPpZdsrBv3x3bAQ/edit?resourcekey#gid=1321652304"",""Prop!$AJ$1:$AT""),11,0),iferror(vlookup(B55,importrange(""https://docs.google.com/"&amp;"spreadsheets/d/1p53T2AuvvIqhP7Nf-bo3Uhj8cbKYRPpZdsrBv3x3bAQ/edit?resourcekey#gid=1321652304"",""Prop!$AU$1:$BE""),11,0),iferror(vlookup(B55,importrange(""https://docs.google.com/spreadsheets/d/1p53T2AuvvIqhP7Nf-bo3Uhj8cbKYRPpZdsrBv3x3bAQ/edit?resourcekey#"&amp;"gid=1321652304"",""Prop!$BF$1:$BP""),11,0),iferror(vlookup(B55,importrange(""https://docs.google.com/spreadsheets/d/1p53T2AuvvIqhP7Nf-bo3Uhj8cbKYRPpZdsrBv3x3bAQ/edit?resourcekey#gid=1321652304"",""Prop!$BQ$1:$CA""),11,0),iferror(vlookup(B55,importrange("""&amp;"https://docs.google.com/spreadsheets/d/1p53T2AuvvIqhP7Nf-bo3Uhj8cbKYRPpZdsrBv3x3bAQ/edit?resourcekey#gid=1321652304"",""Prop!$CB$1:$CL""),11,0),iferror(vlookup(B55,importrange(""https://docs.google.com/spreadsheets/d/1p53T2AuvvIqhP7Nf-bo3Uhj8cbKYRPpZdsrBv"&amp;"3x3bAQ/edit?resourcekey#gid=1321652304"",""Prop!$CM$1:$CX""),12,0),iferror(vlookup(B55,importrange(""https://docs.google.com/spreadsheets/d/1p53T2AuvvIqhP7Nf-bo3Uhj8cbKYRPpZdsrBv3x3bAQ/edit?resourcekey#gid=1321652304"",""Prop!$CY$1:$DI""),11,0)))))))))))"),"https://drive.google.com/open?id=118geyvLP-hDnypHKGS-cfYsODBaeXspJ")</f>
        <v>https://drive.google.com/open?id=118geyvLP-hDnypHKGS-cfYsODBaeXspJ</v>
      </c>
      <c r="R55" s="20" t="s">
        <v>946</v>
      </c>
      <c r="S55" s="20" t="str">
        <f ca="1">IFERROR(__xludf.DUMMYFUNCTION("IFERROR(vlookup(B55,IMPORTRANGE(""https://docs.google.com/spreadsheets/d/1g_jfYYK_KeipEDNDUgqgrsxK94XiocfNQIcP-v1QVhI/edit?resourcekey#gid=233272945"",""Nilai!B:CT""),21,0),"" "")"),"lampiran pernyataan belum ada materai")</f>
        <v>lampiran pernyataan belum ada materai</v>
      </c>
      <c r="T55" s="20" t="str">
        <f ca="1">IFERROR(__xludf.DUMMYFUNCTION("IFERROR(vlookup(B55,IMPORTRANGE(""https://docs.google.com/spreadsheets/d/1g_jfYYK_KeipEDNDUgqgrsxK94XiocfNQIcP-v1QVhI/edit?resourcekey#gid=233272945"",""Nilai!B:CT""),97,0),"" "")"),"LAYAK UPLOAD KE SIMBELMAWA DENGAN REVISI")</f>
        <v>LAYAK UPLOAD KE SIMBELMAWA DENGAN REVISI</v>
      </c>
      <c r="U55" s="36" t="s">
        <v>695</v>
      </c>
      <c r="V55" s="85" t="s">
        <v>947</v>
      </c>
      <c r="W55" s="18" t="s">
        <v>982</v>
      </c>
      <c r="X55" s="34" t="s">
        <v>949</v>
      </c>
    </row>
    <row r="56" spans="1:24">
      <c r="A56" s="15">
        <v>55</v>
      </c>
      <c r="B56" s="15">
        <f ca="1">IFERROR(__xludf.DUMMYFUNCTION("""COMPUTED_VALUE"""),2945)</f>
        <v>2945</v>
      </c>
      <c r="C56" s="16" t="str">
        <f ca="1">IFERROR(__xludf.DUMMYFUNCTION("""COMPUTED_VALUE"""),"Bika Ludzna U.M")</f>
        <v>Bika Ludzna U.M</v>
      </c>
      <c r="D56" s="16" t="str">
        <f ca="1">IFERROR(__xludf.DUMMYFUNCTION("""COMPUTED_VALUE"""),"5029211035")</f>
        <v>5029211035</v>
      </c>
      <c r="E56" s="16" t="str">
        <f ca="1">IFERROR(__xludf.DUMMYFUNCTION("""COMPUTED_VALUE"""),"Departemen Desain Interior")</f>
        <v>Departemen Desain Interior</v>
      </c>
      <c r="F56" s="16" t="str">
        <f ca="1">IFERROR(__xludf.DUMMYFUNCTION("""COMPUTED_VALUE"""),"“FOREVER YOUTH”
MEMBANTU MENGATASI PERMASALAHAN SAMPAH PLASTIK DENGAN
MENDAUR ULANG LIMBAH PLASTIK MENJADI AKSESORIS")</f>
        <v>“FOREVER YOUTH”
MEMBANTU MENGATASI PERMASALAHAN SAMPAH PLASTIK DENGAN
MENDAUR ULANG LIMBAH PLASTIK MENJADI AKSESORIS</v>
      </c>
      <c r="G56" s="16" t="str">
        <f ca="1">IFERROR(__xludf.DUMMYFUNCTION("""COMPUTED_VALUE"""),"Aria Weny Anggraita, ST, MMT")</f>
        <v>Aria Weny Anggraita, ST, MMT</v>
      </c>
      <c r="H56" s="16" t="str">
        <f ca="1">IFERROR(__xludf.DUMMYFUNCTION("""COMPUTED_VALUE"""),"Drs. Bandung Arry Sanjoyo, Mi.Komp.")</f>
        <v>Drs. Bandung Arry Sanjoyo, Mi.Komp.</v>
      </c>
      <c r="I56" s="16" t="str">
        <f ca="1">IFERROR(__xludf.DUMMYFUNCTION("""COMPUTED_VALUE"""),"Moh. Singgih Purwanto, S.Si., M.T")</f>
        <v>Moh. Singgih Purwanto, S.Si., M.T</v>
      </c>
      <c r="J56" s="16"/>
      <c r="K56" s="17" t="s">
        <v>984</v>
      </c>
      <c r="L56" s="23" t="s">
        <v>983</v>
      </c>
      <c r="M56" s="19" t="b">
        <v>1</v>
      </c>
      <c r="N56" s="19" t="b">
        <v>1</v>
      </c>
      <c r="O56" s="1" t="s">
        <v>955</v>
      </c>
      <c r="P56" s="24" t="str">
        <f ca="1">IFERROR(__xludf.DUMMYFUNCTION("iferror(vlookup(B56,importrange(""https://docs.google.com/spreadsheets/d/1boHyJQ4e2FU0QG8MHwEi6qjX4hvZWVCHcFfXjq7bbMc/edit?resourcekey#gid=923248883"",""Prop!$C$1:$M""),12,0),IFERROR(vlookup(B56,importrange(""https://docs.google.com/spreadsheets/d/1boHyJQ"&amp;"4e2FU0QG8MHwEi6qjX4hvZWVCHcFfXjq7bbMc/edit?resourcekey#gid=923248883"",""Prop!$N$1:$X""),11,0),iferror(vlookup(B56,importrange(""https://docs.google.com/spreadsheets/d/1boHyJQ4e2FU0QG8MHwEi6qjX4hvZWVCHcFfXjq7bbMc/edit?resourcekey#gid=923248883"",""Prop!$Y"&amp;"$1:$AI""),11,0),iferror(vlookup(B56,importrange(""https://docs.google.com/spreadsheets/d/1boHyJQ4e2FU0QG8MHwEi6qjX4hvZWVCHcFfXjq7bbMc/edit?resourcekey#gid=923248883"",""Prop!$AJ$1:$AT""),11,0),iferror(vlookup(B56,importrange(""https://docs.google.com/spre"&amp;"adsheets/d/1boHyJQ4e2FU0QG8MHwEi6qjX4hvZWVCHcFfXjq7bbMc/edit?resourcekey#gid=923248883"",""Prop!$AU$1:$BE""),11,0),iferror(vlookup(B56,importrange(""https://docs.google.com/spreadsheets/d/1boHyJQ4e2FU0QG8MHwEi6qjX4hvZWVCHcFfXjq7bbMc/edit?resourcekey#gid=9"&amp;"23248883"",""Prop!$BF$1:$BP""),11,0),iferror(vlookup(B56,importrange(""https://docs.google.com/spreadsheets/d/1boHyJQ4e2FU0QG8MHwEi6qjX4hvZWVCHcFfXjq7bbMc/edit?resourcekey#gid=923248883"",""Prop!$BQ$1:$CA""),11,0),iferror(vlookup(B56,importrange(""https:/"&amp;"/docs.google.com/spreadsheets/d/1boHyJQ4e2FU0QG8MHwEi6qjX4hvZWVCHcFfXjq7bbMc/edit?resourcekey#gid=923248883"",""Prop!$CB$1:$CL""),11,0),iferror(vlookup(B56,importrange(""https://docs.google.com/spreadsheets/d/1boHyJQ4e2FU0QG8MHwEi6qjX4hvZWVCHcFfXjq7bbMc/e"&amp;"dit?resourcekey#gid=923248883"",""Prop!$CM$1:$CX""),12,0),iferror(vlookup(B56,importrange(""https://docs.google.com/spreadsheets/d/1boHyJQ4e2FU0QG8MHwEi6qjX4hvZWVCHcFfXjq7bbMc/edit?resourcekey#gid=923248883"",""Prop!$CV$1:$DI""),11,0)))))))))))"),"")</f>
        <v/>
      </c>
      <c r="Q56" s="1" t="str">
        <f ca="1">IFERROR(__xludf.DUMMYFUNCTION("iferror(vlookup(B56,importrange(""https://docs.google.com/spreadsheets/d/1p53T2AuvvIqhP7Nf-bo3Uhj8cbKYRPpZdsrBv3x3bAQ/edit?resourcekey#gid=1321652304"",""Prop!$C$1:$M""),11,0),IFERROR(vlookup(B56,importrange(""https://docs.google.com/spreadsheets/d/1p53T2"&amp;"AuvvIqhP7Nf-bo3Uhj8cbKYRPpZdsrBv3x3bAQ/edit?resourcekey#gid=1321652304"",""Prop!$N$1:$X""),11,0),iferror(vlookup(B56,importrange(""https://docs.google.com/spreadsheets/d/1p53T2AuvvIqhP7Nf-bo3Uhj8cbKYRPpZdsrBv3x3bAQ/edit?resourcekey#gid=1321652304"",""Prop"&amp;"!$Y$1:$AI""),11,0),iferror(vlookup(B56,importrange(""https://docs.google.com/spreadsheets/d/1p53T2AuvvIqhP7Nf-bo3Uhj8cbKYRPpZdsrBv3x3bAQ/edit?resourcekey#gid=1321652304"",""Prop!$AJ$1:$AT""),11,0),iferror(vlookup(B56,importrange(""https://docs.google.com/"&amp;"spreadsheets/d/1p53T2AuvvIqhP7Nf-bo3Uhj8cbKYRPpZdsrBv3x3bAQ/edit?resourcekey#gid=1321652304"",""Prop!$AU$1:$BE""),11,0),iferror(vlookup(B56,importrange(""https://docs.google.com/spreadsheets/d/1p53T2AuvvIqhP7Nf-bo3Uhj8cbKYRPpZdsrBv3x3bAQ/edit?resourcekey#"&amp;"gid=1321652304"",""Prop!$BF$1:$BP""),11,0),iferror(vlookup(B56,importrange(""https://docs.google.com/spreadsheets/d/1p53T2AuvvIqhP7Nf-bo3Uhj8cbKYRPpZdsrBv3x3bAQ/edit?resourcekey#gid=1321652304"",""Prop!$BQ$1:$CA""),11,0),iferror(vlookup(B56,importrange("""&amp;"https://docs.google.com/spreadsheets/d/1p53T2AuvvIqhP7Nf-bo3Uhj8cbKYRPpZdsrBv3x3bAQ/edit?resourcekey#gid=1321652304"",""Prop!$CB$1:$CL""),11,0),iferror(vlookup(B56,importrange(""https://docs.google.com/spreadsheets/d/1p53T2AuvvIqhP7Nf-bo3Uhj8cbKYRPpZdsrBv"&amp;"3x3bAQ/edit?resourcekey#gid=1321652304"",""Prop!$CM$1:$CX""),12,0),iferror(vlookup(B56,importrange(""https://docs.google.com/spreadsheets/d/1p53T2AuvvIqhP7Nf-bo3Uhj8cbKYRPpZdsrBv3x3bAQ/edit?resourcekey#gid=1321652304"",""Prop!$CY$1:$DI""),11,0)))))))))))"),"")</f>
        <v/>
      </c>
      <c r="R56" s="20" t="s">
        <v>946</v>
      </c>
      <c r="S56" s="20" t="str">
        <f ca="1">IFERROR(__xludf.DUMMYFUNCTION("IFERROR(vlookup(B56,IMPORTRANGE(""https://docs.google.com/spreadsheets/d/1g_jfYYK_KeipEDNDUgqgrsxK94XiocfNQIcP-v1QVhI/edit?resourcekey#gid=233272945"",""Nilai!B:CT""),21,0),"" "")"),"tidak ada dokumen yang diunggah")</f>
        <v>tidak ada dokumen yang diunggah</v>
      </c>
      <c r="T56" s="20" t="str">
        <f ca="1">IFERROR(__xludf.DUMMYFUNCTION("IFERROR(vlookup(B56,IMPORTRANGE(""https://docs.google.com/spreadsheets/d/1g_jfYYK_KeipEDNDUgqgrsxK94XiocfNQIcP-v1QVhI/edit?resourcekey#gid=233272945"",""Nilai!B:CT""),97,0),"" "")"),"TIDAK LAYAK UPLOAD KE SIMBELMAWA")</f>
        <v>TIDAK LAYAK UPLOAD KE SIMBELMAWA</v>
      </c>
      <c r="U56" s="36" t="s">
        <v>695</v>
      </c>
      <c r="V56" s="85" t="s">
        <v>947</v>
      </c>
      <c r="W56" s="18" t="s">
        <v>985</v>
      </c>
      <c r="X56" s="34" t="b">
        <v>0</v>
      </c>
    </row>
    <row r="57" spans="1:24">
      <c r="A57" s="15">
        <v>56</v>
      </c>
      <c r="B57" s="15">
        <f ca="1">IFERROR(__xludf.DUMMYFUNCTION("""COMPUTED_VALUE"""),2634)</f>
        <v>2634</v>
      </c>
      <c r="C57" s="16" t="str">
        <f ca="1">IFERROR(__xludf.DUMMYFUNCTION("""COMPUTED_VALUE"""),"Nur Sabrina Mumtaz")</f>
        <v>Nur Sabrina Mumtaz</v>
      </c>
      <c r="D57" s="16" t="str">
        <f ca="1">IFERROR(__xludf.DUMMYFUNCTION("""COMPUTED_VALUE"""),"5010211133")</f>
        <v>5010211133</v>
      </c>
      <c r="E57" s="16" t="str">
        <f ca="1">IFERROR(__xludf.DUMMYFUNCTION("""COMPUTED_VALUE"""),"Departemen Teknik Sistem dan Industri")</f>
        <v>Departemen Teknik Sistem dan Industri</v>
      </c>
      <c r="F57" s="16" t="str">
        <f ca="1">IFERROR(__xludf.DUMMYFUNCTION("""COMPUTED_VALUE"""),"FinanZity: Aplikasi Manajemen Keuangan Keluarga Multifungsional Berbasis Artificial Intelligence")</f>
        <v>FinanZity: Aplikasi Manajemen Keuangan Keluarga Multifungsional Berbasis Artificial Intelligence</v>
      </c>
      <c r="G57" s="16" t="str">
        <f ca="1">IFERROR(__xludf.DUMMYFUNCTION("""COMPUTED_VALUE"""),"Atikah Aghdhi Pratiwi, S.T., M.T.")</f>
        <v>Atikah Aghdhi Pratiwi, S.T., M.T.</v>
      </c>
      <c r="H57" s="16" t="str">
        <f ca="1">IFERROR(__xludf.DUMMYFUNCTION("""COMPUTED_VALUE"""),"Dr. Adithya Sudiarno, S.T., M.T.")</f>
        <v>Dr. Adithya Sudiarno, S.T., M.T.</v>
      </c>
      <c r="I57" s="16" t="str">
        <f ca="1">IFERROR(__xludf.DUMMYFUNCTION("""COMPUTED_VALUE"""),"Daril Ridho Zuchrillah, S.T., M.T.")</f>
        <v>Daril Ridho Zuchrillah, S.T., M.T.</v>
      </c>
      <c r="J57" s="16"/>
      <c r="K57" s="17" t="s">
        <v>984</v>
      </c>
      <c r="L57" s="23" t="s">
        <v>983</v>
      </c>
      <c r="M57" s="19" t="b">
        <v>1</v>
      </c>
      <c r="N57" s="19" t="b">
        <v>1</v>
      </c>
      <c r="O57" s="1" t="s">
        <v>955</v>
      </c>
      <c r="P57" s="7" t="str">
        <f ca="1">IFERROR(__xludf.DUMMYFUNCTION("iferror(vlookup(B57,importrange(""https://docs.google.com/spreadsheets/d/1boHyJQ4e2FU0QG8MHwEi6qjX4hvZWVCHcFfXjq7bbMc/edit?resourcekey#gid=923248883"",""Prop!$C$1:$M""),12,0),IFERROR(vlookup(B57,importrange(""https://docs.google.com/spreadsheets/d/1boHyJQ"&amp;"4e2FU0QG8MHwEi6qjX4hvZWVCHcFfXjq7bbMc/edit?resourcekey#gid=923248883"",""Prop!$N$1:$X""),11,0),iferror(vlookup(B57,importrange(""https://docs.google.com/spreadsheets/d/1boHyJQ4e2FU0QG8MHwEi6qjX4hvZWVCHcFfXjq7bbMc/edit?resourcekey#gid=923248883"",""Prop!$Y"&amp;"$1:$AI""),11,0),iferror(vlookup(B57,importrange(""https://docs.google.com/spreadsheets/d/1boHyJQ4e2FU0QG8MHwEi6qjX4hvZWVCHcFfXjq7bbMc/edit?resourcekey#gid=923248883"",""Prop!$AJ$1:$AT""),11,0),iferror(vlookup(B57,importrange(""https://docs.google.com/spre"&amp;"adsheets/d/1boHyJQ4e2FU0QG8MHwEi6qjX4hvZWVCHcFfXjq7bbMc/edit?resourcekey#gid=923248883"",""Prop!$AU$1:$BE""),11,0),iferror(vlookup(B57,importrange(""https://docs.google.com/spreadsheets/d/1boHyJQ4e2FU0QG8MHwEi6qjX4hvZWVCHcFfXjq7bbMc/edit?resourcekey#gid=9"&amp;"23248883"",""Prop!$BF$1:$BP""),11,0),iferror(vlookup(B57,importrange(""https://docs.google.com/spreadsheets/d/1boHyJQ4e2FU0QG8MHwEi6qjX4hvZWVCHcFfXjq7bbMc/edit?resourcekey#gid=923248883"",""Prop!$BQ$1:$CA""),11,0),iferror(vlookup(B57,importrange(""https:/"&amp;"/docs.google.com/spreadsheets/d/1boHyJQ4e2FU0QG8MHwEi6qjX4hvZWVCHcFfXjq7bbMc/edit?resourcekey#gid=923248883"",""Prop!$CB$1:$CL""),11,0),iferror(vlookup(B57,importrange(""https://docs.google.com/spreadsheets/d/1boHyJQ4e2FU0QG8MHwEi6qjX4hvZWVCHcFfXjq7bbMc/e"&amp;"dit?resourcekey#gid=923248883"",""Prop!$CM$1:$CX""),12,0),iferror(vlookup(B57,importrange(""https://docs.google.com/spreadsheets/d/1boHyJQ4e2FU0QG8MHwEi6qjX4hvZWVCHcFfXjq7bbMc/edit?resourcekey#gid=923248883"",""Prop!$CV$1:$DI""),11,0)))))))))))"),"https://drive.google.com/open?id=17qD_bUAKXmbM60xXwL-91aYa5Luss_VI")</f>
        <v>https://drive.google.com/open?id=17qD_bUAKXmbM60xXwL-91aYa5Luss_VI</v>
      </c>
      <c r="Q57" s="7" t="str">
        <f ca="1">IFERROR(__xludf.DUMMYFUNCTION("iferror(vlookup(B57,importrange(""https://docs.google.com/spreadsheets/d/1p53T2AuvvIqhP7Nf-bo3Uhj8cbKYRPpZdsrBv3x3bAQ/edit?resourcekey#gid=1321652304"",""Prop!$C$1:$M""),11,0),IFERROR(vlookup(B57,importrange(""https://docs.google.com/spreadsheets/d/1p53T2"&amp;"AuvvIqhP7Nf-bo3Uhj8cbKYRPpZdsrBv3x3bAQ/edit?resourcekey#gid=1321652304"",""Prop!$N$1:$X""),11,0),iferror(vlookup(B57,importrange(""https://docs.google.com/spreadsheets/d/1p53T2AuvvIqhP7Nf-bo3Uhj8cbKYRPpZdsrBv3x3bAQ/edit?resourcekey#gid=1321652304"",""Prop"&amp;"!$Y$1:$AI""),11,0),iferror(vlookup(B57,importrange(""https://docs.google.com/spreadsheets/d/1p53T2AuvvIqhP7Nf-bo3Uhj8cbKYRPpZdsrBv3x3bAQ/edit?resourcekey#gid=1321652304"",""Prop!$AJ$1:$AT""),11,0),iferror(vlookup(B57,importrange(""https://docs.google.com/"&amp;"spreadsheets/d/1p53T2AuvvIqhP7Nf-bo3Uhj8cbKYRPpZdsrBv3x3bAQ/edit?resourcekey#gid=1321652304"",""Prop!$AU$1:$BE""),11,0),iferror(vlookup(B57,importrange(""https://docs.google.com/spreadsheets/d/1p53T2AuvvIqhP7Nf-bo3Uhj8cbKYRPpZdsrBv3x3bAQ/edit?resourcekey#"&amp;"gid=1321652304"",""Prop!$BF$1:$BP""),11,0),iferror(vlookup(B57,importrange(""https://docs.google.com/spreadsheets/d/1p53T2AuvvIqhP7Nf-bo3Uhj8cbKYRPpZdsrBv3x3bAQ/edit?resourcekey#gid=1321652304"",""Prop!$BQ$1:$CA""),11,0),iferror(vlookup(B57,importrange("""&amp;"https://docs.google.com/spreadsheets/d/1p53T2AuvvIqhP7Nf-bo3Uhj8cbKYRPpZdsrBv3x3bAQ/edit?resourcekey#gid=1321652304"",""Prop!$CB$1:$CL""),11,0),iferror(vlookup(B57,importrange(""https://docs.google.com/spreadsheets/d/1p53T2AuvvIqhP7Nf-bo3Uhj8cbKYRPpZdsrBv"&amp;"3x3bAQ/edit?resourcekey#gid=1321652304"",""Prop!$CM$1:$CX""),12,0),iferror(vlookup(B57,importrange(""https://docs.google.com/spreadsheets/d/1p53T2AuvvIqhP7Nf-bo3Uhj8cbKYRPpZdsrBv3x3bAQ/edit?resourcekey#gid=1321652304"",""Prop!$CY$1:$DI""),11,0)))))))))))"),"https://drive.google.com/open?id=1m9xBtspwmjtlMfyT473iTNOVfGKRkdIr")</f>
        <v>https://drive.google.com/open?id=1m9xBtspwmjtlMfyT473iTNOVfGKRkdIr</v>
      </c>
      <c r="R57" s="20" t="s">
        <v>946</v>
      </c>
      <c r="S57" s="20" t="str">
        <f ca="1">IFERROR(__xludf.DUMMYFUNCTION("IFERROR(vlookup(B57,IMPORTRANGE(""https://docs.google.com/spreadsheets/d/1g_jfYYK_KeipEDNDUgqgrsxK94XiocfNQIcP-v1QVhI/edit?resourcekey#gid=233272945"",""Nilai!B:CT""),21,0),"" "")"),"Dua kalimat awal pada latar belakang sebenarnya tidak perlu untuk dicantumkan. latar belakang minim sitasi, paragraf 3 lebih baik dibuat pie chart dg mencantumkan sumber referensi (survey data primer atau sekunder), deskripsi detail seberapa uniknya fitur"&amp;" AI pada aplikasi FinanZity ini belum nampak. Point 1.3 adalah Tujuan, bukan Tujuan Inovasi Produk. Tujuan seharusnya selaras dengan rumusan masalah. Pada poin manfaat kepada pemerintah, mengapa tiba2 ada KPR dan pajak? tidak nyambung. BMC seharusnya tida"&amp;"k pada keberlanjutan usaha, tetapi pada gambaran usaha. Belum nampak cashflow 2 tahun. Gambar 3.1 terlalu kecil. Tabel 4.2 bagian pembuatan laporan, belum ada rencana pelaksanaannya. Lampiran 2 masih pakai format LAMA.")</f>
        <v>Dua kalimat awal pada latar belakang sebenarnya tidak perlu untuk dicantumkan. latar belakang minim sitasi, paragraf 3 lebih baik dibuat pie chart dg mencantumkan sumber referensi (survey data primer atau sekunder), deskripsi detail seberapa uniknya fitur AI pada aplikasi FinanZity ini belum nampak. Point 1.3 adalah Tujuan, bukan Tujuan Inovasi Produk. Tujuan seharusnya selaras dengan rumusan masalah. Pada poin manfaat kepada pemerintah, mengapa tiba2 ada KPR dan pajak? tidak nyambung. BMC seharusnya tidak pada keberlanjutan usaha, tetapi pada gambaran usaha. Belum nampak cashflow 2 tahun. Gambar 3.1 terlalu kecil. Tabel 4.2 bagian pembuatan laporan, belum ada rencana pelaksanaannya. Lampiran 2 masih pakai format LAMA.</v>
      </c>
      <c r="T57" s="20" t="str">
        <f ca="1">IFERROR(__xludf.DUMMYFUNCTION("IFERROR(vlookup(B57,IMPORTRANGE(""https://docs.google.com/spreadsheets/d/1g_jfYYK_KeipEDNDUgqgrsxK94XiocfNQIcP-v1QVhI/edit?resourcekey#gid=233272945"",""Nilai!B:CT""),97,0),"" "")"),"LAYAK UPLOAD KE SIMBELMAWA DENGAN REVISI")</f>
        <v>LAYAK UPLOAD KE SIMBELMAWA DENGAN REVISI</v>
      </c>
      <c r="U57" s="36" t="s">
        <v>695</v>
      </c>
      <c r="V57" s="85" t="s">
        <v>947</v>
      </c>
      <c r="W57" s="18" t="s">
        <v>985</v>
      </c>
      <c r="X57" s="34" t="s">
        <v>949</v>
      </c>
    </row>
    <row r="58" spans="1:24">
      <c r="A58" s="15">
        <v>57</v>
      </c>
      <c r="B58" s="15">
        <f ca="1">IFERROR(__xludf.DUMMYFUNCTION("""COMPUTED_VALUE"""),3361)</f>
        <v>3361</v>
      </c>
      <c r="C58" s="16" t="str">
        <f ca="1">IFERROR(__xludf.DUMMYFUNCTION("""COMPUTED_VALUE"""),"MEIRISSA MAHARANI")</f>
        <v>MEIRISSA MAHARANI</v>
      </c>
      <c r="D58" s="16" t="str">
        <f ca="1">IFERROR(__xludf.DUMMYFUNCTION("""COMPUTED_VALUE"""),"5033201069")</f>
        <v>5033201069</v>
      </c>
      <c r="E58" s="16" t="str">
        <f ca="1">IFERROR(__xludf.DUMMYFUNCTION("""COMPUTED_VALUE"""),"Departemen Studi Pembangunan")</f>
        <v>Departemen Studi Pembangunan</v>
      </c>
      <c r="F58" s="16" t="str">
        <f ca="1">IFERROR(__xludf.DUMMYFUNCTION("""COMPUTED_VALUE"""),"MENSTABILKAN LABA PENJUALAN DAN PERLUASAN PASAR MELON DENGAN BERBASIS APLIKASI ""MARMEL""")</f>
        <v>MENSTABILKAN LABA PENJUALAN DAN PERLUASAN PASAR MELON DENGAN BERBASIS APLIKASI "MARMEL"</v>
      </c>
      <c r="G58" s="16" t="str">
        <f ca="1">IFERROR(__xludf.DUMMYFUNCTION("""COMPUTED_VALUE"""),"Lienggar Rahadiantino, S.E., M.Sc")</f>
        <v>Lienggar Rahadiantino, S.E., M.Sc</v>
      </c>
      <c r="H58" s="16" t="str">
        <f ca="1">IFERROR(__xludf.DUMMYFUNCTION("""COMPUTED_VALUE"""),"Gita Widi Bhawika, S.ST., M.MT")</f>
        <v>Gita Widi Bhawika, S.ST., M.MT</v>
      </c>
      <c r="I58" s="16" t="str">
        <f ca="1">IFERROR(__xludf.DUMMYFUNCTION("""COMPUTED_VALUE"""),"R.Eka Rizkiantono, S.Sn, M.Ds")</f>
        <v>R.Eka Rizkiantono, S.Sn, M.Ds</v>
      </c>
      <c r="J58" s="16"/>
      <c r="K58" s="17" t="s">
        <v>984</v>
      </c>
      <c r="L58" s="23" t="s">
        <v>986</v>
      </c>
      <c r="M58" s="19" t="b">
        <v>0</v>
      </c>
      <c r="N58" s="19" t="b">
        <v>0</v>
      </c>
      <c r="O58" s="1" t="s">
        <v>955</v>
      </c>
      <c r="P58" s="1" t="str">
        <f ca="1">IFERROR(__xludf.DUMMYFUNCTION("iferror(vlookup(B58,importrange(""https://docs.google.com/spreadsheets/d/1boHyJQ4e2FU0QG8MHwEi6qjX4hvZWVCHcFfXjq7bbMc/edit?resourcekey#gid=923248883"",""Prop!$C$1:$M""),12,0),IFERROR(vlookup(B58,importrange(""https://docs.google.com/spreadsheets/d/1boHyJQ"&amp;"4e2FU0QG8MHwEi6qjX4hvZWVCHcFfXjq7bbMc/edit?resourcekey#gid=923248883"",""Prop!$N$1:$X""),11,0),iferror(vlookup(B58,importrange(""https://docs.google.com/spreadsheets/d/1boHyJQ4e2FU0QG8MHwEi6qjX4hvZWVCHcFfXjq7bbMc/edit?resourcekey#gid=923248883"",""Prop!$Y"&amp;"$1:$AI""),11,0),iferror(vlookup(B58,importrange(""https://docs.google.com/spreadsheets/d/1boHyJQ4e2FU0QG8MHwEi6qjX4hvZWVCHcFfXjq7bbMc/edit?resourcekey#gid=923248883"",""Prop!$AJ$1:$AT""),11,0),iferror(vlookup(B58,importrange(""https://docs.google.com/spre"&amp;"adsheets/d/1boHyJQ4e2FU0QG8MHwEi6qjX4hvZWVCHcFfXjq7bbMc/edit?resourcekey#gid=923248883"",""Prop!$AU$1:$BE""),11,0),iferror(vlookup(B58,importrange(""https://docs.google.com/spreadsheets/d/1boHyJQ4e2FU0QG8MHwEi6qjX4hvZWVCHcFfXjq7bbMc/edit?resourcekey#gid=9"&amp;"23248883"",""Prop!$BF$1:$BP""),11,0),iferror(vlookup(B58,importrange(""https://docs.google.com/spreadsheets/d/1boHyJQ4e2FU0QG8MHwEi6qjX4hvZWVCHcFfXjq7bbMc/edit?resourcekey#gid=923248883"",""Prop!$BQ$1:$CA""),11,0),iferror(vlookup(B58,importrange(""https:/"&amp;"/docs.google.com/spreadsheets/d/1boHyJQ4e2FU0QG8MHwEi6qjX4hvZWVCHcFfXjq7bbMc/edit?resourcekey#gid=923248883"",""Prop!$CB$1:$CL""),11,0),iferror(vlookup(B58,importrange(""https://docs.google.com/spreadsheets/d/1boHyJQ4e2FU0QG8MHwEi6qjX4hvZWVCHcFfXjq7bbMc/e"&amp;"dit?resourcekey#gid=923248883"",""Prop!$CM$1:$CX""),12,0),iferror(vlookup(B58,importrange(""https://docs.google.com/spreadsheets/d/1boHyJQ4e2FU0QG8MHwEi6qjX4hvZWVCHcFfXjq7bbMc/edit?resourcekey#gid=923248883"",""Prop!$CV$1:$DI""),11,0)))))))))))"),"")</f>
        <v/>
      </c>
      <c r="Q58" s="7" t="str">
        <f ca="1">IFERROR(__xludf.DUMMYFUNCTION("iferror(vlookup(B58,importrange(""https://docs.google.com/spreadsheets/d/1p53T2AuvvIqhP7Nf-bo3Uhj8cbKYRPpZdsrBv3x3bAQ/edit?resourcekey#gid=1321652304"",""Prop!$C$1:$M""),11,0),IFERROR(vlookup(B58,importrange(""https://docs.google.com/spreadsheets/d/1p53T2"&amp;"AuvvIqhP7Nf-bo3Uhj8cbKYRPpZdsrBv3x3bAQ/edit?resourcekey#gid=1321652304"",""Prop!$N$1:$X""),11,0),iferror(vlookup(B58,importrange(""https://docs.google.com/spreadsheets/d/1p53T2AuvvIqhP7Nf-bo3Uhj8cbKYRPpZdsrBv3x3bAQ/edit?resourcekey#gid=1321652304"",""Prop"&amp;"!$Y$1:$AI""),11,0),iferror(vlookup(B58,importrange(""https://docs.google.com/spreadsheets/d/1p53T2AuvvIqhP7Nf-bo3Uhj8cbKYRPpZdsrBv3x3bAQ/edit?resourcekey#gid=1321652304"",""Prop!$AJ$1:$AT""),11,0),iferror(vlookup(B58,importrange(""https://docs.google.com/"&amp;"spreadsheets/d/1p53T2AuvvIqhP7Nf-bo3Uhj8cbKYRPpZdsrBv3x3bAQ/edit?resourcekey#gid=1321652304"",""Prop!$AU$1:$BE""),11,0),iferror(vlookup(B58,importrange(""https://docs.google.com/spreadsheets/d/1p53T2AuvvIqhP7Nf-bo3Uhj8cbKYRPpZdsrBv3x3bAQ/edit?resourcekey#"&amp;"gid=1321652304"",""Prop!$BF$1:$BP""),11,0),iferror(vlookup(B58,importrange(""https://docs.google.com/spreadsheets/d/1p53T2AuvvIqhP7Nf-bo3Uhj8cbKYRPpZdsrBv3x3bAQ/edit?resourcekey#gid=1321652304"",""Prop!$BQ$1:$CA""),11,0),iferror(vlookup(B58,importrange("""&amp;"https://docs.google.com/spreadsheets/d/1p53T2AuvvIqhP7Nf-bo3Uhj8cbKYRPpZdsrBv3x3bAQ/edit?resourcekey#gid=1321652304"",""Prop!$CB$1:$CL""),11,0),iferror(vlookup(B58,importrange(""https://docs.google.com/spreadsheets/d/1p53T2AuvvIqhP7Nf-bo3Uhj8cbKYRPpZdsrBv"&amp;"3x3bAQ/edit?resourcekey#gid=1321652304"",""Prop!$CM$1:$CX""),12,0),iferror(vlookup(B58,importrange(""https://docs.google.com/spreadsheets/d/1p53T2AuvvIqhP7Nf-bo3Uhj8cbKYRPpZdsrBv3x3bAQ/edit?resourcekey#gid=1321652304"",""Prop!$CY$1:$DI""),11,0)))))))))))"),"https://drive.google.com/open?id=1YUilSqXOXNOcxzQPGfGfepTVEGd6cYi7")</f>
        <v>https://drive.google.com/open?id=1YUilSqXOXNOcxzQPGfGfepTVEGd6cYi7</v>
      </c>
      <c r="R58" s="20" t="s">
        <v>946</v>
      </c>
      <c r="S58" s="20" t="str">
        <f ca="1">IFERROR(__xludf.DUMMYFUNCTION("IFERROR(vlookup(B58,IMPORTRANGE(""https://docs.google.com/spreadsheets/d/1g_jfYYK_KeipEDNDUgqgrsxK94XiocfNQIcP-v1QVhI/edit?resourcekey#gid=233272945"",""Nilai!B:CT""),21,0),"" "")"),"Daftar isi ada ""bookmark error"", ditemukan beberapa kesalahan pengetikan. . Di latar belakang perlu diberikan referensi pada statement yg menyatakan Melon adalah komoditas utama Desa Klotok. Tidak perlu menyebutkan komoditas padi di Tuban, karena yg dib"&amp;"ahas seharusnya berfokus ke Melon. Kurang referensi ilmiah/data sekunder terkait statement yang dituliskan di latar belakang. Potensi pasar belum tergali dengan baik. Tidak dijelaskan analisis kompetitor, sehingga keunggulan kompetitif produk yang ditawar"&amp;"kan kurang tergali. Belum ada manfaat bagi pelanggan. Cashflow masih 1 tahun. NPV dan IRR masih kosong di tabelnya. Keberlanjutan kurang detil. Biaya maksimal 7jt. Tidak boleh ada item bahan&gt;1jt per unit. Lampiran 2 belum diperbarui, jumlahnya masih 10jt."&amp;" Surat pernyataan ketua masih memakai format lama.")</f>
        <v>Daftar isi ada "bookmark error", ditemukan beberapa kesalahan pengetikan. . Di latar belakang perlu diberikan referensi pada statement yg menyatakan Melon adalah komoditas utama Desa Klotok. Tidak perlu menyebutkan komoditas padi di Tuban, karena yg dibahas seharusnya berfokus ke Melon. Kurang referensi ilmiah/data sekunder terkait statement yang dituliskan di latar belakang. Potensi pasar belum tergali dengan baik. Tidak dijelaskan analisis kompetitor, sehingga keunggulan kompetitif produk yang ditawarkan kurang tergali. Belum ada manfaat bagi pelanggan. Cashflow masih 1 tahun. NPV dan IRR masih kosong di tabelnya. Keberlanjutan kurang detil. Biaya maksimal 7jt. Tidak boleh ada item bahan&gt;1jt per unit. Lampiran 2 belum diperbarui, jumlahnya masih 10jt. Surat pernyataan ketua masih memakai format lama.</v>
      </c>
      <c r="T58" s="20" t="str">
        <f ca="1">IFERROR(__xludf.DUMMYFUNCTION("IFERROR(vlookup(B58,IMPORTRANGE(""https://docs.google.com/spreadsheets/d/1g_jfYYK_KeipEDNDUgqgrsxK94XiocfNQIcP-v1QVhI/edit?resourcekey#gid=233272945"",""Nilai!B:CT""),97,0),"" "")"),"LAYAK UPLOAD KE SIMBELMAWA DENGAN REVISI")</f>
        <v>LAYAK UPLOAD KE SIMBELMAWA DENGAN REVISI</v>
      </c>
      <c r="U58" s="36" t="s">
        <v>695</v>
      </c>
      <c r="V58" s="85" t="s">
        <v>947</v>
      </c>
      <c r="W58" s="18" t="s">
        <v>985</v>
      </c>
      <c r="X58" s="34" t="s">
        <v>949</v>
      </c>
    </row>
    <row r="59" spans="1:24">
      <c r="A59" s="15">
        <v>58</v>
      </c>
      <c r="B59" s="15">
        <f ca="1">IFERROR(__xludf.DUMMYFUNCTION("""COMPUTED_VALUE"""),3412)</f>
        <v>3412</v>
      </c>
      <c r="C59" s="16" t="str">
        <f ca="1">IFERROR(__xludf.DUMMYFUNCTION("""COMPUTED_VALUE"""),"DEVI NOVITA SARI")</f>
        <v>DEVI NOVITA SARI</v>
      </c>
      <c r="D59" s="16" t="str">
        <f ca="1">IFERROR(__xludf.DUMMYFUNCTION("""COMPUTED_VALUE"""),"5003201066")</f>
        <v>5003201066</v>
      </c>
      <c r="E59" s="16" t="str">
        <f ca="1">IFERROR(__xludf.DUMMYFUNCTION("""COMPUTED_VALUE"""),"Departemen Statistika")</f>
        <v>Departemen Statistika</v>
      </c>
      <c r="F59" s="16" t="str">
        <f ca="1">IFERROR(__xludf.DUMMYFUNCTION("""COMPUTED_VALUE"""),"ReBrand : Marketplace Jasa Branding Guna Meningkatkan Brand Image Produk UMKM di Mata Masyarakat pada Era Digital")</f>
        <v>ReBrand : Marketplace Jasa Branding Guna Meningkatkan Brand Image Produk UMKM di Mata Masyarakat pada Era Digital</v>
      </c>
      <c r="G59" s="16" t="str">
        <f ca="1">IFERROR(__xludf.DUMMYFUNCTION("""COMPUTED_VALUE"""),"Dr. Dra. Ismaini Zain, M.Si")</f>
        <v>Dr. Dra. Ismaini Zain, M.Si</v>
      </c>
      <c r="H59" s="16" t="str">
        <f ca="1">IFERROR(__xludf.DUMMYFUNCTION("""COMPUTED_VALUE"""),"Ahmad Fauzan Adziimaa, S.T., M.Sc.")</f>
        <v>Ahmad Fauzan Adziimaa, S.T., M.Sc.</v>
      </c>
      <c r="I59" s="16" t="str">
        <f ca="1">IFERROR(__xludf.DUMMYFUNCTION("""COMPUTED_VALUE"""),"Mahardika F. Rois, S.T, M.T")</f>
        <v>Mahardika F. Rois, S.T, M.T</v>
      </c>
      <c r="J59" s="16"/>
      <c r="K59" s="17" t="s">
        <v>984</v>
      </c>
      <c r="L59" s="23" t="s">
        <v>986</v>
      </c>
      <c r="M59" s="19" t="b">
        <v>1</v>
      </c>
      <c r="N59" s="19" t="b">
        <v>1</v>
      </c>
      <c r="O59" s="1" t="s">
        <v>987</v>
      </c>
      <c r="P59" s="7" t="str">
        <f ca="1">IFERROR(__xludf.DUMMYFUNCTION("iferror(vlookup(B59,importrange(""https://docs.google.com/spreadsheets/d/1boHyJQ4e2FU0QG8MHwEi6qjX4hvZWVCHcFfXjq7bbMc/edit?resourcekey#gid=923248883"",""Prop!$C$1:$M""),12,0),IFERROR(vlookup(B59,importrange(""https://docs.google.com/spreadsheets/d/1boHyJQ"&amp;"4e2FU0QG8MHwEi6qjX4hvZWVCHcFfXjq7bbMc/edit?resourcekey#gid=923248883"",""Prop!$N$1:$X""),11,0),iferror(vlookup(B59,importrange(""https://docs.google.com/spreadsheets/d/1boHyJQ4e2FU0QG8MHwEi6qjX4hvZWVCHcFfXjq7bbMc/edit?resourcekey#gid=923248883"",""Prop!$Y"&amp;"$1:$AI""),11,0),iferror(vlookup(B59,importrange(""https://docs.google.com/spreadsheets/d/1boHyJQ4e2FU0QG8MHwEi6qjX4hvZWVCHcFfXjq7bbMc/edit?resourcekey#gid=923248883"",""Prop!$AJ$1:$AT""),11,0),iferror(vlookup(B59,importrange(""https://docs.google.com/spre"&amp;"adsheets/d/1boHyJQ4e2FU0QG8MHwEi6qjX4hvZWVCHcFfXjq7bbMc/edit?resourcekey#gid=923248883"",""Prop!$AU$1:$BE""),11,0),iferror(vlookup(B59,importrange(""https://docs.google.com/spreadsheets/d/1boHyJQ4e2FU0QG8MHwEi6qjX4hvZWVCHcFfXjq7bbMc/edit?resourcekey#gid=9"&amp;"23248883"",""Prop!$BF$1:$BP""),11,0),iferror(vlookup(B59,importrange(""https://docs.google.com/spreadsheets/d/1boHyJQ4e2FU0QG8MHwEi6qjX4hvZWVCHcFfXjq7bbMc/edit?resourcekey#gid=923248883"",""Prop!$BQ$1:$CA""),11,0),iferror(vlookup(B59,importrange(""https:/"&amp;"/docs.google.com/spreadsheets/d/1boHyJQ4e2FU0QG8MHwEi6qjX4hvZWVCHcFfXjq7bbMc/edit?resourcekey#gid=923248883"",""Prop!$CB$1:$CL""),11,0),iferror(vlookup(B59,importrange(""https://docs.google.com/spreadsheets/d/1boHyJQ4e2FU0QG8MHwEi6qjX4hvZWVCHcFfXjq7bbMc/e"&amp;"dit?resourcekey#gid=923248883"",""Prop!$CM$1:$CX""),12,0),iferror(vlookup(B59,importrange(""https://docs.google.com/spreadsheets/d/1boHyJQ4e2FU0QG8MHwEi6qjX4hvZWVCHcFfXjq7bbMc/edit?resourcekey#gid=923248883"",""Prop!$CV$1:$DI""),11,0)))))))))))"),"https://drive.google.com/open?id=1ViOV5Qwpw91iwinoQJuVBDBv1coURe-C")</f>
        <v>https://drive.google.com/open?id=1ViOV5Qwpw91iwinoQJuVBDBv1coURe-C</v>
      </c>
      <c r="Q59" s="7" t="str">
        <f ca="1">IFERROR(__xludf.DUMMYFUNCTION("iferror(vlookup(B59,importrange(""https://docs.google.com/spreadsheets/d/1p53T2AuvvIqhP7Nf-bo3Uhj8cbKYRPpZdsrBv3x3bAQ/edit?resourcekey#gid=1321652304"",""Prop!$C$1:$M""),11,0),IFERROR(vlookup(B59,importrange(""https://docs.google.com/spreadsheets/d/1p53T2"&amp;"AuvvIqhP7Nf-bo3Uhj8cbKYRPpZdsrBv3x3bAQ/edit?resourcekey#gid=1321652304"",""Prop!$N$1:$X""),11,0),iferror(vlookup(B59,importrange(""https://docs.google.com/spreadsheets/d/1p53T2AuvvIqhP7Nf-bo3Uhj8cbKYRPpZdsrBv3x3bAQ/edit?resourcekey#gid=1321652304"",""Prop"&amp;"!$Y$1:$AI""),11,0),iferror(vlookup(B59,importrange(""https://docs.google.com/spreadsheets/d/1p53T2AuvvIqhP7Nf-bo3Uhj8cbKYRPpZdsrBv3x3bAQ/edit?resourcekey#gid=1321652304"",""Prop!$AJ$1:$AT""),11,0),iferror(vlookup(B59,importrange(""https://docs.google.com/"&amp;"spreadsheets/d/1p53T2AuvvIqhP7Nf-bo3Uhj8cbKYRPpZdsrBv3x3bAQ/edit?resourcekey#gid=1321652304"",""Prop!$AU$1:$BE""),11,0),iferror(vlookup(B59,importrange(""https://docs.google.com/spreadsheets/d/1p53T2AuvvIqhP7Nf-bo3Uhj8cbKYRPpZdsrBv3x3bAQ/edit?resourcekey#"&amp;"gid=1321652304"",""Prop!$BF$1:$BP""),11,0),iferror(vlookup(B59,importrange(""https://docs.google.com/spreadsheets/d/1p53T2AuvvIqhP7Nf-bo3Uhj8cbKYRPpZdsrBv3x3bAQ/edit?resourcekey#gid=1321652304"",""Prop!$BQ$1:$CA""),11,0),iferror(vlookup(B59,importrange("""&amp;"https://docs.google.com/spreadsheets/d/1p53T2AuvvIqhP7Nf-bo3Uhj8cbKYRPpZdsrBv3x3bAQ/edit?resourcekey#gid=1321652304"",""Prop!$CB$1:$CL""),11,0),iferror(vlookup(B59,importrange(""https://docs.google.com/spreadsheets/d/1p53T2AuvvIqhP7Nf-bo3Uhj8cbKYRPpZdsrBv"&amp;"3x3bAQ/edit?resourcekey#gid=1321652304"",""Prop!$CM$1:$CX""),12,0),iferror(vlookup(B59,importrange(""https://docs.google.com/spreadsheets/d/1p53T2AuvvIqhP7Nf-bo3Uhj8cbKYRPpZdsrBv3x3bAQ/edit?resourcekey#gid=1321652304"",""Prop!$CY$1:$DI""),11,0)))))))))))"),"https://drive.google.com/open?id=1XvwTNCQOHmDG5STj4Wc4TnrWn3pDPUTo")</f>
        <v>https://drive.google.com/open?id=1XvwTNCQOHmDG5STj4Wc4TnrWn3pDPUTo</v>
      </c>
      <c r="R59" s="20" t="s">
        <v>946</v>
      </c>
      <c r="S59" s="20" t="str">
        <f ca="1">IFERROR(__xludf.DUMMYFUNCTION("IFERROR(vlookup(B59,IMPORTRANGE(""https://docs.google.com/spreadsheets/d/1g_jfYYK_KeipEDNDUgqgrsxK94XiocfNQIcP-v1QVhI/edit?resourcekey#gid=233272945"",""Nilai!B:CT""),21,0),"" "")"),"Ada beberapa salah ketik. Pasar belum dideskripsikan dengan baik, Spesifikasi/keunggulan produk dan analisis kompetitor secara ringkas belum ada di latar belakang. Biodata dosen pembimbing MOHON DiTTD.")</f>
        <v>Ada beberapa salah ketik. Pasar belum dideskripsikan dengan baik, Spesifikasi/keunggulan produk dan analisis kompetitor secara ringkas belum ada di latar belakang. Biodata dosen pembimbing MOHON DiTTD.</v>
      </c>
      <c r="T59" s="20" t="str">
        <f ca="1">IFERROR(__xludf.DUMMYFUNCTION("IFERROR(vlookup(B59,IMPORTRANGE(""https://docs.google.com/spreadsheets/d/1g_jfYYK_KeipEDNDUgqgrsxK94XiocfNQIcP-v1QVhI/edit?resourcekey#gid=233272945"",""Nilai!B:CT""),97,0),"" "")"),"LAYAK UPLOAD KE SIMBELMAWA DENGAN REVISI")</f>
        <v>LAYAK UPLOAD KE SIMBELMAWA DENGAN REVISI</v>
      </c>
      <c r="U59" s="36" t="s">
        <v>695</v>
      </c>
      <c r="V59" s="85" t="s">
        <v>947</v>
      </c>
      <c r="W59" s="18" t="s">
        <v>985</v>
      </c>
      <c r="X59" s="34" t="s">
        <v>949</v>
      </c>
    </row>
    <row r="60" spans="1:24">
      <c r="A60" s="15">
        <v>59</v>
      </c>
      <c r="B60" s="15">
        <f ca="1">IFERROR(__xludf.DUMMYFUNCTION("""COMPUTED_VALUE"""),4157)</f>
        <v>4157</v>
      </c>
      <c r="C60" s="16" t="str">
        <f ca="1">IFERROR(__xludf.DUMMYFUNCTION("""COMPUTED_VALUE"""),"Hanisa Rahmawati B")</f>
        <v>Hanisa Rahmawati B</v>
      </c>
      <c r="D60" s="16" t="str">
        <f ca="1">IFERROR(__xludf.DUMMYFUNCTION("""COMPUTED_VALUE"""),"2043211005")</f>
        <v>2043211005</v>
      </c>
      <c r="E60" s="16" t="str">
        <f ca="1">IFERROR(__xludf.DUMMYFUNCTION("""COMPUTED_VALUE"""),"Departemen Statistika Bisnis")</f>
        <v>Departemen Statistika Bisnis</v>
      </c>
      <c r="F60" s="16" t="str">
        <f ca="1">IFERROR(__xludf.DUMMYFUNCTION("""COMPUTED_VALUE"""),"Platform Jual Beli Barang Bekas Online Berbasis Aplkasi Bekas Laku sebagai Upaya Menjaga Lingkungan dan Pencegahan Limbah")</f>
        <v>Platform Jual Beli Barang Bekas Online Berbasis Aplkasi Bekas Laku sebagai Upaya Menjaga Lingkungan dan Pencegahan Limbah</v>
      </c>
      <c r="G60" s="16" t="str">
        <f ca="1">IFERROR(__xludf.DUMMYFUNCTION("""COMPUTED_VALUE"""),"Nur Azizah, S.Si., M.Stat.")</f>
        <v>Nur Azizah, S.Si., M.Stat.</v>
      </c>
      <c r="H60" s="16" t="str">
        <f ca="1">IFERROR(__xludf.DUMMYFUNCTION("""COMPUTED_VALUE"""),"Ahmad Fauzan Adziimaa, S.T., M.Sc.")</f>
        <v>Ahmad Fauzan Adziimaa, S.T., M.Sc.</v>
      </c>
      <c r="I60" s="16" t="str">
        <f ca="1">IFERROR(__xludf.DUMMYFUNCTION("""COMPUTED_VALUE"""),"Dr. Afan Hamzah, S.T.")</f>
        <v>Dr. Afan Hamzah, S.T.</v>
      </c>
      <c r="J60" s="16"/>
      <c r="K60" s="17" t="s">
        <v>984</v>
      </c>
      <c r="L60" s="23" t="s">
        <v>986</v>
      </c>
      <c r="M60" s="19" t="b">
        <v>1</v>
      </c>
      <c r="N60" s="19" t="b">
        <v>1</v>
      </c>
      <c r="O60" s="1" t="s">
        <v>987</v>
      </c>
      <c r="P60" s="7" t="str">
        <f ca="1">IFERROR(__xludf.DUMMYFUNCTION("iferror(vlookup(B60,importrange(""https://docs.google.com/spreadsheets/d/1boHyJQ4e2FU0QG8MHwEi6qjX4hvZWVCHcFfXjq7bbMc/edit?resourcekey#gid=923248883"",""Prop!$C$1:$M""),12,0),IFERROR(vlookup(B60,importrange(""https://docs.google.com/spreadsheets/d/1boHyJQ"&amp;"4e2FU0QG8MHwEi6qjX4hvZWVCHcFfXjq7bbMc/edit?resourcekey#gid=923248883"",""Prop!$N$1:$X""),11,0),iferror(vlookup(B60,importrange(""https://docs.google.com/spreadsheets/d/1boHyJQ4e2FU0QG8MHwEi6qjX4hvZWVCHcFfXjq7bbMc/edit?resourcekey#gid=923248883"",""Prop!$Y"&amp;"$1:$AI""),11,0),iferror(vlookup(B60,importrange(""https://docs.google.com/spreadsheets/d/1boHyJQ4e2FU0QG8MHwEi6qjX4hvZWVCHcFfXjq7bbMc/edit?resourcekey#gid=923248883"",""Prop!$AJ$1:$AT""),11,0),iferror(vlookup(B60,importrange(""https://docs.google.com/spre"&amp;"adsheets/d/1boHyJQ4e2FU0QG8MHwEi6qjX4hvZWVCHcFfXjq7bbMc/edit?resourcekey#gid=923248883"",""Prop!$AU$1:$BE""),11,0),iferror(vlookup(B60,importrange(""https://docs.google.com/spreadsheets/d/1boHyJQ4e2FU0QG8MHwEi6qjX4hvZWVCHcFfXjq7bbMc/edit?resourcekey#gid=9"&amp;"23248883"",""Prop!$BF$1:$BP""),11,0),iferror(vlookup(B60,importrange(""https://docs.google.com/spreadsheets/d/1boHyJQ4e2FU0QG8MHwEi6qjX4hvZWVCHcFfXjq7bbMc/edit?resourcekey#gid=923248883"",""Prop!$BQ$1:$CA""),11,0),iferror(vlookup(B60,importrange(""https:/"&amp;"/docs.google.com/spreadsheets/d/1boHyJQ4e2FU0QG8MHwEi6qjX4hvZWVCHcFfXjq7bbMc/edit?resourcekey#gid=923248883"",""Prop!$CB$1:$CL""),11,0),iferror(vlookup(B60,importrange(""https://docs.google.com/spreadsheets/d/1boHyJQ4e2FU0QG8MHwEi6qjX4hvZWVCHcFfXjq7bbMc/e"&amp;"dit?resourcekey#gid=923248883"",""Prop!$CM$1:$CX""),12,0),iferror(vlookup(B60,importrange(""https://docs.google.com/spreadsheets/d/1boHyJQ4e2FU0QG8MHwEi6qjX4hvZWVCHcFfXjq7bbMc/edit?resourcekey#gid=923248883"",""Prop!$CV$1:$DI""),11,0)))))))))))"),"https://drive.google.com/open?id=1JJeXlAdiE8ldDl6VXkm8uhgdTshh8DFq")</f>
        <v>https://drive.google.com/open?id=1JJeXlAdiE8ldDl6VXkm8uhgdTshh8DFq</v>
      </c>
      <c r="Q60" s="7" t="str">
        <f ca="1">IFERROR(__xludf.DUMMYFUNCTION("iferror(vlookup(B60,importrange(""https://docs.google.com/spreadsheets/d/1p53T2AuvvIqhP7Nf-bo3Uhj8cbKYRPpZdsrBv3x3bAQ/edit?resourcekey#gid=1321652304"",""Prop!$C$1:$M""),11,0),IFERROR(vlookup(B60,importrange(""https://docs.google.com/spreadsheets/d/1p53T2"&amp;"AuvvIqhP7Nf-bo3Uhj8cbKYRPpZdsrBv3x3bAQ/edit?resourcekey#gid=1321652304"",""Prop!$N$1:$X""),11,0),iferror(vlookup(B60,importrange(""https://docs.google.com/spreadsheets/d/1p53T2AuvvIqhP7Nf-bo3Uhj8cbKYRPpZdsrBv3x3bAQ/edit?resourcekey#gid=1321652304"",""Prop"&amp;"!$Y$1:$AI""),11,0),iferror(vlookup(B60,importrange(""https://docs.google.com/spreadsheets/d/1p53T2AuvvIqhP7Nf-bo3Uhj8cbKYRPpZdsrBv3x3bAQ/edit?resourcekey#gid=1321652304"",""Prop!$AJ$1:$AT""),11,0),iferror(vlookup(B60,importrange(""https://docs.google.com/"&amp;"spreadsheets/d/1p53T2AuvvIqhP7Nf-bo3Uhj8cbKYRPpZdsrBv3x3bAQ/edit?resourcekey#gid=1321652304"",""Prop!$AU$1:$BE""),11,0),iferror(vlookup(B60,importrange(""https://docs.google.com/spreadsheets/d/1p53T2AuvvIqhP7Nf-bo3Uhj8cbKYRPpZdsrBv3x3bAQ/edit?resourcekey#"&amp;"gid=1321652304"",""Prop!$BF$1:$BP""),11,0),iferror(vlookup(B60,importrange(""https://docs.google.com/spreadsheets/d/1p53T2AuvvIqhP7Nf-bo3Uhj8cbKYRPpZdsrBv3x3bAQ/edit?resourcekey#gid=1321652304"",""Prop!$BQ$1:$CA""),11,0),iferror(vlookup(B60,importrange("""&amp;"https://docs.google.com/spreadsheets/d/1p53T2AuvvIqhP7Nf-bo3Uhj8cbKYRPpZdsrBv3x3bAQ/edit?resourcekey#gid=1321652304"",""Prop!$CB$1:$CL""),11,0),iferror(vlookup(B60,importrange(""https://docs.google.com/spreadsheets/d/1p53T2AuvvIqhP7Nf-bo3Uhj8cbKYRPpZdsrBv"&amp;"3x3bAQ/edit?resourcekey#gid=1321652304"",""Prop!$CM$1:$CX""),11,0),iferror(vlookup(B60,importrange(""https://docs.google.com/spreadsheets/d/1p53T2AuvvIqhP7Nf-bo3Uhj8cbKYRPpZdsrBv3x3bAQ/edit?resourcekey#gid=1321652304"",""Prop!$CY$1:$DI""),11,0)))))))))))"),"https://drive.google.com/open?id=1vOl09EUgclyKaFQHTCw7eL577JVP2pah")</f>
        <v>https://drive.google.com/open?id=1vOl09EUgclyKaFQHTCw7eL577JVP2pah</v>
      </c>
      <c r="R60" s="20" t="s">
        <v>946</v>
      </c>
      <c r="S60" s="20" t="str">
        <f ca="1">IFERROR(__xludf.DUMMYFUNCTION("IFERROR(vlookup(B60,IMPORTRANGE(""https://docs.google.com/spreadsheets/d/1g_jfYYK_KeipEDNDUgqgrsxK94XiocfNQIcP-v1QVhI/edit?resourcekey#gid=233272945"",""Nilai!B:CT""),21,0),"" "")"),"DItemukan banyak salah ketik dan kata tidak baku dalam proposal. Kurang referensi ilmiah. Tidak ada analisis potensi pasar dan kompetitor, serta minim penjelasan keunggulan kompetitif pada latar belakang. Daftar Pustaka sangat minim (hanya 2). Lampiran 2 "&amp;"dan 4 MOHON SESUAI dg PANDUAN. ")</f>
        <v xml:space="preserve">DItemukan banyak salah ketik dan kata tidak baku dalam proposal. Kurang referensi ilmiah. Tidak ada analisis potensi pasar dan kompetitor, serta minim penjelasan keunggulan kompetitif pada latar belakang. Daftar Pustaka sangat minim (hanya 2). Lampiran 2 dan 4 MOHON SESUAI dg PANDUAN. </v>
      </c>
      <c r="T60" s="20" t="str">
        <f ca="1">IFERROR(__xludf.DUMMYFUNCTION("IFERROR(vlookup(B60,IMPORTRANGE(""https://docs.google.com/spreadsheets/d/1g_jfYYK_KeipEDNDUgqgrsxK94XiocfNQIcP-v1QVhI/edit?resourcekey#gid=233272945"",""Nilai!B:CT""),97,0),"" "")"),"LAYAK UPLOAD KE SIMBELMAWA DENGAN REVISI")</f>
        <v>LAYAK UPLOAD KE SIMBELMAWA DENGAN REVISI</v>
      </c>
      <c r="U60" s="36" t="s">
        <v>695</v>
      </c>
      <c r="V60" s="85" t="s">
        <v>947</v>
      </c>
      <c r="W60" s="18" t="s">
        <v>988</v>
      </c>
      <c r="X60" s="34" t="b">
        <v>0</v>
      </c>
    </row>
    <row r="61" spans="1:24">
      <c r="A61" s="15">
        <v>60</v>
      </c>
      <c r="B61" s="15">
        <f ca="1">IFERROR(__xludf.DUMMYFUNCTION("""COMPUTED_VALUE"""),3618)</f>
        <v>3618</v>
      </c>
      <c r="C61" s="16" t="str">
        <f ca="1">IFERROR(__xludf.DUMMYFUNCTION("""COMPUTED_VALUE"""),"AULIA MUHAMMAD")</f>
        <v>AULIA MUHAMMAD</v>
      </c>
      <c r="D61" s="16" t="str">
        <f ca="1">IFERROR(__xludf.DUMMYFUNCTION("""COMPUTED_VALUE"""),"5031201036")</f>
        <v>5031201036</v>
      </c>
      <c r="E61" s="16" t="str">
        <f ca="1">IFERROR(__xludf.DUMMYFUNCTION("""COMPUTED_VALUE"""),"Departemen Manajemen Bisnis")</f>
        <v>Departemen Manajemen Bisnis</v>
      </c>
      <c r="F61" s="16" t="str">
        <f ca="1">IFERROR(__xludf.DUMMYFUNCTION("""COMPUTED_VALUE"""),"TEMANKU: PLATFORM PENYEDIA INFORMASI SKINCARE DI
INDONESIA")</f>
        <v>TEMANKU: PLATFORM PENYEDIA INFORMASI SKINCARE DI
INDONESIA</v>
      </c>
      <c r="G61" s="16" t="str">
        <f ca="1">IFERROR(__xludf.DUMMYFUNCTION("""COMPUTED_VALUE"""),"Gita Widi Bhawika, S.ST., M.MT")</f>
        <v>Gita Widi Bhawika, S.ST., M.MT</v>
      </c>
      <c r="H61" s="16" t="str">
        <f ca="1">IFERROR(__xludf.DUMMYFUNCTION("""COMPUTED_VALUE"""),"Ahmad Fauzan Adziimaa, S.T., M.Sc.")</f>
        <v>Ahmad Fauzan Adziimaa, S.T., M.Sc.</v>
      </c>
      <c r="I61" s="16" t="str">
        <f ca="1">IFERROR(__xludf.DUMMYFUNCTION("""COMPUTED_VALUE"""),"Daril Ridho Zuchrillah, S.T., M.T.")</f>
        <v>Daril Ridho Zuchrillah, S.T., M.T.</v>
      </c>
      <c r="J61" s="16"/>
      <c r="K61" s="17" t="s">
        <v>984</v>
      </c>
      <c r="L61" s="23" t="s">
        <v>986</v>
      </c>
      <c r="M61" s="19" t="b">
        <v>1</v>
      </c>
      <c r="N61" s="19" t="b">
        <v>1</v>
      </c>
      <c r="O61" s="1" t="s">
        <v>987</v>
      </c>
      <c r="P61" s="7" t="str">
        <f ca="1">IFERROR(__xludf.DUMMYFUNCTION("iferror(vlookup(B61,importrange(""https://docs.google.com/spreadsheets/d/1boHyJQ4e2FU0QG8MHwEi6qjX4hvZWVCHcFfXjq7bbMc/edit?resourcekey#gid=923248883"",""Prop!$C$1:$M""),12,0),IFERROR(vlookup(B61,importrange(""https://docs.google.com/spreadsheets/d/1boHyJQ"&amp;"4e2FU0QG8MHwEi6qjX4hvZWVCHcFfXjq7bbMc/edit?resourcekey#gid=923248883"",""Prop!$N$1:$X""),11,0),iferror(vlookup(B61,importrange(""https://docs.google.com/spreadsheets/d/1boHyJQ4e2FU0QG8MHwEi6qjX4hvZWVCHcFfXjq7bbMc/edit?resourcekey#gid=923248883"",""Prop!$Y"&amp;"$1:$AI""),11,0),iferror(vlookup(B61,importrange(""https://docs.google.com/spreadsheets/d/1boHyJQ4e2FU0QG8MHwEi6qjX4hvZWVCHcFfXjq7bbMc/edit?resourcekey#gid=923248883"",""Prop!$AJ$1:$AT""),11,0),iferror(vlookup(B61,importrange(""https://docs.google.com/spre"&amp;"adsheets/d/1boHyJQ4e2FU0QG8MHwEi6qjX4hvZWVCHcFfXjq7bbMc/edit?resourcekey#gid=923248883"",""Prop!$AU$1:$BE""),11,0),iferror(vlookup(B61,importrange(""https://docs.google.com/spreadsheets/d/1boHyJQ4e2FU0QG8MHwEi6qjX4hvZWVCHcFfXjq7bbMc/edit?resourcekey#gid=9"&amp;"23248883"",""Prop!$BF$1:$BP""),11,0),iferror(vlookup(B61,importrange(""https://docs.google.com/spreadsheets/d/1boHyJQ4e2FU0QG8MHwEi6qjX4hvZWVCHcFfXjq7bbMc/edit?resourcekey#gid=923248883"",""Prop!$BQ$1:$CA""),11,0),iferror(vlookup(B61,importrange(""https:/"&amp;"/docs.google.com/spreadsheets/d/1boHyJQ4e2FU0QG8MHwEi6qjX4hvZWVCHcFfXjq7bbMc/edit?resourcekey#gid=923248883"",""Prop!$CB$1:$CL""),11,0),iferror(vlookup(B61,importrange(""https://docs.google.com/spreadsheets/d/1boHyJQ4e2FU0QG8MHwEi6qjX4hvZWVCHcFfXjq7bbMc/e"&amp;"dit?resourcekey#gid=923248883"",""Prop!$CM$1:$CX""),12,0),iferror(vlookup(B61,importrange(""https://docs.google.com/spreadsheets/d/1boHyJQ4e2FU0QG8MHwEi6qjX4hvZWVCHcFfXjq7bbMc/edit?resourcekey#gid=923248883"",""Prop!$CV$1:$DI""),11,0)))))))))))"),"https://drive.google.com/open?id=1ypNNb6D4G4DNFxKhBUBfK9J5CEF6qDsC")</f>
        <v>https://drive.google.com/open?id=1ypNNb6D4G4DNFxKhBUBfK9J5CEF6qDsC</v>
      </c>
      <c r="Q61" s="1" t="str">
        <f ca="1">IFERROR(__xludf.DUMMYFUNCTION("iferror(vlookup(B61,importrange(""https://docs.google.com/spreadsheets/d/1p53T2AuvvIqhP7Nf-bo3Uhj8cbKYRPpZdsrBv3x3bAQ/edit?resourcekey#gid=1321652304"",""Prop!$C$1:$M""),11,0),IFERROR(vlookup(B61,importrange(""https://docs.google.com/spreadsheets/d/1p53T2"&amp;"AuvvIqhP7Nf-bo3Uhj8cbKYRPpZdsrBv3x3bAQ/edit?resourcekey#gid=1321652304"",""Prop!$N$1:$X""),11,0),iferror(vlookup(B61,importrange(""https://docs.google.com/spreadsheets/d/1p53T2AuvvIqhP7Nf-bo3Uhj8cbKYRPpZdsrBv3x3bAQ/edit?resourcekey#gid=1321652304"",""Prop"&amp;"!$Y$1:$AI""),11,0),iferror(vlookup(B61,importrange(""https://docs.google.com/spreadsheets/d/1p53T2AuvvIqhP7Nf-bo3Uhj8cbKYRPpZdsrBv3x3bAQ/edit?resourcekey#gid=1321652304"",""Prop!$AJ$1:$AT""),11,0),iferror(vlookup(B61,importrange(""https://docs.google.com/"&amp;"spreadsheets/d/1p53T2AuvvIqhP7Nf-bo3Uhj8cbKYRPpZdsrBv3x3bAQ/edit?resourcekey#gid=1321652304"",""Prop!$AU$1:$BE""),11,0),iferror(vlookup(B61,importrange(""https://docs.google.com/spreadsheets/d/1p53T2AuvvIqhP7Nf-bo3Uhj8cbKYRPpZdsrBv3x3bAQ/edit?resourcekey#"&amp;"gid=1321652304"",""Prop!$BF$1:$BP""),11,0),iferror(vlookup(B61,importrange(""https://docs.google.com/spreadsheets/d/1p53T2AuvvIqhP7Nf-bo3Uhj8cbKYRPpZdsrBv3x3bAQ/edit?resourcekey#gid=1321652304"",""Prop!$BQ$1:$CA""),11,0),iferror(vlookup(B61,importrange("""&amp;"https://docs.google.com/spreadsheets/d/1p53T2AuvvIqhP7Nf-bo3Uhj8cbKYRPpZdsrBv3x3bAQ/edit?resourcekey#gid=1321652304"",""Prop!$CB$1:$CL""),11,0),iferror(vlookup(B61,importrange(""https://docs.google.com/spreadsheets/d/1p53T2AuvvIqhP7Nf-bo3Uhj8cbKYRPpZdsrBv"&amp;"3x3bAQ/edit?resourcekey#gid=1321652304"",""Prop!$CM$1:$CX""),11,0),iferror(vlookup(B61,importrange(""https://docs.google.com/spreadsheets/d/1p53T2AuvvIqhP7Nf-bo3Uhj8cbKYRPpZdsrBv3x3bAQ/edit?resourcekey#gid=1321652304"",""Prop!$CY$1:$DI""),11,0)))))))))))"),"")</f>
        <v/>
      </c>
      <c r="R61" s="20" t="s">
        <v>946</v>
      </c>
      <c r="S61" s="20" t="str">
        <f ca="1">IFERROR(__xludf.DUMMYFUNCTION("IFERROR(vlookup(B61,IMPORTRANGE(""https://docs.google.com/spreadsheets/d/1g_jfYYK_KeipEDNDUgqgrsxK94XiocfNQIcP-v1QVhI/edit?resourcekey#gid=233272945"",""Nilai!B:CT""),21,0),"" "")"),"sdh disampaikan ke mhs")</f>
        <v>sdh disampaikan ke mhs</v>
      </c>
      <c r="T61" s="20" t="str">
        <f ca="1">IFERROR(__xludf.DUMMYFUNCTION("IFERROR(vlookup(B61,IMPORTRANGE(""https://docs.google.com/spreadsheets/d/1g_jfYYK_KeipEDNDUgqgrsxK94XiocfNQIcP-v1QVhI/edit?resourcekey#gid=233272945"",""Nilai!B:CT""),97,0),"" "")"),"LAYAK UPLOAD KE SIMBELMAWA DENGAN REVISI")</f>
        <v>LAYAK UPLOAD KE SIMBELMAWA DENGAN REVISI</v>
      </c>
      <c r="U61" s="36" t="s">
        <v>695</v>
      </c>
      <c r="V61" s="85" t="s">
        <v>947</v>
      </c>
      <c r="W61" s="18" t="s">
        <v>988</v>
      </c>
      <c r="X61" s="34" t="b">
        <v>0</v>
      </c>
    </row>
    <row r="62" spans="1:24">
      <c r="A62" s="15">
        <v>61</v>
      </c>
      <c r="B62" s="15">
        <f ca="1">IFERROR(__xludf.DUMMYFUNCTION("""COMPUTED_VALUE"""),2542)</f>
        <v>2542</v>
      </c>
      <c r="C62" s="16" t="str">
        <f ca="1">IFERROR(__xludf.DUMMYFUNCTION("""COMPUTED_VALUE"""),"Syahrindra Rif'at N")</f>
        <v>Syahrindra Rif'at N</v>
      </c>
      <c r="D62" s="16" t="str">
        <f ca="1">IFERROR(__xludf.DUMMYFUNCTION("""COMPUTED_VALUE"""),"5016211079")</f>
        <v>5016211079</v>
      </c>
      <c r="E62" s="16" t="str">
        <f ca="1">IFERROR(__xludf.DUMMYFUNCTION("""COMPUTED_VALUE"""),"Departemen Teknik Geomatika")</f>
        <v>Departemen Teknik Geomatika</v>
      </c>
      <c r="F62" s="16" t="str">
        <f ca="1">IFERROR(__xludf.DUMMYFUNCTION("""COMPUTED_VALUE"""),"Penyediaan Jasa Make Up Artist Melalui Aplikasi Dengan Fitur Masa Kini MUA.ID")</f>
        <v>Penyediaan Jasa Make Up Artist Melalui Aplikasi Dengan Fitur Masa Kini MUA.ID</v>
      </c>
      <c r="G62" s="16" t="str">
        <f ca="1">IFERROR(__xludf.DUMMYFUNCTION("""COMPUTED_VALUE"""),"Yanto Budisusanto, S.T., M.Eng.")</f>
        <v>Yanto Budisusanto, S.T., M.Eng.</v>
      </c>
      <c r="H62" s="16" t="str">
        <f ca="1">IFERROR(__xludf.DUMMYFUNCTION("""COMPUTED_VALUE"""),"MY Alief Samboro, S.T., M.Ds.")</f>
        <v>MY Alief Samboro, S.T., M.Ds.</v>
      </c>
      <c r="I62" s="16" t="str">
        <f ca="1">IFERROR(__xludf.DUMMYFUNCTION("""COMPUTED_VALUE"""),"Atikah Aghdhi Pratiwi, S.T., M.T.")</f>
        <v>Atikah Aghdhi Pratiwi, S.T., M.T.</v>
      </c>
      <c r="J62" s="16"/>
      <c r="K62" s="17" t="s">
        <v>984</v>
      </c>
      <c r="L62" s="23" t="s">
        <v>986</v>
      </c>
      <c r="M62" s="19" t="b">
        <v>0</v>
      </c>
      <c r="N62" s="19" t="b">
        <v>0</v>
      </c>
      <c r="O62" s="1" t="s">
        <v>987</v>
      </c>
      <c r="P62" s="7" t="str">
        <f ca="1">IFERROR(__xludf.DUMMYFUNCTION("iferror(vlookup(B62,importrange(""https://docs.google.com/spreadsheets/d/1boHyJQ4e2FU0QG8MHwEi6qjX4hvZWVCHcFfXjq7bbMc/edit?resourcekey#gid=923248883"",""Prop!$C$1:$M""),12,0),IFERROR(vlookup(B62,importrange(""https://docs.google.com/spreadsheets/d/1boHyJQ"&amp;"4e2FU0QG8MHwEi6qjX4hvZWVCHcFfXjq7bbMc/edit?resourcekey#gid=923248883"",""Prop!$N$1:$X""),11,0),iferror(vlookup(B62,importrange(""https://docs.google.com/spreadsheets/d/1boHyJQ4e2FU0QG8MHwEi6qjX4hvZWVCHcFfXjq7bbMc/edit?resourcekey#gid=923248883"",""Prop!$Y"&amp;"$1:$AI""),11,0),iferror(vlookup(B62,importrange(""https://docs.google.com/spreadsheets/d/1boHyJQ4e2FU0QG8MHwEi6qjX4hvZWVCHcFfXjq7bbMc/edit?resourcekey#gid=923248883"",""Prop!$AJ$1:$AT""),11,0),iferror(vlookup(B62,importrange(""https://docs.google.com/spre"&amp;"adsheets/d/1boHyJQ4e2FU0QG8MHwEi6qjX4hvZWVCHcFfXjq7bbMc/edit?resourcekey#gid=923248883"",""Prop!$AU$1:$BE""),11,0),iferror(vlookup(B62,importrange(""https://docs.google.com/spreadsheets/d/1boHyJQ4e2FU0QG8MHwEi6qjX4hvZWVCHcFfXjq7bbMc/edit?resourcekey#gid=9"&amp;"23248883"",""Prop!$BF$1:$BP""),11,0),iferror(vlookup(B62,importrange(""https://docs.google.com/spreadsheets/d/1boHyJQ4e2FU0QG8MHwEi6qjX4hvZWVCHcFfXjq7bbMc/edit?resourcekey#gid=923248883"",""Prop!$BQ$1:$CA""),11,0),iferror(vlookup(B62,importrange(""https:/"&amp;"/docs.google.com/spreadsheets/d/1boHyJQ4e2FU0QG8MHwEi6qjX4hvZWVCHcFfXjq7bbMc/edit?resourcekey#gid=923248883"",""Prop!$CB$1:$CL""),11,0),iferror(vlookup(B62,importrange(""https://docs.google.com/spreadsheets/d/1boHyJQ4e2FU0QG8MHwEi6qjX4hvZWVCHcFfXjq7bbMc/e"&amp;"dit?resourcekey#gid=923248883"",""Prop!$CM$1:$CX""),12,0),iferror(vlookup(B62,importrange(""https://docs.google.com/spreadsheets/d/1boHyJQ4e2FU0QG8MHwEi6qjX4hvZWVCHcFfXjq7bbMc/edit?resourcekey#gid=923248883"",""Prop!$CV$1:$DI""),11,0)))))))))))"),"https://drive.google.com/open?id=1jCToQM_B_nbYHBYfMmcW76p9ftVGRvQp")</f>
        <v>https://drive.google.com/open?id=1jCToQM_B_nbYHBYfMmcW76p9ftVGRvQp</v>
      </c>
      <c r="Q62" s="7" t="str">
        <f ca="1">IFERROR(__xludf.DUMMYFUNCTION("iferror(vlookup(B62,importrange(""https://docs.google.com/spreadsheets/d/1p53T2AuvvIqhP7Nf-bo3Uhj8cbKYRPpZdsrBv3x3bAQ/edit?resourcekey#gid=1321652304"",""Prop!$C$1:$M""),11,0),IFERROR(vlookup(B62,importrange(""https://docs.google.com/spreadsheets/d/1p53T2"&amp;"AuvvIqhP7Nf-bo3Uhj8cbKYRPpZdsrBv3x3bAQ/edit?resourcekey#gid=1321652304"",""Prop!$N$1:$X""),11,0),iferror(vlookup(B62,importrange(""https://docs.google.com/spreadsheets/d/1p53T2AuvvIqhP7Nf-bo3Uhj8cbKYRPpZdsrBv3x3bAQ/edit?resourcekey#gid=1321652304"",""Prop"&amp;"!$Y$1:$AI""),11,0),iferror(vlookup(B62,importrange(""https://docs.google.com/spreadsheets/d/1p53T2AuvvIqhP7Nf-bo3Uhj8cbKYRPpZdsrBv3x3bAQ/edit?resourcekey#gid=1321652304"",""Prop!$AJ$1:$AT""),11,0),iferror(vlookup(B62,importrange(""https://docs.google.com/"&amp;"spreadsheets/d/1p53T2AuvvIqhP7Nf-bo3Uhj8cbKYRPpZdsrBv3x3bAQ/edit?resourcekey#gid=1321652304"",""Prop!$AU$1:$BE""),11,0),iferror(vlookup(B62,importrange(""https://docs.google.com/spreadsheets/d/1p53T2AuvvIqhP7Nf-bo3Uhj8cbKYRPpZdsrBv3x3bAQ/edit?resourcekey#"&amp;"gid=1321652304"",""Prop!$BF$1:$BP""),11,0),iferror(vlookup(B62,importrange(""https://docs.google.com/spreadsheets/d/1p53T2AuvvIqhP7Nf-bo3Uhj8cbKYRPpZdsrBv3x3bAQ/edit?resourcekey#gid=1321652304"",""Prop!$BQ$1:$CA""),11,0),iferror(vlookup(B62,importrange("""&amp;"https://docs.google.com/spreadsheets/d/1p53T2AuvvIqhP7Nf-bo3Uhj8cbKYRPpZdsrBv3x3bAQ/edit?resourcekey#gid=1321652304"",""Prop!$CB$1:$CL""),11,0),iferror(vlookup(B62,importrange(""https://docs.google.com/spreadsheets/d/1p53T2AuvvIqhP7Nf-bo3Uhj8cbKYRPpZdsrBv"&amp;"3x3bAQ/edit?resourcekey#gid=1321652304"",""Prop!$CM$1:$CX""),11,0),iferror(vlookup(B62,importrange(""https://docs.google.com/spreadsheets/d/1p53T2AuvvIqhP7Nf-bo3Uhj8cbKYRPpZdsrBv3x3bAQ/edit?resourcekey#gid=1321652304"",""Prop!$CY$1:$DI""),11,0)))))))))))"),"https://drive.google.com/open?id=1khdCEm9PZ8a-Sby4hlz8CQQfXTzwIFUF")</f>
        <v>https://drive.google.com/open?id=1khdCEm9PZ8a-Sby4hlz8CQQfXTzwIFUF</v>
      </c>
      <c r="R62" s="20" t="s">
        <v>946</v>
      </c>
      <c r="S62" s="20" t="str">
        <f ca="1">IFERROR(__xludf.DUMMYFUNCTION("IFERROR(vlookup(B62,IMPORTRANGE(""https://docs.google.com/spreadsheets/d/1g_jfYYK_KeipEDNDUgqgrsxK94XiocfNQIcP-v1QVhI/edit?resourcekey#gid=233272945"",""Nilai!B:CT""),21,0),"" "")"),"Latar belakang bertele-tele, tidak perlu paragraf 1 dan 1/2 paragraf 2. Kata tidak baku: analisa, seharusnya analisis. tidak ada penjelasan potensi pasar, analisis kompetitor dan keunggulan kompetitif detail dari jasa yang diusulkan pada latar belakang. K"&amp;"urang menjalankan bisnis yang menghasilkan profit pada rumusan masalah dan tujuan. Pada luaran, kurang menyebutkan LAPORAN KEMAJUAN dan LAPORAN AKHIR. Logo tidak menarik.Di bawah tabel 2.1, margin tidak rata kiri kanan. ditemukan beberapa salah ketik. Ist"&amp;"ilah dari bahasa asing dimiringkan. Anggaran biaya maks 7jt dr simbelmawa. Referensi kurang. Lampiran 2 dan 4 HARAP MENYESUAIKAN DENGAN PEDOMAN YANG BARU. KETUA BELUM TTD SYRAT PERNYATAAN.")</f>
        <v>Latar belakang bertele-tele, tidak perlu paragraf 1 dan 1/2 paragraf 2. Kata tidak baku: analisa, seharusnya analisis. tidak ada penjelasan potensi pasar, analisis kompetitor dan keunggulan kompetitif detail dari jasa yang diusulkan pada latar belakang. Kurang menjalankan bisnis yang menghasilkan profit pada rumusan masalah dan tujuan. Pada luaran, kurang menyebutkan LAPORAN KEMAJUAN dan LAPORAN AKHIR. Logo tidak menarik.Di bawah tabel 2.1, margin tidak rata kiri kanan. ditemukan beberapa salah ketik. Istilah dari bahasa asing dimiringkan. Anggaran biaya maks 7jt dr simbelmawa. Referensi kurang. Lampiran 2 dan 4 HARAP MENYESUAIKAN DENGAN PEDOMAN YANG BARU. KETUA BELUM TTD SYRAT PERNYATAAN.</v>
      </c>
      <c r="T62" s="20" t="str">
        <f ca="1">IFERROR(__xludf.DUMMYFUNCTION("IFERROR(vlookup(B62,IMPORTRANGE(""https://docs.google.com/spreadsheets/d/1g_jfYYK_KeipEDNDUgqgrsxK94XiocfNQIcP-v1QVhI/edit?resourcekey#gid=233272945"",""Nilai!B:CT""),97,0),"" "")"),"LAYAK UPLOAD KE SIMBELMAWA DENGAN REVISI")</f>
        <v>LAYAK UPLOAD KE SIMBELMAWA DENGAN REVISI</v>
      </c>
      <c r="U62" s="36" t="s">
        <v>695</v>
      </c>
      <c r="V62" s="85" t="s">
        <v>947</v>
      </c>
      <c r="W62" s="18" t="s">
        <v>988</v>
      </c>
      <c r="X62" s="34" t="b">
        <v>0</v>
      </c>
    </row>
    <row r="63" spans="1:24">
      <c r="A63" s="15">
        <v>62</v>
      </c>
      <c r="B63" s="15">
        <f ca="1">IFERROR(__xludf.DUMMYFUNCTION("""COMPUTED_VALUE"""),3376)</f>
        <v>3376</v>
      </c>
      <c r="C63" s="16" t="str">
        <f ca="1">IFERROR(__xludf.DUMMYFUNCTION("""COMPUTED_VALUE"""),"Aisya Maura")</f>
        <v>Aisya Maura</v>
      </c>
      <c r="D63" s="16" t="str">
        <f ca="1">IFERROR(__xludf.DUMMYFUNCTION("""COMPUTED_VALUE"""),"5013211103")</f>
        <v>5013211103</v>
      </c>
      <c r="E63" s="16" t="str">
        <f ca="1">IFERROR(__xludf.DUMMYFUNCTION("""COMPUTED_VALUE"""),"Departemen Arsitektur")</f>
        <v>Departemen Arsitektur</v>
      </c>
      <c r="F63" s="16" t="str">
        <f ca="1">IFERROR(__xludf.DUMMYFUNCTION("""COMPUTED_VALUE"""),"ARCHITECT AI : Memanfaatkan Kemajuan Teknologi di Era Modern untuk Masa Depan Mendesain Bangunan")</f>
        <v>ARCHITECT AI : Memanfaatkan Kemajuan Teknologi di Era Modern untuk Masa Depan Mendesain Bangunan</v>
      </c>
      <c r="G63" s="16" t="str">
        <f ca="1">IFERROR(__xludf.DUMMYFUNCTION("""COMPUTED_VALUE"""),"Nurfahmi M, S.T., M.Ars.")</f>
        <v>Nurfahmi M, S.T., M.Ars.</v>
      </c>
      <c r="H63" s="16" t="str">
        <f ca="1">IFERROR(__xludf.DUMMYFUNCTION("""COMPUTED_VALUE"""),"Gita Widi Bhawika, S.ST., M.MT")</f>
        <v>Gita Widi Bhawika, S.ST., M.MT</v>
      </c>
      <c r="I63" s="16" t="str">
        <f ca="1">IFERROR(__xludf.DUMMYFUNCTION("""COMPUTED_VALUE"""),"R.Eka Rizkiantono, S.Sn, M.Ds")</f>
        <v>R.Eka Rizkiantono, S.Sn, M.Ds</v>
      </c>
      <c r="J63" s="16"/>
      <c r="K63" s="17" t="s">
        <v>984</v>
      </c>
      <c r="L63" s="17" t="s">
        <v>893</v>
      </c>
      <c r="M63" s="19" t="b">
        <v>0</v>
      </c>
      <c r="N63" s="19" t="b">
        <v>0</v>
      </c>
      <c r="O63" s="1" t="s">
        <v>987</v>
      </c>
      <c r="P63" s="24" t="str">
        <f ca="1">IFERROR(__xludf.DUMMYFUNCTION("iferror(vlookup(B63,importrange(""https://docs.google.com/spreadsheets/d/1boHyJQ4e2FU0QG8MHwEi6qjX4hvZWVCHcFfXjq7bbMc/edit?resourcekey#gid=923248883"",""Prop!$C$1:$M""),12,0),IFERROR(vlookup(B63,importrange(""https://docs.google.com/spreadsheets/d/1boHyJQ"&amp;"4e2FU0QG8MHwEi6qjX4hvZWVCHcFfXjq7bbMc/edit?resourcekey#gid=923248883"",""Prop!$N$1:$X""),11,0),iferror(vlookup(B63,importrange(""https://docs.google.com/spreadsheets/d/1boHyJQ4e2FU0QG8MHwEi6qjX4hvZWVCHcFfXjq7bbMc/edit?resourcekey#gid=923248883"",""Prop!$Y"&amp;"$1:$AI""),11,0),iferror(vlookup(B63,importrange(""https://docs.google.com/spreadsheets/d/1boHyJQ4e2FU0QG8MHwEi6qjX4hvZWVCHcFfXjq7bbMc/edit?resourcekey#gid=923248883"",""Prop!$AJ$1:$AT""),11,0),iferror(vlookup(B63,importrange(""https://docs.google.com/spre"&amp;"adsheets/d/1boHyJQ4e2FU0QG8MHwEi6qjX4hvZWVCHcFfXjq7bbMc/edit?resourcekey#gid=923248883"",""Prop!$AU$1:$BE""),11,0),iferror(vlookup(B63,importrange(""https://docs.google.com/spreadsheets/d/1boHyJQ4e2FU0QG8MHwEi6qjX4hvZWVCHcFfXjq7bbMc/edit?resourcekey#gid=9"&amp;"23248883"",""Prop!$BF$1:$BP""),11,0),iferror(vlookup(B63,importrange(""https://docs.google.com/spreadsheets/d/1boHyJQ4e2FU0QG8MHwEi6qjX4hvZWVCHcFfXjq7bbMc/edit?resourcekey#gid=923248883"",""Prop!$BQ$1:$CA""),11,0),iferror(vlookup(B63,importrange(""https:/"&amp;"/docs.google.com/spreadsheets/d/1boHyJQ4e2FU0QG8MHwEi6qjX4hvZWVCHcFfXjq7bbMc/edit?resourcekey#gid=923248883"",""Prop!$CB$1:$CL""),11,0),iferror(vlookup(B63,importrange(""https://docs.google.com/spreadsheets/d/1boHyJQ4e2FU0QG8MHwEi6qjX4hvZWVCHcFfXjq7bbMc/e"&amp;"dit?resourcekey#gid=923248883"",""Prop!$CM$1:$CX""),12,0),iferror(vlookup(B63,importrange(""https://docs.google.com/spreadsheets/d/1boHyJQ4e2FU0QG8MHwEi6qjX4hvZWVCHcFfXjq7bbMc/edit?resourcekey#gid=923248883"",""Prop!$CV$1:$DI""),11,0)))))))))))"),"")</f>
        <v/>
      </c>
      <c r="Q63" s="7" t="str">
        <f ca="1">IFERROR(__xludf.DUMMYFUNCTION("iferror(vlookup(B63,importrange(""https://docs.google.com/spreadsheets/d/1p53T2AuvvIqhP7Nf-bo3Uhj8cbKYRPpZdsrBv3x3bAQ/edit?resourcekey#gid=1321652304"",""Prop!$C$1:$M""),11,0),IFERROR(vlookup(B63,importrange(""https://docs.google.com/spreadsheets/d/1p53T2"&amp;"AuvvIqhP7Nf-bo3Uhj8cbKYRPpZdsrBv3x3bAQ/edit?resourcekey#gid=1321652304"",""Prop!$N$1:$X""),11,0),iferror(vlookup(B63,importrange(""https://docs.google.com/spreadsheets/d/1p53T2AuvvIqhP7Nf-bo3Uhj8cbKYRPpZdsrBv3x3bAQ/edit?resourcekey#gid=1321652304"",""Prop"&amp;"!$Y$1:$AI""),11,0),iferror(vlookup(B63,importrange(""https://docs.google.com/spreadsheets/d/1p53T2AuvvIqhP7Nf-bo3Uhj8cbKYRPpZdsrBv3x3bAQ/edit?resourcekey#gid=1321652304"",""Prop!$AJ$1:$AT""),11,0),iferror(vlookup(B63,importrange(""https://docs.google.com/"&amp;"spreadsheets/d/1p53T2AuvvIqhP7Nf-bo3Uhj8cbKYRPpZdsrBv3x3bAQ/edit?resourcekey#gid=1321652304"",""Prop!$AU$1:$BE""),11,0),iferror(vlookup(B63,importrange(""https://docs.google.com/spreadsheets/d/1p53T2AuvvIqhP7Nf-bo3Uhj8cbKYRPpZdsrBv3x3bAQ/edit?resourcekey#"&amp;"gid=1321652304"",""Prop!$BF$1:$BP""),11,0),iferror(vlookup(B63,importrange(""https://docs.google.com/spreadsheets/d/1p53T2AuvvIqhP7Nf-bo3Uhj8cbKYRPpZdsrBv3x3bAQ/edit?resourcekey#gid=1321652304"",""Prop!$BQ$1:$CA""),11,0),iferror(vlookup(B63,importrange("""&amp;"https://docs.google.com/spreadsheets/d/1p53T2AuvvIqhP7Nf-bo3Uhj8cbKYRPpZdsrBv3x3bAQ/edit?resourcekey#gid=1321652304"",""Prop!$CB$1:$CL""),11,0),iferror(vlookup(B63,importrange(""https://docs.google.com/spreadsheets/d/1p53T2AuvvIqhP7Nf-bo3Uhj8cbKYRPpZdsrBv"&amp;"3x3bAQ/edit?resourcekey#gid=1321652304"",""Prop!$CM$1:$CX""),11,0),iferror(vlookup(B63,importrange(""https://docs.google.com/spreadsheets/d/1p53T2AuvvIqhP7Nf-bo3Uhj8cbKYRPpZdsrBv3x3bAQ/edit?resourcekey#gid=1321652304"",""Prop!$CY$1:$DI""),11,0)))))))))))"),"https://drive.google.com/open?id=1kNYtKDk9naQLid6Qhege0ocShlXO4it_")</f>
        <v>https://drive.google.com/open?id=1kNYtKDk9naQLid6Qhege0ocShlXO4it_</v>
      </c>
      <c r="R63" s="20" t="s">
        <v>946</v>
      </c>
      <c r="S63" s="20" t="str">
        <f ca="1">IFERROR(__xludf.DUMMYFUNCTION("IFERROR(vlookup(B63,IMPORTRANGE(""https://docs.google.com/spreadsheets/d/1g_jfYYK_KeipEDNDUgqgrsxK94XiocfNQIcP-v1QVhI/edit?resourcekey#gid=233272945"",""Nilai!B:CT""),21,0),"" "")"),"MABA")</f>
        <v>MABA</v>
      </c>
      <c r="T63" s="20" t="str">
        <f ca="1">IFERROR(__xludf.DUMMYFUNCTION("IFERROR(vlookup(B63,IMPORTRANGE(""https://docs.google.com/spreadsheets/d/1g_jfYYK_KeipEDNDUgqgrsxK94XiocfNQIcP-v1QVhI/edit?resourcekey#gid=233272945"",""Nilai!B:CT""),97,0),"" "")"),"TIDAK LAYAK UPLOAD KE SIMBELMAWA")</f>
        <v>TIDAK LAYAK UPLOAD KE SIMBELMAWA</v>
      </c>
      <c r="U63" s="36" t="s">
        <v>695</v>
      </c>
      <c r="V63" s="85" t="s">
        <v>947</v>
      </c>
      <c r="W63" s="17" t="s">
        <v>989</v>
      </c>
      <c r="X63" s="34" t="b">
        <v>0</v>
      </c>
    </row>
    <row r="64" spans="1:24">
      <c r="A64" s="15">
        <v>63</v>
      </c>
      <c r="B64" s="15">
        <f ca="1">IFERROR(__xludf.DUMMYFUNCTION("""COMPUTED_VALUE"""),3583)</f>
        <v>3583</v>
      </c>
      <c r="C64" s="16" t="str">
        <f ca="1">IFERROR(__xludf.DUMMYFUNCTION("""COMPUTED_VALUE"""),"Azriel Akbar M")</f>
        <v>Azriel Akbar M</v>
      </c>
      <c r="D64" s="16" t="str">
        <f ca="1">IFERROR(__xludf.DUMMYFUNCTION("""COMPUTED_VALUE"""),"2038211049")</f>
        <v>2038211049</v>
      </c>
      <c r="E64" s="16" t="str">
        <f ca="1">IFERROR(__xludf.DUMMYFUNCTION("""COMPUTED_VALUE"""),"Departemen Teknik Mesin Industri")</f>
        <v>Departemen Teknik Mesin Industri</v>
      </c>
      <c r="F64" s="16" t="str">
        <f ca="1">IFERROR(__xludf.DUMMYFUNCTION("""COMPUTED_VALUE"""),"BIG VALUE IN TINY “MOUTHWASH IN PILL FORM”")</f>
        <v>BIG VALUE IN TINY “MOUTHWASH IN PILL FORM”</v>
      </c>
      <c r="G64" s="16" t="str">
        <f ca="1">IFERROR(__xludf.DUMMYFUNCTION("""COMPUTED_VALUE"""),"Rivai Wardhani, S.T., M.Sc.")</f>
        <v>Rivai Wardhani, S.T., M.Sc.</v>
      </c>
      <c r="H64" s="16" t="str">
        <f ca="1">IFERROR(__xludf.DUMMYFUNCTION("""COMPUTED_VALUE"""),"Muchammad Nurif, S.E., M.T.")</f>
        <v>Muchammad Nurif, S.E., M.T.</v>
      </c>
      <c r="I64" s="16" t="str">
        <f ca="1">IFERROR(__xludf.DUMMYFUNCTION("""COMPUTED_VALUE"""),"Bahalwan Apriyansyah, S.T., MBA.")</f>
        <v>Bahalwan Apriyansyah, S.T., MBA.</v>
      </c>
      <c r="J64" s="16"/>
      <c r="K64" s="17" t="s">
        <v>984</v>
      </c>
      <c r="L64" s="17" t="s">
        <v>990</v>
      </c>
      <c r="M64" s="19" t="b">
        <v>0</v>
      </c>
      <c r="N64" s="19" t="b">
        <v>0</v>
      </c>
      <c r="O64" s="1" t="s">
        <v>987</v>
      </c>
      <c r="P64" s="24"/>
      <c r="Q64" s="7" t="str">
        <f ca="1">IFERROR(__xludf.DUMMYFUNCTION("iferror(vlookup(B64,importrange(""https://docs.google.com/spreadsheets/d/1p53T2AuvvIqhP7Nf-bo3Uhj8cbKYRPpZdsrBv3x3bAQ/edit?resourcekey#gid=1321652304"",""Prop!$C$1:$M""),11,0),IFERROR(vlookup(B64,importrange(""https://docs.google.com/spreadsheets/d/1p53T2"&amp;"AuvvIqhP7Nf-bo3Uhj8cbKYRPpZdsrBv3x3bAQ/edit?resourcekey#gid=1321652304"",""Prop!$N$1:$X""),11,0),iferror(vlookup(B64,importrange(""https://docs.google.com/spreadsheets/d/1p53T2AuvvIqhP7Nf-bo3Uhj8cbKYRPpZdsrBv3x3bAQ/edit?resourcekey#gid=1321652304"",""Prop"&amp;"!$Y$1:$AI""),11,0),iferror(vlookup(B64,importrange(""https://docs.google.com/spreadsheets/d/1p53T2AuvvIqhP7Nf-bo3Uhj8cbKYRPpZdsrBv3x3bAQ/edit?resourcekey#gid=1321652304"",""Prop!$AJ$1:$AT""),11,0),iferror(vlookup(B64,importrange(""https://docs.google.com/"&amp;"spreadsheets/d/1p53T2AuvvIqhP7Nf-bo3Uhj8cbKYRPpZdsrBv3x3bAQ/edit?resourcekey#gid=1321652304"",""Prop!$AU$1:$BE""),11,0),iferror(vlookup(B64,importrange(""https://docs.google.com/spreadsheets/d/1p53T2AuvvIqhP7Nf-bo3Uhj8cbKYRPpZdsrBv3x3bAQ/edit?resourcekey#"&amp;"gid=1321652304"",""Prop!$BF$1:$BP""),11,0),iferror(vlookup(B64,importrange(""https://docs.google.com/spreadsheets/d/1p53T2AuvvIqhP7Nf-bo3Uhj8cbKYRPpZdsrBv3x3bAQ/edit?resourcekey#gid=1321652304"",""Prop!$BQ$1:$CA""),11,0),iferror(vlookup(B64,importrange("""&amp;"https://docs.google.com/spreadsheets/d/1p53T2AuvvIqhP7Nf-bo3Uhj8cbKYRPpZdsrBv3x3bAQ/edit?resourcekey#gid=1321652304"",""Prop!$CB$1:$CL""),11,0),iferror(vlookup(B64,importrange(""https://docs.google.com/spreadsheets/d/1p53T2AuvvIqhP7Nf-bo3Uhj8cbKYRPpZdsrBv"&amp;"3x3bAQ/edit?resourcekey#gid=1321652304"",""Prop!$CM$1:$CX""),11,0),iferror(vlookup(B64,importrange(""https://docs.google.com/spreadsheets/d/1p53T2AuvvIqhP7Nf-bo3Uhj8cbKYRPpZdsrBv3x3bAQ/edit?resourcekey#gid=1321652304"",""Prop!$CY$1:$DI""),11,0)))))))))))"),"https://drive.google.com/open?id=1D83rT2gk4lGFRppq_mdiw9JwfbiBntx2")</f>
        <v>https://drive.google.com/open?id=1D83rT2gk4lGFRppq_mdiw9JwfbiBntx2</v>
      </c>
      <c r="R64" s="20" t="s">
        <v>946</v>
      </c>
      <c r="S64" s="20" t="str">
        <f ca="1">IFERROR(__xludf.DUMMYFUNCTION("IFERROR(vlookup(B64,IMPORTRANGE(""https://docs.google.com/spreadsheets/d/1g_jfYYK_KeipEDNDUgqgrsxK94XiocfNQIcP-v1QVhI/edit?resourcekey#gid=233272945"",""Nilai!B:CT""),21,0),"" "")"),"MABA")</f>
        <v>MABA</v>
      </c>
      <c r="T64" s="20" t="str">
        <f ca="1">IFERROR(__xludf.DUMMYFUNCTION("IFERROR(vlookup(B64,IMPORTRANGE(""https://docs.google.com/spreadsheets/d/1g_jfYYK_KeipEDNDUgqgrsxK94XiocfNQIcP-v1QVhI/edit?resourcekey#gid=233272945"",""Nilai!B:CT""),97,0),"" "")"),"TIDAK LAYAK UPLOAD KE SIMBELMAWA")</f>
        <v>TIDAK LAYAK UPLOAD KE SIMBELMAWA</v>
      </c>
      <c r="U64" s="36" t="s">
        <v>695</v>
      </c>
      <c r="V64" s="85" t="s">
        <v>947</v>
      </c>
      <c r="W64" s="17" t="s">
        <v>991</v>
      </c>
      <c r="X64" s="34" t="b">
        <v>0</v>
      </c>
    </row>
    <row r="65" spans="1:24">
      <c r="A65" s="15">
        <v>64</v>
      </c>
      <c r="B65" s="15">
        <f ca="1">IFERROR(__xludf.DUMMYFUNCTION("""COMPUTED_VALUE"""),3341)</f>
        <v>3341</v>
      </c>
      <c r="C65" s="16" t="str">
        <f ca="1">IFERROR(__xludf.DUMMYFUNCTION("""COMPUTED_VALUE"""),"MUHAMMAD NAJA AT-THARIQ")</f>
        <v>MUHAMMAD NAJA AT-THARIQ</v>
      </c>
      <c r="D65" s="16" t="str">
        <f ca="1">IFERROR(__xludf.DUMMYFUNCTION("""COMPUTED_VALUE"""),"5031201001")</f>
        <v>5031201001</v>
      </c>
      <c r="E65" s="16" t="str">
        <f ca="1">IFERROR(__xludf.DUMMYFUNCTION("""COMPUTED_VALUE"""),"Departemen Manajemen Bisnis")</f>
        <v>Departemen Manajemen Bisnis</v>
      </c>
      <c r="F65" s="16" t="str">
        <f ca="1">IFERROR(__xludf.DUMMYFUNCTION("""COMPUTED_VALUE"""),"TikarKu")</f>
        <v>TikarKu</v>
      </c>
      <c r="G65" s="16" t="str">
        <f ca="1">IFERROR(__xludf.DUMMYFUNCTION("""COMPUTED_VALUE"""),"Bahalwan Apriyansyah, S.T., MBA.")</f>
        <v>Bahalwan Apriyansyah, S.T., MBA.</v>
      </c>
      <c r="H65" s="16" t="str">
        <f ca="1">IFERROR(__xludf.DUMMYFUNCTION("""COMPUTED_VALUE"""),"MY Alief Samboro, S.T., M.Ds.")</f>
        <v>MY Alief Samboro, S.T., M.Ds.</v>
      </c>
      <c r="I65" s="16" t="str">
        <f ca="1">IFERROR(__xludf.DUMMYFUNCTION("""COMPUTED_VALUE"""),"R.Eka Rizkiantono, S.Sn, M.Ds")</f>
        <v>R.Eka Rizkiantono, S.Sn, M.Ds</v>
      </c>
      <c r="J65" s="16"/>
      <c r="K65" s="17" t="s">
        <v>992</v>
      </c>
      <c r="L65" s="17" t="s">
        <v>990</v>
      </c>
      <c r="M65" s="19" t="b">
        <v>0</v>
      </c>
      <c r="N65" s="19" t="b">
        <v>0</v>
      </c>
      <c r="O65" s="1" t="s">
        <v>987</v>
      </c>
      <c r="P65" s="24"/>
      <c r="Q65" s="1" t="str">
        <f ca="1">IFERROR(__xludf.DUMMYFUNCTION("iferror(vlookup(B65,importrange(""https://docs.google.com/spreadsheets/d/1p53T2AuvvIqhP7Nf-bo3Uhj8cbKYRPpZdsrBv3x3bAQ/edit?resourcekey#gid=1321652304"",""Prop!$C$1:$M""),11,0),IFERROR(vlookup(B65,importrange(""https://docs.google.com/spreadsheets/d/1p53T2"&amp;"AuvvIqhP7Nf-bo3Uhj8cbKYRPpZdsrBv3x3bAQ/edit?resourcekey#gid=1321652304"",""Prop!$N$1:$X""),11,0),iferror(vlookup(B65,importrange(""https://docs.google.com/spreadsheets/d/1p53T2AuvvIqhP7Nf-bo3Uhj8cbKYRPpZdsrBv3x3bAQ/edit?resourcekey#gid=1321652304"",""Prop"&amp;"!$Y$1:$AI""),11,0),iferror(vlookup(B65,importrange(""https://docs.google.com/spreadsheets/d/1p53T2AuvvIqhP7Nf-bo3Uhj8cbKYRPpZdsrBv3x3bAQ/edit?resourcekey#gid=1321652304"",""Prop!$AJ$1:$AT""),11,0),iferror(vlookup(B65,importrange(""https://docs.google.com/"&amp;"spreadsheets/d/1p53T2AuvvIqhP7Nf-bo3Uhj8cbKYRPpZdsrBv3x3bAQ/edit?resourcekey#gid=1321652304"",""Prop!$AU$1:$BE""),11,0),iferror(vlookup(B65,importrange(""https://docs.google.com/spreadsheets/d/1p53T2AuvvIqhP7Nf-bo3Uhj8cbKYRPpZdsrBv3x3bAQ/edit?resourcekey#"&amp;"gid=1321652304"",""Prop!$BF$1:$BP""),11,0),iferror(vlookup(B65,importrange(""https://docs.google.com/spreadsheets/d/1p53T2AuvvIqhP7Nf-bo3Uhj8cbKYRPpZdsrBv3x3bAQ/edit?resourcekey#gid=1321652304"",""Prop!$BQ$1:$CA""),11,0),iferror(vlookup(B65,importrange("""&amp;"https://docs.google.com/spreadsheets/d/1p53T2AuvvIqhP7Nf-bo3Uhj8cbKYRPpZdsrBv3x3bAQ/edit?resourcekey#gid=1321652304"",""Prop!$CB$1:$CL""),11,0),iferror(vlookup(B65,importrange(""https://docs.google.com/spreadsheets/d/1p53T2AuvvIqhP7Nf-bo3Uhj8cbKYRPpZdsrBv"&amp;"3x3bAQ/edit?resourcekey#gid=1321652304"",""Prop!$CM$1:$CX""),11,0),iferror(vlookup(B65,importrange(""https://docs.google.com/spreadsheets/d/1p53T2AuvvIqhP7Nf-bo3Uhj8cbKYRPpZdsrBv3x3bAQ/edit?resourcekey#gid=1321652304"",""Prop!$CY$1:$DI""),11,0)))))))))))"),"")</f>
        <v/>
      </c>
      <c r="R65" s="20" t="s">
        <v>946</v>
      </c>
      <c r="S65" s="20" t="str">
        <f ca="1">IFERROR(__xludf.DUMMYFUNCTION("IFERROR(vlookup(B65,IMPORTRANGE(""https://docs.google.com/spreadsheets/d/1g_jfYYK_KeipEDNDUgqgrsxK94XiocfNQIcP-v1QVhI/edit?resourcekey#gid=233272945"",""Nilai!B:CT""),21,0),"" "")"),"tidak ada dokumen yang diunggah")</f>
        <v>tidak ada dokumen yang diunggah</v>
      </c>
      <c r="T65" s="20" t="str">
        <f ca="1">IFERROR(__xludf.DUMMYFUNCTION("IFERROR(vlookup(B65,IMPORTRANGE(""https://docs.google.com/spreadsheets/d/1g_jfYYK_KeipEDNDUgqgrsxK94XiocfNQIcP-v1QVhI/edit?resourcekey#gid=233272945"",""Nilai!B:CT""),97,0),"" "")"),"TIDAK LAYAK UPLOAD KE SIMBELMAWA")</f>
        <v>TIDAK LAYAK UPLOAD KE SIMBELMAWA</v>
      </c>
      <c r="U65" s="36" t="s">
        <v>695</v>
      </c>
      <c r="V65" s="85" t="s">
        <v>947</v>
      </c>
      <c r="W65" s="17" t="s">
        <v>991</v>
      </c>
      <c r="X65" s="34" t="b">
        <v>0</v>
      </c>
    </row>
    <row r="66" spans="1:24">
      <c r="A66" s="15">
        <v>65</v>
      </c>
      <c r="B66" s="15">
        <f ca="1">IFERROR(__xludf.DUMMYFUNCTION("""COMPUTED_VALUE"""),3003)</f>
        <v>3003</v>
      </c>
      <c r="C66" s="16" t="str">
        <f ca="1">IFERROR(__xludf.DUMMYFUNCTION("""COMPUTED_VALUE"""),"DAFA RIFQI FIRDIANTO")</f>
        <v>DAFA RIFQI FIRDIANTO</v>
      </c>
      <c r="D66" s="16" t="str">
        <f ca="1">IFERROR(__xludf.DUMMYFUNCTION("""COMPUTED_VALUE"""),"2043211060")</f>
        <v>2043211060</v>
      </c>
      <c r="E66" s="16" t="str">
        <f ca="1">IFERROR(__xludf.DUMMYFUNCTION("""COMPUTED_VALUE"""),"Departemen Statistika Bisnis")</f>
        <v>Departemen Statistika Bisnis</v>
      </c>
      <c r="F66" s="16" t="str">
        <f ca="1">IFERROR(__xludf.DUMMYFUNCTION("""COMPUTED_VALUE"""),"AcaraLancar: Marketplace Penyedia Jasa Kebutuhan Acara Berbasis Artificial Intelligence Sebagai Upaya Pemulihan Ekonomi Penyedia Jasa Kebutuhan Acara yang Terdampak Pandemi")</f>
        <v>AcaraLancar: Marketplace Penyedia Jasa Kebutuhan Acara Berbasis Artificial Intelligence Sebagai Upaya Pemulihan Ekonomi Penyedia Jasa Kebutuhan Acara yang Terdampak Pandemi</v>
      </c>
      <c r="G66" s="16" t="str">
        <f ca="1">IFERROR(__xludf.DUMMYFUNCTION("""COMPUTED_VALUE"""),"Siska Arifiani, S.Kom., M.Kom.")</f>
        <v>Siska Arifiani, S.Kom., M.Kom.</v>
      </c>
      <c r="H66" s="16" t="str">
        <f ca="1">IFERROR(__xludf.DUMMYFUNCTION("""COMPUTED_VALUE"""),"Drs. Bandung Arry Sanjoyo, Mi.Komp.")</f>
        <v>Drs. Bandung Arry Sanjoyo, Mi.Komp.</v>
      </c>
      <c r="I66" s="16" t="str">
        <f ca="1">IFERROR(__xludf.DUMMYFUNCTION("""COMPUTED_VALUE"""),"Wibawati, S.Si., M.Si")</f>
        <v>Wibawati, S.Si., M.Si</v>
      </c>
      <c r="J66" s="16"/>
      <c r="K66" s="17" t="s">
        <v>992</v>
      </c>
      <c r="L66" s="17" t="s">
        <v>990</v>
      </c>
      <c r="M66" s="19" t="b">
        <v>0</v>
      </c>
      <c r="N66" s="19" t="b">
        <v>0</v>
      </c>
      <c r="O66" s="1" t="s">
        <v>987</v>
      </c>
      <c r="P66" s="24"/>
      <c r="Q66" s="7" t="str">
        <f ca="1">IFERROR(__xludf.DUMMYFUNCTION("iferror(vlookup(B66,importrange(""https://docs.google.com/spreadsheets/d/1p53T2AuvvIqhP7Nf-bo3Uhj8cbKYRPpZdsrBv3x3bAQ/edit?resourcekey#gid=1321652304"",""Prop!$C$1:$M""),11,0),IFERROR(vlookup(B66,importrange(""https://docs.google.com/spreadsheets/d/1p53T2"&amp;"AuvvIqhP7Nf-bo3Uhj8cbKYRPpZdsrBv3x3bAQ/edit?resourcekey#gid=1321652304"",""Prop!$N$1:$X""),11,0),iferror(vlookup(B66,importrange(""https://docs.google.com/spreadsheets/d/1p53T2AuvvIqhP7Nf-bo3Uhj8cbKYRPpZdsrBv3x3bAQ/edit?resourcekey#gid=1321652304"",""Prop"&amp;"!$Y$1:$AI""),11,0),iferror(vlookup(B66,importrange(""https://docs.google.com/spreadsheets/d/1p53T2AuvvIqhP7Nf-bo3Uhj8cbKYRPpZdsrBv3x3bAQ/edit?resourcekey#gid=1321652304"",""Prop!$AJ$1:$AT""),11,0),iferror(vlookup(B66,importrange(""https://docs.google.com/"&amp;"spreadsheets/d/1p53T2AuvvIqhP7Nf-bo3Uhj8cbKYRPpZdsrBv3x3bAQ/edit?resourcekey#gid=1321652304"",""Prop!$AU$1:$BE""),11,0),iferror(vlookup(B66,importrange(""https://docs.google.com/spreadsheets/d/1p53T2AuvvIqhP7Nf-bo3Uhj8cbKYRPpZdsrBv3x3bAQ/edit?resourcekey#"&amp;"gid=1321652304"",""Prop!$BF$1:$BP""),11,0),iferror(vlookup(B66,importrange(""https://docs.google.com/spreadsheets/d/1p53T2AuvvIqhP7Nf-bo3Uhj8cbKYRPpZdsrBv3x3bAQ/edit?resourcekey#gid=1321652304"",""Prop!$BQ$1:$CA""),11,0),iferror(vlookup(B66,importrange("""&amp;"https://docs.google.com/spreadsheets/d/1p53T2AuvvIqhP7Nf-bo3Uhj8cbKYRPpZdsrBv3x3bAQ/edit?resourcekey#gid=1321652304"",""Prop!$CB$1:$CL""),11,0),iferror(vlookup(B66,importrange(""https://docs.google.com/spreadsheets/d/1p53T2AuvvIqhP7Nf-bo3Uhj8cbKYRPpZdsrBv"&amp;"3x3bAQ/edit?resourcekey#gid=1321652304"",""Prop!$CM$1:$CX""),11,0),iferror(vlookup(B66,importrange(""https://docs.google.com/spreadsheets/d/1p53T2AuvvIqhP7Nf-bo3Uhj8cbKYRPpZdsrBv3x3bAQ/edit?resourcekey#gid=1321652304"",""Prop!$CY$1:$DI""),11,0)))))))))))"),"https://drive.google.com/open?id=1XbbWua-LR4Yx-exouKJzXmFwCLG6SxTJ")</f>
        <v>https://drive.google.com/open?id=1XbbWua-LR4Yx-exouKJzXmFwCLG6SxTJ</v>
      </c>
      <c r="R66" s="20" t="s">
        <v>946</v>
      </c>
      <c r="S66" s="20" t="str">
        <f ca="1">IFERROR(__xludf.DUMMYFUNCTION("IFERROR(vlookup(B66,IMPORTRANGE(""https://docs.google.com/spreadsheets/d/1g_jfYYK_KeipEDNDUgqgrsxK94XiocfNQIcP-v1QVhI/edit?resourcekey#gid=233272945"",""Nilai!B:CT""),21,0),"" "")"),"Tidak ada referensi ilmiah pada latar belakang-harus ditambahkan untuk mendukung statement2 penulis. Penjelasan potensi pasar, kompetitor, dan keunggulan kompetitif tidak ada pada latar belakang. Istilah dari bahasa asing dimiringkan. Kurang rinci saat me"&amp;"njelaskan struktur organisasi. Tidak ada cashflow. Rekap sumber dana pada tabel 4.1 yg benar ""Instansi Lain"" bukan ""Instalasi Lain"". Jadwal kegiatan sangan minim dan tidak merata embagian tugasnya. Pakai sumber referensi maksimal 10 tahun yg lalu. TID"&amp;"AK ADA LAMPIRAN ANGGARAN DANA. Lampiran surat pernyataan ketua harap memakai format yang BARU.")</f>
        <v>Tidak ada referensi ilmiah pada latar belakang-harus ditambahkan untuk mendukung statement2 penulis. Penjelasan potensi pasar, kompetitor, dan keunggulan kompetitif tidak ada pada latar belakang. Istilah dari bahasa asing dimiringkan. Kurang rinci saat menjelaskan struktur organisasi. Tidak ada cashflow. Rekap sumber dana pada tabel 4.1 yg benar "Instansi Lain" bukan "Instalasi Lain". Jadwal kegiatan sangan minim dan tidak merata embagian tugasnya. Pakai sumber referensi maksimal 10 tahun yg lalu. TIDAK ADA LAMPIRAN ANGGARAN DANA. Lampiran surat pernyataan ketua harap memakai format yang BARU.</v>
      </c>
      <c r="T66" s="20" t="str">
        <f ca="1">IFERROR(__xludf.DUMMYFUNCTION("IFERROR(vlookup(B66,IMPORTRANGE(""https://docs.google.com/spreadsheets/d/1g_jfYYK_KeipEDNDUgqgrsxK94XiocfNQIcP-v1QVhI/edit?resourcekey#gid=233272945"",""Nilai!B:CT""),97,0),"" "")"),"LAYAK UPLOAD KE SIMBELMAWA DENGAN REVISI")</f>
        <v>LAYAK UPLOAD KE SIMBELMAWA DENGAN REVISI</v>
      </c>
      <c r="U66" s="36" t="s">
        <v>695</v>
      </c>
      <c r="V66" s="85" t="s">
        <v>947</v>
      </c>
      <c r="W66" s="17" t="s">
        <v>991</v>
      </c>
      <c r="X66" s="34" t="b">
        <v>0</v>
      </c>
    </row>
    <row r="67" spans="1:24">
      <c r="A67" s="15">
        <v>66</v>
      </c>
      <c r="B67" s="15">
        <f ca="1">IFERROR(__xludf.DUMMYFUNCTION("""COMPUTED_VALUE"""),2877)</f>
        <v>2877</v>
      </c>
      <c r="C67" s="16" t="str">
        <f ca="1">IFERROR(__xludf.DUMMYFUNCTION("""COMPUTED_VALUE"""),"GILANG ARDIANSYAH")</f>
        <v>GILANG ARDIANSYAH</v>
      </c>
      <c r="D67" s="16" t="str">
        <f ca="1">IFERROR(__xludf.DUMMYFUNCTION("""COMPUTED_VALUE"""),"10511910000001")</f>
        <v>10511910000001</v>
      </c>
      <c r="E67" s="16" t="str">
        <f ca="1">IFERROR(__xludf.DUMMYFUNCTION("""COMPUTED_VALUE"""),"Departemen Teknik Instrumentasi")</f>
        <v>Departemen Teknik Instrumentasi</v>
      </c>
      <c r="F67" s="16" t="str">
        <f ca="1">IFERROR(__xludf.DUMMYFUNCTION("""COMPUTED_VALUE"""),"Jasa Teknisi Freelance Berbasis Aplikasi Guna Meningkatkan Digitalisasi Di Indonesia")</f>
        <v>Jasa Teknisi Freelance Berbasis Aplikasi Guna Meningkatkan Digitalisasi Di Indonesia</v>
      </c>
      <c r="G67" s="16" t="str">
        <f ca="1">IFERROR(__xludf.DUMMYFUNCTION("""COMPUTED_VALUE"""),"Safira Firdaus Mujiyanti, S.T., M.T.")</f>
        <v>Safira Firdaus Mujiyanti, S.T., M.T.</v>
      </c>
      <c r="H67" s="16" t="str">
        <f ca="1">IFERROR(__xludf.DUMMYFUNCTION("""COMPUTED_VALUE"""),"Drs. Bandung Arry Sanjoyo, Mi.Komp.")</f>
        <v>Drs. Bandung Arry Sanjoyo, Mi.Komp.</v>
      </c>
      <c r="I67" s="16" t="str">
        <f ca="1">IFERROR(__xludf.DUMMYFUNCTION("""COMPUTED_VALUE"""),"Wibawati, S.Si., M.Si")</f>
        <v>Wibawati, S.Si., M.Si</v>
      </c>
      <c r="J67" s="16"/>
      <c r="K67" s="17" t="s">
        <v>992</v>
      </c>
      <c r="L67" s="17" t="s">
        <v>990</v>
      </c>
      <c r="M67" s="19" t="b">
        <v>0</v>
      </c>
      <c r="N67" s="19" t="b">
        <v>0</v>
      </c>
      <c r="O67" s="1" t="s">
        <v>945</v>
      </c>
      <c r="P67" s="24"/>
      <c r="Q67" s="7" t="str">
        <f ca="1">IFERROR(__xludf.DUMMYFUNCTION("iferror(vlookup(B67,importrange(""https://docs.google.com/spreadsheets/d/1p53T2AuvvIqhP7Nf-bo3Uhj8cbKYRPpZdsrBv3x3bAQ/edit?resourcekey#gid=1321652304"",""Prop!$C$1:$M""),11,0),IFERROR(vlookup(B67,importrange(""https://docs.google.com/spreadsheets/d/1p53T2"&amp;"AuvvIqhP7Nf-bo3Uhj8cbKYRPpZdsrBv3x3bAQ/edit?resourcekey#gid=1321652304"",""Prop!$N$1:$X""),11,0),iferror(vlookup(B67,importrange(""https://docs.google.com/spreadsheets/d/1p53T2AuvvIqhP7Nf-bo3Uhj8cbKYRPpZdsrBv3x3bAQ/edit?resourcekey#gid=1321652304"",""Prop"&amp;"!$Y$1:$AI""),11,0),iferror(vlookup(B67,importrange(""https://docs.google.com/spreadsheets/d/1p53T2AuvvIqhP7Nf-bo3Uhj8cbKYRPpZdsrBv3x3bAQ/edit?resourcekey#gid=1321652304"",""Prop!$AJ$1:$AT""),11,0),iferror(vlookup(B67,importrange(""https://docs.google.com/"&amp;"spreadsheets/d/1p53T2AuvvIqhP7Nf-bo3Uhj8cbKYRPpZdsrBv3x3bAQ/edit?resourcekey#gid=1321652304"",""Prop!$AU$1:$BE""),11,0),iferror(vlookup(B67,importrange(""https://docs.google.com/spreadsheets/d/1p53T2AuvvIqhP7Nf-bo3Uhj8cbKYRPpZdsrBv3x3bAQ/edit?resourcekey#"&amp;"gid=1321652304"",""Prop!$BF$1:$BP""),11,0),iferror(vlookup(B67,importrange(""https://docs.google.com/spreadsheets/d/1p53T2AuvvIqhP7Nf-bo3Uhj8cbKYRPpZdsrBv3x3bAQ/edit?resourcekey#gid=1321652304"",""Prop!$BQ$1:$CA""),11,0),iferror(vlookup(B67,importrange("""&amp;"https://docs.google.com/spreadsheets/d/1p53T2AuvvIqhP7Nf-bo3Uhj8cbKYRPpZdsrBv3x3bAQ/edit?resourcekey#gid=1321652304"",""Prop!$CB$1:$CL""),11,0),iferror(vlookup(B67,importrange(""https://docs.google.com/spreadsheets/d/1p53T2AuvvIqhP7Nf-bo3Uhj8cbKYRPpZdsrBv"&amp;"3x3bAQ/edit?resourcekey#gid=1321652304"",""Prop!$CM$1:$CX""),11,0),iferror(vlookup(B67,importrange(""https://docs.google.com/spreadsheets/d/1p53T2AuvvIqhP7Nf-bo3Uhj8cbKYRPpZdsrBv3x3bAQ/edit?resourcekey#gid=1321652304"",""Prop!$CY$1:$DI""),11,0)))))))))))"),"https://drive.google.com/open?id=1JKtNi3ALyUnBOpBRlSsJD_mosb7K3CsV")</f>
        <v>https://drive.google.com/open?id=1JKtNi3ALyUnBOpBRlSsJD_mosb7K3CsV</v>
      </c>
      <c r="R67" s="20" t="s">
        <v>946</v>
      </c>
      <c r="S67" s="20" t="str">
        <f ca="1">IFERROR(__xludf.DUMMYFUNCTION("IFERROR(vlookup(B67,IMPORTRANGE(""https://docs.google.com/spreadsheets/d/1g_jfYYK_KeipEDNDUgqgrsxK94XiocfNQIcP-v1QVhI/edit?resourcekey#gid=233272945"",""Nilai!B:CT""),21,0),"" "")"),"Kurang referensi ilmiah/rujukan data primer/sekunder. Kebutuhan dan permintaan pasar tidak didukung referensi.  ""freelance"" dan ""online"" dimiringkan. tidak ada penjelasan mengenai kompetitor. Produk jasa kurang unik. Terminologi PLC, HMI perlu dijelas"&amp;"kan kepanjangannya pada deskripsi usaha. Lampiran 2 anggaran mohon SESUAI dengan PEDOMAN.")</f>
        <v>Kurang referensi ilmiah/rujukan data primer/sekunder. Kebutuhan dan permintaan pasar tidak didukung referensi.  "freelance" dan "online" dimiringkan. tidak ada penjelasan mengenai kompetitor. Produk jasa kurang unik. Terminologi PLC, HMI perlu dijelaskan kepanjangannya pada deskripsi usaha. Lampiran 2 anggaran mohon SESUAI dengan PEDOMAN.</v>
      </c>
      <c r="T67" s="20" t="str">
        <f ca="1">IFERROR(__xludf.DUMMYFUNCTION("IFERROR(vlookup(B67,IMPORTRANGE(""https://docs.google.com/spreadsheets/d/1g_jfYYK_KeipEDNDUgqgrsxK94XiocfNQIcP-v1QVhI/edit?resourcekey#gid=233272945"",""Nilai!B:CT""),97,0),"" "")"),"LAYAK UPLOAD KE SIMBELMAWA DENGAN REVISI")</f>
        <v>LAYAK UPLOAD KE SIMBELMAWA DENGAN REVISI</v>
      </c>
      <c r="U67" s="36" t="s">
        <v>695</v>
      </c>
      <c r="V67" s="85" t="s">
        <v>947</v>
      </c>
      <c r="W67" s="17" t="s">
        <v>991</v>
      </c>
      <c r="X67" s="34" t="b">
        <v>0</v>
      </c>
    </row>
    <row r="68" spans="1:24">
      <c r="A68" s="15">
        <v>67</v>
      </c>
      <c r="B68" s="15">
        <f ca="1">IFERROR(__xludf.DUMMYFUNCTION("""COMPUTED_VALUE"""),2680)</f>
        <v>2680</v>
      </c>
      <c r="C68" s="16" t="str">
        <f ca="1">IFERROR(__xludf.DUMMYFUNCTION("""COMPUTED_VALUE"""),"YANUAR SYAEFULLOH")</f>
        <v>YANUAR SYAEFULLOH</v>
      </c>
      <c r="D68" s="16" t="str">
        <f ca="1">IFERROR(__xludf.DUMMYFUNCTION("""COMPUTED_VALUE"""),"5014201078")</f>
        <v>5014201078</v>
      </c>
      <c r="E68" s="16" t="str">
        <f ca="1">IFERROR(__xludf.DUMMYFUNCTION("""COMPUTED_VALUE"""),"Departemen Teknik Lingkungan")</f>
        <v>Departemen Teknik Lingkungan</v>
      </c>
      <c r="F68" s="16" t="str">
        <f ca="1">IFERROR(__xludf.DUMMYFUNCTION("""COMPUTED_VALUE"""),"Mindsight : Platform layanan psikologi online dan Pengembangan diri
")</f>
        <v xml:space="preserve">Mindsight : Platform layanan psikologi online dan Pengembangan diri
</v>
      </c>
      <c r="G68" s="16" t="str">
        <f ca="1">IFERROR(__xludf.DUMMYFUNCTION("""COMPUTED_VALUE"""),"Ainul Firdatun Nisaa, S.T., M.Sc.")</f>
        <v>Ainul Firdatun Nisaa, S.T., M.Sc.</v>
      </c>
      <c r="H68" s="16" t="str">
        <f ca="1">IFERROR(__xludf.DUMMYFUNCTION("""COMPUTED_VALUE"""),"Dr. Adithya Sudiarno, S.T., M.T.")</f>
        <v>Dr. Adithya Sudiarno, S.T., M.T.</v>
      </c>
      <c r="I68" s="16" t="str">
        <f ca="1">IFERROR(__xludf.DUMMYFUNCTION("""COMPUTED_VALUE"""),"Bahalwan Apriyansyah, S.T., MBA.")</f>
        <v>Bahalwan Apriyansyah, S.T., MBA.</v>
      </c>
      <c r="J68" s="16"/>
      <c r="K68" s="17" t="s">
        <v>992</v>
      </c>
      <c r="L68" s="17" t="s">
        <v>993</v>
      </c>
      <c r="M68" s="19" t="b">
        <v>0</v>
      </c>
      <c r="N68" s="19" t="b">
        <v>0</v>
      </c>
      <c r="O68" s="1" t="s">
        <v>945</v>
      </c>
      <c r="P68" s="24"/>
      <c r="Q68" s="1" t="str">
        <f ca="1">IFERROR(__xludf.DUMMYFUNCTION("iferror(vlookup(B68,importrange(""https://docs.google.com/spreadsheets/d/1p53T2AuvvIqhP7Nf-bo3Uhj8cbKYRPpZdsrBv3x3bAQ/edit?resourcekey#gid=1321652304"",""Prop!$C$1:$M""),11,0),IFERROR(vlookup(B68,importrange(""https://docs.google.com/spreadsheets/d/1p53T2"&amp;"AuvvIqhP7Nf-bo3Uhj8cbKYRPpZdsrBv3x3bAQ/edit?resourcekey#gid=1321652304"",""Prop!$N$1:$X""),11,0),iferror(vlookup(B68,importrange(""https://docs.google.com/spreadsheets/d/1p53T2AuvvIqhP7Nf-bo3Uhj8cbKYRPpZdsrBv3x3bAQ/edit?resourcekey#gid=1321652304"",""Prop"&amp;"!$Y$1:$AI""),11,0),iferror(vlookup(B68,importrange(""https://docs.google.com/spreadsheets/d/1p53T2AuvvIqhP7Nf-bo3Uhj8cbKYRPpZdsrBv3x3bAQ/edit?resourcekey#gid=1321652304"",""Prop!$AJ$1:$AT""),11,0),iferror(vlookup(B68,importrange(""https://docs.google.com/"&amp;"spreadsheets/d/1p53T2AuvvIqhP7Nf-bo3Uhj8cbKYRPpZdsrBv3x3bAQ/edit?resourcekey#gid=1321652304"",""Prop!$AU$1:$BE""),11,0),iferror(vlookup(B68,importrange(""https://docs.google.com/spreadsheets/d/1p53T2AuvvIqhP7Nf-bo3Uhj8cbKYRPpZdsrBv3x3bAQ/edit?resourcekey#"&amp;"gid=1321652304"",""Prop!$BF$1:$BP""),11,0),iferror(vlookup(B68,importrange(""https://docs.google.com/spreadsheets/d/1p53T2AuvvIqhP7Nf-bo3Uhj8cbKYRPpZdsrBv3x3bAQ/edit?resourcekey#gid=1321652304"",""Prop!$BQ$1:$CA""),11,0),iferror(vlookup(B68,importrange("""&amp;"https://docs.google.com/spreadsheets/d/1p53T2AuvvIqhP7Nf-bo3Uhj8cbKYRPpZdsrBv3x3bAQ/edit?resourcekey#gid=1321652304"",""Prop!$CB$1:$CL""),11,0),iferror(vlookup(B68,importrange(""https://docs.google.com/spreadsheets/d/1p53T2AuvvIqhP7Nf-bo3Uhj8cbKYRPpZdsrBv"&amp;"3x3bAQ/edit?resourcekey#gid=1321652304"",""Prop!$CM$1:$CX""),11,0),iferror(vlookup(B68,importrange(""https://docs.google.com/spreadsheets/d/1p53T2AuvvIqhP7Nf-bo3Uhj8cbKYRPpZdsrBv3x3bAQ/edit?resourcekey#gid=1321652304"",""Prop!$CY$1:$DI""),11,0)))))))))))"),"")</f>
        <v/>
      </c>
      <c r="R68" s="20" t="s">
        <v>946</v>
      </c>
      <c r="S68" s="20" t="str">
        <f ca="1">IFERROR(__xludf.DUMMYFUNCTION("IFERROR(vlookup(B68,IMPORTRANGE(""https://docs.google.com/spreadsheets/d/1g_jfYYK_KeipEDNDUgqgrsxK94XiocfNQIcP-v1QVhI/edit?resourcekey#gid=233272945"",""Nilai!B:CT""),21,0),"" "")"),"tidak ada dokumen yang diunggah")</f>
        <v>tidak ada dokumen yang diunggah</v>
      </c>
      <c r="T68" s="20" t="str">
        <f ca="1">IFERROR(__xludf.DUMMYFUNCTION("IFERROR(vlookup(B68,IMPORTRANGE(""https://docs.google.com/spreadsheets/d/1g_jfYYK_KeipEDNDUgqgrsxK94XiocfNQIcP-v1QVhI/edit?resourcekey#gid=233272945"",""Nilai!B:CT""),97,0),"" "")"),"TIDAK LAYAK UPLOAD KE SIMBELMAWA")</f>
        <v>TIDAK LAYAK UPLOAD KE SIMBELMAWA</v>
      </c>
      <c r="U68" s="36" t="s">
        <v>695</v>
      </c>
      <c r="V68" s="85" t="s">
        <v>947</v>
      </c>
      <c r="W68" s="17" t="s">
        <v>994</v>
      </c>
      <c r="X68" s="34" t="b">
        <v>0</v>
      </c>
    </row>
    <row r="69" spans="1:24">
      <c r="A69" s="15">
        <v>68</v>
      </c>
      <c r="B69" s="15">
        <f ca="1">IFERROR(__xludf.DUMMYFUNCTION("""COMPUTED_VALUE"""),2208)</f>
        <v>2208</v>
      </c>
      <c r="C69" s="16" t="str">
        <f ca="1">IFERROR(__xludf.DUMMYFUNCTION("""COMPUTED_VALUE"""),"Iswatun Khasanah")</f>
        <v>Iswatun Khasanah</v>
      </c>
      <c r="D69" s="16" t="str">
        <f ca="1">IFERROR(__xludf.DUMMYFUNCTION("""COMPUTED_VALUE"""),"09111940000028")</f>
        <v>09111940000028</v>
      </c>
      <c r="E69" s="16" t="str">
        <f ca="1">IFERROR(__xludf.DUMMYFUNCTION("""COMPUTED_VALUE"""),"Departemen Manajemen Bisnis")</f>
        <v>Departemen Manajemen Bisnis</v>
      </c>
      <c r="F69" s="16" t="str">
        <f ca="1">IFERROR(__xludf.DUMMYFUNCTION("""COMPUTED_VALUE"""),"Aplikasi Digital Peternak Dengan Layanan 4E (Educate, E-Consul, E-Market, E-Investor) Sebagai Upaya Memberdayakan Peternak Indonesia Guna Mewujudkan Swasembada Daging Nasional.")</f>
        <v>Aplikasi Digital Peternak Dengan Layanan 4E (Educate, E-Consul, E-Market, E-Investor) Sebagai Upaya Memberdayakan Peternak Indonesia Guna Mewujudkan Swasembada Daging Nasional.</v>
      </c>
      <c r="G69" s="16" t="str">
        <f ca="1">IFERROR(__xludf.DUMMYFUNCTION("""COMPUTED_VALUE"""),"Bahalwan Apriyansyah, S.T., MBA.")</f>
        <v>Bahalwan Apriyansyah, S.T., MBA.</v>
      </c>
      <c r="H69" s="16" t="str">
        <f ca="1">IFERROR(__xludf.DUMMYFUNCTION("""COMPUTED_VALUE"""),"MY Alief Samboro, S.T., M.Ds.")</f>
        <v>MY Alief Samboro, S.T., M.Ds.</v>
      </c>
      <c r="I69" s="16" t="str">
        <f ca="1">IFERROR(__xludf.DUMMYFUNCTION("""COMPUTED_VALUE"""),"Mahardika F. Rois, S.T, M.T")</f>
        <v>Mahardika F. Rois, S.T, M.T</v>
      </c>
      <c r="J69" s="16"/>
      <c r="K69" s="17" t="s">
        <v>992</v>
      </c>
      <c r="L69" s="17" t="s">
        <v>993</v>
      </c>
      <c r="M69" s="19" t="b">
        <v>1</v>
      </c>
      <c r="N69" s="19" t="b">
        <v>1</v>
      </c>
      <c r="O69" s="1" t="s">
        <v>945</v>
      </c>
      <c r="P69" s="24"/>
      <c r="Q69" s="7" t="str">
        <f ca="1">IFERROR(__xludf.DUMMYFUNCTION("iferror(vlookup(B69,importrange(""https://docs.google.com/spreadsheets/d/1p53T2AuvvIqhP7Nf-bo3Uhj8cbKYRPpZdsrBv3x3bAQ/edit?resourcekey#gid=1321652304"",""Prop!$C$1:$M""),11,0),IFERROR(vlookup(B69,importrange(""https://docs.google.com/spreadsheets/d/1p53T2"&amp;"AuvvIqhP7Nf-bo3Uhj8cbKYRPpZdsrBv3x3bAQ/edit?resourcekey#gid=1321652304"",""Prop!$N$1:$X""),11,0),iferror(vlookup(B69,importrange(""https://docs.google.com/spreadsheets/d/1p53T2AuvvIqhP7Nf-bo3Uhj8cbKYRPpZdsrBv3x3bAQ/edit?resourcekey#gid=1321652304"",""Prop"&amp;"!$Y$1:$AI""),11,0),iferror(vlookup(B69,importrange(""https://docs.google.com/spreadsheets/d/1p53T2AuvvIqhP7Nf-bo3Uhj8cbKYRPpZdsrBv3x3bAQ/edit?resourcekey#gid=1321652304"",""Prop!$AJ$1:$AT""),11,0),iferror(vlookup(B69,importrange(""https://docs.google.com/"&amp;"spreadsheets/d/1p53T2AuvvIqhP7Nf-bo3Uhj8cbKYRPpZdsrBv3x3bAQ/edit?resourcekey#gid=1321652304"",""Prop!$AU$1:$BE""),11,0),iferror(vlookup(B69,importrange(""https://docs.google.com/spreadsheets/d/1p53T2AuvvIqhP7Nf-bo3Uhj8cbKYRPpZdsrBv3x3bAQ/edit?resourcekey#"&amp;"gid=1321652304"",""Prop!$BF$1:$BP""),11,0),iferror(vlookup(B69,importrange(""https://docs.google.com/spreadsheets/d/1p53T2AuvvIqhP7Nf-bo3Uhj8cbKYRPpZdsrBv3x3bAQ/edit?resourcekey#gid=1321652304"",""Prop!$BQ$1:$CA""),11,0),iferror(vlookup(B69,importrange("""&amp;"https://docs.google.com/spreadsheets/d/1p53T2AuvvIqhP7Nf-bo3Uhj8cbKYRPpZdsrBv3x3bAQ/edit?resourcekey#gid=1321652304"",""Prop!$CB$1:$CL""),11,0),iferror(vlookup(B69,importrange(""https://docs.google.com/spreadsheets/d/1p53T2AuvvIqhP7Nf-bo3Uhj8cbKYRPpZdsrBv"&amp;"3x3bAQ/edit?resourcekey#gid=1321652304"",""Prop!$CM$1:$CX""),11,0),iferror(vlookup(B69,importrange(""https://docs.google.com/spreadsheets/d/1p53T2AuvvIqhP7Nf-bo3Uhj8cbKYRPpZdsrBv3x3bAQ/edit?resourcekey#gid=1321652304"",""Prop!$CY$1:$DI""),11,0)))))))))))"),"https://drive.google.com/open?id=1_QK9928s8MOaQvFvHefmuXgaFp2o6Ipo")</f>
        <v>https://drive.google.com/open?id=1_QK9928s8MOaQvFvHefmuXgaFp2o6Ipo</v>
      </c>
      <c r="R69" s="20" t="s">
        <v>946</v>
      </c>
      <c r="S69" s="20" t="str">
        <f ca="1">IFERROR(__xludf.DUMMYFUNCTION("IFERROR(vlookup(B69,IMPORTRANGE(""https://docs.google.com/spreadsheets/d/1g_jfYYK_KeipEDNDUgqgrsxK94XiocfNQIcP-v1QVhI/edit?resourcekey#gid=233272945"",""Nilai!B:CT""),21,0),"" "")"),"Latar belakang perlu ditambah referensi ilmiah/data primer/data sekunder. Tidak ada penjelasan kompetitor, potensi pasar. Rumusan dan tujuan bisa ditambahkan dengan bgmn bisnis ini dapat menghasilkan keuntungan. Manfaat PKM-K bagi masyarakat lebih baik di"&amp;"ganti dengan bagi peternak. Sub bab 2.3 terlalu bertele2. ")</f>
        <v xml:space="preserve">Latar belakang perlu ditambah referensi ilmiah/data primer/data sekunder. Tidak ada penjelasan kompetitor, potensi pasar. Rumusan dan tujuan bisa ditambahkan dengan bgmn bisnis ini dapat menghasilkan keuntungan. Manfaat PKM-K bagi masyarakat lebih baik diganti dengan bagi peternak. Sub bab 2.3 terlalu bertele2. </v>
      </c>
      <c r="T69" s="20" t="str">
        <f ca="1">IFERROR(__xludf.DUMMYFUNCTION("IFERROR(vlookup(B69,IMPORTRANGE(""https://docs.google.com/spreadsheets/d/1g_jfYYK_KeipEDNDUgqgrsxK94XiocfNQIcP-v1QVhI/edit?resourcekey#gid=233272945"",""Nilai!B:CT""),97,0),"" "")"),"LAYAK UPLOAD KE SIMBELMAWA DENGAN REVISI")</f>
        <v>LAYAK UPLOAD KE SIMBELMAWA DENGAN REVISI</v>
      </c>
      <c r="U69" s="36" t="s">
        <v>695</v>
      </c>
      <c r="V69" s="85" t="s">
        <v>947</v>
      </c>
      <c r="W69" s="17" t="s">
        <v>994</v>
      </c>
      <c r="X69" s="34" t="s">
        <v>949</v>
      </c>
    </row>
    <row r="70" spans="1:24">
      <c r="A70" s="15">
        <v>69</v>
      </c>
      <c r="B70" s="15">
        <f ca="1">IFERROR(__xludf.DUMMYFUNCTION("""COMPUTED_VALUE"""),3959)</f>
        <v>3959</v>
      </c>
      <c r="C70" s="16" t="str">
        <f ca="1">IFERROR(__xludf.DUMMYFUNCTION("""COMPUTED_VALUE"""),"RHEINA NURHALIZA")</f>
        <v>RHEINA NURHALIZA</v>
      </c>
      <c r="D70" s="16" t="str">
        <f ca="1">IFERROR(__xludf.DUMMYFUNCTION("""COMPUTED_VALUE"""),"5005211100")</f>
        <v>5005211100</v>
      </c>
      <c r="E70" s="16" t="str">
        <f ca="1">IFERROR(__xludf.DUMMYFUNCTION("""COMPUTED_VALUE"""),"Departemen Biologi")</f>
        <v>Departemen Biologi</v>
      </c>
      <c r="F70" s="16" t="str">
        <f ca="1">IFERROR(__xludf.DUMMYFUNCTION("""COMPUTED_VALUE"""),"Inovasi pembuatan hand sanitizer dari gel lidah buaya (aloe vera) dan jeruk nipis (citrus x aurantiifolia)")</f>
        <v>Inovasi pembuatan hand sanitizer dari gel lidah buaya (aloe vera) dan jeruk nipis (citrus x aurantiifolia)</v>
      </c>
      <c r="G70" s="16" t="str">
        <f ca="1">IFERROR(__xludf.DUMMYFUNCTION("""COMPUTED_VALUE"""),"Kristanti Indah Purwani, S.Si., M.Si.")</f>
        <v>Kristanti Indah Purwani, S.Si., M.Si.</v>
      </c>
      <c r="H70" s="16" t="str">
        <f ca="1">IFERROR(__xludf.DUMMYFUNCTION("""COMPUTED_VALUE"""),"Drs. Bandung Arry Sanjoyo, Mi.Komp.")</f>
        <v>Drs. Bandung Arry Sanjoyo, Mi.Komp.</v>
      </c>
      <c r="I70" s="16" t="str">
        <f ca="1">IFERROR(__xludf.DUMMYFUNCTION("""COMPUTED_VALUE"""),"Moh. Singgih Purwanto, S.Si., M.T")</f>
        <v>Moh. Singgih Purwanto, S.Si., M.T</v>
      </c>
      <c r="J70" s="16"/>
      <c r="K70" s="17" t="s">
        <v>992</v>
      </c>
      <c r="L70" s="17" t="s">
        <v>993</v>
      </c>
      <c r="M70" s="19" t="b">
        <v>0</v>
      </c>
      <c r="N70" s="19" t="b">
        <v>0</v>
      </c>
      <c r="O70" s="1" t="s">
        <v>945</v>
      </c>
      <c r="P70" s="24"/>
      <c r="Q70" s="7" t="str">
        <f ca="1">IFERROR(__xludf.DUMMYFUNCTION("iferror(vlookup(B70,importrange(""https://docs.google.com/spreadsheets/d/1p53T2AuvvIqhP7Nf-bo3Uhj8cbKYRPpZdsrBv3x3bAQ/edit?resourcekey#gid=1321652304"",""Prop!$C$1:$M""),11,0),IFERROR(vlookup(B70,importrange(""https://docs.google.com/spreadsheets/d/1p53T2"&amp;"AuvvIqhP7Nf-bo3Uhj8cbKYRPpZdsrBv3x3bAQ/edit?resourcekey#gid=1321652304"",""Prop!$N$1:$X""),11,0),iferror(vlookup(B70,importrange(""https://docs.google.com/spreadsheets/d/1p53T2AuvvIqhP7Nf-bo3Uhj8cbKYRPpZdsrBv3x3bAQ/edit?resourcekey#gid=1321652304"",""Prop"&amp;"!$Y$1:$AI""),11,0),iferror(vlookup(B70,importrange(""https://docs.google.com/spreadsheets/d/1p53T2AuvvIqhP7Nf-bo3Uhj8cbKYRPpZdsrBv3x3bAQ/edit?resourcekey#gid=1321652304"",""Prop!$AJ$1:$AT""),11,0),iferror(vlookup(B70,importrange(""https://docs.google.com/"&amp;"spreadsheets/d/1p53T2AuvvIqhP7Nf-bo3Uhj8cbKYRPpZdsrBv3x3bAQ/edit?resourcekey#gid=1321652304"",""Prop!$AU$1:$BE""),11,0),iferror(vlookup(B70,importrange(""https://docs.google.com/spreadsheets/d/1p53T2AuvvIqhP7Nf-bo3Uhj8cbKYRPpZdsrBv3x3bAQ/edit?resourcekey#"&amp;"gid=1321652304"",""Prop!$BF$1:$BP""),11,0),iferror(vlookup(B70,importrange(""https://docs.google.com/spreadsheets/d/1p53T2AuvvIqhP7Nf-bo3Uhj8cbKYRPpZdsrBv3x3bAQ/edit?resourcekey#gid=1321652304"",""Prop!$BQ$1:$CA""),11,0),iferror(vlookup(B70,importrange("""&amp;"https://docs.google.com/spreadsheets/d/1p53T2AuvvIqhP7Nf-bo3Uhj8cbKYRPpZdsrBv3x3bAQ/edit?resourcekey#gid=1321652304"",""Prop!$CB$1:$CL""),11,0),iferror(vlookup(B70,importrange(""https://docs.google.com/spreadsheets/d/1p53T2AuvvIqhP7Nf-bo3Uhj8cbKYRPpZdsrBv"&amp;"3x3bAQ/edit?resourcekey#gid=1321652304"",""Prop!$CM$1:$CX""),11,0),iferror(vlookup(B70,importrange(""https://docs.google.com/spreadsheets/d/1p53T2AuvvIqhP7Nf-bo3Uhj8cbKYRPpZdsrBv3x3bAQ/edit?resourcekey#gid=1321652304"",""Prop!$CY$1:$DI""),11,0)))))))))))"),"https://drive.google.com/open?id=1rSWgLdRwMMhN8cTg4UFhkC3lWZrw4toL")</f>
        <v>https://drive.google.com/open?id=1rSWgLdRwMMhN8cTg4UFhkC3lWZrw4toL</v>
      </c>
      <c r="R70" s="20" t="s">
        <v>946</v>
      </c>
      <c r="S70" s="20" t="str">
        <f ca="1">IFERROR(__xludf.DUMMYFUNCTION("IFERROR(vlookup(B70,IMPORTRANGE(""https://docs.google.com/spreadsheets/d/1g_jfYYK_KeipEDNDUgqgrsxK94XiocfNQIcP-v1QVhI/edit?resourcekey#gid=233272945"",""Nilai!B:CT""),21,0),"" "")"),"MABA")</f>
        <v>MABA</v>
      </c>
      <c r="T70" s="20" t="str">
        <f ca="1">IFERROR(__xludf.DUMMYFUNCTION("IFERROR(vlookup(B70,IMPORTRANGE(""https://docs.google.com/spreadsheets/d/1g_jfYYK_KeipEDNDUgqgrsxK94XiocfNQIcP-v1QVhI/edit?resourcekey#gid=233272945"",""Nilai!B:CT""),97,0),"" "")"),"TIDAK LAYAK UPLOAD KE SIMBELMAWA")</f>
        <v>TIDAK LAYAK UPLOAD KE SIMBELMAWA</v>
      </c>
      <c r="U70" s="36" t="s">
        <v>695</v>
      </c>
      <c r="V70" s="85" t="s">
        <v>947</v>
      </c>
      <c r="W70" s="17" t="s">
        <v>994</v>
      </c>
      <c r="X70" s="34" t="b">
        <v>0</v>
      </c>
    </row>
    <row r="71" spans="1:24">
      <c r="A71" s="15">
        <v>70</v>
      </c>
      <c r="B71" s="15">
        <f ca="1">IFERROR(__xludf.DUMMYFUNCTION("""COMPUTED_VALUE"""),3033)</f>
        <v>3033</v>
      </c>
      <c r="C71" s="16" t="str">
        <f ca="1">IFERROR(__xludf.DUMMYFUNCTION("""COMPUTED_VALUE"""),"Nabil Tsabitul Azmi")</f>
        <v>Nabil Tsabitul Azmi</v>
      </c>
      <c r="D71" s="16" t="str">
        <f ca="1">IFERROR(__xludf.DUMMYFUNCTION("""COMPUTED_VALUE"""),"5010211007")</f>
        <v>5010211007</v>
      </c>
      <c r="E71" s="16" t="str">
        <f ca="1">IFERROR(__xludf.DUMMYFUNCTION("""COMPUTED_VALUE"""),"Departemen Teknik Sistem dan Industri")</f>
        <v>Departemen Teknik Sistem dan Industri</v>
      </c>
      <c r="F71" s="16" t="str">
        <f ca="1">IFERROR(__xludf.DUMMYFUNCTION("""COMPUTED_VALUE"""),"""Infacare : Inovasi Bisnis Digital Sebagai One Stop Solution Permasalahan Stunting di Indonesia """)</f>
        <v>"Infacare : Inovasi Bisnis Digital Sebagai One Stop Solution Permasalahan Stunting di Indonesia "</v>
      </c>
      <c r="G71" s="16" t="str">
        <f ca="1">IFERROR(__xludf.DUMMYFUNCTION("""COMPUTED_VALUE"""),"Atikah Aghdhi Pratiwi, S.T., M.T.")</f>
        <v>Atikah Aghdhi Pratiwi, S.T., M.T.</v>
      </c>
      <c r="H71" s="16" t="str">
        <f ca="1">IFERROR(__xludf.DUMMYFUNCTION("""COMPUTED_VALUE"""),"Drs. Bandung Arry Sanjoyo, Mi.Komp.")</f>
        <v>Drs. Bandung Arry Sanjoyo, Mi.Komp.</v>
      </c>
      <c r="I71" s="16" t="str">
        <f ca="1">IFERROR(__xludf.DUMMYFUNCTION("""COMPUTED_VALUE"""),"Wibawati, S.Si., M.Si")</f>
        <v>Wibawati, S.Si., M.Si</v>
      </c>
      <c r="J71" s="16"/>
      <c r="K71" s="17" t="s">
        <v>992</v>
      </c>
      <c r="L71" s="17" t="s">
        <v>993</v>
      </c>
      <c r="M71" s="19" t="b">
        <v>1</v>
      </c>
      <c r="N71" s="19" t="b">
        <v>1</v>
      </c>
      <c r="O71" s="1" t="s">
        <v>945</v>
      </c>
      <c r="P71" s="24"/>
      <c r="Q71" s="7" t="str">
        <f ca="1">IFERROR(__xludf.DUMMYFUNCTION("iferror(vlookup(B71,importrange(""https://docs.google.com/spreadsheets/d/1p53T2AuvvIqhP7Nf-bo3Uhj8cbKYRPpZdsrBv3x3bAQ/edit?resourcekey#gid=1321652304"",""Prop!$C$1:$M""),11,0),IFERROR(vlookup(B71,importrange(""https://docs.google.com/spreadsheets/d/1p53T2"&amp;"AuvvIqhP7Nf-bo3Uhj8cbKYRPpZdsrBv3x3bAQ/edit?resourcekey#gid=1321652304"",""Prop!$N$1:$X""),11,0),iferror(vlookup(B71,importrange(""https://docs.google.com/spreadsheets/d/1p53T2AuvvIqhP7Nf-bo3Uhj8cbKYRPpZdsrBv3x3bAQ/edit?resourcekey#gid=1321652304"",""Prop"&amp;"!$Y$1:$AI""),11,0),iferror(vlookup(B71,importrange(""https://docs.google.com/spreadsheets/d/1p53T2AuvvIqhP7Nf-bo3Uhj8cbKYRPpZdsrBv3x3bAQ/edit?resourcekey#gid=1321652304"",""Prop!$AJ$1:$AT""),11,0),iferror(vlookup(B71,importrange(""https://docs.google.com/"&amp;"spreadsheets/d/1p53T2AuvvIqhP7Nf-bo3Uhj8cbKYRPpZdsrBv3x3bAQ/edit?resourcekey#gid=1321652304"",""Prop!$AU$1:$BE""),11,0),iferror(vlookup(B71,importrange(""https://docs.google.com/spreadsheets/d/1p53T2AuvvIqhP7Nf-bo3Uhj8cbKYRPpZdsrBv3x3bAQ/edit?resourcekey#"&amp;"gid=1321652304"",""Prop!$BF$1:$BP""),11,0),iferror(vlookup(B71,importrange(""https://docs.google.com/spreadsheets/d/1p53T2AuvvIqhP7Nf-bo3Uhj8cbKYRPpZdsrBv3x3bAQ/edit?resourcekey#gid=1321652304"",""Prop!$BQ$1:$CA""),11,0),iferror(vlookup(B71,importrange("""&amp;"https://docs.google.com/spreadsheets/d/1p53T2AuvvIqhP7Nf-bo3Uhj8cbKYRPpZdsrBv3x3bAQ/edit?resourcekey#gid=1321652304"",""Prop!$CB$1:$CL""),11,0),iferror(vlookup(B71,importrange(""https://docs.google.com/spreadsheets/d/1p53T2AuvvIqhP7Nf-bo3Uhj8cbKYRPpZdsrBv"&amp;"3x3bAQ/edit?resourcekey#gid=1321652304"",""Prop!$CM$1:$CX""),11,0),iferror(vlookup(B71,importrange(""https://docs.google.com/spreadsheets/d/1p53T2AuvvIqhP7Nf-bo3Uhj8cbKYRPpZdsrBv3x3bAQ/edit?resourcekey#gid=1321652304"",""Prop!$CY$1:$DI""),11,0)))))))))))"),"https://drive.google.com/open?id=1F_ci3QVnTuAT0Sa16nOfpTVRG5vSvr6P")</f>
        <v>https://drive.google.com/open?id=1F_ci3QVnTuAT0Sa16nOfpTVRG5vSvr6P</v>
      </c>
      <c r="R71" s="20" t="s">
        <v>946</v>
      </c>
      <c r="S71" s="20" t="str">
        <f ca="1">IFERROR(__xludf.DUMMYFUNCTION("IFERROR(vlookup(B71,IMPORTRANGE(""https://docs.google.com/spreadsheets/d/1g_jfYYK_KeipEDNDUgqgrsxK94XiocfNQIcP-v1QVhI/edit?resourcekey#gid=233272945"",""Nilai!B:CT""),21,0),"" "")"),"anggaran")</f>
        <v>anggaran</v>
      </c>
      <c r="T71" s="20" t="str">
        <f ca="1">IFERROR(__xludf.DUMMYFUNCTION("IFERROR(vlookup(B71,IMPORTRANGE(""https://docs.google.com/spreadsheets/d/1g_jfYYK_KeipEDNDUgqgrsxK94XiocfNQIcP-v1QVhI/edit?resourcekey#gid=233272945"",""Nilai!B:CT""),97,0),"" "")"),"TIDAK LAYAK UPLOAD KE SIMBELMAWA")</f>
        <v>TIDAK LAYAK UPLOAD KE SIMBELMAWA</v>
      </c>
      <c r="U71" s="36" t="s">
        <v>695</v>
      </c>
      <c r="V71" s="85" t="s">
        <v>947</v>
      </c>
      <c r="W71" s="17" t="s">
        <v>994</v>
      </c>
      <c r="X71" s="34" t="b">
        <v>0</v>
      </c>
    </row>
    <row r="72" spans="1:24">
      <c r="A72" s="15"/>
      <c r="B72" s="15"/>
      <c r="C72" s="16"/>
      <c r="D72" s="16"/>
      <c r="E72" s="16"/>
      <c r="F72" s="16"/>
      <c r="G72" s="16"/>
      <c r="H72" s="16"/>
      <c r="I72" s="16"/>
      <c r="J72" s="16"/>
      <c r="K72" s="16"/>
      <c r="L72" s="16"/>
      <c r="M72" s="25"/>
      <c r="N72" s="25"/>
      <c r="O72" s="16"/>
      <c r="P72" s="1"/>
      <c r="Q72" s="1"/>
      <c r="R72" s="1"/>
      <c r="S72" s="20" t="str">
        <f ca="1">IFERROR(__xludf.DUMMYFUNCTION("IFERROR(vlookup(B72,IMPORTRANGE(""https://docs.google.com/spreadsheets/d/1g_jfYYK_KeipEDNDUgqgrsxK94XiocfNQIcP-v1QVhI/edit?resourcekey#gid=233272945"",""Nilai!B:CT""),21,0),"" "")")," ")</f>
        <v xml:space="preserve"> </v>
      </c>
      <c r="T72" s="1"/>
      <c r="U72" s="1"/>
      <c r="V72" s="16"/>
      <c r="W72" s="1"/>
      <c r="X72" s="1"/>
    </row>
    <row r="73" spans="1:24">
      <c r="A73" s="15"/>
      <c r="B73" s="15"/>
      <c r="C73" s="16"/>
      <c r="D73" s="16"/>
      <c r="E73" s="16"/>
      <c r="F73" s="16"/>
      <c r="G73" s="16"/>
      <c r="H73" s="16"/>
      <c r="I73" s="16"/>
      <c r="J73" s="16"/>
      <c r="K73" s="16"/>
      <c r="L73" s="16"/>
      <c r="M73" s="25"/>
      <c r="N73" s="25"/>
      <c r="O73" s="16"/>
      <c r="P73" s="1"/>
      <c r="Q73" s="1"/>
      <c r="R73" s="1"/>
      <c r="S73" s="20" t="str">
        <f ca="1">IFERROR(__xludf.DUMMYFUNCTION("IFERROR(vlookup(B73,IMPORTRANGE(""https://docs.google.com/spreadsheets/d/1g_jfYYK_KeipEDNDUgqgrsxK94XiocfNQIcP-v1QVhI/edit?resourcekey#gid=233272945"",""Nilai!B:CT""),21,0),"" "")")," ")</f>
        <v xml:space="preserve"> </v>
      </c>
      <c r="T73" s="1"/>
      <c r="U73" s="1"/>
      <c r="V73" s="16"/>
      <c r="W73" s="1"/>
      <c r="X73" s="1"/>
    </row>
    <row r="74" spans="1:24">
      <c r="A74" s="15"/>
      <c r="B74" s="15"/>
      <c r="C74" s="16"/>
      <c r="D74" s="16"/>
      <c r="E74" s="16"/>
      <c r="F74" s="16"/>
      <c r="G74" s="16"/>
      <c r="H74" s="16"/>
      <c r="I74" s="16"/>
      <c r="J74" s="16"/>
      <c r="K74" s="16"/>
      <c r="L74" s="16"/>
      <c r="M74" s="25"/>
      <c r="N74" s="25"/>
      <c r="O74" s="16"/>
      <c r="P74" s="1"/>
      <c r="Q74" s="1"/>
      <c r="R74" s="1"/>
      <c r="S74" s="20" t="str">
        <f ca="1">IFERROR(__xludf.DUMMYFUNCTION("IFERROR(vlookup(B74,IMPORTRANGE(""https://docs.google.com/spreadsheets/d/1g_jfYYK_KeipEDNDUgqgrsxK94XiocfNQIcP-v1QVhI/edit?resourcekey#gid=233272945"",""Nilai!B:CT""),21,0),"" "")")," ")</f>
        <v xml:space="preserve"> </v>
      </c>
      <c r="T74" s="1"/>
      <c r="U74" s="1"/>
      <c r="V74" s="16"/>
      <c r="W74" s="1"/>
      <c r="X74" s="1"/>
    </row>
    <row r="75" spans="1:24">
      <c r="A75" s="15"/>
      <c r="B75" s="15"/>
      <c r="C75" s="16"/>
      <c r="D75" s="16"/>
      <c r="E75" s="16"/>
      <c r="F75" s="16"/>
      <c r="G75" s="16"/>
      <c r="H75" s="16"/>
      <c r="I75" s="16"/>
      <c r="J75" s="16"/>
      <c r="K75" s="16"/>
      <c r="L75" s="16"/>
      <c r="M75" s="25"/>
      <c r="N75" s="25"/>
      <c r="O75" s="16"/>
      <c r="P75" s="1"/>
      <c r="Q75" s="1"/>
      <c r="R75" s="1"/>
      <c r="S75" s="20" t="str">
        <f ca="1">IFERROR(__xludf.DUMMYFUNCTION("IFERROR(vlookup(B75,IMPORTRANGE(""https://docs.google.com/spreadsheets/d/1g_jfYYK_KeipEDNDUgqgrsxK94XiocfNQIcP-v1QVhI/edit?resourcekey#gid=233272945"",""Nilai!B:CT""),21,0),"" "")")," ")</f>
        <v xml:space="preserve"> </v>
      </c>
      <c r="T75" s="1"/>
      <c r="U75" s="1"/>
      <c r="V75" s="16"/>
      <c r="W75" s="1"/>
      <c r="X75" s="1"/>
    </row>
    <row r="76" spans="1:24">
      <c r="A76" s="15"/>
      <c r="B76" s="15"/>
      <c r="C76" s="16"/>
      <c r="D76" s="16"/>
      <c r="E76" s="16"/>
      <c r="F76" s="16"/>
      <c r="G76" s="16"/>
      <c r="H76" s="16"/>
      <c r="I76" s="16"/>
      <c r="J76" s="16"/>
      <c r="K76" s="16"/>
      <c r="L76" s="16"/>
      <c r="M76" s="25"/>
      <c r="N76" s="25"/>
      <c r="O76" s="16"/>
      <c r="P76" s="1"/>
      <c r="Q76" s="1"/>
      <c r="R76" s="1"/>
      <c r="S76" s="1"/>
      <c r="T76" s="1"/>
      <c r="U76" s="1"/>
      <c r="V76" s="16"/>
      <c r="W76" s="1"/>
      <c r="X76" s="1"/>
    </row>
    <row r="77" spans="1:24">
      <c r="A77" s="15"/>
      <c r="B77" s="15"/>
      <c r="C77" s="16"/>
      <c r="D77" s="16"/>
      <c r="E77" s="16"/>
      <c r="F77" s="16"/>
      <c r="G77" s="16"/>
      <c r="H77" s="16"/>
      <c r="I77" s="16"/>
      <c r="J77" s="16"/>
      <c r="K77" s="16"/>
      <c r="L77" s="16"/>
      <c r="M77" s="25"/>
      <c r="N77" s="25"/>
      <c r="O77" s="16"/>
      <c r="P77" s="1"/>
      <c r="Q77" s="1"/>
      <c r="R77" s="1"/>
      <c r="S77" s="1"/>
      <c r="T77" s="1"/>
      <c r="U77" s="1"/>
      <c r="V77" s="16"/>
      <c r="W77" s="1"/>
      <c r="X77" s="1"/>
    </row>
    <row r="78" spans="1:24">
      <c r="A78" s="15"/>
      <c r="B78" s="15"/>
      <c r="C78" s="16"/>
      <c r="D78" s="16"/>
      <c r="E78" s="16"/>
      <c r="F78" s="16"/>
      <c r="G78" s="16"/>
      <c r="H78" s="16"/>
      <c r="I78" s="16"/>
      <c r="J78" s="16"/>
      <c r="K78" s="16"/>
      <c r="L78" s="16"/>
      <c r="M78" s="25"/>
      <c r="N78" s="25"/>
      <c r="O78" s="16"/>
      <c r="P78" s="1"/>
      <c r="Q78" s="1"/>
      <c r="R78" s="1"/>
      <c r="S78" s="1"/>
      <c r="T78" s="1"/>
      <c r="U78" s="1"/>
      <c r="V78" s="16"/>
      <c r="W78" s="1"/>
      <c r="X78" s="1"/>
    </row>
    <row r="79" spans="1:24">
      <c r="A79" s="15"/>
      <c r="B79" s="15"/>
      <c r="C79" s="16"/>
      <c r="D79" s="16"/>
      <c r="E79" s="16"/>
      <c r="F79" s="16"/>
      <c r="G79" s="16"/>
      <c r="H79" s="16"/>
      <c r="I79" s="16"/>
      <c r="J79" s="16"/>
      <c r="K79" s="16"/>
      <c r="L79" s="16"/>
      <c r="M79" s="25"/>
      <c r="N79" s="25"/>
      <c r="O79" s="16"/>
      <c r="P79" s="1"/>
      <c r="Q79" s="1"/>
      <c r="R79" s="1"/>
      <c r="S79" s="1"/>
      <c r="T79" s="1"/>
      <c r="U79" s="1"/>
      <c r="V79" s="16"/>
      <c r="W79" s="1"/>
      <c r="X79" s="1"/>
    </row>
    <row r="80" spans="1:24">
      <c r="A80" s="15"/>
      <c r="B80" s="15"/>
      <c r="C80" s="16"/>
      <c r="D80" s="16"/>
      <c r="E80" s="16"/>
      <c r="F80" s="16"/>
      <c r="G80" s="16"/>
      <c r="H80" s="16"/>
      <c r="I80" s="16"/>
      <c r="J80" s="16"/>
      <c r="K80" s="16"/>
      <c r="L80" s="16"/>
      <c r="M80" s="25"/>
      <c r="N80" s="25"/>
      <c r="O80" s="16"/>
      <c r="P80" s="1"/>
      <c r="Q80" s="1"/>
      <c r="R80" s="1"/>
      <c r="S80" s="1"/>
      <c r="T80" s="1"/>
      <c r="U80" s="1"/>
      <c r="V80" s="16"/>
      <c r="W80" s="1"/>
      <c r="X80" s="1"/>
    </row>
    <row r="81" spans="1:24">
      <c r="A81" s="15"/>
      <c r="B81" s="15"/>
      <c r="C81" s="16"/>
      <c r="D81" s="16"/>
      <c r="E81" s="16"/>
      <c r="F81" s="16"/>
      <c r="G81" s="16"/>
      <c r="H81" s="16"/>
      <c r="I81" s="16"/>
      <c r="J81" s="16"/>
      <c r="K81" s="16"/>
      <c r="L81" s="16"/>
      <c r="M81" s="25"/>
      <c r="N81" s="25"/>
      <c r="O81" s="16"/>
      <c r="P81" s="1"/>
      <c r="Q81" s="1"/>
      <c r="R81" s="1"/>
      <c r="S81" s="1"/>
      <c r="T81" s="1"/>
      <c r="U81" s="1"/>
      <c r="V81" s="16"/>
      <c r="W81" s="1"/>
      <c r="X81" s="1"/>
    </row>
    <row r="82" spans="1:24">
      <c r="A82" s="15"/>
      <c r="B82" s="15"/>
      <c r="C82" s="16"/>
      <c r="D82" s="16"/>
      <c r="E82" s="16"/>
      <c r="F82" s="16"/>
      <c r="G82" s="16"/>
      <c r="H82" s="16"/>
      <c r="I82" s="16"/>
      <c r="J82" s="16"/>
      <c r="K82" s="16"/>
      <c r="L82" s="16"/>
      <c r="M82" s="25"/>
      <c r="N82" s="25"/>
      <c r="O82" s="16"/>
      <c r="P82" s="1"/>
      <c r="Q82" s="1"/>
      <c r="R82" s="1"/>
      <c r="S82" s="1"/>
      <c r="T82" s="1"/>
      <c r="U82" s="1"/>
      <c r="V82" s="16"/>
      <c r="W82" s="1"/>
      <c r="X82" s="1"/>
    </row>
    <row r="83" spans="1:24">
      <c r="A83" s="15"/>
      <c r="B83" s="15"/>
      <c r="C83" s="16"/>
      <c r="D83" s="16"/>
      <c r="E83" s="16"/>
      <c r="F83" s="16"/>
      <c r="G83" s="16"/>
      <c r="H83" s="16"/>
      <c r="I83" s="16"/>
      <c r="J83" s="16"/>
      <c r="K83" s="16"/>
      <c r="L83" s="16"/>
      <c r="M83" s="25"/>
      <c r="N83" s="25"/>
      <c r="O83" s="16"/>
      <c r="P83" s="1"/>
      <c r="Q83" s="1"/>
      <c r="R83" s="1"/>
      <c r="S83" s="1"/>
      <c r="T83" s="1"/>
      <c r="U83" s="1"/>
      <c r="V83" s="16"/>
      <c r="W83" s="1"/>
      <c r="X83" s="1"/>
    </row>
    <row r="84" spans="1:24">
      <c r="A84" s="15"/>
      <c r="B84" s="15"/>
      <c r="C84" s="16"/>
      <c r="D84" s="16"/>
      <c r="E84" s="16"/>
      <c r="F84" s="16"/>
      <c r="G84" s="16"/>
      <c r="H84" s="16"/>
      <c r="I84" s="16"/>
      <c r="J84" s="16"/>
      <c r="K84" s="16"/>
      <c r="L84" s="16"/>
      <c r="M84" s="25"/>
      <c r="N84" s="25"/>
      <c r="O84" s="16"/>
      <c r="P84" s="1"/>
      <c r="Q84" s="1"/>
      <c r="R84" s="1"/>
      <c r="S84" s="1"/>
      <c r="T84" s="1"/>
      <c r="U84" s="1"/>
      <c r="V84" s="16"/>
      <c r="W84" s="1"/>
      <c r="X84" s="1"/>
    </row>
    <row r="85" spans="1:24">
      <c r="A85" s="15"/>
      <c r="B85" s="15"/>
      <c r="C85" s="16"/>
      <c r="D85" s="16"/>
      <c r="E85" s="16"/>
      <c r="F85" s="16"/>
      <c r="G85" s="16"/>
      <c r="H85" s="16"/>
      <c r="I85" s="16"/>
      <c r="J85" s="16"/>
      <c r="K85" s="16"/>
      <c r="L85" s="16"/>
      <c r="M85" s="25"/>
      <c r="N85" s="25"/>
      <c r="O85" s="16"/>
      <c r="P85" s="1"/>
      <c r="Q85" s="1"/>
      <c r="R85" s="1"/>
      <c r="S85" s="1"/>
      <c r="T85" s="1"/>
      <c r="U85" s="1"/>
      <c r="V85" s="16"/>
      <c r="W85" s="1"/>
      <c r="X85" s="1"/>
    </row>
    <row r="86" spans="1:24">
      <c r="A86" s="15"/>
      <c r="B86" s="15"/>
      <c r="C86" s="16"/>
      <c r="D86" s="16"/>
      <c r="E86" s="16"/>
      <c r="F86" s="16"/>
      <c r="G86" s="16"/>
      <c r="H86" s="16"/>
      <c r="I86" s="16"/>
      <c r="J86" s="16"/>
      <c r="K86" s="16"/>
      <c r="L86" s="16"/>
      <c r="M86" s="25"/>
      <c r="N86" s="25"/>
      <c r="O86" s="16"/>
      <c r="P86" s="1"/>
      <c r="Q86" s="1"/>
      <c r="R86" s="1"/>
      <c r="S86" s="1"/>
      <c r="T86" s="1"/>
      <c r="U86" s="1"/>
      <c r="V86" s="16"/>
      <c r="W86" s="1"/>
      <c r="X86" s="1"/>
    </row>
    <row r="87" spans="1:24">
      <c r="A87" s="15"/>
      <c r="B87" s="15"/>
      <c r="C87" s="16"/>
      <c r="D87" s="16"/>
      <c r="E87" s="16"/>
      <c r="F87" s="16"/>
      <c r="G87" s="16"/>
      <c r="H87" s="16"/>
      <c r="I87" s="16"/>
      <c r="J87" s="16"/>
      <c r="K87" s="16"/>
      <c r="L87" s="16"/>
      <c r="M87" s="25"/>
      <c r="N87" s="25"/>
      <c r="O87" s="16"/>
      <c r="P87" s="1"/>
      <c r="Q87" s="1"/>
      <c r="R87" s="1"/>
      <c r="S87" s="1"/>
      <c r="T87" s="1"/>
      <c r="U87" s="1"/>
      <c r="V87" s="16"/>
      <c r="W87" s="1"/>
      <c r="X87" s="1"/>
    </row>
    <row r="88" spans="1:24">
      <c r="A88" s="15"/>
      <c r="B88" s="15"/>
      <c r="C88" s="16"/>
      <c r="D88" s="16"/>
      <c r="E88" s="16"/>
      <c r="F88" s="16"/>
      <c r="G88" s="16"/>
      <c r="H88" s="16"/>
      <c r="I88" s="16"/>
      <c r="J88" s="16"/>
      <c r="K88" s="16"/>
      <c r="L88" s="16"/>
      <c r="M88" s="25"/>
      <c r="N88" s="25"/>
      <c r="O88" s="16"/>
      <c r="P88" s="1"/>
      <c r="Q88" s="1"/>
      <c r="R88" s="1"/>
      <c r="S88" s="1"/>
      <c r="T88" s="1"/>
      <c r="U88" s="1"/>
      <c r="V88" s="16"/>
      <c r="W88" s="1"/>
      <c r="X88" s="1"/>
    </row>
    <row r="89" spans="1:24">
      <c r="A89" s="15"/>
      <c r="B89" s="15"/>
      <c r="C89" s="16"/>
      <c r="D89" s="16"/>
      <c r="E89" s="16"/>
      <c r="F89" s="16"/>
      <c r="G89" s="16"/>
      <c r="H89" s="16"/>
      <c r="I89" s="16"/>
      <c r="J89" s="16"/>
      <c r="K89" s="16"/>
      <c r="L89" s="16"/>
      <c r="M89" s="25"/>
      <c r="N89" s="25"/>
      <c r="O89" s="16"/>
      <c r="P89" s="1"/>
      <c r="Q89" s="1"/>
      <c r="R89" s="1"/>
      <c r="S89" s="1"/>
      <c r="T89" s="1"/>
      <c r="U89" s="1"/>
      <c r="V89" s="16"/>
      <c r="W89" s="1"/>
      <c r="X89" s="1"/>
    </row>
    <row r="90" spans="1:24">
      <c r="A90" s="15"/>
      <c r="B90" s="15"/>
      <c r="C90" s="16"/>
      <c r="D90" s="16"/>
      <c r="E90" s="16"/>
      <c r="F90" s="16"/>
      <c r="G90" s="16"/>
      <c r="H90" s="16"/>
      <c r="I90" s="16"/>
      <c r="J90" s="16"/>
      <c r="K90" s="16"/>
      <c r="L90" s="16"/>
      <c r="M90" s="25"/>
      <c r="N90" s="25"/>
      <c r="O90" s="16"/>
      <c r="P90" s="1"/>
      <c r="Q90" s="1"/>
      <c r="R90" s="1"/>
      <c r="S90" s="1"/>
      <c r="T90" s="1"/>
      <c r="U90" s="1"/>
      <c r="V90" s="16"/>
      <c r="W90" s="1"/>
      <c r="X90" s="1"/>
    </row>
    <row r="91" spans="1:24">
      <c r="A91" s="15"/>
      <c r="B91" s="15"/>
      <c r="C91" s="16"/>
      <c r="D91" s="16"/>
      <c r="E91" s="16"/>
      <c r="F91" s="16"/>
      <c r="G91" s="16"/>
      <c r="H91" s="16"/>
      <c r="I91" s="16"/>
      <c r="J91" s="16"/>
      <c r="K91" s="16"/>
      <c r="L91" s="16"/>
      <c r="M91" s="25"/>
      <c r="N91" s="25"/>
      <c r="O91" s="16"/>
      <c r="P91" s="1"/>
      <c r="Q91" s="1"/>
      <c r="R91" s="1"/>
      <c r="S91" s="1"/>
      <c r="T91" s="1"/>
      <c r="U91" s="1"/>
      <c r="V91" s="16"/>
      <c r="W91" s="1"/>
      <c r="X91" s="1"/>
    </row>
    <row r="92" spans="1:24">
      <c r="A92" s="15"/>
      <c r="B92" s="15"/>
      <c r="C92" s="16"/>
      <c r="D92" s="16"/>
      <c r="E92" s="16"/>
      <c r="F92" s="16"/>
      <c r="G92" s="16"/>
      <c r="H92" s="16"/>
      <c r="I92" s="16"/>
      <c r="J92" s="16"/>
      <c r="K92" s="16"/>
      <c r="L92" s="16"/>
      <c r="M92" s="25"/>
      <c r="N92" s="25"/>
      <c r="O92" s="16"/>
      <c r="P92" s="1"/>
      <c r="Q92" s="1"/>
      <c r="R92" s="1"/>
      <c r="S92" s="1"/>
      <c r="T92" s="1"/>
      <c r="U92" s="1"/>
      <c r="V92" s="16"/>
      <c r="W92" s="1"/>
      <c r="X92" s="1"/>
    </row>
    <row r="93" spans="1:24">
      <c r="A93" s="15"/>
      <c r="B93" s="15"/>
      <c r="C93" s="16"/>
      <c r="D93" s="16"/>
      <c r="E93" s="16"/>
      <c r="F93" s="16"/>
      <c r="G93" s="16"/>
      <c r="H93" s="16"/>
      <c r="I93" s="16"/>
      <c r="J93" s="16"/>
      <c r="K93" s="16"/>
      <c r="L93" s="16"/>
      <c r="M93" s="25"/>
      <c r="N93" s="25"/>
      <c r="O93" s="16"/>
      <c r="P93" s="1"/>
      <c r="Q93" s="1"/>
      <c r="R93" s="1"/>
      <c r="S93" s="1"/>
      <c r="T93" s="1"/>
      <c r="U93" s="1"/>
      <c r="V93" s="16"/>
      <c r="W93" s="1"/>
      <c r="X93" s="1"/>
    </row>
    <row r="94" spans="1:24">
      <c r="A94" s="15"/>
      <c r="B94" s="15"/>
      <c r="C94" s="16"/>
      <c r="D94" s="16"/>
      <c r="E94" s="16"/>
      <c r="F94" s="16"/>
      <c r="G94" s="16"/>
      <c r="H94" s="16"/>
      <c r="I94" s="16"/>
      <c r="J94" s="16"/>
      <c r="K94" s="16"/>
      <c r="L94" s="16"/>
      <c r="M94" s="25"/>
      <c r="N94" s="25"/>
      <c r="O94" s="16"/>
      <c r="P94" s="1"/>
      <c r="Q94" s="1"/>
      <c r="R94" s="1"/>
      <c r="S94" s="1"/>
      <c r="T94" s="1"/>
      <c r="U94" s="1"/>
      <c r="V94" s="16"/>
      <c r="W94" s="1"/>
      <c r="X94" s="1"/>
    </row>
    <row r="95" spans="1:24">
      <c r="A95" s="15"/>
      <c r="B95" s="15"/>
      <c r="C95" s="16"/>
      <c r="D95" s="16"/>
      <c r="E95" s="16"/>
      <c r="F95" s="16"/>
      <c r="G95" s="16"/>
      <c r="H95" s="16"/>
      <c r="I95" s="16"/>
      <c r="J95" s="16"/>
      <c r="K95" s="16"/>
      <c r="L95" s="16"/>
      <c r="M95" s="25"/>
      <c r="N95" s="25"/>
      <c r="O95" s="16"/>
      <c r="P95" s="1"/>
      <c r="Q95" s="1"/>
      <c r="R95" s="1"/>
      <c r="S95" s="1"/>
      <c r="T95" s="1"/>
      <c r="U95" s="1"/>
      <c r="V95" s="16"/>
      <c r="W95" s="1"/>
      <c r="X95" s="1"/>
    </row>
    <row r="96" spans="1:24">
      <c r="A96" s="15"/>
      <c r="B96" s="15"/>
      <c r="C96" s="16"/>
      <c r="D96" s="16"/>
      <c r="E96" s="16"/>
      <c r="F96" s="16"/>
      <c r="G96" s="16"/>
      <c r="H96" s="16"/>
      <c r="I96" s="16"/>
      <c r="J96" s="16"/>
      <c r="K96" s="16"/>
      <c r="L96" s="16"/>
      <c r="M96" s="25"/>
      <c r="N96" s="25"/>
      <c r="O96" s="16"/>
      <c r="P96" s="1"/>
      <c r="Q96" s="1"/>
      <c r="R96" s="1"/>
      <c r="S96" s="1"/>
      <c r="T96" s="1"/>
      <c r="U96" s="1"/>
      <c r="V96" s="16"/>
      <c r="W96" s="1"/>
      <c r="X96" s="1"/>
    </row>
    <row r="97" spans="1:24">
      <c r="A97" s="15"/>
      <c r="B97" s="15"/>
      <c r="C97" s="16"/>
      <c r="D97" s="16"/>
      <c r="E97" s="16"/>
      <c r="F97" s="16"/>
      <c r="G97" s="16"/>
      <c r="H97" s="16"/>
      <c r="I97" s="16"/>
      <c r="J97" s="16"/>
      <c r="K97" s="16"/>
      <c r="L97" s="16"/>
      <c r="M97" s="25"/>
      <c r="N97" s="25"/>
      <c r="O97" s="16"/>
      <c r="P97" s="1"/>
      <c r="Q97" s="1"/>
      <c r="R97" s="1"/>
      <c r="S97" s="1"/>
      <c r="T97" s="1"/>
      <c r="U97" s="1"/>
      <c r="V97" s="16"/>
      <c r="W97" s="1"/>
      <c r="X97" s="1"/>
    </row>
    <row r="98" spans="1:24">
      <c r="A98" s="15"/>
      <c r="B98" s="15"/>
      <c r="C98" s="16"/>
      <c r="D98" s="16"/>
      <c r="E98" s="16"/>
      <c r="F98" s="16"/>
      <c r="G98" s="16"/>
      <c r="H98" s="16"/>
      <c r="I98" s="16"/>
      <c r="J98" s="16"/>
      <c r="K98" s="16"/>
      <c r="L98" s="16"/>
      <c r="M98" s="25"/>
      <c r="N98" s="25"/>
      <c r="O98" s="16"/>
      <c r="P98" s="1"/>
      <c r="Q98" s="1"/>
      <c r="R98" s="1"/>
      <c r="S98" s="1"/>
      <c r="T98" s="1"/>
      <c r="U98" s="1"/>
      <c r="V98" s="16"/>
      <c r="W98" s="1"/>
      <c r="X98" s="1"/>
    </row>
    <row r="99" spans="1:24">
      <c r="A99" s="15"/>
      <c r="B99" s="15"/>
      <c r="C99" s="16"/>
      <c r="D99" s="16"/>
      <c r="E99" s="16"/>
      <c r="F99" s="16"/>
      <c r="G99" s="16"/>
      <c r="H99" s="16"/>
      <c r="I99" s="16"/>
      <c r="J99" s="16"/>
      <c r="K99" s="16"/>
      <c r="L99" s="16"/>
      <c r="M99" s="25"/>
      <c r="N99" s="25"/>
      <c r="O99" s="16"/>
      <c r="P99" s="1"/>
      <c r="Q99" s="1"/>
      <c r="R99" s="1"/>
      <c r="S99" s="1"/>
      <c r="T99" s="1"/>
      <c r="U99" s="1"/>
      <c r="V99" s="16"/>
      <c r="W99" s="1"/>
      <c r="X99" s="1"/>
    </row>
    <row r="100" spans="1:24">
      <c r="A100" s="15"/>
      <c r="B100" s="15"/>
      <c r="C100" s="16"/>
      <c r="D100" s="16"/>
      <c r="E100" s="16"/>
      <c r="F100" s="16"/>
      <c r="G100" s="16"/>
      <c r="H100" s="16"/>
      <c r="I100" s="16"/>
      <c r="J100" s="16"/>
      <c r="K100" s="16"/>
      <c r="L100" s="16"/>
      <c r="M100" s="25"/>
      <c r="N100" s="25"/>
      <c r="O100" s="16"/>
      <c r="P100" s="1"/>
      <c r="Q100" s="1"/>
      <c r="R100" s="1"/>
      <c r="S100" s="1"/>
      <c r="T100" s="1"/>
      <c r="U100" s="1"/>
      <c r="V100" s="16"/>
      <c r="W100" s="1"/>
      <c r="X100" s="1"/>
    </row>
    <row r="101" spans="1:24">
      <c r="A101" s="15"/>
      <c r="B101" s="15"/>
      <c r="C101" s="16"/>
      <c r="D101" s="16"/>
      <c r="E101" s="16"/>
      <c r="F101" s="16"/>
      <c r="G101" s="16"/>
      <c r="H101" s="16"/>
      <c r="I101" s="16"/>
      <c r="J101" s="16"/>
      <c r="K101" s="16"/>
      <c r="L101" s="16"/>
      <c r="M101" s="25"/>
      <c r="N101" s="25"/>
      <c r="O101" s="16"/>
      <c r="P101" s="1"/>
      <c r="Q101" s="1"/>
      <c r="R101" s="1"/>
      <c r="S101" s="1"/>
      <c r="T101" s="1"/>
      <c r="U101" s="1"/>
      <c r="V101" s="16"/>
      <c r="W101" s="1"/>
      <c r="X101" s="1"/>
    </row>
    <row r="102" spans="1:24">
      <c r="A102" s="15"/>
      <c r="B102" s="15"/>
      <c r="C102" s="16"/>
      <c r="D102" s="16"/>
      <c r="E102" s="16"/>
      <c r="F102" s="16"/>
      <c r="G102" s="16"/>
      <c r="H102" s="16"/>
      <c r="I102" s="16"/>
      <c r="J102" s="16"/>
      <c r="K102" s="16"/>
      <c r="L102" s="16"/>
      <c r="M102" s="25"/>
      <c r="N102" s="25"/>
      <c r="O102" s="16"/>
      <c r="P102" s="1"/>
      <c r="Q102" s="1"/>
      <c r="R102" s="1"/>
      <c r="S102" s="1"/>
      <c r="T102" s="1"/>
      <c r="U102" s="1"/>
      <c r="V102" s="16"/>
      <c r="W102" s="1"/>
      <c r="X102" s="1"/>
    </row>
    <row r="103" spans="1:24">
      <c r="A103" s="15"/>
      <c r="B103" s="15"/>
      <c r="C103" s="16"/>
      <c r="D103" s="16"/>
      <c r="E103" s="16"/>
      <c r="F103" s="16"/>
      <c r="G103" s="16"/>
      <c r="H103" s="16"/>
      <c r="I103" s="16"/>
      <c r="J103" s="16"/>
      <c r="K103" s="16"/>
      <c r="L103" s="16"/>
      <c r="M103" s="25"/>
      <c r="N103" s="25"/>
      <c r="O103" s="16"/>
      <c r="P103" s="1"/>
      <c r="Q103" s="1"/>
      <c r="R103" s="1"/>
      <c r="S103" s="1"/>
      <c r="T103" s="1"/>
      <c r="U103" s="1"/>
      <c r="V103" s="16"/>
      <c r="W103" s="1"/>
      <c r="X103" s="1"/>
    </row>
    <row r="104" spans="1:24">
      <c r="A104" s="15"/>
      <c r="B104" s="15"/>
      <c r="C104" s="16"/>
      <c r="D104" s="16"/>
      <c r="E104" s="16"/>
      <c r="F104" s="16"/>
      <c r="G104" s="16"/>
      <c r="H104" s="16"/>
      <c r="I104" s="16"/>
      <c r="J104" s="16"/>
      <c r="K104" s="16"/>
      <c r="L104" s="16"/>
      <c r="M104" s="25"/>
      <c r="N104" s="25"/>
      <c r="O104" s="16"/>
      <c r="P104" s="1"/>
      <c r="Q104" s="1"/>
      <c r="R104" s="1"/>
      <c r="S104" s="1"/>
      <c r="T104" s="1"/>
      <c r="U104" s="1"/>
      <c r="V104" s="16"/>
      <c r="W104" s="1"/>
      <c r="X104" s="1"/>
    </row>
    <row r="105" spans="1:24">
      <c r="A105" s="15"/>
      <c r="B105" s="15"/>
      <c r="C105" s="16"/>
      <c r="D105" s="16"/>
      <c r="E105" s="16"/>
      <c r="F105" s="16"/>
      <c r="G105" s="16"/>
      <c r="H105" s="16"/>
      <c r="I105" s="16"/>
      <c r="J105" s="16"/>
      <c r="K105" s="16"/>
      <c r="L105" s="16"/>
      <c r="M105" s="25"/>
      <c r="N105" s="25"/>
      <c r="O105" s="16"/>
      <c r="P105" s="1"/>
      <c r="Q105" s="1"/>
      <c r="R105" s="1"/>
      <c r="S105" s="1"/>
      <c r="T105" s="1"/>
      <c r="U105" s="1"/>
      <c r="V105" s="16"/>
      <c r="W105" s="1"/>
      <c r="X105" s="1"/>
    </row>
    <row r="106" spans="1:24">
      <c r="A106" s="15"/>
      <c r="B106" s="15"/>
      <c r="C106" s="16"/>
      <c r="D106" s="16"/>
      <c r="E106" s="16"/>
      <c r="F106" s="16"/>
      <c r="G106" s="16"/>
      <c r="H106" s="16"/>
      <c r="I106" s="16"/>
      <c r="J106" s="16"/>
      <c r="K106" s="16"/>
      <c r="L106" s="16"/>
      <c r="M106" s="25"/>
      <c r="N106" s="25"/>
      <c r="O106" s="16"/>
      <c r="P106" s="1"/>
      <c r="Q106" s="1"/>
      <c r="R106" s="1"/>
      <c r="S106" s="1"/>
      <c r="T106" s="1"/>
      <c r="U106" s="1"/>
      <c r="V106" s="16"/>
      <c r="W106" s="1"/>
      <c r="X106" s="1"/>
    </row>
    <row r="107" spans="1:24">
      <c r="A107" s="15"/>
      <c r="B107" s="15"/>
      <c r="C107" s="16"/>
      <c r="D107" s="16"/>
      <c r="E107" s="16"/>
      <c r="F107" s="16"/>
      <c r="G107" s="16"/>
      <c r="H107" s="16"/>
      <c r="I107" s="16"/>
      <c r="J107" s="16"/>
      <c r="K107" s="16"/>
      <c r="L107" s="16"/>
      <c r="M107" s="25"/>
      <c r="N107" s="25"/>
      <c r="O107" s="16"/>
      <c r="P107" s="1"/>
      <c r="Q107" s="1"/>
      <c r="R107" s="1"/>
      <c r="S107" s="1"/>
      <c r="T107" s="1"/>
      <c r="U107" s="1"/>
      <c r="V107" s="16"/>
      <c r="W107" s="1"/>
      <c r="X107" s="1"/>
    </row>
    <row r="108" spans="1:24">
      <c r="A108" s="15"/>
      <c r="B108" s="15"/>
      <c r="C108" s="16"/>
      <c r="D108" s="16"/>
      <c r="E108" s="16"/>
      <c r="F108" s="16"/>
      <c r="G108" s="16"/>
      <c r="H108" s="16"/>
      <c r="I108" s="16"/>
      <c r="J108" s="16"/>
      <c r="K108" s="16"/>
      <c r="L108" s="16"/>
      <c r="M108" s="25"/>
      <c r="N108" s="25"/>
      <c r="O108" s="16"/>
      <c r="P108" s="1"/>
      <c r="Q108" s="1"/>
      <c r="R108" s="1"/>
      <c r="S108" s="1"/>
      <c r="T108" s="1"/>
      <c r="U108" s="1"/>
      <c r="V108" s="16"/>
      <c r="W108" s="1"/>
      <c r="X108" s="1"/>
    </row>
    <row r="109" spans="1:24">
      <c r="A109" s="15"/>
      <c r="B109" s="15"/>
      <c r="C109" s="16"/>
      <c r="D109" s="16"/>
      <c r="E109" s="16"/>
      <c r="F109" s="16"/>
      <c r="G109" s="16"/>
      <c r="H109" s="16"/>
      <c r="I109" s="16"/>
      <c r="J109" s="16"/>
      <c r="K109" s="16"/>
      <c r="L109" s="16"/>
      <c r="M109" s="25"/>
      <c r="N109" s="25"/>
      <c r="O109" s="16"/>
      <c r="P109" s="1"/>
      <c r="Q109" s="1"/>
      <c r="R109" s="1"/>
      <c r="S109" s="1"/>
      <c r="T109" s="1"/>
      <c r="U109" s="1"/>
      <c r="V109" s="16"/>
      <c r="W109" s="1"/>
      <c r="X109" s="1"/>
    </row>
    <row r="110" spans="1:24">
      <c r="A110" s="15"/>
      <c r="B110" s="15"/>
      <c r="C110" s="16"/>
      <c r="D110" s="16"/>
      <c r="E110" s="16"/>
      <c r="F110" s="16"/>
      <c r="G110" s="16"/>
      <c r="H110" s="16"/>
      <c r="I110" s="16"/>
      <c r="J110" s="16"/>
      <c r="K110" s="16"/>
      <c r="L110" s="16"/>
      <c r="M110" s="25"/>
      <c r="N110" s="25"/>
      <c r="O110" s="16"/>
      <c r="P110" s="1"/>
      <c r="Q110" s="1"/>
      <c r="R110" s="1"/>
      <c r="S110" s="1"/>
      <c r="T110" s="1"/>
      <c r="U110" s="1"/>
      <c r="V110" s="16"/>
      <c r="W110" s="1"/>
      <c r="X110" s="1"/>
    </row>
    <row r="111" spans="1:24">
      <c r="A111" s="15"/>
      <c r="B111" s="15"/>
      <c r="C111" s="16"/>
      <c r="D111" s="16"/>
      <c r="E111" s="16"/>
      <c r="F111" s="16"/>
      <c r="G111" s="16"/>
      <c r="H111" s="16"/>
      <c r="I111" s="16"/>
      <c r="J111" s="16"/>
      <c r="K111" s="16"/>
      <c r="L111" s="16"/>
      <c r="M111" s="25"/>
      <c r="N111" s="25"/>
      <c r="O111" s="16"/>
      <c r="P111" s="1"/>
      <c r="Q111" s="1"/>
      <c r="R111" s="1"/>
      <c r="S111" s="1"/>
      <c r="T111" s="1"/>
      <c r="U111" s="1"/>
      <c r="V111" s="16"/>
      <c r="W111" s="1"/>
      <c r="X111" s="1"/>
    </row>
    <row r="112" spans="1:24">
      <c r="A112" s="15"/>
      <c r="B112" s="15"/>
      <c r="C112" s="16"/>
      <c r="D112" s="16"/>
      <c r="E112" s="16"/>
      <c r="F112" s="16"/>
      <c r="G112" s="16"/>
      <c r="H112" s="16"/>
      <c r="I112" s="16"/>
      <c r="J112" s="16"/>
      <c r="K112" s="16"/>
      <c r="L112" s="16"/>
      <c r="M112" s="25"/>
      <c r="N112" s="25"/>
      <c r="O112" s="16"/>
      <c r="P112" s="1"/>
      <c r="Q112" s="1"/>
      <c r="R112" s="1"/>
      <c r="S112" s="1"/>
      <c r="T112" s="1"/>
      <c r="U112" s="1"/>
      <c r="V112" s="16"/>
      <c r="W112" s="1"/>
      <c r="X112" s="1"/>
    </row>
    <row r="113" spans="1:24">
      <c r="A113" s="15"/>
      <c r="B113" s="15"/>
      <c r="C113" s="16"/>
      <c r="D113" s="16"/>
      <c r="E113" s="16"/>
      <c r="F113" s="16"/>
      <c r="G113" s="16"/>
      <c r="H113" s="16"/>
      <c r="I113" s="16"/>
      <c r="J113" s="16"/>
      <c r="K113" s="16"/>
      <c r="L113" s="16"/>
      <c r="M113" s="25"/>
      <c r="N113" s="25"/>
      <c r="O113" s="16"/>
      <c r="P113" s="1"/>
      <c r="Q113" s="1"/>
      <c r="R113" s="1"/>
      <c r="S113" s="1"/>
      <c r="T113" s="1"/>
      <c r="U113" s="1"/>
      <c r="V113" s="16"/>
      <c r="W113" s="1"/>
      <c r="X113" s="1"/>
    </row>
    <row r="114" spans="1:24">
      <c r="A114" s="15"/>
      <c r="B114" s="15"/>
      <c r="C114" s="16"/>
      <c r="D114" s="16"/>
      <c r="E114" s="16"/>
      <c r="F114" s="16"/>
      <c r="G114" s="16"/>
      <c r="H114" s="16"/>
      <c r="I114" s="16"/>
      <c r="J114" s="16"/>
      <c r="K114" s="16"/>
      <c r="L114" s="16"/>
      <c r="M114" s="25"/>
      <c r="N114" s="25"/>
      <c r="O114" s="16"/>
      <c r="P114" s="1"/>
      <c r="Q114" s="1"/>
      <c r="R114" s="1"/>
      <c r="S114" s="1"/>
      <c r="T114" s="1"/>
      <c r="U114" s="1"/>
      <c r="V114" s="16"/>
      <c r="W114" s="1"/>
      <c r="X114" s="1"/>
    </row>
    <row r="115" spans="1:24">
      <c r="A115" s="15"/>
      <c r="B115" s="15"/>
      <c r="C115" s="16"/>
      <c r="D115" s="16"/>
      <c r="E115" s="16"/>
      <c r="F115" s="16"/>
      <c r="G115" s="16"/>
      <c r="H115" s="16"/>
      <c r="I115" s="16"/>
      <c r="J115" s="16"/>
      <c r="K115" s="16"/>
      <c r="L115" s="16"/>
      <c r="M115" s="25"/>
      <c r="N115" s="25"/>
      <c r="O115" s="16"/>
      <c r="P115" s="1"/>
      <c r="Q115" s="1"/>
      <c r="R115" s="1"/>
      <c r="S115" s="1"/>
      <c r="T115" s="1"/>
      <c r="U115" s="1"/>
      <c r="V115" s="16"/>
      <c r="W115" s="1"/>
      <c r="X115" s="1"/>
    </row>
    <row r="116" spans="1:24">
      <c r="A116" s="15"/>
      <c r="B116" s="15"/>
      <c r="C116" s="16"/>
      <c r="D116" s="16"/>
      <c r="E116" s="16"/>
      <c r="F116" s="16"/>
      <c r="G116" s="16"/>
      <c r="H116" s="16"/>
      <c r="I116" s="16"/>
      <c r="J116" s="16"/>
      <c r="K116" s="16"/>
      <c r="L116" s="16"/>
      <c r="M116" s="25"/>
      <c r="N116" s="25"/>
      <c r="O116" s="16"/>
      <c r="P116" s="1"/>
      <c r="Q116" s="1"/>
      <c r="R116" s="1"/>
      <c r="S116" s="1"/>
      <c r="T116" s="1"/>
      <c r="U116" s="1"/>
      <c r="V116" s="16"/>
      <c r="W116" s="1"/>
      <c r="X116" s="1"/>
    </row>
    <row r="117" spans="1:24">
      <c r="A117" s="15"/>
      <c r="B117" s="15"/>
      <c r="C117" s="16"/>
      <c r="D117" s="16"/>
      <c r="E117" s="16"/>
      <c r="F117" s="16"/>
      <c r="G117" s="16"/>
      <c r="H117" s="16"/>
      <c r="I117" s="16"/>
      <c r="J117" s="16"/>
      <c r="K117" s="16"/>
      <c r="L117" s="16"/>
      <c r="M117" s="25"/>
      <c r="N117" s="25"/>
      <c r="O117" s="16"/>
      <c r="P117" s="1"/>
      <c r="Q117" s="1"/>
      <c r="R117" s="1"/>
      <c r="S117" s="1"/>
      <c r="T117" s="1"/>
      <c r="U117" s="1"/>
      <c r="V117" s="16"/>
      <c r="W117" s="1"/>
      <c r="X117" s="1"/>
    </row>
    <row r="118" spans="1:24">
      <c r="A118" s="15"/>
      <c r="B118" s="15"/>
      <c r="C118" s="16"/>
      <c r="D118" s="16"/>
      <c r="E118" s="16"/>
      <c r="F118" s="16"/>
      <c r="G118" s="16"/>
      <c r="H118" s="16"/>
      <c r="I118" s="16"/>
      <c r="J118" s="16"/>
      <c r="K118" s="16"/>
      <c r="L118" s="16"/>
      <c r="M118" s="25"/>
      <c r="N118" s="25"/>
      <c r="O118" s="16"/>
      <c r="P118" s="1"/>
      <c r="Q118" s="1"/>
      <c r="R118" s="1"/>
      <c r="S118" s="1"/>
      <c r="T118" s="1"/>
      <c r="U118" s="1"/>
      <c r="V118" s="16"/>
      <c r="W118" s="1"/>
      <c r="X118" s="1"/>
    </row>
    <row r="119" spans="1:24">
      <c r="A119" s="15"/>
      <c r="B119" s="15"/>
      <c r="C119" s="16"/>
      <c r="D119" s="16"/>
      <c r="E119" s="16"/>
      <c r="F119" s="16"/>
      <c r="G119" s="16"/>
      <c r="H119" s="16"/>
      <c r="I119" s="16"/>
      <c r="J119" s="16"/>
      <c r="K119" s="16"/>
      <c r="L119" s="16"/>
      <c r="M119" s="25"/>
      <c r="N119" s="25"/>
      <c r="O119" s="16"/>
      <c r="P119" s="1"/>
      <c r="Q119" s="1"/>
      <c r="R119" s="1"/>
      <c r="S119" s="1"/>
      <c r="T119" s="1"/>
      <c r="U119" s="1"/>
      <c r="V119" s="16"/>
      <c r="W119" s="1"/>
      <c r="X119" s="1"/>
    </row>
    <row r="120" spans="1:24">
      <c r="A120" s="15"/>
      <c r="B120" s="15"/>
      <c r="C120" s="16"/>
      <c r="D120" s="16"/>
      <c r="E120" s="16"/>
      <c r="F120" s="16"/>
      <c r="G120" s="16"/>
      <c r="H120" s="16"/>
      <c r="I120" s="16"/>
      <c r="J120" s="16"/>
      <c r="K120" s="16"/>
      <c r="L120" s="16"/>
      <c r="M120" s="25"/>
      <c r="N120" s="25"/>
      <c r="O120" s="16"/>
      <c r="P120" s="1"/>
      <c r="Q120" s="1"/>
      <c r="R120" s="1"/>
      <c r="S120" s="1"/>
      <c r="T120" s="1"/>
      <c r="U120" s="1"/>
      <c r="V120" s="16"/>
      <c r="W120" s="1"/>
      <c r="X120" s="1"/>
    </row>
    <row r="121" spans="1:24">
      <c r="A121" s="15"/>
      <c r="B121" s="15"/>
      <c r="C121" s="16"/>
      <c r="D121" s="16"/>
      <c r="E121" s="16"/>
      <c r="F121" s="16"/>
      <c r="G121" s="16"/>
      <c r="H121" s="16"/>
      <c r="I121" s="16"/>
      <c r="J121" s="16"/>
      <c r="K121" s="16"/>
      <c r="L121" s="16"/>
      <c r="M121" s="25"/>
      <c r="N121" s="25"/>
      <c r="O121" s="16"/>
      <c r="P121" s="1"/>
      <c r="Q121" s="1"/>
      <c r="R121" s="1"/>
      <c r="S121" s="1"/>
      <c r="T121" s="1"/>
      <c r="U121" s="1"/>
      <c r="V121" s="16"/>
      <c r="W121" s="1"/>
      <c r="X121" s="1"/>
    </row>
    <row r="122" spans="1:24">
      <c r="A122" s="15"/>
      <c r="B122" s="15"/>
      <c r="C122" s="16"/>
      <c r="D122" s="16"/>
      <c r="E122" s="16"/>
      <c r="F122" s="16"/>
      <c r="G122" s="16"/>
      <c r="H122" s="16"/>
      <c r="I122" s="16"/>
      <c r="J122" s="16"/>
      <c r="K122" s="16"/>
      <c r="L122" s="16"/>
      <c r="M122" s="25"/>
      <c r="N122" s="25"/>
      <c r="O122" s="16"/>
      <c r="P122" s="1"/>
      <c r="Q122" s="1"/>
      <c r="R122" s="1"/>
      <c r="S122" s="1"/>
      <c r="T122" s="1"/>
      <c r="U122" s="1"/>
      <c r="V122" s="16"/>
      <c r="W122" s="1"/>
      <c r="X122" s="1"/>
    </row>
    <row r="123" spans="1:24">
      <c r="A123" s="15"/>
      <c r="B123" s="15"/>
      <c r="C123" s="16"/>
      <c r="D123" s="16"/>
      <c r="E123" s="16"/>
      <c r="F123" s="16"/>
      <c r="G123" s="16"/>
      <c r="H123" s="16"/>
      <c r="I123" s="16"/>
      <c r="J123" s="16"/>
      <c r="K123" s="16"/>
      <c r="L123" s="16"/>
      <c r="M123" s="25"/>
      <c r="N123" s="25"/>
      <c r="O123" s="16"/>
      <c r="P123" s="1"/>
      <c r="Q123" s="1"/>
      <c r="R123" s="1"/>
      <c r="S123" s="1"/>
      <c r="T123" s="1"/>
      <c r="U123" s="1"/>
      <c r="V123" s="16"/>
      <c r="W123" s="1"/>
      <c r="X123" s="1"/>
    </row>
    <row r="124" spans="1:24">
      <c r="A124" s="15"/>
      <c r="B124" s="15"/>
      <c r="C124" s="16"/>
      <c r="D124" s="16"/>
      <c r="E124" s="16"/>
      <c r="F124" s="16"/>
      <c r="G124" s="16"/>
      <c r="H124" s="16"/>
      <c r="I124" s="16"/>
      <c r="J124" s="16"/>
      <c r="K124" s="16"/>
      <c r="L124" s="16"/>
      <c r="M124" s="25"/>
      <c r="N124" s="25"/>
      <c r="O124" s="16"/>
      <c r="P124" s="1"/>
      <c r="Q124" s="1"/>
      <c r="R124" s="1"/>
      <c r="S124" s="1"/>
      <c r="T124" s="1"/>
      <c r="U124" s="1"/>
      <c r="V124" s="16"/>
      <c r="W124" s="1"/>
      <c r="X124" s="1"/>
    </row>
    <row r="125" spans="1:24">
      <c r="A125" s="15"/>
      <c r="B125" s="15"/>
      <c r="C125" s="16"/>
      <c r="D125" s="16"/>
      <c r="E125" s="16"/>
      <c r="F125" s="16"/>
      <c r="G125" s="16"/>
      <c r="H125" s="16"/>
      <c r="I125" s="16"/>
      <c r="J125" s="16"/>
      <c r="K125" s="16"/>
      <c r="L125" s="16"/>
      <c r="M125" s="25"/>
      <c r="N125" s="25"/>
      <c r="O125" s="16"/>
      <c r="P125" s="1"/>
      <c r="Q125" s="1"/>
      <c r="R125" s="1"/>
      <c r="S125" s="1"/>
      <c r="T125" s="1"/>
      <c r="U125" s="1"/>
      <c r="V125" s="16"/>
      <c r="W125" s="1"/>
      <c r="X125" s="1"/>
    </row>
    <row r="126" spans="1:24">
      <c r="A126" s="15"/>
      <c r="B126" s="15"/>
      <c r="C126" s="16"/>
      <c r="D126" s="16"/>
      <c r="E126" s="16"/>
      <c r="F126" s="16"/>
      <c r="G126" s="16"/>
      <c r="H126" s="16"/>
      <c r="I126" s="16"/>
      <c r="J126" s="16"/>
      <c r="K126" s="16"/>
      <c r="L126" s="16"/>
      <c r="M126" s="25"/>
      <c r="N126" s="25"/>
      <c r="O126" s="16"/>
      <c r="P126" s="1"/>
      <c r="Q126" s="1"/>
      <c r="R126" s="1"/>
      <c r="S126" s="1"/>
      <c r="T126" s="1"/>
      <c r="U126" s="1"/>
      <c r="V126" s="16"/>
      <c r="W126" s="1"/>
      <c r="X126" s="1"/>
    </row>
    <row r="127" spans="1:24">
      <c r="A127" s="15"/>
      <c r="B127" s="15"/>
      <c r="C127" s="16"/>
      <c r="D127" s="16"/>
      <c r="E127" s="16"/>
      <c r="F127" s="16"/>
      <c r="G127" s="16"/>
      <c r="H127" s="16"/>
      <c r="I127" s="16"/>
      <c r="J127" s="16"/>
      <c r="K127" s="16"/>
      <c r="L127" s="16"/>
      <c r="M127" s="25"/>
      <c r="N127" s="25"/>
      <c r="O127" s="16"/>
      <c r="P127" s="1"/>
      <c r="Q127" s="1"/>
      <c r="R127" s="1"/>
      <c r="S127" s="1"/>
      <c r="T127" s="1"/>
      <c r="U127" s="1"/>
      <c r="V127" s="16"/>
      <c r="W127" s="1"/>
      <c r="X127" s="1"/>
    </row>
    <row r="128" spans="1:24">
      <c r="A128" s="15"/>
      <c r="B128" s="15"/>
      <c r="C128" s="16"/>
      <c r="D128" s="16"/>
      <c r="E128" s="16"/>
      <c r="F128" s="16"/>
      <c r="G128" s="16"/>
      <c r="H128" s="16"/>
      <c r="I128" s="16"/>
      <c r="J128" s="16"/>
      <c r="K128" s="16"/>
      <c r="L128" s="16"/>
      <c r="M128" s="25"/>
      <c r="N128" s="25"/>
      <c r="O128" s="16"/>
      <c r="P128" s="1"/>
      <c r="Q128" s="1"/>
      <c r="R128" s="1"/>
      <c r="S128" s="1"/>
      <c r="T128" s="1"/>
      <c r="U128" s="1"/>
      <c r="V128" s="16"/>
      <c r="W128" s="1"/>
      <c r="X128" s="1"/>
    </row>
    <row r="129" spans="1:24">
      <c r="A129" s="15"/>
      <c r="B129" s="15"/>
      <c r="C129" s="16"/>
      <c r="D129" s="16"/>
      <c r="E129" s="16"/>
      <c r="F129" s="16"/>
      <c r="G129" s="16"/>
      <c r="H129" s="16"/>
      <c r="I129" s="16"/>
      <c r="J129" s="16"/>
      <c r="K129" s="16"/>
      <c r="L129" s="16"/>
      <c r="M129" s="25"/>
      <c r="N129" s="25"/>
      <c r="O129" s="16"/>
      <c r="P129" s="1"/>
      <c r="Q129" s="1"/>
      <c r="R129" s="1"/>
      <c r="S129" s="1"/>
      <c r="T129" s="1"/>
      <c r="U129" s="1"/>
      <c r="V129" s="16"/>
      <c r="W129" s="1"/>
      <c r="X129" s="1"/>
    </row>
    <row r="130" spans="1:24">
      <c r="A130" s="15"/>
      <c r="B130" s="15"/>
      <c r="C130" s="16"/>
      <c r="D130" s="16"/>
      <c r="E130" s="16"/>
      <c r="F130" s="16"/>
      <c r="G130" s="16"/>
      <c r="H130" s="16"/>
      <c r="I130" s="16"/>
      <c r="J130" s="16"/>
      <c r="K130" s="16"/>
      <c r="L130" s="16"/>
      <c r="M130" s="25"/>
      <c r="N130" s="25"/>
      <c r="O130" s="16"/>
      <c r="P130" s="1"/>
      <c r="Q130" s="1"/>
      <c r="R130" s="1"/>
      <c r="S130" s="1"/>
      <c r="T130" s="1"/>
      <c r="U130" s="1"/>
      <c r="V130" s="16"/>
      <c r="W130" s="1"/>
      <c r="X130" s="1"/>
    </row>
    <row r="131" spans="1:24">
      <c r="A131" s="15"/>
      <c r="B131" s="15"/>
      <c r="C131" s="16"/>
      <c r="D131" s="16"/>
      <c r="E131" s="16"/>
      <c r="F131" s="16"/>
      <c r="G131" s="16"/>
      <c r="H131" s="16"/>
      <c r="I131" s="16"/>
      <c r="J131" s="16"/>
      <c r="K131" s="16"/>
      <c r="L131" s="16"/>
      <c r="M131" s="25"/>
      <c r="N131" s="25"/>
      <c r="O131" s="16"/>
      <c r="P131" s="1"/>
      <c r="Q131" s="1"/>
      <c r="R131" s="1"/>
      <c r="S131" s="1"/>
      <c r="T131" s="1"/>
      <c r="U131" s="1"/>
      <c r="V131" s="16"/>
      <c r="W131" s="1"/>
      <c r="X131" s="1"/>
    </row>
    <row r="132" spans="1:24">
      <c r="A132" s="15"/>
      <c r="B132" s="15"/>
      <c r="C132" s="16"/>
      <c r="D132" s="16"/>
      <c r="E132" s="16"/>
      <c r="F132" s="16"/>
      <c r="G132" s="16"/>
      <c r="H132" s="16"/>
      <c r="I132" s="16"/>
      <c r="J132" s="16"/>
      <c r="K132" s="16"/>
      <c r="L132" s="16"/>
      <c r="M132" s="25"/>
      <c r="N132" s="25"/>
      <c r="O132" s="16"/>
      <c r="P132" s="1"/>
      <c r="Q132" s="1"/>
      <c r="R132" s="1"/>
      <c r="S132" s="1"/>
      <c r="T132" s="1"/>
      <c r="U132" s="1"/>
      <c r="V132" s="16"/>
      <c r="W132" s="1"/>
      <c r="X132" s="1"/>
    </row>
    <row r="133" spans="1:24">
      <c r="A133" s="15"/>
      <c r="B133" s="15"/>
      <c r="C133" s="16"/>
      <c r="D133" s="16"/>
      <c r="E133" s="16"/>
      <c r="F133" s="16"/>
      <c r="G133" s="16"/>
      <c r="H133" s="16"/>
      <c r="I133" s="16"/>
      <c r="J133" s="16"/>
      <c r="K133" s="16"/>
      <c r="L133" s="16"/>
      <c r="M133" s="25"/>
      <c r="N133" s="25"/>
      <c r="O133" s="16"/>
      <c r="P133" s="1"/>
      <c r="Q133" s="1"/>
      <c r="R133" s="1"/>
      <c r="S133" s="1"/>
      <c r="T133" s="1"/>
      <c r="U133" s="1"/>
      <c r="V133" s="16"/>
      <c r="W133" s="1"/>
      <c r="X133" s="1"/>
    </row>
    <row r="134" spans="1:24">
      <c r="A134" s="15"/>
      <c r="B134" s="15"/>
      <c r="C134" s="16"/>
      <c r="D134" s="16"/>
      <c r="E134" s="16"/>
      <c r="F134" s="16"/>
      <c r="G134" s="16"/>
      <c r="H134" s="16"/>
      <c r="I134" s="16"/>
      <c r="J134" s="16"/>
      <c r="K134" s="16"/>
      <c r="L134" s="16"/>
      <c r="M134" s="25"/>
      <c r="N134" s="25"/>
      <c r="O134" s="16"/>
      <c r="P134" s="1"/>
      <c r="Q134" s="1"/>
      <c r="R134" s="1"/>
      <c r="S134" s="1"/>
      <c r="T134" s="1"/>
      <c r="U134" s="1"/>
      <c r="V134" s="16"/>
      <c r="W134" s="1"/>
      <c r="X134" s="1"/>
    </row>
    <row r="135" spans="1:24">
      <c r="A135" s="15"/>
      <c r="B135" s="15"/>
      <c r="C135" s="16"/>
      <c r="D135" s="16"/>
      <c r="E135" s="16"/>
      <c r="F135" s="16"/>
      <c r="G135" s="16"/>
      <c r="H135" s="16"/>
      <c r="I135" s="16"/>
      <c r="J135" s="16"/>
      <c r="K135" s="16"/>
      <c r="L135" s="16"/>
      <c r="M135" s="25"/>
      <c r="N135" s="25"/>
      <c r="O135" s="16"/>
      <c r="P135" s="1"/>
      <c r="Q135" s="1"/>
      <c r="R135" s="1"/>
      <c r="S135" s="1"/>
      <c r="T135" s="1"/>
      <c r="U135" s="1"/>
      <c r="V135" s="16"/>
      <c r="W135" s="1"/>
      <c r="X135" s="1"/>
    </row>
    <row r="136" spans="1:24">
      <c r="A136" s="15"/>
      <c r="B136" s="15"/>
      <c r="C136" s="16"/>
      <c r="D136" s="16"/>
      <c r="E136" s="16"/>
      <c r="F136" s="16"/>
      <c r="G136" s="16"/>
      <c r="H136" s="16"/>
      <c r="I136" s="16"/>
      <c r="J136" s="16"/>
      <c r="K136" s="16"/>
      <c r="L136" s="16"/>
      <c r="M136" s="25"/>
      <c r="N136" s="25"/>
      <c r="O136" s="16"/>
      <c r="P136" s="1"/>
      <c r="Q136" s="1"/>
      <c r="R136" s="1"/>
      <c r="S136" s="1"/>
      <c r="T136" s="1"/>
      <c r="U136" s="1"/>
      <c r="V136" s="16"/>
      <c r="W136" s="1"/>
      <c r="X136" s="1"/>
    </row>
    <row r="137" spans="1:24">
      <c r="A137" s="15"/>
      <c r="B137" s="15"/>
      <c r="C137" s="16"/>
      <c r="D137" s="16"/>
      <c r="E137" s="16"/>
      <c r="F137" s="16"/>
      <c r="G137" s="16"/>
      <c r="H137" s="16"/>
      <c r="I137" s="16"/>
      <c r="J137" s="16"/>
      <c r="K137" s="16"/>
      <c r="L137" s="16"/>
      <c r="M137" s="25"/>
      <c r="N137" s="25"/>
      <c r="O137" s="16"/>
      <c r="P137" s="1"/>
      <c r="Q137" s="1"/>
      <c r="R137" s="1"/>
      <c r="S137" s="1"/>
      <c r="T137" s="1"/>
      <c r="U137" s="1"/>
      <c r="V137" s="16"/>
      <c r="W137" s="1"/>
      <c r="X137" s="1"/>
    </row>
    <row r="138" spans="1:24">
      <c r="A138" s="15"/>
      <c r="B138" s="15"/>
      <c r="C138" s="16"/>
      <c r="D138" s="16"/>
      <c r="E138" s="16"/>
      <c r="F138" s="16"/>
      <c r="G138" s="16"/>
      <c r="H138" s="16"/>
      <c r="I138" s="16"/>
      <c r="J138" s="16"/>
      <c r="K138" s="16"/>
      <c r="L138" s="16"/>
      <c r="M138" s="25"/>
      <c r="N138" s="25"/>
      <c r="O138" s="16"/>
      <c r="P138" s="1"/>
      <c r="Q138" s="1"/>
      <c r="R138" s="1"/>
      <c r="S138" s="1"/>
      <c r="T138" s="1"/>
      <c r="U138" s="1"/>
      <c r="V138" s="16"/>
      <c r="W138" s="1"/>
      <c r="X138" s="1"/>
    </row>
    <row r="139" spans="1:24">
      <c r="A139" s="15"/>
      <c r="B139" s="15"/>
      <c r="C139" s="16"/>
      <c r="D139" s="16"/>
      <c r="E139" s="16"/>
      <c r="F139" s="16"/>
      <c r="G139" s="16"/>
      <c r="H139" s="16"/>
      <c r="I139" s="16"/>
      <c r="J139" s="16"/>
      <c r="K139" s="16"/>
      <c r="L139" s="16"/>
      <c r="M139" s="25"/>
      <c r="N139" s="25"/>
      <c r="O139" s="16"/>
      <c r="P139" s="1"/>
      <c r="Q139" s="1"/>
      <c r="R139" s="1"/>
      <c r="S139" s="1"/>
      <c r="T139" s="1"/>
      <c r="U139" s="1"/>
      <c r="V139" s="16"/>
      <c r="W139" s="1"/>
      <c r="X139" s="1"/>
    </row>
    <row r="140" spans="1:24">
      <c r="A140" s="15"/>
      <c r="B140" s="15"/>
      <c r="C140" s="16"/>
      <c r="D140" s="16"/>
      <c r="E140" s="16"/>
      <c r="F140" s="16"/>
      <c r="G140" s="16"/>
      <c r="H140" s="16"/>
      <c r="I140" s="16"/>
      <c r="J140" s="16"/>
      <c r="K140" s="16"/>
      <c r="L140" s="16"/>
      <c r="M140" s="25"/>
      <c r="N140" s="25"/>
      <c r="O140" s="16"/>
      <c r="P140" s="1"/>
      <c r="Q140" s="1"/>
      <c r="R140" s="1"/>
      <c r="S140" s="1"/>
      <c r="T140" s="1"/>
      <c r="U140" s="1"/>
      <c r="V140" s="16"/>
      <c r="W140" s="1"/>
      <c r="X140" s="1"/>
    </row>
    <row r="141" spans="1:24">
      <c r="A141" s="15"/>
      <c r="B141" s="15"/>
      <c r="C141" s="16"/>
      <c r="D141" s="16"/>
      <c r="E141" s="16"/>
      <c r="F141" s="16"/>
      <c r="G141" s="16"/>
      <c r="H141" s="16"/>
      <c r="I141" s="16"/>
      <c r="J141" s="16"/>
      <c r="K141" s="16"/>
      <c r="L141" s="16"/>
      <c r="M141" s="25"/>
      <c r="N141" s="25"/>
      <c r="O141" s="16"/>
      <c r="P141" s="1"/>
      <c r="Q141" s="1"/>
      <c r="R141" s="1"/>
      <c r="S141" s="1"/>
      <c r="T141" s="1"/>
      <c r="U141" s="1"/>
      <c r="V141" s="16"/>
      <c r="W141" s="1"/>
      <c r="X141" s="1"/>
    </row>
    <row r="142" spans="1:24">
      <c r="A142" s="15"/>
      <c r="B142" s="15"/>
      <c r="C142" s="16"/>
      <c r="D142" s="16"/>
      <c r="E142" s="16"/>
      <c r="F142" s="16"/>
      <c r="G142" s="16"/>
      <c r="H142" s="16"/>
      <c r="I142" s="16"/>
      <c r="J142" s="16"/>
      <c r="K142" s="16"/>
      <c r="L142" s="16"/>
      <c r="M142" s="25"/>
      <c r="N142" s="25"/>
      <c r="O142" s="16"/>
      <c r="P142" s="1"/>
      <c r="Q142" s="1"/>
      <c r="R142" s="1"/>
      <c r="S142" s="1"/>
      <c r="T142" s="1"/>
      <c r="U142" s="1"/>
      <c r="V142" s="16"/>
      <c r="W142" s="1"/>
      <c r="X142" s="1"/>
    </row>
    <row r="143" spans="1:24">
      <c r="A143" s="15"/>
      <c r="B143" s="15"/>
      <c r="C143" s="16"/>
      <c r="D143" s="16"/>
      <c r="E143" s="16"/>
      <c r="F143" s="16"/>
      <c r="G143" s="16"/>
      <c r="H143" s="16"/>
      <c r="I143" s="16"/>
      <c r="J143" s="16"/>
      <c r="K143" s="16"/>
      <c r="L143" s="16"/>
      <c r="M143" s="25"/>
      <c r="N143" s="25"/>
      <c r="O143" s="16"/>
      <c r="P143" s="1"/>
      <c r="Q143" s="1"/>
      <c r="R143" s="1"/>
      <c r="S143" s="1"/>
      <c r="T143" s="1"/>
      <c r="U143" s="1"/>
      <c r="V143" s="16"/>
      <c r="W143" s="1"/>
      <c r="X143" s="1"/>
    </row>
    <row r="144" spans="1:24">
      <c r="A144" s="15"/>
      <c r="B144" s="15"/>
      <c r="C144" s="16"/>
      <c r="D144" s="16"/>
      <c r="E144" s="16"/>
      <c r="F144" s="16"/>
      <c r="G144" s="16"/>
      <c r="H144" s="16"/>
      <c r="I144" s="16"/>
      <c r="J144" s="16"/>
      <c r="K144" s="16"/>
      <c r="L144" s="16"/>
      <c r="M144" s="25"/>
      <c r="N144" s="25"/>
      <c r="O144" s="16"/>
      <c r="P144" s="1"/>
      <c r="Q144" s="1"/>
      <c r="R144" s="1"/>
      <c r="S144" s="1"/>
      <c r="T144" s="1"/>
      <c r="U144" s="1"/>
      <c r="V144" s="16"/>
      <c r="W144" s="1"/>
      <c r="X144" s="1"/>
    </row>
    <row r="145" spans="1:24">
      <c r="A145" s="15"/>
      <c r="B145" s="15"/>
      <c r="C145" s="16"/>
      <c r="D145" s="16"/>
      <c r="E145" s="16"/>
      <c r="F145" s="16"/>
      <c r="G145" s="16"/>
      <c r="H145" s="16"/>
      <c r="I145" s="16"/>
      <c r="J145" s="16"/>
      <c r="K145" s="16"/>
      <c r="L145" s="16"/>
      <c r="M145" s="25"/>
      <c r="N145" s="25"/>
      <c r="O145" s="16"/>
      <c r="P145" s="1"/>
      <c r="Q145" s="1"/>
      <c r="R145" s="1"/>
      <c r="S145" s="1"/>
      <c r="T145" s="1"/>
      <c r="U145" s="1"/>
      <c r="V145" s="16"/>
      <c r="W145" s="1"/>
      <c r="X145" s="1"/>
    </row>
    <row r="146" spans="1:24">
      <c r="A146" s="15"/>
      <c r="B146" s="15"/>
      <c r="C146" s="16"/>
      <c r="D146" s="16"/>
      <c r="E146" s="16"/>
      <c r="F146" s="16"/>
      <c r="G146" s="16"/>
      <c r="H146" s="16"/>
      <c r="I146" s="16"/>
      <c r="J146" s="16"/>
      <c r="K146" s="16"/>
      <c r="L146" s="16"/>
      <c r="M146" s="25"/>
      <c r="N146" s="25"/>
      <c r="O146" s="16"/>
      <c r="P146" s="1"/>
      <c r="Q146" s="1"/>
      <c r="R146" s="1"/>
      <c r="S146" s="1"/>
      <c r="T146" s="1"/>
      <c r="U146" s="1"/>
      <c r="V146" s="16"/>
      <c r="W146" s="1"/>
      <c r="X146" s="1"/>
    </row>
    <row r="147" spans="1:24">
      <c r="A147" s="15"/>
      <c r="B147" s="15"/>
      <c r="C147" s="16"/>
      <c r="D147" s="16"/>
      <c r="E147" s="16"/>
      <c r="F147" s="16"/>
      <c r="G147" s="16"/>
      <c r="H147" s="16"/>
      <c r="I147" s="16"/>
      <c r="J147" s="16"/>
      <c r="K147" s="16"/>
      <c r="L147" s="16"/>
      <c r="M147" s="25"/>
      <c r="N147" s="25"/>
      <c r="O147" s="16"/>
      <c r="P147" s="1"/>
      <c r="Q147" s="1"/>
      <c r="R147" s="1"/>
      <c r="S147" s="1"/>
      <c r="T147" s="1"/>
      <c r="U147" s="1"/>
      <c r="V147" s="16"/>
      <c r="W147" s="1"/>
      <c r="X147" s="1"/>
    </row>
    <row r="148" spans="1:24">
      <c r="A148" s="15"/>
      <c r="B148" s="15"/>
      <c r="C148" s="16"/>
      <c r="D148" s="16"/>
      <c r="E148" s="16"/>
      <c r="F148" s="16"/>
      <c r="G148" s="16"/>
      <c r="H148" s="16"/>
      <c r="I148" s="16"/>
      <c r="J148" s="16"/>
      <c r="K148" s="16"/>
      <c r="L148" s="16"/>
      <c r="M148" s="25"/>
      <c r="N148" s="25"/>
      <c r="O148" s="16"/>
      <c r="P148" s="1"/>
      <c r="Q148" s="1"/>
      <c r="R148" s="1"/>
      <c r="S148" s="1"/>
      <c r="T148" s="1"/>
      <c r="U148" s="1"/>
      <c r="V148" s="16"/>
      <c r="W148" s="1"/>
      <c r="X148" s="1"/>
    </row>
    <row r="149" spans="1:24">
      <c r="A149" s="15"/>
      <c r="B149" s="15"/>
      <c r="C149" s="16"/>
      <c r="D149" s="16"/>
      <c r="E149" s="16"/>
      <c r="F149" s="16"/>
      <c r="G149" s="16"/>
      <c r="H149" s="16"/>
      <c r="I149" s="16"/>
      <c r="J149" s="16"/>
      <c r="K149" s="16"/>
      <c r="L149" s="16"/>
      <c r="M149" s="25"/>
      <c r="N149" s="25"/>
      <c r="O149" s="16"/>
      <c r="P149" s="1"/>
      <c r="Q149" s="1"/>
      <c r="R149" s="1"/>
      <c r="S149" s="1"/>
      <c r="T149" s="1"/>
      <c r="U149" s="1"/>
      <c r="V149" s="16"/>
      <c r="W149" s="1"/>
      <c r="X149" s="1"/>
    </row>
    <row r="150" spans="1:24">
      <c r="A150" s="15"/>
      <c r="B150" s="15"/>
      <c r="C150" s="16"/>
      <c r="D150" s="16"/>
      <c r="E150" s="16"/>
      <c r="F150" s="16"/>
      <c r="G150" s="16"/>
      <c r="H150" s="16"/>
      <c r="I150" s="16"/>
      <c r="J150" s="16"/>
      <c r="K150" s="16"/>
      <c r="L150" s="16"/>
      <c r="M150" s="25"/>
      <c r="N150" s="25"/>
      <c r="O150" s="16"/>
      <c r="P150" s="1"/>
      <c r="Q150" s="1"/>
      <c r="R150" s="1"/>
      <c r="S150" s="1"/>
      <c r="T150" s="1"/>
      <c r="U150" s="1"/>
      <c r="V150" s="16"/>
      <c r="W150" s="1"/>
      <c r="X150" s="1"/>
    </row>
    <row r="151" spans="1:24">
      <c r="A151" s="15"/>
      <c r="B151" s="15"/>
      <c r="C151" s="16"/>
      <c r="D151" s="16"/>
      <c r="E151" s="16"/>
      <c r="F151" s="16"/>
      <c r="G151" s="16"/>
      <c r="H151" s="16"/>
      <c r="I151" s="16"/>
      <c r="J151" s="16"/>
      <c r="K151" s="16"/>
      <c r="L151" s="16"/>
      <c r="M151" s="25"/>
      <c r="N151" s="25"/>
      <c r="O151" s="16"/>
      <c r="P151" s="1"/>
      <c r="Q151" s="1"/>
      <c r="R151" s="1"/>
      <c r="S151" s="1"/>
      <c r="T151" s="1"/>
      <c r="U151" s="1"/>
      <c r="V151" s="16"/>
      <c r="W151" s="1"/>
      <c r="X151" s="1"/>
    </row>
    <row r="152" spans="1:24">
      <c r="A152" s="15"/>
      <c r="B152" s="15"/>
      <c r="C152" s="16"/>
      <c r="D152" s="16"/>
      <c r="E152" s="16"/>
      <c r="F152" s="16"/>
      <c r="G152" s="16"/>
      <c r="H152" s="16"/>
      <c r="I152" s="16"/>
      <c r="J152" s="16"/>
      <c r="K152" s="16"/>
      <c r="L152" s="16"/>
      <c r="M152" s="25"/>
      <c r="N152" s="25"/>
      <c r="O152" s="16"/>
      <c r="P152" s="1"/>
      <c r="Q152" s="1"/>
      <c r="R152" s="1"/>
      <c r="S152" s="1"/>
      <c r="T152" s="1"/>
      <c r="U152" s="1"/>
      <c r="V152" s="16"/>
      <c r="W152" s="1"/>
      <c r="X152" s="1"/>
    </row>
    <row r="153" spans="1:24">
      <c r="A153" s="15"/>
      <c r="B153" s="15"/>
      <c r="C153" s="16"/>
      <c r="D153" s="16"/>
      <c r="E153" s="16"/>
      <c r="F153" s="16"/>
      <c r="G153" s="16"/>
      <c r="H153" s="16"/>
      <c r="I153" s="16"/>
      <c r="J153" s="16"/>
      <c r="K153" s="16"/>
      <c r="L153" s="16"/>
      <c r="M153" s="25"/>
      <c r="N153" s="25"/>
      <c r="O153" s="16"/>
      <c r="P153" s="1"/>
      <c r="Q153" s="1"/>
      <c r="R153" s="1"/>
      <c r="S153" s="1"/>
      <c r="T153" s="1"/>
      <c r="U153" s="1"/>
      <c r="V153" s="16"/>
      <c r="W153" s="1"/>
      <c r="X153" s="1"/>
    </row>
    <row r="154" spans="1:24">
      <c r="A154" s="15"/>
      <c r="B154" s="15"/>
      <c r="C154" s="16"/>
      <c r="D154" s="16"/>
      <c r="E154" s="16"/>
      <c r="F154" s="16"/>
      <c r="G154" s="16"/>
      <c r="H154" s="16"/>
      <c r="I154" s="16"/>
      <c r="J154" s="16"/>
      <c r="K154" s="16"/>
      <c r="L154" s="16"/>
      <c r="M154" s="25"/>
      <c r="N154" s="25"/>
      <c r="O154" s="16"/>
      <c r="P154" s="1"/>
      <c r="Q154" s="1"/>
      <c r="R154" s="1"/>
      <c r="S154" s="1"/>
      <c r="T154" s="1"/>
      <c r="U154" s="1"/>
      <c r="V154" s="16"/>
      <c r="W154" s="1"/>
      <c r="X154" s="1"/>
    </row>
    <row r="155" spans="1:24">
      <c r="A155" s="15"/>
      <c r="B155" s="15"/>
      <c r="C155" s="16"/>
      <c r="D155" s="16"/>
      <c r="E155" s="16"/>
      <c r="F155" s="16"/>
      <c r="G155" s="16"/>
      <c r="H155" s="16"/>
      <c r="I155" s="16"/>
      <c r="J155" s="16"/>
      <c r="K155" s="16"/>
      <c r="L155" s="16"/>
      <c r="M155" s="25"/>
      <c r="N155" s="25"/>
      <c r="O155" s="16"/>
      <c r="P155" s="1"/>
      <c r="Q155" s="1"/>
      <c r="R155" s="1"/>
      <c r="S155" s="1"/>
      <c r="T155" s="1"/>
      <c r="U155" s="1"/>
      <c r="V155" s="16"/>
      <c r="W155" s="1"/>
      <c r="X155" s="1"/>
    </row>
    <row r="156" spans="1:24">
      <c r="A156" s="15"/>
      <c r="B156" s="15"/>
      <c r="C156" s="16"/>
      <c r="D156" s="16"/>
      <c r="E156" s="16"/>
      <c r="F156" s="16"/>
      <c r="G156" s="16"/>
      <c r="H156" s="16"/>
      <c r="I156" s="16"/>
      <c r="J156" s="16"/>
      <c r="K156" s="16"/>
      <c r="L156" s="16"/>
      <c r="M156" s="25"/>
      <c r="N156" s="25"/>
      <c r="O156" s="16"/>
      <c r="P156" s="1"/>
      <c r="Q156" s="1"/>
      <c r="R156" s="1"/>
      <c r="S156" s="1"/>
      <c r="T156" s="1"/>
      <c r="U156" s="1"/>
      <c r="V156" s="16"/>
      <c r="W156" s="1"/>
      <c r="X156" s="1"/>
    </row>
    <row r="157" spans="1:24">
      <c r="A157" s="15"/>
      <c r="B157" s="15"/>
      <c r="C157" s="16"/>
      <c r="D157" s="16"/>
      <c r="E157" s="16"/>
      <c r="F157" s="16"/>
      <c r="G157" s="16"/>
      <c r="H157" s="16"/>
      <c r="I157" s="16"/>
      <c r="J157" s="16"/>
      <c r="K157" s="16"/>
      <c r="L157" s="16"/>
      <c r="M157" s="25"/>
      <c r="N157" s="25"/>
      <c r="O157" s="16"/>
      <c r="P157" s="1"/>
      <c r="Q157" s="1"/>
      <c r="R157" s="1"/>
      <c r="S157" s="1"/>
      <c r="T157" s="1"/>
      <c r="U157" s="1"/>
      <c r="V157" s="16"/>
      <c r="W157" s="1"/>
      <c r="X157" s="1"/>
    </row>
    <row r="158" spans="1:24">
      <c r="A158" s="15"/>
      <c r="B158" s="15"/>
      <c r="C158" s="16"/>
      <c r="D158" s="16"/>
      <c r="E158" s="16"/>
      <c r="F158" s="16"/>
      <c r="G158" s="16"/>
      <c r="H158" s="16"/>
      <c r="I158" s="16"/>
      <c r="J158" s="16"/>
      <c r="K158" s="16"/>
      <c r="L158" s="16"/>
      <c r="M158" s="25"/>
      <c r="N158" s="25"/>
      <c r="O158" s="16"/>
      <c r="P158" s="1"/>
      <c r="Q158" s="1"/>
      <c r="R158" s="1"/>
      <c r="S158" s="1"/>
      <c r="T158" s="1"/>
      <c r="U158" s="1"/>
      <c r="V158" s="16"/>
      <c r="W158" s="1"/>
      <c r="X158" s="1"/>
    </row>
    <row r="159" spans="1:24">
      <c r="A159" s="15"/>
      <c r="B159" s="15"/>
      <c r="C159" s="16"/>
      <c r="D159" s="16"/>
      <c r="E159" s="16"/>
      <c r="F159" s="16"/>
      <c r="G159" s="16"/>
      <c r="H159" s="16"/>
      <c r="I159" s="16"/>
      <c r="J159" s="16"/>
      <c r="K159" s="16"/>
      <c r="L159" s="16"/>
      <c r="M159" s="25"/>
      <c r="N159" s="25"/>
      <c r="O159" s="16"/>
      <c r="P159" s="1"/>
      <c r="Q159" s="1"/>
      <c r="R159" s="1"/>
      <c r="S159" s="1"/>
      <c r="T159" s="1"/>
      <c r="U159" s="1"/>
      <c r="V159" s="16"/>
      <c r="W159" s="1"/>
      <c r="X159" s="1"/>
    </row>
    <row r="160" spans="1:24">
      <c r="A160" s="15"/>
      <c r="B160" s="15"/>
      <c r="C160" s="16"/>
      <c r="D160" s="16"/>
      <c r="E160" s="16"/>
      <c r="F160" s="16"/>
      <c r="G160" s="16"/>
      <c r="H160" s="16"/>
      <c r="I160" s="16"/>
      <c r="J160" s="16"/>
      <c r="K160" s="16"/>
      <c r="L160" s="16"/>
      <c r="M160" s="25"/>
      <c r="N160" s="25"/>
      <c r="O160" s="16"/>
      <c r="P160" s="1"/>
      <c r="Q160" s="1"/>
      <c r="R160" s="1"/>
      <c r="S160" s="1"/>
      <c r="T160" s="1"/>
      <c r="U160" s="1"/>
      <c r="V160" s="16"/>
      <c r="W160" s="1"/>
      <c r="X160" s="1"/>
    </row>
    <row r="161" spans="1:24">
      <c r="A161" s="15"/>
      <c r="B161" s="15"/>
      <c r="C161" s="16"/>
      <c r="D161" s="16"/>
      <c r="E161" s="16"/>
      <c r="F161" s="16"/>
      <c r="G161" s="16"/>
      <c r="H161" s="16"/>
      <c r="I161" s="16"/>
      <c r="J161" s="16"/>
      <c r="K161" s="16"/>
      <c r="L161" s="16"/>
      <c r="M161" s="25"/>
      <c r="N161" s="25"/>
      <c r="O161" s="16"/>
      <c r="P161" s="1"/>
      <c r="Q161" s="1"/>
      <c r="R161" s="1"/>
      <c r="S161" s="1"/>
      <c r="T161" s="1"/>
      <c r="U161" s="1"/>
      <c r="V161" s="16"/>
      <c r="W161" s="1"/>
      <c r="X161" s="1"/>
    </row>
    <row r="162" spans="1:24">
      <c r="A162" s="15"/>
      <c r="B162" s="15"/>
      <c r="C162" s="16"/>
      <c r="D162" s="16"/>
      <c r="E162" s="16"/>
      <c r="F162" s="16"/>
      <c r="G162" s="16"/>
      <c r="H162" s="16"/>
      <c r="I162" s="16"/>
      <c r="J162" s="16"/>
      <c r="K162" s="16"/>
      <c r="L162" s="16"/>
      <c r="M162" s="25"/>
      <c r="N162" s="25"/>
      <c r="O162" s="16"/>
      <c r="P162" s="1"/>
      <c r="Q162" s="1"/>
      <c r="R162" s="1"/>
      <c r="S162" s="1"/>
      <c r="T162" s="1"/>
      <c r="U162" s="1"/>
      <c r="V162" s="16"/>
      <c r="W162" s="1"/>
      <c r="X162" s="1"/>
    </row>
    <row r="163" spans="1:24">
      <c r="A163" s="15"/>
      <c r="B163" s="15"/>
      <c r="C163" s="16"/>
      <c r="D163" s="16"/>
      <c r="E163" s="16"/>
      <c r="F163" s="16"/>
      <c r="G163" s="16"/>
      <c r="H163" s="16"/>
      <c r="I163" s="16"/>
      <c r="J163" s="16"/>
      <c r="K163" s="16"/>
      <c r="L163" s="16"/>
      <c r="M163" s="25"/>
      <c r="N163" s="25"/>
      <c r="O163" s="16"/>
      <c r="P163" s="1"/>
      <c r="Q163" s="1"/>
      <c r="R163" s="1"/>
      <c r="S163" s="1"/>
      <c r="T163" s="1"/>
      <c r="U163" s="1"/>
      <c r="V163" s="16"/>
      <c r="W163" s="1"/>
      <c r="X163" s="1"/>
    </row>
    <row r="164" spans="1:24">
      <c r="A164" s="15"/>
      <c r="B164" s="15"/>
      <c r="C164" s="16"/>
      <c r="D164" s="16"/>
      <c r="E164" s="16"/>
      <c r="F164" s="16"/>
      <c r="G164" s="16"/>
      <c r="H164" s="16"/>
      <c r="I164" s="16"/>
      <c r="J164" s="16"/>
      <c r="K164" s="16"/>
      <c r="L164" s="16"/>
      <c r="M164" s="25"/>
      <c r="N164" s="25"/>
      <c r="O164" s="16"/>
      <c r="P164" s="1"/>
      <c r="Q164" s="1"/>
      <c r="R164" s="1"/>
      <c r="S164" s="1"/>
      <c r="T164" s="1"/>
      <c r="U164" s="1"/>
      <c r="V164" s="16"/>
      <c r="W164" s="1"/>
      <c r="X164" s="1"/>
    </row>
    <row r="165" spans="1:24">
      <c r="A165" s="15"/>
      <c r="B165" s="15"/>
      <c r="C165" s="16"/>
      <c r="D165" s="16"/>
      <c r="E165" s="16"/>
      <c r="F165" s="16"/>
      <c r="G165" s="16"/>
      <c r="H165" s="16"/>
      <c r="I165" s="16"/>
      <c r="J165" s="16"/>
      <c r="K165" s="16"/>
      <c r="L165" s="16"/>
      <c r="M165" s="25"/>
      <c r="N165" s="25"/>
      <c r="O165" s="16"/>
      <c r="P165" s="1"/>
      <c r="Q165" s="1"/>
      <c r="R165" s="1"/>
      <c r="S165" s="1"/>
      <c r="T165" s="1"/>
      <c r="U165" s="1"/>
      <c r="V165" s="16"/>
      <c r="W165" s="1"/>
      <c r="X165" s="1"/>
    </row>
    <row r="166" spans="1:24">
      <c r="A166" s="15"/>
      <c r="B166" s="15"/>
      <c r="C166" s="16"/>
      <c r="D166" s="16"/>
      <c r="E166" s="16"/>
      <c r="F166" s="16"/>
      <c r="G166" s="16"/>
      <c r="H166" s="16"/>
      <c r="I166" s="16"/>
      <c r="J166" s="16"/>
      <c r="K166" s="16"/>
      <c r="L166" s="16"/>
      <c r="M166" s="25"/>
      <c r="N166" s="25"/>
      <c r="O166" s="16"/>
      <c r="P166" s="1"/>
      <c r="Q166" s="1"/>
      <c r="R166" s="1"/>
      <c r="S166" s="1"/>
      <c r="T166" s="1"/>
      <c r="U166" s="1"/>
      <c r="V166" s="16"/>
      <c r="W166" s="1"/>
      <c r="X166" s="1"/>
    </row>
    <row r="167" spans="1:24">
      <c r="A167" s="15"/>
      <c r="B167" s="15"/>
      <c r="C167" s="16"/>
      <c r="D167" s="16"/>
      <c r="E167" s="16"/>
      <c r="F167" s="16"/>
      <c r="G167" s="16"/>
      <c r="H167" s="16"/>
      <c r="I167" s="16"/>
      <c r="J167" s="16"/>
      <c r="K167" s="16"/>
      <c r="L167" s="16"/>
      <c r="M167" s="25"/>
      <c r="N167" s="25"/>
      <c r="O167" s="16"/>
      <c r="P167" s="1"/>
      <c r="Q167" s="1"/>
      <c r="R167" s="1"/>
      <c r="S167" s="1"/>
      <c r="T167" s="1"/>
      <c r="U167" s="1"/>
      <c r="V167" s="16"/>
      <c r="W167" s="1"/>
      <c r="X167" s="1"/>
    </row>
    <row r="168" spans="1:24">
      <c r="A168" s="15"/>
      <c r="B168" s="15"/>
      <c r="C168" s="16"/>
      <c r="D168" s="16"/>
      <c r="E168" s="16"/>
      <c r="F168" s="16"/>
      <c r="G168" s="16"/>
      <c r="H168" s="16"/>
      <c r="I168" s="16"/>
      <c r="J168" s="16"/>
      <c r="K168" s="16"/>
      <c r="L168" s="16"/>
      <c r="M168" s="25"/>
      <c r="N168" s="25"/>
      <c r="O168" s="16"/>
      <c r="P168" s="1"/>
      <c r="Q168" s="1"/>
      <c r="R168" s="1"/>
      <c r="S168" s="1"/>
      <c r="T168" s="1"/>
      <c r="U168" s="1"/>
      <c r="V168" s="16"/>
      <c r="W168" s="1"/>
      <c r="X168" s="1"/>
    </row>
    <row r="169" spans="1:24">
      <c r="A169" s="15"/>
      <c r="B169" s="15"/>
      <c r="C169" s="16"/>
      <c r="D169" s="16"/>
      <c r="E169" s="16"/>
      <c r="F169" s="16"/>
      <c r="G169" s="16"/>
      <c r="H169" s="16"/>
      <c r="I169" s="16"/>
      <c r="J169" s="16"/>
      <c r="K169" s="16"/>
      <c r="L169" s="16"/>
      <c r="M169" s="25"/>
      <c r="N169" s="25"/>
      <c r="O169" s="16"/>
      <c r="P169" s="1"/>
      <c r="Q169" s="1"/>
      <c r="R169" s="1"/>
      <c r="S169" s="1"/>
      <c r="T169" s="1"/>
      <c r="U169" s="1"/>
      <c r="V169" s="16"/>
      <c r="W169" s="1"/>
      <c r="X169" s="1"/>
    </row>
    <row r="170" spans="1:24">
      <c r="A170" s="15"/>
      <c r="B170" s="15"/>
      <c r="C170" s="16"/>
      <c r="D170" s="16"/>
      <c r="E170" s="16"/>
      <c r="F170" s="16"/>
      <c r="G170" s="16"/>
      <c r="H170" s="16"/>
      <c r="I170" s="16"/>
      <c r="J170" s="16"/>
      <c r="K170" s="16"/>
      <c r="L170" s="16"/>
      <c r="M170" s="25"/>
      <c r="N170" s="25"/>
      <c r="O170" s="16"/>
      <c r="P170" s="1"/>
      <c r="Q170" s="1"/>
      <c r="R170" s="1"/>
      <c r="S170" s="1"/>
      <c r="T170" s="1"/>
      <c r="U170" s="1"/>
      <c r="V170" s="16"/>
      <c r="W170" s="1"/>
      <c r="X170" s="1"/>
    </row>
    <row r="171" spans="1:24">
      <c r="A171" s="15"/>
      <c r="B171" s="15"/>
      <c r="C171" s="16"/>
      <c r="D171" s="16"/>
      <c r="E171" s="16"/>
      <c r="F171" s="16"/>
      <c r="G171" s="16"/>
      <c r="H171" s="16"/>
      <c r="I171" s="16"/>
      <c r="J171" s="16"/>
      <c r="K171" s="16"/>
      <c r="L171" s="16"/>
      <c r="M171" s="25"/>
      <c r="N171" s="25"/>
      <c r="O171" s="16"/>
      <c r="P171" s="1"/>
      <c r="Q171" s="1"/>
      <c r="R171" s="1"/>
      <c r="S171" s="1"/>
      <c r="T171" s="1"/>
      <c r="U171" s="1"/>
      <c r="V171" s="16"/>
      <c r="W171" s="1"/>
      <c r="X171" s="1"/>
    </row>
    <row r="172" spans="1:24">
      <c r="A172" s="15"/>
      <c r="B172" s="15"/>
      <c r="C172" s="16"/>
      <c r="D172" s="16"/>
      <c r="E172" s="16"/>
      <c r="F172" s="16"/>
      <c r="G172" s="16"/>
      <c r="H172" s="16"/>
      <c r="I172" s="16"/>
      <c r="J172" s="16"/>
      <c r="K172" s="16"/>
      <c r="L172" s="16"/>
      <c r="M172" s="25"/>
      <c r="N172" s="25"/>
      <c r="O172" s="16"/>
      <c r="P172" s="1"/>
      <c r="Q172" s="1"/>
      <c r="R172" s="1"/>
      <c r="S172" s="1"/>
      <c r="T172" s="1"/>
      <c r="U172" s="1"/>
      <c r="V172" s="16"/>
      <c r="W172" s="1"/>
      <c r="X172" s="1"/>
    </row>
    <row r="173" spans="1:24">
      <c r="A173" s="15"/>
      <c r="B173" s="15"/>
      <c r="C173" s="16"/>
      <c r="D173" s="16"/>
      <c r="E173" s="16"/>
      <c r="F173" s="16"/>
      <c r="G173" s="16"/>
      <c r="H173" s="16"/>
      <c r="I173" s="16"/>
      <c r="J173" s="16"/>
      <c r="K173" s="16"/>
      <c r="L173" s="16"/>
      <c r="M173" s="25"/>
      <c r="N173" s="25"/>
      <c r="O173" s="16"/>
      <c r="P173" s="1"/>
      <c r="Q173" s="1"/>
      <c r="R173" s="1"/>
      <c r="S173" s="1"/>
      <c r="T173" s="1"/>
      <c r="U173" s="1"/>
      <c r="V173" s="16"/>
      <c r="W173" s="1"/>
      <c r="X173" s="1"/>
    </row>
    <row r="174" spans="1:24">
      <c r="A174" s="15"/>
      <c r="B174" s="15"/>
      <c r="C174" s="16"/>
      <c r="D174" s="16"/>
      <c r="E174" s="16"/>
      <c r="F174" s="16"/>
      <c r="G174" s="16"/>
      <c r="H174" s="16"/>
      <c r="I174" s="16"/>
      <c r="J174" s="16"/>
      <c r="K174" s="16"/>
      <c r="L174" s="16"/>
      <c r="M174" s="25"/>
      <c r="N174" s="25"/>
      <c r="O174" s="16"/>
      <c r="P174" s="1"/>
      <c r="Q174" s="1"/>
      <c r="R174" s="1"/>
      <c r="S174" s="1"/>
      <c r="T174" s="1"/>
      <c r="U174" s="1"/>
      <c r="V174" s="16"/>
      <c r="W174" s="1"/>
      <c r="X174" s="1"/>
    </row>
    <row r="175" spans="1:24">
      <c r="A175" s="15"/>
      <c r="B175" s="15"/>
      <c r="C175" s="16"/>
      <c r="D175" s="16"/>
      <c r="E175" s="16"/>
      <c r="F175" s="16"/>
      <c r="G175" s="16"/>
      <c r="H175" s="16"/>
      <c r="I175" s="16"/>
      <c r="J175" s="16"/>
      <c r="K175" s="16"/>
      <c r="L175" s="16"/>
      <c r="M175" s="25"/>
      <c r="N175" s="25"/>
      <c r="O175" s="16"/>
      <c r="P175" s="1"/>
      <c r="Q175" s="1"/>
      <c r="R175" s="1"/>
      <c r="S175" s="1"/>
      <c r="T175" s="1"/>
      <c r="U175" s="1"/>
      <c r="V175" s="16"/>
      <c r="W175" s="1"/>
      <c r="X175" s="1"/>
    </row>
    <row r="176" spans="1:24">
      <c r="A176" s="15"/>
      <c r="B176" s="15"/>
      <c r="C176" s="16"/>
      <c r="D176" s="16"/>
      <c r="E176" s="16"/>
      <c r="F176" s="16"/>
      <c r="G176" s="16"/>
      <c r="H176" s="16"/>
      <c r="I176" s="16"/>
      <c r="J176" s="16"/>
      <c r="K176" s="16"/>
      <c r="L176" s="16"/>
      <c r="M176" s="25"/>
      <c r="N176" s="25"/>
      <c r="O176" s="16"/>
      <c r="P176" s="1"/>
      <c r="Q176" s="1"/>
      <c r="R176" s="1"/>
      <c r="S176" s="1"/>
      <c r="T176" s="1"/>
      <c r="U176" s="1"/>
      <c r="V176" s="16"/>
      <c r="W176" s="1"/>
      <c r="X176" s="1"/>
    </row>
    <row r="177" spans="1:24">
      <c r="A177" s="15"/>
      <c r="B177" s="15"/>
      <c r="C177" s="16"/>
      <c r="D177" s="16"/>
      <c r="E177" s="16"/>
      <c r="F177" s="16"/>
      <c r="G177" s="16"/>
      <c r="H177" s="16"/>
      <c r="I177" s="16"/>
      <c r="J177" s="16"/>
      <c r="K177" s="16"/>
      <c r="L177" s="16"/>
      <c r="M177" s="25"/>
      <c r="N177" s="25"/>
      <c r="O177" s="16"/>
      <c r="P177" s="1"/>
      <c r="Q177" s="1"/>
      <c r="R177" s="1"/>
      <c r="S177" s="1"/>
      <c r="T177" s="1"/>
      <c r="U177" s="1"/>
      <c r="V177" s="16"/>
      <c r="W177" s="1"/>
      <c r="X177" s="1"/>
    </row>
    <row r="178" spans="1:24">
      <c r="A178" s="15"/>
      <c r="B178" s="15"/>
      <c r="C178" s="16"/>
      <c r="D178" s="16"/>
      <c r="E178" s="16"/>
      <c r="F178" s="16"/>
      <c r="G178" s="16"/>
      <c r="H178" s="16"/>
      <c r="I178" s="16"/>
      <c r="J178" s="16"/>
      <c r="K178" s="16"/>
      <c r="L178" s="16"/>
      <c r="M178" s="25"/>
      <c r="N178" s="25"/>
      <c r="O178" s="16"/>
      <c r="P178" s="1"/>
      <c r="Q178" s="1"/>
      <c r="R178" s="1"/>
      <c r="S178" s="1"/>
      <c r="T178" s="1"/>
      <c r="U178" s="1"/>
      <c r="V178" s="16"/>
      <c r="W178" s="1"/>
      <c r="X178" s="1"/>
    </row>
    <row r="179" spans="1:24">
      <c r="A179" s="15"/>
      <c r="B179" s="15"/>
      <c r="C179" s="16"/>
      <c r="D179" s="16"/>
      <c r="E179" s="16"/>
      <c r="F179" s="16"/>
      <c r="G179" s="16"/>
      <c r="H179" s="16"/>
      <c r="I179" s="16"/>
      <c r="J179" s="16"/>
      <c r="K179" s="16"/>
      <c r="L179" s="16"/>
      <c r="M179" s="25"/>
      <c r="N179" s="25"/>
      <c r="O179" s="16"/>
      <c r="P179" s="1"/>
      <c r="Q179" s="1"/>
      <c r="R179" s="1"/>
      <c r="S179" s="1"/>
      <c r="T179" s="1"/>
      <c r="U179" s="1"/>
      <c r="V179" s="16"/>
      <c r="W179" s="1"/>
      <c r="X179" s="1"/>
    </row>
    <row r="180" spans="1:24">
      <c r="A180" s="15"/>
      <c r="B180" s="15"/>
      <c r="C180" s="16"/>
      <c r="D180" s="16"/>
      <c r="E180" s="16"/>
      <c r="F180" s="16"/>
      <c r="G180" s="16"/>
      <c r="H180" s="16"/>
      <c r="I180" s="16"/>
      <c r="J180" s="16"/>
      <c r="K180" s="16"/>
      <c r="L180" s="16"/>
      <c r="M180" s="25"/>
      <c r="N180" s="25"/>
      <c r="O180" s="16"/>
      <c r="P180" s="1"/>
      <c r="Q180" s="1"/>
      <c r="R180" s="1"/>
      <c r="S180" s="1"/>
      <c r="T180" s="1"/>
      <c r="U180" s="1"/>
      <c r="V180" s="16"/>
      <c r="W180" s="1"/>
      <c r="X180" s="1"/>
    </row>
    <row r="181" spans="1:24">
      <c r="A181" s="15"/>
      <c r="B181" s="15"/>
      <c r="C181" s="16"/>
      <c r="D181" s="16"/>
      <c r="E181" s="16"/>
      <c r="F181" s="16"/>
      <c r="G181" s="16"/>
      <c r="H181" s="16"/>
      <c r="I181" s="16"/>
      <c r="J181" s="16"/>
      <c r="K181" s="16"/>
      <c r="L181" s="16"/>
      <c r="M181" s="25"/>
      <c r="N181" s="25"/>
      <c r="O181" s="16"/>
      <c r="P181" s="1"/>
      <c r="Q181" s="1"/>
      <c r="R181" s="1"/>
      <c r="S181" s="1"/>
      <c r="T181" s="1"/>
      <c r="U181" s="1"/>
      <c r="V181" s="16"/>
      <c r="W181" s="1"/>
      <c r="X181" s="1"/>
    </row>
    <row r="182" spans="1:24">
      <c r="A182" s="15"/>
      <c r="B182" s="15"/>
      <c r="C182" s="16"/>
      <c r="D182" s="16"/>
      <c r="E182" s="16"/>
      <c r="F182" s="16"/>
      <c r="G182" s="16"/>
      <c r="H182" s="16"/>
      <c r="I182" s="16"/>
      <c r="J182" s="16"/>
      <c r="K182" s="16"/>
      <c r="L182" s="16"/>
      <c r="M182" s="25"/>
      <c r="N182" s="25"/>
      <c r="O182" s="16"/>
      <c r="P182" s="1"/>
      <c r="Q182" s="1"/>
      <c r="R182" s="1"/>
      <c r="S182" s="1"/>
      <c r="T182" s="1"/>
      <c r="U182" s="1"/>
      <c r="V182" s="16"/>
      <c r="W182" s="1"/>
      <c r="X182" s="1"/>
    </row>
    <row r="183" spans="1:24">
      <c r="A183" s="15"/>
      <c r="B183" s="15"/>
      <c r="C183" s="16"/>
      <c r="D183" s="16"/>
      <c r="E183" s="16"/>
      <c r="F183" s="16"/>
      <c r="G183" s="16"/>
      <c r="H183" s="16"/>
      <c r="I183" s="16"/>
      <c r="J183" s="16"/>
      <c r="K183" s="16"/>
      <c r="L183" s="16"/>
      <c r="M183" s="25"/>
      <c r="N183" s="25"/>
      <c r="O183" s="16"/>
      <c r="P183" s="1"/>
      <c r="Q183" s="1"/>
      <c r="R183" s="1"/>
      <c r="S183" s="1"/>
      <c r="T183" s="1"/>
      <c r="U183" s="1"/>
      <c r="V183" s="16"/>
      <c r="W183" s="1"/>
      <c r="X183" s="1"/>
    </row>
    <row r="184" spans="1:24">
      <c r="A184" s="15"/>
      <c r="B184" s="15"/>
      <c r="C184" s="16"/>
      <c r="D184" s="16"/>
      <c r="E184" s="16"/>
      <c r="F184" s="16"/>
      <c r="G184" s="16"/>
      <c r="H184" s="16"/>
      <c r="I184" s="16"/>
      <c r="J184" s="16"/>
      <c r="K184" s="16"/>
      <c r="L184" s="16"/>
      <c r="M184" s="25"/>
      <c r="N184" s="25"/>
      <c r="O184" s="16"/>
      <c r="P184" s="1"/>
      <c r="Q184" s="1"/>
      <c r="R184" s="1"/>
      <c r="S184" s="1"/>
      <c r="T184" s="1"/>
      <c r="U184" s="1"/>
      <c r="V184" s="16"/>
      <c r="W184" s="1"/>
      <c r="X184" s="1"/>
    </row>
    <row r="185" spans="1:24">
      <c r="A185" s="15"/>
      <c r="B185" s="15"/>
      <c r="C185" s="16"/>
      <c r="D185" s="16"/>
      <c r="E185" s="16"/>
      <c r="F185" s="16"/>
      <c r="G185" s="16"/>
      <c r="H185" s="16"/>
      <c r="I185" s="16"/>
      <c r="J185" s="16"/>
      <c r="K185" s="16"/>
      <c r="L185" s="16"/>
      <c r="M185" s="25"/>
      <c r="N185" s="25"/>
      <c r="O185" s="16"/>
      <c r="P185" s="1"/>
      <c r="Q185" s="1"/>
      <c r="R185" s="1"/>
      <c r="S185" s="1"/>
      <c r="T185" s="1"/>
      <c r="U185" s="1"/>
      <c r="V185" s="16"/>
      <c r="W185" s="1"/>
      <c r="X185" s="1"/>
    </row>
    <row r="186" spans="1:24">
      <c r="A186" s="15"/>
      <c r="B186" s="15"/>
      <c r="C186" s="16"/>
      <c r="D186" s="16"/>
      <c r="E186" s="16"/>
      <c r="F186" s="16"/>
      <c r="G186" s="16"/>
      <c r="H186" s="16"/>
      <c r="I186" s="16"/>
      <c r="J186" s="16"/>
      <c r="K186" s="16"/>
      <c r="L186" s="16"/>
      <c r="M186" s="25"/>
      <c r="N186" s="25"/>
      <c r="O186" s="16"/>
      <c r="P186" s="1"/>
      <c r="Q186" s="1"/>
      <c r="R186" s="1"/>
      <c r="S186" s="1"/>
      <c r="T186" s="1"/>
      <c r="U186" s="1"/>
      <c r="V186" s="16"/>
      <c r="W186" s="1"/>
      <c r="X186" s="1"/>
    </row>
    <row r="187" spans="1:24">
      <c r="A187" s="15"/>
      <c r="B187" s="15"/>
      <c r="C187" s="16"/>
      <c r="D187" s="16"/>
      <c r="E187" s="16"/>
      <c r="F187" s="16"/>
      <c r="G187" s="16"/>
      <c r="H187" s="16"/>
      <c r="I187" s="16"/>
      <c r="J187" s="16"/>
      <c r="K187" s="16"/>
      <c r="L187" s="16"/>
      <c r="M187" s="25"/>
      <c r="N187" s="25"/>
      <c r="O187" s="16"/>
      <c r="P187" s="1"/>
      <c r="Q187" s="1"/>
      <c r="R187" s="1"/>
      <c r="S187" s="1"/>
      <c r="T187" s="1"/>
      <c r="U187" s="1"/>
      <c r="V187" s="16"/>
      <c r="W187" s="1"/>
      <c r="X187" s="1"/>
    </row>
    <row r="188" spans="1:24">
      <c r="A188" s="15"/>
      <c r="B188" s="15"/>
      <c r="C188" s="16"/>
      <c r="D188" s="16"/>
      <c r="E188" s="16"/>
      <c r="F188" s="16"/>
      <c r="G188" s="16"/>
      <c r="H188" s="16"/>
      <c r="I188" s="16"/>
      <c r="J188" s="16"/>
      <c r="K188" s="16"/>
      <c r="L188" s="16"/>
      <c r="M188" s="25"/>
      <c r="N188" s="25"/>
      <c r="O188" s="16"/>
      <c r="P188" s="1"/>
      <c r="Q188" s="1"/>
      <c r="R188" s="1"/>
      <c r="S188" s="1"/>
      <c r="T188" s="1"/>
      <c r="U188" s="1"/>
      <c r="V188" s="16"/>
      <c r="W188" s="1"/>
      <c r="X188" s="1"/>
    </row>
    <row r="189" spans="1:24">
      <c r="A189" s="15"/>
      <c r="B189" s="15"/>
      <c r="C189" s="16"/>
      <c r="D189" s="16"/>
      <c r="E189" s="16"/>
      <c r="F189" s="16"/>
      <c r="G189" s="16"/>
      <c r="H189" s="16"/>
      <c r="I189" s="16"/>
      <c r="J189" s="16"/>
      <c r="K189" s="16"/>
      <c r="L189" s="16"/>
      <c r="M189" s="25"/>
      <c r="N189" s="25"/>
      <c r="O189" s="16"/>
      <c r="P189" s="1"/>
      <c r="Q189" s="1"/>
      <c r="R189" s="1"/>
      <c r="S189" s="1"/>
      <c r="T189" s="1"/>
      <c r="U189" s="1"/>
      <c r="V189" s="16"/>
      <c r="W189" s="1"/>
      <c r="X189" s="1"/>
    </row>
    <row r="190" spans="1:24">
      <c r="A190" s="15"/>
      <c r="B190" s="15"/>
      <c r="C190" s="16"/>
      <c r="D190" s="16"/>
      <c r="E190" s="16"/>
      <c r="F190" s="16"/>
      <c r="G190" s="16"/>
      <c r="H190" s="16"/>
      <c r="I190" s="16"/>
      <c r="J190" s="16"/>
      <c r="K190" s="16"/>
      <c r="L190" s="16"/>
      <c r="M190" s="25"/>
      <c r="N190" s="25"/>
      <c r="O190" s="16"/>
      <c r="P190" s="1"/>
      <c r="Q190" s="1"/>
      <c r="R190" s="1"/>
      <c r="S190" s="1"/>
      <c r="T190" s="1"/>
      <c r="U190" s="1"/>
      <c r="V190" s="16"/>
      <c r="W190" s="1"/>
      <c r="X190" s="1"/>
    </row>
    <row r="191" spans="1:24">
      <c r="A191" s="15"/>
      <c r="B191" s="15"/>
      <c r="C191" s="16"/>
      <c r="D191" s="16"/>
      <c r="E191" s="16"/>
      <c r="F191" s="16"/>
      <c r="G191" s="16"/>
      <c r="H191" s="16"/>
      <c r="I191" s="16"/>
      <c r="J191" s="16"/>
      <c r="K191" s="16"/>
      <c r="L191" s="16"/>
      <c r="M191" s="25"/>
      <c r="N191" s="25"/>
      <c r="O191" s="16"/>
      <c r="P191" s="1"/>
      <c r="Q191" s="1"/>
      <c r="R191" s="1"/>
      <c r="S191" s="1"/>
      <c r="T191" s="1"/>
      <c r="U191" s="1"/>
      <c r="V191" s="16"/>
      <c r="W191" s="1"/>
      <c r="X191" s="1"/>
    </row>
    <row r="192" spans="1:24">
      <c r="A192" s="15"/>
      <c r="B192" s="15"/>
      <c r="C192" s="16"/>
      <c r="D192" s="16"/>
      <c r="E192" s="16"/>
      <c r="F192" s="16"/>
      <c r="G192" s="16"/>
      <c r="H192" s="16"/>
      <c r="I192" s="16"/>
      <c r="J192" s="16"/>
      <c r="K192" s="16"/>
      <c r="L192" s="16"/>
      <c r="M192" s="25"/>
      <c r="N192" s="25"/>
      <c r="O192" s="16"/>
      <c r="P192" s="1"/>
      <c r="Q192" s="1"/>
      <c r="R192" s="1"/>
      <c r="S192" s="1"/>
      <c r="T192" s="1"/>
      <c r="U192" s="1"/>
      <c r="V192" s="16"/>
      <c r="W192" s="1"/>
      <c r="X192" s="1"/>
    </row>
    <row r="193" spans="1:24">
      <c r="A193" s="15"/>
      <c r="B193" s="15"/>
      <c r="C193" s="16"/>
      <c r="D193" s="16"/>
      <c r="E193" s="16"/>
      <c r="F193" s="16"/>
      <c r="G193" s="16"/>
      <c r="H193" s="16"/>
      <c r="I193" s="16"/>
      <c r="J193" s="16"/>
      <c r="K193" s="16"/>
      <c r="L193" s="16"/>
      <c r="M193" s="25"/>
      <c r="N193" s="25"/>
      <c r="O193" s="16"/>
      <c r="P193" s="1"/>
      <c r="Q193" s="1"/>
      <c r="R193" s="1"/>
      <c r="S193" s="1"/>
      <c r="T193" s="1"/>
      <c r="U193" s="1"/>
      <c r="V193" s="16"/>
      <c r="W193" s="1"/>
      <c r="X193" s="1"/>
    </row>
    <row r="194" spans="1:24">
      <c r="A194" s="15"/>
      <c r="B194" s="15"/>
      <c r="C194" s="16"/>
      <c r="D194" s="16"/>
      <c r="E194" s="16"/>
      <c r="F194" s="16"/>
      <c r="G194" s="16"/>
      <c r="H194" s="16"/>
      <c r="I194" s="16"/>
      <c r="J194" s="16"/>
      <c r="K194" s="16"/>
      <c r="L194" s="16"/>
      <c r="M194" s="25"/>
      <c r="N194" s="25"/>
      <c r="O194" s="16"/>
      <c r="P194" s="1"/>
      <c r="Q194" s="1"/>
      <c r="R194" s="1"/>
      <c r="S194" s="1"/>
      <c r="T194" s="1"/>
      <c r="U194" s="1"/>
      <c r="V194" s="16"/>
      <c r="W194" s="1"/>
      <c r="X194" s="1"/>
    </row>
    <row r="195" spans="1:24">
      <c r="A195" s="15"/>
      <c r="B195" s="15"/>
      <c r="C195" s="16"/>
      <c r="D195" s="16"/>
      <c r="E195" s="16"/>
      <c r="F195" s="16"/>
      <c r="G195" s="16"/>
      <c r="H195" s="16"/>
      <c r="I195" s="16"/>
      <c r="J195" s="16"/>
      <c r="K195" s="16"/>
      <c r="L195" s="16"/>
      <c r="M195" s="25"/>
      <c r="N195" s="25"/>
      <c r="O195" s="16"/>
      <c r="P195" s="1"/>
      <c r="Q195" s="1"/>
      <c r="R195" s="1"/>
      <c r="S195" s="1"/>
      <c r="T195" s="1"/>
      <c r="U195" s="1"/>
      <c r="V195" s="16"/>
      <c r="W195" s="1"/>
      <c r="X195" s="1"/>
    </row>
    <row r="196" spans="1:24">
      <c r="A196" s="15"/>
      <c r="B196" s="15"/>
      <c r="C196" s="16"/>
      <c r="D196" s="16"/>
      <c r="E196" s="16"/>
      <c r="F196" s="16"/>
      <c r="G196" s="16"/>
      <c r="H196" s="16"/>
      <c r="I196" s="16"/>
      <c r="J196" s="16"/>
      <c r="K196" s="16"/>
      <c r="L196" s="16"/>
      <c r="M196" s="25"/>
      <c r="N196" s="25"/>
      <c r="O196" s="16"/>
      <c r="P196" s="1"/>
      <c r="Q196" s="1"/>
      <c r="R196" s="1"/>
      <c r="S196" s="1"/>
      <c r="T196" s="1"/>
      <c r="U196" s="1"/>
      <c r="V196" s="16"/>
      <c r="W196" s="1"/>
      <c r="X196" s="1"/>
    </row>
    <row r="197" spans="1:24">
      <c r="A197" s="15"/>
      <c r="B197" s="15"/>
      <c r="C197" s="16"/>
      <c r="D197" s="16"/>
      <c r="E197" s="16"/>
      <c r="F197" s="16"/>
      <c r="G197" s="16"/>
      <c r="H197" s="16"/>
      <c r="I197" s="16"/>
      <c r="J197" s="16"/>
      <c r="K197" s="16"/>
      <c r="L197" s="16"/>
      <c r="M197" s="25"/>
      <c r="N197" s="25"/>
      <c r="O197" s="16"/>
      <c r="P197" s="1"/>
      <c r="Q197" s="1"/>
      <c r="R197" s="1"/>
      <c r="S197" s="1"/>
      <c r="T197" s="1"/>
      <c r="U197" s="1"/>
      <c r="V197" s="16"/>
      <c r="W197" s="1"/>
      <c r="X197" s="1"/>
    </row>
    <row r="198" spans="1:24">
      <c r="A198" s="15"/>
      <c r="B198" s="15"/>
      <c r="C198" s="16"/>
      <c r="D198" s="16"/>
      <c r="E198" s="16"/>
      <c r="F198" s="16"/>
      <c r="G198" s="16"/>
      <c r="H198" s="16"/>
      <c r="I198" s="16"/>
      <c r="J198" s="16"/>
      <c r="K198" s="16"/>
      <c r="L198" s="16"/>
      <c r="M198" s="25"/>
      <c r="N198" s="25"/>
      <c r="O198" s="16"/>
      <c r="P198" s="1"/>
      <c r="Q198" s="1"/>
      <c r="R198" s="1"/>
      <c r="S198" s="1"/>
      <c r="T198" s="1"/>
      <c r="U198" s="1"/>
      <c r="V198" s="16"/>
      <c r="W198" s="1"/>
      <c r="X198" s="1"/>
    </row>
    <row r="199" spans="1:24">
      <c r="A199" s="15"/>
      <c r="B199" s="15"/>
      <c r="C199" s="16"/>
      <c r="D199" s="16"/>
      <c r="E199" s="16"/>
      <c r="F199" s="16"/>
      <c r="G199" s="16"/>
      <c r="H199" s="16"/>
      <c r="I199" s="16"/>
      <c r="J199" s="16"/>
      <c r="K199" s="16"/>
      <c r="L199" s="16"/>
      <c r="M199" s="25"/>
      <c r="N199" s="25"/>
      <c r="O199" s="16"/>
      <c r="P199" s="1"/>
      <c r="Q199" s="1"/>
      <c r="R199" s="1"/>
      <c r="S199" s="1"/>
      <c r="T199" s="1"/>
      <c r="U199" s="1"/>
      <c r="V199" s="16"/>
      <c r="W199" s="1"/>
      <c r="X199" s="1"/>
    </row>
    <row r="200" spans="1:24">
      <c r="A200" s="15"/>
      <c r="B200" s="15"/>
      <c r="C200" s="16"/>
      <c r="D200" s="16"/>
      <c r="E200" s="16"/>
      <c r="F200" s="16"/>
      <c r="G200" s="16"/>
      <c r="H200" s="16"/>
      <c r="I200" s="16"/>
      <c r="J200" s="16"/>
      <c r="K200" s="16"/>
      <c r="L200" s="16"/>
      <c r="M200" s="25"/>
      <c r="N200" s="25"/>
      <c r="O200" s="16"/>
      <c r="P200" s="1"/>
      <c r="Q200" s="1"/>
      <c r="R200" s="1"/>
      <c r="S200" s="1"/>
      <c r="T200" s="1"/>
      <c r="U200" s="1"/>
      <c r="V200" s="16"/>
      <c r="W200" s="1"/>
      <c r="X200" s="1"/>
    </row>
    <row r="201" spans="1:24">
      <c r="A201" s="15"/>
      <c r="B201" s="15"/>
      <c r="C201" s="16"/>
      <c r="D201" s="16"/>
      <c r="E201" s="16"/>
      <c r="F201" s="16"/>
      <c r="G201" s="16"/>
      <c r="H201" s="16"/>
      <c r="I201" s="16"/>
      <c r="J201" s="16"/>
      <c r="K201" s="16"/>
      <c r="L201" s="16"/>
      <c r="M201" s="25"/>
      <c r="N201" s="25"/>
      <c r="O201" s="16"/>
      <c r="P201" s="1"/>
      <c r="Q201" s="1"/>
      <c r="R201" s="1"/>
      <c r="S201" s="1"/>
      <c r="T201" s="1"/>
      <c r="U201" s="1"/>
      <c r="V201" s="16"/>
      <c r="W201" s="1"/>
      <c r="X201" s="1"/>
    </row>
    <row r="202" spans="1:24">
      <c r="A202" s="15"/>
      <c r="B202" s="15"/>
      <c r="C202" s="16"/>
      <c r="D202" s="16"/>
      <c r="E202" s="16"/>
      <c r="F202" s="16"/>
      <c r="G202" s="16"/>
      <c r="H202" s="16"/>
      <c r="I202" s="16"/>
      <c r="J202" s="16"/>
      <c r="K202" s="16"/>
      <c r="L202" s="16"/>
      <c r="M202" s="25"/>
      <c r="N202" s="25"/>
      <c r="O202" s="16"/>
      <c r="P202" s="1"/>
      <c r="Q202" s="1"/>
      <c r="R202" s="1"/>
      <c r="S202" s="1"/>
      <c r="T202" s="1"/>
      <c r="U202" s="1"/>
      <c r="V202" s="16"/>
      <c r="W202" s="1"/>
      <c r="X202" s="1"/>
    </row>
    <row r="203" spans="1:24">
      <c r="A203" s="15"/>
      <c r="B203" s="15"/>
      <c r="C203" s="16"/>
      <c r="D203" s="16"/>
      <c r="E203" s="16"/>
      <c r="F203" s="16"/>
      <c r="G203" s="16"/>
      <c r="H203" s="16"/>
      <c r="I203" s="16"/>
      <c r="J203" s="16"/>
      <c r="K203" s="16"/>
      <c r="L203" s="16"/>
      <c r="M203" s="25"/>
      <c r="N203" s="25"/>
      <c r="O203" s="16"/>
      <c r="P203" s="1"/>
      <c r="Q203" s="1"/>
      <c r="R203" s="1"/>
      <c r="S203" s="1"/>
      <c r="T203" s="1"/>
      <c r="U203" s="1"/>
      <c r="V203" s="16"/>
      <c r="W203" s="1"/>
      <c r="X203" s="1"/>
    </row>
    <row r="204" spans="1:24">
      <c r="A204" s="15"/>
      <c r="B204" s="15"/>
      <c r="C204" s="16"/>
      <c r="D204" s="16"/>
      <c r="E204" s="16"/>
      <c r="F204" s="16"/>
      <c r="G204" s="16"/>
      <c r="H204" s="16"/>
      <c r="I204" s="16"/>
      <c r="J204" s="16"/>
      <c r="K204" s="16"/>
      <c r="L204" s="16"/>
      <c r="M204" s="25"/>
      <c r="N204" s="25"/>
      <c r="O204" s="16"/>
      <c r="P204" s="1"/>
      <c r="Q204" s="1"/>
      <c r="R204" s="1"/>
      <c r="S204" s="1"/>
      <c r="T204" s="1"/>
      <c r="U204" s="1"/>
      <c r="V204" s="16"/>
      <c r="W204" s="1"/>
      <c r="X204" s="1"/>
    </row>
    <row r="205" spans="1:24">
      <c r="A205" s="15"/>
      <c r="B205" s="15"/>
      <c r="C205" s="16"/>
      <c r="D205" s="16"/>
      <c r="E205" s="16"/>
      <c r="F205" s="16"/>
      <c r="G205" s="16"/>
      <c r="H205" s="16"/>
      <c r="I205" s="16"/>
      <c r="J205" s="16"/>
      <c r="K205" s="16"/>
      <c r="L205" s="16"/>
      <c r="M205" s="25"/>
      <c r="N205" s="25"/>
      <c r="O205" s="16"/>
      <c r="P205" s="1"/>
      <c r="Q205" s="1"/>
      <c r="R205" s="1"/>
      <c r="S205" s="1"/>
      <c r="T205" s="1"/>
      <c r="U205" s="1"/>
      <c r="V205" s="16"/>
      <c r="W205" s="1"/>
      <c r="X205" s="1"/>
    </row>
    <row r="206" spans="1:24">
      <c r="A206" s="15"/>
      <c r="B206" s="15"/>
      <c r="C206" s="16"/>
      <c r="D206" s="16"/>
      <c r="E206" s="16"/>
      <c r="F206" s="16"/>
      <c r="G206" s="16"/>
      <c r="H206" s="16"/>
      <c r="I206" s="16"/>
      <c r="J206" s="16"/>
      <c r="K206" s="16"/>
      <c r="L206" s="16"/>
      <c r="M206" s="25"/>
      <c r="N206" s="25"/>
      <c r="O206" s="16"/>
      <c r="P206" s="1"/>
      <c r="Q206" s="1"/>
      <c r="R206" s="1"/>
      <c r="S206" s="1"/>
      <c r="T206" s="1"/>
      <c r="U206" s="1"/>
      <c r="V206" s="16"/>
      <c r="W206" s="1"/>
      <c r="X206" s="1"/>
    </row>
    <row r="207" spans="1:24">
      <c r="A207" s="15"/>
      <c r="B207" s="15"/>
      <c r="C207" s="16"/>
      <c r="D207" s="16"/>
      <c r="E207" s="16"/>
      <c r="F207" s="16"/>
      <c r="G207" s="16"/>
      <c r="H207" s="16"/>
      <c r="I207" s="16"/>
      <c r="J207" s="16"/>
      <c r="K207" s="16"/>
      <c r="L207" s="16"/>
      <c r="M207" s="25"/>
      <c r="N207" s="25"/>
      <c r="O207" s="16"/>
      <c r="P207" s="1"/>
      <c r="Q207" s="1"/>
      <c r="R207" s="1"/>
      <c r="S207" s="1"/>
      <c r="T207" s="1"/>
      <c r="U207" s="1"/>
      <c r="V207" s="16"/>
      <c r="W207" s="1"/>
      <c r="X207" s="1"/>
    </row>
    <row r="208" spans="1:24">
      <c r="A208" s="15"/>
      <c r="B208" s="15"/>
      <c r="C208" s="16"/>
      <c r="D208" s="16"/>
      <c r="E208" s="16"/>
      <c r="F208" s="16"/>
      <c r="G208" s="16"/>
      <c r="H208" s="16"/>
      <c r="I208" s="16"/>
      <c r="J208" s="16"/>
      <c r="K208" s="16"/>
      <c r="L208" s="16"/>
      <c r="M208" s="25"/>
      <c r="N208" s="25"/>
      <c r="O208" s="16"/>
      <c r="P208" s="1"/>
      <c r="Q208" s="1"/>
      <c r="R208" s="1"/>
      <c r="S208" s="1"/>
      <c r="T208" s="1"/>
      <c r="U208" s="1"/>
      <c r="V208" s="16"/>
      <c r="W208" s="1"/>
      <c r="X208" s="1"/>
    </row>
    <row r="209" spans="1:24">
      <c r="A209" s="15"/>
      <c r="B209" s="15"/>
      <c r="C209" s="16"/>
      <c r="D209" s="16"/>
      <c r="E209" s="16"/>
      <c r="F209" s="16"/>
      <c r="G209" s="16"/>
      <c r="H209" s="16"/>
      <c r="I209" s="16"/>
      <c r="J209" s="16"/>
      <c r="K209" s="16"/>
      <c r="L209" s="16"/>
      <c r="M209" s="25"/>
      <c r="N209" s="25"/>
      <c r="O209" s="16"/>
      <c r="P209" s="1"/>
      <c r="Q209" s="1"/>
      <c r="R209" s="1"/>
      <c r="S209" s="1"/>
      <c r="T209" s="1"/>
      <c r="U209" s="1"/>
      <c r="V209" s="16"/>
      <c r="W209" s="1"/>
      <c r="X209" s="1"/>
    </row>
    <row r="210" spans="1:24">
      <c r="A210" s="15"/>
      <c r="B210" s="15"/>
      <c r="C210" s="16"/>
      <c r="D210" s="16"/>
      <c r="E210" s="16"/>
      <c r="F210" s="16"/>
      <c r="G210" s="16"/>
      <c r="H210" s="16"/>
      <c r="I210" s="16"/>
      <c r="J210" s="16"/>
      <c r="K210" s="16"/>
      <c r="L210" s="16"/>
      <c r="M210" s="25"/>
      <c r="N210" s="25"/>
      <c r="O210" s="16"/>
      <c r="P210" s="1"/>
      <c r="Q210" s="1"/>
      <c r="R210" s="1"/>
      <c r="S210" s="1"/>
      <c r="T210" s="1"/>
      <c r="U210" s="1"/>
      <c r="V210" s="16"/>
      <c r="W210" s="1"/>
      <c r="X210" s="1"/>
    </row>
    <row r="211" spans="1:24">
      <c r="A211" s="15"/>
      <c r="B211" s="15"/>
      <c r="C211" s="16"/>
      <c r="D211" s="16"/>
      <c r="E211" s="16"/>
      <c r="F211" s="16"/>
      <c r="G211" s="16"/>
      <c r="H211" s="16"/>
      <c r="I211" s="16"/>
      <c r="J211" s="16"/>
      <c r="K211" s="16"/>
      <c r="L211" s="16"/>
      <c r="M211" s="25"/>
      <c r="N211" s="25"/>
      <c r="O211" s="16"/>
      <c r="P211" s="1"/>
      <c r="Q211" s="1"/>
      <c r="R211" s="1"/>
      <c r="S211" s="1"/>
      <c r="T211" s="1"/>
      <c r="U211" s="1"/>
      <c r="V211" s="16"/>
      <c r="W211" s="1"/>
      <c r="X211" s="1"/>
    </row>
    <row r="212" spans="1:24">
      <c r="A212" s="15"/>
      <c r="B212" s="15"/>
      <c r="C212" s="16"/>
      <c r="D212" s="16"/>
      <c r="E212" s="16"/>
      <c r="F212" s="16"/>
      <c r="G212" s="16"/>
      <c r="H212" s="16"/>
      <c r="I212" s="16"/>
      <c r="J212" s="16"/>
      <c r="K212" s="16"/>
      <c r="L212" s="16"/>
      <c r="M212" s="25"/>
      <c r="N212" s="25"/>
      <c r="O212" s="16"/>
      <c r="P212" s="1"/>
      <c r="Q212" s="1"/>
      <c r="R212" s="1"/>
      <c r="S212" s="1"/>
      <c r="T212" s="1"/>
      <c r="U212" s="1"/>
      <c r="V212" s="16"/>
      <c r="W212" s="1"/>
      <c r="X212" s="1"/>
    </row>
    <row r="213" spans="1:24">
      <c r="A213" s="15"/>
      <c r="B213" s="15"/>
      <c r="C213" s="16"/>
      <c r="D213" s="16"/>
      <c r="E213" s="16"/>
      <c r="F213" s="16"/>
      <c r="G213" s="16"/>
      <c r="H213" s="16"/>
      <c r="I213" s="16"/>
      <c r="J213" s="16"/>
      <c r="K213" s="16"/>
      <c r="L213" s="16"/>
      <c r="M213" s="25"/>
      <c r="N213" s="25"/>
      <c r="O213" s="16"/>
      <c r="P213" s="1"/>
      <c r="Q213" s="1"/>
      <c r="R213" s="1"/>
      <c r="S213" s="1"/>
      <c r="T213" s="1"/>
      <c r="U213" s="1"/>
      <c r="V213" s="16"/>
      <c r="W213" s="1"/>
      <c r="X213" s="1"/>
    </row>
    <row r="214" spans="1:24">
      <c r="A214" s="15"/>
      <c r="B214" s="15"/>
      <c r="C214" s="16"/>
      <c r="D214" s="16"/>
      <c r="E214" s="16"/>
      <c r="F214" s="16"/>
      <c r="G214" s="16"/>
      <c r="H214" s="16"/>
      <c r="I214" s="16"/>
      <c r="J214" s="16"/>
      <c r="K214" s="16"/>
      <c r="L214" s="16"/>
      <c r="M214" s="25"/>
      <c r="N214" s="25"/>
      <c r="O214" s="16"/>
      <c r="P214" s="1"/>
      <c r="Q214" s="1"/>
      <c r="R214" s="1"/>
      <c r="S214" s="1"/>
      <c r="T214" s="1"/>
      <c r="U214" s="1"/>
      <c r="V214" s="16"/>
      <c r="W214" s="1"/>
      <c r="X214" s="1"/>
    </row>
    <row r="215" spans="1:24">
      <c r="A215" s="15"/>
      <c r="B215" s="15"/>
      <c r="C215" s="16"/>
      <c r="D215" s="16"/>
      <c r="E215" s="16"/>
      <c r="F215" s="16"/>
      <c r="G215" s="16"/>
      <c r="H215" s="16"/>
      <c r="I215" s="16"/>
      <c r="J215" s="16"/>
      <c r="K215" s="16"/>
      <c r="L215" s="16"/>
      <c r="M215" s="25"/>
      <c r="N215" s="25"/>
      <c r="O215" s="16"/>
      <c r="P215" s="1"/>
      <c r="Q215" s="1"/>
      <c r="R215" s="1"/>
      <c r="S215" s="1"/>
      <c r="T215" s="1"/>
      <c r="U215" s="1"/>
      <c r="V215" s="16"/>
      <c r="W215" s="1"/>
      <c r="X215" s="1"/>
    </row>
    <row r="216" spans="1:24">
      <c r="A216" s="15"/>
      <c r="B216" s="15"/>
      <c r="C216" s="16"/>
      <c r="D216" s="16"/>
      <c r="E216" s="16"/>
      <c r="F216" s="16"/>
      <c r="G216" s="16"/>
      <c r="H216" s="16"/>
      <c r="I216" s="16"/>
      <c r="J216" s="16"/>
      <c r="K216" s="16"/>
      <c r="L216" s="16"/>
      <c r="M216" s="25"/>
      <c r="N216" s="25"/>
      <c r="O216" s="16"/>
      <c r="P216" s="1"/>
      <c r="Q216" s="1"/>
      <c r="R216" s="1"/>
      <c r="S216" s="1"/>
      <c r="T216" s="1"/>
      <c r="U216" s="1"/>
      <c r="V216" s="16"/>
      <c r="W216" s="1"/>
      <c r="X216" s="1"/>
    </row>
    <row r="217" spans="1:24">
      <c r="A217" s="15"/>
      <c r="B217" s="15"/>
      <c r="C217" s="16"/>
      <c r="D217" s="16"/>
      <c r="E217" s="16"/>
      <c r="F217" s="16"/>
      <c r="G217" s="16"/>
      <c r="H217" s="16"/>
      <c r="I217" s="16"/>
      <c r="J217" s="16"/>
      <c r="K217" s="16"/>
      <c r="L217" s="16"/>
      <c r="M217" s="25"/>
      <c r="N217" s="25"/>
      <c r="O217" s="16"/>
      <c r="P217" s="1"/>
      <c r="Q217" s="1"/>
      <c r="R217" s="1"/>
      <c r="S217" s="1"/>
      <c r="T217" s="1"/>
      <c r="U217" s="1"/>
      <c r="V217" s="16"/>
      <c r="W217" s="1"/>
      <c r="X217" s="1"/>
    </row>
    <row r="218" spans="1:24">
      <c r="A218" s="15"/>
      <c r="B218" s="15"/>
      <c r="C218" s="16"/>
      <c r="D218" s="16"/>
      <c r="E218" s="16"/>
      <c r="F218" s="16"/>
      <c r="G218" s="16"/>
      <c r="H218" s="16"/>
      <c r="I218" s="16"/>
      <c r="J218" s="16"/>
      <c r="K218" s="16"/>
      <c r="L218" s="16"/>
      <c r="M218" s="25"/>
      <c r="N218" s="25"/>
      <c r="O218" s="16"/>
      <c r="P218" s="1"/>
      <c r="Q218" s="1"/>
      <c r="R218" s="1"/>
      <c r="S218" s="1"/>
      <c r="T218" s="1"/>
      <c r="U218" s="1"/>
      <c r="V218" s="16"/>
      <c r="W218" s="1"/>
      <c r="X218" s="1"/>
    </row>
    <row r="219" spans="1:24">
      <c r="A219" s="15"/>
      <c r="B219" s="15"/>
      <c r="C219" s="16"/>
      <c r="D219" s="16"/>
      <c r="E219" s="16"/>
      <c r="F219" s="16"/>
      <c r="G219" s="16"/>
      <c r="H219" s="16"/>
      <c r="I219" s="16"/>
      <c r="J219" s="16"/>
      <c r="K219" s="16"/>
      <c r="L219" s="16"/>
      <c r="M219" s="25"/>
      <c r="N219" s="25"/>
      <c r="O219" s="16"/>
      <c r="P219" s="1"/>
      <c r="Q219" s="1"/>
      <c r="R219" s="1"/>
      <c r="S219" s="1"/>
      <c r="T219" s="1"/>
      <c r="U219" s="1"/>
      <c r="V219" s="16"/>
      <c r="W219" s="1"/>
      <c r="X219" s="1"/>
    </row>
    <row r="220" spans="1:24">
      <c r="A220" s="15"/>
      <c r="B220" s="15"/>
      <c r="C220" s="16"/>
      <c r="D220" s="16"/>
      <c r="E220" s="16"/>
      <c r="F220" s="16"/>
      <c r="G220" s="16"/>
      <c r="H220" s="16"/>
      <c r="I220" s="16"/>
      <c r="J220" s="16"/>
      <c r="K220" s="16"/>
      <c r="L220" s="16"/>
      <c r="M220" s="25"/>
      <c r="N220" s="25"/>
      <c r="O220" s="16"/>
      <c r="P220" s="1"/>
      <c r="Q220" s="1"/>
      <c r="R220" s="1"/>
      <c r="S220" s="1"/>
      <c r="T220" s="1"/>
      <c r="U220" s="1"/>
      <c r="V220" s="16"/>
      <c r="W220" s="1"/>
      <c r="X220" s="1"/>
    </row>
    <row r="221" spans="1:24">
      <c r="A221" s="15"/>
      <c r="B221" s="15"/>
      <c r="C221" s="16"/>
      <c r="D221" s="16"/>
      <c r="E221" s="16"/>
      <c r="F221" s="16"/>
      <c r="G221" s="16"/>
      <c r="H221" s="16"/>
      <c r="I221" s="16"/>
      <c r="J221" s="16"/>
      <c r="K221" s="16"/>
      <c r="L221" s="16"/>
      <c r="M221" s="25"/>
      <c r="N221" s="25"/>
      <c r="O221" s="16"/>
      <c r="P221" s="1"/>
      <c r="Q221" s="1"/>
      <c r="R221" s="1"/>
      <c r="S221" s="1"/>
      <c r="T221" s="1"/>
      <c r="U221" s="1"/>
      <c r="V221" s="16"/>
      <c r="W221" s="1"/>
      <c r="X221" s="1"/>
    </row>
    <row r="222" spans="1:24">
      <c r="A222" s="15"/>
      <c r="B222" s="15"/>
      <c r="C222" s="16"/>
      <c r="D222" s="16"/>
      <c r="E222" s="16"/>
      <c r="F222" s="16"/>
      <c r="G222" s="16"/>
      <c r="H222" s="16"/>
      <c r="I222" s="16"/>
      <c r="J222" s="16"/>
      <c r="K222" s="16"/>
      <c r="L222" s="16"/>
      <c r="M222" s="25"/>
      <c r="N222" s="25"/>
      <c r="O222" s="16"/>
      <c r="P222" s="1"/>
      <c r="Q222" s="1"/>
      <c r="R222" s="1"/>
      <c r="S222" s="1"/>
      <c r="T222" s="1"/>
      <c r="U222" s="1"/>
      <c r="V222" s="16"/>
      <c r="W222" s="1"/>
      <c r="X222" s="1"/>
    </row>
    <row r="223" spans="1:24">
      <c r="A223" s="15"/>
      <c r="B223" s="15"/>
      <c r="C223" s="16"/>
      <c r="D223" s="16"/>
      <c r="E223" s="16"/>
      <c r="F223" s="16"/>
      <c r="G223" s="16"/>
      <c r="H223" s="16"/>
      <c r="I223" s="16"/>
      <c r="J223" s="16"/>
      <c r="K223" s="16"/>
      <c r="L223" s="16"/>
      <c r="M223" s="25"/>
      <c r="N223" s="25"/>
      <c r="O223" s="16"/>
      <c r="P223" s="1"/>
      <c r="Q223" s="1"/>
      <c r="R223" s="1"/>
      <c r="S223" s="1"/>
      <c r="T223" s="1"/>
      <c r="U223" s="1"/>
      <c r="V223" s="16"/>
      <c r="W223" s="1"/>
      <c r="X223" s="1"/>
    </row>
    <row r="224" spans="1:24">
      <c r="A224" s="15"/>
      <c r="B224" s="15"/>
      <c r="C224" s="16"/>
      <c r="D224" s="16"/>
      <c r="E224" s="16"/>
      <c r="F224" s="16"/>
      <c r="G224" s="16"/>
      <c r="H224" s="16"/>
      <c r="I224" s="16"/>
      <c r="J224" s="16"/>
      <c r="K224" s="16"/>
      <c r="L224" s="16"/>
      <c r="M224" s="25"/>
      <c r="N224" s="25"/>
      <c r="O224" s="16"/>
      <c r="P224" s="1"/>
      <c r="Q224" s="1"/>
      <c r="R224" s="1"/>
      <c r="S224" s="1"/>
      <c r="T224" s="1"/>
      <c r="U224" s="1"/>
      <c r="V224" s="16"/>
      <c r="W224" s="1"/>
      <c r="X224" s="1"/>
    </row>
    <row r="225" spans="1:24">
      <c r="A225" s="15"/>
      <c r="B225" s="15"/>
      <c r="C225" s="16"/>
      <c r="D225" s="16"/>
      <c r="E225" s="16"/>
      <c r="F225" s="16"/>
      <c r="G225" s="16"/>
      <c r="H225" s="16"/>
      <c r="I225" s="16"/>
      <c r="J225" s="16"/>
      <c r="K225" s="16"/>
      <c r="L225" s="16"/>
      <c r="M225" s="25"/>
      <c r="N225" s="25"/>
      <c r="O225" s="16"/>
      <c r="P225" s="1"/>
      <c r="Q225" s="1"/>
      <c r="R225" s="1"/>
      <c r="S225" s="1"/>
      <c r="T225" s="1"/>
      <c r="U225" s="1"/>
      <c r="V225" s="16"/>
      <c r="W225" s="1"/>
      <c r="X225" s="1"/>
    </row>
    <row r="226" spans="1:24">
      <c r="A226" s="15"/>
      <c r="B226" s="15"/>
      <c r="C226" s="16"/>
      <c r="D226" s="16"/>
      <c r="E226" s="16"/>
      <c r="F226" s="16"/>
      <c r="G226" s="16"/>
      <c r="H226" s="16"/>
      <c r="I226" s="16"/>
      <c r="J226" s="16"/>
      <c r="K226" s="16"/>
      <c r="L226" s="16"/>
      <c r="M226" s="25"/>
      <c r="N226" s="25"/>
      <c r="O226" s="16"/>
      <c r="P226" s="1"/>
      <c r="Q226" s="1"/>
      <c r="R226" s="1"/>
      <c r="S226" s="1"/>
      <c r="T226" s="1"/>
      <c r="U226" s="1"/>
      <c r="V226" s="16"/>
      <c r="W226" s="1"/>
      <c r="X226" s="1"/>
    </row>
    <row r="227" spans="1:24">
      <c r="A227" s="15"/>
      <c r="B227" s="15"/>
      <c r="C227" s="16"/>
      <c r="D227" s="16"/>
      <c r="E227" s="16"/>
      <c r="F227" s="16"/>
      <c r="G227" s="16"/>
      <c r="H227" s="16"/>
      <c r="I227" s="16"/>
      <c r="J227" s="16"/>
      <c r="K227" s="16"/>
      <c r="L227" s="16"/>
      <c r="M227" s="25"/>
      <c r="N227" s="25"/>
      <c r="O227" s="16"/>
      <c r="P227" s="1"/>
      <c r="Q227" s="1"/>
      <c r="R227" s="1"/>
      <c r="S227" s="1"/>
      <c r="T227" s="1"/>
      <c r="U227" s="1"/>
      <c r="V227" s="16"/>
      <c r="W227" s="1"/>
      <c r="X227" s="1"/>
    </row>
    <row r="228" spans="1:24">
      <c r="A228" s="15"/>
      <c r="B228" s="15"/>
      <c r="C228" s="16"/>
      <c r="D228" s="16"/>
      <c r="E228" s="16"/>
      <c r="F228" s="16"/>
      <c r="G228" s="16"/>
      <c r="H228" s="16"/>
      <c r="I228" s="16"/>
      <c r="J228" s="16"/>
      <c r="K228" s="16"/>
      <c r="L228" s="16"/>
      <c r="M228" s="25"/>
      <c r="N228" s="25"/>
      <c r="O228" s="16"/>
      <c r="P228" s="1"/>
      <c r="Q228" s="1"/>
      <c r="R228" s="1"/>
      <c r="S228" s="1"/>
      <c r="T228" s="1"/>
      <c r="U228" s="1"/>
      <c r="V228" s="16"/>
      <c r="W228" s="1"/>
      <c r="X228" s="1"/>
    </row>
    <row r="229" spans="1:24">
      <c r="A229" s="15"/>
      <c r="B229" s="15"/>
      <c r="C229" s="16"/>
      <c r="D229" s="16"/>
      <c r="E229" s="16"/>
      <c r="F229" s="16"/>
      <c r="G229" s="16"/>
      <c r="H229" s="16"/>
      <c r="I229" s="16"/>
      <c r="J229" s="16"/>
      <c r="K229" s="16"/>
      <c r="L229" s="16"/>
      <c r="M229" s="25"/>
      <c r="N229" s="25"/>
      <c r="O229" s="16"/>
      <c r="P229" s="1"/>
      <c r="Q229" s="1"/>
      <c r="R229" s="1"/>
      <c r="S229" s="1"/>
      <c r="T229" s="1"/>
      <c r="U229" s="1"/>
      <c r="V229" s="16"/>
      <c r="W229" s="1"/>
      <c r="X229" s="1"/>
    </row>
    <row r="230" spans="1:24">
      <c r="A230" s="15"/>
      <c r="B230" s="15"/>
      <c r="C230" s="16"/>
      <c r="D230" s="16"/>
      <c r="E230" s="16"/>
      <c r="F230" s="16"/>
      <c r="G230" s="16"/>
      <c r="H230" s="16"/>
      <c r="I230" s="16"/>
      <c r="J230" s="16"/>
      <c r="K230" s="16"/>
      <c r="L230" s="16"/>
      <c r="M230" s="25"/>
      <c r="N230" s="25"/>
      <c r="O230" s="16"/>
      <c r="P230" s="1"/>
      <c r="Q230" s="1"/>
      <c r="R230" s="1"/>
      <c r="S230" s="1"/>
      <c r="T230" s="1"/>
      <c r="U230" s="1"/>
      <c r="V230" s="16"/>
      <c r="W230" s="1"/>
      <c r="X230" s="1"/>
    </row>
    <row r="231" spans="1:24">
      <c r="A231" s="15"/>
      <c r="B231" s="15"/>
      <c r="C231" s="16"/>
      <c r="D231" s="16"/>
      <c r="E231" s="16"/>
      <c r="F231" s="16"/>
      <c r="G231" s="16"/>
      <c r="H231" s="16"/>
      <c r="I231" s="16"/>
      <c r="J231" s="16"/>
      <c r="K231" s="16"/>
      <c r="L231" s="16"/>
      <c r="M231" s="25"/>
      <c r="N231" s="25"/>
      <c r="O231" s="16"/>
      <c r="P231" s="1"/>
      <c r="Q231" s="1"/>
      <c r="R231" s="1"/>
      <c r="S231" s="1"/>
      <c r="T231" s="1"/>
      <c r="U231" s="1"/>
      <c r="V231" s="16"/>
      <c r="W231" s="1"/>
      <c r="X231" s="1"/>
    </row>
    <row r="232" spans="1:24">
      <c r="A232" s="15"/>
      <c r="B232" s="15"/>
      <c r="C232" s="16"/>
      <c r="D232" s="16"/>
      <c r="E232" s="16"/>
      <c r="F232" s="16"/>
      <c r="G232" s="16"/>
      <c r="H232" s="16"/>
      <c r="I232" s="16"/>
      <c r="J232" s="16"/>
      <c r="K232" s="16"/>
      <c r="L232" s="16"/>
      <c r="M232" s="25"/>
      <c r="N232" s="25"/>
      <c r="O232" s="16"/>
      <c r="P232" s="1"/>
      <c r="Q232" s="1"/>
      <c r="R232" s="1"/>
      <c r="S232" s="1"/>
      <c r="T232" s="1"/>
      <c r="U232" s="1"/>
      <c r="V232" s="16"/>
      <c r="W232" s="1"/>
      <c r="X232" s="1"/>
    </row>
    <row r="233" spans="1:24">
      <c r="A233" s="15"/>
      <c r="B233" s="15"/>
      <c r="C233" s="16"/>
      <c r="D233" s="16"/>
      <c r="E233" s="16"/>
      <c r="F233" s="16"/>
      <c r="G233" s="16"/>
      <c r="H233" s="16"/>
      <c r="I233" s="16"/>
      <c r="J233" s="16"/>
      <c r="K233" s="16"/>
      <c r="L233" s="16"/>
      <c r="M233" s="25"/>
      <c r="N233" s="25"/>
      <c r="O233" s="16"/>
      <c r="P233" s="1"/>
      <c r="Q233" s="1"/>
      <c r="R233" s="1"/>
      <c r="S233" s="1"/>
      <c r="T233" s="1"/>
      <c r="U233" s="1"/>
      <c r="V233" s="16"/>
      <c r="W233" s="1"/>
      <c r="X233" s="1"/>
    </row>
    <row r="234" spans="1:24">
      <c r="A234" s="15"/>
      <c r="B234" s="15"/>
      <c r="C234" s="16"/>
      <c r="D234" s="16"/>
      <c r="E234" s="16"/>
      <c r="F234" s="16"/>
      <c r="G234" s="16"/>
      <c r="H234" s="16"/>
      <c r="I234" s="16"/>
      <c r="J234" s="16"/>
      <c r="K234" s="16"/>
      <c r="L234" s="16"/>
      <c r="M234" s="25"/>
      <c r="N234" s="25"/>
      <c r="O234" s="16"/>
      <c r="P234" s="1"/>
      <c r="Q234" s="1"/>
      <c r="R234" s="1"/>
      <c r="S234" s="1"/>
      <c r="T234" s="1"/>
      <c r="U234" s="1"/>
      <c r="V234" s="16"/>
      <c r="W234" s="1"/>
      <c r="X234" s="1"/>
    </row>
    <row r="235" spans="1:24">
      <c r="A235" s="15"/>
      <c r="B235" s="15"/>
      <c r="C235" s="16"/>
      <c r="D235" s="16"/>
      <c r="E235" s="16"/>
      <c r="F235" s="16"/>
      <c r="G235" s="16"/>
      <c r="H235" s="16"/>
      <c r="I235" s="16"/>
      <c r="J235" s="16"/>
      <c r="K235" s="16"/>
      <c r="L235" s="16"/>
      <c r="M235" s="25"/>
      <c r="N235" s="25"/>
      <c r="O235" s="16"/>
      <c r="P235" s="1"/>
      <c r="Q235" s="1"/>
      <c r="R235" s="1"/>
      <c r="S235" s="1"/>
      <c r="T235" s="1"/>
      <c r="U235" s="1"/>
      <c r="V235" s="16"/>
      <c r="W235" s="1"/>
      <c r="X235" s="1"/>
    </row>
    <row r="236" spans="1:24">
      <c r="A236" s="15"/>
      <c r="B236" s="15"/>
      <c r="C236" s="16"/>
      <c r="D236" s="16"/>
      <c r="E236" s="16"/>
      <c r="F236" s="16"/>
      <c r="G236" s="16"/>
      <c r="H236" s="16"/>
      <c r="I236" s="16"/>
      <c r="J236" s="16"/>
      <c r="K236" s="16"/>
      <c r="L236" s="16"/>
      <c r="M236" s="25"/>
      <c r="N236" s="25"/>
      <c r="O236" s="16"/>
      <c r="P236" s="1"/>
      <c r="Q236" s="1"/>
      <c r="R236" s="1"/>
      <c r="S236" s="1"/>
      <c r="T236" s="1"/>
      <c r="U236" s="1"/>
      <c r="V236" s="16"/>
      <c r="W236" s="1"/>
      <c r="X236" s="1"/>
    </row>
    <row r="237" spans="1:24">
      <c r="A237" s="15"/>
      <c r="B237" s="15"/>
      <c r="C237" s="16"/>
      <c r="D237" s="16"/>
      <c r="E237" s="16"/>
      <c r="F237" s="16"/>
      <c r="G237" s="16"/>
      <c r="H237" s="16"/>
      <c r="I237" s="16"/>
      <c r="J237" s="16"/>
      <c r="K237" s="16"/>
      <c r="L237" s="16"/>
      <c r="M237" s="25"/>
      <c r="N237" s="25"/>
      <c r="O237" s="16"/>
      <c r="P237" s="1"/>
      <c r="Q237" s="1"/>
      <c r="R237" s="1"/>
      <c r="S237" s="1"/>
      <c r="T237" s="1"/>
      <c r="U237" s="1"/>
      <c r="V237" s="16"/>
      <c r="W237" s="1"/>
      <c r="X237" s="1"/>
    </row>
    <row r="238" spans="1:24">
      <c r="A238" s="15"/>
      <c r="B238" s="15"/>
      <c r="C238" s="16"/>
      <c r="D238" s="16"/>
      <c r="E238" s="16"/>
      <c r="F238" s="16"/>
      <c r="G238" s="16"/>
      <c r="H238" s="16"/>
      <c r="I238" s="16"/>
      <c r="J238" s="16"/>
      <c r="K238" s="16"/>
      <c r="L238" s="16"/>
      <c r="M238" s="25"/>
      <c r="N238" s="25"/>
      <c r="O238" s="16"/>
      <c r="P238" s="1"/>
      <c r="Q238" s="1"/>
      <c r="R238" s="1"/>
      <c r="S238" s="1"/>
      <c r="T238" s="1"/>
      <c r="U238" s="1"/>
      <c r="V238" s="16"/>
      <c r="W238" s="1"/>
      <c r="X238" s="1"/>
    </row>
    <row r="239" spans="1:24">
      <c r="A239" s="15"/>
      <c r="B239" s="15"/>
      <c r="C239" s="16"/>
      <c r="D239" s="16"/>
      <c r="E239" s="16"/>
      <c r="F239" s="16"/>
      <c r="G239" s="16"/>
      <c r="H239" s="16"/>
      <c r="I239" s="16"/>
      <c r="J239" s="16"/>
      <c r="K239" s="16"/>
      <c r="L239" s="16"/>
      <c r="M239" s="25"/>
      <c r="N239" s="25"/>
      <c r="O239" s="16"/>
      <c r="P239" s="1"/>
      <c r="Q239" s="1"/>
      <c r="R239" s="1"/>
      <c r="S239" s="1"/>
      <c r="T239" s="1"/>
      <c r="U239" s="1"/>
      <c r="V239" s="16"/>
      <c r="W239" s="1"/>
      <c r="X239" s="1"/>
    </row>
    <row r="240" spans="1:24">
      <c r="A240" s="15"/>
      <c r="B240" s="15"/>
      <c r="C240" s="16"/>
      <c r="D240" s="16"/>
      <c r="E240" s="16"/>
      <c r="F240" s="16"/>
      <c r="G240" s="16"/>
      <c r="H240" s="16"/>
      <c r="I240" s="16"/>
      <c r="J240" s="16"/>
      <c r="K240" s="16"/>
      <c r="L240" s="16"/>
      <c r="M240" s="25"/>
      <c r="N240" s="25"/>
      <c r="O240" s="16"/>
      <c r="P240" s="1"/>
      <c r="Q240" s="1"/>
      <c r="R240" s="1"/>
      <c r="S240" s="1"/>
      <c r="T240" s="1"/>
      <c r="U240" s="1"/>
      <c r="V240" s="16"/>
      <c r="W240" s="1"/>
      <c r="X240" s="1"/>
    </row>
    <row r="241" spans="1:24">
      <c r="A241" s="15"/>
      <c r="B241" s="15"/>
      <c r="C241" s="16"/>
      <c r="D241" s="16"/>
      <c r="E241" s="16"/>
      <c r="F241" s="16"/>
      <c r="G241" s="16"/>
      <c r="H241" s="16"/>
      <c r="I241" s="16"/>
      <c r="J241" s="16"/>
      <c r="K241" s="16"/>
      <c r="L241" s="16"/>
      <c r="M241" s="25"/>
      <c r="N241" s="25"/>
      <c r="O241" s="16"/>
      <c r="P241" s="1"/>
      <c r="Q241" s="1"/>
      <c r="R241" s="1"/>
      <c r="S241" s="1"/>
      <c r="T241" s="1"/>
      <c r="U241" s="1"/>
      <c r="V241" s="16"/>
      <c r="W241" s="1"/>
      <c r="X241" s="1"/>
    </row>
    <row r="242" spans="1:24">
      <c r="A242" s="15"/>
      <c r="B242" s="15"/>
      <c r="C242" s="16"/>
      <c r="D242" s="16"/>
      <c r="E242" s="16"/>
      <c r="F242" s="16"/>
      <c r="G242" s="16"/>
      <c r="H242" s="16"/>
      <c r="I242" s="16"/>
      <c r="J242" s="16"/>
      <c r="K242" s="16"/>
      <c r="L242" s="16"/>
      <c r="M242" s="25"/>
      <c r="N242" s="25"/>
      <c r="O242" s="16"/>
      <c r="P242" s="1"/>
      <c r="Q242" s="1"/>
      <c r="R242" s="1"/>
      <c r="S242" s="1"/>
      <c r="T242" s="1"/>
      <c r="U242" s="1"/>
      <c r="V242" s="16"/>
      <c r="W242" s="1"/>
      <c r="X242" s="1"/>
    </row>
    <row r="243" spans="1:24">
      <c r="A243" s="15"/>
      <c r="B243" s="15"/>
      <c r="C243" s="16"/>
      <c r="D243" s="16"/>
      <c r="E243" s="16"/>
      <c r="F243" s="16"/>
      <c r="G243" s="16"/>
      <c r="H243" s="16"/>
      <c r="I243" s="16"/>
      <c r="J243" s="16"/>
      <c r="K243" s="16"/>
      <c r="L243" s="16"/>
      <c r="M243" s="25"/>
      <c r="N243" s="25"/>
      <c r="O243" s="16"/>
      <c r="P243" s="1"/>
      <c r="Q243" s="1"/>
      <c r="R243" s="1"/>
      <c r="S243" s="1"/>
      <c r="T243" s="1"/>
      <c r="U243" s="1"/>
      <c r="V243" s="16"/>
      <c r="W243" s="1"/>
      <c r="X243" s="1"/>
    </row>
    <row r="244" spans="1:24">
      <c r="A244" s="15"/>
      <c r="B244" s="15"/>
      <c r="C244" s="16"/>
      <c r="D244" s="16"/>
      <c r="E244" s="16"/>
      <c r="F244" s="16"/>
      <c r="G244" s="16"/>
      <c r="H244" s="16"/>
      <c r="I244" s="16"/>
      <c r="J244" s="16"/>
      <c r="K244" s="16"/>
      <c r="L244" s="16"/>
      <c r="M244" s="25"/>
      <c r="N244" s="25"/>
      <c r="O244" s="16"/>
      <c r="P244" s="1"/>
      <c r="Q244" s="1"/>
      <c r="R244" s="1"/>
      <c r="S244" s="1"/>
      <c r="T244" s="1"/>
      <c r="U244" s="1"/>
      <c r="V244" s="16"/>
      <c r="W244" s="1"/>
      <c r="X244" s="1"/>
    </row>
    <row r="245" spans="1:24">
      <c r="A245" s="15"/>
      <c r="B245" s="15"/>
      <c r="C245" s="16"/>
      <c r="D245" s="16"/>
      <c r="E245" s="16"/>
      <c r="F245" s="16"/>
      <c r="G245" s="16"/>
      <c r="H245" s="16"/>
      <c r="I245" s="16"/>
      <c r="J245" s="16"/>
      <c r="K245" s="16"/>
      <c r="L245" s="16"/>
      <c r="M245" s="25"/>
      <c r="N245" s="25"/>
      <c r="O245" s="16"/>
      <c r="P245" s="1"/>
      <c r="Q245" s="1"/>
      <c r="R245" s="1"/>
      <c r="S245" s="1"/>
      <c r="T245" s="1"/>
      <c r="U245" s="1"/>
      <c r="V245" s="16"/>
      <c r="W245" s="1"/>
      <c r="X245" s="1"/>
    </row>
    <row r="246" spans="1:24">
      <c r="A246" s="15"/>
      <c r="B246" s="15"/>
      <c r="C246" s="16"/>
      <c r="D246" s="16"/>
      <c r="E246" s="16"/>
      <c r="F246" s="16"/>
      <c r="G246" s="16"/>
      <c r="H246" s="16"/>
      <c r="I246" s="16"/>
      <c r="J246" s="16"/>
      <c r="K246" s="16"/>
      <c r="L246" s="16"/>
      <c r="M246" s="25"/>
      <c r="N246" s="25"/>
      <c r="O246" s="16"/>
      <c r="P246" s="1"/>
      <c r="Q246" s="1"/>
      <c r="R246" s="1"/>
      <c r="S246" s="1"/>
      <c r="T246" s="1"/>
      <c r="U246" s="1"/>
      <c r="V246" s="16"/>
      <c r="W246" s="1"/>
      <c r="X246" s="1"/>
    </row>
    <row r="247" spans="1:24">
      <c r="A247" s="15"/>
      <c r="B247" s="15"/>
      <c r="C247" s="16"/>
      <c r="D247" s="16"/>
      <c r="E247" s="16"/>
      <c r="F247" s="16"/>
      <c r="G247" s="16"/>
      <c r="H247" s="16"/>
      <c r="I247" s="16"/>
      <c r="J247" s="16"/>
      <c r="K247" s="16"/>
      <c r="L247" s="16"/>
      <c r="M247" s="25"/>
      <c r="N247" s="25"/>
      <c r="O247" s="16"/>
      <c r="P247" s="1"/>
      <c r="Q247" s="1"/>
      <c r="R247" s="1"/>
      <c r="S247" s="1"/>
      <c r="T247" s="1"/>
      <c r="U247" s="1"/>
      <c r="V247" s="16"/>
      <c r="W247" s="1"/>
      <c r="X247" s="1"/>
    </row>
    <row r="248" spans="1:24">
      <c r="A248" s="15"/>
      <c r="B248" s="15"/>
      <c r="C248" s="16"/>
      <c r="D248" s="16"/>
      <c r="E248" s="16"/>
      <c r="F248" s="16"/>
      <c r="G248" s="16"/>
      <c r="H248" s="16"/>
      <c r="I248" s="16"/>
      <c r="J248" s="16"/>
      <c r="K248" s="16"/>
      <c r="L248" s="16"/>
      <c r="M248" s="25"/>
      <c r="N248" s="25"/>
      <c r="O248" s="16"/>
      <c r="P248" s="1"/>
      <c r="Q248" s="1"/>
      <c r="R248" s="1"/>
      <c r="S248" s="1"/>
      <c r="T248" s="1"/>
      <c r="U248" s="1"/>
      <c r="V248" s="16"/>
      <c r="W248" s="1"/>
      <c r="X248" s="1"/>
    </row>
    <row r="249" spans="1:24">
      <c r="A249" s="15"/>
      <c r="B249" s="15"/>
      <c r="C249" s="16"/>
      <c r="D249" s="16"/>
      <c r="E249" s="16"/>
      <c r="F249" s="16"/>
      <c r="G249" s="16"/>
      <c r="H249" s="16"/>
      <c r="I249" s="16"/>
      <c r="J249" s="16"/>
      <c r="K249" s="16"/>
      <c r="L249" s="16"/>
      <c r="M249" s="25"/>
      <c r="N249" s="25"/>
      <c r="O249" s="16"/>
      <c r="P249" s="1"/>
      <c r="Q249" s="1"/>
      <c r="R249" s="1"/>
      <c r="S249" s="1"/>
      <c r="T249" s="1"/>
      <c r="U249" s="1"/>
      <c r="V249" s="16"/>
      <c r="W249" s="1"/>
      <c r="X249" s="1"/>
    </row>
    <row r="250" spans="1:24">
      <c r="A250" s="15"/>
      <c r="B250" s="15"/>
      <c r="C250" s="16"/>
      <c r="D250" s="16"/>
      <c r="E250" s="16"/>
      <c r="F250" s="16"/>
      <c r="G250" s="16"/>
      <c r="H250" s="16"/>
      <c r="I250" s="16"/>
      <c r="J250" s="16"/>
      <c r="K250" s="16"/>
      <c r="L250" s="16"/>
      <c r="M250" s="25"/>
      <c r="N250" s="25"/>
      <c r="O250" s="16"/>
      <c r="P250" s="1"/>
      <c r="Q250" s="1"/>
      <c r="R250" s="1"/>
      <c r="S250" s="1"/>
      <c r="T250" s="1"/>
      <c r="U250" s="1"/>
      <c r="V250" s="16"/>
      <c r="W250" s="1"/>
      <c r="X250" s="1"/>
    </row>
    <row r="251" spans="1:24">
      <c r="A251" s="15"/>
      <c r="B251" s="15"/>
      <c r="C251" s="16"/>
      <c r="D251" s="16"/>
      <c r="E251" s="16"/>
      <c r="F251" s="16"/>
      <c r="G251" s="16"/>
      <c r="H251" s="16"/>
      <c r="I251" s="16"/>
      <c r="J251" s="16"/>
      <c r="K251" s="16"/>
      <c r="L251" s="16"/>
      <c r="M251" s="25"/>
      <c r="N251" s="25"/>
      <c r="O251" s="16"/>
      <c r="P251" s="1"/>
      <c r="Q251" s="1"/>
      <c r="R251" s="1"/>
      <c r="S251" s="1"/>
      <c r="T251" s="1"/>
      <c r="U251" s="1"/>
      <c r="V251" s="16"/>
      <c r="W251" s="1"/>
      <c r="X251" s="1"/>
    </row>
    <row r="252" spans="1:24">
      <c r="A252" s="15"/>
      <c r="B252" s="15"/>
      <c r="C252" s="16"/>
      <c r="D252" s="16"/>
      <c r="E252" s="16"/>
      <c r="F252" s="16"/>
      <c r="G252" s="16"/>
      <c r="H252" s="16"/>
      <c r="I252" s="16"/>
      <c r="J252" s="16"/>
      <c r="K252" s="16"/>
      <c r="L252" s="16"/>
      <c r="M252" s="25"/>
      <c r="N252" s="25"/>
      <c r="O252" s="16"/>
      <c r="P252" s="1"/>
      <c r="Q252" s="1"/>
      <c r="R252" s="1"/>
      <c r="S252" s="1"/>
      <c r="T252" s="1"/>
      <c r="U252" s="1"/>
      <c r="V252" s="16"/>
      <c r="W252" s="1"/>
      <c r="X252" s="1"/>
    </row>
    <row r="253" spans="1:24">
      <c r="A253" s="15"/>
      <c r="B253" s="15"/>
      <c r="C253" s="16"/>
      <c r="D253" s="16"/>
      <c r="E253" s="16"/>
      <c r="F253" s="16"/>
      <c r="G253" s="16"/>
      <c r="H253" s="16"/>
      <c r="I253" s="16"/>
      <c r="J253" s="16"/>
      <c r="K253" s="16"/>
      <c r="L253" s="16"/>
      <c r="M253" s="25"/>
      <c r="N253" s="25"/>
      <c r="O253" s="16"/>
      <c r="P253" s="1"/>
      <c r="Q253" s="1"/>
      <c r="R253" s="1"/>
      <c r="S253" s="1"/>
      <c r="T253" s="1"/>
      <c r="U253" s="1"/>
      <c r="V253" s="16"/>
      <c r="W253" s="1"/>
      <c r="X253" s="1"/>
    </row>
    <row r="254" spans="1:24">
      <c r="A254" s="15"/>
      <c r="B254" s="15"/>
      <c r="C254" s="16"/>
      <c r="D254" s="16"/>
      <c r="E254" s="16"/>
      <c r="F254" s="16"/>
      <c r="G254" s="16"/>
      <c r="H254" s="16"/>
      <c r="I254" s="16"/>
      <c r="J254" s="16"/>
      <c r="K254" s="16"/>
      <c r="L254" s="16"/>
      <c r="M254" s="25"/>
      <c r="N254" s="25"/>
      <c r="O254" s="16"/>
      <c r="P254" s="1"/>
      <c r="Q254" s="1"/>
      <c r="R254" s="1"/>
      <c r="S254" s="1"/>
      <c r="T254" s="1"/>
      <c r="U254" s="1"/>
      <c r="V254" s="16"/>
      <c r="W254" s="1"/>
      <c r="X254" s="1"/>
    </row>
    <row r="255" spans="1:24">
      <c r="A255" s="15"/>
      <c r="B255" s="15"/>
      <c r="C255" s="16"/>
      <c r="D255" s="16"/>
      <c r="E255" s="16"/>
      <c r="F255" s="16"/>
      <c r="G255" s="16"/>
      <c r="H255" s="16"/>
      <c r="I255" s="16"/>
      <c r="J255" s="16"/>
      <c r="K255" s="16"/>
      <c r="L255" s="16"/>
      <c r="M255" s="25"/>
      <c r="N255" s="25"/>
      <c r="O255" s="16"/>
      <c r="P255" s="1"/>
      <c r="Q255" s="1"/>
      <c r="R255" s="1"/>
      <c r="S255" s="1"/>
      <c r="T255" s="1"/>
      <c r="U255" s="1"/>
      <c r="V255" s="16"/>
      <c r="W255" s="1"/>
      <c r="X255" s="1"/>
    </row>
    <row r="256" spans="1:24">
      <c r="A256" s="15"/>
      <c r="B256" s="15"/>
      <c r="C256" s="16"/>
      <c r="D256" s="16"/>
      <c r="E256" s="16"/>
      <c r="F256" s="16"/>
      <c r="G256" s="16"/>
      <c r="H256" s="16"/>
      <c r="I256" s="16"/>
      <c r="J256" s="16"/>
      <c r="K256" s="16"/>
      <c r="L256" s="16"/>
      <c r="M256" s="25"/>
      <c r="N256" s="25"/>
      <c r="O256" s="16"/>
      <c r="P256" s="1"/>
      <c r="Q256" s="1"/>
      <c r="R256" s="1"/>
      <c r="S256" s="1"/>
      <c r="T256" s="1"/>
      <c r="U256" s="1"/>
      <c r="V256" s="16"/>
      <c r="W256" s="1"/>
      <c r="X256" s="1"/>
    </row>
    <row r="257" spans="1:24">
      <c r="A257" s="15"/>
      <c r="B257" s="15"/>
      <c r="C257" s="16"/>
      <c r="D257" s="16"/>
      <c r="E257" s="16"/>
      <c r="F257" s="16"/>
      <c r="G257" s="16"/>
      <c r="H257" s="16"/>
      <c r="I257" s="16"/>
      <c r="J257" s="16"/>
      <c r="K257" s="16"/>
      <c r="L257" s="16"/>
      <c r="M257" s="25"/>
      <c r="N257" s="25"/>
      <c r="O257" s="16"/>
      <c r="P257" s="1"/>
      <c r="Q257" s="1"/>
      <c r="R257" s="1"/>
      <c r="S257" s="1"/>
      <c r="T257" s="1"/>
      <c r="U257" s="1"/>
      <c r="V257" s="16"/>
      <c r="W257" s="1"/>
      <c r="X257" s="1"/>
    </row>
    <row r="258" spans="1:24">
      <c r="A258" s="15"/>
      <c r="B258" s="15"/>
      <c r="C258" s="16"/>
      <c r="D258" s="16"/>
      <c r="E258" s="16"/>
      <c r="F258" s="16"/>
      <c r="G258" s="16"/>
      <c r="H258" s="16"/>
      <c r="I258" s="16"/>
      <c r="J258" s="16"/>
      <c r="K258" s="16"/>
      <c r="L258" s="16"/>
      <c r="M258" s="25"/>
      <c r="N258" s="25"/>
      <c r="O258" s="16"/>
      <c r="P258" s="1"/>
      <c r="Q258" s="1"/>
      <c r="R258" s="1"/>
      <c r="S258" s="1"/>
      <c r="T258" s="1"/>
      <c r="U258" s="1"/>
      <c r="V258" s="16"/>
      <c r="W258" s="1"/>
      <c r="X258" s="1"/>
    </row>
    <row r="259" spans="1:24">
      <c r="A259" s="15"/>
      <c r="B259" s="15"/>
      <c r="C259" s="16"/>
      <c r="D259" s="16"/>
      <c r="E259" s="16"/>
      <c r="F259" s="16"/>
      <c r="G259" s="16"/>
      <c r="H259" s="16"/>
      <c r="I259" s="16"/>
      <c r="J259" s="16"/>
      <c r="K259" s="16"/>
      <c r="L259" s="16"/>
      <c r="M259" s="25"/>
      <c r="N259" s="25"/>
      <c r="O259" s="16"/>
      <c r="P259" s="1"/>
      <c r="Q259" s="1"/>
      <c r="R259" s="1"/>
      <c r="S259" s="1"/>
      <c r="T259" s="1"/>
      <c r="U259" s="1"/>
      <c r="V259" s="16"/>
      <c r="W259" s="1"/>
      <c r="X259" s="1"/>
    </row>
    <row r="260" spans="1:24">
      <c r="A260" s="15"/>
      <c r="B260" s="15"/>
      <c r="C260" s="16"/>
      <c r="D260" s="16"/>
      <c r="E260" s="16"/>
      <c r="F260" s="16"/>
      <c r="G260" s="16"/>
      <c r="H260" s="16"/>
      <c r="I260" s="16"/>
      <c r="J260" s="16"/>
      <c r="K260" s="16"/>
      <c r="L260" s="16"/>
      <c r="M260" s="25"/>
      <c r="N260" s="25"/>
      <c r="O260" s="16"/>
      <c r="P260" s="1"/>
      <c r="Q260" s="1"/>
      <c r="R260" s="1"/>
      <c r="S260" s="1"/>
      <c r="T260" s="1"/>
      <c r="U260" s="1"/>
      <c r="V260" s="16"/>
      <c r="W260" s="1"/>
      <c r="X260" s="1"/>
    </row>
    <row r="261" spans="1:24">
      <c r="A261" s="15"/>
      <c r="B261" s="15"/>
      <c r="C261" s="16"/>
      <c r="D261" s="16"/>
      <c r="E261" s="16"/>
      <c r="F261" s="16"/>
      <c r="G261" s="16"/>
      <c r="H261" s="16"/>
      <c r="I261" s="16"/>
      <c r="J261" s="16"/>
      <c r="K261" s="16"/>
      <c r="L261" s="16"/>
      <c r="M261" s="25"/>
      <c r="N261" s="25"/>
      <c r="O261" s="16"/>
      <c r="P261" s="1"/>
      <c r="Q261" s="1"/>
      <c r="R261" s="1"/>
      <c r="S261" s="1"/>
      <c r="T261" s="1"/>
      <c r="U261" s="1"/>
      <c r="V261" s="16"/>
      <c r="W261" s="1"/>
      <c r="X261" s="1"/>
    </row>
    <row r="262" spans="1:24">
      <c r="A262" s="15"/>
      <c r="B262" s="15"/>
      <c r="C262" s="16"/>
      <c r="D262" s="16"/>
      <c r="E262" s="16"/>
      <c r="F262" s="16"/>
      <c r="G262" s="16"/>
      <c r="H262" s="16"/>
      <c r="I262" s="16"/>
      <c r="J262" s="16"/>
      <c r="K262" s="16"/>
      <c r="L262" s="16"/>
      <c r="M262" s="25"/>
      <c r="N262" s="25"/>
      <c r="O262" s="16"/>
      <c r="P262" s="1"/>
      <c r="Q262" s="1"/>
      <c r="R262" s="1"/>
      <c r="S262" s="1"/>
      <c r="T262" s="1"/>
      <c r="U262" s="1"/>
      <c r="V262" s="16"/>
      <c r="W262" s="1"/>
      <c r="X262" s="1"/>
    </row>
    <row r="263" spans="1:24">
      <c r="A263" s="15"/>
      <c r="B263" s="15"/>
      <c r="C263" s="16"/>
      <c r="D263" s="16"/>
      <c r="E263" s="16"/>
      <c r="F263" s="16"/>
      <c r="G263" s="16"/>
      <c r="H263" s="16"/>
      <c r="I263" s="16"/>
      <c r="J263" s="16"/>
      <c r="K263" s="16"/>
      <c r="L263" s="16"/>
      <c r="M263" s="25"/>
      <c r="N263" s="25"/>
      <c r="O263" s="16"/>
      <c r="P263" s="1"/>
      <c r="Q263" s="1"/>
      <c r="R263" s="1"/>
      <c r="S263" s="1"/>
      <c r="T263" s="1"/>
      <c r="U263" s="1"/>
      <c r="V263" s="16"/>
      <c r="W263" s="1"/>
      <c r="X263" s="1"/>
    </row>
    <row r="264" spans="1:24">
      <c r="A264" s="15"/>
      <c r="B264" s="15"/>
      <c r="C264" s="16"/>
      <c r="D264" s="16"/>
      <c r="E264" s="16"/>
      <c r="F264" s="16"/>
      <c r="G264" s="16"/>
      <c r="H264" s="16"/>
      <c r="I264" s="16"/>
      <c r="J264" s="16"/>
      <c r="K264" s="16"/>
      <c r="L264" s="16"/>
      <c r="M264" s="25"/>
      <c r="N264" s="25"/>
      <c r="O264" s="16"/>
      <c r="P264" s="1"/>
      <c r="Q264" s="1"/>
      <c r="R264" s="1"/>
      <c r="S264" s="1"/>
      <c r="T264" s="1"/>
      <c r="U264" s="1"/>
      <c r="V264" s="16"/>
      <c r="W264" s="1"/>
      <c r="X264" s="1"/>
    </row>
    <row r="265" spans="1:24">
      <c r="A265" s="15"/>
      <c r="B265" s="15"/>
      <c r="C265" s="16"/>
      <c r="D265" s="16"/>
      <c r="E265" s="16"/>
      <c r="F265" s="16"/>
      <c r="G265" s="16"/>
      <c r="H265" s="16"/>
      <c r="I265" s="16"/>
      <c r="J265" s="16"/>
      <c r="K265" s="16"/>
      <c r="L265" s="16"/>
      <c r="M265" s="25"/>
      <c r="N265" s="25"/>
      <c r="O265" s="16"/>
      <c r="P265" s="1"/>
      <c r="Q265" s="1"/>
      <c r="R265" s="1"/>
      <c r="S265" s="1"/>
      <c r="T265" s="1"/>
      <c r="U265" s="1"/>
      <c r="V265" s="16"/>
      <c r="W265" s="1"/>
      <c r="X265" s="1"/>
    </row>
    <row r="266" spans="1:24">
      <c r="A266" s="15"/>
      <c r="B266" s="15"/>
      <c r="C266" s="16"/>
      <c r="D266" s="16"/>
      <c r="E266" s="16"/>
      <c r="F266" s="16"/>
      <c r="G266" s="16"/>
      <c r="H266" s="16"/>
      <c r="I266" s="16"/>
      <c r="J266" s="16"/>
      <c r="K266" s="16"/>
      <c r="L266" s="16"/>
      <c r="M266" s="25"/>
      <c r="N266" s="25"/>
      <c r="O266" s="16"/>
      <c r="P266" s="1"/>
      <c r="Q266" s="1"/>
      <c r="R266" s="1"/>
      <c r="S266" s="1"/>
      <c r="T266" s="1"/>
      <c r="U266" s="1"/>
      <c r="V266" s="16"/>
      <c r="W266" s="1"/>
      <c r="X266" s="1"/>
    </row>
    <row r="267" spans="1:24">
      <c r="A267" s="15"/>
      <c r="B267" s="15"/>
      <c r="C267" s="16"/>
      <c r="D267" s="16"/>
      <c r="E267" s="16"/>
      <c r="F267" s="16"/>
      <c r="G267" s="16"/>
      <c r="H267" s="16"/>
      <c r="I267" s="16"/>
      <c r="J267" s="16"/>
      <c r="K267" s="16"/>
      <c r="L267" s="16"/>
      <c r="M267" s="25"/>
      <c r="N267" s="25"/>
      <c r="O267" s="16"/>
      <c r="P267" s="1"/>
      <c r="Q267" s="1"/>
      <c r="R267" s="1"/>
      <c r="S267" s="1"/>
      <c r="T267" s="1"/>
      <c r="U267" s="1"/>
      <c r="V267" s="16"/>
      <c r="W267" s="1"/>
      <c r="X267" s="1"/>
    </row>
    <row r="268" spans="1:24">
      <c r="A268" s="15"/>
      <c r="B268" s="15"/>
      <c r="C268" s="16"/>
      <c r="D268" s="16"/>
      <c r="E268" s="16"/>
      <c r="F268" s="16"/>
      <c r="G268" s="16"/>
      <c r="H268" s="16"/>
      <c r="I268" s="16"/>
      <c r="J268" s="16"/>
      <c r="K268" s="16"/>
      <c r="L268" s="16"/>
      <c r="M268" s="25"/>
      <c r="N268" s="25"/>
      <c r="O268" s="16"/>
      <c r="P268" s="1"/>
      <c r="Q268" s="1"/>
      <c r="R268" s="1"/>
      <c r="S268" s="1"/>
      <c r="T268" s="1"/>
      <c r="U268" s="1"/>
      <c r="V268" s="16"/>
      <c r="W268" s="1"/>
      <c r="X268" s="1"/>
    </row>
    <row r="269" spans="1:24">
      <c r="A269" s="15"/>
      <c r="B269" s="15"/>
      <c r="C269" s="16"/>
      <c r="D269" s="16"/>
      <c r="E269" s="16"/>
      <c r="F269" s="16"/>
      <c r="G269" s="16"/>
      <c r="H269" s="16"/>
      <c r="I269" s="16"/>
      <c r="J269" s="16"/>
      <c r="K269" s="16"/>
      <c r="L269" s="16"/>
      <c r="M269" s="25"/>
      <c r="N269" s="25"/>
      <c r="O269" s="16"/>
      <c r="P269" s="1"/>
      <c r="Q269" s="1"/>
      <c r="R269" s="1"/>
      <c r="S269" s="1"/>
      <c r="T269" s="1"/>
      <c r="U269" s="1"/>
      <c r="V269" s="16"/>
      <c r="W269" s="1"/>
      <c r="X269" s="1"/>
    </row>
    <row r="270" spans="1:24">
      <c r="A270" s="15"/>
      <c r="B270" s="15"/>
      <c r="C270" s="16"/>
      <c r="D270" s="16"/>
      <c r="E270" s="16"/>
      <c r="F270" s="16"/>
      <c r="G270" s="16"/>
      <c r="H270" s="16"/>
      <c r="I270" s="16"/>
      <c r="J270" s="16"/>
      <c r="K270" s="16"/>
      <c r="L270" s="16"/>
      <c r="M270" s="25"/>
      <c r="N270" s="25"/>
      <c r="O270" s="16"/>
      <c r="P270" s="1"/>
      <c r="Q270" s="1"/>
      <c r="R270" s="1"/>
      <c r="S270" s="1"/>
      <c r="T270" s="1"/>
      <c r="U270" s="1"/>
      <c r="V270" s="16"/>
      <c r="W270" s="1"/>
      <c r="X270" s="1"/>
    </row>
    <row r="271" spans="1:24">
      <c r="A271" s="15"/>
      <c r="B271" s="15"/>
      <c r="C271" s="16"/>
      <c r="D271" s="16"/>
      <c r="E271" s="16"/>
      <c r="F271" s="16"/>
      <c r="G271" s="16"/>
      <c r="H271" s="16"/>
      <c r="I271" s="16"/>
      <c r="J271" s="16"/>
      <c r="K271" s="16"/>
      <c r="L271" s="16"/>
      <c r="M271" s="25"/>
      <c r="N271" s="25"/>
      <c r="O271" s="16"/>
      <c r="P271" s="1"/>
      <c r="Q271" s="1"/>
      <c r="R271" s="1"/>
      <c r="S271" s="1"/>
      <c r="T271" s="1"/>
      <c r="U271" s="1"/>
      <c r="V271" s="16"/>
      <c r="W271" s="1"/>
      <c r="X271" s="1"/>
    </row>
    <row r="272" spans="1:24">
      <c r="A272" s="15"/>
      <c r="B272" s="15"/>
      <c r="C272" s="16"/>
      <c r="D272" s="16"/>
      <c r="E272" s="16"/>
      <c r="F272" s="16"/>
      <c r="G272" s="16"/>
      <c r="H272" s="16"/>
      <c r="I272" s="16"/>
      <c r="J272" s="16"/>
      <c r="K272" s="16"/>
      <c r="L272" s="16"/>
      <c r="M272" s="25"/>
      <c r="N272" s="25"/>
      <c r="O272" s="16"/>
      <c r="P272" s="1"/>
      <c r="Q272" s="1"/>
      <c r="R272" s="1"/>
      <c r="S272" s="1"/>
      <c r="T272" s="1"/>
      <c r="U272" s="1"/>
      <c r="V272" s="16"/>
      <c r="W272" s="1"/>
      <c r="X272" s="1"/>
    </row>
    <row r="273" spans="1:24">
      <c r="A273" s="15"/>
      <c r="B273" s="15"/>
      <c r="C273" s="16"/>
      <c r="D273" s="16"/>
      <c r="E273" s="16"/>
      <c r="F273" s="16"/>
      <c r="G273" s="16"/>
      <c r="H273" s="16"/>
      <c r="I273" s="16"/>
      <c r="J273" s="16"/>
      <c r="K273" s="16"/>
      <c r="L273" s="16"/>
      <c r="M273" s="25"/>
      <c r="N273" s="25"/>
      <c r="O273" s="16"/>
      <c r="P273" s="1"/>
      <c r="Q273" s="1"/>
      <c r="R273" s="1"/>
      <c r="S273" s="1"/>
      <c r="T273" s="1"/>
      <c r="U273" s="1"/>
      <c r="V273" s="16"/>
      <c r="W273" s="1"/>
      <c r="X273" s="1"/>
    </row>
    <row r="274" spans="1:24">
      <c r="A274" s="15"/>
      <c r="B274" s="15"/>
      <c r="C274" s="16"/>
      <c r="D274" s="16"/>
      <c r="E274" s="16"/>
      <c r="F274" s="16"/>
      <c r="G274" s="16"/>
      <c r="H274" s="16"/>
      <c r="I274" s="16"/>
      <c r="J274" s="16"/>
      <c r="K274" s="16"/>
      <c r="L274" s="16"/>
      <c r="M274" s="25"/>
      <c r="N274" s="25"/>
      <c r="O274" s="16"/>
      <c r="P274" s="1"/>
      <c r="Q274" s="1"/>
      <c r="R274" s="1"/>
      <c r="S274" s="1"/>
      <c r="T274" s="1"/>
      <c r="U274" s="1"/>
      <c r="V274" s="16"/>
      <c r="W274" s="1"/>
      <c r="X274" s="1"/>
    </row>
    <row r="275" spans="1:24">
      <c r="A275" s="15"/>
      <c r="B275" s="15"/>
      <c r="C275" s="16"/>
      <c r="D275" s="16"/>
      <c r="E275" s="16"/>
      <c r="F275" s="16"/>
      <c r="G275" s="16"/>
      <c r="H275" s="16"/>
      <c r="I275" s="16"/>
      <c r="J275" s="16"/>
      <c r="K275" s="16"/>
      <c r="L275" s="16"/>
      <c r="M275" s="25"/>
      <c r="N275" s="25"/>
      <c r="O275" s="16"/>
      <c r="P275" s="1"/>
      <c r="Q275" s="1"/>
      <c r="R275" s="1"/>
      <c r="S275" s="1"/>
      <c r="T275" s="1"/>
      <c r="U275" s="1"/>
      <c r="V275" s="16"/>
      <c r="W275" s="1"/>
      <c r="X275" s="1"/>
    </row>
    <row r="276" spans="1:24">
      <c r="A276" s="15"/>
      <c r="B276" s="15"/>
      <c r="C276" s="16"/>
      <c r="D276" s="16"/>
      <c r="E276" s="16"/>
      <c r="F276" s="16"/>
      <c r="G276" s="16"/>
      <c r="H276" s="16"/>
      <c r="I276" s="16"/>
      <c r="J276" s="16"/>
      <c r="K276" s="16"/>
      <c r="L276" s="16"/>
      <c r="M276" s="25"/>
      <c r="N276" s="25"/>
      <c r="O276" s="16"/>
      <c r="P276" s="1"/>
      <c r="Q276" s="1"/>
      <c r="R276" s="1"/>
      <c r="S276" s="1"/>
      <c r="T276" s="1"/>
      <c r="U276" s="1"/>
      <c r="V276" s="16"/>
      <c r="W276" s="1"/>
      <c r="X276" s="1"/>
    </row>
    <row r="277" spans="1:24">
      <c r="A277" s="15"/>
      <c r="B277" s="15"/>
      <c r="C277" s="16"/>
      <c r="D277" s="16"/>
      <c r="E277" s="16"/>
      <c r="F277" s="16"/>
      <c r="G277" s="16"/>
      <c r="H277" s="16"/>
      <c r="I277" s="16"/>
      <c r="J277" s="16"/>
      <c r="K277" s="16"/>
      <c r="L277" s="16"/>
      <c r="M277" s="25"/>
      <c r="N277" s="25"/>
      <c r="O277" s="16"/>
      <c r="P277" s="1"/>
      <c r="Q277" s="1"/>
      <c r="R277" s="1"/>
      <c r="S277" s="1"/>
      <c r="T277" s="1"/>
      <c r="U277" s="1"/>
      <c r="V277" s="16"/>
      <c r="W277" s="1"/>
      <c r="X277" s="1"/>
    </row>
    <row r="278" spans="1:24">
      <c r="A278" s="15"/>
      <c r="B278" s="15"/>
      <c r="C278" s="16"/>
      <c r="D278" s="16"/>
      <c r="E278" s="16"/>
      <c r="F278" s="16"/>
      <c r="G278" s="16"/>
      <c r="H278" s="16"/>
      <c r="I278" s="16"/>
      <c r="J278" s="16"/>
      <c r="K278" s="16"/>
      <c r="L278" s="16"/>
      <c r="M278" s="25"/>
      <c r="N278" s="25"/>
      <c r="O278" s="16"/>
      <c r="P278" s="1"/>
      <c r="Q278" s="1"/>
      <c r="R278" s="1"/>
      <c r="S278" s="1"/>
      <c r="T278" s="1"/>
      <c r="U278" s="1"/>
      <c r="V278" s="16"/>
      <c r="W278" s="1"/>
      <c r="X278" s="1"/>
    </row>
    <row r="279" spans="1:24">
      <c r="A279" s="15"/>
      <c r="B279" s="15"/>
      <c r="C279" s="16"/>
      <c r="D279" s="16"/>
      <c r="E279" s="16"/>
      <c r="F279" s="16"/>
      <c r="G279" s="16"/>
      <c r="H279" s="16"/>
      <c r="I279" s="16"/>
      <c r="J279" s="16"/>
      <c r="K279" s="16"/>
      <c r="L279" s="16"/>
      <c r="M279" s="25"/>
      <c r="N279" s="25"/>
      <c r="O279" s="16"/>
      <c r="P279" s="1"/>
      <c r="Q279" s="1"/>
      <c r="R279" s="1"/>
      <c r="S279" s="1"/>
      <c r="T279" s="1"/>
      <c r="U279" s="1"/>
      <c r="V279" s="16"/>
      <c r="W279" s="1"/>
      <c r="X279" s="1"/>
    </row>
    <row r="280" spans="1:24">
      <c r="A280" s="15"/>
      <c r="B280" s="15"/>
      <c r="C280" s="16"/>
      <c r="D280" s="16"/>
      <c r="E280" s="16"/>
      <c r="F280" s="16"/>
      <c r="G280" s="16"/>
      <c r="H280" s="16"/>
      <c r="I280" s="16"/>
      <c r="J280" s="16"/>
      <c r="K280" s="16"/>
      <c r="L280" s="16"/>
      <c r="M280" s="25"/>
      <c r="N280" s="25"/>
      <c r="O280" s="16"/>
      <c r="P280" s="1"/>
      <c r="Q280" s="1"/>
      <c r="R280" s="1"/>
      <c r="S280" s="1"/>
      <c r="T280" s="1"/>
      <c r="U280" s="1"/>
      <c r="V280" s="16"/>
      <c r="W280" s="1"/>
      <c r="X280" s="1"/>
    </row>
    <row r="281" spans="1:24">
      <c r="A281" s="15"/>
      <c r="B281" s="15"/>
      <c r="C281" s="16"/>
      <c r="D281" s="16"/>
      <c r="E281" s="16"/>
      <c r="F281" s="16"/>
      <c r="G281" s="16"/>
      <c r="H281" s="16"/>
      <c r="I281" s="16"/>
      <c r="J281" s="16"/>
      <c r="K281" s="16"/>
      <c r="L281" s="16"/>
      <c r="M281" s="25"/>
      <c r="N281" s="25"/>
      <c r="O281" s="16"/>
      <c r="P281" s="1"/>
      <c r="Q281" s="1"/>
      <c r="R281" s="1"/>
      <c r="S281" s="1"/>
      <c r="T281" s="1"/>
      <c r="U281" s="1"/>
      <c r="V281" s="16"/>
      <c r="W281" s="1"/>
      <c r="X281" s="1"/>
    </row>
    <row r="282" spans="1:24">
      <c r="A282" s="15"/>
      <c r="B282" s="15"/>
      <c r="C282" s="16"/>
      <c r="D282" s="16"/>
      <c r="E282" s="16"/>
      <c r="F282" s="16"/>
      <c r="G282" s="16"/>
      <c r="H282" s="16"/>
      <c r="I282" s="16"/>
      <c r="J282" s="16"/>
      <c r="K282" s="16"/>
      <c r="L282" s="16"/>
      <c r="M282" s="25"/>
      <c r="N282" s="25"/>
      <c r="O282" s="16"/>
      <c r="P282" s="1"/>
      <c r="Q282" s="1"/>
      <c r="R282" s="1"/>
      <c r="S282" s="1"/>
      <c r="T282" s="1"/>
      <c r="U282" s="1"/>
      <c r="V282" s="16"/>
      <c r="W282" s="1"/>
      <c r="X282" s="1"/>
    </row>
    <row r="283" spans="1:24">
      <c r="A283" s="15"/>
      <c r="B283" s="15"/>
      <c r="C283" s="16"/>
      <c r="D283" s="16"/>
      <c r="E283" s="16"/>
      <c r="F283" s="16"/>
      <c r="G283" s="16"/>
      <c r="H283" s="16"/>
      <c r="I283" s="16"/>
      <c r="J283" s="16"/>
      <c r="K283" s="16"/>
      <c r="L283" s="16"/>
      <c r="M283" s="25"/>
      <c r="N283" s="25"/>
      <c r="O283" s="16"/>
      <c r="P283" s="1"/>
      <c r="Q283" s="1"/>
      <c r="R283" s="1"/>
      <c r="S283" s="1"/>
      <c r="T283" s="1"/>
      <c r="U283" s="1"/>
      <c r="V283" s="16"/>
      <c r="W283" s="1"/>
      <c r="X283" s="1"/>
    </row>
    <row r="284" spans="1:24">
      <c r="A284" s="15"/>
      <c r="B284" s="15"/>
      <c r="C284" s="16"/>
      <c r="D284" s="16"/>
      <c r="E284" s="16"/>
      <c r="F284" s="16"/>
      <c r="G284" s="16"/>
      <c r="H284" s="16"/>
      <c r="I284" s="16"/>
      <c r="J284" s="16"/>
      <c r="K284" s="16"/>
      <c r="L284" s="16"/>
      <c r="M284" s="25"/>
      <c r="N284" s="25"/>
      <c r="O284" s="16"/>
      <c r="P284" s="1"/>
      <c r="Q284" s="1"/>
      <c r="R284" s="1"/>
      <c r="S284" s="1"/>
      <c r="T284" s="1"/>
      <c r="U284" s="1"/>
      <c r="V284" s="16"/>
      <c r="W284" s="1"/>
      <c r="X284" s="1"/>
    </row>
    <row r="285" spans="1:24">
      <c r="A285" s="15"/>
      <c r="B285" s="15"/>
      <c r="C285" s="16"/>
      <c r="D285" s="16"/>
      <c r="E285" s="16"/>
      <c r="F285" s="16"/>
      <c r="G285" s="16"/>
      <c r="H285" s="16"/>
      <c r="I285" s="16"/>
      <c r="J285" s="16"/>
      <c r="K285" s="16"/>
      <c r="L285" s="16"/>
      <c r="M285" s="25"/>
      <c r="N285" s="25"/>
      <c r="O285" s="16"/>
      <c r="P285" s="1"/>
      <c r="Q285" s="1"/>
      <c r="R285" s="1"/>
      <c r="S285" s="1"/>
      <c r="T285" s="1"/>
      <c r="U285" s="1"/>
      <c r="V285" s="16"/>
      <c r="W285" s="1"/>
      <c r="X285" s="1"/>
    </row>
    <row r="286" spans="1:24">
      <c r="A286" s="15"/>
      <c r="B286" s="15"/>
      <c r="C286" s="16"/>
      <c r="D286" s="16"/>
      <c r="E286" s="16"/>
      <c r="F286" s="16"/>
      <c r="G286" s="16"/>
      <c r="H286" s="16"/>
      <c r="I286" s="16"/>
      <c r="J286" s="16"/>
      <c r="K286" s="16"/>
      <c r="L286" s="16"/>
      <c r="M286" s="25"/>
      <c r="N286" s="25"/>
      <c r="O286" s="16"/>
      <c r="P286" s="1"/>
      <c r="Q286" s="1"/>
      <c r="R286" s="1"/>
      <c r="S286" s="1"/>
      <c r="T286" s="1"/>
      <c r="U286" s="1"/>
      <c r="V286" s="16"/>
      <c r="W286" s="1"/>
      <c r="X286" s="1"/>
    </row>
    <row r="287" spans="1:24">
      <c r="A287" s="15"/>
      <c r="B287" s="15"/>
      <c r="C287" s="16"/>
      <c r="D287" s="16"/>
      <c r="E287" s="16"/>
      <c r="F287" s="16"/>
      <c r="G287" s="16"/>
      <c r="H287" s="16"/>
      <c r="I287" s="16"/>
      <c r="J287" s="16"/>
      <c r="K287" s="16"/>
      <c r="L287" s="16"/>
      <c r="M287" s="25"/>
      <c r="N287" s="25"/>
      <c r="O287" s="16"/>
      <c r="P287" s="1"/>
      <c r="Q287" s="1"/>
      <c r="R287" s="1"/>
      <c r="S287" s="1"/>
      <c r="T287" s="1"/>
      <c r="U287" s="1"/>
      <c r="V287" s="16"/>
      <c r="W287" s="1"/>
      <c r="X287" s="1"/>
    </row>
    <row r="288" spans="1:24">
      <c r="A288" s="15"/>
      <c r="B288" s="15"/>
      <c r="C288" s="16"/>
      <c r="D288" s="16"/>
      <c r="E288" s="16"/>
      <c r="F288" s="16"/>
      <c r="G288" s="16"/>
      <c r="H288" s="16"/>
      <c r="I288" s="16"/>
      <c r="J288" s="16"/>
      <c r="K288" s="16"/>
      <c r="L288" s="16"/>
      <c r="M288" s="25"/>
      <c r="N288" s="25"/>
      <c r="O288" s="16"/>
      <c r="P288" s="1"/>
      <c r="Q288" s="1"/>
      <c r="R288" s="1"/>
      <c r="S288" s="1"/>
      <c r="T288" s="1"/>
      <c r="U288" s="1"/>
      <c r="V288" s="16"/>
      <c r="W288" s="1"/>
      <c r="X288" s="1"/>
    </row>
    <row r="289" spans="1:24">
      <c r="A289" s="15"/>
      <c r="B289" s="15"/>
      <c r="C289" s="16"/>
      <c r="D289" s="16"/>
      <c r="E289" s="16"/>
      <c r="F289" s="16"/>
      <c r="G289" s="16"/>
      <c r="H289" s="16"/>
      <c r="I289" s="16"/>
      <c r="J289" s="16"/>
      <c r="K289" s="16"/>
      <c r="L289" s="16"/>
      <c r="M289" s="25"/>
      <c r="N289" s="25"/>
      <c r="O289" s="16"/>
      <c r="P289" s="1"/>
      <c r="Q289" s="1"/>
      <c r="R289" s="1"/>
      <c r="S289" s="1"/>
      <c r="T289" s="1"/>
      <c r="U289" s="1"/>
      <c r="V289" s="16"/>
      <c r="W289" s="1"/>
      <c r="X289" s="1"/>
    </row>
    <row r="290" spans="1:24">
      <c r="A290" s="15"/>
      <c r="B290" s="15"/>
      <c r="C290" s="16"/>
      <c r="D290" s="16"/>
      <c r="E290" s="16"/>
      <c r="F290" s="16"/>
      <c r="G290" s="16"/>
      <c r="H290" s="16"/>
      <c r="I290" s="16"/>
      <c r="J290" s="16"/>
      <c r="K290" s="16"/>
      <c r="L290" s="16"/>
      <c r="M290" s="25"/>
      <c r="N290" s="25"/>
      <c r="O290" s="16"/>
      <c r="P290" s="1"/>
      <c r="Q290" s="1"/>
      <c r="R290" s="1"/>
      <c r="S290" s="1"/>
      <c r="T290" s="1"/>
      <c r="U290" s="1"/>
      <c r="V290" s="16"/>
      <c r="W290" s="1"/>
      <c r="X290" s="1"/>
    </row>
    <row r="291" spans="1:24">
      <c r="A291" s="15"/>
      <c r="B291" s="15"/>
      <c r="C291" s="16"/>
      <c r="D291" s="16"/>
      <c r="E291" s="16"/>
      <c r="F291" s="16"/>
      <c r="G291" s="16"/>
      <c r="H291" s="16"/>
      <c r="I291" s="16"/>
      <c r="J291" s="16"/>
      <c r="K291" s="16"/>
      <c r="L291" s="16"/>
      <c r="M291" s="25"/>
      <c r="N291" s="25"/>
      <c r="O291" s="16"/>
      <c r="P291" s="1"/>
      <c r="Q291" s="1"/>
      <c r="R291" s="1"/>
      <c r="S291" s="1"/>
      <c r="T291" s="1"/>
      <c r="U291" s="1"/>
      <c r="V291" s="16"/>
      <c r="W291" s="1"/>
      <c r="X291" s="1"/>
    </row>
    <row r="292" spans="1:24">
      <c r="A292" s="15"/>
      <c r="B292" s="15"/>
      <c r="C292" s="16"/>
      <c r="D292" s="16"/>
      <c r="E292" s="16"/>
      <c r="F292" s="16"/>
      <c r="G292" s="16"/>
      <c r="H292" s="16"/>
      <c r="I292" s="16"/>
      <c r="J292" s="16"/>
      <c r="K292" s="16"/>
      <c r="L292" s="16"/>
      <c r="M292" s="25"/>
      <c r="N292" s="25"/>
      <c r="O292" s="16"/>
      <c r="P292" s="1"/>
      <c r="Q292" s="1"/>
      <c r="R292" s="1"/>
      <c r="S292" s="1"/>
      <c r="T292" s="1"/>
      <c r="U292" s="1"/>
      <c r="V292" s="16"/>
      <c r="W292" s="1"/>
      <c r="X292" s="1"/>
    </row>
    <row r="293" spans="1:24">
      <c r="A293" s="15"/>
      <c r="B293" s="15"/>
      <c r="C293" s="16"/>
      <c r="D293" s="16"/>
      <c r="E293" s="16"/>
      <c r="F293" s="16"/>
      <c r="G293" s="16"/>
      <c r="H293" s="16"/>
      <c r="I293" s="16"/>
      <c r="J293" s="16"/>
      <c r="K293" s="16"/>
      <c r="L293" s="16"/>
      <c r="M293" s="25"/>
      <c r="N293" s="25"/>
      <c r="O293" s="16"/>
      <c r="P293" s="1"/>
      <c r="Q293" s="1"/>
      <c r="R293" s="1"/>
      <c r="S293" s="1"/>
      <c r="T293" s="1"/>
      <c r="U293" s="1"/>
      <c r="V293" s="16"/>
      <c r="W293" s="1"/>
      <c r="X293" s="1"/>
    </row>
    <row r="294" spans="1:24">
      <c r="A294" s="15"/>
      <c r="B294" s="15"/>
      <c r="C294" s="16"/>
      <c r="D294" s="16"/>
      <c r="E294" s="16"/>
      <c r="F294" s="16"/>
      <c r="G294" s="16"/>
      <c r="H294" s="16"/>
      <c r="I294" s="16"/>
      <c r="J294" s="16"/>
      <c r="K294" s="16"/>
      <c r="L294" s="16"/>
      <c r="M294" s="25"/>
      <c r="N294" s="25"/>
      <c r="O294" s="16"/>
      <c r="P294" s="1"/>
      <c r="Q294" s="1"/>
      <c r="R294" s="1"/>
      <c r="S294" s="1"/>
      <c r="T294" s="1"/>
      <c r="U294" s="1"/>
      <c r="V294" s="16"/>
      <c r="W294" s="1"/>
      <c r="X294" s="1"/>
    </row>
    <row r="295" spans="1:24">
      <c r="A295" s="15"/>
      <c r="B295" s="15"/>
      <c r="C295" s="16"/>
      <c r="D295" s="16"/>
      <c r="E295" s="16"/>
      <c r="F295" s="16"/>
      <c r="G295" s="16"/>
      <c r="H295" s="16"/>
      <c r="I295" s="16"/>
      <c r="J295" s="16"/>
      <c r="K295" s="16"/>
      <c r="L295" s="16"/>
      <c r="M295" s="25"/>
      <c r="N295" s="25"/>
      <c r="O295" s="16"/>
      <c r="P295" s="1"/>
      <c r="Q295" s="1"/>
      <c r="R295" s="1"/>
      <c r="S295" s="1"/>
      <c r="T295" s="1"/>
      <c r="U295" s="1"/>
      <c r="V295" s="16"/>
      <c r="W295" s="1"/>
      <c r="X295" s="1"/>
    </row>
    <row r="296" spans="1:24">
      <c r="A296" s="15"/>
      <c r="B296" s="15"/>
      <c r="C296" s="16"/>
      <c r="D296" s="16"/>
      <c r="E296" s="16"/>
      <c r="F296" s="16"/>
      <c r="G296" s="16"/>
      <c r="H296" s="16"/>
      <c r="I296" s="16"/>
      <c r="J296" s="16"/>
      <c r="K296" s="16"/>
      <c r="L296" s="16"/>
      <c r="M296" s="25"/>
      <c r="N296" s="25"/>
      <c r="O296" s="16"/>
      <c r="P296" s="1"/>
      <c r="Q296" s="1"/>
      <c r="R296" s="1"/>
      <c r="S296" s="1"/>
      <c r="T296" s="1"/>
      <c r="U296" s="1"/>
      <c r="V296" s="16"/>
      <c r="W296" s="1"/>
      <c r="X296" s="1"/>
    </row>
    <row r="297" spans="1:24">
      <c r="A297" s="15"/>
      <c r="B297" s="15"/>
      <c r="C297" s="16"/>
      <c r="D297" s="16"/>
      <c r="E297" s="16"/>
      <c r="F297" s="16"/>
      <c r="G297" s="16"/>
      <c r="H297" s="16"/>
      <c r="I297" s="16"/>
      <c r="J297" s="16"/>
      <c r="K297" s="16"/>
      <c r="L297" s="16"/>
      <c r="M297" s="25"/>
      <c r="N297" s="25"/>
      <c r="O297" s="16"/>
      <c r="P297" s="1"/>
      <c r="Q297" s="1"/>
      <c r="R297" s="1"/>
      <c r="S297" s="1"/>
      <c r="T297" s="1"/>
      <c r="U297" s="1"/>
      <c r="V297" s="16"/>
      <c r="W297" s="1"/>
      <c r="X297" s="1"/>
    </row>
    <row r="298" spans="1:24">
      <c r="A298" s="15"/>
      <c r="B298" s="15"/>
      <c r="C298" s="16"/>
      <c r="D298" s="16"/>
      <c r="E298" s="16"/>
      <c r="F298" s="16"/>
      <c r="G298" s="16"/>
      <c r="H298" s="16"/>
      <c r="I298" s="16"/>
      <c r="J298" s="16"/>
      <c r="K298" s="16"/>
      <c r="L298" s="16"/>
      <c r="M298" s="25"/>
      <c r="N298" s="25"/>
      <c r="O298" s="16"/>
      <c r="P298" s="1"/>
      <c r="Q298" s="1"/>
      <c r="R298" s="1"/>
      <c r="S298" s="1"/>
      <c r="T298" s="1"/>
      <c r="U298" s="1"/>
      <c r="V298" s="16"/>
      <c r="W298" s="1"/>
      <c r="X298" s="1"/>
    </row>
    <row r="299" spans="1:24">
      <c r="A299" s="15"/>
      <c r="B299" s="15"/>
      <c r="C299" s="16"/>
      <c r="D299" s="16"/>
      <c r="E299" s="16"/>
      <c r="F299" s="16"/>
      <c r="G299" s="16"/>
      <c r="H299" s="16"/>
      <c r="I299" s="16"/>
      <c r="J299" s="16"/>
      <c r="K299" s="16"/>
      <c r="L299" s="16"/>
      <c r="M299" s="25"/>
      <c r="N299" s="25"/>
      <c r="O299" s="16"/>
      <c r="P299" s="1"/>
      <c r="Q299" s="1"/>
      <c r="R299" s="1"/>
      <c r="S299" s="1"/>
      <c r="T299" s="1"/>
      <c r="U299" s="1"/>
      <c r="V299" s="16"/>
      <c r="W299" s="1"/>
      <c r="X299" s="1"/>
    </row>
    <row r="300" spans="1:24">
      <c r="A300" s="15"/>
      <c r="B300" s="15"/>
      <c r="C300" s="16"/>
      <c r="D300" s="16"/>
      <c r="E300" s="16"/>
      <c r="F300" s="16"/>
      <c r="G300" s="16"/>
      <c r="H300" s="16"/>
      <c r="I300" s="16"/>
      <c r="J300" s="16"/>
      <c r="K300" s="16"/>
      <c r="L300" s="16"/>
      <c r="M300" s="25"/>
      <c r="N300" s="25"/>
      <c r="O300" s="16"/>
      <c r="P300" s="1"/>
      <c r="Q300" s="1"/>
      <c r="R300" s="1"/>
      <c r="S300" s="1"/>
      <c r="T300" s="1"/>
      <c r="U300" s="1"/>
      <c r="V300" s="16"/>
      <c r="W300" s="1"/>
      <c r="X300" s="1"/>
    </row>
    <row r="301" spans="1:24">
      <c r="A301" s="15"/>
      <c r="B301" s="15"/>
      <c r="C301" s="16"/>
      <c r="D301" s="16"/>
      <c r="E301" s="16"/>
      <c r="F301" s="16"/>
      <c r="G301" s="16"/>
      <c r="H301" s="16"/>
      <c r="I301" s="16"/>
      <c r="J301" s="16"/>
      <c r="K301" s="16"/>
      <c r="L301" s="16"/>
      <c r="M301" s="25"/>
      <c r="N301" s="25"/>
      <c r="O301" s="16"/>
      <c r="P301" s="1"/>
      <c r="Q301" s="1"/>
      <c r="R301" s="1"/>
      <c r="S301" s="1"/>
      <c r="T301" s="1"/>
      <c r="U301" s="1"/>
      <c r="V301" s="16"/>
      <c r="W301" s="1"/>
      <c r="X301" s="1"/>
    </row>
    <row r="302" spans="1:24">
      <c r="A302" s="15"/>
      <c r="B302" s="15"/>
      <c r="C302" s="16"/>
      <c r="D302" s="16"/>
      <c r="E302" s="16"/>
      <c r="F302" s="16"/>
      <c r="G302" s="16"/>
      <c r="H302" s="16"/>
      <c r="I302" s="16"/>
      <c r="J302" s="16"/>
      <c r="K302" s="16"/>
      <c r="L302" s="16"/>
      <c r="M302" s="25"/>
      <c r="N302" s="25"/>
      <c r="O302" s="16"/>
      <c r="P302" s="1"/>
      <c r="Q302" s="1"/>
      <c r="R302" s="1"/>
      <c r="S302" s="1"/>
      <c r="T302" s="1"/>
      <c r="U302" s="1"/>
      <c r="V302" s="16"/>
      <c r="W302" s="1"/>
      <c r="X302" s="1"/>
    </row>
    <row r="303" spans="1:24">
      <c r="A303" s="15"/>
      <c r="B303" s="15"/>
      <c r="C303" s="16"/>
      <c r="D303" s="16"/>
      <c r="E303" s="16"/>
      <c r="F303" s="16"/>
      <c r="G303" s="16"/>
      <c r="H303" s="16"/>
      <c r="I303" s="16"/>
      <c r="J303" s="16"/>
      <c r="K303" s="16"/>
      <c r="L303" s="16"/>
      <c r="M303" s="25"/>
      <c r="N303" s="25"/>
      <c r="O303" s="16"/>
      <c r="P303" s="1"/>
      <c r="Q303" s="1"/>
      <c r="R303" s="1"/>
      <c r="S303" s="1"/>
      <c r="T303" s="1"/>
      <c r="U303" s="1"/>
      <c r="V303" s="16"/>
      <c r="W303" s="1"/>
      <c r="X303" s="1"/>
    </row>
    <row r="304" spans="1:24">
      <c r="A304" s="15"/>
      <c r="B304" s="15"/>
      <c r="C304" s="16"/>
      <c r="D304" s="16"/>
      <c r="E304" s="16"/>
      <c r="F304" s="16"/>
      <c r="G304" s="16"/>
      <c r="H304" s="16"/>
      <c r="I304" s="16"/>
      <c r="J304" s="16"/>
      <c r="K304" s="16"/>
      <c r="L304" s="16"/>
      <c r="M304" s="25"/>
      <c r="N304" s="25"/>
      <c r="O304" s="16"/>
      <c r="P304" s="1"/>
      <c r="Q304" s="1"/>
      <c r="R304" s="1"/>
      <c r="S304" s="1"/>
      <c r="T304" s="1"/>
      <c r="U304" s="1"/>
      <c r="V304" s="16"/>
      <c r="W304" s="1"/>
      <c r="X304" s="1"/>
    </row>
    <row r="305" spans="1:24">
      <c r="A305" s="15"/>
      <c r="B305" s="15"/>
      <c r="C305" s="16"/>
      <c r="D305" s="16"/>
      <c r="E305" s="16"/>
      <c r="F305" s="16"/>
      <c r="G305" s="16"/>
      <c r="H305" s="16"/>
      <c r="I305" s="16"/>
      <c r="J305" s="16"/>
      <c r="K305" s="16"/>
      <c r="L305" s="16"/>
      <c r="M305" s="25"/>
      <c r="N305" s="25"/>
      <c r="O305" s="16"/>
      <c r="P305" s="1"/>
      <c r="Q305" s="1"/>
      <c r="R305" s="1"/>
      <c r="S305" s="1"/>
      <c r="T305" s="1"/>
      <c r="U305" s="1"/>
      <c r="V305" s="16"/>
      <c r="W305" s="1"/>
      <c r="X305" s="1"/>
    </row>
    <row r="306" spans="1:24">
      <c r="A306" s="15"/>
      <c r="B306" s="15"/>
      <c r="C306" s="16"/>
      <c r="D306" s="16"/>
      <c r="E306" s="16"/>
      <c r="F306" s="16"/>
      <c r="G306" s="16"/>
      <c r="H306" s="16"/>
      <c r="I306" s="16"/>
      <c r="J306" s="16"/>
      <c r="K306" s="16"/>
      <c r="L306" s="16"/>
      <c r="M306" s="25"/>
      <c r="N306" s="25"/>
      <c r="O306" s="16"/>
      <c r="P306" s="1"/>
      <c r="Q306" s="1"/>
      <c r="R306" s="1"/>
      <c r="S306" s="1"/>
      <c r="T306" s="1"/>
      <c r="U306" s="1"/>
      <c r="V306" s="16"/>
      <c r="W306" s="1"/>
      <c r="X306" s="1"/>
    </row>
    <row r="307" spans="1:24">
      <c r="A307" s="15"/>
      <c r="B307" s="15"/>
      <c r="C307" s="16"/>
      <c r="D307" s="16"/>
      <c r="E307" s="16"/>
      <c r="F307" s="16"/>
      <c r="G307" s="16"/>
      <c r="H307" s="16"/>
      <c r="I307" s="16"/>
      <c r="J307" s="16"/>
      <c r="K307" s="16"/>
      <c r="L307" s="16"/>
      <c r="M307" s="25"/>
      <c r="N307" s="25"/>
      <c r="O307" s="16"/>
      <c r="P307" s="1"/>
      <c r="Q307" s="1"/>
      <c r="R307" s="1"/>
      <c r="S307" s="1"/>
      <c r="T307" s="1"/>
      <c r="U307" s="1"/>
      <c r="V307" s="16"/>
      <c r="W307" s="1"/>
      <c r="X307" s="1"/>
    </row>
    <row r="308" spans="1:24">
      <c r="A308" s="15"/>
      <c r="B308" s="15"/>
      <c r="C308" s="16"/>
      <c r="D308" s="16"/>
      <c r="E308" s="16"/>
      <c r="F308" s="16"/>
      <c r="G308" s="16"/>
      <c r="H308" s="16"/>
      <c r="I308" s="16"/>
      <c r="J308" s="16"/>
      <c r="K308" s="16"/>
      <c r="L308" s="16"/>
      <c r="M308" s="25"/>
      <c r="N308" s="25"/>
      <c r="O308" s="16"/>
      <c r="P308" s="1"/>
      <c r="Q308" s="1"/>
      <c r="R308" s="1"/>
      <c r="S308" s="1"/>
      <c r="T308" s="1"/>
      <c r="U308" s="1"/>
      <c r="V308" s="16"/>
      <c r="W308" s="1"/>
      <c r="X308" s="1"/>
    </row>
    <row r="309" spans="1:24">
      <c r="A309" s="15"/>
      <c r="B309" s="15"/>
      <c r="C309" s="16"/>
      <c r="D309" s="16"/>
      <c r="E309" s="16"/>
      <c r="F309" s="16"/>
      <c r="G309" s="16"/>
      <c r="H309" s="16"/>
      <c r="I309" s="16"/>
      <c r="J309" s="16"/>
      <c r="K309" s="16"/>
      <c r="L309" s="16"/>
      <c r="M309" s="25"/>
      <c r="N309" s="25"/>
      <c r="O309" s="16"/>
      <c r="P309" s="1"/>
      <c r="Q309" s="1"/>
      <c r="R309" s="1"/>
      <c r="S309" s="1"/>
      <c r="T309" s="1"/>
      <c r="U309" s="1"/>
      <c r="V309" s="16"/>
      <c r="W309" s="1"/>
      <c r="X309" s="1"/>
    </row>
    <row r="310" spans="1:24">
      <c r="A310" s="15"/>
      <c r="B310" s="15"/>
      <c r="C310" s="16"/>
      <c r="D310" s="16"/>
      <c r="E310" s="16"/>
      <c r="F310" s="16"/>
      <c r="G310" s="16"/>
      <c r="H310" s="16"/>
      <c r="I310" s="16"/>
      <c r="J310" s="16"/>
      <c r="K310" s="16"/>
      <c r="L310" s="16"/>
      <c r="M310" s="25"/>
      <c r="N310" s="25"/>
      <c r="O310" s="16"/>
      <c r="P310" s="1"/>
      <c r="Q310" s="1"/>
      <c r="R310" s="1"/>
      <c r="S310" s="1"/>
      <c r="T310" s="1"/>
      <c r="U310" s="1"/>
      <c r="V310" s="16"/>
      <c r="W310" s="1"/>
      <c r="X310" s="1"/>
    </row>
    <row r="311" spans="1:24">
      <c r="A311" s="15"/>
      <c r="B311" s="15"/>
      <c r="C311" s="16"/>
      <c r="D311" s="16"/>
      <c r="E311" s="16"/>
      <c r="F311" s="16"/>
      <c r="G311" s="16"/>
      <c r="H311" s="16"/>
      <c r="I311" s="16"/>
      <c r="J311" s="16"/>
      <c r="K311" s="16"/>
      <c r="L311" s="16"/>
      <c r="M311" s="25"/>
      <c r="N311" s="25"/>
      <c r="O311" s="16"/>
      <c r="P311" s="1"/>
      <c r="Q311" s="1"/>
      <c r="R311" s="1"/>
      <c r="S311" s="1"/>
      <c r="T311" s="1"/>
      <c r="U311" s="1"/>
      <c r="V311" s="16"/>
      <c r="W311" s="1"/>
      <c r="X311" s="1"/>
    </row>
    <row r="312" spans="1:24">
      <c r="A312" s="15"/>
      <c r="B312" s="15"/>
      <c r="C312" s="16"/>
      <c r="D312" s="16"/>
      <c r="E312" s="16"/>
      <c r="F312" s="16"/>
      <c r="G312" s="16"/>
      <c r="H312" s="16"/>
      <c r="I312" s="16"/>
      <c r="J312" s="16"/>
      <c r="K312" s="16"/>
      <c r="L312" s="16"/>
      <c r="M312" s="25"/>
      <c r="N312" s="25"/>
      <c r="O312" s="16"/>
      <c r="P312" s="1"/>
      <c r="Q312" s="1"/>
      <c r="R312" s="1"/>
      <c r="S312" s="1"/>
      <c r="T312" s="1"/>
      <c r="U312" s="1"/>
      <c r="V312" s="16"/>
      <c r="W312" s="1"/>
      <c r="X312" s="1"/>
    </row>
    <row r="313" spans="1:24">
      <c r="A313" s="15"/>
      <c r="B313" s="15"/>
      <c r="C313" s="16"/>
      <c r="D313" s="16"/>
      <c r="E313" s="16"/>
      <c r="F313" s="16"/>
      <c r="G313" s="16"/>
      <c r="H313" s="16"/>
      <c r="I313" s="16"/>
      <c r="J313" s="16"/>
      <c r="K313" s="16"/>
      <c r="L313" s="16"/>
      <c r="M313" s="25"/>
      <c r="N313" s="25"/>
      <c r="O313" s="16"/>
      <c r="P313" s="1"/>
      <c r="Q313" s="1"/>
      <c r="R313" s="1"/>
      <c r="S313" s="1"/>
      <c r="T313" s="1"/>
      <c r="U313" s="1"/>
      <c r="V313" s="16"/>
      <c r="W313" s="1"/>
      <c r="X313" s="1"/>
    </row>
    <row r="314" spans="1:24">
      <c r="A314" s="15"/>
      <c r="B314" s="15"/>
      <c r="C314" s="16"/>
      <c r="D314" s="16"/>
      <c r="E314" s="16"/>
      <c r="F314" s="16"/>
      <c r="G314" s="16"/>
      <c r="H314" s="16"/>
      <c r="I314" s="16"/>
      <c r="J314" s="16"/>
      <c r="K314" s="16"/>
      <c r="L314" s="16"/>
      <c r="M314" s="25"/>
      <c r="N314" s="25"/>
      <c r="O314" s="16"/>
      <c r="P314" s="1"/>
      <c r="Q314" s="1"/>
      <c r="R314" s="1"/>
      <c r="S314" s="1"/>
      <c r="T314" s="1"/>
      <c r="U314" s="1"/>
      <c r="V314" s="16"/>
      <c r="W314" s="1"/>
      <c r="X314" s="1"/>
    </row>
    <row r="315" spans="1:24">
      <c r="A315" s="15"/>
      <c r="B315" s="15"/>
      <c r="C315" s="16"/>
      <c r="D315" s="16"/>
      <c r="E315" s="16"/>
      <c r="F315" s="16"/>
      <c r="G315" s="16"/>
      <c r="H315" s="16"/>
      <c r="I315" s="16"/>
      <c r="J315" s="16"/>
      <c r="K315" s="16"/>
      <c r="L315" s="16"/>
      <c r="M315" s="25"/>
      <c r="N315" s="25"/>
      <c r="O315" s="16"/>
      <c r="P315" s="1"/>
      <c r="Q315" s="1"/>
      <c r="R315" s="1"/>
      <c r="S315" s="1"/>
      <c r="T315" s="1"/>
      <c r="U315" s="1"/>
      <c r="V315" s="16"/>
      <c r="W315" s="1"/>
      <c r="X315" s="1"/>
    </row>
    <row r="316" spans="1:24">
      <c r="A316" s="15"/>
      <c r="B316" s="15"/>
      <c r="C316" s="16"/>
      <c r="D316" s="16"/>
      <c r="E316" s="16"/>
      <c r="F316" s="16"/>
      <c r="G316" s="16"/>
      <c r="H316" s="16"/>
      <c r="I316" s="16"/>
      <c r="J316" s="16"/>
      <c r="K316" s="16"/>
      <c r="L316" s="16"/>
      <c r="M316" s="25"/>
      <c r="N316" s="25"/>
      <c r="O316" s="16"/>
      <c r="P316" s="1"/>
      <c r="Q316" s="1"/>
      <c r="R316" s="1"/>
      <c r="S316" s="1"/>
      <c r="T316" s="1"/>
      <c r="U316" s="1"/>
      <c r="V316" s="16"/>
      <c r="W316" s="1"/>
      <c r="X316" s="1"/>
    </row>
    <row r="317" spans="1:24">
      <c r="A317" s="15"/>
      <c r="B317" s="15"/>
      <c r="C317" s="16"/>
      <c r="D317" s="16"/>
      <c r="E317" s="16"/>
      <c r="F317" s="16"/>
      <c r="G317" s="16"/>
      <c r="H317" s="16"/>
      <c r="I317" s="16"/>
      <c r="J317" s="16"/>
      <c r="K317" s="16"/>
      <c r="L317" s="16"/>
      <c r="M317" s="25"/>
      <c r="N317" s="25"/>
      <c r="O317" s="16"/>
      <c r="P317" s="1"/>
      <c r="Q317" s="1"/>
      <c r="R317" s="1"/>
      <c r="S317" s="1"/>
      <c r="T317" s="1"/>
      <c r="U317" s="1"/>
      <c r="V317" s="16"/>
      <c r="W317" s="1"/>
      <c r="X317" s="1"/>
    </row>
    <row r="318" spans="1:24">
      <c r="A318" s="15"/>
      <c r="B318" s="15"/>
      <c r="C318" s="16"/>
      <c r="D318" s="16"/>
      <c r="E318" s="16"/>
      <c r="F318" s="16"/>
      <c r="G318" s="16"/>
      <c r="H318" s="16"/>
      <c r="I318" s="16"/>
      <c r="J318" s="16"/>
      <c r="K318" s="16"/>
      <c r="L318" s="16"/>
      <c r="M318" s="25"/>
      <c r="N318" s="25"/>
      <c r="O318" s="16"/>
      <c r="P318" s="1"/>
      <c r="Q318" s="1"/>
      <c r="R318" s="1"/>
      <c r="S318" s="1"/>
      <c r="T318" s="1"/>
      <c r="U318" s="1"/>
      <c r="V318" s="16"/>
      <c r="W318" s="1"/>
      <c r="X318" s="1"/>
    </row>
    <row r="319" spans="1:24">
      <c r="A319" s="15"/>
      <c r="B319" s="15"/>
      <c r="C319" s="16"/>
      <c r="D319" s="16"/>
      <c r="E319" s="16"/>
      <c r="F319" s="16"/>
      <c r="G319" s="16"/>
      <c r="H319" s="16"/>
      <c r="I319" s="16"/>
      <c r="J319" s="16"/>
      <c r="K319" s="16"/>
      <c r="L319" s="16"/>
      <c r="M319" s="25"/>
      <c r="N319" s="25"/>
      <c r="O319" s="16"/>
      <c r="P319" s="1"/>
      <c r="Q319" s="1"/>
      <c r="R319" s="1"/>
      <c r="S319" s="1"/>
      <c r="T319" s="1"/>
      <c r="U319" s="1"/>
      <c r="V319" s="16"/>
      <c r="W319" s="1"/>
      <c r="X319" s="1"/>
    </row>
    <row r="320" spans="1:24">
      <c r="A320" s="15"/>
      <c r="B320" s="15"/>
      <c r="C320" s="16"/>
      <c r="D320" s="16"/>
      <c r="E320" s="16"/>
      <c r="F320" s="16"/>
      <c r="G320" s="16"/>
      <c r="H320" s="16"/>
      <c r="I320" s="16"/>
      <c r="J320" s="16"/>
      <c r="K320" s="16"/>
      <c r="L320" s="16"/>
      <c r="M320" s="25"/>
      <c r="N320" s="25"/>
      <c r="O320" s="16"/>
      <c r="P320" s="1"/>
      <c r="Q320" s="1"/>
      <c r="R320" s="1"/>
      <c r="S320" s="1"/>
      <c r="T320" s="1"/>
      <c r="U320" s="1"/>
      <c r="V320" s="16"/>
      <c r="W320" s="1"/>
      <c r="X320" s="1"/>
    </row>
    <row r="321" spans="1:24">
      <c r="A321" s="15"/>
      <c r="B321" s="15"/>
      <c r="C321" s="16"/>
      <c r="D321" s="16"/>
      <c r="E321" s="16"/>
      <c r="F321" s="16"/>
      <c r="G321" s="16"/>
      <c r="H321" s="16"/>
      <c r="I321" s="16"/>
      <c r="J321" s="16"/>
      <c r="K321" s="16"/>
      <c r="L321" s="16"/>
      <c r="M321" s="25"/>
      <c r="N321" s="25"/>
      <c r="O321" s="16"/>
      <c r="P321" s="1"/>
      <c r="Q321" s="1"/>
      <c r="R321" s="1"/>
      <c r="S321" s="1"/>
      <c r="T321" s="1"/>
      <c r="U321" s="1"/>
      <c r="V321" s="16"/>
      <c r="W321" s="1"/>
      <c r="X321" s="1"/>
    </row>
    <row r="322" spans="1:24">
      <c r="A322" s="15"/>
      <c r="B322" s="15"/>
      <c r="C322" s="16"/>
      <c r="D322" s="16"/>
      <c r="E322" s="16"/>
      <c r="F322" s="16"/>
      <c r="G322" s="16"/>
      <c r="H322" s="16"/>
      <c r="I322" s="16"/>
      <c r="J322" s="16"/>
      <c r="K322" s="16"/>
      <c r="L322" s="16"/>
      <c r="M322" s="25"/>
      <c r="N322" s="25"/>
      <c r="O322" s="16"/>
      <c r="P322" s="1"/>
      <c r="Q322" s="1"/>
      <c r="R322" s="1"/>
      <c r="S322" s="1"/>
      <c r="T322" s="1"/>
      <c r="U322" s="1"/>
      <c r="V322" s="16"/>
      <c r="W322" s="1"/>
      <c r="X322" s="1"/>
    </row>
    <row r="323" spans="1:24">
      <c r="A323" s="15"/>
      <c r="B323" s="15"/>
      <c r="C323" s="16"/>
      <c r="D323" s="16"/>
      <c r="E323" s="16"/>
      <c r="F323" s="16"/>
      <c r="G323" s="16"/>
      <c r="H323" s="16"/>
      <c r="I323" s="16"/>
      <c r="J323" s="16"/>
      <c r="K323" s="16"/>
      <c r="L323" s="16"/>
      <c r="M323" s="25"/>
      <c r="N323" s="25"/>
      <c r="O323" s="16"/>
      <c r="P323" s="1"/>
      <c r="Q323" s="1"/>
      <c r="R323" s="1"/>
      <c r="S323" s="1"/>
      <c r="T323" s="1"/>
      <c r="U323" s="1"/>
      <c r="V323" s="16"/>
      <c r="W323" s="1"/>
      <c r="X323" s="1"/>
    </row>
    <row r="324" spans="1:24">
      <c r="A324" s="15"/>
      <c r="B324" s="15"/>
      <c r="C324" s="16"/>
      <c r="D324" s="16"/>
      <c r="E324" s="16"/>
      <c r="F324" s="16"/>
      <c r="G324" s="16"/>
      <c r="H324" s="16"/>
      <c r="I324" s="16"/>
      <c r="J324" s="16"/>
      <c r="K324" s="16"/>
      <c r="L324" s="16"/>
      <c r="M324" s="25"/>
      <c r="N324" s="25"/>
      <c r="O324" s="16"/>
      <c r="P324" s="1"/>
      <c r="Q324" s="1"/>
      <c r="R324" s="1"/>
      <c r="S324" s="1"/>
      <c r="T324" s="1"/>
      <c r="U324" s="1"/>
      <c r="V324" s="16"/>
      <c r="W324" s="1"/>
      <c r="X324" s="1"/>
    </row>
    <row r="325" spans="1:24">
      <c r="A325" s="15"/>
      <c r="B325" s="15"/>
      <c r="C325" s="16"/>
      <c r="D325" s="16"/>
      <c r="E325" s="16"/>
      <c r="F325" s="16"/>
      <c r="G325" s="16"/>
      <c r="H325" s="16"/>
      <c r="I325" s="16"/>
      <c r="J325" s="16"/>
      <c r="K325" s="16"/>
      <c r="L325" s="16"/>
      <c r="M325" s="25"/>
      <c r="N325" s="25"/>
      <c r="O325" s="16"/>
      <c r="P325" s="1"/>
      <c r="Q325" s="1"/>
      <c r="R325" s="1"/>
      <c r="S325" s="1"/>
      <c r="T325" s="1"/>
      <c r="U325" s="1"/>
      <c r="V325" s="16"/>
      <c r="W325" s="1"/>
      <c r="X325" s="1"/>
    </row>
    <row r="326" spans="1:24">
      <c r="A326" s="15"/>
      <c r="B326" s="15"/>
      <c r="C326" s="16"/>
      <c r="D326" s="16"/>
      <c r="E326" s="16"/>
      <c r="F326" s="16"/>
      <c r="G326" s="16"/>
      <c r="H326" s="16"/>
      <c r="I326" s="16"/>
      <c r="J326" s="16"/>
      <c r="K326" s="16"/>
      <c r="L326" s="16"/>
      <c r="M326" s="25"/>
      <c r="N326" s="25"/>
      <c r="O326" s="16"/>
      <c r="P326" s="1"/>
      <c r="Q326" s="1"/>
      <c r="R326" s="1"/>
      <c r="S326" s="1"/>
      <c r="T326" s="1"/>
      <c r="U326" s="1"/>
      <c r="V326" s="16"/>
      <c r="W326" s="1"/>
      <c r="X326" s="1"/>
    </row>
    <row r="327" spans="1:24">
      <c r="A327" s="15"/>
      <c r="B327" s="15"/>
      <c r="C327" s="16"/>
      <c r="D327" s="16"/>
      <c r="E327" s="16"/>
      <c r="F327" s="16"/>
      <c r="G327" s="16"/>
      <c r="H327" s="16"/>
      <c r="I327" s="16"/>
      <c r="J327" s="16"/>
      <c r="K327" s="16"/>
      <c r="L327" s="16"/>
      <c r="M327" s="25"/>
      <c r="N327" s="25"/>
      <c r="O327" s="16"/>
      <c r="P327" s="1"/>
      <c r="Q327" s="1"/>
      <c r="R327" s="1"/>
      <c r="S327" s="1"/>
      <c r="T327" s="1"/>
      <c r="U327" s="1"/>
      <c r="V327" s="16"/>
      <c r="W327" s="1"/>
      <c r="X327" s="1"/>
    </row>
    <row r="328" spans="1:24">
      <c r="A328" s="15"/>
      <c r="B328" s="15"/>
      <c r="C328" s="16"/>
      <c r="D328" s="16"/>
      <c r="E328" s="16"/>
      <c r="F328" s="16"/>
      <c r="G328" s="16"/>
      <c r="H328" s="16"/>
      <c r="I328" s="16"/>
      <c r="J328" s="16"/>
      <c r="K328" s="16"/>
      <c r="L328" s="16"/>
      <c r="M328" s="25"/>
      <c r="N328" s="25"/>
      <c r="O328" s="16"/>
      <c r="P328" s="1"/>
      <c r="Q328" s="1"/>
      <c r="R328" s="1"/>
      <c r="S328" s="1"/>
      <c r="T328" s="1"/>
      <c r="U328" s="1"/>
      <c r="V328" s="16"/>
      <c r="W328" s="1"/>
      <c r="X328" s="1"/>
    </row>
    <row r="329" spans="1:24">
      <c r="A329" s="15"/>
      <c r="B329" s="15"/>
      <c r="C329" s="16"/>
      <c r="D329" s="16"/>
      <c r="E329" s="16"/>
      <c r="F329" s="16"/>
      <c r="G329" s="16"/>
      <c r="H329" s="16"/>
      <c r="I329" s="16"/>
      <c r="J329" s="16"/>
      <c r="K329" s="16"/>
      <c r="L329" s="16"/>
      <c r="M329" s="25"/>
      <c r="N329" s="25"/>
      <c r="O329" s="16"/>
      <c r="P329" s="1"/>
      <c r="Q329" s="1"/>
      <c r="R329" s="1"/>
      <c r="S329" s="1"/>
      <c r="T329" s="1"/>
      <c r="U329" s="1"/>
      <c r="V329" s="16"/>
      <c r="W329" s="1"/>
      <c r="X329" s="1"/>
    </row>
    <row r="330" spans="1:24">
      <c r="A330" s="15"/>
      <c r="B330" s="15"/>
      <c r="C330" s="16"/>
      <c r="D330" s="16"/>
      <c r="E330" s="16"/>
      <c r="F330" s="16"/>
      <c r="G330" s="16"/>
      <c r="H330" s="16"/>
      <c r="I330" s="16"/>
      <c r="J330" s="16"/>
      <c r="K330" s="16"/>
      <c r="L330" s="16"/>
      <c r="M330" s="25"/>
      <c r="N330" s="25"/>
      <c r="O330" s="16"/>
      <c r="P330" s="1"/>
      <c r="Q330" s="1"/>
      <c r="R330" s="1"/>
      <c r="S330" s="1"/>
      <c r="T330" s="1"/>
      <c r="U330" s="1"/>
      <c r="V330" s="16"/>
      <c r="W330" s="1"/>
      <c r="X330" s="1"/>
    </row>
    <row r="331" spans="1:24">
      <c r="A331" s="15"/>
      <c r="B331" s="15"/>
      <c r="C331" s="16"/>
      <c r="D331" s="16"/>
      <c r="E331" s="16"/>
      <c r="F331" s="16"/>
      <c r="G331" s="16"/>
      <c r="H331" s="16"/>
      <c r="I331" s="16"/>
      <c r="J331" s="16"/>
      <c r="K331" s="16"/>
      <c r="L331" s="16"/>
      <c r="M331" s="25"/>
      <c r="N331" s="25"/>
      <c r="O331" s="16"/>
      <c r="P331" s="1"/>
      <c r="Q331" s="1"/>
      <c r="R331" s="1"/>
      <c r="S331" s="1"/>
      <c r="T331" s="1"/>
      <c r="U331" s="1"/>
      <c r="V331" s="16"/>
      <c r="W331" s="1"/>
      <c r="X331" s="1"/>
    </row>
    <row r="332" spans="1:24">
      <c r="A332" s="15"/>
      <c r="B332" s="15"/>
      <c r="C332" s="16"/>
      <c r="D332" s="16"/>
      <c r="E332" s="16"/>
      <c r="F332" s="16"/>
      <c r="G332" s="16"/>
      <c r="H332" s="16"/>
      <c r="I332" s="16"/>
      <c r="J332" s="16"/>
      <c r="K332" s="16"/>
      <c r="L332" s="16"/>
      <c r="M332" s="25"/>
      <c r="N332" s="25"/>
      <c r="O332" s="16"/>
      <c r="P332" s="1"/>
      <c r="Q332" s="1"/>
      <c r="R332" s="1"/>
      <c r="S332" s="1"/>
      <c r="T332" s="1"/>
      <c r="U332" s="1"/>
      <c r="V332" s="16"/>
      <c r="W332" s="1"/>
      <c r="X332" s="1"/>
    </row>
    <row r="333" spans="1:24">
      <c r="A333" s="15"/>
      <c r="B333" s="15"/>
      <c r="C333" s="16"/>
      <c r="D333" s="16"/>
      <c r="E333" s="16"/>
      <c r="F333" s="16"/>
      <c r="G333" s="16"/>
      <c r="H333" s="16"/>
      <c r="I333" s="16"/>
      <c r="J333" s="16"/>
      <c r="K333" s="16"/>
      <c r="L333" s="16"/>
      <c r="M333" s="25"/>
      <c r="N333" s="25"/>
      <c r="O333" s="16"/>
      <c r="P333" s="1"/>
      <c r="Q333" s="1"/>
      <c r="R333" s="1"/>
      <c r="S333" s="1"/>
      <c r="T333" s="1"/>
      <c r="U333" s="1"/>
      <c r="V333" s="16"/>
      <c r="W333" s="1"/>
      <c r="X333" s="1"/>
    </row>
    <row r="334" spans="1:24">
      <c r="A334" s="15"/>
      <c r="B334" s="15"/>
      <c r="C334" s="16"/>
      <c r="D334" s="16"/>
      <c r="E334" s="16"/>
      <c r="F334" s="16"/>
      <c r="G334" s="16"/>
      <c r="H334" s="16"/>
      <c r="I334" s="16"/>
      <c r="J334" s="16"/>
      <c r="K334" s="16"/>
      <c r="L334" s="16"/>
      <c r="M334" s="25"/>
      <c r="N334" s="25"/>
      <c r="O334" s="16"/>
      <c r="P334" s="1"/>
      <c r="Q334" s="1"/>
      <c r="R334" s="1"/>
      <c r="S334" s="1"/>
      <c r="T334" s="1"/>
      <c r="U334" s="1"/>
      <c r="V334" s="16"/>
      <c r="W334" s="1"/>
      <c r="X334" s="1"/>
    </row>
    <row r="335" spans="1:24">
      <c r="A335" s="15"/>
      <c r="B335" s="15"/>
      <c r="C335" s="16"/>
      <c r="D335" s="16"/>
      <c r="E335" s="16"/>
      <c r="F335" s="16"/>
      <c r="G335" s="16"/>
      <c r="H335" s="16"/>
      <c r="I335" s="16"/>
      <c r="J335" s="16"/>
      <c r="K335" s="16"/>
      <c r="L335" s="16"/>
      <c r="M335" s="25"/>
      <c r="N335" s="25"/>
      <c r="O335" s="16"/>
      <c r="P335" s="1"/>
      <c r="Q335" s="1"/>
      <c r="R335" s="1"/>
      <c r="S335" s="1"/>
      <c r="T335" s="1"/>
      <c r="U335" s="1"/>
      <c r="V335" s="16"/>
      <c r="W335" s="1"/>
      <c r="X335" s="1"/>
    </row>
    <row r="336" spans="1:24">
      <c r="A336" s="15"/>
      <c r="B336" s="15"/>
      <c r="C336" s="16"/>
      <c r="D336" s="16"/>
      <c r="E336" s="16"/>
      <c r="F336" s="16"/>
      <c r="G336" s="16"/>
      <c r="H336" s="16"/>
      <c r="I336" s="16"/>
      <c r="J336" s="16"/>
      <c r="K336" s="16"/>
      <c r="L336" s="16"/>
      <c r="M336" s="25"/>
      <c r="N336" s="25"/>
      <c r="O336" s="16"/>
      <c r="P336" s="1"/>
      <c r="Q336" s="1"/>
      <c r="R336" s="1"/>
      <c r="S336" s="1"/>
      <c r="T336" s="1"/>
      <c r="U336" s="1"/>
      <c r="V336" s="16"/>
      <c r="W336" s="1"/>
      <c r="X336" s="1"/>
    </row>
    <row r="337" spans="1:24">
      <c r="A337" s="15"/>
      <c r="B337" s="15"/>
      <c r="C337" s="16"/>
      <c r="D337" s="16"/>
      <c r="E337" s="16"/>
      <c r="F337" s="16"/>
      <c r="G337" s="16"/>
      <c r="H337" s="16"/>
      <c r="I337" s="16"/>
      <c r="J337" s="16"/>
      <c r="K337" s="16"/>
      <c r="L337" s="16"/>
      <c r="M337" s="25"/>
      <c r="N337" s="25"/>
      <c r="O337" s="16"/>
      <c r="P337" s="1"/>
      <c r="Q337" s="1"/>
      <c r="R337" s="1"/>
      <c r="S337" s="1"/>
      <c r="T337" s="1"/>
      <c r="U337" s="1"/>
      <c r="V337" s="16"/>
      <c r="W337" s="1"/>
      <c r="X337" s="1"/>
    </row>
    <row r="338" spans="1:24">
      <c r="A338" s="15"/>
      <c r="B338" s="15"/>
      <c r="C338" s="16"/>
      <c r="D338" s="16"/>
      <c r="E338" s="16"/>
      <c r="F338" s="16"/>
      <c r="G338" s="16"/>
      <c r="H338" s="16"/>
      <c r="I338" s="16"/>
      <c r="J338" s="16"/>
      <c r="K338" s="16"/>
      <c r="L338" s="16"/>
      <c r="M338" s="25"/>
      <c r="N338" s="25"/>
      <c r="O338" s="16"/>
      <c r="P338" s="1"/>
      <c r="Q338" s="1"/>
      <c r="R338" s="1"/>
      <c r="S338" s="1"/>
      <c r="T338" s="1"/>
      <c r="U338" s="1"/>
      <c r="V338" s="16"/>
      <c r="W338" s="1"/>
      <c r="X338" s="1"/>
    </row>
    <row r="339" spans="1:24">
      <c r="A339" s="15"/>
      <c r="B339" s="15"/>
      <c r="C339" s="16"/>
      <c r="D339" s="16"/>
      <c r="E339" s="16"/>
      <c r="F339" s="16"/>
      <c r="G339" s="16"/>
      <c r="H339" s="16"/>
      <c r="I339" s="16"/>
      <c r="J339" s="16"/>
      <c r="K339" s="16"/>
      <c r="L339" s="16"/>
      <c r="M339" s="25"/>
      <c r="N339" s="25"/>
      <c r="O339" s="16"/>
      <c r="P339" s="1"/>
      <c r="Q339" s="1"/>
      <c r="R339" s="1"/>
      <c r="S339" s="1"/>
      <c r="T339" s="1"/>
      <c r="U339" s="1"/>
      <c r="V339" s="16"/>
      <c r="W339" s="1"/>
      <c r="X339" s="1"/>
    </row>
    <row r="340" spans="1:24">
      <c r="A340" s="15"/>
      <c r="B340" s="15"/>
      <c r="C340" s="16"/>
      <c r="D340" s="16"/>
      <c r="E340" s="16"/>
      <c r="F340" s="16"/>
      <c r="G340" s="16"/>
      <c r="H340" s="16"/>
      <c r="I340" s="16"/>
      <c r="J340" s="16"/>
      <c r="K340" s="16"/>
      <c r="L340" s="16"/>
      <c r="M340" s="25"/>
      <c r="N340" s="25"/>
      <c r="O340" s="16"/>
      <c r="P340" s="1"/>
      <c r="Q340" s="1"/>
      <c r="R340" s="1"/>
      <c r="S340" s="1"/>
      <c r="T340" s="1"/>
      <c r="U340" s="1"/>
      <c r="V340" s="16"/>
      <c r="W340" s="1"/>
      <c r="X340" s="1"/>
    </row>
    <row r="341" spans="1:24">
      <c r="A341" s="15"/>
      <c r="B341" s="15"/>
      <c r="C341" s="16"/>
      <c r="D341" s="16"/>
      <c r="E341" s="16"/>
      <c r="F341" s="16"/>
      <c r="G341" s="16"/>
      <c r="H341" s="16"/>
      <c r="I341" s="16"/>
      <c r="J341" s="16"/>
      <c r="K341" s="16"/>
      <c r="L341" s="16"/>
      <c r="M341" s="25"/>
      <c r="N341" s="25"/>
      <c r="O341" s="16"/>
      <c r="P341" s="1"/>
      <c r="Q341" s="1"/>
      <c r="R341" s="1"/>
      <c r="S341" s="1"/>
      <c r="T341" s="1"/>
      <c r="U341" s="1"/>
      <c r="V341" s="16"/>
      <c r="W341" s="1"/>
      <c r="X341" s="1"/>
    </row>
    <row r="342" spans="1:24">
      <c r="A342" s="15"/>
      <c r="B342" s="15"/>
      <c r="C342" s="16"/>
      <c r="D342" s="16"/>
      <c r="E342" s="16"/>
      <c r="F342" s="16"/>
      <c r="G342" s="16"/>
      <c r="H342" s="16"/>
      <c r="I342" s="16"/>
      <c r="J342" s="16"/>
      <c r="K342" s="16"/>
      <c r="L342" s="16"/>
      <c r="M342" s="25"/>
      <c r="N342" s="25"/>
      <c r="O342" s="16"/>
      <c r="P342" s="1"/>
      <c r="Q342" s="1"/>
      <c r="R342" s="1"/>
      <c r="S342" s="1"/>
      <c r="T342" s="1"/>
      <c r="U342" s="1"/>
      <c r="V342" s="16"/>
      <c r="W342" s="1"/>
      <c r="X342" s="1"/>
    </row>
    <row r="343" spans="1:24">
      <c r="A343" s="15"/>
      <c r="B343" s="15"/>
      <c r="C343" s="16"/>
      <c r="D343" s="16"/>
      <c r="E343" s="16"/>
      <c r="F343" s="16"/>
      <c r="G343" s="16"/>
      <c r="H343" s="16"/>
      <c r="I343" s="16"/>
      <c r="J343" s="16"/>
      <c r="K343" s="16"/>
      <c r="L343" s="16"/>
      <c r="M343" s="25"/>
      <c r="N343" s="25"/>
      <c r="O343" s="16"/>
      <c r="P343" s="1"/>
      <c r="Q343" s="1"/>
      <c r="R343" s="1"/>
      <c r="S343" s="1"/>
      <c r="T343" s="1"/>
      <c r="U343" s="1"/>
      <c r="V343" s="16"/>
      <c r="W343" s="1"/>
      <c r="X343" s="1"/>
    </row>
    <row r="344" spans="1:24">
      <c r="A344" s="15"/>
      <c r="B344" s="15"/>
      <c r="C344" s="16"/>
      <c r="D344" s="16"/>
      <c r="E344" s="16"/>
      <c r="F344" s="16"/>
      <c r="G344" s="16"/>
      <c r="H344" s="16"/>
      <c r="I344" s="16"/>
      <c r="J344" s="16"/>
      <c r="K344" s="16"/>
      <c r="L344" s="16"/>
      <c r="M344" s="25"/>
      <c r="N344" s="25"/>
      <c r="O344" s="16"/>
      <c r="P344" s="1"/>
      <c r="Q344" s="1"/>
      <c r="R344" s="1"/>
      <c r="S344" s="1"/>
      <c r="T344" s="1"/>
      <c r="U344" s="1"/>
      <c r="V344" s="16"/>
      <c r="W344" s="1"/>
      <c r="X344" s="1"/>
    </row>
    <row r="345" spans="1:24">
      <c r="A345" s="15"/>
      <c r="B345" s="15"/>
      <c r="C345" s="16"/>
      <c r="D345" s="16"/>
      <c r="E345" s="16"/>
      <c r="F345" s="16"/>
      <c r="G345" s="16"/>
      <c r="H345" s="16"/>
      <c r="I345" s="16"/>
      <c r="J345" s="16"/>
      <c r="K345" s="16"/>
      <c r="L345" s="16"/>
      <c r="M345" s="25"/>
      <c r="N345" s="25"/>
      <c r="O345" s="16"/>
      <c r="P345" s="1"/>
      <c r="Q345" s="1"/>
      <c r="R345" s="1"/>
      <c r="S345" s="1"/>
      <c r="T345" s="1"/>
      <c r="U345" s="1"/>
      <c r="V345" s="16"/>
      <c r="W345" s="1"/>
      <c r="X345" s="1"/>
    </row>
    <row r="346" spans="1:24">
      <c r="A346" s="15"/>
      <c r="B346" s="15"/>
      <c r="C346" s="16"/>
      <c r="D346" s="16"/>
      <c r="E346" s="16"/>
      <c r="F346" s="16"/>
      <c r="G346" s="16"/>
      <c r="H346" s="16"/>
      <c r="I346" s="16"/>
      <c r="J346" s="16"/>
      <c r="K346" s="16"/>
      <c r="L346" s="16"/>
      <c r="M346" s="25"/>
      <c r="N346" s="25"/>
      <c r="O346" s="16"/>
      <c r="P346" s="1"/>
      <c r="Q346" s="1"/>
      <c r="R346" s="1"/>
      <c r="S346" s="1"/>
      <c r="T346" s="1"/>
      <c r="U346" s="1"/>
      <c r="V346" s="16"/>
      <c r="W346" s="1"/>
      <c r="X346" s="1"/>
    </row>
    <row r="347" spans="1:24">
      <c r="A347" s="15"/>
      <c r="B347" s="15"/>
      <c r="C347" s="16"/>
      <c r="D347" s="16"/>
      <c r="E347" s="16"/>
      <c r="F347" s="16"/>
      <c r="G347" s="16"/>
      <c r="H347" s="16"/>
      <c r="I347" s="16"/>
      <c r="J347" s="16"/>
      <c r="K347" s="16"/>
      <c r="L347" s="16"/>
      <c r="M347" s="25"/>
      <c r="N347" s="25"/>
      <c r="O347" s="16"/>
      <c r="P347" s="1"/>
      <c r="Q347" s="1"/>
      <c r="R347" s="1"/>
      <c r="S347" s="1"/>
      <c r="T347" s="1"/>
      <c r="U347" s="1"/>
      <c r="V347" s="16"/>
      <c r="W347" s="1"/>
      <c r="X347" s="1"/>
    </row>
    <row r="348" spans="1:24">
      <c r="A348" s="15"/>
      <c r="B348" s="15"/>
      <c r="C348" s="16"/>
      <c r="D348" s="16"/>
      <c r="E348" s="16"/>
      <c r="F348" s="16"/>
      <c r="G348" s="16"/>
      <c r="H348" s="16"/>
      <c r="I348" s="16"/>
      <c r="J348" s="16"/>
      <c r="K348" s="16"/>
      <c r="L348" s="16"/>
      <c r="M348" s="25"/>
      <c r="N348" s="25"/>
      <c r="O348" s="16"/>
      <c r="P348" s="1"/>
      <c r="Q348" s="1"/>
      <c r="R348" s="1"/>
      <c r="S348" s="1"/>
      <c r="T348" s="1"/>
      <c r="U348" s="1"/>
      <c r="V348" s="16"/>
      <c r="W348" s="1"/>
      <c r="X348" s="1"/>
    </row>
    <row r="349" spans="1:24">
      <c r="A349" s="15"/>
      <c r="B349" s="15"/>
      <c r="C349" s="16"/>
      <c r="D349" s="16"/>
      <c r="E349" s="16"/>
      <c r="F349" s="16"/>
      <c r="G349" s="16"/>
      <c r="H349" s="16"/>
      <c r="I349" s="16"/>
      <c r="J349" s="16"/>
      <c r="K349" s="16"/>
      <c r="L349" s="16"/>
      <c r="M349" s="25"/>
      <c r="N349" s="25"/>
      <c r="O349" s="16"/>
      <c r="P349" s="1"/>
      <c r="Q349" s="1"/>
      <c r="R349" s="1"/>
      <c r="S349" s="1"/>
      <c r="T349" s="1"/>
      <c r="U349" s="1"/>
      <c r="V349" s="16"/>
      <c r="W349" s="1"/>
      <c r="X349" s="1"/>
    </row>
    <row r="350" spans="1:24">
      <c r="A350" s="15"/>
      <c r="B350" s="15"/>
      <c r="C350" s="16"/>
      <c r="D350" s="16"/>
      <c r="E350" s="16"/>
      <c r="F350" s="16"/>
      <c r="G350" s="16"/>
      <c r="H350" s="16"/>
      <c r="I350" s="16"/>
      <c r="J350" s="16"/>
      <c r="K350" s="16"/>
      <c r="L350" s="16"/>
      <c r="M350" s="25"/>
      <c r="N350" s="25"/>
      <c r="O350" s="16"/>
      <c r="P350" s="1"/>
      <c r="Q350" s="1"/>
      <c r="R350" s="1"/>
      <c r="S350" s="1"/>
      <c r="T350" s="1"/>
      <c r="U350" s="1"/>
      <c r="V350" s="16"/>
      <c r="W350" s="1"/>
      <c r="X350" s="1"/>
    </row>
    <row r="351" spans="1:24">
      <c r="A351" s="15"/>
      <c r="B351" s="15"/>
      <c r="C351" s="16"/>
      <c r="D351" s="16"/>
      <c r="E351" s="16"/>
      <c r="F351" s="16"/>
      <c r="G351" s="16"/>
      <c r="H351" s="16"/>
      <c r="I351" s="16"/>
      <c r="J351" s="16"/>
      <c r="K351" s="16"/>
      <c r="L351" s="16"/>
      <c r="M351" s="25"/>
      <c r="N351" s="25"/>
      <c r="O351" s="16"/>
      <c r="P351" s="1"/>
      <c r="Q351" s="1"/>
      <c r="R351" s="1"/>
      <c r="S351" s="1"/>
      <c r="T351" s="1"/>
      <c r="U351" s="1"/>
      <c r="V351" s="16"/>
      <c r="W351" s="1"/>
      <c r="X351" s="1"/>
    </row>
    <row r="352" spans="1:24">
      <c r="A352" s="15"/>
      <c r="B352" s="15"/>
      <c r="C352" s="16"/>
      <c r="D352" s="16"/>
      <c r="E352" s="16"/>
      <c r="F352" s="16"/>
      <c r="G352" s="16"/>
      <c r="H352" s="16"/>
      <c r="I352" s="16"/>
      <c r="J352" s="16"/>
      <c r="K352" s="16"/>
      <c r="L352" s="16"/>
      <c r="M352" s="25"/>
      <c r="N352" s="25"/>
      <c r="O352" s="16"/>
      <c r="P352" s="1"/>
      <c r="Q352" s="1"/>
      <c r="R352" s="1"/>
      <c r="S352" s="1"/>
      <c r="T352" s="1"/>
      <c r="U352" s="1"/>
      <c r="V352" s="16"/>
      <c r="W352" s="1"/>
      <c r="X352" s="1"/>
    </row>
    <row r="353" spans="1:24">
      <c r="A353" s="15"/>
      <c r="B353" s="15"/>
      <c r="C353" s="16"/>
      <c r="D353" s="16"/>
      <c r="E353" s="16"/>
      <c r="F353" s="16"/>
      <c r="G353" s="16"/>
      <c r="H353" s="16"/>
      <c r="I353" s="16"/>
      <c r="J353" s="16"/>
      <c r="K353" s="16"/>
      <c r="L353" s="16"/>
      <c r="M353" s="25"/>
      <c r="N353" s="25"/>
      <c r="O353" s="16"/>
      <c r="P353" s="1"/>
      <c r="Q353" s="1"/>
      <c r="R353" s="1"/>
      <c r="S353" s="1"/>
      <c r="T353" s="1"/>
      <c r="U353" s="1"/>
      <c r="V353" s="16"/>
      <c r="W353" s="1"/>
      <c r="X353" s="1"/>
    </row>
    <row r="354" spans="1:24">
      <c r="A354" s="15"/>
      <c r="B354" s="15"/>
      <c r="C354" s="16"/>
      <c r="D354" s="16"/>
      <c r="E354" s="16"/>
      <c r="F354" s="16"/>
      <c r="G354" s="16"/>
      <c r="H354" s="16"/>
      <c r="I354" s="16"/>
      <c r="J354" s="16"/>
      <c r="K354" s="16"/>
      <c r="L354" s="16"/>
      <c r="M354" s="25"/>
      <c r="N354" s="25"/>
      <c r="O354" s="16"/>
      <c r="P354" s="1"/>
      <c r="Q354" s="1"/>
      <c r="R354" s="1"/>
      <c r="S354" s="1"/>
      <c r="T354" s="1"/>
      <c r="U354" s="1"/>
      <c r="V354" s="16"/>
      <c r="W354" s="1"/>
      <c r="X354" s="1"/>
    </row>
    <row r="355" spans="1:24">
      <c r="A355" s="15"/>
      <c r="B355" s="15"/>
      <c r="C355" s="16"/>
      <c r="D355" s="16"/>
      <c r="E355" s="16"/>
      <c r="F355" s="16"/>
      <c r="G355" s="16"/>
      <c r="H355" s="16"/>
      <c r="I355" s="16"/>
      <c r="J355" s="16"/>
      <c r="K355" s="16"/>
      <c r="L355" s="16"/>
      <c r="M355" s="25"/>
      <c r="N355" s="25"/>
      <c r="O355" s="16"/>
      <c r="P355" s="1"/>
      <c r="Q355" s="1"/>
      <c r="R355" s="1"/>
      <c r="S355" s="1"/>
      <c r="T355" s="1"/>
      <c r="U355" s="1"/>
      <c r="V355" s="16"/>
      <c r="W355" s="1"/>
      <c r="X355" s="1"/>
    </row>
    <row r="356" spans="1:24">
      <c r="A356" s="15"/>
      <c r="B356" s="15"/>
      <c r="C356" s="16"/>
      <c r="D356" s="16"/>
      <c r="E356" s="16"/>
      <c r="F356" s="16"/>
      <c r="G356" s="16"/>
      <c r="H356" s="16"/>
      <c r="I356" s="16"/>
      <c r="J356" s="16"/>
      <c r="K356" s="16"/>
      <c r="L356" s="16"/>
      <c r="M356" s="25"/>
      <c r="N356" s="25"/>
      <c r="O356" s="16"/>
      <c r="P356" s="1"/>
      <c r="Q356" s="1"/>
      <c r="R356" s="1"/>
      <c r="S356" s="1"/>
      <c r="T356" s="1"/>
      <c r="U356" s="1"/>
      <c r="V356" s="16"/>
      <c r="W356" s="1"/>
      <c r="X356" s="1"/>
    </row>
    <row r="357" spans="1:24">
      <c r="A357" s="15"/>
      <c r="B357" s="15"/>
      <c r="C357" s="16"/>
      <c r="D357" s="16"/>
      <c r="E357" s="16"/>
      <c r="F357" s="16"/>
      <c r="G357" s="16"/>
      <c r="H357" s="16"/>
      <c r="I357" s="16"/>
      <c r="J357" s="16"/>
      <c r="K357" s="16"/>
      <c r="L357" s="16"/>
      <c r="M357" s="25"/>
      <c r="N357" s="25"/>
      <c r="O357" s="16"/>
      <c r="P357" s="1"/>
      <c r="Q357" s="1"/>
      <c r="R357" s="1"/>
      <c r="S357" s="1"/>
      <c r="T357" s="1"/>
      <c r="U357" s="1"/>
      <c r="V357" s="16"/>
      <c r="W357" s="1"/>
      <c r="X357" s="1"/>
    </row>
    <row r="358" spans="1:24">
      <c r="A358" s="15"/>
      <c r="B358" s="15"/>
      <c r="C358" s="16"/>
      <c r="D358" s="16"/>
      <c r="E358" s="16"/>
      <c r="F358" s="16"/>
      <c r="G358" s="16"/>
      <c r="H358" s="16"/>
      <c r="I358" s="16"/>
      <c r="J358" s="16"/>
      <c r="K358" s="16"/>
      <c r="L358" s="16"/>
      <c r="M358" s="25"/>
      <c r="N358" s="25"/>
      <c r="O358" s="16"/>
      <c r="P358" s="1"/>
      <c r="Q358" s="1"/>
      <c r="R358" s="1"/>
      <c r="S358" s="1"/>
      <c r="T358" s="1"/>
      <c r="U358" s="1"/>
      <c r="V358" s="16"/>
      <c r="W358" s="1"/>
      <c r="X358" s="1"/>
    </row>
    <row r="359" spans="1:24">
      <c r="A359" s="15"/>
      <c r="B359" s="15"/>
      <c r="C359" s="16"/>
      <c r="D359" s="16"/>
      <c r="E359" s="16"/>
      <c r="F359" s="16"/>
      <c r="G359" s="16"/>
      <c r="H359" s="16"/>
      <c r="I359" s="16"/>
      <c r="J359" s="16"/>
      <c r="K359" s="16"/>
      <c r="L359" s="16"/>
      <c r="M359" s="25"/>
      <c r="N359" s="25"/>
      <c r="O359" s="16"/>
      <c r="P359" s="1"/>
      <c r="Q359" s="1"/>
      <c r="R359" s="1"/>
      <c r="S359" s="1"/>
      <c r="T359" s="1"/>
      <c r="U359" s="1"/>
      <c r="V359" s="16"/>
      <c r="W359" s="1"/>
      <c r="X359" s="1"/>
    </row>
    <row r="360" spans="1:24">
      <c r="A360" s="15"/>
      <c r="B360" s="15"/>
      <c r="C360" s="16"/>
      <c r="D360" s="16"/>
      <c r="E360" s="16"/>
      <c r="F360" s="16"/>
      <c r="G360" s="16"/>
      <c r="H360" s="16"/>
      <c r="I360" s="16"/>
      <c r="J360" s="16"/>
      <c r="K360" s="16"/>
      <c r="L360" s="16"/>
      <c r="M360" s="25"/>
      <c r="N360" s="25"/>
      <c r="O360" s="16"/>
      <c r="P360" s="1"/>
      <c r="Q360" s="1"/>
      <c r="R360" s="1"/>
      <c r="S360" s="1"/>
      <c r="T360" s="1"/>
      <c r="U360" s="1"/>
      <c r="V360" s="16"/>
      <c r="W360" s="1"/>
      <c r="X360" s="1"/>
    </row>
    <row r="361" spans="1:24">
      <c r="A361" s="15"/>
      <c r="B361" s="15"/>
      <c r="C361" s="16"/>
      <c r="D361" s="16"/>
      <c r="E361" s="16"/>
      <c r="F361" s="16"/>
      <c r="G361" s="16"/>
      <c r="H361" s="16"/>
      <c r="I361" s="16"/>
      <c r="J361" s="16"/>
      <c r="K361" s="16"/>
      <c r="L361" s="16"/>
      <c r="M361" s="25"/>
      <c r="N361" s="25"/>
      <c r="O361" s="16"/>
      <c r="P361" s="1"/>
      <c r="Q361" s="1"/>
      <c r="R361" s="1"/>
      <c r="S361" s="1"/>
      <c r="T361" s="1"/>
      <c r="U361" s="1"/>
      <c r="V361" s="16"/>
      <c r="W361" s="1"/>
      <c r="X361" s="1"/>
    </row>
    <row r="362" spans="1:24">
      <c r="A362" s="15"/>
      <c r="B362" s="15"/>
      <c r="C362" s="16"/>
      <c r="D362" s="16"/>
      <c r="E362" s="16"/>
      <c r="F362" s="16"/>
      <c r="G362" s="16"/>
      <c r="H362" s="16"/>
      <c r="I362" s="16"/>
      <c r="J362" s="16"/>
      <c r="K362" s="16"/>
      <c r="L362" s="16"/>
      <c r="M362" s="25"/>
      <c r="N362" s="25"/>
      <c r="O362" s="16"/>
      <c r="P362" s="1"/>
      <c r="Q362" s="1"/>
      <c r="R362" s="1"/>
      <c r="S362" s="1"/>
      <c r="T362" s="1"/>
      <c r="U362" s="1"/>
      <c r="V362" s="16"/>
      <c r="W362" s="1"/>
      <c r="X362" s="1"/>
    </row>
    <row r="363" spans="1:24">
      <c r="A363" s="15"/>
      <c r="B363" s="15"/>
      <c r="C363" s="16"/>
      <c r="D363" s="16"/>
      <c r="E363" s="16"/>
      <c r="F363" s="16"/>
      <c r="G363" s="16"/>
      <c r="H363" s="16"/>
      <c r="I363" s="16"/>
      <c r="J363" s="16"/>
      <c r="K363" s="16"/>
      <c r="L363" s="16"/>
      <c r="M363" s="25"/>
      <c r="N363" s="25"/>
      <c r="O363" s="16"/>
      <c r="P363" s="1"/>
      <c r="Q363" s="1"/>
      <c r="R363" s="1"/>
      <c r="S363" s="1"/>
      <c r="T363" s="1"/>
      <c r="U363" s="1"/>
      <c r="V363" s="16"/>
      <c r="W363" s="1"/>
      <c r="X363" s="1"/>
    </row>
    <row r="364" spans="1:24">
      <c r="A364" s="15"/>
      <c r="B364" s="15"/>
      <c r="C364" s="16"/>
      <c r="D364" s="16"/>
      <c r="E364" s="16"/>
      <c r="F364" s="16"/>
      <c r="G364" s="16"/>
      <c r="H364" s="16"/>
      <c r="I364" s="16"/>
      <c r="J364" s="16"/>
      <c r="K364" s="16"/>
      <c r="L364" s="16"/>
      <c r="M364" s="25"/>
      <c r="N364" s="25"/>
      <c r="O364" s="16"/>
      <c r="P364" s="1"/>
      <c r="Q364" s="1"/>
      <c r="R364" s="1"/>
      <c r="S364" s="1"/>
      <c r="T364" s="1"/>
      <c r="U364" s="1"/>
      <c r="V364" s="16"/>
      <c r="W364" s="1"/>
      <c r="X364" s="1"/>
    </row>
    <row r="365" spans="1:24">
      <c r="A365" s="15"/>
      <c r="B365" s="15"/>
      <c r="C365" s="16"/>
      <c r="D365" s="16"/>
      <c r="E365" s="16"/>
      <c r="F365" s="16"/>
      <c r="G365" s="16"/>
      <c r="H365" s="16"/>
      <c r="I365" s="16"/>
      <c r="J365" s="16"/>
      <c r="K365" s="16"/>
      <c r="L365" s="16"/>
      <c r="M365" s="25"/>
      <c r="N365" s="25"/>
      <c r="O365" s="16"/>
      <c r="P365" s="1"/>
      <c r="Q365" s="1"/>
      <c r="R365" s="1"/>
      <c r="S365" s="1"/>
      <c r="T365" s="1"/>
      <c r="U365" s="1"/>
      <c r="V365" s="16"/>
      <c r="W365" s="1"/>
      <c r="X365" s="1"/>
    </row>
    <row r="366" spans="1:24">
      <c r="A366" s="15"/>
      <c r="B366" s="15"/>
      <c r="C366" s="16"/>
      <c r="D366" s="16"/>
      <c r="E366" s="16"/>
      <c r="F366" s="16"/>
      <c r="G366" s="16"/>
      <c r="H366" s="16"/>
      <c r="I366" s="16"/>
      <c r="J366" s="16"/>
      <c r="K366" s="16"/>
      <c r="L366" s="16"/>
      <c r="M366" s="25"/>
      <c r="N366" s="25"/>
      <c r="O366" s="16"/>
      <c r="P366" s="1"/>
      <c r="Q366" s="1"/>
      <c r="R366" s="1"/>
      <c r="S366" s="1"/>
      <c r="T366" s="1"/>
      <c r="U366" s="1"/>
      <c r="V366" s="16"/>
      <c r="W366" s="1"/>
      <c r="X366" s="1"/>
    </row>
    <row r="367" spans="1:24">
      <c r="A367" s="15"/>
      <c r="B367" s="15"/>
      <c r="C367" s="16"/>
      <c r="D367" s="16"/>
      <c r="E367" s="16"/>
      <c r="F367" s="16"/>
      <c r="G367" s="16"/>
      <c r="H367" s="16"/>
      <c r="I367" s="16"/>
      <c r="J367" s="16"/>
      <c r="K367" s="16"/>
      <c r="L367" s="16"/>
      <c r="M367" s="25"/>
      <c r="N367" s="25"/>
      <c r="O367" s="16"/>
      <c r="P367" s="1"/>
      <c r="Q367" s="1"/>
      <c r="R367" s="1"/>
      <c r="S367" s="1"/>
      <c r="T367" s="1"/>
      <c r="U367" s="1"/>
      <c r="V367" s="16"/>
      <c r="W367" s="1"/>
      <c r="X367" s="1"/>
    </row>
    <row r="368" spans="1:24">
      <c r="A368" s="15"/>
      <c r="B368" s="15"/>
      <c r="C368" s="16"/>
      <c r="D368" s="16"/>
      <c r="E368" s="16"/>
      <c r="F368" s="16"/>
      <c r="G368" s="16"/>
      <c r="H368" s="16"/>
      <c r="I368" s="16"/>
      <c r="J368" s="16"/>
      <c r="K368" s="16"/>
      <c r="L368" s="16"/>
      <c r="M368" s="25"/>
      <c r="N368" s="25"/>
      <c r="O368" s="16"/>
      <c r="P368" s="1"/>
      <c r="Q368" s="1"/>
      <c r="R368" s="1"/>
      <c r="S368" s="1"/>
      <c r="T368" s="1"/>
      <c r="U368" s="1"/>
      <c r="V368" s="16"/>
      <c r="W368" s="1"/>
      <c r="X368" s="1"/>
    </row>
    <row r="369" spans="1:24">
      <c r="A369" s="15"/>
      <c r="B369" s="15"/>
      <c r="C369" s="16"/>
      <c r="D369" s="16"/>
      <c r="E369" s="16"/>
      <c r="F369" s="16"/>
      <c r="G369" s="16"/>
      <c r="H369" s="16"/>
      <c r="I369" s="16"/>
      <c r="J369" s="16"/>
      <c r="K369" s="16"/>
      <c r="L369" s="16"/>
      <c r="M369" s="25"/>
      <c r="N369" s="25"/>
      <c r="O369" s="16"/>
      <c r="P369" s="1"/>
      <c r="Q369" s="1"/>
      <c r="R369" s="1"/>
      <c r="S369" s="1"/>
      <c r="T369" s="1"/>
      <c r="U369" s="1"/>
      <c r="V369" s="16"/>
      <c r="W369" s="1"/>
      <c r="X369" s="1"/>
    </row>
    <row r="370" spans="1:24">
      <c r="A370" s="15"/>
      <c r="B370" s="15"/>
      <c r="C370" s="16"/>
      <c r="D370" s="16"/>
      <c r="E370" s="16"/>
      <c r="F370" s="16"/>
      <c r="G370" s="16"/>
      <c r="H370" s="16"/>
      <c r="I370" s="16"/>
      <c r="J370" s="16"/>
      <c r="K370" s="16"/>
      <c r="L370" s="16"/>
      <c r="M370" s="25"/>
      <c r="N370" s="25"/>
      <c r="O370" s="16"/>
      <c r="P370" s="1"/>
      <c r="Q370" s="1"/>
      <c r="R370" s="1"/>
      <c r="S370" s="1"/>
      <c r="T370" s="1"/>
      <c r="U370" s="1"/>
      <c r="V370" s="16"/>
      <c r="W370" s="1"/>
      <c r="X370" s="1"/>
    </row>
    <row r="371" spans="1:24">
      <c r="A371" s="15"/>
      <c r="B371" s="1"/>
      <c r="C371" s="1"/>
      <c r="D371" s="1"/>
      <c r="E371" s="1"/>
      <c r="F371" s="1"/>
      <c r="G371" s="1"/>
      <c r="H371" s="1"/>
      <c r="I371" s="1"/>
      <c r="J371" s="1"/>
      <c r="K371" s="1"/>
      <c r="L371" s="1"/>
      <c r="M371" s="26"/>
      <c r="N371" s="26"/>
      <c r="O371" s="1"/>
      <c r="P371" s="1"/>
      <c r="Q371" s="1"/>
      <c r="R371" s="1"/>
      <c r="S371" s="1"/>
      <c r="T371" s="1"/>
      <c r="U371" s="1"/>
      <c r="V371" s="16"/>
      <c r="W371" s="1"/>
      <c r="X371" s="1"/>
    </row>
    <row r="372" spans="1:24">
      <c r="A372" s="15"/>
      <c r="B372" s="1"/>
      <c r="C372" s="1"/>
      <c r="D372" s="1"/>
      <c r="E372" s="1"/>
      <c r="F372" s="1"/>
      <c r="G372" s="1"/>
      <c r="H372" s="1"/>
      <c r="I372" s="1"/>
      <c r="J372" s="1"/>
      <c r="K372" s="1"/>
      <c r="L372" s="1"/>
      <c r="M372" s="26"/>
      <c r="N372" s="26"/>
      <c r="O372" s="1"/>
      <c r="P372" s="1"/>
      <c r="Q372" s="1"/>
      <c r="R372" s="1"/>
      <c r="S372" s="1"/>
      <c r="T372" s="1"/>
      <c r="U372" s="1"/>
      <c r="V372" s="16"/>
      <c r="W372" s="1"/>
      <c r="X372" s="1"/>
    </row>
    <row r="373" spans="1:24">
      <c r="A373" s="15"/>
      <c r="B373" s="1"/>
      <c r="C373" s="1"/>
      <c r="D373" s="1"/>
      <c r="E373" s="1"/>
      <c r="F373" s="1"/>
      <c r="G373" s="1"/>
      <c r="H373" s="1"/>
      <c r="I373" s="1"/>
      <c r="J373" s="1"/>
      <c r="K373" s="1"/>
      <c r="L373" s="1"/>
      <c r="M373" s="26"/>
      <c r="N373" s="26"/>
      <c r="O373" s="1"/>
      <c r="P373" s="1"/>
      <c r="Q373" s="1"/>
      <c r="R373" s="1"/>
      <c r="S373" s="1"/>
      <c r="T373" s="1"/>
      <c r="U373" s="1"/>
      <c r="V373" s="16"/>
      <c r="W373" s="1"/>
      <c r="X373" s="1"/>
    </row>
    <row r="374" spans="1:24">
      <c r="A374" s="1"/>
      <c r="B374" s="93"/>
      <c r="C374" s="1"/>
      <c r="D374" s="1"/>
      <c r="E374" s="1"/>
      <c r="F374" s="93"/>
      <c r="G374" s="93"/>
      <c r="H374" s="93"/>
      <c r="I374" s="93"/>
      <c r="J374" s="93"/>
      <c r="K374" s="93"/>
      <c r="L374" s="93"/>
      <c r="M374" s="26"/>
      <c r="N374" s="26"/>
      <c r="O374" s="1"/>
      <c r="P374" s="1"/>
      <c r="Q374" s="1"/>
      <c r="R374" s="1"/>
      <c r="S374" s="1"/>
      <c r="T374" s="1"/>
      <c r="U374" s="1"/>
      <c r="V374" s="16"/>
      <c r="W374" s="1"/>
      <c r="X374" s="1"/>
    </row>
    <row r="375" spans="1:24">
      <c r="A375" s="1"/>
      <c r="B375" s="94"/>
      <c r="C375" s="1"/>
      <c r="D375" s="1"/>
      <c r="E375" s="1"/>
      <c r="F375" s="94"/>
      <c r="G375" s="94"/>
      <c r="H375" s="94"/>
      <c r="I375" s="94"/>
      <c r="J375" s="94"/>
      <c r="K375" s="94"/>
      <c r="L375" s="94"/>
      <c r="M375" s="26"/>
      <c r="N375" s="26"/>
      <c r="O375" s="1"/>
      <c r="P375" s="1"/>
      <c r="Q375" s="1"/>
      <c r="R375" s="1"/>
      <c r="S375" s="1"/>
      <c r="T375" s="1"/>
      <c r="U375" s="1"/>
      <c r="V375" s="16"/>
      <c r="W375" s="1"/>
      <c r="X375" s="1"/>
    </row>
    <row r="376" spans="1:24">
      <c r="A376" s="1"/>
      <c r="B376" s="94"/>
      <c r="C376" s="1"/>
      <c r="D376" s="1"/>
      <c r="E376" s="1"/>
      <c r="F376" s="94"/>
      <c r="G376" s="94"/>
      <c r="H376" s="94"/>
      <c r="I376" s="94"/>
      <c r="J376" s="94"/>
      <c r="K376" s="94"/>
      <c r="L376" s="94"/>
      <c r="M376" s="26"/>
      <c r="N376" s="26"/>
      <c r="O376" s="1"/>
      <c r="P376" s="1"/>
      <c r="Q376" s="1"/>
      <c r="R376" s="1"/>
      <c r="S376" s="1"/>
      <c r="T376" s="1"/>
      <c r="U376" s="1"/>
      <c r="V376" s="16"/>
      <c r="W376" s="1"/>
      <c r="X376" s="1"/>
    </row>
    <row r="377" spans="1:24">
      <c r="A377" s="1"/>
      <c r="B377" s="94"/>
      <c r="C377" s="1"/>
      <c r="D377" s="1"/>
      <c r="E377" s="1"/>
      <c r="F377" s="94"/>
      <c r="G377" s="94"/>
      <c r="H377" s="94"/>
      <c r="I377" s="94"/>
      <c r="J377" s="94"/>
      <c r="K377" s="94"/>
      <c r="L377" s="94"/>
      <c r="M377" s="26"/>
      <c r="N377" s="26"/>
      <c r="O377" s="1"/>
      <c r="P377" s="1"/>
      <c r="Q377" s="1"/>
      <c r="R377" s="1"/>
      <c r="S377" s="1"/>
      <c r="T377" s="1"/>
      <c r="U377" s="1"/>
      <c r="V377" s="16"/>
      <c r="W377" s="1"/>
      <c r="X377" s="1"/>
    </row>
    <row r="378" spans="1:24">
      <c r="A378" s="1"/>
      <c r="B378" s="94"/>
      <c r="C378" s="1"/>
      <c r="D378" s="1"/>
      <c r="E378" s="1"/>
      <c r="F378" s="94"/>
      <c r="G378" s="94"/>
      <c r="H378" s="94"/>
      <c r="I378" s="94"/>
      <c r="J378" s="94"/>
      <c r="K378" s="94"/>
      <c r="L378" s="94"/>
      <c r="M378" s="26"/>
      <c r="N378" s="26"/>
      <c r="O378" s="1"/>
      <c r="P378" s="1"/>
      <c r="Q378" s="1"/>
      <c r="R378" s="1"/>
      <c r="S378" s="1"/>
      <c r="T378" s="1"/>
      <c r="U378" s="1"/>
      <c r="V378" s="16"/>
      <c r="W378" s="1"/>
      <c r="X378" s="1"/>
    </row>
    <row r="379" spans="1:24">
      <c r="A379" s="1"/>
      <c r="B379" s="93"/>
      <c r="C379" s="1"/>
      <c r="D379" s="1"/>
      <c r="E379" s="1"/>
      <c r="F379" s="93"/>
      <c r="G379" s="93"/>
      <c r="H379" s="93"/>
      <c r="I379" s="93"/>
      <c r="J379" s="93"/>
      <c r="K379" s="93"/>
      <c r="L379" s="93"/>
      <c r="M379" s="26"/>
      <c r="N379" s="26"/>
      <c r="O379" s="1"/>
      <c r="P379" s="1"/>
      <c r="Q379" s="1"/>
      <c r="R379" s="1"/>
      <c r="S379" s="1"/>
      <c r="T379" s="1"/>
      <c r="U379" s="1"/>
      <c r="V379" s="16"/>
      <c r="W379" s="1"/>
      <c r="X379" s="1"/>
    </row>
    <row r="380" spans="1:24">
      <c r="A380" s="1"/>
      <c r="B380" s="94"/>
      <c r="C380" s="1"/>
      <c r="D380" s="1"/>
      <c r="E380" s="1"/>
      <c r="F380" s="94"/>
      <c r="G380" s="94"/>
      <c r="H380" s="94"/>
      <c r="I380" s="94"/>
      <c r="J380" s="94"/>
      <c r="K380" s="94"/>
      <c r="L380" s="94"/>
      <c r="M380" s="26"/>
      <c r="N380" s="26"/>
      <c r="O380" s="1"/>
      <c r="P380" s="1"/>
      <c r="Q380" s="1"/>
      <c r="R380" s="1"/>
      <c r="S380" s="1"/>
      <c r="T380" s="1"/>
      <c r="U380" s="1"/>
      <c r="V380" s="16"/>
      <c r="W380" s="1"/>
      <c r="X380" s="1"/>
    </row>
    <row r="381" spans="1:24">
      <c r="A381" s="1"/>
      <c r="B381" s="94"/>
      <c r="C381" s="1"/>
      <c r="D381" s="1"/>
      <c r="E381" s="1"/>
      <c r="F381" s="94"/>
      <c r="G381" s="94"/>
      <c r="H381" s="94"/>
      <c r="I381" s="94"/>
      <c r="J381" s="94"/>
      <c r="K381" s="94"/>
      <c r="L381" s="94"/>
      <c r="M381" s="26"/>
      <c r="N381" s="26"/>
      <c r="O381" s="1"/>
      <c r="P381" s="1"/>
      <c r="Q381" s="1"/>
      <c r="R381" s="1"/>
      <c r="S381" s="1"/>
      <c r="T381" s="1"/>
      <c r="U381" s="1"/>
      <c r="V381" s="16"/>
      <c r="W381" s="1"/>
      <c r="X381" s="1"/>
    </row>
    <row r="382" spans="1:24">
      <c r="A382" s="1"/>
      <c r="B382" s="94"/>
      <c r="C382" s="1"/>
      <c r="D382" s="1"/>
      <c r="E382" s="1"/>
      <c r="F382" s="94"/>
      <c r="G382" s="94"/>
      <c r="H382" s="94"/>
      <c r="I382" s="94"/>
      <c r="J382" s="94"/>
      <c r="K382" s="94"/>
      <c r="L382" s="94"/>
      <c r="M382" s="26"/>
      <c r="N382" s="26"/>
      <c r="O382" s="1"/>
      <c r="P382" s="1"/>
      <c r="Q382" s="1"/>
      <c r="R382" s="1"/>
      <c r="S382" s="1"/>
      <c r="T382" s="1"/>
      <c r="U382" s="1"/>
      <c r="V382" s="16"/>
      <c r="W382" s="1"/>
      <c r="X382" s="1"/>
    </row>
    <row r="383" spans="1:24">
      <c r="A383" s="1"/>
      <c r="B383" s="94"/>
      <c r="C383" s="1"/>
      <c r="D383" s="1"/>
      <c r="E383" s="1"/>
      <c r="F383" s="94"/>
      <c r="G383" s="94"/>
      <c r="H383" s="94"/>
      <c r="I383" s="94"/>
      <c r="J383" s="94"/>
      <c r="K383" s="94"/>
      <c r="L383" s="94"/>
      <c r="M383" s="26"/>
      <c r="N383" s="26"/>
      <c r="O383" s="1"/>
      <c r="P383" s="1"/>
      <c r="Q383" s="1"/>
      <c r="R383" s="1"/>
      <c r="S383" s="1"/>
      <c r="T383" s="1"/>
      <c r="U383" s="1"/>
      <c r="V383" s="16"/>
      <c r="W383" s="1"/>
      <c r="X383" s="1"/>
    </row>
    <row r="384" spans="1:24">
      <c r="A384" s="1"/>
      <c r="B384" s="93"/>
      <c r="C384" s="1"/>
      <c r="D384" s="1"/>
      <c r="E384" s="1"/>
      <c r="F384" s="93"/>
      <c r="G384" s="93"/>
      <c r="H384" s="93"/>
      <c r="I384" s="93"/>
      <c r="J384" s="93"/>
      <c r="K384" s="93"/>
      <c r="L384" s="93"/>
      <c r="M384" s="26"/>
      <c r="N384" s="26"/>
      <c r="O384" s="1"/>
      <c r="P384" s="1"/>
      <c r="Q384" s="1"/>
      <c r="R384" s="1"/>
      <c r="S384" s="1"/>
      <c r="T384" s="1"/>
      <c r="U384" s="1"/>
      <c r="V384" s="16"/>
      <c r="W384" s="1"/>
      <c r="X384" s="1"/>
    </row>
    <row r="385" spans="1:24">
      <c r="A385" s="1"/>
      <c r="B385" s="94"/>
      <c r="C385" s="1"/>
      <c r="D385" s="1"/>
      <c r="E385" s="1"/>
      <c r="F385" s="94"/>
      <c r="G385" s="94"/>
      <c r="H385" s="94"/>
      <c r="I385" s="94"/>
      <c r="J385" s="94"/>
      <c r="K385" s="94"/>
      <c r="L385" s="94"/>
      <c r="M385" s="26"/>
      <c r="N385" s="26"/>
      <c r="O385" s="1"/>
      <c r="P385" s="1"/>
      <c r="Q385" s="1"/>
      <c r="R385" s="1"/>
      <c r="S385" s="1"/>
      <c r="T385" s="1"/>
      <c r="U385" s="1"/>
      <c r="V385" s="16"/>
      <c r="W385" s="1"/>
      <c r="X385" s="1"/>
    </row>
    <row r="386" spans="1:24">
      <c r="A386" s="1"/>
      <c r="B386" s="94"/>
      <c r="C386" s="1"/>
      <c r="D386" s="1"/>
      <c r="E386" s="1"/>
      <c r="F386" s="94"/>
      <c r="G386" s="94"/>
      <c r="H386" s="94"/>
      <c r="I386" s="94"/>
      <c r="J386" s="94"/>
      <c r="K386" s="94"/>
      <c r="L386" s="94"/>
      <c r="M386" s="26"/>
      <c r="N386" s="26"/>
      <c r="O386" s="1"/>
      <c r="P386" s="1"/>
      <c r="Q386" s="1"/>
      <c r="R386" s="1"/>
      <c r="S386" s="1"/>
      <c r="T386" s="1"/>
      <c r="U386" s="1"/>
      <c r="V386" s="16"/>
      <c r="W386" s="1"/>
      <c r="X386" s="1"/>
    </row>
    <row r="387" spans="1:24">
      <c r="A387" s="1"/>
      <c r="B387" s="94"/>
      <c r="C387" s="1"/>
      <c r="D387" s="1"/>
      <c r="E387" s="1"/>
      <c r="F387" s="94"/>
      <c r="G387" s="94"/>
      <c r="H387" s="94"/>
      <c r="I387" s="94"/>
      <c r="J387" s="94"/>
      <c r="K387" s="94"/>
      <c r="L387" s="94"/>
      <c r="M387" s="26"/>
      <c r="N387" s="26"/>
      <c r="O387" s="1"/>
      <c r="P387" s="1"/>
      <c r="Q387" s="1"/>
      <c r="R387" s="1"/>
      <c r="S387" s="1"/>
      <c r="T387" s="1"/>
      <c r="U387" s="1"/>
      <c r="V387" s="16"/>
      <c r="W387" s="1"/>
      <c r="X387" s="1"/>
    </row>
    <row r="388" spans="1:24">
      <c r="A388" s="1"/>
      <c r="B388" s="94"/>
      <c r="C388" s="1"/>
      <c r="D388" s="1"/>
      <c r="E388" s="1"/>
      <c r="F388" s="94"/>
      <c r="G388" s="94"/>
      <c r="H388" s="94"/>
      <c r="I388" s="94"/>
      <c r="J388" s="94"/>
      <c r="K388" s="94"/>
      <c r="L388" s="94"/>
      <c r="M388" s="26"/>
      <c r="N388" s="26"/>
      <c r="O388" s="1"/>
      <c r="P388" s="1"/>
      <c r="Q388" s="1"/>
      <c r="R388" s="1"/>
      <c r="S388" s="1"/>
      <c r="T388" s="1"/>
      <c r="U388" s="1"/>
      <c r="V388" s="16"/>
      <c r="W388" s="1"/>
      <c r="X388" s="1"/>
    </row>
    <row r="389" spans="1:24">
      <c r="A389" s="1"/>
      <c r="B389" s="93"/>
      <c r="C389" s="1"/>
      <c r="D389" s="1"/>
      <c r="E389" s="1"/>
      <c r="F389" s="93"/>
      <c r="G389" s="93"/>
      <c r="H389" s="93"/>
      <c r="I389" s="93"/>
      <c r="J389" s="93"/>
      <c r="K389" s="93"/>
      <c r="L389" s="93"/>
      <c r="M389" s="26"/>
      <c r="N389" s="26"/>
      <c r="O389" s="1"/>
      <c r="P389" s="1"/>
      <c r="Q389" s="1"/>
      <c r="R389" s="1"/>
      <c r="S389" s="1"/>
      <c r="T389" s="1"/>
      <c r="U389" s="1"/>
      <c r="V389" s="16"/>
      <c r="W389" s="1"/>
      <c r="X389" s="1"/>
    </row>
    <row r="390" spans="1:24">
      <c r="A390" s="1"/>
      <c r="B390" s="94"/>
      <c r="C390" s="1"/>
      <c r="D390" s="1"/>
      <c r="E390" s="1"/>
      <c r="F390" s="94"/>
      <c r="G390" s="94"/>
      <c r="H390" s="94"/>
      <c r="I390" s="94"/>
      <c r="J390" s="94"/>
      <c r="K390" s="94"/>
      <c r="L390" s="94"/>
      <c r="M390" s="26"/>
      <c r="N390" s="26"/>
      <c r="O390" s="1"/>
      <c r="P390" s="1"/>
      <c r="Q390" s="1"/>
      <c r="R390" s="1"/>
      <c r="S390" s="1"/>
      <c r="T390" s="1"/>
      <c r="U390" s="1"/>
      <c r="V390" s="16"/>
      <c r="W390" s="1"/>
      <c r="X390" s="1"/>
    </row>
    <row r="391" spans="1:24">
      <c r="A391" s="1"/>
      <c r="B391" s="94"/>
      <c r="C391" s="1"/>
      <c r="D391" s="1"/>
      <c r="E391" s="1"/>
      <c r="F391" s="94"/>
      <c r="G391" s="94"/>
      <c r="H391" s="94"/>
      <c r="I391" s="94"/>
      <c r="J391" s="94"/>
      <c r="K391" s="94"/>
      <c r="L391" s="94"/>
      <c r="M391" s="26"/>
      <c r="N391" s="26"/>
      <c r="O391" s="1"/>
      <c r="P391" s="1"/>
      <c r="Q391" s="1"/>
      <c r="R391" s="1"/>
      <c r="S391" s="1"/>
      <c r="T391" s="1"/>
      <c r="U391" s="1"/>
      <c r="V391" s="16"/>
      <c r="W391" s="1"/>
      <c r="X391" s="1"/>
    </row>
    <row r="392" spans="1:24">
      <c r="A392" s="1"/>
      <c r="B392" s="94"/>
      <c r="C392" s="1"/>
      <c r="D392" s="1"/>
      <c r="E392" s="1"/>
      <c r="F392" s="94"/>
      <c r="G392" s="94"/>
      <c r="H392" s="94"/>
      <c r="I392" s="94"/>
      <c r="J392" s="94"/>
      <c r="K392" s="94"/>
      <c r="L392" s="94"/>
      <c r="M392" s="26"/>
      <c r="N392" s="26"/>
      <c r="O392" s="1"/>
      <c r="P392" s="1"/>
      <c r="Q392" s="1"/>
      <c r="R392" s="1"/>
      <c r="S392" s="1"/>
      <c r="T392" s="1"/>
      <c r="U392" s="1"/>
      <c r="V392" s="16"/>
      <c r="W392" s="1"/>
      <c r="X392" s="1"/>
    </row>
    <row r="393" spans="1:24">
      <c r="A393" s="1"/>
      <c r="B393" s="94"/>
      <c r="C393" s="1"/>
      <c r="D393" s="1"/>
      <c r="E393" s="1"/>
      <c r="F393" s="94"/>
      <c r="G393" s="94"/>
      <c r="H393" s="94"/>
      <c r="I393" s="94"/>
      <c r="J393" s="94"/>
      <c r="K393" s="94"/>
      <c r="L393" s="94"/>
      <c r="M393" s="26"/>
      <c r="N393" s="26"/>
      <c r="O393" s="1"/>
      <c r="P393" s="1"/>
      <c r="Q393" s="1"/>
      <c r="R393" s="1"/>
      <c r="S393" s="1"/>
      <c r="T393" s="1"/>
      <c r="U393" s="1"/>
      <c r="V393" s="16"/>
      <c r="W393" s="1"/>
      <c r="X393" s="1"/>
    </row>
    <row r="394" spans="1:24">
      <c r="A394" s="1"/>
      <c r="B394" s="93"/>
      <c r="C394" s="1"/>
      <c r="D394" s="1"/>
      <c r="E394" s="1"/>
      <c r="F394" s="93"/>
      <c r="G394" s="93"/>
      <c r="H394" s="93"/>
      <c r="I394" s="93"/>
      <c r="J394" s="93"/>
      <c r="K394" s="93"/>
      <c r="L394" s="93"/>
      <c r="M394" s="26"/>
      <c r="N394" s="26"/>
      <c r="O394" s="1"/>
      <c r="P394" s="1"/>
      <c r="Q394" s="1"/>
      <c r="R394" s="1"/>
      <c r="S394" s="1"/>
      <c r="T394" s="1"/>
      <c r="U394" s="1"/>
      <c r="V394" s="16"/>
      <c r="W394" s="1"/>
      <c r="X394" s="1"/>
    </row>
    <row r="395" spans="1:24">
      <c r="A395" s="1"/>
      <c r="B395" s="94"/>
      <c r="C395" s="1"/>
      <c r="D395" s="1"/>
      <c r="E395" s="1"/>
      <c r="F395" s="94"/>
      <c r="G395" s="94"/>
      <c r="H395" s="94"/>
      <c r="I395" s="94"/>
      <c r="J395" s="94"/>
      <c r="K395" s="94"/>
      <c r="L395" s="94"/>
      <c r="M395" s="26"/>
      <c r="N395" s="26"/>
      <c r="O395" s="1"/>
      <c r="P395" s="1"/>
      <c r="Q395" s="1"/>
      <c r="R395" s="1"/>
      <c r="S395" s="1"/>
      <c r="T395" s="1"/>
      <c r="U395" s="1"/>
      <c r="V395" s="16"/>
      <c r="W395" s="1"/>
      <c r="X395" s="1"/>
    </row>
    <row r="396" spans="1:24">
      <c r="A396" s="1"/>
      <c r="B396" s="94"/>
      <c r="C396" s="1"/>
      <c r="D396" s="1"/>
      <c r="E396" s="1"/>
      <c r="F396" s="94"/>
      <c r="G396" s="94"/>
      <c r="H396" s="94"/>
      <c r="I396" s="94"/>
      <c r="J396" s="94"/>
      <c r="K396" s="94"/>
      <c r="L396" s="94"/>
      <c r="M396" s="26"/>
      <c r="N396" s="26"/>
      <c r="O396" s="1"/>
      <c r="P396" s="1"/>
      <c r="Q396" s="1"/>
      <c r="R396" s="1"/>
      <c r="S396" s="1"/>
      <c r="T396" s="1"/>
      <c r="U396" s="1"/>
      <c r="V396" s="16"/>
      <c r="W396" s="1"/>
      <c r="X396" s="1"/>
    </row>
    <row r="397" spans="1:24">
      <c r="A397" s="1"/>
      <c r="B397" s="94"/>
      <c r="C397" s="1"/>
      <c r="D397" s="1"/>
      <c r="E397" s="1"/>
      <c r="F397" s="94"/>
      <c r="G397" s="94"/>
      <c r="H397" s="94"/>
      <c r="I397" s="94"/>
      <c r="J397" s="94"/>
      <c r="K397" s="94"/>
      <c r="L397" s="94"/>
      <c r="M397" s="26"/>
      <c r="N397" s="26"/>
      <c r="O397" s="1"/>
      <c r="P397" s="1"/>
      <c r="Q397" s="1"/>
      <c r="R397" s="1"/>
      <c r="S397" s="1"/>
      <c r="T397" s="1"/>
      <c r="U397" s="1"/>
      <c r="V397" s="16"/>
      <c r="W397" s="1"/>
      <c r="X397" s="1"/>
    </row>
    <row r="398" spans="1:24">
      <c r="A398" s="1"/>
      <c r="B398" s="94"/>
      <c r="C398" s="1"/>
      <c r="D398" s="1"/>
      <c r="E398" s="1"/>
      <c r="F398" s="94"/>
      <c r="G398" s="94"/>
      <c r="H398" s="94"/>
      <c r="I398" s="94"/>
      <c r="J398" s="94"/>
      <c r="K398" s="94"/>
      <c r="L398" s="94"/>
      <c r="M398" s="26"/>
      <c r="N398" s="26"/>
      <c r="O398" s="1"/>
      <c r="P398" s="1"/>
      <c r="Q398" s="1"/>
      <c r="R398" s="1"/>
      <c r="S398" s="1"/>
      <c r="T398" s="1"/>
      <c r="U398" s="1"/>
      <c r="V398" s="16"/>
      <c r="W398" s="1"/>
      <c r="X398" s="1"/>
    </row>
    <row r="399" spans="1:24">
      <c r="A399" s="1"/>
      <c r="B399" s="93"/>
      <c r="C399" s="1"/>
      <c r="D399" s="1"/>
      <c r="E399" s="1"/>
      <c r="F399" s="93"/>
      <c r="G399" s="93"/>
      <c r="H399" s="93"/>
      <c r="I399" s="93"/>
      <c r="J399" s="93"/>
      <c r="K399" s="93"/>
      <c r="L399" s="93"/>
      <c r="M399" s="26"/>
      <c r="N399" s="26"/>
      <c r="O399" s="1"/>
      <c r="P399" s="1"/>
      <c r="Q399" s="1"/>
      <c r="R399" s="1"/>
      <c r="S399" s="1"/>
      <c r="T399" s="1"/>
      <c r="U399" s="1"/>
      <c r="V399" s="16"/>
      <c r="W399" s="1"/>
      <c r="X399" s="1"/>
    </row>
    <row r="400" spans="1:24">
      <c r="A400" s="1"/>
      <c r="B400" s="94"/>
      <c r="C400" s="1"/>
      <c r="D400" s="1"/>
      <c r="E400" s="1"/>
      <c r="F400" s="94"/>
      <c r="G400" s="94"/>
      <c r="H400" s="94"/>
      <c r="I400" s="94"/>
      <c r="J400" s="94"/>
      <c r="K400" s="94"/>
      <c r="L400" s="94"/>
      <c r="M400" s="26"/>
      <c r="N400" s="26"/>
      <c r="O400" s="1"/>
      <c r="P400" s="1"/>
      <c r="Q400" s="1"/>
      <c r="R400" s="1"/>
      <c r="S400" s="1"/>
      <c r="T400" s="1"/>
      <c r="U400" s="1"/>
      <c r="V400" s="16"/>
      <c r="W400" s="1"/>
      <c r="X400" s="1"/>
    </row>
    <row r="401" spans="1:24">
      <c r="A401" s="1"/>
      <c r="B401" s="94"/>
      <c r="C401" s="1"/>
      <c r="D401" s="1"/>
      <c r="E401" s="1"/>
      <c r="F401" s="94"/>
      <c r="G401" s="94"/>
      <c r="H401" s="94"/>
      <c r="I401" s="94"/>
      <c r="J401" s="94"/>
      <c r="K401" s="94"/>
      <c r="L401" s="94"/>
      <c r="M401" s="26"/>
      <c r="N401" s="26"/>
      <c r="O401" s="1"/>
      <c r="P401" s="1"/>
      <c r="Q401" s="1"/>
      <c r="R401" s="1"/>
      <c r="S401" s="1"/>
      <c r="T401" s="1"/>
      <c r="U401" s="1"/>
      <c r="V401" s="16"/>
      <c r="W401" s="1"/>
      <c r="X401" s="1"/>
    </row>
    <row r="402" spans="1:24">
      <c r="A402" s="1"/>
      <c r="B402" s="94"/>
      <c r="C402" s="1"/>
      <c r="D402" s="1"/>
      <c r="E402" s="1"/>
      <c r="F402" s="94"/>
      <c r="G402" s="94"/>
      <c r="H402" s="94"/>
      <c r="I402" s="94"/>
      <c r="J402" s="94"/>
      <c r="K402" s="94"/>
      <c r="L402" s="94"/>
      <c r="M402" s="26"/>
      <c r="N402" s="26"/>
      <c r="O402" s="1"/>
      <c r="P402" s="1"/>
      <c r="Q402" s="1"/>
      <c r="R402" s="1"/>
      <c r="S402" s="1"/>
      <c r="T402" s="1"/>
      <c r="U402" s="1"/>
      <c r="V402" s="16"/>
      <c r="W402" s="1"/>
      <c r="X402" s="1"/>
    </row>
    <row r="403" spans="1:24">
      <c r="A403" s="1"/>
      <c r="B403" s="94"/>
      <c r="C403" s="1"/>
      <c r="D403" s="1"/>
      <c r="E403" s="1"/>
      <c r="F403" s="94"/>
      <c r="G403" s="94"/>
      <c r="H403" s="94"/>
      <c r="I403" s="94"/>
      <c r="J403" s="94"/>
      <c r="K403" s="94"/>
      <c r="L403" s="94"/>
      <c r="M403" s="26"/>
      <c r="N403" s="26"/>
      <c r="O403" s="1"/>
      <c r="P403" s="1"/>
      <c r="Q403" s="1"/>
      <c r="R403" s="1"/>
      <c r="S403" s="1"/>
      <c r="T403" s="1"/>
      <c r="U403" s="1"/>
      <c r="V403" s="16"/>
      <c r="W403" s="1"/>
      <c r="X403" s="1"/>
    </row>
    <row r="404" spans="1:24">
      <c r="A404" s="1"/>
      <c r="B404" s="93"/>
      <c r="C404" s="1"/>
      <c r="D404" s="1"/>
      <c r="E404" s="1"/>
      <c r="F404" s="93"/>
      <c r="G404" s="93"/>
      <c r="H404" s="93"/>
      <c r="I404" s="93"/>
      <c r="J404" s="93"/>
      <c r="K404" s="93"/>
      <c r="L404" s="93"/>
      <c r="M404" s="26"/>
      <c r="N404" s="26"/>
      <c r="O404" s="1"/>
      <c r="P404" s="1"/>
      <c r="Q404" s="1"/>
      <c r="R404" s="1"/>
      <c r="S404" s="1"/>
      <c r="T404" s="1"/>
      <c r="U404" s="1"/>
      <c r="V404" s="16"/>
      <c r="W404" s="1"/>
      <c r="X404" s="1"/>
    </row>
    <row r="405" spans="1:24">
      <c r="A405" s="1"/>
      <c r="B405" s="94"/>
      <c r="C405" s="1"/>
      <c r="D405" s="1"/>
      <c r="E405" s="1"/>
      <c r="F405" s="94"/>
      <c r="G405" s="94"/>
      <c r="H405" s="94"/>
      <c r="I405" s="94"/>
      <c r="J405" s="94"/>
      <c r="K405" s="94"/>
      <c r="L405" s="94"/>
      <c r="M405" s="26"/>
      <c r="N405" s="26"/>
      <c r="O405" s="1"/>
      <c r="P405" s="1"/>
      <c r="Q405" s="1"/>
      <c r="R405" s="1"/>
      <c r="S405" s="1"/>
      <c r="T405" s="1"/>
      <c r="U405" s="1"/>
      <c r="V405" s="16"/>
      <c r="W405" s="1"/>
      <c r="X405" s="1"/>
    </row>
    <row r="406" spans="1:24">
      <c r="A406" s="1"/>
      <c r="B406" s="94"/>
      <c r="C406" s="1"/>
      <c r="D406" s="1"/>
      <c r="E406" s="1"/>
      <c r="F406" s="94"/>
      <c r="G406" s="94"/>
      <c r="H406" s="94"/>
      <c r="I406" s="94"/>
      <c r="J406" s="94"/>
      <c r="K406" s="94"/>
      <c r="L406" s="94"/>
      <c r="M406" s="26"/>
      <c r="N406" s="26"/>
      <c r="O406" s="1"/>
      <c r="P406" s="1"/>
      <c r="Q406" s="1"/>
      <c r="R406" s="1"/>
      <c r="S406" s="1"/>
      <c r="T406" s="1"/>
      <c r="U406" s="1"/>
      <c r="V406" s="16"/>
      <c r="W406" s="1"/>
      <c r="X406" s="1"/>
    </row>
    <row r="407" spans="1:24">
      <c r="A407" s="1"/>
      <c r="B407" s="94"/>
      <c r="C407" s="1"/>
      <c r="D407" s="1"/>
      <c r="E407" s="1"/>
      <c r="F407" s="94"/>
      <c r="G407" s="94"/>
      <c r="H407" s="94"/>
      <c r="I407" s="94"/>
      <c r="J407" s="94"/>
      <c r="K407" s="94"/>
      <c r="L407" s="94"/>
      <c r="M407" s="26"/>
      <c r="N407" s="26"/>
      <c r="O407" s="1"/>
      <c r="P407" s="1"/>
      <c r="Q407" s="1"/>
      <c r="R407" s="1"/>
      <c r="S407" s="1"/>
      <c r="T407" s="1"/>
      <c r="U407" s="1"/>
      <c r="V407" s="16"/>
      <c r="W407" s="1"/>
      <c r="X407" s="1"/>
    </row>
    <row r="408" spans="1:24">
      <c r="A408" s="1"/>
      <c r="B408" s="94"/>
      <c r="C408" s="1"/>
      <c r="D408" s="1"/>
      <c r="E408" s="1"/>
      <c r="F408" s="94"/>
      <c r="G408" s="94"/>
      <c r="H408" s="94"/>
      <c r="I408" s="94"/>
      <c r="J408" s="94"/>
      <c r="K408" s="94"/>
      <c r="L408" s="94"/>
      <c r="M408" s="26"/>
      <c r="N408" s="26"/>
      <c r="O408" s="1"/>
      <c r="P408" s="1"/>
      <c r="Q408" s="1"/>
      <c r="R408" s="1"/>
      <c r="S408" s="1"/>
      <c r="T408" s="1"/>
      <c r="U408" s="1"/>
      <c r="V408" s="16"/>
      <c r="W408" s="1"/>
      <c r="X408" s="1"/>
    </row>
    <row r="409" spans="1:24">
      <c r="A409" s="1"/>
      <c r="B409" s="93"/>
      <c r="C409" s="1"/>
      <c r="D409" s="1"/>
      <c r="E409" s="1"/>
      <c r="F409" s="93"/>
      <c r="G409" s="93"/>
      <c r="H409" s="93"/>
      <c r="I409" s="93"/>
      <c r="J409" s="93"/>
      <c r="K409" s="93"/>
      <c r="L409" s="93"/>
      <c r="M409" s="26"/>
      <c r="N409" s="26"/>
      <c r="O409" s="1"/>
      <c r="P409" s="1"/>
      <c r="Q409" s="1"/>
      <c r="R409" s="1"/>
      <c r="S409" s="1"/>
      <c r="T409" s="1"/>
      <c r="U409" s="1"/>
      <c r="V409" s="16"/>
      <c r="W409" s="1"/>
      <c r="X409" s="1"/>
    </row>
    <row r="410" spans="1:24">
      <c r="A410" s="1"/>
      <c r="B410" s="94"/>
      <c r="C410" s="1"/>
      <c r="D410" s="1"/>
      <c r="E410" s="1"/>
      <c r="F410" s="94"/>
      <c r="G410" s="94"/>
      <c r="H410" s="94"/>
      <c r="I410" s="94"/>
      <c r="J410" s="94"/>
      <c r="K410" s="94"/>
      <c r="L410" s="94"/>
      <c r="M410" s="26"/>
      <c r="N410" s="26"/>
      <c r="O410" s="1"/>
      <c r="P410" s="1"/>
      <c r="Q410" s="1"/>
      <c r="R410" s="1"/>
      <c r="S410" s="1"/>
      <c r="T410" s="1"/>
      <c r="U410" s="1"/>
      <c r="V410" s="16"/>
      <c r="W410" s="1"/>
      <c r="X410" s="1"/>
    </row>
    <row r="411" spans="1:24">
      <c r="A411" s="1"/>
      <c r="B411" s="94"/>
      <c r="C411" s="1"/>
      <c r="D411" s="1"/>
      <c r="E411" s="1"/>
      <c r="F411" s="94"/>
      <c r="G411" s="94"/>
      <c r="H411" s="94"/>
      <c r="I411" s="94"/>
      <c r="J411" s="94"/>
      <c r="K411" s="94"/>
      <c r="L411" s="94"/>
      <c r="M411" s="26"/>
      <c r="N411" s="26"/>
      <c r="O411" s="1"/>
      <c r="P411" s="1"/>
      <c r="Q411" s="1"/>
      <c r="R411" s="1"/>
      <c r="S411" s="1"/>
      <c r="T411" s="1"/>
      <c r="U411" s="1"/>
      <c r="V411" s="16"/>
      <c r="W411" s="1"/>
      <c r="X411" s="1"/>
    </row>
    <row r="412" spans="1:24">
      <c r="A412" s="1"/>
      <c r="B412" s="94"/>
      <c r="C412" s="1"/>
      <c r="D412" s="1"/>
      <c r="E412" s="1"/>
      <c r="F412" s="94"/>
      <c r="G412" s="94"/>
      <c r="H412" s="94"/>
      <c r="I412" s="94"/>
      <c r="J412" s="94"/>
      <c r="K412" s="94"/>
      <c r="L412" s="94"/>
      <c r="M412" s="26"/>
      <c r="N412" s="26"/>
      <c r="O412" s="1"/>
      <c r="P412" s="1"/>
      <c r="Q412" s="1"/>
      <c r="R412" s="1"/>
      <c r="S412" s="1"/>
      <c r="T412" s="1"/>
      <c r="U412" s="1"/>
      <c r="V412" s="16"/>
      <c r="W412" s="1"/>
      <c r="X412" s="1"/>
    </row>
    <row r="413" spans="1:24">
      <c r="A413" s="1"/>
      <c r="B413" s="94"/>
      <c r="C413" s="1"/>
      <c r="D413" s="1"/>
      <c r="E413" s="1"/>
      <c r="F413" s="94"/>
      <c r="G413" s="94"/>
      <c r="H413" s="94"/>
      <c r="I413" s="94"/>
      <c r="J413" s="94"/>
      <c r="K413" s="94"/>
      <c r="L413" s="94"/>
      <c r="M413" s="26"/>
      <c r="N413" s="26"/>
      <c r="O413" s="1"/>
      <c r="P413" s="1"/>
      <c r="Q413" s="1"/>
      <c r="R413" s="1"/>
      <c r="S413" s="1"/>
      <c r="T413" s="1"/>
      <c r="U413" s="1"/>
      <c r="V413" s="16"/>
      <c r="W413" s="1"/>
      <c r="X413" s="1"/>
    </row>
    <row r="414" spans="1:24">
      <c r="A414" s="1"/>
      <c r="B414" s="93"/>
      <c r="C414" s="1"/>
      <c r="D414" s="1"/>
      <c r="E414" s="1"/>
      <c r="F414" s="93"/>
      <c r="G414" s="93"/>
      <c r="H414" s="93"/>
      <c r="I414" s="93"/>
      <c r="J414" s="93"/>
      <c r="K414" s="93"/>
      <c r="L414" s="93"/>
      <c r="M414" s="26"/>
      <c r="N414" s="26"/>
      <c r="O414" s="1"/>
      <c r="P414" s="1"/>
      <c r="Q414" s="1"/>
      <c r="R414" s="1"/>
      <c r="S414" s="1"/>
      <c r="T414" s="1"/>
      <c r="U414" s="1"/>
      <c r="V414" s="16"/>
      <c r="W414" s="1"/>
      <c r="X414" s="1"/>
    </row>
    <row r="415" spans="1:24">
      <c r="A415" s="1"/>
      <c r="B415" s="94"/>
      <c r="C415" s="1"/>
      <c r="D415" s="1"/>
      <c r="E415" s="1"/>
      <c r="F415" s="94"/>
      <c r="G415" s="94"/>
      <c r="H415" s="94"/>
      <c r="I415" s="94"/>
      <c r="J415" s="94"/>
      <c r="K415" s="94"/>
      <c r="L415" s="94"/>
      <c r="M415" s="26"/>
      <c r="N415" s="26"/>
      <c r="O415" s="1"/>
      <c r="P415" s="1"/>
      <c r="Q415" s="1"/>
      <c r="R415" s="1"/>
      <c r="S415" s="1"/>
      <c r="T415" s="1"/>
      <c r="U415" s="1"/>
      <c r="V415" s="16"/>
      <c r="W415" s="1"/>
      <c r="X415" s="1"/>
    </row>
    <row r="416" spans="1:24">
      <c r="A416" s="1"/>
      <c r="B416" s="94"/>
      <c r="C416" s="1"/>
      <c r="D416" s="1"/>
      <c r="E416" s="1"/>
      <c r="F416" s="94"/>
      <c r="G416" s="94"/>
      <c r="H416" s="94"/>
      <c r="I416" s="94"/>
      <c r="J416" s="94"/>
      <c r="K416" s="94"/>
      <c r="L416" s="94"/>
      <c r="M416" s="26"/>
      <c r="N416" s="26"/>
      <c r="O416" s="1"/>
      <c r="P416" s="1"/>
      <c r="Q416" s="1"/>
      <c r="R416" s="1"/>
      <c r="S416" s="1"/>
      <c r="T416" s="1"/>
      <c r="U416" s="1"/>
      <c r="V416" s="16"/>
      <c r="W416" s="1"/>
      <c r="X416" s="1"/>
    </row>
    <row r="417" spans="1:24">
      <c r="A417" s="1"/>
      <c r="B417" s="94"/>
      <c r="C417" s="1"/>
      <c r="D417" s="1"/>
      <c r="E417" s="1"/>
      <c r="F417" s="94"/>
      <c r="G417" s="94"/>
      <c r="H417" s="94"/>
      <c r="I417" s="94"/>
      <c r="J417" s="94"/>
      <c r="K417" s="94"/>
      <c r="L417" s="94"/>
      <c r="M417" s="26"/>
      <c r="N417" s="26"/>
      <c r="O417" s="1"/>
      <c r="P417" s="1"/>
      <c r="Q417" s="1"/>
      <c r="R417" s="1"/>
      <c r="S417" s="1"/>
      <c r="T417" s="1"/>
      <c r="U417" s="1"/>
      <c r="V417" s="16"/>
      <c r="W417" s="1"/>
      <c r="X417" s="1"/>
    </row>
    <row r="418" spans="1:24">
      <c r="A418" s="1"/>
      <c r="B418" s="94"/>
      <c r="C418" s="1"/>
      <c r="D418" s="1"/>
      <c r="E418" s="1"/>
      <c r="F418" s="94"/>
      <c r="G418" s="94"/>
      <c r="H418" s="94"/>
      <c r="I418" s="94"/>
      <c r="J418" s="94"/>
      <c r="K418" s="94"/>
      <c r="L418" s="94"/>
      <c r="M418" s="26"/>
      <c r="N418" s="26"/>
      <c r="O418" s="1"/>
      <c r="P418" s="1"/>
      <c r="Q418" s="1"/>
      <c r="R418" s="1"/>
      <c r="S418" s="1"/>
      <c r="T418" s="1"/>
      <c r="U418" s="1"/>
      <c r="V418" s="16"/>
      <c r="W418" s="1"/>
      <c r="X418" s="1"/>
    </row>
    <row r="419" spans="1:24">
      <c r="A419" s="1"/>
      <c r="B419" s="93"/>
      <c r="C419" s="1"/>
      <c r="D419" s="1"/>
      <c r="E419" s="1"/>
      <c r="F419" s="93"/>
      <c r="G419" s="93"/>
      <c r="H419" s="93"/>
      <c r="I419" s="93"/>
      <c r="J419" s="93"/>
      <c r="K419" s="93"/>
      <c r="L419" s="93"/>
      <c r="M419" s="26"/>
      <c r="N419" s="26"/>
      <c r="O419" s="1"/>
      <c r="P419" s="1"/>
      <c r="Q419" s="1"/>
      <c r="R419" s="1"/>
      <c r="S419" s="1"/>
      <c r="T419" s="1"/>
      <c r="U419" s="1"/>
      <c r="V419" s="16"/>
      <c r="W419" s="1"/>
      <c r="X419" s="1"/>
    </row>
    <row r="420" spans="1:24">
      <c r="A420" s="1"/>
      <c r="B420" s="94"/>
      <c r="C420" s="1"/>
      <c r="D420" s="1"/>
      <c r="E420" s="1"/>
      <c r="F420" s="94"/>
      <c r="G420" s="94"/>
      <c r="H420" s="94"/>
      <c r="I420" s="94"/>
      <c r="J420" s="94"/>
      <c r="K420" s="94"/>
      <c r="L420" s="94"/>
      <c r="M420" s="26"/>
      <c r="N420" s="26"/>
      <c r="O420" s="1"/>
      <c r="P420" s="1"/>
      <c r="Q420" s="1"/>
      <c r="R420" s="1"/>
      <c r="S420" s="1"/>
      <c r="T420" s="1"/>
      <c r="U420" s="1"/>
      <c r="V420" s="16"/>
      <c r="W420" s="1"/>
      <c r="X420" s="1"/>
    </row>
    <row r="421" spans="1:24">
      <c r="A421" s="1"/>
      <c r="B421" s="94"/>
      <c r="C421" s="1"/>
      <c r="D421" s="1"/>
      <c r="E421" s="1"/>
      <c r="F421" s="94"/>
      <c r="G421" s="94"/>
      <c r="H421" s="94"/>
      <c r="I421" s="94"/>
      <c r="J421" s="94"/>
      <c r="K421" s="94"/>
      <c r="L421" s="94"/>
      <c r="M421" s="26"/>
      <c r="N421" s="26"/>
      <c r="O421" s="1"/>
      <c r="P421" s="1"/>
      <c r="Q421" s="1"/>
      <c r="R421" s="1"/>
      <c r="S421" s="1"/>
      <c r="T421" s="1"/>
      <c r="U421" s="1"/>
      <c r="V421" s="16"/>
      <c r="W421" s="1"/>
      <c r="X421" s="1"/>
    </row>
    <row r="422" spans="1:24">
      <c r="A422" s="1"/>
      <c r="B422" s="94"/>
      <c r="C422" s="1"/>
      <c r="D422" s="1"/>
      <c r="E422" s="1"/>
      <c r="F422" s="94"/>
      <c r="G422" s="94"/>
      <c r="H422" s="94"/>
      <c r="I422" s="94"/>
      <c r="J422" s="94"/>
      <c r="K422" s="94"/>
      <c r="L422" s="94"/>
      <c r="M422" s="26"/>
      <c r="N422" s="26"/>
      <c r="O422" s="1"/>
      <c r="P422" s="1"/>
      <c r="Q422" s="1"/>
      <c r="R422" s="1"/>
      <c r="S422" s="1"/>
      <c r="T422" s="1"/>
      <c r="U422" s="1"/>
      <c r="V422" s="16"/>
      <c r="W422" s="1"/>
      <c r="X422" s="1"/>
    </row>
    <row r="423" spans="1:24">
      <c r="A423" s="1"/>
      <c r="B423" s="94"/>
      <c r="C423" s="1"/>
      <c r="D423" s="1"/>
      <c r="E423" s="1"/>
      <c r="F423" s="94"/>
      <c r="G423" s="94"/>
      <c r="H423" s="94"/>
      <c r="I423" s="94"/>
      <c r="J423" s="94"/>
      <c r="K423" s="94"/>
      <c r="L423" s="94"/>
      <c r="M423" s="26"/>
      <c r="N423" s="26"/>
      <c r="O423" s="1"/>
      <c r="P423" s="1"/>
      <c r="Q423" s="1"/>
      <c r="R423" s="1"/>
      <c r="S423" s="1"/>
      <c r="T423" s="1"/>
      <c r="U423" s="1"/>
      <c r="V423" s="16"/>
      <c r="W423" s="1"/>
      <c r="X423" s="1"/>
    </row>
    <row r="424" spans="1:24">
      <c r="A424" s="1"/>
      <c r="B424" s="93"/>
      <c r="C424" s="1"/>
      <c r="D424" s="1"/>
      <c r="E424" s="1"/>
      <c r="F424" s="93"/>
      <c r="G424" s="93"/>
      <c r="H424" s="93"/>
      <c r="I424" s="93"/>
      <c r="J424" s="93"/>
      <c r="K424" s="93"/>
      <c r="L424" s="93"/>
      <c r="M424" s="26"/>
      <c r="N424" s="26"/>
      <c r="O424" s="1"/>
      <c r="P424" s="1"/>
      <c r="Q424" s="1"/>
      <c r="R424" s="1"/>
      <c r="S424" s="1"/>
      <c r="T424" s="1"/>
      <c r="U424" s="1"/>
      <c r="V424" s="16"/>
      <c r="W424" s="1"/>
      <c r="X424" s="1"/>
    </row>
    <row r="425" spans="1:24">
      <c r="A425" s="1"/>
      <c r="B425" s="94"/>
      <c r="C425" s="1"/>
      <c r="D425" s="1"/>
      <c r="E425" s="1"/>
      <c r="F425" s="94"/>
      <c r="G425" s="94"/>
      <c r="H425" s="94"/>
      <c r="I425" s="94"/>
      <c r="J425" s="94"/>
      <c r="K425" s="94"/>
      <c r="L425" s="94"/>
      <c r="M425" s="26"/>
      <c r="N425" s="26"/>
      <c r="O425" s="1"/>
      <c r="P425" s="1"/>
      <c r="Q425" s="1"/>
      <c r="R425" s="1"/>
      <c r="S425" s="1"/>
      <c r="T425" s="1"/>
      <c r="U425" s="1"/>
      <c r="V425" s="16"/>
      <c r="W425" s="1"/>
      <c r="X425" s="1"/>
    </row>
    <row r="426" spans="1:24">
      <c r="A426" s="1"/>
      <c r="B426" s="94"/>
      <c r="C426" s="1"/>
      <c r="D426" s="1"/>
      <c r="E426" s="1"/>
      <c r="F426" s="94"/>
      <c r="G426" s="94"/>
      <c r="H426" s="94"/>
      <c r="I426" s="94"/>
      <c r="J426" s="94"/>
      <c r="K426" s="94"/>
      <c r="L426" s="94"/>
      <c r="M426" s="26"/>
      <c r="N426" s="26"/>
      <c r="O426" s="1"/>
      <c r="P426" s="1"/>
      <c r="Q426" s="1"/>
      <c r="R426" s="1"/>
      <c r="S426" s="1"/>
      <c r="T426" s="1"/>
      <c r="U426" s="1"/>
      <c r="V426" s="16"/>
      <c r="W426" s="1"/>
      <c r="X426" s="1"/>
    </row>
    <row r="427" spans="1:24">
      <c r="A427" s="1"/>
      <c r="B427" s="94"/>
      <c r="C427" s="1"/>
      <c r="D427" s="1"/>
      <c r="E427" s="1"/>
      <c r="F427" s="94"/>
      <c r="G427" s="94"/>
      <c r="H427" s="94"/>
      <c r="I427" s="94"/>
      <c r="J427" s="94"/>
      <c r="K427" s="94"/>
      <c r="L427" s="94"/>
      <c r="M427" s="26"/>
      <c r="N427" s="26"/>
      <c r="O427" s="1"/>
      <c r="P427" s="1"/>
      <c r="Q427" s="1"/>
      <c r="R427" s="1"/>
      <c r="S427" s="1"/>
      <c r="T427" s="1"/>
      <c r="U427" s="1"/>
      <c r="V427" s="16"/>
      <c r="W427" s="1"/>
      <c r="X427" s="1"/>
    </row>
    <row r="428" spans="1:24">
      <c r="A428" s="1"/>
      <c r="B428" s="94"/>
      <c r="C428" s="1"/>
      <c r="D428" s="1"/>
      <c r="E428" s="1"/>
      <c r="F428" s="94"/>
      <c r="G428" s="94"/>
      <c r="H428" s="94"/>
      <c r="I428" s="94"/>
      <c r="J428" s="94"/>
      <c r="K428" s="94"/>
      <c r="L428" s="94"/>
      <c r="M428" s="26"/>
      <c r="N428" s="26"/>
      <c r="O428" s="1"/>
      <c r="P428" s="1"/>
      <c r="Q428" s="1"/>
      <c r="R428" s="1"/>
      <c r="S428" s="1"/>
      <c r="T428" s="1"/>
      <c r="U428" s="1"/>
      <c r="V428" s="16"/>
      <c r="W428" s="1"/>
      <c r="X428" s="1"/>
    </row>
    <row r="429" spans="1:24">
      <c r="A429" s="1"/>
      <c r="B429" s="93"/>
      <c r="C429" s="1"/>
      <c r="D429" s="1"/>
      <c r="E429" s="1"/>
      <c r="F429" s="93"/>
      <c r="G429" s="93"/>
      <c r="H429" s="93"/>
      <c r="I429" s="93"/>
      <c r="J429" s="93"/>
      <c r="K429" s="93"/>
      <c r="L429" s="93"/>
      <c r="M429" s="26"/>
      <c r="N429" s="26"/>
      <c r="O429" s="1"/>
      <c r="P429" s="1"/>
      <c r="Q429" s="1"/>
      <c r="R429" s="1"/>
      <c r="S429" s="1"/>
      <c r="T429" s="1"/>
      <c r="U429" s="1"/>
      <c r="V429" s="16"/>
      <c r="W429" s="1"/>
      <c r="X429" s="1"/>
    </row>
    <row r="430" spans="1:24">
      <c r="A430" s="1"/>
      <c r="B430" s="94"/>
      <c r="C430" s="1"/>
      <c r="D430" s="1"/>
      <c r="E430" s="1"/>
      <c r="F430" s="94"/>
      <c r="G430" s="94"/>
      <c r="H430" s="94"/>
      <c r="I430" s="94"/>
      <c r="J430" s="94"/>
      <c r="K430" s="94"/>
      <c r="L430" s="94"/>
      <c r="M430" s="26"/>
      <c r="N430" s="26"/>
      <c r="O430" s="1"/>
      <c r="P430" s="1"/>
      <c r="Q430" s="1"/>
      <c r="R430" s="1"/>
      <c r="S430" s="1"/>
      <c r="T430" s="1"/>
      <c r="U430" s="1"/>
      <c r="V430" s="16"/>
      <c r="W430" s="1"/>
      <c r="X430" s="1"/>
    </row>
    <row r="431" spans="1:24">
      <c r="A431" s="1"/>
      <c r="B431" s="94"/>
      <c r="C431" s="1"/>
      <c r="D431" s="1"/>
      <c r="E431" s="1"/>
      <c r="F431" s="94"/>
      <c r="G431" s="94"/>
      <c r="H431" s="94"/>
      <c r="I431" s="94"/>
      <c r="J431" s="94"/>
      <c r="K431" s="94"/>
      <c r="L431" s="94"/>
      <c r="M431" s="26"/>
      <c r="N431" s="26"/>
      <c r="O431" s="1"/>
      <c r="P431" s="1"/>
      <c r="Q431" s="1"/>
      <c r="R431" s="1"/>
      <c r="S431" s="1"/>
      <c r="T431" s="1"/>
      <c r="U431" s="1"/>
      <c r="V431" s="16"/>
      <c r="W431" s="1"/>
      <c r="X431" s="1"/>
    </row>
    <row r="432" spans="1:24">
      <c r="A432" s="1"/>
      <c r="B432" s="94"/>
      <c r="C432" s="1"/>
      <c r="D432" s="1"/>
      <c r="E432" s="1"/>
      <c r="F432" s="94"/>
      <c r="G432" s="94"/>
      <c r="H432" s="94"/>
      <c r="I432" s="94"/>
      <c r="J432" s="94"/>
      <c r="K432" s="94"/>
      <c r="L432" s="94"/>
      <c r="M432" s="26"/>
      <c r="N432" s="26"/>
      <c r="O432" s="1"/>
      <c r="P432" s="1"/>
      <c r="Q432" s="1"/>
      <c r="R432" s="1"/>
      <c r="S432" s="1"/>
      <c r="T432" s="1"/>
      <c r="U432" s="1"/>
      <c r="V432" s="16"/>
      <c r="W432" s="1"/>
      <c r="X432" s="1"/>
    </row>
    <row r="433" spans="1:24">
      <c r="A433" s="1"/>
      <c r="B433" s="94"/>
      <c r="C433" s="1"/>
      <c r="D433" s="1"/>
      <c r="E433" s="1"/>
      <c r="F433" s="94"/>
      <c r="G433" s="94"/>
      <c r="H433" s="94"/>
      <c r="I433" s="94"/>
      <c r="J433" s="94"/>
      <c r="K433" s="94"/>
      <c r="L433" s="94"/>
      <c r="M433" s="26"/>
      <c r="N433" s="26"/>
      <c r="O433" s="1"/>
      <c r="P433" s="1"/>
      <c r="Q433" s="1"/>
      <c r="R433" s="1"/>
      <c r="S433" s="1"/>
      <c r="T433" s="1"/>
      <c r="U433" s="1"/>
      <c r="V433" s="16"/>
      <c r="W433" s="1"/>
      <c r="X433" s="1"/>
    </row>
    <row r="434" spans="1:24">
      <c r="A434" s="1"/>
      <c r="B434" s="93"/>
      <c r="C434" s="1"/>
      <c r="D434" s="1"/>
      <c r="E434" s="1"/>
      <c r="F434" s="93"/>
      <c r="G434" s="93"/>
      <c r="H434" s="93"/>
      <c r="I434" s="93"/>
      <c r="J434" s="93"/>
      <c r="K434" s="93"/>
      <c r="L434" s="93"/>
      <c r="M434" s="26"/>
      <c r="N434" s="26"/>
      <c r="O434" s="1"/>
      <c r="P434" s="1"/>
      <c r="Q434" s="1"/>
      <c r="R434" s="1"/>
      <c r="S434" s="1"/>
      <c r="T434" s="1"/>
      <c r="U434" s="1"/>
      <c r="V434" s="16"/>
      <c r="W434" s="1"/>
      <c r="X434" s="1"/>
    </row>
    <row r="435" spans="1:24">
      <c r="A435" s="1"/>
      <c r="B435" s="94"/>
      <c r="C435" s="1"/>
      <c r="D435" s="1"/>
      <c r="E435" s="1"/>
      <c r="F435" s="94"/>
      <c r="G435" s="94"/>
      <c r="H435" s="94"/>
      <c r="I435" s="94"/>
      <c r="J435" s="94"/>
      <c r="K435" s="94"/>
      <c r="L435" s="94"/>
      <c r="M435" s="26"/>
      <c r="N435" s="26"/>
      <c r="O435" s="1"/>
      <c r="P435" s="1"/>
      <c r="Q435" s="1"/>
      <c r="R435" s="1"/>
      <c r="S435" s="1"/>
      <c r="T435" s="1"/>
      <c r="U435" s="1"/>
      <c r="V435" s="16"/>
      <c r="W435" s="1"/>
      <c r="X435" s="1"/>
    </row>
    <row r="436" spans="1:24">
      <c r="A436" s="1"/>
      <c r="B436" s="94"/>
      <c r="C436" s="1"/>
      <c r="D436" s="1"/>
      <c r="E436" s="1"/>
      <c r="F436" s="94"/>
      <c r="G436" s="94"/>
      <c r="H436" s="94"/>
      <c r="I436" s="94"/>
      <c r="J436" s="94"/>
      <c r="K436" s="94"/>
      <c r="L436" s="94"/>
      <c r="M436" s="26"/>
      <c r="N436" s="26"/>
      <c r="O436" s="1"/>
      <c r="P436" s="1"/>
      <c r="Q436" s="1"/>
      <c r="R436" s="1"/>
      <c r="S436" s="1"/>
      <c r="T436" s="1"/>
      <c r="U436" s="1"/>
      <c r="V436" s="16"/>
      <c r="W436" s="1"/>
      <c r="X436" s="1"/>
    </row>
    <row r="437" spans="1:24">
      <c r="A437" s="1"/>
      <c r="B437" s="94"/>
      <c r="C437" s="1"/>
      <c r="D437" s="1"/>
      <c r="E437" s="1"/>
      <c r="F437" s="94"/>
      <c r="G437" s="94"/>
      <c r="H437" s="94"/>
      <c r="I437" s="94"/>
      <c r="J437" s="94"/>
      <c r="K437" s="94"/>
      <c r="L437" s="94"/>
      <c r="M437" s="26"/>
      <c r="N437" s="26"/>
      <c r="O437" s="1"/>
      <c r="P437" s="1"/>
      <c r="Q437" s="1"/>
      <c r="R437" s="1"/>
      <c r="S437" s="1"/>
      <c r="T437" s="1"/>
      <c r="U437" s="1"/>
      <c r="V437" s="16"/>
      <c r="W437" s="1"/>
      <c r="X437" s="1"/>
    </row>
    <row r="438" spans="1:24">
      <c r="A438" s="1"/>
      <c r="B438" s="94"/>
      <c r="C438" s="1"/>
      <c r="D438" s="1"/>
      <c r="E438" s="1"/>
      <c r="F438" s="94"/>
      <c r="G438" s="94"/>
      <c r="H438" s="94"/>
      <c r="I438" s="94"/>
      <c r="J438" s="94"/>
      <c r="K438" s="94"/>
      <c r="L438" s="94"/>
      <c r="M438" s="26"/>
      <c r="N438" s="26"/>
      <c r="O438" s="1"/>
      <c r="P438" s="1"/>
      <c r="Q438" s="1"/>
      <c r="R438" s="1"/>
      <c r="S438" s="1"/>
      <c r="T438" s="1"/>
      <c r="U438" s="1"/>
      <c r="V438" s="16"/>
      <c r="W438" s="1"/>
      <c r="X438" s="1"/>
    </row>
    <row r="439" spans="1:24">
      <c r="A439" s="1"/>
      <c r="B439" s="93"/>
      <c r="C439" s="1"/>
      <c r="D439" s="1"/>
      <c r="E439" s="1"/>
      <c r="F439" s="93"/>
      <c r="G439" s="93"/>
      <c r="H439" s="93"/>
      <c r="I439" s="93"/>
      <c r="J439" s="93"/>
      <c r="K439" s="93"/>
      <c r="L439" s="93"/>
      <c r="M439" s="26"/>
      <c r="N439" s="26"/>
      <c r="O439" s="1"/>
      <c r="P439" s="1"/>
      <c r="Q439" s="1"/>
      <c r="R439" s="1"/>
      <c r="S439" s="1"/>
      <c r="T439" s="1"/>
      <c r="U439" s="1"/>
      <c r="V439" s="16"/>
      <c r="W439" s="1"/>
      <c r="X439" s="1"/>
    </row>
    <row r="440" spans="1:24">
      <c r="A440" s="1"/>
      <c r="B440" s="94"/>
      <c r="C440" s="1"/>
      <c r="D440" s="1"/>
      <c r="E440" s="1"/>
      <c r="F440" s="94"/>
      <c r="G440" s="94"/>
      <c r="H440" s="94"/>
      <c r="I440" s="94"/>
      <c r="J440" s="94"/>
      <c r="K440" s="94"/>
      <c r="L440" s="94"/>
      <c r="M440" s="26"/>
      <c r="N440" s="26"/>
      <c r="O440" s="1"/>
      <c r="P440" s="1"/>
      <c r="Q440" s="1"/>
      <c r="R440" s="1"/>
      <c r="S440" s="1"/>
      <c r="T440" s="1"/>
      <c r="U440" s="1"/>
      <c r="V440" s="16"/>
      <c r="W440" s="1"/>
      <c r="X440" s="1"/>
    </row>
    <row r="441" spans="1:24">
      <c r="A441" s="1"/>
      <c r="B441" s="94"/>
      <c r="C441" s="1"/>
      <c r="D441" s="1"/>
      <c r="E441" s="1"/>
      <c r="F441" s="94"/>
      <c r="G441" s="94"/>
      <c r="H441" s="94"/>
      <c r="I441" s="94"/>
      <c r="J441" s="94"/>
      <c r="K441" s="94"/>
      <c r="L441" s="94"/>
      <c r="M441" s="26"/>
      <c r="N441" s="26"/>
      <c r="O441" s="1"/>
      <c r="P441" s="1"/>
      <c r="Q441" s="1"/>
      <c r="R441" s="1"/>
      <c r="S441" s="1"/>
      <c r="T441" s="1"/>
      <c r="U441" s="1"/>
      <c r="V441" s="16"/>
      <c r="W441" s="1"/>
      <c r="X441" s="1"/>
    </row>
    <row r="442" spans="1:24">
      <c r="A442" s="1"/>
      <c r="B442" s="94"/>
      <c r="C442" s="1"/>
      <c r="D442" s="1"/>
      <c r="E442" s="1"/>
      <c r="F442" s="94"/>
      <c r="G442" s="94"/>
      <c r="H442" s="94"/>
      <c r="I442" s="94"/>
      <c r="J442" s="94"/>
      <c r="K442" s="94"/>
      <c r="L442" s="94"/>
      <c r="M442" s="26"/>
      <c r="N442" s="26"/>
      <c r="O442" s="1"/>
      <c r="P442" s="1"/>
      <c r="Q442" s="1"/>
      <c r="R442" s="1"/>
      <c r="S442" s="1"/>
      <c r="T442" s="1"/>
      <c r="U442" s="1"/>
      <c r="V442" s="16"/>
      <c r="W442" s="1"/>
      <c r="X442" s="1"/>
    </row>
    <row r="443" spans="1:24">
      <c r="A443" s="1"/>
      <c r="B443" s="94"/>
      <c r="C443" s="1"/>
      <c r="D443" s="1"/>
      <c r="E443" s="1"/>
      <c r="F443" s="94"/>
      <c r="G443" s="94"/>
      <c r="H443" s="94"/>
      <c r="I443" s="94"/>
      <c r="J443" s="94"/>
      <c r="K443" s="94"/>
      <c r="L443" s="94"/>
      <c r="M443" s="26"/>
      <c r="N443" s="26"/>
      <c r="O443" s="1"/>
      <c r="P443" s="1"/>
      <c r="Q443" s="1"/>
      <c r="R443" s="1"/>
      <c r="S443" s="1"/>
      <c r="T443" s="1"/>
      <c r="U443" s="1"/>
      <c r="V443" s="16"/>
      <c r="W443" s="1"/>
      <c r="X443" s="1"/>
    </row>
    <row r="444" spans="1:24">
      <c r="A444" s="1"/>
      <c r="B444" s="93"/>
      <c r="C444" s="1"/>
      <c r="D444" s="1"/>
      <c r="E444" s="1"/>
      <c r="F444" s="93"/>
      <c r="G444" s="93"/>
      <c r="H444" s="93"/>
      <c r="I444" s="93"/>
      <c r="J444" s="93"/>
      <c r="K444" s="93"/>
      <c r="L444" s="93"/>
      <c r="M444" s="26"/>
      <c r="N444" s="26"/>
      <c r="O444" s="1"/>
      <c r="P444" s="1"/>
      <c r="Q444" s="1"/>
      <c r="R444" s="1"/>
      <c r="S444" s="1"/>
      <c r="T444" s="1"/>
      <c r="U444" s="1"/>
      <c r="V444" s="16"/>
      <c r="W444" s="1"/>
      <c r="X444" s="1"/>
    </row>
    <row r="445" spans="1:24">
      <c r="A445" s="1"/>
      <c r="B445" s="94"/>
      <c r="C445" s="1"/>
      <c r="D445" s="1"/>
      <c r="E445" s="1"/>
      <c r="F445" s="94"/>
      <c r="G445" s="94"/>
      <c r="H445" s="94"/>
      <c r="I445" s="94"/>
      <c r="J445" s="94"/>
      <c r="K445" s="94"/>
      <c r="L445" s="94"/>
      <c r="M445" s="26"/>
      <c r="N445" s="26"/>
      <c r="O445" s="1"/>
      <c r="P445" s="1"/>
      <c r="Q445" s="1"/>
      <c r="R445" s="1"/>
      <c r="S445" s="1"/>
      <c r="T445" s="1"/>
      <c r="U445" s="1"/>
      <c r="V445" s="16"/>
      <c r="W445" s="1"/>
      <c r="X445" s="1"/>
    </row>
    <row r="446" spans="1:24">
      <c r="A446" s="1"/>
      <c r="B446" s="94"/>
      <c r="C446" s="1"/>
      <c r="D446" s="1"/>
      <c r="E446" s="1"/>
      <c r="F446" s="94"/>
      <c r="G446" s="94"/>
      <c r="H446" s="94"/>
      <c r="I446" s="94"/>
      <c r="J446" s="94"/>
      <c r="K446" s="94"/>
      <c r="L446" s="94"/>
      <c r="M446" s="26"/>
      <c r="N446" s="26"/>
      <c r="O446" s="1"/>
      <c r="P446" s="1"/>
      <c r="Q446" s="1"/>
      <c r="R446" s="1"/>
      <c r="S446" s="1"/>
      <c r="T446" s="1"/>
      <c r="U446" s="1"/>
      <c r="V446" s="16"/>
      <c r="W446" s="1"/>
      <c r="X446" s="1"/>
    </row>
    <row r="447" spans="1:24">
      <c r="A447" s="1"/>
      <c r="B447" s="94"/>
      <c r="C447" s="1"/>
      <c r="D447" s="1"/>
      <c r="E447" s="1"/>
      <c r="F447" s="94"/>
      <c r="G447" s="94"/>
      <c r="H447" s="94"/>
      <c r="I447" s="94"/>
      <c r="J447" s="94"/>
      <c r="K447" s="94"/>
      <c r="L447" s="94"/>
      <c r="M447" s="26"/>
      <c r="N447" s="26"/>
      <c r="O447" s="1"/>
      <c r="P447" s="1"/>
      <c r="Q447" s="1"/>
      <c r="R447" s="1"/>
      <c r="S447" s="1"/>
      <c r="T447" s="1"/>
      <c r="U447" s="1"/>
      <c r="V447" s="16"/>
      <c r="W447" s="1"/>
      <c r="X447" s="1"/>
    </row>
    <row r="448" spans="1:24">
      <c r="A448" s="1"/>
      <c r="B448" s="94"/>
      <c r="C448" s="1"/>
      <c r="D448" s="1"/>
      <c r="E448" s="1"/>
      <c r="F448" s="94"/>
      <c r="G448" s="94"/>
      <c r="H448" s="94"/>
      <c r="I448" s="94"/>
      <c r="J448" s="94"/>
      <c r="K448" s="94"/>
      <c r="L448" s="94"/>
      <c r="M448" s="26"/>
      <c r="N448" s="26"/>
      <c r="O448" s="1"/>
      <c r="P448" s="1"/>
      <c r="Q448" s="1"/>
      <c r="R448" s="1"/>
      <c r="S448" s="1"/>
      <c r="T448" s="1"/>
      <c r="U448" s="1"/>
      <c r="V448" s="16"/>
      <c r="W448" s="1"/>
      <c r="X448" s="1"/>
    </row>
    <row r="449" spans="1:24">
      <c r="A449" s="1"/>
      <c r="B449" s="93"/>
      <c r="C449" s="1"/>
      <c r="D449" s="1"/>
      <c r="E449" s="1"/>
      <c r="F449" s="93"/>
      <c r="G449" s="93"/>
      <c r="H449" s="93"/>
      <c r="I449" s="93"/>
      <c r="J449" s="93"/>
      <c r="K449" s="93"/>
      <c r="L449" s="93"/>
      <c r="M449" s="26"/>
      <c r="N449" s="26"/>
      <c r="O449" s="1"/>
      <c r="P449" s="1"/>
      <c r="Q449" s="1"/>
      <c r="R449" s="1"/>
      <c r="S449" s="1"/>
      <c r="T449" s="1"/>
      <c r="U449" s="1"/>
      <c r="V449" s="16"/>
      <c r="W449" s="1"/>
      <c r="X449" s="1"/>
    </row>
    <row r="450" spans="1:24">
      <c r="A450" s="1"/>
      <c r="B450" s="94"/>
      <c r="C450" s="1"/>
      <c r="D450" s="1"/>
      <c r="E450" s="1"/>
      <c r="F450" s="94"/>
      <c r="G450" s="94"/>
      <c r="H450" s="94"/>
      <c r="I450" s="94"/>
      <c r="J450" s="94"/>
      <c r="K450" s="94"/>
      <c r="L450" s="94"/>
      <c r="M450" s="26"/>
      <c r="N450" s="26"/>
      <c r="O450" s="1"/>
      <c r="P450" s="1"/>
      <c r="Q450" s="1"/>
      <c r="R450" s="1"/>
      <c r="S450" s="1"/>
      <c r="T450" s="1"/>
      <c r="U450" s="1"/>
      <c r="V450" s="16"/>
      <c r="W450" s="1"/>
      <c r="X450" s="1"/>
    </row>
    <row r="451" spans="1:24">
      <c r="A451" s="1"/>
      <c r="B451" s="94"/>
      <c r="C451" s="1"/>
      <c r="D451" s="1"/>
      <c r="E451" s="1"/>
      <c r="F451" s="94"/>
      <c r="G451" s="94"/>
      <c r="H451" s="94"/>
      <c r="I451" s="94"/>
      <c r="J451" s="94"/>
      <c r="K451" s="94"/>
      <c r="L451" s="94"/>
      <c r="M451" s="26"/>
      <c r="N451" s="26"/>
      <c r="O451" s="1"/>
      <c r="P451" s="1"/>
      <c r="Q451" s="1"/>
      <c r="R451" s="1"/>
      <c r="S451" s="1"/>
      <c r="T451" s="1"/>
      <c r="U451" s="1"/>
      <c r="V451" s="16"/>
      <c r="W451" s="1"/>
      <c r="X451" s="1"/>
    </row>
    <row r="452" spans="1:24">
      <c r="A452" s="1"/>
      <c r="B452" s="94"/>
      <c r="C452" s="1"/>
      <c r="D452" s="1"/>
      <c r="E452" s="1"/>
      <c r="F452" s="94"/>
      <c r="G452" s="94"/>
      <c r="H452" s="94"/>
      <c r="I452" s="94"/>
      <c r="J452" s="94"/>
      <c r="K452" s="94"/>
      <c r="L452" s="94"/>
      <c r="M452" s="26"/>
      <c r="N452" s="26"/>
      <c r="O452" s="1"/>
      <c r="P452" s="1"/>
      <c r="Q452" s="1"/>
      <c r="R452" s="1"/>
      <c r="S452" s="1"/>
      <c r="T452" s="1"/>
      <c r="U452" s="1"/>
      <c r="V452" s="16"/>
      <c r="W452" s="1"/>
      <c r="X452" s="1"/>
    </row>
    <row r="453" spans="1:24">
      <c r="A453" s="1"/>
      <c r="B453" s="94"/>
      <c r="C453" s="1"/>
      <c r="D453" s="1"/>
      <c r="E453" s="1"/>
      <c r="F453" s="94"/>
      <c r="G453" s="94"/>
      <c r="H453" s="94"/>
      <c r="I453" s="94"/>
      <c r="J453" s="94"/>
      <c r="K453" s="94"/>
      <c r="L453" s="94"/>
      <c r="M453" s="26"/>
      <c r="N453" s="26"/>
      <c r="O453" s="1"/>
      <c r="P453" s="1"/>
      <c r="Q453" s="1"/>
      <c r="R453" s="1"/>
      <c r="S453" s="1"/>
      <c r="T453" s="1"/>
      <c r="U453" s="1"/>
      <c r="V453" s="16"/>
      <c r="W453" s="1"/>
      <c r="X453" s="1"/>
    </row>
    <row r="454" spans="1:24">
      <c r="A454" s="1"/>
      <c r="B454" s="93"/>
      <c r="C454" s="1"/>
      <c r="D454" s="1"/>
      <c r="E454" s="1"/>
      <c r="F454" s="93"/>
      <c r="G454" s="93"/>
      <c r="H454" s="93"/>
      <c r="I454" s="93"/>
      <c r="J454" s="93"/>
      <c r="K454" s="93"/>
      <c r="L454" s="93"/>
      <c r="M454" s="26"/>
      <c r="N454" s="26"/>
      <c r="O454" s="1"/>
      <c r="P454" s="1"/>
      <c r="Q454" s="1"/>
      <c r="R454" s="1"/>
      <c r="S454" s="1"/>
      <c r="T454" s="1"/>
      <c r="U454" s="1"/>
      <c r="V454" s="16"/>
      <c r="W454" s="1"/>
      <c r="X454" s="1"/>
    </row>
    <row r="455" spans="1:24">
      <c r="A455" s="1"/>
      <c r="B455" s="94"/>
      <c r="C455" s="1"/>
      <c r="D455" s="1"/>
      <c r="E455" s="1"/>
      <c r="F455" s="94"/>
      <c r="G455" s="94"/>
      <c r="H455" s="94"/>
      <c r="I455" s="94"/>
      <c r="J455" s="94"/>
      <c r="K455" s="94"/>
      <c r="L455" s="94"/>
      <c r="M455" s="26"/>
      <c r="N455" s="26"/>
      <c r="O455" s="1"/>
      <c r="P455" s="1"/>
      <c r="Q455" s="1"/>
      <c r="R455" s="1"/>
      <c r="S455" s="1"/>
      <c r="T455" s="1"/>
      <c r="U455" s="1"/>
      <c r="V455" s="16"/>
      <c r="W455" s="1"/>
      <c r="X455" s="1"/>
    </row>
    <row r="456" spans="1:24">
      <c r="A456" s="1"/>
      <c r="B456" s="94"/>
      <c r="C456" s="1"/>
      <c r="D456" s="1"/>
      <c r="E456" s="1"/>
      <c r="F456" s="94"/>
      <c r="G456" s="94"/>
      <c r="H456" s="94"/>
      <c r="I456" s="94"/>
      <c r="J456" s="94"/>
      <c r="K456" s="94"/>
      <c r="L456" s="94"/>
      <c r="M456" s="26"/>
      <c r="N456" s="26"/>
      <c r="O456" s="1"/>
      <c r="P456" s="1"/>
      <c r="Q456" s="1"/>
      <c r="R456" s="1"/>
      <c r="S456" s="1"/>
      <c r="T456" s="1"/>
      <c r="U456" s="1"/>
      <c r="V456" s="16"/>
      <c r="W456" s="1"/>
      <c r="X456" s="1"/>
    </row>
    <row r="457" spans="1:24">
      <c r="A457" s="1"/>
      <c r="B457" s="94"/>
      <c r="C457" s="1"/>
      <c r="D457" s="1"/>
      <c r="E457" s="1"/>
      <c r="F457" s="94"/>
      <c r="G457" s="94"/>
      <c r="H457" s="94"/>
      <c r="I457" s="94"/>
      <c r="J457" s="94"/>
      <c r="K457" s="94"/>
      <c r="L457" s="94"/>
      <c r="M457" s="26"/>
      <c r="N457" s="26"/>
      <c r="O457" s="1"/>
      <c r="P457" s="1"/>
      <c r="Q457" s="1"/>
      <c r="R457" s="1"/>
      <c r="S457" s="1"/>
      <c r="T457" s="1"/>
      <c r="U457" s="1"/>
      <c r="V457" s="16"/>
      <c r="W457" s="1"/>
      <c r="X457" s="1"/>
    </row>
    <row r="458" spans="1:24">
      <c r="A458" s="1"/>
      <c r="B458" s="94"/>
      <c r="C458" s="1"/>
      <c r="D458" s="1"/>
      <c r="E458" s="1"/>
      <c r="F458" s="94"/>
      <c r="G458" s="94"/>
      <c r="H458" s="94"/>
      <c r="I458" s="94"/>
      <c r="J458" s="94"/>
      <c r="K458" s="94"/>
      <c r="L458" s="94"/>
      <c r="M458" s="26"/>
      <c r="N458" s="26"/>
      <c r="O458" s="1"/>
      <c r="P458" s="1"/>
      <c r="Q458" s="1"/>
      <c r="R458" s="1"/>
      <c r="S458" s="1"/>
      <c r="T458" s="1"/>
      <c r="U458" s="1"/>
      <c r="V458" s="16"/>
      <c r="W458" s="1"/>
      <c r="X458" s="1"/>
    </row>
    <row r="459" spans="1:24">
      <c r="A459" s="1"/>
      <c r="B459" s="93"/>
      <c r="C459" s="1"/>
      <c r="D459" s="1"/>
      <c r="E459" s="1"/>
      <c r="F459" s="93"/>
      <c r="G459" s="93"/>
      <c r="H459" s="93"/>
      <c r="I459" s="93"/>
      <c r="J459" s="93"/>
      <c r="K459" s="93"/>
      <c r="L459" s="93"/>
      <c r="M459" s="26"/>
      <c r="N459" s="26"/>
      <c r="O459" s="1"/>
      <c r="P459" s="1"/>
      <c r="Q459" s="1"/>
      <c r="R459" s="1"/>
      <c r="S459" s="1"/>
      <c r="T459" s="1"/>
      <c r="U459" s="1"/>
      <c r="V459" s="16"/>
      <c r="W459" s="1"/>
      <c r="X459" s="1"/>
    </row>
    <row r="460" spans="1:24">
      <c r="A460" s="1"/>
      <c r="B460" s="94"/>
      <c r="C460" s="1"/>
      <c r="D460" s="1"/>
      <c r="E460" s="1"/>
      <c r="F460" s="94"/>
      <c r="G460" s="94"/>
      <c r="H460" s="94"/>
      <c r="I460" s="94"/>
      <c r="J460" s="94"/>
      <c r="K460" s="94"/>
      <c r="L460" s="94"/>
      <c r="M460" s="26"/>
      <c r="N460" s="26"/>
      <c r="O460" s="1"/>
      <c r="P460" s="1"/>
      <c r="Q460" s="1"/>
      <c r="R460" s="1"/>
      <c r="S460" s="1"/>
      <c r="T460" s="1"/>
      <c r="U460" s="1"/>
      <c r="V460" s="16"/>
      <c r="W460" s="1"/>
      <c r="X460" s="1"/>
    </row>
    <row r="461" spans="1:24">
      <c r="A461" s="1"/>
      <c r="B461" s="94"/>
      <c r="C461" s="1"/>
      <c r="D461" s="1"/>
      <c r="E461" s="1"/>
      <c r="F461" s="94"/>
      <c r="G461" s="94"/>
      <c r="H461" s="94"/>
      <c r="I461" s="94"/>
      <c r="J461" s="94"/>
      <c r="K461" s="94"/>
      <c r="L461" s="94"/>
      <c r="M461" s="26"/>
      <c r="N461" s="26"/>
      <c r="O461" s="1"/>
      <c r="P461" s="1"/>
      <c r="Q461" s="1"/>
      <c r="R461" s="1"/>
      <c r="S461" s="1"/>
      <c r="T461" s="1"/>
      <c r="U461" s="1"/>
      <c r="V461" s="16"/>
      <c r="W461" s="1"/>
      <c r="X461" s="1"/>
    </row>
    <row r="462" spans="1:24">
      <c r="A462" s="1"/>
      <c r="B462" s="94"/>
      <c r="C462" s="1"/>
      <c r="D462" s="1"/>
      <c r="E462" s="1"/>
      <c r="F462" s="94"/>
      <c r="G462" s="94"/>
      <c r="H462" s="94"/>
      <c r="I462" s="94"/>
      <c r="J462" s="94"/>
      <c r="K462" s="94"/>
      <c r="L462" s="94"/>
      <c r="M462" s="26"/>
      <c r="N462" s="26"/>
      <c r="O462" s="1"/>
      <c r="P462" s="1"/>
      <c r="Q462" s="1"/>
      <c r="R462" s="1"/>
      <c r="S462" s="1"/>
      <c r="T462" s="1"/>
      <c r="U462" s="1"/>
      <c r="V462" s="16"/>
      <c r="W462" s="1"/>
      <c r="X462" s="1"/>
    </row>
    <row r="463" spans="1:24">
      <c r="A463" s="1"/>
      <c r="B463" s="94"/>
      <c r="C463" s="1"/>
      <c r="D463" s="1"/>
      <c r="E463" s="1"/>
      <c r="F463" s="94"/>
      <c r="G463" s="94"/>
      <c r="H463" s="94"/>
      <c r="I463" s="94"/>
      <c r="J463" s="94"/>
      <c r="K463" s="94"/>
      <c r="L463" s="94"/>
      <c r="M463" s="26"/>
      <c r="N463" s="26"/>
      <c r="O463" s="1"/>
      <c r="P463" s="1"/>
      <c r="Q463" s="1"/>
      <c r="R463" s="1"/>
      <c r="S463" s="1"/>
      <c r="T463" s="1"/>
      <c r="U463" s="1"/>
      <c r="V463" s="16"/>
      <c r="W463" s="1"/>
      <c r="X463" s="1"/>
    </row>
    <row r="464" spans="1:24">
      <c r="A464" s="1"/>
      <c r="B464" s="93"/>
      <c r="C464" s="1"/>
      <c r="D464" s="1"/>
      <c r="E464" s="1"/>
      <c r="F464" s="93"/>
      <c r="G464" s="93"/>
      <c r="H464" s="93"/>
      <c r="I464" s="93"/>
      <c r="J464" s="93"/>
      <c r="K464" s="93"/>
      <c r="L464" s="93"/>
      <c r="M464" s="26"/>
      <c r="N464" s="26"/>
      <c r="O464" s="1"/>
      <c r="P464" s="1"/>
      <c r="Q464" s="1"/>
      <c r="R464" s="1"/>
      <c r="S464" s="1"/>
      <c r="T464" s="1"/>
      <c r="U464" s="1"/>
      <c r="V464" s="16"/>
      <c r="W464" s="1"/>
      <c r="X464" s="1"/>
    </row>
    <row r="465" spans="1:24">
      <c r="A465" s="1"/>
      <c r="B465" s="94"/>
      <c r="C465" s="1"/>
      <c r="D465" s="1"/>
      <c r="E465" s="1"/>
      <c r="F465" s="94"/>
      <c r="G465" s="94"/>
      <c r="H465" s="94"/>
      <c r="I465" s="94"/>
      <c r="J465" s="94"/>
      <c r="K465" s="94"/>
      <c r="L465" s="94"/>
      <c r="M465" s="26"/>
      <c r="N465" s="26"/>
      <c r="O465" s="1"/>
      <c r="P465" s="1"/>
      <c r="Q465" s="1"/>
      <c r="R465" s="1"/>
      <c r="S465" s="1"/>
      <c r="T465" s="1"/>
      <c r="U465" s="1"/>
      <c r="V465" s="16"/>
      <c r="W465" s="1"/>
      <c r="X465" s="1"/>
    </row>
    <row r="466" spans="1:24">
      <c r="A466" s="1"/>
      <c r="B466" s="94"/>
      <c r="C466" s="1"/>
      <c r="D466" s="1"/>
      <c r="E466" s="1"/>
      <c r="F466" s="94"/>
      <c r="G466" s="94"/>
      <c r="H466" s="94"/>
      <c r="I466" s="94"/>
      <c r="J466" s="94"/>
      <c r="K466" s="94"/>
      <c r="L466" s="94"/>
      <c r="M466" s="26"/>
      <c r="N466" s="26"/>
      <c r="O466" s="1"/>
      <c r="P466" s="1"/>
      <c r="Q466" s="1"/>
      <c r="R466" s="1"/>
      <c r="S466" s="1"/>
      <c r="T466" s="1"/>
      <c r="U466" s="1"/>
      <c r="V466" s="16"/>
      <c r="W466" s="1"/>
      <c r="X466" s="1"/>
    </row>
    <row r="467" spans="1:24">
      <c r="A467" s="1"/>
      <c r="B467" s="94"/>
      <c r="C467" s="1"/>
      <c r="D467" s="1"/>
      <c r="E467" s="1"/>
      <c r="F467" s="94"/>
      <c r="G467" s="94"/>
      <c r="H467" s="94"/>
      <c r="I467" s="94"/>
      <c r="J467" s="94"/>
      <c r="K467" s="94"/>
      <c r="L467" s="94"/>
      <c r="M467" s="26"/>
      <c r="N467" s="26"/>
      <c r="O467" s="1"/>
      <c r="P467" s="1"/>
      <c r="Q467" s="1"/>
      <c r="R467" s="1"/>
      <c r="S467" s="1"/>
      <c r="T467" s="1"/>
      <c r="U467" s="1"/>
      <c r="V467" s="16"/>
      <c r="W467" s="1"/>
      <c r="X467" s="1"/>
    </row>
    <row r="468" spans="1:24">
      <c r="A468" s="1"/>
      <c r="B468" s="94"/>
      <c r="C468" s="1"/>
      <c r="D468" s="1"/>
      <c r="E468" s="1"/>
      <c r="F468" s="94"/>
      <c r="G468" s="94"/>
      <c r="H468" s="94"/>
      <c r="I468" s="94"/>
      <c r="J468" s="94"/>
      <c r="K468" s="94"/>
      <c r="L468" s="94"/>
      <c r="M468" s="26"/>
      <c r="N468" s="26"/>
      <c r="O468" s="1"/>
      <c r="P468" s="1"/>
      <c r="Q468" s="1"/>
      <c r="R468" s="1"/>
      <c r="S468" s="1"/>
      <c r="T468" s="1"/>
      <c r="U468" s="1"/>
      <c r="V468" s="16"/>
      <c r="W468" s="1"/>
      <c r="X468" s="1"/>
    </row>
    <row r="469" spans="1:24">
      <c r="A469" s="1"/>
      <c r="B469" s="93"/>
      <c r="C469" s="1"/>
      <c r="D469" s="1"/>
      <c r="E469" s="1"/>
      <c r="F469" s="93"/>
      <c r="G469" s="93"/>
      <c r="H469" s="93"/>
      <c r="I469" s="93"/>
      <c r="J469" s="93"/>
      <c r="K469" s="93"/>
      <c r="L469" s="93"/>
      <c r="M469" s="26"/>
      <c r="N469" s="26"/>
      <c r="O469" s="1"/>
      <c r="P469" s="1"/>
      <c r="Q469" s="1"/>
      <c r="R469" s="1"/>
      <c r="S469" s="1"/>
      <c r="T469" s="1"/>
      <c r="U469" s="1"/>
      <c r="V469" s="16"/>
      <c r="W469" s="1"/>
      <c r="X469" s="1"/>
    </row>
    <row r="470" spans="1:24">
      <c r="A470" s="1"/>
      <c r="B470" s="94"/>
      <c r="C470" s="1"/>
      <c r="D470" s="1"/>
      <c r="E470" s="1"/>
      <c r="F470" s="94"/>
      <c r="G470" s="94"/>
      <c r="H470" s="94"/>
      <c r="I470" s="94"/>
      <c r="J470" s="94"/>
      <c r="K470" s="94"/>
      <c r="L470" s="94"/>
      <c r="M470" s="26"/>
      <c r="N470" s="26"/>
      <c r="O470" s="1"/>
      <c r="P470" s="1"/>
      <c r="Q470" s="1"/>
      <c r="R470" s="1"/>
      <c r="S470" s="1"/>
      <c r="T470" s="1"/>
      <c r="U470" s="1"/>
      <c r="V470" s="16"/>
      <c r="W470" s="1"/>
      <c r="X470" s="1"/>
    </row>
    <row r="471" spans="1:24">
      <c r="A471" s="1"/>
      <c r="B471" s="94"/>
      <c r="C471" s="1"/>
      <c r="D471" s="1"/>
      <c r="E471" s="1"/>
      <c r="F471" s="94"/>
      <c r="G471" s="94"/>
      <c r="H471" s="94"/>
      <c r="I471" s="94"/>
      <c r="J471" s="94"/>
      <c r="K471" s="94"/>
      <c r="L471" s="94"/>
      <c r="M471" s="26"/>
      <c r="N471" s="26"/>
      <c r="O471" s="1"/>
      <c r="P471" s="1"/>
      <c r="Q471" s="1"/>
      <c r="R471" s="1"/>
      <c r="S471" s="1"/>
      <c r="T471" s="1"/>
      <c r="U471" s="1"/>
      <c r="V471" s="16"/>
      <c r="W471" s="1"/>
      <c r="X471" s="1"/>
    </row>
    <row r="472" spans="1:24">
      <c r="A472" s="1"/>
      <c r="B472" s="94"/>
      <c r="C472" s="1"/>
      <c r="D472" s="1"/>
      <c r="E472" s="1"/>
      <c r="F472" s="94"/>
      <c r="G472" s="94"/>
      <c r="H472" s="94"/>
      <c r="I472" s="94"/>
      <c r="J472" s="94"/>
      <c r="K472" s="94"/>
      <c r="L472" s="94"/>
      <c r="M472" s="26"/>
      <c r="N472" s="26"/>
      <c r="O472" s="1"/>
      <c r="P472" s="1"/>
      <c r="Q472" s="1"/>
      <c r="R472" s="1"/>
      <c r="S472" s="1"/>
      <c r="T472" s="1"/>
      <c r="U472" s="1"/>
      <c r="V472" s="16"/>
      <c r="W472" s="1"/>
      <c r="X472" s="1"/>
    </row>
    <row r="473" spans="1:24">
      <c r="A473" s="1"/>
      <c r="B473" s="94"/>
      <c r="C473" s="1"/>
      <c r="D473" s="1"/>
      <c r="E473" s="1"/>
      <c r="F473" s="94"/>
      <c r="G473" s="94"/>
      <c r="H473" s="94"/>
      <c r="I473" s="94"/>
      <c r="J473" s="94"/>
      <c r="K473" s="94"/>
      <c r="L473" s="94"/>
      <c r="M473" s="26"/>
      <c r="N473" s="26"/>
      <c r="O473" s="1"/>
      <c r="P473" s="1"/>
      <c r="Q473" s="1"/>
      <c r="R473" s="1"/>
      <c r="S473" s="1"/>
      <c r="T473" s="1"/>
      <c r="U473" s="1"/>
      <c r="V473" s="16"/>
      <c r="W473" s="1"/>
      <c r="X473" s="1"/>
    </row>
    <row r="474" spans="1:24">
      <c r="A474" s="1"/>
      <c r="B474" s="93"/>
      <c r="C474" s="1"/>
      <c r="D474" s="1"/>
      <c r="E474" s="1"/>
      <c r="F474" s="93"/>
      <c r="G474" s="93"/>
      <c r="H474" s="93"/>
      <c r="I474" s="93"/>
      <c r="J474" s="93"/>
      <c r="K474" s="93"/>
      <c r="L474" s="93"/>
      <c r="M474" s="26"/>
      <c r="N474" s="26"/>
      <c r="O474" s="1"/>
      <c r="P474" s="1"/>
      <c r="Q474" s="1"/>
      <c r="R474" s="1"/>
      <c r="S474" s="1"/>
      <c r="T474" s="1"/>
      <c r="U474" s="1"/>
      <c r="V474" s="16"/>
      <c r="W474" s="1"/>
      <c r="X474" s="1"/>
    </row>
    <row r="475" spans="1:24">
      <c r="A475" s="1"/>
      <c r="B475" s="94"/>
      <c r="C475" s="1"/>
      <c r="D475" s="1"/>
      <c r="E475" s="1"/>
      <c r="F475" s="94"/>
      <c r="G475" s="94"/>
      <c r="H475" s="94"/>
      <c r="I475" s="94"/>
      <c r="J475" s="94"/>
      <c r="K475" s="94"/>
      <c r="L475" s="94"/>
      <c r="M475" s="26"/>
      <c r="N475" s="26"/>
      <c r="O475" s="1"/>
      <c r="P475" s="1"/>
      <c r="Q475" s="1"/>
      <c r="R475" s="1"/>
      <c r="S475" s="1"/>
      <c r="T475" s="1"/>
      <c r="U475" s="1"/>
      <c r="V475" s="16"/>
      <c r="W475" s="1"/>
      <c r="X475" s="1"/>
    </row>
    <row r="476" spans="1:24">
      <c r="A476" s="1"/>
      <c r="B476" s="94"/>
      <c r="C476" s="1"/>
      <c r="D476" s="1"/>
      <c r="E476" s="1"/>
      <c r="F476" s="94"/>
      <c r="G476" s="94"/>
      <c r="H476" s="94"/>
      <c r="I476" s="94"/>
      <c r="J476" s="94"/>
      <c r="K476" s="94"/>
      <c r="L476" s="94"/>
      <c r="M476" s="26"/>
      <c r="N476" s="26"/>
      <c r="O476" s="1"/>
      <c r="P476" s="1"/>
      <c r="Q476" s="1"/>
      <c r="R476" s="1"/>
      <c r="S476" s="1"/>
      <c r="T476" s="1"/>
      <c r="U476" s="1"/>
      <c r="V476" s="16"/>
      <c r="W476" s="1"/>
      <c r="X476" s="1"/>
    </row>
    <row r="477" spans="1:24">
      <c r="A477" s="1"/>
      <c r="B477" s="94"/>
      <c r="C477" s="1"/>
      <c r="D477" s="1"/>
      <c r="E477" s="1"/>
      <c r="F477" s="94"/>
      <c r="G477" s="94"/>
      <c r="H477" s="94"/>
      <c r="I477" s="94"/>
      <c r="J477" s="94"/>
      <c r="K477" s="94"/>
      <c r="L477" s="94"/>
      <c r="M477" s="26"/>
      <c r="N477" s="26"/>
      <c r="O477" s="1"/>
      <c r="P477" s="1"/>
      <c r="Q477" s="1"/>
      <c r="R477" s="1"/>
      <c r="S477" s="1"/>
      <c r="T477" s="1"/>
      <c r="U477" s="1"/>
      <c r="V477" s="16"/>
      <c r="W477" s="1"/>
      <c r="X477" s="1"/>
    </row>
    <row r="478" spans="1:24">
      <c r="A478" s="1"/>
      <c r="B478" s="94"/>
      <c r="C478" s="1"/>
      <c r="D478" s="1"/>
      <c r="E478" s="1"/>
      <c r="F478" s="94"/>
      <c r="G478" s="94"/>
      <c r="H478" s="94"/>
      <c r="I478" s="94"/>
      <c r="J478" s="94"/>
      <c r="K478" s="94"/>
      <c r="L478" s="94"/>
      <c r="M478" s="26"/>
      <c r="N478" s="26"/>
      <c r="O478" s="1"/>
      <c r="P478" s="1"/>
      <c r="Q478" s="1"/>
      <c r="R478" s="1"/>
      <c r="S478" s="1"/>
      <c r="T478" s="1"/>
      <c r="U478" s="1"/>
      <c r="V478" s="16"/>
      <c r="W478" s="1"/>
      <c r="X478" s="1"/>
    </row>
    <row r="479" spans="1:24">
      <c r="A479" s="1"/>
      <c r="B479" s="93"/>
      <c r="C479" s="1"/>
      <c r="D479" s="1"/>
      <c r="E479" s="1"/>
      <c r="F479" s="93"/>
      <c r="G479" s="93"/>
      <c r="H479" s="93"/>
      <c r="I479" s="93"/>
      <c r="J479" s="93"/>
      <c r="K479" s="93"/>
      <c r="L479" s="93"/>
      <c r="M479" s="26"/>
      <c r="N479" s="26"/>
      <c r="O479" s="1"/>
      <c r="P479" s="1"/>
      <c r="Q479" s="1"/>
      <c r="R479" s="1"/>
      <c r="S479" s="1"/>
      <c r="T479" s="1"/>
      <c r="U479" s="1"/>
      <c r="V479" s="16"/>
      <c r="W479" s="1"/>
      <c r="X479" s="1"/>
    </row>
    <row r="480" spans="1:24">
      <c r="A480" s="1"/>
      <c r="B480" s="94"/>
      <c r="C480" s="1"/>
      <c r="D480" s="1"/>
      <c r="E480" s="1"/>
      <c r="F480" s="94"/>
      <c r="G480" s="94"/>
      <c r="H480" s="94"/>
      <c r="I480" s="94"/>
      <c r="J480" s="94"/>
      <c r="K480" s="94"/>
      <c r="L480" s="94"/>
      <c r="M480" s="26"/>
      <c r="N480" s="26"/>
      <c r="O480" s="1"/>
      <c r="P480" s="1"/>
      <c r="Q480" s="1"/>
      <c r="R480" s="1"/>
      <c r="S480" s="1"/>
      <c r="T480" s="1"/>
      <c r="U480" s="1"/>
      <c r="V480" s="16"/>
      <c r="W480" s="1"/>
      <c r="X480" s="1"/>
    </row>
    <row r="481" spans="1:24">
      <c r="A481" s="1"/>
      <c r="B481" s="94"/>
      <c r="C481" s="1"/>
      <c r="D481" s="1"/>
      <c r="E481" s="1"/>
      <c r="F481" s="94"/>
      <c r="G481" s="94"/>
      <c r="H481" s="94"/>
      <c r="I481" s="94"/>
      <c r="J481" s="94"/>
      <c r="K481" s="94"/>
      <c r="L481" s="94"/>
      <c r="M481" s="26"/>
      <c r="N481" s="26"/>
      <c r="O481" s="1"/>
      <c r="P481" s="1"/>
      <c r="Q481" s="1"/>
      <c r="R481" s="1"/>
      <c r="S481" s="1"/>
      <c r="T481" s="1"/>
      <c r="U481" s="1"/>
      <c r="V481" s="16"/>
      <c r="W481" s="1"/>
      <c r="X481" s="1"/>
    </row>
    <row r="482" spans="1:24">
      <c r="A482" s="1"/>
      <c r="B482" s="94"/>
      <c r="C482" s="1"/>
      <c r="D482" s="1"/>
      <c r="E482" s="1"/>
      <c r="F482" s="94"/>
      <c r="G482" s="94"/>
      <c r="H482" s="94"/>
      <c r="I482" s="94"/>
      <c r="J482" s="94"/>
      <c r="K482" s="94"/>
      <c r="L482" s="94"/>
      <c r="M482" s="26"/>
      <c r="N482" s="26"/>
      <c r="O482" s="1"/>
      <c r="P482" s="1"/>
      <c r="Q482" s="1"/>
      <c r="R482" s="1"/>
      <c r="S482" s="1"/>
      <c r="T482" s="1"/>
      <c r="U482" s="1"/>
      <c r="V482" s="16"/>
      <c r="W482" s="1"/>
      <c r="X482" s="1"/>
    </row>
    <row r="483" spans="1:24">
      <c r="A483" s="1"/>
      <c r="B483" s="94"/>
      <c r="C483" s="1"/>
      <c r="D483" s="1"/>
      <c r="E483" s="1"/>
      <c r="F483" s="94"/>
      <c r="G483" s="94"/>
      <c r="H483" s="94"/>
      <c r="I483" s="94"/>
      <c r="J483" s="94"/>
      <c r="K483" s="94"/>
      <c r="L483" s="94"/>
      <c r="M483" s="26"/>
      <c r="N483" s="26"/>
      <c r="O483" s="1"/>
      <c r="P483" s="1"/>
      <c r="Q483" s="1"/>
      <c r="R483" s="1"/>
      <c r="S483" s="1"/>
      <c r="T483" s="1"/>
      <c r="U483" s="1"/>
      <c r="V483" s="16"/>
      <c r="W483" s="1"/>
      <c r="X483" s="1"/>
    </row>
    <row r="484" spans="1:24">
      <c r="A484" s="1"/>
      <c r="B484" s="93"/>
      <c r="C484" s="1"/>
      <c r="D484" s="1"/>
      <c r="E484" s="1"/>
      <c r="F484" s="93"/>
      <c r="G484" s="93"/>
      <c r="H484" s="93"/>
      <c r="I484" s="93"/>
      <c r="J484" s="93"/>
      <c r="K484" s="93"/>
      <c r="L484" s="93"/>
      <c r="M484" s="26"/>
      <c r="N484" s="26"/>
      <c r="O484" s="1"/>
      <c r="P484" s="1"/>
      <c r="Q484" s="1"/>
      <c r="R484" s="1"/>
      <c r="S484" s="1"/>
      <c r="T484" s="1"/>
      <c r="U484" s="1"/>
      <c r="V484" s="16"/>
      <c r="W484" s="1"/>
      <c r="X484" s="1"/>
    </row>
    <row r="485" spans="1:24">
      <c r="A485" s="1"/>
      <c r="B485" s="94"/>
      <c r="C485" s="1"/>
      <c r="D485" s="1"/>
      <c r="E485" s="1"/>
      <c r="F485" s="94"/>
      <c r="G485" s="94"/>
      <c r="H485" s="94"/>
      <c r="I485" s="94"/>
      <c r="J485" s="94"/>
      <c r="K485" s="94"/>
      <c r="L485" s="94"/>
      <c r="M485" s="26"/>
      <c r="N485" s="26"/>
      <c r="O485" s="1"/>
      <c r="P485" s="1"/>
      <c r="Q485" s="1"/>
      <c r="R485" s="1"/>
      <c r="S485" s="1"/>
      <c r="T485" s="1"/>
      <c r="U485" s="1"/>
      <c r="V485" s="16"/>
      <c r="W485" s="1"/>
      <c r="X485" s="1"/>
    </row>
    <row r="486" spans="1:24">
      <c r="A486" s="1"/>
      <c r="B486" s="94"/>
      <c r="C486" s="1"/>
      <c r="D486" s="1"/>
      <c r="E486" s="1"/>
      <c r="F486" s="94"/>
      <c r="G486" s="94"/>
      <c r="H486" s="94"/>
      <c r="I486" s="94"/>
      <c r="J486" s="94"/>
      <c r="K486" s="94"/>
      <c r="L486" s="94"/>
      <c r="M486" s="26"/>
      <c r="N486" s="26"/>
      <c r="O486" s="1"/>
      <c r="P486" s="1"/>
      <c r="Q486" s="1"/>
      <c r="R486" s="1"/>
      <c r="S486" s="1"/>
      <c r="T486" s="1"/>
      <c r="U486" s="1"/>
      <c r="V486" s="16"/>
      <c r="W486" s="1"/>
      <c r="X486" s="1"/>
    </row>
    <row r="487" spans="1:24">
      <c r="A487" s="1"/>
      <c r="B487" s="94"/>
      <c r="C487" s="1"/>
      <c r="D487" s="1"/>
      <c r="E487" s="1"/>
      <c r="F487" s="94"/>
      <c r="G487" s="94"/>
      <c r="H487" s="94"/>
      <c r="I487" s="94"/>
      <c r="J487" s="94"/>
      <c r="K487" s="94"/>
      <c r="L487" s="94"/>
      <c r="M487" s="26"/>
      <c r="N487" s="26"/>
      <c r="O487" s="1"/>
      <c r="P487" s="1"/>
      <c r="Q487" s="1"/>
      <c r="R487" s="1"/>
      <c r="S487" s="1"/>
      <c r="T487" s="1"/>
      <c r="U487" s="1"/>
      <c r="V487" s="16"/>
      <c r="W487" s="1"/>
      <c r="X487" s="1"/>
    </row>
    <row r="488" spans="1:24">
      <c r="A488" s="1"/>
      <c r="B488" s="94"/>
      <c r="C488" s="1"/>
      <c r="D488" s="1"/>
      <c r="E488" s="1"/>
      <c r="F488" s="94"/>
      <c r="G488" s="94"/>
      <c r="H488" s="94"/>
      <c r="I488" s="94"/>
      <c r="J488" s="94"/>
      <c r="K488" s="94"/>
      <c r="L488" s="94"/>
      <c r="M488" s="26"/>
      <c r="N488" s="26"/>
      <c r="O488" s="1"/>
      <c r="P488" s="1"/>
      <c r="Q488" s="1"/>
      <c r="R488" s="1"/>
      <c r="S488" s="1"/>
      <c r="T488" s="1"/>
      <c r="U488" s="1"/>
      <c r="V488" s="16"/>
      <c r="W488" s="1"/>
      <c r="X488" s="1"/>
    </row>
    <row r="489" spans="1:24">
      <c r="A489" s="1"/>
      <c r="B489" s="93"/>
      <c r="C489" s="1"/>
      <c r="D489" s="1"/>
      <c r="E489" s="1"/>
      <c r="F489" s="93"/>
      <c r="G489" s="93"/>
      <c r="H489" s="93"/>
      <c r="I489" s="93"/>
      <c r="J489" s="93"/>
      <c r="K489" s="93"/>
      <c r="L489" s="93"/>
      <c r="M489" s="26"/>
      <c r="N489" s="26"/>
      <c r="O489" s="1"/>
      <c r="P489" s="1"/>
      <c r="Q489" s="1"/>
      <c r="R489" s="1"/>
      <c r="S489" s="1"/>
      <c r="T489" s="1"/>
      <c r="U489" s="1"/>
      <c r="V489" s="16"/>
      <c r="W489" s="1"/>
      <c r="X489" s="1"/>
    </row>
    <row r="490" spans="1:24">
      <c r="A490" s="1"/>
      <c r="B490" s="94"/>
      <c r="C490" s="1"/>
      <c r="D490" s="1"/>
      <c r="E490" s="1"/>
      <c r="F490" s="94"/>
      <c r="G490" s="94"/>
      <c r="H490" s="94"/>
      <c r="I490" s="94"/>
      <c r="J490" s="94"/>
      <c r="K490" s="94"/>
      <c r="L490" s="94"/>
      <c r="M490" s="26"/>
      <c r="N490" s="26"/>
      <c r="O490" s="1"/>
      <c r="P490" s="1"/>
      <c r="Q490" s="1"/>
      <c r="R490" s="1"/>
      <c r="S490" s="1"/>
      <c r="T490" s="1"/>
      <c r="U490" s="1"/>
      <c r="V490" s="16"/>
      <c r="W490" s="1"/>
      <c r="X490" s="1"/>
    </row>
    <row r="491" spans="1:24">
      <c r="A491" s="1"/>
      <c r="B491" s="94"/>
      <c r="C491" s="1"/>
      <c r="D491" s="1"/>
      <c r="E491" s="1"/>
      <c r="F491" s="94"/>
      <c r="G491" s="94"/>
      <c r="H491" s="94"/>
      <c r="I491" s="94"/>
      <c r="J491" s="94"/>
      <c r="K491" s="94"/>
      <c r="L491" s="94"/>
      <c r="M491" s="26"/>
      <c r="N491" s="26"/>
      <c r="O491" s="1"/>
      <c r="P491" s="1"/>
      <c r="Q491" s="1"/>
      <c r="R491" s="1"/>
      <c r="S491" s="1"/>
      <c r="T491" s="1"/>
      <c r="U491" s="1"/>
      <c r="V491" s="16"/>
      <c r="W491" s="1"/>
      <c r="X491" s="1"/>
    </row>
    <row r="492" spans="1:24">
      <c r="A492" s="1"/>
      <c r="B492" s="94"/>
      <c r="C492" s="1"/>
      <c r="D492" s="1"/>
      <c r="E492" s="1"/>
      <c r="F492" s="94"/>
      <c r="G492" s="94"/>
      <c r="H492" s="94"/>
      <c r="I492" s="94"/>
      <c r="J492" s="94"/>
      <c r="K492" s="94"/>
      <c r="L492" s="94"/>
      <c r="M492" s="26"/>
      <c r="N492" s="26"/>
      <c r="O492" s="1"/>
      <c r="P492" s="1"/>
      <c r="Q492" s="1"/>
      <c r="R492" s="1"/>
      <c r="S492" s="1"/>
      <c r="T492" s="1"/>
      <c r="U492" s="1"/>
      <c r="V492" s="16"/>
      <c r="W492" s="1"/>
      <c r="X492" s="1"/>
    </row>
    <row r="493" spans="1:24">
      <c r="A493" s="1"/>
      <c r="B493" s="94"/>
      <c r="C493" s="1"/>
      <c r="D493" s="1"/>
      <c r="E493" s="1"/>
      <c r="F493" s="94"/>
      <c r="G493" s="94"/>
      <c r="H493" s="94"/>
      <c r="I493" s="94"/>
      <c r="J493" s="94"/>
      <c r="K493" s="94"/>
      <c r="L493" s="94"/>
      <c r="M493" s="26"/>
      <c r="N493" s="26"/>
      <c r="O493" s="1"/>
      <c r="P493" s="1"/>
      <c r="Q493" s="1"/>
      <c r="R493" s="1"/>
      <c r="S493" s="1"/>
      <c r="T493" s="1"/>
      <c r="U493" s="1"/>
      <c r="V493" s="16"/>
      <c r="W493" s="1"/>
      <c r="X493" s="1"/>
    </row>
    <row r="494" spans="1:24">
      <c r="A494" s="1"/>
      <c r="B494" s="93"/>
      <c r="C494" s="1"/>
      <c r="D494" s="1"/>
      <c r="E494" s="1"/>
      <c r="F494" s="93"/>
      <c r="G494" s="93"/>
      <c r="H494" s="93"/>
      <c r="I494" s="93"/>
      <c r="J494" s="93"/>
      <c r="K494" s="93"/>
      <c r="L494" s="93"/>
      <c r="M494" s="26"/>
      <c r="N494" s="26"/>
      <c r="O494" s="1"/>
      <c r="P494" s="1"/>
      <c r="Q494" s="1"/>
      <c r="R494" s="1"/>
      <c r="S494" s="1"/>
      <c r="T494" s="1"/>
      <c r="U494" s="1"/>
      <c r="V494" s="16"/>
      <c r="W494" s="1"/>
      <c r="X494" s="1"/>
    </row>
    <row r="495" spans="1:24">
      <c r="A495" s="1"/>
      <c r="B495" s="94"/>
      <c r="C495" s="1"/>
      <c r="D495" s="1"/>
      <c r="E495" s="1"/>
      <c r="F495" s="94"/>
      <c r="G495" s="94"/>
      <c r="H495" s="94"/>
      <c r="I495" s="94"/>
      <c r="J495" s="94"/>
      <c r="K495" s="94"/>
      <c r="L495" s="94"/>
      <c r="M495" s="26"/>
      <c r="N495" s="26"/>
      <c r="O495" s="1"/>
      <c r="P495" s="1"/>
      <c r="Q495" s="1"/>
      <c r="R495" s="1"/>
      <c r="S495" s="1"/>
      <c r="T495" s="1"/>
      <c r="U495" s="1"/>
      <c r="V495" s="16"/>
      <c r="W495" s="1"/>
      <c r="X495" s="1"/>
    </row>
    <row r="496" spans="1:24">
      <c r="A496" s="1"/>
      <c r="B496" s="94"/>
      <c r="C496" s="1"/>
      <c r="D496" s="1"/>
      <c r="E496" s="1"/>
      <c r="F496" s="94"/>
      <c r="G496" s="94"/>
      <c r="H496" s="94"/>
      <c r="I496" s="94"/>
      <c r="J496" s="94"/>
      <c r="K496" s="94"/>
      <c r="L496" s="94"/>
      <c r="M496" s="26"/>
      <c r="N496" s="26"/>
      <c r="O496" s="1"/>
      <c r="P496" s="1"/>
      <c r="Q496" s="1"/>
      <c r="R496" s="1"/>
      <c r="S496" s="1"/>
      <c r="T496" s="1"/>
      <c r="U496" s="1"/>
      <c r="V496" s="16"/>
      <c r="W496" s="1"/>
      <c r="X496" s="1"/>
    </row>
    <row r="497" spans="1:24">
      <c r="A497" s="1"/>
      <c r="B497" s="94"/>
      <c r="C497" s="1"/>
      <c r="D497" s="1"/>
      <c r="E497" s="1"/>
      <c r="F497" s="94"/>
      <c r="G497" s="94"/>
      <c r="H497" s="94"/>
      <c r="I497" s="94"/>
      <c r="J497" s="94"/>
      <c r="K497" s="94"/>
      <c r="L497" s="94"/>
      <c r="M497" s="26"/>
      <c r="N497" s="26"/>
      <c r="O497" s="1"/>
      <c r="P497" s="1"/>
      <c r="Q497" s="1"/>
      <c r="R497" s="1"/>
      <c r="S497" s="1"/>
      <c r="T497" s="1"/>
      <c r="U497" s="1"/>
      <c r="V497" s="16"/>
      <c r="W497" s="1"/>
      <c r="X497" s="1"/>
    </row>
    <row r="498" spans="1:24">
      <c r="A498" s="1"/>
      <c r="B498" s="94"/>
      <c r="C498" s="1"/>
      <c r="D498" s="1"/>
      <c r="E498" s="1"/>
      <c r="F498" s="94"/>
      <c r="G498" s="94"/>
      <c r="H498" s="94"/>
      <c r="I498" s="94"/>
      <c r="J498" s="94"/>
      <c r="K498" s="94"/>
      <c r="L498" s="94"/>
      <c r="M498" s="26"/>
      <c r="N498" s="26"/>
      <c r="O498" s="1"/>
      <c r="P498" s="1"/>
      <c r="Q498" s="1"/>
      <c r="R498" s="1"/>
      <c r="S498" s="1"/>
      <c r="T498" s="1"/>
      <c r="U498" s="1"/>
      <c r="V498" s="16"/>
      <c r="W498" s="1"/>
      <c r="X498" s="1"/>
    </row>
    <row r="499" spans="1:24">
      <c r="A499" s="1"/>
      <c r="B499" s="93"/>
      <c r="C499" s="1"/>
      <c r="D499" s="1"/>
      <c r="E499" s="1"/>
      <c r="F499" s="93"/>
      <c r="G499" s="93"/>
      <c r="H499" s="93"/>
      <c r="I499" s="93"/>
      <c r="J499" s="93"/>
      <c r="K499" s="93"/>
      <c r="L499" s="93"/>
      <c r="M499" s="26"/>
      <c r="N499" s="26"/>
      <c r="O499" s="1"/>
      <c r="P499" s="1"/>
      <c r="Q499" s="1"/>
      <c r="R499" s="1"/>
      <c r="S499" s="1"/>
      <c r="T499" s="1"/>
      <c r="U499" s="1"/>
      <c r="V499" s="16"/>
      <c r="W499" s="1"/>
      <c r="X499" s="1"/>
    </row>
    <row r="500" spans="1:24">
      <c r="A500" s="1"/>
      <c r="B500" s="94"/>
      <c r="C500" s="1"/>
      <c r="D500" s="1"/>
      <c r="E500" s="1"/>
      <c r="F500" s="94"/>
      <c r="G500" s="94"/>
      <c r="H500" s="94"/>
      <c r="I500" s="94"/>
      <c r="J500" s="94"/>
      <c r="K500" s="94"/>
      <c r="L500" s="94"/>
      <c r="M500" s="26"/>
      <c r="N500" s="26"/>
      <c r="O500" s="1"/>
      <c r="P500" s="1"/>
      <c r="Q500" s="1"/>
      <c r="R500" s="1"/>
      <c r="S500" s="1"/>
      <c r="T500" s="1"/>
      <c r="U500" s="1"/>
      <c r="V500" s="16"/>
      <c r="W500" s="1"/>
      <c r="X500" s="1"/>
    </row>
    <row r="501" spans="1:24">
      <c r="A501" s="1"/>
      <c r="B501" s="94"/>
      <c r="C501" s="1"/>
      <c r="D501" s="1"/>
      <c r="E501" s="1"/>
      <c r="F501" s="94"/>
      <c r="G501" s="94"/>
      <c r="H501" s="94"/>
      <c r="I501" s="94"/>
      <c r="J501" s="94"/>
      <c r="K501" s="94"/>
      <c r="L501" s="94"/>
      <c r="M501" s="26"/>
      <c r="N501" s="26"/>
      <c r="O501" s="1"/>
      <c r="P501" s="1"/>
      <c r="Q501" s="1"/>
      <c r="R501" s="1"/>
      <c r="S501" s="1"/>
      <c r="T501" s="1"/>
      <c r="U501" s="1"/>
      <c r="V501" s="16"/>
      <c r="W501" s="1"/>
      <c r="X501" s="1"/>
    </row>
    <row r="502" spans="1:24">
      <c r="A502" s="1"/>
      <c r="B502" s="94"/>
      <c r="C502" s="1"/>
      <c r="D502" s="1"/>
      <c r="E502" s="1"/>
      <c r="F502" s="94"/>
      <c r="G502" s="94"/>
      <c r="H502" s="94"/>
      <c r="I502" s="94"/>
      <c r="J502" s="94"/>
      <c r="K502" s="94"/>
      <c r="L502" s="94"/>
      <c r="M502" s="26"/>
      <c r="N502" s="26"/>
      <c r="O502" s="1"/>
      <c r="P502" s="1"/>
      <c r="Q502" s="1"/>
      <c r="R502" s="1"/>
      <c r="S502" s="1"/>
      <c r="T502" s="1"/>
      <c r="U502" s="1"/>
      <c r="V502" s="16"/>
      <c r="W502" s="1"/>
      <c r="X502" s="1"/>
    </row>
    <row r="503" spans="1:24">
      <c r="A503" s="1"/>
      <c r="B503" s="94"/>
      <c r="C503" s="1"/>
      <c r="D503" s="1"/>
      <c r="E503" s="1"/>
      <c r="F503" s="94"/>
      <c r="G503" s="94"/>
      <c r="H503" s="94"/>
      <c r="I503" s="94"/>
      <c r="J503" s="94"/>
      <c r="K503" s="94"/>
      <c r="L503" s="94"/>
      <c r="M503" s="26"/>
      <c r="N503" s="26"/>
      <c r="O503" s="1"/>
      <c r="P503" s="1"/>
      <c r="Q503" s="1"/>
      <c r="R503" s="1"/>
      <c r="S503" s="1"/>
      <c r="T503" s="1"/>
      <c r="U503" s="1"/>
      <c r="V503" s="16"/>
      <c r="W503" s="1"/>
      <c r="X503" s="1"/>
    </row>
    <row r="504" spans="1:24">
      <c r="A504" s="1"/>
      <c r="B504" s="93"/>
      <c r="C504" s="1"/>
      <c r="D504" s="1"/>
      <c r="E504" s="1"/>
      <c r="F504" s="93"/>
      <c r="G504" s="93"/>
      <c r="H504" s="93"/>
      <c r="I504" s="93"/>
      <c r="J504" s="93"/>
      <c r="K504" s="93"/>
      <c r="L504" s="93"/>
      <c r="M504" s="26"/>
      <c r="N504" s="26"/>
      <c r="O504" s="1"/>
      <c r="P504" s="1"/>
      <c r="Q504" s="1"/>
      <c r="R504" s="1"/>
      <c r="S504" s="1"/>
      <c r="T504" s="1"/>
      <c r="U504" s="1"/>
      <c r="V504" s="16"/>
      <c r="W504" s="1"/>
      <c r="X504" s="1"/>
    </row>
    <row r="505" spans="1:24">
      <c r="A505" s="1"/>
      <c r="B505" s="94"/>
      <c r="C505" s="1"/>
      <c r="D505" s="1"/>
      <c r="E505" s="1"/>
      <c r="F505" s="94"/>
      <c r="G505" s="94"/>
      <c r="H505" s="94"/>
      <c r="I505" s="94"/>
      <c r="J505" s="94"/>
      <c r="K505" s="94"/>
      <c r="L505" s="94"/>
      <c r="M505" s="26"/>
      <c r="N505" s="26"/>
      <c r="O505" s="1"/>
      <c r="P505" s="1"/>
      <c r="Q505" s="1"/>
      <c r="R505" s="1"/>
      <c r="S505" s="1"/>
      <c r="T505" s="1"/>
      <c r="U505" s="1"/>
      <c r="V505" s="16"/>
      <c r="W505" s="1"/>
      <c r="X505" s="1"/>
    </row>
    <row r="506" spans="1:24">
      <c r="A506" s="1"/>
      <c r="B506" s="94"/>
      <c r="C506" s="1"/>
      <c r="D506" s="1"/>
      <c r="E506" s="1"/>
      <c r="F506" s="94"/>
      <c r="G506" s="94"/>
      <c r="H506" s="94"/>
      <c r="I506" s="94"/>
      <c r="J506" s="94"/>
      <c r="K506" s="94"/>
      <c r="L506" s="94"/>
      <c r="M506" s="26"/>
      <c r="N506" s="26"/>
      <c r="O506" s="1"/>
      <c r="P506" s="1"/>
      <c r="Q506" s="1"/>
      <c r="R506" s="1"/>
      <c r="S506" s="1"/>
      <c r="T506" s="1"/>
      <c r="U506" s="1"/>
      <c r="V506" s="16"/>
      <c r="W506" s="1"/>
      <c r="X506" s="1"/>
    </row>
    <row r="507" spans="1:24">
      <c r="A507" s="1"/>
      <c r="B507" s="94"/>
      <c r="C507" s="1"/>
      <c r="D507" s="1"/>
      <c r="E507" s="1"/>
      <c r="F507" s="94"/>
      <c r="G507" s="94"/>
      <c r="H507" s="94"/>
      <c r="I507" s="94"/>
      <c r="J507" s="94"/>
      <c r="K507" s="94"/>
      <c r="L507" s="94"/>
      <c r="M507" s="26"/>
      <c r="N507" s="26"/>
      <c r="O507" s="1"/>
      <c r="P507" s="1"/>
      <c r="Q507" s="1"/>
      <c r="R507" s="1"/>
      <c r="S507" s="1"/>
      <c r="T507" s="1"/>
      <c r="U507" s="1"/>
      <c r="V507" s="16"/>
      <c r="W507" s="1"/>
      <c r="X507" s="1"/>
    </row>
    <row r="508" spans="1:24">
      <c r="A508" s="1"/>
      <c r="B508" s="94"/>
      <c r="C508" s="1"/>
      <c r="D508" s="1"/>
      <c r="E508" s="1"/>
      <c r="F508" s="94"/>
      <c r="G508" s="94"/>
      <c r="H508" s="94"/>
      <c r="I508" s="94"/>
      <c r="J508" s="94"/>
      <c r="K508" s="94"/>
      <c r="L508" s="94"/>
      <c r="M508" s="26"/>
      <c r="N508" s="26"/>
      <c r="O508" s="1"/>
      <c r="P508" s="1"/>
      <c r="Q508" s="1"/>
      <c r="R508" s="1"/>
      <c r="S508" s="1"/>
      <c r="T508" s="1"/>
      <c r="U508" s="1"/>
      <c r="V508" s="16"/>
      <c r="W508" s="1"/>
      <c r="X508" s="1"/>
    </row>
    <row r="509" spans="1:24">
      <c r="A509" s="1"/>
      <c r="B509" s="93"/>
      <c r="C509" s="1"/>
      <c r="D509" s="1"/>
      <c r="E509" s="1"/>
      <c r="F509" s="93"/>
      <c r="G509" s="93"/>
      <c r="H509" s="93"/>
      <c r="I509" s="93"/>
      <c r="J509" s="93"/>
      <c r="K509" s="93"/>
      <c r="L509" s="93"/>
      <c r="M509" s="26"/>
      <c r="N509" s="26"/>
      <c r="O509" s="1"/>
      <c r="P509" s="1"/>
      <c r="Q509" s="1"/>
      <c r="R509" s="1"/>
      <c r="S509" s="1"/>
      <c r="T509" s="1"/>
      <c r="U509" s="1"/>
      <c r="V509" s="16"/>
      <c r="W509" s="1"/>
      <c r="X509" s="1"/>
    </row>
    <row r="510" spans="1:24">
      <c r="A510" s="1"/>
      <c r="B510" s="94"/>
      <c r="C510" s="1"/>
      <c r="D510" s="1"/>
      <c r="E510" s="1"/>
      <c r="F510" s="94"/>
      <c r="G510" s="94"/>
      <c r="H510" s="94"/>
      <c r="I510" s="94"/>
      <c r="J510" s="94"/>
      <c r="K510" s="94"/>
      <c r="L510" s="94"/>
      <c r="M510" s="26"/>
      <c r="N510" s="26"/>
      <c r="O510" s="1"/>
      <c r="P510" s="1"/>
      <c r="Q510" s="1"/>
      <c r="R510" s="1"/>
      <c r="S510" s="1"/>
      <c r="T510" s="1"/>
      <c r="U510" s="1"/>
      <c r="V510" s="16"/>
      <c r="W510" s="1"/>
      <c r="X510" s="1"/>
    </row>
    <row r="511" spans="1:24">
      <c r="A511" s="1"/>
      <c r="B511" s="94"/>
      <c r="C511" s="1"/>
      <c r="D511" s="1"/>
      <c r="E511" s="1"/>
      <c r="F511" s="94"/>
      <c r="G511" s="94"/>
      <c r="H511" s="94"/>
      <c r="I511" s="94"/>
      <c r="J511" s="94"/>
      <c r="K511" s="94"/>
      <c r="L511" s="94"/>
      <c r="M511" s="26"/>
      <c r="N511" s="26"/>
      <c r="O511" s="1"/>
      <c r="P511" s="1"/>
      <c r="Q511" s="1"/>
      <c r="R511" s="1"/>
      <c r="S511" s="1"/>
      <c r="T511" s="1"/>
      <c r="U511" s="1"/>
      <c r="V511" s="16"/>
      <c r="W511" s="1"/>
      <c r="X511" s="1"/>
    </row>
    <row r="512" spans="1:24">
      <c r="A512" s="1"/>
      <c r="B512" s="94"/>
      <c r="C512" s="1"/>
      <c r="D512" s="1"/>
      <c r="E512" s="1"/>
      <c r="F512" s="94"/>
      <c r="G512" s="94"/>
      <c r="H512" s="94"/>
      <c r="I512" s="94"/>
      <c r="J512" s="94"/>
      <c r="K512" s="94"/>
      <c r="L512" s="94"/>
      <c r="M512" s="26"/>
      <c r="N512" s="26"/>
      <c r="O512" s="1"/>
      <c r="P512" s="1"/>
      <c r="Q512" s="1"/>
      <c r="R512" s="1"/>
      <c r="S512" s="1"/>
      <c r="T512" s="1"/>
      <c r="U512" s="1"/>
      <c r="V512" s="16"/>
      <c r="W512" s="1"/>
      <c r="X512" s="1"/>
    </row>
    <row r="513" spans="1:24">
      <c r="A513" s="1"/>
      <c r="B513" s="94"/>
      <c r="C513" s="1"/>
      <c r="D513" s="1"/>
      <c r="E513" s="1"/>
      <c r="F513" s="94"/>
      <c r="G513" s="94"/>
      <c r="H513" s="94"/>
      <c r="I513" s="94"/>
      <c r="J513" s="94"/>
      <c r="K513" s="94"/>
      <c r="L513" s="94"/>
      <c r="M513" s="26"/>
      <c r="N513" s="26"/>
      <c r="O513" s="1"/>
      <c r="P513" s="1"/>
      <c r="Q513" s="1"/>
      <c r="R513" s="1"/>
      <c r="S513" s="1"/>
      <c r="T513" s="1"/>
      <c r="U513" s="1"/>
      <c r="V513" s="16"/>
      <c r="W513" s="1"/>
      <c r="X513" s="1"/>
    </row>
    <row r="514" spans="1:24">
      <c r="A514" s="1"/>
      <c r="B514" s="93"/>
      <c r="C514" s="1"/>
      <c r="D514" s="1"/>
      <c r="E514" s="1"/>
      <c r="F514" s="93"/>
      <c r="G514" s="93"/>
      <c r="H514" s="93"/>
      <c r="I514" s="93"/>
      <c r="J514" s="93"/>
      <c r="K514" s="93"/>
      <c r="L514" s="93"/>
      <c r="M514" s="26"/>
      <c r="N514" s="26"/>
      <c r="O514" s="1"/>
      <c r="P514" s="1"/>
      <c r="Q514" s="1"/>
      <c r="R514" s="1"/>
      <c r="S514" s="1"/>
      <c r="T514" s="1"/>
      <c r="U514" s="1"/>
      <c r="V514" s="16"/>
      <c r="W514" s="1"/>
      <c r="X514" s="1"/>
    </row>
    <row r="515" spans="1:24">
      <c r="A515" s="1"/>
      <c r="B515" s="94"/>
      <c r="C515" s="1"/>
      <c r="D515" s="1"/>
      <c r="E515" s="1"/>
      <c r="F515" s="94"/>
      <c r="G515" s="94"/>
      <c r="H515" s="94"/>
      <c r="I515" s="94"/>
      <c r="J515" s="94"/>
      <c r="K515" s="94"/>
      <c r="L515" s="94"/>
      <c r="M515" s="26"/>
      <c r="N515" s="26"/>
      <c r="O515" s="1"/>
      <c r="P515" s="1"/>
      <c r="Q515" s="1"/>
      <c r="R515" s="1"/>
      <c r="S515" s="1"/>
      <c r="T515" s="1"/>
      <c r="U515" s="1"/>
      <c r="V515" s="16"/>
      <c r="W515" s="1"/>
      <c r="X515" s="1"/>
    </row>
    <row r="516" spans="1:24">
      <c r="A516" s="1"/>
      <c r="B516" s="94"/>
      <c r="C516" s="1"/>
      <c r="D516" s="1"/>
      <c r="E516" s="1"/>
      <c r="F516" s="94"/>
      <c r="G516" s="94"/>
      <c r="H516" s="94"/>
      <c r="I516" s="94"/>
      <c r="J516" s="94"/>
      <c r="K516" s="94"/>
      <c r="L516" s="94"/>
      <c r="M516" s="26"/>
      <c r="N516" s="26"/>
      <c r="O516" s="1"/>
      <c r="P516" s="1"/>
      <c r="Q516" s="1"/>
      <c r="R516" s="1"/>
      <c r="S516" s="1"/>
      <c r="T516" s="1"/>
      <c r="U516" s="1"/>
      <c r="V516" s="16"/>
      <c r="W516" s="1"/>
      <c r="X516" s="1"/>
    </row>
    <row r="517" spans="1:24">
      <c r="A517" s="1"/>
      <c r="B517" s="94"/>
      <c r="C517" s="1"/>
      <c r="D517" s="1"/>
      <c r="E517" s="1"/>
      <c r="F517" s="94"/>
      <c r="G517" s="94"/>
      <c r="H517" s="94"/>
      <c r="I517" s="94"/>
      <c r="J517" s="94"/>
      <c r="K517" s="94"/>
      <c r="L517" s="94"/>
      <c r="M517" s="26"/>
      <c r="N517" s="26"/>
      <c r="O517" s="1"/>
      <c r="P517" s="1"/>
      <c r="Q517" s="1"/>
      <c r="R517" s="1"/>
      <c r="S517" s="1"/>
      <c r="T517" s="1"/>
      <c r="U517" s="1"/>
      <c r="V517" s="16"/>
      <c r="W517" s="1"/>
      <c r="X517" s="1"/>
    </row>
    <row r="518" spans="1:24">
      <c r="A518" s="1"/>
      <c r="B518" s="94"/>
      <c r="C518" s="1"/>
      <c r="D518" s="1"/>
      <c r="E518" s="1"/>
      <c r="F518" s="94"/>
      <c r="G518" s="94"/>
      <c r="H518" s="94"/>
      <c r="I518" s="94"/>
      <c r="J518" s="94"/>
      <c r="K518" s="94"/>
      <c r="L518" s="94"/>
      <c r="M518" s="26"/>
      <c r="N518" s="26"/>
      <c r="O518" s="1"/>
      <c r="P518" s="1"/>
      <c r="Q518" s="1"/>
      <c r="R518" s="1"/>
      <c r="S518" s="1"/>
      <c r="T518" s="1"/>
      <c r="U518" s="1"/>
      <c r="V518" s="16"/>
      <c r="W518" s="1"/>
      <c r="X518" s="1"/>
    </row>
    <row r="519" spans="1:24">
      <c r="A519" s="1"/>
      <c r="B519" s="93"/>
      <c r="C519" s="1"/>
      <c r="D519" s="1"/>
      <c r="E519" s="1"/>
      <c r="F519" s="93"/>
      <c r="G519" s="93"/>
      <c r="H519" s="93"/>
      <c r="I519" s="93"/>
      <c r="J519" s="93"/>
      <c r="K519" s="93"/>
      <c r="L519" s="93"/>
      <c r="M519" s="26"/>
      <c r="N519" s="26"/>
      <c r="O519" s="1"/>
      <c r="P519" s="1"/>
      <c r="Q519" s="1"/>
      <c r="R519" s="1"/>
      <c r="S519" s="1"/>
      <c r="T519" s="1"/>
      <c r="U519" s="1"/>
      <c r="V519" s="16"/>
      <c r="W519" s="1"/>
      <c r="X519" s="1"/>
    </row>
    <row r="520" spans="1:24">
      <c r="A520" s="1"/>
      <c r="B520" s="94"/>
      <c r="C520" s="1"/>
      <c r="D520" s="1"/>
      <c r="E520" s="1"/>
      <c r="F520" s="94"/>
      <c r="G520" s="94"/>
      <c r="H520" s="94"/>
      <c r="I520" s="94"/>
      <c r="J520" s="94"/>
      <c r="K520" s="94"/>
      <c r="L520" s="94"/>
      <c r="M520" s="26"/>
      <c r="N520" s="26"/>
      <c r="O520" s="1"/>
      <c r="P520" s="1"/>
      <c r="Q520" s="1"/>
      <c r="R520" s="1"/>
      <c r="S520" s="1"/>
      <c r="T520" s="1"/>
      <c r="U520" s="1"/>
      <c r="V520" s="16"/>
      <c r="W520" s="1"/>
      <c r="X520" s="1"/>
    </row>
    <row r="521" spans="1:24">
      <c r="A521" s="1"/>
      <c r="B521" s="94"/>
      <c r="C521" s="1"/>
      <c r="D521" s="1"/>
      <c r="E521" s="1"/>
      <c r="F521" s="94"/>
      <c r="G521" s="94"/>
      <c r="H521" s="94"/>
      <c r="I521" s="94"/>
      <c r="J521" s="94"/>
      <c r="K521" s="94"/>
      <c r="L521" s="94"/>
      <c r="M521" s="26"/>
      <c r="N521" s="26"/>
      <c r="O521" s="1"/>
      <c r="P521" s="1"/>
      <c r="Q521" s="1"/>
      <c r="R521" s="1"/>
      <c r="S521" s="1"/>
      <c r="T521" s="1"/>
      <c r="U521" s="1"/>
      <c r="V521" s="16"/>
      <c r="W521" s="1"/>
      <c r="X521" s="1"/>
    </row>
    <row r="522" spans="1:24">
      <c r="A522" s="1"/>
      <c r="B522" s="94"/>
      <c r="C522" s="1"/>
      <c r="D522" s="1"/>
      <c r="E522" s="1"/>
      <c r="F522" s="94"/>
      <c r="G522" s="94"/>
      <c r="H522" s="94"/>
      <c r="I522" s="94"/>
      <c r="J522" s="94"/>
      <c r="K522" s="94"/>
      <c r="L522" s="94"/>
      <c r="M522" s="26"/>
      <c r="N522" s="26"/>
      <c r="O522" s="1"/>
      <c r="P522" s="1"/>
      <c r="Q522" s="1"/>
      <c r="R522" s="1"/>
      <c r="S522" s="1"/>
      <c r="T522" s="1"/>
      <c r="U522" s="1"/>
      <c r="V522" s="16"/>
      <c r="W522" s="1"/>
      <c r="X522" s="1"/>
    </row>
    <row r="523" spans="1:24">
      <c r="A523" s="1"/>
      <c r="B523" s="94"/>
      <c r="C523" s="1"/>
      <c r="D523" s="1"/>
      <c r="E523" s="1"/>
      <c r="F523" s="94"/>
      <c r="G523" s="94"/>
      <c r="H523" s="94"/>
      <c r="I523" s="94"/>
      <c r="J523" s="94"/>
      <c r="K523" s="94"/>
      <c r="L523" s="94"/>
      <c r="M523" s="26"/>
      <c r="N523" s="26"/>
      <c r="O523" s="1"/>
      <c r="P523" s="1"/>
      <c r="Q523" s="1"/>
      <c r="R523" s="1"/>
      <c r="S523" s="1"/>
      <c r="T523" s="1"/>
      <c r="U523" s="1"/>
      <c r="V523" s="16"/>
      <c r="W523" s="1"/>
      <c r="X523" s="1"/>
    </row>
    <row r="524" spans="1:24">
      <c r="A524" s="1"/>
      <c r="B524" s="93"/>
      <c r="C524" s="1"/>
      <c r="D524" s="1"/>
      <c r="E524" s="1"/>
      <c r="F524" s="93"/>
      <c r="G524" s="93"/>
      <c r="H524" s="93"/>
      <c r="I524" s="93"/>
      <c r="J524" s="93"/>
      <c r="K524" s="93"/>
      <c r="L524" s="93"/>
      <c r="M524" s="26"/>
      <c r="N524" s="26"/>
      <c r="O524" s="1"/>
      <c r="P524" s="1"/>
      <c r="Q524" s="1"/>
      <c r="R524" s="1"/>
      <c r="S524" s="1"/>
      <c r="T524" s="1"/>
      <c r="U524" s="1"/>
      <c r="V524" s="16"/>
      <c r="W524" s="1"/>
      <c r="X524" s="1"/>
    </row>
    <row r="525" spans="1:24">
      <c r="A525" s="1"/>
      <c r="B525" s="94"/>
      <c r="C525" s="1"/>
      <c r="D525" s="1"/>
      <c r="E525" s="1"/>
      <c r="F525" s="94"/>
      <c r="G525" s="94"/>
      <c r="H525" s="94"/>
      <c r="I525" s="94"/>
      <c r="J525" s="94"/>
      <c r="K525" s="94"/>
      <c r="L525" s="94"/>
      <c r="M525" s="26"/>
      <c r="N525" s="26"/>
      <c r="O525" s="1"/>
      <c r="P525" s="1"/>
      <c r="Q525" s="1"/>
      <c r="R525" s="1"/>
      <c r="S525" s="1"/>
      <c r="T525" s="1"/>
      <c r="U525" s="1"/>
      <c r="V525" s="16"/>
      <c r="W525" s="1"/>
      <c r="X525" s="1"/>
    </row>
    <row r="526" spans="1:24">
      <c r="A526" s="1"/>
      <c r="B526" s="94"/>
      <c r="C526" s="1"/>
      <c r="D526" s="1"/>
      <c r="E526" s="1"/>
      <c r="F526" s="94"/>
      <c r="G526" s="94"/>
      <c r="H526" s="94"/>
      <c r="I526" s="94"/>
      <c r="J526" s="94"/>
      <c r="K526" s="94"/>
      <c r="L526" s="94"/>
      <c r="M526" s="26"/>
      <c r="N526" s="26"/>
      <c r="O526" s="1"/>
      <c r="P526" s="1"/>
      <c r="Q526" s="1"/>
      <c r="R526" s="1"/>
      <c r="S526" s="1"/>
      <c r="T526" s="1"/>
      <c r="U526" s="1"/>
      <c r="V526" s="16"/>
      <c r="W526" s="1"/>
      <c r="X526" s="1"/>
    </row>
    <row r="527" spans="1:24">
      <c r="A527" s="1"/>
      <c r="B527" s="94"/>
      <c r="C527" s="1"/>
      <c r="D527" s="1"/>
      <c r="E527" s="1"/>
      <c r="F527" s="94"/>
      <c r="G527" s="94"/>
      <c r="H527" s="94"/>
      <c r="I527" s="94"/>
      <c r="J527" s="94"/>
      <c r="K527" s="94"/>
      <c r="L527" s="94"/>
      <c r="M527" s="26"/>
      <c r="N527" s="26"/>
      <c r="O527" s="1"/>
      <c r="P527" s="1"/>
      <c r="Q527" s="1"/>
      <c r="R527" s="1"/>
      <c r="S527" s="1"/>
      <c r="T527" s="1"/>
      <c r="U527" s="1"/>
      <c r="V527" s="16"/>
      <c r="W527" s="1"/>
      <c r="X527" s="1"/>
    </row>
    <row r="528" spans="1:24">
      <c r="A528" s="1"/>
      <c r="B528" s="94"/>
      <c r="C528" s="1"/>
      <c r="D528" s="1"/>
      <c r="E528" s="1"/>
      <c r="F528" s="94"/>
      <c r="G528" s="94"/>
      <c r="H528" s="94"/>
      <c r="I528" s="94"/>
      <c r="J528" s="94"/>
      <c r="K528" s="94"/>
      <c r="L528" s="94"/>
      <c r="M528" s="26"/>
      <c r="N528" s="26"/>
      <c r="O528" s="1"/>
      <c r="P528" s="1"/>
      <c r="Q528" s="1"/>
      <c r="R528" s="1"/>
      <c r="S528" s="1"/>
      <c r="T528" s="1"/>
      <c r="U528" s="1"/>
      <c r="V528" s="16"/>
      <c r="W528" s="1"/>
      <c r="X528" s="1"/>
    </row>
    <row r="529" spans="1:24">
      <c r="A529" s="1"/>
      <c r="B529" s="93"/>
      <c r="C529" s="1"/>
      <c r="D529" s="1"/>
      <c r="E529" s="1"/>
      <c r="F529" s="93"/>
      <c r="G529" s="93"/>
      <c r="H529" s="93"/>
      <c r="I529" s="93"/>
      <c r="J529" s="93"/>
      <c r="K529" s="93"/>
      <c r="L529" s="93"/>
      <c r="M529" s="26"/>
      <c r="N529" s="26"/>
      <c r="O529" s="1"/>
      <c r="P529" s="1"/>
      <c r="Q529" s="1"/>
      <c r="R529" s="1"/>
      <c r="S529" s="1"/>
      <c r="T529" s="1"/>
      <c r="U529" s="1"/>
      <c r="V529" s="16"/>
      <c r="W529" s="1"/>
      <c r="X529" s="1"/>
    </row>
    <row r="530" spans="1:24">
      <c r="A530" s="1"/>
      <c r="B530" s="94"/>
      <c r="C530" s="1"/>
      <c r="D530" s="1"/>
      <c r="E530" s="1"/>
      <c r="F530" s="94"/>
      <c r="G530" s="94"/>
      <c r="H530" s="94"/>
      <c r="I530" s="94"/>
      <c r="J530" s="94"/>
      <c r="K530" s="94"/>
      <c r="L530" s="94"/>
      <c r="M530" s="26"/>
      <c r="N530" s="26"/>
      <c r="O530" s="1"/>
      <c r="P530" s="1"/>
      <c r="Q530" s="1"/>
      <c r="R530" s="1"/>
      <c r="S530" s="1"/>
      <c r="T530" s="1"/>
      <c r="U530" s="1"/>
      <c r="V530" s="16"/>
      <c r="W530" s="1"/>
      <c r="X530" s="1"/>
    </row>
    <row r="531" spans="1:24">
      <c r="A531" s="1"/>
      <c r="B531" s="94"/>
      <c r="C531" s="1"/>
      <c r="D531" s="1"/>
      <c r="E531" s="1"/>
      <c r="F531" s="94"/>
      <c r="G531" s="94"/>
      <c r="H531" s="94"/>
      <c r="I531" s="94"/>
      <c r="J531" s="94"/>
      <c r="K531" s="94"/>
      <c r="L531" s="94"/>
      <c r="M531" s="26"/>
      <c r="N531" s="26"/>
      <c r="O531" s="1"/>
      <c r="P531" s="1"/>
      <c r="Q531" s="1"/>
      <c r="R531" s="1"/>
      <c r="S531" s="1"/>
      <c r="T531" s="1"/>
      <c r="U531" s="1"/>
      <c r="V531" s="16"/>
      <c r="W531" s="1"/>
      <c r="X531" s="1"/>
    </row>
    <row r="532" spans="1:24">
      <c r="A532" s="1"/>
      <c r="B532" s="94"/>
      <c r="C532" s="1"/>
      <c r="D532" s="1"/>
      <c r="E532" s="1"/>
      <c r="F532" s="94"/>
      <c r="G532" s="94"/>
      <c r="H532" s="94"/>
      <c r="I532" s="94"/>
      <c r="J532" s="94"/>
      <c r="K532" s="94"/>
      <c r="L532" s="94"/>
      <c r="M532" s="26"/>
      <c r="N532" s="26"/>
      <c r="O532" s="1"/>
      <c r="P532" s="1"/>
      <c r="Q532" s="1"/>
      <c r="R532" s="1"/>
      <c r="S532" s="1"/>
      <c r="T532" s="1"/>
      <c r="U532" s="1"/>
      <c r="V532" s="16"/>
      <c r="W532" s="1"/>
      <c r="X532" s="1"/>
    </row>
    <row r="533" spans="1:24">
      <c r="A533" s="1"/>
      <c r="B533" s="94"/>
      <c r="C533" s="1"/>
      <c r="D533" s="1"/>
      <c r="E533" s="1"/>
      <c r="F533" s="94"/>
      <c r="G533" s="94"/>
      <c r="H533" s="94"/>
      <c r="I533" s="94"/>
      <c r="J533" s="94"/>
      <c r="K533" s="94"/>
      <c r="L533" s="94"/>
      <c r="M533" s="26"/>
      <c r="N533" s="26"/>
      <c r="O533" s="1"/>
      <c r="P533" s="1"/>
      <c r="Q533" s="1"/>
      <c r="R533" s="1"/>
      <c r="S533" s="1"/>
      <c r="T533" s="1"/>
      <c r="U533" s="1"/>
      <c r="V533" s="16"/>
      <c r="W533" s="1"/>
      <c r="X533" s="1"/>
    </row>
    <row r="534" spans="1:24">
      <c r="A534" s="1"/>
      <c r="B534" s="93"/>
      <c r="C534" s="1"/>
      <c r="D534" s="1"/>
      <c r="E534" s="1"/>
      <c r="F534" s="93"/>
      <c r="G534" s="93"/>
      <c r="H534" s="93"/>
      <c r="I534" s="93"/>
      <c r="J534" s="93"/>
      <c r="K534" s="93"/>
      <c r="L534" s="93"/>
      <c r="M534" s="26"/>
      <c r="N534" s="26"/>
      <c r="O534" s="1"/>
      <c r="P534" s="1"/>
      <c r="Q534" s="1"/>
      <c r="R534" s="1"/>
      <c r="S534" s="1"/>
      <c r="T534" s="1"/>
      <c r="U534" s="1"/>
      <c r="V534" s="16"/>
      <c r="W534" s="1"/>
      <c r="X534" s="1"/>
    </row>
    <row r="535" spans="1:24">
      <c r="A535" s="1"/>
      <c r="B535" s="94"/>
      <c r="C535" s="1"/>
      <c r="D535" s="1"/>
      <c r="E535" s="1"/>
      <c r="F535" s="94"/>
      <c r="G535" s="94"/>
      <c r="H535" s="94"/>
      <c r="I535" s="94"/>
      <c r="J535" s="94"/>
      <c r="K535" s="94"/>
      <c r="L535" s="94"/>
      <c r="M535" s="26"/>
      <c r="N535" s="26"/>
      <c r="O535" s="1"/>
      <c r="P535" s="1"/>
      <c r="Q535" s="1"/>
      <c r="R535" s="1"/>
      <c r="S535" s="1"/>
      <c r="T535" s="1"/>
      <c r="U535" s="1"/>
      <c r="V535" s="16"/>
      <c r="W535" s="1"/>
      <c r="X535" s="1"/>
    </row>
    <row r="536" spans="1:24">
      <c r="A536" s="1"/>
      <c r="B536" s="94"/>
      <c r="C536" s="1"/>
      <c r="D536" s="1"/>
      <c r="E536" s="1"/>
      <c r="F536" s="94"/>
      <c r="G536" s="94"/>
      <c r="H536" s="94"/>
      <c r="I536" s="94"/>
      <c r="J536" s="94"/>
      <c r="K536" s="94"/>
      <c r="L536" s="94"/>
      <c r="M536" s="26"/>
      <c r="N536" s="26"/>
      <c r="O536" s="1"/>
      <c r="P536" s="1"/>
      <c r="Q536" s="1"/>
      <c r="R536" s="1"/>
      <c r="S536" s="1"/>
      <c r="T536" s="1"/>
      <c r="U536" s="1"/>
      <c r="V536" s="16"/>
      <c r="W536" s="1"/>
      <c r="X536" s="1"/>
    </row>
    <row r="537" spans="1:24">
      <c r="A537" s="1"/>
      <c r="B537" s="94"/>
      <c r="C537" s="1"/>
      <c r="D537" s="1"/>
      <c r="E537" s="1"/>
      <c r="F537" s="94"/>
      <c r="G537" s="94"/>
      <c r="H537" s="94"/>
      <c r="I537" s="94"/>
      <c r="J537" s="94"/>
      <c r="K537" s="94"/>
      <c r="L537" s="94"/>
      <c r="M537" s="26"/>
      <c r="N537" s="26"/>
      <c r="O537" s="1"/>
      <c r="P537" s="1"/>
      <c r="Q537" s="1"/>
      <c r="R537" s="1"/>
      <c r="S537" s="1"/>
      <c r="T537" s="1"/>
      <c r="U537" s="1"/>
      <c r="V537" s="16"/>
      <c r="W537" s="1"/>
      <c r="X537" s="1"/>
    </row>
    <row r="538" spans="1:24">
      <c r="A538" s="1"/>
      <c r="B538" s="94"/>
      <c r="C538" s="1"/>
      <c r="D538" s="1"/>
      <c r="E538" s="1"/>
      <c r="F538" s="94"/>
      <c r="G538" s="94"/>
      <c r="H538" s="94"/>
      <c r="I538" s="94"/>
      <c r="J538" s="94"/>
      <c r="K538" s="94"/>
      <c r="L538" s="94"/>
      <c r="M538" s="26"/>
      <c r="N538" s="26"/>
      <c r="O538" s="1"/>
      <c r="P538" s="1"/>
      <c r="Q538" s="1"/>
      <c r="R538" s="1"/>
      <c r="S538" s="1"/>
      <c r="T538" s="1"/>
      <c r="U538" s="1"/>
      <c r="V538" s="16"/>
      <c r="W538" s="1"/>
      <c r="X538" s="1"/>
    </row>
    <row r="539" spans="1:24">
      <c r="A539" s="1"/>
      <c r="B539" s="93"/>
      <c r="C539" s="1"/>
      <c r="D539" s="1"/>
      <c r="E539" s="1"/>
      <c r="F539" s="93"/>
      <c r="G539" s="93"/>
      <c r="H539" s="93"/>
      <c r="I539" s="93"/>
      <c r="J539" s="93"/>
      <c r="K539" s="93"/>
      <c r="L539" s="93"/>
      <c r="M539" s="26"/>
      <c r="N539" s="26"/>
      <c r="O539" s="1"/>
      <c r="P539" s="1"/>
      <c r="Q539" s="1"/>
      <c r="R539" s="1"/>
      <c r="S539" s="1"/>
      <c r="T539" s="1"/>
      <c r="U539" s="1"/>
      <c r="V539" s="16"/>
      <c r="W539" s="1"/>
      <c r="X539" s="1"/>
    </row>
    <row r="540" spans="1:24">
      <c r="A540" s="1"/>
      <c r="B540" s="94"/>
      <c r="C540" s="1"/>
      <c r="D540" s="1"/>
      <c r="E540" s="1"/>
      <c r="F540" s="94"/>
      <c r="G540" s="94"/>
      <c r="H540" s="94"/>
      <c r="I540" s="94"/>
      <c r="J540" s="94"/>
      <c r="K540" s="94"/>
      <c r="L540" s="94"/>
      <c r="M540" s="26"/>
      <c r="N540" s="26"/>
      <c r="O540" s="1"/>
      <c r="P540" s="1"/>
      <c r="Q540" s="1"/>
      <c r="R540" s="1"/>
      <c r="S540" s="1"/>
      <c r="T540" s="1"/>
      <c r="U540" s="1"/>
      <c r="V540" s="16"/>
      <c r="W540" s="1"/>
      <c r="X540" s="1"/>
    </row>
    <row r="541" spans="1:24">
      <c r="A541" s="1"/>
      <c r="B541" s="94"/>
      <c r="C541" s="1"/>
      <c r="D541" s="1"/>
      <c r="E541" s="1"/>
      <c r="F541" s="94"/>
      <c r="G541" s="94"/>
      <c r="H541" s="94"/>
      <c r="I541" s="94"/>
      <c r="J541" s="94"/>
      <c r="K541" s="94"/>
      <c r="L541" s="94"/>
      <c r="M541" s="26"/>
      <c r="N541" s="26"/>
      <c r="O541" s="1"/>
      <c r="P541" s="1"/>
      <c r="Q541" s="1"/>
      <c r="R541" s="1"/>
      <c r="S541" s="1"/>
      <c r="T541" s="1"/>
      <c r="U541" s="1"/>
      <c r="V541" s="16"/>
      <c r="W541" s="1"/>
      <c r="X541" s="1"/>
    </row>
    <row r="542" spans="1:24">
      <c r="A542" s="1"/>
      <c r="B542" s="94"/>
      <c r="C542" s="1"/>
      <c r="D542" s="1"/>
      <c r="E542" s="1"/>
      <c r="F542" s="94"/>
      <c r="G542" s="94"/>
      <c r="H542" s="94"/>
      <c r="I542" s="94"/>
      <c r="J542" s="94"/>
      <c r="K542" s="94"/>
      <c r="L542" s="94"/>
      <c r="M542" s="26"/>
      <c r="N542" s="26"/>
      <c r="O542" s="1"/>
      <c r="P542" s="1"/>
      <c r="Q542" s="1"/>
      <c r="R542" s="1"/>
      <c r="S542" s="1"/>
      <c r="T542" s="1"/>
      <c r="U542" s="1"/>
      <c r="V542" s="16"/>
      <c r="W542" s="1"/>
      <c r="X542" s="1"/>
    </row>
    <row r="543" spans="1:24">
      <c r="A543" s="1"/>
      <c r="B543" s="94"/>
      <c r="C543" s="1"/>
      <c r="D543" s="1"/>
      <c r="E543" s="1"/>
      <c r="F543" s="94"/>
      <c r="G543" s="94"/>
      <c r="H543" s="94"/>
      <c r="I543" s="94"/>
      <c r="J543" s="94"/>
      <c r="K543" s="94"/>
      <c r="L543" s="94"/>
      <c r="M543" s="26"/>
      <c r="N543" s="26"/>
      <c r="O543" s="1"/>
      <c r="P543" s="1"/>
      <c r="Q543" s="1"/>
      <c r="R543" s="1"/>
      <c r="S543" s="1"/>
      <c r="T543" s="1"/>
      <c r="U543" s="1"/>
      <c r="V543" s="16"/>
      <c r="W543" s="1"/>
      <c r="X543" s="1"/>
    </row>
    <row r="544" spans="1:24">
      <c r="A544" s="1"/>
      <c r="M544" s="26"/>
      <c r="N544" s="26"/>
      <c r="P544" s="1"/>
      <c r="Q544" s="1"/>
      <c r="R544" s="1"/>
      <c r="S544" s="1"/>
      <c r="T544" s="1"/>
      <c r="U544" s="1"/>
      <c r="V544" s="16"/>
      <c r="W544" s="1"/>
      <c r="X544" s="1"/>
    </row>
    <row r="545" spans="1:24">
      <c r="A545" s="1"/>
      <c r="M545" s="26"/>
      <c r="N545" s="26"/>
      <c r="P545" s="1"/>
      <c r="Q545" s="1"/>
      <c r="R545" s="1"/>
      <c r="S545" s="1"/>
      <c r="T545" s="1"/>
      <c r="U545" s="1"/>
      <c r="V545" s="16"/>
      <c r="W545" s="1"/>
      <c r="X545" s="1"/>
    </row>
    <row r="546" spans="1:24">
      <c r="A546" s="1"/>
      <c r="M546" s="26"/>
      <c r="N546" s="26"/>
      <c r="P546" s="1"/>
      <c r="Q546" s="1"/>
      <c r="R546" s="1"/>
      <c r="S546" s="1"/>
      <c r="T546" s="1"/>
      <c r="U546" s="1"/>
      <c r="V546" s="16"/>
      <c r="W546" s="1"/>
      <c r="X546" s="1"/>
    </row>
    <row r="547" spans="1:24">
      <c r="A547" s="1"/>
      <c r="M547" s="26"/>
      <c r="N547" s="26"/>
      <c r="P547" s="1"/>
      <c r="Q547" s="1"/>
      <c r="R547" s="1"/>
      <c r="S547" s="1"/>
      <c r="T547" s="1"/>
      <c r="U547" s="1"/>
      <c r="V547" s="16"/>
      <c r="W547" s="1"/>
      <c r="X547" s="1"/>
    </row>
    <row r="548" spans="1:24">
      <c r="A548" s="1"/>
      <c r="M548" s="26"/>
      <c r="N548" s="26"/>
      <c r="P548" s="1"/>
      <c r="Q548" s="1"/>
      <c r="R548" s="1"/>
      <c r="S548" s="1"/>
      <c r="T548" s="1"/>
      <c r="U548" s="1"/>
      <c r="V548" s="16"/>
      <c r="W548" s="1"/>
      <c r="X548" s="1"/>
    </row>
    <row r="549" spans="1:24">
      <c r="A549" s="1"/>
      <c r="M549" s="26"/>
      <c r="N549" s="26"/>
      <c r="P549" s="1"/>
      <c r="Q549" s="1"/>
      <c r="R549" s="1"/>
      <c r="S549" s="1"/>
      <c r="T549" s="1"/>
      <c r="U549" s="1"/>
      <c r="V549" s="16"/>
      <c r="W549" s="1"/>
      <c r="X549" s="1"/>
    </row>
    <row r="550" spans="1:24">
      <c r="A550" s="1"/>
      <c r="M550" s="26"/>
      <c r="N550" s="26"/>
      <c r="P550" s="1"/>
      <c r="Q550" s="1"/>
      <c r="R550" s="1"/>
      <c r="S550" s="1"/>
      <c r="T550" s="1"/>
      <c r="U550" s="1"/>
      <c r="V550" s="16"/>
      <c r="W550" s="1"/>
      <c r="X550" s="1"/>
    </row>
    <row r="551" spans="1:24">
      <c r="A551" s="1"/>
      <c r="M551" s="26"/>
      <c r="N551" s="26"/>
      <c r="P551" s="1"/>
      <c r="Q551" s="1"/>
      <c r="R551" s="1"/>
      <c r="S551" s="1"/>
      <c r="T551" s="1"/>
      <c r="U551" s="1"/>
      <c r="V551" s="16"/>
      <c r="W551" s="1"/>
      <c r="X551" s="1"/>
    </row>
    <row r="552" spans="1:24">
      <c r="A552" s="1"/>
      <c r="M552" s="26"/>
      <c r="N552" s="26"/>
      <c r="P552" s="1"/>
      <c r="Q552" s="1"/>
      <c r="R552" s="1"/>
      <c r="S552" s="1"/>
      <c r="T552" s="1"/>
      <c r="U552" s="1"/>
      <c r="V552" s="16"/>
      <c r="W552" s="1"/>
      <c r="X552" s="1"/>
    </row>
    <row r="553" spans="1:24">
      <c r="A553" s="1"/>
      <c r="M553" s="26"/>
      <c r="N553" s="26"/>
      <c r="P553" s="1"/>
      <c r="Q553" s="1"/>
      <c r="R553" s="1"/>
      <c r="S553" s="1"/>
      <c r="T553" s="1"/>
      <c r="U553" s="1"/>
      <c r="V553" s="16"/>
      <c r="W553" s="1"/>
      <c r="X553" s="1"/>
    </row>
    <row r="554" spans="1:24">
      <c r="A554" s="1"/>
      <c r="M554" s="26"/>
      <c r="N554" s="26"/>
      <c r="P554" s="1"/>
      <c r="Q554" s="1"/>
      <c r="R554" s="1"/>
      <c r="S554" s="1"/>
      <c r="T554" s="1"/>
      <c r="U554" s="1"/>
      <c r="V554" s="16"/>
      <c r="W554" s="1"/>
      <c r="X554" s="1"/>
    </row>
    <row r="555" spans="1:24">
      <c r="A555" s="1"/>
      <c r="M555" s="26"/>
      <c r="N555" s="26"/>
      <c r="P555" s="1"/>
      <c r="Q555" s="1"/>
      <c r="R555" s="1"/>
      <c r="S555" s="1"/>
      <c r="T555" s="1"/>
      <c r="U555" s="1"/>
      <c r="V555" s="16"/>
      <c r="W555" s="1"/>
      <c r="X555" s="1"/>
    </row>
    <row r="556" spans="1:24">
      <c r="A556" s="1"/>
      <c r="M556" s="26"/>
      <c r="N556" s="26"/>
      <c r="P556" s="1"/>
      <c r="Q556" s="1"/>
      <c r="R556" s="1"/>
      <c r="S556" s="1"/>
      <c r="T556" s="1"/>
      <c r="U556" s="1"/>
      <c r="V556" s="16"/>
      <c r="W556" s="1"/>
      <c r="X556" s="1"/>
    </row>
    <row r="557" spans="1:24">
      <c r="A557" s="1"/>
      <c r="M557" s="26"/>
      <c r="N557" s="26"/>
      <c r="P557" s="1"/>
      <c r="Q557" s="1"/>
      <c r="R557" s="1"/>
      <c r="S557" s="1"/>
      <c r="T557" s="1"/>
      <c r="U557" s="1"/>
      <c r="V557" s="16"/>
      <c r="W557" s="1"/>
      <c r="X557" s="1"/>
    </row>
    <row r="558" spans="1:24">
      <c r="A558" s="1"/>
      <c r="M558" s="26"/>
      <c r="N558" s="26"/>
      <c r="P558" s="1"/>
      <c r="Q558" s="1"/>
      <c r="R558" s="1"/>
      <c r="S558" s="1"/>
      <c r="T558" s="1"/>
      <c r="U558" s="1"/>
      <c r="V558" s="16"/>
      <c r="W558" s="1"/>
      <c r="X558" s="1"/>
    </row>
    <row r="559" spans="1:24">
      <c r="A559" s="1"/>
      <c r="M559" s="26"/>
      <c r="N559" s="26"/>
      <c r="P559" s="1"/>
      <c r="Q559" s="1"/>
      <c r="R559" s="1"/>
      <c r="S559" s="1"/>
      <c r="T559" s="1"/>
      <c r="U559" s="1"/>
      <c r="V559" s="16"/>
      <c r="W559" s="1"/>
      <c r="X559" s="1"/>
    </row>
    <row r="560" spans="1:24">
      <c r="A560" s="1"/>
      <c r="M560" s="26"/>
      <c r="N560" s="26"/>
      <c r="P560" s="1"/>
      <c r="Q560" s="1"/>
      <c r="R560" s="1"/>
      <c r="S560" s="1"/>
      <c r="T560" s="1"/>
      <c r="U560" s="1"/>
      <c r="V560" s="16"/>
      <c r="W560" s="1"/>
      <c r="X560" s="1"/>
    </row>
    <row r="561" spans="1:24">
      <c r="A561" s="1"/>
      <c r="M561" s="26"/>
      <c r="N561" s="26"/>
      <c r="P561" s="1"/>
      <c r="Q561" s="1"/>
      <c r="R561" s="1"/>
      <c r="S561" s="1"/>
      <c r="T561" s="1"/>
      <c r="U561" s="1"/>
      <c r="V561" s="16"/>
      <c r="W561" s="1"/>
      <c r="X561" s="1"/>
    </row>
    <row r="562" spans="1:24">
      <c r="A562" s="1"/>
      <c r="M562" s="26"/>
      <c r="N562" s="26"/>
      <c r="P562" s="1"/>
      <c r="Q562" s="1"/>
      <c r="R562" s="1"/>
      <c r="S562" s="1"/>
      <c r="T562" s="1"/>
      <c r="U562" s="1"/>
      <c r="V562" s="16"/>
      <c r="W562" s="1"/>
      <c r="X562" s="1"/>
    </row>
    <row r="563" spans="1:24">
      <c r="A563" s="1"/>
      <c r="M563" s="26"/>
      <c r="N563" s="26"/>
      <c r="P563" s="1"/>
      <c r="Q563" s="1"/>
      <c r="R563" s="1"/>
      <c r="S563" s="1"/>
      <c r="T563" s="1"/>
      <c r="U563" s="1"/>
      <c r="V563" s="16"/>
      <c r="W563" s="1"/>
      <c r="X563" s="1"/>
    </row>
    <row r="564" spans="1:24">
      <c r="A564" s="1"/>
      <c r="M564" s="26"/>
      <c r="N564" s="26"/>
      <c r="P564" s="1"/>
      <c r="Q564" s="1"/>
      <c r="R564" s="1"/>
      <c r="S564" s="1"/>
      <c r="T564" s="1"/>
      <c r="U564" s="1"/>
      <c r="V564" s="16"/>
      <c r="W564" s="1"/>
      <c r="X564" s="1"/>
    </row>
    <row r="565" spans="1:24">
      <c r="A565" s="1"/>
      <c r="M565" s="26"/>
      <c r="N565" s="26"/>
      <c r="P565" s="1"/>
      <c r="Q565" s="1"/>
      <c r="R565" s="1"/>
      <c r="S565" s="1"/>
      <c r="T565" s="1"/>
      <c r="U565" s="1"/>
      <c r="V565" s="16"/>
      <c r="W565" s="1"/>
      <c r="X565" s="1"/>
    </row>
    <row r="566" spans="1:24">
      <c r="A566" s="1"/>
      <c r="M566" s="26"/>
      <c r="N566" s="26"/>
      <c r="P566" s="1"/>
      <c r="Q566" s="1"/>
      <c r="R566" s="1"/>
      <c r="S566" s="1"/>
      <c r="T566" s="1"/>
      <c r="U566" s="1"/>
      <c r="V566" s="16"/>
      <c r="W566" s="1"/>
      <c r="X566" s="1"/>
    </row>
    <row r="567" spans="1:24">
      <c r="A567" s="1"/>
      <c r="M567" s="26"/>
      <c r="N567" s="26"/>
      <c r="P567" s="1"/>
      <c r="Q567" s="1"/>
      <c r="R567" s="1"/>
      <c r="S567" s="1"/>
      <c r="T567" s="1"/>
      <c r="U567" s="1"/>
      <c r="V567" s="16"/>
      <c r="W567" s="1"/>
      <c r="X567" s="1"/>
    </row>
    <row r="568" spans="1:24">
      <c r="A568" s="1"/>
      <c r="M568" s="26"/>
      <c r="N568" s="26"/>
      <c r="P568" s="1"/>
      <c r="Q568" s="1"/>
      <c r="R568" s="1"/>
      <c r="S568" s="1"/>
      <c r="T568" s="1"/>
      <c r="U568" s="1"/>
      <c r="V568" s="16"/>
      <c r="W568" s="1"/>
      <c r="X568" s="1"/>
    </row>
    <row r="569" spans="1:24">
      <c r="A569" s="1"/>
      <c r="M569" s="26"/>
      <c r="N569" s="26"/>
      <c r="P569" s="1"/>
      <c r="Q569" s="1"/>
      <c r="R569" s="1"/>
      <c r="S569" s="1"/>
      <c r="T569" s="1"/>
      <c r="U569" s="1"/>
      <c r="V569" s="16"/>
      <c r="W569" s="1"/>
      <c r="X569" s="1"/>
    </row>
    <row r="570" spans="1:24">
      <c r="A570" s="1"/>
      <c r="M570" s="26"/>
      <c r="N570" s="26"/>
      <c r="P570" s="1"/>
      <c r="Q570" s="1"/>
      <c r="R570" s="1"/>
      <c r="S570" s="1"/>
      <c r="T570" s="1"/>
      <c r="U570" s="1"/>
      <c r="V570" s="16"/>
      <c r="W570" s="1"/>
      <c r="X570" s="1"/>
    </row>
    <row r="571" spans="1:24">
      <c r="A571" s="1"/>
      <c r="M571" s="26"/>
      <c r="N571" s="26"/>
      <c r="P571" s="1"/>
      <c r="Q571" s="1"/>
      <c r="R571" s="1"/>
      <c r="S571" s="1"/>
      <c r="T571" s="1"/>
      <c r="U571" s="1"/>
      <c r="V571" s="16"/>
      <c r="W571" s="1"/>
      <c r="X571" s="1"/>
    </row>
    <row r="572" spans="1:24">
      <c r="A572" s="1"/>
      <c r="M572" s="26"/>
      <c r="N572" s="26"/>
      <c r="P572" s="1"/>
      <c r="Q572" s="1"/>
      <c r="R572" s="1"/>
      <c r="S572" s="1"/>
      <c r="T572" s="1"/>
      <c r="U572" s="1"/>
      <c r="V572" s="16"/>
      <c r="W572" s="1"/>
      <c r="X572" s="1"/>
    </row>
    <row r="573" spans="1:24">
      <c r="A573" s="1"/>
      <c r="M573" s="26"/>
      <c r="N573" s="26"/>
      <c r="P573" s="1"/>
      <c r="Q573" s="1"/>
      <c r="R573" s="1"/>
      <c r="S573" s="1"/>
      <c r="T573" s="1"/>
      <c r="U573" s="1"/>
      <c r="V573" s="16"/>
      <c r="W573" s="1"/>
      <c r="X573" s="1"/>
    </row>
    <row r="574" spans="1:24">
      <c r="A574" s="1"/>
      <c r="M574" s="26"/>
      <c r="N574" s="26"/>
      <c r="P574" s="1"/>
      <c r="Q574" s="1"/>
      <c r="R574" s="1"/>
      <c r="S574" s="1"/>
      <c r="T574" s="1"/>
      <c r="U574" s="1"/>
      <c r="V574" s="16"/>
      <c r="W574" s="1"/>
      <c r="X574" s="1"/>
    </row>
    <row r="575" spans="1:24">
      <c r="A575" s="1"/>
      <c r="M575" s="26"/>
      <c r="N575" s="26"/>
      <c r="P575" s="1"/>
      <c r="Q575" s="1"/>
      <c r="R575" s="1"/>
      <c r="S575" s="1"/>
      <c r="T575" s="1"/>
      <c r="U575" s="1"/>
      <c r="V575" s="16"/>
      <c r="W575" s="1"/>
      <c r="X575" s="1"/>
    </row>
    <row r="576" spans="1:24">
      <c r="A576" s="1"/>
      <c r="M576" s="26"/>
      <c r="N576" s="26"/>
      <c r="P576" s="1"/>
      <c r="Q576" s="1"/>
      <c r="R576" s="1"/>
      <c r="S576" s="1"/>
      <c r="T576" s="1"/>
      <c r="U576" s="1"/>
      <c r="V576" s="16"/>
      <c r="W576" s="1"/>
      <c r="X576" s="1"/>
    </row>
    <row r="577" spans="1:24">
      <c r="A577" s="1"/>
      <c r="M577" s="26"/>
      <c r="N577" s="26"/>
      <c r="P577" s="1"/>
      <c r="Q577" s="1"/>
      <c r="R577" s="1"/>
      <c r="S577" s="1"/>
      <c r="T577" s="1"/>
      <c r="U577" s="1"/>
      <c r="V577" s="16"/>
      <c r="W577" s="1"/>
      <c r="X577" s="1"/>
    </row>
    <row r="578" spans="1:24">
      <c r="A578" s="1"/>
      <c r="M578" s="26"/>
      <c r="N578" s="26"/>
      <c r="P578" s="1"/>
      <c r="Q578" s="1"/>
      <c r="R578" s="1"/>
      <c r="S578" s="1"/>
      <c r="T578" s="1"/>
      <c r="U578" s="1"/>
      <c r="V578" s="16"/>
      <c r="W578" s="1"/>
      <c r="X578" s="1"/>
    </row>
    <row r="579" spans="1:24">
      <c r="A579" s="1"/>
      <c r="M579" s="26"/>
      <c r="N579" s="26"/>
      <c r="P579" s="1"/>
      <c r="Q579" s="1"/>
      <c r="R579" s="1"/>
      <c r="S579" s="1"/>
      <c r="T579" s="1"/>
      <c r="U579" s="1"/>
      <c r="V579" s="16"/>
      <c r="W579" s="1"/>
      <c r="X579" s="1"/>
    </row>
    <row r="580" spans="1:24">
      <c r="A580" s="1"/>
      <c r="M580" s="26"/>
      <c r="N580" s="26"/>
      <c r="P580" s="1"/>
      <c r="Q580" s="1"/>
      <c r="R580" s="1"/>
      <c r="S580" s="1"/>
      <c r="T580" s="1"/>
      <c r="U580" s="1"/>
      <c r="V580" s="16"/>
      <c r="W580" s="1"/>
      <c r="X580" s="1"/>
    </row>
    <row r="581" spans="1:24">
      <c r="A581" s="1"/>
      <c r="M581" s="26"/>
      <c r="N581" s="26"/>
      <c r="P581" s="1"/>
      <c r="Q581" s="1"/>
      <c r="R581" s="1"/>
      <c r="S581" s="1"/>
      <c r="T581" s="1"/>
      <c r="U581" s="1"/>
      <c r="V581" s="16"/>
      <c r="W581" s="1"/>
      <c r="X581" s="1"/>
    </row>
    <row r="582" spans="1:24">
      <c r="A582" s="1"/>
      <c r="M582" s="26"/>
      <c r="N582" s="26"/>
      <c r="P582" s="1"/>
      <c r="Q582" s="1"/>
      <c r="R582" s="1"/>
      <c r="S582" s="1"/>
      <c r="T582" s="1"/>
      <c r="U582" s="1"/>
      <c r="V582" s="16"/>
      <c r="W582" s="1"/>
      <c r="X582" s="1"/>
    </row>
    <row r="583" spans="1:24">
      <c r="A583" s="1"/>
      <c r="M583" s="26"/>
      <c r="N583" s="26"/>
      <c r="P583" s="1"/>
      <c r="Q583" s="1"/>
      <c r="R583" s="1"/>
      <c r="S583" s="1"/>
      <c r="T583" s="1"/>
      <c r="U583" s="1"/>
      <c r="V583" s="16"/>
      <c r="W583" s="1"/>
      <c r="X583" s="1"/>
    </row>
    <row r="584" spans="1:24">
      <c r="A584" s="1"/>
      <c r="M584" s="26"/>
      <c r="N584" s="26"/>
      <c r="P584" s="1"/>
      <c r="Q584" s="1"/>
      <c r="R584" s="1"/>
      <c r="S584" s="1"/>
      <c r="T584" s="1"/>
      <c r="U584" s="1"/>
      <c r="V584" s="16"/>
      <c r="W584" s="1"/>
      <c r="X584" s="1"/>
    </row>
    <row r="585" spans="1:24">
      <c r="A585" s="1"/>
      <c r="M585" s="26"/>
      <c r="N585" s="26"/>
      <c r="P585" s="1"/>
      <c r="Q585" s="1"/>
      <c r="R585" s="1"/>
      <c r="S585" s="1"/>
      <c r="T585" s="1"/>
      <c r="U585" s="1"/>
      <c r="V585" s="16"/>
      <c r="W585" s="1"/>
      <c r="X585" s="1"/>
    </row>
    <row r="586" spans="1:24">
      <c r="A586" s="1"/>
      <c r="M586" s="26"/>
      <c r="N586" s="26"/>
      <c r="P586" s="1"/>
      <c r="Q586" s="1"/>
      <c r="R586" s="1"/>
      <c r="S586" s="1"/>
      <c r="T586" s="1"/>
      <c r="U586" s="1"/>
      <c r="V586" s="16"/>
      <c r="W586" s="1"/>
      <c r="X586" s="1"/>
    </row>
    <row r="587" spans="1:24">
      <c r="A587" s="1"/>
      <c r="M587" s="26"/>
      <c r="N587" s="26"/>
      <c r="P587" s="1"/>
      <c r="Q587" s="1"/>
      <c r="R587" s="1"/>
      <c r="S587" s="1"/>
      <c r="T587" s="1"/>
      <c r="U587" s="1"/>
      <c r="V587" s="16"/>
      <c r="W587" s="1"/>
      <c r="X587" s="1"/>
    </row>
    <row r="588" spans="1:24">
      <c r="A588" s="1"/>
      <c r="M588" s="26"/>
      <c r="N588" s="26"/>
      <c r="P588" s="1"/>
      <c r="Q588" s="1"/>
      <c r="R588" s="1"/>
      <c r="S588" s="1"/>
      <c r="T588" s="1"/>
      <c r="U588" s="1"/>
      <c r="V588" s="16"/>
      <c r="W588" s="1"/>
      <c r="X588" s="1"/>
    </row>
    <row r="589" spans="1:24">
      <c r="A589" s="1"/>
      <c r="M589" s="26"/>
      <c r="N589" s="26"/>
      <c r="P589" s="1"/>
      <c r="Q589" s="1"/>
      <c r="R589" s="1"/>
      <c r="S589" s="1"/>
      <c r="T589" s="1"/>
      <c r="U589" s="1"/>
      <c r="V589" s="16"/>
      <c r="W589" s="1"/>
      <c r="X589" s="1"/>
    </row>
    <row r="590" spans="1:24">
      <c r="A590" s="1"/>
      <c r="M590" s="26"/>
      <c r="N590" s="26"/>
      <c r="P590" s="1"/>
      <c r="Q590" s="1"/>
      <c r="R590" s="1"/>
      <c r="S590" s="1"/>
      <c r="T590" s="1"/>
      <c r="U590" s="1"/>
      <c r="V590" s="16"/>
      <c r="W590" s="1"/>
      <c r="X590" s="1"/>
    </row>
    <row r="591" spans="1:24">
      <c r="A591" s="1"/>
      <c r="M591" s="26"/>
      <c r="N591" s="26"/>
      <c r="P591" s="1"/>
      <c r="Q591" s="1"/>
      <c r="R591" s="1"/>
      <c r="S591" s="1"/>
      <c r="T591" s="1"/>
      <c r="U591" s="1"/>
      <c r="V591" s="16"/>
      <c r="W591" s="1"/>
      <c r="X591" s="1"/>
    </row>
    <row r="592" spans="1:24">
      <c r="A592" s="1"/>
      <c r="M592" s="26"/>
      <c r="N592" s="26"/>
      <c r="P592" s="1"/>
      <c r="Q592" s="1"/>
      <c r="R592" s="1"/>
      <c r="S592" s="1"/>
      <c r="T592" s="1"/>
      <c r="U592" s="1"/>
      <c r="V592" s="16"/>
      <c r="W592" s="1"/>
      <c r="X592" s="1"/>
    </row>
    <row r="593" spans="1:24">
      <c r="A593" s="1"/>
      <c r="M593" s="26"/>
      <c r="N593" s="26"/>
      <c r="P593" s="1"/>
      <c r="Q593" s="1"/>
      <c r="R593" s="1"/>
      <c r="S593" s="1"/>
      <c r="T593" s="1"/>
      <c r="U593" s="1"/>
      <c r="V593" s="16"/>
      <c r="W593" s="1"/>
      <c r="X593" s="1"/>
    </row>
    <row r="594" spans="1:24">
      <c r="A594" s="1"/>
      <c r="M594" s="26"/>
      <c r="N594" s="26"/>
      <c r="P594" s="1"/>
      <c r="Q594" s="1"/>
      <c r="R594" s="1"/>
      <c r="S594" s="1"/>
      <c r="T594" s="1"/>
      <c r="U594" s="1"/>
      <c r="V594" s="16"/>
      <c r="W594" s="1"/>
      <c r="X594" s="1"/>
    </row>
    <row r="595" spans="1:24">
      <c r="A595" s="1"/>
      <c r="M595" s="26"/>
      <c r="N595" s="26"/>
      <c r="P595" s="1"/>
      <c r="Q595" s="1"/>
      <c r="R595" s="1"/>
      <c r="S595" s="1"/>
      <c r="T595" s="1"/>
      <c r="U595" s="1"/>
      <c r="V595" s="16"/>
      <c r="W595" s="1"/>
      <c r="X595" s="1"/>
    </row>
    <row r="596" spans="1:24">
      <c r="A596" s="1"/>
      <c r="M596" s="26"/>
      <c r="N596" s="26"/>
      <c r="P596" s="1"/>
      <c r="Q596" s="1"/>
      <c r="R596" s="1"/>
      <c r="S596" s="1"/>
      <c r="T596" s="1"/>
      <c r="U596" s="1"/>
      <c r="V596" s="16"/>
      <c r="W596" s="1"/>
      <c r="X596" s="1"/>
    </row>
    <row r="597" spans="1:24">
      <c r="A597" s="1"/>
      <c r="M597" s="26"/>
      <c r="N597" s="26"/>
      <c r="P597" s="1"/>
      <c r="Q597" s="1"/>
      <c r="R597" s="1"/>
      <c r="S597" s="1"/>
      <c r="T597" s="1"/>
      <c r="U597" s="1"/>
      <c r="V597" s="16"/>
      <c r="W597" s="1"/>
      <c r="X597" s="1"/>
    </row>
    <row r="598" spans="1:24">
      <c r="A598" s="1"/>
      <c r="M598" s="26"/>
      <c r="N598" s="26"/>
      <c r="P598" s="1"/>
      <c r="Q598" s="1"/>
      <c r="R598" s="1"/>
      <c r="S598" s="1"/>
      <c r="T598" s="1"/>
      <c r="U598" s="1"/>
      <c r="V598" s="16"/>
      <c r="W598" s="1"/>
      <c r="X598" s="1"/>
    </row>
    <row r="599" spans="1:24">
      <c r="A599" s="1"/>
      <c r="M599" s="26"/>
      <c r="N599" s="26"/>
      <c r="P599" s="1"/>
      <c r="Q599" s="1"/>
      <c r="R599" s="1"/>
      <c r="S599" s="1"/>
      <c r="T599" s="1"/>
      <c r="U599" s="1"/>
      <c r="V599" s="16"/>
      <c r="W599" s="1"/>
      <c r="X599" s="1"/>
    </row>
    <row r="600" spans="1:24">
      <c r="A600" s="1"/>
      <c r="M600" s="26"/>
      <c r="N600" s="26"/>
      <c r="P600" s="1"/>
      <c r="Q600" s="1"/>
      <c r="R600" s="1"/>
      <c r="S600" s="1"/>
      <c r="T600" s="1"/>
      <c r="U600" s="1"/>
      <c r="V600" s="16"/>
      <c r="W600" s="1"/>
      <c r="X600" s="1"/>
    </row>
    <row r="601" spans="1:24">
      <c r="A601" s="1"/>
      <c r="M601" s="26"/>
      <c r="N601" s="26"/>
      <c r="P601" s="1"/>
      <c r="Q601" s="1"/>
      <c r="R601" s="1"/>
      <c r="S601" s="1"/>
      <c r="T601" s="1"/>
      <c r="U601" s="1"/>
      <c r="V601" s="16"/>
      <c r="W601" s="1"/>
      <c r="X601" s="1"/>
    </row>
    <row r="602" spans="1:24">
      <c r="A602" s="1"/>
      <c r="M602" s="26"/>
      <c r="N602" s="26"/>
      <c r="P602" s="1"/>
      <c r="Q602" s="1"/>
      <c r="R602" s="1"/>
      <c r="S602" s="1"/>
      <c r="T602" s="1"/>
      <c r="U602" s="1"/>
      <c r="V602" s="16"/>
      <c r="W602" s="1"/>
      <c r="X602" s="1"/>
    </row>
    <row r="603" spans="1:24">
      <c r="A603" s="1"/>
      <c r="M603" s="26"/>
      <c r="N603" s="26"/>
      <c r="P603" s="1"/>
      <c r="Q603" s="1"/>
      <c r="R603" s="1"/>
      <c r="S603" s="1"/>
      <c r="T603" s="1"/>
      <c r="U603" s="1"/>
      <c r="V603" s="16"/>
      <c r="W603" s="1"/>
      <c r="X603" s="1"/>
    </row>
    <row r="604" spans="1:24">
      <c r="A604" s="1"/>
      <c r="M604" s="26"/>
      <c r="N604" s="26"/>
      <c r="P604" s="1"/>
      <c r="Q604" s="1"/>
      <c r="R604" s="1"/>
      <c r="S604" s="1"/>
      <c r="T604" s="1"/>
      <c r="U604" s="1"/>
      <c r="V604" s="16"/>
      <c r="W604" s="1"/>
      <c r="X604" s="1"/>
    </row>
    <row r="605" spans="1:24">
      <c r="A605" s="1"/>
      <c r="M605" s="26"/>
      <c r="N605" s="26"/>
      <c r="P605" s="1"/>
      <c r="Q605" s="1"/>
      <c r="R605" s="1"/>
      <c r="S605" s="1"/>
      <c r="T605" s="1"/>
      <c r="U605" s="1"/>
      <c r="V605" s="16"/>
      <c r="W605" s="1"/>
      <c r="X605" s="1"/>
    </row>
    <row r="606" spans="1:24">
      <c r="A606" s="1"/>
      <c r="M606" s="26"/>
      <c r="N606" s="26"/>
      <c r="P606" s="1"/>
      <c r="Q606" s="1"/>
      <c r="R606" s="1"/>
      <c r="S606" s="1"/>
      <c r="T606" s="1"/>
      <c r="U606" s="1"/>
      <c r="V606" s="16"/>
      <c r="W606" s="1"/>
      <c r="X606" s="1"/>
    </row>
    <row r="607" spans="1:24">
      <c r="A607" s="1"/>
      <c r="M607" s="26"/>
      <c r="N607" s="26"/>
      <c r="P607" s="1"/>
      <c r="Q607" s="1"/>
      <c r="R607" s="1"/>
      <c r="S607" s="1"/>
      <c r="T607" s="1"/>
      <c r="U607" s="1"/>
      <c r="V607" s="16"/>
      <c r="W607" s="1"/>
      <c r="X607" s="1"/>
    </row>
    <row r="608" spans="1:24">
      <c r="A608" s="1"/>
      <c r="M608" s="26"/>
      <c r="N608" s="26"/>
      <c r="P608" s="1"/>
      <c r="Q608" s="1"/>
      <c r="R608" s="1"/>
      <c r="S608" s="1"/>
      <c r="T608" s="1"/>
      <c r="U608" s="1"/>
      <c r="V608" s="16"/>
      <c r="W608" s="1"/>
      <c r="X608" s="1"/>
    </row>
    <row r="609" spans="1:24">
      <c r="A609" s="1"/>
      <c r="M609" s="26"/>
      <c r="N609" s="26"/>
      <c r="P609" s="1"/>
      <c r="Q609" s="1"/>
      <c r="R609" s="1"/>
      <c r="S609" s="1"/>
      <c r="T609" s="1"/>
      <c r="U609" s="1"/>
      <c r="V609" s="16"/>
      <c r="W609" s="1"/>
      <c r="X609" s="1"/>
    </row>
    <row r="610" spans="1:24">
      <c r="A610" s="1"/>
      <c r="M610" s="26"/>
      <c r="N610" s="26"/>
      <c r="P610" s="1"/>
      <c r="Q610" s="1"/>
      <c r="R610" s="1"/>
      <c r="S610" s="1"/>
      <c r="T610" s="1"/>
      <c r="U610" s="1"/>
      <c r="V610" s="16"/>
      <c r="W610" s="1"/>
      <c r="X610" s="1"/>
    </row>
    <row r="611" spans="1:24">
      <c r="A611" s="1"/>
      <c r="M611" s="26"/>
      <c r="N611" s="26"/>
      <c r="P611" s="1"/>
      <c r="Q611" s="1"/>
      <c r="R611" s="1"/>
      <c r="S611" s="1"/>
      <c r="T611" s="1"/>
      <c r="U611" s="1"/>
      <c r="V611" s="16"/>
      <c r="W611" s="1"/>
      <c r="X611" s="1"/>
    </row>
    <row r="612" spans="1:24">
      <c r="A612" s="1"/>
      <c r="M612" s="26"/>
      <c r="N612" s="26"/>
      <c r="P612" s="1"/>
      <c r="Q612" s="1"/>
      <c r="R612" s="1"/>
      <c r="S612" s="1"/>
      <c r="T612" s="1"/>
      <c r="U612" s="1"/>
      <c r="V612" s="16"/>
      <c r="W612" s="1"/>
      <c r="X612" s="1"/>
    </row>
    <row r="613" spans="1:24">
      <c r="A613" s="1"/>
      <c r="M613" s="26"/>
      <c r="N613" s="26"/>
      <c r="P613" s="1"/>
      <c r="Q613" s="1"/>
      <c r="R613" s="1"/>
      <c r="S613" s="1"/>
      <c r="T613" s="1"/>
      <c r="U613" s="1"/>
      <c r="V613" s="16"/>
      <c r="W613" s="1"/>
      <c r="X613" s="1"/>
    </row>
    <row r="614" spans="1:24">
      <c r="A614" s="1"/>
      <c r="M614" s="26"/>
      <c r="N614" s="26"/>
      <c r="P614" s="1"/>
      <c r="Q614" s="1"/>
      <c r="R614" s="1"/>
      <c r="S614" s="1"/>
      <c r="T614" s="1"/>
      <c r="U614" s="1"/>
      <c r="V614" s="16"/>
      <c r="W614" s="1"/>
      <c r="X614" s="1"/>
    </row>
    <row r="615" spans="1:24">
      <c r="A615" s="1"/>
      <c r="M615" s="26"/>
      <c r="N615" s="26"/>
      <c r="P615" s="1"/>
      <c r="Q615" s="1"/>
      <c r="R615" s="1"/>
      <c r="S615" s="1"/>
      <c r="T615" s="1"/>
      <c r="U615" s="1"/>
      <c r="V615" s="16"/>
      <c r="W615" s="1"/>
      <c r="X615" s="1"/>
    </row>
    <row r="616" spans="1:24">
      <c r="A616" s="1"/>
      <c r="M616" s="26"/>
      <c r="N616" s="26"/>
      <c r="P616" s="1"/>
      <c r="Q616" s="1"/>
      <c r="R616" s="1"/>
      <c r="S616" s="1"/>
      <c r="T616" s="1"/>
      <c r="U616" s="1"/>
      <c r="V616" s="16"/>
      <c r="W616" s="1"/>
      <c r="X616" s="1"/>
    </row>
    <row r="617" spans="1:24">
      <c r="A617" s="1"/>
      <c r="M617" s="26"/>
      <c r="N617" s="26"/>
      <c r="P617" s="1"/>
      <c r="Q617" s="1"/>
      <c r="R617" s="1"/>
      <c r="S617" s="1"/>
      <c r="T617" s="1"/>
      <c r="U617" s="1"/>
      <c r="V617" s="16"/>
      <c r="W617" s="1"/>
      <c r="X617" s="1"/>
    </row>
    <row r="618" spans="1:24">
      <c r="A618" s="1"/>
      <c r="M618" s="26"/>
      <c r="N618" s="26"/>
      <c r="P618" s="1"/>
      <c r="Q618" s="1"/>
      <c r="R618" s="1"/>
      <c r="S618" s="1"/>
      <c r="T618" s="1"/>
      <c r="U618" s="1"/>
      <c r="V618" s="16"/>
      <c r="W618" s="1"/>
      <c r="X618" s="1"/>
    </row>
    <row r="619" spans="1:24">
      <c r="A619" s="1"/>
      <c r="M619" s="26"/>
      <c r="N619" s="26"/>
      <c r="P619" s="1"/>
      <c r="Q619" s="1"/>
      <c r="R619" s="1"/>
      <c r="S619" s="1"/>
      <c r="T619" s="1"/>
      <c r="U619" s="1"/>
      <c r="V619" s="16"/>
      <c r="W619" s="1"/>
      <c r="X619" s="1"/>
    </row>
    <row r="620" spans="1:24">
      <c r="A620" s="1"/>
      <c r="M620" s="26"/>
      <c r="N620" s="26"/>
      <c r="P620" s="1"/>
      <c r="Q620" s="1"/>
      <c r="R620" s="1"/>
      <c r="S620" s="1"/>
      <c r="T620" s="1"/>
      <c r="U620" s="1"/>
      <c r="V620" s="16"/>
      <c r="W620" s="1"/>
      <c r="X620" s="1"/>
    </row>
    <row r="621" spans="1:24">
      <c r="A621" s="1"/>
      <c r="M621" s="26"/>
      <c r="N621" s="26"/>
      <c r="P621" s="1"/>
      <c r="Q621" s="1"/>
      <c r="R621" s="1"/>
      <c r="S621" s="1"/>
      <c r="T621" s="1"/>
      <c r="U621" s="1"/>
      <c r="V621" s="16"/>
      <c r="W621" s="1"/>
      <c r="X621" s="1"/>
    </row>
    <row r="622" spans="1:24">
      <c r="A622" s="1"/>
      <c r="M622" s="26"/>
      <c r="N622" s="26"/>
      <c r="P622" s="1"/>
      <c r="Q622" s="1"/>
      <c r="R622" s="1"/>
      <c r="S622" s="1"/>
      <c r="T622" s="1"/>
      <c r="U622" s="1"/>
      <c r="V622" s="16"/>
      <c r="W622" s="1"/>
      <c r="X622" s="1"/>
    </row>
    <row r="623" spans="1:24">
      <c r="A623" s="1"/>
      <c r="M623" s="26"/>
      <c r="N623" s="26"/>
      <c r="P623" s="1"/>
      <c r="Q623" s="1"/>
      <c r="R623" s="1"/>
      <c r="S623" s="1"/>
      <c r="T623" s="1"/>
      <c r="U623" s="1"/>
      <c r="V623" s="16"/>
      <c r="W623" s="1"/>
      <c r="X623" s="1"/>
    </row>
    <row r="624" spans="1:24">
      <c r="A624" s="1"/>
      <c r="M624" s="26"/>
      <c r="N624" s="26"/>
      <c r="P624" s="1"/>
      <c r="Q624" s="1"/>
      <c r="R624" s="1"/>
      <c r="S624" s="1"/>
      <c r="T624" s="1"/>
      <c r="U624" s="1"/>
      <c r="V624" s="16"/>
      <c r="W624" s="1"/>
      <c r="X624" s="1"/>
    </row>
    <row r="625" spans="1:24">
      <c r="A625" s="1"/>
      <c r="M625" s="26"/>
      <c r="N625" s="26"/>
      <c r="P625" s="1"/>
      <c r="Q625" s="1"/>
      <c r="R625" s="1"/>
      <c r="S625" s="1"/>
      <c r="T625" s="1"/>
      <c r="U625" s="1"/>
      <c r="V625" s="16"/>
      <c r="W625" s="1"/>
      <c r="X625" s="1"/>
    </row>
    <row r="626" spans="1:24">
      <c r="A626" s="1"/>
      <c r="M626" s="26"/>
      <c r="N626" s="26"/>
      <c r="P626" s="1"/>
      <c r="Q626" s="1"/>
      <c r="R626" s="1"/>
      <c r="S626" s="1"/>
      <c r="T626" s="1"/>
      <c r="U626" s="1"/>
      <c r="V626" s="16"/>
      <c r="W626" s="1"/>
      <c r="X626" s="1"/>
    </row>
    <row r="627" spans="1:24">
      <c r="A627" s="1"/>
      <c r="M627" s="26"/>
      <c r="N627" s="26"/>
      <c r="P627" s="1"/>
      <c r="Q627" s="1"/>
      <c r="R627" s="1"/>
      <c r="S627" s="1"/>
      <c r="T627" s="1"/>
      <c r="U627" s="1"/>
      <c r="V627" s="16"/>
      <c r="W627" s="1"/>
      <c r="X627" s="1"/>
    </row>
    <row r="628" spans="1:24">
      <c r="A628" s="1"/>
      <c r="M628" s="26"/>
      <c r="N628" s="26"/>
      <c r="P628" s="1"/>
      <c r="Q628" s="1"/>
      <c r="R628" s="1"/>
      <c r="S628" s="1"/>
      <c r="T628" s="1"/>
      <c r="U628" s="1"/>
      <c r="V628" s="16"/>
      <c r="W628" s="1"/>
      <c r="X628" s="1"/>
    </row>
    <row r="629" spans="1:24">
      <c r="A629" s="1"/>
      <c r="M629" s="26"/>
      <c r="N629" s="26"/>
      <c r="P629" s="1"/>
      <c r="Q629" s="1"/>
      <c r="R629" s="1"/>
      <c r="S629" s="1"/>
      <c r="T629" s="1"/>
      <c r="U629" s="1"/>
      <c r="V629" s="16"/>
      <c r="W629" s="1"/>
      <c r="X629" s="1"/>
    </row>
    <row r="630" spans="1:24">
      <c r="A630" s="1"/>
      <c r="M630" s="26"/>
      <c r="N630" s="26"/>
      <c r="P630" s="1"/>
      <c r="Q630" s="1"/>
      <c r="R630" s="1"/>
      <c r="S630" s="1"/>
      <c r="T630" s="1"/>
      <c r="U630" s="1"/>
      <c r="V630" s="16"/>
      <c r="W630" s="1"/>
      <c r="X630" s="1"/>
    </row>
    <row r="631" spans="1:24">
      <c r="A631" s="1"/>
      <c r="M631" s="26"/>
      <c r="N631" s="26"/>
      <c r="P631" s="1"/>
      <c r="Q631" s="1"/>
      <c r="R631" s="1"/>
      <c r="S631" s="1"/>
      <c r="T631" s="1"/>
      <c r="U631" s="1"/>
      <c r="V631" s="16"/>
      <c r="W631" s="1"/>
      <c r="X631" s="1"/>
    </row>
    <row r="632" spans="1:24">
      <c r="A632" s="1"/>
      <c r="M632" s="26"/>
      <c r="N632" s="26"/>
      <c r="P632" s="1"/>
      <c r="Q632" s="1"/>
      <c r="R632" s="1"/>
      <c r="S632" s="1"/>
      <c r="T632" s="1"/>
      <c r="U632" s="1"/>
      <c r="V632" s="16"/>
      <c r="W632" s="1"/>
      <c r="X632" s="1"/>
    </row>
    <row r="633" spans="1:24">
      <c r="A633" s="1"/>
      <c r="M633" s="26"/>
      <c r="N633" s="26"/>
      <c r="P633" s="1"/>
      <c r="Q633" s="1"/>
      <c r="R633" s="1"/>
      <c r="S633" s="1"/>
      <c r="T633" s="1"/>
      <c r="U633" s="1"/>
      <c r="V633" s="16"/>
      <c r="W633" s="1"/>
      <c r="X633" s="1"/>
    </row>
    <row r="634" spans="1:24">
      <c r="A634" s="1"/>
      <c r="M634" s="26"/>
      <c r="N634" s="26"/>
      <c r="P634" s="1"/>
      <c r="Q634" s="1"/>
      <c r="R634" s="1"/>
      <c r="S634" s="1"/>
      <c r="T634" s="1"/>
      <c r="U634" s="1"/>
      <c r="V634" s="16"/>
      <c r="W634" s="1"/>
      <c r="X634" s="1"/>
    </row>
    <row r="635" spans="1:24">
      <c r="A635" s="1"/>
      <c r="M635" s="26"/>
      <c r="N635" s="26"/>
      <c r="P635" s="1"/>
      <c r="Q635" s="1"/>
      <c r="R635" s="1"/>
      <c r="S635" s="1"/>
      <c r="T635" s="1"/>
      <c r="U635" s="1"/>
      <c r="V635" s="16"/>
      <c r="W635" s="1"/>
      <c r="X635" s="1"/>
    </row>
    <row r="636" spans="1:24">
      <c r="A636" s="1"/>
      <c r="M636" s="26"/>
      <c r="N636" s="26"/>
      <c r="P636" s="1"/>
      <c r="Q636" s="1"/>
      <c r="R636" s="1"/>
      <c r="S636" s="1"/>
      <c r="T636" s="1"/>
      <c r="U636" s="1"/>
      <c r="V636" s="16"/>
      <c r="W636" s="1"/>
      <c r="X636" s="1"/>
    </row>
    <row r="637" spans="1:24">
      <c r="A637" s="1"/>
      <c r="M637" s="26"/>
      <c r="N637" s="26"/>
      <c r="P637" s="1"/>
      <c r="Q637" s="1"/>
      <c r="R637" s="1"/>
      <c r="S637" s="1"/>
      <c r="T637" s="1"/>
      <c r="U637" s="1"/>
      <c r="V637" s="16"/>
      <c r="W637" s="1"/>
      <c r="X637" s="1"/>
    </row>
    <row r="638" spans="1:24">
      <c r="A638" s="1"/>
      <c r="M638" s="26"/>
      <c r="N638" s="26"/>
      <c r="P638" s="1"/>
      <c r="Q638" s="1"/>
      <c r="R638" s="1"/>
      <c r="S638" s="1"/>
      <c r="T638" s="1"/>
      <c r="U638" s="1"/>
      <c r="V638" s="16"/>
      <c r="W638" s="1"/>
      <c r="X638" s="1"/>
    </row>
    <row r="639" spans="1:24">
      <c r="A639" s="1"/>
      <c r="M639" s="26"/>
      <c r="N639" s="26"/>
      <c r="P639" s="1"/>
      <c r="Q639" s="1"/>
      <c r="R639" s="1"/>
      <c r="S639" s="1"/>
      <c r="T639" s="1"/>
      <c r="U639" s="1"/>
      <c r="V639" s="16"/>
      <c r="W639" s="1"/>
      <c r="X639" s="1"/>
    </row>
    <row r="640" spans="1:24">
      <c r="A640" s="1"/>
      <c r="M640" s="26"/>
      <c r="N640" s="26"/>
      <c r="P640" s="1"/>
      <c r="Q640" s="1"/>
      <c r="R640" s="1"/>
      <c r="S640" s="1"/>
      <c r="T640" s="1"/>
      <c r="U640" s="1"/>
      <c r="V640" s="16"/>
      <c r="W640" s="1"/>
      <c r="X640" s="1"/>
    </row>
    <row r="641" spans="1:24">
      <c r="A641" s="1"/>
      <c r="M641" s="26"/>
      <c r="N641" s="26"/>
      <c r="P641" s="1"/>
      <c r="Q641" s="1"/>
      <c r="R641" s="1"/>
      <c r="S641" s="1"/>
      <c r="T641" s="1"/>
      <c r="U641" s="1"/>
      <c r="V641" s="16"/>
      <c r="W641" s="1"/>
      <c r="X641" s="1"/>
    </row>
    <row r="642" spans="1:24">
      <c r="A642" s="1"/>
      <c r="M642" s="26"/>
      <c r="N642" s="26"/>
      <c r="P642" s="1"/>
      <c r="Q642" s="1"/>
      <c r="R642" s="1"/>
      <c r="S642" s="1"/>
      <c r="T642" s="1"/>
      <c r="U642" s="1"/>
      <c r="V642" s="16"/>
      <c r="W642" s="1"/>
      <c r="X642" s="1"/>
    </row>
    <row r="643" spans="1:24">
      <c r="A643" s="1"/>
      <c r="M643" s="26"/>
      <c r="N643" s="26"/>
      <c r="P643" s="1"/>
      <c r="Q643" s="1"/>
      <c r="R643" s="1"/>
      <c r="S643" s="1"/>
      <c r="T643" s="1"/>
      <c r="U643" s="1"/>
      <c r="V643" s="16"/>
      <c r="W643" s="1"/>
      <c r="X643" s="1"/>
    </row>
    <row r="644" spans="1:24">
      <c r="A644" s="1"/>
      <c r="M644" s="26"/>
      <c r="N644" s="26"/>
      <c r="P644" s="1"/>
      <c r="Q644" s="1"/>
      <c r="R644" s="1"/>
      <c r="S644" s="1"/>
      <c r="T644" s="1"/>
      <c r="U644" s="1"/>
      <c r="V644" s="16"/>
      <c r="W644" s="1"/>
      <c r="X644" s="1"/>
    </row>
    <row r="645" spans="1:24">
      <c r="A645" s="1"/>
      <c r="M645" s="26"/>
      <c r="N645" s="26"/>
      <c r="P645" s="1"/>
      <c r="Q645" s="1"/>
      <c r="R645" s="1"/>
      <c r="S645" s="1"/>
      <c r="T645" s="1"/>
      <c r="U645" s="1"/>
      <c r="V645" s="16"/>
      <c r="W645" s="1"/>
      <c r="X645" s="1"/>
    </row>
    <row r="646" spans="1:24">
      <c r="A646" s="1"/>
      <c r="M646" s="26"/>
      <c r="N646" s="26"/>
      <c r="P646" s="1"/>
      <c r="Q646" s="1"/>
      <c r="R646" s="1"/>
      <c r="S646" s="1"/>
      <c r="T646" s="1"/>
      <c r="U646" s="1"/>
      <c r="V646" s="16"/>
      <c r="W646" s="1"/>
      <c r="X646" s="1"/>
    </row>
    <row r="647" spans="1:24">
      <c r="A647" s="1"/>
      <c r="M647" s="26"/>
      <c r="N647" s="26"/>
      <c r="P647" s="1"/>
      <c r="Q647" s="1"/>
      <c r="R647" s="1"/>
      <c r="S647" s="1"/>
      <c r="T647" s="1"/>
      <c r="U647" s="1"/>
      <c r="V647" s="16"/>
      <c r="W647" s="1"/>
      <c r="X647" s="1"/>
    </row>
    <row r="648" spans="1:24">
      <c r="A648" s="1"/>
      <c r="M648" s="26"/>
      <c r="N648" s="26"/>
      <c r="P648" s="1"/>
      <c r="Q648" s="1"/>
      <c r="R648" s="1"/>
      <c r="S648" s="1"/>
      <c r="T648" s="1"/>
      <c r="U648" s="1"/>
      <c r="V648" s="16"/>
      <c r="W648" s="1"/>
      <c r="X648" s="1"/>
    </row>
    <row r="649" spans="1:24">
      <c r="A649" s="1"/>
      <c r="M649" s="26"/>
      <c r="N649" s="26"/>
      <c r="P649" s="1"/>
      <c r="Q649" s="1"/>
      <c r="R649" s="1"/>
      <c r="S649" s="1"/>
      <c r="T649" s="1"/>
      <c r="U649" s="1"/>
      <c r="V649" s="16"/>
      <c r="W649" s="1"/>
      <c r="X649" s="1"/>
    </row>
    <row r="650" spans="1:24">
      <c r="A650" s="1"/>
      <c r="M650" s="26"/>
      <c r="N650" s="26"/>
      <c r="P650" s="1"/>
      <c r="Q650" s="1"/>
      <c r="R650" s="1"/>
      <c r="S650" s="1"/>
      <c r="T650" s="1"/>
      <c r="U650" s="1"/>
      <c r="V650" s="16"/>
      <c r="W650" s="1"/>
      <c r="X650" s="1"/>
    </row>
    <row r="651" spans="1:24">
      <c r="A651" s="1"/>
      <c r="M651" s="26"/>
      <c r="N651" s="26"/>
      <c r="P651" s="1"/>
      <c r="Q651" s="1"/>
      <c r="R651" s="1"/>
      <c r="S651" s="1"/>
      <c r="T651" s="1"/>
      <c r="U651" s="1"/>
      <c r="V651" s="16"/>
      <c r="W651" s="1"/>
      <c r="X651" s="1"/>
    </row>
    <row r="652" spans="1:24">
      <c r="A652" s="1"/>
      <c r="M652" s="26"/>
      <c r="N652" s="26"/>
      <c r="P652" s="1"/>
      <c r="Q652" s="1"/>
      <c r="R652" s="1"/>
      <c r="S652" s="1"/>
      <c r="T652" s="1"/>
      <c r="U652" s="1"/>
      <c r="V652" s="16"/>
      <c r="W652" s="1"/>
      <c r="X652" s="1"/>
    </row>
    <row r="653" spans="1:24">
      <c r="A653" s="1"/>
      <c r="M653" s="26"/>
      <c r="N653" s="26"/>
      <c r="P653" s="1"/>
      <c r="Q653" s="1"/>
      <c r="R653" s="1"/>
      <c r="S653" s="1"/>
      <c r="T653" s="1"/>
      <c r="U653" s="1"/>
      <c r="V653" s="16"/>
      <c r="W653" s="1"/>
      <c r="X653" s="1"/>
    </row>
    <row r="654" spans="1:24">
      <c r="A654" s="1"/>
      <c r="M654" s="26"/>
      <c r="N654" s="26"/>
      <c r="P654" s="1"/>
      <c r="Q654" s="1"/>
      <c r="R654" s="1"/>
      <c r="S654" s="1"/>
      <c r="T654" s="1"/>
      <c r="U654" s="1"/>
      <c r="V654" s="16"/>
      <c r="W654" s="1"/>
      <c r="X654" s="1"/>
    </row>
    <row r="655" spans="1:24">
      <c r="A655" s="1"/>
      <c r="M655" s="26"/>
      <c r="N655" s="26"/>
      <c r="P655" s="1"/>
      <c r="Q655" s="1"/>
      <c r="R655" s="1"/>
      <c r="S655" s="1"/>
      <c r="T655" s="1"/>
      <c r="U655" s="1"/>
      <c r="V655" s="16"/>
      <c r="W655" s="1"/>
      <c r="X655" s="1"/>
    </row>
    <row r="656" spans="1:24">
      <c r="A656" s="1"/>
      <c r="M656" s="26"/>
      <c r="N656" s="26"/>
      <c r="P656" s="1"/>
      <c r="Q656" s="1"/>
      <c r="R656" s="1"/>
      <c r="S656" s="1"/>
      <c r="T656" s="1"/>
      <c r="U656" s="1"/>
      <c r="V656" s="16"/>
      <c r="W656" s="1"/>
      <c r="X656" s="1"/>
    </row>
    <row r="657" spans="1:24">
      <c r="A657" s="1"/>
      <c r="M657" s="26"/>
      <c r="N657" s="26"/>
      <c r="P657" s="1"/>
      <c r="Q657" s="1"/>
      <c r="R657" s="1"/>
      <c r="S657" s="1"/>
      <c r="T657" s="1"/>
      <c r="U657" s="1"/>
      <c r="V657" s="16"/>
      <c r="W657" s="1"/>
      <c r="X657" s="1"/>
    </row>
    <row r="658" spans="1:24">
      <c r="A658" s="1"/>
      <c r="M658" s="26"/>
      <c r="N658" s="26"/>
      <c r="P658" s="1"/>
      <c r="Q658" s="1"/>
      <c r="R658" s="1"/>
      <c r="S658" s="1"/>
      <c r="T658" s="1"/>
      <c r="U658" s="1"/>
      <c r="V658" s="16"/>
      <c r="W658" s="1"/>
      <c r="X658" s="1"/>
    </row>
    <row r="659" spans="1:24">
      <c r="A659" s="1"/>
      <c r="M659" s="26"/>
      <c r="N659" s="26"/>
      <c r="P659" s="1"/>
      <c r="Q659" s="1"/>
      <c r="R659" s="1"/>
      <c r="S659" s="1"/>
      <c r="T659" s="1"/>
      <c r="U659" s="1"/>
      <c r="V659" s="16"/>
      <c r="W659" s="1"/>
      <c r="X659" s="1"/>
    </row>
    <row r="660" spans="1:24">
      <c r="A660" s="1"/>
      <c r="M660" s="26"/>
      <c r="N660" s="26"/>
      <c r="P660" s="1"/>
      <c r="Q660" s="1"/>
      <c r="R660" s="1"/>
      <c r="S660" s="1"/>
      <c r="T660" s="1"/>
      <c r="U660" s="1"/>
      <c r="V660" s="16"/>
      <c r="W660" s="1"/>
      <c r="X660" s="1"/>
    </row>
    <row r="661" spans="1:24">
      <c r="A661" s="1"/>
      <c r="M661" s="26"/>
      <c r="N661" s="26"/>
      <c r="P661" s="1"/>
      <c r="Q661" s="1"/>
      <c r="R661" s="1"/>
      <c r="S661" s="1"/>
      <c r="T661" s="1"/>
      <c r="U661" s="1"/>
      <c r="V661" s="16"/>
      <c r="W661" s="1"/>
      <c r="X661" s="1"/>
    </row>
    <row r="662" spans="1:24">
      <c r="A662" s="1"/>
      <c r="M662" s="26"/>
      <c r="N662" s="26"/>
      <c r="P662" s="1"/>
      <c r="Q662" s="1"/>
      <c r="R662" s="1"/>
      <c r="S662" s="1"/>
      <c r="T662" s="1"/>
      <c r="U662" s="1"/>
      <c r="V662" s="16"/>
      <c r="W662" s="1"/>
      <c r="X662" s="1"/>
    </row>
    <row r="663" spans="1:24">
      <c r="A663" s="1"/>
      <c r="M663" s="26"/>
      <c r="N663" s="26"/>
      <c r="P663" s="1"/>
      <c r="Q663" s="1"/>
      <c r="R663" s="1"/>
      <c r="S663" s="1"/>
      <c r="T663" s="1"/>
      <c r="U663" s="1"/>
      <c r="V663" s="16"/>
      <c r="W663" s="1"/>
      <c r="X663" s="1"/>
    </row>
    <row r="664" spans="1:24">
      <c r="A664" s="1"/>
      <c r="M664" s="26"/>
      <c r="N664" s="26"/>
      <c r="P664" s="1"/>
      <c r="Q664" s="1"/>
      <c r="R664" s="1"/>
      <c r="S664" s="1"/>
      <c r="T664" s="1"/>
      <c r="U664" s="1"/>
      <c r="V664" s="16"/>
      <c r="W664" s="1"/>
      <c r="X664" s="1"/>
    </row>
    <row r="665" spans="1:24">
      <c r="A665" s="1"/>
      <c r="M665" s="26"/>
      <c r="N665" s="26"/>
      <c r="P665" s="1"/>
      <c r="Q665" s="1"/>
      <c r="R665" s="1"/>
      <c r="S665" s="1"/>
      <c r="T665" s="1"/>
      <c r="U665" s="1"/>
      <c r="V665" s="16"/>
      <c r="W665" s="1"/>
      <c r="X665" s="1"/>
    </row>
    <row r="666" spans="1:24">
      <c r="A666" s="1"/>
      <c r="M666" s="26"/>
      <c r="N666" s="26"/>
      <c r="P666" s="1"/>
      <c r="Q666" s="1"/>
      <c r="R666" s="1"/>
      <c r="S666" s="1"/>
      <c r="T666" s="1"/>
      <c r="U666" s="1"/>
      <c r="V666" s="16"/>
      <c r="W666" s="1"/>
      <c r="X666" s="1"/>
    </row>
    <row r="667" spans="1:24">
      <c r="A667" s="1"/>
      <c r="M667" s="26"/>
      <c r="N667" s="26"/>
      <c r="P667" s="1"/>
      <c r="Q667" s="1"/>
      <c r="R667" s="1"/>
      <c r="S667" s="1"/>
      <c r="T667" s="1"/>
      <c r="U667" s="1"/>
      <c r="V667" s="16"/>
      <c r="W667" s="1"/>
      <c r="X667" s="1"/>
    </row>
    <row r="668" spans="1:24">
      <c r="A668" s="1"/>
      <c r="M668" s="26"/>
      <c r="N668" s="26"/>
      <c r="P668" s="1"/>
      <c r="Q668" s="1"/>
      <c r="R668" s="1"/>
      <c r="S668" s="1"/>
      <c r="T668" s="1"/>
      <c r="U668" s="1"/>
      <c r="V668" s="16"/>
      <c r="W668" s="1"/>
      <c r="X668" s="1"/>
    </row>
    <row r="669" spans="1:24">
      <c r="A669" s="1"/>
      <c r="M669" s="26"/>
      <c r="N669" s="26"/>
      <c r="P669" s="1"/>
      <c r="Q669" s="1"/>
      <c r="R669" s="1"/>
      <c r="S669" s="1"/>
      <c r="T669" s="1"/>
      <c r="U669" s="1"/>
      <c r="V669" s="16"/>
      <c r="W669" s="1"/>
      <c r="X669" s="1"/>
    </row>
    <row r="670" spans="1:24">
      <c r="A670" s="1"/>
      <c r="M670" s="26"/>
      <c r="N670" s="26"/>
      <c r="P670" s="1"/>
      <c r="Q670" s="1"/>
      <c r="R670" s="1"/>
      <c r="S670" s="1"/>
      <c r="T670" s="1"/>
      <c r="U670" s="1"/>
      <c r="V670" s="16"/>
      <c r="W670" s="1"/>
      <c r="X670" s="1"/>
    </row>
    <row r="671" spans="1:24">
      <c r="A671" s="1"/>
      <c r="M671" s="26"/>
      <c r="N671" s="26"/>
      <c r="P671" s="1"/>
      <c r="Q671" s="1"/>
      <c r="R671" s="1"/>
      <c r="S671" s="1"/>
      <c r="T671" s="1"/>
      <c r="U671" s="1"/>
      <c r="V671" s="16"/>
      <c r="W671" s="1"/>
      <c r="X671" s="1"/>
    </row>
    <row r="672" spans="1:24">
      <c r="A672" s="1"/>
      <c r="M672" s="26"/>
      <c r="N672" s="26"/>
      <c r="P672" s="1"/>
      <c r="Q672" s="1"/>
      <c r="R672" s="1"/>
      <c r="S672" s="1"/>
      <c r="T672" s="1"/>
      <c r="U672" s="1"/>
      <c r="V672" s="16"/>
      <c r="W672" s="1"/>
      <c r="X672" s="1"/>
    </row>
    <row r="673" spans="1:24">
      <c r="A673" s="1"/>
      <c r="M673" s="26"/>
      <c r="N673" s="26"/>
      <c r="P673" s="1"/>
      <c r="Q673" s="1"/>
      <c r="R673" s="1"/>
      <c r="S673" s="1"/>
      <c r="T673" s="1"/>
      <c r="U673" s="1"/>
      <c r="V673" s="16"/>
      <c r="W673" s="1"/>
      <c r="X673" s="1"/>
    </row>
    <row r="674" spans="1:24">
      <c r="A674" s="1"/>
      <c r="M674" s="26"/>
      <c r="N674" s="26"/>
      <c r="P674" s="1"/>
      <c r="Q674" s="1"/>
      <c r="R674" s="1"/>
      <c r="S674" s="1"/>
      <c r="T674" s="1"/>
      <c r="U674" s="1"/>
      <c r="V674" s="16"/>
      <c r="W674" s="1"/>
      <c r="X674" s="1"/>
    </row>
    <row r="675" spans="1:24">
      <c r="A675" s="1"/>
      <c r="M675" s="26"/>
      <c r="N675" s="26"/>
      <c r="P675" s="1"/>
      <c r="Q675" s="1"/>
      <c r="R675" s="1"/>
      <c r="S675" s="1"/>
      <c r="T675" s="1"/>
      <c r="U675" s="1"/>
      <c r="V675" s="16"/>
      <c r="W675" s="1"/>
      <c r="X675" s="1"/>
    </row>
    <row r="676" spans="1:24">
      <c r="A676" s="1"/>
      <c r="M676" s="26"/>
      <c r="N676" s="26"/>
      <c r="P676" s="1"/>
      <c r="Q676" s="1"/>
      <c r="R676" s="1"/>
      <c r="S676" s="1"/>
      <c r="T676" s="1"/>
      <c r="U676" s="1"/>
      <c r="V676" s="16"/>
      <c r="W676" s="1"/>
      <c r="X676" s="1"/>
    </row>
    <row r="677" spans="1:24">
      <c r="A677" s="1"/>
      <c r="M677" s="26"/>
      <c r="N677" s="26"/>
      <c r="P677" s="1"/>
      <c r="Q677" s="1"/>
      <c r="R677" s="1"/>
      <c r="S677" s="1"/>
      <c r="T677" s="1"/>
      <c r="U677" s="1"/>
      <c r="V677" s="16"/>
      <c r="W677" s="1"/>
      <c r="X677" s="1"/>
    </row>
    <row r="678" spans="1:24">
      <c r="A678" s="1"/>
      <c r="M678" s="26"/>
      <c r="N678" s="26"/>
      <c r="P678" s="1"/>
      <c r="Q678" s="1"/>
      <c r="R678" s="1"/>
      <c r="S678" s="1"/>
      <c r="T678" s="1"/>
      <c r="U678" s="1"/>
      <c r="V678" s="16"/>
      <c r="W678" s="1"/>
      <c r="X678" s="1"/>
    </row>
    <row r="679" spans="1:24">
      <c r="A679" s="1"/>
      <c r="M679" s="26"/>
      <c r="N679" s="26"/>
      <c r="P679" s="1"/>
      <c r="Q679" s="1"/>
      <c r="R679" s="1"/>
      <c r="S679" s="1"/>
      <c r="T679" s="1"/>
      <c r="U679" s="1"/>
      <c r="V679" s="16"/>
      <c r="W679" s="1"/>
      <c r="X679" s="1"/>
    </row>
    <row r="680" spans="1:24">
      <c r="A680" s="1"/>
      <c r="M680" s="26"/>
      <c r="N680" s="26"/>
      <c r="P680" s="1"/>
      <c r="Q680" s="1"/>
      <c r="R680" s="1"/>
      <c r="S680" s="1"/>
      <c r="T680" s="1"/>
      <c r="U680" s="1"/>
      <c r="V680" s="16"/>
      <c r="W680" s="1"/>
      <c r="X680" s="1"/>
    </row>
    <row r="681" spans="1:24">
      <c r="A681" s="1"/>
      <c r="M681" s="26"/>
      <c r="N681" s="26"/>
      <c r="P681" s="1"/>
      <c r="Q681" s="1"/>
      <c r="R681" s="1"/>
      <c r="S681" s="1"/>
      <c r="T681" s="1"/>
      <c r="U681" s="1"/>
      <c r="V681" s="16"/>
      <c r="W681" s="1"/>
      <c r="X681" s="1"/>
    </row>
    <row r="682" spans="1:24">
      <c r="A682" s="1"/>
      <c r="M682" s="26"/>
      <c r="N682" s="26"/>
      <c r="P682" s="1"/>
      <c r="Q682" s="1"/>
      <c r="R682" s="1"/>
      <c r="S682" s="1"/>
      <c r="T682" s="1"/>
      <c r="U682" s="1"/>
      <c r="V682" s="16"/>
      <c r="W682" s="1"/>
      <c r="X682" s="1"/>
    </row>
    <row r="683" spans="1:24">
      <c r="A683" s="1"/>
      <c r="M683" s="26"/>
      <c r="N683" s="26"/>
      <c r="P683" s="1"/>
      <c r="Q683" s="1"/>
      <c r="R683" s="1"/>
      <c r="S683" s="1"/>
      <c r="T683" s="1"/>
      <c r="U683" s="1"/>
      <c r="V683" s="16"/>
      <c r="W683" s="1"/>
      <c r="X683" s="1"/>
    </row>
    <row r="684" spans="1:24">
      <c r="A684" s="1"/>
      <c r="M684" s="26"/>
      <c r="N684" s="26"/>
      <c r="P684" s="1"/>
      <c r="Q684" s="1"/>
      <c r="R684" s="1"/>
      <c r="S684" s="1"/>
      <c r="T684" s="1"/>
      <c r="U684" s="1"/>
      <c r="V684" s="16"/>
      <c r="W684" s="1"/>
      <c r="X684" s="1"/>
    </row>
    <row r="685" spans="1:24">
      <c r="A685" s="1"/>
      <c r="M685" s="26"/>
      <c r="N685" s="26"/>
      <c r="P685" s="1"/>
      <c r="Q685" s="1"/>
      <c r="R685" s="1"/>
      <c r="S685" s="1"/>
      <c r="T685" s="1"/>
      <c r="U685" s="1"/>
      <c r="V685" s="16"/>
      <c r="W685" s="1"/>
      <c r="X685" s="1"/>
    </row>
    <row r="686" spans="1:24">
      <c r="A686" s="1"/>
      <c r="M686" s="26"/>
      <c r="N686" s="26"/>
      <c r="P686" s="1"/>
      <c r="Q686" s="1"/>
      <c r="R686" s="1"/>
      <c r="S686" s="1"/>
      <c r="T686" s="1"/>
      <c r="U686" s="1"/>
      <c r="V686" s="16"/>
      <c r="W686" s="1"/>
      <c r="X686" s="1"/>
    </row>
    <row r="687" spans="1:24">
      <c r="A687" s="1"/>
      <c r="M687" s="26"/>
      <c r="N687" s="26"/>
      <c r="P687" s="1"/>
      <c r="Q687" s="1"/>
      <c r="R687" s="1"/>
      <c r="S687" s="1"/>
      <c r="T687" s="1"/>
      <c r="U687" s="1"/>
      <c r="V687" s="16"/>
      <c r="W687" s="1"/>
      <c r="X687" s="1"/>
    </row>
    <row r="688" spans="1:24">
      <c r="A688" s="1"/>
      <c r="M688" s="26"/>
      <c r="N688" s="26"/>
      <c r="P688" s="1"/>
      <c r="Q688" s="1"/>
      <c r="R688" s="1"/>
      <c r="S688" s="1"/>
      <c r="T688" s="1"/>
      <c r="U688" s="1"/>
      <c r="V688" s="16"/>
      <c r="W688" s="1"/>
      <c r="X688" s="1"/>
    </row>
    <row r="689" spans="1:24">
      <c r="A689" s="1"/>
      <c r="M689" s="26"/>
      <c r="N689" s="26"/>
      <c r="P689" s="1"/>
      <c r="Q689" s="1"/>
      <c r="R689" s="1"/>
      <c r="S689" s="1"/>
      <c r="T689" s="1"/>
      <c r="U689" s="1"/>
      <c r="V689" s="16"/>
      <c r="W689" s="1"/>
      <c r="X689" s="1"/>
    </row>
    <row r="690" spans="1:24">
      <c r="A690" s="1"/>
      <c r="M690" s="26"/>
      <c r="N690" s="26"/>
      <c r="P690" s="1"/>
      <c r="Q690" s="1"/>
      <c r="R690" s="1"/>
      <c r="S690" s="1"/>
      <c r="T690" s="1"/>
      <c r="U690" s="1"/>
      <c r="V690" s="16"/>
      <c r="W690" s="1"/>
      <c r="X690" s="1"/>
    </row>
    <row r="691" spans="1:24">
      <c r="A691" s="1"/>
      <c r="M691" s="26"/>
      <c r="N691" s="26"/>
      <c r="P691" s="1"/>
      <c r="Q691" s="1"/>
      <c r="R691" s="1"/>
      <c r="S691" s="1"/>
      <c r="T691" s="1"/>
      <c r="U691" s="1"/>
      <c r="V691" s="16"/>
      <c r="W691" s="1"/>
      <c r="X691" s="1"/>
    </row>
    <row r="692" spans="1:24">
      <c r="A692" s="1"/>
      <c r="M692" s="26"/>
      <c r="N692" s="26"/>
      <c r="P692" s="1"/>
      <c r="Q692" s="1"/>
      <c r="R692" s="1"/>
      <c r="S692" s="1"/>
      <c r="T692" s="1"/>
      <c r="U692" s="1"/>
      <c r="V692" s="16"/>
      <c r="W692" s="1"/>
      <c r="X692" s="1"/>
    </row>
    <row r="693" spans="1:24">
      <c r="A693" s="1"/>
      <c r="M693" s="26"/>
      <c r="N693" s="26"/>
      <c r="P693" s="1"/>
      <c r="Q693" s="1"/>
      <c r="R693" s="1"/>
      <c r="S693" s="1"/>
      <c r="T693" s="1"/>
      <c r="U693" s="1"/>
      <c r="V693" s="16"/>
      <c r="W693" s="1"/>
      <c r="X693" s="1"/>
    </row>
    <row r="694" spans="1:24">
      <c r="A694" s="1"/>
      <c r="M694" s="26"/>
      <c r="N694" s="26"/>
      <c r="P694" s="1"/>
      <c r="Q694" s="1"/>
      <c r="R694" s="1"/>
      <c r="S694" s="1"/>
      <c r="T694" s="1"/>
      <c r="U694" s="1"/>
      <c r="V694" s="16"/>
      <c r="W694" s="1"/>
      <c r="X694" s="1"/>
    </row>
    <row r="695" spans="1:24">
      <c r="A695" s="1"/>
      <c r="M695" s="26"/>
      <c r="N695" s="26"/>
      <c r="P695" s="1"/>
      <c r="Q695" s="1"/>
      <c r="R695" s="1"/>
      <c r="S695" s="1"/>
      <c r="T695" s="1"/>
      <c r="U695" s="1"/>
      <c r="V695" s="16"/>
      <c r="W695" s="1"/>
      <c r="X695" s="1"/>
    </row>
    <row r="696" spans="1:24">
      <c r="A696" s="1"/>
      <c r="M696" s="26"/>
      <c r="N696" s="26"/>
      <c r="P696" s="1"/>
      <c r="Q696" s="1"/>
      <c r="R696" s="1"/>
      <c r="S696" s="1"/>
      <c r="T696" s="1"/>
      <c r="U696" s="1"/>
      <c r="V696" s="16"/>
      <c r="W696" s="1"/>
      <c r="X696" s="1"/>
    </row>
    <row r="697" spans="1:24">
      <c r="A697" s="1"/>
      <c r="M697" s="26"/>
      <c r="N697" s="26"/>
      <c r="P697" s="1"/>
      <c r="Q697" s="1"/>
      <c r="R697" s="1"/>
      <c r="S697" s="1"/>
      <c r="T697" s="1"/>
      <c r="U697" s="1"/>
      <c r="V697" s="16"/>
      <c r="W697" s="1"/>
      <c r="X697" s="1"/>
    </row>
    <row r="698" spans="1:24">
      <c r="A698" s="1"/>
      <c r="M698" s="26"/>
      <c r="N698" s="26"/>
      <c r="P698" s="1"/>
      <c r="Q698" s="1"/>
      <c r="R698" s="1"/>
      <c r="S698" s="1"/>
      <c r="T698" s="1"/>
      <c r="U698" s="1"/>
      <c r="V698" s="16"/>
      <c r="W698" s="1"/>
      <c r="X698" s="1"/>
    </row>
    <row r="699" spans="1:24">
      <c r="A699" s="1"/>
      <c r="M699" s="26"/>
      <c r="N699" s="26"/>
      <c r="P699" s="1"/>
      <c r="Q699" s="1"/>
      <c r="R699" s="1"/>
      <c r="S699" s="1"/>
      <c r="T699" s="1"/>
      <c r="U699" s="1"/>
      <c r="V699" s="16"/>
      <c r="W699" s="1"/>
      <c r="X699" s="1"/>
    </row>
    <row r="700" spans="1:24">
      <c r="A700" s="1"/>
      <c r="M700" s="26"/>
      <c r="N700" s="26"/>
      <c r="P700" s="1"/>
      <c r="Q700" s="1"/>
      <c r="R700" s="1"/>
      <c r="S700" s="1"/>
      <c r="T700" s="1"/>
      <c r="U700" s="1"/>
      <c r="V700" s="16"/>
      <c r="W700" s="1"/>
      <c r="X700" s="1"/>
    </row>
    <row r="701" spans="1:24">
      <c r="A701" s="1"/>
      <c r="M701" s="26"/>
      <c r="N701" s="26"/>
      <c r="P701" s="1"/>
      <c r="Q701" s="1"/>
      <c r="R701" s="1"/>
      <c r="S701" s="1"/>
      <c r="T701" s="1"/>
      <c r="U701" s="1"/>
      <c r="V701" s="16"/>
      <c r="W701" s="1"/>
      <c r="X701" s="1"/>
    </row>
    <row r="702" spans="1:24">
      <c r="A702" s="1"/>
      <c r="M702" s="26"/>
      <c r="N702" s="26"/>
      <c r="P702" s="1"/>
      <c r="Q702" s="1"/>
      <c r="R702" s="1"/>
      <c r="S702" s="1"/>
      <c r="T702" s="1"/>
      <c r="U702" s="1"/>
      <c r="V702" s="16"/>
      <c r="W702" s="1"/>
      <c r="X702" s="1"/>
    </row>
    <row r="703" spans="1:24">
      <c r="A703" s="1"/>
      <c r="M703" s="26"/>
      <c r="N703" s="26"/>
      <c r="P703" s="1"/>
      <c r="Q703" s="1"/>
      <c r="R703" s="1"/>
      <c r="S703" s="1"/>
      <c r="T703" s="1"/>
      <c r="U703" s="1"/>
      <c r="V703" s="16"/>
      <c r="W703" s="1"/>
      <c r="X703" s="1"/>
    </row>
    <row r="704" spans="1:24">
      <c r="A704" s="1"/>
      <c r="M704" s="26"/>
      <c r="N704" s="26"/>
      <c r="P704" s="1"/>
      <c r="Q704" s="1"/>
      <c r="R704" s="1"/>
      <c r="S704" s="1"/>
      <c r="T704" s="1"/>
      <c r="U704" s="1"/>
      <c r="V704" s="16"/>
      <c r="W704" s="1"/>
      <c r="X704" s="1"/>
    </row>
    <row r="705" spans="1:24">
      <c r="A705" s="1"/>
      <c r="M705" s="26"/>
      <c r="N705" s="26"/>
      <c r="P705" s="1"/>
      <c r="Q705" s="1"/>
      <c r="R705" s="1"/>
      <c r="S705" s="1"/>
      <c r="T705" s="1"/>
      <c r="U705" s="1"/>
      <c r="V705" s="16"/>
      <c r="W705" s="1"/>
      <c r="X705" s="1"/>
    </row>
    <row r="706" spans="1:24">
      <c r="A706" s="1"/>
      <c r="M706" s="26"/>
      <c r="N706" s="26"/>
      <c r="P706" s="1"/>
      <c r="Q706" s="1"/>
      <c r="R706" s="1"/>
      <c r="S706" s="1"/>
      <c r="T706" s="1"/>
      <c r="U706" s="1"/>
      <c r="V706" s="16"/>
      <c r="W706" s="1"/>
      <c r="X706" s="1"/>
    </row>
    <row r="707" spans="1:24">
      <c r="A707" s="1"/>
      <c r="M707" s="26"/>
      <c r="N707" s="26"/>
      <c r="P707" s="1"/>
      <c r="Q707" s="1"/>
      <c r="R707" s="1"/>
      <c r="S707" s="1"/>
      <c r="T707" s="1"/>
      <c r="U707" s="1"/>
      <c r="V707" s="16"/>
      <c r="W707" s="1"/>
      <c r="X707" s="1"/>
    </row>
    <row r="708" spans="1:24">
      <c r="A708" s="1"/>
      <c r="M708" s="26"/>
      <c r="N708" s="26"/>
      <c r="P708" s="1"/>
      <c r="Q708" s="1"/>
      <c r="R708" s="1"/>
      <c r="S708" s="1"/>
      <c r="T708" s="1"/>
      <c r="U708" s="1"/>
      <c r="V708" s="16"/>
      <c r="W708" s="1"/>
      <c r="X708" s="1"/>
    </row>
    <row r="709" spans="1:24">
      <c r="A709" s="1"/>
      <c r="M709" s="26"/>
      <c r="N709" s="26"/>
      <c r="P709" s="1"/>
      <c r="Q709" s="1"/>
      <c r="R709" s="1"/>
      <c r="S709" s="1"/>
      <c r="T709" s="1"/>
      <c r="U709" s="1"/>
      <c r="V709" s="16"/>
      <c r="W709" s="1"/>
      <c r="X709" s="1"/>
    </row>
    <row r="710" spans="1:24">
      <c r="A710" s="1"/>
      <c r="M710" s="26"/>
      <c r="N710" s="26"/>
      <c r="P710" s="1"/>
      <c r="Q710" s="1"/>
      <c r="R710" s="1"/>
      <c r="S710" s="1"/>
      <c r="T710" s="1"/>
      <c r="U710" s="1"/>
      <c r="V710" s="16"/>
      <c r="W710" s="1"/>
      <c r="X710" s="1"/>
    </row>
    <row r="711" spans="1:24">
      <c r="A711" s="1"/>
      <c r="M711" s="26"/>
      <c r="N711" s="26"/>
      <c r="P711" s="1"/>
      <c r="Q711" s="1"/>
      <c r="R711" s="1"/>
      <c r="S711" s="1"/>
      <c r="T711" s="1"/>
      <c r="U711" s="1"/>
      <c r="V711" s="16"/>
      <c r="W711" s="1"/>
      <c r="X711" s="1"/>
    </row>
    <row r="712" spans="1:24">
      <c r="A712" s="1"/>
      <c r="M712" s="26"/>
      <c r="N712" s="26"/>
      <c r="P712" s="1"/>
      <c r="Q712" s="1"/>
      <c r="R712" s="1"/>
      <c r="S712" s="1"/>
      <c r="T712" s="1"/>
      <c r="U712" s="1"/>
      <c r="V712" s="16"/>
      <c r="W712" s="1"/>
      <c r="X712" s="1"/>
    </row>
    <row r="713" spans="1:24">
      <c r="A713" s="1"/>
      <c r="M713" s="26"/>
      <c r="N713" s="26"/>
      <c r="P713" s="1"/>
      <c r="Q713" s="1"/>
      <c r="R713" s="1"/>
      <c r="S713" s="1"/>
      <c r="T713" s="1"/>
      <c r="U713" s="1"/>
      <c r="V713" s="16"/>
      <c r="W713" s="1"/>
      <c r="X713" s="1"/>
    </row>
    <row r="714" spans="1:24">
      <c r="A714" s="1"/>
      <c r="M714" s="26"/>
      <c r="N714" s="26"/>
      <c r="P714" s="1"/>
      <c r="Q714" s="1"/>
      <c r="R714" s="1"/>
      <c r="S714" s="1"/>
      <c r="T714" s="1"/>
      <c r="U714" s="1"/>
      <c r="V714" s="16"/>
      <c r="W714" s="1"/>
      <c r="X714" s="1"/>
    </row>
    <row r="715" spans="1:24">
      <c r="A715" s="1"/>
      <c r="M715" s="26"/>
      <c r="N715" s="26"/>
      <c r="P715" s="1"/>
      <c r="Q715" s="1"/>
      <c r="R715" s="1"/>
      <c r="S715" s="1"/>
      <c r="T715" s="1"/>
      <c r="U715" s="1"/>
      <c r="V715" s="16"/>
      <c r="W715" s="1"/>
      <c r="X715" s="1"/>
    </row>
    <row r="716" spans="1:24">
      <c r="A716" s="1"/>
      <c r="M716" s="26"/>
      <c r="N716" s="26"/>
      <c r="P716" s="1"/>
      <c r="Q716" s="1"/>
      <c r="R716" s="1"/>
      <c r="S716" s="1"/>
      <c r="T716" s="1"/>
      <c r="U716" s="1"/>
      <c r="V716" s="16"/>
      <c r="W716" s="1"/>
      <c r="X716" s="1"/>
    </row>
    <row r="717" spans="1:24">
      <c r="A717" s="1"/>
      <c r="M717" s="26"/>
      <c r="N717" s="26"/>
      <c r="P717" s="1"/>
      <c r="Q717" s="1"/>
      <c r="R717" s="1"/>
      <c r="S717" s="1"/>
      <c r="T717" s="1"/>
      <c r="U717" s="1"/>
      <c r="V717" s="16"/>
      <c r="W717" s="1"/>
      <c r="X717" s="1"/>
    </row>
    <row r="718" spans="1:24">
      <c r="A718" s="1"/>
      <c r="M718" s="26"/>
      <c r="N718" s="26"/>
      <c r="P718" s="1"/>
      <c r="Q718" s="1"/>
      <c r="R718" s="1"/>
      <c r="S718" s="1"/>
      <c r="T718" s="1"/>
      <c r="U718" s="1"/>
      <c r="V718" s="16"/>
      <c r="W718" s="1"/>
      <c r="X718" s="1"/>
    </row>
    <row r="719" spans="1:24">
      <c r="A719" s="1"/>
      <c r="M719" s="26"/>
      <c r="N719" s="26"/>
      <c r="P719" s="1"/>
      <c r="Q719" s="1"/>
      <c r="R719" s="1"/>
      <c r="S719" s="1"/>
      <c r="T719" s="1"/>
      <c r="U719" s="1"/>
      <c r="V719" s="16"/>
      <c r="W719" s="1"/>
      <c r="X719" s="1"/>
    </row>
    <row r="720" spans="1:24">
      <c r="A720" s="1"/>
      <c r="M720" s="26"/>
      <c r="N720" s="26"/>
      <c r="P720" s="1"/>
      <c r="Q720" s="1"/>
      <c r="R720" s="1"/>
      <c r="S720" s="1"/>
      <c r="T720" s="1"/>
      <c r="U720" s="1"/>
      <c r="V720" s="16"/>
      <c r="W720" s="1"/>
      <c r="X720" s="1"/>
    </row>
    <row r="721" spans="1:24">
      <c r="A721" s="1"/>
      <c r="M721" s="26"/>
      <c r="N721" s="26"/>
      <c r="P721" s="1"/>
      <c r="Q721" s="1"/>
      <c r="R721" s="1"/>
      <c r="S721" s="1"/>
      <c r="T721" s="1"/>
      <c r="U721" s="1"/>
      <c r="V721" s="16"/>
      <c r="W721" s="1"/>
      <c r="X721" s="1"/>
    </row>
    <row r="722" spans="1:24">
      <c r="A722" s="1"/>
      <c r="M722" s="26"/>
      <c r="N722" s="26"/>
      <c r="P722" s="1"/>
      <c r="Q722" s="1"/>
      <c r="R722" s="1"/>
      <c r="S722" s="1"/>
      <c r="T722" s="1"/>
      <c r="U722" s="1"/>
      <c r="V722" s="16"/>
      <c r="W722" s="1"/>
      <c r="X722" s="1"/>
    </row>
    <row r="723" spans="1:24">
      <c r="A723" s="1"/>
      <c r="M723" s="26"/>
      <c r="N723" s="26"/>
      <c r="P723" s="1"/>
      <c r="Q723" s="1"/>
      <c r="R723" s="1"/>
      <c r="S723" s="1"/>
      <c r="T723" s="1"/>
      <c r="U723" s="1"/>
      <c r="V723" s="16"/>
      <c r="W723" s="1"/>
      <c r="X723" s="1"/>
    </row>
    <row r="724" spans="1:24">
      <c r="A724" s="1"/>
      <c r="M724" s="26"/>
      <c r="N724" s="26"/>
      <c r="P724" s="1"/>
      <c r="Q724" s="1"/>
      <c r="R724" s="1"/>
      <c r="S724" s="1"/>
      <c r="T724" s="1"/>
      <c r="U724" s="1"/>
      <c r="V724" s="16"/>
      <c r="W724" s="1"/>
      <c r="X724" s="1"/>
    </row>
    <row r="725" spans="1:24">
      <c r="A725" s="1"/>
      <c r="M725" s="26"/>
      <c r="N725" s="26"/>
      <c r="P725" s="1"/>
      <c r="Q725" s="1"/>
      <c r="R725" s="1"/>
      <c r="S725" s="1"/>
      <c r="T725" s="1"/>
      <c r="U725" s="1"/>
      <c r="V725" s="16"/>
      <c r="W725" s="1"/>
      <c r="X725" s="1"/>
    </row>
    <row r="726" spans="1:24">
      <c r="A726" s="1"/>
      <c r="M726" s="26"/>
      <c r="N726" s="26"/>
      <c r="P726" s="1"/>
      <c r="Q726" s="1"/>
      <c r="R726" s="1"/>
      <c r="S726" s="1"/>
      <c r="T726" s="1"/>
      <c r="U726" s="1"/>
      <c r="V726" s="16"/>
      <c r="W726" s="1"/>
      <c r="X726" s="1"/>
    </row>
    <row r="727" spans="1:24">
      <c r="A727" s="1"/>
      <c r="M727" s="26"/>
      <c r="N727" s="26"/>
      <c r="P727" s="1"/>
      <c r="Q727" s="1"/>
      <c r="R727" s="1"/>
      <c r="S727" s="1"/>
      <c r="T727" s="1"/>
      <c r="U727" s="1"/>
      <c r="V727" s="16"/>
      <c r="W727" s="1"/>
      <c r="X727" s="1"/>
    </row>
    <row r="728" spans="1:24">
      <c r="A728" s="1"/>
      <c r="M728" s="26"/>
      <c r="N728" s="26"/>
      <c r="P728" s="1"/>
      <c r="Q728" s="1"/>
      <c r="R728" s="1"/>
      <c r="S728" s="1"/>
      <c r="T728" s="1"/>
      <c r="U728" s="1"/>
      <c r="V728" s="16"/>
      <c r="W728" s="1"/>
      <c r="X728" s="1"/>
    </row>
    <row r="729" spans="1:24">
      <c r="A729" s="1"/>
      <c r="M729" s="26"/>
      <c r="N729" s="26"/>
      <c r="P729" s="1"/>
      <c r="Q729" s="1"/>
      <c r="R729" s="1"/>
      <c r="S729" s="1"/>
      <c r="T729" s="1"/>
      <c r="U729" s="1"/>
      <c r="V729" s="16"/>
      <c r="W729" s="1"/>
      <c r="X729" s="1"/>
    </row>
    <row r="730" spans="1:24">
      <c r="A730" s="1"/>
      <c r="M730" s="26"/>
      <c r="N730" s="26"/>
      <c r="P730" s="1"/>
      <c r="Q730" s="1"/>
      <c r="R730" s="1"/>
      <c r="S730" s="1"/>
      <c r="T730" s="1"/>
      <c r="U730" s="1"/>
      <c r="V730" s="16"/>
      <c r="W730" s="1"/>
      <c r="X730" s="1"/>
    </row>
    <row r="731" spans="1:24">
      <c r="A731" s="1"/>
      <c r="M731" s="26"/>
      <c r="N731" s="26"/>
      <c r="P731" s="1"/>
      <c r="Q731" s="1"/>
      <c r="R731" s="1"/>
      <c r="S731" s="1"/>
      <c r="T731" s="1"/>
      <c r="U731" s="1"/>
      <c r="V731" s="16"/>
      <c r="W731" s="1"/>
      <c r="X731" s="1"/>
    </row>
    <row r="732" spans="1:24">
      <c r="A732" s="1"/>
      <c r="M732" s="26"/>
      <c r="N732" s="26"/>
      <c r="P732" s="1"/>
      <c r="Q732" s="1"/>
      <c r="R732" s="1"/>
      <c r="S732" s="1"/>
      <c r="T732" s="1"/>
      <c r="U732" s="1"/>
      <c r="V732" s="16"/>
      <c r="W732" s="1"/>
      <c r="X732" s="1"/>
    </row>
    <row r="733" spans="1:24">
      <c r="A733" s="1"/>
      <c r="M733" s="26"/>
      <c r="N733" s="26"/>
      <c r="P733" s="1"/>
      <c r="Q733" s="1"/>
      <c r="R733" s="1"/>
      <c r="S733" s="1"/>
      <c r="T733" s="1"/>
      <c r="U733" s="1"/>
      <c r="V733" s="16"/>
      <c r="W733" s="1"/>
      <c r="X733" s="1"/>
    </row>
    <row r="734" spans="1:24">
      <c r="A734" s="1"/>
      <c r="M734" s="26"/>
      <c r="N734" s="26"/>
      <c r="P734" s="1"/>
      <c r="Q734" s="1"/>
      <c r="R734" s="1"/>
      <c r="S734" s="1"/>
      <c r="T734" s="1"/>
      <c r="U734" s="1"/>
      <c r="V734" s="16"/>
      <c r="W734" s="1"/>
      <c r="X734" s="1"/>
    </row>
    <row r="735" spans="1:24">
      <c r="A735" s="1"/>
      <c r="M735" s="26"/>
      <c r="N735" s="26"/>
      <c r="P735" s="1"/>
      <c r="Q735" s="1"/>
      <c r="R735" s="1"/>
      <c r="S735" s="1"/>
      <c r="T735" s="1"/>
      <c r="U735" s="1"/>
      <c r="V735" s="16"/>
      <c r="W735" s="1"/>
      <c r="X735" s="1"/>
    </row>
    <row r="736" spans="1:24">
      <c r="A736" s="1"/>
      <c r="M736" s="26"/>
      <c r="N736" s="26"/>
      <c r="P736" s="1"/>
      <c r="Q736" s="1"/>
      <c r="R736" s="1"/>
      <c r="S736" s="1"/>
      <c r="T736" s="1"/>
      <c r="U736" s="1"/>
      <c r="V736" s="16"/>
      <c r="W736" s="1"/>
      <c r="X736" s="1"/>
    </row>
    <row r="737" spans="1:24">
      <c r="A737" s="1"/>
      <c r="M737" s="26"/>
      <c r="N737" s="26"/>
      <c r="P737" s="1"/>
      <c r="Q737" s="1"/>
      <c r="R737" s="1"/>
      <c r="S737" s="1"/>
      <c r="T737" s="1"/>
      <c r="U737" s="1"/>
      <c r="V737" s="16"/>
      <c r="W737" s="1"/>
      <c r="X737" s="1"/>
    </row>
    <row r="738" spans="1:24">
      <c r="A738" s="1"/>
      <c r="M738" s="26"/>
      <c r="N738" s="26"/>
      <c r="P738" s="1"/>
      <c r="Q738" s="1"/>
      <c r="R738" s="1"/>
      <c r="S738" s="1"/>
      <c r="T738" s="1"/>
      <c r="U738" s="1"/>
      <c r="V738" s="16"/>
      <c r="W738" s="1"/>
      <c r="X738" s="1"/>
    </row>
    <row r="739" spans="1:24">
      <c r="A739" s="1"/>
      <c r="M739" s="26"/>
      <c r="N739" s="26"/>
      <c r="P739" s="1"/>
      <c r="Q739" s="1"/>
      <c r="R739" s="1"/>
      <c r="S739" s="1"/>
      <c r="T739" s="1"/>
      <c r="U739" s="1"/>
      <c r="V739" s="16"/>
      <c r="W739" s="1"/>
      <c r="X739" s="1"/>
    </row>
    <row r="740" spans="1:24">
      <c r="A740" s="1"/>
      <c r="M740" s="26"/>
      <c r="N740" s="26"/>
      <c r="P740" s="1"/>
      <c r="Q740" s="1"/>
      <c r="R740" s="1"/>
      <c r="S740" s="1"/>
      <c r="T740" s="1"/>
      <c r="U740" s="1"/>
      <c r="V740" s="16"/>
      <c r="W740" s="1"/>
      <c r="X740" s="1"/>
    </row>
    <row r="741" spans="1:24">
      <c r="A741" s="1"/>
      <c r="M741" s="26"/>
      <c r="N741" s="26"/>
      <c r="P741" s="1"/>
      <c r="Q741" s="1"/>
      <c r="R741" s="1"/>
      <c r="S741" s="1"/>
      <c r="T741" s="1"/>
      <c r="U741" s="1"/>
      <c r="V741" s="16"/>
      <c r="W741" s="1"/>
      <c r="X741" s="1"/>
    </row>
    <row r="742" spans="1:24">
      <c r="A742" s="1"/>
      <c r="M742" s="26"/>
      <c r="N742" s="26"/>
      <c r="P742" s="1"/>
      <c r="Q742" s="1"/>
      <c r="R742" s="1"/>
      <c r="S742" s="1"/>
      <c r="T742" s="1"/>
      <c r="U742" s="1"/>
      <c r="V742" s="16"/>
      <c r="W742" s="1"/>
      <c r="X742" s="1"/>
    </row>
    <row r="743" spans="1:24">
      <c r="A743" s="1"/>
      <c r="M743" s="26"/>
      <c r="N743" s="26"/>
      <c r="P743" s="1"/>
      <c r="Q743" s="1"/>
      <c r="R743" s="1"/>
      <c r="S743" s="1"/>
      <c r="T743" s="1"/>
      <c r="U743" s="1"/>
      <c r="V743" s="16"/>
      <c r="W743" s="1"/>
      <c r="X743" s="1"/>
    </row>
    <row r="744" spans="1:24">
      <c r="A744" s="1"/>
      <c r="M744" s="26"/>
      <c r="N744" s="26"/>
      <c r="P744" s="1"/>
      <c r="Q744" s="1"/>
      <c r="R744" s="1"/>
      <c r="S744" s="1"/>
      <c r="T744" s="1"/>
      <c r="U744" s="1"/>
      <c r="V744" s="16"/>
      <c r="W744" s="1"/>
      <c r="X744" s="1"/>
    </row>
    <row r="745" spans="1:24">
      <c r="A745" s="1"/>
      <c r="M745" s="26"/>
      <c r="N745" s="26"/>
      <c r="P745" s="1"/>
      <c r="Q745" s="1"/>
      <c r="R745" s="1"/>
      <c r="S745" s="1"/>
      <c r="T745" s="1"/>
      <c r="U745" s="1"/>
      <c r="V745" s="16"/>
      <c r="W745" s="1"/>
      <c r="X745" s="1"/>
    </row>
    <row r="746" spans="1:24">
      <c r="A746" s="1"/>
      <c r="M746" s="26"/>
      <c r="N746" s="26"/>
      <c r="P746" s="1"/>
      <c r="Q746" s="1"/>
      <c r="R746" s="1"/>
      <c r="S746" s="1"/>
      <c r="T746" s="1"/>
      <c r="U746" s="1"/>
      <c r="V746" s="16"/>
      <c r="W746" s="1"/>
      <c r="X746" s="1"/>
    </row>
    <row r="747" spans="1:24">
      <c r="A747" s="1"/>
      <c r="M747" s="26"/>
      <c r="N747" s="26"/>
      <c r="P747" s="1"/>
      <c r="Q747" s="1"/>
      <c r="R747" s="1"/>
      <c r="S747" s="1"/>
      <c r="T747" s="1"/>
      <c r="U747" s="1"/>
      <c r="V747" s="16"/>
      <c r="W747" s="1"/>
      <c r="X747" s="1"/>
    </row>
    <row r="748" spans="1:24">
      <c r="A748" s="1"/>
      <c r="M748" s="26"/>
      <c r="N748" s="26"/>
      <c r="P748" s="1"/>
      <c r="Q748" s="1"/>
      <c r="R748" s="1"/>
      <c r="S748" s="1"/>
      <c r="T748" s="1"/>
      <c r="U748" s="1"/>
      <c r="V748" s="16"/>
      <c r="W748" s="1"/>
      <c r="X748" s="1"/>
    </row>
    <row r="749" spans="1:24">
      <c r="A749" s="1"/>
      <c r="M749" s="26"/>
      <c r="N749" s="26"/>
      <c r="P749" s="1"/>
      <c r="Q749" s="1"/>
      <c r="R749" s="1"/>
      <c r="S749" s="1"/>
      <c r="T749" s="1"/>
      <c r="U749" s="1"/>
      <c r="V749" s="16"/>
      <c r="W749" s="1"/>
      <c r="X749" s="1"/>
    </row>
    <row r="750" spans="1:24">
      <c r="A750" s="1"/>
      <c r="M750" s="26"/>
      <c r="N750" s="26"/>
      <c r="P750" s="1"/>
      <c r="Q750" s="1"/>
      <c r="R750" s="1"/>
      <c r="S750" s="1"/>
      <c r="T750" s="1"/>
      <c r="U750" s="1"/>
      <c r="V750" s="16"/>
      <c r="W750" s="1"/>
      <c r="X750" s="1"/>
    </row>
    <row r="751" spans="1:24">
      <c r="A751" s="1"/>
      <c r="M751" s="26"/>
      <c r="N751" s="26"/>
      <c r="P751" s="1"/>
      <c r="Q751" s="1"/>
      <c r="R751" s="1"/>
      <c r="S751" s="1"/>
      <c r="T751" s="1"/>
      <c r="U751" s="1"/>
      <c r="V751" s="16"/>
      <c r="W751" s="1"/>
      <c r="X751" s="1"/>
    </row>
    <row r="752" spans="1:24">
      <c r="A752" s="1"/>
      <c r="M752" s="26"/>
      <c r="N752" s="26"/>
      <c r="P752" s="1"/>
      <c r="Q752" s="1"/>
      <c r="R752" s="1"/>
      <c r="S752" s="1"/>
      <c r="T752" s="1"/>
      <c r="U752" s="1"/>
      <c r="V752" s="16"/>
      <c r="W752" s="1"/>
      <c r="X752" s="1"/>
    </row>
    <row r="753" spans="1:24">
      <c r="A753" s="1"/>
      <c r="M753" s="26"/>
      <c r="N753" s="26"/>
      <c r="P753" s="1"/>
      <c r="Q753" s="1"/>
      <c r="R753" s="1"/>
      <c r="S753" s="1"/>
      <c r="T753" s="1"/>
      <c r="U753" s="1"/>
      <c r="V753" s="16"/>
      <c r="W753" s="1"/>
      <c r="X753" s="1"/>
    </row>
    <row r="754" spans="1:24">
      <c r="A754" s="1"/>
      <c r="M754" s="26"/>
      <c r="N754" s="26"/>
      <c r="P754" s="1"/>
      <c r="Q754" s="1"/>
      <c r="R754" s="1"/>
      <c r="S754" s="1"/>
      <c r="T754" s="1"/>
      <c r="U754" s="1"/>
      <c r="V754" s="16"/>
      <c r="W754" s="1"/>
      <c r="X754" s="1"/>
    </row>
    <row r="755" spans="1:24">
      <c r="A755" s="1"/>
      <c r="M755" s="26"/>
      <c r="N755" s="26"/>
      <c r="P755" s="1"/>
      <c r="Q755" s="1"/>
      <c r="R755" s="1"/>
      <c r="S755" s="1"/>
      <c r="T755" s="1"/>
      <c r="U755" s="1"/>
      <c r="V755" s="16"/>
      <c r="W755" s="1"/>
      <c r="X755" s="1"/>
    </row>
    <row r="756" spans="1:24">
      <c r="A756" s="1"/>
      <c r="M756" s="26"/>
      <c r="N756" s="26"/>
      <c r="P756" s="1"/>
      <c r="Q756" s="1"/>
      <c r="R756" s="1"/>
      <c r="S756" s="1"/>
      <c r="T756" s="1"/>
      <c r="U756" s="1"/>
      <c r="V756" s="16"/>
      <c r="W756" s="1"/>
      <c r="X756" s="1"/>
    </row>
    <row r="757" spans="1:24">
      <c r="A757" s="1"/>
      <c r="M757" s="26"/>
      <c r="N757" s="26"/>
      <c r="P757" s="1"/>
      <c r="Q757" s="1"/>
      <c r="R757" s="1"/>
      <c r="S757" s="1"/>
      <c r="T757" s="1"/>
      <c r="U757" s="1"/>
      <c r="V757" s="16"/>
      <c r="W757" s="1"/>
      <c r="X757" s="1"/>
    </row>
    <row r="758" spans="1:24">
      <c r="A758" s="1"/>
      <c r="M758" s="26"/>
      <c r="N758" s="26"/>
      <c r="P758" s="1"/>
      <c r="Q758" s="1"/>
      <c r="R758" s="1"/>
      <c r="S758" s="1"/>
      <c r="T758" s="1"/>
      <c r="U758" s="1"/>
      <c r="V758" s="16"/>
      <c r="W758" s="1"/>
      <c r="X758" s="1"/>
    </row>
    <row r="759" spans="1:24">
      <c r="A759" s="1"/>
      <c r="M759" s="26"/>
      <c r="N759" s="26"/>
      <c r="P759" s="1"/>
      <c r="Q759" s="1"/>
      <c r="R759" s="1"/>
      <c r="S759" s="1"/>
      <c r="T759" s="1"/>
      <c r="U759" s="1"/>
      <c r="V759" s="16"/>
      <c r="W759" s="1"/>
      <c r="X759" s="1"/>
    </row>
    <row r="760" spans="1:24">
      <c r="A760" s="1"/>
      <c r="M760" s="26"/>
      <c r="N760" s="26"/>
      <c r="P760" s="1"/>
      <c r="Q760" s="1"/>
      <c r="R760" s="1"/>
      <c r="S760" s="1"/>
      <c r="T760" s="1"/>
      <c r="U760" s="1"/>
      <c r="V760" s="16"/>
      <c r="W760" s="1"/>
      <c r="X760" s="1"/>
    </row>
    <row r="761" spans="1:24">
      <c r="A761" s="1"/>
      <c r="M761" s="26"/>
      <c r="N761" s="26"/>
      <c r="P761" s="1"/>
      <c r="Q761" s="1"/>
      <c r="R761" s="1"/>
      <c r="S761" s="1"/>
      <c r="T761" s="1"/>
      <c r="U761" s="1"/>
      <c r="V761" s="16"/>
      <c r="W761" s="1"/>
      <c r="X761" s="1"/>
    </row>
    <row r="762" spans="1:24">
      <c r="A762" s="1"/>
      <c r="M762" s="26"/>
      <c r="N762" s="26"/>
      <c r="P762" s="1"/>
      <c r="Q762" s="1"/>
      <c r="R762" s="1"/>
      <c r="S762" s="1"/>
      <c r="T762" s="1"/>
      <c r="U762" s="1"/>
      <c r="V762" s="16"/>
      <c r="W762" s="1"/>
      <c r="X762" s="1"/>
    </row>
    <row r="763" spans="1:24">
      <c r="A763" s="1"/>
      <c r="M763" s="26"/>
      <c r="N763" s="26"/>
      <c r="P763" s="1"/>
      <c r="Q763" s="1"/>
      <c r="R763" s="1"/>
      <c r="S763" s="1"/>
      <c r="T763" s="1"/>
      <c r="U763" s="1"/>
      <c r="V763" s="16"/>
      <c r="W763" s="1"/>
      <c r="X763" s="1"/>
    </row>
    <row r="764" spans="1:24">
      <c r="A764" s="1"/>
      <c r="M764" s="26"/>
      <c r="N764" s="26"/>
      <c r="P764" s="1"/>
      <c r="Q764" s="1"/>
      <c r="R764" s="1"/>
      <c r="S764" s="1"/>
      <c r="T764" s="1"/>
      <c r="U764" s="1"/>
      <c r="V764" s="16"/>
      <c r="W764" s="1"/>
      <c r="X764" s="1"/>
    </row>
    <row r="765" spans="1:24">
      <c r="A765" s="1"/>
      <c r="M765" s="26"/>
      <c r="N765" s="26"/>
      <c r="P765" s="1"/>
      <c r="Q765" s="1"/>
      <c r="R765" s="1"/>
      <c r="S765" s="1"/>
      <c r="T765" s="1"/>
      <c r="U765" s="1"/>
      <c r="V765" s="16"/>
      <c r="W765" s="1"/>
      <c r="X765" s="1"/>
    </row>
    <row r="766" spans="1:24">
      <c r="A766" s="1"/>
      <c r="M766" s="26"/>
      <c r="N766" s="26"/>
      <c r="P766" s="1"/>
      <c r="Q766" s="1"/>
      <c r="R766" s="1"/>
      <c r="S766" s="1"/>
      <c r="T766" s="1"/>
      <c r="U766" s="1"/>
      <c r="V766" s="16"/>
      <c r="W766" s="1"/>
      <c r="X766" s="1"/>
    </row>
    <row r="767" spans="1:24">
      <c r="A767" s="1"/>
      <c r="M767" s="26"/>
      <c r="N767" s="26"/>
      <c r="P767" s="1"/>
      <c r="Q767" s="1"/>
      <c r="R767" s="1"/>
      <c r="S767" s="1"/>
      <c r="T767" s="1"/>
      <c r="U767" s="1"/>
      <c r="V767" s="16"/>
      <c r="W767" s="1"/>
      <c r="X767" s="1"/>
    </row>
    <row r="768" spans="1:24">
      <c r="A768" s="1"/>
      <c r="M768" s="26"/>
      <c r="N768" s="26"/>
      <c r="P768" s="1"/>
      <c r="Q768" s="1"/>
      <c r="R768" s="1"/>
      <c r="S768" s="1"/>
      <c r="T768" s="1"/>
      <c r="U768" s="1"/>
      <c r="V768" s="16"/>
      <c r="W768" s="1"/>
      <c r="X768" s="1"/>
    </row>
    <row r="769" spans="1:24">
      <c r="A769" s="1"/>
      <c r="M769" s="26"/>
      <c r="N769" s="26"/>
      <c r="P769" s="1"/>
      <c r="Q769" s="1"/>
      <c r="R769" s="1"/>
      <c r="S769" s="1"/>
      <c r="T769" s="1"/>
      <c r="U769" s="1"/>
      <c r="V769" s="16"/>
      <c r="W769" s="1"/>
      <c r="X769" s="1"/>
    </row>
    <row r="770" spans="1:24">
      <c r="A770" s="1"/>
      <c r="M770" s="26"/>
      <c r="N770" s="26"/>
      <c r="P770" s="1"/>
      <c r="Q770" s="1"/>
      <c r="R770" s="1"/>
      <c r="S770" s="1"/>
      <c r="T770" s="1"/>
      <c r="U770" s="1"/>
      <c r="V770" s="16"/>
      <c r="W770" s="1"/>
      <c r="X770" s="1"/>
    </row>
    <row r="771" spans="1:24">
      <c r="A771" s="1"/>
      <c r="M771" s="26"/>
      <c r="N771" s="26"/>
      <c r="P771" s="1"/>
      <c r="Q771" s="1"/>
      <c r="R771" s="1"/>
      <c r="S771" s="1"/>
      <c r="T771" s="1"/>
      <c r="U771" s="1"/>
      <c r="V771" s="16"/>
      <c r="W771" s="1"/>
      <c r="X771" s="1"/>
    </row>
    <row r="772" spans="1:24">
      <c r="A772" s="1"/>
      <c r="M772" s="26"/>
      <c r="N772" s="26"/>
      <c r="P772" s="1"/>
      <c r="Q772" s="1"/>
      <c r="R772" s="1"/>
      <c r="S772" s="1"/>
      <c r="T772" s="1"/>
      <c r="U772" s="1"/>
      <c r="V772" s="16"/>
      <c r="W772" s="1"/>
      <c r="X772" s="1"/>
    </row>
    <row r="773" spans="1:24">
      <c r="A773" s="1"/>
      <c r="M773" s="26"/>
      <c r="N773" s="26"/>
      <c r="P773" s="1"/>
      <c r="Q773" s="1"/>
      <c r="R773" s="1"/>
      <c r="S773" s="1"/>
      <c r="T773" s="1"/>
      <c r="U773" s="1"/>
      <c r="V773" s="16"/>
      <c r="W773" s="1"/>
      <c r="X773" s="1"/>
    </row>
    <row r="774" spans="1:24">
      <c r="A774" s="1"/>
      <c r="M774" s="26"/>
      <c r="N774" s="26"/>
      <c r="P774" s="1"/>
      <c r="Q774" s="1"/>
      <c r="R774" s="1"/>
      <c r="S774" s="1"/>
      <c r="T774" s="1"/>
      <c r="U774" s="1"/>
      <c r="V774" s="16"/>
      <c r="W774" s="1"/>
      <c r="X774" s="1"/>
    </row>
    <row r="775" spans="1:24">
      <c r="A775" s="1"/>
      <c r="M775" s="26"/>
      <c r="N775" s="26"/>
      <c r="P775" s="1"/>
      <c r="Q775" s="1"/>
      <c r="R775" s="1"/>
      <c r="S775" s="1"/>
      <c r="T775" s="1"/>
      <c r="U775" s="1"/>
      <c r="V775" s="16"/>
      <c r="W775" s="1"/>
      <c r="X775" s="1"/>
    </row>
    <row r="776" spans="1:24">
      <c r="A776" s="1"/>
      <c r="M776" s="26"/>
      <c r="N776" s="26"/>
      <c r="P776" s="1"/>
      <c r="Q776" s="1"/>
      <c r="R776" s="1"/>
      <c r="S776" s="1"/>
      <c r="T776" s="1"/>
      <c r="U776" s="1"/>
      <c r="V776" s="16"/>
      <c r="W776" s="1"/>
      <c r="X776" s="1"/>
    </row>
    <row r="777" spans="1:24">
      <c r="A777" s="1"/>
      <c r="M777" s="26"/>
      <c r="N777" s="26"/>
      <c r="P777" s="1"/>
      <c r="Q777" s="1"/>
      <c r="R777" s="1"/>
      <c r="S777" s="1"/>
      <c r="T777" s="1"/>
      <c r="U777" s="1"/>
      <c r="V777" s="16"/>
      <c r="W777" s="1"/>
      <c r="X777" s="1"/>
    </row>
    <row r="778" spans="1:24">
      <c r="A778" s="1"/>
      <c r="M778" s="26"/>
      <c r="N778" s="26"/>
      <c r="P778" s="1"/>
      <c r="Q778" s="1"/>
      <c r="R778" s="1"/>
      <c r="S778" s="1"/>
      <c r="T778" s="1"/>
      <c r="U778" s="1"/>
      <c r="V778" s="16"/>
      <c r="W778" s="1"/>
      <c r="X778" s="1"/>
    </row>
    <row r="779" spans="1:24">
      <c r="A779" s="1"/>
      <c r="M779" s="26"/>
      <c r="N779" s="26"/>
      <c r="P779" s="1"/>
      <c r="Q779" s="1"/>
      <c r="R779" s="1"/>
      <c r="S779" s="1"/>
      <c r="T779" s="1"/>
      <c r="U779" s="1"/>
      <c r="V779" s="16"/>
      <c r="W779" s="1"/>
      <c r="X779" s="1"/>
    </row>
    <row r="780" spans="1:24">
      <c r="A780" s="1"/>
      <c r="M780" s="26"/>
      <c r="N780" s="26"/>
      <c r="P780" s="1"/>
      <c r="Q780" s="1"/>
      <c r="R780" s="1"/>
      <c r="S780" s="1"/>
      <c r="T780" s="1"/>
      <c r="U780" s="1"/>
      <c r="V780" s="16"/>
      <c r="W780" s="1"/>
      <c r="X780" s="1"/>
    </row>
    <row r="781" spans="1:24">
      <c r="A781" s="1"/>
      <c r="M781" s="26"/>
      <c r="N781" s="26"/>
      <c r="P781" s="1"/>
      <c r="Q781" s="1"/>
      <c r="R781" s="1"/>
      <c r="S781" s="1"/>
      <c r="T781" s="1"/>
      <c r="U781" s="1"/>
      <c r="V781" s="16"/>
      <c r="W781" s="1"/>
      <c r="X781" s="1"/>
    </row>
    <row r="782" spans="1:24">
      <c r="A782" s="1"/>
      <c r="M782" s="26"/>
      <c r="N782" s="26"/>
      <c r="P782" s="1"/>
      <c r="Q782" s="1"/>
      <c r="R782" s="1"/>
      <c r="S782" s="1"/>
      <c r="T782" s="1"/>
      <c r="U782" s="1"/>
      <c r="V782" s="16"/>
      <c r="W782" s="1"/>
      <c r="X782" s="1"/>
    </row>
    <row r="783" spans="1:24">
      <c r="A783" s="1"/>
      <c r="M783" s="26"/>
      <c r="N783" s="26"/>
      <c r="P783" s="1"/>
      <c r="Q783" s="1"/>
      <c r="R783" s="1"/>
      <c r="S783" s="1"/>
      <c r="T783" s="1"/>
      <c r="U783" s="1"/>
      <c r="V783" s="16"/>
      <c r="W783" s="1"/>
      <c r="X783" s="1"/>
    </row>
    <row r="784" spans="1:24">
      <c r="A784" s="1"/>
      <c r="M784" s="26"/>
      <c r="N784" s="26"/>
      <c r="P784" s="1"/>
      <c r="Q784" s="1"/>
      <c r="R784" s="1"/>
      <c r="S784" s="1"/>
      <c r="T784" s="1"/>
      <c r="U784" s="1"/>
      <c r="V784" s="16"/>
      <c r="W784" s="1"/>
      <c r="X784" s="1"/>
    </row>
    <row r="785" spans="1:24">
      <c r="A785" s="1"/>
      <c r="M785" s="26"/>
      <c r="N785" s="26"/>
      <c r="P785" s="1"/>
      <c r="Q785" s="1"/>
      <c r="R785" s="1"/>
      <c r="S785" s="1"/>
      <c r="T785" s="1"/>
      <c r="U785" s="1"/>
      <c r="V785" s="16"/>
      <c r="W785" s="1"/>
      <c r="X785" s="1"/>
    </row>
    <row r="786" spans="1:24">
      <c r="A786" s="1"/>
      <c r="M786" s="26"/>
      <c r="N786" s="26"/>
      <c r="P786" s="1"/>
      <c r="Q786" s="1"/>
      <c r="R786" s="1"/>
      <c r="S786" s="1"/>
      <c r="T786" s="1"/>
      <c r="U786" s="1"/>
      <c r="V786" s="16"/>
      <c r="W786" s="1"/>
      <c r="X786" s="1"/>
    </row>
    <row r="787" spans="1:24">
      <c r="A787" s="1"/>
      <c r="M787" s="26"/>
      <c r="N787" s="26"/>
      <c r="P787" s="1"/>
      <c r="Q787" s="1"/>
      <c r="R787" s="1"/>
      <c r="S787" s="1"/>
      <c r="T787" s="1"/>
      <c r="U787" s="1"/>
      <c r="V787" s="16"/>
      <c r="W787" s="1"/>
      <c r="X787" s="1"/>
    </row>
    <row r="788" spans="1:24">
      <c r="A788" s="1"/>
      <c r="M788" s="26"/>
      <c r="N788" s="26"/>
      <c r="P788" s="1"/>
      <c r="Q788" s="1"/>
      <c r="R788" s="1"/>
      <c r="S788" s="1"/>
      <c r="T788" s="1"/>
      <c r="U788" s="1"/>
      <c r="V788" s="16"/>
      <c r="W788" s="1"/>
      <c r="X788" s="1"/>
    </row>
    <row r="789" spans="1:24">
      <c r="A789" s="1"/>
      <c r="M789" s="26"/>
      <c r="N789" s="26"/>
      <c r="P789" s="1"/>
      <c r="Q789" s="1"/>
      <c r="R789" s="1"/>
      <c r="S789" s="1"/>
      <c r="T789" s="1"/>
      <c r="U789" s="1"/>
      <c r="V789" s="16"/>
      <c r="W789" s="1"/>
      <c r="X789" s="1"/>
    </row>
    <row r="790" spans="1:24">
      <c r="A790" s="1"/>
      <c r="M790" s="26"/>
      <c r="N790" s="26"/>
      <c r="P790" s="1"/>
      <c r="Q790" s="1"/>
      <c r="R790" s="1"/>
      <c r="S790" s="1"/>
      <c r="T790" s="1"/>
      <c r="U790" s="1"/>
      <c r="V790" s="16"/>
      <c r="W790" s="1"/>
      <c r="X790" s="1"/>
    </row>
    <row r="791" spans="1:24">
      <c r="A791" s="1"/>
      <c r="M791" s="26"/>
      <c r="N791" s="26"/>
      <c r="P791" s="1"/>
      <c r="Q791" s="1"/>
      <c r="R791" s="1"/>
      <c r="S791" s="1"/>
      <c r="T791" s="1"/>
      <c r="U791" s="1"/>
      <c r="V791" s="16"/>
      <c r="W791" s="1"/>
      <c r="X791" s="1"/>
    </row>
    <row r="792" spans="1:24">
      <c r="A792" s="1"/>
      <c r="M792" s="26"/>
      <c r="N792" s="26"/>
      <c r="P792" s="1"/>
      <c r="Q792" s="1"/>
      <c r="R792" s="1"/>
      <c r="S792" s="1"/>
      <c r="T792" s="1"/>
      <c r="U792" s="1"/>
      <c r="V792" s="16"/>
      <c r="W792" s="1"/>
      <c r="X792" s="1"/>
    </row>
    <row r="793" spans="1:24">
      <c r="A793" s="1"/>
      <c r="M793" s="26"/>
      <c r="N793" s="26"/>
      <c r="P793" s="1"/>
      <c r="Q793" s="1"/>
      <c r="R793" s="1"/>
      <c r="S793" s="1"/>
      <c r="T793" s="1"/>
      <c r="U793" s="1"/>
      <c r="V793" s="16"/>
      <c r="W793" s="1"/>
      <c r="X793" s="1"/>
    </row>
    <row r="794" spans="1:24">
      <c r="A794" s="1"/>
      <c r="M794" s="26"/>
      <c r="N794" s="26"/>
      <c r="P794" s="1"/>
      <c r="Q794" s="1"/>
      <c r="R794" s="1"/>
      <c r="S794" s="1"/>
      <c r="T794" s="1"/>
      <c r="U794" s="1"/>
      <c r="V794" s="16"/>
      <c r="W794" s="1"/>
      <c r="X794" s="1"/>
    </row>
    <row r="795" spans="1:24">
      <c r="A795" s="1"/>
      <c r="M795" s="26"/>
      <c r="N795" s="26"/>
      <c r="P795" s="1"/>
      <c r="Q795" s="1"/>
      <c r="R795" s="1"/>
      <c r="S795" s="1"/>
      <c r="T795" s="1"/>
      <c r="U795" s="1"/>
      <c r="V795" s="16"/>
      <c r="W795" s="1"/>
      <c r="X795" s="1"/>
    </row>
    <row r="796" spans="1:24">
      <c r="A796" s="1"/>
      <c r="M796" s="26"/>
      <c r="N796" s="26"/>
      <c r="P796" s="1"/>
      <c r="Q796" s="1"/>
      <c r="R796" s="1"/>
      <c r="S796" s="1"/>
      <c r="T796" s="1"/>
      <c r="U796" s="1"/>
      <c r="V796" s="16"/>
      <c r="W796" s="1"/>
      <c r="X796" s="1"/>
    </row>
    <row r="797" spans="1:24">
      <c r="A797" s="1"/>
      <c r="M797" s="26"/>
      <c r="N797" s="26"/>
      <c r="P797" s="1"/>
      <c r="Q797" s="1"/>
      <c r="R797" s="1"/>
      <c r="S797" s="1"/>
      <c r="T797" s="1"/>
      <c r="U797" s="1"/>
      <c r="V797" s="16"/>
      <c r="W797" s="1"/>
      <c r="X797" s="1"/>
    </row>
    <row r="798" spans="1:24">
      <c r="A798" s="1"/>
      <c r="M798" s="26"/>
      <c r="N798" s="26"/>
      <c r="P798" s="1"/>
      <c r="Q798" s="1"/>
      <c r="R798" s="1"/>
      <c r="S798" s="1"/>
      <c r="T798" s="1"/>
      <c r="U798" s="1"/>
      <c r="V798" s="16"/>
      <c r="W798" s="1"/>
      <c r="X798" s="1"/>
    </row>
    <row r="799" spans="1:24">
      <c r="A799" s="1"/>
      <c r="M799" s="26"/>
      <c r="N799" s="26"/>
      <c r="P799" s="1"/>
      <c r="Q799" s="1"/>
      <c r="R799" s="1"/>
      <c r="S799" s="1"/>
      <c r="T799" s="1"/>
      <c r="U799" s="1"/>
      <c r="V799" s="16"/>
      <c r="W799" s="1"/>
      <c r="X799" s="1"/>
    </row>
    <row r="800" spans="1:24">
      <c r="A800" s="1"/>
      <c r="M800" s="26"/>
      <c r="N800" s="26"/>
      <c r="P800" s="1"/>
      <c r="Q800" s="1"/>
      <c r="R800" s="1"/>
      <c r="S800" s="1"/>
      <c r="T800" s="1"/>
      <c r="U800" s="1"/>
      <c r="V800" s="16"/>
      <c r="W800" s="1"/>
      <c r="X800" s="1"/>
    </row>
    <row r="801" spans="1:24">
      <c r="A801" s="1"/>
      <c r="M801" s="26"/>
      <c r="N801" s="26"/>
      <c r="P801" s="1"/>
      <c r="Q801" s="1"/>
      <c r="R801" s="1"/>
      <c r="S801" s="1"/>
      <c r="T801" s="1"/>
      <c r="U801" s="1"/>
      <c r="V801" s="16"/>
      <c r="W801" s="1"/>
      <c r="X801" s="1"/>
    </row>
    <row r="802" spans="1:24">
      <c r="A802" s="1"/>
      <c r="M802" s="26"/>
      <c r="N802" s="26"/>
      <c r="P802" s="1"/>
      <c r="Q802" s="1"/>
      <c r="R802" s="1"/>
      <c r="S802" s="1"/>
      <c r="T802" s="1"/>
      <c r="U802" s="1"/>
      <c r="V802" s="16"/>
      <c r="W802" s="1"/>
      <c r="X802" s="1"/>
    </row>
    <row r="803" spans="1:24">
      <c r="A803" s="1"/>
      <c r="M803" s="26"/>
      <c r="N803" s="26"/>
      <c r="P803" s="1"/>
      <c r="Q803" s="1"/>
      <c r="R803" s="1"/>
      <c r="S803" s="1"/>
      <c r="T803" s="1"/>
      <c r="U803" s="1"/>
      <c r="V803" s="16"/>
      <c r="W803" s="1"/>
      <c r="X803" s="1"/>
    </row>
    <row r="804" spans="1:24">
      <c r="A804" s="1"/>
      <c r="M804" s="26"/>
      <c r="N804" s="26"/>
      <c r="P804" s="1"/>
      <c r="Q804" s="1"/>
      <c r="R804" s="1"/>
      <c r="S804" s="1"/>
      <c r="T804" s="1"/>
      <c r="U804" s="1"/>
      <c r="V804" s="16"/>
      <c r="W804" s="1"/>
      <c r="X804" s="1"/>
    </row>
    <row r="805" spans="1:24">
      <c r="A805" s="1"/>
      <c r="M805" s="26"/>
      <c r="N805" s="26"/>
      <c r="P805" s="1"/>
      <c r="Q805" s="1"/>
      <c r="R805" s="1"/>
      <c r="S805" s="1"/>
      <c r="T805" s="1"/>
      <c r="U805" s="1"/>
      <c r="V805" s="16"/>
      <c r="W805" s="1"/>
      <c r="X805" s="1"/>
    </row>
    <row r="806" spans="1:24">
      <c r="A806" s="1"/>
      <c r="M806" s="26"/>
      <c r="N806" s="26"/>
      <c r="P806" s="1"/>
      <c r="Q806" s="1"/>
      <c r="R806" s="1"/>
      <c r="S806" s="1"/>
      <c r="T806" s="1"/>
      <c r="U806" s="1"/>
      <c r="V806" s="16"/>
      <c r="W806" s="1"/>
      <c r="X806" s="1"/>
    </row>
    <row r="807" spans="1:24">
      <c r="A807" s="1"/>
      <c r="M807" s="26"/>
      <c r="N807" s="26"/>
      <c r="P807" s="1"/>
      <c r="Q807" s="1"/>
      <c r="R807" s="1"/>
      <c r="S807" s="1"/>
      <c r="T807" s="1"/>
      <c r="U807" s="1"/>
      <c r="V807" s="16"/>
      <c r="W807" s="1"/>
      <c r="X807" s="1"/>
    </row>
    <row r="808" spans="1:24">
      <c r="A808" s="1"/>
      <c r="M808" s="26"/>
      <c r="N808" s="26"/>
      <c r="P808" s="1"/>
      <c r="Q808" s="1"/>
      <c r="R808" s="1"/>
      <c r="S808" s="1"/>
      <c r="T808" s="1"/>
      <c r="U808" s="1"/>
      <c r="V808" s="16"/>
      <c r="W808" s="1"/>
      <c r="X808" s="1"/>
    </row>
    <row r="809" spans="1:24">
      <c r="A809" s="1"/>
      <c r="M809" s="26"/>
      <c r="N809" s="26"/>
      <c r="P809" s="1"/>
      <c r="Q809" s="1"/>
      <c r="R809" s="1"/>
      <c r="S809" s="1"/>
      <c r="T809" s="1"/>
      <c r="U809" s="1"/>
      <c r="V809" s="16"/>
      <c r="W809" s="1"/>
      <c r="X809" s="1"/>
    </row>
    <row r="810" spans="1:24">
      <c r="A810" s="1"/>
      <c r="M810" s="26"/>
      <c r="N810" s="26"/>
      <c r="P810" s="1"/>
      <c r="Q810" s="1"/>
      <c r="R810" s="1"/>
      <c r="S810" s="1"/>
      <c r="T810" s="1"/>
      <c r="U810" s="1"/>
      <c r="V810" s="16"/>
      <c r="W810" s="1"/>
      <c r="X810" s="1"/>
    </row>
    <row r="811" spans="1:24">
      <c r="A811" s="1"/>
      <c r="M811" s="26"/>
      <c r="N811" s="26"/>
      <c r="P811" s="1"/>
      <c r="Q811" s="1"/>
      <c r="R811" s="1"/>
      <c r="S811" s="1"/>
      <c r="T811" s="1"/>
      <c r="U811" s="1"/>
      <c r="V811" s="16"/>
      <c r="W811" s="1"/>
      <c r="X811" s="1"/>
    </row>
    <row r="812" spans="1:24">
      <c r="A812" s="1"/>
      <c r="M812" s="26"/>
      <c r="N812" s="26"/>
      <c r="P812" s="1"/>
      <c r="Q812" s="1"/>
      <c r="R812" s="1"/>
      <c r="S812" s="1"/>
      <c r="T812" s="1"/>
      <c r="U812" s="1"/>
      <c r="V812" s="16"/>
      <c r="W812" s="1"/>
      <c r="X812" s="1"/>
    </row>
    <row r="813" spans="1:24">
      <c r="A813" s="1"/>
      <c r="M813" s="26"/>
      <c r="N813" s="26"/>
      <c r="P813" s="1"/>
      <c r="Q813" s="1"/>
      <c r="R813" s="1"/>
      <c r="S813" s="1"/>
      <c r="T813" s="1"/>
      <c r="U813" s="1"/>
      <c r="V813" s="16"/>
      <c r="W813" s="1"/>
      <c r="X813" s="1"/>
    </row>
    <row r="814" spans="1:24">
      <c r="A814" s="1"/>
      <c r="M814" s="26"/>
      <c r="N814" s="26"/>
      <c r="P814" s="1"/>
      <c r="Q814" s="1"/>
      <c r="R814" s="1"/>
      <c r="S814" s="1"/>
      <c r="T814" s="1"/>
      <c r="U814" s="1"/>
      <c r="V814" s="16"/>
      <c r="W814" s="1"/>
      <c r="X814" s="1"/>
    </row>
    <row r="815" spans="1:24">
      <c r="A815" s="1"/>
      <c r="M815" s="26"/>
      <c r="N815" s="26"/>
      <c r="P815" s="1"/>
      <c r="Q815" s="1"/>
      <c r="R815" s="1"/>
      <c r="S815" s="1"/>
      <c r="T815" s="1"/>
      <c r="U815" s="1"/>
      <c r="V815" s="16"/>
      <c r="W815" s="1"/>
      <c r="X815" s="1"/>
    </row>
    <row r="816" spans="1:24">
      <c r="A816" s="1"/>
      <c r="M816" s="26"/>
      <c r="N816" s="26"/>
      <c r="P816" s="1"/>
      <c r="Q816" s="1"/>
      <c r="R816" s="1"/>
      <c r="S816" s="1"/>
      <c r="T816" s="1"/>
      <c r="U816" s="1"/>
      <c r="V816" s="16"/>
      <c r="W816" s="1"/>
      <c r="X816" s="1"/>
    </row>
    <row r="817" spans="1:24">
      <c r="A817" s="1"/>
      <c r="M817" s="26"/>
      <c r="N817" s="26"/>
      <c r="P817" s="1"/>
      <c r="Q817" s="1"/>
      <c r="R817" s="1"/>
      <c r="S817" s="1"/>
      <c r="T817" s="1"/>
      <c r="U817" s="1"/>
      <c r="V817" s="16"/>
      <c r="W817" s="1"/>
      <c r="X817" s="1"/>
    </row>
    <row r="818" spans="1:24">
      <c r="A818" s="1"/>
      <c r="M818" s="26"/>
      <c r="N818" s="26"/>
      <c r="P818" s="1"/>
      <c r="Q818" s="1"/>
      <c r="R818" s="1"/>
      <c r="S818" s="1"/>
      <c r="T818" s="1"/>
      <c r="U818" s="1"/>
      <c r="V818" s="16"/>
      <c r="W818" s="1"/>
      <c r="X818" s="1"/>
    </row>
    <row r="819" spans="1:24">
      <c r="A819" s="1"/>
      <c r="M819" s="26"/>
      <c r="N819" s="26"/>
      <c r="P819" s="1"/>
      <c r="Q819" s="1"/>
      <c r="R819" s="1"/>
      <c r="S819" s="1"/>
      <c r="T819" s="1"/>
      <c r="U819" s="1"/>
      <c r="V819" s="16"/>
      <c r="W819" s="1"/>
      <c r="X819" s="1"/>
    </row>
    <row r="820" spans="1:24">
      <c r="A820" s="1"/>
      <c r="M820" s="26"/>
      <c r="N820" s="26"/>
      <c r="P820" s="1"/>
      <c r="Q820" s="1"/>
      <c r="R820" s="1"/>
      <c r="S820" s="1"/>
      <c r="T820" s="1"/>
      <c r="U820" s="1"/>
      <c r="V820" s="16"/>
      <c r="W820" s="1"/>
      <c r="X820" s="1"/>
    </row>
    <row r="821" spans="1:24">
      <c r="A821" s="1"/>
      <c r="M821" s="26"/>
      <c r="N821" s="26"/>
      <c r="P821" s="1"/>
      <c r="Q821" s="1"/>
      <c r="R821" s="1"/>
      <c r="S821" s="1"/>
      <c r="T821" s="1"/>
      <c r="U821" s="1"/>
      <c r="V821" s="16"/>
      <c r="W821" s="1"/>
      <c r="X821" s="1"/>
    </row>
    <row r="822" spans="1:24">
      <c r="A822" s="1"/>
      <c r="M822" s="26"/>
      <c r="N822" s="26"/>
      <c r="P822" s="1"/>
      <c r="Q822" s="1"/>
      <c r="R822" s="1"/>
      <c r="S822" s="1"/>
      <c r="T822" s="1"/>
      <c r="U822" s="1"/>
      <c r="V822" s="16"/>
      <c r="W822" s="1"/>
      <c r="X822" s="1"/>
    </row>
    <row r="823" spans="1:24">
      <c r="A823" s="1"/>
      <c r="M823" s="26"/>
      <c r="N823" s="26"/>
      <c r="P823" s="1"/>
      <c r="Q823" s="1"/>
      <c r="R823" s="1"/>
      <c r="S823" s="1"/>
      <c r="T823" s="1"/>
      <c r="U823" s="1"/>
      <c r="V823" s="16"/>
      <c r="W823" s="1"/>
      <c r="X823" s="1"/>
    </row>
    <row r="824" spans="1:24">
      <c r="A824" s="1"/>
      <c r="M824" s="26"/>
      <c r="N824" s="26"/>
      <c r="P824" s="1"/>
      <c r="Q824" s="1"/>
      <c r="R824" s="1"/>
      <c r="S824" s="1"/>
      <c r="T824" s="1"/>
      <c r="U824" s="1"/>
      <c r="V824" s="16"/>
      <c r="W824" s="1"/>
      <c r="X824" s="1"/>
    </row>
    <row r="825" spans="1:24">
      <c r="A825" s="1"/>
      <c r="M825" s="26"/>
      <c r="N825" s="26"/>
      <c r="P825" s="1"/>
      <c r="Q825" s="1"/>
      <c r="R825" s="1"/>
      <c r="S825" s="1"/>
      <c r="T825" s="1"/>
      <c r="U825" s="1"/>
      <c r="V825" s="16"/>
      <c r="W825" s="1"/>
      <c r="X825" s="1"/>
    </row>
    <row r="826" spans="1:24">
      <c r="A826" s="1"/>
      <c r="M826" s="26"/>
      <c r="N826" s="26"/>
      <c r="P826" s="1"/>
      <c r="Q826" s="1"/>
      <c r="R826" s="1"/>
      <c r="S826" s="1"/>
      <c r="T826" s="1"/>
      <c r="U826" s="1"/>
      <c r="V826" s="16"/>
      <c r="W826" s="1"/>
      <c r="X826" s="1"/>
    </row>
    <row r="827" spans="1:24">
      <c r="A827" s="1"/>
      <c r="M827" s="26"/>
      <c r="N827" s="26"/>
      <c r="P827" s="1"/>
      <c r="Q827" s="1"/>
      <c r="R827" s="1"/>
      <c r="S827" s="1"/>
      <c r="T827" s="1"/>
      <c r="U827" s="1"/>
      <c r="V827" s="16"/>
      <c r="W827" s="1"/>
      <c r="X827" s="1"/>
    </row>
    <row r="828" spans="1:24">
      <c r="A828" s="1"/>
      <c r="M828" s="26"/>
      <c r="N828" s="26"/>
      <c r="P828" s="1"/>
      <c r="Q828" s="1"/>
      <c r="R828" s="1"/>
      <c r="S828" s="1"/>
      <c r="T828" s="1"/>
      <c r="U828" s="1"/>
      <c r="V828" s="16"/>
      <c r="W828" s="1"/>
      <c r="X828" s="1"/>
    </row>
    <row r="829" spans="1:24">
      <c r="A829" s="1"/>
      <c r="M829" s="26"/>
      <c r="N829" s="26"/>
      <c r="P829" s="1"/>
      <c r="Q829" s="1"/>
      <c r="R829" s="1"/>
      <c r="S829" s="1"/>
      <c r="T829" s="1"/>
      <c r="U829" s="1"/>
      <c r="V829" s="16"/>
      <c r="W829" s="1"/>
      <c r="X829" s="1"/>
    </row>
    <row r="830" spans="1:24">
      <c r="A830" s="1"/>
      <c r="M830" s="26"/>
      <c r="N830" s="26"/>
      <c r="P830" s="1"/>
      <c r="Q830" s="1"/>
      <c r="R830" s="1"/>
      <c r="S830" s="1"/>
      <c r="T830" s="1"/>
      <c r="U830" s="1"/>
      <c r="V830" s="16"/>
      <c r="W830" s="1"/>
      <c r="X830" s="1"/>
    </row>
    <row r="831" spans="1:24">
      <c r="A831" s="1"/>
      <c r="M831" s="26"/>
      <c r="N831" s="26"/>
      <c r="P831" s="1"/>
      <c r="Q831" s="1"/>
      <c r="R831" s="1"/>
      <c r="S831" s="1"/>
      <c r="T831" s="1"/>
      <c r="U831" s="1"/>
      <c r="V831" s="16"/>
      <c r="W831" s="1"/>
      <c r="X831" s="1"/>
    </row>
    <row r="832" spans="1:24">
      <c r="A832" s="1"/>
      <c r="M832" s="26"/>
      <c r="N832" s="26"/>
      <c r="P832" s="1"/>
      <c r="Q832" s="1"/>
      <c r="R832" s="1"/>
      <c r="S832" s="1"/>
      <c r="T832" s="1"/>
      <c r="U832" s="1"/>
      <c r="V832" s="16"/>
      <c r="W832" s="1"/>
      <c r="X832" s="1"/>
    </row>
    <row r="833" spans="1:24">
      <c r="A833" s="1"/>
      <c r="M833" s="26"/>
      <c r="N833" s="26"/>
      <c r="P833" s="1"/>
      <c r="Q833" s="1"/>
      <c r="R833" s="1"/>
      <c r="S833" s="1"/>
      <c r="T833" s="1"/>
      <c r="U833" s="1"/>
      <c r="V833" s="16"/>
      <c r="W833" s="1"/>
      <c r="X833" s="1"/>
    </row>
    <row r="834" spans="1:24">
      <c r="A834" s="1"/>
      <c r="M834" s="26"/>
      <c r="N834" s="26"/>
      <c r="P834" s="1"/>
      <c r="Q834" s="1"/>
      <c r="R834" s="1"/>
      <c r="S834" s="1"/>
      <c r="T834" s="1"/>
      <c r="U834" s="1"/>
      <c r="V834" s="16"/>
      <c r="W834" s="1"/>
      <c r="X834" s="1"/>
    </row>
    <row r="835" spans="1:24">
      <c r="A835" s="1"/>
      <c r="M835" s="26"/>
      <c r="N835" s="26"/>
      <c r="P835" s="1"/>
      <c r="Q835" s="1"/>
      <c r="R835" s="1"/>
      <c r="S835" s="1"/>
      <c r="T835" s="1"/>
      <c r="U835" s="1"/>
      <c r="V835" s="16"/>
      <c r="W835" s="1"/>
      <c r="X835" s="1"/>
    </row>
    <row r="836" spans="1:24">
      <c r="A836" s="1"/>
      <c r="M836" s="26"/>
      <c r="N836" s="26"/>
      <c r="P836" s="1"/>
      <c r="Q836" s="1"/>
      <c r="R836" s="1"/>
      <c r="S836" s="1"/>
      <c r="T836" s="1"/>
      <c r="U836" s="1"/>
      <c r="V836" s="16"/>
      <c r="W836" s="1"/>
      <c r="X836" s="1"/>
    </row>
    <row r="837" spans="1:24">
      <c r="A837" s="1"/>
      <c r="M837" s="26"/>
      <c r="N837" s="26"/>
      <c r="P837" s="1"/>
      <c r="Q837" s="1"/>
      <c r="R837" s="1"/>
      <c r="S837" s="1"/>
      <c r="T837" s="1"/>
      <c r="U837" s="1"/>
      <c r="V837" s="16"/>
      <c r="W837" s="1"/>
      <c r="X837" s="1"/>
    </row>
    <row r="838" spans="1:24">
      <c r="A838" s="1"/>
      <c r="M838" s="26"/>
      <c r="N838" s="26"/>
      <c r="P838" s="1"/>
      <c r="Q838" s="1"/>
      <c r="R838" s="1"/>
      <c r="S838" s="1"/>
      <c r="T838" s="1"/>
      <c r="U838" s="1"/>
      <c r="V838" s="16"/>
      <c r="W838" s="1"/>
      <c r="X838" s="1"/>
    </row>
    <row r="839" spans="1:24">
      <c r="A839" s="1"/>
      <c r="M839" s="26"/>
      <c r="N839" s="26"/>
      <c r="P839" s="1"/>
      <c r="Q839" s="1"/>
      <c r="R839" s="1"/>
      <c r="S839" s="1"/>
      <c r="T839" s="1"/>
      <c r="U839" s="1"/>
      <c r="V839" s="16"/>
      <c r="W839" s="1"/>
      <c r="X839" s="1"/>
    </row>
    <row r="840" spans="1:24">
      <c r="A840" s="1"/>
      <c r="M840" s="26"/>
      <c r="N840" s="26"/>
      <c r="P840" s="1"/>
      <c r="Q840" s="1"/>
      <c r="R840" s="1"/>
      <c r="S840" s="1"/>
      <c r="T840" s="1"/>
      <c r="U840" s="1"/>
      <c r="V840" s="16"/>
      <c r="W840" s="1"/>
      <c r="X840" s="1"/>
    </row>
    <row r="841" spans="1:24">
      <c r="A841" s="1"/>
      <c r="M841" s="26"/>
      <c r="N841" s="26"/>
      <c r="P841" s="1"/>
      <c r="Q841" s="1"/>
      <c r="R841" s="1"/>
      <c r="S841" s="1"/>
      <c r="T841" s="1"/>
      <c r="U841" s="1"/>
      <c r="V841" s="16"/>
      <c r="W841" s="1"/>
      <c r="X841" s="1"/>
    </row>
    <row r="842" spans="1:24">
      <c r="A842" s="1"/>
      <c r="M842" s="26"/>
      <c r="N842" s="26"/>
      <c r="P842" s="1"/>
      <c r="Q842" s="1"/>
      <c r="R842" s="1"/>
      <c r="S842" s="1"/>
      <c r="T842" s="1"/>
      <c r="U842" s="1"/>
      <c r="V842" s="16"/>
      <c r="W842" s="1"/>
      <c r="X842" s="1"/>
    </row>
    <row r="843" spans="1:24">
      <c r="A843" s="1"/>
      <c r="M843" s="26"/>
      <c r="N843" s="26"/>
      <c r="P843" s="1"/>
      <c r="Q843" s="1"/>
      <c r="R843" s="1"/>
      <c r="S843" s="1"/>
      <c r="T843" s="1"/>
      <c r="U843" s="1"/>
      <c r="V843" s="16"/>
      <c r="W843" s="1"/>
      <c r="X843" s="1"/>
    </row>
    <row r="844" spans="1:24">
      <c r="A844" s="1"/>
      <c r="M844" s="26"/>
      <c r="N844" s="26"/>
      <c r="P844" s="1"/>
      <c r="Q844" s="1"/>
      <c r="R844" s="1"/>
      <c r="S844" s="1"/>
      <c r="T844" s="1"/>
      <c r="U844" s="1"/>
      <c r="V844" s="16"/>
      <c r="W844" s="1"/>
      <c r="X844" s="1"/>
    </row>
    <row r="845" spans="1:24">
      <c r="A845" s="1"/>
      <c r="M845" s="26"/>
      <c r="N845" s="26"/>
      <c r="P845" s="1"/>
      <c r="Q845" s="1"/>
      <c r="R845" s="1"/>
      <c r="S845" s="1"/>
      <c r="T845" s="1"/>
      <c r="U845" s="1"/>
      <c r="V845" s="16"/>
      <c r="W845" s="1"/>
      <c r="X845" s="1"/>
    </row>
    <row r="846" spans="1:24">
      <c r="A846" s="1"/>
      <c r="M846" s="26"/>
      <c r="N846" s="26"/>
      <c r="P846" s="1"/>
      <c r="Q846" s="1"/>
      <c r="R846" s="1"/>
      <c r="S846" s="1"/>
      <c r="T846" s="1"/>
      <c r="U846" s="1"/>
      <c r="V846" s="16"/>
      <c r="W846" s="1"/>
      <c r="X846" s="1"/>
    </row>
    <row r="847" spans="1:24">
      <c r="A847" s="1"/>
      <c r="M847" s="26"/>
      <c r="N847" s="26"/>
      <c r="P847" s="1"/>
      <c r="Q847" s="1"/>
      <c r="R847" s="1"/>
      <c r="S847" s="1"/>
      <c r="T847" s="1"/>
      <c r="U847" s="1"/>
      <c r="V847" s="16"/>
      <c r="W847" s="1"/>
      <c r="X847" s="1"/>
    </row>
    <row r="848" spans="1:24">
      <c r="A848" s="1"/>
      <c r="M848" s="26"/>
      <c r="N848" s="26"/>
      <c r="P848" s="1"/>
      <c r="Q848" s="1"/>
      <c r="R848" s="1"/>
      <c r="S848" s="1"/>
      <c r="T848" s="1"/>
      <c r="U848" s="1"/>
      <c r="V848" s="16"/>
      <c r="W848" s="1"/>
      <c r="X848" s="1"/>
    </row>
    <row r="849" spans="1:24">
      <c r="A849" s="1"/>
      <c r="M849" s="26"/>
      <c r="N849" s="26"/>
      <c r="P849" s="1"/>
      <c r="Q849" s="1"/>
      <c r="R849" s="1"/>
      <c r="S849" s="1"/>
      <c r="T849" s="1"/>
      <c r="U849" s="1"/>
      <c r="V849" s="16"/>
      <c r="W849" s="1"/>
      <c r="X849" s="1"/>
    </row>
    <row r="850" spans="1:24">
      <c r="A850" s="1"/>
      <c r="M850" s="26"/>
      <c r="N850" s="26"/>
      <c r="P850" s="1"/>
      <c r="Q850" s="1"/>
      <c r="R850" s="1"/>
      <c r="S850" s="1"/>
      <c r="T850" s="1"/>
      <c r="U850" s="1"/>
      <c r="V850" s="16"/>
      <c r="W850" s="1"/>
      <c r="X850" s="1"/>
    </row>
    <row r="851" spans="1:24">
      <c r="A851" s="1"/>
      <c r="M851" s="26"/>
      <c r="N851" s="26"/>
      <c r="P851" s="1"/>
      <c r="Q851" s="1"/>
      <c r="R851" s="1"/>
      <c r="S851" s="1"/>
      <c r="T851" s="1"/>
      <c r="U851" s="1"/>
      <c r="V851" s="16"/>
      <c r="W851" s="1"/>
      <c r="X851" s="1"/>
    </row>
    <row r="852" spans="1:24">
      <c r="A852" s="1"/>
      <c r="M852" s="26"/>
      <c r="N852" s="26"/>
      <c r="P852" s="1"/>
      <c r="Q852" s="1"/>
      <c r="R852" s="1"/>
      <c r="S852" s="1"/>
      <c r="T852" s="1"/>
      <c r="U852" s="1"/>
      <c r="V852" s="16"/>
      <c r="W852" s="1"/>
      <c r="X852" s="1"/>
    </row>
    <row r="853" spans="1:24">
      <c r="A853" s="1"/>
      <c r="M853" s="26"/>
      <c r="N853" s="26"/>
      <c r="P853" s="1"/>
      <c r="Q853" s="1"/>
      <c r="R853" s="1"/>
      <c r="S853" s="1"/>
      <c r="T853" s="1"/>
      <c r="U853" s="1"/>
      <c r="V853" s="16"/>
      <c r="W853" s="1"/>
      <c r="X853" s="1"/>
    </row>
    <row r="854" spans="1:24">
      <c r="A854" s="1"/>
      <c r="M854" s="26"/>
      <c r="N854" s="26"/>
      <c r="P854" s="1"/>
      <c r="Q854" s="1"/>
      <c r="R854" s="1"/>
      <c r="S854" s="1"/>
      <c r="T854" s="1"/>
      <c r="U854" s="1"/>
      <c r="V854" s="16"/>
      <c r="W854" s="1"/>
      <c r="X854" s="1"/>
    </row>
    <row r="855" spans="1:24">
      <c r="A855" s="1"/>
      <c r="M855" s="26"/>
      <c r="N855" s="26"/>
      <c r="P855" s="1"/>
      <c r="Q855" s="1"/>
      <c r="R855" s="1"/>
      <c r="S855" s="1"/>
      <c r="T855" s="1"/>
      <c r="U855" s="1"/>
      <c r="V855" s="16"/>
      <c r="W855" s="1"/>
      <c r="X855" s="1"/>
    </row>
    <row r="856" spans="1:24">
      <c r="A856" s="1"/>
      <c r="M856" s="26"/>
      <c r="N856" s="26"/>
      <c r="P856" s="1"/>
      <c r="Q856" s="1"/>
      <c r="R856" s="1"/>
      <c r="S856" s="1"/>
      <c r="T856" s="1"/>
      <c r="U856" s="1"/>
      <c r="V856" s="16"/>
      <c r="W856" s="1"/>
      <c r="X856" s="1"/>
    </row>
    <row r="857" spans="1:24">
      <c r="A857" s="1"/>
      <c r="M857" s="26"/>
      <c r="N857" s="26"/>
      <c r="P857" s="1"/>
      <c r="Q857" s="1"/>
      <c r="R857" s="1"/>
      <c r="S857" s="1"/>
      <c r="T857" s="1"/>
      <c r="U857" s="1"/>
      <c r="V857" s="16"/>
      <c r="W857" s="1"/>
      <c r="X857" s="1"/>
    </row>
    <row r="858" spans="1:24">
      <c r="A858" s="1"/>
      <c r="M858" s="26"/>
      <c r="N858" s="26"/>
      <c r="P858" s="1"/>
      <c r="Q858" s="1"/>
      <c r="R858" s="1"/>
      <c r="S858" s="1"/>
      <c r="T858" s="1"/>
      <c r="U858" s="1"/>
      <c r="V858" s="16"/>
      <c r="W858" s="1"/>
      <c r="X858" s="1"/>
    </row>
    <row r="859" spans="1:24">
      <c r="A859" s="1"/>
      <c r="M859" s="26"/>
      <c r="N859" s="26"/>
      <c r="P859" s="1"/>
      <c r="Q859" s="1"/>
      <c r="R859" s="1"/>
      <c r="S859" s="1"/>
      <c r="T859" s="1"/>
      <c r="U859" s="1"/>
      <c r="V859" s="16"/>
      <c r="W859" s="1"/>
      <c r="X859" s="1"/>
    </row>
    <row r="860" spans="1:24">
      <c r="A860" s="1"/>
      <c r="M860" s="26"/>
      <c r="N860" s="26"/>
      <c r="P860" s="1"/>
      <c r="Q860" s="1"/>
      <c r="R860" s="1"/>
      <c r="S860" s="1"/>
      <c r="T860" s="1"/>
      <c r="U860" s="1"/>
      <c r="V860" s="16"/>
      <c r="W860" s="1"/>
      <c r="X860" s="1"/>
    </row>
    <row r="861" spans="1:24">
      <c r="A861" s="1"/>
      <c r="M861" s="26"/>
      <c r="N861" s="26"/>
      <c r="P861" s="1"/>
      <c r="Q861" s="1"/>
      <c r="R861" s="1"/>
      <c r="S861" s="1"/>
      <c r="T861" s="1"/>
      <c r="U861" s="1"/>
      <c r="V861" s="16"/>
      <c r="W861" s="1"/>
      <c r="X861" s="1"/>
    </row>
    <row r="862" spans="1:24">
      <c r="A862" s="1"/>
      <c r="M862" s="26"/>
      <c r="N862" s="26"/>
      <c r="P862" s="1"/>
      <c r="Q862" s="1"/>
      <c r="R862" s="1"/>
      <c r="S862" s="1"/>
      <c r="T862" s="1"/>
      <c r="U862" s="1"/>
      <c r="V862" s="16"/>
      <c r="W862" s="1"/>
      <c r="X862" s="1"/>
    </row>
    <row r="863" spans="1:24">
      <c r="A863" s="1"/>
      <c r="M863" s="26"/>
      <c r="N863" s="26"/>
      <c r="P863" s="1"/>
      <c r="Q863" s="1"/>
      <c r="R863" s="1"/>
      <c r="S863" s="1"/>
      <c r="T863" s="1"/>
      <c r="U863" s="1"/>
      <c r="V863" s="16"/>
      <c r="W863" s="1"/>
      <c r="X863" s="1"/>
    </row>
    <row r="864" spans="1:24">
      <c r="A864" s="1"/>
      <c r="M864" s="26"/>
      <c r="N864" s="26"/>
      <c r="P864" s="1"/>
      <c r="Q864" s="1"/>
      <c r="R864" s="1"/>
      <c r="S864" s="1"/>
      <c r="T864" s="1"/>
      <c r="U864" s="1"/>
      <c r="V864" s="16"/>
      <c r="W864" s="1"/>
      <c r="X864" s="1"/>
    </row>
    <row r="865" spans="1:24">
      <c r="A865" s="1"/>
      <c r="M865" s="26"/>
      <c r="N865" s="26"/>
      <c r="P865" s="1"/>
      <c r="Q865" s="1"/>
      <c r="R865" s="1"/>
      <c r="S865" s="1"/>
      <c r="T865" s="1"/>
      <c r="U865" s="1"/>
      <c r="V865" s="16"/>
      <c r="W865" s="1"/>
      <c r="X865" s="1"/>
    </row>
    <row r="866" spans="1:24">
      <c r="A866" s="1"/>
      <c r="M866" s="26"/>
      <c r="N866" s="26"/>
      <c r="P866" s="1"/>
      <c r="Q866" s="1"/>
      <c r="R866" s="1"/>
      <c r="S866" s="1"/>
      <c r="T866" s="1"/>
      <c r="U866" s="1"/>
      <c r="V866" s="16"/>
      <c r="W866" s="1"/>
      <c r="X866" s="1"/>
    </row>
    <row r="867" spans="1:24">
      <c r="A867" s="1"/>
      <c r="M867" s="26"/>
      <c r="N867" s="26"/>
      <c r="P867" s="1"/>
      <c r="Q867" s="1"/>
      <c r="R867" s="1"/>
      <c r="S867" s="1"/>
      <c r="T867" s="1"/>
      <c r="U867" s="1"/>
      <c r="V867" s="16"/>
      <c r="W867" s="1"/>
      <c r="X867" s="1"/>
    </row>
    <row r="868" spans="1:24">
      <c r="A868" s="1"/>
      <c r="M868" s="26"/>
      <c r="N868" s="26"/>
      <c r="P868" s="1"/>
      <c r="Q868" s="1"/>
      <c r="R868" s="1"/>
      <c r="S868" s="1"/>
      <c r="T868" s="1"/>
      <c r="U868" s="1"/>
      <c r="V868" s="16"/>
      <c r="W868" s="1"/>
      <c r="X868" s="1"/>
    </row>
    <row r="869" spans="1:24">
      <c r="A869" s="1"/>
      <c r="M869" s="26"/>
      <c r="N869" s="26"/>
      <c r="P869" s="1"/>
      <c r="Q869" s="1"/>
      <c r="R869" s="1"/>
      <c r="S869" s="1"/>
      <c r="T869" s="1"/>
      <c r="U869" s="1"/>
      <c r="V869" s="16"/>
      <c r="W869" s="1"/>
      <c r="X869" s="1"/>
    </row>
    <row r="870" spans="1:24">
      <c r="A870" s="1"/>
      <c r="M870" s="26"/>
      <c r="N870" s="26"/>
      <c r="P870" s="1"/>
      <c r="Q870" s="1"/>
      <c r="R870" s="1"/>
      <c r="S870" s="1"/>
      <c r="T870" s="1"/>
      <c r="U870" s="1"/>
      <c r="V870" s="16"/>
      <c r="W870" s="1"/>
      <c r="X870" s="1"/>
    </row>
    <row r="871" spans="1:24">
      <c r="A871" s="1"/>
      <c r="M871" s="26"/>
      <c r="N871" s="26"/>
      <c r="P871" s="1"/>
      <c r="Q871" s="1"/>
      <c r="R871" s="1"/>
      <c r="S871" s="1"/>
      <c r="T871" s="1"/>
      <c r="U871" s="1"/>
      <c r="V871" s="16"/>
      <c r="W871" s="1"/>
      <c r="X871" s="1"/>
    </row>
    <row r="872" spans="1:24">
      <c r="A872" s="1"/>
      <c r="M872" s="26"/>
      <c r="N872" s="26"/>
      <c r="P872" s="1"/>
      <c r="Q872" s="1"/>
      <c r="R872" s="1"/>
      <c r="S872" s="1"/>
      <c r="T872" s="1"/>
      <c r="U872" s="1"/>
      <c r="V872" s="16"/>
      <c r="W872" s="1"/>
      <c r="X872" s="1"/>
    </row>
    <row r="873" spans="1:24">
      <c r="A873" s="1"/>
      <c r="M873" s="26"/>
      <c r="N873" s="26"/>
      <c r="P873" s="1"/>
      <c r="Q873" s="1"/>
      <c r="R873" s="1"/>
      <c r="S873" s="1"/>
      <c r="T873" s="1"/>
      <c r="U873" s="1"/>
      <c r="V873" s="16"/>
      <c r="W873" s="1"/>
      <c r="X873" s="1"/>
    </row>
    <row r="874" spans="1:24">
      <c r="A874" s="1"/>
      <c r="M874" s="26"/>
      <c r="N874" s="26"/>
      <c r="P874" s="1"/>
      <c r="Q874" s="1"/>
      <c r="R874" s="1"/>
      <c r="S874" s="1"/>
      <c r="T874" s="1"/>
      <c r="U874" s="1"/>
      <c r="V874" s="16"/>
      <c r="W874" s="1"/>
      <c r="X874" s="1"/>
    </row>
    <row r="875" spans="1:24">
      <c r="A875" s="1"/>
      <c r="M875" s="26"/>
      <c r="N875" s="26"/>
      <c r="P875" s="1"/>
      <c r="Q875" s="1"/>
      <c r="R875" s="1"/>
      <c r="S875" s="1"/>
      <c r="T875" s="1"/>
      <c r="U875" s="1"/>
      <c r="V875" s="16"/>
      <c r="W875" s="1"/>
      <c r="X875" s="1"/>
    </row>
    <row r="876" spans="1:24">
      <c r="A876" s="1"/>
      <c r="M876" s="26"/>
      <c r="N876" s="26"/>
      <c r="P876" s="1"/>
      <c r="Q876" s="1"/>
      <c r="R876" s="1"/>
      <c r="S876" s="1"/>
      <c r="T876" s="1"/>
      <c r="U876" s="1"/>
      <c r="V876" s="16"/>
      <c r="W876" s="1"/>
      <c r="X876" s="1"/>
    </row>
    <row r="877" spans="1:24">
      <c r="A877" s="1"/>
      <c r="M877" s="26"/>
      <c r="N877" s="26"/>
      <c r="P877" s="1"/>
      <c r="Q877" s="1"/>
      <c r="R877" s="1"/>
      <c r="S877" s="1"/>
      <c r="T877" s="1"/>
      <c r="U877" s="1"/>
      <c r="V877" s="16"/>
      <c r="W877" s="1"/>
      <c r="X877" s="1"/>
    </row>
    <row r="878" spans="1:24">
      <c r="A878" s="1"/>
      <c r="M878" s="26"/>
      <c r="N878" s="26"/>
      <c r="P878" s="1"/>
      <c r="Q878" s="1"/>
      <c r="R878" s="1"/>
      <c r="S878" s="1"/>
      <c r="T878" s="1"/>
      <c r="U878" s="1"/>
      <c r="V878" s="16"/>
      <c r="W878" s="1"/>
      <c r="X878" s="1"/>
    </row>
    <row r="879" spans="1:24">
      <c r="A879" s="1"/>
      <c r="M879" s="26"/>
      <c r="N879" s="26"/>
      <c r="P879" s="1"/>
      <c r="Q879" s="1"/>
      <c r="R879" s="1"/>
      <c r="S879" s="1"/>
      <c r="T879" s="1"/>
      <c r="U879" s="1"/>
      <c r="V879" s="16"/>
      <c r="W879" s="1"/>
      <c r="X879" s="1"/>
    </row>
    <row r="880" spans="1:24">
      <c r="A880" s="1"/>
      <c r="M880" s="26"/>
      <c r="N880" s="26"/>
      <c r="P880" s="1"/>
      <c r="Q880" s="1"/>
      <c r="R880" s="1"/>
      <c r="S880" s="1"/>
      <c r="T880" s="1"/>
      <c r="U880" s="1"/>
      <c r="V880" s="16"/>
      <c r="W880" s="1"/>
      <c r="X880" s="1"/>
    </row>
    <row r="881" spans="1:24">
      <c r="A881" s="1"/>
      <c r="M881" s="26"/>
      <c r="N881" s="26"/>
      <c r="P881" s="1"/>
      <c r="Q881" s="1"/>
      <c r="R881" s="1"/>
      <c r="S881" s="1"/>
      <c r="T881" s="1"/>
      <c r="U881" s="1"/>
      <c r="V881" s="16"/>
      <c r="W881" s="1"/>
      <c r="X881" s="1"/>
    </row>
    <row r="882" spans="1:24">
      <c r="A882" s="1"/>
      <c r="M882" s="26"/>
      <c r="N882" s="26"/>
      <c r="P882" s="1"/>
      <c r="Q882" s="1"/>
      <c r="R882" s="1"/>
      <c r="S882" s="1"/>
      <c r="T882" s="1"/>
      <c r="U882" s="1"/>
      <c r="V882" s="16"/>
      <c r="W882" s="1"/>
      <c r="X882" s="1"/>
    </row>
    <row r="883" spans="1:24">
      <c r="A883" s="1"/>
      <c r="M883" s="26"/>
      <c r="N883" s="26"/>
      <c r="P883" s="1"/>
      <c r="Q883" s="1"/>
      <c r="R883" s="1"/>
      <c r="S883" s="1"/>
      <c r="T883" s="1"/>
      <c r="U883" s="1"/>
      <c r="V883" s="16"/>
      <c r="W883" s="1"/>
      <c r="X883" s="1"/>
    </row>
    <row r="884" spans="1:24">
      <c r="A884" s="1"/>
      <c r="M884" s="26"/>
      <c r="N884" s="26"/>
      <c r="P884" s="1"/>
      <c r="Q884" s="1"/>
      <c r="R884" s="1"/>
      <c r="S884" s="1"/>
      <c r="T884" s="1"/>
      <c r="U884" s="1"/>
      <c r="V884" s="16"/>
      <c r="W884" s="1"/>
      <c r="X884" s="1"/>
    </row>
    <row r="885" spans="1:24">
      <c r="A885" s="1"/>
      <c r="M885" s="26"/>
      <c r="N885" s="26"/>
      <c r="P885" s="1"/>
      <c r="Q885" s="1"/>
      <c r="R885" s="1"/>
      <c r="S885" s="1"/>
      <c r="T885" s="1"/>
      <c r="U885" s="1"/>
      <c r="V885" s="16"/>
      <c r="W885" s="1"/>
      <c r="X885" s="1"/>
    </row>
    <row r="886" spans="1:24">
      <c r="A886" s="1"/>
      <c r="M886" s="26"/>
      <c r="N886" s="26"/>
      <c r="P886" s="1"/>
      <c r="Q886" s="1"/>
      <c r="R886" s="1"/>
      <c r="S886" s="1"/>
      <c r="T886" s="1"/>
      <c r="U886" s="1"/>
      <c r="V886" s="16"/>
      <c r="W886" s="1"/>
      <c r="X886" s="1"/>
    </row>
    <row r="887" spans="1:24">
      <c r="A887" s="1"/>
      <c r="M887" s="26"/>
      <c r="N887" s="26"/>
      <c r="P887" s="1"/>
      <c r="Q887" s="1"/>
      <c r="R887" s="1"/>
      <c r="S887" s="1"/>
      <c r="T887" s="1"/>
      <c r="U887" s="1"/>
      <c r="V887" s="16"/>
      <c r="W887" s="1"/>
      <c r="X887" s="1"/>
    </row>
    <row r="888" spans="1:24">
      <c r="A888" s="1"/>
      <c r="M888" s="26"/>
      <c r="N888" s="26"/>
      <c r="P888" s="1"/>
      <c r="Q888" s="1"/>
      <c r="R888" s="1"/>
      <c r="S888" s="1"/>
      <c r="T888" s="1"/>
      <c r="U888" s="1"/>
      <c r="V888" s="16"/>
      <c r="W888" s="1"/>
      <c r="X888" s="1"/>
    </row>
    <row r="889" spans="1:24">
      <c r="A889" s="1"/>
      <c r="M889" s="26"/>
      <c r="N889" s="26"/>
      <c r="P889" s="1"/>
      <c r="Q889" s="1"/>
      <c r="R889" s="1"/>
      <c r="S889" s="1"/>
      <c r="T889" s="1"/>
      <c r="U889" s="1"/>
      <c r="V889" s="16"/>
      <c r="W889" s="1"/>
      <c r="X889" s="1"/>
    </row>
    <row r="890" spans="1:24">
      <c r="A890" s="1"/>
      <c r="M890" s="26"/>
      <c r="N890" s="26"/>
      <c r="P890" s="1"/>
      <c r="Q890" s="1"/>
      <c r="R890" s="1"/>
      <c r="S890" s="1"/>
      <c r="T890" s="1"/>
      <c r="U890" s="1"/>
      <c r="V890" s="16"/>
      <c r="W890" s="1"/>
      <c r="X890" s="1"/>
    </row>
    <row r="891" spans="1:24">
      <c r="A891" s="1"/>
      <c r="M891" s="26"/>
      <c r="N891" s="26"/>
      <c r="P891" s="1"/>
      <c r="Q891" s="1"/>
      <c r="R891" s="1"/>
      <c r="S891" s="1"/>
      <c r="T891" s="1"/>
      <c r="U891" s="1"/>
      <c r="V891" s="16"/>
      <c r="W891" s="1"/>
      <c r="X891" s="1"/>
    </row>
    <row r="892" spans="1:24">
      <c r="A892" s="1"/>
      <c r="M892" s="26"/>
      <c r="N892" s="26"/>
      <c r="P892" s="1"/>
      <c r="Q892" s="1"/>
      <c r="R892" s="1"/>
      <c r="S892" s="1"/>
      <c r="T892" s="1"/>
      <c r="U892" s="1"/>
      <c r="V892" s="16"/>
      <c r="W892" s="1"/>
      <c r="X892" s="1"/>
    </row>
    <row r="893" spans="1:24">
      <c r="A893" s="1"/>
      <c r="M893" s="26"/>
      <c r="N893" s="26"/>
      <c r="P893" s="1"/>
      <c r="Q893" s="1"/>
      <c r="R893" s="1"/>
      <c r="S893" s="1"/>
      <c r="T893" s="1"/>
      <c r="U893" s="1"/>
      <c r="V893" s="16"/>
      <c r="W893" s="1"/>
      <c r="X893" s="1"/>
    </row>
    <row r="894" spans="1:24">
      <c r="A894" s="1"/>
      <c r="M894" s="26"/>
      <c r="N894" s="26"/>
      <c r="P894" s="1"/>
      <c r="Q894" s="1"/>
      <c r="R894" s="1"/>
      <c r="S894" s="1"/>
      <c r="T894" s="1"/>
      <c r="U894" s="1"/>
      <c r="V894" s="16"/>
      <c r="W894" s="1"/>
      <c r="X894" s="1"/>
    </row>
    <row r="895" spans="1:24">
      <c r="A895" s="1"/>
      <c r="M895" s="26"/>
      <c r="N895" s="26"/>
      <c r="P895" s="1"/>
      <c r="Q895" s="1"/>
      <c r="R895" s="1"/>
      <c r="S895" s="1"/>
      <c r="T895" s="1"/>
      <c r="U895" s="1"/>
      <c r="V895" s="16"/>
      <c r="W895" s="1"/>
      <c r="X895" s="1"/>
    </row>
    <row r="896" spans="1:24">
      <c r="A896" s="1"/>
      <c r="M896" s="26"/>
      <c r="N896" s="26"/>
      <c r="P896" s="1"/>
      <c r="Q896" s="1"/>
      <c r="R896" s="1"/>
      <c r="S896" s="1"/>
      <c r="T896" s="1"/>
      <c r="U896" s="1"/>
      <c r="V896" s="16"/>
      <c r="W896" s="1"/>
      <c r="X896" s="1"/>
    </row>
    <row r="897" spans="1:24">
      <c r="A897" s="1"/>
      <c r="M897" s="26"/>
      <c r="N897" s="26"/>
      <c r="P897" s="1"/>
      <c r="Q897" s="1"/>
      <c r="R897" s="1"/>
      <c r="S897" s="1"/>
      <c r="T897" s="1"/>
      <c r="U897" s="1"/>
      <c r="V897" s="16"/>
      <c r="W897" s="1"/>
      <c r="X897" s="1"/>
    </row>
    <row r="898" spans="1:24">
      <c r="A898" s="1"/>
      <c r="M898" s="26"/>
      <c r="N898" s="26"/>
      <c r="P898" s="1"/>
      <c r="Q898" s="1"/>
      <c r="R898" s="1"/>
      <c r="S898" s="1"/>
      <c r="T898" s="1"/>
      <c r="U898" s="1"/>
      <c r="V898" s="16"/>
      <c r="W898" s="1"/>
      <c r="X898" s="1"/>
    </row>
    <row r="899" spans="1:24">
      <c r="A899" s="1"/>
      <c r="M899" s="26"/>
      <c r="N899" s="26"/>
      <c r="P899" s="1"/>
      <c r="Q899" s="1"/>
      <c r="R899" s="1"/>
      <c r="S899" s="1"/>
      <c r="T899" s="1"/>
      <c r="U899" s="1"/>
      <c r="V899" s="16"/>
      <c r="W899" s="1"/>
      <c r="X899" s="1"/>
    </row>
    <row r="900" spans="1:24">
      <c r="A900" s="1"/>
      <c r="M900" s="26"/>
      <c r="N900" s="26"/>
      <c r="P900" s="1"/>
      <c r="Q900" s="1"/>
      <c r="R900" s="1"/>
      <c r="S900" s="1"/>
      <c r="T900" s="1"/>
      <c r="U900" s="1"/>
      <c r="V900" s="16"/>
      <c r="W900" s="1"/>
      <c r="X900" s="1"/>
    </row>
    <row r="901" spans="1:24">
      <c r="A901" s="1"/>
      <c r="M901" s="26"/>
      <c r="N901" s="26"/>
      <c r="P901" s="1"/>
      <c r="Q901" s="1"/>
      <c r="R901" s="1"/>
      <c r="S901" s="1"/>
      <c r="T901" s="1"/>
      <c r="U901" s="1"/>
      <c r="V901" s="16"/>
      <c r="W901" s="1"/>
      <c r="X901" s="1"/>
    </row>
    <row r="902" spans="1:24">
      <c r="A902" s="1"/>
      <c r="M902" s="26"/>
      <c r="N902" s="26"/>
      <c r="P902" s="1"/>
      <c r="Q902" s="1"/>
      <c r="R902" s="1"/>
      <c r="S902" s="1"/>
      <c r="T902" s="1"/>
      <c r="U902" s="1"/>
      <c r="V902" s="16"/>
      <c r="W902" s="1"/>
      <c r="X902" s="1"/>
    </row>
    <row r="903" spans="1:24">
      <c r="A903" s="1"/>
      <c r="M903" s="26"/>
      <c r="N903" s="26"/>
      <c r="P903" s="1"/>
      <c r="Q903" s="1"/>
      <c r="R903" s="1"/>
      <c r="S903" s="1"/>
      <c r="T903" s="1"/>
      <c r="U903" s="1"/>
      <c r="V903" s="16"/>
      <c r="W903" s="1"/>
      <c r="X903" s="1"/>
    </row>
    <row r="904" spans="1:24">
      <c r="A904" s="1"/>
      <c r="M904" s="26"/>
      <c r="N904" s="26"/>
      <c r="P904" s="1"/>
      <c r="Q904" s="1"/>
      <c r="R904" s="1"/>
      <c r="S904" s="1"/>
      <c r="T904" s="1"/>
      <c r="U904" s="1"/>
      <c r="V904" s="16"/>
      <c r="W904" s="1"/>
      <c r="X904" s="1"/>
    </row>
    <row r="905" spans="1:24">
      <c r="A905" s="1"/>
      <c r="M905" s="26"/>
      <c r="N905" s="26"/>
      <c r="P905" s="1"/>
      <c r="Q905" s="1"/>
      <c r="R905" s="1"/>
      <c r="S905" s="1"/>
      <c r="T905" s="1"/>
      <c r="U905" s="1"/>
      <c r="V905" s="16"/>
      <c r="W905" s="1"/>
      <c r="X905" s="1"/>
    </row>
    <row r="906" spans="1:24">
      <c r="A906" s="1"/>
      <c r="M906" s="26"/>
      <c r="N906" s="26"/>
      <c r="P906" s="1"/>
      <c r="Q906" s="1"/>
      <c r="R906" s="1"/>
      <c r="S906" s="1"/>
      <c r="T906" s="1"/>
      <c r="U906" s="1"/>
      <c r="V906" s="16"/>
      <c r="W906" s="1"/>
      <c r="X906" s="1"/>
    </row>
    <row r="907" spans="1:24">
      <c r="A907" s="1"/>
      <c r="M907" s="26"/>
      <c r="N907" s="26"/>
      <c r="P907" s="1"/>
      <c r="Q907" s="1"/>
      <c r="R907" s="1"/>
      <c r="S907" s="1"/>
      <c r="T907" s="1"/>
      <c r="U907" s="1"/>
      <c r="V907" s="16"/>
      <c r="W907" s="1"/>
      <c r="X907" s="1"/>
    </row>
    <row r="908" spans="1:24">
      <c r="A908" s="1"/>
      <c r="M908" s="26"/>
      <c r="N908" s="26"/>
      <c r="P908" s="1"/>
      <c r="Q908" s="1"/>
      <c r="R908" s="1"/>
      <c r="S908" s="1"/>
      <c r="T908" s="1"/>
      <c r="U908" s="1"/>
      <c r="V908" s="16"/>
      <c r="W908" s="1"/>
      <c r="X908" s="1"/>
    </row>
    <row r="909" spans="1:24">
      <c r="A909" s="1"/>
      <c r="M909" s="26"/>
      <c r="N909" s="26"/>
      <c r="P909" s="1"/>
      <c r="Q909" s="1"/>
      <c r="R909" s="1"/>
      <c r="S909" s="1"/>
      <c r="T909" s="1"/>
      <c r="U909" s="1"/>
      <c r="V909" s="16"/>
      <c r="W909" s="1"/>
      <c r="X909" s="1"/>
    </row>
    <row r="910" spans="1:24">
      <c r="A910" s="1"/>
      <c r="M910" s="26"/>
      <c r="N910" s="26"/>
      <c r="P910" s="1"/>
      <c r="Q910" s="1"/>
      <c r="R910" s="1"/>
      <c r="S910" s="1"/>
      <c r="T910" s="1"/>
      <c r="U910" s="1"/>
      <c r="V910" s="16"/>
      <c r="W910" s="1"/>
      <c r="X910" s="1"/>
    </row>
    <row r="911" spans="1:24">
      <c r="A911" s="1"/>
      <c r="M911" s="26"/>
      <c r="N911" s="26"/>
      <c r="P911" s="1"/>
      <c r="Q911" s="1"/>
      <c r="R911" s="1"/>
      <c r="S911" s="1"/>
      <c r="T911" s="1"/>
      <c r="U911" s="1"/>
      <c r="V911" s="16"/>
      <c r="W911" s="1"/>
      <c r="X911" s="1"/>
    </row>
    <row r="912" spans="1:24">
      <c r="A912" s="1"/>
      <c r="M912" s="26"/>
      <c r="N912" s="26"/>
      <c r="P912" s="1"/>
      <c r="Q912" s="1"/>
      <c r="R912" s="1"/>
      <c r="S912" s="1"/>
      <c r="T912" s="1"/>
      <c r="U912" s="1"/>
      <c r="V912" s="16"/>
      <c r="W912" s="1"/>
      <c r="X912" s="1"/>
    </row>
    <row r="913" spans="1:24">
      <c r="A913" s="1"/>
      <c r="M913" s="26"/>
      <c r="N913" s="26"/>
      <c r="P913" s="1"/>
      <c r="Q913" s="1"/>
      <c r="R913" s="1"/>
      <c r="S913" s="1"/>
      <c r="T913" s="1"/>
      <c r="U913" s="1"/>
      <c r="V913" s="16"/>
      <c r="W913" s="1"/>
      <c r="X913" s="1"/>
    </row>
    <row r="914" spans="1:24">
      <c r="A914" s="1"/>
      <c r="M914" s="26"/>
      <c r="N914" s="26"/>
      <c r="P914" s="1"/>
      <c r="Q914" s="1"/>
      <c r="R914" s="1"/>
      <c r="S914" s="1"/>
      <c r="T914" s="1"/>
      <c r="U914" s="1"/>
      <c r="V914" s="16"/>
      <c r="W914" s="1"/>
      <c r="X914" s="1"/>
    </row>
    <row r="915" spans="1:24">
      <c r="A915" s="1"/>
      <c r="M915" s="26"/>
      <c r="N915" s="26"/>
      <c r="P915" s="1"/>
      <c r="Q915" s="1"/>
      <c r="R915" s="1"/>
      <c r="S915" s="1"/>
      <c r="T915" s="1"/>
      <c r="U915" s="1"/>
      <c r="V915" s="16"/>
      <c r="W915" s="1"/>
      <c r="X915" s="1"/>
    </row>
    <row r="916" spans="1:24">
      <c r="A916" s="1"/>
      <c r="M916" s="26"/>
      <c r="N916" s="26"/>
      <c r="P916" s="1"/>
      <c r="Q916" s="1"/>
      <c r="R916" s="1"/>
      <c r="S916" s="1"/>
      <c r="T916" s="1"/>
      <c r="U916" s="1"/>
      <c r="V916" s="16"/>
      <c r="W916" s="1"/>
      <c r="X916" s="1"/>
    </row>
    <row r="917" spans="1:24">
      <c r="A917" s="1"/>
      <c r="M917" s="26"/>
      <c r="N917" s="26"/>
      <c r="P917" s="1"/>
      <c r="Q917" s="1"/>
      <c r="R917" s="1"/>
      <c r="S917" s="1"/>
      <c r="T917" s="1"/>
      <c r="U917" s="1"/>
      <c r="V917" s="16"/>
      <c r="W917" s="1"/>
      <c r="X917" s="1"/>
    </row>
    <row r="918" spans="1:24">
      <c r="A918" s="1"/>
      <c r="M918" s="26"/>
      <c r="N918" s="26"/>
      <c r="P918" s="1"/>
      <c r="Q918" s="1"/>
      <c r="R918" s="1"/>
      <c r="S918" s="1"/>
      <c r="T918" s="1"/>
      <c r="U918" s="1"/>
      <c r="V918" s="16"/>
      <c r="W918" s="1"/>
      <c r="X918" s="1"/>
    </row>
    <row r="919" spans="1:24">
      <c r="A919" s="1"/>
      <c r="M919" s="26"/>
      <c r="N919" s="26"/>
      <c r="P919" s="1"/>
      <c r="Q919" s="1"/>
      <c r="R919" s="1"/>
      <c r="S919" s="1"/>
      <c r="T919" s="1"/>
      <c r="U919" s="1"/>
      <c r="V919" s="16"/>
      <c r="W919" s="1"/>
      <c r="X919" s="1"/>
    </row>
    <row r="920" spans="1:24">
      <c r="A920" s="1"/>
      <c r="M920" s="26"/>
      <c r="N920" s="26"/>
      <c r="P920" s="1"/>
      <c r="Q920" s="1"/>
      <c r="R920" s="1"/>
      <c r="S920" s="1"/>
      <c r="T920" s="1"/>
      <c r="U920" s="1"/>
      <c r="V920" s="16"/>
      <c r="W920" s="1"/>
      <c r="X920" s="1"/>
    </row>
    <row r="921" spans="1:24">
      <c r="A921" s="1"/>
      <c r="M921" s="26"/>
      <c r="N921" s="26"/>
      <c r="P921" s="1"/>
      <c r="Q921" s="1"/>
      <c r="R921" s="1"/>
      <c r="S921" s="1"/>
      <c r="T921" s="1"/>
      <c r="U921" s="1"/>
      <c r="V921" s="16"/>
      <c r="W921" s="1"/>
      <c r="X921" s="1"/>
    </row>
    <row r="922" spans="1:24">
      <c r="A922" s="1"/>
      <c r="M922" s="26"/>
      <c r="N922" s="26"/>
      <c r="P922" s="1"/>
      <c r="Q922" s="1"/>
      <c r="R922" s="1"/>
      <c r="S922" s="1"/>
      <c r="T922" s="1"/>
      <c r="U922" s="1"/>
      <c r="V922" s="16"/>
      <c r="W922" s="1"/>
      <c r="X922" s="1"/>
    </row>
    <row r="923" spans="1:24">
      <c r="A923" s="1"/>
      <c r="M923" s="26"/>
      <c r="N923" s="26"/>
      <c r="P923" s="1"/>
      <c r="Q923" s="1"/>
      <c r="R923" s="1"/>
      <c r="S923" s="1"/>
      <c r="T923" s="1"/>
      <c r="U923" s="1"/>
      <c r="V923" s="16"/>
      <c r="W923" s="1"/>
      <c r="X923" s="1"/>
    </row>
    <row r="924" spans="1:24">
      <c r="A924" s="1"/>
      <c r="M924" s="26"/>
      <c r="N924" s="26"/>
      <c r="P924" s="1"/>
      <c r="Q924" s="1"/>
      <c r="R924" s="1"/>
      <c r="S924" s="1"/>
      <c r="T924" s="1"/>
      <c r="U924" s="1"/>
      <c r="V924" s="16"/>
      <c r="W924" s="1"/>
      <c r="X924" s="1"/>
    </row>
    <row r="925" spans="1:24">
      <c r="A925" s="1"/>
      <c r="M925" s="26"/>
      <c r="N925" s="26"/>
      <c r="P925" s="1"/>
      <c r="Q925" s="1"/>
      <c r="R925" s="1"/>
      <c r="S925" s="1"/>
      <c r="T925" s="1"/>
      <c r="U925" s="1"/>
      <c r="V925" s="16"/>
      <c r="W925" s="1"/>
      <c r="X925" s="1"/>
    </row>
    <row r="926" spans="1:24">
      <c r="A926" s="1"/>
      <c r="M926" s="26"/>
      <c r="N926" s="26"/>
      <c r="P926" s="1"/>
      <c r="Q926" s="1"/>
      <c r="R926" s="1"/>
      <c r="S926" s="1"/>
      <c r="T926" s="1"/>
      <c r="U926" s="1"/>
      <c r="V926" s="16"/>
      <c r="W926" s="1"/>
      <c r="X926" s="1"/>
    </row>
    <row r="927" spans="1:24">
      <c r="A927" s="1"/>
      <c r="M927" s="26"/>
      <c r="N927" s="26"/>
      <c r="P927" s="1"/>
      <c r="Q927" s="1"/>
      <c r="R927" s="1"/>
      <c r="S927" s="1"/>
      <c r="T927" s="1"/>
      <c r="U927" s="1"/>
      <c r="V927" s="16"/>
      <c r="W927" s="1"/>
      <c r="X927" s="1"/>
    </row>
    <row r="928" spans="1:24">
      <c r="A928" s="1"/>
      <c r="M928" s="26"/>
      <c r="N928" s="26"/>
      <c r="P928" s="1"/>
      <c r="Q928" s="1"/>
      <c r="R928" s="1"/>
      <c r="S928" s="1"/>
      <c r="T928" s="1"/>
      <c r="U928" s="1"/>
      <c r="V928" s="16"/>
      <c r="W928" s="1"/>
      <c r="X928" s="1"/>
    </row>
    <row r="929" spans="1:24">
      <c r="A929" s="1"/>
      <c r="M929" s="26"/>
      <c r="N929" s="26"/>
      <c r="P929" s="1"/>
      <c r="Q929" s="1"/>
      <c r="R929" s="1"/>
      <c r="S929" s="1"/>
      <c r="T929" s="1"/>
      <c r="U929" s="1"/>
      <c r="V929" s="16"/>
      <c r="W929" s="1"/>
      <c r="X929" s="1"/>
    </row>
    <row r="930" spans="1:24">
      <c r="A930" s="1"/>
      <c r="M930" s="26"/>
      <c r="N930" s="26"/>
      <c r="P930" s="1"/>
      <c r="Q930" s="1"/>
      <c r="R930" s="1"/>
      <c r="S930" s="1"/>
      <c r="T930" s="1"/>
      <c r="U930" s="1"/>
      <c r="V930" s="16"/>
      <c r="W930" s="1"/>
      <c r="X930" s="1"/>
    </row>
    <row r="931" spans="1:24">
      <c r="A931" s="1"/>
      <c r="M931" s="26"/>
      <c r="N931" s="26"/>
      <c r="P931" s="1"/>
      <c r="Q931" s="1"/>
      <c r="R931" s="1"/>
      <c r="S931" s="1"/>
      <c r="T931" s="1"/>
      <c r="U931" s="1"/>
      <c r="V931" s="16"/>
      <c r="W931" s="1"/>
      <c r="X931" s="1"/>
    </row>
    <row r="932" spans="1:24">
      <c r="A932" s="1"/>
      <c r="M932" s="26"/>
      <c r="N932" s="26"/>
      <c r="P932" s="1"/>
      <c r="Q932" s="1"/>
      <c r="R932" s="1"/>
      <c r="S932" s="1"/>
      <c r="T932" s="1"/>
      <c r="U932" s="1"/>
      <c r="V932" s="16"/>
      <c r="W932" s="1"/>
      <c r="X932" s="1"/>
    </row>
    <row r="933" spans="1:24">
      <c r="A933" s="1"/>
      <c r="M933" s="26"/>
      <c r="N933" s="26"/>
      <c r="P933" s="1"/>
      <c r="Q933" s="1"/>
      <c r="R933" s="1"/>
      <c r="S933" s="1"/>
      <c r="T933" s="1"/>
      <c r="U933" s="1"/>
      <c r="V933" s="16"/>
      <c r="W933" s="1"/>
      <c r="X933" s="1"/>
    </row>
    <row r="934" spans="1:24">
      <c r="A934" s="1"/>
      <c r="M934" s="26"/>
      <c r="N934" s="26"/>
      <c r="P934" s="1"/>
      <c r="Q934" s="1"/>
      <c r="R934" s="1"/>
      <c r="S934" s="1"/>
      <c r="T934" s="1"/>
      <c r="U934" s="1"/>
      <c r="V934" s="16"/>
      <c r="W934" s="1"/>
      <c r="X934" s="1"/>
    </row>
    <row r="935" spans="1:24">
      <c r="A935" s="1"/>
      <c r="M935" s="26"/>
      <c r="N935" s="26"/>
      <c r="P935" s="1"/>
      <c r="Q935" s="1"/>
      <c r="R935" s="1"/>
      <c r="S935" s="1"/>
      <c r="T935" s="1"/>
      <c r="U935" s="1"/>
      <c r="V935" s="16"/>
      <c r="W935" s="1"/>
      <c r="X935" s="1"/>
    </row>
    <row r="936" spans="1:24">
      <c r="A936" s="1"/>
      <c r="M936" s="26"/>
      <c r="N936" s="26"/>
      <c r="P936" s="1"/>
      <c r="Q936" s="1"/>
      <c r="R936" s="1"/>
      <c r="S936" s="1"/>
      <c r="T936" s="1"/>
      <c r="U936" s="1"/>
      <c r="V936" s="16"/>
      <c r="W936" s="1"/>
      <c r="X936" s="1"/>
    </row>
    <row r="937" spans="1:24">
      <c r="A937" s="1"/>
      <c r="M937" s="26"/>
      <c r="N937" s="26"/>
      <c r="P937" s="1"/>
      <c r="Q937" s="1"/>
      <c r="R937" s="1"/>
      <c r="S937" s="1"/>
      <c r="T937" s="1"/>
      <c r="U937" s="1"/>
      <c r="V937" s="16"/>
      <c r="W937" s="1"/>
      <c r="X937" s="1"/>
    </row>
    <row r="938" spans="1:24">
      <c r="A938" s="1"/>
      <c r="M938" s="26"/>
      <c r="N938" s="26"/>
      <c r="P938" s="1"/>
      <c r="Q938" s="1"/>
      <c r="R938" s="1"/>
      <c r="S938" s="1"/>
      <c r="T938" s="1"/>
      <c r="U938" s="1"/>
      <c r="V938" s="16"/>
      <c r="W938" s="1"/>
      <c r="X938" s="1"/>
    </row>
    <row r="939" spans="1:24">
      <c r="A939" s="1"/>
      <c r="M939" s="26"/>
      <c r="N939" s="26"/>
      <c r="P939" s="1"/>
      <c r="Q939" s="1"/>
      <c r="R939" s="1"/>
      <c r="S939" s="1"/>
      <c r="T939" s="1"/>
      <c r="U939" s="1"/>
      <c r="V939" s="16"/>
      <c r="W939" s="1"/>
      <c r="X939" s="1"/>
    </row>
    <row r="940" spans="1:24">
      <c r="A940" s="1"/>
      <c r="M940" s="26"/>
      <c r="N940" s="26"/>
      <c r="P940" s="1"/>
      <c r="Q940" s="1"/>
      <c r="R940" s="1"/>
      <c r="S940" s="1"/>
      <c r="T940" s="1"/>
      <c r="U940" s="1"/>
      <c r="V940" s="16"/>
      <c r="W940" s="1"/>
      <c r="X940" s="1"/>
    </row>
    <row r="941" spans="1:24">
      <c r="A941" s="1"/>
      <c r="M941" s="26"/>
      <c r="N941" s="26"/>
      <c r="P941" s="1"/>
      <c r="Q941" s="1"/>
      <c r="R941" s="1"/>
      <c r="S941" s="1"/>
      <c r="T941" s="1"/>
      <c r="U941" s="1"/>
      <c r="V941" s="16"/>
      <c r="W941" s="1"/>
      <c r="X941" s="1"/>
    </row>
    <row r="942" spans="1:24">
      <c r="A942" s="1"/>
      <c r="M942" s="26"/>
      <c r="N942" s="26"/>
      <c r="P942" s="1"/>
      <c r="Q942" s="1"/>
      <c r="R942" s="1"/>
      <c r="S942" s="1"/>
      <c r="T942" s="1"/>
      <c r="U942" s="1"/>
      <c r="V942" s="16"/>
      <c r="W942" s="1"/>
      <c r="X942" s="1"/>
    </row>
    <row r="943" spans="1:24">
      <c r="A943" s="1"/>
      <c r="M943" s="26"/>
      <c r="N943" s="26"/>
      <c r="P943" s="1"/>
      <c r="Q943" s="1"/>
      <c r="R943" s="1"/>
      <c r="S943" s="1"/>
      <c r="T943" s="1"/>
      <c r="U943" s="1"/>
      <c r="V943" s="16"/>
      <c r="W943" s="1"/>
      <c r="X943" s="1"/>
    </row>
    <row r="944" spans="1:24">
      <c r="A944" s="1"/>
      <c r="M944" s="26"/>
      <c r="N944" s="26"/>
      <c r="P944" s="1"/>
      <c r="Q944" s="1"/>
      <c r="R944" s="1"/>
      <c r="S944" s="1"/>
      <c r="T944" s="1"/>
      <c r="U944" s="1"/>
      <c r="V944" s="16"/>
      <c r="W944" s="1"/>
      <c r="X944" s="1"/>
    </row>
    <row r="945" spans="1:24">
      <c r="A945" s="1"/>
      <c r="M945" s="26"/>
      <c r="N945" s="26"/>
      <c r="P945" s="1"/>
      <c r="Q945" s="1"/>
      <c r="R945" s="1"/>
      <c r="S945" s="1"/>
      <c r="T945" s="1"/>
      <c r="U945" s="1"/>
      <c r="V945" s="16"/>
      <c r="W945" s="1"/>
      <c r="X945" s="1"/>
    </row>
    <row r="946" spans="1:24">
      <c r="A946" s="1"/>
      <c r="M946" s="26"/>
      <c r="N946" s="26"/>
      <c r="P946" s="1"/>
      <c r="Q946" s="1"/>
      <c r="R946" s="1"/>
      <c r="S946" s="1"/>
      <c r="T946" s="1"/>
      <c r="U946" s="1"/>
      <c r="V946" s="16"/>
      <c r="W946" s="1"/>
      <c r="X946" s="1"/>
    </row>
    <row r="947" spans="1:24">
      <c r="A947" s="1"/>
      <c r="M947" s="26"/>
      <c r="N947" s="26"/>
      <c r="P947" s="1"/>
      <c r="Q947" s="1"/>
      <c r="R947" s="1"/>
      <c r="S947" s="1"/>
      <c r="T947" s="1"/>
      <c r="U947" s="1"/>
      <c r="V947" s="16"/>
      <c r="W947" s="1"/>
      <c r="X947" s="1"/>
    </row>
    <row r="948" spans="1:24">
      <c r="A948" s="1"/>
      <c r="M948" s="26"/>
      <c r="N948" s="26"/>
      <c r="P948" s="1"/>
      <c r="Q948" s="1"/>
      <c r="R948" s="1"/>
      <c r="S948" s="1"/>
      <c r="T948" s="1"/>
      <c r="U948" s="1"/>
      <c r="V948" s="16"/>
      <c r="W948" s="1"/>
      <c r="X948" s="1"/>
    </row>
    <row r="949" spans="1:24">
      <c r="A949" s="1"/>
      <c r="M949" s="26"/>
      <c r="N949" s="26"/>
      <c r="P949" s="1"/>
      <c r="Q949" s="1"/>
      <c r="R949" s="1"/>
      <c r="S949" s="1"/>
      <c r="T949" s="1"/>
      <c r="U949" s="1"/>
      <c r="V949" s="16"/>
      <c r="W949" s="1"/>
      <c r="X949" s="1"/>
    </row>
    <row r="950" spans="1:24">
      <c r="A950" s="1"/>
      <c r="M950" s="26"/>
      <c r="N950" s="26"/>
      <c r="P950" s="1"/>
      <c r="Q950" s="1"/>
      <c r="R950" s="1"/>
      <c r="S950" s="1"/>
      <c r="T950" s="1"/>
      <c r="U950" s="1"/>
      <c r="V950" s="16"/>
      <c r="W950" s="1"/>
      <c r="X950" s="1"/>
    </row>
    <row r="951" spans="1:24">
      <c r="A951" s="1"/>
      <c r="M951" s="26"/>
      <c r="N951" s="26"/>
      <c r="P951" s="1"/>
      <c r="Q951" s="1"/>
      <c r="R951" s="1"/>
      <c r="S951" s="1"/>
      <c r="T951" s="1"/>
      <c r="U951" s="1"/>
      <c r="V951" s="16"/>
      <c r="W951" s="1"/>
      <c r="X951" s="1"/>
    </row>
    <row r="952" spans="1:24">
      <c r="A952" s="1"/>
      <c r="M952" s="26"/>
      <c r="N952" s="26"/>
      <c r="P952" s="1"/>
      <c r="Q952" s="1"/>
      <c r="R952" s="1"/>
      <c r="S952" s="1"/>
      <c r="T952" s="1"/>
      <c r="U952" s="1"/>
      <c r="V952" s="16"/>
      <c r="W952" s="1"/>
      <c r="X952" s="1"/>
    </row>
    <row r="953" spans="1:24">
      <c r="A953" s="1"/>
      <c r="M953" s="26"/>
      <c r="N953" s="26"/>
      <c r="P953" s="1"/>
      <c r="Q953" s="1"/>
      <c r="R953" s="1"/>
      <c r="S953" s="1"/>
      <c r="T953" s="1"/>
      <c r="U953" s="1"/>
      <c r="V953" s="16"/>
      <c r="W953" s="1"/>
      <c r="X953" s="1"/>
    </row>
    <row r="954" spans="1:24">
      <c r="A954" s="1"/>
      <c r="M954" s="26"/>
      <c r="N954" s="26"/>
      <c r="P954" s="1"/>
      <c r="Q954" s="1"/>
      <c r="R954" s="1"/>
      <c r="S954" s="1"/>
      <c r="T954" s="1"/>
      <c r="U954" s="1"/>
      <c r="V954" s="16"/>
      <c r="W954" s="1"/>
      <c r="X954" s="1"/>
    </row>
    <row r="955" spans="1:24">
      <c r="A955" s="1"/>
      <c r="M955" s="26"/>
      <c r="N955" s="26"/>
      <c r="P955" s="1"/>
      <c r="Q955" s="1"/>
      <c r="R955" s="1"/>
      <c r="S955" s="1"/>
      <c r="T955" s="1"/>
      <c r="U955" s="1"/>
      <c r="V955" s="16"/>
      <c r="W955" s="1"/>
      <c r="X955" s="1"/>
    </row>
    <row r="956" spans="1:24">
      <c r="A956" s="1"/>
      <c r="M956" s="26"/>
      <c r="N956" s="26"/>
      <c r="P956" s="1"/>
      <c r="Q956" s="1"/>
      <c r="R956" s="1"/>
      <c r="S956" s="1"/>
      <c r="T956" s="1"/>
      <c r="U956" s="1"/>
      <c r="V956" s="16"/>
      <c r="W956" s="1"/>
      <c r="X956" s="1"/>
    </row>
    <row r="957" spans="1:24">
      <c r="A957" s="1"/>
      <c r="M957" s="26"/>
      <c r="N957" s="26"/>
      <c r="P957" s="1"/>
      <c r="Q957" s="1"/>
      <c r="R957" s="1"/>
      <c r="S957" s="1"/>
      <c r="T957" s="1"/>
      <c r="U957" s="1"/>
      <c r="V957" s="16"/>
      <c r="W957" s="1"/>
      <c r="X957" s="1"/>
    </row>
    <row r="958" spans="1:24">
      <c r="A958" s="1"/>
      <c r="M958" s="26"/>
      <c r="N958" s="26"/>
      <c r="P958" s="1"/>
      <c r="Q958" s="1"/>
      <c r="R958" s="1"/>
      <c r="S958" s="1"/>
      <c r="T958" s="1"/>
      <c r="U958" s="1"/>
      <c r="V958" s="16"/>
      <c r="W958" s="1"/>
      <c r="X958" s="1"/>
    </row>
    <row r="959" spans="1:24">
      <c r="A959" s="1"/>
      <c r="M959" s="26"/>
      <c r="N959" s="26"/>
      <c r="P959" s="1"/>
      <c r="Q959" s="1"/>
      <c r="R959" s="1"/>
      <c r="S959" s="1"/>
      <c r="T959" s="1"/>
      <c r="U959" s="1"/>
      <c r="V959" s="16"/>
      <c r="W959" s="1"/>
      <c r="X959" s="1"/>
    </row>
    <row r="960" spans="1:24">
      <c r="A960" s="1"/>
      <c r="M960" s="26"/>
      <c r="N960" s="26"/>
      <c r="P960" s="1"/>
      <c r="Q960" s="1"/>
      <c r="R960" s="1"/>
      <c r="S960" s="1"/>
      <c r="T960" s="1"/>
      <c r="U960" s="1"/>
      <c r="V960" s="16"/>
      <c r="W960" s="1"/>
      <c r="X960" s="1"/>
    </row>
    <row r="961" spans="1:24">
      <c r="A961" s="1"/>
      <c r="M961" s="26"/>
      <c r="N961" s="26"/>
      <c r="P961" s="1"/>
      <c r="Q961" s="1"/>
      <c r="R961" s="1"/>
      <c r="S961" s="1"/>
      <c r="T961" s="1"/>
      <c r="U961" s="1"/>
      <c r="V961" s="16"/>
      <c r="W961" s="1"/>
      <c r="X961" s="1"/>
    </row>
    <row r="962" spans="1:24">
      <c r="A962" s="1"/>
      <c r="M962" s="26"/>
      <c r="N962" s="26"/>
      <c r="P962" s="1"/>
      <c r="Q962" s="1"/>
      <c r="R962" s="1"/>
      <c r="S962" s="1"/>
      <c r="T962" s="1"/>
      <c r="U962" s="1"/>
      <c r="V962" s="16"/>
      <c r="W962" s="1"/>
      <c r="X962" s="1"/>
    </row>
    <row r="963" spans="1:24">
      <c r="A963" s="1"/>
      <c r="M963" s="26"/>
      <c r="N963" s="26"/>
      <c r="P963" s="1"/>
      <c r="Q963" s="1"/>
      <c r="R963" s="1"/>
      <c r="S963" s="1"/>
      <c r="T963" s="1"/>
      <c r="U963" s="1"/>
      <c r="V963" s="16"/>
      <c r="W963" s="1"/>
      <c r="X963" s="1"/>
    </row>
    <row r="964" spans="1:24">
      <c r="A964" s="1"/>
      <c r="M964" s="26"/>
      <c r="N964" s="26"/>
      <c r="P964" s="1"/>
      <c r="Q964" s="1"/>
      <c r="R964" s="1"/>
      <c r="S964" s="1"/>
      <c r="T964" s="1"/>
      <c r="U964" s="1"/>
      <c r="V964" s="16"/>
      <c r="W964" s="1"/>
      <c r="X964" s="1"/>
    </row>
    <row r="965" spans="1:24">
      <c r="A965" s="1"/>
      <c r="M965" s="26"/>
      <c r="N965" s="26"/>
      <c r="P965" s="1"/>
      <c r="Q965" s="1"/>
      <c r="R965" s="1"/>
      <c r="S965" s="1"/>
      <c r="T965" s="1"/>
      <c r="U965" s="1"/>
      <c r="V965" s="16"/>
      <c r="W965" s="1"/>
      <c r="X965" s="1"/>
    </row>
    <row r="966" spans="1:24">
      <c r="A966" s="1"/>
      <c r="M966" s="26"/>
      <c r="N966" s="26"/>
      <c r="P966" s="1"/>
      <c r="Q966" s="1"/>
      <c r="R966" s="1"/>
      <c r="S966" s="1"/>
      <c r="T966" s="1"/>
      <c r="U966" s="1"/>
      <c r="V966" s="16"/>
      <c r="W966" s="1"/>
      <c r="X966" s="1"/>
    </row>
    <row r="967" spans="1:24">
      <c r="A967" s="1"/>
      <c r="M967" s="26"/>
      <c r="N967" s="26"/>
      <c r="P967" s="1"/>
      <c r="Q967" s="1"/>
      <c r="R967" s="1"/>
      <c r="S967" s="1"/>
      <c r="T967" s="1"/>
      <c r="U967" s="1"/>
      <c r="V967" s="16"/>
      <c r="W967" s="1"/>
      <c r="X967" s="1"/>
    </row>
    <row r="968" spans="1:24">
      <c r="A968" s="1"/>
      <c r="M968" s="26"/>
      <c r="N968" s="26"/>
      <c r="P968" s="1"/>
      <c r="Q968" s="1"/>
      <c r="R968" s="1"/>
      <c r="S968" s="1"/>
      <c r="T968" s="1"/>
      <c r="U968" s="1"/>
      <c r="V968" s="16"/>
      <c r="W968" s="1"/>
      <c r="X968" s="1"/>
    </row>
    <row r="969" spans="1:24">
      <c r="A969" s="1"/>
      <c r="M969" s="26"/>
      <c r="N969" s="26"/>
      <c r="P969" s="1"/>
      <c r="Q969" s="1"/>
      <c r="R969" s="1"/>
      <c r="S969" s="1"/>
      <c r="T969" s="1"/>
      <c r="U969" s="1"/>
      <c r="V969" s="16"/>
      <c r="W969" s="1"/>
      <c r="X969" s="1"/>
    </row>
    <row r="970" spans="1:24">
      <c r="A970" s="1"/>
      <c r="M970" s="26"/>
      <c r="N970" s="26"/>
      <c r="P970" s="1"/>
      <c r="Q970" s="1"/>
      <c r="R970" s="1"/>
      <c r="S970" s="1"/>
      <c r="T970" s="1"/>
      <c r="U970" s="1"/>
      <c r="V970" s="16"/>
      <c r="W970" s="1"/>
      <c r="X970" s="1"/>
    </row>
    <row r="971" spans="1:24">
      <c r="A971" s="1"/>
      <c r="M971" s="26"/>
      <c r="N971" s="26"/>
      <c r="P971" s="1"/>
      <c r="Q971" s="1"/>
      <c r="R971" s="1"/>
      <c r="S971" s="1"/>
      <c r="T971" s="1"/>
      <c r="U971" s="1"/>
      <c r="V971" s="16"/>
      <c r="W971" s="1"/>
      <c r="X971" s="1"/>
    </row>
    <row r="972" spans="1:24">
      <c r="A972" s="1"/>
      <c r="M972" s="26"/>
      <c r="N972" s="26"/>
      <c r="P972" s="1"/>
      <c r="Q972" s="1"/>
      <c r="R972" s="1"/>
      <c r="S972" s="1"/>
      <c r="T972" s="1"/>
      <c r="U972" s="1"/>
      <c r="V972" s="16"/>
      <c r="W972" s="1"/>
      <c r="X972" s="1"/>
    </row>
    <row r="973" spans="1:24">
      <c r="A973" s="1"/>
      <c r="M973" s="26"/>
      <c r="N973" s="26"/>
      <c r="P973" s="1"/>
      <c r="Q973" s="1"/>
      <c r="R973" s="1"/>
      <c r="S973" s="1"/>
      <c r="T973" s="1"/>
      <c r="U973" s="1"/>
      <c r="V973" s="16"/>
      <c r="W973" s="1"/>
      <c r="X973" s="1"/>
    </row>
    <row r="974" spans="1:24">
      <c r="A974" s="1"/>
      <c r="M974" s="26"/>
      <c r="N974" s="26"/>
      <c r="P974" s="1"/>
      <c r="Q974" s="1"/>
      <c r="R974" s="1"/>
      <c r="S974" s="1"/>
      <c r="T974" s="1"/>
      <c r="U974" s="1"/>
      <c r="V974" s="16"/>
      <c r="W974" s="1"/>
      <c r="X974" s="1"/>
    </row>
    <row r="975" spans="1:24">
      <c r="A975" s="1"/>
      <c r="M975" s="26"/>
      <c r="N975" s="26"/>
      <c r="P975" s="1"/>
      <c r="Q975" s="1"/>
      <c r="R975" s="1"/>
      <c r="S975" s="1"/>
      <c r="T975" s="1"/>
      <c r="U975" s="1"/>
      <c r="V975" s="16"/>
      <c r="W975" s="1"/>
      <c r="X975" s="1"/>
    </row>
    <row r="976" spans="1:24">
      <c r="A976" s="1"/>
      <c r="M976" s="26"/>
      <c r="N976" s="26"/>
      <c r="P976" s="1"/>
      <c r="Q976" s="1"/>
      <c r="R976" s="1"/>
      <c r="S976" s="1"/>
      <c r="T976" s="1"/>
      <c r="U976" s="1"/>
      <c r="V976" s="16"/>
      <c r="W976" s="1"/>
      <c r="X976" s="1"/>
    </row>
    <row r="977" spans="1:24">
      <c r="A977" s="1"/>
      <c r="M977" s="26"/>
      <c r="N977" s="26"/>
      <c r="P977" s="1"/>
      <c r="Q977" s="1"/>
      <c r="R977" s="1"/>
      <c r="S977" s="1"/>
      <c r="T977" s="1"/>
      <c r="U977" s="1"/>
      <c r="V977" s="16"/>
      <c r="W977" s="1"/>
      <c r="X977" s="1"/>
    </row>
    <row r="978" spans="1:24">
      <c r="A978" s="1"/>
      <c r="M978" s="26"/>
      <c r="N978" s="26"/>
      <c r="P978" s="1"/>
      <c r="Q978" s="1"/>
      <c r="R978" s="1"/>
      <c r="S978" s="1"/>
      <c r="T978" s="1"/>
      <c r="U978" s="1"/>
      <c r="V978" s="16"/>
      <c r="W978" s="1"/>
      <c r="X978" s="1"/>
    </row>
    <row r="979" spans="1:24">
      <c r="A979" s="1"/>
      <c r="M979" s="26"/>
      <c r="N979" s="26"/>
      <c r="P979" s="1"/>
      <c r="Q979" s="1"/>
      <c r="R979" s="1"/>
      <c r="S979" s="1"/>
      <c r="T979" s="1"/>
      <c r="U979" s="1"/>
      <c r="V979" s="16"/>
      <c r="W979" s="1"/>
      <c r="X979" s="1"/>
    </row>
    <row r="980" spans="1:24">
      <c r="A980" s="1"/>
      <c r="M980" s="26"/>
      <c r="N980" s="26"/>
      <c r="P980" s="1"/>
      <c r="Q980" s="1"/>
      <c r="R980" s="1"/>
      <c r="S980" s="1"/>
      <c r="T980" s="1"/>
      <c r="U980" s="1"/>
      <c r="V980" s="16"/>
      <c r="W980" s="1"/>
      <c r="X980" s="1"/>
    </row>
    <row r="981" spans="1:24">
      <c r="A981" s="1"/>
      <c r="M981" s="26"/>
      <c r="N981" s="26"/>
      <c r="P981" s="1"/>
      <c r="Q981" s="1"/>
      <c r="R981" s="1"/>
      <c r="S981" s="1"/>
      <c r="T981" s="1"/>
      <c r="U981" s="1"/>
      <c r="V981" s="16"/>
      <c r="W981" s="1"/>
      <c r="X981" s="1"/>
    </row>
    <row r="982" spans="1:24">
      <c r="A982" s="1"/>
      <c r="M982" s="26"/>
      <c r="N982" s="26"/>
      <c r="P982" s="1"/>
      <c r="Q982" s="1"/>
      <c r="R982" s="1"/>
      <c r="S982" s="1"/>
      <c r="T982" s="1"/>
      <c r="U982" s="1"/>
      <c r="V982" s="16"/>
      <c r="W982" s="1"/>
      <c r="X982" s="1"/>
    </row>
    <row r="983" spans="1:24">
      <c r="A983" s="1"/>
      <c r="M983" s="26"/>
      <c r="N983" s="26"/>
      <c r="P983" s="1"/>
      <c r="Q983" s="1"/>
      <c r="R983" s="1"/>
      <c r="S983" s="1"/>
      <c r="T983" s="1"/>
      <c r="U983" s="1"/>
      <c r="V983" s="16"/>
      <c r="W983" s="1"/>
      <c r="X983" s="1"/>
    </row>
    <row r="984" spans="1:24">
      <c r="A984" s="1"/>
      <c r="M984" s="26"/>
      <c r="N984" s="26"/>
      <c r="P984" s="1"/>
      <c r="Q984" s="1"/>
      <c r="R984" s="1"/>
      <c r="S984" s="1"/>
      <c r="T984" s="1"/>
      <c r="U984" s="1"/>
      <c r="V984" s="16"/>
      <c r="W984" s="1"/>
      <c r="X984" s="1"/>
    </row>
    <row r="985" spans="1:24">
      <c r="A985" s="1"/>
      <c r="M985" s="26"/>
      <c r="N985" s="26"/>
      <c r="P985" s="1"/>
      <c r="Q985" s="1"/>
      <c r="R985" s="1"/>
      <c r="S985" s="1"/>
      <c r="T985" s="1"/>
      <c r="U985" s="1"/>
      <c r="V985" s="16"/>
      <c r="W985" s="1"/>
      <c r="X985" s="1"/>
    </row>
    <row r="986" spans="1:24">
      <c r="A986" s="1"/>
      <c r="M986" s="26"/>
      <c r="N986" s="26"/>
      <c r="P986" s="1"/>
      <c r="Q986" s="1"/>
      <c r="R986" s="1"/>
      <c r="S986" s="1"/>
      <c r="T986" s="1"/>
      <c r="U986" s="1"/>
      <c r="V986" s="16"/>
      <c r="W986" s="1"/>
      <c r="X986" s="1"/>
    </row>
    <row r="987" spans="1:24">
      <c r="A987" s="1"/>
      <c r="M987" s="26"/>
      <c r="N987" s="26"/>
      <c r="P987" s="1"/>
      <c r="Q987" s="1"/>
      <c r="R987" s="1"/>
      <c r="S987" s="1"/>
      <c r="T987" s="1"/>
      <c r="U987" s="1"/>
      <c r="V987" s="16"/>
      <c r="W987" s="1"/>
      <c r="X987" s="1"/>
    </row>
    <row r="988" spans="1:24">
      <c r="A988" s="1"/>
      <c r="M988" s="26"/>
      <c r="N988" s="26"/>
      <c r="P988" s="1"/>
      <c r="Q988" s="1"/>
      <c r="R988" s="1"/>
      <c r="S988" s="1"/>
      <c r="T988" s="1"/>
      <c r="U988" s="1"/>
      <c r="V988" s="16"/>
      <c r="W988" s="1"/>
      <c r="X988" s="1"/>
    </row>
    <row r="989" spans="1:24">
      <c r="A989" s="1"/>
      <c r="M989" s="26"/>
      <c r="N989" s="26"/>
      <c r="P989" s="1"/>
      <c r="Q989" s="1"/>
      <c r="R989" s="1"/>
      <c r="S989" s="1"/>
      <c r="T989" s="1"/>
      <c r="U989" s="1"/>
      <c r="V989" s="16"/>
      <c r="W989" s="1"/>
      <c r="X989" s="1"/>
    </row>
    <row r="990" spans="1:24">
      <c r="A990" s="1"/>
      <c r="M990" s="26"/>
      <c r="N990" s="26"/>
      <c r="P990" s="1"/>
      <c r="Q990" s="1"/>
      <c r="R990" s="1"/>
      <c r="S990" s="1"/>
      <c r="T990" s="1"/>
      <c r="U990" s="1"/>
      <c r="V990" s="16"/>
      <c r="W990" s="1"/>
      <c r="X990" s="1"/>
    </row>
    <row r="991" spans="1:24">
      <c r="A991" s="1"/>
      <c r="M991" s="26"/>
      <c r="N991" s="26"/>
      <c r="P991" s="1"/>
      <c r="Q991" s="1"/>
      <c r="R991" s="1"/>
      <c r="S991" s="1"/>
      <c r="T991" s="1"/>
      <c r="U991" s="1"/>
      <c r="V991" s="16"/>
      <c r="W991" s="1"/>
      <c r="X991" s="1"/>
    </row>
    <row r="992" spans="1:24">
      <c r="A992" s="1"/>
      <c r="M992" s="26"/>
      <c r="N992" s="26"/>
      <c r="P992" s="1"/>
      <c r="Q992" s="1"/>
      <c r="R992" s="1"/>
      <c r="S992" s="1"/>
      <c r="T992" s="1"/>
      <c r="U992" s="1"/>
      <c r="V992" s="16"/>
      <c r="W992" s="1"/>
      <c r="X992" s="1"/>
    </row>
    <row r="993" spans="1:24">
      <c r="A993" s="1"/>
      <c r="M993" s="26"/>
      <c r="N993" s="26"/>
      <c r="P993" s="1"/>
      <c r="Q993" s="1"/>
      <c r="R993" s="1"/>
      <c r="S993" s="1"/>
      <c r="T993" s="1"/>
      <c r="U993" s="1"/>
      <c r="V993" s="16"/>
      <c r="W993" s="1"/>
      <c r="X993" s="1"/>
    </row>
    <row r="994" spans="1:24">
      <c r="A994" s="1"/>
      <c r="M994" s="26"/>
      <c r="N994" s="26"/>
      <c r="P994" s="1"/>
      <c r="Q994" s="1"/>
      <c r="R994" s="1"/>
      <c r="S994" s="1"/>
      <c r="T994" s="1"/>
      <c r="U994" s="1"/>
      <c r="V994" s="16"/>
      <c r="W994" s="1"/>
      <c r="X994" s="1"/>
    </row>
    <row r="995" spans="1:24">
      <c r="A995" s="1"/>
      <c r="M995" s="26"/>
      <c r="N995" s="26"/>
      <c r="P995" s="1"/>
      <c r="Q995" s="1"/>
      <c r="R995" s="1"/>
      <c r="S995" s="1"/>
      <c r="T995" s="1"/>
      <c r="U995" s="1"/>
      <c r="V995" s="16"/>
      <c r="W995" s="1"/>
      <c r="X995" s="1"/>
    </row>
    <row r="996" spans="1:24">
      <c r="A996" s="1"/>
      <c r="M996" s="26"/>
      <c r="N996" s="26"/>
      <c r="P996" s="1"/>
      <c r="Q996" s="1"/>
      <c r="R996" s="1"/>
      <c r="S996" s="1"/>
      <c r="T996" s="1"/>
      <c r="U996" s="1"/>
      <c r="V996" s="16"/>
      <c r="W996" s="1"/>
      <c r="X996" s="1"/>
    </row>
    <row r="997" spans="1:24">
      <c r="A997" s="1"/>
      <c r="M997" s="26"/>
      <c r="N997" s="26"/>
      <c r="P997" s="1"/>
      <c r="Q997" s="1"/>
      <c r="R997" s="1"/>
      <c r="S997" s="1"/>
      <c r="T997" s="1"/>
      <c r="U997" s="1"/>
      <c r="V997" s="16"/>
      <c r="W997" s="1"/>
      <c r="X997" s="1"/>
    </row>
    <row r="998" spans="1:24">
      <c r="A998" s="1"/>
      <c r="M998" s="26"/>
      <c r="N998" s="26"/>
      <c r="P998" s="1"/>
      <c r="Q998" s="1"/>
      <c r="R998" s="1"/>
      <c r="S998" s="1"/>
      <c r="T998" s="1"/>
      <c r="U998" s="1"/>
      <c r="V998" s="16"/>
      <c r="W998" s="1"/>
      <c r="X998" s="1"/>
    </row>
    <row r="999" spans="1:24">
      <c r="A999" s="1"/>
      <c r="M999" s="26"/>
      <c r="N999" s="26"/>
      <c r="P999" s="1"/>
      <c r="Q999" s="1"/>
      <c r="R999" s="1"/>
      <c r="S999" s="1"/>
      <c r="T999" s="1"/>
      <c r="U999" s="1"/>
      <c r="V999" s="16"/>
      <c r="W999" s="1"/>
      <c r="X999" s="1"/>
    </row>
    <row r="1000" spans="1:24">
      <c r="A1000" s="1"/>
      <c r="M1000" s="26"/>
      <c r="N1000" s="26"/>
      <c r="P1000" s="1"/>
      <c r="Q1000" s="1"/>
      <c r="R1000" s="1"/>
      <c r="S1000" s="1"/>
      <c r="T1000" s="1"/>
      <c r="U1000" s="1"/>
      <c r="V1000" s="16"/>
      <c r="W1000" s="1"/>
      <c r="X1000" s="1"/>
    </row>
    <row r="1001" spans="1:24">
      <c r="A1001" s="1"/>
      <c r="M1001" s="26"/>
      <c r="N1001" s="26"/>
      <c r="P1001" s="1"/>
      <c r="Q1001" s="1"/>
      <c r="R1001" s="1"/>
      <c r="S1001" s="1"/>
      <c r="T1001" s="1"/>
      <c r="U1001" s="1"/>
      <c r="V1001" s="16"/>
      <c r="W1001" s="1"/>
      <c r="X1001" s="1"/>
    </row>
    <row r="1002" spans="1:24">
      <c r="A1002" s="1"/>
      <c r="M1002" s="26"/>
      <c r="N1002" s="26"/>
      <c r="P1002" s="1"/>
      <c r="Q1002" s="1"/>
      <c r="R1002" s="1"/>
      <c r="S1002" s="1"/>
      <c r="T1002" s="1"/>
      <c r="U1002" s="1"/>
      <c r="V1002" s="16"/>
      <c r="W1002" s="1"/>
      <c r="X1002" s="1"/>
    </row>
    <row r="1003" spans="1:24">
      <c r="A1003" s="1"/>
      <c r="M1003" s="26"/>
      <c r="N1003" s="26"/>
      <c r="P1003" s="1"/>
      <c r="Q1003" s="1"/>
      <c r="R1003" s="1"/>
      <c r="S1003" s="1"/>
      <c r="T1003" s="1"/>
      <c r="U1003" s="1"/>
      <c r="V1003" s="16"/>
      <c r="W1003" s="1"/>
      <c r="X1003" s="1"/>
    </row>
    <row r="1004" spans="1:24">
      <c r="A1004" s="1"/>
      <c r="M1004" s="26"/>
      <c r="N1004" s="26"/>
      <c r="P1004" s="1"/>
      <c r="Q1004" s="1"/>
      <c r="R1004" s="1"/>
      <c r="S1004" s="1"/>
      <c r="T1004" s="1"/>
      <c r="U1004" s="1"/>
      <c r="V1004" s="16"/>
      <c r="W1004" s="1"/>
      <c r="X1004" s="1"/>
    </row>
    <row r="1005" spans="1:24">
      <c r="A1005" s="1"/>
      <c r="M1005" s="26"/>
      <c r="N1005" s="26"/>
      <c r="P1005" s="1"/>
      <c r="Q1005" s="1"/>
      <c r="R1005" s="1"/>
      <c r="S1005" s="1"/>
      <c r="T1005" s="1"/>
      <c r="U1005" s="1"/>
      <c r="V1005" s="16"/>
      <c r="W1005" s="1"/>
      <c r="X1005" s="1"/>
    </row>
    <row r="1006" spans="1:24">
      <c r="A1006" s="1"/>
      <c r="M1006" s="26"/>
      <c r="N1006" s="26"/>
      <c r="P1006" s="1"/>
      <c r="Q1006" s="1"/>
      <c r="R1006" s="1"/>
      <c r="S1006" s="1"/>
      <c r="T1006" s="1"/>
      <c r="U1006" s="1"/>
      <c r="V1006" s="16"/>
      <c r="W1006" s="1"/>
      <c r="X1006" s="1"/>
    </row>
    <row r="1007" spans="1:24">
      <c r="A1007" s="1"/>
      <c r="M1007" s="26"/>
      <c r="N1007" s="26"/>
      <c r="P1007" s="1"/>
      <c r="Q1007" s="1"/>
      <c r="R1007" s="1"/>
      <c r="S1007" s="1"/>
      <c r="T1007" s="1"/>
      <c r="U1007" s="1"/>
      <c r="V1007" s="16"/>
      <c r="W1007" s="1"/>
      <c r="X1007" s="1"/>
    </row>
    <row r="1008" spans="1:24">
      <c r="A1008" s="1"/>
      <c r="M1008" s="26"/>
      <c r="N1008" s="26"/>
      <c r="P1008" s="1"/>
      <c r="Q1008" s="1"/>
      <c r="R1008" s="1"/>
      <c r="S1008" s="1"/>
      <c r="T1008" s="1"/>
      <c r="U1008" s="1"/>
      <c r="V1008" s="16"/>
      <c r="W1008" s="1"/>
      <c r="X1008" s="1"/>
    </row>
    <row r="1009" spans="1:24">
      <c r="A1009" s="1"/>
      <c r="M1009" s="26"/>
      <c r="N1009" s="26"/>
      <c r="P1009" s="1"/>
      <c r="Q1009" s="1"/>
      <c r="R1009" s="1"/>
      <c r="S1009" s="1"/>
      <c r="T1009" s="1"/>
      <c r="U1009" s="1"/>
      <c r="V1009" s="16"/>
      <c r="W1009" s="1"/>
      <c r="X1009" s="1"/>
    </row>
    <row r="1010" spans="1:24">
      <c r="A1010" s="1"/>
      <c r="M1010" s="26"/>
      <c r="N1010" s="26"/>
      <c r="P1010" s="1"/>
      <c r="Q1010" s="1"/>
      <c r="R1010" s="1"/>
      <c r="S1010" s="1"/>
      <c r="T1010" s="1"/>
      <c r="U1010" s="1"/>
      <c r="V1010" s="16"/>
      <c r="W1010" s="1"/>
      <c r="X1010" s="1"/>
    </row>
    <row r="1011" spans="1:24">
      <c r="A1011" s="1"/>
      <c r="M1011" s="26"/>
      <c r="N1011" s="26"/>
      <c r="P1011" s="1"/>
      <c r="Q1011" s="1"/>
      <c r="R1011" s="1"/>
      <c r="S1011" s="1"/>
      <c r="T1011" s="1"/>
      <c r="U1011" s="1"/>
      <c r="V1011" s="16"/>
      <c r="W1011" s="1"/>
      <c r="X1011" s="1"/>
    </row>
    <row r="1012" spans="1:24">
      <c r="A1012" s="1"/>
      <c r="M1012" s="26"/>
      <c r="N1012" s="26"/>
      <c r="P1012" s="1"/>
      <c r="Q1012" s="1"/>
      <c r="R1012" s="1"/>
      <c r="S1012" s="1"/>
      <c r="T1012" s="1"/>
      <c r="U1012" s="1"/>
      <c r="V1012" s="16"/>
      <c r="W1012" s="1"/>
      <c r="X1012" s="1"/>
    </row>
    <row r="1013" spans="1:24">
      <c r="A1013" s="1"/>
      <c r="M1013" s="26"/>
      <c r="N1013" s="26"/>
      <c r="P1013" s="1"/>
      <c r="Q1013" s="1"/>
      <c r="R1013" s="1"/>
      <c r="S1013" s="1"/>
      <c r="T1013" s="1"/>
      <c r="U1013" s="1"/>
      <c r="V1013" s="16"/>
      <c r="W1013" s="1"/>
      <c r="X1013" s="1"/>
    </row>
    <row r="1014" spans="1:24">
      <c r="A1014" s="1"/>
      <c r="M1014" s="26"/>
      <c r="N1014" s="26"/>
      <c r="P1014" s="1"/>
      <c r="Q1014" s="1"/>
      <c r="R1014" s="1"/>
      <c r="S1014" s="1"/>
      <c r="T1014" s="1"/>
      <c r="U1014" s="1"/>
      <c r="V1014" s="16"/>
      <c r="W1014" s="1"/>
      <c r="X1014" s="1"/>
    </row>
    <row r="1015" spans="1:24">
      <c r="A1015" s="1"/>
      <c r="M1015" s="26"/>
      <c r="N1015" s="26"/>
      <c r="P1015" s="1"/>
      <c r="Q1015" s="1"/>
      <c r="R1015" s="1"/>
      <c r="S1015" s="1"/>
      <c r="T1015" s="1"/>
      <c r="U1015" s="1"/>
      <c r="V1015" s="16"/>
      <c r="W1015" s="1"/>
      <c r="X1015" s="1"/>
    </row>
    <row r="1016" spans="1:24">
      <c r="A1016" s="1"/>
      <c r="M1016" s="26"/>
      <c r="N1016" s="26"/>
      <c r="P1016" s="1"/>
      <c r="Q1016" s="1"/>
      <c r="R1016" s="1"/>
      <c r="S1016" s="1"/>
      <c r="T1016" s="1"/>
      <c r="U1016" s="1"/>
      <c r="V1016" s="16"/>
      <c r="W1016" s="1"/>
      <c r="X1016" s="1"/>
    </row>
    <row r="1017" spans="1:24">
      <c r="A1017" s="1"/>
      <c r="M1017" s="26"/>
      <c r="N1017" s="26"/>
      <c r="P1017" s="1"/>
      <c r="Q1017" s="1"/>
      <c r="R1017" s="1"/>
      <c r="S1017" s="1"/>
      <c r="T1017" s="1"/>
      <c r="U1017" s="1"/>
      <c r="V1017" s="16"/>
      <c r="W1017" s="1"/>
      <c r="X1017" s="1"/>
    </row>
    <row r="1018" spans="1:24">
      <c r="A1018" s="1"/>
      <c r="M1018" s="26"/>
      <c r="N1018" s="26"/>
      <c r="P1018" s="1"/>
      <c r="Q1018" s="1"/>
      <c r="R1018" s="1"/>
      <c r="S1018" s="1"/>
      <c r="T1018" s="1"/>
      <c r="U1018" s="1"/>
      <c r="V1018" s="16"/>
      <c r="W1018" s="1"/>
      <c r="X1018" s="1"/>
    </row>
    <row r="1019" spans="1:24">
      <c r="A1019" s="1"/>
      <c r="M1019" s="26"/>
      <c r="N1019" s="26"/>
      <c r="P1019" s="1"/>
      <c r="Q1019" s="1"/>
      <c r="R1019" s="1"/>
      <c r="S1019" s="1"/>
      <c r="T1019" s="1"/>
      <c r="U1019" s="1"/>
      <c r="V1019" s="16"/>
      <c r="W1019" s="1"/>
      <c r="X1019" s="1"/>
    </row>
    <row r="1020" spans="1:24">
      <c r="A1020" s="1"/>
      <c r="M1020" s="26"/>
      <c r="N1020" s="26"/>
      <c r="P1020" s="1"/>
      <c r="Q1020" s="1"/>
      <c r="R1020" s="1"/>
      <c r="S1020" s="1"/>
      <c r="T1020" s="1"/>
      <c r="U1020" s="1"/>
      <c r="V1020" s="16"/>
      <c r="W1020" s="1"/>
      <c r="X1020" s="1"/>
    </row>
    <row r="1021" spans="1:24">
      <c r="A1021" s="1"/>
      <c r="M1021" s="26"/>
      <c r="N1021" s="26"/>
      <c r="P1021" s="1"/>
      <c r="Q1021" s="1"/>
      <c r="R1021" s="1"/>
      <c r="S1021" s="1"/>
      <c r="T1021" s="1"/>
      <c r="U1021" s="1"/>
      <c r="V1021" s="16"/>
      <c r="W1021" s="1"/>
      <c r="X1021" s="1"/>
    </row>
    <row r="1022" spans="1:24">
      <c r="A1022" s="1"/>
      <c r="M1022" s="26"/>
      <c r="N1022" s="26"/>
      <c r="P1022" s="1"/>
      <c r="Q1022" s="1"/>
      <c r="R1022" s="1"/>
      <c r="S1022" s="1"/>
      <c r="T1022" s="1"/>
      <c r="U1022" s="1"/>
      <c r="V1022" s="16"/>
      <c r="W1022" s="1"/>
      <c r="X1022" s="1"/>
    </row>
    <row r="1023" spans="1:24">
      <c r="A1023" s="1"/>
      <c r="M1023" s="26"/>
      <c r="N1023" s="26"/>
      <c r="P1023" s="1"/>
      <c r="Q1023" s="1"/>
      <c r="R1023" s="1"/>
      <c r="S1023" s="1"/>
      <c r="T1023" s="1"/>
      <c r="U1023" s="1"/>
      <c r="V1023" s="16"/>
      <c r="W1023" s="1"/>
      <c r="X1023" s="1"/>
    </row>
    <row r="1024" spans="1:24">
      <c r="A1024" s="1"/>
      <c r="M1024" s="26"/>
      <c r="N1024" s="26"/>
      <c r="P1024" s="1"/>
      <c r="Q1024" s="1"/>
      <c r="R1024" s="1"/>
      <c r="S1024" s="1"/>
      <c r="T1024" s="1"/>
      <c r="U1024" s="1"/>
      <c r="V1024" s="16"/>
      <c r="W1024" s="1"/>
      <c r="X1024" s="1"/>
    </row>
    <row r="1025" spans="1:24">
      <c r="A1025" s="1"/>
      <c r="M1025" s="26"/>
      <c r="N1025" s="26"/>
      <c r="P1025" s="1"/>
      <c r="Q1025" s="1"/>
      <c r="R1025" s="1"/>
      <c r="S1025" s="1"/>
      <c r="T1025" s="1"/>
      <c r="U1025" s="1"/>
      <c r="V1025" s="16"/>
      <c r="W1025" s="1"/>
      <c r="X1025" s="1"/>
    </row>
    <row r="1026" spans="1:24">
      <c r="A1026" s="1"/>
      <c r="M1026" s="26"/>
      <c r="N1026" s="26"/>
      <c r="P1026" s="1"/>
      <c r="Q1026" s="1"/>
      <c r="R1026" s="1"/>
      <c r="S1026" s="1"/>
      <c r="T1026" s="1"/>
      <c r="U1026" s="1"/>
      <c r="V1026" s="16"/>
      <c r="W1026" s="1"/>
      <c r="X1026" s="1"/>
    </row>
    <row r="1027" spans="1:24">
      <c r="A1027" s="1"/>
      <c r="M1027" s="26"/>
      <c r="N1027" s="26"/>
      <c r="P1027" s="1"/>
      <c r="Q1027" s="1"/>
      <c r="R1027" s="1"/>
      <c r="S1027" s="1"/>
      <c r="T1027" s="1"/>
      <c r="U1027" s="1"/>
      <c r="V1027" s="16"/>
      <c r="W1027" s="1"/>
      <c r="X1027" s="1"/>
    </row>
    <row r="1028" spans="1:24">
      <c r="A1028" s="1"/>
      <c r="M1028" s="26"/>
      <c r="N1028" s="26"/>
      <c r="P1028" s="1"/>
      <c r="Q1028" s="1"/>
      <c r="R1028" s="1"/>
      <c r="S1028" s="1"/>
      <c r="T1028" s="1"/>
      <c r="U1028" s="1"/>
      <c r="V1028" s="16"/>
      <c r="W1028" s="1"/>
      <c r="X1028" s="1"/>
    </row>
    <row r="1029" spans="1:24">
      <c r="A1029" s="1"/>
      <c r="M1029" s="26"/>
      <c r="N1029" s="26"/>
      <c r="P1029" s="1"/>
      <c r="Q1029" s="1"/>
      <c r="R1029" s="1"/>
      <c r="S1029" s="1"/>
      <c r="T1029" s="1"/>
      <c r="U1029" s="1"/>
      <c r="V1029" s="16"/>
      <c r="W1029" s="1"/>
      <c r="X1029" s="1"/>
    </row>
    <row r="1030" spans="1:24">
      <c r="A1030" s="1"/>
      <c r="M1030" s="26"/>
      <c r="N1030" s="26"/>
      <c r="P1030" s="1"/>
      <c r="Q1030" s="1"/>
      <c r="R1030" s="1"/>
      <c r="S1030" s="1"/>
      <c r="T1030" s="1"/>
      <c r="U1030" s="1"/>
      <c r="V1030" s="16"/>
      <c r="W1030" s="1"/>
      <c r="X1030" s="1"/>
    </row>
    <row r="1031" spans="1:24">
      <c r="A1031" s="1"/>
      <c r="M1031" s="26"/>
      <c r="N1031" s="26"/>
      <c r="P1031" s="1"/>
      <c r="Q1031" s="1"/>
      <c r="R1031" s="1"/>
      <c r="S1031" s="1"/>
      <c r="T1031" s="1"/>
      <c r="U1031" s="1"/>
      <c r="V1031" s="16"/>
      <c r="W1031" s="1"/>
      <c r="X1031" s="1"/>
    </row>
    <row r="1032" spans="1:24">
      <c r="A1032" s="1"/>
      <c r="M1032" s="26"/>
      <c r="N1032" s="26"/>
      <c r="P1032" s="1"/>
      <c r="Q1032" s="1"/>
      <c r="R1032" s="1"/>
      <c r="S1032" s="1"/>
      <c r="T1032" s="1"/>
      <c r="U1032" s="1"/>
      <c r="V1032" s="16"/>
      <c r="W1032" s="1"/>
      <c r="X1032" s="1"/>
    </row>
    <row r="1033" spans="1:24">
      <c r="A1033" s="1"/>
      <c r="M1033" s="26"/>
      <c r="N1033" s="26"/>
      <c r="P1033" s="1"/>
      <c r="Q1033" s="1"/>
      <c r="R1033" s="1"/>
      <c r="S1033" s="1"/>
      <c r="T1033" s="1"/>
      <c r="U1033" s="1"/>
      <c r="V1033" s="16"/>
      <c r="W1033" s="1"/>
      <c r="X1033" s="1"/>
    </row>
    <row r="1034" spans="1:24">
      <c r="A1034" s="1"/>
      <c r="M1034" s="26"/>
      <c r="N1034" s="26"/>
      <c r="P1034" s="1"/>
      <c r="Q1034" s="1"/>
      <c r="R1034" s="1"/>
      <c r="S1034" s="1"/>
      <c r="T1034" s="1"/>
      <c r="U1034" s="1"/>
      <c r="V1034" s="16"/>
      <c r="W1034" s="1"/>
      <c r="X1034" s="1"/>
    </row>
    <row r="1035" spans="1:24">
      <c r="A1035" s="1"/>
      <c r="M1035" s="26"/>
      <c r="N1035" s="26"/>
      <c r="P1035" s="1"/>
      <c r="Q1035" s="1"/>
      <c r="R1035" s="1"/>
      <c r="S1035" s="1"/>
      <c r="T1035" s="1"/>
      <c r="U1035" s="1"/>
      <c r="V1035" s="16"/>
      <c r="W1035" s="1"/>
      <c r="X1035" s="1"/>
    </row>
    <row r="1036" spans="1:24">
      <c r="A1036" s="1"/>
      <c r="M1036" s="26"/>
      <c r="N1036" s="26"/>
      <c r="P1036" s="1"/>
      <c r="Q1036" s="1"/>
      <c r="R1036" s="1"/>
      <c r="S1036" s="1"/>
      <c r="T1036" s="1"/>
      <c r="U1036" s="1"/>
      <c r="V1036" s="16"/>
      <c r="W1036" s="1"/>
      <c r="X1036" s="1"/>
    </row>
    <row r="1037" spans="1:24">
      <c r="A1037" s="1"/>
      <c r="M1037" s="26"/>
      <c r="N1037" s="26"/>
      <c r="P1037" s="1"/>
      <c r="Q1037" s="1"/>
      <c r="R1037" s="1"/>
      <c r="S1037" s="1"/>
      <c r="T1037" s="1"/>
      <c r="U1037" s="1"/>
      <c r="V1037" s="16"/>
      <c r="W1037" s="1"/>
      <c r="X1037" s="1"/>
    </row>
    <row r="1038" spans="1:24">
      <c r="A1038" s="1"/>
      <c r="M1038" s="26"/>
      <c r="N1038" s="26"/>
      <c r="P1038" s="1"/>
      <c r="Q1038" s="1"/>
      <c r="R1038" s="1"/>
      <c r="S1038" s="1"/>
      <c r="T1038" s="1"/>
      <c r="U1038" s="1"/>
      <c r="V1038" s="16"/>
      <c r="W1038" s="1"/>
      <c r="X1038" s="1"/>
    </row>
    <row r="1039" spans="1:24">
      <c r="A1039" s="1"/>
      <c r="M1039" s="26"/>
      <c r="N1039" s="26"/>
      <c r="P1039" s="1"/>
      <c r="Q1039" s="1"/>
      <c r="R1039" s="1"/>
      <c r="S1039" s="1"/>
      <c r="T1039" s="1"/>
      <c r="U1039" s="1"/>
      <c r="V1039" s="16"/>
      <c r="W1039" s="1"/>
      <c r="X1039" s="1"/>
    </row>
    <row r="1040" spans="1:24">
      <c r="A1040" s="1"/>
      <c r="M1040" s="26"/>
      <c r="N1040" s="26"/>
      <c r="P1040" s="1"/>
      <c r="Q1040" s="1"/>
      <c r="R1040" s="1"/>
      <c r="S1040" s="1"/>
      <c r="T1040" s="1"/>
      <c r="U1040" s="1"/>
      <c r="V1040" s="16"/>
      <c r="W1040" s="1"/>
      <c r="X1040" s="1"/>
    </row>
    <row r="1041" spans="1:24">
      <c r="A1041" s="1"/>
      <c r="M1041" s="26"/>
      <c r="N1041" s="26"/>
      <c r="P1041" s="1"/>
      <c r="Q1041" s="1"/>
      <c r="R1041" s="1"/>
      <c r="S1041" s="1"/>
      <c r="T1041" s="1"/>
      <c r="U1041" s="1"/>
      <c r="V1041" s="16"/>
      <c r="W1041" s="1"/>
      <c r="X1041" s="1"/>
    </row>
    <row r="1042" spans="1:24">
      <c r="A1042" s="1"/>
      <c r="M1042" s="26"/>
      <c r="N1042" s="26"/>
      <c r="P1042" s="1"/>
      <c r="Q1042" s="1"/>
      <c r="R1042" s="1"/>
      <c r="S1042" s="1"/>
      <c r="T1042" s="1"/>
      <c r="U1042" s="1"/>
      <c r="V1042" s="16"/>
      <c r="W1042" s="1"/>
      <c r="X1042" s="1"/>
    </row>
    <row r="1043" spans="1:24">
      <c r="A1043" s="1"/>
      <c r="M1043" s="26"/>
      <c r="N1043" s="26"/>
      <c r="P1043" s="1"/>
      <c r="Q1043" s="1"/>
      <c r="R1043" s="1"/>
      <c r="S1043" s="1"/>
      <c r="T1043" s="1"/>
      <c r="U1043" s="1"/>
      <c r="V1043" s="16"/>
      <c r="W1043" s="1"/>
      <c r="X1043" s="1"/>
    </row>
    <row r="1044" spans="1:24">
      <c r="A1044" s="1"/>
      <c r="M1044" s="26"/>
      <c r="N1044" s="26"/>
      <c r="P1044" s="1"/>
      <c r="Q1044" s="1"/>
      <c r="R1044" s="1"/>
      <c r="S1044" s="1"/>
      <c r="T1044" s="1"/>
      <c r="U1044" s="1"/>
      <c r="V1044" s="16"/>
      <c r="W1044" s="1"/>
      <c r="X1044" s="1"/>
    </row>
    <row r="1045" spans="1:24">
      <c r="A1045" s="1"/>
      <c r="M1045" s="26"/>
      <c r="N1045" s="26"/>
      <c r="P1045" s="1"/>
      <c r="Q1045" s="1"/>
      <c r="R1045" s="1"/>
      <c r="S1045" s="1"/>
      <c r="T1045" s="1"/>
      <c r="U1045" s="1"/>
      <c r="V1045" s="16"/>
      <c r="W1045" s="1"/>
      <c r="X1045" s="1"/>
    </row>
    <row r="1046" spans="1:24">
      <c r="A1046" s="1"/>
      <c r="M1046" s="26"/>
      <c r="N1046" s="26"/>
      <c r="P1046" s="1"/>
      <c r="Q1046" s="1"/>
      <c r="R1046" s="1"/>
      <c r="S1046" s="1"/>
      <c r="T1046" s="1"/>
      <c r="U1046" s="1"/>
      <c r="V1046" s="16"/>
      <c r="W1046" s="1"/>
      <c r="X1046" s="1"/>
    </row>
    <row r="1047" spans="1:24">
      <c r="A1047" s="1"/>
      <c r="M1047" s="26"/>
      <c r="N1047" s="26"/>
      <c r="P1047" s="1"/>
      <c r="Q1047" s="1"/>
      <c r="R1047" s="1"/>
      <c r="S1047" s="1"/>
      <c r="T1047" s="1"/>
      <c r="U1047" s="1"/>
      <c r="V1047" s="16"/>
      <c r="W1047" s="1"/>
      <c r="X1047" s="1"/>
    </row>
    <row r="1048" spans="1:24">
      <c r="A1048" s="1"/>
      <c r="M1048" s="26"/>
      <c r="N1048" s="26"/>
      <c r="P1048" s="1"/>
      <c r="Q1048" s="1"/>
      <c r="R1048" s="1"/>
      <c r="S1048" s="1"/>
      <c r="T1048" s="1"/>
      <c r="U1048" s="1"/>
      <c r="V1048" s="16"/>
      <c r="W1048" s="1"/>
      <c r="X1048" s="1"/>
    </row>
    <row r="1049" spans="1:24">
      <c r="A1049" s="1"/>
      <c r="M1049" s="26"/>
      <c r="N1049" s="26"/>
      <c r="P1049" s="1"/>
      <c r="Q1049" s="1"/>
      <c r="R1049" s="1"/>
      <c r="S1049" s="1"/>
      <c r="T1049" s="1"/>
      <c r="U1049" s="1"/>
      <c r="V1049" s="16"/>
      <c r="W1049" s="1"/>
      <c r="X1049" s="1"/>
    </row>
    <row r="1050" spans="1:24">
      <c r="A1050" s="1"/>
      <c r="M1050" s="26"/>
      <c r="N1050" s="26"/>
      <c r="P1050" s="1"/>
      <c r="Q1050" s="1"/>
      <c r="R1050" s="1"/>
      <c r="S1050" s="1"/>
      <c r="T1050" s="1"/>
      <c r="U1050" s="1"/>
      <c r="V1050" s="16"/>
      <c r="W1050" s="1"/>
      <c r="X1050" s="1"/>
    </row>
    <row r="1051" spans="1:24">
      <c r="A1051" s="1"/>
      <c r="M1051" s="26"/>
      <c r="N1051" s="26"/>
      <c r="P1051" s="1"/>
      <c r="Q1051" s="1"/>
      <c r="R1051" s="1"/>
      <c r="S1051" s="1"/>
      <c r="T1051" s="1"/>
      <c r="U1051" s="1"/>
      <c r="V1051" s="16"/>
      <c r="W1051" s="1"/>
      <c r="X1051" s="1"/>
    </row>
    <row r="1052" spans="1:24">
      <c r="A1052" s="1"/>
      <c r="M1052" s="26"/>
      <c r="N1052" s="26"/>
      <c r="P1052" s="1"/>
      <c r="Q1052" s="1"/>
      <c r="R1052" s="1"/>
      <c r="S1052" s="1"/>
      <c r="T1052" s="1"/>
      <c r="U1052" s="1"/>
      <c r="V1052" s="16"/>
      <c r="W1052" s="1"/>
      <c r="X1052" s="1"/>
    </row>
    <row r="1053" spans="1:24">
      <c r="A1053" s="1"/>
      <c r="M1053" s="26"/>
      <c r="N1053" s="26"/>
      <c r="P1053" s="1"/>
      <c r="Q1053" s="1"/>
      <c r="R1053" s="1"/>
      <c r="S1053" s="1"/>
      <c r="T1053" s="1"/>
      <c r="U1053" s="1"/>
      <c r="V1053" s="16"/>
      <c r="W1053" s="1"/>
      <c r="X1053" s="1"/>
    </row>
    <row r="1054" spans="1:24">
      <c r="A1054" s="1"/>
      <c r="M1054" s="26"/>
      <c r="N1054" s="26"/>
      <c r="P1054" s="1"/>
      <c r="Q1054" s="1"/>
      <c r="R1054" s="1"/>
      <c r="S1054" s="1"/>
      <c r="T1054" s="1"/>
      <c r="U1054" s="1"/>
      <c r="V1054" s="16"/>
      <c r="W1054" s="1"/>
      <c r="X1054" s="1"/>
    </row>
    <row r="1055" spans="1:24">
      <c r="A1055" s="1"/>
      <c r="M1055" s="26"/>
      <c r="N1055" s="26"/>
      <c r="P1055" s="1"/>
      <c r="Q1055" s="1"/>
      <c r="R1055" s="1"/>
      <c r="S1055" s="1"/>
      <c r="T1055" s="1"/>
      <c r="U1055" s="1"/>
      <c r="V1055" s="16"/>
      <c r="W1055" s="1"/>
      <c r="X1055" s="1"/>
    </row>
    <row r="1056" spans="1:24">
      <c r="A1056" s="1"/>
      <c r="M1056" s="26"/>
      <c r="N1056" s="26"/>
      <c r="P1056" s="1"/>
      <c r="Q1056" s="1"/>
      <c r="R1056" s="1"/>
      <c r="S1056" s="1"/>
      <c r="T1056" s="1"/>
      <c r="U1056" s="1"/>
      <c r="V1056" s="16"/>
      <c r="W1056" s="1"/>
      <c r="X1056" s="1"/>
    </row>
    <row r="1057" spans="1:24">
      <c r="A1057" s="1"/>
      <c r="M1057" s="26"/>
      <c r="N1057" s="26"/>
      <c r="P1057" s="1"/>
      <c r="Q1057" s="1"/>
      <c r="R1057" s="1"/>
      <c r="S1057" s="1"/>
      <c r="T1057" s="1"/>
      <c r="U1057" s="1"/>
      <c r="V1057" s="16"/>
      <c r="W1057" s="1"/>
      <c r="X1057" s="1"/>
    </row>
    <row r="1058" spans="1:24">
      <c r="A1058" s="1"/>
      <c r="M1058" s="26"/>
      <c r="N1058" s="26"/>
      <c r="P1058" s="1"/>
      <c r="Q1058" s="1"/>
      <c r="R1058" s="1"/>
      <c r="S1058" s="1"/>
      <c r="T1058" s="1"/>
      <c r="U1058" s="1"/>
      <c r="V1058" s="16"/>
      <c r="W1058" s="1"/>
      <c r="X1058" s="1"/>
    </row>
    <row r="1059" spans="1:24">
      <c r="A1059" s="1"/>
      <c r="M1059" s="26"/>
      <c r="N1059" s="26"/>
      <c r="P1059" s="1"/>
      <c r="Q1059" s="1"/>
      <c r="R1059" s="1"/>
      <c r="S1059" s="1"/>
      <c r="T1059" s="1"/>
      <c r="U1059" s="1"/>
      <c r="V1059" s="16"/>
      <c r="W1059" s="1"/>
      <c r="X1059" s="1"/>
    </row>
    <row r="1060" spans="1:24">
      <c r="A1060" s="1"/>
      <c r="M1060" s="26"/>
      <c r="N1060" s="26"/>
      <c r="P1060" s="1"/>
      <c r="Q1060" s="1"/>
      <c r="R1060" s="1"/>
      <c r="S1060" s="1"/>
      <c r="T1060" s="1"/>
      <c r="U1060" s="1"/>
      <c r="V1060" s="16"/>
      <c r="W1060" s="1"/>
      <c r="X1060" s="1"/>
    </row>
    <row r="1061" spans="1:24">
      <c r="A1061" s="1"/>
      <c r="M1061" s="26"/>
      <c r="N1061" s="26"/>
      <c r="P1061" s="1"/>
      <c r="Q1061" s="1"/>
      <c r="R1061" s="1"/>
      <c r="S1061" s="1"/>
      <c r="T1061" s="1"/>
      <c r="U1061" s="1"/>
      <c r="V1061" s="16"/>
      <c r="W1061" s="1"/>
      <c r="X1061" s="1"/>
    </row>
    <row r="1062" spans="1:24">
      <c r="A1062" s="1"/>
      <c r="M1062" s="26"/>
      <c r="N1062" s="26"/>
      <c r="P1062" s="1"/>
      <c r="Q1062" s="1"/>
      <c r="R1062" s="1"/>
      <c r="S1062" s="1"/>
      <c r="T1062" s="1"/>
      <c r="U1062" s="1"/>
      <c r="V1062" s="16"/>
      <c r="W1062" s="1"/>
      <c r="X1062" s="1"/>
    </row>
    <row r="1063" spans="1:24">
      <c r="A1063" s="1"/>
      <c r="M1063" s="26"/>
      <c r="N1063" s="26"/>
      <c r="P1063" s="1"/>
      <c r="Q1063" s="1"/>
      <c r="R1063" s="1"/>
      <c r="S1063" s="1"/>
      <c r="T1063" s="1"/>
      <c r="U1063" s="1"/>
      <c r="V1063" s="16"/>
      <c r="W1063" s="1"/>
      <c r="X1063" s="1"/>
    </row>
    <row r="1064" spans="1:24">
      <c r="A1064" s="1"/>
      <c r="M1064" s="26"/>
      <c r="N1064" s="26"/>
      <c r="P1064" s="1"/>
      <c r="Q1064" s="1"/>
      <c r="R1064" s="1"/>
      <c r="S1064" s="1"/>
      <c r="T1064" s="1"/>
      <c r="U1064" s="1"/>
      <c r="V1064" s="16"/>
      <c r="W1064" s="1"/>
      <c r="X1064" s="1"/>
    </row>
    <row r="1065" spans="1:24">
      <c r="A1065" s="1"/>
      <c r="M1065" s="26"/>
      <c r="N1065" s="26"/>
      <c r="P1065" s="1"/>
      <c r="Q1065" s="1"/>
      <c r="R1065" s="1"/>
      <c r="S1065" s="1"/>
      <c r="T1065" s="1"/>
      <c r="U1065" s="1"/>
      <c r="V1065" s="16"/>
      <c r="W1065" s="1"/>
      <c r="X1065" s="1"/>
    </row>
    <row r="1066" spans="1:24">
      <c r="A1066" s="1"/>
      <c r="M1066" s="26"/>
      <c r="N1066" s="26"/>
      <c r="P1066" s="1"/>
      <c r="Q1066" s="1"/>
      <c r="R1066" s="1"/>
      <c r="S1066" s="1"/>
      <c r="T1066" s="1"/>
      <c r="U1066" s="1"/>
      <c r="V1066" s="16"/>
      <c r="W1066" s="1"/>
      <c r="X1066" s="1"/>
    </row>
    <row r="1067" spans="1:24">
      <c r="A1067" s="1"/>
      <c r="M1067" s="26"/>
      <c r="N1067" s="26"/>
      <c r="P1067" s="1"/>
      <c r="Q1067" s="1"/>
      <c r="R1067" s="1"/>
      <c r="S1067" s="1"/>
      <c r="T1067" s="1"/>
      <c r="U1067" s="1"/>
      <c r="V1067" s="16"/>
      <c r="W1067" s="1"/>
      <c r="X1067" s="1"/>
    </row>
    <row r="1068" spans="1:24">
      <c r="A1068" s="1"/>
      <c r="M1068" s="26"/>
      <c r="N1068" s="26"/>
      <c r="P1068" s="1"/>
      <c r="Q1068" s="1"/>
      <c r="R1068" s="1"/>
      <c r="S1068" s="1"/>
      <c r="T1068" s="1"/>
      <c r="U1068" s="1"/>
      <c r="V1068" s="16"/>
      <c r="W1068" s="1"/>
      <c r="X1068" s="1"/>
    </row>
    <row r="1069" spans="1:24">
      <c r="A1069" s="1"/>
      <c r="M1069" s="26"/>
      <c r="N1069" s="26"/>
      <c r="P1069" s="1"/>
      <c r="Q1069" s="1"/>
      <c r="R1069" s="1"/>
      <c r="S1069" s="1"/>
      <c r="T1069" s="1"/>
      <c r="U1069" s="1"/>
      <c r="V1069" s="16"/>
      <c r="W1069" s="1"/>
      <c r="X1069" s="1"/>
    </row>
    <row r="1070" spans="1:24">
      <c r="A1070" s="1"/>
      <c r="M1070" s="26"/>
      <c r="N1070" s="26"/>
      <c r="P1070" s="1"/>
      <c r="Q1070" s="1"/>
      <c r="R1070" s="1"/>
      <c r="S1070" s="1"/>
      <c r="T1070" s="1"/>
      <c r="U1070" s="1"/>
      <c r="V1070" s="16"/>
      <c r="W1070" s="1"/>
      <c r="X1070" s="1"/>
    </row>
    <row r="1071" spans="1:24">
      <c r="A1071" s="1"/>
      <c r="M1071" s="26"/>
      <c r="N1071" s="26"/>
      <c r="P1071" s="1"/>
      <c r="Q1071" s="1"/>
      <c r="R1071" s="1"/>
      <c r="S1071" s="1"/>
      <c r="T1071" s="1"/>
      <c r="U1071" s="1"/>
      <c r="V1071" s="16"/>
      <c r="W1071" s="1"/>
      <c r="X1071" s="1"/>
    </row>
    <row r="1072" spans="1:24">
      <c r="A1072" s="1"/>
      <c r="M1072" s="26"/>
      <c r="N1072" s="26"/>
      <c r="P1072" s="1"/>
      <c r="Q1072" s="1"/>
      <c r="R1072" s="1"/>
      <c r="S1072" s="1"/>
      <c r="T1072" s="1"/>
      <c r="U1072" s="1"/>
      <c r="V1072" s="16"/>
      <c r="W1072" s="1"/>
      <c r="X1072" s="1"/>
    </row>
    <row r="1073" spans="1:24">
      <c r="A1073" s="1"/>
      <c r="M1073" s="26"/>
      <c r="N1073" s="26"/>
      <c r="P1073" s="1"/>
      <c r="Q1073" s="1"/>
      <c r="R1073" s="1"/>
      <c r="S1073" s="1"/>
      <c r="T1073" s="1"/>
      <c r="U1073" s="1"/>
      <c r="V1073" s="16"/>
      <c r="W1073" s="1"/>
      <c r="X1073" s="1"/>
    </row>
    <row r="1074" spans="1:24">
      <c r="A1074" s="1"/>
      <c r="M1074" s="26"/>
      <c r="N1074" s="26"/>
      <c r="P1074" s="1"/>
      <c r="Q1074" s="1"/>
      <c r="R1074" s="1"/>
      <c r="S1074" s="1"/>
      <c r="T1074" s="1"/>
      <c r="U1074" s="1"/>
      <c r="V1074" s="16"/>
      <c r="W1074" s="1"/>
      <c r="X1074" s="1"/>
    </row>
    <row r="1075" spans="1:24">
      <c r="A1075" s="1"/>
      <c r="M1075" s="26"/>
      <c r="N1075" s="26"/>
      <c r="P1075" s="1"/>
      <c r="Q1075" s="1"/>
      <c r="R1075" s="1"/>
      <c r="S1075" s="1"/>
      <c r="T1075" s="1"/>
      <c r="U1075" s="1"/>
      <c r="V1075" s="16"/>
      <c r="W1075" s="1"/>
      <c r="X1075" s="1"/>
    </row>
    <row r="1076" spans="1:24">
      <c r="A1076" s="1"/>
      <c r="M1076" s="26"/>
      <c r="N1076" s="26"/>
      <c r="P1076" s="1"/>
      <c r="Q1076" s="1"/>
      <c r="R1076" s="1"/>
      <c r="S1076" s="1"/>
      <c r="T1076" s="1"/>
      <c r="U1076" s="1"/>
      <c r="V1076" s="16"/>
      <c r="W1076" s="1"/>
      <c r="X1076" s="1"/>
    </row>
    <row r="1077" spans="1:24">
      <c r="A1077" s="1"/>
      <c r="M1077" s="26"/>
      <c r="N1077" s="26"/>
      <c r="P1077" s="1"/>
      <c r="Q1077" s="1"/>
      <c r="R1077" s="1"/>
      <c r="S1077" s="1"/>
      <c r="T1077" s="1"/>
      <c r="U1077" s="1"/>
      <c r="V1077" s="16"/>
      <c r="W1077" s="1"/>
      <c r="X1077" s="1"/>
    </row>
    <row r="1078" spans="1:24">
      <c r="A1078" s="1"/>
      <c r="M1078" s="26"/>
      <c r="N1078" s="26"/>
      <c r="P1078" s="1"/>
      <c r="Q1078" s="1"/>
      <c r="R1078" s="1"/>
      <c r="S1078" s="1"/>
      <c r="T1078" s="1"/>
      <c r="U1078" s="1"/>
      <c r="V1078" s="16"/>
      <c r="W1078" s="1"/>
      <c r="X1078" s="1"/>
    </row>
    <row r="1079" spans="1:24">
      <c r="A1079" s="1"/>
      <c r="M1079" s="26"/>
      <c r="N1079" s="26"/>
      <c r="P1079" s="1"/>
      <c r="Q1079" s="1"/>
      <c r="R1079" s="1"/>
      <c r="S1079" s="1"/>
      <c r="T1079" s="1"/>
      <c r="U1079" s="1"/>
      <c r="V1079" s="16"/>
      <c r="W1079" s="1"/>
      <c r="X1079" s="1"/>
    </row>
    <row r="1080" spans="1:24">
      <c r="A1080" s="1"/>
      <c r="M1080" s="26"/>
      <c r="N1080" s="26"/>
      <c r="P1080" s="1"/>
      <c r="Q1080" s="1"/>
      <c r="R1080" s="1"/>
      <c r="S1080" s="1"/>
      <c r="T1080" s="1"/>
      <c r="U1080" s="1"/>
      <c r="V1080" s="16"/>
      <c r="W1080" s="1"/>
      <c r="X1080" s="1"/>
    </row>
    <row r="1081" spans="1:24">
      <c r="A1081" s="1"/>
      <c r="M1081" s="26"/>
      <c r="N1081" s="26"/>
      <c r="P1081" s="1"/>
      <c r="Q1081" s="1"/>
      <c r="R1081" s="1"/>
      <c r="S1081" s="1"/>
      <c r="T1081" s="1"/>
      <c r="U1081" s="1"/>
      <c r="V1081" s="16"/>
      <c r="W1081" s="1"/>
      <c r="X1081" s="1"/>
    </row>
    <row r="1082" spans="1:24">
      <c r="A1082" s="1"/>
      <c r="M1082" s="26"/>
      <c r="N1082" s="26"/>
      <c r="P1082" s="1"/>
      <c r="Q1082" s="1"/>
      <c r="R1082" s="1"/>
      <c r="S1082" s="1"/>
      <c r="T1082" s="1"/>
      <c r="U1082" s="1"/>
      <c r="V1082" s="16"/>
      <c r="W1082" s="1"/>
      <c r="X1082" s="1"/>
    </row>
    <row r="1083" spans="1:24">
      <c r="A1083" s="1"/>
      <c r="M1083" s="26"/>
      <c r="N1083" s="26"/>
      <c r="P1083" s="1"/>
      <c r="Q1083" s="1"/>
      <c r="R1083" s="1"/>
      <c r="S1083" s="1"/>
      <c r="T1083" s="1"/>
      <c r="U1083" s="1"/>
      <c r="V1083" s="16"/>
      <c r="W1083" s="1"/>
      <c r="X1083" s="1"/>
    </row>
    <row r="1084" spans="1:24">
      <c r="A1084" s="1"/>
      <c r="M1084" s="26"/>
      <c r="N1084" s="26"/>
      <c r="P1084" s="1"/>
      <c r="Q1084" s="1"/>
      <c r="R1084" s="1"/>
      <c r="S1084" s="1"/>
      <c r="T1084" s="1"/>
      <c r="U1084" s="1"/>
      <c r="V1084" s="16"/>
      <c r="W1084" s="1"/>
      <c r="X1084" s="1"/>
    </row>
    <row r="1085" spans="1:24">
      <c r="A1085" s="1"/>
      <c r="M1085" s="26"/>
      <c r="N1085" s="26"/>
      <c r="P1085" s="1"/>
      <c r="Q1085" s="1"/>
      <c r="R1085" s="1"/>
      <c r="S1085" s="1"/>
      <c r="T1085" s="1"/>
      <c r="U1085" s="1"/>
      <c r="V1085" s="16"/>
      <c r="W1085" s="1"/>
      <c r="X1085" s="1"/>
    </row>
    <row r="1086" spans="1:24">
      <c r="A1086" s="1"/>
      <c r="M1086" s="26"/>
      <c r="N1086" s="26"/>
      <c r="P1086" s="1"/>
      <c r="Q1086" s="1"/>
      <c r="R1086" s="1"/>
      <c r="S1086" s="1"/>
      <c r="T1086" s="1"/>
      <c r="U1086" s="1"/>
      <c r="V1086" s="16"/>
      <c r="W1086" s="1"/>
      <c r="X1086" s="1"/>
    </row>
    <row r="1087" spans="1:24">
      <c r="A1087" s="1"/>
      <c r="M1087" s="26"/>
      <c r="N1087" s="26"/>
      <c r="P1087" s="1"/>
      <c r="Q1087" s="1"/>
      <c r="R1087" s="1"/>
      <c r="S1087" s="1"/>
      <c r="T1087" s="1"/>
      <c r="U1087" s="1"/>
      <c r="V1087" s="16"/>
      <c r="W1087" s="1"/>
      <c r="X1087" s="1"/>
    </row>
    <row r="1088" spans="1:24">
      <c r="A1088" s="1"/>
      <c r="M1088" s="26"/>
      <c r="N1088" s="26"/>
      <c r="P1088" s="1"/>
      <c r="Q1088" s="1"/>
      <c r="R1088" s="1"/>
      <c r="S1088" s="1"/>
      <c r="T1088" s="1"/>
      <c r="U1088" s="1"/>
      <c r="V1088" s="16"/>
      <c r="W1088" s="1"/>
      <c r="X1088" s="1"/>
    </row>
    <row r="1089" spans="1:24">
      <c r="A1089" s="1"/>
      <c r="M1089" s="26"/>
      <c r="N1089" s="26"/>
      <c r="P1089" s="1"/>
      <c r="Q1089" s="1"/>
      <c r="R1089" s="1"/>
      <c r="S1089" s="1"/>
      <c r="T1089" s="1"/>
      <c r="U1089" s="1"/>
      <c r="V1089" s="16"/>
      <c r="W1089" s="1"/>
      <c r="X1089" s="1"/>
    </row>
    <row r="1090" spans="1:24">
      <c r="A1090" s="1"/>
      <c r="M1090" s="26"/>
      <c r="N1090" s="26"/>
      <c r="P1090" s="1"/>
      <c r="Q1090" s="1"/>
      <c r="R1090" s="1"/>
      <c r="S1090" s="1"/>
      <c r="T1090" s="1"/>
      <c r="U1090" s="1"/>
      <c r="V1090" s="16"/>
      <c r="W1090" s="1"/>
      <c r="X1090" s="1"/>
    </row>
    <row r="1091" spans="1:24">
      <c r="A1091" s="1"/>
      <c r="M1091" s="26"/>
      <c r="N1091" s="26"/>
      <c r="P1091" s="1"/>
      <c r="Q1091" s="1"/>
      <c r="R1091" s="1"/>
      <c r="S1091" s="1"/>
      <c r="T1091" s="1"/>
      <c r="U1091" s="1"/>
      <c r="V1091" s="16"/>
      <c r="W1091" s="1"/>
      <c r="X1091" s="1"/>
    </row>
    <row r="1092" spans="1:24">
      <c r="A1092" s="1"/>
      <c r="M1092" s="26"/>
      <c r="N1092" s="26"/>
      <c r="P1092" s="1"/>
      <c r="Q1092" s="1"/>
      <c r="R1092" s="1"/>
      <c r="S1092" s="1"/>
      <c r="T1092" s="1"/>
      <c r="U1092" s="1"/>
      <c r="V1092" s="16"/>
      <c r="W1092" s="1"/>
      <c r="X1092" s="1"/>
    </row>
    <row r="1093" spans="1:24">
      <c r="A1093" s="1"/>
      <c r="M1093" s="26"/>
      <c r="N1093" s="26"/>
      <c r="P1093" s="1"/>
      <c r="Q1093" s="1"/>
      <c r="R1093" s="1"/>
      <c r="S1093" s="1"/>
      <c r="T1093" s="1"/>
      <c r="U1093" s="1"/>
      <c r="V1093" s="16"/>
      <c r="W1093" s="1"/>
      <c r="X1093" s="1"/>
    </row>
    <row r="1094" spans="1:24">
      <c r="A1094" s="1"/>
      <c r="M1094" s="26"/>
      <c r="N1094" s="26"/>
      <c r="P1094" s="1"/>
      <c r="Q1094" s="1"/>
      <c r="R1094" s="1"/>
      <c r="S1094" s="1"/>
      <c r="T1094" s="1"/>
      <c r="U1094" s="1"/>
      <c r="V1094" s="16"/>
      <c r="W1094" s="1"/>
      <c r="X1094" s="1"/>
    </row>
    <row r="1095" spans="1:24">
      <c r="A1095" s="1"/>
      <c r="M1095" s="26"/>
      <c r="N1095" s="26"/>
      <c r="P1095" s="1"/>
      <c r="Q1095" s="1"/>
      <c r="R1095" s="1"/>
      <c r="S1095" s="1"/>
      <c r="T1095" s="1"/>
      <c r="U1095" s="1"/>
      <c r="V1095" s="16"/>
      <c r="W1095" s="1"/>
      <c r="X1095" s="1"/>
    </row>
    <row r="1096" spans="1:24">
      <c r="A1096" s="1"/>
      <c r="M1096" s="26"/>
      <c r="N1096" s="26"/>
      <c r="P1096" s="1"/>
      <c r="Q1096" s="1"/>
      <c r="R1096" s="1"/>
      <c r="S1096" s="1"/>
      <c r="T1096" s="1"/>
      <c r="U1096" s="1"/>
      <c r="V1096" s="16"/>
      <c r="W1096" s="1"/>
      <c r="X1096" s="1"/>
    </row>
    <row r="1097" spans="1:24">
      <c r="A1097" s="1"/>
      <c r="M1097" s="26"/>
      <c r="N1097" s="26"/>
      <c r="P1097" s="1"/>
      <c r="Q1097" s="1"/>
      <c r="R1097" s="1"/>
      <c r="S1097" s="1"/>
      <c r="T1097" s="1"/>
      <c r="U1097" s="1"/>
      <c r="V1097" s="16"/>
      <c r="W1097" s="1"/>
      <c r="X1097" s="1"/>
    </row>
    <row r="1098" spans="1:24">
      <c r="A1098" s="1"/>
      <c r="M1098" s="26"/>
      <c r="N1098" s="26"/>
      <c r="P1098" s="1"/>
      <c r="Q1098" s="1"/>
      <c r="R1098" s="1"/>
      <c r="S1098" s="1"/>
      <c r="T1098" s="1"/>
      <c r="U1098" s="1"/>
      <c r="V1098" s="16"/>
      <c r="W1098" s="1"/>
      <c r="X1098" s="1"/>
    </row>
    <row r="1099" spans="1:24">
      <c r="A1099" s="1"/>
      <c r="M1099" s="26"/>
      <c r="N1099" s="26"/>
      <c r="P1099" s="1"/>
      <c r="Q1099" s="1"/>
      <c r="R1099" s="1"/>
      <c r="S1099" s="1"/>
      <c r="T1099" s="1"/>
      <c r="U1099" s="1"/>
      <c r="V1099" s="16"/>
      <c r="W1099" s="1"/>
      <c r="X1099" s="1"/>
    </row>
    <row r="1100" spans="1:24">
      <c r="A1100" s="1"/>
      <c r="M1100" s="26"/>
      <c r="N1100" s="26"/>
      <c r="P1100" s="1"/>
      <c r="Q1100" s="1"/>
      <c r="R1100" s="1"/>
      <c r="S1100" s="1"/>
      <c r="T1100" s="1"/>
      <c r="U1100" s="1"/>
      <c r="V1100" s="16"/>
      <c r="W1100" s="1"/>
      <c r="X1100" s="1"/>
    </row>
    <row r="1101" spans="1:24">
      <c r="A1101" s="1"/>
      <c r="M1101" s="26"/>
      <c r="N1101" s="26"/>
      <c r="P1101" s="1"/>
      <c r="Q1101" s="1"/>
      <c r="R1101" s="1"/>
      <c r="S1101" s="1"/>
      <c r="T1101" s="1"/>
      <c r="U1101" s="1"/>
      <c r="V1101" s="16"/>
      <c r="W1101" s="1"/>
      <c r="X1101" s="1"/>
    </row>
    <row r="1102" spans="1:24">
      <c r="A1102" s="1"/>
      <c r="M1102" s="26"/>
      <c r="N1102" s="26"/>
      <c r="P1102" s="1"/>
      <c r="Q1102" s="1"/>
      <c r="R1102" s="1"/>
      <c r="S1102" s="1"/>
      <c r="T1102" s="1"/>
      <c r="U1102" s="1"/>
      <c r="V1102" s="16"/>
      <c r="W1102" s="1"/>
      <c r="X1102" s="1"/>
    </row>
    <row r="1103" spans="1:24">
      <c r="A1103" s="1"/>
      <c r="M1103" s="26"/>
      <c r="N1103" s="26"/>
      <c r="P1103" s="1"/>
      <c r="Q1103" s="1"/>
      <c r="R1103" s="1"/>
      <c r="S1103" s="1"/>
      <c r="T1103" s="1"/>
      <c r="U1103" s="1"/>
      <c r="V1103" s="16"/>
      <c r="W1103" s="1"/>
      <c r="X1103" s="1"/>
    </row>
    <row r="1104" spans="1:24">
      <c r="A1104" s="1"/>
      <c r="M1104" s="26"/>
      <c r="N1104" s="26"/>
      <c r="P1104" s="1"/>
      <c r="Q1104" s="1"/>
      <c r="R1104" s="1"/>
      <c r="S1104" s="1"/>
      <c r="T1104" s="1"/>
      <c r="U1104" s="1"/>
      <c r="V1104" s="16"/>
      <c r="W1104" s="1"/>
      <c r="X1104" s="1"/>
    </row>
    <row r="1105" spans="1:24">
      <c r="A1105" s="1"/>
      <c r="M1105" s="26"/>
      <c r="N1105" s="26"/>
      <c r="P1105" s="1"/>
      <c r="Q1105" s="1"/>
      <c r="R1105" s="1"/>
      <c r="S1105" s="1"/>
      <c r="T1105" s="1"/>
      <c r="U1105" s="1"/>
      <c r="V1105" s="16"/>
      <c r="W1105" s="1"/>
      <c r="X1105" s="1"/>
    </row>
    <row r="1106" spans="1:24">
      <c r="A1106" s="1"/>
      <c r="M1106" s="26"/>
      <c r="N1106" s="26"/>
      <c r="P1106" s="1"/>
      <c r="Q1106" s="1"/>
      <c r="R1106" s="1"/>
      <c r="S1106" s="1"/>
      <c r="T1106" s="1"/>
      <c r="U1106" s="1"/>
      <c r="V1106" s="16"/>
      <c r="W1106" s="1"/>
      <c r="X1106" s="1"/>
    </row>
    <row r="1107" spans="1:24">
      <c r="A1107" s="1"/>
      <c r="M1107" s="26"/>
      <c r="N1107" s="26"/>
      <c r="P1107" s="1"/>
      <c r="Q1107" s="1"/>
      <c r="R1107" s="1"/>
      <c r="S1107" s="1"/>
      <c r="T1107" s="1"/>
      <c r="U1107" s="1"/>
      <c r="V1107" s="16"/>
      <c r="W1107" s="1"/>
      <c r="X1107" s="1"/>
    </row>
    <row r="1108" spans="1:24">
      <c r="A1108" s="1"/>
      <c r="M1108" s="26"/>
      <c r="N1108" s="26"/>
      <c r="P1108" s="1"/>
      <c r="Q1108" s="1"/>
      <c r="R1108" s="1"/>
      <c r="S1108" s="1"/>
      <c r="T1108" s="1"/>
      <c r="U1108" s="1"/>
      <c r="V1108" s="16"/>
      <c r="W1108" s="1"/>
      <c r="X1108" s="1"/>
    </row>
    <row r="1109" spans="1:24">
      <c r="A1109" s="1"/>
      <c r="M1109" s="26"/>
      <c r="N1109" s="26"/>
      <c r="P1109" s="1"/>
      <c r="Q1109" s="1"/>
      <c r="R1109" s="1"/>
      <c r="S1109" s="1"/>
      <c r="T1109" s="1"/>
      <c r="U1109" s="1"/>
      <c r="V1109" s="16"/>
      <c r="W1109" s="1"/>
      <c r="X1109" s="1"/>
    </row>
    <row r="1110" spans="1:24">
      <c r="A1110" s="1"/>
      <c r="M1110" s="26"/>
      <c r="N1110" s="26"/>
      <c r="P1110" s="1"/>
      <c r="Q1110" s="1"/>
      <c r="R1110" s="1"/>
      <c r="S1110" s="1"/>
      <c r="T1110" s="1"/>
      <c r="U1110" s="1"/>
      <c r="V1110" s="16"/>
      <c r="W1110" s="1"/>
      <c r="X1110" s="1"/>
    </row>
    <row r="1111" spans="1:24">
      <c r="A1111" s="1"/>
      <c r="M1111" s="26"/>
      <c r="N1111" s="26"/>
      <c r="P1111" s="1"/>
      <c r="Q1111" s="1"/>
      <c r="R1111" s="1"/>
      <c r="S1111" s="1"/>
      <c r="T1111" s="1"/>
      <c r="U1111" s="1"/>
      <c r="V1111" s="16"/>
      <c r="W1111" s="1"/>
      <c r="X1111" s="1"/>
    </row>
    <row r="1112" spans="1:24">
      <c r="A1112" s="1"/>
      <c r="M1112" s="26"/>
      <c r="N1112" s="26"/>
      <c r="P1112" s="1"/>
      <c r="Q1112" s="1"/>
      <c r="R1112" s="1"/>
      <c r="S1112" s="1"/>
      <c r="T1112" s="1"/>
      <c r="U1112" s="1"/>
      <c r="V1112" s="16"/>
      <c r="W1112" s="1"/>
      <c r="X1112" s="1"/>
    </row>
    <row r="1113" spans="1:24">
      <c r="A1113" s="1"/>
      <c r="M1113" s="26"/>
      <c r="N1113" s="26"/>
      <c r="P1113" s="1"/>
      <c r="Q1113" s="1"/>
      <c r="R1113" s="1"/>
      <c r="S1113" s="1"/>
      <c r="T1113" s="1"/>
      <c r="U1113" s="1"/>
      <c r="V1113" s="16"/>
      <c r="W1113" s="1"/>
      <c r="X1113" s="1"/>
    </row>
    <row r="1114" spans="1:24">
      <c r="A1114" s="1"/>
      <c r="M1114" s="26"/>
      <c r="N1114" s="26"/>
      <c r="P1114" s="1"/>
      <c r="Q1114" s="1"/>
      <c r="R1114" s="1"/>
      <c r="S1114" s="1"/>
      <c r="T1114" s="1"/>
      <c r="U1114" s="1"/>
      <c r="V1114" s="16"/>
      <c r="W1114" s="1"/>
      <c r="X1114" s="1"/>
    </row>
    <row r="1115" spans="1:24">
      <c r="A1115" s="1"/>
      <c r="M1115" s="26"/>
      <c r="N1115" s="26"/>
      <c r="P1115" s="1"/>
      <c r="Q1115" s="1"/>
      <c r="R1115" s="1"/>
      <c r="S1115" s="1"/>
      <c r="T1115" s="1"/>
      <c r="U1115" s="1"/>
      <c r="V1115" s="16"/>
      <c r="W1115" s="1"/>
      <c r="X1115" s="1"/>
    </row>
    <row r="1116" spans="1:24">
      <c r="A1116" s="1"/>
      <c r="M1116" s="26"/>
      <c r="N1116" s="26"/>
      <c r="P1116" s="1"/>
      <c r="Q1116" s="1"/>
      <c r="R1116" s="1"/>
      <c r="S1116" s="1"/>
      <c r="T1116" s="1"/>
      <c r="U1116" s="1"/>
      <c r="V1116" s="16"/>
      <c r="W1116" s="1"/>
      <c r="X1116" s="1"/>
    </row>
    <row r="1117" spans="1:24">
      <c r="A1117" s="1"/>
      <c r="M1117" s="26"/>
      <c r="N1117" s="26"/>
      <c r="P1117" s="1"/>
      <c r="Q1117" s="1"/>
      <c r="R1117" s="1"/>
      <c r="S1117" s="1"/>
      <c r="T1117" s="1"/>
      <c r="U1117" s="1"/>
      <c r="V1117" s="16"/>
      <c r="W1117" s="1"/>
      <c r="X1117" s="1"/>
    </row>
    <row r="1118" spans="1:24">
      <c r="A1118" s="1"/>
      <c r="M1118" s="26"/>
      <c r="N1118" s="26"/>
      <c r="P1118" s="1"/>
      <c r="Q1118" s="1"/>
      <c r="R1118" s="1"/>
      <c r="S1118" s="1"/>
      <c r="T1118" s="1"/>
      <c r="U1118" s="1"/>
      <c r="V1118" s="16"/>
      <c r="W1118" s="1"/>
      <c r="X1118" s="1"/>
    </row>
    <row r="1119" spans="1:24">
      <c r="A1119" s="1"/>
      <c r="M1119" s="26"/>
      <c r="N1119" s="26"/>
      <c r="P1119" s="1"/>
      <c r="Q1119" s="1"/>
      <c r="R1119" s="1"/>
      <c r="S1119" s="1"/>
      <c r="T1119" s="1"/>
      <c r="U1119" s="1"/>
      <c r="V1119" s="16"/>
      <c r="W1119" s="1"/>
      <c r="X1119" s="1"/>
    </row>
    <row r="1120" spans="1:24">
      <c r="A1120" s="1"/>
      <c r="M1120" s="26"/>
      <c r="N1120" s="26"/>
      <c r="P1120" s="1"/>
      <c r="Q1120" s="1"/>
      <c r="R1120" s="1"/>
      <c r="S1120" s="1"/>
      <c r="T1120" s="1"/>
      <c r="U1120" s="1"/>
      <c r="V1120" s="16"/>
      <c r="W1120" s="1"/>
      <c r="X1120" s="1"/>
    </row>
    <row r="1121" spans="1:24">
      <c r="A1121" s="1"/>
      <c r="M1121" s="26"/>
      <c r="N1121" s="26"/>
      <c r="P1121" s="1"/>
      <c r="Q1121" s="1"/>
      <c r="R1121" s="1"/>
      <c r="S1121" s="1"/>
      <c r="T1121" s="1"/>
      <c r="U1121" s="1"/>
      <c r="V1121" s="16"/>
      <c r="W1121" s="1"/>
      <c r="X1121" s="1"/>
    </row>
    <row r="1122" spans="1:24">
      <c r="A1122" s="1"/>
      <c r="M1122" s="26"/>
      <c r="N1122" s="26"/>
      <c r="P1122" s="1"/>
      <c r="Q1122" s="1"/>
      <c r="R1122" s="1"/>
      <c r="S1122" s="1"/>
      <c r="T1122" s="1"/>
      <c r="U1122" s="1"/>
      <c r="V1122" s="16"/>
      <c r="W1122" s="1"/>
      <c r="X1122" s="1"/>
    </row>
    <row r="1123" spans="1:24">
      <c r="A1123" s="1"/>
      <c r="M1123" s="26"/>
      <c r="N1123" s="26"/>
      <c r="P1123" s="1"/>
      <c r="Q1123" s="1"/>
      <c r="R1123" s="1"/>
      <c r="S1123" s="1"/>
      <c r="T1123" s="1"/>
      <c r="U1123" s="1"/>
      <c r="V1123" s="16"/>
      <c r="W1123" s="1"/>
      <c r="X1123" s="1"/>
    </row>
    <row r="1124" spans="1:24">
      <c r="A1124" s="1"/>
      <c r="M1124" s="26"/>
      <c r="N1124" s="26"/>
      <c r="P1124" s="1"/>
      <c r="Q1124" s="1"/>
      <c r="R1124" s="1"/>
      <c r="S1124" s="1"/>
      <c r="T1124" s="1"/>
      <c r="U1124" s="1"/>
      <c r="V1124" s="16"/>
      <c r="W1124" s="1"/>
      <c r="X1124" s="1"/>
    </row>
    <row r="1125" spans="1:24">
      <c r="A1125" s="1"/>
      <c r="M1125" s="26"/>
      <c r="N1125" s="26"/>
      <c r="P1125" s="1"/>
      <c r="Q1125" s="1"/>
      <c r="R1125" s="1"/>
      <c r="S1125" s="1"/>
      <c r="T1125" s="1"/>
      <c r="U1125" s="1"/>
      <c r="V1125" s="16"/>
      <c r="W1125" s="1"/>
      <c r="X1125" s="1"/>
    </row>
    <row r="1126" spans="1:24">
      <c r="A1126" s="1"/>
      <c r="M1126" s="26"/>
      <c r="N1126" s="26"/>
      <c r="P1126" s="1"/>
      <c r="Q1126" s="1"/>
      <c r="R1126" s="1"/>
      <c r="S1126" s="1"/>
      <c r="T1126" s="1"/>
      <c r="U1126" s="1"/>
      <c r="V1126" s="16"/>
      <c r="W1126" s="1"/>
      <c r="X1126" s="1"/>
    </row>
    <row r="1127" spans="1:24">
      <c r="A1127" s="1"/>
      <c r="M1127" s="26"/>
      <c r="N1127" s="26"/>
      <c r="P1127" s="1"/>
      <c r="Q1127" s="1"/>
      <c r="R1127" s="1"/>
      <c r="S1127" s="1"/>
      <c r="T1127" s="1"/>
      <c r="U1127" s="1"/>
      <c r="V1127" s="16"/>
      <c r="W1127" s="1"/>
      <c r="X1127" s="1"/>
    </row>
    <row r="1128" spans="1:24">
      <c r="A1128" s="1"/>
      <c r="M1128" s="26"/>
      <c r="N1128" s="26"/>
      <c r="P1128" s="1"/>
      <c r="Q1128" s="1"/>
      <c r="R1128" s="1"/>
      <c r="S1128" s="1"/>
      <c r="T1128" s="1"/>
      <c r="U1128" s="1"/>
      <c r="V1128" s="16"/>
      <c r="W1128" s="1"/>
      <c r="X1128" s="1"/>
    </row>
    <row r="1129" spans="1:24">
      <c r="A1129" s="1"/>
      <c r="M1129" s="26"/>
      <c r="N1129" s="26"/>
      <c r="P1129" s="1"/>
      <c r="Q1129" s="1"/>
      <c r="R1129" s="1"/>
      <c r="S1129" s="1"/>
      <c r="T1129" s="1"/>
      <c r="U1129" s="1"/>
      <c r="V1129" s="16"/>
      <c r="W1129" s="1"/>
      <c r="X1129" s="1"/>
    </row>
    <row r="1130" spans="1:24">
      <c r="A1130" s="1"/>
      <c r="M1130" s="26"/>
      <c r="N1130" s="26"/>
      <c r="P1130" s="1"/>
      <c r="Q1130" s="1"/>
      <c r="R1130" s="1"/>
      <c r="S1130" s="1"/>
      <c r="T1130" s="1"/>
      <c r="U1130" s="1"/>
      <c r="V1130" s="16"/>
      <c r="W1130" s="1"/>
      <c r="X1130" s="1"/>
    </row>
    <row r="1131" spans="1:24">
      <c r="A1131" s="1"/>
      <c r="M1131" s="26"/>
      <c r="N1131" s="26"/>
      <c r="P1131" s="1"/>
      <c r="Q1131" s="1"/>
      <c r="R1131" s="1"/>
      <c r="S1131" s="1"/>
      <c r="T1131" s="1"/>
      <c r="U1131" s="1"/>
      <c r="V1131" s="16"/>
      <c r="W1131" s="1"/>
      <c r="X1131" s="1"/>
    </row>
    <row r="1132" spans="1:24">
      <c r="A1132" s="1"/>
      <c r="M1132" s="26"/>
      <c r="N1132" s="26"/>
      <c r="P1132" s="1"/>
      <c r="Q1132" s="1"/>
      <c r="R1132" s="1"/>
      <c r="S1132" s="1"/>
      <c r="T1132" s="1"/>
      <c r="U1132" s="1"/>
      <c r="V1132" s="16"/>
      <c r="W1132" s="1"/>
      <c r="X1132" s="1"/>
    </row>
    <row r="1133" spans="1:24">
      <c r="A1133" s="1"/>
      <c r="M1133" s="26"/>
      <c r="N1133" s="26"/>
      <c r="P1133" s="1"/>
      <c r="Q1133" s="1"/>
      <c r="R1133" s="1"/>
      <c r="S1133" s="1"/>
      <c r="T1133" s="1"/>
      <c r="U1133" s="1"/>
      <c r="V1133" s="16"/>
      <c r="W1133" s="1"/>
      <c r="X1133" s="1"/>
    </row>
    <row r="1134" spans="1:24">
      <c r="A1134" s="1"/>
      <c r="M1134" s="26"/>
      <c r="N1134" s="26"/>
      <c r="P1134" s="1"/>
      <c r="Q1134" s="1"/>
      <c r="R1134" s="1"/>
      <c r="S1134" s="1"/>
      <c r="T1134" s="1"/>
      <c r="U1134" s="1"/>
      <c r="V1134" s="16"/>
      <c r="W1134" s="1"/>
      <c r="X1134" s="1"/>
    </row>
    <row r="1135" spans="1:24">
      <c r="A1135" s="1"/>
      <c r="M1135" s="26"/>
      <c r="N1135" s="26"/>
      <c r="P1135" s="1"/>
      <c r="Q1135" s="1"/>
      <c r="R1135" s="1"/>
      <c r="S1135" s="1"/>
      <c r="T1135" s="1"/>
      <c r="U1135" s="1"/>
      <c r="V1135" s="16"/>
      <c r="W1135" s="1"/>
      <c r="X1135" s="1"/>
    </row>
    <row r="1136" spans="1:24">
      <c r="A1136" s="1"/>
      <c r="M1136" s="26"/>
      <c r="N1136" s="26"/>
      <c r="P1136" s="1"/>
      <c r="Q1136" s="1"/>
      <c r="R1136" s="1"/>
      <c r="S1136" s="1"/>
      <c r="T1136" s="1"/>
      <c r="U1136" s="1"/>
      <c r="V1136" s="16"/>
      <c r="W1136" s="1"/>
      <c r="X1136" s="1"/>
    </row>
    <row r="1137" spans="1:24">
      <c r="A1137" s="1"/>
      <c r="M1137" s="26"/>
      <c r="N1137" s="26"/>
      <c r="P1137" s="1"/>
      <c r="Q1137" s="1"/>
      <c r="R1137" s="1"/>
      <c r="S1137" s="1"/>
      <c r="T1137" s="1"/>
      <c r="U1137" s="1"/>
      <c r="V1137" s="16"/>
      <c r="W1137" s="1"/>
      <c r="X1137" s="1"/>
    </row>
    <row r="1138" spans="1:24">
      <c r="A1138" s="1"/>
      <c r="M1138" s="26"/>
      <c r="N1138" s="26"/>
      <c r="P1138" s="1"/>
      <c r="Q1138" s="1"/>
      <c r="R1138" s="1"/>
      <c r="S1138" s="1"/>
      <c r="T1138" s="1"/>
      <c r="U1138" s="1"/>
      <c r="V1138" s="16"/>
      <c r="W1138" s="1"/>
      <c r="X1138" s="1"/>
    </row>
    <row r="1139" spans="1:24">
      <c r="A1139" s="1"/>
      <c r="M1139" s="26"/>
      <c r="N1139" s="26"/>
      <c r="P1139" s="1"/>
      <c r="Q1139" s="1"/>
      <c r="R1139" s="1"/>
      <c r="S1139" s="1"/>
      <c r="T1139" s="1"/>
      <c r="U1139" s="1"/>
      <c r="V1139" s="16"/>
      <c r="W1139" s="1"/>
      <c r="X1139" s="1"/>
    </row>
    <row r="1140" spans="1:24">
      <c r="A1140" s="1"/>
      <c r="M1140" s="26"/>
      <c r="N1140" s="26"/>
      <c r="P1140" s="1"/>
      <c r="Q1140" s="1"/>
      <c r="R1140" s="1"/>
      <c r="S1140" s="1"/>
      <c r="T1140" s="1"/>
      <c r="U1140" s="1"/>
      <c r="V1140" s="16"/>
      <c r="W1140" s="1"/>
      <c r="X1140" s="1"/>
    </row>
    <row r="1141" spans="1:24">
      <c r="A1141" s="1"/>
      <c r="M1141" s="26"/>
      <c r="N1141" s="26"/>
      <c r="P1141" s="1"/>
      <c r="Q1141" s="1"/>
      <c r="R1141" s="1"/>
      <c r="S1141" s="1"/>
      <c r="T1141" s="1"/>
      <c r="U1141" s="1"/>
      <c r="V1141" s="16"/>
      <c r="W1141" s="1"/>
      <c r="X1141" s="1"/>
    </row>
    <row r="1142" spans="1:24">
      <c r="A1142" s="1"/>
      <c r="M1142" s="26"/>
      <c r="N1142" s="26"/>
      <c r="P1142" s="1"/>
      <c r="Q1142" s="1"/>
      <c r="R1142" s="1"/>
      <c r="S1142" s="1"/>
      <c r="T1142" s="1"/>
      <c r="U1142" s="1"/>
      <c r="V1142" s="16"/>
      <c r="W1142" s="1"/>
      <c r="X1142" s="1"/>
    </row>
    <row r="1143" spans="1:24">
      <c r="A1143" s="1"/>
      <c r="M1143" s="26"/>
      <c r="N1143" s="26"/>
      <c r="P1143" s="1"/>
      <c r="Q1143" s="1"/>
      <c r="R1143" s="1"/>
      <c r="S1143" s="1"/>
      <c r="T1143" s="1"/>
      <c r="U1143" s="1"/>
      <c r="V1143" s="16"/>
      <c r="W1143" s="1"/>
      <c r="X1143" s="1"/>
    </row>
    <row r="1144" spans="1:24">
      <c r="A1144" s="1"/>
      <c r="M1144" s="26"/>
      <c r="N1144" s="26"/>
      <c r="P1144" s="1"/>
      <c r="Q1144" s="1"/>
      <c r="R1144" s="1"/>
      <c r="S1144" s="1"/>
      <c r="T1144" s="1"/>
      <c r="U1144" s="1"/>
      <c r="V1144" s="16"/>
      <c r="W1144" s="1"/>
      <c r="X1144" s="1"/>
    </row>
    <row r="1145" spans="1:24">
      <c r="A1145" s="1"/>
      <c r="M1145" s="26"/>
      <c r="N1145" s="26"/>
      <c r="P1145" s="1"/>
      <c r="Q1145" s="1"/>
      <c r="R1145" s="1"/>
      <c r="S1145" s="1"/>
      <c r="T1145" s="1"/>
      <c r="U1145" s="1"/>
      <c r="V1145" s="16"/>
      <c r="W1145" s="1"/>
      <c r="X1145" s="1"/>
    </row>
    <row r="1146" spans="1:24">
      <c r="A1146" s="1"/>
      <c r="M1146" s="26"/>
      <c r="N1146" s="26"/>
      <c r="P1146" s="1"/>
      <c r="Q1146" s="1"/>
      <c r="R1146" s="1"/>
      <c r="S1146" s="1"/>
      <c r="T1146" s="1"/>
      <c r="U1146" s="1"/>
      <c r="V1146" s="16"/>
      <c r="W1146" s="1"/>
      <c r="X1146" s="1"/>
    </row>
    <row r="1147" spans="1:24">
      <c r="A1147" s="1"/>
      <c r="M1147" s="26"/>
      <c r="N1147" s="26"/>
      <c r="P1147" s="1"/>
      <c r="Q1147" s="1"/>
      <c r="R1147" s="1"/>
      <c r="S1147" s="1"/>
      <c r="T1147" s="1"/>
      <c r="U1147" s="1"/>
      <c r="V1147" s="16"/>
      <c r="W1147" s="1"/>
      <c r="X1147" s="1"/>
    </row>
    <row r="1148" spans="1:24">
      <c r="A1148" s="1"/>
      <c r="M1148" s="26"/>
      <c r="N1148" s="26"/>
      <c r="P1148" s="1"/>
      <c r="Q1148" s="1"/>
      <c r="R1148" s="1"/>
      <c r="S1148" s="1"/>
      <c r="T1148" s="1"/>
      <c r="U1148" s="1"/>
      <c r="V1148" s="16"/>
      <c r="W1148" s="1"/>
      <c r="X1148" s="1"/>
    </row>
    <row r="1149" spans="1:24">
      <c r="A1149" s="1"/>
      <c r="M1149" s="26"/>
      <c r="N1149" s="26"/>
      <c r="P1149" s="1"/>
      <c r="Q1149" s="1"/>
      <c r="R1149" s="1"/>
      <c r="S1149" s="1"/>
      <c r="T1149" s="1"/>
      <c r="U1149" s="1"/>
      <c r="V1149" s="16"/>
      <c r="W1149" s="1"/>
      <c r="X1149" s="1"/>
    </row>
    <row r="1150" spans="1:24">
      <c r="A1150" s="1"/>
      <c r="M1150" s="26"/>
      <c r="N1150" s="26"/>
      <c r="P1150" s="1"/>
      <c r="Q1150" s="1"/>
      <c r="R1150" s="1"/>
      <c r="S1150" s="1"/>
      <c r="T1150" s="1"/>
      <c r="U1150" s="1"/>
      <c r="V1150" s="16"/>
      <c r="W1150" s="1"/>
      <c r="X1150" s="1"/>
    </row>
    <row r="1151" spans="1:24">
      <c r="A1151" s="1"/>
      <c r="M1151" s="26"/>
      <c r="N1151" s="26"/>
      <c r="P1151" s="1"/>
      <c r="Q1151" s="1"/>
      <c r="R1151" s="1"/>
      <c r="S1151" s="1"/>
      <c r="T1151" s="1"/>
      <c r="U1151" s="1"/>
      <c r="V1151" s="16"/>
      <c r="W1151" s="1"/>
      <c r="X1151" s="1"/>
    </row>
    <row r="1152" spans="1:24">
      <c r="A1152" s="1"/>
      <c r="M1152" s="26"/>
      <c r="N1152" s="26"/>
      <c r="P1152" s="1"/>
      <c r="Q1152" s="1"/>
      <c r="R1152" s="1"/>
      <c r="S1152" s="1"/>
      <c r="T1152" s="1"/>
      <c r="U1152" s="1"/>
      <c r="V1152" s="16"/>
      <c r="W1152" s="1"/>
      <c r="X1152" s="1"/>
    </row>
    <row r="1153" spans="1:24">
      <c r="A1153" s="1"/>
      <c r="M1153" s="26"/>
      <c r="N1153" s="26"/>
      <c r="P1153" s="1"/>
      <c r="Q1153" s="1"/>
      <c r="R1153" s="1"/>
      <c r="S1153" s="1"/>
      <c r="T1153" s="1"/>
      <c r="U1153" s="1"/>
      <c r="V1153" s="16"/>
      <c r="W1153" s="1"/>
      <c r="X1153" s="1"/>
    </row>
    <row r="1154" spans="1:24">
      <c r="A1154" s="1"/>
      <c r="M1154" s="26"/>
      <c r="N1154" s="26"/>
      <c r="P1154" s="1"/>
      <c r="Q1154" s="1"/>
      <c r="R1154" s="1"/>
      <c r="S1154" s="1"/>
      <c r="T1154" s="1"/>
      <c r="U1154" s="1"/>
      <c r="V1154" s="16"/>
      <c r="W1154" s="1"/>
      <c r="X1154" s="1"/>
    </row>
    <row r="1155" spans="1:24">
      <c r="A1155" s="1"/>
      <c r="M1155" s="26"/>
      <c r="N1155" s="26"/>
      <c r="P1155" s="1"/>
      <c r="Q1155" s="1"/>
      <c r="R1155" s="1"/>
      <c r="S1155" s="1"/>
      <c r="T1155" s="1"/>
      <c r="U1155" s="1"/>
      <c r="V1155" s="16"/>
      <c r="W1155" s="1"/>
      <c r="X1155" s="1"/>
    </row>
    <row r="1156" spans="1:24">
      <c r="A1156" s="1"/>
      <c r="M1156" s="26"/>
      <c r="N1156" s="26"/>
      <c r="P1156" s="1"/>
      <c r="Q1156" s="1"/>
      <c r="R1156" s="1"/>
      <c r="S1156" s="1"/>
      <c r="T1156" s="1"/>
      <c r="U1156" s="1"/>
      <c r="V1156" s="16"/>
      <c r="W1156" s="1"/>
      <c r="X1156" s="1"/>
    </row>
    <row r="1157" spans="1:24">
      <c r="A1157" s="1"/>
      <c r="M1157" s="26"/>
      <c r="N1157" s="26"/>
      <c r="P1157" s="1"/>
      <c r="Q1157" s="1"/>
      <c r="R1157" s="1"/>
      <c r="S1157" s="1"/>
      <c r="T1157" s="1"/>
      <c r="U1157" s="1"/>
      <c r="V1157" s="16"/>
      <c r="W1157" s="1"/>
      <c r="X1157" s="1"/>
    </row>
    <row r="1158" spans="1:24">
      <c r="A1158" s="1"/>
      <c r="M1158" s="26"/>
      <c r="N1158" s="26"/>
      <c r="P1158" s="1"/>
      <c r="Q1158" s="1"/>
      <c r="R1158" s="1"/>
      <c r="S1158" s="1"/>
      <c r="T1158" s="1"/>
      <c r="U1158" s="1"/>
      <c r="V1158" s="16"/>
      <c r="W1158" s="1"/>
      <c r="X1158" s="1"/>
    </row>
    <row r="1159" spans="1:24">
      <c r="A1159" s="1"/>
      <c r="M1159" s="26"/>
      <c r="N1159" s="26"/>
      <c r="P1159" s="1"/>
      <c r="Q1159" s="1"/>
      <c r="R1159" s="1"/>
      <c r="S1159" s="1"/>
      <c r="T1159" s="1"/>
      <c r="U1159" s="1"/>
      <c r="V1159" s="16"/>
      <c r="W1159" s="1"/>
      <c r="X1159" s="1"/>
    </row>
    <row r="1160" spans="1:24">
      <c r="A1160" s="1"/>
      <c r="M1160" s="26"/>
      <c r="N1160" s="26"/>
      <c r="P1160" s="1"/>
      <c r="Q1160" s="1"/>
      <c r="R1160" s="1"/>
      <c r="S1160" s="1"/>
      <c r="T1160" s="1"/>
      <c r="U1160" s="1"/>
      <c r="V1160" s="16"/>
      <c r="W1160" s="1"/>
      <c r="X1160" s="1"/>
    </row>
    <row r="1161" spans="1:24">
      <c r="A1161" s="1"/>
      <c r="M1161" s="26"/>
      <c r="N1161" s="26"/>
      <c r="P1161" s="1"/>
      <c r="Q1161" s="1"/>
      <c r="R1161" s="1"/>
      <c r="S1161" s="1"/>
      <c r="T1161" s="1"/>
      <c r="U1161" s="1"/>
      <c r="V1161" s="16"/>
      <c r="W1161" s="1"/>
      <c r="X1161" s="1"/>
    </row>
    <row r="1162" spans="1:24">
      <c r="A1162" s="1"/>
      <c r="M1162" s="26"/>
      <c r="N1162" s="26"/>
      <c r="P1162" s="1"/>
      <c r="Q1162" s="1"/>
      <c r="R1162" s="1"/>
      <c r="S1162" s="1"/>
      <c r="T1162" s="1"/>
      <c r="U1162" s="1"/>
      <c r="V1162" s="16"/>
      <c r="W1162" s="1"/>
      <c r="X1162" s="1"/>
    </row>
    <row r="1163" spans="1:24">
      <c r="A1163" s="1"/>
      <c r="M1163" s="26"/>
      <c r="N1163" s="26"/>
      <c r="P1163" s="1"/>
      <c r="Q1163" s="1"/>
      <c r="R1163" s="1"/>
      <c r="S1163" s="1"/>
      <c r="T1163" s="1"/>
      <c r="U1163" s="1"/>
      <c r="V1163" s="16"/>
      <c r="W1163" s="1"/>
      <c r="X1163" s="1"/>
    </row>
    <row r="1164" spans="1:24">
      <c r="A1164" s="1"/>
      <c r="M1164" s="26"/>
      <c r="N1164" s="26"/>
      <c r="P1164" s="1"/>
      <c r="Q1164" s="1"/>
      <c r="R1164" s="1"/>
      <c r="S1164" s="1"/>
      <c r="T1164" s="1"/>
      <c r="U1164" s="1"/>
      <c r="V1164" s="16"/>
      <c r="W1164" s="1"/>
      <c r="X1164" s="1"/>
    </row>
    <row r="1165" spans="1:24">
      <c r="A1165" s="1"/>
      <c r="M1165" s="26"/>
      <c r="N1165" s="26"/>
      <c r="P1165" s="1"/>
      <c r="Q1165" s="1"/>
      <c r="R1165" s="1"/>
      <c r="S1165" s="1"/>
      <c r="T1165" s="1"/>
      <c r="U1165" s="1"/>
      <c r="V1165" s="16"/>
      <c r="W1165" s="1"/>
      <c r="X1165" s="1"/>
    </row>
    <row r="1166" spans="1:24">
      <c r="A1166" s="1"/>
      <c r="M1166" s="26"/>
      <c r="N1166" s="26"/>
      <c r="P1166" s="1"/>
      <c r="Q1166" s="1"/>
      <c r="R1166" s="1"/>
      <c r="S1166" s="1"/>
      <c r="T1166" s="1"/>
      <c r="U1166" s="1"/>
      <c r="V1166" s="16"/>
      <c r="W1166" s="1"/>
      <c r="X1166" s="1"/>
    </row>
    <row r="1167" spans="1:24">
      <c r="A1167" s="1"/>
      <c r="M1167" s="26"/>
      <c r="N1167" s="26"/>
      <c r="P1167" s="1"/>
      <c r="Q1167" s="1"/>
      <c r="R1167" s="1"/>
      <c r="S1167" s="1"/>
      <c r="T1167" s="1"/>
      <c r="U1167" s="1"/>
      <c r="V1167" s="16"/>
      <c r="W1167" s="1"/>
      <c r="X1167" s="1"/>
    </row>
    <row r="1168" spans="1:24">
      <c r="A1168" s="1"/>
      <c r="M1168" s="26"/>
      <c r="N1168" s="26"/>
      <c r="P1168" s="1"/>
      <c r="Q1168" s="1"/>
      <c r="R1168" s="1"/>
      <c r="S1168" s="1"/>
      <c r="T1168" s="1"/>
      <c r="U1168" s="1"/>
      <c r="V1168" s="16"/>
      <c r="W1168" s="1"/>
      <c r="X1168" s="1"/>
    </row>
    <row r="1169" spans="1:24">
      <c r="A1169" s="1"/>
      <c r="M1169" s="26"/>
      <c r="N1169" s="26"/>
      <c r="P1169" s="1"/>
      <c r="Q1169" s="1"/>
      <c r="R1169" s="1"/>
      <c r="S1169" s="1"/>
      <c r="T1169" s="1"/>
      <c r="U1169" s="1"/>
      <c r="V1169" s="16"/>
      <c r="W1169" s="1"/>
      <c r="X1169" s="1"/>
    </row>
    <row r="1170" spans="1:24">
      <c r="A1170" s="1"/>
      <c r="M1170" s="26"/>
      <c r="N1170" s="26"/>
      <c r="P1170" s="1"/>
      <c r="Q1170" s="1"/>
      <c r="R1170" s="1"/>
      <c r="S1170" s="1"/>
      <c r="T1170" s="1"/>
      <c r="U1170" s="1"/>
      <c r="V1170" s="16"/>
      <c r="W1170" s="1"/>
      <c r="X1170" s="1"/>
    </row>
    <row r="1171" spans="1:24">
      <c r="A1171" s="1"/>
      <c r="M1171" s="26"/>
      <c r="N1171" s="26"/>
      <c r="P1171" s="1"/>
      <c r="Q1171" s="1"/>
      <c r="R1171" s="1"/>
      <c r="S1171" s="1"/>
      <c r="T1171" s="1"/>
      <c r="U1171" s="1"/>
      <c r="V1171" s="16"/>
      <c r="W1171" s="1"/>
      <c r="X1171" s="1"/>
    </row>
    <row r="1172" spans="1:24">
      <c r="A1172" s="1"/>
      <c r="M1172" s="26"/>
      <c r="N1172" s="26"/>
      <c r="P1172" s="1"/>
      <c r="Q1172" s="1"/>
      <c r="R1172" s="1"/>
      <c r="S1172" s="1"/>
      <c r="T1172" s="1"/>
      <c r="U1172" s="1"/>
      <c r="V1172" s="16"/>
      <c r="W1172" s="1"/>
      <c r="X1172" s="1"/>
    </row>
    <row r="1173" spans="1:24">
      <c r="A1173" s="1"/>
      <c r="M1173" s="26"/>
      <c r="N1173" s="26"/>
      <c r="P1173" s="1"/>
      <c r="Q1173" s="1"/>
      <c r="R1173" s="1"/>
      <c r="S1173" s="1"/>
      <c r="T1173" s="1"/>
      <c r="U1173" s="1"/>
      <c r="V1173" s="16"/>
      <c r="W1173" s="1"/>
      <c r="X1173" s="1"/>
    </row>
    <row r="1174" spans="1:24">
      <c r="A1174" s="1"/>
      <c r="M1174" s="26"/>
      <c r="N1174" s="26"/>
      <c r="P1174" s="1"/>
      <c r="Q1174" s="1"/>
      <c r="R1174" s="1"/>
      <c r="S1174" s="1"/>
      <c r="T1174" s="1"/>
      <c r="U1174" s="1"/>
      <c r="V1174" s="16"/>
      <c r="W1174" s="1"/>
      <c r="X1174" s="1"/>
    </row>
    <row r="1175" spans="1:24">
      <c r="A1175" s="1"/>
      <c r="M1175" s="26"/>
      <c r="N1175" s="26"/>
      <c r="P1175" s="1"/>
      <c r="Q1175" s="1"/>
      <c r="R1175" s="1"/>
      <c r="S1175" s="1"/>
      <c r="T1175" s="1"/>
      <c r="U1175" s="1"/>
      <c r="V1175" s="16"/>
      <c r="W1175" s="1"/>
      <c r="X1175" s="1"/>
    </row>
    <row r="1176" spans="1:24">
      <c r="A1176" s="1"/>
      <c r="M1176" s="26"/>
      <c r="N1176" s="26"/>
      <c r="P1176" s="1"/>
      <c r="Q1176" s="1"/>
      <c r="R1176" s="1"/>
      <c r="S1176" s="1"/>
      <c r="T1176" s="1"/>
      <c r="U1176" s="1"/>
      <c r="V1176" s="16"/>
      <c r="W1176" s="1"/>
      <c r="X1176" s="1"/>
    </row>
    <row r="1177" spans="1:24">
      <c r="A1177" s="1"/>
      <c r="M1177" s="26"/>
      <c r="N1177" s="26"/>
      <c r="P1177" s="1"/>
      <c r="Q1177" s="1"/>
      <c r="R1177" s="1"/>
      <c r="S1177" s="1"/>
      <c r="T1177" s="1"/>
      <c r="U1177" s="1"/>
      <c r="V1177" s="16"/>
      <c r="W1177" s="1"/>
      <c r="X1177" s="1"/>
    </row>
    <row r="1178" spans="1:24">
      <c r="A1178" s="1"/>
      <c r="M1178" s="26"/>
      <c r="N1178" s="26"/>
      <c r="P1178" s="1"/>
      <c r="Q1178" s="1"/>
      <c r="R1178" s="1"/>
      <c r="S1178" s="1"/>
      <c r="T1178" s="1"/>
      <c r="U1178" s="1"/>
      <c r="V1178" s="16"/>
      <c r="W1178" s="1"/>
      <c r="X1178" s="1"/>
    </row>
    <row r="1179" spans="1:24">
      <c r="A1179" s="1"/>
      <c r="M1179" s="26"/>
      <c r="N1179" s="26"/>
      <c r="P1179" s="1"/>
      <c r="Q1179" s="1"/>
      <c r="R1179" s="1"/>
      <c r="S1179" s="1"/>
      <c r="T1179" s="1"/>
      <c r="U1179" s="1"/>
      <c r="V1179" s="16"/>
      <c r="W1179" s="1"/>
      <c r="X1179" s="1"/>
    </row>
    <row r="1180" spans="1:24">
      <c r="A1180" s="1"/>
      <c r="M1180" s="26"/>
      <c r="N1180" s="26"/>
      <c r="P1180" s="1"/>
      <c r="Q1180" s="1"/>
      <c r="R1180" s="1"/>
      <c r="S1180" s="1"/>
      <c r="T1180" s="1"/>
      <c r="U1180" s="1"/>
      <c r="V1180" s="16"/>
      <c r="W1180" s="1"/>
      <c r="X1180" s="1"/>
    </row>
    <row r="1181" spans="1:24">
      <c r="A1181" s="1"/>
      <c r="M1181" s="26"/>
      <c r="N1181" s="26"/>
      <c r="P1181" s="1"/>
      <c r="Q1181" s="1"/>
      <c r="R1181" s="1"/>
      <c r="S1181" s="1"/>
      <c r="T1181" s="1"/>
      <c r="U1181" s="1"/>
      <c r="V1181" s="16"/>
      <c r="W1181" s="1"/>
      <c r="X1181" s="1"/>
    </row>
    <row r="1182" spans="1:24">
      <c r="A1182" s="1"/>
      <c r="M1182" s="26"/>
      <c r="N1182" s="26"/>
      <c r="P1182" s="1"/>
      <c r="Q1182" s="1"/>
      <c r="R1182" s="1"/>
      <c r="S1182" s="1"/>
      <c r="T1182" s="1"/>
      <c r="U1182" s="1"/>
      <c r="V1182" s="16"/>
      <c r="W1182" s="1"/>
      <c r="X1182" s="1"/>
    </row>
    <row r="1183" spans="1:24">
      <c r="A1183" s="1"/>
      <c r="M1183" s="26"/>
      <c r="N1183" s="26"/>
      <c r="P1183" s="1"/>
      <c r="Q1183" s="1"/>
      <c r="R1183" s="1"/>
      <c r="S1183" s="1"/>
      <c r="T1183" s="1"/>
      <c r="U1183" s="1"/>
      <c r="V1183" s="16"/>
      <c r="W1183" s="1"/>
      <c r="X1183" s="1"/>
    </row>
    <row r="1184" spans="1:24">
      <c r="A1184" s="1"/>
      <c r="M1184" s="26"/>
      <c r="N1184" s="26"/>
      <c r="P1184" s="1"/>
      <c r="Q1184" s="1"/>
      <c r="R1184" s="1"/>
      <c r="S1184" s="1"/>
      <c r="T1184" s="1"/>
      <c r="U1184" s="1"/>
      <c r="V1184" s="16"/>
      <c r="W1184" s="1"/>
      <c r="X1184" s="1"/>
    </row>
    <row r="1185" spans="1:24">
      <c r="A1185" s="1"/>
      <c r="M1185" s="26"/>
      <c r="N1185" s="26"/>
      <c r="P1185" s="1"/>
      <c r="Q1185" s="1"/>
      <c r="R1185" s="1"/>
      <c r="S1185" s="1"/>
      <c r="T1185" s="1"/>
      <c r="U1185" s="1"/>
      <c r="V1185" s="16"/>
      <c r="W1185" s="1"/>
      <c r="X1185" s="1"/>
    </row>
    <row r="1186" spans="1:24">
      <c r="A1186" s="1"/>
      <c r="M1186" s="26"/>
      <c r="N1186" s="26"/>
      <c r="P1186" s="1"/>
      <c r="Q1186" s="1"/>
      <c r="R1186" s="1"/>
      <c r="S1186" s="1"/>
      <c r="T1186" s="1"/>
      <c r="U1186" s="1"/>
      <c r="V1186" s="16"/>
      <c r="W1186" s="1"/>
      <c r="X1186" s="1"/>
    </row>
    <row r="1187" spans="1:24">
      <c r="A1187" s="1"/>
      <c r="M1187" s="26"/>
      <c r="N1187" s="26"/>
      <c r="P1187" s="1"/>
      <c r="Q1187" s="1"/>
      <c r="R1187" s="1"/>
      <c r="S1187" s="1"/>
      <c r="T1187" s="1"/>
      <c r="U1187" s="1"/>
      <c r="V1187" s="16"/>
      <c r="W1187" s="1"/>
      <c r="X1187" s="1"/>
    </row>
    <row r="1188" spans="1:24">
      <c r="A1188" s="1"/>
      <c r="M1188" s="26"/>
      <c r="N1188" s="26"/>
      <c r="P1188" s="1"/>
      <c r="Q1188" s="1"/>
      <c r="R1188" s="1"/>
      <c r="S1188" s="1"/>
      <c r="T1188" s="1"/>
      <c r="U1188" s="1"/>
      <c r="V1188" s="16"/>
      <c r="W1188" s="1"/>
      <c r="X1188" s="1"/>
    </row>
    <row r="1189" spans="1:24">
      <c r="A1189" s="1"/>
      <c r="M1189" s="26"/>
      <c r="N1189" s="26"/>
      <c r="P1189" s="1"/>
      <c r="Q1189" s="1"/>
      <c r="R1189" s="1"/>
      <c r="S1189" s="1"/>
      <c r="T1189" s="1"/>
      <c r="U1189" s="1"/>
      <c r="V1189" s="16"/>
      <c r="W1189" s="1"/>
      <c r="X1189" s="1"/>
    </row>
    <row r="1190" spans="1:24">
      <c r="A1190" s="1"/>
      <c r="M1190" s="26"/>
      <c r="N1190" s="26"/>
      <c r="P1190" s="1"/>
      <c r="Q1190" s="1"/>
      <c r="R1190" s="1"/>
      <c r="S1190" s="1"/>
      <c r="T1190" s="1"/>
      <c r="U1190" s="1"/>
      <c r="V1190" s="16"/>
      <c r="W1190" s="1"/>
      <c r="X1190" s="1"/>
    </row>
    <row r="1191" spans="1:24">
      <c r="A1191" s="1"/>
      <c r="M1191" s="26"/>
      <c r="N1191" s="26"/>
      <c r="P1191" s="1"/>
      <c r="Q1191" s="1"/>
      <c r="R1191" s="1"/>
      <c r="S1191" s="1"/>
      <c r="T1191" s="1"/>
      <c r="U1191" s="1"/>
      <c r="V1191" s="16"/>
      <c r="W1191" s="1"/>
      <c r="X1191" s="1"/>
    </row>
    <row r="1192" spans="1:24">
      <c r="A1192" s="1"/>
      <c r="M1192" s="26"/>
      <c r="N1192" s="26"/>
      <c r="P1192" s="1"/>
      <c r="Q1192" s="1"/>
      <c r="R1192" s="1"/>
      <c r="S1192" s="1"/>
      <c r="T1192" s="1"/>
      <c r="U1192" s="1"/>
      <c r="V1192" s="16"/>
      <c r="W1192" s="1"/>
      <c r="X1192" s="1"/>
    </row>
    <row r="1193" spans="1:24">
      <c r="A1193" s="1"/>
      <c r="M1193" s="26"/>
      <c r="N1193" s="26"/>
      <c r="P1193" s="1"/>
      <c r="Q1193" s="1"/>
      <c r="R1193" s="1"/>
      <c r="S1193" s="1"/>
      <c r="T1193" s="1"/>
      <c r="U1193" s="1"/>
      <c r="V1193" s="16"/>
      <c r="W1193" s="1"/>
      <c r="X1193" s="1"/>
    </row>
    <row r="1194" spans="1:24">
      <c r="A1194" s="1"/>
      <c r="M1194" s="26"/>
      <c r="N1194" s="26"/>
      <c r="P1194" s="1"/>
      <c r="Q1194" s="1"/>
      <c r="R1194" s="1"/>
      <c r="S1194" s="1"/>
      <c r="T1194" s="1"/>
      <c r="U1194" s="1"/>
      <c r="V1194" s="16"/>
      <c r="W1194" s="1"/>
      <c r="X1194" s="1"/>
    </row>
    <row r="1195" spans="1:24">
      <c r="A1195" s="1"/>
      <c r="M1195" s="26"/>
      <c r="N1195" s="26"/>
      <c r="P1195" s="1"/>
      <c r="Q1195" s="1"/>
      <c r="R1195" s="1"/>
      <c r="S1195" s="1"/>
      <c r="T1195" s="1"/>
      <c r="U1195" s="1"/>
      <c r="V1195" s="16"/>
      <c r="W1195" s="1"/>
      <c r="X1195" s="1"/>
    </row>
    <row r="1196" spans="1:24">
      <c r="A1196" s="1"/>
      <c r="M1196" s="26"/>
      <c r="N1196" s="26"/>
      <c r="P1196" s="1"/>
      <c r="Q1196" s="1"/>
      <c r="R1196" s="1"/>
      <c r="S1196" s="1"/>
      <c r="T1196" s="1"/>
      <c r="U1196" s="1"/>
      <c r="V1196" s="16"/>
      <c r="W1196" s="1"/>
      <c r="X1196" s="1"/>
    </row>
    <row r="1197" spans="1:24">
      <c r="A1197" s="1"/>
      <c r="M1197" s="26"/>
      <c r="N1197" s="26"/>
      <c r="P1197" s="1"/>
      <c r="Q1197" s="1"/>
      <c r="R1197" s="1"/>
      <c r="S1197" s="1"/>
      <c r="T1197" s="1"/>
      <c r="U1197" s="1"/>
      <c r="V1197" s="16"/>
      <c r="W1197" s="1"/>
      <c r="X1197" s="1"/>
    </row>
    <row r="1198" spans="1:24">
      <c r="A1198" s="1"/>
      <c r="M1198" s="26"/>
      <c r="N1198" s="26"/>
      <c r="P1198" s="1"/>
      <c r="Q1198" s="1"/>
      <c r="R1198" s="1"/>
      <c r="S1198" s="1"/>
      <c r="T1198" s="1"/>
      <c r="U1198" s="1"/>
      <c r="V1198" s="16"/>
      <c r="W1198" s="1"/>
      <c r="X1198" s="1"/>
    </row>
    <row r="1199" spans="1:24">
      <c r="A1199" s="1"/>
      <c r="M1199" s="26"/>
      <c r="N1199" s="26"/>
      <c r="P1199" s="1"/>
      <c r="Q1199" s="1"/>
      <c r="R1199" s="1"/>
      <c r="S1199" s="1"/>
      <c r="T1199" s="1"/>
      <c r="U1199" s="1"/>
      <c r="V1199" s="16"/>
      <c r="W1199" s="1"/>
      <c r="X1199" s="1"/>
    </row>
    <row r="1200" spans="1:24">
      <c r="A1200" s="1"/>
      <c r="M1200" s="26"/>
      <c r="N1200" s="26"/>
      <c r="P1200" s="1"/>
      <c r="Q1200" s="1"/>
      <c r="R1200" s="1"/>
      <c r="S1200" s="1"/>
      <c r="T1200" s="1"/>
      <c r="U1200" s="1"/>
      <c r="V1200" s="16"/>
      <c r="W1200" s="1"/>
      <c r="X1200" s="1"/>
    </row>
    <row r="1201" spans="1:24">
      <c r="A1201" s="1"/>
      <c r="M1201" s="26"/>
      <c r="N1201" s="26"/>
      <c r="P1201" s="1"/>
      <c r="Q1201" s="1"/>
      <c r="R1201" s="1"/>
      <c r="S1201" s="1"/>
      <c r="T1201" s="1"/>
      <c r="U1201" s="1"/>
      <c r="V1201" s="16"/>
      <c r="W1201" s="1"/>
      <c r="X1201" s="1"/>
    </row>
    <row r="1202" spans="1:24">
      <c r="A1202" s="1"/>
      <c r="M1202" s="26"/>
      <c r="N1202" s="26"/>
      <c r="P1202" s="1"/>
      <c r="Q1202" s="1"/>
      <c r="R1202" s="1"/>
      <c r="S1202" s="1"/>
      <c r="T1202" s="1"/>
      <c r="U1202" s="1"/>
      <c r="V1202" s="16"/>
      <c r="W1202" s="1"/>
      <c r="X1202" s="1"/>
    </row>
    <row r="1203" spans="1:24">
      <c r="A1203" s="1"/>
      <c r="M1203" s="26"/>
      <c r="N1203" s="26"/>
      <c r="P1203" s="1"/>
      <c r="Q1203" s="1"/>
      <c r="R1203" s="1"/>
      <c r="S1203" s="1"/>
      <c r="T1203" s="1"/>
      <c r="U1203" s="1"/>
      <c r="V1203" s="16"/>
      <c r="W1203" s="1"/>
      <c r="X1203" s="1"/>
    </row>
    <row r="1204" spans="1:24">
      <c r="A1204" s="1"/>
      <c r="M1204" s="26"/>
      <c r="N1204" s="26"/>
      <c r="P1204" s="1"/>
      <c r="Q1204" s="1"/>
      <c r="R1204" s="1"/>
      <c r="S1204" s="1"/>
      <c r="T1204" s="1"/>
      <c r="U1204" s="1"/>
      <c r="V1204" s="16"/>
      <c r="W1204" s="1"/>
      <c r="X1204" s="1"/>
    </row>
    <row r="1205" spans="1:24">
      <c r="A1205" s="1"/>
      <c r="M1205" s="26"/>
      <c r="N1205" s="26"/>
      <c r="P1205" s="1"/>
      <c r="Q1205" s="1"/>
      <c r="R1205" s="1"/>
      <c r="S1205" s="1"/>
      <c r="T1205" s="1"/>
      <c r="U1205" s="1"/>
      <c r="V1205" s="16"/>
      <c r="W1205" s="1"/>
      <c r="X1205" s="1"/>
    </row>
    <row r="1206" spans="1:24">
      <c r="A1206" s="1"/>
      <c r="M1206" s="26"/>
      <c r="N1206" s="26"/>
      <c r="P1206" s="1"/>
      <c r="Q1206" s="1"/>
      <c r="R1206" s="1"/>
      <c r="S1206" s="1"/>
      <c r="T1206" s="1"/>
      <c r="U1206" s="1"/>
      <c r="V1206" s="16"/>
      <c r="W1206" s="1"/>
      <c r="X1206" s="1"/>
    </row>
    <row r="1207" spans="1:24">
      <c r="A1207" s="1"/>
      <c r="M1207" s="26"/>
      <c r="N1207" s="26"/>
      <c r="P1207" s="1"/>
      <c r="Q1207" s="1"/>
      <c r="R1207" s="1"/>
      <c r="S1207" s="1"/>
      <c r="T1207" s="1"/>
      <c r="U1207" s="1"/>
      <c r="V1207" s="16"/>
      <c r="W1207" s="1"/>
      <c r="X1207" s="1"/>
    </row>
    <row r="1208" spans="1:24">
      <c r="A1208" s="1"/>
      <c r="M1208" s="26"/>
      <c r="N1208" s="26"/>
      <c r="P1208" s="1"/>
      <c r="Q1208" s="1"/>
      <c r="R1208" s="1"/>
      <c r="S1208" s="1"/>
      <c r="T1208" s="1"/>
      <c r="U1208" s="1"/>
      <c r="V1208" s="16"/>
      <c r="W1208" s="1"/>
      <c r="X1208" s="1"/>
    </row>
    <row r="1209" spans="1:24">
      <c r="A1209" s="1"/>
      <c r="M1209" s="26"/>
      <c r="N1209" s="26"/>
      <c r="P1209" s="1"/>
      <c r="Q1209" s="1"/>
      <c r="R1209" s="1"/>
      <c r="S1209" s="1"/>
      <c r="T1209" s="1"/>
      <c r="U1209" s="1"/>
      <c r="V1209" s="16"/>
      <c r="W1209" s="1"/>
      <c r="X1209" s="1"/>
    </row>
    <row r="1210" spans="1:24">
      <c r="A1210" s="1"/>
      <c r="M1210" s="26"/>
      <c r="N1210" s="26"/>
      <c r="P1210" s="1"/>
      <c r="Q1210" s="1"/>
      <c r="R1210" s="1"/>
      <c r="S1210" s="1"/>
      <c r="T1210" s="1"/>
      <c r="U1210" s="1"/>
      <c r="V1210" s="16"/>
      <c r="W1210" s="1"/>
      <c r="X1210" s="1"/>
    </row>
    <row r="1211" spans="1:24">
      <c r="A1211" s="1"/>
      <c r="M1211" s="26"/>
      <c r="N1211" s="26"/>
      <c r="P1211" s="1"/>
      <c r="Q1211" s="1"/>
      <c r="R1211" s="1"/>
      <c r="S1211" s="1"/>
      <c r="T1211" s="1"/>
      <c r="U1211" s="1"/>
      <c r="V1211" s="16"/>
      <c r="W1211" s="1"/>
      <c r="X1211" s="1"/>
    </row>
    <row r="1212" spans="1:24">
      <c r="A1212" s="1"/>
      <c r="M1212" s="26"/>
      <c r="N1212" s="26"/>
      <c r="P1212" s="1"/>
      <c r="Q1212" s="1"/>
      <c r="R1212" s="1"/>
      <c r="S1212" s="1"/>
      <c r="T1212" s="1"/>
      <c r="U1212" s="1"/>
      <c r="V1212" s="16"/>
      <c r="W1212" s="1"/>
      <c r="X1212" s="1"/>
    </row>
    <row r="1213" spans="1:24">
      <c r="A1213" s="1"/>
      <c r="M1213" s="26"/>
      <c r="N1213" s="26"/>
      <c r="P1213" s="1"/>
      <c r="Q1213" s="1"/>
      <c r="R1213" s="1"/>
      <c r="S1213" s="1"/>
      <c r="T1213" s="1"/>
      <c r="U1213" s="1"/>
      <c r="V1213" s="16"/>
      <c r="W1213" s="1"/>
      <c r="X1213" s="1"/>
    </row>
    <row r="1214" spans="1:24">
      <c r="A1214" s="1"/>
      <c r="M1214" s="26"/>
      <c r="N1214" s="26"/>
      <c r="P1214" s="1"/>
      <c r="Q1214" s="1"/>
      <c r="R1214" s="1"/>
      <c r="S1214" s="1"/>
      <c r="T1214" s="1"/>
      <c r="U1214" s="1"/>
      <c r="V1214" s="16"/>
      <c r="W1214" s="1"/>
      <c r="X1214" s="1"/>
    </row>
    <row r="1215" spans="1:24">
      <c r="A1215" s="1"/>
      <c r="M1215" s="26"/>
      <c r="N1215" s="26"/>
      <c r="P1215" s="1"/>
      <c r="Q1215" s="1"/>
      <c r="R1215" s="1"/>
      <c r="S1215" s="1"/>
      <c r="T1215" s="1"/>
      <c r="U1215" s="1"/>
      <c r="V1215" s="16"/>
      <c r="W1215" s="1"/>
      <c r="X1215" s="1"/>
    </row>
    <row r="1216" spans="1:24">
      <c r="A1216" s="1"/>
      <c r="M1216" s="26"/>
      <c r="N1216" s="26"/>
      <c r="P1216" s="1"/>
      <c r="Q1216" s="1"/>
      <c r="R1216" s="1"/>
      <c r="S1216" s="1"/>
      <c r="T1216" s="1"/>
      <c r="U1216" s="1"/>
      <c r="V1216" s="16"/>
      <c r="W1216" s="1"/>
      <c r="X1216" s="1"/>
    </row>
    <row r="1217" spans="1:24">
      <c r="A1217" s="1"/>
      <c r="M1217" s="26"/>
      <c r="N1217" s="26"/>
      <c r="P1217" s="1"/>
      <c r="Q1217" s="1"/>
      <c r="R1217" s="1"/>
      <c r="S1217" s="1"/>
      <c r="T1217" s="1"/>
      <c r="U1217" s="1"/>
      <c r="V1217" s="16"/>
      <c r="W1217" s="1"/>
      <c r="X1217" s="1"/>
    </row>
    <row r="1218" spans="1:24">
      <c r="A1218" s="1"/>
      <c r="M1218" s="26"/>
      <c r="N1218" s="26"/>
      <c r="P1218" s="1"/>
      <c r="Q1218" s="1"/>
      <c r="R1218" s="1"/>
      <c r="S1218" s="1"/>
      <c r="T1218" s="1"/>
      <c r="U1218" s="1"/>
      <c r="V1218" s="16"/>
      <c r="W1218" s="1"/>
      <c r="X1218" s="1"/>
    </row>
    <row r="1219" spans="1:24">
      <c r="A1219" s="1"/>
      <c r="M1219" s="26"/>
      <c r="N1219" s="26"/>
      <c r="P1219" s="1"/>
      <c r="Q1219" s="1"/>
      <c r="R1219" s="1"/>
      <c r="S1219" s="1"/>
      <c r="T1219" s="1"/>
      <c r="U1219" s="1"/>
      <c r="V1219" s="16"/>
      <c r="W1219" s="1"/>
      <c r="X1219" s="1"/>
    </row>
    <row r="1220" spans="1:24">
      <c r="A1220" s="1"/>
      <c r="M1220" s="26"/>
      <c r="N1220" s="26"/>
      <c r="P1220" s="1"/>
      <c r="Q1220" s="1"/>
      <c r="R1220" s="1"/>
      <c r="S1220" s="1"/>
      <c r="T1220" s="1"/>
      <c r="U1220" s="1"/>
      <c r="V1220" s="16"/>
      <c r="W1220" s="1"/>
      <c r="X1220" s="1"/>
    </row>
    <row r="1221" spans="1:24">
      <c r="A1221" s="1"/>
      <c r="M1221" s="26"/>
      <c r="N1221" s="26"/>
      <c r="P1221" s="1"/>
      <c r="Q1221" s="1"/>
      <c r="R1221" s="1"/>
      <c r="S1221" s="1"/>
      <c r="T1221" s="1"/>
      <c r="U1221" s="1"/>
      <c r="V1221" s="16"/>
      <c r="W1221" s="1"/>
      <c r="X1221" s="1"/>
    </row>
    <row r="1222" spans="1:24">
      <c r="A1222" s="1"/>
      <c r="M1222" s="26"/>
      <c r="N1222" s="26"/>
      <c r="P1222" s="1"/>
      <c r="Q1222" s="1"/>
      <c r="R1222" s="1"/>
      <c r="S1222" s="1"/>
      <c r="T1222" s="1"/>
      <c r="U1222" s="1"/>
      <c r="V1222" s="16"/>
      <c r="W1222" s="1"/>
      <c r="X1222" s="1"/>
    </row>
    <row r="1223" spans="1:24">
      <c r="A1223" s="1"/>
      <c r="M1223" s="26"/>
      <c r="N1223" s="26"/>
      <c r="P1223" s="1"/>
      <c r="Q1223" s="1"/>
      <c r="R1223" s="1"/>
      <c r="S1223" s="1"/>
      <c r="T1223" s="1"/>
      <c r="U1223" s="1"/>
      <c r="V1223" s="16"/>
      <c r="W1223" s="1"/>
      <c r="X1223" s="1"/>
    </row>
    <row r="1224" spans="1:24">
      <c r="A1224" s="1"/>
      <c r="M1224" s="26"/>
      <c r="N1224" s="26"/>
      <c r="P1224" s="1"/>
      <c r="Q1224" s="1"/>
      <c r="R1224" s="1"/>
      <c r="S1224" s="1"/>
      <c r="T1224" s="1"/>
      <c r="U1224" s="1"/>
      <c r="V1224" s="16"/>
      <c r="W1224" s="1"/>
      <c r="X1224" s="1"/>
    </row>
    <row r="1225" spans="1:24">
      <c r="A1225" s="1"/>
      <c r="M1225" s="26"/>
      <c r="N1225" s="26"/>
      <c r="P1225" s="1"/>
      <c r="Q1225" s="1"/>
      <c r="R1225" s="1"/>
      <c r="S1225" s="1"/>
      <c r="T1225" s="1"/>
      <c r="U1225" s="1"/>
      <c r="V1225" s="16"/>
      <c r="W1225" s="1"/>
      <c r="X1225" s="1"/>
    </row>
    <row r="1226" spans="1:24">
      <c r="A1226" s="1"/>
      <c r="M1226" s="26"/>
      <c r="N1226" s="26"/>
      <c r="P1226" s="1"/>
      <c r="Q1226" s="1"/>
      <c r="R1226" s="1"/>
      <c r="S1226" s="1"/>
      <c r="T1226" s="1"/>
      <c r="U1226" s="1"/>
      <c r="V1226" s="16"/>
      <c r="W1226" s="1"/>
      <c r="X1226" s="1"/>
    </row>
    <row r="1227" spans="1:24">
      <c r="A1227" s="1"/>
      <c r="M1227" s="26"/>
      <c r="N1227" s="26"/>
      <c r="P1227" s="1"/>
      <c r="Q1227" s="1"/>
      <c r="R1227" s="1"/>
      <c r="S1227" s="1"/>
      <c r="T1227" s="1"/>
      <c r="U1227" s="1"/>
      <c r="V1227" s="16"/>
      <c r="W1227" s="1"/>
      <c r="X1227" s="1"/>
    </row>
    <row r="1228" spans="1:24">
      <c r="A1228" s="1"/>
      <c r="M1228" s="26"/>
      <c r="N1228" s="26"/>
      <c r="P1228" s="1"/>
      <c r="Q1228" s="1"/>
      <c r="R1228" s="1"/>
      <c r="S1228" s="1"/>
      <c r="T1228" s="1"/>
      <c r="U1228" s="1"/>
      <c r="V1228" s="16"/>
      <c r="W1228" s="1"/>
      <c r="X1228" s="1"/>
    </row>
    <row r="1229" spans="1:24">
      <c r="A1229" s="1"/>
      <c r="M1229" s="26"/>
      <c r="N1229" s="26"/>
      <c r="P1229" s="1"/>
      <c r="Q1229" s="1"/>
      <c r="R1229" s="1"/>
      <c r="S1229" s="1"/>
      <c r="T1229" s="1"/>
      <c r="U1229" s="1"/>
      <c r="V1229" s="16"/>
      <c r="W1229" s="1"/>
      <c r="X1229" s="1"/>
    </row>
    <row r="1230" spans="1:24">
      <c r="A1230" s="1"/>
      <c r="M1230" s="26"/>
      <c r="N1230" s="26"/>
      <c r="P1230" s="1"/>
      <c r="Q1230" s="1"/>
      <c r="R1230" s="1"/>
      <c r="S1230" s="1"/>
      <c r="T1230" s="1"/>
      <c r="U1230" s="1"/>
      <c r="V1230" s="16"/>
      <c r="W1230" s="1"/>
      <c r="X1230" s="1"/>
    </row>
    <row r="1231" spans="1:24">
      <c r="A1231" s="1"/>
      <c r="M1231" s="26"/>
      <c r="N1231" s="26"/>
      <c r="P1231" s="1"/>
      <c r="Q1231" s="1"/>
      <c r="R1231" s="1"/>
      <c r="S1231" s="1"/>
      <c r="T1231" s="1"/>
      <c r="U1231" s="1"/>
      <c r="V1231" s="16"/>
      <c r="W1231" s="1"/>
      <c r="X1231" s="1"/>
    </row>
    <row r="1232" spans="1:24">
      <c r="A1232" s="1"/>
      <c r="M1232" s="26"/>
      <c r="N1232" s="26"/>
      <c r="P1232" s="1"/>
      <c r="Q1232" s="1"/>
      <c r="R1232" s="1"/>
      <c r="S1232" s="1"/>
      <c r="T1232" s="1"/>
      <c r="U1232" s="1"/>
      <c r="V1232" s="16"/>
      <c r="W1232" s="1"/>
      <c r="X1232" s="1"/>
    </row>
    <row r="1233" spans="1:24">
      <c r="A1233" s="1"/>
      <c r="M1233" s="26"/>
      <c r="N1233" s="26"/>
      <c r="P1233" s="1"/>
      <c r="Q1233" s="1"/>
      <c r="R1233" s="1"/>
      <c r="S1233" s="1"/>
      <c r="T1233" s="1"/>
      <c r="U1233" s="1"/>
      <c r="V1233" s="16"/>
      <c r="W1233" s="1"/>
      <c r="X1233" s="1"/>
    </row>
    <row r="1234" spans="1:24">
      <c r="A1234" s="1"/>
      <c r="M1234" s="26"/>
      <c r="N1234" s="26"/>
      <c r="P1234" s="1"/>
      <c r="Q1234" s="1"/>
      <c r="R1234" s="1"/>
      <c r="S1234" s="1"/>
      <c r="T1234" s="1"/>
      <c r="U1234" s="1"/>
      <c r="V1234" s="16"/>
      <c r="W1234" s="1"/>
      <c r="X1234" s="1"/>
    </row>
    <row r="1235" spans="1:24">
      <c r="A1235" s="1"/>
      <c r="M1235" s="26"/>
      <c r="N1235" s="26"/>
      <c r="P1235" s="1"/>
      <c r="Q1235" s="1"/>
      <c r="R1235" s="1"/>
      <c r="S1235" s="1"/>
      <c r="T1235" s="1"/>
      <c r="U1235" s="1"/>
      <c r="V1235" s="16"/>
      <c r="W1235" s="1"/>
      <c r="X1235" s="1"/>
    </row>
    <row r="1236" spans="1:24">
      <c r="A1236" s="1"/>
      <c r="M1236" s="26"/>
      <c r="N1236" s="26"/>
      <c r="P1236" s="1"/>
      <c r="Q1236" s="1"/>
      <c r="R1236" s="1"/>
      <c r="S1236" s="1"/>
      <c r="T1236" s="1"/>
      <c r="U1236" s="1"/>
      <c r="V1236" s="16"/>
      <c r="W1236" s="1"/>
      <c r="X1236" s="1"/>
    </row>
    <row r="1237" spans="1:24">
      <c r="A1237" s="1"/>
      <c r="M1237" s="26"/>
      <c r="N1237" s="26"/>
      <c r="P1237" s="1"/>
      <c r="Q1237" s="1"/>
      <c r="R1237" s="1"/>
      <c r="S1237" s="1"/>
      <c r="T1237" s="1"/>
      <c r="U1237" s="1"/>
      <c r="V1237" s="16"/>
      <c r="W1237" s="1"/>
      <c r="X1237" s="1"/>
    </row>
    <row r="1238" spans="1:24">
      <c r="A1238" s="1"/>
      <c r="M1238" s="26"/>
      <c r="N1238" s="26"/>
      <c r="P1238" s="1"/>
      <c r="Q1238" s="1"/>
      <c r="R1238" s="1"/>
      <c r="S1238" s="1"/>
      <c r="T1238" s="1"/>
      <c r="U1238" s="1"/>
      <c r="V1238" s="16"/>
      <c r="W1238" s="1"/>
      <c r="X1238" s="1"/>
    </row>
    <row r="1239" spans="1:24">
      <c r="A1239" s="1"/>
      <c r="M1239" s="26"/>
      <c r="N1239" s="26"/>
      <c r="P1239" s="1"/>
      <c r="Q1239" s="1"/>
      <c r="R1239" s="1"/>
      <c r="S1239" s="1"/>
      <c r="T1239" s="1"/>
      <c r="U1239" s="1"/>
      <c r="V1239" s="16"/>
      <c r="W1239" s="1"/>
      <c r="X1239" s="1"/>
    </row>
    <row r="1240" spans="1:24">
      <c r="A1240" s="1"/>
      <c r="M1240" s="26"/>
      <c r="N1240" s="26"/>
      <c r="P1240" s="1"/>
      <c r="Q1240" s="1"/>
      <c r="R1240" s="1"/>
      <c r="S1240" s="1"/>
      <c r="T1240" s="1"/>
      <c r="U1240" s="1"/>
      <c r="V1240" s="16"/>
      <c r="W1240" s="1"/>
      <c r="X1240" s="1"/>
    </row>
    <row r="1241" spans="1:24">
      <c r="A1241" s="1"/>
      <c r="M1241" s="26"/>
      <c r="N1241" s="26"/>
      <c r="P1241" s="1"/>
      <c r="Q1241" s="1"/>
      <c r="R1241" s="1"/>
      <c r="S1241" s="1"/>
      <c r="T1241" s="1"/>
      <c r="U1241" s="1"/>
      <c r="V1241" s="16"/>
      <c r="W1241" s="1"/>
      <c r="X1241" s="1"/>
    </row>
    <row r="1242" spans="1:24">
      <c r="A1242" s="1"/>
      <c r="M1242" s="26"/>
      <c r="N1242" s="26"/>
      <c r="P1242" s="1"/>
      <c r="Q1242" s="1"/>
      <c r="R1242" s="1"/>
      <c r="S1242" s="1"/>
      <c r="T1242" s="1"/>
      <c r="U1242" s="1"/>
      <c r="V1242" s="16"/>
      <c r="W1242" s="1"/>
      <c r="X1242" s="1"/>
    </row>
    <row r="1243" spans="1:24">
      <c r="A1243" s="1"/>
      <c r="M1243" s="26"/>
      <c r="N1243" s="26"/>
      <c r="P1243" s="1"/>
      <c r="Q1243" s="1"/>
      <c r="R1243" s="1"/>
      <c r="S1243" s="1"/>
      <c r="T1243" s="1"/>
      <c r="U1243" s="1"/>
      <c r="V1243" s="16"/>
      <c r="W1243" s="1"/>
      <c r="X1243" s="1"/>
    </row>
    <row r="1244" spans="1:24">
      <c r="A1244" s="1"/>
      <c r="M1244" s="26"/>
      <c r="N1244" s="26"/>
      <c r="P1244" s="1"/>
      <c r="Q1244" s="1"/>
      <c r="R1244" s="1"/>
      <c r="S1244" s="1"/>
      <c r="T1244" s="1"/>
      <c r="U1244" s="1"/>
      <c r="V1244" s="16"/>
      <c r="W1244" s="1"/>
      <c r="X1244" s="1"/>
    </row>
    <row r="1245" spans="1:24">
      <c r="A1245" s="1"/>
      <c r="M1245" s="26"/>
      <c r="N1245" s="26"/>
      <c r="P1245" s="1"/>
      <c r="Q1245" s="1"/>
      <c r="R1245" s="1"/>
      <c r="S1245" s="1"/>
      <c r="T1245" s="1"/>
      <c r="U1245" s="1"/>
      <c r="V1245" s="16"/>
      <c r="W1245" s="1"/>
      <c r="X1245" s="1"/>
    </row>
    <row r="1246" spans="1:24">
      <c r="A1246" s="1"/>
      <c r="M1246" s="26"/>
      <c r="N1246" s="26"/>
      <c r="P1246" s="1"/>
      <c r="Q1246" s="1"/>
      <c r="R1246" s="1"/>
      <c r="S1246" s="1"/>
      <c r="T1246" s="1"/>
      <c r="U1246" s="1"/>
      <c r="V1246" s="16"/>
      <c r="W1246" s="1"/>
      <c r="X1246" s="1"/>
    </row>
    <row r="1247" spans="1:24">
      <c r="A1247" s="1"/>
      <c r="M1247" s="26"/>
      <c r="N1247" s="26"/>
      <c r="P1247" s="1"/>
      <c r="Q1247" s="1"/>
      <c r="R1247" s="1"/>
      <c r="S1247" s="1"/>
      <c r="T1247" s="1"/>
      <c r="U1247" s="1"/>
      <c r="V1247" s="16"/>
      <c r="W1247" s="1"/>
      <c r="X1247" s="1"/>
    </row>
    <row r="1248" spans="1:24">
      <c r="A1248" s="1"/>
      <c r="M1248" s="26"/>
      <c r="N1248" s="26"/>
      <c r="P1248" s="1"/>
      <c r="Q1248" s="1"/>
      <c r="R1248" s="1"/>
      <c r="S1248" s="1"/>
      <c r="T1248" s="1"/>
      <c r="U1248" s="1"/>
      <c r="V1248" s="16"/>
      <c r="W1248" s="1"/>
      <c r="X1248" s="1"/>
    </row>
    <row r="1249" spans="1:24">
      <c r="A1249" s="1"/>
      <c r="M1249" s="26"/>
      <c r="N1249" s="26"/>
      <c r="P1249" s="1"/>
      <c r="Q1249" s="1"/>
      <c r="R1249" s="1"/>
      <c r="S1249" s="1"/>
      <c r="T1249" s="1"/>
      <c r="U1249" s="1"/>
      <c r="V1249" s="16"/>
      <c r="W1249" s="1"/>
      <c r="X1249" s="1"/>
    </row>
    <row r="1250" spans="1:24">
      <c r="A1250" s="1"/>
      <c r="M1250" s="26"/>
      <c r="N1250" s="26"/>
      <c r="P1250" s="1"/>
      <c r="Q1250" s="1"/>
      <c r="R1250" s="1"/>
      <c r="S1250" s="1"/>
      <c r="T1250" s="1"/>
      <c r="U1250" s="1"/>
      <c r="V1250" s="16"/>
      <c r="W1250" s="1"/>
      <c r="X1250" s="1"/>
    </row>
    <row r="1251" spans="1:24">
      <c r="A1251" s="1"/>
      <c r="M1251" s="26"/>
      <c r="N1251" s="26"/>
      <c r="P1251" s="1"/>
      <c r="Q1251" s="1"/>
      <c r="R1251" s="1"/>
      <c r="S1251" s="1"/>
      <c r="T1251" s="1"/>
      <c r="U1251" s="1"/>
      <c r="V1251" s="16"/>
      <c r="W1251" s="1"/>
      <c r="X1251" s="1"/>
    </row>
    <row r="1252" spans="1:24">
      <c r="A1252" s="1"/>
      <c r="M1252" s="26"/>
      <c r="N1252" s="26"/>
      <c r="P1252" s="1"/>
      <c r="Q1252" s="1"/>
      <c r="R1252" s="1"/>
      <c r="S1252" s="1"/>
      <c r="T1252" s="1"/>
      <c r="U1252" s="1"/>
      <c r="V1252" s="16"/>
      <c r="W1252" s="1"/>
      <c r="X1252" s="1"/>
    </row>
    <row r="1253" spans="1:24">
      <c r="A1253" s="1"/>
      <c r="M1253" s="26"/>
      <c r="N1253" s="26"/>
      <c r="P1253" s="1"/>
      <c r="Q1253" s="1"/>
      <c r="R1253" s="1"/>
      <c r="S1253" s="1"/>
      <c r="T1253" s="1"/>
      <c r="U1253" s="1"/>
      <c r="V1253" s="16"/>
      <c r="W1253" s="1"/>
      <c r="X1253" s="1"/>
    </row>
    <row r="1254" spans="1:24">
      <c r="A1254" s="1"/>
      <c r="M1254" s="26"/>
      <c r="N1254" s="26"/>
      <c r="P1254" s="1"/>
      <c r="Q1254" s="1"/>
      <c r="R1254" s="1"/>
      <c r="S1254" s="1"/>
      <c r="T1254" s="1"/>
      <c r="U1254" s="1"/>
      <c r="V1254" s="16"/>
      <c r="W1254" s="1"/>
      <c r="X1254" s="1"/>
    </row>
    <row r="1255" spans="1:24">
      <c r="A1255" s="1"/>
      <c r="M1255" s="26"/>
      <c r="N1255" s="26"/>
      <c r="P1255" s="1"/>
      <c r="Q1255" s="1"/>
      <c r="R1255" s="1"/>
      <c r="S1255" s="1"/>
      <c r="T1255" s="1"/>
      <c r="U1255" s="1"/>
      <c r="V1255" s="16"/>
      <c r="W1255" s="1"/>
      <c r="X1255" s="1"/>
    </row>
    <row r="1256" spans="1:24">
      <c r="A1256" s="1"/>
      <c r="M1256" s="26"/>
      <c r="N1256" s="26"/>
      <c r="P1256" s="1"/>
      <c r="Q1256" s="1"/>
      <c r="R1256" s="1"/>
      <c r="S1256" s="1"/>
      <c r="T1256" s="1"/>
      <c r="U1256" s="1"/>
      <c r="V1256" s="16"/>
      <c r="W1256" s="1"/>
      <c r="X1256" s="1"/>
    </row>
    <row r="1257" spans="1:24">
      <c r="A1257" s="1"/>
      <c r="M1257" s="26"/>
      <c r="N1257" s="26"/>
      <c r="P1257" s="1"/>
      <c r="Q1257" s="1"/>
      <c r="R1257" s="1"/>
      <c r="S1257" s="1"/>
      <c r="T1257" s="1"/>
      <c r="U1257" s="1"/>
      <c r="V1257" s="16"/>
      <c r="W1257" s="1"/>
      <c r="X1257" s="1"/>
    </row>
    <row r="1258" spans="1:24">
      <c r="A1258" s="1"/>
      <c r="M1258" s="26"/>
      <c r="N1258" s="26"/>
      <c r="P1258" s="1"/>
      <c r="Q1258" s="1"/>
      <c r="R1258" s="1"/>
      <c r="S1258" s="1"/>
      <c r="T1258" s="1"/>
      <c r="U1258" s="1"/>
      <c r="V1258" s="16"/>
      <c r="W1258" s="1"/>
      <c r="X1258" s="1"/>
    </row>
    <row r="1259" spans="1:24">
      <c r="A1259" s="1"/>
      <c r="M1259" s="26"/>
      <c r="N1259" s="26"/>
      <c r="P1259" s="1"/>
      <c r="Q1259" s="1"/>
      <c r="R1259" s="1"/>
      <c r="S1259" s="1"/>
      <c r="T1259" s="1"/>
      <c r="U1259" s="1"/>
      <c r="V1259" s="16"/>
      <c r="W1259" s="1"/>
      <c r="X1259" s="1"/>
    </row>
    <row r="1260" spans="1:24">
      <c r="A1260" s="1"/>
      <c r="M1260" s="26"/>
      <c r="N1260" s="26"/>
      <c r="P1260" s="1"/>
      <c r="Q1260" s="1"/>
      <c r="R1260" s="1"/>
      <c r="S1260" s="1"/>
      <c r="T1260" s="1"/>
      <c r="U1260" s="1"/>
      <c r="V1260" s="16"/>
      <c r="W1260" s="1"/>
      <c r="X1260" s="1"/>
    </row>
    <row r="1261" spans="1:24">
      <c r="A1261" s="1"/>
      <c r="M1261" s="26"/>
      <c r="N1261" s="26"/>
      <c r="P1261" s="1"/>
      <c r="Q1261" s="1"/>
      <c r="R1261" s="1"/>
      <c r="S1261" s="1"/>
      <c r="T1261" s="1"/>
      <c r="U1261" s="1"/>
      <c r="V1261" s="16"/>
      <c r="W1261" s="1"/>
      <c r="X1261" s="1"/>
    </row>
    <row r="1262" spans="1:24">
      <c r="A1262" s="1"/>
      <c r="M1262" s="26"/>
      <c r="N1262" s="26"/>
      <c r="P1262" s="1"/>
      <c r="Q1262" s="1"/>
      <c r="R1262" s="1"/>
      <c r="S1262" s="1"/>
      <c r="T1262" s="1"/>
      <c r="U1262" s="1"/>
      <c r="V1262" s="16"/>
      <c r="W1262" s="1"/>
      <c r="X1262" s="1"/>
    </row>
    <row r="1263" spans="1:24">
      <c r="A1263" s="1"/>
      <c r="M1263" s="26"/>
      <c r="N1263" s="26"/>
      <c r="P1263" s="1"/>
      <c r="Q1263" s="1"/>
      <c r="R1263" s="1"/>
      <c r="S1263" s="1"/>
      <c r="T1263" s="1"/>
      <c r="U1263" s="1"/>
      <c r="V1263" s="16"/>
      <c r="W1263" s="1"/>
      <c r="X1263" s="1"/>
    </row>
    <row r="1264" spans="1:24">
      <c r="A1264" s="1"/>
      <c r="M1264" s="26"/>
      <c r="N1264" s="26"/>
      <c r="P1264" s="1"/>
      <c r="Q1264" s="1"/>
      <c r="R1264" s="1"/>
      <c r="S1264" s="1"/>
      <c r="T1264" s="1"/>
      <c r="U1264" s="1"/>
      <c r="V1264" s="16"/>
      <c r="W1264" s="1"/>
      <c r="X1264" s="1"/>
    </row>
    <row r="1265" spans="1:24">
      <c r="A1265" s="1"/>
      <c r="M1265" s="26"/>
      <c r="N1265" s="26"/>
      <c r="P1265" s="1"/>
      <c r="Q1265" s="1"/>
      <c r="R1265" s="1"/>
      <c r="S1265" s="1"/>
      <c r="T1265" s="1"/>
      <c r="U1265" s="1"/>
      <c r="V1265" s="16"/>
      <c r="W1265" s="1"/>
      <c r="X1265" s="1"/>
    </row>
    <row r="1266" spans="1:24">
      <c r="A1266" s="1"/>
      <c r="M1266" s="26"/>
      <c r="N1266" s="26"/>
      <c r="P1266" s="1"/>
      <c r="Q1266" s="1"/>
      <c r="R1266" s="1"/>
      <c r="S1266" s="1"/>
      <c r="T1266" s="1"/>
      <c r="U1266" s="1"/>
      <c r="V1266" s="16"/>
      <c r="W1266" s="1"/>
      <c r="X1266" s="1"/>
    </row>
    <row r="1267" spans="1:24">
      <c r="A1267" s="1"/>
      <c r="M1267" s="26"/>
      <c r="N1267" s="26"/>
      <c r="P1267" s="1"/>
      <c r="Q1267" s="1"/>
      <c r="R1267" s="1"/>
      <c r="S1267" s="1"/>
      <c r="T1267" s="1"/>
      <c r="U1267" s="1"/>
      <c r="V1267" s="16"/>
      <c r="W1267" s="1"/>
      <c r="X1267" s="1"/>
    </row>
    <row r="1268" spans="1:24">
      <c r="A1268" s="1"/>
      <c r="M1268" s="26"/>
      <c r="N1268" s="26"/>
      <c r="P1268" s="1"/>
      <c r="Q1268" s="1"/>
      <c r="R1268" s="1"/>
      <c r="S1268" s="1"/>
      <c r="T1268" s="1"/>
      <c r="U1268" s="1"/>
      <c r="V1268" s="16"/>
      <c r="W1268" s="1"/>
      <c r="X1268" s="1"/>
    </row>
    <row r="1269" spans="1:24">
      <c r="A1269" s="1"/>
      <c r="M1269" s="26"/>
      <c r="N1269" s="26"/>
      <c r="P1269" s="1"/>
      <c r="Q1269" s="1"/>
      <c r="R1269" s="1"/>
      <c r="S1269" s="1"/>
      <c r="T1269" s="1"/>
      <c r="U1269" s="1"/>
      <c r="V1269" s="16"/>
      <c r="W1269" s="1"/>
      <c r="X1269" s="1"/>
    </row>
    <row r="1270" spans="1:24">
      <c r="A1270" s="1"/>
      <c r="M1270" s="26"/>
      <c r="N1270" s="26"/>
      <c r="P1270" s="1"/>
      <c r="Q1270" s="1"/>
      <c r="R1270" s="1"/>
      <c r="S1270" s="1"/>
      <c r="T1270" s="1"/>
      <c r="U1270" s="1"/>
      <c r="V1270" s="16"/>
      <c r="W1270" s="1"/>
      <c r="X1270" s="1"/>
    </row>
    <row r="1271" spans="1:24">
      <c r="A1271" s="1"/>
      <c r="M1271" s="26"/>
      <c r="N1271" s="26"/>
      <c r="P1271" s="1"/>
      <c r="Q1271" s="1"/>
      <c r="R1271" s="1"/>
      <c r="S1271" s="1"/>
      <c r="T1271" s="1"/>
      <c r="U1271" s="1"/>
      <c r="V1271" s="16"/>
      <c r="W1271" s="1"/>
      <c r="X1271" s="1"/>
    </row>
    <row r="1272" spans="1:24">
      <c r="A1272" s="1"/>
      <c r="M1272" s="26"/>
      <c r="N1272" s="26"/>
      <c r="P1272" s="1"/>
      <c r="Q1272" s="1"/>
      <c r="R1272" s="1"/>
      <c r="S1272" s="1"/>
      <c r="T1272" s="1"/>
      <c r="U1272" s="1"/>
      <c r="V1272" s="16"/>
      <c r="W1272" s="1"/>
      <c r="X1272" s="1"/>
    </row>
    <row r="1273" spans="1:24">
      <c r="A1273" s="1"/>
      <c r="M1273" s="26"/>
      <c r="N1273" s="26"/>
      <c r="P1273" s="1"/>
      <c r="Q1273" s="1"/>
      <c r="R1273" s="1"/>
      <c r="S1273" s="1"/>
      <c r="T1273" s="1"/>
      <c r="U1273" s="1"/>
      <c r="V1273" s="16"/>
      <c r="W1273" s="1"/>
      <c r="X1273" s="1"/>
    </row>
    <row r="1274" spans="1:24">
      <c r="A1274" s="1"/>
      <c r="M1274" s="26"/>
      <c r="N1274" s="26"/>
      <c r="P1274" s="1"/>
      <c r="Q1274" s="1"/>
      <c r="R1274" s="1"/>
      <c r="S1274" s="1"/>
      <c r="T1274" s="1"/>
      <c r="U1274" s="1"/>
      <c r="V1274" s="16"/>
      <c r="W1274" s="1"/>
      <c r="X1274" s="1"/>
    </row>
    <row r="1275" spans="1:24">
      <c r="A1275" s="1"/>
      <c r="M1275" s="26"/>
      <c r="N1275" s="26"/>
      <c r="P1275" s="1"/>
      <c r="Q1275" s="1"/>
      <c r="R1275" s="1"/>
      <c r="S1275" s="1"/>
      <c r="T1275" s="1"/>
      <c r="U1275" s="1"/>
      <c r="V1275" s="16"/>
      <c r="W1275" s="1"/>
      <c r="X1275" s="1"/>
    </row>
    <row r="1276" spans="1:24">
      <c r="A1276" s="1"/>
      <c r="M1276" s="26"/>
      <c r="N1276" s="26"/>
      <c r="P1276" s="1"/>
      <c r="Q1276" s="1"/>
      <c r="R1276" s="1"/>
      <c r="S1276" s="1"/>
      <c r="T1276" s="1"/>
      <c r="U1276" s="1"/>
      <c r="V1276" s="16"/>
      <c r="W1276" s="1"/>
      <c r="X1276" s="1"/>
    </row>
    <row r="1277" spans="1:24">
      <c r="A1277" s="1"/>
      <c r="M1277" s="26"/>
      <c r="N1277" s="26"/>
      <c r="P1277" s="1"/>
      <c r="Q1277" s="1"/>
      <c r="R1277" s="1"/>
      <c r="S1277" s="1"/>
      <c r="T1277" s="1"/>
      <c r="U1277" s="1"/>
      <c r="V1277" s="16"/>
      <c r="W1277" s="1"/>
      <c r="X1277" s="1"/>
    </row>
    <row r="1278" spans="1:24">
      <c r="A1278" s="1"/>
      <c r="M1278" s="26"/>
      <c r="N1278" s="26"/>
      <c r="P1278" s="1"/>
      <c r="Q1278" s="1"/>
      <c r="R1278" s="1"/>
      <c r="S1278" s="1"/>
      <c r="T1278" s="1"/>
      <c r="U1278" s="1"/>
      <c r="V1278" s="16"/>
      <c r="W1278" s="1"/>
      <c r="X1278" s="1"/>
    </row>
    <row r="1279" spans="1:24">
      <c r="A1279" s="1"/>
      <c r="M1279" s="26"/>
      <c r="N1279" s="26"/>
      <c r="P1279" s="1"/>
      <c r="Q1279" s="1"/>
      <c r="R1279" s="1"/>
      <c r="S1279" s="1"/>
      <c r="T1279" s="1"/>
      <c r="U1279" s="1"/>
      <c r="V1279" s="16"/>
      <c r="W1279" s="1"/>
      <c r="X1279" s="1"/>
    </row>
    <row r="1280" spans="1:24">
      <c r="A1280" s="1"/>
      <c r="M1280" s="26"/>
      <c r="N1280" s="26"/>
      <c r="P1280" s="1"/>
      <c r="Q1280" s="1"/>
      <c r="R1280" s="1"/>
      <c r="S1280" s="1"/>
      <c r="T1280" s="1"/>
      <c r="U1280" s="1"/>
      <c r="V1280" s="16"/>
      <c r="W1280" s="1"/>
      <c r="X1280" s="1"/>
    </row>
    <row r="1281" spans="1:24">
      <c r="A1281" s="1"/>
      <c r="M1281" s="26"/>
      <c r="N1281" s="26"/>
      <c r="P1281" s="1"/>
      <c r="Q1281" s="1"/>
      <c r="R1281" s="1"/>
      <c r="S1281" s="1"/>
      <c r="T1281" s="1"/>
      <c r="U1281" s="1"/>
      <c r="V1281" s="16"/>
      <c r="W1281" s="1"/>
      <c r="X1281" s="1"/>
    </row>
    <row r="1282" spans="1:24">
      <c r="A1282" s="1"/>
      <c r="M1282" s="26"/>
      <c r="N1282" s="26"/>
      <c r="P1282" s="1"/>
      <c r="Q1282" s="1"/>
      <c r="R1282" s="1"/>
      <c r="S1282" s="1"/>
      <c r="T1282" s="1"/>
      <c r="U1282" s="1"/>
      <c r="V1282" s="16"/>
      <c r="W1282" s="1"/>
      <c r="X1282" s="1"/>
    </row>
    <row r="1283" spans="1:24">
      <c r="A1283" s="1"/>
      <c r="M1283" s="26"/>
      <c r="N1283" s="26"/>
      <c r="P1283" s="1"/>
      <c r="Q1283" s="1"/>
      <c r="R1283" s="1"/>
      <c r="S1283" s="1"/>
      <c r="T1283" s="1"/>
      <c r="U1283" s="1"/>
      <c r="V1283" s="16"/>
      <c r="W1283" s="1"/>
      <c r="X1283" s="1"/>
    </row>
    <row r="1284" spans="1:24">
      <c r="A1284" s="1"/>
      <c r="M1284" s="26"/>
      <c r="N1284" s="26"/>
      <c r="P1284" s="1"/>
      <c r="Q1284" s="1"/>
      <c r="R1284" s="1"/>
      <c r="S1284" s="1"/>
      <c r="T1284" s="1"/>
      <c r="U1284" s="1"/>
      <c r="V1284" s="16"/>
      <c r="W1284" s="1"/>
      <c r="X1284" s="1"/>
    </row>
    <row r="1285" spans="1:24">
      <c r="A1285" s="1"/>
      <c r="M1285" s="26"/>
      <c r="N1285" s="26"/>
      <c r="P1285" s="1"/>
      <c r="Q1285" s="1"/>
      <c r="R1285" s="1"/>
      <c r="S1285" s="1"/>
      <c r="T1285" s="1"/>
      <c r="U1285" s="1"/>
      <c r="V1285" s="16"/>
      <c r="W1285" s="1"/>
      <c r="X1285" s="1"/>
    </row>
    <row r="1286" spans="1:24">
      <c r="A1286" s="1"/>
      <c r="M1286" s="26"/>
      <c r="N1286" s="26"/>
      <c r="P1286" s="1"/>
      <c r="Q1286" s="1"/>
      <c r="R1286" s="1"/>
      <c r="S1286" s="1"/>
      <c r="T1286" s="1"/>
      <c r="U1286" s="1"/>
      <c r="V1286" s="16"/>
      <c r="W1286" s="1"/>
      <c r="X1286" s="1"/>
    </row>
    <row r="1287" spans="1:24">
      <c r="A1287" s="1"/>
      <c r="M1287" s="26"/>
      <c r="N1287" s="26"/>
      <c r="P1287" s="1"/>
      <c r="Q1287" s="1"/>
      <c r="R1287" s="1"/>
      <c r="S1287" s="1"/>
      <c r="T1287" s="1"/>
      <c r="U1287" s="1"/>
      <c r="V1287" s="16"/>
      <c r="W1287" s="1"/>
      <c r="X1287" s="1"/>
    </row>
    <row r="1288" spans="1:24">
      <c r="A1288" s="1"/>
      <c r="M1288" s="26"/>
      <c r="N1288" s="26"/>
      <c r="P1288" s="1"/>
      <c r="Q1288" s="1"/>
      <c r="R1288" s="1"/>
      <c r="S1288" s="1"/>
      <c r="T1288" s="1"/>
      <c r="U1288" s="1"/>
      <c r="V1288" s="16"/>
      <c r="W1288" s="1"/>
      <c r="X1288" s="1"/>
    </row>
    <row r="1289" spans="1:24">
      <c r="A1289" s="1"/>
      <c r="M1289" s="26"/>
      <c r="N1289" s="26"/>
      <c r="P1289" s="1"/>
      <c r="Q1289" s="1"/>
      <c r="R1289" s="1"/>
      <c r="S1289" s="1"/>
      <c r="T1289" s="1"/>
      <c r="U1289" s="1"/>
      <c r="V1289" s="16"/>
      <c r="W1289" s="1"/>
      <c r="X1289" s="1"/>
    </row>
    <row r="1290" spans="1:24">
      <c r="A1290" s="1"/>
      <c r="M1290" s="26"/>
      <c r="N1290" s="26"/>
      <c r="P1290" s="1"/>
      <c r="Q1290" s="1"/>
      <c r="R1290" s="1"/>
      <c r="S1290" s="1"/>
      <c r="T1290" s="1"/>
      <c r="U1290" s="1"/>
      <c r="V1290" s="16"/>
      <c r="W1290" s="1"/>
      <c r="X1290" s="1"/>
    </row>
    <row r="1291" spans="1:24">
      <c r="A1291" s="1"/>
      <c r="M1291" s="26"/>
      <c r="N1291" s="26"/>
      <c r="P1291" s="1"/>
      <c r="Q1291" s="1"/>
      <c r="R1291" s="1"/>
      <c r="S1291" s="1"/>
      <c r="T1291" s="1"/>
      <c r="U1291" s="1"/>
      <c r="V1291" s="16"/>
      <c r="W1291" s="1"/>
      <c r="X1291" s="1"/>
    </row>
    <row r="1292" spans="1:24">
      <c r="A1292" s="1"/>
      <c r="M1292" s="26"/>
      <c r="N1292" s="26"/>
      <c r="P1292" s="1"/>
      <c r="Q1292" s="1"/>
      <c r="R1292" s="1"/>
      <c r="S1292" s="1"/>
      <c r="T1292" s="1"/>
      <c r="U1292" s="1"/>
      <c r="V1292" s="16"/>
      <c r="W1292" s="1"/>
      <c r="X1292" s="1"/>
    </row>
    <row r="1293" spans="1:24">
      <c r="A1293" s="1"/>
      <c r="M1293" s="26"/>
      <c r="N1293" s="26"/>
      <c r="P1293" s="1"/>
      <c r="Q1293" s="1"/>
      <c r="R1293" s="1"/>
      <c r="S1293" s="1"/>
      <c r="T1293" s="1"/>
      <c r="U1293" s="1"/>
      <c r="V1293" s="16"/>
      <c r="W1293" s="1"/>
      <c r="X1293" s="1"/>
    </row>
    <row r="1294" spans="1:24">
      <c r="A1294" s="1"/>
      <c r="M1294" s="26"/>
      <c r="N1294" s="26"/>
      <c r="P1294" s="1"/>
      <c r="Q1294" s="1"/>
      <c r="R1294" s="1"/>
      <c r="S1294" s="1"/>
      <c r="T1294" s="1"/>
      <c r="U1294" s="1"/>
      <c r="V1294" s="16"/>
      <c r="W1294" s="1"/>
      <c r="X1294" s="1"/>
    </row>
    <row r="1295" spans="1:24">
      <c r="A1295" s="1"/>
      <c r="M1295" s="26"/>
      <c r="N1295" s="26"/>
      <c r="P1295" s="1"/>
      <c r="Q1295" s="1"/>
      <c r="R1295" s="1"/>
      <c r="S1295" s="1"/>
      <c r="T1295" s="1"/>
      <c r="U1295" s="1"/>
      <c r="V1295" s="16"/>
      <c r="W1295" s="1"/>
      <c r="X1295" s="1"/>
    </row>
    <row r="1296" spans="1:24">
      <c r="A1296" s="1"/>
      <c r="M1296" s="26"/>
      <c r="N1296" s="26"/>
      <c r="P1296" s="1"/>
      <c r="Q1296" s="1"/>
      <c r="R1296" s="1"/>
      <c r="S1296" s="1"/>
      <c r="T1296" s="1"/>
      <c r="U1296" s="1"/>
      <c r="V1296" s="16"/>
      <c r="W1296" s="1"/>
      <c r="X1296" s="1"/>
    </row>
    <row r="1297" spans="1:24">
      <c r="A1297" s="1"/>
      <c r="M1297" s="26"/>
      <c r="N1297" s="26"/>
      <c r="P1297" s="1"/>
      <c r="Q1297" s="1"/>
      <c r="R1297" s="1"/>
      <c r="S1297" s="1"/>
      <c r="T1297" s="1"/>
      <c r="U1297" s="1"/>
      <c r="V1297" s="16"/>
      <c r="W1297" s="1"/>
      <c r="X1297" s="1"/>
    </row>
    <row r="1298" spans="1:24">
      <c r="A1298" s="1"/>
      <c r="M1298" s="26"/>
      <c r="N1298" s="26"/>
      <c r="P1298" s="1"/>
      <c r="Q1298" s="1"/>
      <c r="R1298" s="1"/>
      <c r="S1298" s="1"/>
      <c r="T1298" s="1"/>
      <c r="U1298" s="1"/>
      <c r="V1298" s="16"/>
      <c r="W1298" s="1"/>
      <c r="X1298" s="1"/>
    </row>
    <row r="1299" spans="1:24">
      <c r="A1299" s="1"/>
      <c r="M1299" s="26"/>
      <c r="N1299" s="26"/>
      <c r="P1299" s="1"/>
      <c r="Q1299" s="1"/>
      <c r="R1299" s="1"/>
      <c r="S1299" s="1"/>
      <c r="T1299" s="1"/>
      <c r="U1299" s="1"/>
      <c r="V1299" s="16"/>
      <c r="W1299" s="1"/>
      <c r="X1299" s="1"/>
    </row>
    <row r="1300" spans="1:24">
      <c r="A1300" s="1"/>
      <c r="M1300" s="26"/>
      <c r="N1300" s="26"/>
      <c r="P1300" s="1"/>
      <c r="Q1300" s="1"/>
      <c r="R1300" s="1"/>
      <c r="S1300" s="1"/>
      <c r="T1300" s="1"/>
      <c r="U1300" s="1"/>
      <c r="V1300" s="16"/>
      <c r="W1300" s="1"/>
      <c r="X1300" s="1"/>
    </row>
    <row r="1301" spans="1:24">
      <c r="A1301" s="1"/>
      <c r="M1301" s="26"/>
      <c r="N1301" s="26"/>
      <c r="P1301" s="1"/>
      <c r="Q1301" s="1"/>
      <c r="R1301" s="1"/>
      <c r="S1301" s="1"/>
      <c r="T1301" s="1"/>
      <c r="U1301" s="1"/>
      <c r="V1301" s="16"/>
      <c r="W1301" s="1"/>
      <c r="X1301" s="1"/>
    </row>
    <row r="1302" spans="1:24">
      <c r="A1302" s="1"/>
      <c r="M1302" s="26"/>
      <c r="N1302" s="26"/>
      <c r="P1302" s="1"/>
      <c r="Q1302" s="1"/>
      <c r="R1302" s="1"/>
      <c r="S1302" s="1"/>
      <c r="T1302" s="1"/>
      <c r="U1302" s="1"/>
      <c r="V1302" s="16"/>
      <c r="W1302" s="1"/>
      <c r="X1302" s="1"/>
    </row>
    <row r="1303" spans="1:24">
      <c r="A1303" s="1"/>
      <c r="M1303" s="26"/>
      <c r="N1303" s="26"/>
      <c r="P1303" s="1"/>
      <c r="Q1303" s="1"/>
      <c r="R1303" s="1"/>
      <c r="S1303" s="1"/>
      <c r="T1303" s="1"/>
      <c r="U1303" s="1"/>
      <c r="V1303" s="16"/>
      <c r="W1303" s="1"/>
      <c r="X1303" s="1"/>
    </row>
    <row r="1304" spans="1:24">
      <c r="A1304" s="1"/>
      <c r="M1304" s="26"/>
      <c r="N1304" s="26"/>
      <c r="P1304" s="1"/>
      <c r="Q1304" s="1"/>
      <c r="R1304" s="1"/>
      <c r="S1304" s="1"/>
      <c r="T1304" s="1"/>
      <c r="U1304" s="1"/>
      <c r="V1304" s="16"/>
      <c r="W1304" s="1"/>
      <c r="X1304" s="1"/>
    </row>
    <row r="1305" spans="1:24">
      <c r="A1305" s="1"/>
      <c r="M1305" s="26"/>
      <c r="N1305" s="26"/>
      <c r="P1305" s="1"/>
      <c r="Q1305" s="1"/>
      <c r="R1305" s="1"/>
      <c r="S1305" s="1"/>
      <c r="T1305" s="1"/>
      <c r="U1305" s="1"/>
      <c r="V1305" s="16"/>
      <c r="W1305" s="1"/>
      <c r="X1305" s="1"/>
    </row>
    <row r="1306" spans="1:24">
      <c r="A1306" s="1"/>
      <c r="M1306" s="26"/>
      <c r="N1306" s="26"/>
      <c r="P1306" s="1"/>
      <c r="Q1306" s="1"/>
      <c r="R1306" s="1"/>
      <c r="S1306" s="1"/>
      <c r="T1306" s="1"/>
      <c r="U1306" s="1"/>
      <c r="V1306" s="16"/>
      <c r="W1306" s="1"/>
      <c r="X1306" s="1"/>
    </row>
    <row r="1307" spans="1:24">
      <c r="A1307" s="1"/>
      <c r="M1307" s="26"/>
      <c r="N1307" s="26"/>
      <c r="P1307" s="1"/>
      <c r="Q1307" s="1"/>
      <c r="R1307" s="1"/>
      <c r="S1307" s="1"/>
      <c r="T1307" s="1"/>
      <c r="U1307" s="1"/>
      <c r="V1307" s="16"/>
      <c r="W1307" s="1"/>
      <c r="X1307" s="1"/>
    </row>
    <row r="1308" spans="1:24">
      <c r="A1308" s="1"/>
      <c r="M1308" s="26"/>
      <c r="N1308" s="26"/>
      <c r="P1308" s="1"/>
      <c r="Q1308" s="1"/>
      <c r="R1308" s="1"/>
      <c r="S1308" s="1"/>
      <c r="T1308" s="1"/>
      <c r="U1308" s="1"/>
      <c r="V1308" s="16"/>
      <c r="W1308" s="1"/>
      <c r="X1308" s="1"/>
    </row>
    <row r="1309" spans="1:24">
      <c r="A1309" s="1"/>
      <c r="M1309" s="26"/>
      <c r="N1309" s="26"/>
      <c r="P1309" s="1"/>
      <c r="Q1309" s="1"/>
      <c r="R1309" s="1"/>
      <c r="S1309" s="1"/>
      <c r="T1309" s="1"/>
      <c r="U1309" s="1"/>
      <c r="V1309" s="16"/>
      <c r="W1309" s="1"/>
      <c r="X1309" s="1"/>
    </row>
    <row r="1310" spans="1:24">
      <c r="A1310" s="1"/>
      <c r="M1310" s="26"/>
      <c r="N1310" s="26"/>
      <c r="P1310" s="1"/>
      <c r="Q1310" s="1"/>
      <c r="R1310" s="1"/>
      <c r="S1310" s="1"/>
      <c r="T1310" s="1"/>
      <c r="U1310" s="1"/>
      <c r="V1310" s="16"/>
      <c r="W1310" s="1"/>
      <c r="X1310" s="1"/>
    </row>
    <row r="1311" spans="1:24">
      <c r="A1311" s="1"/>
      <c r="M1311" s="26"/>
      <c r="N1311" s="26"/>
      <c r="P1311" s="1"/>
      <c r="Q1311" s="1"/>
      <c r="R1311" s="1"/>
      <c r="S1311" s="1"/>
      <c r="T1311" s="1"/>
      <c r="U1311" s="1"/>
      <c r="V1311" s="16"/>
      <c r="W1311" s="1"/>
      <c r="X1311" s="1"/>
    </row>
    <row r="1312" spans="1:24">
      <c r="A1312" s="1"/>
      <c r="M1312" s="26"/>
      <c r="N1312" s="26"/>
      <c r="P1312" s="1"/>
      <c r="Q1312" s="1"/>
      <c r="R1312" s="1"/>
      <c r="S1312" s="1"/>
      <c r="T1312" s="1"/>
      <c r="U1312" s="1"/>
      <c r="V1312" s="16"/>
      <c r="W1312" s="1"/>
      <c r="X1312" s="1"/>
    </row>
    <row r="1313" spans="1:24">
      <c r="A1313" s="1"/>
      <c r="M1313" s="26"/>
      <c r="N1313" s="26"/>
      <c r="P1313" s="1"/>
      <c r="Q1313" s="1"/>
      <c r="R1313" s="1"/>
      <c r="S1313" s="1"/>
      <c r="T1313" s="1"/>
      <c r="U1313" s="1"/>
      <c r="V1313" s="16"/>
      <c r="W1313" s="1"/>
      <c r="X1313" s="1"/>
    </row>
    <row r="1314" spans="1:24">
      <c r="A1314" s="1"/>
      <c r="M1314" s="26"/>
      <c r="N1314" s="26"/>
      <c r="P1314" s="1"/>
      <c r="Q1314" s="1"/>
      <c r="R1314" s="1"/>
      <c r="S1314" s="1"/>
      <c r="T1314" s="1"/>
      <c r="U1314" s="1"/>
      <c r="V1314" s="16"/>
      <c r="W1314" s="1"/>
      <c r="X1314" s="1"/>
    </row>
    <row r="1315" spans="1:24">
      <c r="A1315" s="1"/>
      <c r="M1315" s="26"/>
      <c r="N1315" s="26"/>
      <c r="P1315" s="1"/>
      <c r="Q1315" s="1"/>
      <c r="R1315" s="1"/>
      <c r="S1315" s="1"/>
      <c r="T1315" s="1"/>
      <c r="U1315" s="1"/>
      <c r="V1315" s="16"/>
      <c r="W1315" s="1"/>
      <c r="X1315" s="1"/>
    </row>
    <row r="1316" spans="1:24">
      <c r="A1316" s="1"/>
      <c r="M1316" s="26"/>
      <c r="N1316" s="26"/>
      <c r="P1316" s="1"/>
      <c r="Q1316" s="1"/>
      <c r="R1316" s="1"/>
      <c r="S1316" s="1"/>
      <c r="T1316" s="1"/>
      <c r="U1316" s="1"/>
      <c r="V1316" s="16"/>
      <c r="W1316" s="1"/>
      <c r="X1316" s="1"/>
    </row>
    <row r="1317" spans="1:24">
      <c r="A1317" s="1"/>
      <c r="M1317" s="26"/>
      <c r="N1317" s="26"/>
      <c r="P1317" s="1"/>
      <c r="Q1317" s="1"/>
      <c r="R1317" s="1"/>
      <c r="S1317" s="1"/>
      <c r="T1317" s="1"/>
      <c r="U1317" s="1"/>
      <c r="V1317" s="16"/>
      <c r="W1317" s="1"/>
      <c r="X1317" s="1"/>
    </row>
    <row r="1318" spans="1:24">
      <c r="A1318" s="1"/>
      <c r="M1318" s="26"/>
      <c r="N1318" s="26"/>
      <c r="P1318" s="1"/>
      <c r="Q1318" s="1"/>
      <c r="R1318" s="1"/>
      <c r="S1318" s="1"/>
      <c r="T1318" s="1"/>
      <c r="U1318" s="1"/>
      <c r="V1318" s="16"/>
      <c r="W1318" s="1"/>
      <c r="X1318" s="1"/>
    </row>
    <row r="1319" spans="1:24">
      <c r="A1319" s="1"/>
      <c r="M1319" s="26"/>
      <c r="N1319" s="26"/>
      <c r="P1319" s="1"/>
      <c r="Q1319" s="1"/>
      <c r="R1319" s="1"/>
      <c r="S1319" s="1"/>
      <c r="T1319" s="1"/>
      <c r="U1319" s="1"/>
      <c r="V1319" s="16"/>
      <c r="W1319" s="1"/>
      <c r="X1319" s="1"/>
    </row>
    <row r="1320" spans="1:24">
      <c r="A1320" s="1"/>
      <c r="M1320" s="26"/>
      <c r="N1320" s="26"/>
      <c r="P1320" s="1"/>
      <c r="Q1320" s="1"/>
      <c r="R1320" s="1"/>
      <c r="S1320" s="1"/>
      <c r="T1320" s="1"/>
      <c r="U1320" s="1"/>
      <c r="V1320" s="16"/>
      <c r="W1320" s="1"/>
      <c r="X1320" s="1"/>
    </row>
    <row r="1321" spans="1:24">
      <c r="A1321" s="1"/>
      <c r="M1321" s="26"/>
      <c r="N1321" s="26"/>
      <c r="P1321" s="1"/>
      <c r="Q1321" s="1"/>
      <c r="R1321" s="1"/>
      <c r="S1321" s="1"/>
      <c r="T1321" s="1"/>
      <c r="U1321" s="1"/>
      <c r="V1321" s="16"/>
      <c r="W1321" s="1"/>
      <c r="X1321" s="1"/>
    </row>
    <row r="1322" spans="1:24">
      <c r="A1322" s="1"/>
      <c r="M1322" s="26"/>
      <c r="N1322" s="26"/>
      <c r="P1322" s="1"/>
      <c r="Q1322" s="1"/>
      <c r="R1322" s="1"/>
      <c r="S1322" s="1"/>
      <c r="T1322" s="1"/>
      <c r="U1322" s="1"/>
      <c r="V1322" s="16"/>
      <c r="W1322" s="1"/>
      <c r="X1322" s="1"/>
    </row>
    <row r="1323" spans="1:24">
      <c r="A1323" s="1"/>
      <c r="M1323" s="26"/>
      <c r="N1323" s="26"/>
      <c r="P1323" s="1"/>
      <c r="Q1323" s="1"/>
      <c r="R1323" s="1"/>
      <c r="S1323" s="1"/>
      <c r="T1323" s="1"/>
      <c r="U1323" s="1"/>
      <c r="V1323" s="16"/>
      <c r="W1323" s="1"/>
      <c r="X1323" s="1"/>
    </row>
    <row r="1324" spans="1:24">
      <c r="A1324" s="1"/>
      <c r="M1324" s="26"/>
      <c r="N1324" s="26"/>
      <c r="P1324" s="1"/>
      <c r="Q1324" s="1"/>
      <c r="R1324" s="1"/>
      <c r="S1324" s="1"/>
      <c r="T1324" s="1"/>
      <c r="U1324" s="1"/>
      <c r="V1324" s="16"/>
      <c r="W1324" s="1"/>
      <c r="X1324" s="1"/>
    </row>
    <row r="1325" spans="1:24">
      <c r="A1325" s="1"/>
      <c r="M1325" s="26"/>
      <c r="N1325" s="26"/>
      <c r="P1325" s="1"/>
      <c r="Q1325" s="1"/>
      <c r="R1325" s="1"/>
      <c r="S1325" s="1"/>
      <c r="T1325" s="1"/>
      <c r="U1325" s="1"/>
      <c r="V1325" s="16"/>
      <c r="W1325" s="1"/>
      <c r="X1325" s="1"/>
    </row>
    <row r="1326" spans="1:24">
      <c r="A1326" s="1"/>
      <c r="M1326" s="26"/>
      <c r="N1326" s="26"/>
      <c r="P1326" s="1"/>
      <c r="Q1326" s="1"/>
      <c r="R1326" s="1"/>
      <c r="S1326" s="1"/>
      <c r="T1326" s="1"/>
      <c r="U1326" s="1"/>
      <c r="V1326" s="16"/>
      <c r="W1326" s="1"/>
      <c r="X1326" s="1"/>
    </row>
    <row r="1327" spans="1:24">
      <c r="A1327" s="1"/>
      <c r="M1327" s="26"/>
      <c r="N1327" s="26"/>
      <c r="P1327" s="1"/>
      <c r="Q1327" s="1"/>
      <c r="R1327" s="1"/>
      <c r="S1327" s="1"/>
      <c r="T1327" s="1"/>
      <c r="U1327" s="1"/>
      <c r="V1327" s="16"/>
      <c r="W1327" s="1"/>
      <c r="X1327" s="1"/>
    </row>
    <row r="1328" spans="1:24">
      <c r="A1328" s="1"/>
      <c r="M1328" s="26"/>
      <c r="N1328" s="26"/>
      <c r="P1328" s="1"/>
      <c r="Q1328" s="1"/>
      <c r="R1328" s="1"/>
      <c r="S1328" s="1"/>
      <c r="T1328" s="1"/>
      <c r="U1328" s="1"/>
      <c r="V1328" s="16"/>
      <c r="W1328" s="1"/>
      <c r="X1328" s="1"/>
    </row>
    <row r="1329" spans="1:24">
      <c r="A1329" s="1"/>
      <c r="M1329" s="26"/>
      <c r="N1329" s="26"/>
      <c r="P1329" s="1"/>
      <c r="Q1329" s="1"/>
      <c r="R1329" s="1"/>
      <c r="S1329" s="1"/>
      <c r="T1329" s="1"/>
      <c r="U1329" s="1"/>
      <c r="V1329" s="16"/>
      <c r="W1329" s="1"/>
      <c r="X1329" s="1"/>
    </row>
    <row r="1330" spans="1:24">
      <c r="A1330" s="1"/>
      <c r="M1330" s="26"/>
      <c r="N1330" s="26"/>
      <c r="P1330" s="1"/>
      <c r="Q1330" s="1"/>
      <c r="R1330" s="1"/>
      <c r="S1330" s="1"/>
      <c r="T1330" s="1"/>
      <c r="U1330" s="1"/>
      <c r="V1330" s="16"/>
      <c r="W1330" s="1"/>
      <c r="X1330" s="1"/>
    </row>
    <row r="1331" spans="1:24">
      <c r="A1331" s="1"/>
      <c r="M1331" s="26"/>
      <c r="N1331" s="26"/>
      <c r="P1331" s="1"/>
      <c r="Q1331" s="1"/>
      <c r="R1331" s="1"/>
      <c r="S1331" s="1"/>
      <c r="T1331" s="1"/>
      <c r="U1331" s="1"/>
      <c r="V1331" s="16"/>
      <c r="W1331" s="1"/>
      <c r="X1331" s="1"/>
    </row>
    <row r="1332" spans="1:24">
      <c r="A1332" s="1"/>
      <c r="M1332" s="26"/>
      <c r="N1332" s="26"/>
      <c r="P1332" s="1"/>
      <c r="Q1332" s="1"/>
      <c r="R1332" s="1"/>
      <c r="S1332" s="1"/>
      <c r="T1332" s="1"/>
      <c r="U1332" s="1"/>
      <c r="V1332" s="16"/>
      <c r="W1332" s="1"/>
      <c r="X1332" s="1"/>
    </row>
    <row r="1333" spans="1:24">
      <c r="A1333" s="1"/>
      <c r="M1333" s="26"/>
      <c r="N1333" s="26"/>
      <c r="P1333" s="1"/>
      <c r="Q1333" s="1"/>
      <c r="R1333" s="1"/>
      <c r="S1333" s="1"/>
      <c r="T1333" s="1"/>
      <c r="U1333" s="1"/>
      <c r="V1333" s="16"/>
      <c r="W1333" s="1"/>
      <c r="X1333" s="1"/>
    </row>
    <row r="1334" spans="1:24">
      <c r="A1334" s="1"/>
      <c r="M1334" s="26"/>
      <c r="N1334" s="26"/>
      <c r="P1334" s="1"/>
      <c r="Q1334" s="1"/>
      <c r="R1334" s="1"/>
      <c r="S1334" s="1"/>
      <c r="T1334" s="1"/>
      <c r="U1334" s="1"/>
      <c r="V1334" s="16"/>
      <c r="W1334" s="1"/>
      <c r="X1334" s="1"/>
    </row>
    <row r="1335" spans="1:24">
      <c r="A1335" s="1"/>
      <c r="M1335" s="26"/>
      <c r="N1335" s="26"/>
      <c r="P1335" s="1"/>
      <c r="Q1335" s="1"/>
      <c r="R1335" s="1"/>
      <c r="S1335" s="1"/>
      <c r="T1335" s="1"/>
      <c r="U1335" s="1"/>
      <c r="V1335" s="16"/>
      <c r="W1335" s="1"/>
      <c r="X1335" s="1"/>
    </row>
    <row r="1336" spans="1:24">
      <c r="A1336" s="1"/>
      <c r="M1336" s="26"/>
      <c r="N1336" s="26"/>
      <c r="P1336" s="1"/>
      <c r="Q1336" s="1"/>
      <c r="R1336" s="1"/>
      <c r="S1336" s="1"/>
      <c r="T1336" s="1"/>
      <c r="U1336" s="1"/>
      <c r="V1336" s="16"/>
      <c r="W1336" s="1"/>
      <c r="X1336" s="1"/>
    </row>
    <row r="1337" spans="1:24">
      <c r="A1337" s="1"/>
      <c r="M1337" s="26"/>
      <c r="N1337" s="26"/>
      <c r="P1337" s="1"/>
      <c r="Q1337" s="1"/>
      <c r="R1337" s="1"/>
      <c r="S1337" s="1"/>
      <c r="T1337" s="1"/>
      <c r="U1337" s="1"/>
      <c r="V1337" s="16"/>
      <c r="W1337" s="1"/>
      <c r="X1337" s="1"/>
    </row>
    <row r="1338" spans="1:24">
      <c r="A1338" s="1"/>
      <c r="M1338" s="26"/>
      <c r="N1338" s="26"/>
      <c r="P1338" s="1"/>
      <c r="Q1338" s="1"/>
      <c r="R1338" s="1"/>
      <c r="S1338" s="1"/>
      <c r="T1338" s="1"/>
      <c r="U1338" s="1"/>
      <c r="V1338" s="16"/>
      <c r="W1338" s="1"/>
      <c r="X1338" s="1"/>
    </row>
    <row r="1339" spans="1:24">
      <c r="A1339" s="1"/>
      <c r="M1339" s="26"/>
      <c r="N1339" s="26"/>
      <c r="P1339" s="1"/>
      <c r="Q1339" s="1"/>
      <c r="R1339" s="1"/>
      <c r="S1339" s="1"/>
      <c r="T1339" s="1"/>
      <c r="U1339" s="1"/>
      <c r="V1339" s="16"/>
      <c r="W1339" s="1"/>
      <c r="X1339" s="1"/>
    </row>
    <row r="1340" spans="1:24">
      <c r="A1340" s="1"/>
      <c r="M1340" s="26"/>
      <c r="N1340" s="26"/>
      <c r="P1340" s="1"/>
      <c r="Q1340" s="1"/>
      <c r="R1340" s="1"/>
      <c r="S1340" s="1"/>
      <c r="T1340" s="1"/>
      <c r="U1340" s="1"/>
      <c r="V1340" s="16"/>
      <c r="W1340" s="1"/>
      <c r="X1340" s="1"/>
    </row>
    <row r="1341" spans="1:24">
      <c r="A1341" s="1"/>
      <c r="M1341" s="26"/>
      <c r="N1341" s="26"/>
      <c r="P1341" s="1"/>
      <c r="Q1341" s="1"/>
      <c r="R1341" s="1"/>
      <c r="S1341" s="1"/>
      <c r="T1341" s="1"/>
      <c r="U1341" s="1"/>
      <c r="V1341" s="16"/>
      <c r="W1341" s="1"/>
      <c r="X1341" s="1"/>
    </row>
    <row r="1342" spans="1:24">
      <c r="A1342" s="1"/>
      <c r="M1342" s="26"/>
      <c r="N1342" s="26"/>
      <c r="P1342" s="1"/>
      <c r="Q1342" s="1"/>
      <c r="R1342" s="1"/>
      <c r="S1342" s="1"/>
      <c r="T1342" s="1"/>
      <c r="U1342" s="1"/>
      <c r="V1342" s="16"/>
      <c r="W1342" s="1"/>
      <c r="X1342" s="1"/>
    </row>
    <row r="1343" spans="1:24">
      <c r="A1343" s="1"/>
      <c r="M1343" s="26"/>
      <c r="N1343" s="26"/>
      <c r="P1343" s="1"/>
      <c r="Q1343" s="1"/>
      <c r="R1343" s="1"/>
      <c r="S1343" s="1"/>
      <c r="T1343" s="1"/>
      <c r="U1343" s="1"/>
      <c r="V1343" s="16"/>
      <c r="W1343" s="1"/>
      <c r="X1343" s="1"/>
    </row>
    <row r="1344" spans="1:24">
      <c r="A1344" s="1"/>
      <c r="M1344" s="26"/>
      <c r="N1344" s="26"/>
      <c r="P1344" s="1"/>
      <c r="Q1344" s="1"/>
      <c r="R1344" s="1"/>
      <c r="S1344" s="1"/>
      <c r="T1344" s="1"/>
      <c r="U1344" s="1"/>
      <c r="V1344" s="16"/>
      <c r="W1344" s="1"/>
      <c r="X1344" s="1"/>
    </row>
    <row r="1345" spans="1:24">
      <c r="A1345" s="1"/>
      <c r="M1345" s="26"/>
      <c r="N1345" s="26"/>
      <c r="P1345" s="1"/>
      <c r="Q1345" s="1"/>
      <c r="R1345" s="1"/>
      <c r="S1345" s="1"/>
      <c r="T1345" s="1"/>
      <c r="U1345" s="1"/>
      <c r="V1345" s="16"/>
      <c r="W1345" s="1"/>
      <c r="X1345" s="1"/>
    </row>
    <row r="1346" spans="1:24">
      <c r="A1346" s="1"/>
      <c r="M1346" s="26"/>
      <c r="N1346" s="26"/>
      <c r="P1346" s="1"/>
      <c r="Q1346" s="1"/>
      <c r="R1346" s="1"/>
      <c r="S1346" s="1"/>
      <c r="T1346" s="1"/>
      <c r="U1346" s="1"/>
      <c r="V1346" s="16"/>
      <c r="W1346" s="1"/>
      <c r="X1346" s="1"/>
    </row>
    <row r="1347" spans="1:24">
      <c r="A1347" s="1"/>
      <c r="M1347" s="26"/>
      <c r="N1347" s="26"/>
      <c r="P1347" s="1"/>
      <c r="Q1347" s="1"/>
      <c r="R1347" s="1"/>
      <c r="S1347" s="1"/>
      <c r="T1347" s="1"/>
      <c r="U1347" s="1"/>
      <c r="V1347" s="16"/>
      <c r="W1347" s="1"/>
      <c r="X1347" s="1"/>
    </row>
    <row r="1348" spans="1:24">
      <c r="A1348" s="1"/>
      <c r="M1348" s="26"/>
      <c r="N1348" s="26"/>
      <c r="P1348" s="1"/>
      <c r="Q1348" s="1"/>
      <c r="R1348" s="1"/>
      <c r="S1348" s="1"/>
      <c r="T1348" s="1"/>
      <c r="U1348" s="1"/>
      <c r="V1348" s="16"/>
      <c r="W1348" s="1"/>
      <c r="X1348" s="1"/>
    </row>
    <row r="1349" spans="1:24">
      <c r="A1349" s="1"/>
      <c r="M1349" s="26"/>
      <c r="N1349" s="26"/>
      <c r="P1349" s="1"/>
      <c r="Q1349" s="1"/>
      <c r="R1349" s="1"/>
      <c r="S1349" s="1"/>
      <c r="T1349" s="1"/>
      <c r="U1349" s="1"/>
      <c r="V1349" s="16"/>
      <c r="W1349" s="1"/>
      <c r="X1349" s="1"/>
    </row>
    <row r="1350" spans="1:24">
      <c r="A1350" s="1"/>
      <c r="M1350" s="26"/>
      <c r="N1350" s="26"/>
      <c r="P1350" s="1"/>
      <c r="Q1350" s="1"/>
      <c r="R1350" s="1"/>
      <c r="S1350" s="1"/>
      <c r="T1350" s="1"/>
      <c r="U1350" s="1"/>
      <c r="V1350" s="16"/>
      <c r="W1350" s="1"/>
      <c r="X1350" s="1"/>
    </row>
    <row r="1351" spans="1:24">
      <c r="A1351" s="1"/>
      <c r="M1351" s="26"/>
      <c r="N1351" s="26"/>
      <c r="P1351" s="1"/>
      <c r="Q1351" s="1"/>
      <c r="R1351" s="1"/>
      <c r="S1351" s="1"/>
      <c r="T1351" s="1"/>
      <c r="U1351" s="1"/>
      <c r="V1351" s="16"/>
      <c r="W1351" s="1"/>
      <c r="X1351" s="1"/>
    </row>
    <row r="1352" spans="1:24">
      <c r="A1352" s="1"/>
      <c r="M1352" s="26"/>
      <c r="N1352" s="26"/>
      <c r="P1352" s="1"/>
      <c r="Q1352" s="1"/>
      <c r="R1352" s="1"/>
      <c r="S1352" s="1"/>
      <c r="T1352" s="1"/>
      <c r="U1352" s="1"/>
      <c r="V1352" s="16"/>
      <c r="W1352" s="1"/>
      <c r="X1352" s="1"/>
    </row>
    <row r="1353" spans="1:24">
      <c r="A1353" s="1"/>
      <c r="M1353" s="26"/>
      <c r="N1353" s="26"/>
      <c r="P1353" s="1"/>
      <c r="Q1353" s="1"/>
      <c r="R1353" s="1"/>
      <c r="S1353" s="1"/>
      <c r="T1353" s="1"/>
      <c r="U1353" s="1"/>
      <c r="V1353" s="16"/>
      <c r="W1353" s="1"/>
      <c r="X1353" s="1"/>
    </row>
    <row r="1354" spans="1:24">
      <c r="A1354" s="1"/>
      <c r="M1354" s="26"/>
      <c r="N1354" s="26"/>
      <c r="P1354" s="1"/>
      <c r="Q1354" s="1"/>
      <c r="R1354" s="1"/>
      <c r="S1354" s="1"/>
      <c r="T1354" s="1"/>
      <c r="U1354" s="1"/>
      <c r="V1354" s="16"/>
      <c r="W1354" s="1"/>
      <c r="X1354" s="1"/>
    </row>
    <row r="1355" spans="1:24">
      <c r="A1355" s="1"/>
      <c r="M1355" s="26"/>
      <c r="N1355" s="26"/>
      <c r="P1355" s="1"/>
      <c r="Q1355" s="1"/>
      <c r="R1355" s="1"/>
      <c r="S1355" s="1"/>
      <c r="T1355" s="1"/>
      <c r="U1355" s="1"/>
      <c r="V1355" s="16"/>
      <c r="W1355" s="1"/>
      <c r="X1355" s="1"/>
    </row>
    <row r="1356" spans="1:24">
      <c r="A1356" s="1"/>
      <c r="M1356" s="26"/>
      <c r="N1356" s="26"/>
      <c r="P1356" s="1"/>
      <c r="Q1356" s="1"/>
      <c r="R1356" s="1"/>
      <c r="S1356" s="1"/>
      <c r="T1356" s="1"/>
      <c r="U1356" s="1"/>
      <c r="V1356" s="16"/>
      <c r="W1356" s="1"/>
      <c r="X1356" s="1"/>
    </row>
    <row r="1357" spans="1:24">
      <c r="A1357" s="1"/>
      <c r="M1357" s="26"/>
      <c r="N1357" s="26"/>
      <c r="P1357" s="1"/>
      <c r="Q1357" s="1"/>
      <c r="R1357" s="1"/>
      <c r="S1357" s="1"/>
      <c r="T1357" s="1"/>
      <c r="U1357" s="1"/>
      <c r="V1357" s="16"/>
      <c r="W1357" s="1"/>
      <c r="X1357" s="1"/>
    </row>
    <row r="1358" spans="1:24">
      <c r="A1358" s="1"/>
      <c r="M1358" s="26"/>
      <c r="N1358" s="26"/>
      <c r="P1358" s="1"/>
      <c r="Q1358" s="1"/>
      <c r="R1358" s="1"/>
      <c r="S1358" s="1"/>
      <c r="T1358" s="1"/>
      <c r="U1358" s="1"/>
      <c r="V1358" s="16"/>
      <c r="W1358" s="1"/>
      <c r="X1358" s="1"/>
    </row>
    <row r="1359" spans="1:24">
      <c r="A1359" s="1"/>
      <c r="M1359" s="26"/>
      <c r="N1359" s="26"/>
      <c r="P1359" s="1"/>
      <c r="Q1359" s="1"/>
      <c r="R1359" s="1"/>
      <c r="S1359" s="1"/>
      <c r="T1359" s="1"/>
      <c r="U1359" s="1"/>
      <c r="V1359" s="16"/>
      <c r="W1359" s="1"/>
      <c r="X1359" s="1"/>
    </row>
    <row r="1360" spans="1:24">
      <c r="A1360" s="1"/>
      <c r="M1360" s="26"/>
      <c r="N1360" s="26"/>
      <c r="P1360" s="1"/>
      <c r="Q1360" s="1"/>
      <c r="R1360" s="1"/>
      <c r="S1360" s="1"/>
      <c r="T1360" s="1"/>
      <c r="U1360" s="1"/>
      <c r="V1360" s="16"/>
      <c r="W1360" s="1"/>
      <c r="X1360" s="1"/>
    </row>
    <row r="1361" spans="1:24">
      <c r="A1361" s="1"/>
      <c r="M1361" s="26"/>
      <c r="N1361" s="26"/>
      <c r="P1361" s="1"/>
      <c r="Q1361" s="1"/>
      <c r="R1361" s="1"/>
      <c r="S1361" s="1"/>
      <c r="T1361" s="1"/>
      <c r="U1361" s="1"/>
      <c r="V1361" s="16"/>
      <c r="W1361" s="1"/>
      <c r="X1361" s="1"/>
    </row>
    <row r="1362" spans="1:24">
      <c r="A1362" s="1"/>
      <c r="M1362" s="26"/>
      <c r="N1362" s="26"/>
      <c r="P1362" s="1"/>
      <c r="Q1362" s="1"/>
      <c r="R1362" s="1"/>
      <c r="S1362" s="1"/>
      <c r="T1362" s="1"/>
      <c r="U1362" s="1"/>
      <c r="V1362" s="16"/>
      <c r="W1362" s="1"/>
      <c r="X1362" s="1"/>
    </row>
    <row r="1363" spans="1:24">
      <c r="A1363" s="1"/>
      <c r="M1363" s="26"/>
      <c r="N1363" s="26"/>
      <c r="P1363" s="1"/>
      <c r="Q1363" s="1"/>
      <c r="R1363" s="1"/>
      <c r="S1363" s="1"/>
      <c r="T1363" s="1"/>
      <c r="U1363" s="1"/>
      <c r="V1363" s="16"/>
      <c r="W1363" s="1"/>
      <c r="X1363" s="1"/>
    </row>
    <row r="1364" spans="1:24">
      <c r="A1364" s="1"/>
      <c r="M1364" s="26"/>
      <c r="N1364" s="26"/>
      <c r="P1364" s="1"/>
      <c r="Q1364" s="1"/>
      <c r="R1364" s="1"/>
      <c r="S1364" s="1"/>
      <c r="T1364" s="1"/>
      <c r="U1364" s="1"/>
      <c r="V1364" s="16"/>
      <c r="W1364" s="1"/>
      <c r="X1364" s="1"/>
    </row>
    <row r="1365" spans="1:24">
      <c r="A1365" s="1"/>
      <c r="M1365" s="26"/>
      <c r="N1365" s="26"/>
      <c r="P1365" s="1"/>
      <c r="Q1365" s="1"/>
      <c r="R1365" s="1"/>
      <c r="S1365" s="1"/>
      <c r="T1365" s="1"/>
      <c r="U1365" s="1"/>
      <c r="V1365" s="16"/>
      <c r="W1365" s="1"/>
      <c r="X1365" s="1"/>
    </row>
    <row r="1366" spans="1:24">
      <c r="A1366" s="1"/>
      <c r="M1366" s="26"/>
      <c r="N1366" s="26"/>
      <c r="P1366" s="1"/>
      <c r="Q1366" s="1"/>
      <c r="R1366" s="1"/>
      <c r="S1366" s="1"/>
      <c r="T1366" s="1"/>
      <c r="U1366" s="1"/>
      <c r="V1366" s="16"/>
      <c r="W1366" s="1"/>
      <c r="X1366" s="1"/>
    </row>
    <row r="1367" spans="1:24">
      <c r="A1367" s="1"/>
      <c r="M1367" s="26"/>
      <c r="N1367" s="26"/>
      <c r="P1367" s="1"/>
      <c r="Q1367" s="1"/>
      <c r="R1367" s="1"/>
      <c r="S1367" s="1"/>
      <c r="T1367" s="1"/>
      <c r="U1367" s="1"/>
      <c r="V1367" s="16"/>
      <c r="W1367" s="1"/>
      <c r="X1367" s="1"/>
    </row>
    <row r="1368" spans="1:24">
      <c r="A1368" s="1"/>
      <c r="M1368" s="26"/>
      <c r="N1368" s="26"/>
      <c r="P1368" s="1"/>
      <c r="Q1368" s="1"/>
      <c r="R1368" s="1"/>
      <c r="S1368" s="1"/>
      <c r="T1368" s="1"/>
      <c r="U1368" s="1"/>
      <c r="V1368" s="16"/>
      <c r="W1368" s="1"/>
      <c r="X1368" s="1"/>
    </row>
    <row r="1369" spans="1:24">
      <c r="A1369" s="1"/>
      <c r="M1369" s="26"/>
      <c r="N1369" s="26"/>
      <c r="P1369" s="1"/>
      <c r="Q1369" s="1"/>
      <c r="R1369" s="1"/>
      <c r="S1369" s="1"/>
      <c r="T1369" s="1"/>
      <c r="U1369" s="1"/>
      <c r="V1369" s="16"/>
      <c r="W1369" s="1"/>
      <c r="X1369" s="1"/>
    </row>
    <row r="1370" spans="1:24">
      <c r="A1370" s="1"/>
      <c r="M1370" s="26"/>
      <c r="N1370" s="26"/>
      <c r="P1370" s="1"/>
      <c r="Q1370" s="1"/>
      <c r="R1370" s="1"/>
      <c r="S1370" s="1"/>
      <c r="T1370" s="1"/>
      <c r="U1370" s="1"/>
      <c r="V1370" s="16"/>
      <c r="W1370" s="1"/>
      <c r="X1370" s="1"/>
    </row>
    <row r="1371" spans="1:24">
      <c r="A1371" s="1"/>
      <c r="M1371" s="26"/>
      <c r="N1371" s="26"/>
      <c r="P1371" s="1"/>
      <c r="Q1371" s="1"/>
      <c r="R1371" s="1"/>
      <c r="S1371" s="1"/>
      <c r="T1371" s="1"/>
      <c r="U1371" s="1"/>
      <c r="V1371" s="16"/>
      <c r="W1371" s="1"/>
      <c r="X1371" s="1"/>
    </row>
    <row r="1372" spans="1:24">
      <c r="A1372" s="1"/>
      <c r="M1372" s="26"/>
      <c r="N1372" s="26"/>
      <c r="P1372" s="1"/>
      <c r="Q1372" s="1"/>
      <c r="R1372" s="1"/>
      <c r="S1372" s="1"/>
      <c r="T1372" s="1"/>
      <c r="U1372" s="1"/>
      <c r="V1372" s="16"/>
      <c r="W1372" s="1"/>
      <c r="X1372" s="1"/>
    </row>
    <row r="1373" spans="1:24">
      <c r="A1373" s="1"/>
      <c r="M1373" s="26"/>
      <c r="N1373" s="26"/>
      <c r="P1373" s="1"/>
      <c r="Q1373" s="1"/>
      <c r="R1373" s="1"/>
      <c r="S1373" s="1"/>
      <c r="T1373" s="1"/>
      <c r="U1373" s="1"/>
      <c r="V1373" s="16"/>
      <c r="W1373" s="1"/>
      <c r="X1373" s="1"/>
    </row>
    <row r="1374" spans="1:24">
      <c r="A1374" s="1"/>
      <c r="M1374" s="26"/>
      <c r="N1374" s="26"/>
      <c r="P1374" s="1"/>
      <c r="Q1374" s="1"/>
      <c r="R1374" s="1"/>
      <c r="S1374" s="1"/>
      <c r="T1374" s="1"/>
      <c r="U1374" s="1"/>
      <c r="V1374" s="16"/>
      <c r="W1374" s="1"/>
      <c r="X1374" s="1"/>
    </row>
    <row r="1375" spans="1:24">
      <c r="A1375" s="1"/>
      <c r="M1375" s="26"/>
      <c r="N1375" s="26"/>
      <c r="P1375" s="1"/>
      <c r="Q1375" s="1"/>
      <c r="R1375" s="1"/>
      <c r="S1375" s="1"/>
      <c r="T1375" s="1"/>
      <c r="U1375" s="1"/>
      <c r="V1375" s="16"/>
      <c r="W1375" s="1"/>
      <c r="X1375" s="1"/>
    </row>
    <row r="1376" spans="1:24">
      <c r="A1376" s="1"/>
      <c r="M1376" s="26"/>
      <c r="N1376" s="26"/>
      <c r="P1376" s="1"/>
      <c r="Q1376" s="1"/>
      <c r="R1376" s="1"/>
      <c r="S1376" s="1"/>
      <c r="T1376" s="1"/>
      <c r="U1376" s="1"/>
      <c r="V1376" s="16"/>
      <c r="W1376" s="1"/>
      <c r="X1376" s="1"/>
    </row>
    <row r="1377" spans="1:24">
      <c r="A1377" s="1"/>
      <c r="M1377" s="26"/>
      <c r="N1377" s="26"/>
      <c r="P1377" s="1"/>
      <c r="Q1377" s="1"/>
      <c r="R1377" s="1"/>
      <c r="S1377" s="1"/>
      <c r="T1377" s="1"/>
      <c r="U1377" s="1"/>
      <c r="V1377" s="16"/>
      <c r="W1377" s="1"/>
      <c r="X1377" s="1"/>
    </row>
    <row r="1378" spans="1:24">
      <c r="A1378" s="1"/>
      <c r="M1378" s="26"/>
      <c r="N1378" s="26"/>
      <c r="P1378" s="1"/>
      <c r="Q1378" s="1"/>
      <c r="R1378" s="1"/>
      <c r="S1378" s="1"/>
      <c r="T1378" s="1"/>
      <c r="U1378" s="1"/>
      <c r="V1378" s="16"/>
      <c r="W1378" s="1"/>
      <c r="X1378" s="1"/>
    </row>
    <row r="1379" spans="1:24">
      <c r="A1379" s="1"/>
      <c r="M1379" s="26"/>
      <c r="N1379" s="26"/>
      <c r="P1379" s="1"/>
      <c r="Q1379" s="1"/>
      <c r="R1379" s="1"/>
      <c r="S1379" s="1"/>
      <c r="T1379" s="1"/>
      <c r="U1379" s="1"/>
      <c r="V1379" s="16"/>
      <c r="W1379" s="1"/>
      <c r="X1379" s="1"/>
    </row>
    <row r="1380" spans="1:24">
      <c r="A1380" s="1"/>
      <c r="M1380" s="26"/>
      <c r="N1380" s="26"/>
      <c r="P1380" s="1"/>
      <c r="Q1380" s="1"/>
      <c r="R1380" s="1"/>
      <c r="S1380" s="1"/>
      <c r="T1380" s="1"/>
      <c r="U1380" s="1"/>
      <c r="V1380" s="16"/>
      <c r="W1380" s="1"/>
      <c r="X1380" s="1"/>
    </row>
    <row r="1381" spans="1:24">
      <c r="A1381" s="1"/>
      <c r="M1381" s="26"/>
      <c r="N1381" s="26"/>
      <c r="P1381" s="1"/>
      <c r="Q1381" s="1"/>
      <c r="R1381" s="1"/>
      <c r="S1381" s="1"/>
      <c r="T1381" s="1"/>
      <c r="U1381" s="1"/>
      <c r="V1381" s="16"/>
      <c r="W1381" s="1"/>
      <c r="X1381" s="1"/>
    </row>
    <row r="1382" spans="1:24">
      <c r="A1382" s="1"/>
      <c r="M1382" s="26"/>
      <c r="N1382" s="26"/>
      <c r="P1382" s="1"/>
      <c r="Q1382" s="1"/>
      <c r="R1382" s="1"/>
      <c r="S1382" s="1"/>
      <c r="T1382" s="1"/>
      <c r="U1382" s="1"/>
      <c r="V1382" s="16"/>
      <c r="W1382" s="1"/>
      <c r="X1382" s="1"/>
    </row>
    <row r="1383" spans="1:24">
      <c r="A1383" s="1"/>
      <c r="M1383" s="26"/>
      <c r="N1383" s="26"/>
      <c r="P1383" s="1"/>
      <c r="Q1383" s="1"/>
      <c r="R1383" s="1"/>
      <c r="S1383" s="1"/>
      <c r="T1383" s="1"/>
      <c r="U1383" s="1"/>
      <c r="V1383" s="16"/>
      <c r="W1383" s="1"/>
      <c r="X1383" s="1"/>
    </row>
    <row r="1384" spans="1:24">
      <c r="A1384" s="1"/>
      <c r="M1384" s="26"/>
      <c r="N1384" s="26"/>
      <c r="P1384" s="1"/>
      <c r="Q1384" s="1"/>
      <c r="R1384" s="1"/>
      <c r="S1384" s="1"/>
      <c r="T1384" s="1"/>
      <c r="U1384" s="1"/>
      <c r="V1384" s="16"/>
      <c r="W1384" s="1"/>
      <c r="X1384" s="1"/>
    </row>
    <row r="1385" spans="1:24">
      <c r="A1385" s="1"/>
      <c r="M1385" s="26"/>
      <c r="N1385" s="26"/>
      <c r="P1385" s="1"/>
      <c r="Q1385" s="1"/>
      <c r="R1385" s="1"/>
      <c r="S1385" s="1"/>
      <c r="T1385" s="1"/>
      <c r="U1385" s="1"/>
      <c r="V1385" s="16"/>
      <c r="W1385" s="1"/>
      <c r="X1385" s="1"/>
    </row>
    <row r="1386" spans="1:24">
      <c r="A1386" s="1"/>
      <c r="M1386" s="26"/>
      <c r="N1386" s="26"/>
      <c r="P1386" s="1"/>
      <c r="Q1386" s="1"/>
      <c r="R1386" s="1"/>
      <c r="S1386" s="1"/>
      <c r="T1386" s="1"/>
      <c r="U1386" s="1"/>
      <c r="V1386" s="16"/>
      <c r="W1386" s="1"/>
      <c r="X1386" s="1"/>
    </row>
    <row r="1387" spans="1:24">
      <c r="A1387" s="1"/>
      <c r="M1387" s="26"/>
      <c r="N1387" s="26"/>
      <c r="P1387" s="1"/>
      <c r="Q1387" s="1"/>
      <c r="R1387" s="1"/>
      <c r="S1387" s="1"/>
      <c r="T1387" s="1"/>
      <c r="U1387" s="1"/>
      <c r="V1387" s="16"/>
      <c r="W1387" s="1"/>
      <c r="X1387" s="1"/>
    </row>
    <row r="1388" spans="1:24">
      <c r="A1388" s="1"/>
      <c r="M1388" s="26"/>
      <c r="N1388" s="26"/>
      <c r="P1388" s="1"/>
      <c r="Q1388" s="1"/>
      <c r="R1388" s="1"/>
      <c r="S1388" s="1"/>
      <c r="T1388" s="1"/>
      <c r="U1388" s="1"/>
      <c r="V1388" s="16"/>
      <c r="W1388" s="1"/>
      <c r="X1388" s="1"/>
    </row>
    <row r="1389" spans="1:24">
      <c r="A1389" s="1"/>
      <c r="M1389" s="26"/>
      <c r="N1389" s="26"/>
      <c r="P1389" s="1"/>
      <c r="Q1389" s="1"/>
      <c r="R1389" s="1"/>
      <c r="S1389" s="1"/>
      <c r="T1389" s="1"/>
      <c r="U1389" s="1"/>
      <c r="V1389" s="16"/>
      <c r="W1389" s="1"/>
      <c r="X1389" s="1"/>
    </row>
    <row r="1390" spans="1:24">
      <c r="A1390" s="1"/>
      <c r="M1390" s="26"/>
      <c r="N1390" s="26"/>
      <c r="P1390" s="1"/>
      <c r="Q1390" s="1"/>
      <c r="R1390" s="1"/>
      <c r="S1390" s="1"/>
      <c r="T1390" s="1"/>
      <c r="U1390" s="1"/>
      <c r="V1390" s="16"/>
      <c r="W1390" s="1"/>
      <c r="X1390" s="1"/>
    </row>
    <row r="1391" spans="1:24">
      <c r="A1391" s="1"/>
      <c r="M1391" s="26"/>
      <c r="N1391" s="26"/>
      <c r="P1391" s="1"/>
      <c r="Q1391" s="1"/>
      <c r="R1391" s="1"/>
      <c r="S1391" s="1"/>
      <c r="T1391" s="1"/>
      <c r="U1391" s="1"/>
      <c r="V1391" s="16"/>
      <c r="W1391" s="1"/>
      <c r="X1391" s="1"/>
    </row>
    <row r="1392" spans="1:24">
      <c r="A1392" s="1"/>
      <c r="M1392" s="26"/>
      <c r="N1392" s="26"/>
      <c r="P1392" s="1"/>
      <c r="Q1392" s="1"/>
      <c r="R1392" s="1"/>
      <c r="S1392" s="1"/>
      <c r="T1392" s="1"/>
      <c r="U1392" s="1"/>
      <c r="V1392" s="16"/>
      <c r="W1392" s="1"/>
      <c r="X1392" s="1"/>
    </row>
    <row r="1393" spans="1:24">
      <c r="A1393" s="1"/>
      <c r="M1393" s="26"/>
      <c r="N1393" s="26"/>
      <c r="P1393" s="1"/>
      <c r="Q1393" s="1"/>
      <c r="R1393" s="1"/>
      <c r="S1393" s="1"/>
      <c r="T1393" s="1"/>
      <c r="U1393" s="1"/>
      <c r="V1393" s="16"/>
      <c r="W1393" s="1"/>
      <c r="X1393" s="1"/>
    </row>
    <row r="1394" spans="1:24">
      <c r="A1394" s="1"/>
      <c r="M1394" s="26"/>
      <c r="N1394" s="26"/>
      <c r="P1394" s="1"/>
      <c r="Q1394" s="1"/>
      <c r="R1394" s="1"/>
      <c r="S1394" s="1"/>
      <c r="T1394" s="1"/>
      <c r="U1394" s="1"/>
      <c r="V1394" s="16"/>
      <c r="W1394" s="1"/>
      <c r="X1394" s="1"/>
    </row>
    <row r="1395" spans="1:24">
      <c r="A1395" s="1"/>
      <c r="M1395" s="26"/>
      <c r="N1395" s="26"/>
      <c r="P1395" s="1"/>
      <c r="Q1395" s="1"/>
      <c r="R1395" s="1"/>
      <c r="S1395" s="1"/>
      <c r="T1395" s="1"/>
      <c r="U1395" s="1"/>
      <c r="V1395" s="16"/>
      <c r="W1395" s="1"/>
      <c r="X1395" s="1"/>
    </row>
    <row r="1396" spans="1:24">
      <c r="A1396" s="1"/>
      <c r="M1396" s="26"/>
      <c r="N1396" s="26"/>
      <c r="P1396" s="1"/>
      <c r="Q1396" s="1"/>
      <c r="R1396" s="1"/>
      <c r="S1396" s="1"/>
      <c r="T1396" s="1"/>
      <c r="U1396" s="1"/>
      <c r="V1396" s="16"/>
      <c r="W1396" s="1"/>
      <c r="X1396" s="1"/>
    </row>
    <row r="1397" spans="1:24">
      <c r="A1397" s="1"/>
      <c r="M1397" s="26"/>
      <c r="N1397" s="26"/>
      <c r="P1397" s="1"/>
      <c r="Q1397" s="1"/>
      <c r="R1397" s="1"/>
      <c r="S1397" s="1"/>
      <c r="T1397" s="1"/>
      <c r="U1397" s="1"/>
      <c r="V1397" s="16"/>
      <c r="W1397" s="1"/>
      <c r="X1397" s="1"/>
    </row>
    <row r="1398" spans="1:24">
      <c r="A1398" s="1"/>
      <c r="M1398" s="26"/>
      <c r="N1398" s="26"/>
      <c r="P1398" s="1"/>
      <c r="Q1398" s="1"/>
      <c r="R1398" s="1"/>
      <c r="S1398" s="1"/>
      <c r="T1398" s="1"/>
      <c r="U1398" s="1"/>
      <c r="V1398" s="16"/>
      <c r="W1398" s="1"/>
      <c r="X1398" s="1"/>
    </row>
    <row r="1399" spans="1:24">
      <c r="A1399" s="1"/>
      <c r="M1399" s="26"/>
      <c r="N1399" s="26"/>
      <c r="P1399" s="1"/>
      <c r="Q1399" s="1"/>
      <c r="R1399" s="1"/>
      <c r="S1399" s="1"/>
      <c r="T1399" s="1"/>
      <c r="U1399" s="1"/>
      <c r="V1399" s="16"/>
      <c r="W1399" s="1"/>
      <c r="X1399" s="1"/>
    </row>
    <row r="1400" spans="1:24">
      <c r="A1400" s="1"/>
      <c r="M1400" s="26"/>
      <c r="N1400" s="26"/>
      <c r="P1400" s="1"/>
      <c r="Q1400" s="1"/>
      <c r="R1400" s="1"/>
      <c r="S1400" s="1"/>
      <c r="T1400" s="1"/>
      <c r="U1400" s="1"/>
      <c r="V1400" s="16"/>
      <c r="W1400" s="1"/>
      <c r="X1400" s="1"/>
    </row>
    <row r="1401" spans="1:24">
      <c r="A1401" s="1"/>
      <c r="M1401" s="26"/>
      <c r="N1401" s="26"/>
      <c r="P1401" s="1"/>
      <c r="Q1401" s="1"/>
      <c r="R1401" s="1"/>
      <c r="S1401" s="1"/>
      <c r="T1401" s="1"/>
      <c r="U1401" s="1"/>
      <c r="V1401" s="16"/>
      <c r="W1401" s="1"/>
      <c r="X1401" s="1"/>
    </row>
    <row r="1402" spans="1:24">
      <c r="A1402" s="1"/>
      <c r="M1402" s="26"/>
      <c r="N1402" s="26"/>
      <c r="P1402" s="1"/>
      <c r="Q1402" s="1"/>
      <c r="R1402" s="1"/>
      <c r="S1402" s="1"/>
      <c r="T1402" s="1"/>
      <c r="U1402" s="1"/>
      <c r="V1402" s="16"/>
      <c r="W1402" s="1"/>
      <c r="X1402" s="1"/>
    </row>
    <row r="1403" spans="1:24">
      <c r="A1403" s="1"/>
      <c r="M1403" s="26"/>
      <c r="N1403" s="26"/>
      <c r="P1403" s="1"/>
      <c r="Q1403" s="1"/>
      <c r="R1403" s="1"/>
      <c r="S1403" s="1"/>
      <c r="T1403" s="1"/>
      <c r="U1403" s="1"/>
      <c r="V1403" s="16"/>
      <c r="W1403" s="1"/>
      <c r="X1403" s="1"/>
    </row>
    <row r="1404" spans="1:24">
      <c r="A1404" s="1"/>
      <c r="M1404" s="26"/>
      <c r="N1404" s="26"/>
      <c r="P1404" s="1"/>
      <c r="Q1404" s="1"/>
      <c r="R1404" s="1"/>
      <c r="S1404" s="1"/>
      <c r="T1404" s="1"/>
      <c r="U1404" s="1"/>
      <c r="V1404" s="16"/>
      <c r="W1404" s="1"/>
      <c r="X1404" s="1"/>
    </row>
    <row r="1405" spans="1:24">
      <c r="A1405" s="1"/>
      <c r="M1405" s="26"/>
      <c r="N1405" s="26"/>
      <c r="P1405" s="1"/>
      <c r="Q1405" s="1"/>
      <c r="R1405" s="1"/>
      <c r="S1405" s="1"/>
      <c r="T1405" s="1"/>
      <c r="U1405" s="1"/>
      <c r="V1405" s="16"/>
      <c r="W1405" s="1"/>
      <c r="X1405" s="1"/>
    </row>
    <row r="1406" spans="1:24">
      <c r="A1406" s="1"/>
      <c r="M1406" s="26"/>
      <c r="N1406" s="26"/>
      <c r="P1406" s="1"/>
      <c r="Q1406" s="1"/>
      <c r="R1406" s="1"/>
      <c r="S1406" s="1"/>
      <c r="T1406" s="1"/>
      <c r="U1406" s="1"/>
      <c r="V1406" s="16"/>
      <c r="W1406" s="1"/>
      <c r="X1406" s="1"/>
    </row>
    <row r="1407" spans="1:24">
      <c r="A1407" s="1"/>
      <c r="M1407" s="26"/>
      <c r="N1407" s="26"/>
      <c r="P1407" s="1"/>
      <c r="Q1407" s="1"/>
      <c r="R1407" s="1"/>
      <c r="S1407" s="1"/>
      <c r="T1407" s="1"/>
      <c r="U1407" s="1"/>
      <c r="V1407" s="16"/>
      <c r="W1407" s="1"/>
      <c r="X1407" s="1"/>
    </row>
    <row r="1408" spans="1:24">
      <c r="A1408" s="1"/>
      <c r="M1408" s="26"/>
      <c r="N1408" s="26"/>
      <c r="P1408" s="1"/>
      <c r="Q1408" s="1"/>
      <c r="R1408" s="1"/>
      <c r="S1408" s="1"/>
      <c r="T1408" s="1"/>
      <c r="U1408" s="1"/>
      <c r="V1408" s="16"/>
      <c r="W1408" s="1"/>
      <c r="X1408" s="1"/>
    </row>
    <row r="1409" spans="1:24">
      <c r="A1409" s="1"/>
      <c r="M1409" s="26"/>
      <c r="N1409" s="26"/>
      <c r="P1409" s="1"/>
      <c r="Q1409" s="1"/>
      <c r="R1409" s="1"/>
      <c r="S1409" s="1"/>
      <c r="T1409" s="1"/>
      <c r="U1409" s="1"/>
      <c r="V1409" s="16"/>
      <c r="W1409" s="1"/>
      <c r="X1409" s="1"/>
    </row>
    <row r="1410" spans="1:24">
      <c r="A1410" s="1"/>
      <c r="M1410" s="26"/>
      <c r="N1410" s="26"/>
      <c r="P1410" s="1"/>
      <c r="Q1410" s="1"/>
      <c r="R1410" s="1"/>
      <c r="S1410" s="1"/>
      <c r="T1410" s="1"/>
      <c r="U1410" s="1"/>
      <c r="V1410" s="16"/>
      <c r="W1410" s="1"/>
      <c r="X1410" s="1"/>
    </row>
    <row r="1411" spans="1:24">
      <c r="A1411" s="1"/>
      <c r="M1411" s="26"/>
      <c r="N1411" s="26"/>
      <c r="P1411" s="1"/>
      <c r="Q1411" s="1"/>
      <c r="R1411" s="1"/>
      <c r="S1411" s="1"/>
      <c r="T1411" s="1"/>
      <c r="U1411" s="1"/>
      <c r="V1411" s="16"/>
      <c r="W1411" s="1"/>
      <c r="X1411" s="1"/>
    </row>
    <row r="1412" spans="1:24">
      <c r="A1412" s="1"/>
      <c r="M1412" s="26"/>
      <c r="N1412" s="26"/>
      <c r="P1412" s="1"/>
      <c r="Q1412" s="1"/>
      <c r="R1412" s="1"/>
      <c r="S1412" s="1"/>
      <c r="T1412" s="1"/>
      <c r="U1412" s="1"/>
      <c r="V1412" s="16"/>
      <c r="W1412" s="1"/>
      <c r="X1412" s="1"/>
    </row>
    <row r="1413" spans="1:24">
      <c r="A1413" s="1"/>
      <c r="M1413" s="26"/>
      <c r="N1413" s="26"/>
      <c r="P1413" s="1"/>
      <c r="Q1413" s="1"/>
      <c r="R1413" s="1"/>
      <c r="S1413" s="1"/>
      <c r="T1413" s="1"/>
      <c r="U1413" s="1"/>
      <c r="V1413" s="16"/>
      <c r="W1413" s="1"/>
      <c r="X1413" s="1"/>
    </row>
    <row r="1414" spans="1:24">
      <c r="A1414" s="1"/>
      <c r="M1414" s="26"/>
      <c r="N1414" s="26"/>
      <c r="P1414" s="1"/>
      <c r="Q1414" s="1"/>
      <c r="R1414" s="1"/>
      <c r="S1414" s="1"/>
      <c r="T1414" s="1"/>
      <c r="U1414" s="1"/>
      <c r="V1414" s="16"/>
      <c r="W1414" s="1"/>
      <c r="X1414" s="1"/>
    </row>
    <row r="1415" spans="1:24">
      <c r="A1415" s="1"/>
      <c r="M1415" s="26"/>
      <c r="N1415" s="26"/>
      <c r="P1415" s="1"/>
      <c r="Q1415" s="1"/>
      <c r="R1415" s="1"/>
      <c r="S1415" s="1"/>
      <c r="T1415" s="1"/>
      <c r="U1415" s="1"/>
      <c r="V1415" s="16"/>
      <c r="W1415" s="1"/>
      <c r="X1415" s="1"/>
    </row>
    <row r="1416" spans="1:24">
      <c r="A1416" s="1"/>
      <c r="M1416" s="26"/>
      <c r="N1416" s="26"/>
      <c r="P1416" s="1"/>
      <c r="Q1416" s="1"/>
      <c r="R1416" s="1"/>
      <c r="S1416" s="1"/>
      <c r="T1416" s="1"/>
      <c r="U1416" s="1"/>
      <c r="V1416" s="16"/>
      <c r="W1416" s="1"/>
      <c r="X1416" s="1"/>
    </row>
    <row r="1417" spans="1:24">
      <c r="A1417" s="1"/>
      <c r="M1417" s="26"/>
      <c r="N1417" s="26"/>
      <c r="P1417" s="1"/>
      <c r="Q1417" s="1"/>
      <c r="R1417" s="1"/>
      <c r="S1417" s="1"/>
      <c r="T1417" s="1"/>
      <c r="U1417" s="1"/>
      <c r="V1417" s="16"/>
      <c r="W1417" s="1"/>
      <c r="X1417" s="1"/>
    </row>
    <row r="1418" spans="1:24">
      <c r="A1418" s="1"/>
      <c r="M1418" s="26"/>
      <c r="N1418" s="26"/>
      <c r="P1418" s="1"/>
      <c r="Q1418" s="1"/>
      <c r="R1418" s="1"/>
      <c r="S1418" s="1"/>
      <c r="T1418" s="1"/>
      <c r="U1418" s="1"/>
      <c r="V1418" s="16"/>
      <c r="W1418" s="1"/>
      <c r="X1418" s="1"/>
    </row>
    <row r="1419" spans="1:24">
      <c r="A1419" s="1"/>
      <c r="M1419" s="26"/>
      <c r="N1419" s="26"/>
      <c r="P1419" s="1"/>
      <c r="Q1419" s="1"/>
      <c r="R1419" s="1"/>
      <c r="S1419" s="1"/>
      <c r="T1419" s="1"/>
      <c r="U1419" s="1"/>
      <c r="V1419" s="16"/>
      <c r="W1419" s="1"/>
      <c r="X1419" s="1"/>
    </row>
    <row r="1420" spans="1:24">
      <c r="A1420" s="1"/>
      <c r="M1420" s="26"/>
      <c r="N1420" s="26"/>
      <c r="P1420" s="1"/>
      <c r="Q1420" s="1"/>
      <c r="R1420" s="1"/>
      <c r="S1420" s="1"/>
      <c r="T1420" s="1"/>
      <c r="U1420" s="1"/>
      <c r="V1420" s="16"/>
      <c r="W1420" s="1"/>
      <c r="X1420" s="1"/>
    </row>
    <row r="1421" spans="1:24">
      <c r="A1421" s="1"/>
      <c r="M1421" s="26"/>
      <c r="N1421" s="26"/>
      <c r="P1421" s="1"/>
      <c r="Q1421" s="1"/>
      <c r="R1421" s="1"/>
      <c r="S1421" s="1"/>
      <c r="T1421" s="1"/>
      <c r="U1421" s="1"/>
      <c r="V1421" s="16"/>
      <c r="W1421" s="1"/>
      <c r="X1421" s="1"/>
    </row>
    <row r="1422" spans="1:24">
      <c r="A1422" s="1"/>
      <c r="M1422" s="26"/>
      <c r="N1422" s="26"/>
      <c r="P1422" s="1"/>
      <c r="Q1422" s="1"/>
      <c r="R1422" s="1"/>
      <c r="S1422" s="1"/>
      <c r="T1422" s="1"/>
      <c r="U1422" s="1"/>
      <c r="V1422" s="16"/>
      <c r="W1422" s="1"/>
      <c r="X1422" s="1"/>
    </row>
    <row r="1423" spans="1:24">
      <c r="A1423" s="1"/>
      <c r="M1423" s="26"/>
      <c r="N1423" s="26"/>
      <c r="P1423" s="1"/>
      <c r="Q1423" s="1"/>
      <c r="R1423" s="1"/>
      <c r="S1423" s="1"/>
      <c r="T1423" s="1"/>
      <c r="U1423" s="1"/>
      <c r="V1423" s="16"/>
      <c r="W1423" s="1"/>
      <c r="X1423" s="1"/>
    </row>
    <row r="1424" spans="1:24">
      <c r="A1424" s="1"/>
      <c r="M1424" s="26"/>
      <c r="N1424" s="26"/>
      <c r="P1424" s="1"/>
      <c r="Q1424" s="1"/>
      <c r="R1424" s="1"/>
      <c r="S1424" s="1"/>
      <c r="T1424" s="1"/>
      <c r="U1424" s="1"/>
      <c r="V1424" s="16"/>
      <c r="W1424" s="1"/>
      <c r="X1424" s="1"/>
    </row>
    <row r="1425" spans="1:24">
      <c r="A1425" s="1"/>
      <c r="M1425" s="26"/>
      <c r="N1425" s="26"/>
      <c r="P1425" s="1"/>
      <c r="Q1425" s="1"/>
      <c r="R1425" s="1"/>
      <c r="S1425" s="1"/>
      <c r="T1425" s="1"/>
      <c r="U1425" s="1"/>
      <c r="V1425" s="16"/>
      <c r="W1425" s="1"/>
      <c r="X1425" s="1"/>
    </row>
    <row r="1426" spans="1:24">
      <c r="A1426" s="1"/>
      <c r="M1426" s="26"/>
      <c r="N1426" s="26"/>
      <c r="P1426" s="1"/>
      <c r="Q1426" s="1"/>
      <c r="R1426" s="1"/>
      <c r="S1426" s="1"/>
      <c r="T1426" s="1"/>
      <c r="U1426" s="1"/>
      <c r="V1426" s="16"/>
      <c r="W1426" s="1"/>
      <c r="X1426" s="1"/>
    </row>
    <row r="1427" spans="1:24">
      <c r="A1427" s="1"/>
      <c r="M1427" s="26"/>
      <c r="N1427" s="26"/>
      <c r="P1427" s="1"/>
      <c r="Q1427" s="1"/>
      <c r="R1427" s="1"/>
      <c r="S1427" s="1"/>
      <c r="T1427" s="1"/>
      <c r="U1427" s="1"/>
      <c r="V1427" s="16"/>
      <c r="W1427" s="1"/>
      <c r="X1427" s="1"/>
    </row>
    <row r="1428" spans="1:24">
      <c r="A1428" s="1"/>
      <c r="M1428" s="26"/>
      <c r="N1428" s="26"/>
      <c r="P1428" s="1"/>
      <c r="Q1428" s="1"/>
      <c r="R1428" s="1"/>
      <c r="S1428" s="1"/>
      <c r="T1428" s="1"/>
      <c r="U1428" s="1"/>
      <c r="V1428" s="16"/>
      <c r="W1428" s="1"/>
      <c r="X1428" s="1"/>
    </row>
    <row r="1429" spans="1:24">
      <c r="A1429" s="1"/>
      <c r="M1429" s="26"/>
      <c r="N1429" s="26"/>
      <c r="P1429" s="1"/>
      <c r="Q1429" s="1"/>
      <c r="R1429" s="1"/>
      <c r="S1429" s="1"/>
      <c r="T1429" s="1"/>
      <c r="U1429" s="1"/>
      <c r="V1429" s="16"/>
      <c r="W1429" s="1"/>
      <c r="X1429" s="1"/>
    </row>
    <row r="1430" spans="1:24">
      <c r="A1430" s="1"/>
      <c r="M1430" s="26"/>
      <c r="N1430" s="26"/>
      <c r="P1430" s="1"/>
      <c r="Q1430" s="1"/>
      <c r="R1430" s="1"/>
      <c r="S1430" s="1"/>
      <c r="T1430" s="1"/>
      <c r="U1430" s="1"/>
      <c r="V1430" s="16"/>
      <c r="W1430" s="1"/>
      <c r="X1430" s="1"/>
    </row>
    <row r="1431" spans="1:24">
      <c r="A1431" s="1"/>
      <c r="M1431" s="26"/>
      <c r="N1431" s="26"/>
      <c r="P1431" s="1"/>
      <c r="Q1431" s="1"/>
      <c r="R1431" s="1"/>
      <c r="S1431" s="1"/>
      <c r="T1431" s="1"/>
      <c r="U1431" s="1"/>
      <c r="V1431" s="16"/>
      <c r="W1431" s="1"/>
      <c r="X1431" s="1"/>
    </row>
    <row r="1432" spans="1:24">
      <c r="A1432" s="1"/>
      <c r="M1432" s="26"/>
      <c r="N1432" s="26"/>
      <c r="P1432" s="1"/>
      <c r="Q1432" s="1"/>
      <c r="R1432" s="1"/>
      <c r="S1432" s="1"/>
      <c r="T1432" s="1"/>
      <c r="U1432" s="1"/>
      <c r="V1432" s="16"/>
      <c r="W1432" s="1"/>
      <c r="X1432" s="1"/>
    </row>
    <row r="1433" spans="1:24">
      <c r="A1433" s="1"/>
      <c r="M1433" s="26"/>
      <c r="N1433" s="26"/>
      <c r="P1433" s="1"/>
      <c r="Q1433" s="1"/>
      <c r="R1433" s="1"/>
      <c r="S1433" s="1"/>
      <c r="T1433" s="1"/>
      <c r="U1433" s="1"/>
      <c r="V1433" s="16"/>
      <c r="W1433" s="1"/>
      <c r="X1433" s="1"/>
    </row>
    <row r="1434" spans="1:24">
      <c r="A1434" s="1"/>
      <c r="M1434" s="26"/>
      <c r="N1434" s="26"/>
      <c r="P1434" s="1"/>
      <c r="Q1434" s="1"/>
      <c r="R1434" s="1"/>
      <c r="S1434" s="1"/>
      <c r="T1434" s="1"/>
      <c r="U1434" s="1"/>
      <c r="V1434" s="16"/>
      <c r="W1434" s="1"/>
      <c r="X1434" s="1"/>
    </row>
    <row r="1435" spans="1:24">
      <c r="A1435" s="1"/>
      <c r="M1435" s="26"/>
      <c r="N1435" s="26"/>
      <c r="P1435" s="1"/>
      <c r="Q1435" s="1"/>
      <c r="R1435" s="1"/>
      <c r="S1435" s="1"/>
      <c r="T1435" s="1"/>
      <c r="U1435" s="1"/>
      <c r="V1435" s="16"/>
      <c r="W1435" s="1"/>
      <c r="X1435" s="1"/>
    </row>
    <row r="1436" spans="1:24">
      <c r="A1436" s="1"/>
      <c r="M1436" s="26"/>
      <c r="N1436" s="26"/>
      <c r="P1436" s="1"/>
      <c r="Q1436" s="1"/>
      <c r="R1436" s="1"/>
      <c r="S1436" s="1"/>
      <c r="T1436" s="1"/>
      <c r="U1436" s="1"/>
      <c r="V1436" s="16"/>
      <c r="W1436" s="1"/>
      <c r="X1436" s="1"/>
    </row>
    <row r="1437" spans="1:24">
      <c r="A1437" s="1"/>
      <c r="M1437" s="26"/>
      <c r="N1437" s="26"/>
      <c r="P1437" s="1"/>
      <c r="Q1437" s="1"/>
      <c r="R1437" s="1"/>
      <c r="S1437" s="1"/>
      <c r="T1437" s="1"/>
      <c r="U1437" s="1"/>
      <c r="V1437" s="16"/>
      <c r="W1437" s="1"/>
      <c r="X1437" s="1"/>
    </row>
    <row r="1438" spans="1:24">
      <c r="A1438" s="1"/>
      <c r="M1438" s="26"/>
      <c r="N1438" s="26"/>
      <c r="P1438" s="1"/>
      <c r="Q1438" s="1"/>
      <c r="R1438" s="1"/>
      <c r="S1438" s="1"/>
      <c r="T1438" s="1"/>
      <c r="U1438" s="1"/>
      <c r="V1438" s="16"/>
      <c r="W1438" s="1"/>
      <c r="X1438" s="1"/>
    </row>
    <row r="1439" spans="1:24">
      <c r="A1439" s="1"/>
      <c r="M1439" s="26"/>
      <c r="N1439" s="26"/>
      <c r="P1439" s="1"/>
      <c r="Q1439" s="1"/>
      <c r="R1439" s="1"/>
      <c r="S1439" s="1"/>
      <c r="T1439" s="1"/>
      <c r="U1439" s="1"/>
      <c r="V1439" s="16"/>
      <c r="W1439" s="1"/>
      <c r="X1439" s="1"/>
    </row>
    <row r="1440" spans="1:24">
      <c r="A1440" s="1"/>
      <c r="M1440" s="26"/>
      <c r="N1440" s="26"/>
      <c r="P1440" s="1"/>
      <c r="Q1440" s="1"/>
      <c r="R1440" s="1"/>
      <c r="S1440" s="1"/>
      <c r="T1440" s="1"/>
      <c r="U1440" s="1"/>
      <c r="V1440" s="16"/>
      <c r="W1440" s="1"/>
      <c r="X1440" s="1"/>
    </row>
    <row r="1441" spans="1:24">
      <c r="A1441" s="1"/>
      <c r="M1441" s="26"/>
      <c r="N1441" s="26"/>
      <c r="P1441" s="1"/>
      <c r="Q1441" s="1"/>
      <c r="R1441" s="1"/>
      <c r="S1441" s="1"/>
      <c r="T1441" s="1"/>
      <c r="U1441" s="1"/>
      <c r="V1441" s="16"/>
      <c r="W1441" s="1"/>
      <c r="X1441" s="1"/>
    </row>
    <row r="1442" spans="1:24">
      <c r="A1442" s="1"/>
      <c r="M1442" s="26"/>
      <c r="N1442" s="26"/>
      <c r="P1442" s="1"/>
      <c r="Q1442" s="1"/>
      <c r="R1442" s="1"/>
      <c r="S1442" s="1"/>
      <c r="T1442" s="1"/>
      <c r="U1442" s="1"/>
      <c r="V1442" s="16"/>
      <c r="W1442" s="1"/>
      <c r="X1442" s="1"/>
    </row>
    <row r="1443" spans="1:24">
      <c r="A1443" s="1"/>
      <c r="M1443" s="26"/>
      <c r="N1443" s="26"/>
      <c r="P1443" s="1"/>
      <c r="Q1443" s="1"/>
      <c r="R1443" s="1"/>
      <c r="S1443" s="1"/>
      <c r="T1443" s="1"/>
      <c r="U1443" s="1"/>
      <c r="V1443" s="16"/>
      <c r="W1443" s="1"/>
      <c r="X1443" s="1"/>
    </row>
    <row r="1444" spans="1:24">
      <c r="A1444" s="1"/>
      <c r="M1444" s="26"/>
      <c r="N1444" s="26"/>
      <c r="P1444" s="1"/>
      <c r="Q1444" s="1"/>
      <c r="R1444" s="1"/>
      <c r="S1444" s="1"/>
      <c r="T1444" s="1"/>
      <c r="U1444" s="1"/>
      <c r="V1444" s="16"/>
      <c r="W1444" s="1"/>
      <c r="X1444" s="1"/>
    </row>
    <row r="1445" spans="1:24">
      <c r="A1445" s="1"/>
      <c r="M1445" s="26"/>
      <c r="N1445" s="26"/>
      <c r="P1445" s="1"/>
      <c r="Q1445" s="1"/>
      <c r="R1445" s="1"/>
      <c r="S1445" s="1"/>
      <c r="T1445" s="1"/>
      <c r="U1445" s="1"/>
      <c r="V1445" s="16"/>
      <c r="W1445" s="1"/>
      <c r="X1445" s="1"/>
    </row>
    <row r="1446" spans="1:24">
      <c r="A1446" s="1"/>
      <c r="M1446" s="26"/>
      <c r="N1446" s="26"/>
      <c r="P1446" s="1"/>
      <c r="Q1446" s="1"/>
      <c r="R1446" s="1"/>
      <c r="S1446" s="1"/>
      <c r="T1446" s="1"/>
      <c r="U1446" s="1"/>
      <c r="V1446" s="16"/>
      <c r="W1446" s="1"/>
      <c r="X1446" s="1"/>
    </row>
    <row r="1447" spans="1:24">
      <c r="A1447" s="1"/>
      <c r="M1447" s="26"/>
      <c r="N1447" s="26"/>
      <c r="P1447" s="1"/>
      <c r="Q1447" s="1"/>
      <c r="R1447" s="1"/>
      <c r="S1447" s="1"/>
      <c r="T1447" s="1"/>
      <c r="U1447" s="1"/>
      <c r="V1447" s="16"/>
      <c r="W1447" s="1"/>
      <c r="X1447" s="1"/>
    </row>
    <row r="1448" spans="1:24">
      <c r="A1448" s="1"/>
      <c r="M1448" s="26"/>
      <c r="N1448" s="26"/>
      <c r="P1448" s="1"/>
      <c r="Q1448" s="1"/>
      <c r="R1448" s="1"/>
      <c r="S1448" s="1"/>
      <c r="T1448" s="1"/>
      <c r="U1448" s="1"/>
      <c r="V1448" s="16"/>
      <c r="W1448" s="1"/>
      <c r="X1448" s="1"/>
    </row>
    <row r="1449" spans="1:24">
      <c r="A1449" s="1"/>
      <c r="M1449" s="26"/>
      <c r="N1449" s="26"/>
      <c r="P1449" s="1"/>
      <c r="Q1449" s="1"/>
      <c r="R1449" s="1"/>
      <c r="S1449" s="1"/>
      <c r="T1449" s="1"/>
      <c r="U1449" s="1"/>
      <c r="V1449" s="16"/>
      <c r="W1449" s="1"/>
      <c r="X1449" s="1"/>
    </row>
    <row r="1450" spans="1:24">
      <c r="A1450" s="1"/>
      <c r="M1450" s="26"/>
      <c r="N1450" s="26"/>
      <c r="P1450" s="1"/>
      <c r="Q1450" s="1"/>
      <c r="R1450" s="1"/>
      <c r="S1450" s="1"/>
      <c r="T1450" s="1"/>
      <c r="U1450" s="1"/>
      <c r="V1450" s="16"/>
      <c r="W1450" s="1"/>
      <c r="X1450" s="1"/>
    </row>
    <row r="1451" spans="1:24">
      <c r="A1451" s="1"/>
      <c r="M1451" s="26"/>
      <c r="N1451" s="26"/>
      <c r="P1451" s="1"/>
      <c r="Q1451" s="1"/>
      <c r="R1451" s="1"/>
      <c r="S1451" s="1"/>
      <c r="T1451" s="1"/>
      <c r="U1451" s="1"/>
      <c r="V1451" s="16"/>
      <c r="W1451" s="1"/>
      <c r="X1451" s="1"/>
    </row>
    <row r="1452" spans="1:24">
      <c r="A1452" s="1"/>
      <c r="M1452" s="26"/>
      <c r="N1452" s="26"/>
      <c r="P1452" s="1"/>
      <c r="Q1452" s="1"/>
      <c r="R1452" s="1"/>
      <c r="S1452" s="1"/>
      <c r="T1452" s="1"/>
      <c r="U1452" s="1"/>
      <c r="V1452" s="16"/>
      <c r="W1452" s="1"/>
      <c r="X1452" s="1"/>
    </row>
    <row r="1453" spans="1:24">
      <c r="A1453" s="1"/>
      <c r="M1453" s="26"/>
      <c r="N1453" s="26"/>
      <c r="P1453" s="1"/>
      <c r="Q1453" s="1"/>
      <c r="R1453" s="1"/>
      <c r="S1453" s="1"/>
      <c r="T1453" s="1"/>
      <c r="U1453" s="1"/>
      <c r="V1453" s="16"/>
      <c r="W1453" s="1"/>
      <c r="X1453" s="1"/>
    </row>
    <row r="1454" spans="1:24">
      <c r="A1454" s="1"/>
      <c r="M1454" s="26"/>
      <c r="N1454" s="26"/>
      <c r="P1454" s="1"/>
      <c r="Q1454" s="1"/>
      <c r="R1454" s="1"/>
      <c r="S1454" s="1"/>
      <c r="T1454" s="1"/>
      <c r="U1454" s="1"/>
      <c r="V1454" s="16"/>
      <c r="W1454" s="1"/>
      <c r="X1454" s="1"/>
    </row>
    <row r="1455" spans="1:24">
      <c r="A1455" s="1"/>
      <c r="M1455" s="26"/>
      <c r="N1455" s="26"/>
      <c r="P1455" s="1"/>
      <c r="Q1455" s="1"/>
      <c r="R1455" s="1"/>
      <c r="S1455" s="1"/>
      <c r="T1455" s="1"/>
      <c r="U1455" s="1"/>
      <c r="V1455" s="16"/>
      <c r="W1455" s="1"/>
      <c r="X1455" s="1"/>
    </row>
    <row r="1456" spans="1:24">
      <c r="A1456" s="1"/>
      <c r="M1456" s="26"/>
      <c r="N1456" s="26"/>
      <c r="P1456" s="1"/>
      <c r="Q1456" s="1"/>
      <c r="R1456" s="1"/>
      <c r="S1456" s="1"/>
      <c r="T1456" s="1"/>
      <c r="U1456" s="1"/>
      <c r="V1456" s="16"/>
      <c r="W1456" s="1"/>
      <c r="X1456" s="1"/>
    </row>
    <row r="1457" spans="1:24">
      <c r="A1457" s="1"/>
      <c r="M1457" s="26"/>
      <c r="N1457" s="26"/>
      <c r="P1457" s="1"/>
      <c r="Q1457" s="1"/>
      <c r="R1457" s="1"/>
      <c r="S1457" s="1"/>
      <c r="T1457" s="1"/>
      <c r="U1457" s="1"/>
      <c r="V1457" s="16"/>
      <c r="W1457" s="1"/>
      <c r="X1457" s="1"/>
    </row>
    <row r="1458" spans="1:24">
      <c r="A1458" s="1"/>
      <c r="M1458" s="26"/>
      <c r="N1458" s="26"/>
      <c r="P1458" s="1"/>
      <c r="Q1458" s="1"/>
      <c r="R1458" s="1"/>
      <c r="S1458" s="1"/>
      <c r="T1458" s="1"/>
      <c r="U1458" s="1"/>
      <c r="V1458" s="16"/>
      <c r="W1458" s="1"/>
      <c r="X1458" s="1"/>
    </row>
    <row r="1459" spans="1:24">
      <c r="A1459" s="1"/>
      <c r="M1459" s="26"/>
      <c r="N1459" s="26"/>
      <c r="P1459" s="1"/>
      <c r="Q1459" s="1"/>
      <c r="R1459" s="1"/>
      <c r="S1459" s="1"/>
      <c r="T1459" s="1"/>
      <c r="U1459" s="1"/>
      <c r="V1459" s="16"/>
      <c r="W1459" s="1"/>
      <c r="X1459" s="1"/>
    </row>
    <row r="1460" spans="1:24">
      <c r="A1460" s="1"/>
      <c r="M1460" s="26"/>
      <c r="N1460" s="26"/>
      <c r="P1460" s="1"/>
      <c r="Q1460" s="1"/>
      <c r="R1460" s="1"/>
      <c r="S1460" s="1"/>
      <c r="T1460" s="1"/>
      <c r="U1460" s="1"/>
      <c r="V1460" s="16"/>
      <c r="W1460" s="1"/>
      <c r="X1460" s="1"/>
    </row>
    <row r="1461" spans="1:24">
      <c r="A1461" s="1"/>
      <c r="M1461" s="26"/>
      <c r="N1461" s="26"/>
      <c r="P1461" s="1"/>
      <c r="Q1461" s="1"/>
      <c r="R1461" s="1"/>
      <c r="S1461" s="1"/>
      <c r="T1461" s="1"/>
      <c r="U1461" s="1"/>
      <c r="V1461" s="16"/>
      <c r="W1461" s="1"/>
      <c r="X1461" s="1"/>
    </row>
    <row r="1462" spans="1:24">
      <c r="A1462" s="1"/>
      <c r="M1462" s="26"/>
      <c r="N1462" s="26"/>
      <c r="P1462" s="1"/>
      <c r="Q1462" s="1"/>
      <c r="R1462" s="1"/>
      <c r="S1462" s="1"/>
      <c r="T1462" s="1"/>
      <c r="U1462" s="1"/>
      <c r="V1462" s="16"/>
      <c r="W1462" s="1"/>
      <c r="X1462" s="1"/>
    </row>
    <row r="1463" spans="1:24">
      <c r="A1463" s="1"/>
      <c r="M1463" s="26"/>
      <c r="N1463" s="26"/>
      <c r="P1463" s="1"/>
      <c r="Q1463" s="1"/>
      <c r="R1463" s="1"/>
      <c r="S1463" s="1"/>
      <c r="T1463" s="1"/>
      <c r="U1463" s="1"/>
      <c r="V1463" s="16"/>
      <c r="W1463" s="1"/>
      <c r="X1463" s="1"/>
    </row>
    <row r="1464" spans="1:24">
      <c r="A1464" s="1"/>
      <c r="M1464" s="26"/>
      <c r="N1464" s="26"/>
      <c r="P1464" s="1"/>
      <c r="Q1464" s="1"/>
      <c r="R1464" s="1"/>
      <c r="S1464" s="1"/>
      <c r="T1464" s="1"/>
      <c r="U1464" s="1"/>
      <c r="V1464" s="16"/>
      <c r="W1464" s="1"/>
      <c r="X1464" s="1"/>
    </row>
    <row r="1465" spans="1:24">
      <c r="A1465" s="1"/>
      <c r="M1465" s="26"/>
      <c r="N1465" s="26"/>
      <c r="P1465" s="1"/>
      <c r="Q1465" s="1"/>
      <c r="R1465" s="1"/>
      <c r="S1465" s="1"/>
      <c r="T1465" s="1"/>
      <c r="U1465" s="1"/>
      <c r="V1465" s="16"/>
      <c r="W1465" s="1"/>
      <c r="X1465" s="1"/>
    </row>
    <row r="1466" spans="1:24">
      <c r="A1466" s="1"/>
      <c r="M1466" s="26"/>
      <c r="N1466" s="26"/>
      <c r="P1466" s="1"/>
      <c r="Q1466" s="1"/>
      <c r="R1466" s="1"/>
      <c r="S1466" s="1"/>
      <c r="T1466" s="1"/>
      <c r="U1466" s="1"/>
      <c r="V1466" s="16"/>
      <c r="W1466" s="1"/>
      <c r="X1466" s="1"/>
    </row>
    <row r="1467" spans="1:24">
      <c r="A1467" s="1"/>
      <c r="M1467" s="26"/>
      <c r="N1467" s="26"/>
      <c r="P1467" s="1"/>
      <c r="Q1467" s="1"/>
      <c r="R1467" s="1"/>
      <c r="S1467" s="1"/>
      <c r="T1467" s="1"/>
      <c r="U1467" s="1"/>
      <c r="V1467" s="16"/>
      <c r="W1467" s="1"/>
      <c r="X1467" s="1"/>
    </row>
    <row r="1468" spans="1:24">
      <c r="A1468" s="1"/>
      <c r="M1468" s="26"/>
      <c r="N1468" s="26"/>
      <c r="P1468" s="1"/>
      <c r="Q1468" s="1"/>
      <c r="R1468" s="1"/>
      <c r="S1468" s="1"/>
      <c r="T1468" s="1"/>
      <c r="U1468" s="1"/>
      <c r="V1468" s="16"/>
      <c r="W1468" s="1"/>
      <c r="X1468" s="1"/>
    </row>
    <row r="1469" spans="1:24">
      <c r="A1469" s="1"/>
      <c r="M1469" s="26"/>
      <c r="N1469" s="26"/>
      <c r="P1469" s="1"/>
      <c r="Q1469" s="1"/>
      <c r="R1469" s="1"/>
      <c r="S1469" s="1"/>
      <c r="T1469" s="1"/>
      <c r="U1469" s="1"/>
      <c r="V1469" s="16"/>
      <c r="W1469" s="1"/>
      <c r="X1469" s="1"/>
    </row>
    <row r="1470" spans="1:24">
      <c r="A1470" s="1"/>
      <c r="M1470" s="26"/>
      <c r="N1470" s="26"/>
      <c r="P1470" s="1"/>
      <c r="Q1470" s="1"/>
      <c r="R1470" s="1"/>
      <c r="S1470" s="1"/>
      <c r="T1470" s="1"/>
      <c r="U1470" s="1"/>
      <c r="V1470" s="16"/>
      <c r="W1470" s="1"/>
      <c r="X1470" s="1"/>
    </row>
    <row r="1471" spans="1:24">
      <c r="A1471" s="1"/>
      <c r="M1471" s="26"/>
      <c r="N1471" s="26"/>
      <c r="P1471" s="1"/>
      <c r="Q1471" s="1"/>
      <c r="R1471" s="1"/>
      <c r="S1471" s="1"/>
      <c r="T1471" s="1"/>
      <c r="U1471" s="1"/>
      <c r="V1471" s="16"/>
      <c r="W1471" s="1"/>
      <c r="X1471" s="1"/>
    </row>
    <row r="1472" spans="1:24">
      <c r="A1472" s="1"/>
      <c r="M1472" s="26"/>
      <c r="N1472" s="26"/>
      <c r="P1472" s="1"/>
      <c r="Q1472" s="1"/>
      <c r="R1472" s="1"/>
      <c r="S1472" s="1"/>
      <c r="T1472" s="1"/>
      <c r="U1472" s="1"/>
      <c r="V1472" s="16"/>
      <c r="W1472" s="1"/>
      <c r="X1472" s="1"/>
    </row>
    <row r="1473" spans="1:24">
      <c r="A1473" s="1"/>
      <c r="M1473" s="26"/>
      <c r="N1473" s="26"/>
      <c r="P1473" s="1"/>
      <c r="Q1473" s="1"/>
      <c r="R1473" s="1"/>
      <c r="S1473" s="1"/>
      <c r="T1473" s="1"/>
      <c r="U1473" s="1"/>
      <c r="V1473" s="16"/>
      <c r="W1473" s="1"/>
      <c r="X1473" s="1"/>
    </row>
    <row r="1474" spans="1:24">
      <c r="A1474" s="1"/>
      <c r="M1474" s="26"/>
      <c r="N1474" s="26"/>
      <c r="P1474" s="1"/>
      <c r="Q1474" s="1"/>
      <c r="R1474" s="1"/>
      <c r="S1474" s="1"/>
      <c r="T1474" s="1"/>
      <c r="U1474" s="1"/>
      <c r="V1474" s="16"/>
      <c r="W1474" s="1"/>
      <c r="X1474" s="1"/>
    </row>
    <row r="1475" spans="1:24">
      <c r="A1475" s="1"/>
      <c r="M1475" s="26"/>
      <c r="N1475" s="26"/>
      <c r="P1475" s="1"/>
      <c r="Q1475" s="1"/>
      <c r="R1475" s="1"/>
      <c r="S1475" s="1"/>
      <c r="T1475" s="1"/>
      <c r="U1475" s="1"/>
      <c r="V1475" s="16"/>
      <c r="W1475" s="1"/>
      <c r="X1475" s="1"/>
    </row>
    <row r="1476" spans="1:24">
      <c r="A1476" s="1"/>
      <c r="M1476" s="26"/>
      <c r="N1476" s="26"/>
      <c r="P1476" s="1"/>
      <c r="Q1476" s="1"/>
      <c r="R1476" s="1"/>
      <c r="S1476" s="1"/>
      <c r="T1476" s="1"/>
      <c r="U1476" s="1"/>
      <c r="V1476" s="16"/>
      <c r="W1476" s="1"/>
      <c r="X1476" s="1"/>
    </row>
    <row r="1477" spans="1:24">
      <c r="A1477" s="1"/>
      <c r="M1477" s="26"/>
      <c r="N1477" s="26"/>
      <c r="P1477" s="1"/>
      <c r="Q1477" s="1"/>
      <c r="R1477" s="1"/>
      <c r="S1477" s="1"/>
      <c r="T1477" s="1"/>
      <c r="U1477" s="1"/>
      <c r="V1477" s="16"/>
      <c r="W1477" s="1"/>
      <c r="X1477" s="1"/>
    </row>
    <row r="1478" spans="1:24">
      <c r="A1478" s="1"/>
      <c r="M1478" s="26"/>
      <c r="N1478" s="26"/>
      <c r="P1478" s="1"/>
      <c r="Q1478" s="1"/>
      <c r="R1478" s="1"/>
      <c r="S1478" s="1"/>
      <c r="T1478" s="1"/>
      <c r="U1478" s="1"/>
      <c r="V1478" s="16"/>
      <c r="W1478" s="1"/>
      <c r="X1478" s="1"/>
    </row>
    <row r="1479" spans="1:24">
      <c r="A1479" s="1"/>
      <c r="M1479" s="26"/>
      <c r="N1479" s="26"/>
      <c r="P1479" s="1"/>
      <c r="Q1479" s="1"/>
      <c r="R1479" s="1"/>
      <c r="S1479" s="1"/>
      <c r="T1479" s="1"/>
      <c r="U1479" s="1"/>
      <c r="V1479" s="16"/>
      <c r="W1479" s="1"/>
      <c r="X1479" s="1"/>
    </row>
    <row r="1480" spans="1:24">
      <c r="A1480" s="1"/>
      <c r="M1480" s="26"/>
      <c r="N1480" s="26"/>
      <c r="P1480" s="1"/>
      <c r="Q1480" s="1"/>
      <c r="R1480" s="1"/>
      <c r="S1480" s="1"/>
      <c r="T1480" s="1"/>
      <c r="U1480" s="1"/>
      <c r="V1480" s="16"/>
      <c r="W1480" s="1"/>
      <c r="X1480" s="1"/>
    </row>
    <row r="1481" spans="1:24">
      <c r="A1481" s="1"/>
      <c r="M1481" s="26"/>
      <c r="N1481" s="26"/>
      <c r="P1481" s="1"/>
      <c r="Q1481" s="1"/>
      <c r="R1481" s="1"/>
      <c r="S1481" s="1"/>
      <c r="T1481" s="1"/>
      <c r="U1481" s="1"/>
      <c r="V1481" s="16"/>
      <c r="W1481" s="1"/>
      <c r="X1481" s="1"/>
    </row>
    <row r="1482" spans="1:24">
      <c r="A1482" s="1"/>
      <c r="M1482" s="26"/>
      <c r="N1482" s="26"/>
      <c r="P1482" s="1"/>
      <c r="Q1482" s="1"/>
      <c r="R1482" s="1"/>
      <c r="S1482" s="1"/>
      <c r="T1482" s="1"/>
      <c r="U1482" s="1"/>
      <c r="V1482" s="16"/>
      <c r="W1482" s="1"/>
      <c r="X1482" s="1"/>
    </row>
    <row r="1483" spans="1:24">
      <c r="A1483" s="1"/>
      <c r="M1483" s="26"/>
      <c r="N1483" s="26"/>
      <c r="P1483" s="1"/>
      <c r="Q1483" s="1"/>
      <c r="R1483" s="1"/>
      <c r="S1483" s="1"/>
      <c r="T1483" s="1"/>
      <c r="U1483" s="1"/>
      <c r="V1483" s="16"/>
      <c r="W1483" s="1"/>
      <c r="X1483" s="1"/>
    </row>
    <row r="1484" spans="1:24">
      <c r="A1484" s="1"/>
      <c r="M1484" s="26"/>
      <c r="N1484" s="26"/>
      <c r="P1484" s="1"/>
      <c r="Q1484" s="1"/>
      <c r="R1484" s="1"/>
      <c r="S1484" s="1"/>
      <c r="T1484" s="1"/>
      <c r="U1484" s="1"/>
      <c r="V1484" s="16"/>
      <c r="W1484" s="1"/>
      <c r="X1484" s="1"/>
    </row>
    <row r="1485" spans="1:24">
      <c r="A1485" s="1"/>
      <c r="M1485" s="26"/>
      <c r="N1485" s="26"/>
      <c r="P1485" s="1"/>
      <c r="Q1485" s="1"/>
      <c r="R1485" s="1"/>
      <c r="S1485" s="1"/>
      <c r="T1485" s="1"/>
      <c r="U1485" s="1"/>
      <c r="V1485" s="16"/>
      <c r="W1485" s="1"/>
      <c r="X1485" s="1"/>
    </row>
    <row r="1486" spans="1:24">
      <c r="A1486" s="1"/>
      <c r="M1486" s="26"/>
      <c r="N1486" s="26"/>
      <c r="P1486" s="1"/>
      <c r="Q1486" s="1"/>
      <c r="R1486" s="1"/>
      <c r="S1486" s="1"/>
      <c r="T1486" s="1"/>
      <c r="U1486" s="1"/>
      <c r="V1486" s="16"/>
      <c r="W1486" s="1"/>
      <c r="X1486" s="1"/>
    </row>
    <row r="1487" spans="1:24">
      <c r="A1487" s="1"/>
      <c r="M1487" s="26"/>
      <c r="N1487" s="26"/>
      <c r="P1487" s="1"/>
      <c r="Q1487" s="1"/>
      <c r="R1487" s="1"/>
      <c r="S1487" s="1"/>
      <c r="T1487" s="1"/>
      <c r="U1487" s="1"/>
      <c r="V1487" s="16"/>
      <c r="W1487" s="1"/>
      <c r="X1487" s="1"/>
    </row>
    <row r="1488" spans="1:24">
      <c r="A1488" s="1"/>
      <c r="M1488" s="26"/>
      <c r="N1488" s="26"/>
      <c r="P1488" s="1"/>
      <c r="Q1488" s="1"/>
      <c r="R1488" s="1"/>
      <c r="S1488" s="1"/>
      <c r="T1488" s="1"/>
      <c r="U1488" s="1"/>
      <c r="V1488" s="16"/>
      <c r="W1488" s="1"/>
      <c r="X1488" s="1"/>
    </row>
    <row r="1489" spans="1:24">
      <c r="A1489" s="1"/>
      <c r="M1489" s="26"/>
      <c r="N1489" s="26"/>
      <c r="P1489" s="1"/>
      <c r="Q1489" s="1"/>
      <c r="R1489" s="1"/>
      <c r="S1489" s="1"/>
      <c r="T1489" s="1"/>
      <c r="U1489" s="1"/>
      <c r="V1489" s="16"/>
      <c r="W1489" s="1"/>
      <c r="X1489" s="1"/>
    </row>
    <row r="1490" spans="1:24">
      <c r="A1490" s="1"/>
      <c r="M1490" s="26"/>
      <c r="N1490" s="26"/>
      <c r="P1490" s="1"/>
      <c r="Q1490" s="1"/>
      <c r="R1490" s="1"/>
      <c r="S1490" s="1"/>
      <c r="T1490" s="1"/>
      <c r="U1490" s="1"/>
      <c r="V1490" s="16"/>
      <c r="W1490" s="1"/>
      <c r="X1490" s="1"/>
    </row>
    <row r="1491" spans="1:24">
      <c r="A1491" s="1"/>
      <c r="M1491" s="26"/>
      <c r="N1491" s="26"/>
      <c r="P1491" s="1"/>
      <c r="Q1491" s="1"/>
      <c r="R1491" s="1"/>
      <c r="S1491" s="1"/>
      <c r="T1491" s="1"/>
      <c r="U1491" s="1"/>
      <c r="V1491" s="16"/>
      <c r="W1491" s="1"/>
      <c r="X1491" s="1"/>
    </row>
    <row r="1492" spans="1:24">
      <c r="A1492" s="1"/>
      <c r="M1492" s="26"/>
      <c r="N1492" s="26"/>
      <c r="P1492" s="1"/>
      <c r="Q1492" s="1"/>
      <c r="R1492" s="1"/>
      <c r="S1492" s="1"/>
      <c r="T1492" s="1"/>
      <c r="U1492" s="1"/>
      <c r="V1492" s="16"/>
      <c r="W1492" s="1"/>
      <c r="X1492" s="1"/>
    </row>
    <row r="1493" spans="1:24">
      <c r="A1493" s="1"/>
      <c r="M1493" s="26"/>
      <c r="N1493" s="26"/>
      <c r="P1493" s="1"/>
      <c r="Q1493" s="1"/>
      <c r="R1493" s="1"/>
      <c r="S1493" s="1"/>
      <c r="T1493" s="1"/>
      <c r="U1493" s="1"/>
      <c r="V1493" s="16"/>
      <c r="W1493" s="1"/>
      <c r="X1493" s="1"/>
    </row>
    <row r="1494" spans="1:24">
      <c r="A1494" s="1"/>
      <c r="M1494" s="26"/>
      <c r="N1494" s="26"/>
      <c r="P1494" s="1"/>
      <c r="Q1494" s="1"/>
      <c r="R1494" s="1"/>
      <c r="S1494" s="1"/>
      <c r="T1494" s="1"/>
      <c r="U1494" s="1"/>
      <c r="V1494" s="16"/>
      <c r="W1494" s="1"/>
      <c r="X1494" s="1"/>
    </row>
    <row r="1495" spans="1:24">
      <c r="A1495" s="1"/>
      <c r="M1495" s="26"/>
      <c r="N1495" s="26"/>
      <c r="P1495" s="1"/>
      <c r="Q1495" s="1"/>
      <c r="R1495" s="1"/>
      <c r="S1495" s="1"/>
      <c r="T1495" s="1"/>
      <c r="U1495" s="1"/>
      <c r="V1495" s="16"/>
      <c r="W1495" s="1"/>
      <c r="X1495" s="1"/>
    </row>
    <row r="1496" spans="1:24">
      <c r="A1496" s="1"/>
      <c r="M1496" s="26"/>
      <c r="N1496" s="26"/>
      <c r="P1496" s="1"/>
      <c r="Q1496" s="1"/>
      <c r="R1496" s="1"/>
      <c r="S1496" s="1"/>
      <c r="T1496" s="1"/>
      <c r="U1496" s="1"/>
      <c r="V1496" s="16"/>
      <c r="W1496" s="1"/>
      <c r="X1496" s="1"/>
    </row>
    <row r="1497" spans="1:24">
      <c r="A1497" s="1"/>
      <c r="M1497" s="26"/>
      <c r="N1497" s="26"/>
      <c r="P1497" s="1"/>
      <c r="Q1497" s="1"/>
      <c r="R1497" s="1"/>
      <c r="S1497" s="1"/>
      <c r="T1497" s="1"/>
      <c r="U1497" s="1"/>
      <c r="V1497" s="16"/>
      <c r="W1497" s="1"/>
      <c r="X1497" s="1"/>
    </row>
    <row r="1498" spans="1:24">
      <c r="A1498" s="1"/>
      <c r="M1498" s="26"/>
      <c r="N1498" s="26"/>
      <c r="P1498" s="1"/>
      <c r="Q1498" s="1"/>
      <c r="R1498" s="1"/>
      <c r="S1498" s="1"/>
      <c r="T1498" s="1"/>
      <c r="U1498" s="1"/>
      <c r="V1498" s="16"/>
      <c r="W1498" s="1"/>
      <c r="X1498" s="1"/>
    </row>
    <row r="1499" spans="1:24">
      <c r="A1499" s="1"/>
      <c r="M1499" s="26"/>
      <c r="N1499" s="26"/>
      <c r="P1499" s="1"/>
      <c r="Q1499" s="1"/>
      <c r="R1499" s="1"/>
      <c r="S1499" s="1"/>
      <c r="T1499" s="1"/>
      <c r="U1499" s="1"/>
      <c r="V1499" s="16"/>
      <c r="W1499" s="1"/>
      <c r="X1499" s="1"/>
    </row>
    <row r="1500" spans="1:24">
      <c r="A1500" s="1"/>
      <c r="M1500" s="26"/>
      <c r="N1500" s="26"/>
      <c r="P1500" s="1"/>
      <c r="Q1500" s="1"/>
      <c r="R1500" s="1"/>
      <c r="S1500" s="1"/>
      <c r="T1500" s="1"/>
      <c r="U1500" s="1"/>
      <c r="V1500" s="16"/>
      <c r="W1500" s="1"/>
      <c r="X1500" s="1"/>
    </row>
    <row r="1501" spans="1:24">
      <c r="A1501" s="1"/>
      <c r="M1501" s="26"/>
      <c r="N1501" s="26"/>
      <c r="P1501" s="1"/>
      <c r="Q1501" s="1"/>
      <c r="R1501" s="1"/>
      <c r="S1501" s="1"/>
      <c r="T1501" s="1"/>
      <c r="U1501" s="1"/>
      <c r="V1501" s="16"/>
      <c r="W1501" s="1"/>
      <c r="X1501" s="1"/>
    </row>
    <row r="1502" spans="1:24">
      <c r="A1502" s="1"/>
      <c r="M1502" s="26"/>
      <c r="N1502" s="26"/>
      <c r="P1502" s="1"/>
      <c r="Q1502" s="1"/>
      <c r="R1502" s="1"/>
      <c r="S1502" s="1"/>
      <c r="T1502" s="1"/>
      <c r="U1502" s="1"/>
      <c r="V1502" s="16"/>
      <c r="W1502" s="1"/>
      <c r="X1502" s="1"/>
    </row>
    <row r="1503" spans="1:24">
      <c r="A1503" s="1"/>
      <c r="M1503" s="26"/>
      <c r="N1503" s="26"/>
      <c r="P1503" s="1"/>
      <c r="Q1503" s="1"/>
      <c r="R1503" s="1"/>
      <c r="S1503" s="1"/>
      <c r="T1503" s="1"/>
      <c r="U1503" s="1"/>
      <c r="V1503" s="16"/>
      <c r="W1503" s="1"/>
      <c r="X1503" s="1"/>
    </row>
    <row r="1504" spans="1:24">
      <c r="A1504" s="1"/>
      <c r="M1504" s="26"/>
      <c r="N1504" s="26"/>
      <c r="P1504" s="1"/>
      <c r="Q1504" s="1"/>
      <c r="R1504" s="1"/>
      <c r="S1504" s="1"/>
      <c r="T1504" s="1"/>
      <c r="U1504" s="1"/>
      <c r="V1504" s="16"/>
      <c r="W1504" s="1"/>
      <c r="X1504" s="1"/>
    </row>
    <row r="1505" spans="1:24">
      <c r="A1505" s="1"/>
      <c r="M1505" s="26"/>
      <c r="N1505" s="26"/>
      <c r="P1505" s="1"/>
      <c r="Q1505" s="1"/>
      <c r="R1505" s="1"/>
      <c r="S1505" s="1"/>
      <c r="T1505" s="1"/>
      <c r="U1505" s="1"/>
      <c r="V1505" s="16"/>
      <c r="W1505" s="1"/>
      <c r="X1505" s="1"/>
    </row>
    <row r="1506" spans="1:24">
      <c r="A1506" s="1"/>
      <c r="M1506" s="26"/>
      <c r="N1506" s="26"/>
      <c r="P1506" s="1"/>
      <c r="Q1506" s="1"/>
      <c r="R1506" s="1"/>
      <c r="S1506" s="1"/>
      <c r="T1506" s="1"/>
      <c r="U1506" s="1"/>
      <c r="V1506" s="16"/>
      <c r="W1506" s="1"/>
      <c r="X1506" s="1"/>
    </row>
    <row r="1507" spans="1:24">
      <c r="A1507" s="1"/>
      <c r="M1507" s="26"/>
      <c r="N1507" s="26"/>
      <c r="P1507" s="1"/>
      <c r="Q1507" s="1"/>
      <c r="R1507" s="1"/>
      <c r="S1507" s="1"/>
      <c r="T1507" s="1"/>
      <c r="U1507" s="1"/>
      <c r="V1507" s="16"/>
      <c r="W1507" s="1"/>
      <c r="X1507" s="1"/>
    </row>
    <row r="1508" spans="1:24">
      <c r="A1508" s="1"/>
      <c r="M1508" s="26"/>
      <c r="N1508" s="26"/>
      <c r="P1508" s="1"/>
      <c r="Q1508" s="1"/>
      <c r="R1508" s="1"/>
      <c r="S1508" s="1"/>
      <c r="T1508" s="1"/>
      <c r="U1508" s="1"/>
      <c r="V1508" s="16"/>
      <c r="W1508" s="1"/>
      <c r="X1508" s="1"/>
    </row>
    <row r="1509" spans="1:24">
      <c r="A1509" s="1"/>
      <c r="M1509" s="26"/>
      <c r="N1509" s="26"/>
      <c r="P1509" s="1"/>
      <c r="Q1509" s="1"/>
      <c r="R1509" s="1"/>
      <c r="S1509" s="1"/>
      <c r="T1509" s="1"/>
      <c r="U1509" s="1"/>
      <c r="V1509" s="16"/>
      <c r="W1509" s="1"/>
      <c r="X1509" s="1"/>
    </row>
    <row r="1510" spans="1:24">
      <c r="A1510" s="1"/>
      <c r="M1510" s="26"/>
      <c r="N1510" s="26"/>
      <c r="P1510" s="1"/>
      <c r="Q1510" s="1"/>
      <c r="R1510" s="1"/>
      <c r="S1510" s="1"/>
      <c r="T1510" s="1"/>
      <c r="U1510" s="1"/>
      <c r="V1510" s="16"/>
      <c r="W1510" s="1"/>
      <c r="X1510" s="1"/>
    </row>
    <row r="1511" spans="1:24">
      <c r="A1511" s="1"/>
      <c r="M1511" s="26"/>
      <c r="N1511" s="26"/>
      <c r="P1511" s="1"/>
      <c r="Q1511" s="1"/>
      <c r="R1511" s="1"/>
      <c r="S1511" s="1"/>
      <c r="T1511" s="1"/>
      <c r="U1511" s="1"/>
      <c r="V1511" s="16"/>
      <c r="W1511" s="1"/>
      <c r="X1511" s="1"/>
    </row>
    <row r="1512" spans="1:24">
      <c r="A1512" s="1"/>
      <c r="M1512" s="26"/>
      <c r="N1512" s="26"/>
      <c r="P1512" s="1"/>
      <c r="Q1512" s="1"/>
      <c r="R1512" s="1"/>
      <c r="S1512" s="1"/>
      <c r="T1512" s="1"/>
      <c r="U1512" s="1"/>
      <c r="V1512" s="16"/>
      <c r="W1512" s="1"/>
      <c r="X1512" s="1"/>
    </row>
    <row r="1513" spans="1:24">
      <c r="A1513" s="1"/>
      <c r="M1513" s="26"/>
      <c r="N1513" s="26"/>
      <c r="P1513" s="1"/>
      <c r="Q1513" s="1"/>
      <c r="R1513" s="1"/>
      <c r="S1513" s="1"/>
      <c r="T1513" s="1"/>
      <c r="U1513" s="1"/>
      <c r="V1513" s="16"/>
      <c r="W1513" s="1"/>
      <c r="X1513" s="1"/>
    </row>
    <row r="1514" spans="1:24">
      <c r="A1514" s="1"/>
      <c r="M1514" s="26"/>
      <c r="N1514" s="26"/>
      <c r="P1514" s="1"/>
      <c r="Q1514" s="1"/>
      <c r="R1514" s="1"/>
      <c r="S1514" s="1"/>
      <c r="T1514" s="1"/>
      <c r="U1514" s="1"/>
      <c r="V1514" s="16"/>
      <c r="W1514" s="1"/>
      <c r="X1514" s="1"/>
    </row>
    <row r="1515" spans="1:24">
      <c r="A1515" s="1"/>
      <c r="M1515" s="26"/>
      <c r="N1515" s="26"/>
      <c r="P1515" s="1"/>
      <c r="Q1515" s="1"/>
      <c r="R1515" s="1"/>
      <c r="S1515" s="1"/>
      <c r="T1515" s="1"/>
      <c r="U1515" s="1"/>
      <c r="V1515" s="16"/>
      <c r="W1515" s="1"/>
      <c r="X1515" s="1"/>
    </row>
    <row r="1516" spans="1:24">
      <c r="A1516" s="1"/>
      <c r="M1516" s="26"/>
      <c r="N1516" s="26"/>
      <c r="P1516" s="1"/>
      <c r="Q1516" s="1"/>
      <c r="R1516" s="1"/>
      <c r="S1516" s="1"/>
      <c r="T1516" s="1"/>
      <c r="U1516" s="1"/>
      <c r="V1516" s="16"/>
      <c r="W1516" s="1"/>
      <c r="X1516" s="1"/>
    </row>
    <row r="1517" spans="1:24">
      <c r="A1517" s="1"/>
      <c r="M1517" s="26"/>
      <c r="N1517" s="26"/>
      <c r="P1517" s="1"/>
      <c r="Q1517" s="1"/>
      <c r="R1517" s="1"/>
      <c r="S1517" s="1"/>
      <c r="T1517" s="1"/>
      <c r="U1517" s="1"/>
      <c r="V1517" s="16"/>
      <c r="W1517" s="1"/>
      <c r="X1517" s="1"/>
    </row>
    <row r="1518" spans="1:24">
      <c r="A1518" s="1"/>
      <c r="M1518" s="26"/>
      <c r="N1518" s="26"/>
      <c r="P1518" s="1"/>
      <c r="Q1518" s="1"/>
      <c r="R1518" s="1"/>
      <c r="S1518" s="1"/>
      <c r="T1518" s="1"/>
      <c r="U1518" s="1"/>
      <c r="V1518" s="16"/>
      <c r="W1518" s="1"/>
      <c r="X1518" s="1"/>
    </row>
    <row r="1519" spans="1:24">
      <c r="A1519" s="1"/>
      <c r="M1519" s="26"/>
      <c r="N1519" s="26"/>
      <c r="P1519" s="1"/>
      <c r="Q1519" s="1"/>
      <c r="R1519" s="1"/>
      <c r="S1519" s="1"/>
      <c r="T1519" s="1"/>
      <c r="U1519" s="1"/>
      <c r="V1519" s="16"/>
      <c r="W1519" s="1"/>
      <c r="X1519" s="1"/>
    </row>
    <row r="1520" spans="1:24">
      <c r="A1520" s="1"/>
      <c r="M1520" s="26"/>
      <c r="N1520" s="26"/>
      <c r="P1520" s="1"/>
      <c r="Q1520" s="1"/>
      <c r="R1520" s="1"/>
      <c r="S1520" s="1"/>
      <c r="T1520" s="1"/>
      <c r="U1520" s="1"/>
      <c r="V1520" s="16"/>
      <c r="W1520" s="1"/>
      <c r="X1520" s="1"/>
    </row>
    <row r="1521" spans="1:24">
      <c r="A1521" s="1"/>
      <c r="M1521" s="26"/>
      <c r="N1521" s="26"/>
      <c r="P1521" s="1"/>
      <c r="Q1521" s="1"/>
      <c r="R1521" s="1"/>
      <c r="S1521" s="1"/>
      <c r="T1521" s="1"/>
      <c r="U1521" s="1"/>
      <c r="V1521" s="16"/>
      <c r="W1521" s="1"/>
      <c r="X1521" s="1"/>
    </row>
    <row r="1522" spans="1:24">
      <c r="A1522" s="1"/>
      <c r="M1522" s="26"/>
      <c r="N1522" s="26"/>
      <c r="P1522" s="1"/>
      <c r="Q1522" s="1"/>
      <c r="R1522" s="1"/>
      <c r="S1522" s="1"/>
      <c r="T1522" s="1"/>
      <c r="U1522" s="1"/>
      <c r="V1522" s="16"/>
      <c r="W1522" s="1"/>
      <c r="X1522" s="1"/>
    </row>
    <row r="1523" spans="1:24">
      <c r="A1523" s="1"/>
      <c r="M1523" s="26"/>
      <c r="N1523" s="26"/>
      <c r="P1523" s="1"/>
      <c r="Q1523" s="1"/>
      <c r="R1523" s="1"/>
      <c r="S1523" s="1"/>
      <c r="T1523" s="1"/>
      <c r="U1523" s="1"/>
      <c r="V1523" s="16"/>
      <c r="W1523" s="1"/>
      <c r="X1523" s="1"/>
    </row>
    <row r="1524" spans="1:24">
      <c r="A1524" s="1"/>
      <c r="M1524" s="26"/>
      <c r="N1524" s="26"/>
      <c r="P1524" s="1"/>
      <c r="Q1524" s="1"/>
      <c r="R1524" s="1"/>
      <c r="S1524" s="1"/>
      <c r="T1524" s="1"/>
      <c r="U1524" s="1"/>
      <c r="V1524" s="16"/>
      <c r="W1524" s="1"/>
      <c r="X1524" s="1"/>
    </row>
    <row r="1525" spans="1:24">
      <c r="A1525" s="1"/>
      <c r="M1525" s="26"/>
      <c r="N1525" s="26"/>
      <c r="P1525" s="1"/>
      <c r="Q1525" s="1"/>
      <c r="R1525" s="1"/>
      <c r="S1525" s="1"/>
      <c r="T1525" s="1"/>
      <c r="U1525" s="1"/>
      <c r="V1525" s="16"/>
      <c r="W1525" s="1"/>
      <c r="X1525" s="1"/>
    </row>
    <row r="1526" spans="1:24">
      <c r="A1526" s="1"/>
      <c r="M1526" s="26"/>
      <c r="N1526" s="26"/>
      <c r="P1526" s="1"/>
      <c r="Q1526" s="1"/>
      <c r="R1526" s="1"/>
      <c r="S1526" s="1"/>
      <c r="T1526" s="1"/>
      <c r="U1526" s="1"/>
      <c r="V1526" s="16"/>
      <c r="W1526" s="1"/>
      <c r="X1526" s="1"/>
    </row>
    <row r="1527" spans="1:24">
      <c r="A1527" s="1"/>
      <c r="M1527" s="26"/>
      <c r="N1527" s="26"/>
      <c r="P1527" s="1"/>
      <c r="Q1527" s="1"/>
      <c r="R1527" s="1"/>
      <c r="S1527" s="1"/>
      <c r="T1527" s="1"/>
      <c r="U1527" s="1"/>
      <c r="V1527" s="16"/>
      <c r="W1527" s="1"/>
      <c r="X1527" s="1"/>
    </row>
    <row r="1528" spans="1:24">
      <c r="A1528" s="1"/>
      <c r="M1528" s="26"/>
      <c r="N1528" s="26"/>
      <c r="P1528" s="1"/>
      <c r="Q1528" s="1"/>
      <c r="R1528" s="1"/>
      <c r="S1528" s="1"/>
      <c r="T1528" s="1"/>
      <c r="U1528" s="1"/>
      <c r="V1528" s="16"/>
      <c r="W1528" s="1"/>
      <c r="X1528" s="1"/>
    </row>
    <row r="1529" spans="1:24">
      <c r="A1529" s="1"/>
      <c r="M1529" s="26"/>
      <c r="N1529" s="26"/>
      <c r="P1529" s="1"/>
      <c r="Q1529" s="1"/>
      <c r="R1529" s="1"/>
      <c r="S1529" s="1"/>
      <c r="T1529" s="1"/>
      <c r="U1529" s="1"/>
      <c r="V1529" s="16"/>
      <c r="W1529" s="1"/>
      <c r="X1529" s="1"/>
    </row>
    <row r="1530" spans="1:24">
      <c r="A1530" s="1"/>
      <c r="M1530" s="26"/>
      <c r="N1530" s="26"/>
      <c r="P1530" s="1"/>
      <c r="Q1530" s="1"/>
      <c r="R1530" s="1"/>
      <c r="S1530" s="1"/>
      <c r="T1530" s="1"/>
      <c r="U1530" s="1"/>
      <c r="V1530" s="16"/>
      <c r="W1530" s="1"/>
      <c r="X1530" s="1"/>
    </row>
    <row r="1531" spans="1:24">
      <c r="A1531" s="1"/>
      <c r="M1531" s="26"/>
      <c r="N1531" s="26"/>
      <c r="P1531" s="1"/>
      <c r="Q1531" s="1"/>
      <c r="R1531" s="1"/>
      <c r="S1531" s="1"/>
      <c r="T1531" s="1"/>
      <c r="U1531" s="1"/>
      <c r="V1531" s="16"/>
      <c r="W1531" s="1"/>
      <c r="X1531" s="1"/>
    </row>
    <row r="1532" spans="1:24">
      <c r="A1532" s="1"/>
      <c r="M1532" s="26"/>
      <c r="N1532" s="26"/>
      <c r="P1532" s="1"/>
      <c r="Q1532" s="1"/>
      <c r="R1532" s="1"/>
      <c r="S1532" s="1"/>
      <c r="T1532" s="1"/>
      <c r="U1532" s="1"/>
      <c r="V1532" s="16"/>
      <c r="W1532" s="1"/>
      <c r="X1532" s="1"/>
    </row>
    <row r="1533" spans="1:24">
      <c r="A1533" s="1"/>
      <c r="M1533" s="26"/>
      <c r="N1533" s="26"/>
      <c r="P1533" s="1"/>
      <c r="Q1533" s="1"/>
      <c r="R1533" s="1"/>
      <c r="S1533" s="1"/>
      <c r="T1533" s="1"/>
      <c r="U1533" s="1"/>
      <c r="V1533" s="16"/>
      <c r="W1533" s="1"/>
      <c r="X1533" s="1"/>
    </row>
    <row r="1534" spans="1:24">
      <c r="A1534" s="1"/>
      <c r="M1534" s="26"/>
      <c r="N1534" s="26"/>
      <c r="P1534" s="1"/>
      <c r="Q1534" s="1"/>
      <c r="R1534" s="1"/>
      <c r="S1534" s="1"/>
      <c r="T1534" s="1"/>
      <c r="U1534" s="1"/>
      <c r="V1534" s="16"/>
      <c r="W1534" s="1"/>
      <c r="X1534" s="1"/>
    </row>
    <row r="1535" spans="1:24">
      <c r="A1535" s="1"/>
      <c r="M1535" s="26"/>
      <c r="N1535" s="26"/>
      <c r="P1535" s="1"/>
      <c r="Q1535" s="1"/>
      <c r="R1535" s="1"/>
      <c r="S1535" s="1"/>
      <c r="T1535" s="1"/>
      <c r="U1535" s="1"/>
      <c r="V1535" s="16"/>
      <c r="W1535" s="1"/>
      <c r="X1535" s="1"/>
    </row>
    <row r="1536" spans="1:24">
      <c r="A1536" s="1"/>
      <c r="M1536" s="26"/>
      <c r="N1536" s="26"/>
      <c r="P1536" s="1"/>
      <c r="Q1536" s="1"/>
      <c r="R1536" s="1"/>
      <c r="S1536" s="1"/>
      <c r="T1536" s="1"/>
      <c r="U1536" s="1"/>
      <c r="V1536" s="16"/>
      <c r="W1536" s="1"/>
      <c r="X1536" s="1"/>
    </row>
    <row r="1537" spans="1:24">
      <c r="A1537" s="1"/>
      <c r="M1537" s="26"/>
      <c r="N1537" s="26"/>
      <c r="P1537" s="1"/>
      <c r="Q1537" s="1"/>
      <c r="R1537" s="1"/>
      <c r="S1537" s="1"/>
      <c r="T1537" s="1"/>
      <c r="U1537" s="1"/>
      <c r="V1537" s="16"/>
      <c r="W1537" s="1"/>
      <c r="X1537" s="1"/>
    </row>
    <row r="1538" spans="1:24">
      <c r="A1538" s="1"/>
      <c r="M1538" s="26"/>
      <c r="N1538" s="26"/>
      <c r="P1538" s="1"/>
      <c r="Q1538" s="1"/>
      <c r="R1538" s="1"/>
      <c r="S1538" s="1"/>
      <c r="T1538" s="1"/>
      <c r="U1538" s="1"/>
      <c r="V1538" s="16"/>
      <c r="W1538" s="1"/>
      <c r="X1538" s="1"/>
    </row>
    <row r="1539" spans="1:24">
      <c r="A1539" s="1"/>
      <c r="M1539" s="26"/>
      <c r="N1539" s="26"/>
      <c r="P1539" s="1"/>
      <c r="Q1539" s="1"/>
      <c r="R1539" s="1"/>
      <c r="S1539" s="1"/>
      <c r="T1539" s="1"/>
      <c r="U1539" s="1"/>
      <c r="V1539" s="16"/>
      <c r="W1539" s="1"/>
      <c r="X1539" s="1"/>
    </row>
    <row r="1540" spans="1:24">
      <c r="A1540" s="1"/>
      <c r="M1540" s="26"/>
      <c r="N1540" s="26"/>
      <c r="P1540" s="1"/>
      <c r="Q1540" s="1"/>
      <c r="R1540" s="1"/>
      <c r="S1540" s="1"/>
      <c r="T1540" s="1"/>
      <c r="U1540" s="1"/>
      <c r="V1540" s="16"/>
      <c r="W1540" s="1"/>
      <c r="X1540" s="1"/>
    </row>
    <row r="1541" spans="1:24">
      <c r="A1541" s="1"/>
      <c r="M1541" s="26"/>
      <c r="N1541" s="26"/>
      <c r="P1541" s="1"/>
      <c r="Q1541" s="1"/>
      <c r="R1541" s="1"/>
      <c r="S1541" s="1"/>
      <c r="T1541" s="1"/>
      <c r="U1541" s="1"/>
      <c r="V1541" s="16"/>
      <c r="W1541" s="1"/>
      <c r="X1541" s="1"/>
    </row>
    <row r="1542" spans="1:24">
      <c r="A1542" s="1"/>
      <c r="M1542" s="26"/>
      <c r="N1542" s="26"/>
      <c r="P1542" s="1"/>
      <c r="Q1542" s="1"/>
      <c r="R1542" s="1"/>
      <c r="S1542" s="1"/>
      <c r="T1542" s="1"/>
      <c r="U1542" s="1"/>
      <c r="V1542" s="16"/>
      <c r="W1542" s="1"/>
      <c r="X1542" s="1"/>
    </row>
    <row r="1543" spans="1:24">
      <c r="A1543" s="1"/>
      <c r="M1543" s="26"/>
      <c r="N1543" s="26"/>
      <c r="P1543" s="1"/>
      <c r="Q1543" s="1"/>
      <c r="R1543" s="1"/>
      <c r="S1543" s="1"/>
      <c r="T1543" s="1"/>
      <c r="U1543" s="1"/>
      <c r="V1543" s="16"/>
      <c r="W1543" s="1"/>
      <c r="X1543" s="1"/>
    </row>
    <row r="1544" spans="1:24">
      <c r="A1544" s="1"/>
      <c r="M1544" s="26"/>
      <c r="N1544" s="26"/>
      <c r="P1544" s="1"/>
      <c r="Q1544" s="1"/>
      <c r="R1544" s="1"/>
      <c r="S1544" s="1"/>
      <c r="T1544" s="1"/>
      <c r="U1544" s="1"/>
      <c r="V1544" s="16"/>
      <c r="W1544" s="1"/>
      <c r="X1544" s="1"/>
    </row>
    <row r="1545" spans="1:24">
      <c r="A1545" s="1"/>
      <c r="M1545" s="26"/>
      <c r="N1545" s="26"/>
      <c r="P1545" s="1"/>
      <c r="Q1545" s="1"/>
      <c r="R1545" s="1"/>
      <c r="S1545" s="1"/>
      <c r="T1545" s="1"/>
      <c r="U1545" s="1"/>
      <c r="V1545" s="16"/>
      <c r="W1545" s="1"/>
      <c r="X1545" s="1"/>
    </row>
    <row r="1546" spans="1:24">
      <c r="A1546" s="1"/>
      <c r="M1546" s="26"/>
      <c r="N1546" s="26"/>
      <c r="P1546" s="1"/>
      <c r="Q1546" s="1"/>
      <c r="R1546" s="1"/>
      <c r="S1546" s="1"/>
      <c r="T1546" s="1"/>
      <c r="U1546" s="1"/>
      <c r="V1546" s="16"/>
      <c r="W1546" s="1"/>
      <c r="X1546" s="1"/>
    </row>
    <row r="1547" spans="1:24">
      <c r="A1547" s="1"/>
      <c r="M1547" s="26"/>
      <c r="N1547" s="26"/>
      <c r="P1547" s="1"/>
      <c r="Q1547" s="1"/>
      <c r="R1547" s="1"/>
      <c r="S1547" s="1"/>
      <c r="T1547" s="1"/>
      <c r="U1547" s="1"/>
      <c r="V1547" s="16"/>
      <c r="W1547" s="1"/>
      <c r="X1547" s="1"/>
    </row>
    <row r="1548" spans="1:24">
      <c r="A1548" s="1"/>
      <c r="M1548" s="26"/>
      <c r="N1548" s="26"/>
      <c r="P1548" s="1"/>
      <c r="Q1548" s="1"/>
      <c r="R1548" s="1"/>
      <c r="S1548" s="1"/>
      <c r="T1548" s="1"/>
      <c r="U1548" s="1"/>
      <c r="V1548" s="16"/>
      <c r="W1548" s="1"/>
      <c r="X1548" s="1"/>
    </row>
    <row r="1549" spans="1:24">
      <c r="A1549" s="1"/>
      <c r="M1549" s="26"/>
      <c r="N1549" s="26"/>
      <c r="P1549" s="1"/>
      <c r="Q1549" s="1"/>
      <c r="R1549" s="1"/>
      <c r="S1549" s="1"/>
      <c r="T1549" s="1"/>
      <c r="U1549" s="1"/>
      <c r="V1549" s="16"/>
      <c r="W1549" s="1"/>
      <c r="X1549" s="1"/>
    </row>
    <row r="1550" spans="1:24">
      <c r="A1550" s="1"/>
      <c r="M1550" s="26"/>
      <c r="N1550" s="26"/>
      <c r="P1550" s="1"/>
      <c r="Q1550" s="1"/>
      <c r="R1550" s="1"/>
      <c r="S1550" s="1"/>
      <c r="T1550" s="1"/>
      <c r="U1550" s="1"/>
      <c r="V1550" s="16"/>
      <c r="W1550" s="1"/>
      <c r="X1550" s="1"/>
    </row>
    <row r="1551" spans="1:24">
      <c r="A1551" s="1"/>
      <c r="M1551" s="26"/>
      <c r="N1551" s="26"/>
      <c r="P1551" s="1"/>
      <c r="Q1551" s="1"/>
      <c r="R1551" s="1"/>
      <c r="S1551" s="1"/>
      <c r="T1551" s="1"/>
      <c r="U1551" s="1"/>
      <c r="V1551" s="16"/>
      <c r="W1551" s="1"/>
      <c r="X1551" s="1"/>
    </row>
    <row r="1552" spans="1:24">
      <c r="A1552" s="1"/>
      <c r="M1552" s="26"/>
      <c r="N1552" s="26"/>
      <c r="P1552" s="1"/>
      <c r="Q1552" s="1"/>
      <c r="R1552" s="1"/>
      <c r="S1552" s="1"/>
      <c r="T1552" s="1"/>
      <c r="U1552" s="1"/>
      <c r="V1552" s="16"/>
      <c r="W1552" s="1"/>
      <c r="X1552" s="1"/>
    </row>
    <row r="1553" spans="1:24">
      <c r="A1553" s="1"/>
      <c r="M1553" s="26"/>
      <c r="N1553" s="26"/>
      <c r="P1553" s="1"/>
      <c r="Q1553" s="1"/>
      <c r="R1553" s="1"/>
      <c r="S1553" s="1"/>
      <c r="T1553" s="1"/>
      <c r="U1553" s="1"/>
      <c r="V1553" s="16"/>
      <c r="W1553" s="1"/>
      <c r="X1553" s="1"/>
    </row>
    <row r="1554" spans="1:24">
      <c r="A1554" s="1"/>
      <c r="M1554" s="26"/>
      <c r="N1554" s="26"/>
      <c r="P1554" s="1"/>
      <c r="Q1554" s="1"/>
      <c r="R1554" s="1"/>
      <c r="S1554" s="1"/>
      <c r="T1554" s="1"/>
      <c r="U1554" s="1"/>
      <c r="V1554" s="16"/>
      <c r="W1554" s="1"/>
      <c r="X1554" s="1"/>
    </row>
    <row r="1555" spans="1:24">
      <c r="A1555" s="1"/>
      <c r="M1555" s="26"/>
      <c r="N1555" s="26"/>
      <c r="P1555" s="1"/>
      <c r="Q1555" s="1"/>
      <c r="R1555" s="1"/>
      <c r="S1555" s="1"/>
      <c r="T1555" s="1"/>
      <c r="U1555" s="1"/>
      <c r="V1555" s="16"/>
      <c r="W1555" s="1"/>
      <c r="X1555" s="1"/>
    </row>
    <row r="1556" spans="1:24">
      <c r="A1556" s="1"/>
      <c r="M1556" s="26"/>
      <c r="N1556" s="26"/>
      <c r="P1556" s="1"/>
      <c r="Q1556" s="1"/>
      <c r="R1556" s="1"/>
      <c r="S1556" s="1"/>
      <c r="T1556" s="1"/>
      <c r="U1556" s="1"/>
      <c r="V1556" s="16"/>
      <c r="W1556" s="1"/>
      <c r="X1556" s="1"/>
    </row>
    <row r="1557" spans="1:24">
      <c r="A1557" s="1"/>
      <c r="M1557" s="26"/>
      <c r="N1557" s="26"/>
      <c r="P1557" s="1"/>
      <c r="Q1557" s="1"/>
      <c r="R1557" s="1"/>
      <c r="S1557" s="1"/>
      <c r="T1557" s="1"/>
      <c r="U1557" s="1"/>
      <c r="V1557" s="16"/>
      <c r="W1557" s="1"/>
      <c r="X1557" s="1"/>
    </row>
    <row r="1558" spans="1:24">
      <c r="A1558" s="1"/>
      <c r="M1558" s="26"/>
      <c r="N1558" s="26"/>
      <c r="P1558" s="1"/>
      <c r="Q1558" s="1"/>
      <c r="R1558" s="1"/>
      <c r="S1558" s="1"/>
      <c r="T1558" s="1"/>
      <c r="U1558" s="1"/>
      <c r="V1558" s="16"/>
      <c r="W1558" s="1"/>
      <c r="X1558" s="1"/>
    </row>
    <row r="1559" spans="1:24">
      <c r="A1559" s="1"/>
      <c r="M1559" s="26"/>
      <c r="N1559" s="26"/>
      <c r="P1559" s="1"/>
      <c r="Q1559" s="1"/>
      <c r="R1559" s="1"/>
      <c r="S1559" s="1"/>
      <c r="T1559" s="1"/>
      <c r="U1559" s="1"/>
      <c r="V1559" s="16"/>
      <c r="W1559" s="1"/>
      <c r="X1559" s="1"/>
    </row>
    <row r="1560" spans="1:24">
      <c r="A1560" s="1"/>
      <c r="M1560" s="26"/>
      <c r="N1560" s="26"/>
      <c r="P1560" s="1"/>
      <c r="Q1560" s="1"/>
      <c r="R1560" s="1"/>
      <c r="S1560" s="1"/>
      <c r="T1560" s="1"/>
      <c r="U1560" s="1"/>
      <c r="V1560" s="16"/>
      <c r="W1560" s="1"/>
      <c r="X1560" s="1"/>
    </row>
    <row r="1561" spans="1:24">
      <c r="A1561" s="1"/>
      <c r="M1561" s="26"/>
      <c r="N1561" s="26"/>
      <c r="P1561" s="1"/>
      <c r="Q1561" s="1"/>
      <c r="R1561" s="1"/>
      <c r="S1561" s="1"/>
      <c r="T1561" s="1"/>
      <c r="U1561" s="1"/>
      <c r="V1561" s="16"/>
      <c r="W1561" s="1"/>
      <c r="X1561" s="1"/>
    </row>
    <row r="1562" spans="1:24">
      <c r="A1562" s="1"/>
      <c r="M1562" s="26"/>
      <c r="N1562" s="26"/>
      <c r="P1562" s="1"/>
      <c r="Q1562" s="1"/>
      <c r="R1562" s="1"/>
      <c r="S1562" s="1"/>
      <c r="T1562" s="1"/>
      <c r="U1562" s="1"/>
      <c r="V1562" s="16"/>
      <c r="W1562" s="1"/>
      <c r="X1562" s="1"/>
    </row>
    <row r="1563" spans="1:24">
      <c r="A1563" s="1"/>
      <c r="M1563" s="26"/>
      <c r="N1563" s="26"/>
      <c r="P1563" s="1"/>
      <c r="Q1563" s="1"/>
      <c r="R1563" s="1"/>
      <c r="S1563" s="1"/>
      <c r="T1563" s="1"/>
      <c r="U1563" s="1"/>
      <c r="V1563" s="16"/>
      <c r="W1563" s="1"/>
      <c r="X1563" s="1"/>
    </row>
    <row r="1564" spans="1:24">
      <c r="A1564" s="1"/>
      <c r="M1564" s="26"/>
      <c r="N1564" s="26"/>
      <c r="P1564" s="1"/>
      <c r="Q1564" s="1"/>
      <c r="R1564" s="1"/>
      <c r="S1564" s="1"/>
      <c r="T1564" s="1"/>
      <c r="U1564" s="1"/>
      <c r="V1564" s="16"/>
      <c r="W1564" s="1"/>
      <c r="X1564" s="1"/>
    </row>
    <row r="1565" spans="1:24">
      <c r="A1565" s="1"/>
      <c r="M1565" s="26"/>
      <c r="N1565" s="26"/>
      <c r="P1565" s="1"/>
      <c r="Q1565" s="1"/>
      <c r="R1565" s="1"/>
      <c r="S1565" s="1"/>
      <c r="T1565" s="1"/>
      <c r="U1565" s="1"/>
      <c r="V1565" s="16"/>
      <c r="W1565" s="1"/>
      <c r="X1565" s="1"/>
    </row>
    <row r="1566" spans="1:24">
      <c r="A1566" s="1"/>
      <c r="M1566" s="26"/>
      <c r="N1566" s="26"/>
      <c r="P1566" s="1"/>
      <c r="Q1566" s="1"/>
      <c r="R1566" s="1"/>
      <c r="S1566" s="1"/>
      <c r="T1566" s="1"/>
      <c r="U1566" s="1"/>
      <c r="V1566" s="16"/>
      <c r="W1566" s="1"/>
      <c r="X1566" s="1"/>
    </row>
    <row r="1567" spans="1:24">
      <c r="A1567" s="1"/>
      <c r="M1567" s="26"/>
      <c r="N1567" s="26"/>
      <c r="P1567" s="1"/>
      <c r="Q1567" s="1"/>
      <c r="R1567" s="1"/>
      <c r="S1567" s="1"/>
      <c r="T1567" s="1"/>
      <c r="U1567" s="1"/>
      <c r="V1567" s="16"/>
      <c r="W1567" s="1"/>
      <c r="X1567" s="1"/>
    </row>
    <row r="1568" spans="1:24">
      <c r="A1568" s="1"/>
      <c r="M1568" s="26"/>
      <c r="N1568" s="26"/>
      <c r="P1568" s="1"/>
      <c r="Q1568" s="1"/>
      <c r="R1568" s="1"/>
      <c r="S1568" s="1"/>
      <c r="T1568" s="1"/>
      <c r="U1568" s="1"/>
      <c r="V1568" s="16"/>
      <c r="W1568" s="1"/>
      <c r="X1568" s="1"/>
    </row>
    <row r="1569" spans="1:24">
      <c r="A1569" s="1"/>
      <c r="M1569" s="26"/>
      <c r="N1569" s="26"/>
      <c r="P1569" s="1"/>
      <c r="Q1569" s="1"/>
      <c r="R1569" s="1"/>
      <c r="S1569" s="1"/>
      <c r="T1569" s="1"/>
      <c r="U1569" s="1"/>
      <c r="V1569" s="16"/>
      <c r="W1569" s="1"/>
      <c r="X1569" s="1"/>
    </row>
    <row r="1570" spans="1:24">
      <c r="A1570" s="1"/>
      <c r="M1570" s="26"/>
      <c r="N1570" s="26"/>
      <c r="P1570" s="1"/>
      <c r="Q1570" s="1"/>
      <c r="R1570" s="1"/>
      <c r="S1570" s="1"/>
      <c r="T1570" s="1"/>
      <c r="U1570" s="1"/>
      <c r="V1570" s="16"/>
      <c r="W1570" s="1"/>
      <c r="X1570" s="1"/>
    </row>
    <row r="1571" spans="1:24">
      <c r="A1571" s="1"/>
      <c r="M1571" s="26"/>
      <c r="N1571" s="26"/>
      <c r="P1571" s="1"/>
      <c r="Q1571" s="1"/>
      <c r="R1571" s="1"/>
      <c r="S1571" s="1"/>
      <c r="T1571" s="1"/>
      <c r="U1571" s="1"/>
      <c r="V1571" s="16"/>
      <c r="W1571" s="1"/>
      <c r="X1571" s="1"/>
    </row>
    <row r="1572" spans="1:24">
      <c r="A1572" s="1"/>
      <c r="M1572" s="26"/>
      <c r="N1572" s="26"/>
      <c r="P1572" s="1"/>
      <c r="Q1572" s="1"/>
      <c r="R1572" s="1"/>
      <c r="S1572" s="1"/>
      <c r="T1572" s="1"/>
      <c r="U1572" s="1"/>
      <c r="V1572" s="16"/>
      <c r="W1572" s="1"/>
      <c r="X1572" s="1"/>
    </row>
    <row r="1573" spans="1:24">
      <c r="A1573" s="1"/>
      <c r="M1573" s="26"/>
      <c r="N1573" s="26"/>
      <c r="P1573" s="1"/>
      <c r="Q1573" s="1"/>
      <c r="R1573" s="1"/>
      <c r="S1573" s="1"/>
      <c r="T1573" s="1"/>
      <c r="U1573" s="1"/>
      <c r="V1573" s="16"/>
      <c r="W1573" s="1"/>
      <c r="X1573" s="1"/>
    </row>
    <row r="1574" spans="1:24">
      <c r="A1574" s="1"/>
      <c r="M1574" s="26"/>
      <c r="N1574" s="26"/>
      <c r="P1574" s="1"/>
      <c r="Q1574" s="1"/>
      <c r="R1574" s="1"/>
      <c r="S1574" s="1"/>
      <c r="T1574" s="1"/>
      <c r="U1574" s="1"/>
      <c r="V1574" s="16"/>
      <c r="W1574" s="1"/>
      <c r="X1574" s="1"/>
    </row>
    <row r="1575" spans="1:24">
      <c r="A1575" s="1"/>
      <c r="M1575" s="26"/>
      <c r="N1575" s="26"/>
      <c r="P1575" s="1"/>
      <c r="Q1575" s="1"/>
      <c r="R1575" s="1"/>
      <c r="S1575" s="1"/>
      <c r="T1575" s="1"/>
      <c r="U1575" s="1"/>
      <c r="V1575" s="16"/>
      <c r="W1575" s="1"/>
      <c r="X1575" s="1"/>
    </row>
    <row r="1576" spans="1:24">
      <c r="A1576" s="1"/>
      <c r="M1576" s="26"/>
      <c r="N1576" s="26"/>
      <c r="P1576" s="1"/>
      <c r="Q1576" s="1"/>
      <c r="R1576" s="1"/>
      <c r="S1576" s="1"/>
      <c r="T1576" s="1"/>
      <c r="U1576" s="1"/>
      <c r="V1576" s="16"/>
      <c r="W1576" s="1"/>
      <c r="X1576" s="1"/>
    </row>
    <row r="1577" spans="1:24">
      <c r="A1577" s="1"/>
      <c r="M1577" s="26"/>
      <c r="N1577" s="26"/>
      <c r="P1577" s="1"/>
      <c r="Q1577" s="1"/>
      <c r="R1577" s="1"/>
      <c r="S1577" s="1"/>
      <c r="T1577" s="1"/>
      <c r="U1577" s="1"/>
      <c r="V1577" s="16"/>
      <c r="W1577" s="1"/>
      <c r="X1577" s="1"/>
    </row>
    <row r="1578" spans="1:24">
      <c r="A1578" s="1"/>
      <c r="M1578" s="26"/>
      <c r="N1578" s="26"/>
      <c r="P1578" s="1"/>
      <c r="Q1578" s="1"/>
      <c r="R1578" s="1"/>
      <c r="S1578" s="1"/>
      <c r="T1578" s="1"/>
      <c r="U1578" s="1"/>
      <c r="V1578" s="16"/>
      <c r="W1578" s="1"/>
      <c r="X1578" s="1"/>
    </row>
    <row r="1579" spans="1:24">
      <c r="A1579" s="1"/>
      <c r="M1579" s="26"/>
      <c r="N1579" s="26"/>
      <c r="P1579" s="1"/>
      <c r="Q1579" s="1"/>
      <c r="R1579" s="1"/>
      <c r="S1579" s="1"/>
      <c r="T1579" s="1"/>
      <c r="U1579" s="1"/>
      <c r="V1579" s="16"/>
      <c r="W1579" s="1"/>
      <c r="X1579" s="1"/>
    </row>
    <row r="1580" spans="1:24">
      <c r="A1580" s="1"/>
      <c r="M1580" s="26"/>
      <c r="N1580" s="26"/>
      <c r="P1580" s="1"/>
      <c r="Q1580" s="1"/>
      <c r="R1580" s="1"/>
      <c r="S1580" s="1"/>
      <c r="T1580" s="1"/>
      <c r="U1580" s="1"/>
      <c r="V1580" s="16"/>
      <c r="W1580" s="1"/>
      <c r="X1580" s="1"/>
    </row>
    <row r="1581" spans="1:24">
      <c r="A1581" s="1"/>
      <c r="M1581" s="26"/>
      <c r="N1581" s="26"/>
      <c r="P1581" s="1"/>
      <c r="Q1581" s="1"/>
      <c r="R1581" s="1"/>
      <c r="S1581" s="1"/>
      <c r="T1581" s="1"/>
      <c r="U1581" s="1"/>
      <c r="V1581" s="16"/>
      <c r="W1581" s="1"/>
      <c r="X1581" s="1"/>
    </row>
    <row r="1582" spans="1:24">
      <c r="A1582" s="1"/>
      <c r="M1582" s="26"/>
      <c r="N1582" s="26"/>
      <c r="P1582" s="1"/>
      <c r="Q1582" s="1"/>
      <c r="R1582" s="1"/>
      <c r="S1582" s="1"/>
      <c r="T1582" s="1"/>
      <c r="U1582" s="1"/>
      <c r="V1582" s="16"/>
      <c r="W1582" s="1"/>
      <c r="X1582" s="1"/>
    </row>
    <row r="1583" spans="1:24">
      <c r="A1583" s="1"/>
      <c r="M1583" s="26"/>
      <c r="N1583" s="26"/>
      <c r="P1583" s="1"/>
      <c r="Q1583" s="1"/>
      <c r="R1583" s="1"/>
      <c r="S1583" s="1"/>
      <c r="T1583" s="1"/>
      <c r="U1583" s="1"/>
      <c r="V1583" s="16"/>
      <c r="W1583" s="1"/>
      <c r="X1583" s="1"/>
    </row>
    <row r="1584" spans="1:24">
      <c r="A1584" s="1"/>
      <c r="M1584" s="26"/>
      <c r="N1584" s="26"/>
      <c r="P1584" s="1"/>
      <c r="Q1584" s="1"/>
      <c r="R1584" s="1"/>
      <c r="S1584" s="1"/>
      <c r="T1584" s="1"/>
      <c r="U1584" s="1"/>
      <c r="V1584" s="16"/>
      <c r="W1584" s="1"/>
      <c r="X1584" s="1"/>
    </row>
    <row r="1585" spans="1:24">
      <c r="A1585" s="1"/>
      <c r="M1585" s="26"/>
      <c r="N1585" s="26"/>
      <c r="P1585" s="1"/>
      <c r="Q1585" s="1"/>
      <c r="R1585" s="1"/>
      <c r="S1585" s="1"/>
      <c r="T1585" s="1"/>
      <c r="U1585" s="1"/>
      <c r="V1585" s="16"/>
      <c r="W1585" s="1"/>
      <c r="X1585" s="1"/>
    </row>
    <row r="1586" spans="1:24">
      <c r="A1586" s="1"/>
      <c r="M1586" s="26"/>
      <c r="N1586" s="26"/>
      <c r="P1586" s="1"/>
      <c r="Q1586" s="1"/>
      <c r="R1586" s="1"/>
      <c r="S1586" s="1"/>
      <c r="T1586" s="1"/>
      <c r="U1586" s="1"/>
      <c r="V1586" s="16"/>
      <c r="W1586" s="1"/>
      <c r="X1586" s="1"/>
    </row>
    <row r="1587" spans="1:24">
      <c r="A1587" s="1"/>
      <c r="M1587" s="26"/>
      <c r="N1587" s="26"/>
      <c r="P1587" s="1"/>
      <c r="Q1587" s="1"/>
      <c r="R1587" s="1"/>
      <c r="S1587" s="1"/>
      <c r="T1587" s="1"/>
      <c r="U1587" s="1"/>
      <c r="V1587" s="16"/>
      <c r="W1587" s="1"/>
      <c r="X1587" s="1"/>
    </row>
    <row r="1588" spans="1:24">
      <c r="A1588" s="1"/>
      <c r="M1588" s="26"/>
      <c r="N1588" s="26"/>
      <c r="P1588" s="1"/>
      <c r="Q1588" s="1"/>
      <c r="R1588" s="1"/>
      <c r="S1588" s="1"/>
      <c r="T1588" s="1"/>
      <c r="U1588" s="1"/>
      <c r="V1588" s="16"/>
      <c r="W1588" s="1"/>
      <c r="X1588" s="1"/>
    </row>
    <row r="1589" spans="1:24">
      <c r="A1589" s="1"/>
      <c r="M1589" s="26"/>
      <c r="N1589" s="26"/>
      <c r="P1589" s="1"/>
      <c r="Q1589" s="1"/>
      <c r="R1589" s="1"/>
      <c r="S1589" s="1"/>
      <c r="T1589" s="1"/>
      <c r="U1589" s="1"/>
      <c r="V1589" s="16"/>
      <c r="W1589" s="1"/>
      <c r="X1589" s="1"/>
    </row>
    <row r="1590" spans="1:24">
      <c r="A1590" s="1"/>
      <c r="M1590" s="26"/>
      <c r="N1590" s="26"/>
      <c r="P1590" s="1"/>
      <c r="Q1590" s="1"/>
      <c r="R1590" s="1"/>
      <c r="S1590" s="1"/>
      <c r="T1590" s="1"/>
      <c r="U1590" s="1"/>
      <c r="V1590" s="16"/>
      <c r="W1590" s="1"/>
      <c r="X1590" s="1"/>
    </row>
    <row r="1591" spans="1:24">
      <c r="A1591" s="1"/>
      <c r="M1591" s="26"/>
      <c r="N1591" s="26"/>
      <c r="P1591" s="1"/>
      <c r="Q1591" s="1"/>
      <c r="R1591" s="1"/>
      <c r="S1591" s="1"/>
      <c r="T1591" s="1"/>
      <c r="U1591" s="1"/>
      <c r="V1591" s="16"/>
      <c r="W1591" s="1"/>
      <c r="X1591" s="1"/>
    </row>
    <row r="1592" spans="1:24">
      <c r="A1592" s="1"/>
      <c r="M1592" s="26"/>
      <c r="N1592" s="26"/>
      <c r="P1592" s="1"/>
      <c r="Q1592" s="1"/>
      <c r="R1592" s="1"/>
      <c r="S1592" s="1"/>
      <c r="T1592" s="1"/>
      <c r="U1592" s="1"/>
      <c r="V1592" s="16"/>
      <c r="W1592" s="1"/>
      <c r="X1592" s="1"/>
    </row>
    <row r="1593" spans="1:24">
      <c r="A1593" s="1"/>
      <c r="M1593" s="26"/>
      <c r="N1593" s="26"/>
      <c r="P1593" s="1"/>
      <c r="Q1593" s="1"/>
      <c r="R1593" s="1"/>
      <c r="S1593" s="1"/>
      <c r="T1593" s="1"/>
      <c r="U1593" s="1"/>
      <c r="V1593" s="16"/>
      <c r="W1593" s="1"/>
      <c r="X1593" s="1"/>
    </row>
    <row r="1594" spans="1:24">
      <c r="A1594" s="1"/>
      <c r="M1594" s="26"/>
      <c r="N1594" s="26"/>
      <c r="P1594" s="1"/>
      <c r="Q1594" s="1"/>
      <c r="R1594" s="1"/>
      <c r="S1594" s="1"/>
      <c r="T1594" s="1"/>
      <c r="U1594" s="1"/>
      <c r="V1594" s="16"/>
      <c r="W1594" s="1"/>
      <c r="X1594" s="1"/>
    </row>
    <row r="1595" spans="1:24">
      <c r="A1595" s="1"/>
      <c r="M1595" s="26"/>
      <c r="N1595" s="26"/>
      <c r="P1595" s="1"/>
      <c r="Q1595" s="1"/>
      <c r="R1595" s="1"/>
      <c r="S1595" s="1"/>
      <c r="T1595" s="1"/>
      <c r="U1595" s="1"/>
      <c r="V1595" s="16"/>
      <c r="W1595" s="1"/>
      <c r="X1595" s="1"/>
    </row>
    <row r="1596" spans="1:24">
      <c r="A1596" s="1"/>
      <c r="M1596" s="26"/>
      <c r="N1596" s="26"/>
      <c r="P1596" s="1"/>
      <c r="Q1596" s="1"/>
      <c r="R1596" s="1"/>
      <c r="S1596" s="1"/>
      <c r="T1596" s="1"/>
      <c r="U1596" s="1"/>
      <c r="V1596" s="16"/>
      <c r="W1596" s="1"/>
      <c r="X1596" s="1"/>
    </row>
    <row r="1597" spans="1:24">
      <c r="A1597" s="1"/>
      <c r="M1597" s="26"/>
      <c r="N1597" s="26"/>
      <c r="P1597" s="1"/>
      <c r="Q1597" s="1"/>
      <c r="R1597" s="1"/>
      <c r="S1597" s="1"/>
      <c r="T1597" s="1"/>
      <c r="U1597" s="1"/>
      <c r="V1597" s="16"/>
      <c r="W1597" s="1"/>
      <c r="X1597" s="1"/>
    </row>
    <row r="1598" spans="1:24">
      <c r="A1598" s="1"/>
      <c r="M1598" s="26"/>
      <c r="N1598" s="26"/>
      <c r="P1598" s="1"/>
      <c r="Q1598" s="1"/>
      <c r="R1598" s="1"/>
      <c r="S1598" s="1"/>
      <c r="T1598" s="1"/>
      <c r="U1598" s="1"/>
      <c r="V1598" s="16"/>
      <c r="W1598" s="1"/>
      <c r="X1598" s="1"/>
    </row>
    <row r="1599" spans="1:24">
      <c r="A1599" s="1"/>
      <c r="M1599" s="26"/>
      <c r="N1599" s="26"/>
      <c r="P1599" s="1"/>
      <c r="Q1599" s="1"/>
      <c r="R1599" s="1"/>
      <c r="S1599" s="1"/>
      <c r="T1599" s="1"/>
      <c r="U1599" s="1"/>
      <c r="V1599" s="16"/>
      <c r="W1599" s="1"/>
      <c r="X1599" s="1"/>
    </row>
    <row r="1600" spans="1:24">
      <c r="A1600" s="1"/>
      <c r="M1600" s="26"/>
      <c r="N1600" s="26"/>
      <c r="P1600" s="1"/>
      <c r="Q1600" s="1"/>
      <c r="R1600" s="1"/>
      <c r="S1600" s="1"/>
      <c r="T1600" s="1"/>
      <c r="U1600" s="1"/>
      <c r="V1600" s="16"/>
      <c r="W1600" s="1"/>
      <c r="X1600" s="1"/>
    </row>
    <row r="1601" spans="1:24">
      <c r="A1601" s="1"/>
      <c r="M1601" s="26"/>
      <c r="N1601" s="26"/>
      <c r="P1601" s="1"/>
      <c r="Q1601" s="1"/>
      <c r="R1601" s="1"/>
      <c r="S1601" s="1"/>
      <c r="T1601" s="1"/>
      <c r="U1601" s="1"/>
      <c r="V1601" s="16"/>
      <c r="W1601" s="1"/>
      <c r="X1601" s="1"/>
    </row>
    <row r="1602" spans="1:24">
      <c r="A1602" s="1"/>
      <c r="M1602" s="26"/>
      <c r="N1602" s="26"/>
      <c r="P1602" s="1"/>
      <c r="Q1602" s="1"/>
      <c r="R1602" s="1"/>
      <c r="S1602" s="1"/>
      <c r="T1602" s="1"/>
      <c r="U1602" s="1"/>
      <c r="V1602" s="16"/>
      <c r="W1602" s="1"/>
      <c r="X1602" s="1"/>
    </row>
    <row r="1603" spans="1:24">
      <c r="A1603" s="1"/>
      <c r="M1603" s="26"/>
      <c r="N1603" s="26"/>
      <c r="P1603" s="1"/>
      <c r="Q1603" s="1"/>
      <c r="R1603" s="1"/>
      <c r="S1603" s="1"/>
      <c r="T1603" s="1"/>
      <c r="U1603" s="1"/>
      <c r="V1603" s="16"/>
      <c r="W1603" s="1"/>
      <c r="X1603" s="1"/>
    </row>
    <row r="1604" spans="1:24">
      <c r="A1604" s="1"/>
      <c r="M1604" s="26"/>
      <c r="N1604" s="26"/>
      <c r="P1604" s="1"/>
      <c r="Q1604" s="1"/>
      <c r="R1604" s="1"/>
      <c r="S1604" s="1"/>
      <c r="T1604" s="1"/>
      <c r="U1604" s="1"/>
      <c r="V1604" s="16"/>
      <c r="W1604" s="1"/>
      <c r="X1604" s="1"/>
    </row>
    <row r="1605" spans="1:24">
      <c r="A1605" s="1"/>
      <c r="M1605" s="26"/>
      <c r="N1605" s="26"/>
      <c r="P1605" s="1"/>
      <c r="Q1605" s="1"/>
      <c r="R1605" s="1"/>
      <c r="S1605" s="1"/>
      <c r="T1605" s="1"/>
      <c r="U1605" s="1"/>
      <c r="V1605" s="16"/>
      <c r="W1605" s="1"/>
      <c r="X1605" s="1"/>
    </row>
    <row r="1606" spans="1:24">
      <c r="A1606" s="1"/>
      <c r="M1606" s="26"/>
      <c r="N1606" s="26"/>
      <c r="P1606" s="1"/>
      <c r="Q1606" s="1"/>
      <c r="R1606" s="1"/>
      <c r="S1606" s="1"/>
      <c r="T1606" s="1"/>
      <c r="U1606" s="1"/>
      <c r="V1606" s="16"/>
      <c r="W1606" s="1"/>
      <c r="X1606" s="1"/>
    </row>
    <row r="1607" spans="1:24">
      <c r="A1607" s="1"/>
      <c r="M1607" s="26"/>
      <c r="N1607" s="26"/>
      <c r="P1607" s="1"/>
      <c r="Q1607" s="1"/>
      <c r="R1607" s="1"/>
      <c r="S1607" s="1"/>
      <c r="T1607" s="1"/>
      <c r="U1607" s="1"/>
      <c r="V1607" s="16"/>
      <c r="W1607" s="1"/>
      <c r="X1607" s="1"/>
    </row>
    <row r="1608" spans="1:24">
      <c r="A1608" s="1"/>
      <c r="M1608" s="26"/>
      <c r="N1608" s="26"/>
      <c r="P1608" s="1"/>
      <c r="Q1608" s="1"/>
      <c r="R1608" s="1"/>
      <c r="S1608" s="1"/>
      <c r="T1608" s="1"/>
      <c r="U1608" s="1"/>
      <c r="V1608" s="16"/>
      <c r="W1608" s="1"/>
      <c r="X1608" s="1"/>
    </row>
    <row r="1609" spans="1:24">
      <c r="A1609" s="1"/>
      <c r="M1609" s="26"/>
      <c r="N1609" s="26"/>
      <c r="P1609" s="1"/>
      <c r="Q1609" s="1"/>
      <c r="R1609" s="1"/>
      <c r="S1609" s="1"/>
      <c r="T1609" s="1"/>
      <c r="U1609" s="1"/>
      <c r="V1609" s="16"/>
      <c r="W1609" s="1"/>
      <c r="X1609" s="1"/>
    </row>
    <row r="1610" spans="1:24">
      <c r="A1610" s="1"/>
      <c r="M1610" s="26"/>
      <c r="N1610" s="26"/>
      <c r="P1610" s="1"/>
      <c r="Q1610" s="1"/>
      <c r="R1610" s="1"/>
      <c r="S1610" s="1"/>
      <c r="T1610" s="1"/>
      <c r="U1610" s="1"/>
      <c r="V1610" s="16"/>
      <c r="W1610" s="1"/>
      <c r="X1610" s="1"/>
    </row>
    <row r="1611" spans="1:24">
      <c r="A1611" s="1"/>
      <c r="M1611" s="26"/>
      <c r="N1611" s="26"/>
      <c r="P1611" s="1"/>
      <c r="Q1611" s="1"/>
      <c r="R1611" s="1"/>
      <c r="S1611" s="1"/>
      <c r="T1611" s="1"/>
      <c r="U1611" s="1"/>
      <c r="V1611" s="16"/>
      <c r="W1611" s="1"/>
      <c r="X1611" s="1"/>
    </row>
    <row r="1612" spans="1:24">
      <c r="A1612" s="1"/>
      <c r="M1612" s="26"/>
      <c r="N1612" s="26"/>
      <c r="P1612" s="1"/>
      <c r="Q1612" s="1"/>
      <c r="R1612" s="1"/>
      <c r="S1612" s="1"/>
      <c r="T1612" s="1"/>
      <c r="U1612" s="1"/>
      <c r="V1612" s="16"/>
      <c r="W1612" s="1"/>
      <c r="X1612" s="1"/>
    </row>
    <row r="1613" spans="1:24">
      <c r="A1613" s="1"/>
      <c r="M1613" s="26"/>
      <c r="N1613" s="26"/>
      <c r="P1613" s="1"/>
      <c r="Q1613" s="1"/>
      <c r="R1613" s="1"/>
      <c r="S1613" s="1"/>
      <c r="T1613" s="1"/>
      <c r="U1613" s="1"/>
      <c r="V1613" s="16"/>
      <c r="W1613" s="1"/>
      <c r="X1613" s="1"/>
    </row>
    <row r="1614" spans="1:24">
      <c r="A1614" s="1"/>
      <c r="M1614" s="26"/>
      <c r="N1614" s="26"/>
      <c r="P1614" s="1"/>
      <c r="Q1614" s="1"/>
      <c r="R1614" s="1"/>
      <c r="S1614" s="1"/>
      <c r="T1614" s="1"/>
      <c r="U1614" s="1"/>
      <c r="V1614" s="16"/>
      <c r="W1614" s="1"/>
      <c r="X1614" s="1"/>
    </row>
    <row r="1615" spans="1:24">
      <c r="A1615" s="1"/>
      <c r="M1615" s="26"/>
      <c r="N1615" s="26"/>
      <c r="P1615" s="1"/>
      <c r="Q1615" s="1"/>
      <c r="R1615" s="1"/>
      <c r="S1615" s="1"/>
      <c r="T1615" s="1"/>
      <c r="U1615" s="1"/>
      <c r="V1615" s="16"/>
      <c r="W1615" s="1"/>
      <c r="X1615" s="1"/>
    </row>
    <row r="1616" spans="1:24">
      <c r="A1616" s="1"/>
      <c r="M1616" s="26"/>
      <c r="N1616" s="26"/>
      <c r="P1616" s="1"/>
      <c r="Q1616" s="1"/>
      <c r="R1616" s="1"/>
      <c r="S1616" s="1"/>
      <c r="T1616" s="1"/>
      <c r="U1616" s="1"/>
      <c r="V1616" s="16"/>
      <c r="W1616" s="1"/>
      <c r="X1616" s="1"/>
    </row>
    <row r="1617" spans="1:24">
      <c r="A1617" s="1"/>
      <c r="M1617" s="26"/>
      <c r="N1617" s="26"/>
      <c r="P1617" s="1"/>
      <c r="Q1617" s="1"/>
      <c r="R1617" s="1"/>
      <c r="S1617" s="1"/>
      <c r="T1617" s="1"/>
      <c r="U1617" s="1"/>
      <c r="V1617" s="16"/>
      <c r="W1617" s="1"/>
      <c r="X1617" s="1"/>
    </row>
    <row r="1618" spans="1:24">
      <c r="A1618" s="1"/>
      <c r="M1618" s="26"/>
      <c r="N1618" s="26"/>
      <c r="P1618" s="1"/>
      <c r="Q1618" s="1"/>
      <c r="R1618" s="1"/>
      <c r="S1618" s="1"/>
      <c r="T1618" s="1"/>
      <c r="U1618" s="1"/>
      <c r="V1618" s="16"/>
      <c r="W1618" s="1"/>
      <c r="X1618" s="1"/>
    </row>
    <row r="1619" spans="1:24">
      <c r="A1619" s="1"/>
      <c r="M1619" s="26"/>
      <c r="N1619" s="26"/>
      <c r="P1619" s="1"/>
      <c r="Q1619" s="1"/>
      <c r="R1619" s="1"/>
      <c r="S1619" s="1"/>
      <c r="T1619" s="1"/>
      <c r="U1619" s="1"/>
      <c r="V1619" s="16"/>
      <c r="W1619" s="1"/>
      <c r="X1619" s="1"/>
    </row>
    <row r="1620" spans="1:24">
      <c r="A1620" s="1"/>
      <c r="M1620" s="26"/>
      <c r="N1620" s="26"/>
      <c r="P1620" s="1"/>
      <c r="Q1620" s="1"/>
      <c r="R1620" s="1"/>
      <c r="S1620" s="1"/>
      <c r="T1620" s="1"/>
      <c r="U1620" s="1"/>
      <c r="V1620" s="16"/>
      <c r="W1620" s="1"/>
      <c r="X1620" s="1"/>
    </row>
    <row r="1621" spans="1:24">
      <c r="A1621" s="1"/>
      <c r="M1621" s="26"/>
      <c r="N1621" s="26"/>
      <c r="P1621" s="1"/>
      <c r="Q1621" s="1"/>
      <c r="R1621" s="1"/>
      <c r="S1621" s="1"/>
      <c r="T1621" s="1"/>
      <c r="U1621" s="1"/>
      <c r="V1621" s="16"/>
      <c r="W1621" s="1"/>
      <c r="X1621" s="1"/>
    </row>
    <row r="1622" spans="1:24">
      <c r="A1622" s="1"/>
      <c r="M1622" s="26"/>
      <c r="N1622" s="26"/>
      <c r="P1622" s="1"/>
      <c r="Q1622" s="1"/>
      <c r="R1622" s="1"/>
      <c r="S1622" s="1"/>
      <c r="T1622" s="1"/>
      <c r="U1622" s="1"/>
      <c r="V1622" s="16"/>
      <c r="W1622" s="1"/>
      <c r="X1622" s="1"/>
    </row>
    <row r="1623" spans="1:24">
      <c r="A1623" s="1"/>
      <c r="M1623" s="26"/>
      <c r="N1623" s="26"/>
      <c r="P1623" s="1"/>
      <c r="Q1623" s="1"/>
      <c r="R1623" s="1"/>
      <c r="S1623" s="1"/>
      <c r="T1623" s="1"/>
      <c r="U1623" s="1"/>
      <c r="V1623" s="16"/>
      <c r="W1623" s="1"/>
      <c r="X1623" s="1"/>
    </row>
    <row r="1624" spans="1:24">
      <c r="A1624" s="1"/>
      <c r="M1624" s="26"/>
      <c r="N1624" s="26"/>
      <c r="P1624" s="1"/>
      <c r="Q1624" s="1"/>
      <c r="R1624" s="1"/>
      <c r="S1624" s="1"/>
      <c r="T1624" s="1"/>
      <c r="U1624" s="1"/>
      <c r="V1624" s="16"/>
      <c r="W1624" s="1"/>
      <c r="X1624" s="1"/>
    </row>
    <row r="1625" spans="1:24">
      <c r="A1625" s="1"/>
      <c r="M1625" s="26"/>
      <c r="N1625" s="26"/>
      <c r="P1625" s="1"/>
      <c r="Q1625" s="1"/>
      <c r="R1625" s="1"/>
      <c r="S1625" s="1"/>
      <c r="T1625" s="1"/>
      <c r="U1625" s="1"/>
      <c r="V1625" s="16"/>
      <c r="W1625" s="1"/>
      <c r="X1625" s="1"/>
    </row>
    <row r="1626" spans="1:24">
      <c r="A1626" s="1"/>
      <c r="M1626" s="26"/>
      <c r="N1626" s="26"/>
      <c r="P1626" s="1"/>
      <c r="Q1626" s="1"/>
      <c r="R1626" s="1"/>
      <c r="S1626" s="1"/>
      <c r="T1626" s="1"/>
      <c r="U1626" s="1"/>
      <c r="V1626" s="16"/>
      <c r="W1626" s="1"/>
      <c r="X1626" s="1"/>
    </row>
    <row r="1627" spans="1:24">
      <c r="A1627" s="1"/>
      <c r="M1627" s="26"/>
      <c r="N1627" s="26"/>
      <c r="P1627" s="1"/>
      <c r="Q1627" s="1"/>
      <c r="R1627" s="1"/>
      <c r="S1627" s="1"/>
      <c r="T1627" s="1"/>
      <c r="U1627" s="1"/>
      <c r="V1627" s="16"/>
      <c r="W1627" s="1"/>
      <c r="X1627" s="1"/>
    </row>
    <row r="1628" spans="1:24">
      <c r="A1628" s="1"/>
      <c r="M1628" s="26"/>
      <c r="N1628" s="26"/>
      <c r="P1628" s="1"/>
      <c r="Q1628" s="1"/>
      <c r="R1628" s="1"/>
      <c r="S1628" s="1"/>
      <c r="T1628" s="1"/>
      <c r="U1628" s="1"/>
      <c r="V1628" s="16"/>
      <c r="W1628" s="1"/>
      <c r="X1628" s="1"/>
    </row>
    <row r="1629" spans="1:24">
      <c r="A1629" s="1"/>
      <c r="M1629" s="26"/>
      <c r="N1629" s="26"/>
      <c r="P1629" s="1"/>
      <c r="Q1629" s="1"/>
      <c r="R1629" s="1"/>
      <c r="S1629" s="1"/>
      <c r="T1629" s="1"/>
      <c r="U1629" s="1"/>
      <c r="V1629" s="16"/>
      <c r="W1629" s="1"/>
      <c r="X1629" s="1"/>
    </row>
    <row r="1630" spans="1:24">
      <c r="A1630" s="1"/>
      <c r="M1630" s="26"/>
      <c r="N1630" s="26"/>
      <c r="P1630" s="1"/>
      <c r="Q1630" s="1"/>
      <c r="R1630" s="1"/>
      <c r="S1630" s="1"/>
      <c r="T1630" s="1"/>
      <c r="U1630" s="1"/>
      <c r="V1630" s="16"/>
      <c r="W1630" s="1"/>
      <c r="X1630" s="1"/>
    </row>
    <row r="1631" spans="1:24">
      <c r="A1631" s="1"/>
      <c r="M1631" s="26"/>
      <c r="N1631" s="26"/>
      <c r="P1631" s="1"/>
      <c r="Q1631" s="1"/>
      <c r="R1631" s="1"/>
      <c r="S1631" s="1"/>
      <c r="T1631" s="1"/>
      <c r="U1631" s="1"/>
      <c r="V1631" s="16"/>
      <c r="W1631" s="1"/>
      <c r="X1631" s="1"/>
    </row>
    <row r="1632" spans="1:24">
      <c r="A1632" s="1"/>
      <c r="M1632" s="26"/>
      <c r="N1632" s="26"/>
      <c r="P1632" s="1"/>
      <c r="Q1632" s="1"/>
      <c r="R1632" s="1"/>
      <c r="S1632" s="1"/>
      <c r="T1632" s="1"/>
      <c r="U1632" s="1"/>
      <c r="V1632" s="16"/>
      <c r="W1632" s="1"/>
      <c r="X1632" s="1"/>
    </row>
    <row r="1633" spans="1:24">
      <c r="A1633" s="1"/>
      <c r="M1633" s="26"/>
      <c r="N1633" s="26"/>
      <c r="P1633" s="1"/>
      <c r="Q1633" s="1"/>
      <c r="R1633" s="1"/>
      <c r="S1633" s="1"/>
      <c r="T1633" s="1"/>
      <c r="U1633" s="1"/>
      <c r="V1633" s="16"/>
      <c r="W1633" s="1"/>
      <c r="X1633" s="1"/>
    </row>
    <row r="1634" spans="1:24">
      <c r="A1634" s="1"/>
      <c r="M1634" s="26"/>
      <c r="N1634" s="26"/>
      <c r="P1634" s="1"/>
      <c r="Q1634" s="1"/>
      <c r="R1634" s="1"/>
      <c r="S1634" s="1"/>
      <c r="T1634" s="1"/>
      <c r="U1634" s="1"/>
      <c r="V1634" s="16"/>
      <c r="W1634" s="1"/>
      <c r="X1634" s="1"/>
    </row>
    <row r="1635" spans="1:24">
      <c r="A1635" s="1"/>
      <c r="M1635" s="26"/>
      <c r="N1635" s="26"/>
      <c r="P1635" s="1"/>
      <c r="Q1635" s="1"/>
      <c r="R1635" s="1"/>
      <c r="S1635" s="1"/>
      <c r="T1635" s="1"/>
      <c r="U1635" s="1"/>
      <c r="V1635" s="16"/>
      <c r="W1635" s="1"/>
      <c r="X1635" s="1"/>
    </row>
    <row r="1636" spans="1:24">
      <c r="A1636" s="1"/>
      <c r="M1636" s="26"/>
      <c r="N1636" s="26"/>
      <c r="P1636" s="1"/>
      <c r="Q1636" s="1"/>
      <c r="R1636" s="1"/>
      <c r="S1636" s="1"/>
      <c r="T1636" s="1"/>
      <c r="U1636" s="1"/>
      <c r="V1636" s="16"/>
      <c r="W1636" s="1"/>
      <c r="X1636" s="1"/>
    </row>
    <row r="1637" spans="1:24">
      <c r="A1637" s="1"/>
      <c r="M1637" s="26"/>
      <c r="N1637" s="26"/>
      <c r="P1637" s="1"/>
      <c r="Q1637" s="1"/>
      <c r="R1637" s="1"/>
      <c r="S1637" s="1"/>
      <c r="T1637" s="1"/>
      <c r="U1637" s="1"/>
      <c r="V1637" s="16"/>
      <c r="W1637" s="1"/>
      <c r="X1637" s="1"/>
    </row>
    <row r="1638" spans="1:24">
      <c r="A1638" s="1"/>
      <c r="M1638" s="26"/>
      <c r="N1638" s="26"/>
      <c r="P1638" s="1"/>
      <c r="Q1638" s="1"/>
      <c r="R1638" s="1"/>
      <c r="S1638" s="1"/>
      <c r="T1638" s="1"/>
      <c r="U1638" s="1"/>
      <c r="V1638" s="16"/>
      <c r="W1638" s="1"/>
      <c r="X1638" s="1"/>
    </row>
    <row r="1639" spans="1:24">
      <c r="A1639" s="1"/>
      <c r="M1639" s="26"/>
      <c r="N1639" s="26"/>
      <c r="P1639" s="1"/>
      <c r="Q1639" s="1"/>
      <c r="R1639" s="1"/>
      <c r="S1639" s="1"/>
      <c r="T1639" s="1"/>
      <c r="U1639" s="1"/>
      <c r="V1639" s="16"/>
      <c r="W1639" s="1"/>
      <c r="X1639" s="1"/>
    </row>
    <row r="1640" spans="1:24">
      <c r="A1640" s="1"/>
      <c r="M1640" s="26"/>
      <c r="N1640" s="26"/>
      <c r="P1640" s="1"/>
      <c r="Q1640" s="1"/>
      <c r="R1640" s="1"/>
      <c r="S1640" s="1"/>
      <c r="T1640" s="1"/>
      <c r="U1640" s="1"/>
      <c r="V1640" s="16"/>
      <c r="W1640" s="1"/>
      <c r="X1640" s="1"/>
    </row>
    <row r="1641" spans="1:24">
      <c r="A1641" s="1"/>
      <c r="M1641" s="26"/>
      <c r="N1641" s="26"/>
      <c r="P1641" s="1"/>
      <c r="Q1641" s="1"/>
      <c r="R1641" s="1"/>
      <c r="S1641" s="1"/>
      <c r="T1641" s="1"/>
      <c r="U1641" s="1"/>
      <c r="V1641" s="16"/>
      <c r="W1641" s="1"/>
      <c r="X1641" s="1"/>
    </row>
    <row r="1642" spans="1:24">
      <c r="A1642" s="1"/>
      <c r="M1642" s="26"/>
      <c r="N1642" s="26"/>
      <c r="P1642" s="1"/>
      <c r="Q1642" s="1"/>
      <c r="R1642" s="1"/>
      <c r="S1642" s="1"/>
      <c r="T1642" s="1"/>
      <c r="U1642" s="1"/>
      <c r="V1642" s="16"/>
      <c r="W1642" s="1"/>
      <c r="X1642" s="1"/>
    </row>
    <row r="1643" spans="1:24">
      <c r="A1643" s="1"/>
      <c r="M1643" s="26"/>
      <c r="N1643" s="26"/>
      <c r="P1643" s="1"/>
      <c r="Q1643" s="1"/>
      <c r="R1643" s="1"/>
      <c r="S1643" s="1"/>
      <c r="T1643" s="1"/>
      <c r="U1643" s="1"/>
      <c r="V1643" s="16"/>
      <c r="W1643" s="1"/>
      <c r="X1643" s="1"/>
    </row>
    <row r="1644" spans="1:24">
      <c r="A1644" s="1"/>
      <c r="M1644" s="26"/>
      <c r="N1644" s="26"/>
      <c r="P1644" s="1"/>
      <c r="Q1644" s="1"/>
      <c r="R1644" s="1"/>
      <c r="S1644" s="1"/>
      <c r="T1644" s="1"/>
      <c r="U1644" s="1"/>
      <c r="V1644" s="16"/>
      <c r="W1644" s="1"/>
      <c r="X1644" s="1"/>
    </row>
    <row r="1645" spans="1:24">
      <c r="A1645" s="1"/>
      <c r="M1645" s="26"/>
      <c r="N1645" s="26"/>
      <c r="P1645" s="1"/>
      <c r="Q1645" s="1"/>
      <c r="R1645" s="1"/>
      <c r="S1645" s="1"/>
      <c r="T1645" s="1"/>
      <c r="U1645" s="1"/>
      <c r="V1645" s="16"/>
      <c r="W1645" s="1"/>
      <c r="X1645" s="1"/>
    </row>
    <row r="1646" spans="1:24">
      <c r="A1646" s="1"/>
      <c r="M1646" s="26"/>
      <c r="N1646" s="26"/>
      <c r="P1646" s="1"/>
      <c r="Q1646" s="1"/>
      <c r="R1646" s="1"/>
      <c r="S1646" s="1"/>
      <c r="T1646" s="1"/>
      <c r="U1646" s="1"/>
      <c r="V1646" s="16"/>
      <c r="W1646" s="1"/>
      <c r="X1646" s="1"/>
    </row>
    <row r="1647" spans="1:24">
      <c r="A1647" s="1"/>
      <c r="M1647" s="26"/>
      <c r="N1647" s="26"/>
      <c r="P1647" s="1"/>
      <c r="Q1647" s="1"/>
      <c r="R1647" s="1"/>
      <c r="S1647" s="1"/>
      <c r="T1647" s="1"/>
      <c r="U1647" s="1"/>
      <c r="V1647" s="16"/>
      <c r="W1647" s="1"/>
      <c r="X1647" s="1"/>
    </row>
    <row r="1648" spans="1:24">
      <c r="A1648" s="1"/>
      <c r="M1648" s="26"/>
      <c r="N1648" s="26"/>
      <c r="P1648" s="1"/>
      <c r="Q1648" s="1"/>
      <c r="R1648" s="1"/>
      <c r="S1648" s="1"/>
      <c r="T1648" s="1"/>
      <c r="U1648" s="1"/>
      <c r="V1648" s="16"/>
      <c r="W1648" s="1"/>
      <c r="X1648" s="1"/>
    </row>
    <row r="1649" spans="1:24">
      <c r="A1649" s="1"/>
      <c r="M1649" s="26"/>
      <c r="N1649" s="26"/>
      <c r="P1649" s="1"/>
      <c r="Q1649" s="1"/>
      <c r="R1649" s="1"/>
      <c r="S1649" s="1"/>
      <c r="T1649" s="1"/>
      <c r="U1649" s="1"/>
      <c r="V1649" s="16"/>
      <c r="W1649" s="1"/>
      <c r="X1649" s="1"/>
    </row>
    <row r="1650" spans="1:24">
      <c r="A1650" s="1"/>
      <c r="M1650" s="26"/>
      <c r="N1650" s="26"/>
      <c r="P1650" s="1"/>
      <c r="Q1650" s="1"/>
      <c r="R1650" s="1"/>
      <c r="S1650" s="1"/>
      <c r="T1650" s="1"/>
      <c r="U1650" s="1"/>
      <c r="V1650" s="16"/>
      <c r="W1650" s="1"/>
      <c r="X1650" s="1"/>
    </row>
    <row r="1651" spans="1:24">
      <c r="A1651" s="1"/>
      <c r="M1651" s="26"/>
      <c r="N1651" s="26"/>
      <c r="P1651" s="1"/>
      <c r="Q1651" s="1"/>
      <c r="R1651" s="1"/>
      <c r="S1651" s="1"/>
      <c r="T1651" s="1"/>
      <c r="U1651" s="1"/>
      <c r="V1651" s="16"/>
      <c r="W1651" s="1"/>
      <c r="X1651" s="1"/>
    </row>
    <row r="1652" spans="1:24">
      <c r="A1652" s="1"/>
      <c r="M1652" s="26"/>
      <c r="N1652" s="26"/>
      <c r="P1652" s="1"/>
      <c r="Q1652" s="1"/>
      <c r="R1652" s="1"/>
      <c r="S1652" s="1"/>
      <c r="T1652" s="1"/>
      <c r="U1652" s="1"/>
      <c r="V1652" s="16"/>
      <c r="W1652" s="1"/>
      <c r="X1652" s="1"/>
    </row>
    <row r="1653" spans="1:24">
      <c r="A1653" s="1"/>
      <c r="M1653" s="26"/>
      <c r="N1653" s="26"/>
      <c r="P1653" s="1"/>
      <c r="Q1653" s="1"/>
      <c r="R1653" s="1"/>
      <c r="S1653" s="1"/>
      <c r="T1653" s="1"/>
      <c r="U1653" s="1"/>
      <c r="V1653" s="16"/>
      <c r="W1653" s="1"/>
      <c r="X1653" s="1"/>
    </row>
    <row r="1654" spans="1:24">
      <c r="A1654" s="1"/>
      <c r="M1654" s="26"/>
      <c r="N1654" s="26"/>
      <c r="P1654" s="1"/>
      <c r="Q1654" s="1"/>
      <c r="R1654" s="1"/>
      <c r="S1654" s="1"/>
      <c r="T1654" s="1"/>
      <c r="U1654" s="1"/>
      <c r="V1654" s="16"/>
      <c r="W1654" s="1"/>
      <c r="X1654" s="1"/>
    </row>
    <row r="1655" spans="1:24">
      <c r="A1655" s="1"/>
      <c r="M1655" s="26"/>
      <c r="N1655" s="26"/>
      <c r="P1655" s="1"/>
      <c r="Q1655" s="1"/>
      <c r="R1655" s="1"/>
      <c r="S1655" s="1"/>
      <c r="T1655" s="1"/>
      <c r="U1655" s="1"/>
      <c r="V1655" s="16"/>
      <c r="W1655" s="1"/>
      <c r="X1655" s="1"/>
    </row>
    <row r="1656" spans="1:24">
      <c r="A1656" s="1"/>
      <c r="M1656" s="26"/>
      <c r="N1656" s="26"/>
      <c r="P1656" s="1"/>
      <c r="Q1656" s="1"/>
      <c r="R1656" s="1"/>
      <c r="S1656" s="1"/>
      <c r="T1656" s="1"/>
      <c r="U1656" s="1"/>
      <c r="V1656" s="16"/>
      <c r="W1656" s="1"/>
      <c r="X1656" s="1"/>
    </row>
    <row r="1657" spans="1:24">
      <c r="A1657" s="1"/>
      <c r="M1657" s="26"/>
      <c r="N1657" s="26"/>
      <c r="P1657" s="1"/>
      <c r="Q1657" s="1"/>
      <c r="R1657" s="1"/>
      <c r="S1657" s="1"/>
      <c r="T1657" s="1"/>
      <c r="U1657" s="1"/>
      <c r="V1657" s="16"/>
      <c r="W1657" s="1"/>
      <c r="X1657" s="1"/>
    </row>
    <row r="1658" spans="1:24">
      <c r="A1658" s="1"/>
      <c r="M1658" s="26"/>
      <c r="N1658" s="26"/>
      <c r="P1658" s="1"/>
      <c r="Q1658" s="1"/>
      <c r="R1658" s="1"/>
      <c r="S1658" s="1"/>
      <c r="T1658" s="1"/>
      <c r="U1658" s="1"/>
      <c r="V1658" s="16"/>
      <c r="W1658" s="1"/>
      <c r="X1658" s="1"/>
    </row>
    <row r="1659" spans="1:24">
      <c r="A1659" s="1"/>
      <c r="M1659" s="26"/>
      <c r="N1659" s="26"/>
      <c r="P1659" s="1"/>
      <c r="Q1659" s="1"/>
      <c r="R1659" s="1"/>
      <c r="S1659" s="1"/>
      <c r="T1659" s="1"/>
      <c r="U1659" s="1"/>
      <c r="V1659" s="16"/>
      <c r="W1659" s="1"/>
      <c r="X1659" s="1"/>
    </row>
    <row r="1660" spans="1:24">
      <c r="A1660" s="1"/>
      <c r="M1660" s="26"/>
      <c r="N1660" s="26"/>
      <c r="P1660" s="1"/>
      <c r="Q1660" s="1"/>
      <c r="R1660" s="1"/>
      <c r="S1660" s="1"/>
      <c r="T1660" s="1"/>
      <c r="U1660" s="1"/>
      <c r="V1660" s="16"/>
      <c r="W1660" s="1"/>
      <c r="X1660" s="1"/>
    </row>
    <row r="1661" spans="1:24">
      <c r="A1661" s="1"/>
      <c r="M1661" s="26"/>
      <c r="N1661" s="26"/>
      <c r="P1661" s="1"/>
      <c r="Q1661" s="1"/>
      <c r="R1661" s="1"/>
      <c r="S1661" s="1"/>
      <c r="T1661" s="1"/>
      <c r="U1661" s="1"/>
      <c r="V1661" s="16"/>
      <c r="W1661" s="1"/>
      <c r="X1661" s="1"/>
    </row>
    <row r="1662" spans="1:24">
      <c r="A1662" s="1"/>
      <c r="M1662" s="26"/>
      <c r="N1662" s="26"/>
      <c r="P1662" s="1"/>
      <c r="Q1662" s="1"/>
      <c r="R1662" s="1"/>
      <c r="S1662" s="1"/>
      <c r="T1662" s="1"/>
      <c r="U1662" s="1"/>
      <c r="V1662" s="16"/>
      <c r="W1662" s="1"/>
      <c r="X1662" s="1"/>
    </row>
    <row r="1663" spans="1:24">
      <c r="A1663" s="1"/>
      <c r="M1663" s="26"/>
      <c r="N1663" s="26"/>
      <c r="P1663" s="1"/>
      <c r="Q1663" s="1"/>
      <c r="R1663" s="1"/>
      <c r="S1663" s="1"/>
      <c r="T1663" s="1"/>
      <c r="U1663" s="1"/>
      <c r="V1663" s="16"/>
      <c r="W1663" s="1"/>
      <c r="X1663" s="1"/>
    </row>
    <row r="1664" spans="1:24">
      <c r="A1664" s="1"/>
      <c r="M1664" s="26"/>
      <c r="N1664" s="26"/>
      <c r="P1664" s="1"/>
      <c r="Q1664" s="1"/>
      <c r="R1664" s="1"/>
      <c r="S1664" s="1"/>
      <c r="T1664" s="1"/>
      <c r="U1664" s="1"/>
      <c r="V1664" s="16"/>
      <c r="W1664" s="1"/>
      <c r="X1664" s="1"/>
    </row>
    <row r="1665" spans="1:24">
      <c r="A1665" s="1"/>
      <c r="M1665" s="26"/>
      <c r="N1665" s="26"/>
      <c r="P1665" s="1"/>
      <c r="Q1665" s="1"/>
      <c r="R1665" s="1"/>
      <c r="S1665" s="1"/>
      <c r="T1665" s="1"/>
      <c r="U1665" s="1"/>
      <c r="V1665" s="16"/>
      <c r="W1665" s="1"/>
      <c r="X1665" s="1"/>
    </row>
    <row r="1666" spans="1:24">
      <c r="A1666" s="1"/>
      <c r="M1666" s="26"/>
      <c r="N1666" s="26"/>
      <c r="P1666" s="1"/>
      <c r="Q1666" s="1"/>
      <c r="R1666" s="1"/>
      <c r="S1666" s="1"/>
      <c r="T1666" s="1"/>
      <c r="U1666" s="1"/>
      <c r="V1666" s="16"/>
      <c r="W1666" s="1"/>
      <c r="X1666" s="1"/>
    </row>
    <row r="1667" spans="1:24">
      <c r="A1667" s="1"/>
      <c r="M1667" s="26"/>
      <c r="N1667" s="26"/>
      <c r="P1667" s="1"/>
      <c r="Q1667" s="1"/>
      <c r="R1667" s="1"/>
      <c r="S1667" s="1"/>
      <c r="T1667" s="1"/>
      <c r="U1667" s="1"/>
      <c r="V1667" s="16"/>
      <c r="W1667" s="1"/>
      <c r="X1667" s="1"/>
    </row>
    <row r="1668" spans="1:24">
      <c r="A1668" s="1"/>
      <c r="M1668" s="26"/>
      <c r="N1668" s="26"/>
      <c r="P1668" s="1"/>
      <c r="Q1668" s="1"/>
      <c r="R1668" s="1"/>
      <c r="S1668" s="1"/>
      <c r="T1668" s="1"/>
      <c r="U1668" s="1"/>
      <c r="V1668" s="16"/>
      <c r="W1668" s="1"/>
      <c r="X1668" s="1"/>
    </row>
    <row r="1669" spans="1:24">
      <c r="A1669" s="1"/>
      <c r="M1669" s="26"/>
      <c r="N1669" s="26"/>
      <c r="P1669" s="1"/>
      <c r="Q1669" s="1"/>
      <c r="R1669" s="1"/>
      <c r="S1669" s="1"/>
      <c r="T1669" s="1"/>
      <c r="U1669" s="1"/>
      <c r="V1669" s="16"/>
      <c r="W1669" s="1"/>
      <c r="X1669" s="1"/>
    </row>
    <row r="1670" spans="1:24">
      <c r="A1670" s="1"/>
      <c r="M1670" s="26"/>
      <c r="N1670" s="26"/>
      <c r="P1670" s="1"/>
      <c r="Q1670" s="1"/>
      <c r="R1670" s="1"/>
      <c r="S1670" s="1"/>
      <c r="T1670" s="1"/>
      <c r="U1670" s="1"/>
      <c r="V1670" s="16"/>
      <c r="W1670" s="1"/>
      <c r="X1670" s="1"/>
    </row>
    <row r="1671" spans="1:24">
      <c r="A1671" s="1"/>
      <c r="M1671" s="26"/>
      <c r="N1671" s="26"/>
      <c r="P1671" s="1"/>
      <c r="Q1671" s="1"/>
      <c r="R1671" s="1"/>
      <c r="S1671" s="1"/>
      <c r="T1671" s="1"/>
      <c r="U1671" s="1"/>
      <c r="V1671" s="16"/>
      <c r="W1671" s="1"/>
      <c r="X1671" s="1"/>
    </row>
    <row r="1672" spans="1:24">
      <c r="A1672" s="1"/>
      <c r="M1672" s="26"/>
      <c r="N1672" s="26"/>
      <c r="P1672" s="1"/>
      <c r="Q1672" s="1"/>
      <c r="R1672" s="1"/>
      <c r="S1672" s="1"/>
      <c r="T1672" s="1"/>
      <c r="U1672" s="1"/>
      <c r="V1672" s="16"/>
      <c r="W1672" s="1"/>
      <c r="X1672" s="1"/>
    </row>
    <row r="1673" spans="1:24">
      <c r="A1673" s="1"/>
      <c r="M1673" s="26"/>
      <c r="N1673" s="26"/>
      <c r="P1673" s="1"/>
      <c r="Q1673" s="1"/>
      <c r="R1673" s="1"/>
      <c r="S1673" s="1"/>
      <c r="T1673" s="1"/>
      <c r="U1673" s="1"/>
      <c r="V1673" s="16"/>
      <c r="W1673" s="1"/>
      <c r="X1673" s="1"/>
    </row>
    <row r="1674" spans="1:24">
      <c r="A1674" s="1"/>
      <c r="M1674" s="26"/>
      <c r="N1674" s="26"/>
      <c r="P1674" s="1"/>
      <c r="Q1674" s="1"/>
      <c r="R1674" s="1"/>
      <c r="S1674" s="1"/>
      <c r="T1674" s="1"/>
      <c r="U1674" s="1"/>
      <c r="V1674" s="16"/>
      <c r="W1674" s="1"/>
      <c r="X1674" s="1"/>
    </row>
    <row r="1675" spans="1:24">
      <c r="A1675" s="1"/>
      <c r="M1675" s="26"/>
      <c r="N1675" s="26"/>
      <c r="P1675" s="1"/>
      <c r="Q1675" s="1"/>
      <c r="R1675" s="1"/>
      <c r="S1675" s="1"/>
      <c r="T1675" s="1"/>
      <c r="U1675" s="1"/>
      <c r="V1675" s="16"/>
      <c r="W1675" s="1"/>
      <c r="X1675" s="1"/>
    </row>
    <row r="1676" spans="1:24">
      <c r="A1676" s="1"/>
      <c r="M1676" s="26"/>
      <c r="N1676" s="26"/>
      <c r="P1676" s="1"/>
      <c r="Q1676" s="1"/>
      <c r="R1676" s="1"/>
      <c r="S1676" s="1"/>
      <c r="T1676" s="1"/>
      <c r="U1676" s="1"/>
      <c r="V1676" s="16"/>
      <c r="W1676" s="1"/>
      <c r="X1676" s="1"/>
    </row>
    <row r="1677" spans="1:24">
      <c r="A1677" s="1"/>
      <c r="M1677" s="26"/>
      <c r="N1677" s="26"/>
      <c r="P1677" s="1"/>
      <c r="Q1677" s="1"/>
      <c r="R1677" s="1"/>
      <c r="S1677" s="1"/>
      <c r="T1677" s="1"/>
      <c r="U1677" s="1"/>
      <c r="V1677" s="16"/>
      <c r="W1677" s="1"/>
      <c r="X1677" s="1"/>
    </row>
    <row r="1678" spans="1:24">
      <c r="A1678" s="1"/>
      <c r="M1678" s="26"/>
      <c r="N1678" s="26"/>
      <c r="P1678" s="1"/>
      <c r="Q1678" s="1"/>
      <c r="R1678" s="1"/>
      <c r="S1678" s="1"/>
      <c r="T1678" s="1"/>
      <c r="U1678" s="1"/>
      <c r="V1678" s="16"/>
      <c r="W1678" s="1"/>
      <c r="X1678" s="1"/>
    </row>
    <row r="1679" spans="1:24">
      <c r="A1679" s="1"/>
      <c r="M1679" s="26"/>
      <c r="N1679" s="26"/>
      <c r="P1679" s="1"/>
      <c r="Q1679" s="1"/>
      <c r="R1679" s="1"/>
      <c r="S1679" s="1"/>
      <c r="T1679" s="1"/>
      <c r="U1679" s="1"/>
      <c r="V1679" s="16"/>
      <c r="W1679" s="1"/>
      <c r="X1679" s="1"/>
    </row>
    <row r="1680" spans="1:24">
      <c r="A1680" s="1"/>
      <c r="M1680" s="26"/>
      <c r="N1680" s="26"/>
      <c r="P1680" s="1"/>
      <c r="Q1680" s="1"/>
      <c r="R1680" s="1"/>
      <c r="S1680" s="1"/>
      <c r="T1680" s="1"/>
      <c r="U1680" s="1"/>
      <c r="V1680" s="16"/>
      <c r="W1680" s="1"/>
      <c r="X1680" s="1"/>
    </row>
    <row r="1681" spans="1:24">
      <c r="A1681" s="1"/>
      <c r="M1681" s="26"/>
      <c r="N1681" s="26"/>
      <c r="P1681" s="1"/>
      <c r="Q1681" s="1"/>
      <c r="R1681" s="1"/>
      <c r="S1681" s="1"/>
      <c r="T1681" s="1"/>
      <c r="U1681" s="1"/>
      <c r="V1681" s="16"/>
      <c r="W1681" s="1"/>
      <c r="X1681" s="1"/>
    </row>
    <row r="1682" spans="1:24">
      <c r="A1682" s="1"/>
      <c r="M1682" s="26"/>
      <c r="N1682" s="26"/>
      <c r="P1682" s="1"/>
      <c r="Q1682" s="1"/>
      <c r="R1682" s="1"/>
      <c r="S1682" s="1"/>
      <c r="T1682" s="1"/>
      <c r="U1682" s="1"/>
      <c r="V1682" s="16"/>
      <c r="W1682" s="1"/>
      <c r="X1682" s="1"/>
    </row>
    <row r="1683" spans="1:24">
      <c r="A1683" s="1"/>
      <c r="M1683" s="26"/>
      <c r="N1683" s="26"/>
      <c r="P1683" s="1"/>
      <c r="Q1683" s="1"/>
      <c r="R1683" s="1"/>
      <c r="S1683" s="1"/>
      <c r="T1683" s="1"/>
      <c r="U1683" s="1"/>
      <c r="V1683" s="16"/>
      <c r="W1683" s="1"/>
      <c r="X1683" s="1"/>
    </row>
    <row r="1684" spans="1:24">
      <c r="A1684" s="1"/>
      <c r="M1684" s="26"/>
      <c r="N1684" s="26"/>
      <c r="P1684" s="1"/>
      <c r="Q1684" s="1"/>
      <c r="R1684" s="1"/>
      <c r="S1684" s="1"/>
      <c r="T1684" s="1"/>
      <c r="U1684" s="1"/>
      <c r="V1684" s="16"/>
      <c r="W1684" s="1"/>
      <c r="X1684" s="1"/>
    </row>
    <row r="1685" spans="1:24">
      <c r="A1685" s="1"/>
      <c r="M1685" s="26"/>
      <c r="N1685" s="26"/>
      <c r="P1685" s="1"/>
      <c r="Q1685" s="1"/>
      <c r="R1685" s="1"/>
      <c r="S1685" s="1"/>
      <c r="T1685" s="1"/>
      <c r="U1685" s="1"/>
      <c r="V1685" s="16"/>
      <c r="W1685" s="1"/>
      <c r="X1685" s="1"/>
    </row>
    <row r="1686" spans="1:24">
      <c r="A1686" s="1"/>
      <c r="M1686" s="26"/>
      <c r="N1686" s="26"/>
      <c r="P1686" s="1"/>
      <c r="Q1686" s="1"/>
      <c r="R1686" s="1"/>
      <c r="S1686" s="1"/>
      <c r="T1686" s="1"/>
      <c r="U1686" s="1"/>
      <c r="V1686" s="16"/>
      <c r="W1686" s="1"/>
      <c r="X1686" s="1"/>
    </row>
    <row r="1687" spans="1:24">
      <c r="A1687" s="1"/>
      <c r="M1687" s="26"/>
      <c r="N1687" s="26"/>
      <c r="P1687" s="1"/>
      <c r="Q1687" s="1"/>
      <c r="R1687" s="1"/>
      <c r="S1687" s="1"/>
      <c r="T1687" s="1"/>
      <c r="U1687" s="1"/>
      <c r="V1687" s="16"/>
      <c r="W1687" s="1"/>
      <c r="X1687" s="1"/>
    </row>
    <row r="1688" spans="1:24">
      <c r="A1688" s="1"/>
      <c r="M1688" s="26"/>
      <c r="N1688" s="26"/>
      <c r="P1688" s="1"/>
      <c r="Q1688" s="1"/>
      <c r="R1688" s="1"/>
      <c r="S1688" s="1"/>
      <c r="T1688" s="1"/>
      <c r="U1688" s="1"/>
      <c r="V1688" s="16"/>
      <c r="W1688" s="1"/>
      <c r="X1688" s="1"/>
    </row>
    <row r="1689" spans="1:24">
      <c r="A1689" s="1"/>
      <c r="M1689" s="26"/>
      <c r="N1689" s="26"/>
      <c r="P1689" s="1"/>
      <c r="Q1689" s="1"/>
      <c r="R1689" s="1"/>
      <c r="S1689" s="1"/>
      <c r="T1689" s="1"/>
      <c r="U1689" s="1"/>
      <c r="V1689" s="16"/>
      <c r="W1689" s="1"/>
      <c r="X1689" s="1"/>
    </row>
    <row r="1690" spans="1:24">
      <c r="A1690" s="1"/>
      <c r="M1690" s="26"/>
      <c r="N1690" s="26"/>
      <c r="P1690" s="1"/>
      <c r="Q1690" s="1"/>
      <c r="R1690" s="1"/>
      <c r="S1690" s="1"/>
      <c r="T1690" s="1"/>
      <c r="U1690" s="1"/>
      <c r="V1690" s="16"/>
      <c r="W1690" s="1"/>
      <c r="X1690" s="1"/>
    </row>
    <row r="1691" spans="1:24">
      <c r="A1691" s="1"/>
      <c r="M1691" s="26"/>
      <c r="N1691" s="26"/>
      <c r="P1691" s="1"/>
      <c r="Q1691" s="1"/>
      <c r="R1691" s="1"/>
      <c r="S1691" s="1"/>
      <c r="T1691" s="1"/>
      <c r="U1691" s="1"/>
      <c r="V1691" s="16"/>
      <c r="W1691" s="1"/>
      <c r="X1691" s="1"/>
    </row>
    <row r="1692" spans="1:24">
      <c r="A1692" s="1"/>
      <c r="M1692" s="26"/>
      <c r="N1692" s="26"/>
      <c r="P1692" s="1"/>
      <c r="Q1692" s="1"/>
      <c r="R1692" s="1"/>
      <c r="S1692" s="1"/>
      <c r="T1692" s="1"/>
      <c r="U1692" s="1"/>
      <c r="V1692" s="16"/>
      <c r="W1692" s="1"/>
      <c r="X1692" s="1"/>
    </row>
    <row r="1693" spans="1:24">
      <c r="A1693" s="1"/>
      <c r="M1693" s="26"/>
      <c r="N1693" s="26"/>
      <c r="P1693" s="1"/>
      <c r="Q1693" s="1"/>
      <c r="R1693" s="1"/>
      <c r="S1693" s="1"/>
      <c r="T1693" s="1"/>
      <c r="U1693" s="1"/>
      <c r="V1693" s="16"/>
      <c r="W1693" s="1"/>
      <c r="X1693" s="1"/>
    </row>
    <row r="1694" spans="1:24">
      <c r="A1694" s="1"/>
      <c r="M1694" s="26"/>
      <c r="N1694" s="26"/>
      <c r="P1694" s="1"/>
      <c r="Q1694" s="1"/>
      <c r="R1694" s="1"/>
      <c r="S1694" s="1"/>
      <c r="T1694" s="1"/>
      <c r="U1694" s="1"/>
      <c r="V1694" s="16"/>
      <c r="W1694" s="1"/>
      <c r="X1694" s="1"/>
    </row>
    <row r="1695" spans="1:24">
      <c r="A1695" s="1"/>
      <c r="M1695" s="26"/>
      <c r="N1695" s="26"/>
      <c r="P1695" s="1"/>
      <c r="Q1695" s="1"/>
      <c r="R1695" s="1"/>
      <c r="S1695" s="1"/>
      <c r="T1695" s="1"/>
      <c r="U1695" s="1"/>
      <c r="V1695" s="16"/>
      <c r="W1695" s="1"/>
      <c r="X1695" s="1"/>
    </row>
    <row r="1696" spans="1:24">
      <c r="A1696" s="1"/>
      <c r="M1696" s="26"/>
      <c r="N1696" s="26"/>
      <c r="P1696" s="1"/>
      <c r="Q1696" s="1"/>
      <c r="R1696" s="1"/>
      <c r="S1696" s="1"/>
      <c r="T1696" s="1"/>
      <c r="U1696" s="1"/>
      <c r="V1696" s="16"/>
      <c r="W1696" s="1"/>
      <c r="X1696" s="1"/>
    </row>
    <row r="1697" spans="1:24">
      <c r="A1697" s="1"/>
      <c r="M1697" s="26"/>
      <c r="N1697" s="26"/>
      <c r="P1697" s="1"/>
      <c r="Q1697" s="1"/>
      <c r="R1697" s="1"/>
      <c r="S1697" s="1"/>
      <c r="T1697" s="1"/>
      <c r="U1697" s="1"/>
      <c r="V1697" s="16"/>
      <c r="W1697" s="1"/>
      <c r="X1697" s="1"/>
    </row>
    <row r="1698" spans="1:24">
      <c r="A1698" s="1"/>
      <c r="M1698" s="26"/>
      <c r="N1698" s="26"/>
      <c r="P1698" s="1"/>
      <c r="Q1698" s="1"/>
      <c r="R1698" s="1"/>
      <c r="S1698" s="1"/>
      <c r="T1698" s="1"/>
      <c r="U1698" s="1"/>
      <c r="V1698" s="16"/>
      <c r="W1698" s="1"/>
      <c r="X1698" s="1"/>
    </row>
    <row r="1699" spans="1:24">
      <c r="A1699" s="1"/>
      <c r="M1699" s="26"/>
      <c r="N1699" s="26"/>
      <c r="P1699" s="1"/>
      <c r="Q1699" s="1"/>
      <c r="R1699" s="1"/>
      <c r="S1699" s="1"/>
      <c r="T1699" s="1"/>
      <c r="U1699" s="1"/>
      <c r="V1699" s="16"/>
      <c r="W1699" s="1"/>
      <c r="X1699" s="1"/>
    </row>
    <row r="1700" spans="1:24">
      <c r="A1700" s="1"/>
      <c r="M1700" s="26"/>
      <c r="N1700" s="26"/>
      <c r="P1700" s="1"/>
      <c r="Q1700" s="1"/>
      <c r="R1700" s="1"/>
      <c r="S1700" s="1"/>
      <c r="T1700" s="1"/>
      <c r="U1700" s="1"/>
      <c r="V1700" s="16"/>
      <c r="W1700" s="1"/>
      <c r="X1700" s="1"/>
    </row>
    <row r="1701" spans="1:24">
      <c r="A1701" s="1"/>
      <c r="M1701" s="26"/>
      <c r="N1701" s="26"/>
      <c r="P1701" s="1"/>
      <c r="Q1701" s="1"/>
      <c r="R1701" s="1"/>
      <c r="S1701" s="1"/>
      <c r="T1701" s="1"/>
      <c r="U1701" s="1"/>
      <c r="V1701" s="16"/>
      <c r="W1701" s="1"/>
      <c r="X1701" s="1"/>
    </row>
    <row r="1702" spans="1:24">
      <c r="A1702" s="1"/>
      <c r="M1702" s="26"/>
      <c r="N1702" s="26"/>
      <c r="P1702" s="1"/>
      <c r="Q1702" s="1"/>
      <c r="R1702" s="1"/>
      <c r="S1702" s="1"/>
      <c r="T1702" s="1"/>
      <c r="U1702" s="1"/>
      <c r="V1702" s="16"/>
      <c r="W1702" s="1"/>
      <c r="X1702" s="1"/>
    </row>
    <row r="1703" spans="1:24">
      <c r="A1703" s="1"/>
      <c r="M1703" s="26"/>
      <c r="N1703" s="26"/>
      <c r="P1703" s="1"/>
      <c r="Q1703" s="1"/>
      <c r="R1703" s="1"/>
      <c r="S1703" s="1"/>
      <c r="T1703" s="1"/>
      <c r="U1703" s="1"/>
      <c r="V1703" s="16"/>
      <c r="W1703" s="1"/>
      <c r="X1703" s="1"/>
    </row>
    <row r="1704" spans="1:24">
      <c r="A1704" s="1"/>
      <c r="M1704" s="26"/>
      <c r="N1704" s="26"/>
      <c r="P1704" s="1"/>
      <c r="Q1704" s="1"/>
      <c r="R1704" s="1"/>
      <c r="S1704" s="1"/>
      <c r="T1704" s="1"/>
      <c r="U1704" s="1"/>
      <c r="V1704" s="16"/>
      <c r="W1704" s="1"/>
      <c r="X1704" s="1"/>
    </row>
    <row r="1705" spans="1:24">
      <c r="A1705" s="1"/>
      <c r="M1705" s="26"/>
      <c r="N1705" s="26"/>
      <c r="P1705" s="1"/>
      <c r="Q1705" s="1"/>
      <c r="R1705" s="1"/>
      <c r="S1705" s="1"/>
      <c r="T1705" s="1"/>
      <c r="U1705" s="1"/>
      <c r="V1705" s="16"/>
      <c r="W1705" s="1"/>
      <c r="X1705" s="1"/>
    </row>
    <row r="1706" spans="1:24">
      <c r="A1706" s="1"/>
      <c r="M1706" s="26"/>
      <c r="N1706" s="26"/>
      <c r="P1706" s="1"/>
      <c r="Q1706" s="1"/>
      <c r="R1706" s="1"/>
      <c r="S1706" s="1"/>
      <c r="T1706" s="1"/>
      <c r="U1706" s="1"/>
      <c r="V1706" s="16"/>
      <c r="W1706" s="1"/>
      <c r="X1706" s="1"/>
    </row>
    <row r="1707" spans="1:24">
      <c r="A1707" s="1"/>
      <c r="M1707" s="26"/>
      <c r="N1707" s="26"/>
      <c r="P1707" s="1"/>
      <c r="Q1707" s="1"/>
      <c r="R1707" s="1"/>
      <c r="S1707" s="1"/>
      <c r="T1707" s="1"/>
      <c r="U1707" s="1"/>
      <c r="V1707" s="16"/>
      <c r="W1707" s="1"/>
      <c r="X1707" s="1"/>
    </row>
    <row r="1708" spans="1:24">
      <c r="A1708" s="1"/>
      <c r="M1708" s="26"/>
      <c r="N1708" s="26"/>
      <c r="P1708" s="1"/>
      <c r="Q1708" s="1"/>
      <c r="R1708" s="1"/>
      <c r="S1708" s="1"/>
      <c r="T1708" s="1"/>
      <c r="U1708" s="1"/>
      <c r="V1708" s="16"/>
      <c r="W1708" s="1"/>
      <c r="X1708" s="1"/>
    </row>
    <row r="1709" spans="1:24">
      <c r="A1709" s="1"/>
      <c r="M1709" s="26"/>
      <c r="N1709" s="26"/>
      <c r="P1709" s="1"/>
      <c r="Q1709" s="1"/>
      <c r="R1709" s="1"/>
      <c r="S1709" s="1"/>
      <c r="T1709" s="1"/>
      <c r="U1709" s="1"/>
      <c r="V1709" s="16"/>
      <c r="W1709" s="1"/>
      <c r="X1709" s="1"/>
    </row>
    <row r="1710" spans="1:24">
      <c r="A1710" s="1"/>
      <c r="M1710" s="26"/>
      <c r="N1710" s="26"/>
      <c r="P1710" s="1"/>
      <c r="Q1710" s="1"/>
      <c r="R1710" s="1"/>
      <c r="S1710" s="1"/>
      <c r="T1710" s="1"/>
      <c r="U1710" s="1"/>
      <c r="V1710" s="16"/>
      <c r="W1710" s="1"/>
      <c r="X1710" s="1"/>
    </row>
    <row r="1711" spans="1:24">
      <c r="A1711" s="1"/>
      <c r="M1711" s="26"/>
      <c r="N1711" s="26"/>
      <c r="P1711" s="1"/>
      <c r="Q1711" s="1"/>
      <c r="R1711" s="1"/>
      <c r="S1711" s="1"/>
      <c r="T1711" s="1"/>
      <c r="U1711" s="1"/>
      <c r="V1711" s="16"/>
      <c r="W1711" s="1"/>
      <c r="X1711" s="1"/>
    </row>
    <row r="1712" spans="1:24">
      <c r="A1712" s="1"/>
      <c r="M1712" s="26"/>
      <c r="N1712" s="26"/>
      <c r="P1712" s="1"/>
      <c r="Q1712" s="1"/>
      <c r="R1712" s="1"/>
      <c r="S1712" s="1"/>
      <c r="T1712" s="1"/>
      <c r="U1712" s="1"/>
      <c r="V1712" s="16"/>
      <c r="W1712" s="1"/>
      <c r="X1712" s="1"/>
    </row>
    <row r="1713" spans="1:24">
      <c r="A1713" s="1"/>
      <c r="M1713" s="26"/>
      <c r="N1713" s="26"/>
      <c r="P1713" s="1"/>
      <c r="Q1713" s="1"/>
      <c r="R1713" s="1"/>
      <c r="S1713" s="1"/>
      <c r="T1713" s="1"/>
      <c r="U1713" s="1"/>
      <c r="V1713" s="16"/>
      <c r="W1713" s="1"/>
      <c r="X1713" s="1"/>
    </row>
    <row r="1714" spans="1:24">
      <c r="A1714" s="1"/>
      <c r="M1714" s="26"/>
      <c r="N1714" s="26"/>
      <c r="P1714" s="1"/>
      <c r="Q1714" s="1"/>
      <c r="R1714" s="1"/>
      <c r="S1714" s="1"/>
      <c r="T1714" s="1"/>
      <c r="U1714" s="1"/>
      <c r="V1714" s="16"/>
      <c r="W1714" s="1"/>
      <c r="X1714" s="1"/>
    </row>
    <row r="1715" spans="1:24">
      <c r="A1715" s="1"/>
      <c r="M1715" s="26"/>
      <c r="N1715" s="26"/>
      <c r="P1715" s="1"/>
      <c r="Q1715" s="1"/>
      <c r="R1715" s="1"/>
      <c r="S1715" s="1"/>
      <c r="T1715" s="1"/>
      <c r="U1715" s="1"/>
      <c r="V1715" s="16"/>
      <c r="W1715" s="1"/>
      <c r="X1715" s="1"/>
    </row>
    <row r="1716" spans="1:24">
      <c r="A1716" s="1"/>
      <c r="M1716" s="26"/>
      <c r="N1716" s="26"/>
      <c r="P1716" s="1"/>
      <c r="Q1716" s="1"/>
      <c r="R1716" s="1"/>
      <c r="S1716" s="1"/>
      <c r="T1716" s="1"/>
      <c r="U1716" s="1"/>
      <c r="V1716" s="16"/>
      <c r="W1716" s="1"/>
      <c r="X1716" s="1"/>
    </row>
    <row r="1717" spans="1:24">
      <c r="A1717" s="1"/>
      <c r="M1717" s="26"/>
      <c r="N1717" s="26"/>
      <c r="P1717" s="1"/>
      <c r="Q1717" s="1"/>
      <c r="R1717" s="1"/>
      <c r="S1717" s="1"/>
      <c r="T1717" s="1"/>
      <c r="U1717" s="1"/>
      <c r="V1717" s="16"/>
      <c r="W1717" s="1"/>
      <c r="X1717" s="1"/>
    </row>
    <row r="1718" spans="1:24">
      <c r="A1718" s="1"/>
      <c r="M1718" s="26"/>
      <c r="N1718" s="26"/>
      <c r="P1718" s="1"/>
      <c r="Q1718" s="1"/>
      <c r="R1718" s="1"/>
      <c r="S1718" s="1"/>
      <c r="T1718" s="1"/>
      <c r="U1718" s="1"/>
      <c r="V1718" s="16"/>
      <c r="W1718" s="1"/>
      <c r="X1718" s="1"/>
    </row>
    <row r="1719" spans="1:24">
      <c r="A1719" s="1"/>
      <c r="M1719" s="26"/>
      <c r="N1719" s="26"/>
      <c r="P1719" s="1"/>
      <c r="Q1719" s="1"/>
      <c r="R1719" s="1"/>
      <c r="S1719" s="1"/>
      <c r="T1719" s="1"/>
      <c r="U1719" s="1"/>
      <c r="V1719" s="16"/>
      <c r="W1719" s="1"/>
      <c r="X1719" s="1"/>
    </row>
    <row r="1720" spans="1:24">
      <c r="A1720" s="1"/>
      <c r="M1720" s="26"/>
      <c r="N1720" s="26"/>
      <c r="P1720" s="1"/>
      <c r="Q1720" s="1"/>
      <c r="R1720" s="1"/>
      <c r="S1720" s="1"/>
      <c r="T1720" s="1"/>
      <c r="U1720" s="1"/>
      <c r="V1720" s="16"/>
      <c r="W1720" s="1"/>
      <c r="X1720" s="1"/>
    </row>
    <row r="1721" spans="1:24">
      <c r="A1721" s="1"/>
      <c r="M1721" s="26"/>
      <c r="N1721" s="26"/>
      <c r="P1721" s="1"/>
      <c r="Q1721" s="1"/>
      <c r="R1721" s="1"/>
      <c r="S1721" s="1"/>
      <c r="T1721" s="1"/>
      <c r="U1721" s="1"/>
      <c r="V1721" s="16"/>
      <c r="W1721" s="1"/>
      <c r="X1721" s="1"/>
    </row>
    <row r="1722" spans="1:24">
      <c r="A1722" s="1"/>
      <c r="M1722" s="26"/>
      <c r="N1722" s="26"/>
      <c r="P1722" s="1"/>
      <c r="Q1722" s="1"/>
      <c r="R1722" s="1"/>
      <c r="S1722" s="1"/>
      <c r="T1722" s="1"/>
      <c r="U1722" s="1"/>
      <c r="V1722" s="16"/>
      <c r="W1722" s="1"/>
      <c r="X1722" s="1"/>
    </row>
    <row r="1723" spans="1:24">
      <c r="A1723" s="1"/>
      <c r="M1723" s="26"/>
      <c r="N1723" s="26"/>
      <c r="P1723" s="1"/>
      <c r="Q1723" s="1"/>
      <c r="R1723" s="1"/>
      <c r="S1723" s="1"/>
      <c r="T1723" s="1"/>
      <c r="U1723" s="1"/>
      <c r="V1723" s="16"/>
      <c r="W1723" s="1"/>
      <c r="X1723" s="1"/>
    </row>
    <row r="1724" spans="1:24">
      <c r="A1724" s="1"/>
      <c r="M1724" s="26"/>
      <c r="N1724" s="26"/>
      <c r="P1724" s="1"/>
      <c r="Q1724" s="1"/>
      <c r="R1724" s="1"/>
      <c r="S1724" s="1"/>
      <c r="T1724" s="1"/>
      <c r="U1724" s="1"/>
      <c r="V1724" s="16"/>
      <c r="W1724" s="1"/>
      <c r="X1724" s="1"/>
    </row>
    <row r="1725" spans="1:24">
      <c r="A1725" s="1"/>
      <c r="M1725" s="26"/>
      <c r="N1725" s="26"/>
      <c r="P1725" s="1"/>
      <c r="Q1725" s="1"/>
      <c r="R1725" s="1"/>
      <c r="S1725" s="1"/>
      <c r="T1725" s="1"/>
      <c r="U1725" s="1"/>
      <c r="V1725" s="16"/>
      <c r="W1725" s="1"/>
      <c r="X1725" s="1"/>
    </row>
    <row r="1726" spans="1:24">
      <c r="A1726" s="1"/>
      <c r="M1726" s="26"/>
      <c r="N1726" s="26"/>
      <c r="P1726" s="1"/>
      <c r="Q1726" s="1"/>
      <c r="R1726" s="1"/>
      <c r="S1726" s="1"/>
      <c r="T1726" s="1"/>
      <c r="U1726" s="1"/>
      <c r="V1726" s="16"/>
      <c r="W1726" s="1"/>
      <c r="X1726" s="1"/>
    </row>
    <row r="1727" spans="1:24">
      <c r="A1727" s="1"/>
      <c r="M1727" s="26"/>
      <c r="N1727" s="26"/>
      <c r="P1727" s="1"/>
      <c r="Q1727" s="1"/>
      <c r="R1727" s="1"/>
      <c r="S1727" s="1"/>
      <c r="T1727" s="1"/>
      <c r="U1727" s="1"/>
      <c r="V1727" s="16"/>
      <c r="W1727" s="1"/>
      <c r="X1727" s="1"/>
    </row>
    <row r="1728" spans="1:24">
      <c r="A1728" s="1"/>
      <c r="M1728" s="26"/>
      <c r="N1728" s="26"/>
      <c r="P1728" s="1"/>
      <c r="Q1728" s="1"/>
      <c r="R1728" s="1"/>
      <c r="S1728" s="1"/>
      <c r="T1728" s="1"/>
      <c r="U1728" s="1"/>
      <c r="V1728" s="16"/>
      <c r="W1728" s="1"/>
      <c r="X1728" s="1"/>
    </row>
    <row r="1729" spans="1:24">
      <c r="A1729" s="1"/>
      <c r="M1729" s="26"/>
      <c r="N1729" s="26"/>
      <c r="P1729" s="1"/>
      <c r="Q1729" s="1"/>
      <c r="R1729" s="1"/>
      <c r="S1729" s="1"/>
      <c r="T1729" s="1"/>
      <c r="U1729" s="1"/>
      <c r="V1729" s="16"/>
      <c r="W1729" s="1"/>
      <c r="X1729" s="1"/>
    </row>
    <row r="1730" spans="1:24">
      <c r="A1730" s="1"/>
      <c r="M1730" s="26"/>
      <c r="N1730" s="26"/>
      <c r="P1730" s="1"/>
      <c r="Q1730" s="1"/>
      <c r="R1730" s="1"/>
      <c r="S1730" s="1"/>
      <c r="T1730" s="1"/>
      <c r="U1730" s="1"/>
      <c r="V1730" s="16"/>
      <c r="W1730" s="1"/>
      <c r="X1730" s="1"/>
    </row>
    <row r="1731" spans="1:24">
      <c r="A1731" s="1"/>
      <c r="M1731" s="26"/>
      <c r="N1731" s="26"/>
      <c r="P1731" s="1"/>
      <c r="Q1731" s="1"/>
      <c r="R1731" s="1"/>
      <c r="S1731" s="1"/>
      <c r="T1731" s="1"/>
      <c r="U1731" s="1"/>
      <c r="V1731" s="16"/>
      <c r="W1731" s="1"/>
      <c r="X1731" s="1"/>
    </row>
    <row r="1732" spans="1:24">
      <c r="A1732" s="1"/>
      <c r="M1732" s="26"/>
      <c r="N1732" s="26"/>
      <c r="P1732" s="1"/>
      <c r="Q1732" s="1"/>
      <c r="R1732" s="1"/>
      <c r="S1732" s="1"/>
      <c r="T1732" s="1"/>
      <c r="U1732" s="1"/>
      <c r="V1732" s="16"/>
      <c r="W1732" s="1"/>
      <c r="X1732" s="1"/>
    </row>
    <row r="1733" spans="1:24">
      <c r="A1733" s="1"/>
      <c r="M1733" s="26"/>
      <c r="N1733" s="26"/>
      <c r="P1733" s="1"/>
      <c r="Q1733" s="1"/>
      <c r="R1733" s="1"/>
      <c r="S1733" s="1"/>
      <c r="T1733" s="1"/>
      <c r="U1733" s="1"/>
      <c r="V1733" s="16"/>
      <c r="W1733" s="1"/>
      <c r="X1733" s="1"/>
    </row>
    <row r="1734" spans="1:24">
      <c r="A1734" s="1"/>
      <c r="M1734" s="26"/>
      <c r="N1734" s="26"/>
      <c r="P1734" s="1"/>
      <c r="Q1734" s="1"/>
      <c r="R1734" s="1"/>
      <c r="S1734" s="1"/>
      <c r="T1734" s="1"/>
      <c r="U1734" s="1"/>
      <c r="V1734" s="16"/>
      <c r="W1734" s="1"/>
      <c r="X1734" s="1"/>
    </row>
    <row r="1735" spans="1:24">
      <c r="A1735" s="1"/>
      <c r="M1735" s="26"/>
      <c r="N1735" s="26"/>
      <c r="P1735" s="1"/>
      <c r="Q1735" s="1"/>
      <c r="R1735" s="1"/>
      <c r="S1735" s="1"/>
      <c r="T1735" s="1"/>
      <c r="U1735" s="1"/>
      <c r="V1735" s="16"/>
      <c r="W1735" s="1"/>
      <c r="X1735" s="1"/>
    </row>
    <row r="1736" spans="1:24">
      <c r="A1736" s="1"/>
      <c r="M1736" s="26"/>
      <c r="N1736" s="26"/>
      <c r="P1736" s="1"/>
      <c r="Q1736" s="1"/>
      <c r="R1736" s="1"/>
      <c r="S1736" s="1"/>
      <c r="T1736" s="1"/>
      <c r="U1736" s="1"/>
      <c r="V1736" s="16"/>
      <c r="W1736" s="1"/>
      <c r="X1736" s="1"/>
    </row>
    <row r="1737" spans="1:24">
      <c r="A1737" s="1"/>
      <c r="M1737" s="26"/>
      <c r="N1737" s="26"/>
      <c r="P1737" s="1"/>
      <c r="Q1737" s="1"/>
      <c r="R1737" s="1"/>
      <c r="S1737" s="1"/>
      <c r="T1737" s="1"/>
      <c r="U1737" s="1"/>
      <c r="V1737" s="16"/>
      <c r="W1737" s="1"/>
      <c r="X1737" s="1"/>
    </row>
    <row r="1738" spans="1:24">
      <c r="A1738" s="1"/>
      <c r="M1738" s="26"/>
      <c r="N1738" s="26"/>
      <c r="P1738" s="1"/>
      <c r="Q1738" s="1"/>
      <c r="R1738" s="1"/>
      <c r="S1738" s="1"/>
      <c r="T1738" s="1"/>
      <c r="U1738" s="1"/>
      <c r="V1738" s="16"/>
      <c r="W1738" s="1"/>
      <c r="X1738" s="1"/>
    </row>
    <row r="1739" spans="1:24">
      <c r="A1739" s="1"/>
      <c r="M1739" s="26"/>
      <c r="N1739" s="26"/>
      <c r="P1739" s="1"/>
      <c r="Q1739" s="1"/>
      <c r="R1739" s="1"/>
      <c r="S1739" s="1"/>
      <c r="T1739" s="1"/>
      <c r="U1739" s="1"/>
      <c r="V1739" s="16"/>
      <c r="W1739" s="1"/>
      <c r="X1739" s="1"/>
    </row>
    <row r="1740" spans="1:24">
      <c r="A1740" s="1"/>
      <c r="M1740" s="26"/>
      <c r="N1740" s="26"/>
      <c r="P1740" s="1"/>
      <c r="Q1740" s="1"/>
      <c r="R1740" s="1"/>
      <c r="S1740" s="1"/>
      <c r="T1740" s="1"/>
      <c r="U1740" s="1"/>
      <c r="V1740" s="16"/>
      <c r="W1740" s="1"/>
      <c r="X1740" s="1"/>
    </row>
    <row r="1741" spans="1:24">
      <c r="A1741" s="1"/>
      <c r="M1741" s="26"/>
      <c r="N1741" s="26"/>
      <c r="P1741" s="1"/>
      <c r="Q1741" s="1"/>
      <c r="R1741" s="1"/>
      <c r="S1741" s="1"/>
      <c r="T1741" s="1"/>
      <c r="U1741" s="1"/>
      <c r="V1741" s="16"/>
      <c r="W1741" s="1"/>
      <c r="X1741" s="1"/>
    </row>
    <row r="1742" spans="1:24">
      <c r="A1742" s="1"/>
      <c r="M1742" s="26"/>
      <c r="N1742" s="26"/>
      <c r="P1742" s="1"/>
      <c r="Q1742" s="1"/>
      <c r="R1742" s="1"/>
      <c r="S1742" s="1"/>
      <c r="T1742" s="1"/>
      <c r="U1742" s="1"/>
      <c r="V1742" s="16"/>
      <c r="W1742" s="1"/>
      <c r="X1742" s="1"/>
    </row>
    <row r="1743" spans="1:24">
      <c r="A1743" s="1"/>
      <c r="M1743" s="26"/>
      <c r="N1743" s="26"/>
      <c r="P1743" s="1"/>
      <c r="Q1743" s="1"/>
      <c r="R1743" s="1"/>
      <c r="S1743" s="1"/>
      <c r="T1743" s="1"/>
      <c r="U1743" s="1"/>
      <c r="V1743" s="16"/>
      <c r="W1743" s="1"/>
      <c r="X1743" s="1"/>
    </row>
    <row r="1744" spans="1:24">
      <c r="A1744" s="1"/>
      <c r="M1744" s="26"/>
      <c r="N1744" s="26"/>
      <c r="P1744" s="1"/>
      <c r="Q1744" s="1"/>
      <c r="R1744" s="1"/>
      <c r="S1744" s="1"/>
      <c r="T1744" s="1"/>
      <c r="U1744" s="1"/>
      <c r="V1744" s="16"/>
      <c r="W1744" s="1"/>
      <c r="X1744" s="1"/>
    </row>
    <row r="1745" spans="1:24">
      <c r="A1745" s="1"/>
      <c r="M1745" s="26"/>
      <c r="N1745" s="26"/>
      <c r="P1745" s="1"/>
      <c r="Q1745" s="1"/>
      <c r="R1745" s="1"/>
      <c r="S1745" s="1"/>
      <c r="T1745" s="1"/>
      <c r="U1745" s="1"/>
      <c r="V1745" s="16"/>
      <c r="W1745" s="1"/>
      <c r="X1745" s="1"/>
    </row>
    <row r="1746" spans="1:24">
      <c r="A1746" s="1"/>
      <c r="M1746" s="26"/>
      <c r="N1746" s="26"/>
      <c r="P1746" s="1"/>
      <c r="Q1746" s="1"/>
      <c r="R1746" s="1"/>
      <c r="S1746" s="1"/>
      <c r="T1746" s="1"/>
      <c r="U1746" s="1"/>
      <c r="V1746" s="16"/>
      <c r="W1746" s="1"/>
      <c r="X1746" s="1"/>
    </row>
    <row r="1747" spans="1:24">
      <c r="A1747" s="1"/>
      <c r="M1747" s="26"/>
      <c r="N1747" s="26"/>
      <c r="P1747" s="1"/>
      <c r="Q1747" s="1"/>
      <c r="R1747" s="1"/>
      <c r="S1747" s="1"/>
      <c r="T1747" s="1"/>
      <c r="U1747" s="1"/>
      <c r="V1747" s="16"/>
      <c r="W1747" s="1"/>
      <c r="X1747" s="1"/>
    </row>
    <row r="1748" spans="1:24">
      <c r="A1748" s="1"/>
      <c r="M1748" s="26"/>
      <c r="N1748" s="26"/>
      <c r="P1748" s="1"/>
      <c r="Q1748" s="1"/>
      <c r="R1748" s="1"/>
      <c r="S1748" s="1"/>
      <c r="T1748" s="1"/>
      <c r="U1748" s="1"/>
      <c r="V1748" s="16"/>
      <c r="W1748" s="1"/>
      <c r="X1748" s="1"/>
    </row>
    <row r="1749" spans="1:24">
      <c r="A1749" s="1"/>
      <c r="M1749" s="26"/>
      <c r="N1749" s="26"/>
      <c r="P1749" s="1"/>
      <c r="Q1749" s="1"/>
      <c r="R1749" s="1"/>
      <c r="S1749" s="1"/>
      <c r="T1749" s="1"/>
      <c r="U1749" s="1"/>
      <c r="V1749" s="16"/>
      <c r="W1749" s="1"/>
      <c r="X1749" s="1"/>
    </row>
    <row r="1750" spans="1:24">
      <c r="A1750" s="1"/>
      <c r="M1750" s="26"/>
      <c r="N1750" s="26"/>
      <c r="P1750" s="1"/>
      <c r="Q1750" s="1"/>
      <c r="R1750" s="1"/>
      <c r="S1750" s="1"/>
      <c r="T1750" s="1"/>
      <c r="U1750" s="1"/>
      <c r="V1750" s="16"/>
      <c r="W1750" s="1"/>
      <c r="X1750" s="1"/>
    </row>
    <row r="1751" spans="1:24">
      <c r="A1751" s="1"/>
      <c r="M1751" s="26"/>
      <c r="N1751" s="26"/>
      <c r="P1751" s="1"/>
      <c r="Q1751" s="1"/>
      <c r="R1751" s="1"/>
      <c r="S1751" s="1"/>
      <c r="T1751" s="1"/>
      <c r="U1751" s="1"/>
      <c r="V1751" s="16"/>
      <c r="W1751" s="1"/>
      <c r="X1751" s="1"/>
    </row>
    <row r="1752" spans="1:24">
      <c r="A1752" s="1"/>
      <c r="M1752" s="26"/>
      <c r="N1752" s="26"/>
      <c r="P1752" s="1"/>
      <c r="Q1752" s="1"/>
      <c r="R1752" s="1"/>
      <c r="S1752" s="1"/>
      <c r="T1752" s="1"/>
      <c r="U1752" s="1"/>
      <c r="V1752" s="16"/>
      <c r="W1752" s="1"/>
      <c r="X1752" s="1"/>
    </row>
    <row r="1753" spans="1:24">
      <c r="A1753" s="1"/>
      <c r="M1753" s="26"/>
      <c r="N1753" s="26"/>
      <c r="P1753" s="1"/>
      <c r="Q1753" s="1"/>
      <c r="R1753" s="1"/>
      <c r="S1753" s="1"/>
      <c r="T1753" s="1"/>
      <c r="U1753" s="1"/>
      <c r="V1753" s="16"/>
      <c r="W1753" s="1"/>
      <c r="X1753" s="1"/>
    </row>
    <row r="1754" spans="1:24">
      <c r="A1754" s="1"/>
      <c r="M1754" s="26"/>
      <c r="N1754" s="26"/>
      <c r="P1754" s="1"/>
      <c r="Q1754" s="1"/>
      <c r="R1754" s="1"/>
      <c r="S1754" s="1"/>
      <c r="T1754" s="1"/>
      <c r="U1754" s="1"/>
      <c r="V1754" s="16"/>
      <c r="W1754" s="1"/>
      <c r="X1754" s="1"/>
    </row>
    <row r="1755" spans="1:24">
      <c r="A1755" s="1"/>
      <c r="M1755" s="26"/>
      <c r="N1755" s="26"/>
      <c r="P1755" s="1"/>
      <c r="Q1755" s="1"/>
      <c r="R1755" s="1"/>
      <c r="S1755" s="1"/>
      <c r="T1755" s="1"/>
      <c r="U1755" s="1"/>
      <c r="V1755" s="16"/>
      <c r="W1755" s="1"/>
      <c r="X1755" s="1"/>
    </row>
    <row r="1756" spans="1:24">
      <c r="A1756" s="1"/>
      <c r="M1756" s="26"/>
      <c r="N1756" s="26"/>
      <c r="P1756" s="1"/>
      <c r="Q1756" s="1"/>
      <c r="R1756" s="1"/>
      <c r="S1756" s="1"/>
      <c r="T1756" s="1"/>
      <c r="U1756" s="1"/>
      <c r="V1756" s="16"/>
      <c r="W1756" s="1"/>
      <c r="X1756" s="1"/>
    </row>
    <row r="1757" spans="1:24">
      <c r="A1757" s="1"/>
      <c r="M1757" s="26"/>
      <c r="N1757" s="26"/>
      <c r="P1757" s="1"/>
      <c r="Q1757" s="1"/>
      <c r="R1757" s="1"/>
      <c r="S1757" s="1"/>
      <c r="T1757" s="1"/>
      <c r="U1757" s="1"/>
      <c r="V1757" s="16"/>
      <c r="W1757" s="1"/>
      <c r="X1757" s="1"/>
    </row>
    <row r="1758" spans="1:24">
      <c r="A1758" s="1"/>
      <c r="M1758" s="26"/>
      <c r="N1758" s="26"/>
      <c r="P1758" s="1"/>
      <c r="Q1758" s="1"/>
      <c r="R1758" s="1"/>
      <c r="S1758" s="1"/>
      <c r="T1758" s="1"/>
      <c r="U1758" s="1"/>
      <c r="V1758" s="16"/>
      <c r="W1758" s="1"/>
      <c r="X1758" s="1"/>
    </row>
    <row r="1759" spans="1:24">
      <c r="A1759" s="1"/>
      <c r="M1759" s="26"/>
      <c r="N1759" s="26"/>
      <c r="P1759" s="1"/>
      <c r="Q1759" s="1"/>
      <c r="R1759" s="1"/>
      <c r="S1759" s="1"/>
      <c r="T1759" s="1"/>
      <c r="U1759" s="1"/>
      <c r="V1759" s="16"/>
      <c r="W1759" s="1"/>
      <c r="X1759" s="1"/>
    </row>
    <row r="1760" spans="1:24">
      <c r="A1760" s="1"/>
      <c r="M1760" s="26"/>
      <c r="N1760" s="26"/>
      <c r="P1760" s="1"/>
      <c r="Q1760" s="1"/>
      <c r="R1760" s="1"/>
      <c r="S1760" s="1"/>
      <c r="T1760" s="1"/>
      <c r="U1760" s="1"/>
      <c r="V1760" s="16"/>
      <c r="W1760" s="1"/>
      <c r="X1760" s="1"/>
    </row>
    <row r="1761" spans="1:24">
      <c r="A1761" s="1"/>
      <c r="M1761" s="26"/>
      <c r="N1761" s="26"/>
      <c r="P1761" s="1"/>
      <c r="Q1761" s="1"/>
      <c r="R1761" s="1"/>
      <c r="S1761" s="1"/>
      <c r="T1761" s="1"/>
      <c r="U1761" s="1"/>
      <c r="V1761" s="16"/>
      <c r="W1761" s="1"/>
      <c r="X1761" s="1"/>
    </row>
    <row r="1762" spans="1:24">
      <c r="A1762" s="1"/>
      <c r="M1762" s="26"/>
      <c r="N1762" s="26"/>
      <c r="P1762" s="1"/>
      <c r="Q1762" s="1"/>
      <c r="R1762" s="1"/>
      <c r="S1762" s="1"/>
      <c r="T1762" s="1"/>
      <c r="U1762" s="1"/>
      <c r="V1762" s="16"/>
      <c r="W1762" s="1"/>
      <c r="X1762" s="1"/>
    </row>
    <row r="1763" spans="1:24">
      <c r="A1763" s="1"/>
      <c r="M1763" s="26"/>
      <c r="N1763" s="26"/>
      <c r="P1763" s="1"/>
      <c r="Q1763" s="1"/>
      <c r="R1763" s="1"/>
      <c r="S1763" s="1"/>
      <c r="T1763" s="1"/>
      <c r="U1763" s="1"/>
      <c r="V1763" s="16"/>
      <c r="W1763" s="1"/>
      <c r="X1763" s="1"/>
    </row>
    <row r="1764" spans="1:24">
      <c r="A1764" s="1"/>
      <c r="M1764" s="26"/>
      <c r="N1764" s="26"/>
      <c r="P1764" s="1"/>
      <c r="Q1764" s="1"/>
      <c r="R1764" s="1"/>
      <c r="S1764" s="1"/>
      <c r="T1764" s="1"/>
      <c r="U1764" s="1"/>
      <c r="V1764" s="16"/>
      <c r="W1764" s="1"/>
      <c r="X1764" s="1"/>
    </row>
    <row r="1765" spans="1:24">
      <c r="A1765" s="1"/>
      <c r="M1765" s="26"/>
      <c r="N1765" s="26"/>
      <c r="P1765" s="1"/>
      <c r="Q1765" s="1"/>
      <c r="R1765" s="1"/>
      <c r="S1765" s="1"/>
      <c r="T1765" s="1"/>
      <c r="U1765" s="1"/>
      <c r="V1765" s="16"/>
      <c r="W1765" s="1"/>
      <c r="X1765" s="1"/>
    </row>
    <row r="1766" spans="1:24">
      <c r="A1766" s="1"/>
      <c r="M1766" s="26"/>
      <c r="N1766" s="26"/>
      <c r="P1766" s="1"/>
      <c r="Q1766" s="1"/>
      <c r="R1766" s="1"/>
      <c r="S1766" s="1"/>
      <c r="T1766" s="1"/>
      <c r="U1766" s="1"/>
      <c r="V1766" s="16"/>
      <c r="W1766" s="1"/>
      <c r="X1766" s="1"/>
    </row>
    <row r="1767" spans="1:24">
      <c r="A1767" s="1"/>
      <c r="M1767" s="26"/>
      <c r="N1767" s="26"/>
      <c r="P1767" s="1"/>
      <c r="Q1767" s="1"/>
      <c r="R1767" s="1"/>
      <c r="S1767" s="1"/>
      <c r="T1767" s="1"/>
      <c r="U1767" s="1"/>
      <c r="V1767" s="16"/>
      <c r="W1767" s="1"/>
      <c r="X1767" s="1"/>
    </row>
    <row r="1768" spans="1:24">
      <c r="A1768" s="1"/>
      <c r="M1768" s="26"/>
      <c r="N1768" s="26"/>
      <c r="P1768" s="1"/>
      <c r="Q1768" s="1"/>
      <c r="R1768" s="1"/>
      <c r="S1768" s="1"/>
      <c r="T1768" s="1"/>
      <c r="U1768" s="1"/>
      <c r="V1768" s="16"/>
      <c r="W1768" s="1"/>
      <c r="X1768" s="1"/>
    </row>
    <row r="1769" spans="1:24">
      <c r="A1769" s="1"/>
      <c r="M1769" s="26"/>
      <c r="N1769" s="26"/>
      <c r="P1769" s="1"/>
      <c r="Q1769" s="1"/>
      <c r="R1769" s="1"/>
      <c r="S1769" s="1"/>
      <c r="T1769" s="1"/>
      <c r="U1769" s="1"/>
      <c r="V1769" s="16"/>
      <c r="W1769" s="1"/>
      <c r="X1769" s="1"/>
    </row>
    <row r="1770" spans="1:24">
      <c r="A1770" s="1"/>
      <c r="M1770" s="26"/>
      <c r="N1770" s="26"/>
      <c r="P1770" s="1"/>
      <c r="Q1770" s="1"/>
      <c r="R1770" s="1"/>
      <c r="S1770" s="1"/>
      <c r="T1770" s="1"/>
      <c r="U1770" s="1"/>
      <c r="V1770" s="16"/>
      <c r="W1770" s="1"/>
      <c r="X1770" s="1"/>
    </row>
    <row r="1771" spans="1:24">
      <c r="A1771" s="1"/>
      <c r="M1771" s="26"/>
      <c r="N1771" s="26"/>
      <c r="P1771" s="1"/>
      <c r="Q1771" s="1"/>
      <c r="R1771" s="1"/>
      <c r="S1771" s="1"/>
      <c r="T1771" s="1"/>
      <c r="U1771" s="1"/>
      <c r="V1771" s="16"/>
      <c r="W1771" s="1"/>
      <c r="X1771" s="1"/>
    </row>
    <row r="1772" spans="1:24">
      <c r="A1772" s="1"/>
      <c r="M1772" s="26"/>
      <c r="N1772" s="26"/>
      <c r="P1772" s="1"/>
      <c r="Q1772" s="1"/>
      <c r="R1772" s="1"/>
      <c r="S1772" s="1"/>
      <c r="T1772" s="1"/>
      <c r="U1772" s="1"/>
      <c r="V1772" s="16"/>
      <c r="W1772" s="1"/>
      <c r="X1772" s="1"/>
    </row>
    <row r="1773" spans="1:24">
      <c r="A1773" s="1"/>
      <c r="M1773" s="26"/>
      <c r="N1773" s="26"/>
      <c r="P1773" s="1"/>
      <c r="Q1773" s="1"/>
      <c r="R1773" s="1"/>
      <c r="S1773" s="1"/>
      <c r="T1773" s="1"/>
      <c r="U1773" s="1"/>
      <c r="V1773" s="16"/>
      <c r="W1773" s="1"/>
      <c r="X1773" s="1"/>
    </row>
    <row r="1774" spans="1:24">
      <c r="A1774" s="1"/>
      <c r="M1774" s="26"/>
      <c r="N1774" s="26"/>
      <c r="P1774" s="1"/>
      <c r="Q1774" s="1"/>
      <c r="R1774" s="1"/>
      <c r="S1774" s="1"/>
      <c r="T1774" s="1"/>
      <c r="U1774" s="1"/>
      <c r="V1774" s="16"/>
      <c r="W1774" s="1"/>
      <c r="X1774" s="1"/>
    </row>
    <row r="1775" spans="1:24">
      <c r="A1775" s="1"/>
      <c r="M1775" s="26"/>
      <c r="N1775" s="26"/>
      <c r="P1775" s="1"/>
      <c r="Q1775" s="1"/>
      <c r="R1775" s="1"/>
      <c r="S1775" s="1"/>
      <c r="T1775" s="1"/>
      <c r="U1775" s="1"/>
      <c r="V1775" s="16"/>
      <c r="W1775" s="1"/>
      <c r="X1775" s="1"/>
    </row>
    <row r="1776" spans="1:24">
      <c r="A1776" s="1"/>
      <c r="M1776" s="26"/>
      <c r="N1776" s="26"/>
      <c r="P1776" s="1"/>
      <c r="Q1776" s="1"/>
      <c r="R1776" s="1"/>
      <c r="S1776" s="1"/>
      <c r="T1776" s="1"/>
      <c r="U1776" s="1"/>
      <c r="V1776" s="16"/>
      <c r="W1776" s="1"/>
      <c r="X1776" s="1"/>
    </row>
    <row r="1777" spans="1:24">
      <c r="A1777" s="1"/>
      <c r="M1777" s="26"/>
      <c r="N1777" s="26"/>
      <c r="P1777" s="1"/>
      <c r="Q1777" s="1"/>
      <c r="R1777" s="1"/>
      <c r="S1777" s="1"/>
      <c r="T1777" s="1"/>
      <c r="U1777" s="1"/>
      <c r="V1777" s="16"/>
      <c r="W1777" s="1"/>
      <c r="X1777" s="1"/>
    </row>
    <row r="1778" spans="1:24">
      <c r="A1778" s="1"/>
      <c r="M1778" s="26"/>
      <c r="N1778" s="26"/>
      <c r="P1778" s="1"/>
      <c r="Q1778" s="1"/>
      <c r="R1778" s="1"/>
      <c r="S1778" s="1"/>
      <c r="T1778" s="1"/>
      <c r="U1778" s="1"/>
      <c r="V1778" s="16"/>
      <c r="W1778" s="1"/>
      <c r="X1778" s="1"/>
    </row>
    <row r="1779" spans="1:24">
      <c r="A1779" s="1"/>
      <c r="M1779" s="26"/>
      <c r="N1779" s="26"/>
      <c r="P1779" s="1"/>
      <c r="Q1779" s="1"/>
      <c r="R1779" s="1"/>
      <c r="S1779" s="1"/>
      <c r="T1779" s="1"/>
      <c r="U1779" s="1"/>
      <c r="V1779" s="16"/>
      <c r="W1779" s="1"/>
      <c r="X1779" s="1"/>
    </row>
    <row r="1780" spans="1:24">
      <c r="A1780" s="1"/>
      <c r="M1780" s="26"/>
      <c r="N1780" s="26"/>
      <c r="P1780" s="1"/>
      <c r="Q1780" s="1"/>
      <c r="R1780" s="1"/>
      <c r="S1780" s="1"/>
      <c r="T1780" s="1"/>
      <c r="U1780" s="1"/>
      <c r="V1780" s="16"/>
      <c r="W1780" s="1"/>
      <c r="X1780" s="1"/>
    </row>
    <row r="1781" spans="1:24">
      <c r="A1781" s="1"/>
      <c r="M1781" s="26"/>
      <c r="N1781" s="26"/>
      <c r="P1781" s="1"/>
      <c r="Q1781" s="1"/>
      <c r="R1781" s="1"/>
      <c r="S1781" s="1"/>
      <c r="T1781" s="1"/>
      <c r="U1781" s="1"/>
      <c r="V1781" s="16"/>
      <c r="W1781" s="1"/>
      <c r="X1781" s="1"/>
    </row>
    <row r="1782" spans="1:24">
      <c r="A1782" s="1"/>
      <c r="M1782" s="26"/>
      <c r="N1782" s="26"/>
      <c r="P1782" s="1"/>
      <c r="Q1782" s="1"/>
      <c r="R1782" s="1"/>
      <c r="S1782" s="1"/>
      <c r="T1782" s="1"/>
      <c r="U1782" s="1"/>
      <c r="V1782" s="16"/>
      <c r="W1782" s="1"/>
      <c r="X1782" s="1"/>
    </row>
    <row r="1783" spans="1:24">
      <c r="A1783" s="1"/>
      <c r="M1783" s="26"/>
      <c r="N1783" s="26"/>
      <c r="P1783" s="1"/>
      <c r="Q1783" s="1"/>
      <c r="R1783" s="1"/>
      <c r="S1783" s="1"/>
      <c r="T1783" s="1"/>
      <c r="U1783" s="1"/>
      <c r="V1783" s="16"/>
      <c r="W1783" s="1"/>
      <c r="X1783" s="1"/>
    </row>
    <row r="1784" spans="1:24">
      <c r="A1784" s="1"/>
      <c r="M1784" s="26"/>
      <c r="N1784" s="26"/>
      <c r="P1784" s="1"/>
      <c r="Q1784" s="1"/>
      <c r="R1784" s="1"/>
      <c r="S1784" s="1"/>
      <c r="T1784" s="1"/>
      <c r="U1784" s="1"/>
      <c r="V1784" s="16"/>
      <c r="W1784" s="1"/>
      <c r="X1784" s="1"/>
    </row>
    <row r="1785" spans="1:24">
      <c r="A1785" s="1"/>
      <c r="M1785" s="26"/>
      <c r="N1785" s="26"/>
      <c r="P1785" s="1"/>
      <c r="Q1785" s="1"/>
      <c r="R1785" s="1"/>
      <c r="S1785" s="1"/>
      <c r="T1785" s="1"/>
      <c r="U1785" s="1"/>
      <c r="V1785" s="16"/>
      <c r="W1785" s="1"/>
      <c r="X1785" s="1"/>
    </row>
    <row r="1786" spans="1:24">
      <c r="A1786" s="1"/>
      <c r="M1786" s="26"/>
      <c r="N1786" s="26"/>
      <c r="P1786" s="1"/>
      <c r="Q1786" s="1"/>
      <c r="R1786" s="1"/>
      <c r="S1786" s="1"/>
      <c r="T1786" s="1"/>
      <c r="U1786" s="1"/>
      <c r="V1786" s="16"/>
      <c r="W1786" s="1"/>
      <c r="X1786" s="1"/>
    </row>
    <row r="1787" spans="1:24">
      <c r="A1787" s="1"/>
      <c r="M1787" s="26"/>
      <c r="N1787" s="26"/>
      <c r="P1787" s="1"/>
      <c r="Q1787" s="1"/>
      <c r="R1787" s="1"/>
      <c r="S1787" s="8"/>
      <c r="T1787" s="1"/>
      <c r="U1787" s="1"/>
      <c r="V1787" s="16"/>
      <c r="W1787" s="1"/>
      <c r="X1787" s="1"/>
    </row>
  </sheetData>
  <mergeCells count="296">
    <mergeCell ref="L429:L433"/>
    <mergeCell ref="L434:L438"/>
    <mergeCell ref="G419:G423"/>
    <mergeCell ref="H419:H423"/>
    <mergeCell ref="G429:G433"/>
    <mergeCell ref="H429:H433"/>
    <mergeCell ref="I429:I433"/>
    <mergeCell ref="J429:J433"/>
    <mergeCell ref="K429:K433"/>
    <mergeCell ref="K424:K428"/>
    <mergeCell ref="L424:L428"/>
    <mergeCell ref="L414:L418"/>
    <mergeCell ref="B419:B423"/>
    <mergeCell ref="F424:F428"/>
    <mergeCell ref="G424:G428"/>
    <mergeCell ref="H424:H428"/>
    <mergeCell ref="I424:I428"/>
    <mergeCell ref="J424:J428"/>
    <mergeCell ref="F459:F463"/>
    <mergeCell ref="F469:F473"/>
    <mergeCell ref="I469:I473"/>
    <mergeCell ref="J469:J473"/>
    <mergeCell ref="K469:K473"/>
    <mergeCell ref="L469:L473"/>
    <mergeCell ref="G459:G463"/>
    <mergeCell ref="H459:H463"/>
    <mergeCell ref="I459:I463"/>
    <mergeCell ref="J459:J463"/>
    <mergeCell ref="K459:K463"/>
    <mergeCell ref="L459:L463"/>
    <mergeCell ref="F414:F418"/>
    <mergeCell ref="F419:F423"/>
    <mergeCell ref="F429:F433"/>
    <mergeCell ref="F434:F438"/>
    <mergeCell ref="G434:G438"/>
    <mergeCell ref="I454:I458"/>
    <mergeCell ref="J454:J458"/>
    <mergeCell ref="K454:K458"/>
    <mergeCell ref="L454:L458"/>
    <mergeCell ref="J474:J478"/>
    <mergeCell ref="K474:K478"/>
    <mergeCell ref="L474:L478"/>
    <mergeCell ref="B469:B473"/>
    <mergeCell ref="F409:F413"/>
    <mergeCell ref="G409:G413"/>
    <mergeCell ref="H409:H413"/>
    <mergeCell ref="I409:I413"/>
    <mergeCell ref="J409:J413"/>
    <mergeCell ref="K409:K413"/>
    <mergeCell ref="L409:L413"/>
    <mergeCell ref="I419:I423"/>
    <mergeCell ref="J419:J423"/>
    <mergeCell ref="K419:K423"/>
    <mergeCell ref="L419:L423"/>
    <mergeCell ref="G414:G418"/>
    <mergeCell ref="H414:H418"/>
    <mergeCell ref="I414:I418"/>
    <mergeCell ref="J414:J418"/>
    <mergeCell ref="K414:K418"/>
    <mergeCell ref="F494:F498"/>
    <mergeCell ref="G494:G498"/>
    <mergeCell ref="H494:H498"/>
    <mergeCell ref="I494:I498"/>
    <mergeCell ref="J494:J498"/>
    <mergeCell ref="K494:K498"/>
    <mergeCell ref="L494:L498"/>
    <mergeCell ref="F499:F503"/>
    <mergeCell ref="G499:G503"/>
    <mergeCell ref="H499:H503"/>
    <mergeCell ref="I499:I503"/>
    <mergeCell ref="J499:J503"/>
    <mergeCell ref="K499:K503"/>
    <mergeCell ref="L499:L503"/>
    <mergeCell ref="H504:H508"/>
    <mergeCell ref="I504:I508"/>
    <mergeCell ref="J504:J508"/>
    <mergeCell ref="K504:K508"/>
    <mergeCell ref="L504:L508"/>
    <mergeCell ref="F509:F513"/>
    <mergeCell ref="G509:G513"/>
    <mergeCell ref="H509:H513"/>
    <mergeCell ref="I509:I513"/>
    <mergeCell ref="J509:J513"/>
    <mergeCell ref="K509:K513"/>
    <mergeCell ref="L509:L513"/>
    <mergeCell ref="B534:B538"/>
    <mergeCell ref="F519:F523"/>
    <mergeCell ref="G519:G523"/>
    <mergeCell ref="H519:H523"/>
    <mergeCell ref="I519:I523"/>
    <mergeCell ref="J519:J523"/>
    <mergeCell ref="K519:K523"/>
    <mergeCell ref="L519:L523"/>
    <mergeCell ref="F514:F518"/>
    <mergeCell ref="G514:G518"/>
    <mergeCell ref="H514:H518"/>
    <mergeCell ref="I514:I518"/>
    <mergeCell ref="J514:J518"/>
    <mergeCell ref="K514:K518"/>
    <mergeCell ref="L514:L518"/>
    <mergeCell ref="J534:J538"/>
    <mergeCell ref="K534:K538"/>
    <mergeCell ref="L534:L538"/>
    <mergeCell ref="F534:F538"/>
    <mergeCell ref="F539:F543"/>
    <mergeCell ref="G539:G543"/>
    <mergeCell ref="H539:H543"/>
    <mergeCell ref="J539:J543"/>
    <mergeCell ref="K539:K543"/>
    <mergeCell ref="L539:L543"/>
    <mergeCell ref="G534:G538"/>
    <mergeCell ref="H534:H538"/>
    <mergeCell ref="I534:I538"/>
    <mergeCell ref="B539:B543"/>
    <mergeCell ref="I539:I543"/>
    <mergeCell ref="G479:G483"/>
    <mergeCell ref="H479:H483"/>
    <mergeCell ref="J479:J483"/>
    <mergeCell ref="K479:K483"/>
    <mergeCell ref="L479:L483"/>
    <mergeCell ref="G469:G473"/>
    <mergeCell ref="H469:H473"/>
    <mergeCell ref="B474:B478"/>
    <mergeCell ref="G474:G478"/>
    <mergeCell ref="H474:H478"/>
    <mergeCell ref="I474:I478"/>
    <mergeCell ref="I479:I483"/>
    <mergeCell ref="K484:K488"/>
    <mergeCell ref="L484:L488"/>
    <mergeCell ref="F474:F478"/>
    <mergeCell ref="F479:F483"/>
    <mergeCell ref="F484:F488"/>
    <mergeCell ref="G484:G488"/>
    <mergeCell ref="H484:H488"/>
    <mergeCell ref="I484:I488"/>
    <mergeCell ref="J484:J488"/>
    <mergeCell ref="F489:F493"/>
    <mergeCell ref="G489:G493"/>
    <mergeCell ref="H489:H493"/>
    <mergeCell ref="I489:I493"/>
    <mergeCell ref="J489:J493"/>
    <mergeCell ref="K489:K493"/>
    <mergeCell ref="L489:L493"/>
    <mergeCell ref="B479:B483"/>
    <mergeCell ref="B484:B488"/>
    <mergeCell ref="B489:B493"/>
    <mergeCell ref="B494:B498"/>
    <mergeCell ref="B499:B503"/>
    <mergeCell ref="B504:B508"/>
    <mergeCell ref="B509:B513"/>
    <mergeCell ref="B529:B533"/>
    <mergeCell ref="J524:J528"/>
    <mergeCell ref="K524:K528"/>
    <mergeCell ref="L524:L528"/>
    <mergeCell ref="J529:J533"/>
    <mergeCell ref="K529:K533"/>
    <mergeCell ref="L529:L533"/>
    <mergeCell ref="B514:B518"/>
    <mergeCell ref="B519:B523"/>
    <mergeCell ref="B524:B528"/>
    <mergeCell ref="F524:F528"/>
    <mergeCell ref="G524:G528"/>
    <mergeCell ref="H524:H528"/>
    <mergeCell ref="I524:I528"/>
    <mergeCell ref="F529:F533"/>
    <mergeCell ref="G529:G533"/>
    <mergeCell ref="H529:H533"/>
    <mergeCell ref="I529:I533"/>
    <mergeCell ref="F504:F508"/>
    <mergeCell ref="G504:G508"/>
    <mergeCell ref="F379:F383"/>
    <mergeCell ref="G379:G383"/>
    <mergeCell ref="H379:H383"/>
    <mergeCell ref="I379:I383"/>
    <mergeCell ref="J379:J383"/>
    <mergeCell ref="K379:K383"/>
    <mergeCell ref="L379:L383"/>
    <mergeCell ref="F384:F388"/>
    <mergeCell ref="G384:G388"/>
    <mergeCell ref="H384:H388"/>
    <mergeCell ref="I384:I388"/>
    <mergeCell ref="J384:J388"/>
    <mergeCell ref="K384:K388"/>
    <mergeCell ref="L384:L388"/>
    <mergeCell ref="G404:G408"/>
    <mergeCell ref="H404:H408"/>
    <mergeCell ref="I404:I408"/>
    <mergeCell ref="J404:J408"/>
    <mergeCell ref="K404:K408"/>
    <mergeCell ref="L404:L408"/>
    <mergeCell ref="F389:F393"/>
    <mergeCell ref="G389:G393"/>
    <mergeCell ref="H389:H393"/>
    <mergeCell ref="I389:I393"/>
    <mergeCell ref="J389:J393"/>
    <mergeCell ref="K389:K393"/>
    <mergeCell ref="L389:L393"/>
    <mergeCell ref="F394:F398"/>
    <mergeCell ref="G394:G398"/>
    <mergeCell ref="H394:H398"/>
    <mergeCell ref="I394:I398"/>
    <mergeCell ref="J394:J398"/>
    <mergeCell ref="K394:K398"/>
    <mergeCell ref="L394:L398"/>
    <mergeCell ref="X1:X2"/>
    <mergeCell ref="O1:O2"/>
    <mergeCell ref="P1:P2"/>
    <mergeCell ref="Q1:Q2"/>
    <mergeCell ref="R1:R2"/>
    <mergeCell ref="S1:S2"/>
    <mergeCell ref="T1:T2"/>
    <mergeCell ref="U1:U2"/>
    <mergeCell ref="A1:A2"/>
    <mergeCell ref="B1:B2"/>
    <mergeCell ref="C1:C2"/>
    <mergeCell ref="D1:D2"/>
    <mergeCell ref="E1:E2"/>
    <mergeCell ref="F1:F2"/>
    <mergeCell ref="G1:G2"/>
    <mergeCell ref="H1:H2"/>
    <mergeCell ref="I1:I2"/>
    <mergeCell ref="J1:J2"/>
    <mergeCell ref="K1:K2"/>
    <mergeCell ref="L1:L2"/>
    <mergeCell ref="M1:M2"/>
    <mergeCell ref="N1:N2"/>
    <mergeCell ref="V1:V2"/>
    <mergeCell ref="W1:W2"/>
    <mergeCell ref="F374:F378"/>
    <mergeCell ref="G374:G378"/>
    <mergeCell ref="H374:H378"/>
    <mergeCell ref="I374:I378"/>
    <mergeCell ref="J374:J378"/>
    <mergeCell ref="K374:K378"/>
    <mergeCell ref="L374:L378"/>
    <mergeCell ref="B409:B413"/>
    <mergeCell ref="B414:B418"/>
    <mergeCell ref="B374:B378"/>
    <mergeCell ref="B379:B383"/>
    <mergeCell ref="B384:B388"/>
    <mergeCell ref="B389:B393"/>
    <mergeCell ref="B394:B398"/>
    <mergeCell ref="B399:B403"/>
    <mergeCell ref="B404:B408"/>
    <mergeCell ref="F399:F403"/>
    <mergeCell ref="G399:G403"/>
    <mergeCell ref="H399:H403"/>
    <mergeCell ref="I399:I403"/>
    <mergeCell ref="J399:J403"/>
    <mergeCell ref="K399:K403"/>
    <mergeCell ref="L399:L403"/>
    <mergeCell ref="F404:F408"/>
    <mergeCell ref="K439:K443"/>
    <mergeCell ref="L439:L443"/>
    <mergeCell ref="J434:J438"/>
    <mergeCell ref="K434:K438"/>
    <mergeCell ref="F439:F443"/>
    <mergeCell ref="G439:G443"/>
    <mergeCell ref="H439:H443"/>
    <mergeCell ref="I439:I443"/>
    <mergeCell ref="J439:J443"/>
    <mergeCell ref="H434:H438"/>
    <mergeCell ref="I434:I438"/>
    <mergeCell ref="F444:F448"/>
    <mergeCell ref="G444:G448"/>
    <mergeCell ref="H444:H448"/>
    <mergeCell ref="I444:I448"/>
    <mergeCell ref="J444:J448"/>
    <mergeCell ref="K444:K448"/>
    <mergeCell ref="L444:L448"/>
    <mergeCell ref="F464:F468"/>
    <mergeCell ref="G464:G468"/>
    <mergeCell ref="H464:H468"/>
    <mergeCell ref="I464:I468"/>
    <mergeCell ref="J464:J468"/>
    <mergeCell ref="K464:K468"/>
    <mergeCell ref="L464:L468"/>
    <mergeCell ref="F449:F453"/>
    <mergeCell ref="G449:G453"/>
    <mergeCell ref="H449:H453"/>
    <mergeCell ref="I449:I453"/>
    <mergeCell ref="J449:J453"/>
    <mergeCell ref="K449:K453"/>
    <mergeCell ref="L449:L453"/>
    <mergeCell ref="F454:F458"/>
    <mergeCell ref="G454:G458"/>
    <mergeCell ref="H454:H458"/>
    <mergeCell ref="B459:B463"/>
    <mergeCell ref="B464:B468"/>
    <mergeCell ref="B424:B428"/>
    <mergeCell ref="B429:B433"/>
    <mergeCell ref="B434:B438"/>
    <mergeCell ref="B439:B443"/>
    <mergeCell ref="B444:B448"/>
    <mergeCell ref="B449:B453"/>
    <mergeCell ref="B454:B458"/>
  </mergeCells>
  <conditionalFormatting sqref="Q1:Q71 U1:U71">
    <cfRule type="containsBlanks" dxfId="7" priority="1">
      <formula>LEN(TRIM(Q1))=0</formula>
    </cfRule>
  </conditionalFormatting>
  <hyperlinks>
    <hyperlink ref="V3" r:id="rId1" xr:uid="{00000000-0004-0000-0500-000000000000}"/>
    <hyperlink ref="V4" r:id="rId2" xr:uid="{00000000-0004-0000-0500-000001000000}"/>
    <hyperlink ref="V5" r:id="rId3" xr:uid="{00000000-0004-0000-0500-000002000000}"/>
    <hyperlink ref="V6" r:id="rId4" xr:uid="{00000000-0004-0000-0500-000003000000}"/>
    <hyperlink ref="V7" r:id="rId5" xr:uid="{00000000-0004-0000-0500-000004000000}"/>
    <hyperlink ref="V8" r:id="rId6" xr:uid="{00000000-0004-0000-0500-000005000000}"/>
    <hyperlink ref="V9" r:id="rId7" xr:uid="{00000000-0004-0000-0500-000006000000}"/>
    <hyperlink ref="V10" r:id="rId8" xr:uid="{00000000-0004-0000-0500-000007000000}"/>
    <hyperlink ref="V11" r:id="rId9" xr:uid="{00000000-0004-0000-0500-000008000000}"/>
    <hyperlink ref="V12" r:id="rId10" xr:uid="{00000000-0004-0000-0500-000009000000}"/>
    <hyperlink ref="V13" r:id="rId11" xr:uid="{00000000-0004-0000-0500-00000A000000}"/>
    <hyperlink ref="V14" r:id="rId12" xr:uid="{00000000-0004-0000-0500-00000B000000}"/>
    <hyperlink ref="V15" r:id="rId13" xr:uid="{00000000-0004-0000-0500-00000C000000}"/>
    <hyperlink ref="V16" r:id="rId14" xr:uid="{00000000-0004-0000-0500-00000D000000}"/>
    <hyperlink ref="V17" r:id="rId15" xr:uid="{00000000-0004-0000-0500-00000E000000}"/>
    <hyperlink ref="V18" r:id="rId16" xr:uid="{00000000-0004-0000-0500-00000F000000}"/>
    <hyperlink ref="V19" r:id="rId17" xr:uid="{00000000-0004-0000-0500-000010000000}"/>
    <hyperlink ref="V20" r:id="rId18" xr:uid="{00000000-0004-0000-0500-000011000000}"/>
    <hyperlink ref="V21" r:id="rId19" xr:uid="{00000000-0004-0000-0500-000012000000}"/>
    <hyperlink ref="V22" r:id="rId20" xr:uid="{00000000-0004-0000-0500-000013000000}"/>
    <hyperlink ref="V23" r:id="rId21" xr:uid="{00000000-0004-0000-0500-000014000000}"/>
    <hyperlink ref="V24" r:id="rId22" xr:uid="{00000000-0004-0000-0500-000015000000}"/>
    <hyperlink ref="V25" r:id="rId23" xr:uid="{00000000-0004-0000-0500-000016000000}"/>
    <hyperlink ref="V26" r:id="rId24" xr:uid="{00000000-0004-0000-0500-000017000000}"/>
    <hyperlink ref="V27" r:id="rId25" xr:uid="{00000000-0004-0000-0500-000018000000}"/>
    <hyperlink ref="V28" r:id="rId26" xr:uid="{00000000-0004-0000-0500-000019000000}"/>
    <hyperlink ref="V29" r:id="rId27" xr:uid="{00000000-0004-0000-0500-00001A000000}"/>
    <hyperlink ref="V30" r:id="rId28" xr:uid="{00000000-0004-0000-0500-00001B000000}"/>
    <hyperlink ref="V31" r:id="rId29" xr:uid="{00000000-0004-0000-0500-00001C000000}"/>
    <hyperlink ref="V32" r:id="rId30" xr:uid="{00000000-0004-0000-0500-00001D000000}"/>
    <hyperlink ref="V33" r:id="rId31" xr:uid="{00000000-0004-0000-0500-00001E000000}"/>
    <hyperlink ref="V34" r:id="rId32" xr:uid="{00000000-0004-0000-0500-00001F000000}"/>
    <hyperlink ref="V35" r:id="rId33" xr:uid="{00000000-0004-0000-0500-000020000000}"/>
    <hyperlink ref="V36" r:id="rId34" xr:uid="{00000000-0004-0000-0500-000021000000}"/>
    <hyperlink ref="V37" r:id="rId35" xr:uid="{00000000-0004-0000-0500-000022000000}"/>
    <hyperlink ref="V38" r:id="rId36" xr:uid="{00000000-0004-0000-0500-000023000000}"/>
    <hyperlink ref="V39" r:id="rId37" xr:uid="{00000000-0004-0000-0500-000024000000}"/>
    <hyperlink ref="V40" r:id="rId38" xr:uid="{00000000-0004-0000-0500-000025000000}"/>
    <hyperlink ref="V41" r:id="rId39" xr:uid="{00000000-0004-0000-0500-000026000000}"/>
    <hyperlink ref="V42" r:id="rId40" xr:uid="{00000000-0004-0000-0500-000027000000}"/>
    <hyperlink ref="V43" r:id="rId41" xr:uid="{00000000-0004-0000-0500-000028000000}"/>
    <hyperlink ref="V44" r:id="rId42" xr:uid="{00000000-0004-0000-0500-000029000000}"/>
    <hyperlink ref="V45" r:id="rId43" xr:uid="{00000000-0004-0000-0500-00002A000000}"/>
    <hyperlink ref="V46" r:id="rId44" xr:uid="{00000000-0004-0000-0500-00002B000000}"/>
    <hyperlink ref="V47" r:id="rId45" xr:uid="{00000000-0004-0000-0500-00002C000000}"/>
    <hyperlink ref="U48" r:id="rId46" xr:uid="{00000000-0004-0000-0500-00002D000000}"/>
    <hyperlink ref="V48" r:id="rId47" xr:uid="{00000000-0004-0000-0500-00002E000000}"/>
    <hyperlink ref="U49" r:id="rId48" xr:uid="{00000000-0004-0000-0500-00002F000000}"/>
    <hyperlink ref="V49" r:id="rId49" xr:uid="{00000000-0004-0000-0500-000030000000}"/>
    <hyperlink ref="U50" r:id="rId50" xr:uid="{00000000-0004-0000-0500-000031000000}"/>
    <hyperlink ref="V50" r:id="rId51" xr:uid="{00000000-0004-0000-0500-000032000000}"/>
    <hyperlink ref="U51" r:id="rId52" xr:uid="{00000000-0004-0000-0500-000033000000}"/>
    <hyperlink ref="V51" r:id="rId53" xr:uid="{00000000-0004-0000-0500-000034000000}"/>
    <hyperlink ref="U52" r:id="rId54" xr:uid="{00000000-0004-0000-0500-000035000000}"/>
    <hyperlink ref="V52" r:id="rId55" xr:uid="{00000000-0004-0000-0500-000036000000}"/>
    <hyperlink ref="U53" r:id="rId56" xr:uid="{00000000-0004-0000-0500-000037000000}"/>
    <hyperlink ref="V53" r:id="rId57" xr:uid="{00000000-0004-0000-0500-000038000000}"/>
    <hyperlink ref="U54" r:id="rId58" xr:uid="{00000000-0004-0000-0500-000039000000}"/>
    <hyperlink ref="V54" r:id="rId59" xr:uid="{00000000-0004-0000-0500-00003A000000}"/>
    <hyperlink ref="U55" r:id="rId60" xr:uid="{00000000-0004-0000-0500-00003B000000}"/>
    <hyperlink ref="V55" r:id="rId61" xr:uid="{00000000-0004-0000-0500-00003C000000}"/>
    <hyperlink ref="U56" r:id="rId62" xr:uid="{00000000-0004-0000-0500-00003D000000}"/>
    <hyperlink ref="V56" r:id="rId63" xr:uid="{00000000-0004-0000-0500-00003E000000}"/>
    <hyperlink ref="U57" r:id="rId64" xr:uid="{00000000-0004-0000-0500-00003F000000}"/>
    <hyperlink ref="V57" r:id="rId65" xr:uid="{00000000-0004-0000-0500-000040000000}"/>
    <hyperlink ref="U58" r:id="rId66" xr:uid="{00000000-0004-0000-0500-000041000000}"/>
    <hyperlink ref="V58" r:id="rId67" xr:uid="{00000000-0004-0000-0500-000042000000}"/>
    <hyperlink ref="U59" r:id="rId68" xr:uid="{00000000-0004-0000-0500-000043000000}"/>
    <hyperlink ref="V59" r:id="rId69" xr:uid="{00000000-0004-0000-0500-000044000000}"/>
    <hyperlink ref="U60" r:id="rId70" xr:uid="{00000000-0004-0000-0500-000045000000}"/>
    <hyperlink ref="V60" r:id="rId71" xr:uid="{00000000-0004-0000-0500-000046000000}"/>
    <hyperlink ref="U61" r:id="rId72" xr:uid="{00000000-0004-0000-0500-000047000000}"/>
    <hyperlink ref="V61" r:id="rId73" xr:uid="{00000000-0004-0000-0500-000048000000}"/>
    <hyperlink ref="U62" r:id="rId74" xr:uid="{00000000-0004-0000-0500-000049000000}"/>
    <hyperlink ref="V62" r:id="rId75" xr:uid="{00000000-0004-0000-0500-00004A000000}"/>
    <hyperlink ref="U63" r:id="rId76" xr:uid="{00000000-0004-0000-0500-00004B000000}"/>
    <hyperlink ref="V63" r:id="rId77" xr:uid="{00000000-0004-0000-0500-00004C000000}"/>
    <hyperlink ref="U64" r:id="rId78" xr:uid="{00000000-0004-0000-0500-00004D000000}"/>
    <hyperlink ref="V64" r:id="rId79" xr:uid="{00000000-0004-0000-0500-00004E000000}"/>
    <hyperlink ref="U65" r:id="rId80" xr:uid="{00000000-0004-0000-0500-00004F000000}"/>
    <hyperlink ref="V65" r:id="rId81" xr:uid="{00000000-0004-0000-0500-000050000000}"/>
    <hyperlink ref="U66" r:id="rId82" xr:uid="{00000000-0004-0000-0500-000051000000}"/>
    <hyperlink ref="V66" r:id="rId83" xr:uid="{00000000-0004-0000-0500-000052000000}"/>
    <hyperlink ref="U67" r:id="rId84" xr:uid="{00000000-0004-0000-0500-000053000000}"/>
    <hyperlink ref="V67" r:id="rId85" xr:uid="{00000000-0004-0000-0500-000054000000}"/>
    <hyperlink ref="U68" r:id="rId86" xr:uid="{00000000-0004-0000-0500-000055000000}"/>
    <hyperlink ref="V68" r:id="rId87" xr:uid="{00000000-0004-0000-0500-000056000000}"/>
    <hyperlink ref="U69" r:id="rId88" xr:uid="{00000000-0004-0000-0500-000057000000}"/>
    <hyperlink ref="V69" r:id="rId89" xr:uid="{00000000-0004-0000-0500-000058000000}"/>
    <hyperlink ref="U70" r:id="rId90" xr:uid="{00000000-0004-0000-0500-000059000000}"/>
    <hyperlink ref="V70" r:id="rId91" xr:uid="{00000000-0004-0000-0500-00005A000000}"/>
    <hyperlink ref="U71" r:id="rId92" xr:uid="{00000000-0004-0000-0500-00005B000000}"/>
    <hyperlink ref="V71" r:id="rId93" xr:uid="{00000000-0004-0000-0500-00005C000000}"/>
  </hyperlinks>
  <pageMargins left="0" right="0" top="0" bottom="0" header="0" footer="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X1786"/>
  <sheetViews>
    <sheetView workbookViewId="0">
      <pane xSplit="1" topLeftCell="B1" activePane="topRight" state="frozen"/>
      <selection pane="topRight" activeCell="C2" sqref="C2"/>
    </sheetView>
  </sheetViews>
  <sheetFormatPr defaultColWidth="14.44140625" defaultRowHeight="15" customHeight="1"/>
  <cols>
    <col min="1" max="1" width="5.44140625" customWidth="1"/>
    <col min="6" max="6" width="43.88671875" customWidth="1"/>
    <col min="8" max="10" width="14.44140625" hidden="1"/>
    <col min="11" max="11" width="23.6640625" hidden="1" customWidth="1"/>
    <col min="12" max="12" width="14.44140625" hidden="1"/>
    <col min="13" max="14" width="17.44140625" customWidth="1"/>
    <col min="15" max="15" width="14.44140625" hidden="1"/>
    <col min="18" max="18" width="15.44140625" customWidth="1"/>
    <col min="19" max="19" width="58.33203125" customWidth="1"/>
    <col min="20" max="20" width="15.44140625" hidden="1" customWidth="1"/>
    <col min="21" max="21" width="27" customWidth="1"/>
    <col min="22" max="22" width="23.109375" customWidth="1"/>
    <col min="23" max="24" width="15.44140625" customWidth="1"/>
  </cols>
  <sheetData>
    <row r="1" spans="1:24" ht="14.4">
      <c r="A1" s="100" t="s">
        <v>840</v>
      </c>
      <c r="B1" s="99" t="s">
        <v>841</v>
      </c>
      <c r="C1" s="99" t="s">
        <v>842</v>
      </c>
      <c r="D1" s="99" t="s">
        <v>843</v>
      </c>
      <c r="E1" s="99" t="s">
        <v>844</v>
      </c>
      <c r="F1" s="99" t="s">
        <v>845</v>
      </c>
      <c r="G1" s="99" t="s">
        <v>846</v>
      </c>
      <c r="H1" s="99" t="s">
        <v>847</v>
      </c>
      <c r="I1" s="99" t="s">
        <v>848</v>
      </c>
      <c r="J1" s="99" t="s">
        <v>849</v>
      </c>
      <c r="K1" s="99" t="s">
        <v>850</v>
      </c>
      <c r="L1" s="99" t="s">
        <v>851</v>
      </c>
      <c r="M1" s="96" t="s">
        <v>852</v>
      </c>
      <c r="N1" s="96" t="s">
        <v>853</v>
      </c>
      <c r="O1" s="99" t="s">
        <v>854</v>
      </c>
      <c r="P1" s="95" t="s">
        <v>855</v>
      </c>
      <c r="Q1" s="95" t="s">
        <v>856</v>
      </c>
      <c r="R1" s="95" t="s">
        <v>857</v>
      </c>
      <c r="S1" s="95" t="s">
        <v>858</v>
      </c>
      <c r="T1" s="95" t="s">
        <v>859</v>
      </c>
      <c r="U1" s="95" t="s">
        <v>860</v>
      </c>
      <c r="V1" s="96" t="s">
        <v>861</v>
      </c>
      <c r="W1" s="96" t="s">
        <v>862</v>
      </c>
      <c r="X1" s="95" t="s">
        <v>863</v>
      </c>
    </row>
    <row r="2" spans="1:24" ht="14.4">
      <c r="A2" s="97"/>
      <c r="B2" s="97"/>
      <c r="C2" s="97"/>
      <c r="D2" s="97"/>
      <c r="E2" s="97"/>
      <c r="F2" s="97"/>
      <c r="G2" s="97"/>
      <c r="H2" s="97"/>
      <c r="I2" s="97"/>
      <c r="J2" s="97"/>
      <c r="K2" s="97"/>
      <c r="L2" s="97"/>
      <c r="M2" s="97"/>
      <c r="N2" s="97"/>
      <c r="O2" s="97"/>
      <c r="P2" s="94"/>
      <c r="Q2" s="94"/>
      <c r="R2" s="94"/>
      <c r="S2" s="94"/>
      <c r="T2" s="94"/>
      <c r="U2" s="94"/>
      <c r="V2" s="97"/>
      <c r="W2" s="97"/>
      <c r="X2" s="94"/>
    </row>
    <row r="3" spans="1:24" ht="69">
      <c r="A3" s="15">
        <v>1</v>
      </c>
      <c r="B3" s="15">
        <f ca="1">IFERROR(__xludf.DUMMYFUNCTION("query(Rekap!A2:AD1786,""Select B,E,F,G,D,H,U,V,W where C='PKM Gagasan Tertulis'"")"),2077)</f>
        <v>2077</v>
      </c>
      <c r="C3" s="16" t="str">
        <f ca="1">IFERROR(__xludf.DUMMYFUNCTION("""COMPUTED_VALUE"""),"ILVI NUR AINI")</f>
        <v>ILVI NUR AINI</v>
      </c>
      <c r="D3" s="16" t="str">
        <f ca="1">IFERROR(__xludf.DUMMYFUNCTION("""COMPUTED_VALUE"""),"08211840000077")</f>
        <v>08211840000077</v>
      </c>
      <c r="E3" s="16" t="str">
        <f ca="1">IFERROR(__xludf.DUMMYFUNCTION("""COMPUTED_VALUE"""),"Departemen Perencanaan Wilayah dan Kota")</f>
        <v>Departemen Perencanaan Wilayah dan Kota</v>
      </c>
      <c r="F3" s="16" t="str">
        <f ca="1">IFERROR(__xludf.DUMMYFUNCTION("""COMPUTED_VALUE"""),"Sustainable Smart Silvofishery: Solusi Penanganan Lahan Pasca Tambang Batubara di Pesisir Kalimantan Guna Mewujudkan Ekonomi Hijau Indonesia
")</f>
        <v xml:space="preserve">Sustainable Smart Silvofishery: Solusi Penanganan Lahan Pasca Tambang Batubara di Pesisir Kalimantan Guna Mewujudkan Ekonomi Hijau Indonesia
</v>
      </c>
      <c r="G3" s="16" t="str">
        <f ca="1">IFERROR(__xludf.DUMMYFUNCTION("""COMPUTED_VALUE"""),"Surya Hadi Kusuma, S.T., M.T.")</f>
        <v>Surya Hadi Kusuma, S.T., M.T.</v>
      </c>
      <c r="H3" s="16" t="str">
        <f ca="1">IFERROR(__xludf.DUMMYFUNCTION("""COMPUTED_VALUE"""),"Dyah Sawitri, S.T., M.T.")</f>
        <v>Dyah Sawitri, S.T., M.T.</v>
      </c>
      <c r="I3" s="16" t="str">
        <f ca="1">IFERROR(__xludf.DUMMYFUNCTION("""COMPUTED_VALUE"""),"Dr.Eng. Yuda Apri Hermawan, S.T., M.T.")</f>
        <v>Dr.Eng. Yuda Apri Hermawan, S.T., M.T.</v>
      </c>
      <c r="J3" s="16"/>
      <c r="K3" s="86" t="s">
        <v>995</v>
      </c>
      <c r="L3" s="18" t="s">
        <v>996</v>
      </c>
      <c r="M3" s="19" t="b">
        <v>1</v>
      </c>
      <c r="N3" s="19" t="b">
        <v>1</v>
      </c>
      <c r="O3" s="1" t="s">
        <v>997</v>
      </c>
      <c r="P3" s="7" t="str">
        <f ca="1">IFERROR(__xludf.DUMMYFUNCTION("iferror(vlookup(B3,importrange(""https://docs.google.com/spreadsheets/d/1boHyJQ4e2FU0QG8MHwEi6qjX4hvZWVCHcFfXjq7bbMc/edit?resourcekey#gid=923248883"",""Prop!$C$1:$M""),12,0),IFERROR(vlookup(B3,importrange(""https://docs.google.com/spreadsheets/d/1boHyJQ4e"&amp;"2FU0QG8MHwEi6qjX4hvZWVCHcFfXjq7bbMc/edit?resourcekey#gid=923248883"",""Prop!$N$1:$X""),11,0),iferror(vlookup(B3,importrange(""https://docs.google.com/spreadsheets/d/1boHyJQ4e2FU0QG8MHwEi6qjX4hvZWVCHcFfXjq7bbMc/edit?resourcekey#gid=923248883"",""Prop!$Y$1:"&amp;"$AI""),11,0),iferror(vlookup(B3,importrange(""https://docs.google.com/spreadsheets/d/1boHyJQ4e2FU0QG8MHwEi6qjX4hvZWVCHcFfXjq7bbMc/edit?resourcekey#gid=923248883"",""Prop!$AJ$1:$AT""),11,0),iferror(vlookup(B3,importrange(""https://docs.google.com/spreadshe"&amp;"ets/d/1boHyJQ4e2FU0QG8MHwEi6qjX4hvZWVCHcFfXjq7bbMc/edit?resourcekey#gid=923248883"",""Prop!$AU$1:$BE""),11,0),iferror(vlookup(B3,importrange(""https://docs.google.com/spreadsheets/d/1boHyJQ4e2FU0QG8MHwEi6qjX4hvZWVCHcFfXjq7bbMc/edit?resourcekey#gid=9232488"&amp;"83"",""Prop!$BF$1:$BP""),11,0),iferror(vlookup(B3,importrange(""https://docs.google.com/spreadsheets/d/1boHyJQ4e2FU0QG8MHwEi6qjX4hvZWVCHcFfXjq7bbMc/edit?resourcekey#gid=923248883"",""Prop!$BQ$1:$CA""),11,0),iferror(vlookup(B3,importrange(""https://docs.go"&amp;"ogle.com/spreadsheets/d/1boHyJQ4e2FU0QG8MHwEi6qjX4hvZWVCHcFfXjq7bbMc/edit?resourcekey#gid=923248883"",""Prop!$CB$1:$CL""),11,0),iferror(vlookup(B3,importrange(""https://docs.google.com/spreadsheets/d/1boHyJQ4e2FU0QG8MHwEi6qjX4hvZWVCHcFfXjq7bbMc/edit?resou"&amp;"rcekey#gid=923248883"",""Prop!$CM$1:$CX""),12,0),iferror(vlookup(B3,importrange(""https://docs.google.com/spreadsheets/d/1boHyJQ4e2FU0QG8MHwEi6qjX4hvZWVCHcFfXjq7bbMc/edit?resourcekey#gid=923248883"",""Prop!$CV$1:$DI""),11,0)))))))))))"),"https://drive.google.com/open?id=1_X_8jgNmfSZ8HtcUV-QfiY4q367nd231")</f>
        <v>https://drive.google.com/open?id=1_X_8jgNmfSZ8HtcUV-QfiY4q367nd231</v>
      </c>
      <c r="Q3" s="7" t="str">
        <f ca="1">IFERROR(__xludf.DUMMYFUNCTION("iferror(vlookup(B3,importrange(""https://docs.google.com/spreadsheets/d/1p53T2AuvvIqhP7Nf-bo3Uhj8cbKYRPpZdsrBv3x3bAQ/edit?resourcekey#gid=1321652304"",""Prop!$C$1:$M""),11,0),IFERROR(vlookup(B3,importrange(""https://docs.google.com/spreadsheets/d/1p53T2Au"&amp;"vvIqhP7Nf-bo3Uhj8cbKYRPpZdsrBv3x3bAQ/edit?resourcekey#gid=1321652304"",""Prop!$N$1:$X""),11,0),iferror(vlookup(B3,importrange(""https://docs.google.com/spreadsheets/d/1p53T2AuvvIqhP7Nf-bo3Uhj8cbKYRPpZdsrBv3x3bAQ/edit?resourcekey#gid=1321652304"",""Prop!$Y"&amp;"$1:$AI""),11,0),iferror(vlookup(B3,importrange(""https://docs.google.com/spreadsheets/d/1p53T2AuvvIqhP7Nf-bo3Uhj8cbKYRPpZdsrBv3x3bAQ/edit?resourcekey#gid=1321652304"",""Prop!$AJ$1:$AT""),11,0),iferror(vlookup(B3,importrange(""https://docs.google.com/sprea"&amp;"dsheets/d/1p53T2AuvvIqhP7Nf-bo3Uhj8cbKYRPpZdsrBv3x3bAQ/edit?resourcekey#gid=1321652304"",""Prop!$AU$1:$BE""),11,0),iferror(vlookup(B3,importrange(""https://docs.google.com/spreadsheets/d/1p53T2AuvvIqhP7Nf-bo3Uhj8cbKYRPpZdsrBv3x3bAQ/edit?resourcekey#gid=13"&amp;"21652304"",""Prop!$BF$1:$BP""),11,0),iferror(vlookup(B3,importrange(""https://docs.google.com/spreadsheets/d/1p53T2AuvvIqhP7Nf-bo3Uhj8cbKYRPpZdsrBv3x3bAQ/edit?resourcekey#gid=1321652304"",""Prop!$BQ$1:$CA""),11,0),iferror(vlookup(B3,importrange(""https://"&amp;"docs.google.com/spreadsheets/d/1p53T2AuvvIqhP7Nf-bo3Uhj8cbKYRPpZdsrBv3x3bAQ/edit?resourcekey#gid=1321652304"",""Prop!$CB$1:$CL""),11,0),iferror(vlookup(B3,importrange(""https://docs.google.com/spreadsheets/d/1p53T2AuvvIqhP7Nf-bo3Uhj8cbKYRPpZdsrBv3x3bAQ/ed"&amp;"it?resourcekey#gid=1321652304"",""Prop!$CM$1:$CX""),12,0),iferror(vlookup(B3,importrange(""https://docs.google.com/spreadsheets/d/1p53T2AuvvIqhP7Nf-bo3Uhj8cbKYRPpZdsrBv3x3bAQ/edit?resourcekey#gid=1321652304"",""Prop!$CY$1:$DI""),11,0)))))))))))"),"https://drive.google.com/open?id=1La0mP-SjW6aocBozvtCvxeaSu9Ndk6fb")</f>
        <v>https://drive.google.com/open?id=1La0mP-SjW6aocBozvtCvxeaSu9Ndk6fb</v>
      </c>
      <c r="R3" s="20" t="s">
        <v>998</v>
      </c>
      <c r="S3" s="20" t="str">
        <f ca="1">IFERROR(__xludf.DUMMYFUNCTION("IFERROR(vlookup(B3,IMPORTRANGE(""https://docs.google.com/spreadsheets/d/1g_jfYYK_KeipEDNDUgqgrsxK94XiocfNQIcP-v1QVhI/edit?resourcekey#gid=233272945"",""Nilai!B:CT""),37,0),"" "")"),"1. coba pelajari perdagangan karbon untuk mewujudkan konsepnya
2. perhatikan diskusi terakhir")</f>
        <v>1. coba pelajari perdagangan karbon untuk mewujudkan konsepnya
2. perhatikan diskusi terakhir</v>
      </c>
      <c r="T3" s="20" t="str">
        <f ca="1">IFERROR(__xludf.DUMMYFUNCTION("IFERROR(vlookup(B3,IMPORTRANGE(""https://docs.google.com/spreadsheets/d/1g_jfYYK_KeipEDNDUgqgrsxK94XiocfNQIcP-v1QVhI/edit?resourcekey#gid=233272945"",""Nilai!B:CT""),97,0),"" "")"),"LAYAK UPLOAD KE SIMBELMAWA DENGAN REVISI")</f>
        <v>LAYAK UPLOAD KE SIMBELMAWA DENGAN REVISI</v>
      </c>
      <c r="U3" s="37" t="s">
        <v>786</v>
      </c>
      <c r="V3" s="38" t="s">
        <v>999</v>
      </c>
      <c r="W3" s="18" t="s">
        <v>1000</v>
      </c>
      <c r="X3" s="22" t="b">
        <v>1</v>
      </c>
    </row>
    <row r="4" spans="1:24" ht="57.6">
      <c r="A4" s="15">
        <v>2</v>
      </c>
      <c r="B4" s="15">
        <f ca="1">IFERROR(__xludf.DUMMYFUNCTION("""COMPUTED_VALUE"""),3379)</f>
        <v>3379</v>
      </c>
      <c r="C4" s="16" t="str">
        <f ca="1">IFERROR(__xludf.DUMMYFUNCTION("""COMPUTED_VALUE"""),"DANANG ADI RISTANTO")</f>
        <v>DANANG ADI RISTANTO</v>
      </c>
      <c r="D4" s="16" t="str">
        <f ca="1">IFERROR(__xludf.DUMMYFUNCTION("""COMPUTED_VALUE"""),"5015201062")</f>
        <v>5015201062</v>
      </c>
      <c r="E4" s="16" t="str">
        <f ca="1">IFERROR(__xludf.DUMMYFUNCTION("""COMPUTED_VALUE"""),"Departemen Perencanaan Wilayah dan Kota")</f>
        <v>Departemen Perencanaan Wilayah dan Kota</v>
      </c>
      <c r="F4" s="16" t="str">
        <f ca="1">IFERROR(__xludf.DUMMYFUNCTION("""COMPUTED_VALUE"""),"Nusantara Artificial Green Area: Konsep Kawasan Terpadu Perbaikan Oksigen Ibu Kota Negara Baru Guna Mewujudkan Net Zero Emissions 2050")</f>
        <v>Nusantara Artificial Green Area: Konsep Kawasan Terpadu Perbaikan Oksigen Ibu Kota Negara Baru Guna Mewujudkan Net Zero Emissions 2050</v>
      </c>
      <c r="G4" s="16" t="str">
        <f ca="1">IFERROR(__xludf.DUMMYFUNCTION("""COMPUTED_VALUE"""),"Dyah Sawitri, S.T., M.T.")</f>
        <v>Dyah Sawitri, S.T., M.T.</v>
      </c>
      <c r="H4" s="16" t="str">
        <f ca="1">IFERROR(__xludf.DUMMYFUNCTION("""COMPUTED_VALUE"""),"Dyah Sawitri, S.T., M.T.")</f>
        <v>Dyah Sawitri, S.T., M.T.</v>
      </c>
      <c r="I4" s="16" t="str">
        <f ca="1">IFERROR(__xludf.DUMMYFUNCTION("""COMPUTED_VALUE"""),"Rindi Kusumawardani, S.Si., M.Sc.")</f>
        <v>Rindi Kusumawardani, S.Si., M.Sc.</v>
      </c>
      <c r="J4" s="16"/>
      <c r="K4" s="86" t="s">
        <v>995</v>
      </c>
      <c r="L4" s="18" t="s">
        <v>996</v>
      </c>
      <c r="M4" s="19" t="b">
        <v>1</v>
      </c>
      <c r="N4" s="19" t="b">
        <v>1</v>
      </c>
      <c r="O4" s="1" t="s">
        <v>997</v>
      </c>
      <c r="P4" s="7" t="str">
        <f ca="1">IFERROR(__xludf.DUMMYFUNCTION("iferror(vlookup(B4,importrange(""https://docs.google.com/spreadsheets/d/1boHyJQ4e2FU0QG8MHwEi6qjX4hvZWVCHcFfXjq7bbMc/edit?resourcekey#gid=923248883"",""Prop!$C$1:$M""),12,0),IFERROR(vlookup(B4,importrange(""https://docs.google.com/spreadsheets/d/1boHyJQ4e"&amp;"2FU0QG8MHwEi6qjX4hvZWVCHcFfXjq7bbMc/edit?resourcekey#gid=923248883"",""Prop!$N$1:$X""),11,0),iferror(vlookup(B4,importrange(""https://docs.google.com/spreadsheets/d/1boHyJQ4e2FU0QG8MHwEi6qjX4hvZWVCHcFfXjq7bbMc/edit?resourcekey#gid=923248883"",""Prop!$Y$1:"&amp;"$AI""),11,0),iferror(vlookup(B4,importrange(""https://docs.google.com/spreadsheets/d/1boHyJQ4e2FU0QG8MHwEi6qjX4hvZWVCHcFfXjq7bbMc/edit?resourcekey#gid=923248883"",""Prop!$AJ$1:$AT""),11,0),iferror(vlookup(B4,importrange(""https://docs.google.com/spreadshe"&amp;"ets/d/1boHyJQ4e2FU0QG8MHwEi6qjX4hvZWVCHcFfXjq7bbMc/edit?resourcekey#gid=923248883"",""Prop!$AU$1:$BE""),11,0),iferror(vlookup(B4,importrange(""https://docs.google.com/spreadsheets/d/1boHyJQ4e2FU0QG8MHwEi6qjX4hvZWVCHcFfXjq7bbMc/edit?resourcekey#gid=9232488"&amp;"83"",""Prop!$BF$1:$BP""),11,0),iferror(vlookup(B4,importrange(""https://docs.google.com/spreadsheets/d/1boHyJQ4e2FU0QG8MHwEi6qjX4hvZWVCHcFfXjq7bbMc/edit?resourcekey#gid=923248883"",""Prop!$BQ$1:$CA""),11,0),iferror(vlookup(B4,importrange(""https://docs.go"&amp;"ogle.com/spreadsheets/d/1boHyJQ4e2FU0QG8MHwEi6qjX4hvZWVCHcFfXjq7bbMc/edit?resourcekey#gid=923248883"",""Prop!$CB$1:$CL""),11,0),iferror(vlookup(B4,importrange(""https://docs.google.com/spreadsheets/d/1boHyJQ4e2FU0QG8MHwEi6qjX4hvZWVCHcFfXjq7bbMc/edit?resou"&amp;"rcekey#gid=923248883"",""Prop!$CM$1:$CX""),12,0),iferror(vlookup(B4,importrange(""https://docs.google.com/spreadsheets/d/1boHyJQ4e2FU0QG8MHwEi6qjX4hvZWVCHcFfXjq7bbMc/edit?resourcekey#gid=923248883"",""Prop!$CV$1:$DI""),11,0)))))))))))"),"https://drive.google.com/open?id=1fQIRBvHN2yr2JYV_CX-YjqQ5IpNWLjS-")</f>
        <v>https://drive.google.com/open?id=1fQIRBvHN2yr2JYV_CX-YjqQ5IpNWLjS-</v>
      </c>
      <c r="Q4" s="7" t="str">
        <f ca="1">IFERROR(__xludf.DUMMYFUNCTION("iferror(vlookup(B4,importrange(""https://docs.google.com/spreadsheets/d/1p53T2AuvvIqhP7Nf-bo3Uhj8cbKYRPpZdsrBv3x3bAQ/edit?resourcekey#gid=1321652304"",""Prop!$C$1:$M""),11,0),IFERROR(vlookup(B4,importrange(""https://docs.google.com/spreadsheets/d/1p53T2Au"&amp;"vvIqhP7Nf-bo3Uhj8cbKYRPpZdsrBv3x3bAQ/edit?resourcekey#gid=1321652304"",""Prop!$N$1:$X""),11,0),iferror(vlookup(B4,importrange(""https://docs.google.com/spreadsheets/d/1p53T2AuvvIqhP7Nf-bo3Uhj8cbKYRPpZdsrBv3x3bAQ/edit?resourcekey#gid=1321652304"",""Prop!$Y"&amp;"$1:$AI""),11,0),iferror(vlookup(B4,importrange(""https://docs.google.com/spreadsheets/d/1p53T2AuvvIqhP7Nf-bo3Uhj8cbKYRPpZdsrBv3x3bAQ/edit?resourcekey#gid=1321652304"",""Prop!$AJ$1:$AT""),11,0),iferror(vlookup(B4,importrange(""https://docs.google.com/sprea"&amp;"dsheets/d/1p53T2AuvvIqhP7Nf-bo3Uhj8cbKYRPpZdsrBv3x3bAQ/edit?resourcekey#gid=1321652304"",""Prop!$AU$1:$BE""),11,0),iferror(vlookup(B4,importrange(""https://docs.google.com/spreadsheets/d/1p53T2AuvvIqhP7Nf-bo3Uhj8cbKYRPpZdsrBv3x3bAQ/edit?resourcekey#gid=13"&amp;"21652304"",""Prop!$BF$1:$BP""),11,0),iferror(vlookup(B4,importrange(""https://docs.google.com/spreadsheets/d/1p53T2AuvvIqhP7Nf-bo3Uhj8cbKYRPpZdsrBv3x3bAQ/edit?resourcekey#gid=1321652304"",""Prop!$BQ$1:$CA""),11,0),iferror(vlookup(B4,importrange(""https://"&amp;"docs.google.com/spreadsheets/d/1p53T2AuvvIqhP7Nf-bo3Uhj8cbKYRPpZdsrBv3x3bAQ/edit?resourcekey#gid=1321652304"",""Prop!$CB$1:$CL""),11,0),iferror(vlookup(B4,importrange(""https://docs.google.com/spreadsheets/d/1p53T2AuvvIqhP7Nf-bo3Uhj8cbKYRPpZdsrBv3x3bAQ/ed"&amp;"it?resourcekey#gid=1321652304"",""Prop!$CM$1:$CX""),12,0),iferror(vlookup(B4,importrange(""https://docs.google.com/spreadsheets/d/1p53T2AuvvIqhP7Nf-bo3Uhj8cbKYRPpZdsrBv3x3bAQ/edit?resourcekey#gid=1321652304"",""Prop!$CY$1:$DI""),11,0)))))))))))"),"https://drive.google.com/open?id=1xJkckvUCI8LN26vclPtgCEuMeHbny5dn")</f>
        <v>https://drive.google.com/open?id=1xJkckvUCI8LN26vclPtgCEuMeHbny5dn</v>
      </c>
      <c r="R4" s="20" t="s">
        <v>998</v>
      </c>
      <c r="S4" s="20" t="str">
        <f ca="1">IFERROR(__xludf.DUMMYFUNCTION("IFERROR(vlookup(B4,IMPORTRANGE(""https://docs.google.com/spreadsheets/d/1g_jfYYK_KeipEDNDUgqgrsxK94XiocfNQIcP-v1QVhI/edit?resourcekey#gid=233272945"",""Nilai!B:CT""),37,0),"" "")")," ")</f>
        <v xml:space="preserve"> </v>
      </c>
      <c r="T4" s="20" t="str">
        <f ca="1">IFERROR(__xludf.DUMMYFUNCTION("IFERROR(vlookup(B4,IMPORTRANGE(""https://docs.google.com/spreadsheets/d/1g_jfYYK_KeipEDNDUgqgrsxK94XiocfNQIcP-v1QVhI/edit?resourcekey#gid=233272945"",""Nilai!B:CT""),97,0),"" "")")," ")</f>
        <v xml:space="preserve"> </v>
      </c>
      <c r="U4" s="37" t="s">
        <v>786</v>
      </c>
      <c r="V4" s="38" t="s">
        <v>999</v>
      </c>
      <c r="W4" s="18" t="s">
        <v>1000</v>
      </c>
      <c r="X4" s="22" t="b">
        <v>1</v>
      </c>
    </row>
    <row r="5" spans="1:24" ht="69">
      <c r="A5" s="15">
        <v>3</v>
      </c>
      <c r="B5" s="15">
        <f ca="1">IFERROR(__xludf.DUMMYFUNCTION("""COMPUTED_VALUE"""),2280)</f>
        <v>2280</v>
      </c>
      <c r="C5" s="16" t="str">
        <f ca="1">IFERROR(__xludf.DUMMYFUNCTION("""COMPUTED_VALUE"""),"Rif'at Muhammad")</f>
        <v>Rif'at Muhammad</v>
      </c>
      <c r="D5" s="16" t="str">
        <f ca="1">IFERROR(__xludf.DUMMYFUNCTION("""COMPUTED_VALUE"""),"5009211076")</f>
        <v>5009211076</v>
      </c>
      <c r="E5" s="16" t="str">
        <f ca="1">IFERROR(__xludf.DUMMYFUNCTION("""COMPUTED_VALUE"""),"Departemen Teknik Fisika")</f>
        <v>Departemen Teknik Fisika</v>
      </c>
      <c r="F5" s="16" t="str">
        <f ca="1">IFERROR(__xludf.DUMMYFUNCTION("""COMPUTED_VALUE"""),"1.	Konsep Kota yang Mendukung Kendaraan Listrik Untuk Menempuh Jarak Tanpa Batas")</f>
        <v>1.	Konsep Kota yang Mendukung Kendaraan Listrik Untuk Menempuh Jarak Tanpa Batas</v>
      </c>
      <c r="G5" s="16" t="str">
        <f ca="1">IFERROR(__xludf.DUMMYFUNCTION("""COMPUTED_VALUE"""),"Dr. Dhany Arifianto, S.T., M.Eng.")</f>
        <v>Dr. Dhany Arifianto, S.T., M.Eng.</v>
      </c>
      <c r="H5" s="16" t="str">
        <f ca="1">IFERROR(__xludf.DUMMYFUNCTION("""COMPUTED_VALUE"""),"Dyah Sawitri, S.T., M.T.")</f>
        <v>Dyah Sawitri, S.T., M.T.</v>
      </c>
      <c r="I5" s="16" t="str">
        <f ca="1">IFERROR(__xludf.DUMMYFUNCTION("""COMPUTED_VALUE"""),"Rindi Kusumawardani, S.Si., M.Sc.")</f>
        <v>Rindi Kusumawardani, S.Si., M.Sc.</v>
      </c>
      <c r="J5" s="16"/>
      <c r="K5" s="86" t="s">
        <v>995</v>
      </c>
      <c r="L5" s="18" t="s">
        <v>996</v>
      </c>
      <c r="M5" s="19" t="b">
        <v>1</v>
      </c>
      <c r="N5" s="19" t="b">
        <v>1</v>
      </c>
      <c r="O5" s="1" t="s">
        <v>997</v>
      </c>
      <c r="P5" s="7" t="str">
        <f ca="1">IFERROR(__xludf.DUMMYFUNCTION("iferror(vlookup(B5,importrange(""https://docs.google.com/spreadsheets/d/1boHyJQ4e2FU0QG8MHwEi6qjX4hvZWVCHcFfXjq7bbMc/edit?resourcekey#gid=923248883"",""Prop!$C$1:$M""),12,0),IFERROR(vlookup(B5,importrange(""https://docs.google.com/spreadsheets/d/1boHyJQ4e"&amp;"2FU0QG8MHwEi6qjX4hvZWVCHcFfXjq7bbMc/edit?resourcekey#gid=923248883"",""Prop!$N$1:$X""),11,0),iferror(vlookup(B5,importrange(""https://docs.google.com/spreadsheets/d/1boHyJQ4e2FU0QG8MHwEi6qjX4hvZWVCHcFfXjq7bbMc/edit?resourcekey#gid=923248883"",""Prop!$Y$1:"&amp;"$AI""),11,0),iferror(vlookup(B5,importrange(""https://docs.google.com/spreadsheets/d/1boHyJQ4e2FU0QG8MHwEi6qjX4hvZWVCHcFfXjq7bbMc/edit?resourcekey#gid=923248883"",""Prop!$AJ$1:$AT""),11,0),iferror(vlookup(B5,importrange(""https://docs.google.com/spreadshe"&amp;"ets/d/1boHyJQ4e2FU0QG8MHwEi6qjX4hvZWVCHcFfXjq7bbMc/edit?resourcekey#gid=923248883"",""Prop!$AU$1:$BE""),11,0),iferror(vlookup(B5,importrange(""https://docs.google.com/spreadsheets/d/1boHyJQ4e2FU0QG8MHwEi6qjX4hvZWVCHcFfXjq7bbMc/edit?resourcekey#gid=9232488"&amp;"83"",""Prop!$BF$1:$BP""),11,0),iferror(vlookup(B5,importrange(""https://docs.google.com/spreadsheets/d/1boHyJQ4e2FU0QG8MHwEi6qjX4hvZWVCHcFfXjq7bbMc/edit?resourcekey#gid=923248883"",""Prop!$BQ$1:$CA""),11,0),iferror(vlookup(B5,importrange(""https://docs.go"&amp;"ogle.com/spreadsheets/d/1boHyJQ4e2FU0QG8MHwEi6qjX4hvZWVCHcFfXjq7bbMc/edit?resourcekey#gid=923248883"",""Prop!$CB$1:$CL""),11,0),iferror(vlookup(B5,importrange(""https://docs.google.com/spreadsheets/d/1boHyJQ4e2FU0QG8MHwEi6qjX4hvZWVCHcFfXjq7bbMc/edit?resou"&amp;"rcekey#gid=923248883"",""Prop!$CM$1:$CX""),12,0),iferror(vlookup(B5,importrange(""https://docs.google.com/spreadsheets/d/1boHyJQ4e2FU0QG8MHwEi6qjX4hvZWVCHcFfXjq7bbMc/edit?resourcekey#gid=923248883"",""Prop!$CV$1:$DI""),11,0)))))))))))"),"https://drive.google.com/open?id=1boXcgnS-aYJ_aPkRpuyOBFypPobLPacI")</f>
        <v>https://drive.google.com/open?id=1boXcgnS-aYJ_aPkRpuyOBFypPobLPacI</v>
      </c>
      <c r="Q5" s="7" t="str">
        <f ca="1">IFERROR(__xludf.DUMMYFUNCTION("iferror(vlookup(B5,importrange(""https://docs.google.com/spreadsheets/d/1p53T2AuvvIqhP7Nf-bo3Uhj8cbKYRPpZdsrBv3x3bAQ/edit?resourcekey#gid=1321652304"",""Prop!$C$1:$M""),11,0),IFERROR(vlookup(B5,importrange(""https://docs.google.com/spreadsheets/d/1p53T2Au"&amp;"vvIqhP7Nf-bo3Uhj8cbKYRPpZdsrBv3x3bAQ/edit?resourcekey#gid=1321652304"",""Prop!$N$1:$X""),11,0),iferror(vlookup(B5,importrange(""https://docs.google.com/spreadsheets/d/1p53T2AuvvIqhP7Nf-bo3Uhj8cbKYRPpZdsrBv3x3bAQ/edit?resourcekey#gid=1321652304"",""Prop!$Y"&amp;"$1:$AI""),11,0),iferror(vlookup(B5,importrange(""https://docs.google.com/spreadsheets/d/1p53T2AuvvIqhP7Nf-bo3Uhj8cbKYRPpZdsrBv3x3bAQ/edit?resourcekey#gid=1321652304"",""Prop!$AJ$1:$AT""),11,0),iferror(vlookup(B5,importrange(""https://docs.google.com/sprea"&amp;"dsheets/d/1p53T2AuvvIqhP7Nf-bo3Uhj8cbKYRPpZdsrBv3x3bAQ/edit?resourcekey#gid=1321652304"",""Prop!$AU$1:$BE""),11,0),iferror(vlookup(B5,importrange(""https://docs.google.com/spreadsheets/d/1p53T2AuvvIqhP7Nf-bo3Uhj8cbKYRPpZdsrBv3x3bAQ/edit?resourcekey#gid=13"&amp;"21652304"",""Prop!$BF$1:$BP""),11,0),iferror(vlookup(B5,importrange(""https://docs.google.com/spreadsheets/d/1p53T2AuvvIqhP7Nf-bo3Uhj8cbKYRPpZdsrBv3x3bAQ/edit?resourcekey#gid=1321652304"",""Prop!$BQ$1:$CA""),11,0),iferror(vlookup(B5,importrange(""https://"&amp;"docs.google.com/spreadsheets/d/1p53T2AuvvIqhP7Nf-bo3Uhj8cbKYRPpZdsrBv3x3bAQ/edit?resourcekey#gid=1321652304"",""Prop!$CB$1:$CL""),11,0),iferror(vlookup(B5,importrange(""https://docs.google.com/spreadsheets/d/1p53T2AuvvIqhP7Nf-bo3Uhj8cbKYRPpZdsrBv3x3bAQ/ed"&amp;"it?resourcekey#gid=1321652304"",""Prop!$CM$1:$CX""),12,0),iferror(vlookup(B5,importrange(""https://docs.google.com/spreadsheets/d/1p53T2AuvvIqhP7Nf-bo3Uhj8cbKYRPpZdsrBv3x3bAQ/edit?resourcekey#gid=1321652304"",""Prop!$CY$1:$DI""),11,0)))))))))))"),"https://drive.google.com/open?id=1yD9PXtCCn-pDG0QLYwxGZ80xqWDMBrW4")</f>
        <v>https://drive.google.com/open?id=1yD9PXtCCn-pDG0QLYwxGZ80xqWDMBrW4</v>
      </c>
      <c r="R5" s="20" t="s">
        <v>998</v>
      </c>
      <c r="S5" s="20" t="str">
        <f ca="1">IFERROR(__xludf.DUMMYFUNCTION("IFERROR(vlookup(B5,IMPORTRANGE(""https://docs.google.com/spreadsheets/d/1g_jfYYK_KeipEDNDUgqgrsxK94XiocfNQIcP-v1QVhI/edit?resourcekey#gid=233272945"",""Nilai!B:CT""),37,0),"" "")"),"1. gambarkan gagasan secara komprehensif
2. dampak sistemik dibuat lebih terukur")</f>
        <v>1. gambarkan gagasan secara komprehensif
2. dampak sistemik dibuat lebih terukur</v>
      </c>
      <c r="T5" s="20" t="str">
        <f ca="1">IFERROR(__xludf.DUMMYFUNCTION("IFERROR(vlookup(B5,IMPORTRANGE(""https://docs.google.com/spreadsheets/d/1g_jfYYK_KeipEDNDUgqgrsxK94XiocfNQIcP-v1QVhI/edit?resourcekey#gid=233272945"",""Nilai!B:CT""),97,0),"" "")"),"LAYAK UPLOAD KE SIMBELMAWA DENGAN REVISI")</f>
        <v>LAYAK UPLOAD KE SIMBELMAWA DENGAN REVISI</v>
      </c>
      <c r="U5" s="37" t="s">
        <v>786</v>
      </c>
      <c r="V5" s="38" t="s">
        <v>999</v>
      </c>
      <c r="W5" s="18" t="s">
        <v>1000</v>
      </c>
      <c r="X5" s="22" t="b">
        <v>1</v>
      </c>
    </row>
    <row r="6" spans="1:24" ht="69">
      <c r="A6" s="15">
        <v>4</v>
      </c>
      <c r="B6" s="15">
        <f ca="1">IFERROR(__xludf.DUMMYFUNCTION("""COMPUTED_VALUE"""),2274)</f>
        <v>2274</v>
      </c>
      <c r="C6" s="16" t="str">
        <f ca="1">IFERROR(__xludf.DUMMYFUNCTION("""COMPUTED_VALUE"""),"CHOIRINA ALIVIA")</f>
        <v>CHOIRINA ALIVIA</v>
      </c>
      <c r="D6" s="16" t="str">
        <f ca="1">IFERROR(__xludf.DUMMYFUNCTION("""COMPUTED_VALUE"""),"02311940000110")</f>
        <v>02311940000110</v>
      </c>
      <c r="E6" s="16" t="str">
        <f ca="1">IFERROR(__xludf.DUMMYFUNCTION("""COMPUTED_VALUE"""),"Departemen Teknik Fisika")</f>
        <v>Departemen Teknik Fisika</v>
      </c>
      <c r="F6" s="16" t="str">
        <f ca="1">IFERROR(__xludf.DUMMYFUNCTION("""COMPUTED_VALUE"""),"Sistem Pencegahan Land Subsidence untuk Mengatasi Penurunan Permukaan Tanah di Pulau Jawa")</f>
        <v>Sistem Pencegahan Land Subsidence untuk Mengatasi Penurunan Permukaan Tanah di Pulau Jawa</v>
      </c>
      <c r="G6" s="16" t="str">
        <f ca="1">IFERROR(__xludf.DUMMYFUNCTION("""COMPUTED_VALUE"""),"Dyah Sawitri, S.T., M.T.")</f>
        <v>Dyah Sawitri, S.T., M.T.</v>
      </c>
      <c r="H6" s="16" t="str">
        <f ca="1">IFERROR(__xludf.DUMMYFUNCTION("""COMPUTED_VALUE"""),"Dyah Sawitri, S.T., M.T.")</f>
        <v>Dyah Sawitri, S.T., M.T.</v>
      </c>
      <c r="I6" s="16" t="str">
        <f ca="1">IFERROR(__xludf.DUMMYFUNCTION("""COMPUTED_VALUE"""),"Rindi Kusumawardani, S.Si., M.Sc.")</f>
        <v>Rindi Kusumawardani, S.Si., M.Sc.</v>
      </c>
      <c r="J6" s="16"/>
      <c r="K6" s="86" t="s">
        <v>995</v>
      </c>
      <c r="L6" s="18" t="s">
        <v>996</v>
      </c>
      <c r="M6" s="19" t="b">
        <v>0</v>
      </c>
      <c r="N6" s="19" t="b">
        <v>0</v>
      </c>
      <c r="O6" s="1" t="s">
        <v>997</v>
      </c>
      <c r="P6" s="7" t="str">
        <f ca="1">IFERROR(__xludf.DUMMYFUNCTION("iferror(vlookup(B6,importrange(""https://docs.google.com/spreadsheets/d/1boHyJQ4e2FU0QG8MHwEi6qjX4hvZWVCHcFfXjq7bbMc/edit?resourcekey#gid=923248883"",""Prop!$C$1:$M""),12,0),IFERROR(vlookup(B6,importrange(""https://docs.google.com/spreadsheets/d/1boHyJQ4e"&amp;"2FU0QG8MHwEi6qjX4hvZWVCHcFfXjq7bbMc/edit?resourcekey#gid=923248883"",""Prop!$N$1:$X""),11,0),iferror(vlookup(B6,importrange(""https://docs.google.com/spreadsheets/d/1boHyJQ4e2FU0QG8MHwEi6qjX4hvZWVCHcFfXjq7bbMc/edit?resourcekey#gid=923248883"",""Prop!$Y$1:"&amp;"$AI""),11,0),iferror(vlookup(B6,importrange(""https://docs.google.com/spreadsheets/d/1boHyJQ4e2FU0QG8MHwEi6qjX4hvZWVCHcFfXjq7bbMc/edit?resourcekey#gid=923248883"",""Prop!$AJ$1:$AT""),11,0),iferror(vlookup(B6,importrange(""https://docs.google.com/spreadshe"&amp;"ets/d/1boHyJQ4e2FU0QG8MHwEi6qjX4hvZWVCHcFfXjq7bbMc/edit?resourcekey#gid=923248883"",""Prop!$AU$1:$BE""),11,0),iferror(vlookup(B6,importrange(""https://docs.google.com/spreadsheets/d/1boHyJQ4e2FU0QG8MHwEi6qjX4hvZWVCHcFfXjq7bbMc/edit?resourcekey#gid=9232488"&amp;"83"",""Prop!$BF$1:$BP""),11,0),iferror(vlookup(B6,importrange(""https://docs.google.com/spreadsheets/d/1boHyJQ4e2FU0QG8MHwEi6qjX4hvZWVCHcFfXjq7bbMc/edit?resourcekey#gid=923248883"",""Prop!$BQ$1:$CA""),11,0),iferror(vlookup(B6,importrange(""https://docs.go"&amp;"ogle.com/spreadsheets/d/1boHyJQ4e2FU0QG8MHwEi6qjX4hvZWVCHcFfXjq7bbMc/edit?resourcekey#gid=923248883"",""Prop!$CB$1:$CL""),11,0),iferror(vlookup(B6,importrange(""https://docs.google.com/spreadsheets/d/1boHyJQ4e2FU0QG8MHwEi6qjX4hvZWVCHcFfXjq7bbMc/edit?resou"&amp;"rcekey#gid=923248883"",""Prop!$CM$1:$CX""),12,0),iferror(vlookup(B6,importrange(""https://docs.google.com/spreadsheets/d/1boHyJQ4e2FU0QG8MHwEi6qjX4hvZWVCHcFfXjq7bbMc/edit?resourcekey#gid=923248883"",""Prop!$CV$1:$DI""),11,0)))))))))))"),"https://drive.google.com/open?id=1v-gRHcrQuJhQK6WiJX-Uh_AoPI4MDURW")</f>
        <v>https://drive.google.com/open?id=1v-gRHcrQuJhQK6WiJX-Uh_AoPI4MDURW</v>
      </c>
      <c r="Q6" s="7" t="str">
        <f ca="1">IFERROR(__xludf.DUMMYFUNCTION("iferror(vlookup(B6,importrange(""https://docs.google.com/spreadsheets/d/1p53T2AuvvIqhP7Nf-bo3Uhj8cbKYRPpZdsrBv3x3bAQ/edit?resourcekey#gid=1321652304"",""Prop!$C$1:$M""),11,0),IFERROR(vlookup(B6,importrange(""https://docs.google.com/spreadsheets/d/1p53T2Au"&amp;"vvIqhP7Nf-bo3Uhj8cbKYRPpZdsrBv3x3bAQ/edit?resourcekey#gid=1321652304"",""Prop!$N$1:$X""),11,0),iferror(vlookup(B6,importrange(""https://docs.google.com/spreadsheets/d/1p53T2AuvvIqhP7Nf-bo3Uhj8cbKYRPpZdsrBv3x3bAQ/edit?resourcekey#gid=1321652304"",""Prop!$Y"&amp;"$1:$AI""),11,0),iferror(vlookup(B6,importrange(""https://docs.google.com/spreadsheets/d/1p53T2AuvvIqhP7Nf-bo3Uhj8cbKYRPpZdsrBv3x3bAQ/edit?resourcekey#gid=1321652304"",""Prop!$AJ$1:$AT""),11,0),iferror(vlookup(B6,importrange(""https://docs.google.com/sprea"&amp;"dsheets/d/1p53T2AuvvIqhP7Nf-bo3Uhj8cbKYRPpZdsrBv3x3bAQ/edit?resourcekey#gid=1321652304"",""Prop!$AU$1:$BE""),11,0),iferror(vlookup(B6,importrange(""https://docs.google.com/spreadsheets/d/1p53T2AuvvIqhP7Nf-bo3Uhj8cbKYRPpZdsrBv3x3bAQ/edit?resourcekey#gid=13"&amp;"21652304"",""Prop!$BF$1:$BP""),11,0),iferror(vlookup(B6,importrange(""https://docs.google.com/spreadsheets/d/1p53T2AuvvIqhP7Nf-bo3Uhj8cbKYRPpZdsrBv3x3bAQ/edit?resourcekey#gid=1321652304"",""Prop!$BQ$1:$CA""),11,0),iferror(vlookup(B6,importrange(""https://"&amp;"docs.google.com/spreadsheets/d/1p53T2AuvvIqhP7Nf-bo3Uhj8cbKYRPpZdsrBv3x3bAQ/edit?resourcekey#gid=1321652304"",""Prop!$CB$1:$CL""),11,0),iferror(vlookup(B6,importrange(""https://docs.google.com/spreadsheets/d/1p53T2AuvvIqhP7Nf-bo3Uhj8cbKYRPpZdsrBv3x3bAQ/ed"&amp;"it?resourcekey#gid=1321652304"",""Prop!$CM$1:$CX""),12,0),iferror(vlookup(B6,importrange(""https://docs.google.com/spreadsheets/d/1p53T2AuvvIqhP7Nf-bo3Uhj8cbKYRPpZdsrBv3x3bAQ/edit?resourcekey#gid=1321652304"",""Prop!$CY$1:$DI""),11,0)))))))))))"),"https://drive.google.com/open?id=1Mq91xeUsxzu1JwdX_F16LDJMPNy8tXjL")</f>
        <v>https://drive.google.com/open?id=1Mq91xeUsxzu1JwdX_F16LDJMPNy8tXjL</v>
      </c>
      <c r="R6" s="20" t="s">
        <v>998</v>
      </c>
      <c r="S6" s="20" t="str">
        <f ca="1">IFERROR(__xludf.DUMMYFUNCTION("IFERROR(vlookup(B6,IMPORTRANGE(""https://docs.google.com/spreadsheets/d/1g_jfYYK_KeipEDNDUgqgrsxK94XiocfNQIcP-v1QVhI/edit?resourcekey#gid=233272945"",""Nilai!B:CT""),37,0),"" "")"),"1. urgensi permasalahan sdh bagus
2. perlu memperjelas keterbaruan ide dari state of the art (pastikan visioner)
3. ilustrasi gagasan yang komprehensif dan implementatif belum terlihat")</f>
        <v>1. urgensi permasalahan sdh bagus
2. perlu memperjelas keterbaruan ide dari state of the art (pastikan visioner)
3. ilustrasi gagasan yang komprehensif dan implementatif belum terlihat</v>
      </c>
      <c r="T6" s="20" t="str">
        <f ca="1">IFERROR(__xludf.DUMMYFUNCTION("IFERROR(vlookup(B6,IMPORTRANGE(""https://docs.google.com/spreadsheets/d/1g_jfYYK_KeipEDNDUgqgrsxK94XiocfNQIcP-v1QVhI/edit?resourcekey#gid=233272945"",""Nilai!B:CT""),97,0),"" "")"),"LAYAK UPLOAD KE SIMBELMAWA DENGAN REVISI")</f>
        <v>LAYAK UPLOAD KE SIMBELMAWA DENGAN REVISI</v>
      </c>
      <c r="U6" s="37" t="s">
        <v>786</v>
      </c>
      <c r="V6" s="38" t="s">
        <v>999</v>
      </c>
      <c r="W6" s="18" t="s">
        <v>1000</v>
      </c>
      <c r="X6" s="22" t="b">
        <v>1</v>
      </c>
    </row>
    <row r="7" spans="1:24" ht="57.6">
      <c r="A7" s="15">
        <v>5</v>
      </c>
      <c r="B7" s="15">
        <f ca="1">IFERROR(__xludf.DUMMYFUNCTION("""COMPUTED_VALUE"""),2558)</f>
        <v>2558</v>
      </c>
      <c r="C7" s="16" t="str">
        <f ca="1">IFERROR(__xludf.DUMMYFUNCTION("""COMPUTED_VALUE"""),"Dian Nur Faizzah")</f>
        <v>Dian Nur Faizzah</v>
      </c>
      <c r="D7" s="16" t="str">
        <f ca="1">IFERROR(__xludf.DUMMYFUNCTION("""COMPUTED_VALUE"""),"07111940000066")</f>
        <v>07111940000066</v>
      </c>
      <c r="E7" s="16" t="str">
        <f ca="1">IFERROR(__xludf.DUMMYFUNCTION("""COMPUTED_VALUE"""),"Departemen Teknik Elektro")</f>
        <v>Departemen Teknik Elektro</v>
      </c>
      <c r="F7" s="16" t="str">
        <f ca="1">IFERROR(__xludf.DUMMYFUNCTION("""COMPUTED_VALUE"""),"Pemanfaatan Lahan Bekas Tambang di Kabupaten Kutai Kartenegara sebagai Penunjang Pangan Ibu Kota Negara Baru Berbasis Smart Integration Food-Energy-Water System")</f>
        <v>Pemanfaatan Lahan Bekas Tambang di Kabupaten Kutai Kartenegara sebagai Penunjang Pangan Ibu Kota Negara Baru Berbasis Smart Integration Food-Energy-Water System</v>
      </c>
      <c r="G7" s="16" t="str">
        <f ca="1">IFERROR(__xludf.DUMMYFUNCTION("""COMPUTED_VALUE"""),"Dimas Anton Asfani, S.T., M.T., Ph.D.")</f>
        <v>Dimas Anton Asfani, S.T., M.T., Ph.D.</v>
      </c>
      <c r="H7" s="16" t="str">
        <f ca="1">IFERROR(__xludf.DUMMYFUNCTION("""COMPUTED_VALUE"""),"Dyah Sawitri, S.T., M.T.")</f>
        <v>Dyah Sawitri, S.T., M.T.</v>
      </c>
      <c r="I7" s="16" t="str">
        <f ca="1">IFERROR(__xludf.DUMMYFUNCTION("""COMPUTED_VALUE"""),"Wimala Lalitya Dhanistha, S.T., M.T.")</f>
        <v>Wimala Lalitya Dhanistha, S.T., M.T.</v>
      </c>
      <c r="J7" s="16"/>
      <c r="K7" s="86" t="s">
        <v>995</v>
      </c>
      <c r="L7" s="18" t="s">
        <v>996</v>
      </c>
      <c r="M7" s="19" t="b">
        <v>1</v>
      </c>
      <c r="N7" s="19" t="b">
        <v>1</v>
      </c>
      <c r="O7" s="1" t="s">
        <v>997</v>
      </c>
      <c r="P7" s="7" t="str">
        <f ca="1">IFERROR(__xludf.DUMMYFUNCTION("iferror(vlookup(B7,importrange(""https://docs.google.com/spreadsheets/d/1boHyJQ4e2FU0QG8MHwEi6qjX4hvZWVCHcFfXjq7bbMc/edit?resourcekey#gid=923248883"",""Prop!$C$1:$M""),12,0),IFERROR(vlookup(B7,importrange(""https://docs.google.com/spreadsheets/d/1boHyJQ4e"&amp;"2FU0QG8MHwEi6qjX4hvZWVCHcFfXjq7bbMc/edit?resourcekey#gid=923248883"",""Prop!$N$1:$X""),11,0),iferror(vlookup(B7,importrange(""https://docs.google.com/spreadsheets/d/1boHyJQ4e2FU0QG8MHwEi6qjX4hvZWVCHcFfXjq7bbMc/edit?resourcekey#gid=923248883"",""Prop!$Y$1:"&amp;"$AI""),11,0),iferror(vlookup(B7,importrange(""https://docs.google.com/spreadsheets/d/1boHyJQ4e2FU0QG8MHwEi6qjX4hvZWVCHcFfXjq7bbMc/edit?resourcekey#gid=923248883"",""Prop!$AJ$1:$AT""),11,0),iferror(vlookup(B7,importrange(""https://docs.google.com/spreadshe"&amp;"ets/d/1boHyJQ4e2FU0QG8MHwEi6qjX4hvZWVCHcFfXjq7bbMc/edit?resourcekey#gid=923248883"",""Prop!$AU$1:$BE""),11,0),iferror(vlookup(B7,importrange(""https://docs.google.com/spreadsheets/d/1boHyJQ4e2FU0QG8MHwEi6qjX4hvZWVCHcFfXjq7bbMc/edit?resourcekey#gid=9232488"&amp;"83"",""Prop!$BF$1:$BP""),11,0),iferror(vlookup(B7,importrange(""https://docs.google.com/spreadsheets/d/1boHyJQ4e2FU0QG8MHwEi6qjX4hvZWVCHcFfXjq7bbMc/edit?resourcekey#gid=923248883"",""Prop!$BQ$1:$CA""),11,0),iferror(vlookup(B7,importrange(""https://docs.go"&amp;"ogle.com/spreadsheets/d/1boHyJQ4e2FU0QG8MHwEi6qjX4hvZWVCHcFfXjq7bbMc/edit?resourcekey#gid=923248883"",""Prop!$CB$1:$CL""),11,0),iferror(vlookup(B7,importrange(""https://docs.google.com/spreadsheets/d/1boHyJQ4e2FU0QG8MHwEi6qjX4hvZWVCHcFfXjq7bbMc/edit?resou"&amp;"rcekey#gid=923248883"",""Prop!$CM$1:$CX""),12,0),iferror(vlookup(B7,importrange(""https://docs.google.com/spreadsheets/d/1boHyJQ4e2FU0QG8MHwEi6qjX4hvZWVCHcFfXjq7bbMc/edit?resourcekey#gid=923248883"",""Prop!$CV$1:$DI""),11,0)))))))))))"),"https://drive.google.com/open?id=1Ixfx13dgDaz43KxsSKTE0n9Q42VsgLP4")</f>
        <v>https://drive.google.com/open?id=1Ixfx13dgDaz43KxsSKTE0n9Q42VsgLP4</v>
      </c>
      <c r="Q7" s="7" t="str">
        <f ca="1">IFERROR(__xludf.DUMMYFUNCTION("iferror(vlookup(B7,importrange(""https://docs.google.com/spreadsheets/d/1p53T2AuvvIqhP7Nf-bo3Uhj8cbKYRPpZdsrBv3x3bAQ/edit?resourcekey#gid=1321652304"",""Prop!$C$1:$M""),11,0),IFERROR(vlookup(B7,importrange(""https://docs.google.com/spreadsheets/d/1p53T2Au"&amp;"vvIqhP7Nf-bo3Uhj8cbKYRPpZdsrBv3x3bAQ/edit?resourcekey#gid=1321652304"",""Prop!$N$1:$X""),11,0),iferror(vlookup(B7,importrange(""https://docs.google.com/spreadsheets/d/1p53T2AuvvIqhP7Nf-bo3Uhj8cbKYRPpZdsrBv3x3bAQ/edit?resourcekey#gid=1321652304"",""Prop!$Y"&amp;"$1:$AI""),11,0),iferror(vlookup(B7,importrange(""https://docs.google.com/spreadsheets/d/1p53T2AuvvIqhP7Nf-bo3Uhj8cbKYRPpZdsrBv3x3bAQ/edit?resourcekey#gid=1321652304"",""Prop!$AJ$1:$AT""),11,0),iferror(vlookup(B7,importrange(""https://docs.google.com/sprea"&amp;"dsheets/d/1p53T2AuvvIqhP7Nf-bo3Uhj8cbKYRPpZdsrBv3x3bAQ/edit?resourcekey#gid=1321652304"",""Prop!$AU$1:$BE""),11,0),iferror(vlookup(B7,importrange(""https://docs.google.com/spreadsheets/d/1p53T2AuvvIqhP7Nf-bo3Uhj8cbKYRPpZdsrBv3x3bAQ/edit?resourcekey#gid=13"&amp;"21652304"",""Prop!$BF$1:$BP""),11,0),iferror(vlookup(B7,importrange(""https://docs.google.com/spreadsheets/d/1p53T2AuvvIqhP7Nf-bo3Uhj8cbKYRPpZdsrBv3x3bAQ/edit?resourcekey#gid=1321652304"",""Prop!$BQ$1:$CA""),11,0),iferror(vlookup(B7,importrange(""https://"&amp;"docs.google.com/spreadsheets/d/1p53T2AuvvIqhP7Nf-bo3Uhj8cbKYRPpZdsrBv3x3bAQ/edit?resourcekey#gid=1321652304"",""Prop!$CB$1:$CL""),11,0),iferror(vlookup(B7,importrange(""https://docs.google.com/spreadsheets/d/1p53T2AuvvIqhP7Nf-bo3Uhj8cbKYRPpZdsrBv3x3bAQ/ed"&amp;"it?resourcekey#gid=1321652304"",""Prop!$CM$1:$CX""),12,0),iferror(vlookup(B7,importrange(""https://docs.google.com/spreadsheets/d/1p53T2AuvvIqhP7Nf-bo3Uhj8cbKYRPpZdsrBv3x3bAQ/edit?resourcekey#gid=1321652304"",""Prop!$CY$1:$DI""),11,0)))))))))))"),"https://drive.google.com/open?id=1CREXNqnhaOmNalV6N6yui2r9De2id4qr")</f>
        <v>https://drive.google.com/open?id=1CREXNqnhaOmNalV6N6yui2r9De2id4qr</v>
      </c>
      <c r="R7" s="20" t="s">
        <v>998</v>
      </c>
      <c r="S7" s="20" t="str">
        <f ca="1">IFERROR(__xludf.DUMMYFUNCTION("IFERROR(vlookup(B7,IMPORTRANGE(""https://docs.google.com/spreadsheets/d/1g_jfYYK_KeipEDNDUgqgrsxK94XiocfNQIcP-v1QVhI/edit?resourcekey#gid=233272945"",""Nilai!B:CT""),37,0),"" "")")," ")</f>
        <v xml:space="preserve"> </v>
      </c>
      <c r="T7" s="20" t="str">
        <f ca="1">IFERROR(__xludf.DUMMYFUNCTION("IFERROR(vlookup(B7,IMPORTRANGE(""https://docs.google.com/spreadsheets/d/1g_jfYYK_KeipEDNDUgqgrsxK94XiocfNQIcP-v1QVhI/edit?resourcekey#gid=233272945"",""Nilai!B:CT""),97,0),"" "")")," ")</f>
        <v xml:space="preserve"> </v>
      </c>
      <c r="U7" s="37" t="s">
        <v>786</v>
      </c>
      <c r="V7" s="38" t="s">
        <v>999</v>
      </c>
      <c r="W7" s="18" t="s">
        <v>1001</v>
      </c>
      <c r="X7" s="22" t="b">
        <v>1</v>
      </c>
    </row>
    <row r="8" spans="1:24" ht="57.6">
      <c r="A8" s="15">
        <v>6</v>
      </c>
      <c r="B8" s="15">
        <f ca="1">IFERROR(__xludf.DUMMYFUNCTION("""COMPUTED_VALUE"""),3346)</f>
        <v>3346</v>
      </c>
      <c r="C8" s="16" t="str">
        <f ca="1">IFERROR(__xludf.DUMMYFUNCTION("""COMPUTED_VALUE"""),"Ratna Amalia Nur A.")</f>
        <v>Ratna Amalia Nur A.</v>
      </c>
      <c r="D8" s="16" t="str">
        <f ca="1">IFERROR(__xludf.DUMMYFUNCTION("""COMPUTED_VALUE"""),"5017211006")</f>
        <v>5017211006</v>
      </c>
      <c r="E8" s="16" t="str">
        <f ca="1">IFERROR(__xludf.DUMMYFUNCTION("""COMPUTED_VALUE"""),"Departemen Teknik Geofisika")</f>
        <v>Departemen Teknik Geofisika</v>
      </c>
      <c r="F8" s="16" t="str">
        <f ca="1">IFERROR(__xludf.DUMMYFUNCTION("""COMPUTED_VALUE"""),"Pertanian Pasca Tambang Batubara Sebagai Upaya Rehabilitasi dengan Metode Ameliorasi-Fitoremediasi")</f>
        <v>Pertanian Pasca Tambang Batubara Sebagai Upaya Rehabilitasi dengan Metode Ameliorasi-Fitoremediasi</v>
      </c>
      <c r="G8" s="16" t="str">
        <f ca="1">IFERROR(__xludf.DUMMYFUNCTION("""COMPUTED_VALUE"""),"Juan Pandu Gya Nur Rochman, S.Si., M.T.")</f>
        <v>Juan Pandu Gya Nur Rochman, S.Si., M.T.</v>
      </c>
      <c r="H8" s="16" t="str">
        <f ca="1">IFERROR(__xludf.DUMMYFUNCTION("""COMPUTED_VALUE"""),"Dyah Sawitri, S.T., M.T.")</f>
        <v>Dyah Sawitri, S.T., M.T.</v>
      </c>
      <c r="I8" s="16" t="str">
        <f ca="1">IFERROR(__xludf.DUMMYFUNCTION("""COMPUTED_VALUE"""),"Rindi Kusumawardani, S.Si., M.Sc.")</f>
        <v>Rindi Kusumawardani, S.Si., M.Sc.</v>
      </c>
      <c r="J8" s="16"/>
      <c r="K8" s="86" t="s">
        <v>995</v>
      </c>
      <c r="L8" s="18" t="s">
        <v>1002</v>
      </c>
      <c r="M8" s="19" t="b">
        <v>0</v>
      </c>
      <c r="N8" s="19" t="b">
        <v>0</v>
      </c>
      <c r="O8" s="1" t="s">
        <v>997</v>
      </c>
      <c r="P8" s="7" t="str">
        <f ca="1">IFERROR(__xludf.DUMMYFUNCTION("iferror(vlookup(B8,importrange(""https://docs.google.com/spreadsheets/d/1boHyJQ4e2FU0QG8MHwEi6qjX4hvZWVCHcFfXjq7bbMc/edit?resourcekey#gid=923248883"",""Prop!$C$1:$M""),12,0),IFERROR(vlookup(B8,importrange(""https://docs.google.com/spreadsheets/d/1boHyJQ4e"&amp;"2FU0QG8MHwEi6qjX4hvZWVCHcFfXjq7bbMc/edit?resourcekey#gid=923248883"",""Prop!$N$1:$X""),11,0),iferror(vlookup(B8,importrange(""https://docs.google.com/spreadsheets/d/1boHyJQ4e2FU0QG8MHwEi6qjX4hvZWVCHcFfXjq7bbMc/edit?resourcekey#gid=923248883"",""Prop!$Y$1:"&amp;"$AI""),11,0),iferror(vlookup(B8,importrange(""https://docs.google.com/spreadsheets/d/1boHyJQ4e2FU0QG8MHwEi6qjX4hvZWVCHcFfXjq7bbMc/edit?resourcekey#gid=923248883"",""Prop!$AJ$1:$AT""),11,0),iferror(vlookup(B8,importrange(""https://docs.google.com/spreadshe"&amp;"ets/d/1boHyJQ4e2FU0QG8MHwEi6qjX4hvZWVCHcFfXjq7bbMc/edit?resourcekey#gid=923248883"",""Prop!$AU$1:$BE""),11,0),iferror(vlookup(B8,importrange(""https://docs.google.com/spreadsheets/d/1boHyJQ4e2FU0QG8MHwEi6qjX4hvZWVCHcFfXjq7bbMc/edit?resourcekey#gid=9232488"&amp;"83"",""Prop!$BF$1:$BP""),11,0),iferror(vlookup(B8,importrange(""https://docs.google.com/spreadsheets/d/1boHyJQ4e2FU0QG8MHwEi6qjX4hvZWVCHcFfXjq7bbMc/edit?resourcekey#gid=923248883"",""Prop!$BQ$1:$CA""),11,0),iferror(vlookup(B8,importrange(""https://docs.go"&amp;"ogle.com/spreadsheets/d/1boHyJQ4e2FU0QG8MHwEi6qjX4hvZWVCHcFfXjq7bbMc/edit?resourcekey#gid=923248883"",""Prop!$CB$1:$CL""),11,0),iferror(vlookup(B8,importrange(""https://docs.google.com/spreadsheets/d/1boHyJQ4e2FU0QG8MHwEi6qjX4hvZWVCHcFfXjq7bbMc/edit?resou"&amp;"rcekey#gid=923248883"",""Prop!$CM$1:$CX""),12,0),iferror(vlookup(B8,importrange(""https://docs.google.com/spreadsheets/d/1boHyJQ4e2FU0QG8MHwEi6qjX4hvZWVCHcFfXjq7bbMc/edit?resourcekey#gid=923248883"",""Prop!$CV$1:$DI""),11,0)))))))))))"),"https://drive.google.com/open?id=1quICYZGB65qF4o8lftwITGL6YoCUEM4C")</f>
        <v>https://drive.google.com/open?id=1quICYZGB65qF4o8lftwITGL6YoCUEM4C</v>
      </c>
      <c r="Q8" s="7" t="str">
        <f ca="1">IFERROR(__xludf.DUMMYFUNCTION("iferror(vlookup(B8,importrange(""https://docs.google.com/spreadsheets/d/1p53T2AuvvIqhP7Nf-bo3Uhj8cbKYRPpZdsrBv3x3bAQ/edit?resourcekey#gid=1321652304"",""Prop!$C$1:$M""),11,0),IFERROR(vlookup(B8,importrange(""https://docs.google.com/spreadsheets/d/1p53T2Au"&amp;"vvIqhP7Nf-bo3Uhj8cbKYRPpZdsrBv3x3bAQ/edit?resourcekey#gid=1321652304"",""Prop!$N$1:$X""),11,0),iferror(vlookup(B8,importrange(""https://docs.google.com/spreadsheets/d/1p53T2AuvvIqhP7Nf-bo3Uhj8cbKYRPpZdsrBv3x3bAQ/edit?resourcekey#gid=1321652304"",""Prop!$Y"&amp;"$1:$AI""),11,0),iferror(vlookup(B8,importrange(""https://docs.google.com/spreadsheets/d/1p53T2AuvvIqhP7Nf-bo3Uhj8cbKYRPpZdsrBv3x3bAQ/edit?resourcekey#gid=1321652304"",""Prop!$AJ$1:$AT""),11,0),iferror(vlookup(B8,importrange(""https://docs.google.com/sprea"&amp;"dsheets/d/1p53T2AuvvIqhP7Nf-bo3Uhj8cbKYRPpZdsrBv3x3bAQ/edit?resourcekey#gid=1321652304"",""Prop!$AU$1:$BE""),11,0),iferror(vlookup(B8,importrange(""https://docs.google.com/spreadsheets/d/1p53T2AuvvIqhP7Nf-bo3Uhj8cbKYRPpZdsrBv3x3bAQ/edit?resourcekey#gid=13"&amp;"21652304"",""Prop!$BF$1:$BP""),11,0),iferror(vlookup(B8,importrange(""https://docs.google.com/spreadsheets/d/1p53T2AuvvIqhP7Nf-bo3Uhj8cbKYRPpZdsrBv3x3bAQ/edit?resourcekey#gid=1321652304"",""Prop!$BQ$1:$CA""),11,0),iferror(vlookup(B8,importrange(""https://"&amp;"docs.google.com/spreadsheets/d/1p53T2AuvvIqhP7Nf-bo3Uhj8cbKYRPpZdsrBv3x3bAQ/edit?resourcekey#gid=1321652304"",""Prop!$CB$1:$CL""),11,0),iferror(vlookup(B8,importrange(""https://docs.google.com/spreadsheets/d/1p53T2AuvvIqhP7Nf-bo3Uhj8cbKYRPpZdsrBv3x3bAQ/ed"&amp;"it?resourcekey#gid=1321652304"",""Prop!$CM$1:$CX""),12,0),iferror(vlookup(B8,importrange(""https://docs.google.com/spreadsheets/d/1p53T2AuvvIqhP7Nf-bo3Uhj8cbKYRPpZdsrBv3x3bAQ/edit?resourcekey#gid=1321652304"",""Prop!$CY$1:$DI""),11,0)))))))))))"),"https://drive.google.com/open?id=1lk08CtbDqL-DxfNkXyZhfvvHq4zvSSOT")</f>
        <v>https://drive.google.com/open?id=1lk08CtbDqL-DxfNkXyZhfvvHq4zvSSOT</v>
      </c>
      <c r="R8" s="20" t="s">
        <v>998</v>
      </c>
      <c r="S8" s="20" t="str">
        <f ca="1">IFERROR(__xludf.DUMMYFUNCTION("IFERROR(vlookup(B8,IMPORTRANGE(""https://docs.google.com/spreadsheets/d/1g_jfYYK_KeipEDNDUgqgrsxK94XiocfNQIcP-v1QVhI/edit?resourcekey#gid=233272945"",""Nilai!B:CT""),37,0),"" "")")," ")</f>
        <v xml:space="preserve"> </v>
      </c>
      <c r="T8" s="20" t="str">
        <f ca="1">IFERROR(__xludf.DUMMYFUNCTION("IFERROR(vlookup(B8,IMPORTRANGE(""https://docs.google.com/spreadsheets/d/1g_jfYYK_KeipEDNDUgqgrsxK94XiocfNQIcP-v1QVhI/edit?resourcekey#gid=233272945"",""Nilai!B:CT""),97,0),"" "")")," ")</f>
        <v xml:space="preserve"> </v>
      </c>
      <c r="U8" s="37" t="s">
        <v>786</v>
      </c>
      <c r="V8" s="38" t="s">
        <v>999</v>
      </c>
      <c r="W8" s="18" t="s">
        <v>1001</v>
      </c>
      <c r="X8" s="22" t="b">
        <v>0</v>
      </c>
    </row>
    <row r="9" spans="1:24" ht="69">
      <c r="A9" s="15">
        <v>7</v>
      </c>
      <c r="B9" s="15">
        <f ca="1">IFERROR(__xludf.DUMMYFUNCTION("""COMPUTED_VALUE"""),2283)</f>
        <v>2283</v>
      </c>
      <c r="C9" s="16" t="str">
        <f ca="1">IFERROR(__xludf.DUMMYFUNCTION("""COMPUTED_VALUE"""),"Victorio E.C. Muhamad Al Ghozali")</f>
        <v>Victorio E.C. Muhamad Al Ghozali</v>
      </c>
      <c r="D9" s="16" t="str">
        <f ca="1">IFERROR(__xludf.DUMMYFUNCTION("""COMPUTED_VALUE"""),"07111940000025")</f>
        <v>07111940000025</v>
      </c>
      <c r="E9" s="16" t="str">
        <f ca="1">IFERROR(__xludf.DUMMYFUNCTION("""COMPUTED_VALUE"""),"Departemen Teknik Elektro")</f>
        <v>Departemen Teknik Elektro</v>
      </c>
      <c r="F9" s="16" t="str">
        <f ca="1">IFERROR(__xludf.DUMMYFUNCTION("""COMPUTED_VALUE"""),"Integrasi Sistem Transportasi Cerdas menggunakan 5G untuk  Real-time Data Monitoring guna Menciptakan Daerah Kota Besar Terhindar dari Kemacetan.")</f>
        <v>Integrasi Sistem Transportasi Cerdas menggunakan 5G untuk  Real-time Data Monitoring guna Menciptakan Daerah Kota Besar Terhindar dari Kemacetan.</v>
      </c>
      <c r="G9" s="16" t="str">
        <f ca="1">IFERROR(__xludf.DUMMYFUNCTION("""COMPUTED_VALUE"""),"Prof. Ir. Gamantyo Hendrantoro, M.Eng., Ph.D.")</f>
        <v>Prof. Ir. Gamantyo Hendrantoro, M.Eng., Ph.D.</v>
      </c>
      <c r="H9" s="16" t="str">
        <f ca="1">IFERROR(__xludf.DUMMYFUNCTION("""COMPUTED_VALUE"""),"Dr.-Ing. Doty Dewi Risanti, S.T., M.T.")</f>
        <v>Dr.-Ing. Doty Dewi Risanti, S.T., M.T.</v>
      </c>
      <c r="I9" s="16" t="str">
        <f ca="1">IFERROR(__xludf.DUMMYFUNCTION("""COMPUTED_VALUE"""),"Dyah Sawitri, S.T., M.T.")</f>
        <v>Dyah Sawitri, S.T., M.T.</v>
      </c>
      <c r="J9" s="16"/>
      <c r="K9" s="86" t="s">
        <v>995</v>
      </c>
      <c r="L9" s="18" t="s">
        <v>1002</v>
      </c>
      <c r="M9" s="19" t="b">
        <v>1</v>
      </c>
      <c r="N9" s="19" t="b">
        <v>1</v>
      </c>
      <c r="O9" s="1" t="s">
        <v>997</v>
      </c>
      <c r="P9" s="7" t="str">
        <f ca="1">IFERROR(__xludf.DUMMYFUNCTION("iferror(vlookup(B9,importrange(""https://docs.google.com/spreadsheets/d/1boHyJQ4e2FU0QG8MHwEi6qjX4hvZWVCHcFfXjq7bbMc/edit?resourcekey#gid=923248883"",""Prop!$C$1:$M""),12,0),IFERROR(vlookup(B9,importrange(""https://docs.google.com/spreadsheets/d/1boHyJQ4e"&amp;"2FU0QG8MHwEi6qjX4hvZWVCHcFfXjq7bbMc/edit?resourcekey#gid=923248883"",""Prop!$N$1:$X""),11,0),iferror(vlookup(B9,importrange(""https://docs.google.com/spreadsheets/d/1boHyJQ4e2FU0QG8MHwEi6qjX4hvZWVCHcFfXjq7bbMc/edit?resourcekey#gid=923248883"",""Prop!$Y$1:"&amp;"$AI""),11,0),iferror(vlookup(B9,importrange(""https://docs.google.com/spreadsheets/d/1boHyJQ4e2FU0QG8MHwEi6qjX4hvZWVCHcFfXjq7bbMc/edit?resourcekey#gid=923248883"",""Prop!$AJ$1:$AT""),11,0),iferror(vlookup(B9,importrange(""https://docs.google.com/spreadshe"&amp;"ets/d/1boHyJQ4e2FU0QG8MHwEi6qjX4hvZWVCHcFfXjq7bbMc/edit?resourcekey#gid=923248883"",""Prop!$AU$1:$BE""),11,0),iferror(vlookup(B9,importrange(""https://docs.google.com/spreadsheets/d/1boHyJQ4e2FU0QG8MHwEi6qjX4hvZWVCHcFfXjq7bbMc/edit?resourcekey#gid=9232488"&amp;"83"",""Prop!$BF$1:$BP""),11,0),iferror(vlookup(B9,importrange(""https://docs.google.com/spreadsheets/d/1boHyJQ4e2FU0QG8MHwEi6qjX4hvZWVCHcFfXjq7bbMc/edit?resourcekey#gid=923248883"",""Prop!$BQ$1:$CA""),11,0),iferror(vlookup(B9,importrange(""https://docs.go"&amp;"ogle.com/spreadsheets/d/1boHyJQ4e2FU0QG8MHwEi6qjX4hvZWVCHcFfXjq7bbMc/edit?resourcekey#gid=923248883"",""Prop!$CB$1:$CL""),11,0),iferror(vlookup(B9,importrange(""https://docs.google.com/spreadsheets/d/1boHyJQ4e2FU0QG8MHwEi6qjX4hvZWVCHcFfXjq7bbMc/edit?resou"&amp;"rcekey#gid=923248883"",""Prop!$CM$1:$CX""),12,0),iferror(vlookup(B9,importrange(""https://docs.google.com/spreadsheets/d/1boHyJQ4e2FU0QG8MHwEi6qjX4hvZWVCHcFfXjq7bbMc/edit?resourcekey#gid=923248883"",""Prop!$CV$1:$DI""),11,0)))))))))))"),"https://drive.google.com/open?id=1QO2TeWYrLRpZ3HCRfJqctAMOyTjrTWNd")</f>
        <v>https://drive.google.com/open?id=1QO2TeWYrLRpZ3HCRfJqctAMOyTjrTWNd</v>
      </c>
      <c r="Q9" s="7" t="str">
        <f ca="1">IFERROR(__xludf.DUMMYFUNCTION("iferror(vlookup(B9,importrange(""https://docs.google.com/spreadsheets/d/1p53T2AuvvIqhP7Nf-bo3Uhj8cbKYRPpZdsrBv3x3bAQ/edit?resourcekey#gid=1321652304"",""Prop!$C$1:$M""),11,0),IFERROR(vlookup(B9,importrange(""https://docs.google.com/spreadsheets/d/1p53T2Au"&amp;"vvIqhP7Nf-bo3Uhj8cbKYRPpZdsrBv3x3bAQ/edit?resourcekey#gid=1321652304"",""Prop!$N$1:$X""),11,0),iferror(vlookup(B9,importrange(""https://docs.google.com/spreadsheets/d/1p53T2AuvvIqhP7Nf-bo3Uhj8cbKYRPpZdsrBv3x3bAQ/edit?resourcekey#gid=1321652304"",""Prop!$Y"&amp;"$1:$AI""),11,0),iferror(vlookup(B9,importrange(""https://docs.google.com/spreadsheets/d/1p53T2AuvvIqhP7Nf-bo3Uhj8cbKYRPpZdsrBv3x3bAQ/edit?resourcekey#gid=1321652304"",""Prop!$AJ$1:$AT""),11,0),iferror(vlookup(B9,importrange(""https://docs.google.com/sprea"&amp;"dsheets/d/1p53T2AuvvIqhP7Nf-bo3Uhj8cbKYRPpZdsrBv3x3bAQ/edit?resourcekey#gid=1321652304"",""Prop!$AU$1:$BE""),11,0),iferror(vlookup(B9,importrange(""https://docs.google.com/spreadsheets/d/1p53T2AuvvIqhP7Nf-bo3Uhj8cbKYRPpZdsrBv3x3bAQ/edit?resourcekey#gid=13"&amp;"21652304"",""Prop!$BF$1:$BP""),11,0),iferror(vlookup(B9,importrange(""https://docs.google.com/spreadsheets/d/1p53T2AuvvIqhP7Nf-bo3Uhj8cbKYRPpZdsrBv3x3bAQ/edit?resourcekey#gid=1321652304"",""Prop!$BQ$1:$CA""),11,0),iferror(vlookup(B9,importrange(""https://"&amp;"docs.google.com/spreadsheets/d/1p53T2AuvvIqhP7Nf-bo3Uhj8cbKYRPpZdsrBv3x3bAQ/edit?resourcekey#gid=1321652304"",""Prop!$CB$1:$CL""),11,0),iferror(vlookup(B9,importrange(""https://docs.google.com/spreadsheets/d/1p53T2AuvvIqhP7Nf-bo3Uhj8cbKYRPpZdsrBv3x3bAQ/ed"&amp;"it?resourcekey#gid=1321652304"",""Prop!$CM$1:$CX""),12,0),iferror(vlookup(B9,importrange(""https://docs.google.com/spreadsheets/d/1p53T2AuvvIqhP7Nf-bo3Uhj8cbKYRPpZdsrBv3x3bAQ/edit?resourcekey#gid=1321652304"",""Prop!$CY$1:$DI""),11,0)))))))))))"),"https://drive.google.com/open?id=1nlyjbUb13fCp1UbI9dVDsrbpjJveyZ83")</f>
        <v>https://drive.google.com/open?id=1nlyjbUb13fCp1UbI9dVDsrbpjJveyZ83</v>
      </c>
      <c r="R9" s="20" t="s">
        <v>998</v>
      </c>
      <c r="S9" s="20" t="str">
        <f ca="1">IFERROR(__xludf.DUMMYFUNCTION("IFERROR(vlookup(B9,IMPORTRANGE(""https://docs.google.com/spreadsheets/d/1g_jfYYK_KeipEDNDUgqgrsxK94XiocfNQIcP-v1QVhI/edit?resourcekey#gid=233272945"",""Nilai!B:CT""),37,0),"" "")"),"buat skema / gambar ilustrasi yang komprehensif yang dapat menjelaskan keseluruhan gagasan")</f>
        <v>buat skema / gambar ilustrasi yang komprehensif yang dapat menjelaskan keseluruhan gagasan</v>
      </c>
      <c r="T9" s="20" t="str">
        <f ca="1">IFERROR(__xludf.DUMMYFUNCTION("IFERROR(vlookup(B9,IMPORTRANGE(""https://docs.google.com/spreadsheets/d/1g_jfYYK_KeipEDNDUgqgrsxK94XiocfNQIcP-v1QVhI/edit?resourcekey#gid=233272945"",""Nilai!B:CT""),97,0),"" "")"),"LAYAK UPLOAD KE SIMBELMAWA DENGAN REVISI")</f>
        <v>LAYAK UPLOAD KE SIMBELMAWA DENGAN REVISI</v>
      </c>
      <c r="U9" s="37" t="s">
        <v>786</v>
      </c>
      <c r="V9" s="38" t="s">
        <v>999</v>
      </c>
      <c r="W9" s="18" t="s">
        <v>1001</v>
      </c>
      <c r="X9" s="22" t="b">
        <v>1</v>
      </c>
    </row>
    <row r="10" spans="1:24" ht="69">
      <c r="A10" s="15">
        <v>8</v>
      </c>
      <c r="B10" s="15">
        <f ca="1">IFERROR(__xludf.DUMMYFUNCTION("""COMPUTED_VALUE"""),3367)</f>
        <v>3367</v>
      </c>
      <c r="C10" s="16" t="str">
        <f ca="1">IFERROR(__xludf.DUMMYFUNCTION("""COMPUTED_VALUE"""),"Hendi Yudistya")</f>
        <v>Hendi Yudistya</v>
      </c>
      <c r="D10" s="16" t="str">
        <f ca="1">IFERROR(__xludf.DUMMYFUNCTION("""COMPUTED_VALUE"""),"5007211048")</f>
        <v>5007211048</v>
      </c>
      <c r="E10" s="16" t="str">
        <f ca="1">IFERROR(__xludf.DUMMYFUNCTION("""COMPUTED_VALUE"""),"Departemen Teknik Mesin")</f>
        <v>Departemen Teknik Mesin</v>
      </c>
      <c r="F10" s="16" t="str">
        <f ca="1">IFERROR(__xludf.DUMMYFUNCTION("""COMPUTED_VALUE"""),"COSPITE: Combined Solar Panels and D-S Wind Turbine Terintegrasi SWRO untuk Masa Depan NTT Mandiri Listrik dan Air Bersih")</f>
        <v>COSPITE: Combined Solar Panels and D-S Wind Turbine Terintegrasi SWRO untuk Masa Depan NTT Mandiri Listrik dan Air Bersih</v>
      </c>
      <c r="G10" s="16" t="str">
        <f ca="1">IFERROR(__xludf.DUMMYFUNCTION("""COMPUTED_VALUE"""),"Tri Vicca Kusumadewi, S.T., M.Sc.")</f>
        <v>Tri Vicca Kusumadewi, S.T., M.Sc.</v>
      </c>
      <c r="H10" s="16" t="str">
        <f ca="1">IFERROR(__xludf.DUMMYFUNCTION("""COMPUTED_VALUE"""),"Dyah Sawitri, S.T., M.T.")</f>
        <v>Dyah Sawitri, S.T., M.T.</v>
      </c>
      <c r="I10" s="16" t="str">
        <f ca="1">IFERROR(__xludf.DUMMYFUNCTION("""COMPUTED_VALUE"""),"Rindi Kusumawardani, S.Si., M.Sc.")</f>
        <v>Rindi Kusumawardani, S.Si., M.Sc.</v>
      </c>
      <c r="J10" s="16"/>
      <c r="K10" s="86" t="s">
        <v>1003</v>
      </c>
      <c r="L10" s="18" t="s">
        <v>1002</v>
      </c>
      <c r="M10" s="19" t="b">
        <v>0</v>
      </c>
      <c r="N10" s="19" t="b">
        <v>0</v>
      </c>
      <c r="O10" s="1" t="s">
        <v>997</v>
      </c>
      <c r="P10" s="7" t="str">
        <f ca="1">IFERROR(__xludf.DUMMYFUNCTION("iferror(vlookup(B10,importrange(""https://docs.google.com/spreadsheets/d/1boHyJQ4e2FU0QG8MHwEi6qjX4hvZWVCHcFfXjq7bbMc/edit?resourcekey#gid=923248883"",""Prop!$C$1:$M""),12,0),IFERROR(vlookup(B10,importrange(""https://docs.google.com/spreadsheets/d/1boHyJQ"&amp;"4e2FU0QG8MHwEi6qjX4hvZWVCHcFfXjq7bbMc/edit?resourcekey#gid=923248883"",""Prop!$N$1:$X""),11,0),iferror(vlookup(B10,importrange(""https://docs.google.com/spreadsheets/d/1boHyJQ4e2FU0QG8MHwEi6qjX4hvZWVCHcFfXjq7bbMc/edit?resourcekey#gid=923248883"",""Prop!$Y"&amp;"$1:$AI""),11,0),iferror(vlookup(B10,importrange(""https://docs.google.com/spreadsheets/d/1boHyJQ4e2FU0QG8MHwEi6qjX4hvZWVCHcFfXjq7bbMc/edit?resourcekey#gid=923248883"",""Prop!$AJ$1:$AT""),11,0),iferror(vlookup(B10,importrange(""https://docs.google.com/spre"&amp;"adsheets/d/1boHyJQ4e2FU0QG8MHwEi6qjX4hvZWVCHcFfXjq7bbMc/edit?resourcekey#gid=923248883"",""Prop!$AU$1:$BE""),11,0),iferror(vlookup(B10,importrange(""https://docs.google.com/spreadsheets/d/1boHyJQ4e2FU0QG8MHwEi6qjX4hvZWVCHcFfXjq7bbMc/edit?resourcekey#gid=9"&amp;"23248883"",""Prop!$BF$1:$BP""),11,0),iferror(vlookup(B10,importrange(""https://docs.google.com/spreadsheets/d/1boHyJQ4e2FU0QG8MHwEi6qjX4hvZWVCHcFfXjq7bbMc/edit?resourcekey#gid=923248883"",""Prop!$BQ$1:$CA""),11,0),iferror(vlookup(B10,importrange(""https:/"&amp;"/docs.google.com/spreadsheets/d/1boHyJQ4e2FU0QG8MHwEi6qjX4hvZWVCHcFfXjq7bbMc/edit?resourcekey#gid=923248883"",""Prop!$CB$1:$CL""),11,0),iferror(vlookup(B10,importrange(""https://docs.google.com/spreadsheets/d/1boHyJQ4e2FU0QG8MHwEi6qjX4hvZWVCHcFfXjq7bbMc/e"&amp;"dit?resourcekey#gid=923248883"",""Prop!$CM$1:$CX""),12,0),iferror(vlookup(B10,importrange(""https://docs.google.com/spreadsheets/d/1boHyJQ4e2FU0QG8MHwEi6qjX4hvZWVCHcFfXjq7bbMc/edit?resourcekey#gid=923248883"",""Prop!$CV$1:$DI""),11,0)))))))))))"),"https://drive.google.com/open?id=1N-OHcBco7XmVpiZILtno8P7g81EZj68v")</f>
        <v>https://drive.google.com/open?id=1N-OHcBco7XmVpiZILtno8P7g81EZj68v</v>
      </c>
      <c r="Q10" s="7" t="str">
        <f ca="1">IFERROR(__xludf.DUMMYFUNCTION("iferror(vlookup(B10,importrange(""https://docs.google.com/spreadsheets/d/1p53T2AuvvIqhP7Nf-bo3Uhj8cbKYRPpZdsrBv3x3bAQ/edit?resourcekey#gid=1321652304"",""Prop!$C$1:$M""),11,0),IFERROR(vlookup(B10,importrange(""https://docs.google.com/spreadsheets/d/1p53T2"&amp;"AuvvIqhP7Nf-bo3Uhj8cbKYRPpZdsrBv3x3bAQ/edit?resourcekey#gid=1321652304"",""Prop!$N$1:$X""),11,0),iferror(vlookup(B10,importrange(""https://docs.google.com/spreadsheets/d/1p53T2AuvvIqhP7Nf-bo3Uhj8cbKYRPpZdsrBv3x3bAQ/edit?resourcekey#gid=1321652304"",""Prop"&amp;"!$Y$1:$AI""),11,0),iferror(vlookup(B10,importrange(""https://docs.google.com/spreadsheets/d/1p53T2AuvvIqhP7Nf-bo3Uhj8cbKYRPpZdsrBv3x3bAQ/edit?resourcekey#gid=1321652304"",""Prop!$AJ$1:$AT""),11,0),iferror(vlookup(B10,importrange(""https://docs.google.com/"&amp;"spreadsheets/d/1p53T2AuvvIqhP7Nf-bo3Uhj8cbKYRPpZdsrBv3x3bAQ/edit?resourcekey#gid=1321652304"",""Prop!$AU$1:$BE""),11,0),iferror(vlookup(B10,importrange(""https://docs.google.com/spreadsheets/d/1p53T2AuvvIqhP7Nf-bo3Uhj8cbKYRPpZdsrBv3x3bAQ/edit?resourcekey#"&amp;"gid=1321652304"",""Prop!$BF$1:$BP""),11,0),iferror(vlookup(B10,importrange(""https://docs.google.com/spreadsheets/d/1p53T2AuvvIqhP7Nf-bo3Uhj8cbKYRPpZdsrBv3x3bAQ/edit?resourcekey#gid=1321652304"",""Prop!$BQ$1:$CA""),11,0),iferror(vlookup(B10,importrange("""&amp;"https://docs.google.com/spreadsheets/d/1p53T2AuvvIqhP7Nf-bo3Uhj8cbKYRPpZdsrBv3x3bAQ/edit?resourcekey#gid=1321652304"",""Prop!$CB$1:$CL""),11,0),iferror(vlookup(B10,importrange(""https://docs.google.com/spreadsheets/d/1p53T2AuvvIqhP7Nf-bo3Uhj8cbKYRPpZdsrBv"&amp;"3x3bAQ/edit?resourcekey#gid=1321652304"",""Prop!$CM$1:$CX""),12,0),iferror(vlookup(B10,importrange(""https://docs.google.com/spreadsheets/d/1p53T2AuvvIqhP7Nf-bo3Uhj8cbKYRPpZdsrBv3x3bAQ/edit?resourcekey#gid=1321652304"",""Prop!$CY$1:$DI""),11,0)))))))))))"),"https://drive.google.com/open?id=16pUaboglRBf7cqiAVRWaPU__8rj9gzS_")</f>
        <v>https://drive.google.com/open?id=16pUaboglRBf7cqiAVRWaPU__8rj9gzS_</v>
      </c>
      <c r="R10" s="20" t="s">
        <v>998</v>
      </c>
      <c r="S10" s="20" t="str">
        <f ca="1">IFERROR(__xludf.DUMMYFUNCTION("IFERROR(vlookup(B10,IMPORTRANGE(""https://docs.google.com/spreadsheets/d/1g_jfYYK_KeipEDNDUgqgrsxK94XiocfNQIcP-v1QVhI/edit?resourcekey#gid=233272945"",""Nilai!B:CT""),37,0),"" "")"),"perbaiki hal2 teknis di proposal")</f>
        <v>perbaiki hal2 teknis di proposal</v>
      </c>
      <c r="T10" s="20" t="str">
        <f ca="1">IFERROR(__xludf.DUMMYFUNCTION("IFERROR(vlookup(B10,IMPORTRANGE(""https://docs.google.com/spreadsheets/d/1g_jfYYK_KeipEDNDUgqgrsxK94XiocfNQIcP-v1QVhI/edit?resourcekey#gid=233272945"",""Nilai!B:CT""),97,0),"" "")"),"LAYAK UPLOAD KE SIMBELMAWA DENGAN REVISI")</f>
        <v>LAYAK UPLOAD KE SIMBELMAWA DENGAN REVISI</v>
      </c>
      <c r="U10" s="37" t="s">
        <v>786</v>
      </c>
      <c r="V10" s="38" t="s">
        <v>999</v>
      </c>
      <c r="W10" s="18" t="s">
        <v>1001</v>
      </c>
      <c r="X10" s="22" t="b">
        <v>1</v>
      </c>
    </row>
    <row r="11" spans="1:24" ht="72">
      <c r="A11" s="15">
        <v>9</v>
      </c>
      <c r="B11" s="15">
        <f ca="1">IFERROR(__xludf.DUMMYFUNCTION("""COMPUTED_VALUE"""),3515)</f>
        <v>3515</v>
      </c>
      <c r="C11" s="16" t="str">
        <f ca="1">IFERROR(__xludf.DUMMYFUNCTION("""COMPUTED_VALUE"""),"ADIWIRA SURYA SUSANTO")</f>
        <v>ADIWIRA SURYA SUSANTO</v>
      </c>
      <c r="D11" s="16" t="str">
        <f ca="1">IFERROR(__xludf.DUMMYFUNCTION("""COMPUTED_VALUE"""),"5020201030")</f>
        <v>5020201030</v>
      </c>
      <c r="E11" s="16" t="str">
        <f ca="1">IFERROR(__xludf.DUMMYFUNCTION("""COMPUTED_VALUE"""),"Departemen Teknik Kelautan")</f>
        <v>Departemen Teknik Kelautan</v>
      </c>
      <c r="F11" s="16" t="str">
        <f ca="1">IFERROR(__xludf.DUMMYFUNCTION("""COMPUTED_VALUE"""),"Marine Emergency Surveillance System Sistem Pendeteksian Bawah Air Berteknologi Fast AUV Dilengkapi Dengan Smart Inflatable Buoy Pada Kecelakaan di Laut")</f>
        <v>Marine Emergency Surveillance System Sistem Pendeteksian Bawah Air Berteknologi Fast AUV Dilengkapi Dengan Smart Inflatable Buoy Pada Kecelakaan di Laut</v>
      </c>
      <c r="G11" s="16" t="str">
        <f ca="1">IFERROR(__xludf.DUMMYFUNCTION("""COMPUTED_VALUE"""),"Wimala Lalitya Dhanistha, S.T., M.T.")</f>
        <v>Wimala Lalitya Dhanistha, S.T., M.T.</v>
      </c>
      <c r="H11" s="16" t="str">
        <f ca="1">IFERROR(__xludf.DUMMYFUNCTION("""COMPUTED_VALUE"""),"Prof. Ir. Aguk Zuhdi Muhammad Fathallah, M.Eng., Ph.D.")</f>
        <v>Prof. Ir. Aguk Zuhdi Muhammad Fathallah, M.Eng., Ph.D.</v>
      </c>
      <c r="I11" s="16" t="str">
        <f ca="1">IFERROR(__xludf.DUMMYFUNCTION("""COMPUTED_VALUE"""),"Muhammad Syifaul Mufid, S.Si.,M.Si")</f>
        <v>Muhammad Syifaul Mufid, S.Si.,M.Si</v>
      </c>
      <c r="J11" s="16"/>
      <c r="K11" s="86" t="s">
        <v>1003</v>
      </c>
      <c r="L11" s="18" t="s">
        <v>1002</v>
      </c>
      <c r="M11" s="19" t="b">
        <v>1</v>
      </c>
      <c r="N11" s="19" t="b">
        <v>1</v>
      </c>
      <c r="O11" s="1" t="s">
        <v>1004</v>
      </c>
      <c r="P11" s="7" t="str">
        <f ca="1">IFERROR(__xludf.DUMMYFUNCTION("iferror(vlookup(B11,importrange(""https://docs.google.com/spreadsheets/d/1boHyJQ4e2FU0QG8MHwEi6qjX4hvZWVCHcFfXjq7bbMc/edit?resourcekey#gid=923248883"",""Prop!$C$1:$M""),12,0),IFERROR(vlookup(B11,importrange(""https://docs.google.com/spreadsheets/d/1boHyJQ"&amp;"4e2FU0QG8MHwEi6qjX4hvZWVCHcFfXjq7bbMc/edit?resourcekey#gid=923248883"",""Prop!$N$1:$X""),11,0),iferror(vlookup(B11,importrange(""https://docs.google.com/spreadsheets/d/1boHyJQ4e2FU0QG8MHwEi6qjX4hvZWVCHcFfXjq7bbMc/edit?resourcekey#gid=923248883"",""Prop!$Y"&amp;"$1:$AI""),11,0),iferror(vlookup(B11,importrange(""https://docs.google.com/spreadsheets/d/1boHyJQ4e2FU0QG8MHwEi6qjX4hvZWVCHcFfXjq7bbMc/edit?resourcekey#gid=923248883"",""Prop!$AJ$1:$AT""),11,0),iferror(vlookup(B11,importrange(""https://docs.google.com/spre"&amp;"adsheets/d/1boHyJQ4e2FU0QG8MHwEi6qjX4hvZWVCHcFfXjq7bbMc/edit?resourcekey#gid=923248883"",""Prop!$AU$1:$BE""),11,0),iferror(vlookup(B11,importrange(""https://docs.google.com/spreadsheets/d/1boHyJQ4e2FU0QG8MHwEi6qjX4hvZWVCHcFfXjq7bbMc/edit?resourcekey#gid=9"&amp;"23248883"",""Prop!$BF$1:$BP""),11,0),iferror(vlookup(B11,importrange(""https://docs.google.com/spreadsheets/d/1boHyJQ4e2FU0QG8MHwEi6qjX4hvZWVCHcFfXjq7bbMc/edit?resourcekey#gid=923248883"",""Prop!$BQ$1:$CA""),11,0),iferror(vlookup(B11,importrange(""https:/"&amp;"/docs.google.com/spreadsheets/d/1boHyJQ4e2FU0QG8MHwEi6qjX4hvZWVCHcFfXjq7bbMc/edit?resourcekey#gid=923248883"",""Prop!$CB$1:$CL""),11,0),iferror(vlookup(B11,importrange(""https://docs.google.com/spreadsheets/d/1boHyJQ4e2FU0QG8MHwEi6qjX4hvZWVCHcFfXjq7bbMc/e"&amp;"dit?resourcekey#gid=923248883"",""Prop!$CM$1:$CX""),12,0),iferror(vlookup(B11,importrange(""https://docs.google.com/spreadsheets/d/1boHyJQ4e2FU0QG8MHwEi6qjX4hvZWVCHcFfXjq7bbMc/edit?resourcekey#gid=923248883"",""Prop!$CV$1:$DI""),11,0)))))))))))"),"https://drive.google.com/open?id=1c1tXYMko-w628b8O79TwQyHfNSojFcvp")</f>
        <v>https://drive.google.com/open?id=1c1tXYMko-w628b8O79TwQyHfNSojFcvp</v>
      </c>
      <c r="Q11" s="7" t="str">
        <f ca="1">IFERROR(__xludf.DUMMYFUNCTION("iferror(vlookup(B11,importrange(""https://docs.google.com/spreadsheets/d/1p53T2AuvvIqhP7Nf-bo3Uhj8cbKYRPpZdsrBv3x3bAQ/edit?resourcekey#gid=1321652304"",""Prop!$C$1:$M""),11,0),IFERROR(vlookup(B11,importrange(""https://docs.google.com/spreadsheets/d/1p53T2"&amp;"AuvvIqhP7Nf-bo3Uhj8cbKYRPpZdsrBv3x3bAQ/edit?resourcekey#gid=1321652304"",""Prop!$N$1:$X""),11,0),iferror(vlookup(B11,importrange(""https://docs.google.com/spreadsheets/d/1p53T2AuvvIqhP7Nf-bo3Uhj8cbKYRPpZdsrBv3x3bAQ/edit?resourcekey#gid=1321652304"",""Prop"&amp;"!$Y$1:$AI""),11,0),iferror(vlookup(B11,importrange(""https://docs.google.com/spreadsheets/d/1p53T2AuvvIqhP7Nf-bo3Uhj8cbKYRPpZdsrBv3x3bAQ/edit?resourcekey#gid=1321652304"",""Prop!$AJ$1:$AT""),11,0),iferror(vlookup(B11,importrange(""https://docs.google.com/"&amp;"spreadsheets/d/1p53T2AuvvIqhP7Nf-bo3Uhj8cbKYRPpZdsrBv3x3bAQ/edit?resourcekey#gid=1321652304"",""Prop!$AU$1:$BE""),11,0),iferror(vlookup(B11,importrange(""https://docs.google.com/spreadsheets/d/1p53T2AuvvIqhP7Nf-bo3Uhj8cbKYRPpZdsrBv3x3bAQ/edit?resourcekey#"&amp;"gid=1321652304"",""Prop!$BF$1:$BP""),11,0),iferror(vlookup(B11,importrange(""https://docs.google.com/spreadsheets/d/1p53T2AuvvIqhP7Nf-bo3Uhj8cbKYRPpZdsrBv3x3bAQ/edit?resourcekey#gid=1321652304"",""Prop!$BQ$1:$CA""),11,0),iferror(vlookup(B11,importrange("""&amp;"https://docs.google.com/spreadsheets/d/1p53T2AuvvIqhP7Nf-bo3Uhj8cbKYRPpZdsrBv3x3bAQ/edit?resourcekey#gid=1321652304"",""Prop!$CB$1:$CL""),11,0),iferror(vlookup(B11,importrange(""https://docs.google.com/spreadsheets/d/1p53T2AuvvIqhP7Nf-bo3Uhj8cbKYRPpZdsrBv"&amp;"3x3bAQ/edit?resourcekey#gid=1321652304"",""Prop!$CM$1:$CX""),12,0),iferror(vlookup(B11,importrange(""https://docs.google.com/spreadsheets/d/1p53T2AuvvIqhP7Nf-bo3Uhj8cbKYRPpZdsrBv3x3bAQ/edit?resourcekey#gid=1321652304"",""Prop!$CY$1:$DI""),11,0)))))))))))"),"https://drive.google.com/open?id=1nPcMuj4tkKX0B0Qvo07plX6Vfhmi4ikL")</f>
        <v>https://drive.google.com/open?id=1nPcMuj4tkKX0B0Qvo07plX6Vfhmi4ikL</v>
      </c>
      <c r="R11" s="20" t="s">
        <v>998</v>
      </c>
      <c r="S11" s="20" t="str">
        <f ca="1">IFERROR(__xludf.DUMMYFUNCTION("IFERROR(vlookup(B11,IMPORTRANGE(""https://docs.google.com/spreadsheets/d/1g_jfYYK_KeipEDNDUgqgrsxK94XiocfNQIcP-v1QVhI/edit?resourcekey#gid=233272945"",""Nilai!B:CT""),37,0),"" "")"),"1. Perlu memperkuat fokus masalah yang menjadi benang merah gagasan. 
2. Kurangi hal2 yang deskriptif dalam menjabarkan gagasan, perbanyak gambar ilustrasi")</f>
        <v>1. Perlu memperkuat fokus masalah yang menjadi benang merah gagasan. 
2. Kurangi hal2 yang deskriptif dalam menjabarkan gagasan, perbanyak gambar ilustrasi</v>
      </c>
      <c r="T11" s="20" t="str">
        <f ca="1">IFERROR(__xludf.DUMMYFUNCTION("IFERROR(vlookup(B11,IMPORTRANGE(""https://docs.google.com/spreadsheets/d/1g_jfYYK_KeipEDNDUgqgrsxK94XiocfNQIcP-v1QVhI/edit?resourcekey#gid=233272945"",""Nilai!B:CT""),97,0),"" "")"),"LAYAK UPLOAD KE SIMBELMAWA DENGAN REVISI")</f>
        <v>LAYAK UPLOAD KE SIMBELMAWA DENGAN REVISI</v>
      </c>
      <c r="U11" s="37" t="s">
        <v>786</v>
      </c>
      <c r="V11" s="38" t="s">
        <v>999</v>
      </c>
      <c r="W11" s="18" t="s">
        <v>1005</v>
      </c>
      <c r="X11" s="22" t="b">
        <v>1</v>
      </c>
    </row>
    <row r="12" spans="1:24" ht="82.8">
      <c r="A12" s="15">
        <v>10</v>
      </c>
      <c r="B12" s="15">
        <f ca="1">IFERROR(__xludf.DUMMYFUNCTION("""COMPUTED_VALUE"""),3335)</f>
        <v>3335</v>
      </c>
      <c r="C12" s="16" t="str">
        <f ca="1">IFERROR(__xludf.DUMMYFUNCTION("""COMPUTED_VALUE"""),"Adinda Putri Prianto")</f>
        <v>Adinda Putri Prianto</v>
      </c>
      <c r="D12" s="16" t="str">
        <f ca="1">IFERROR(__xludf.DUMMYFUNCTION("""COMPUTED_VALUE"""),"5013211028")</f>
        <v>5013211028</v>
      </c>
      <c r="E12" s="16" t="str">
        <f ca="1">IFERROR(__xludf.DUMMYFUNCTION("""COMPUTED_VALUE"""),"Departemen Arsitektur")</f>
        <v>Departemen Arsitektur</v>
      </c>
      <c r="F12" s="16" t="str">
        <f ca="1">IFERROR(__xludf.DUMMYFUNCTION("""COMPUTED_VALUE"""),"Konsep Ruang Terbuka Hijau Vertical Linear Open Space di Kawasan Padat Huni yang Ramah dan Aman bagi Penyandang Disabilitas")</f>
        <v>Konsep Ruang Terbuka Hijau Vertical Linear Open Space di Kawasan Padat Huni yang Ramah dan Aman bagi Penyandang Disabilitas</v>
      </c>
      <c r="G12" s="16" t="str">
        <f ca="1">IFERROR(__xludf.DUMMYFUNCTION("""COMPUTED_VALUE"""),"Dr. Arina Hayati, S.T., M.T.")</f>
        <v>Dr. Arina Hayati, S.T., M.T.</v>
      </c>
      <c r="H12" s="16" t="str">
        <f ca="1">IFERROR(__xludf.DUMMYFUNCTION("""COMPUTED_VALUE"""),"Dyah Sawitri, S.T., M.T.")</f>
        <v>Dyah Sawitri, S.T., M.T.</v>
      </c>
      <c r="I12" s="16" t="str">
        <f ca="1">IFERROR(__xludf.DUMMYFUNCTION("""COMPUTED_VALUE"""),"Rindi Kusumawardani, S.Si., M.Sc.")</f>
        <v>Rindi Kusumawardani, S.Si., M.Sc.</v>
      </c>
      <c r="J12" s="16"/>
      <c r="K12" s="86" t="s">
        <v>1003</v>
      </c>
      <c r="L12" s="18" t="s">
        <v>1002</v>
      </c>
      <c r="M12" s="19" t="b">
        <v>1</v>
      </c>
      <c r="N12" s="19" t="b">
        <v>1</v>
      </c>
      <c r="O12" s="1" t="s">
        <v>1004</v>
      </c>
      <c r="P12" s="7" t="str">
        <f ca="1">IFERROR(__xludf.DUMMYFUNCTION("iferror(vlookup(B12,importrange(""https://docs.google.com/spreadsheets/d/1boHyJQ4e2FU0QG8MHwEi6qjX4hvZWVCHcFfXjq7bbMc/edit?resourcekey#gid=923248883"",""Prop!$C$1:$M""),12,0),IFERROR(vlookup(B12,importrange(""https://docs.google.com/spreadsheets/d/1boHyJQ"&amp;"4e2FU0QG8MHwEi6qjX4hvZWVCHcFfXjq7bbMc/edit?resourcekey#gid=923248883"",""Prop!$N$1:$X""),11,0),iferror(vlookup(B12,importrange(""https://docs.google.com/spreadsheets/d/1boHyJQ4e2FU0QG8MHwEi6qjX4hvZWVCHcFfXjq7bbMc/edit?resourcekey#gid=923248883"",""Prop!$Y"&amp;"$1:$AI""),11,0),iferror(vlookup(B12,importrange(""https://docs.google.com/spreadsheets/d/1boHyJQ4e2FU0QG8MHwEi6qjX4hvZWVCHcFfXjq7bbMc/edit?resourcekey#gid=923248883"",""Prop!$AJ$1:$AT""),11,0),iferror(vlookup(B12,importrange(""https://docs.google.com/spre"&amp;"adsheets/d/1boHyJQ4e2FU0QG8MHwEi6qjX4hvZWVCHcFfXjq7bbMc/edit?resourcekey#gid=923248883"",""Prop!$AU$1:$BE""),11,0),iferror(vlookup(B12,importrange(""https://docs.google.com/spreadsheets/d/1boHyJQ4e2FU0QG8MHwEi6qjX4hvZWVCHcFfXjq7bbMc/edit?resourcekey#gid=9"&amp;"23248883"",""Prop!$BF$1:$BP""),11,0),iferror(vlookup(B12,importrange(""https://docs.google.com/spreadsheets/d/1boHyJQ4e2FU0QG8MHwEi6qjX4hvZWVCHcFfXjq7bbMc/edit?resourcekey#gid=923248883"",""Prop!$BQ$1:$CA""),11,0),iferror(vlookup(B12,importrange(""https:/"&amp;"/docs.google.com/spreadsheets/d/1boHyJQ4e2FU0QG8MHwEi6qjX4hvZWVCHcFfXjq7bbMc/edit?resourcekey#gid=923248883"",""Prop!$CB$1:$CL""),11,0),iferror(vlookup(B12,importrange(""https://docs.google.com/spreadsheets/d/1boHyJQ4e2FU0QG8MHwEi6qjX4hvZWVCHcFfXjq7bbMc/e"&amp;"dit?resourcekey#gid=923248883"",""Prop!$CM$1:$CX""),12,0),iferror(vlookup(B12,importrange(""https://docs.google.com/spreadsheets/d/1boHyJQ4e2FU0QG8MHwEi6qjX4hvZWVCHcFfXjq7bbMc/edit?resourcekey#gid=923248883"",""Prop!$CV$1:$DI""),11,0)))))))))))"),"https://drive.google.com/open?id=1c8_mtxxAL5GpsNjT14rnOe8VoYPAgRYK")</f>
        <v>https://drive.google.com/open?id=1c8_mtxxAL5GpsNjT14rnOe8VoYPAgRYK</v>
      </c>
      <c r="Q12" s="7" t="str">
        <f ca="1">IFERROR(__xludf.DUMMYFUNCTION("iferror(vlookup(B12,importrange(""https://docs.google.com/spreadsheets/d/1p53T2AuvvIqhP7Nf-bo3Uhj8cbKYRPpZdsrBv3x3bAQ/edit?resourcekey#gid=1321652304"",""Prop!$C$1:$M""),11,0),IFERROR(vlookup(B12,importrange(""https://docs.google.com/spreadsheets/d/1p53T2"&amp;"AuvvIqhP7Nf-bo3Uhj8cbKYRPpZdsrBv3x3bAQ/edit?resourcekey#gid=1321652304"",""Prop!$N$1:$X""),11,0),iferror(vlookup(B12,importrange(""https://docs.google.com/spreadsheets/d/1p53T2AuvvIqhP7Nf-bo3Uhj8cbKYRPpZdsrBv3x3bAQ/edit?resourcekey#gid=1321652304"",""Prop"&amp;"!$Y$1:$AI""),11,0),iferror(vlookup(B12,importrange(""https://docs.google.com/spreadsheets/d/1p53T2AuvvIqhP7Nf-bo3Uhj8cbKYRPpZdsrBv3x3bAQ/edit?resourcekey#gid=1321652304"",""Prop!$AJ$1:$AT""),11,0),iferror(vlookup(B12,importrange(""https://docs.google.com/"&amp;"spreadsheets/d/1p53T2AuvvIqhP7Nf-bo3Uhj8cbKYRPpZdsrBv3x3bAQ/edit?resourcekey#gid=1321652304"",""Prop!$AU$1:$BE""),11,0),iferror(vlookup(B12,importrange(""https://docs.google.com/spreadsheets/d/1p53T2AuvvIqhP7Nf-bo3Uhj8cbKYRPpZdsrBv3x3bAQ/edit?resourcekey#"&amp;"gid=1321652304"",""Prop!$BF$1:$BP""),11,0),iferror(vlookup(B12,importrange(""https://docs.google.com/spreadsheets/d/1p53T2AuvvIqhP7Nf-bo3Uhj8cbKYRPpZdsrBv3x3bAQ/edit?resourcekey#gid=1321652304"",""Prop!$BQ$1:$CA""),11,0),iferror(vlookup(B12,importrange("""&amp;"https://docs.google.com/spreadsheets/d/1p53T2AuvvIqhP7Nf-bo3Uhj8cbKYRPpZdsrBv3x3bAQ/edit?resourcekey#gid=1321652304"",""Prop!$CB$1:$CL""),11,0),iferror(vlookup(B12,importrange(""https://docs.google.com/spreadsheets/d/1p53T2AuvvIqhP7Nf-bo3Uhj8cbKYRPpZdsrBv"&amp;"3x3bAQ/edit?resourcekey#gid=1321652304"",""Prop!$CM$1:$CX""),12,0),iferror(vlookup(B12,importrange(""https://docs.google.com/spreadsheets/d/1p53T2AuvvIqhP7Nf-bo3Uhj8cbKYRPpZdsrBv3x3bAQ/edit?resourcekey#gid=1321652304"",""Prop!$CY$1:$DI""),11,0)))))))))))"),"https://drive.google.com/open?id=1lFvl9N1tLcznINSSaRGdbZ35El1C5_eT")</f>
        <v>https://drive.google.com/open?id=1lFvl9N1tLcznINSSaRGdbZ35El1C5_eT</v>
      </c>
      <c r="R12" s="20" t="s">
        <v>998</v>
      </c>
      <c r="S12" s="20" t="str">
        <f ca="1">IFERROR(__xludf.DUMMYFUNCTION("IFERROR(vlookup(B12,IMPORTRANGE(""https://docs.google.com/spreadsheets/d/1g_jfYYK_KeipEDNDUgqgrsxK94XiocfNQIcP-v1QVhI/edit?resourcekey#gid=233272945"",""Nilai!B:CT""),37,0),"" "")"),"1. ide tentang ruang terbuka hijau sudah relatif umum, utk itu perlu dieksplorasi fokus masalah yang akan diselesaikan dan berikan gagasan baru dalam pemecahan masalahnya
2. prinsip visioner dan realistis dalam implementasinya perlu diperhatikan
3. buat i"&amp;"lustrasi ide secara komprehensif dan implementatif")</f>
        <v>1. ide tentang ruang terbuka hijau sudah relatif umum, utk itu perlu dieksplorasi fokus masalah yang akan diselesaikan dan berikan gagasan baru dalam pemecahan masalahnya
2. prinsip visioner dan realistis dalam implementasinya perlu diperhatikan
3. buat ilustrasi ide secara komprehensif dan implementatif</v>
      </c>
      <c r="T12" s="20" t="str">
        <f ca="1">IFERROR(__xludf.DUMMYFUNCTION("IFERROR(vlookup(B12,IMPORTRANGE(""https://docs.google.com/spreadsheets/d/1g_jfYYK_KeipEDNDUgqgrsxK94XiocfNQIcP-v1QVhI/edit?resourcekey#gid=233272945"",""Nilai!B:CT""),97,0),"" "")"),"LAYAK UPLOAD KE SIMBELMAWA DENGAN REVISI")</f>
        <v>LAYAK UPLOAD KE SIMBELMAWA DENGAN REVISI</v>
      </c>
      <c r="U12" s="37" t="s">
        <v>786</v>
      </c>
      <c r="V12" s="38" t="s">
        <v>999</v>
      </c>
      <c r="W12" s="18" t="s">
        <v>1005</v>
      </c>
      <c r="X12" s="22" t="b">
        <v>1</v>
      </c>
    </row>
    <row r="13" spans="1:24" ht="69">
      <c r="A13" s="15">
        <v>11</v>
      </c>
      <c r="B13" s="15">
        <f ca="1">IFERROR(__xludf.DUMMYFUNCTION("""COMPUTED_VALUE"""),2092)</f>
        <v>2092</v>
      </c>
      <c r="C13" s="16" t="str">
        <f ca="1">IFERROR(__xludf.DUMMYFUNCTION("""COMPUTED_VALUE"""),"NUR AINI QOLBI FADHILAH")</f>
        <v>NUR AINI QOLBI FADHILAH</v>
      </c>
      <c r="D13" s="16" t="str">
        <f ca="1">IFERROR(__xludf.DUMMYFUNCTION("""COMPUTED_VALUE"""),"03311940000096")</f>
        <v>03311940000096</v>
      </c>
      <c r="E13" s="16" t="str">
        <f ca="1">IFERROR(__xludf.DUMMYFUNCTION("""COMPUTED_VALUE"""),"Departemen Teknik Geomatika")</f>
        <v>Departemen Teknik Geomatika</v>
      </c>
      <c r="F13" s="16" t="str">
        <f ca="1">IFERROR(__xludf.DUMMYFUNCTION("""COMPUTED_VALUE"""),"Pembangunan Waduk Cerdas Bersistem Filter Kawasan Kabupaten Banyuwangi Sebagai Solusi Kekeringan Berkepanjangan melalui Analisis Spasial dengan Citra Satelit Landsat 8")</f>
        <v>Pembangunan Waduk Cerdas Bersistem Filter Kawasan Kabupaten Banyuwangi Sebagai Solusi Kekeringan Berkepanjangan melalui Analisis Spasial dengan Citra Satelit Landsat 8</v>
      </c>
      <c r="G13" s="16" t="str">
        <f ca="1">IFERROR(__xludf.DUMMYFUNCTION("""COMPUTED_VALUE"""),"Lalu Muhamad Jaelani, S.T., M.Sc., Ph.D.")</f>
        <v>Lalu Muhamad Jaelani, S.T., M.Sc., Ph.D.</v>
      </c>
      <c r="H13" s="16" t="str">
        <f ca="1">IFERROR(__xludf.DUMMYFUNCTION("""COMPUTED_VALUE"""),"Dyah Sawitri, S.T., M.T.")</f>
        <v>Dyah Sawitri, S.T., M.T.</v>
      </c>
      <c r="I13" s="16" t="str">
        <f ca="1">IFERROR(__xludf.DUMMYFUNCTION("""COMPUTED_VALUE"""),"Nova Maulidina Ashuri, S.Si., M.Si.")</f>
        <v>Nova Maulidina Ashuri, S.Si., M.Si.</v>
      </c>
      <c r="J13" s="16"/>
      <c r="K13" s="86" t="s">
        <v>1003</v>
      </c>
      <c r="L13" s="18" t="s">
        <v>1006</v>
      </c>
      <c r="M13" s="19" t="b">
        <v>1</v>
      </c>
      <c r="N13" s="19" t="b">
        <v>1</v>
      </c>
      <c r="O13" s="1" t="s">
        <v>1004</v>
      </c>
      <c r="P13" s="7" t="str">
        <f ca="1">IFERROR(__xludf.DUMMYFUNCTION("iferror(vlookup(B13,importrange(""https://docs.google.com/spreadsheets/d/1boHyJQ4e2FU0QG8MHwEi6qjX4hvZWVCHcFfXjq7bbMc/edit?resourcekey#gid=923248883"",""Prop!$C$1:$M""),12,0),IFERROR(vlookup(B13,importrange(""https://docs.google.com/spreadsheets/d/1boHyJQ"&amp;"4e2FU0QG8MHwEi6qjX4hvZWVCHcFfXjq7bbMc/edit?resourcekey#gid=923248883"",""Prop!$N$1:$X""),11,0),iferror(vlookup(B13,importrange(""https://docs.google.com/spreadsheets/d/1boHyJQ4e2FU0QG8MHwEi6qjX4hvZWVCHcFfXjq7bbMc/edit?resourcekey#gid=923248883"",""Prop!$Y"&amp;"$1:$AI""),11,0),iferror(vlookup(B13,importrange(""https://docs.google.com/spreadsheets/d/1boHyJQ4e2FU0QG8MHwEi6qjX4hvZWVCHcFfXjq7bbMc/edit?resourcekey#gid=923248883"",""Prop!$AJ$1:$AT""),11,0),iferror(vlookup(B13,importrange(""https://docs.google.com/spre"&amp;"adsheets/d/1boHyJQ4e2FU0QG8MHwEi6qjX4hvZWVCHcFfXjq7bbMc/edit?resourcekey#gid=923248883"",""Prop!$AU$1:$BE""),11,0),iferror(vlookup(B13,importrange(""https://docs.google.com/spreadsheets/d/1boHyJQ4e2FU0QG8MHwEi6qjX4hvZWVCHcFfXjq7bbMc/edit?resourcekey#gid=9"&amp;"23248883"",""Prop!$BF$1:$BP""),11,0),iferror(vlookup(B13,importrange(""https://docs.google.com/spreadsheets/d/1boHyJQ4e2FU0QG8MHwEi6qjX4hvZWVCHcFfXjq7bbMc/edit?resourcekey#gid=923248883"",""Prop!$BQ$1:$CA""),11,0),iferror(vlookup(B13,importrange(""https:/"&amp;"/docs.google.com/spreadsheets/d/1boHyJQ4e2FU0QG8MHwEi6qjX4hvZWVCHcFfXjq7bbMc/edit?resourcekey#gid=923248883"",""Prop!$CB$1:$CL""),11,0),iferror(vlookup(B13,importrange(""https://docs.google.com/spreadsheets/d/1boHyJQ4e2FU0QG8MHwEi6qjX4hvZWVCHcFfXjq7bbMc/e"&amp;"dit?resourcekey#gid=923248883"",""Prop!$CM$1:$CX""),12,0),iferror(vlookup(B13,importrange(""https://docs.google.com/spreadsheets/d/1boHyJQ4e2FU0QG8MHwEi6qjX4hvZWVCHcFfXjq7bbMc/edit?resourcekey#gid=923248883"",""Prop!$CV$1:$DI""),11,0)))))))))))"),"https://drive.google.com/open?id=10A-FycbKPv26jACw16PdpZ7GjhCNHsLm")</f>
        <v>https://drive.google.com/open?id=10A-FycbKPv26jACw16PdpZ7GjhCNHsLm</v>
      </c>
      <c r="Q13" s="7" t="str">
        <f ca="1">IFERROR(__xludf.DUMMYFUNCTION("iferror(vlookup(B13,importrange(""https://docs.google.com/spreadsheets/d/1p53T2AuvvIqhP7Nf-bo3Uhj8cbKYRPpZdsrBv3x3bAQ/edit?resourcekey#gid=1321652304"",""Prop!$C$1:$M""),11,0),IFERROR(vlookup(B13,importrange(""https://docs.google.com/spreadsheets/d/1p53T2"&amp;"AuvvIqhP7Nf-bo3Uhj8cbKYRPpZdsrBv3x3bAQ/edit?resourcekey#gid=1321652304"",""Prop!$N$1:$X""),11,0),iferror(vlookup(B13,importrange(""https://docs.google.com/spreadsheets/d/1p53T2AuvvIqhP7Nf-bo3Uhj8cbKYRPpZdsrBv3x3bAQ/edit?resourcekey#gid=1321652304"",""Prop"&amp;"!$Y$1:$AI""),11,0),iferror(vlookup(B13,importrange(""https://docs.google.com/spreadsheets/d/1p53T2AuvvIqhP7Nf-bo3Uhj8cbKYRPpZdsrBv3x3bAQ/edit?resourcekey#gid=1321652304"",""Prop!$AJ$1:$AT""),11,0),iferror(vlookup(B13,importrange(""https://docs.google.com/"&amp;"spreadsheets/d/1p53T2AuvvIqhP7Nf-bo3Uhj8cbKYRPpZdsrBv3x3bAQ/edit?resourcekey#gid=1321652304"",""Prop!$AU$1:$BE""),11,0),iferror(vlookup(B13,importrange(""https://docs.google.com/spreadsheets/d/1p53T2AuvvIqhP7Nf-bo3Uhj8cbKYRPpZdsrBv3x3bAQ/edit?resourcekey#"&amp;"gid=1321652304"",""Prop!$BF$1:$BP""),11,0),iferror(vlookup(B13,importrange(""https://docs.google.com/spreadsheets/d/1p53T2AuvvIqhP7Nf-bo3Uhj8cbKYRPpZdsrBv3x3bAQ/edit?resourcekey#gid=1321652304"",""Prop!$BQ$1:$CA""),11,0),iferror(vlookup(B13,importrange("""&amp;"https://docs.google.com/spreadsheets/d/1p53T2AuvvIqhP7Nf-bo3Uhj8cbKYRPpZdsrBv3x3bAQ/edit?resourcekey#gid=1321652304"",""Prop!$CB$1:$CL""),11,0),iferror(vlookup(B13,importrange(""https://docs.google.com/spreadsheets/d/1p53T2AuvvIqhP7Nf-bo3Uhj8cbKYRPpZdsrBv"&amp;"3x3bAQ/edit?resourcekey#gid=1321652304"",""Prop!$CM$1:$CX""),12,0),iferror(vlookup(B13,importrange(""https://docs.google.com/spreadsheets/d/1p53T2AuvvIqhP7Nf-bo3Uhj8cbKYRPpZdsrBv3x3bAQ/edit?resourcekey#gid=1321652304"",""Prop!$CY$1:$DI""),11,0)))))))))))"),"https://drive.google.com/open?id=1OjvwOd2_UAOfwtUqVJjohKTQpANRerTK")</f>
        <v>https://drive.google.com/open?id=1OjvwOd2_UAOfwtUqVJjohKTQpANRerTK</v>
      </c>
      <c r="R13" s="20" t="s">
        <v>998</v>
      </c>
      <c r="S13" s="20" t="str">
        <f ca="1">IFERROR(__xludf.DUMMYFUNCTION("IFERROR(vlookup(B13,IMPORTRANGE(""https://docs.google.com/spreadsheets/d/1g_jfYYK_KeipEDNDUgqgrsxK94XiocfNQIcP-v1QVhI/edit?resourcekey#gid=233272945"",""Nilai!B:CT""),37,0),"" "")"),"ide cukup komprehensfi, namun kurang dijelaskan keterbaruan ide ini pada bagian pendahuluan")</f>
        <v>ide cukup komprehensfi, namun kurang dijelaskan keterbaruan ide ini pada bagian pendahuluan</v>
      </c>
      <c r="T13" s="20" t="str">
        <f ca="1">IFERROR(__xludf.DUMMYFUNCTION("IFERROR(vlookup(B13,IMPORTRANGE(""https://docs.google.com/spreadsheets/d/1g_jfYYK_KeipEDNDUgqgrsxK94XiocfNQIcP-v1QVhI/edit?resourcekey#gid=233272945"",""Nilai!B:CT""),97,0),"" "")"),"LAYAK UPLOAD KE SIMBELMAWA DENGAN REVISI")</f>
        <v>LAYAK UPLOAD KE SIMBELMAWA DENGAN REVISI</v>
      </c>
      <c r="U13" s="37" t="s">
        <v>786</v>
      </c>
      <c r="V13" s="38" t="s">
        <v>999</v>
      </c>
      <c r="W13" s="18" t="s">
        <v>1005</v>
      </c>
      <c r="X13" s="22" t="b">
        <v>1</v>
      </c>
    </row>
    <row r="14" spans="1:24" ht="69">
      <c r="A14" s="15">
        <v>12</v>
      </c>
      <c r="B14" s="15">
        <f ca="1">IFERROR(__xludf.DUMMYFUNCTION("""COMPUTED_VALUE"""),2361)</f>
        <v>2361</v>
      </c>
      <c r="C14" s="16" t="str">
        <f ca="1">IFERROR(__xludf.DUMMYFUNCTION("""COMPUTED_VALUE"""),"RIZKY FATKHUR SUSANTO")</f>
        <v>RIZKY FATKHUR SUSANTO</v>
      </c>
      <c r="D14" s="16" t="str">
        <f ca="1">IFERROR(__xludf.DUMMYFUNCTION("""COMPUTED_VALUE"""),"2042201104")</f>
        <v>2042201104</v>
      </c>
      <c r="E14" s="16" t="str">
        <f ca="1">IFERROR(__xludf.DUMMYFUNCTION("""COMPUTED_VALUE"""),"Departemen Teknik Instrumentasi")</f>
        <v>Departemen Teknik Instrumentasi</v>
      </c>
      <c r="F14" s="16" t="str">
        <f ca="1">IFERROR(__xludf.DUMMYFUNCTION("""COMPUTED_VALUE"""),"Adhinata,virtual assistant berteknologi holographic display system dan augmented reality di ruangan ICU guna meningkatkan pelayanan kesehatan di era Sosiety 5.0")</f>
        <v>Adhinata,virtual assistant berteknologi holographic display system dan augmented reality di ruangan ICU guna meningkatkan pelayanan kesehatan di era Sosiety 5.0</v>
      </c>
      <c r="G14" s="16" t="str">
        <f ca="1">IFERROR(__xludf.DUMMYFUNCTION("""COMPUTED_VALUE"""),"Dr. Ir. Totok Soehartanto, DEA.")</f>
        <v>Dr. Ir. Totok Soehartanto, DEA.</v>
      </c>
      <c r="H14" s="16" t="str">
        <f ca="1">IFERROR(__xludf.DUMMYFUNCTION("""COMPUTED_VALUE"""),"Dr.-Ing. Doty Dewi Risanti, S.T., M.T.")</f>
        <v>Dr.-Ing. Doty Dewi Risanti, S.T., M.T.</v>
      </c>
      <c r="I14" s="16" t="str">
        <f ca="1">IFERROR(__xludf.DUMMYFUNCTION("""COMPUTED_VALUE"""),"Rivan Aji Wahyu Dyan Syafitri, S.PWK, M.Ars.")</f>
        <v>Rivan Aji Wahyu Dyan Syafitri, S.PWK, M.Ars.</v>
      </c>
      <c r="J14" s="16"/>
      <c r="K14" s="86" t="s">
        <v>1003</v>
      </c>
      <c r="L14" s="18" t="s">
        <v>1006</v>
      </c>
      <c r="M14" s="19" t="b">
        <v>0</v>
      </c>
      <c r="N14" s="19" t="b">
        <v>0</v>
      </c>
      <c r="O14" s="1" t="s">
        <v>1004</v>
      </c>
      <c r="P14" s="7" t="str">
        <f ca="1">IFERROR(__xludf.DUMMYFUNCTION("iferror(vlookup(B14,importrange(""https://docs.google.com/spreadsheets/d/1boHyJQ4e2FU0QG8MHwEi6qjX4hvZWVCHcFfXjq7bbMc/edit?resourcekey#gid=923248883"",""Prop!$C$1:$M""),12,0),IFERROR(vlookup(B14,importrange(""https://docs.google.com/spreadsheets/d/1boHyJQ"&amp;"4e2FU0QG8MHwEi6qjX4hvZWVCHcFfXjq7bbMc/edit?resourcekey#gid=923248883"",""Prop!$N$1:$X""),11,0),iferror(vlookup(B14,importrange(""https://docs.google.com/spreadsheets/d/1boHyJQ4e2FU0QG8MHwEi6qjX4hvZWVCHcFfXjq7bbMc/edit?resourcekey#gid=923248883"",""Prop!$Y"&amp;"$1:$AI""),11,0),iferror(vlookup(B14,importrange(""https://docs.google.com/spreadsheets/d/1boHyJQ4e2FU0QG8MHwEi6qjX4hvZWVCHcFfXjq7bbMc/edit?resourcekey#gid=923248883"",""Prop!$AJ$1:$AT""),11,0),iferror(vlookup(B14,importrange(""https://docs.google.com/spre"&amp;"adsheets/d/1boHyJQ4e2FU0QG8MHwEi6qjX4hvZWVCHcFfXjq7bbMc/edit?resourcekey#gid=923248883"",""Prop!$AU$1:$BE""),11,0),iferror(vlookup(B14,importrange(""https://docs.google.com/spreadsheets/d/1boHyJQ4e2FU0QG8MHwEi6qjX4hvZWVCHcFfXjq7bbMc/edit?resourcekey#gid=9"&amp;"23248883"",""Prop!$BF$1:$BP""),11,0),iferror(vlookup(B14,importrange(""https://docs.google.com/spreadsheets/d/1boHyJQ4e2FU0QG8MHwEi6qjX4hvZWVCHcFfXjq7bbMc/edit?resourcekey#gid=923248883"",""Prop!$BQ$1:$CA""),11,0),iferror(vlookup(B14,importrange(""https:/"&amp;"/docs.google.com/spreadsheets/d/1boHyJQ4e2FU0QG8MHwEi6qjX4hvZWVCHcFfXjq7bbMc/edit?resourcekey#gid=923248883"",""Prop!$CB$1:$CL""),11,0),iferror(vlookup(B14,importrange(""https://docs.google.com/spreadsheets/d/1boHyJQ4e2FU0QG8MHwEi6qjX4hvZWVCHcFfXjq7bbMc/e"&amp;"dit?resourcekey#gid=923248883"",""Prop!$CM$1:$CX""),12,0),iferror(vlookup(B14,importrange(""https://docs.google.com/spreadsheets/d/1boHyJQ4e2FU0QG8MHwEi6qjX4hvZWVCHcFfXjq7bbMc/edit?resourcekey#gid=923248883"",""Prop!$CV$1:$DI""),11,0)))))))))))"),"https://drive.google.com/open?id=1QTBVXupC51zFttjpFpBKTPWU0enE1s5I")</f>
        <v>https://drive.google.com/open?id=1QTBVXupC51zFttjpFpBKTPWU0enE1s5I</v>
      </c>
      <c r="Q14" s="1" t="str">
        <f ca="1">IFERROR(__xludf.DUMMYFUNCTION("iferror(vlookup(B14,importrange(""https://docs.google.com/spreadsheets/d/1p53T2AuvvIqhP7Nf-bo3Uhj8cbKYRPpZdsrBv3x3bAQ/edit?resourcekey#gid=1321652304"",""Prop!$C$1:$M""),11,0),IFERROR(vlookup(B14,importrange(""https://docs.google.com/spreadsheets/d/1p53T2"&amp;"AuvvIqhP7Nf-bo3Uhj8cbKYRPpZdsrBv3x3bAQ/edit?resourcekey#gid=1321652304"",""Prop!$N$1:$X""),11,0),iferror(vlookup(B14,importrange(""https://docs.google.com/spreadsheets/d/1p53T2AuvvIqhP7Nf-bo3Uhj8cbKYRPpZdsrBv3x3bAQ/edit?resourcekey#gid=1321652304"",""Prop"&amp;"!$Y$1:$AI""),11,0),iferror(vlookup(B14,importrange(""https://docs.google.com/spreadsheets/d/1p53T2AuvvIqhP7Nf-bo3Uhj8cbKYRPpZdsrBv3x3bAQ/edit?resourcekey#gid=1321652304"",""Prop!$AJ$1:$AT""),11,0),iferror(vlookup(B14,importrange(""https://docs.google.com/"&amp;"spreadsheets/d/1p53T2AuvvIqhP7Nf-bo3Uhj8cbKYRPpZdsrBv3x3bAQ/edit?resourcekey#gid=1321652304"",""Prop!$AU$1:$BE""),11,0),iferror(vlookup(B14,importrange(""https://docs.google.com/spreadsheets/d/1p53T2AuvvIqhP7Nf-bo3Uhj8cbKYRPpZdsrBv3x3bAQ/edit?resourcekey#"&amp;"gid=1321652304"",""Prop!$BF$1:$BP""),11,0),iferror(vlookup(B14,importrange(""https://docs.google.com/spreadsheets/d/1p53T2AuvvIqhP7Nf-bo3Uhj8cbKYRPpZdsrBv3x3bAQ/edit?resourcekey#gid=1321652304"",""Prop!$BQ$1:$CA""),11,0),iferror(vlookup(B14,importrange("""&amp;"https://docs.google.com/spreadsheets/d/1p53T2AuvvIqhP7Nf-bo3Uhj8cbKYRPpZdsrBv3x3bAQ/edit?resourcekey#gid=1321652304"",""Prop!$CB$1:$CL""),11,0),iferror(vlookup(B14,importrange(""https://docs.google.com/spreadsheets/d/1p53T2AuvvIqhP7Nf-bo3Uhj8cbKYRPpZdsrBv"&amp;"3x3bAQ/edit?resourcekey#gid=1321652304"",""Prop!$CM$1:$CX""),12,0),iferror(vlookup(B14,importrange(""https://docs.google.com/spreadsheets/d/1p53T2AuvvIqhP7Nf-bo3Uhj8cbKYRPpZdsrBv3x3bAQ/edit?resourcekey#gid=1321652304"",""Prop!$CY$1:$DI""),11,0)))))))))))"),"")</f>
        <v/>
      </c>
      <c r="R14" s="20" t="s">
        <v>998</v>
      </c>
      <c r="S14" s="20" t="str">
        <f ca="1">IFERROR(__xludf.DUMMYFUNCTION("IFERROR(vlookup(B14,IMPORTRANGE(""https://docs.google.com/spreadsheets/d/1g_jfYYK_KeipEDNDUgqgrsxK94XiocfNQIcP-v1QVhI/edit?resourcekey#gid=233272945"",""Nilai!B:CT""),37,0),"" "")"),"nilai ini masih ekspektasi dengan asumsi dilakukan perbaikan oleh penulis. Gagasan yang diusulkan masih condong ke alat (seperti PKM KC). Gagasan harus dikembangkan lagi agar menjadi konsep makro yang visioner seperti yang telah diberikan koreksi pada pro"&amp;"posal")</f>
        <v>nilai ini masih ekspektasi dengan asumsi dilakukan perbaikan oleh penulis. Gagasan yang diusulkan masih condong ke alat (seperti PKM KC). Gagasan harus dikembangkan lagi agar menjadi konsep makro yang visioner seperti yang telah diberikan koreksi pada proposal</v>
      </c>
      <c r="T14" s="20" t="str">
        <f ca="1">IFERROR(__xludf.DUMMYFUNCTION("IFERROR(vlookup(B14,IMPORTRANGE(""https://docs.google.com/spreadsheets/d/1g_jfYYK_KeipEDNDUgqgrsxK94XiocfNQIcP-v1QVhI/edit?resourcekey#gid=233272945"",""Nilai!B:CT""),97,0),"" "")"),"LAYAK UPLOAD KE SIMBELMAWA DENGAN REVISI")</f>
        <v>LAYAK UPLOAD KE SIMBELMAWA DENGAN REVISI</v>
      </c>
      <c r="U14" s="37" t="s">
        <v>786</v>
      </c>
      <c r="V14" s="38" t="s">
        <v>999</v>
      </c>
      <c r="W14" s="18" t="s">
        <v>1005</v>
      </c>
      <c r="X14" s="22" t="b">
        <v>0</v>
      </c>
    </row>
    <row r="15" spans="1:24" ht="57.6">
      <c r="A15" s="15">
        <v>13</v>
      </c>
      <c r="B15" s="15">
        <f ca="1">IFERROR(__xludf.DUMMYFUNCTION("""COMPUTED_VALUE"""),4108)</f>
        <v>4108</v>
      </c>
      <c r="C15" s="16" t="str">
        <f ca="1">IFERROR(__xludf.DUMMYFUNCTION("""COMPUTED_VALUE"""),"GUMILANG ALHAFIZ")</f>
        <v>GUMILANG ALHAFIZ</v>
      </c>
      <c r="D15" s="16" t="str">
        <f ca="1">IFERROR(__xludf.DUMMYFUNCTION("""COMPUTED_VALUE"""),"5020201012")</f>
        <v>5020201012</v>
      </c>
      <c r="E15" s="16" t="str">
        <f ca="1">IFERROR(__xludf.DUMMYFUNCTION("""COMPUTED_VALUE"""),"Departemen Teknik Kelautan")</f>
        <v>Departemen Teknik Kelautan</v>
      </c>
      <c r="F15" s="16" t="str">
        <f ca="1">IFERROR(__xludf.DUMMYFUNCTION("""COMPUTED_VALUE"""),"Marine Cleanup System Berbasis Autonomous Vessel dengan Teknologi Underwater Vacuum dan Visual Servoing sebagai Sistem Pembersih Sampah di Laut Jakarta")</f>
        <v>Marine Cleanup System Berbasis Autonomous Vessel dengan Teknologi Underwater Vacuum dan Visual Servoing sebagai Sistem Pembersih Sampah di Laut Jakarta</v>
      </c>
      <c r="G15" s="16" t="str">
        <f ca="1">IFERROR(__xludf.DUMMYFUNCTION("""COMPUTED_VALUE"""),"Wimala Lalitya Dhanistha, S.T., M.T.")</f>
        <v>Wimala Lalitya Dhanistha, S.T., M.T.</v>
      </c>
      <c r="H15" s="16" t="str">
        <f ca="1">IFERROR(__xludf.DUMMYFUNCTION("""COMPUTED_VALUE"""),"Dr.-Ing. Doty Dewi Risanti, S.T., M.T.")</f>
        <v>Dr.-Ing. Doty Dewi Risanti, S.T., M.T.</v>
      </c>
      <c r="I15" s="16" t="str">
        <f ca="1">IFERROR(__xludf.DUMMYFUNCTION("""COMPUTED_VALUE"""),"Muhammad Syifaul Mufid, S.Si.,M.Si")</f>
        <v>Muhammad Syifaul Mufid, S.Si.,M.Si</v>
      </c>
      <c r="J15" s="16"/>
      <c r="K15" s="86" t="s">
        <v>1003</v>
      </c>
      <c r="L15" s="18" t="s">
        <v>1006</v>
      </c>
      <c r="M15" s="19" t="b">
        <v>1</v>
      </c>
      <c r="N15" s="19" t="b">
        <v>1</v>
      </c>
      <c r="O15" s="1" t="s">
        <v>1004</v>
      </c>
      <c r="P15" s="7" t="str">
        <f ca="1">IFERROR(__xludf.DUMMYFUNCTION("iferror(vlookup(B15,importrange(""https://docs.google.com/spreadsheets/d/1boHyJQ4e2FU0QG8MHwEi6qjX4hvZWVCHcFfXjq7bbMc/edit?resourcekey#gid=923248883"",""Prop!$C$1:$M""),12,0),IFERROR(vlookup(B15,importrange(""https://docs.google.com/spreadsheets/d/1boHyJQ"&amp;"4e2FU0QG8MHwEi6qjX4hvZWVCHcFfXjq7bbMc/edit?resourcekey#gid=923248883"",""Prop!$N$1:$X""),11,0),iferror(vlookup(B15,importrange(""https://docs.google.com/spreadsheets/d/1boHyJQ4e2FU0QG8MHwEi6qjX4hvZWVCHcFfXjq7bbMc/edit?resourcekey#gid=923248883"",""Prop!$Y"&amp;"$1:$AI""),11,0),iferror(vlookup(B15,importrange(""https://docs.google.com/spreadsheets/d/1boHyJQ4e2FU0QG8MHwEi6qjX4hvZWVCHcFfXjq7bbMc/edit?resourcekey#gid=923248883"",""Prop!$AJ$1:$AT""),11,0),iferror(vlookup(B15,importrange(""https://docs.google.com/spre"&amp;"adsheets/d/1boHyJQ4e2FU0QG8MHwEi6qjX4hvZWVCHcFfXjq7bbMc/edit?resourcekey#gid=923248883"",""Prop!$AU$1:$BE""),11,0),iferror(vlookup(B15,importrange(""https://docs.google.com/spreadsheets/d/1boHyJQ4e2FU0QG8MHwEi6qjX4hvZWVCHcFfXjq7bbMc/edit?resourcekey#gid=9"&amp;"23248883"",""Prop!$BF$1:$BP""),11,0),iferror(vlookup(B15,importrange(""https://docs.google.com/spreadsheets/d/1boHyJQ4e2FU0QG8MHwEi6qjX4hvZWVCHcFfXjq7bbMc/edit?resourcekey#gid=923248883"",""Prop!$BQ$1:$CA""),11,0),iferror(vlookup(B15,importrange(""https:/"&amp;"/docs.google.com/spreadsheets/d/1boHyJQ4e2FU0QG8MHwEi6qjX4hvZWVCHcFfXjq7bbMc/edit?resourcekey#gid=923248883"",""Prop!$CB$1:$CL""),11,0),iferror(vlookup(B15,importrange(""https://docs.google.com/spreadsheets/d/1boHyJQ4e2FU0QG8MHwEi6qjX4hvZWVCHcFfXjq7bbMc/e"&amp;"dit?resourcekey#gid=923248883"",""Prop!$CM$1:$CX""),12,0),iferror(vlookup(B15,importrange(""https://docs.google.com/spreadsheets/d/1boHyJQ4e2FU0QG8MHwEi6qjX4hvZWVCHcFfXjq7bbMc/edit?resourcekey#gid=923248883"",""Prop!$CV$1:$DI""),11,0)))))))))))"),"https://drive.google.com/open?id=1zlgyo0sPJDWBX1Nwv30AQR_1ChVHwF4i")</f>
        <v>https://drive.google.com/open?id=1zlgyo0sPJDWBX1Nwv30AQR_1ChVHwF4i</v>
      </c>
      <c r="Q15" s="7" t="str">
        <f ca="1">IFERROR(__xludf.DUMMYFUNCTION("iferror(vlookup(B15,importrange(""https://docs.google.com/spreadsheets/d/1p53T2AuvvIqhP7Nf-bo3Uhj8cbKYRPpZdsrBv3x3bAQ/edit?resourcekey#gid=1321652304"",""Prop!$C$1:$M""),11,0),IFERROR(vlookup(B15,importrange(""https://docs.google.com/spreadsheets/d/1p53T2"&amp;"AuvvIqhP7Nf-bo3Uhj8cbKYRPpZdsrBv3x3bAQ/edit?resourcekey#gid=1321652304"",""Prop!$N$1:$X""),11,0),iferror(vlookup(B15,importrange(""https://docs.google.com/spreadsheets/d/1p53T2AuvvIqhP7Nf-bo3Uhj8cbKYRPpZdsrBv3x3bAQ/edit?resourcekey#gid=1321652304"",""Prop"&amp;"!$Y$1:$AI""),11,0),iferror(vlookup(B15,importrange(""https://docs.google.com/spreadsheets/d/1p53T2AuvvIqhP7Nf-bo3Uhj8cbKYRPpZdsrBv3x3bAQ/edit?resourcekey#gid=1321652304"",""Prop!$AJ$1:$AT""),11,0),iferror(vlookup(B15,importrange(""https://docs.google.com/"&amp;"spreadsheets/d/1p53T2AuvvIqhP7Nf-bo3Uhj8cbKYRPpZdsrBv3x3bAQ/edit?resourcekey#gid=1321652304"",""Prop!$AU$1:$BE""),11,0),iferror(vlookup(B15,importrange(""https://docs.google.com/spreadsheets/d/1p53T2AuvvIqhP7Nf-bo3Uhj8cbKYRPpZdsrBv3x3bAQ/edit?resourcekey#"&amp;"gid=1321652304"",""Prop!$BF$1:$BP""),11,0),iferror(vlookup(B15,importrange(""https://docs.google.com/spreadsheets/d/1p53T2AuvvIqhP7Nf-bo3Uhj8cbKYRPpZdsrBv3x3bAQ/edit?resourcekey#gid=1321652304"",""Prop!$BQ$1:$CA""),11,0),iferror(vlookup(B15,importrange("""&amp;"https://docs.google.com/spreadsheets/d/1p53T2AuvvIqhP7Nf-bo3Uhj8cbKYRPpZdsrBv3x3bAQ/edit?resourcekey#gid=1321652304"",""Prop!$CB$1:$CL""),11,0),iferror(vlookup(B15,importrange(""https://docs.google.com/spreadsheets/d/1p53T2AuvvIqhP7Nf-bo3Uhj8cbKYRPpZdsrBv"&amp;"3x3bAQ/edit?resourcekey#gid=1321652304"",""Prop!$CM$1:$CX""),12,0),iferror(vlookup(B15,importrange(""https://docs.google.com/spreadsheets/d/1p53T2AuvvIqhP7Nf-bo3Uhj8cbKYRPpZdsrBv3x3bAQ/edit?resourcekey#gid=1321652304"",""Prop!$CY$1:$DI""),11,0)))))))))))"),"https://drive.google.com/open?id=1HiNv6OZzxHILL8EmgipYSBZkwcrXYTy5")</f>
        <v>https://drive.google.com/open?id=1HiNv6OZzxHILL8EmgipYSBZkwcrXYTy5</v>
      </c>
      <c r="R15" s="20" t="s">
        <v>998</v>
      </c>
      <c r="S15" s="20" t="str">
        <f ca="1">IFERROR(__xludf.DUMMYFUNCTION("IFERROR(vlookup(B15,IMPORTRANGE(""https://docs.google.com/spreadsheets/d/1g_jfYYK_KeipEDNDUgqgrsxK94XiocfNQIcP-v1QVhI/edit?resourcekey#gid=233272945"",""Nilai!B:CT""),37,0),"" "")")," ")</f>
        <v xml:space="preserve"> </v>
      </c>
      <c r="T15" s="20" t="str">
        <f ca="1">IFERROR(__xludf.DUMMYFUNCTION("IFERROR(vlookup(B15,IMPORTRANGE(""https://docs.google.com/spreadsheets/d/1g_jfYYK_KeipEDNDUgqgrsxK94XiocfNQIcP-v1QVhI/edit?resourcekey#gid=233272945"",""Nilai!B:CT""),97,0),"" "")")," ")</f>
        <v xml:space="preserve"> </v>
      </c>
      <c r="U15" s="37" t="s">
        <v>786</v>
      </c>
      <c r="V15" s="38" t="s">
        <v>999</v>
      </c>
      <c r="W15" s="18" t="s">
        <v>1007</v>
      </c>
      <c r="X15" s="22" t="b">
        <v>1</v>
      </c>
    </row>
    <row r="16" spans="1:24" ht="72">
      <c r="A16" s="15">
        <v>14</v>
      </c>
      <c r="B16" s="15">
        <f ca="1">IFERROR(__xludf.DUMMYFUNCTION("""COMPUTED_VALUE"""),3511)</f>
        <v>3511</v>
      </c>
      <c r="C16" s="16" t="str">
        <f ca="1">IFERROR(__xludf.DUMMYFUNCTION("""COMPUTED_VALUE"""),"SAIF ADAM SAUQI")</f>
        <v>SAIF ADAM SAUQI</v>
      </c>
      <c r="D16" s="16" t="str">
        <f ca="1">IFERROR(__xludf.DUMMYFUNCTION("""COMPUTED_VALUE"""),"5020201098")</f>
        <v>5020201098</v>
      </c>
      <c r="E16" s="16" t="str">
        <f ca="1">IFERROR(__xludf.DUMMYFUNCTION("""COMPUTED_VALUE"""),"Departemen Teknik Kelautan")</f>
        <v>Departemen Teknik Kelautan</v>
      </c>
      <c r="F16" s="16" t="str">
        <f ca="1">IFERROR(__xludf.DUMMYFUNCTION("""COMPUTED_VALUE"""),"Outer Island System Defense: Sistem Berbasis Autonomous dalam Upaya Mempertahankan dan Memajukan Ekowisata Pulau Sekatung")</f>
        <v>Outer Island System Defense: Sistem Berbasis Autonomous dalam Upaya Mempertahankan dan Memajukan Ekowisata Pulau Sekatung</v>
      </c>
      <c r="G16" s="16" t="str">
        <f ca="1">IFERROR(__xludf.DUMMYFUNCTION("""COMPUTED_VALUE"""),"Wimala Lalitya Dhanistha, S.T., M.T.")</f>
        <v>Wimala Lalitya Dhanistha, S.T., M.T.</v>
      </c>
      <c r="H16" s="16" t="str">
        <f ca="1">IFERROR(__xludf.DUMMYFUNCTION("""COMPUTED_VALUE"""),"Prof. Ir. Aguk Zuhdi Muhammad Fathallah, M.Eng., Ph.D.")</f>
        <v>Prof. Ir. Aguk Zuhdi Muhammad Fathallah, M.Eng., Ph.D.</v>
      </c>
      <c r="I16" s="16" t="str">
        <f ca="1">IFERROR(__xludf.DUMMYFUNCTION("""COMPUTED_VALUE"""),"Muhammad Syifaul Mufid, S.Si.,M.Si")</f>
        <v>Muhammad Syifaul Mufid, S.Si.,M.Si</v>
      </c>
      <c r="J16" s="16"/>
      <c r="K16" s="86" t="s">
        <v>1003</v>
      </c>
      <c r="L16" s="18" t="s">
        <v>1006</v>
      </c>
      <c r="M16" s="19" t="b">
        <v>1</v>
      </c>
      <c r="N16" s="19" t="b">
        <v>1</v>
      </c>
      <c r="O16" s="1" t="s">
        <v>1004</v>
      </c>
      <c r="P16" s="7" t="str">
        <f ca="1">IFERROR(__xludf.DUMMYFUNCTION("iferror(vlookup(B16,importrange(""https://docs.google.com/spreadsheets/d/1boHyJQ4e2FU0QG8MHwEi6qjX4hvZWVCHcFfXjq7bbMc/edit?resourcekey#gid=923248883"",""Prop!$C$1:$M""),12,0),IFERROR(vlookup(B16,importrange(""https://docs.google.com/spreadsheets/d/1boHyJQ"&amp;"4e2FU0QG8MHwEi6qjX4hvZWVCHcFfXjq7bbMc/edit?resourcekey#gid=923248883"",""Prop!$N$1:$X""),11,0),iferror(vlookup(B16,importrange(""https://docs.google.com/spreadsheets/d/1boHyJQ4e2FU0QG8MHwEi6qjX4hvZWVCHcFfXjq7bbMc/edit?resourcekey#gid=923248883"",""Prop!$Y"&amp;"$1:$AI""),11,0),iferror(vlookup(B16,importrange(""https://docs.google.com/spreadsheets/d/1boHyJQ4e2FU0QG8MHwEi6qjX4hvZWVCHcFfXjq7bbMc/edit?resourcekey#gid=923248883"",""Prop!$AJ$1:$AT""),11,0),iferror(vlookup(B16,importrange(""https://docs.google.com/spre"&amp;"adsheets/d/1boHyJQ4e2FU0QG8MHwEi6qjX4hvZWVCHcFfXjq7bbMc/edit?resourcekey#gid=923248883"",""Prop!$AU$1:$BE""),11,0),iferror(vlookup(B16,importrange(""https://docs.google.com/spreadsheets/d/1boHyJQ4e2FU0QG8MHwEi6qjX4hvZWVCHcFfXjq7bbMc/edit?resourcekey#gid=9"&amp;"23248883"",""Prop!$BF$1:$BP""),11,0),iferror(vlookup(B16,importrange(""https://docs.google.com/spreadsheets/d/1boHyJQ4e2FU0QG8MHwEi6qjX4hvZWVCHcFfXjq7bbMc/edit?resourcekey#gid=923248883"",""Prop!$BQ$1:$CA""),11,0),iferror(vlookup(B16,importrange(""https:/"&amp;"/docs.google.com/spreadsheets/d/1boHyJQ4e2FU0QG8MHwEi6qjX4hvZWVCHcFfXjq7bbMc/edit?resourcekey#gid=923248883"",""Prop!$CB$1:$CL""),11,0),iferror(vlookup(B16,importrange(""https://docs.google.com/spreadsheets/d/1boHyJQ4e2FU0QG8MHwEi6qjX4hvZWVCHcFfXjq7bbMc/e"&amp;"dit?resourcekey#gid=923248883"",""Prop!$CM$1:$CX""),12,0),iferror(vlookup(B16,importrange(""https://docs.google.com/spreadsheets/d/1boHyJQ4e2FU0QG8MHwEi6qjX4hvZWVCHcFfXjq7bbMc/edit?resourcekey#gid=923248883"",""Prop!$CV$1:$DI""),11,0)))))))))))"),"https://drive.google.com/open?id=1aR1hjgoWdV69uv-5sUSp2wZJorDoHXVB")</f>
        <v>https://drive.google.com/open?id=1aR1hjgoWdV69uv-5sUSp2wZJorDoHXVB</v>
      </c>
      <c r="Q16" s="7" t="str">
        <f ca="1">IFERROR(__xludf.DUMMYFUNCTION("iferror(vlookup(B16,importrange(""https://docs.google.com/spreadsheets/d/1p53T2AuvvIqhP7Nf-bo3Uhj8cbKYRPpZdsrBv3x3bAQ/edit?resourcekey#gid=1321652304"",""Prop!$C$1:$M""),11,0),IFERROR(vlookup(B16,importrange(""https://docs.google.com/spreadsheets/d/1p53T2"&amp;"AuvvIqhP7Nf-bo3Uhj8cbKYRPpZdsrBv3x3bAQ/edit?resourcekey#gid=1321652304"",""Prop!$N$1:$X""),11,0),iferror(vlookup(B16,importrange(""https://docs.google.com/spreadsheets/d/1p53T2AuvvIqhP7Nf-bo3Uhj8cbKYRPpZdsrBv3x3bAQ/edit?resourcekey#gid=1321652304"",""Prop"&amp;"!$Y$1:$AI""),11,0),iferror(vlookup(B16,importrange(""https://docs.google.com/spreadsheets/d/1p53T2AuvvIqhP7Nf-bo3Uhj8cbKYRPpZdsrBv3x3bAQ/edit?resourcekey#gid=1321652304"",""Prop!$AJ$1:$AT""),11,0),iferror(vlookup(B16,importrange(""https://docs.google.com/"&amp;"spreadsheets/d/1p53T2AuvvIqhP7Nf-bo3Uhj8cbKYRPpZdsrBv3x3bAQ/edit?resourcekey#gid=1321652304"",""Prop!$AU$1:$BE""),11,0),iferror(vlookup(B16,importrange(""https://docs.google.com/spreadsheets/d/1p53T2AuvvIqhP7Nf-bo3Uhj8cbKYRPpZdsrBv3x3bAQ/edit?resourcekey#"&amp;"gid=1321652304"",""Prop!$BF$1:$BP""),11,0),iferror(vlookup(B16,importrange(""https://docs.google.com/spreadsheets/d/1p53T2AuvvIqhP7Nf-bo3Uhj8cbKYRPpZdsrBv3x3bAQ/edit?resourcekey#gid=1321652304"",""Prop!$BQ$1:$CA""),11,0),iferror(vlookup(B16,importrange("""&amp;"https://docs.google.com/spreadsheets/d/1p53T2AuvvIqhP7Nf-bo3Uhj8cbKYRPpZdsrBv3x3bAQ/edit?resourcekey#gid=1321652304"",""Prop!$CB$1:$CL""),11,0),iferror(vlookup(B16,importrange(""https://docs.google.com/spreadsheets/d/1p53T2AuvvIqhP7Nf-bo3Uhj8cbKYRPpZdsrBv"&amp;"3x3bAQ/edit?resourcekey#gid=1321652304"",""Prop!$CM$1:$CX""),12,0),iferror(vlookup(B16,importrange(""https://docs.google.com/spreadsheets/d/1p53T2AuvvIqhP7Nf-bo3Uhj8cbKYRPpZdsrBv3x3bAQ/edit?resourcekey#gid=1321652304"",""Prop!$CY$1:$DI""),11,0)))))))))))"),"https://drive.google.com/open?id=1K3Og6UlrrDL0ywDIauO3vimX4myl002B")</f>
        <v>https://drive.google.com/open?id=1K3Og6UlrrDL0ywDIauO3vimX4myl002B</v>
      </c>
      <c r="R16" s="20" t="s">
        <v>998</v>
      </c>
      <c r="S16" s="20" t="str">
        <f ca="1">IFERROR(__xludf.DUMMYFUNCTION("IFERROR(vlookup(B16,IMPORTRANGE(""https://docs.google.com/spreadsheets/d/1g_jfYYK_KeipEDNDUgqgrsxK94XiocfNQIcP-v1QVhI/edit?resourcekey#gid=233272945"",""Nilai!B:CT""),37,0),"" "")"),"")</f>
        <v/>
      </c>
      <c r="T16" s="20" t="str">
        <f ca="1">IFERROR(__xludf.DUMMYFUNCTION("IFERROR(vlookup(B16,IMPORTRANGE(""https://docs.google.com/spreadsheets/d/1g_jfYYK_KeipEDNDUgqgrsxK94XiocfNQIcP-v1QVhI/edit?resourcekey#gid=233272945"",""Nilai!B:CT""),97,0),"" "")"),"LAYAK UPLOAD KE SIMBELMAWA DENGAN REVISI")</f>
        <v>LAYAK UPLOAD KE SIMBELMAWA DENGAN REVISI</v>
      </c>
      <c r="U16" s="37" t="s">
        <v>786</v>
      </c>
      <c r="V16" s="38" t="s">
        <v>999</v>
      </c>
      <c r="W16" s="18" t="s">
        <v>1007</v>
      </c>
      <c r="X16" s="22" t="b">
        <v>0</v>
      </c>
    </row>
    <row r="17" spans="1:24" ht="57.6">
      <c r="A17" s="15">
        <v>15</v>
      </c>
      <c r="B17" s="15">
        <f ca="1">IFERROR(__xludf.DUMMYFUNCTION("""COMPUTED_VALUE"""),3398)</f>
        <v>3398</v>
      </c>
      <c r="C17" s="16" t="str">
        <f ca="1">IFERROR(__xludf.DUMMYFUNCTION("""COMPUTED_VALUE"""),"Andreas. P. S")</f>
        <v>Andreas. P. S</v>
      </c>
      <c r="D17" s="16" t="str">
        <f ca="1">IFERROR(__xludf.DUMMYFUNCTION("""COMPUTED_VALUE"""),"5007211084")</f>
        <v>5007211084</v>
      </c>
      <c r="E17" s="16" t="str">
        <f ca="1">IFERROR(__xludf.DUMMYFUNCTION("""COMPUTED_VALUE"""),"Departemen Teknik Mesin")</f>
        <v>Departemen Teknik Mesin</v>
      </c>
      <c r="F17" s="16" t="str">
        <f ca="1">IFERROR(__xludf.DUMMYFUNCTION("""COMPUTED_VALUE"""),"(NEUCURITY) : Sistem Keamanan Kerja Masa Depan pada  Pembangkit Listrik Tenaga Nuklir Terintegrasi Metaverse dan IoT di Indonesia 2049")</f>
        <v>(NEUCURITY) : Sistem Keamanan Kerja Masa Depan pada  Pembangkit Listrik Tenaga Nuklir Terintegrasi Metaverse dan IoT di Indonesia 2049</v>
      </c>
      <c r="G17" s="16" t="str">
        <f ca="1">IFERROR(__xludf.DUMMYFUNCTION("""COMPUTED_VALUE"""),"Mohammad Khoirul Effendi, S.T., M.Sc.Eng., Ph.D.")</f>
        <v>Mohammad Khoirul Effendi, S.T., M.Sc.Eng., Ph.D.</v>
      </c>
      <c r="H17" s="16" t="str">
        <f ca="1">IFERROR(__xludf.DUMMYFUNCTION("""COMPUTED_VALUE"""),"Dyah Sawitri, S.T., M.T.")</f>
        <v>Dyah Sawitri, S.T., M.T.</v>
      </c>
      <c r="I17" s="16" t="str">
        <f ca="1">IFERROR(__xludf.DUMMYFUNCTION("""COMPUTED_VALUE"""),"Rindi Kusumawardani, S.Si., M.Sc.")</f>
        <v>Rindi Kusumawardani, S.Si., M.Sc.</v>
      </c>
      <c r="J17" s="16"/>
      <c r="K17" s="86" t="s">
        <v>1003</v>
      </c>
      <c r="L17" s="18" t="s">
        <v>1006</v>
      </c>
      <c r="M17" s="19" t="b">
        <v>1</v>
      </c>
      <c r="N17" s="19" t="b">
        <v>1</v>
      </c>
      <c r="O17" s="1" t="s">
        <v>1008</v>
      </c>
      <c r="P17" s="7" t="str">
        <f ca="1">IFERROR(__xludf.DUMMYFUNCTION("iferror(vlookup(B17,importrange(""https://docs.google.com/spreadsheets/d/1boHyJQ4e2FU0QG8MHwEi6qjX4hvZWVCHcFfXjq7bbMc/edit?resourcekey#gid=923248883"",""Prop!$C$1:$M""),12,0),IFERROR(vlookup(B17,importrange(""https://docs.google.com/spreadsheets/d/1boHyJQ"&amp;"4e2FU0QG8MHwEi6qjX4hvZWVCHcFfXjq7bbMc/edit?resourcekey#gid=923248883"",""Prop!$N$1:$X""),11,0),iferror(vlookup(B17,importrange(""https://docs.google.com/spreadsheets/d/1boHyJQ4e2FU0QG8MHwEi6qjX4hvZWVCHcFfXjq7bbMc/edit?resourcekey#gid=923248883"",""Prop!$Y"&amp;"$1:$AI""),11,0),iferror(vlookup(B17,importrange(""https://docs.google.com/spreadsheets/d/1boHyJQ4e2FU0QG8MHwEi6qjX4hvZWVCHcFfXjq7bbMc/edit?resourcekey#gid=923248883"",""Prop!$AJ$1:$AT""),11,0),iferror(vlookup(B17,importrange(""https://docs.google.com/spre"&amp;"adsheets/d/1boHyJQ4e2FU0QG8MHwEi6qjX4hvZWVCHcFfXjq7bbMc/edit?resourcekey#gid=923248883"",""Prop!$AU$1:$BE""),11,0),iferror(vlookup(B17,importrange(""https://docs.google.com/spreadsheets/d/1boHyJQ4e2FU0QG8MHwEi6qjX4hvZWVCHcFfXjq7bbMc/edit?resourcekey#gid=9"&amp;"23248883"",""Prop!$BF$1:$BP""),11,0),iferror(vlookup(B17,importrange(""https://docs.google.com/spreadsheets/d/1boHyJQ4e2FU0QG8MHwEi6qjX4hvZWVCHcFfXjq7bbMc/edit?resourcekey#gid=923248883"",""Prop!$BQ$1:$CA""),11,0),iferror(vlookup(B17,importrange(""https:/"&amp;"/docs.google.com/spreadsheets/d/1boHyJQ4e2FU0QG8MHwEi6qjX4hvZWVCHcFfXjq7bbMc/edit?resourcekey#gid=923248883"",""Prop!$CB$1:$CL""),11,0),iferror(vlookup(B17,importrange(""https://docs.google.com/spreadsheets/d/1boHyJQ4e2FU0QG8MHwEi6qjX4hvZWVCHcFfXjq7bbMc/e"&amp;"dit?resourcekey#gid=923248883"",""Prop!$CM$1:$CX""),12,0),iferror(vlookup(B17,importrange(""https://docs.google.com/spreadsheets/d/1boHyJQ4e2FU0QG8MHwEi6qjX4hvZWVCHcFfXjq7bbMc/edit?resourcekey#gid=923248883"",""Prop!$CV$1:$DI""),11,0)))))))))))"),"https://drive.google.com/open?id=1hAHZC3OyLjjVXD4gSvmUwrllPfwD5IM6")</f>
        <v>https://drive.google.com/open?id=1hAHZC3OyLjjVXD4gSvmUwrllPfwD5IM6</v>
      </c>
      <c r="Q17" s="7" t="str">
        <f ca="1">IFERROR(__xludf.DUMMYFUNCTION("iferror(vlookup(B17,importrange(""https://docs.google.com/spreadsheets/d/1p53T2AuvvIqhP7Nf-bo3Uhj8cbKYRPpZdsrBv3x3bAQ/edit?resourcekey#gid=1321652304"",""Prop!$C$1:$M""),11,0),IFERROR(vlookup(B17,importrange(""https://docs.google.com/spreadsheets/d/1p53T2"&amp;"AuvvIqhP7Nf-bo3Uhj8cbKYRPpZdsrBv3x3bAQ/edit?resourcekey#gid=1321652304"",""Prop!$N$1:$X""),11,0),iferror(vlookup(B17,importrange(""https://docs.google.com/spreadsheets/d/1p53T2AuvvIqhP7Nf-bo3Uhj8cbKYRPpZdsrBv3x3bAQ/edit?resourcekey#gid=1321652304"",""Prop"&amp;"!$Y$1:$AI""),11,0),iferror(vlookup(B17,importrange(""https://docs.google.com/spreadsheets/d/1p53T2AuvvIqhP7Nf-bo3Uhj8cbKYRPpZdsrBv3x3bAQ/edit?resourcekey#gid=1321652304"",""Prop!$AJ$1:$AT""),11,0),iferror(vlookup(B17,importrange(""https://docs.google.com/"&amp;"spreadsheets/d/1p53T2AuvvIqhP7Nf-bo3Uhj8cbKYRPpZdsrBv3x3bAQ/edit?resourcekey#gid=1321652304"",""Prop!$AU$1:$BE""),11,0),iferror(vlookup(B17,importrange(""https://docs.google.com/spreadsheets/d/1p53T2AuvvIqhP7Nf-bo3Uhj8cbKYRPpZdsrBv3x3bAQ/edit?resourcekey#"&amp;"gid=1321652304"",""Prop!$BF$1:$BP""),11,0),iferror(vlookup(B17,importrange(""https://docs.google.com/spreadsheets/d/1p53T2AuvvIqhP7Nf-bo3Uhj8cbKYRPpZdsrBv3x3bAQ/edit?resourcekey#gid=1321652304"",""Prop!$BQ$1:$CA""),11,0),iferror(vlookup(B17,importrange("""&amp;"https://docs.google.com/spreadsheets/d/1p53T2AuvvIqhP7Nf-bo3Uhj8cbKYRPpZdsrBv3x3bAQ/edit?resourcekey#gid=1321652304"",""Prop!$CB$1:$CL""),11,0),iferror(vlookup(B17,importrange(""https://docs.google.com/spreadsheets/d/1p53T2AuvvIqhP7Nf-bo3Uhj8cbKYRPpZdsrBv"&amp;"3x3bAQ/edit?resourcekey#gid=1321652304"",""Prop!$CM$1:$CX""),12,0),iferror(vlookup(B17,importrange(""https://docs.google.com/spreadsheets/d/1p53T2AuvvIqhP7Nf-bo3Uhj8cbKYRPpZdsrBv3x3bAQ/edit?resourcekey#gid=1321652304"",""Prop!$CY$1:$DI""),11,0)))))))))))"),"https://drive.google.com/open?id=13B59uVms02njZbcnkZdHmF6944UFvoh-")</f>
        <v>https://drive.google.com/open?id=13B59uVms02njZbcnkZdHmF6944UFvoh-</v>
      </c>
      <c r="R17" s="20" t="s">
        <v>998</v>
      </c>
      <c r="S17" s="20" t="str">
        <f ca="1">IFERROR(__xludf.DUMMYFUNCTION("IFERROR(vlookup(B17,IMPORTRANGE(""https://docs.google.com/spreadsheets/d/1g_jfYYK_KeipEDNDUgqgrsxK94XiocfNQIcP-v1QVhI/edit?resourcekey#gid=233272945"",""Nilai!B:CT""),37,0),"" "")")," ")</f>
        <v xml:space="preserve"> </v>
      </c>
      <c r="T17" s="20" t="str">
        <f ca="1">IFERROR(__xludf.DUMMYFUNCTION("IFERROR(vlookup(B17,IMPORTRANGE(""https://docs.google.com/spreadsheets/d/1g_jfYYK_KeipEDNDUgqgrsxK94XiocfNQIcP-v1QVhI/edit?resourcekey#gid=233272945"",""Nilai!B:CT""),97,0),"" "")")," ")</f>
        <v xml:space="preserve"> </v>
      </c>
      <c r="U17" s="37" t="s">
        <v>786</v>
      </c>
      <c r="V17" s="38" t="s">
        <v>999</v>
      </c>
      <c r="W17" s="18" t="s">
        <v>1007</v>
      </c>
      <c r="X17" s="22" t="b">
        <v>1</v>
      </c>
    </row>
    <row r="18" spans="1:24" ht="69">
      <c r="A18" s="15">
        <v>16</v>
      </c>
      <c r="B18" s="15">
        <f ca="1">IFERROR(__xludf.DUMMYFUNCTION("""COMPUTED_VALUE"""),2049)</f>
        <v>2049</v>
      </c>
      <c r="C18" s="16" t="str">
        <f ca="1">IFERROR(__xludf.DUMMYFUNCTION("""COMPUTED_VALUE"""),"AHMAD SYAKIR")</f>
        <v>AHMAD SYAKIR</v>
      </c>
      <c r="D18" s="16" t="str">
        <f ca="1">IFERROR(__xludf.DUMMYFUNCTION("""COMPUTED_VALUE"""),"5022201183")</f>
        <v>5022201183</v>
      </c>
      <c r="E18" s="16" t="str">
        <f ca="1">IFERROR(__xludf.DUMMYFUNCTION("""COMPUTED_VALUE"""),"Departemen Teknik Elektro")</f>
        <v>Departemen Teknik Elektro</v>
      </c>
      <c r="F18" s="16" t="str">
        <f ca="1">IFERROR(__xludf.DUMMYFUNCTION("""COMPUTED_VALUE"""),"Sistem Interkoneksi Indonesia Berbasis High Voltage Direct Current Transmission untuk Peningkatan Keandalan Sistem Tenaga Listrik dan Percepatan Energi Baru Terbarukan")</f>
        <v>Sistem Interkoneksi Indonesia Berbasis High Voltage Direct Current Transmission untuk Peningkatan Keandalan Sistem Tenaga Listrik dan Percepatan Energi Baru Terbarukan</v>
      </c>
      <c r="G18" s="16" t="str">
        <f ca="1">IFERROR(__xludf.DUMMYFUNCTION("""COMPUTED_VALUE"""),"Dr.Ir. Ni Ketut Aryani, M.T.")</f>
        <v>Dr.Ir. Ni Ketut Aryani, M.T.</v>
      </c>
      <c r="H18" s="16" t="str">
        <f ca="1">IFERROR(__xludf.DUMMYFUNCTION("""COMPUTED_VALUE"""),"Putu Gde Ariastita, S.T., M.T.")</f>
        <v>Putu Gde Ariastita, S.T., M.T.</v>
      </c>
      <c r="I18" s="16" t="str">
        <f ca="1">IFERROR(__xludf.DUMMYFUNCTION("""COMPUTED_VALUE"""),"Dr.Eng. Yuda Apri Hermawan, S.T., M.T.")</f>
        <v>Dr.Eng. Yuda Apri Hermawan, S.T., M.T.</v>
      </c>
      <c r="J18" s="16"/>
      <c r="K18" s="86" t="s">
        <v>1003</v>
      </c>
      <c r="L18" s="18" t="s">
        <v>1006</v>
      </c>
      <c r="M18" s="19" t="b">
        <v>1</v>
      </c>
      <c r="N18" s="19" t="b">
        <v>1</v>
      </c>
      <c r="O18" s="1" t="s">
        <v>1008</v>
      </c>
      <c r="P18" s="7" t="str">
        <f ca="1">IFERROR(__xludf.DUMMYFUNCTION("iferror(vlookup(B18,importrange(""https://docs.google.com/spreadsheets/d/1boHyJQ4e2FU0QG8MHwEi6qjX4hvZWVCHcFfXjq7bbMc/edit?resourcekey#gid=923248883"",""Prop!$C$1:$M""),12,0),IFERROR(vlookup(B18,importrange(""https://docs.google.com/spreadsheets/d/1boHyJQ"&amp;"4e2FU0QG8MHwEi6qjX4hvZWVCHcFfXjq7bbMc/edit?resourcekey#gid=923248883"",""Prop!$N$1:$X""),11,0),iferror(vlookup(B18,importrange(""https://docs.google.com/spreadsheets/d/1boHyJQ4e2FU0QG8MHwEi6qjX4hvZWVCHcFfXjq7bbMc/edit?resourcekey#gid=923248883"",""Prop!$Y"&amp;"$1:$AI""),11,0),iferror(vlookup(B18,importrange(""https://docs.google.com/spreadsheets/d/1boHyJQ4e2FU0QG8MHwEi6qjX4hvZWVCHcFfXjq7bbMc/edit?resourcekey#gid=923248883"",""Prop!$AJ$1:$AT""),11,0),iferror(vlookup(B18,importrange(""https://docs.google.com/spre"&amp;"adsheets/d/1boHyJQ4e2FU0QG8MHwEi6qjX4hvZWVCHcFfXjq7bbMc/edit?resourcekey#gid=923248883"",""Prop!$AU$1:$BE""),11,0),iferror(vlookup(B18,importrange(""https://docs.google.com/spreadsheets/d/1boHyJQ4e2FU0QG8MHwEi6qjX4hvZWVCHcFfXjq7bbMc/edit?resourcekey#gid=9"&amp;"23248883"",""Prop!$BF$1:$BP""),11,0),iferror(vlookup(B18,importrange(""https://docs.google.com/spreadsheets/d/1boHyJQ4e2FU0QG8MHwEi6qjX4hvZWVCHcFfXjq7bbMc/edit?resourcekey#gid=923248883"",""Prop!$BQ$1:$CA""),11,0),iferror(vlookup(B18,importrange(""https:/"&amp;"/docs.google.com/spreadsheets/d/1boHyJQ4e2FU0QG8MHwEi6qjX4hvZWVCHcFfXjq7bbMc/edit?resourcekey#gid=923248883"",""Prop!$CB$1:$CL""),11,0),iferror(vlookup(B18,importrange(""https://docs.google.com/spreadsheets/d/1boHyJQ4e2FU0QG8MHwEi6qjX4hvZWVCHcFfXjq7bbMc/e"&amp;"dit?resourcekey#gid=923248883"",""Prop!$CM$1:$CX""),12,0),iferror(vlookup(B18,importrange(""https://docs.google.com/spreadsheets/d/1boHyJQ4e2FU0QG8MHwEi6qjX4hvZWVCHcFfXjq7bbMc/edit?resourcekey#gid=923248883"",""Prop!$CV$1:$DI""),11,0)))))))))))"),"https://drive.google.com/open?id=12oeijrkMeYqg8VwBb6gWW1iOO6u2DvH4")</f>
        <v>https://drive.google.com/open?id=12oeijrkMeYqg8VwBb6gWW1iOO6u2DvH4</v>
      </c>
      <c r="Q18" s="7" t="str">
        <f ca="1">IFERROR(__xludf.DUMMYFUNCTION("iferror(vlookup(B18,importrange(""https://docs.google.com/spreadsheets/d/1p53T2AuvvIqhP7Nf-bo3Uhj8cbKYRPpZdsrBv3x3bAQ/edit?resourcekey#gid=1321652304"",""Prop!$C$1:$M""),11,0),IFERROR(vlookup(B18,importrange(""https://docs.google.com/spreadsheets/d/1p53T2"&amp;"AuvvIqhP7Nf-bo3Uhj8cbKYRPpZdsrBv3x3bAQ/edit?resourcekey#gid=1321652304"",""Prop!$N$1:$X""),11,0),iferror(vlookup(B18,importrange(""https://docs.google.com/spreadsheets/d/1p53T2AuvvIqhP7Nf-bo3Uhj8cbKYRPpZdsrBv3x3bAQ/edit?resourcekey#gid=1321652304"",""Prop"&amp;"!$Y$1:$AI""),11,0),iferror(vlookup(B18,importrange(""https://docs.google.com/spreadsheets/d/1p53T2AuvvIqhP7Nf-bo3Uhj8cbKYRPpZdsrBv3x3bAQ/edit?resourcekey#gid=1321652304"",""Prop!$AJ$1:$AT""),11,0),iferror(vlookup(B18,importrange(""https://docs.google.com/"&amp;"spreadsheets/d/1p53T2AuvvIqhP7Nf-bo3Uhj8cbKYRPpZdsrBv3x3bAQ/edit?resourcekey#gid=1321652304"",""Prop!$AU$1:$BE""),11,0),iferror(vlookup(B18,importrange(""https://docs.google.com/spreadsheets/d/1p53T2AuvvIqhP7Nf-bo3Uhj8cbKYRPpZdsrBv3x3bAQ/edit?resourcekey#"&amp;"gid=1321652304"",""Prop!$BF$1:$BP""),11,0),iferror(vlookup(B18,importrange(""https://docs.google.com/spreadsheets/d/1p53T2AuvvIqhP7Nf-bo3Uhj8cbKYRPpZdsrBv3x3bAQ/edit?resourcekey#gid=1321652304"",""Prop!$BQ$1:$CA""),11,0),iferror(vlookup(B18,importrange("""&amp;"https://docs.google.com/spreadsheets/d/1p53T2AuvvIqhP7Nf-bo3Uhj8cbKYRPpZdsrBv3x3bAQ/edit?resourcekey#gid=1321652304"",""Prop!$CB$1:$CL""),11,0),iferror(vlookup(B18,importrange(""https://docs.google.com/spreadsheets/d/1p53T2AuvvIqhP7Nf-bo3Uhj8cbKYRPpZdsrBv"&amp;"3x3bAQ/edit?resourcekey#gid=1321652304"",""Prop!$CM$1:$CX""),12,0),iferror(vlookup(B18,importrange(""https://docs.google.com/spreadsheets/d/1p53T2AuvvIqhP7Nf-bo3Uhj8cbKYRPpZdsrBv3x3bAQ/edit?resourcekey#gid=1321652304"",""Prop!$CY$1:$DI""),11,0)))))))))))"),"https://drive.google.com/open?id=13YJ-qExIphl_ZIsa8biQv021U0Mcyg2k")</f>
        <v>https://drive.google.com/open?id=13YJ-qExIphl_ZIsa8biQv021U0Mcyg2k</v>
      </c>
      <c r="R18" s="20" t="s">
        <v>998</v>
      </c>
      <c r="S18" s="20" t="str">
        <f ca="1">IFERROR(__xludf.DUMMYFUNCTION("IFERROR(vlookup(B18,IMPORTRANGE(""https://docs.google.com/spreadsheets/d/1g_jfYYK_KeipEDNDUgqgrsxK94XiocfNQIcP-v1QVhI/edit?resourcekey#gid=233272945"",""Nilai!B:CT""),37,0),"" "")"),"1. cek lagi judul agar terlihat lebih visioner
2. gagasan digambarkan secara infografis dan gambarkan dg infografis")</f>
        <v>1. cek lagi judul agar terlihat lebih visioner
2. gagasan digambarkan secara infografis dan gambarkan dg infografis</v>
      </c>
      <c r="T18" s="20" t="str">
        <f ca="1">IFERROR(__xludf.DUMMYFUNCTION("IFERROR(vlookup(B18,IMPORTRANGE(""https://docs.google.com/spreadsheets/d/1g_jfYYK_KeipEDNDUgqgrsxK94XiocfNQIcP-v1QVhI/edit?resourcekey#gid=233272945"",""Nilai!B:CT""),97,0),"" "")"),"LAYAK UPLOAD KE SIMBELMAWA DENGAN REVISI")</f>
        <v>LAYAK UPLOAD KE SIMBELMAWA DENGAN REVISI</v>
      </c>
      <c r="U18" s="37" t="s">
        <v>786</v>
      </c>
      <c r="V18" s="38" t="s">
        <v>999</v>
      </c>
      <c r="W18" s="18" t="s">
        <v>1007</v>
      </c>
      <c r="X18" s="22" t="b">
        <v>0</v>
      </c>
    </row>
    <row r="19" spans="1:24" ht="69">
      <c r="A19" s="15">
        <v>17</v>
      </c>
      <c r="B19" s="15">
        <f ca="1">IFERROR(__xludf.DUMMYFUNCTION("""COMPUTED_VALUE"""),2041)</f>
        <v>2041</v>
      </c>
      <c r="C19" s="16" t="str">
        <f ca="1">IFERROR(__xludf.DUMMYFUNCTION("""COMPUTED_VALUE"""),"MUGNI AHMAD HIKAM")</f>
        <v>MUGNI AHMAD HIKAM</v>
      </c>
      <c r="D19" s="16" t="str">
        <f ca="1">IFERROR(__xludf.DUMMYFUNCTION("""COMPUTED_VALUE"""),"5022201036")</f>
        <v>5022201036</v>
      </c>
      <c r="E19" s="16" t="str">
        <f ca="1">IFERROR(__xludf.DUMMYFUNCTION("""COMPUTED_VALUE"""),"Departemen Teknik Elektro")</f>
        <v>Departemen Teknik Elektro</v>
      </c>
      <c r="F19" s="16" t="str">
        <f ca="1">IFERROR(__xludf.DUMMYFUNCTION("""COMPUTED_VALUE"""),"Meta Power Plant sebagai Langkah Transformasi Energi dalam Menjawab Tantangan 3D (Dekarbonisasi, Desentralisasi, dan Digitalisasi) di Indonesia")</f>
        <v>Meta Power Plant sebagai Langkah Transformasi Energi dalam Menjawab Tantangan 3D (Dekarbonisasi, Desentralisasi, dan Digitalisasi) di Indonesia</v>
      </c>
      <c r="G19" s="16" t="str">
        <f ca="1">IFERROR(__xludf.DUMMYFUNCTION("""COMPUTED_VALUE"""),"Dr. Dimas Fajar Uman Putra, S.T., M.T.")</f>
        <v>Dr. Dimas Fajar Uman Putra, S.T., M.T.</v>
      </c>
      <c r="H19" s="16" t="str">
        <f ca="1">IFERROR(__xludf.DUMMYFUNCTION("""COMPUTED_VALUE"""),"Putu Gde Ariastita, S.T., M.T.")</f>
        <v>Putu Gde Ariastita, S.T., M.T.</v>
      </c>
      <c r="I19" s="16" t="str">
        <f ca="1">IFERROR(__xludf.DUMMYFUNCTION("""COMPUTED_VALUE"""),"Dr.Eng. Yuda Apri Hermawan, S.T., M.T.")</f>
        <v>Dr.Eng. Yuda Apri Hermawan, S.T., M.T.</v>
      </c>
      <c r="J19" s="16"/>
      <c r="K19" s="86" t="s">
        <v>1003</v>
      </c>
      <c r="L19" s="18" t="s">
        <v>1009</v>
      </c>
      <c r="M19" s="19" t="b">
        <v>1</v>
      </c>
      <c r="N19" s="19" t="b">
        <v>1</v>
      </c>
      <c r="O19" s="1" t="s">
        <v>1008</v>
      </c>
      <c r="P19" s="7" t="str">
        <f ca="1">IFERROR(__xludf.DUMMYFUNCTION("iferror(vlookup(B19,importrange(""https://docs.google.com/spreadsheets/d/1boHyJQ4e2FU0QG8MHwEi6qjX4hvZWVCHcFfXjq7bbMc/edit?resourcekey#gid=923248883"",""Prop!$C$1:$M""),12,0),IFERROR(vlookup(B19,importrange(""https://docs.google.com/spreadsheets/d/1boHyJQ"&amp;"4e2FU0QG8MHwEi6qjX4hvZWVCHcFfXjq7bbMc/edit?resourcekey#gid=923248883"",""Prop!$N$1:$X""),11,0),iferror(vlookup(B19,importrange(""https://docs.google.com/spreadsheets/d/1boHyJQ4e2FU0QG8MHwEi6qjX4hvZWVCHcFfXjq7bbMc/edit?resourcekey#gid=923248883"",""Prop!$Y"&amp;"$1:$AI""),11,0),iferror(vlookup(B19,importrange(""https://docs.google.com/spreadsheets/d/1boHyJQ4e2FU0QG8MHwEi6qjX4hvZWVCHcFfXjq7bbMc/edit?resourcekey#gid=923248883"",""Prop!$AJ$1:$AT""),11,0),iferror(vlookup(B19,importrange(""https://docs.google.com/spre"&amp;"adsheets/d/1boHyJQ4e2FU0QG8MHwEi6qjX4hvZWVCHcFfXjq7bbMc/edit?resourcekey#gid=923248883"",""Prop!$AU$1:$BE""),11,0),iferror(vlookup(B19,importrange(""https://docs.google.com/spreadsheets/d/1boHyJQ4e2FU0QG8MHwEi6qjX4hvZWVCHcFfXjq7bbMc/edit?resourcekey#gid=9"&amp;"23248883"",""Prop!$BF$1:$BP""),11,0),iferror(vlookup(B19,importrange(""https://docs.google.com/spreadsheets/d/1boHyJQ4e2FU0QG8MHwEi6qjX4hvZWVCHcFfXjq7bbMc/edit?resourcekey#gid=923248883"",""Prop!$BQ$1:$CA""),11,0),iferror(vlookup(B19,importrange(""https:/"&amp;"/docs.google.com/spreadsheets/d/1boHyJQ4e2FU0QG8MHwEi6qjX4hvZWVCHcFfXjq7bbMc/edit?resourcekey#gid=923248883"",""Prop!$CB$1:$CL""),11,0),iferror(vlookup(B19,importrange(""https://docs.google.com/spreadsheets/d/1boHyJQ4e2FU0QG8MHwEi6qjX4hvZWVCHcFfXjq7bbMc/e"&amp;"dit?resourcekey#gid=923248883"",""Prop!$CM$1:$CX""),12,0),iferror(vlookup(B19,importrange(""https://docs.google.com/spreadsheets/d/1boHyJQ4e2FU0QG8MHwEi6qjX4hvZWVCHcFfXjq7bbMc/edit?resourcekey#gid=923248883"",""Prop!$CV$1:$DI""),11,0)))))))))))"),"https://drive.google.com/open?id=1k5IyIf2PZWfzn2BEVu2yz2zoqhhtjzr5")</f>
        <v>https://drive.google.com/open?id=1k5IyIf2PZWfzn2BEVu2yz2zoqhhtjzr5</v>
      </c>
      <c r="Q19" s="7" t="str">
        <f ca="1">IFERROR(__xludf.DUMMYFUNCTION("iferror(vlookup(B19,importrange(""https://docs.google.com/spreadsheets/d/1p53T2AuvvIqhP7Nf-bo3Uhj8cbKYRPpZdsrBv3x3bAQ/edit?resourcekey#gid=1321652304"",""Prop!$C$1:$M""),11,0),IFERROR(vlookup(B19,importrange(""https://docs.google.com/spreadsheets/d/1p53T2"&amp;"AuvvIqhP7Nf-bo3Uhj8cbKYRPpZdsrBv3x3bAQ/edit?resourcekey#gid=1321652304"",""Prop!$N$1:$X""),11,0),iferror(vlookup(B19,importrange(""https://docs.google.com/spreadsheets/d/1p53T2AuvvIqhP7Nf-bo3Uhj8cbKYRPpZdsrBv3x3bAQ/edit?resourcekey#gid=1321652304"",""Prop"&amp;"!$Y$1:$AI""),11,0),iferror(vlookup(B19,importrange(""https://docs.google.com/spreadsheets/d/1p53T2AuvvIqhP7Nf-bo3Uhj8cbKYRPpZdsrBv3x3bAQ/edit?resourcekey#gid=1321652304"",""Prop!$AJ$1:$AT""),11,0),iferror(vlookup(B19,importrange(""https://docs.google.com/"&amp;"spreadsheets/d/1p53T2AuvvIqhP7Nf-bo3Uhj8cbKYRPpZdsrBv3x3bAQ/edit?resourcekey#gid=1321652304"",""Prop!$AU$1:$BE""),11,0),iferror(vlookup(B19,importrange(""https://docs.google.com/spreadsheets/d/1p53T2AuvvIqhP7Nf-bo3Uhj8cbKYRPpZdsrBv3x3bAQ/edit?resourcekey#"&amp;"gid=1321652304"",""Prop!$BF$1:$BP""),11,0),iferror(vlookup(B19,importrange(""https://docs.google.com/spreadsheets/d/1p53T2AuvvIqhP7Nf-bo3Uhj8cbKYRPpZdsrBv3x3bAQ/edit?resourcekey#gid=1321652304"",""Prop!$BQ$1:$CA""),11,0),iferror(vlookup(B19,importrange("""&amp;"https://docs.google.com/spreadsheets/d/1p53T2AuvvIqhP7Nf-bo3Uhj8cbKYRPpZdsrBv3x3bAQ/edit?resourcekey#gid=1321652304"",""Prop!$CB$1:$CL""),11,0),iferror(vlookup(B19,importrange(""https://docs.google.com/spreadsheets/d/1p53T2AuvvIqhP7Nf-bo3Uhj8cbKYRPpZdsrBv"&amp;"3x3bAQ/edit?resourcekey#gid=1321652304"",""Prop!$CM$1:$CX""),12,0),iferror(vlookup(B19,importrange(""https://docs.google.com/spreadsheets/d/1p53T2AuvvIqhP7Nf-bo3Uhj8cbKYRPpZdsrBv3x3bAQ/edit?resourcekey#gid=1321652304"",""Prop!$CY$1:$DI""),11,0)))))))))))"),"https://drive.google.com/open?id=1Gam3lxrYnLOzrr5o5cPwMxlLQjEnMxh8")</f>
        <v>https://drive.google.com/open?id=1Gam3lxrYnLOzrr5o5cPwMxlLQjEnMxh8</v>
      </c>
      <c r="R19" s="20" t="s">
        <v>998</v>
      </c>
      <c r="S19" s="20" t="str">
        <f ca="1">IFERROR(__xludf.DUMMYFUNCTION("IFERROR(vlookup(B19,IMPORTRANGE(""https://docs.google.com/spreadsheets/d/1g_jfYYK_KeipEDNDUgqgrsxK94XiocfNQIcP-v1QVhI/edit?resourcekey#gid=233272945"",""Nilai!B:CT""),37,0),"" "")"),"1. gagasan ini kalau hanya sebuat aplikasi, kurang tepat untuk PKM GFT
2. gagasan kurang dijelaskan secara komprehensif dan detail
3. perjelas keterbaruan ide ini di bab 1")</f>
        <v>1. gagasan ini kalau hanya sebuat aplikasi, kurang tepat untuk PKM GFT
2. gagasan kurang dijelaskan secara komprehensif dan detail
3. perjelas keterbaruan ide ini di bab 1</v>
      </c>
      <c r="T19" s="20" t="str">
        <f ca="1">IFERROR(__xludf.DUMMYFUNCTION("IFERROR(vlookup(B19,IMPORTRANGE(""https://docs.google.com/spreadsheets/d/1g_jfYYK_KeipEDNDUgqgrsxK94XiocfNQIcP-v1QVhI/edit?resourcekey#gid=233272945"",""Nilai!B:CT""),97,0),"" "")"),"LAYAK UPLOAD KE SIMBELMAWA DENGAN REVISI")</f>
        <v>LAYAK UPLOAD KE SIMBELMAWA DENGAN REVISI</v>
      </c>
      <c r="U19" s="37" t="s">
        <v>786</v>
      </c>
      <c r="V19" s="38" t="s">
        <v>999</v>
      </c>
      <c r="W19" s="18" t="s">
        <v>1010</v>
      </c>
      <c r="X19" s="22" t="b">
        <v>1</v>
      </c>
    </row>
    <row r="20" spans="1:24" ht="69">
      <c r="A20" s="15">
        <v>18</v>
      </c>
      <c r="B20" s="15">
        <f ca="1">IFERROR(__xludf.DUMMYFUNCTION("""COMPUTED_VALUE"""),3868)</f>
        <v>3868</v>
      </c>
      <c r="C20" s="16" t="str">
        <f ca="1">IFERROR(__xludf.DUMMYFUNCTION("""COMPUTED_VALUE"""),"NAUFAL LUTHFAN T.")</f>
        <v>NAUFAL LUTHFAN T.</v>
      </c>
      <c r="D20" s="16" t="str">
        <f ca="1">IFERROR(__xludf.DUMMYFUNCTION("""COMPUTED_VALUE"""),"5003211012")</f>
        <v>5003211012</v>
      </c>
      <c r="E20" s="16" t="str">
        <f ca="1">IFERROR(__xludf.DUMMYFUNCTION("""COMPUTED_VALUE"""),"Departemen Statistika")</f>
        <v>Departemen Statistika</v>
      </c>
      <c r="F20" s="16" t="str">
        <f ca="1">IFERROR(__xludf.DUMMYFUNCTION("""COMPUTED_VALUE"""),"Bangka Nuclear Island: Konsep Pulau Masa Depan sebagai Sentra Suplai Energi Listrik Bebas Emisi Sumatera")</f>
        <v>Bangka Nuclear Island: Konsep Pulau Masa Depan sebagai Sentra Suplai Energi Listrik Bebas Emisi Sumatera</v>
      </c>
      <c r="G20" s="16" t="str">
        <f ca="1">IFERROR(__xludf.DUMMYFUNCTION("""COMPUTED_VALUE"""),"Dr. Vita Ratnasari, S.Si., M.Si.")</f>
        <v>Dr. Vita Ratnasari, S.Si., M.Si.</v>
      </c>
      <c r="H20" s="16" t="str">
        <f ca="1">IFERROR(__xludf.DUMMYFUNCTION("""COMPUTED_VALUE"""),"Dyah Sawitri, S.T., M.T.")</f>
        <v>Dyah Sawitri, S.T., M.T.</v>
      </c>
      <c r="I20" s="16" t="str">
        <f ca="1">IFERROR(__xludf.DUMMYFUNCTION("""COMPUTED_VALUE"""),"Wimala Lalitya Dhanistha, S.T., M.T.")</f>
        <v>Wimala Lalitya Dhanistha, S.T., M.T.</v>
      </c>
      <c r="J20" s="16"/>
      <c r="K20" s="86" t="s">
        <v>1003</v>
      </c>
      <c r="L20" s="18" t="s">
        <v>1009</v>
      </c>
      <c r="M20" s="19" t="b">
        <v>1</v>
      </c>
      <c r="N20" s="19" t="b">
        <v>1</v>
      </c>
      <c r="O20" s="1" t="s">
        <v>1008</v>
      </c>
      <c r="P20" s="7" t="str">
        <f ca="1">IFERROR(__xludf.DUMMYFUNCTION("iferror(vlookup(B20,importrange(""https://docs.google.com/spreadsheets/d/1boHyJQ4e2FU0QG8MHwEi6qjX4hvZWVCHcFfXjq7bbMc/edit?resourcekey#gid=923248883"",""Prop!$C$1:$M""),12,0),IFERROR(vlookup(B20,importrange(""https://docs.google.com/spreadsheets/d/1boHyJQ"&amp;"4e2FU0QG8MHwEi6qjX4hvZWVCHcFfXjq7bbMc/edit?resourcekey#gid=923248883"",""Prop!$N$1:$X""),11,0),iferror(vlookup(B20,importrange(""https://docs.google.com/spreadsheets/d/1boHyJQ4e2FU0QG8MHwEi6qjX4hvZWVCHcFfXjq7bbMc/edit?resourcekey#gid=923248883"",""Prop!$Y"&amp;"$1:$AI""),11,0),iferror(vlookup(B20,importrange(""https://docs.google.com/spreadsheets/d/1boHyJQ4e2FU0QG8MHwEi6qjX4hvZWVCHcFfXjq7bbMc/edit?resourcekey#gid=923248883"",""Prop!$AJ$1:$AT""),11,0),iferror(vlookup(B20,importrange(""https://docs.google.com/spre"&amp;"adsheets/d/1boHyJQ4e2FU0QG8MHwEi6qjX4hvZWVCHcFfXjq7bbMc/edit?resourcekey#gid=923248883"",""Prop!$AU$1:$BE""),11,0),iferror(vlookup(B20,importrange(""https://docs.google.com/spreadsheets/d/1boHyJQ4e2FU0QG8MHwEi6qjX4hvZWVCHcFfXjq7bbMc/edit?resourcekey#gid=9"&amp;"23248883"",""Prop!$BF$1:$BP""),11,0),iferror(vlookup(B20,importrange(""https://docs.google.com/spreadsheets/d/1boHyJQ4e2FU0QG8MHwEi6qjX4hvZWVCHcFfXjq7bbMc/edit?resourcekey#gid=923248883"",""Prop!$BQ$1:$CA""),11,0),iferror(vlookup(B20,importrange(""https:/"&amp;"/docs.google.com/spreadsheets/d/1boHyJQ4e2FU0QG8MHwEi6qjX4hvZWVCHcFfXjq7bbMc/edit?resourcekey#gid=923248883"",""Prop!$CB$1:$CL""),11,0),iferror(vlookup(B20,importrange(""https://docs.google.com/spreadsheets/d/1boHyJQ4e2FU0QG8MHwEi6qjX4hvZWVCHcFfXjq7bbMc/e"&amp;"dit?resourcekey#gid=923248883"",""Prop!$CM$1:$CX""),12,0),iferror(vlookup(B20,importrange(""https://docs.google.com/spreadsheets/d/1boHyJQ4e2FU0QG8MHwEi6qjX4hvZWVCHcFfXjq7bbMc/edit?resourcekey#gid=923248883"",""Prop!$CV$1:$DI""),11,0)))))))))))"),"https://drive.google.com/open?id=15jKqASNLE05yKtL-rBtzi8HvkyUVFxdb")</f>
        <v>https://drive.google.com/open?id=15jKqASNLE05yKtL-rBtzi8HvkyUVFxdb</v>
      </c>
      <c r="Q20" s="7" t="str">
        <f ca="1">IFERROR(__xludf.DUMMYFUNCTION("iferror(vlookup(B20,importrange(""https://docs.google.com/spreadsheets/d/1p53T2AuvvIqhP7Nf-bo3Uhj8cbKYRPpZdsrBv3x3bAQ/edit?resourcekey#gid=1321652304"",""Prop!$C$1:$M""),11,0),IFERROR(vlookup(B20,importrange(""https://docs.google.com/spreadsheets/d/1p53T2"&amp;"AuvvIqhP7Nf-bo3Uhj8cbKYRPpZdsrBv3x3bAQ/edit?resourcekey#gid=1321652304"",""Prop!$N$1:$X""),11,0),iferror(vlookup(B20,importrange(""https://docs.google.com/spreadsheets/d/1p53T2AuvvIqhP7Nf-bo3Uhj8cbKYRPpZdsrBv3x3bAQ/edit?resourcekey#gid=1321652304"",""Prop"&amp;"!$Y$1:$AI""),11,0),iferror(vlookup(B20,importrange(""https://docs.google.com/spreadsheets/d/1p53T2AuvvIqhP7Nf-bo3Uhj8cbKYRPpZdsrBv3x3bAQ/edit?resourcekey#gid=1321652304"",""Prop!$AJ$1:$AT""),11,0),iferror(vlookup(B20,importrange(""https://docs.google.com/"&amp;"spreadsheets/d/1p53T2AuvvIqhP7Nf-bo3Uhj8cbKYRPpZdsrBv3x3bAQ/edit?resourcekey#gid=1321652304"",""Prop!$AU$1:$BE""),11,0),iferror(vlookup(B20,importrange(""https://docs.google.com/spreadsheets/d/1p53T2AuvvIqhP7Nf-bo3Uhj8cbKYRPpZdsrBv3x3bAQ/edit?resourcekey#"&amp;"gid=1321652304"",""Prop!$BF$1:$BP""),11,0),iferror(vlookup(B20,importrange(""https://docs.google.com/spreadsheets/d/1p53T2AuvvIqhP7Nf-bo3Uhj8cbKYRPpZdsrBv3x3bAQ/edit?resourcekey#gid=1321652304"",""Prop!$BQ$1:$CA""),11,0),iferror(vlookup(B20,importrange("""&amp;"https://docs.google.com/spreadsheets/d/1p53T2AuvvIqhP7Nf-bo3Uhj8cbKYRPpZdsrBv3x3bAQ/edit?resourcekey#gid=1321652304"",""Prop!$CB$1:$CL""),11,0),iferror(vlookup(B20,importrange(""https://docs.google.com/spreadsheets/d/1p53T2AuvvIqhP7Nf-bo3Uhj8cbKYRPpZdsrBv"&amp;"3x3bAQ/edit?resourcekey#gid=1321652304"",""Prop!$CM$1:$CX""),12,0),iferror(vlookup(B20,importrange(""https://docs.google.com/spreadsheets/d/1p53T2AuvvIqhP7Nf-bo3Uhj8cbKYRPpZdsrBv3x3bAQ/edit?resourcekey#gid=1321652304"",""Prop!$CY$1:$DI""),11,0)))))))))))"),"https://drive.google.com/open?id=120FqQiEw6ietGN_wrIRbOMpGfJB0lfaF")</f>
        <v>https://drive.google.com/open?id=120FqQiEw6ietGN_wrIRbOMpGfJB0lfaF</v>
      </c>
      <c r="R20" s="20" t="s">
        <v>998</v>
      </c>
      <c r="S20" s="20" t="str">
        <f ca="1">IFERROR(__xludf.DUMMYFUNCTION("IFERROR(vlookup(B20,IMPORTRANGE(""https://docs.google.com/spreadsheets/d/1g_jfYYK_KeipEDNDUgqgrsxK94XiocfNQIcP-v1QVhI/edit?resourcekey#gid=233272945"",""Nilai!B:CT""),37,0),"" "")"),"1. perjelas problem yang perlu diselesaikan dalam konteks PLTN
2. perjelas keterbaruan dari ide ini
3. buat ilustrasi gagasan yang komprehensif")</f>
        <v>1. perjelas problem yang perlu diselesaikan dalam konteks PLTN
2. perjelas keterbaruan dari ide ini
3. buat ilustrasi gagasan yang komprehensif</v>
      </c>
      <c r="T20" s="20" t="str">
        <f ca="1">IFERROR(__xludf.DUMMYFUNCTION("IFERROR(vlookup(B20,IMPORTRANGE(""https://docs.google.com/spreadsheets/d/1g_jfYYK_KeipEDNDUgqgrsxK94XiocfNQIcP-v1QVhI/edit?resourcekey#gid=233272945"",""Nilai!B:CT""),97,0),"" "")"),"LAYAK UPLOAD KE SIMBELMAWA DENGAN REVISI")</f>
        <v>LAYAK UPLOAD KE SIMBELMAWA DENGAN REVISI</v>
      </c>
      <c r="U20" s="37" t="s">
        <v>786</v>
      </c>
      <c r="V20" s="38" t="s">
        <v>999</v>
      </c>
      <c r="W20" s="18" t="s">
        <v>1010</v>
      </c>
      <c r="X20" s="22" t="b">
        <v>1</v>
      </c>
    </row>
    <row r="21" spans="1:24" ht="69">
      <c r="A21" s="15">
        <v>19</v>
      </c>
      <c r="B21" s="15">
        <f ca="1">IFERROR(__xludf.DUMMYFUNCTION("""COMPUTED_VALUE"""),2742)</f>
        <v>2742</v>
      </c>
      <c r="C21" s="16" t="str">
        <f ca="1">IFERROR(__xludf.DUMMYFUNCTION("""COMPUTED_VALUE"""),"ALIF FATIH ABDURRAHMAN")</f>
        <v>ALIF FATIH ABDURRAHMAN</v>
      </c>
      <c r="D21" s="16" t="str">
        <f ca="1">IFERROR(__xludf.DUMMYFUNCTION("""COMPUTED_VALUE"""),"5019201036")</f>
        <v>5019201036</v>
      </c>
      <c r="E21" s="16" t="str">
        <f ca="1">IFERROR(__xludf.DUMMYFUNCTION("""COMPUTED_VALUE"""),"Departemen Teknik Sistem Perkapalan")</f>
        <v>Departemen Teknik Sistem Perkapalan</v>
      </c>
      <c r="F21" s="16" t="str">
        <f ca="1">IFERROR(__xludf.DUMMYFUNCTION("""COMPUTED_VALUE"""),"Autonomous Marine Trash Skimmer: Kapal Cerdas Berteknologi Pirolisis untuk Keselamatan Ekosistem Laut Indonesia")</f>
        <v>Autonomous Marine Trash Skimmer: Kapal Cerdas Berteknologi Pirolisis untuk Keselamatan Ekosistem Laut Indonesia</v>
      </c>
      <c r="G21" s="16" t="str">
        <f ca="1">IFERROR(__xludf.DUMMYFUNCTION("""COMPUTED_VALUE"""),"Dr.Eng. Adi Kurniawan, S.T., M.T.")</f>
        <v>Dr.Eng. Adi Kurniawan, S.T., M.T.</v>
      </c>
      <c r="H21" s="16" t="str">
        <f ca="1">IFERROR(__xludf.DUMMYFUNCTION("""COMPUTED_VALUE"""),"Izzat Aulia Akbar, S.Kom., M.Eng., Ph.D.")</f>
        <v>Izzat Aulia Akbar, S.Kom., M.Eng., Ph.D.</v>
      </c>
      <c r="I21" s="16" t="str">
        <f ca="1">IFERROR(__xludf.DUMMYFUNCTION("""COMPUTED_VALUE"""),"Putu Gde Ariastita, S.T., M.T.")</f>
        <v>Putu Gde Ariastita, S.T., M.T.</v>
      </c>
      <c r="J21" s="16"/>
      <c r="K21" s="86" t="s">
        <v>1003</v>
      </c>
      <c r="L21" s="18" t="s">
        <v>1009</v>
      </c>
      <c r="M21" s="19" t="b">
        <v>1</v>
      </c>
      <c r="N21" s="19" t="b">
        <v>1</v>
      </c>
      <c r="O21" s="1" t="s">
        <v>1008</v>
      </c>
      <c r="P21" s="7" t="str">
        <f ca="1">IFERROR(__xludf.DUMMYFUNCTION("iferror(vlookup(B21,importrange(""https://docs.google.com/spreadsheets/d/1boHyJQ4e2FU0QG8MHwEi6qjX4hvZWVCHcFfXjq7bbMc/edit?resourcekey#gid=923248883"",""Prop!$C$1:$M""),12,0),IFERROR(vlookup(B21,importrange(""https://docs.google.com/spreadsheets/d/1boHyJQ"&amp;"4e2FU0QG8MHwEi6qjX4hvZWVCHcFfXjq7bbMc/edit?resourcekey#gid=923248883"",""Prop!$N$1:$X""),11,0),iferror(vlookup(B21,importrange(""https://docs.google.com/spreadsheets/d/1boHyJQ4e2FU0QG8MHwEi6qjX4hvZWVCHcFfXjq7bbMc/edit?resourcekey#gid=923248883"",""Prop!$Y"&amp;"$1:$AI""),11,0),iferror(vlookup(B21,importrange(""https://docs.google.com/spreadsheets/d/1boHyJQ4e2FU0QG8MHwEi6qjX4hvZWVCHcFfXjq7bbMc/edit?resourcekey#gid=923248883"",""Prop!$AJ$1:$AT""),11,0),iferror(vlookup(B21,importrange(""https://docs.google.com/spre"&amp;"adsheets/d/1boHyJQ4e2FU0QG8MHwEi6qjX4hvZWVCHcFfXjq7bbMc/edit?resourcekey#gid=923248883"",""Prop!$AU$1:$BE""),11,0),iferror(vlookup(B21,importrange(""https://docs.google.com/spreadsheets/d/1boHyJQ4e2FU0QG8MHwEi6qjX4hvZWVCHcFfXjq7bbMc/edit?resourcekey#gid=9"&amp;"23248883"",""Prop!$BF$1:$BP""),11,0),iferror(vlookup(B21,importrange(""https://docs.google.com/spreadsheets/d/1boHyJQ4e2FU0QG8MHwEi6qjX4hvZWVCHcFfXjq7bbMc/edit?resourcekey#gid=923248883"",""Prop!$BQ$1:$CA""),11,0),iferror(vlookup(B21,importrange(""https:/"&amp;"/docs.google.com/spreadsheets/d/1boHyJQ4e2FU0QG8MHwEi6qjX4hvZWVCHcFfXjq7bbMc/edit?resourcekey#gid=923248883"",""Prop!$CB$1:$CL""),11,0),iferror(vlookup(B21,importrange(""https://docs.google.com/spreadsheets/d/1boHyJQ4e2FU0QG8MHwEi6qjX4hvZWVCHcFfXjq7bbMc/e"&amp;"dit?resourcekey#gid=923248883"",""Prop!$CM$1:$CX""),12,0),iferror(vlookup(B21,importrange(""https://docs.google.com/spreadsheets/d/1boHyJQ4e2FU0QG8MHwEi6qjX4hvZWVCHcFfXjq7bbMc/edit?resourcekey#gid=923248883"",""Prop!$CV$1:$DI""),11,0)))))))))))"),"https://drive.google.com/open?id=1w2T5EGnxeMDgOm6XfuKBzo9PmZaKPqMO")</f>
        <v>https://drive.google.com/open?id=1w2T5EGnxeMDgOm6XfuKBzo9PmZaKPqMO</v>
      </c>
      <c r="Q21" s="7" t="str">
        <f ca="1">IFERROR(__xludf.DUMMYFUNCTION("iferror(vlookup(B21,importrange(""https://docs.google.com/spreadsheets/d/1p53T2AuvvIqhP7Nf-bo3Uhj8cbKYRPpZdsrBv3x3bAQ/edit?resourcekey#gid=1321652304"",""Prop!$C$1:$M""),11,0),IFERROR(vlookup(B21,importrange(""https://docs.google.com/spreadsheets/d/1p53T2"&amp;"AuvvIqhP7Nf-bo3Uhj8cbKYRPpZdsrBv3x3bAQ/edit?resourcekey#gid=1321652304"",""Prop!$N$1:$X""),11,0),iferror(vlookup(B21,importrange(""https://docs.google.com/spreadsheets/d/1p53T2AuvvIqhP7Nf-bo3Uhj8cbKYRPpZdsrBv3x3bAQ/edit?resourcekey#gid=1321652304"",""Prop"&amp;"!$Y$1:$AI""),11,0),iferror(vlookup(B21,importrange(""https://docs.google.com/spreadsheets/d/1p53T2AuvvIqhP7Nf-bo3Uhj8cbKYRPpZdsrBv3x3bAQ/edit?resourcekey#gid=1321652304"",""Prop!$AJ$1:$AT""),11,0),iferror(vlookup(B21,importrange(""https://docs.google.com/"&amp;"spreadsheets/d/1p53T2AuvvIqhP7Nf-bo3Uhj8cbKYRPpZdsrBv3x3bAQ/edit?resourcekey#gid=1321652304"",""Prop!$AU$1:$BE""),11,0),iferror(vlookup(B21,importrange(""https://docs.google.com/spreadsheets/d/1p53T2AuvvIqhP7Nf-bo3Uhj8cbKYRPpZdsrBv3x3bAQ/edit?resourcekey#"&amp;"gid=1321652304"",""Prop!$BF$1:$BP""),11,0),iferror(vlookup(B21,importrange(""https://docs.google.com/spreadsheets/d/1p53T2AuvvIqhP7Nf-bo3Uhj8cbKYRPpZdsrBv3x3bAQ/edit?resourcekey#gid=1321652304"",""Prop!$BQ$1:$CA""),11,0),iferror(vlookup(B21,importrange("""&amp;"https://docs.google.com/spreadsheets/d/1p53T2AuvvIqhP7Nf-bo3Uhj8cbKYRPpZdsrBv3x3bAQ/edit?resourcekey#gid=1321652304"",""Prop!$CB$1:$CL""),11,0),iferror(vlookup(B21,importrange(""https://docs.google.com/spreadsheets/d/1p53T2AuvvIqhP7Nf-bo3Uhj8cbKYRPpZdsrBv"&amp;"3x3bAQ/edit?resourcekey#gid=1321652304"",""Prop!$CM$1:$CX""),12,0),iferror(vlookup(B21,importrange(""https://docs.google.com/spreadsheets/d/1p53T2AuvvIqhP7Nf-bo3Uhj8cbKYRPpZdsrBv3x3bAQ/edit?resourcekey#gid=1321652304"",""Prop!$CY$1:$DI""),11,0)))))))))))"),"https://drive.google.com/open?id=1AyxY2R7kfJYCZx4h2zYxS-fRqBmsoTWJ")</f>
        <v>https://drive.google.com/open?id=1AyxY2R7kfJYCZx4h2zYxS-fRqBmsoTWJ</v>
      </c>
      <c r="R21" s="20" t="s">
        <v>998</v>
      </c>
      <c r="S21" s="20" t="str">
        <f ca="1">IFERROR(__xludf.DUMMYFUNCTION("IFERROR(vlookup(B21,IMPORTRANGE(""https://docs.google.com/spreadsheets/d/1g_jfYYK_KeipEDNDUgqgrsxK94XiocfNQIcP-v1QVhI/edit?resourcekey#gid=233272945"",""Nilai!B:CT""),37,0),"" "")"),"1. gagasan tekankan pada konsep pengelolaan sampahnya, bukan pada kapalnya
2. buat ilustrasi ide yang komprehensif")</f>
        <v>1. gagasan tekankan pada konsep pengelolaan sampahnya, bukan pada kapalnya
2. buat ilustrasi ide yang komprehensif</v>
      </c>
      <c r="T21" s="20" t="str">
        <f ca="1">IFERROR(__xludf.DUMMYFUNCTION("IFERROR(vlookup(B21,IMPORTRANGE(""https://docs.google.com/spreadsheets/d/1g_jfYYK_KeipEDNDUgqgrsxK94XiocfNQIcP-v1QVhI/edit?resourcekey#gid=233272945"",""Nilai!B:CT""),97,0),"" "")"),"LAYAK UPLOAD KE SIMBELMAWA DENGAN REVISI")</f>
        <v>LAYAK UPLOAD KE SIMBELMAWA DENGAN REVISI</v>
      </c>
      <c r="U21" s="37" t="s">
        <v>786</v>
      </c>
      <c r="V21" s="38" t="s">
        <v>999</v>
      </c>
      <c r="W21" s="18" t="s">
        <v>1010</v>
      </c>
      <c r="X21" s="22" t="b">
        <v>0</v>
      </c>
    </row>
    <row r="22" spans="1:24" ht="69">
      <c r="A22" s="15">
        <v>20</v>
      </c>
      <c r="B22" s="15">
        <f ca="1">IFERROR(__xludf.DUMMYFUNCTION("""COMPUTED_VALUE"""),2353)</f>
        <v>2353</v>
      </c>
      <c r="C22" s="16" t="str">
        <f ca="1">IFERROR(__xludf.DUMMYFUNCTION("""COMPUTED_VALUE"""),"M  RIFAD FATURRAHMAN")</f>
        <v>M  RIFAD FATURRAHMAN</v>
      </c>
      <c r="D22" s="16" t="str">
        <f ca="1">IFERROR(__xludf.DUMMYFUNCTION("""COMPUTED_VALUE"""),"5022211043")</f>
        <v>5022211043</v>
      </c>
      <c r="E22" s="16" t="str">
        <f ca="1">IFERROR(__xludf.DUMMYFUNCTION("""COMPUTED_VALUE"""),"Departemen Teknik Elektro")</f>
        <v>Departemen Teknik Elektro</v>
      </c>
      <c r="F22" s="16" t="str">
        <f ca="1">IFERROR(__xludf.DUMMYFUNCTION("""COMPUTED_VALUE"""),"Integrasi Keramba Jaring Apung Offshore, Pelabuhan Transhipment, dan Solar Power Plant dalam Mewujudkan Sentra Budidaya Perikanan Futuristik Anambas")</f>
        <v>Integrasi Keramba Jaring Apung Offshore, Pelabuhan Transhipment, dan Solar Power Plant dalam Mewujudkan Sentra Budidaya Perikanan Futuristik Anambas</v>
      </c>
      <c r="G22" s="16" t="str">
        <f ca="1">IFERROR(__xludf.DUMMYFUNCTION("""COMPUTED_VALUE"""),"Dr.Ir. Ni Ketut Aryani, M.T.")</f>
        <v>Dr.Ir. Ni Ketut Aryani, M.T.</v>
      </c>
      <c r="H22" s="16" t="str">
        <f ca="1">IFERROR(__xludf.DUMMYFUNCTION("""COMPUTED_VALUE"""),"Dr.-Ing. Doty Dewi Risanti, S.T., M.T.")</f>
        <v>Dr.-Ing. Doty Dewi Risanti, S.T., M.T.</v>
      </c>
      <c r="I22" s="16" t="str">
        <f ca="1">IFERROR(__xludf.DUMMYFUNCTION("""COMPUTED_VALUE"""),"Rivan Aji Wahyu Dyan Syafitri, S.PWK, M.Ars.")</f>
        <v>Rivan Aji Wahyu Dyan Syafitri, S.PWK, M.Ars.</v>
      </c>
      <c r="J22" s="16"/>
      <c r="K22" s="86" t="s">
        <v>1003</v>
      </c>
      <c r="L22" s="18" t="s">
        <v>1009</v>
      </c>
      <c r="M22" s="19" t="b">
        <v>1</v>
      </c>
      <c r="N22" s="19" t="b">
        <v>1</v>
      </c>
      <c r="O22" s="1" t="s">
        <v>1008</v>
      </c>
      <c r="P22" s="7" t="str">
        <f ca="1">IFERROR(__xludf.DUMMYFUNCTION("iferror(vlookup(B22,importrange(""https://docs.google.com/spreadsheets/d/1boHyJQ4e2FU0QG8MHwEi6qjX4hvZWVCHcFfXjq7bbMc/edit?resourcekey#gid=923248883"",""Prop!$C$1:$M""),12,0),IFERROR(vlookup(B22,importrange(""https://docs.google.com/spreadsheets/d/1boHyJQ"&amp;"4e2FU0QG8MHwEi6qjX4hvZWVCHcFfXjq7bbMc/edit?resourcekey#gid=923248883"",""Prop!$N$1:$X""),11,0),iferror(vlookup(B22,importrange(""https://docs.google.com/spreadsheets/d/1boHyJQ4e2FU0QG8MHwEi6qjX4hvZWVCHcFfXjq7bbMc/edit?resourcekey#gid=923248883"",""Prop!$Y"&amp;"$1:$AI""),11,0),iferror(vlookup(B22,importrange(""https://docs.google.com/spreadsheets/d/1boHyJQ4e2FU0QG8MHwEi6qjX4hvZWVCHcFfXjq7bbMc/edit?resourcekey#gid=923248883"",""Prop!$AJ$1:$AT""),11,0),iferror(vlookup(B22,importrange(""https://docs.google.com/spre"&amp;"adsheets/d/1boHyJQ4e2FU0QG8MHwEi6qjX4hvZWVCHcFfXjq7bbMc/edit?resourcekey#gid=923248883"",""Prop!$AU$1:$BE""),11,0),iferror(vlookup(B22,importrange(""https://docs.google.com/spreadsheets/d/1boHyJQ4e2FU0QG8MHwEi6qjX4hvZWVCHcFfXjq7bbMc/edit?resourcekey#gid=9"&amp;"23248883"",""Prop!$BF$1:$BP""),11,0),iferror(vlookup(B22,importrange(""https://docs.google.com/spreadsheets/d/1boHyJQ4e2FU0QG8MHwEi6qjX4hvZWVCHcFfXjq7bbMc/edit?resourcekey#gid=923248883"",""Prop!$BQ$1:$CA""),11,0),iferror(vlookup(B22,importrange(""https:/"&amp;"/docs.google.com/spreadsheets/d/1boHyJQ4e2FU0QG8MHwEi6qjX4hvZWVCHcFfXjq7bbMc/edit?resourcekey#gid=923248883"",""Prop!$CB$1:$CL""),11,0),iferror(vlookup(B22,importrange(""https://docs.google.com/spreadsheets/d/1boHyJQ4e2FU0QG8MHwEi6qjX4hvZWVCHcFfXjq7bbMc/e"&amp;"dit?resourcekey#gid=923248883"",""Prop!$CM$1:$CX""),12,0),iferror(vlookup(B22,importrange(""https://docs.google.com/spreadsheets/d/1boHyJQ4e2FU0QG8MHwEi6qjX4hvZWVCHcFfXjq7bbMc/edit?resourcekey#gid=923248883"",""Prop!$CV$1:$DI""),11,0)))))))))))"),"https://drive.google.com/open?id=1ZyO3zakutsXQEfnHbc0hJGcOUDsw3kL0")</f>
        <v>https://drive.google.com/open?id=1ZyO3zakutsXQEfnHbc0hJGcOUDsw3kL0</v>
      </c>
      <c r="Q22" s="7" t="str">
        <f ca="1">IFERROR(__xludf.DUMMYFUNCTION("iferror(vlookup(B22,importrange(""https://docs.google.com/spreadsheets/d/1p53T2AuvvIqhP7Nf-bo3Uhj8cbKYRPpZdsrBv3x3bAQ/edit?resourcekey#gid=1321652304"",""Prop!$C$1:$M""),11,0),IFERROR(vlookup(B22,importrange(""https://docs.google.com/spreadsheets/d/1p53T2"&amp;"AuvvIqhP7Nf-bo3Uhj8cbKYRPpZdsrBv3x3bAQ/edit?resourcekey#gid=1321652304"",""Prop!$N$1:$X""),11,0),iferror(vlookup(B22,importrange(""https://docs.google.com/spreadsheets/d/1p53T2AuvvIqhP7Nf-bo3Uhj8cbKYRPpZdsrBv3x3bAQ/edit?resourcekey#gid=1321652304"",""Prop"&amp;"!$Y$1:$AI""),11,0),iferror(vlookup(B22,importrange(""https://docs.google.com/spreadsheets/d/1p53T2AuvvIqhP7Nf-bo3Uhj8cbKYRPpZdsrBv3x3bAQ/edit?resourcekey#gid=1321652304"",""Prop!$AJ$1:$AT""),11,0),iferror(vlookup(B22,importrange(""https://docs.google.com/"&amp;"spreadsheets/d/1p53T2AuvvIqhP7Nf-bo3Uhj8cbKYRPpZdsrBv3x3bAQ/edit?resourcekey#gid=1321652304"",""Prop!$AU$1:$BE""),11,0),iferror(vlookup(B22,importrange(""https://docs.google.com/spreadsheets/d/1p53T2AuvvIqhP7Nf-bo3Uhj8cbKYRPpZdsrBv3x3bAQ/edit?resourcekey#"&amp;"gid=1321652304"",""Prop!$BF$1:$BP""),11,0),iferror(vlookup(B22,importrange(""https://docs.google.com/spreadsheets/d/1p53T2AuvvIqhP7Nf-bo3Uhj8cbKYRPpZdsrBv3x3bAQ/edit?resourcekey#gid=1321652304"",""Prop!$BQ$1:$CA""),11,0),iferror(vlookup(B22,importrange("""&amp;"https://docs.google.com/spreadsheets/d/1p53T2AuvvIqhP7Nf-bo3Uhj8cbKYRPpZdsrBv3x3bAQ/edit?resourcekey#gid=1321652304"",""Prop!$CB$1:$CL""),11,0),iferror(vlookup(B22,importrange(""https://docs.google.com/spreadsheets/d/1p53T2AuvvIqhP7Nf-bo3Uhj8cbKYRPpZdsrBv"&amp;"3x3bAQ/edit?resourcekey#gid=1321652304"",""Prop!$CM$1:$CX""),12,0),iferror(vlookup(B22,importrange(""https://docs.google.com/spreadsheets/d/1p53T2AuvvIqhP7Nf-bo3Uhj8cbKYRPpZdsrBv3x3bAQ/edit?resourcekey#gid=1321652304"",""Prop!$CY$1:$DI""),11,0)))))))))))"),"https://drive.google.com/open?id=1YopiwngKWc2FJYbM9i0HMzLwMujE-O81")</f>
        <v>https://drive.google.com/open?id=1YopiwngKWc2FJYbM9i0HMzLwMujE-O81</v>
      </c>
      <c r="R22" s="20" t="s">
        <v>998</v>
      </c>
      <c r="S22" s="20" t="str">
        <f ca="1">IFERROR(__xludf.DUMMYFUNCTION("IFERROR(vlookup(B22,IMPORTRANGE(""https://docs.google.com/spreadsheets/d/1g_jfYYK_KeipEDNDUgqgrsxK94XiocfNQIcP-v1QVhI/edit?resourcekey#gid=233272945"",""Nilai!B:CT""),37,0),"" "")"),"1. jelaskan keterbaruan gagasan, karena beberapa bagian gagasan sdh diimplementasikan di tempat lain
2. buat ilustrasi gagasan yang komprehensif dalam konteks anambas, baru kemudian jelaskan komponen2 nya")</f>
        <v>1. jelaskan keterbaruan gagasan, karena beberapa bagian gagasan sdh diimplementasikan di tempat lain
2. buat ilustrasi gagasan yang komprehensif dalam konteks anambas, baru kemudian jelaskan komponen2 nya</v>
      </c>
      <c r="T22" s="20" t="str">
        <f ca="1">IFERROR(__xludf.DUMMYFUNCTION("IFERROR(vlookup(B22,IMPORTRANGE(""https://docs.google.com/spreadsheets/d/1g_jfYYK_KeipEDNDUgqgrsxK94XiocfNQIcP-v1QVhI/edit?resourcekey#gid=233272945"",""Nilai!B:CT""),97,0),"" "")"),"LAYAK UPLOAD KE SIMBELMAWA DENGAN REVISI")</f>
        <v>LAYAK UPLOAD KE SIMBELMAWA DENGAN REVISI</v>
      </c>
      <c r="U22" s="39" t="s">
        <v>831</v>
      </c>
      <c r="V22" s="38" t="s">
        <v>999</v>
      </c>
      <c r="W22" s="18" t="s">
        <v>1010</v>
      </c>
      <c r="X22" s="22" t="b">
        <v>1</v>
      </c>
    </row>
    <row r="23" spans="1:24" ht="57.6">
      <c r="A23" s="15">
        <v>21</v>
      </c>
      <c r="B23" s="15">
        <f ca="1">IFERROR(__xludf.DUMMYFUNCTION("""COMPUTED_VALUE"""),2015)</f>
        <v>2015</v>
      </c>
      <c r="C23" s="16" t="str">
        <f ca="1">IFERROR(__xludf.DUMMYFUNCTION("""COMPUTED_VALUE"""),"Nisrina Qurratu'ain")</f>
        <v>Nisrina Qurratu'ain</v>
      </c>
      <c r="D23" s="16" t="str">
        <f ca="1">IFERROR(__xludf.DUMMYFUNCTION("""COMPUTED_VALUE"""),"5002211093")</f>
        <v>5002211093</v>
      </c>
      <c r="E23" s="16" t="str">
        <f ca="1">IFERROR(__xludf.DUMMYFUNCTION("""COMPUTED_VALUE"""),"Departemen Matematika")</f>
        <v>Departemen Matematika</v>
      </c>
      <c r="F23" s="16" t="str">
        <f ca="1">IFERROR(__xludf.DUMMYFUNCTION("""COMPUTED_VALUE"""),"GALUS AGRILY (Agriculture Technology) dengan Konsep Pengintegrasian Artificial Intelegent dan Solar Cell Untuk Memajukan Sektor Pertanian di Kabupaten Gayo Lues")</f>
        <v>GALUS AGRILY (Agriculture Technology) dengan Konsep Pengintegrasian Artificial Intelegent dan Solar Cell Untuk Memajukan Sektor Pertanian di Kabupaten Gayo Lues</v>
      </c>
      <c r="G23" s="16" t="str">
        <f ca="1">IFERROR(__xludf.DUMMYFUNCTION("""COMPUTED_VALUE"""),"Subchan, S.Si., M.Sc., Ph.D.")</f>
        <v>Subchan, S.Si., M.Sc., Ph.D.</v>
      </c>
      <c r="H23" s="16" t="str">
        <f ca="1">IFERROR(__xludf.DUMMYFUNCTION("""COMPUTED_VALUE"""),"Putu Gde Ariastita, S.T., M.T.")</f>
        <v>Putu Gde Ariastita, S.T., M.T.</v>
      </c>
      <c r="I23" s="16" t="str">
        <f ca="1">IFERROR(__xludf.DUMMYFUNCTION("""COMPUTED_VALUE"""),"Dr.Eng. Yuda Apri Hermawan, S.T., M.T.")</f>
        <v>Dr.Eng. Yuda Apri Hermawan, S.T., M.T.</v>
      </c>
      <c r="J23" s="16"/>
      <c r="K23" s="86" t="s">
        <v>1011</v>
      </c>
      <c r="L23" s="18" t="s">
        <v>1009</v>
      </c>
      <c r="M23" s="19" t="b">
        <v>1</v>
      </c>
      <c r="N23" s="19" t="b">
        <v>1</v>
      </c>
      <c r="O23" s="1" t="s">
        <v>1008</v>
      </c>
      <c r="P23" s="7" t="str">
        <f ca="1">IFERROR(__xludf.DUMMYFUNCTION("iferror(vlookup(B23,importrange(""https://docs.google.com/spreadsheets/d/1boHyJQ4e2FU0QG8MHwEi6qjX4hvZWVCHcFfXjq7bbMc/edit?resourcekey#gid=923248883"",""Prop!$C$1:$M""),12,0),IFERROR(vlookup(B23,importrange(""https://docs.google.com/spreadsheets/d/1boHyJQ"&amp;"4e2FU0QG8MHwEi6qjX4hvZWVCHcFfXjq7bbMc/edit?resourcekey#gid=923248883"",""Prop!$N$1:$X""),11,0),iferror(vlookup(B23,importrange(""https://docs.google.com/spreadsheets/d/1boHyJQ4e2FU0QG8MHwEi6qjX4hvZWVCHcFfXjq7bbMc/edit?resourcekey#gid=923248883"",""Prop!$Y"&amp;"$1:$AI""),11,0),iferror(vlookup(B23,importrange(""https://docs.google.com/spreadsheets/d/1boHyJQ4e2FU0QG8MHwEi6qjX4hvZWVCHcFfXjq7bbMc/edit?resourcekey#gid=923248883"",""Prop!$AJ$1:$AT""),11,0),iferror(vlookup(B23,importrange(""https://docs.google.com/spre"&amp;"adsheets/d/1boHyJQ4e2FU0QG8MHwEi6qjX4hvZWVCHcFfXjq7bbMc/edit?resourcekey#gid=923248883"",""Prop!$AU$1:$BE""),11,0),iferror(vlookup(B23,importrange(""https://docs.google.com/spreadsheets/d/1boHyJQ4e2FU0QG8MHwEi6qjX4hvZWVCHcFfXjq7bbMc/edit?resourcekey#gid=9"&amp;"23248883"",""Prop!$BF$1:$BP""),11,0),iferror(vlookup(B23,importrange(""https://docs.google.com/spreadsheets/d/1boHyJQ4e2FU0QG8MHwEi6qjX4hvZWVCHcFfXjq7bbMc/edit?resourcekey#gid=923248883"",""Prop!$BQ$1:$CA""),11,0),iferror(vlookup(B23,importrange(""https:/"&amp;"/docs.google.com/spreadsheets/d/1boHyJQ4e2FU0QG8MHwEi6qjX4hvZWVCHcFfXjq7bbMc/edit?resourcekey#gid=923248883"",""Prop!$CB$1:$CL""),11,0),iferror(vlookup(B23,importrange(""https://docs.google.com/spreadsheets/d/1boHyJQ4e2FU0QG8MHwEi6qjX4hvZWVCHcFfXjq7bbMc/e"&amp;"dit?resourcekey#gid=923248883"",""Prop!$CM$1:$CX""),12,0),iferror(vlookup(B23,importrange(""https://docs.google.com/spreadsheets/d/1boHyJQ4e2FU0QG8MHwEi6qjX4hvZWVCHcFfXjq7bbMc/edit?resourcekey#gid=923248883"",""Prop!$CV$1:$DI""),11,0)))))))))))"),"https://drive.google.com/open?id=1-PkgAvbu0ypdZg0LswCO-LHMhZdx85Dp")</f>
        <v>https://drive.google.com/open?id=1-PkgAvbu0ypdZg0LswCO-LHMhZdx85Dp</v>
      </c>
      <c r="Q23" s="7" t="str">
        <f ca="1">IFERROR(__xludf.DUMMYFUNCTION("iferror(vlookup(B23,importrange(""https://docs.google.com/spreadsheets/d/1p53T2AuvvIqhP7Nf-bo3Uhj8cbKYRPpZdsrBv3x3bAQ/edit?resourcekey#gid=1321652304"",""Prop!$C$1:$M""),11,0),IFERROR(vlookup(B23,importrange(""https://docs.google.com/spreadsheets/d/1p53T2"&amp;"AuvvIqhP7Nf-bo3Uhj8cbKYRPpZdsrBv3x3bAQ/edit?resourcekey#gid=1321652304"",""Prop!$N$1:$X""),11,0),iferror(vlookup(B23,importrange(""https://docs.google.com/spreadsheets/d/1p53T2AuvvIqhP7Nf-bo3Uhj8cbKYRPpZdsrBv3x3bAQ/edit?resourcekey#gid=1321652304"",""Prop"&amp;"!$Y$1:$AI""),11,0),iferror(vlookup(B23,importrange(""https://docs.google.com/spreadsheets/d/1p53T2AuvvIqhP7Nf-bo3Uhj8cbKYRPpZdsrBv3x3bAQ/edit?resourcekey#gid=1321652304"",""Prop!$AJ$1:$AT""),11,0),iferror(vlookup(B23,importrange(""https://docs.google.com/"&amp;"spreadsheets/d/1p53T2AuvvIqhP7Nf-bo3Uhj8cbKYRPpZdsrBv3x3bAQ/edit?resourcekey#gid=1321652304"",""Prop!$AU$1:$BE""),11,0),iferror(vlookup(B23,importrange(""https://docs.google.com/spreadsheets/d/1p53T2AuvvIqhP7Nf-bo3Uhj8cbKYRPpZdsrBv3x3bAQ/edit?resourcekey#"&amp;"gid=1321652304"",""Prop!$BF$1:$BP""),11,0),iferror(vlookup(B23,importrange(""https://docs.google.com/spreadsheets/d/1p53T2AuvvIqhP7Nf-bo3Uhj8cbKYRPpZdsrBv3x3bAQ/edit?resourcekey#gid=1321652304"",""Prop!$BQ$1:$CA""),11,0),iferror(vlookup(B23,importrange("""&amp;"https://docs.google.com/spreadsheets/d/1p53T2AuvvIqhP7Nf-bo3Uhj8cbKYRPpZdsrBv3x3bAQ/edit?resourcekey#gid=1321652304"",""Prop!$CB$1:$CL""),11,0),iferror(vlookup(B23,importrange(""https://docs.google.com/spreadsheets/d/1p53T2AuvvIqhP7Nf-bo3Uhj8cbKYRPpZdsrBv"&amp;"3x3bAQ/edit?resourcekey#gid=1321652304"",""Prop!$CM$1:$CX""),12,0),iferror(vlookup(B23,importrange(""https://docs.google.com/spreadsheets/d/1p53T2AuvvIqhP7Nf-bo3Uhj8cbKYRPpZdsrBv3x3bAQ/edit?resourcekey#gid=1321652304"",""Prop!$CY$1:$DI""),11,0)))))))))))"),"https://drive.google.com/open?id=1Nf7-pwoxwwkMtiIpJ5JyJpvQ6vOyqNgG")</f>
        <v>https://drive.google.com/open?id=1Nf7-pwoxwwkMtiIpJ5JyJpvQ6vOyqNgG</v>
      </c>
      <c r="R23" s="20" t="s">
        <v>998</v>
      </c>
      <c r="S23" s="20" t="str">
        <f ca="1">IFERROR(__xludf.DUMMYFUNCTION("IFERROR(vlookup(B23,IMPORTRANGE(""https://docs.google.com/spreadsheets/d/1g_jfYYK_KeipEDNDUgqgrsxK94XiocfNQIcP-v1QVhI/edit?resourcekey#gid=233272945"",""Nilai!B:CT""),37,0),"" "")"),"1. ide ini kurang relevan dengan kondisi masalah yang diselesaikan
2. ide terlalu lokal
3. ide relatif umum dan kurang dijelaskan secara komprehensif")</f>
        <v>1. ide ini kurang relevan dengan kondisi masalah yang diselesaikan
2. ide terlalu lokal
3. ide relatif umum dan kurang dijelaskan secara komprehensif</v>
      </c>
      <c r="T23" s="20" t="str">
        <f ca="1">IFERROR(__xludf.DUMMYFUNCTION("IFERROR(vlookup(B23,IMPORTRANGE(""https://docs.google.com/spreadsheets/d/1g_jfYYK_KeipEDNDUgqgrsxK94XiocfNQIcP-v1QVhI/edit?resourcekey#gid=233272945"",""Nilai!B:CT""),97,0),"" "")"),"TIDAK LAYAK UPLOAD KE SIMBELMAWA")</f>
        <v>TIDAK LAYAK UPLOAD KE SIMBELMAWA</v>
      </c>
      <c r="U23" s="39" t="s">
        <v>831</v>
      </c>
      <c r="V23" s="38" t="s">
        <v>999</v>
      </c>
      <c r="W23" s="18" t="s">
        <v>1012</v>
      </c>
      <c r="X23" s="22" t="b">
        <v>0</v>
      </c>
    </row>
    <row r="24" spans="1:24" ht="69">
      <c r="A24" s="15">
        <v>22</v>
      </c>
      <c r="B24" s="15">
        <f ca="1">IFERROR(__xludf.DUMMYFUNCTION("""COMPUTED_VALUE"""),2044)</f>
        <v>2044</v>
      </c>
      <c r="C24" s="16" t="str">
        <f ca="1">IFERROR(__xludf.DUMMYFUNCTION("""COMPUTED_VALUE"""),"GABRIELA EMILLY XIAN")</f>
        <v>GABRIELA EMILLY XIAN</v>
      </c>
      <c r="D24" s="16" t="str">
        <f ca="1">IFERROR(__xludf.DUMMYFUNCTION("""COMPUTED_VALUE"""),"08111840000043")</f>
        <v>08111840000043</v>
      </c>
      <c r="E24" s="16" t="str">
        <f ca="1">IFERROR(__xludf.DUMMYFUNCTION("""COMPUTED_VALUE"""),"Departemen Arsitektur")</f>
        <v>Departemen Arsitektur</v>
      </c>
      <c r="F24" s="16" t="str">
        <f ca="1">IFERROR(__xludf.DUMMYFUNCTION("""COMPUTED_VALUE"""),"Konsep Ruang Transit Masa Depan Berdasarkan Struktur Tidur Manusia sebagai Solusi Permasalahan Kualitas Tidur pada Business Traveler")</f>
        <v>Konsep Ruang Transit Masa Depan Berdasarkan Struktur Tidur Manusia sebagai Solusi Permasalahan Kualitas Tidur pada Business Traveler</v>
      </c>
      <c r="G24" s="16" t="str">
        <f ca="1">IFERROR(__xludf.DUMMYFUNCTION("""COMPUTED_VALUE"""),"FX. Teddy Badai Samodra, S.T., M.T., Ph.D.")</f>
        <v>FX. Teddy Badai Samodra, S.T., M.T., Ph.D.</v>
      </c>
      <c r="H24" s="16" t="str">
        <f ca="1">IFERROR(__xludf.DUMMYFUNCTION("""COMPUTED_VALUE"""),"Putu Gde Ariastita, S.T., M.T.")</f>
        <v>Putu Gde Ariastita, S.T., M.T.</v>
      </c>
      <c r="I24" s="16" t="str">
        <f ca="1">IFERROR(__xludf.DUMMYFUNCTION("""COMPUTED_VALUE"""),"Dr.Eng. Yuda Apri Hermawan, S.T., M.T.")</f>
        <v>Dr.Eng. Yuda Apri Hermawan, S.T., M.T.</v>
      </c>
      <c r="J24" s="16"/>
      <c r="K24" s="86" t="s">
        <v>1011</v>
      </c>
      <c r="L24" s="18" t="s">
        <v>1009</v>
      </c>
      <c r="M24" s="19" t="b">
        <v>1</v>
      </c>
      <c r="N24" s="19" t="b">
        <v>1</v>
      </c>
      <c r="O24" s="1" t="s">
        <v>1008</v>
      </c>
      <c r="P24" s="7" t="str">
        <f ca="1">IFERROR(__xludf.DUMMYFUNCTION("iferror(vlookup(B24,importrange(""https://docs.google.com/spreadsheets/d/1boHyJQ4e2FU0QG8MHwEi6qjX4hvZWVCHcFfXjq7bbMc/edit?resourcekey#gid=923248883"",""Prop!$C$1:$M""),12,0),IFERROR(vlookup(B24,importrange(""https://docs.google.com/spreadsheets/d/1boHyJQ"&amp;"4e2FU0QG8MHwEi6qjX4hvZWVCHcFfXjq7bbMc/edit?resourcekey#gid=923248883"",""Prop!$N$1:$X""),11,0),iferror(vlookup(B24,importrange(""https://docs.google.com/spreadsheets/d/1boHyJQ4e2FU0QG8MHwEi6qjX4hvZWVCHcFfXjq7bbMc/edit?resourcekey#gid=923248883"",""Prop!$Y"&amp;"$1:$AI""),11,0),iferror(vlookup(B24,importrange(""https://docs.google.com/spreadsheets/d/1boHyJQ4e2FU0QG8MHwEi6qjX4hvZWVCHcFfXjq7bbMc/edit?resourcekey#gid=923248883"",""Prop!$AJ$1:$AT""),11,0),iferror(vlookup(B24,importrange(""https://docs.google.com/spre"&amp;"adsheets/d/1boHyJQ4e2FU0QG8MHwEi6qjX4hvZWVCHcFfXjq7bbMc/edit?resourcekey#gid=923248883"",""Prop!$AU$1:$BE""),11,0),iferror(vlookup(B24,importrange(""https://docs.google.com/spreadsheets/d/1boHyJQ4e2FU0QG8MHwEi6qjX4hvZWVCHcFfXjq7bbMc/edit?resourcekey#gid=9"&amp;"23248883"",""Prop!$BF$1:$BP""),11,0),iferror(vlookup(B24,importrange(""https://docs.google.com/spreadsheets/d/1boHyJQ4e2FU0QG8MHwEi6qjX4hvZWVCHcFfXjq7bbMc/edit?resourcekey#gid=923248883"",""Prop!$BQ$1:$CA""),11,0),iferror(vlookup(B24,importrange(""https:/"&amp;"/docs.google.com/spreadsheets/d/1boHyJQ4e2FU0QG8MHwEi6qjX4hvZWVCHcFfXjq7bbMc/edit?resourcekey#gid=923248883"",""Prop!$CB$1:$CL""),11,0),iferror(vlookup(B24,importrange(""https://docs.google.com/spreadsheets/d/1boHyJQ4e2FU0QG8MHwEi6qjX4hvZWVCHcFfXjq7bbMc/e"&amp;"dit?resourcekey#gid=923248883"",""Prop!$CM$1:$CX""),12,0),iferror(vlookup(B24,importrange(""https://docs.google.com/spreadsheets/d/1boHyJQ4e2FU0QG8MHwEi6qjX4hvZWVCHcFfXjq7bbMc/edit?resourcekey#gid=923248883"",""Prop!$CV$1:$DI""),11,0)))))))))))"),"https://drive.google.com/open?id=16HoYOECIIaRL0RtqVTK3xn1nkBiqFvtN")</f>
        <v>https://drive.google.com/open?id=16HoYOECIIaRL0RtqVTK3xn1nkBiqFvtN</v>
      </c>
      <c r="Q24" s="7" t="str">
        <f ca="1">IFERROR(__xludf.DUMMYFUNCTION("iferror(vlookup(B24,importrange(""https://docs.google.com/spreadsheets/d/1p53T2AuvvIqhP7Nf-bo3Uhj8cbKYRPpZdsrBv3x3bAQ/edit?resourcekey#gid=1321652304"",""Prop!$C$1:$M""),11,0),IFERROR(vlookup(B24,importrange(""https://docs.google.com/spreadsheets/d/1p53T2"&amp;"AuvvIqhP7Nf-bo3Uhj8cbKYRPpZdsrBv3x3bAQ/edit?resourcekey#gid=1321652304"",""Prop!$N$1:$X""),11,0),iferror(vlookup(B24,importrange(""https://docs.google.com/spreadsheets/d/1p53T2AuvvIqhP7Nf-bo3Uhj8cbKYRPpZdsrBv3x3bAQ/edit?resourcekey#gid=1321652304"",""Prop"&amp;"!$Y$1:$AI""),11,0),iferror(vlookup(B24,importrange(""https://docs.google.com/spreadsheets/d/1p53T2AuvvIqhP7Nf-bo3Uhj8cbKYRPpZdsrBv3x3bAQ/edit?resourcekey#gid=1321652304"",""Prop!$AJ$1:$AT""),11,0),iferror(vlookup(B24,importrange(""https://docs.google.com/"&amp;"spreadsheets/d/1p53T2AuvvIqhP7Nf-bo3Uhj8cbKYRPpZdsrBv3x3bAQ/edit?resourcekey#gid=1321652304"",""Prop!$AU$1:$BE""),11,0),iferror(vlookup(B24,importrange(""https://docs.google.com/spreadsheets/d/1p53T2AuvvIqhP7Nf-bo3Uhj8cbKYRPpZdsrBv3x3bAQ/edit?resourcekey#"&amp;"gid=1321652304"",""Prop!$BF$1:$BP""),11,0),iferror(vlookup(B24,importrange(""https://docs.google.com/spreadsheets/d/1p53T2AuvvIqhP7Nf-bo3Uhj8cbKYRPpZdsrBv3x3bAQ/edit?resourcekey#gid=1321652304"",""Prop!$BQ$1:$CA""),11,0),iferror(vlookup(B24,importrange("""&amp;"https://docs.google.com/spreadsheets/d/1p53T2AuvvIqhP7Nf-bo3Uhj8cbKYRPpZdsrBv3x3bAQ/edit?resourcekey#gid=1321652304"",""Prop!$CB$1:$CL""),11,0),iferror(vlookup(B24,importrange(""https://docs.google.com/spreadsheets/d/1p53T2AuvvIqhP7Nf-bo3Uhj8cbKYRPpZdsrBv"&amp;"3x3bAQ/edit?resourcekey#gid=1321652304"",""Prop!$CM$1:$CX""),12,0),iferror(vlookup(B24,importrange(""https://docs.google.com/spreadsheets/d/1p53T2AuvvIqhP7Nf-bo3Uhj8cbKYRPpZdsrBv3x3bAQ/edit?resourcekey#gid=1321652304"",""Prop!$CY$1:$DI""),11,0)))))))))))"),"https://drive.google.com/open?id=1Z6uqYTMJxFAG7o5wLeKtlg9OSZutMmGK")</f>
        <v>https://drive.google.com/open?id=1Z6uqYTMJxFAG7o5wLeKtlg9OSZutMmGK</v>
      </c>
      <c r="R24" s="20" t="s">
        <v>998</v>
      </c>
      <c r="S24" s="20" t="str">
        <f ca="1">IFERROR(__xludf.DUMMYFUNCTION("IFERROR(vlookup(B24,IMPORTRANGE(""https://docs.google.com/spreadsheets/d/1g_jfYYK_KeipEDNDUgqgrsxK94XiocfNQIcP-v1QVhI/edit?resourcekey#gid=233272945"",""Nilai!B:CT""),37,0),"" "")"),"1. memperkuat urgensi gagasan
2. Memperkuat fokus persoalan gagasan
3. buat ilustrasi gagasan secara komprehensif")</f>
        <v>1. memperkuat urgensi gagasan
2. Memperkuat fokus persoalan gagasan
3. buat ilustrasi gagasan secara komprehensif</v>
      </c>
      <c r="T24" s="20" t="str">
        <f ca="1">IFERROR(__xludf.DUMMYFUNCTION("IFERROR(vlookup(B24,IMPORTRANGE(""https://docs.google.com/spreadsheets/d/1g_jfYYK_KeipEDNDUgqgrsxK94XiocfNQIcP-v1QVhI/edit?resourcekey#gid=233272945"",""Nilai!B:CT""),97,0),"" "")"),"LAYAK UPLOAD KE SIMBELMAWA DENGAN REVISI")</f>
        <v>LAYAK UPLOAD KE SIMBELMAWA DENGAN REVISI</v>
      </c>
      <c r="U24" s="39" t="s">
        <v>831</v>
      </c>
      <c r="V24" s="38" t="s">
        <v>999</v>
      </c>
      <c r="W24" s="18" t="s">
        <v>1012</v>
      </c>
      <c r="X24" s="22" t="b">
        <v>1</v>
      </c>
    </row>
    <row r="25" spans="1:24" ht="124.2">
      <c r="A25" s="15">
        <v>23</v>
      </c>
      <c r="B25" s="15">
        <f ca="1">IFERROR(__xludf.DUMMYFUNCTION("""COMPUTED_VALUE"""),3576)</f>
        <v>3576</v>
      </c>
      <c r="C25" s="16" t="str">
        <f ca="1">IFERROR(__xludf.DUMMYFUNCTION("""COMPUTED_VALUE"""),"Angelyca David Vinci")</f>
        <v>Angelyca David Vinci</v>
      </c>
      <c r="D25" s="16" t="str">
        <f ca="1">IFERROR(__xludf.DUMMYFUNCTION("""COMPUTED_VALUE"""),"5020211001")</f>
        <v>5020211001</v>
      </c>
      <c r="E25" s="16" t="str">
        <f ca="1">IFERROR(__xludf.DUMMYFUNCTION("""COMPUTED_VALUE"""),"Departemen Teknik Kelautan")</f>
        <v>Departemen Teknik Kelautan</v>
      </c>
      <c r="F25" s="16" t="str">
        <f ca="1">IFERROR(__xludf.DUMMYFUNCTION("""COMPUTED_VALUE"""),"E-breater : breakwater penghasil listrik untuk proteksi daerah wisata pantai masirete")</f>
        <v>E-breater : breakwater penghasil listrik untuk proteksi daerah wisata pantai masirete</v>
      </c>
      <c r="G25" s="16" t="str">
        <f ca="1">IFERROR(__xludf.DUMMYFUNCTION("""COMPUTED_VALUE"""),"Dr. Dendy Satrio, S.ST.")</f>
        <v>Dr. Dendy Satrio, S.ST.</v>
      </c>
      <c r="H25" s="16" t="str">
        <f ca="1">IFERROR(__xludf.DUMMYFUNCTION("""COMPUTED_VALUE"""),"Prof. Ir. Aguk Zuhdi Muhammad Fathallah, M.Eng., Ph.D.")</f>
        <v>Prof. Ir. Aguk Zuhdi Muhammad Fathallah, M.Eng., Ph.D.</v>
      </c>
      <c r="I25" s="16" t="str">
        <f ca="1">IFERROR(__xludf.DUMMYFUNCTION("""COMPUTED_VALUE"""),"Dyah Sawitri, S.T., M.T.")</f>
        <v>Dyah Sawitri, S.T., M.T.</v>
      </c>
      <c r="J25" s="16"/>
      <c r="K25" s="86" t="s">
        <v>1011</v>
      </c>
      <c r="L25" s="18" t="s">
        <v>1013</v>
      </c>
      <c r="M25" s="19" t="b">
        <v>1</v>
      </c>
      <c r="N25" s="19" t="b">
        <v>1</v>
      </c>
      <c r="O25" s="1" t="s">
        <v>1014</v>
      </c>
      <c r="P25" s="7" t="str">
        <f ca="1">IFERROR(__xludf.DUMMYFUNCTION("iferror(vlookup(B25,importrange(""https://docs.google.com/spreadsheets/d/1boHyJQ4e2FU0QG8MHwEi6qjX4hvZWVCHcFfXjq7bbMc/edit?resourcekey#gid=923248883"",""Prop!$C$1:$M""),12,0),IFERROR(vlookup(B25,importrange(""https://docs.google.com/spreadsheets/d/1boHyJQ"&amp;"4e2FU0QG8MHwEi6qjX4hvZWVCHcFfXjq7bbMc/edit?resourcekey#gid=923248883"",""Prop!$N$1:$X""),11,0),iferror(vlookup(B25,importrange(""https://docs.google.com/spreadsheets/d/1boHyJQ4e2FU0QG8MHwEi6qjX4hvZWVCHcFfXjq7bbMc/edit?resourcekey#gid=923248883"",""Prop!$Y"&amp;"$1:$AI""),11,0),iferror(vlookup(B25,importrange(""https://docs.google.com/spreadsheets/d/1boHyJQ4e2FU0QG8MHwEi6qjX4hvZWVCHcFfXjq7bbMc/edit?resourcekey#gid=923248883"",""Prop!$AJ$1:$AT""),11,0),iferror(vlookup(B25,importrange(""https://docs.google.com/spre"&amp;"adsheets/d/1boHyJQ4e2FU0QG8MHwEi6qjX4hvZWVCHcFfXjq7bbMc/edit?resourcekey#gid=923248883"",""Prop!$AU$1:$BE""),11,0),iferror(vlookup(B25,importrange(""https://docs.google.com/spreadsheets/d/1boHyJQ4e2FU0QG8MHwEi6qjX4hvZWVCHcFfXjq7bbMc/edit?resourcekey#gid=9"&amp;"23248883"",""Prop!$BF$1:$BP""),11,0),iferror(vlookup(B25,importrange(""https://docs.google.com/spreadsheets/d/1boHyJQ4e2FU0QG8MHwEi6qjX4hvZWVCHcFfXjq7bbMc/edit?resourcekey#gid=923248883"",""Prop!$BQ$1:$CA""),11,0),iferror(vlookup(B25,importrange(""https:/"&amp;"/docs.google.com/spreadsheets/d/1boHyJQ4e2FU0QG8MHwEi6qjX4hvZWVCHcFfXjq7bbMc/edit?resourcekey#gid=923248883"",""Prop!$CB$1:$CL""),11,0),iferror(vlookup(B25,importrange(""https://docs.google.com/spreadsheets/d/1boHyJQ4e2FU0QG8MHwEi6qjX4hvZWVCHcFfXjq7bbMc/e"&amp;"dit?resourcekey#gid=923248883"",""Prop!$CM$1:$CX""),12,0),iferror(vlookup(B25,importrange(""https://docs.google.com/spreadsheets/d/1boHyJQ4e2FU0QG8MHwEi6qjX4hvZWVCHcFfXjq7bbMc/edit?resourcekey#gid=923248883"",""Prop!$CV$1:$DI""),11,0)))))))))))"),"https://drive.google.com/open?id=1jshbP7eCE_etMN-I8q1Ws89SE1CvY8fd")</f>
        <v>https://drive.google.com/open?id=1jshbP7eCE_etMN-I8q1Ws89SE1CvY8fd</v>
      </c>
      <c r="Q25" s="7" t="str">
        <f ca="1">IFERROR(__xludf.DUMMYFUNCTION("iferror(vlookup(B25,importrange(""https://docs.google.com/spreadsheets/d/1p53T2AuvvIqhP7Nf-bo3Uhj8cbKYRPpZdsrBv3x3bAQ/edit?resourcekey#gid=1321652304"",""Prop!$C$1:$M""),11,0),IFERROR(vlookup(B25,importrange(""https://docs.google.com/spreadsheets/d/1p53T2"&amp;"AuvvIqhP7Nf-bo3Uhj8cbKYRPpZdsrBv3x3bAQ/edit?resourcekey#gid=1321652304"",""Prop!$N$1:$X""),11,0),iferror(vlookup(B25,importrange(""https://docs.google.com/spreadsheets/d/1p53T2AuvvIqhP7Nf-bo3Uhj8cbKYRPpZdsrBv3x3bAQ/edit?resourcekey#gid=1321652304"",""Prop"&amp;"!$Y$1:$AI""),11,0),iferror(vlookup(B25,importrange(""https://docs.google.com/spreadsheets/d/1p53T2AuvvIqhP7Nf-bo3Uhj8cbKYRPpZdsrBv3x3bAQ/edit?resourcekey#gid=1321652304"",""Prop!$AJ$1:$AT""),11,0),iferror(vlookup(B25,importrange(""https://docs.google.com/"&amp;"spreadsheets/d/1p53T2AuvvIqhP7Nf-bo3Uhj8cbKYRPpZdsrBv3x3bAQ/edit?resourcekey#gid=1321652304"",""Prop!$AU$1:$BE""),11,0),iferror(vlookup(B25,importrange(""https://docs.google.com/spreadsheets/d/1p53T2AuvvIqhP7Nf-bo3Uhj8cbKYRPpZdsrBv3x3bAQ/edit?resourcekey#"&amp;"gid=1321652304"",""Prop!$BF$1:$BP""),11,0),iferror(vlookup(B25,importrange(""https://docs.google.com/spreadsheets/d/1p53T2AuvvIqhP7Nf-bo3Uhj8cbKYRPpZdsrBv3x3bAQ/edit?resourcekey#gid=1321652304"",""Prop!$BQ$1:$CA""),11,0),iferror(vlookup(B25,importrange("""&amp;"https://docs.google.com/spreadsheets/d/1p53T2AuvvIqhP7Nf-bo3Uhj8cbKYRPpZdsrBv3x3bAQ/edit?resourcekey#gid=1321652304"",""Prop!$CB$1:$CL""),11,0),iferror(vlookup(B25,importrange(""https://docs.google.com/spreadsheets/d/1p53T2AuvvIqhP7Nf-bo3Uhj8cbKYRPpZdsrBv"&amp;"3x3bAQ/edit?resourcekey#gid=1321652304"",""Prop!$CM$1:$CX""),12,0),iferror(vlookup(B25,importrange(""https://docs.google.com/spreadsheets/d/1p53T2AuvvIqhP7Nf-bo3Uhj8cbKYRPpZdsrBv3x3bAQ/edit?resourcekey#gid=1321652304"",""Prop!$CY$1:$DI""),11,0)))))))))))"),"https://drive.google.com/open?id=14YJCEn49FsupkhIz2-chc9hCO-_7Lm2V")</f>
        <v>https://drive.google.com/open?id=14YJCEn49FsupkhIz2-chc9hCO-_7Lm2V</v>
      </c>
      <c r="R25" s="20" t="s">
        <v>998</v>
      </c>
      <c r="S25" s="20" t="str">
        <f ca="1">IFERROR(__xludf.DUMMYFUNCTION("IFERROR(vlookup(B25,IMPORTRANGE(""https://docs.google.com/spreadsheets/d/1g_jfYYK_KeipEDNDUgqgrsxK94XiocfNQIcP-v1QVhI/edit?resourcekey#gid=233272945"",""Nilai!B:CT""),37,0),"" "")"),"1. Latar belakang kurang menjelaskan fokusan permasalahan yang diatasi, latar belakangnya bicara mengenai perubahan garis pantai tapi solusinya konversi energi 
2. Kurang adanya informasi mengenai upaya sebelumnya dalam mengatasi permasalahan tersebut
3. "&amp;"Belum terlihat teknologi futuristik di dalam gagasan yang ditawarkan, hanya menempelkan pzioelektrik di breakwater, saat ini bisa dilakukan penelitian secara langsung
4. Sumber informasi kurang lengkap")</f>
        <v>1. Latar belakang kurang menjelaskan fokusan permasalahan yang diatasi, latar belakangnya bicara mengenai perubahan garis pantai tapi solusinya konversi energi 
2. Kurang adanya informasi mengenai upaya sebelumnya dalam mengatasi permasalahan tersebut
3. Belum terlihat teknologi futuristik di dalam gagasan yang ditawarkan, hanya menempelkan pzioelektrik di breakwater, saat ini bisa dilakukan penelitian secara langsung
4. Sumber informasi kurang lengkap</v>
      </c>
      <c r="T25" s="20" t="str">
        <f ca="1">IFERROR(__xludf.DUMMYFUNCTION("IFERROR(vlookup(B25,IMPORTRANGE(""https://docs.google.com/spreadsheets/d/1g_jfYYK_KeipEDNDUgqgrsxK94XiocfNQIcP-v1QVhI/edit?resourcekey#gid=233272945"",""Nilai!B:CT""),97,0),"" "")"),"TIDAK LAYAK UPLOAD KE SIMBELMAWA")</f>
        <v>TIDAK LAYAK UPLOAD KE SIMBELMAWA</v>
      </c>
      <c r="U25" s="39" t="s">
        <v>831</v>
      </c>
      <c r="V25" s="38" t="s">
        <v>999</v>
      </c>
      <c r="W25" s="18" t="s">
        <v>1012</v>
      </c>
      <c r="X25" s="22" t="b">
        <v>0</v>
      </c>
    </row>
    <row r="26" spans="1:24" ht="69">
      <c r="A26" s="15">
        <v>24</v>
      </c>
      <c r="B26" s="15">
        <f ca="1">IFERROR(__xludf.DUMMYFUNCTION("""COMPUTED_VALUE"""),2417)</f>
        <v>2417</v>
      </c>
      <c r="C26" s="16" t="str">
        <f ca="1">IFERROR(__xludf.DUMMYFUNCTION("""COMPUTED_VALUE"""),"GRACIANI CAHYADRESTA DEWANDA")</f>
        <v>GRACIANI CAHYADRESTA DEWANDA</v>
      </c>
      <c r="D26" s="16" t="str">
        <f ca="1">IFERROR(__xludf.DUMMYFUNCTION("""COMPUTED_VALUE"""),"08111840000079")</f>
        <v>08111840000079</v>
      </c>
      <c r="E26" s="16" t="str">
        <f ca="1">IFERROR(__xludf.DUMMYFUNCTION("""COMPUTED_VALUE"""),"Departemen Arsitektur")</f>
        <v>Departemen Arsitektur</v>
      </c>
      <c r="F26" s="16" t="str">
        <f ca="1">IFERROR(__xludf.DUMMYFUNCTION("""COMPUTED_VALUE"""),"Sistem Penambangan Litium Tepi Laut sebagai Bahan Baterai Terintegrasi dengan Sarana Edukasi Publik Guna Mengurangi Kerusakan Alam Akibat Penambangan Darat")</f>
        <v>Sistem Penambangan Litium Tepi Laut sebagai Bahan Baterai Terintegrasi dengan Sarana Edukasi Publik Guna Mengurangi Kerusakan Alam Akibat Penambangan Darat</v>
      </c>
      <c r="G26" s="16" t="str">
        <f ca="1">IFERROR(__xludf.DUMMYFUNCTION("""COMPUTED_VALUE"""),"Ir. I Gusti Ngurah Antaryama, Ph.D.")</f>
        <v>Ir. I Gusti Ngurah Antaryama, Ph.D.</v>
      </c>
      <c r="H26" s="16" t="str">
        <f ca="1">IFERROR(__xludf.DUMMYFUNCTION("""COMPUTED_VALUE"""),"Izzat Aulia Akbar, S.Kom., M.Eng., Ph.D.")</f>
        <v>Izzat Aulia Akbar, S.Kom., M.Eng., Ph.D.</v>
      </c>
      <c r="I26" s="16" t="str">
        <f ca="1">IFERROR(__xludf.DUMMYFUNCTION("""COMPUTED_VALUE"""),"Mahardika F. Rois, S.T, M.T")</f>
        <v>Mahardika F. Rois, S.T, M.T</v>
      </c>
      <c r="J26" s="16"/>
      <c r="K26" s="86" t="s">
        <v>1011</v>
      </c>
      <c r="L26" s="18" t="s">
        <v>1013</v>
      </c>
      <c r="M26" s="19" t="b">
        <v>1</v>
      </c>
      <c r="N26" s="19" t="b">
        <v>1</v>
      </c>
      <c r="O26" s="1" t="s">
        <v>1014</v>
      </c>
      <c r="P26" s="7" t="str">
        <f ca="1">IFERROR(__xludf.DUMMYFUNCTION("iferror(vlookup(B26,importrange(""https://docs.google.com/spreadsheets/d/1boHyJQ4e2FU0QG8MHwEi6qjX4hvZWVCHcFfXjq7bbMc/edit?resourcekey#gid=923248883"",""Prop!$C$1:$M""),12,0),IFERROR(vlookup(B26,importrange(""https://docs.google.com/spreadsheets/d/1boHyJQ"&amp;"4e2FU0QG8MHwEi6qjX4hvZWVCHcFfXjq7bbMc/edit?resourcekey#gid=923248883"",""Prop!$N$1:$X""),11,0),iferror(vlookup(B26,importrange(""https://docs.google.com/spreadsheets/d/1boHyJQ4e2FU0QG8MHwEi6qjX4hvZWVCHcFfXjq7bbMc/edit?resourcekey#gid=923248883"",""Prop!$Y"&amp;"$1:$AI""),11,0),iferror(vlookup(B26,importrange(""https://docs.google.com/spreadsheets/d/1boHyJQ4e2FU0QG8MHwEi6qjX4hvZWVCHcFfXjq7bbMc/edit?resourcekey#gid=923248883"",""Prop!$AJ$1:$AT""),11,0),iferror(vlookup(B26,importrange(""https://docs.google.com/spre"&amp;"adsheets/d/1boHyJQ4e2FU0QG8MHwEi6qjX4hvZWVCHcFfXjq7bbMc/edit?resourcekey#gid=923248883"",""Prop!$AU$1:$BE""),11,0),iferror(vlookup(B26,importrange(""https://docs.google.com/spreadsheets/d/1boHyJQ4e2FU0QG8MHwEi6qjX4hvZWVCHcFfXjq7bbMc/edit?resourcekey#gid=9"&amp;"23248883"",""Prop!$BF$1:$BP""),11,0),iferror(vlookup(B26,importrange(""https://docs.google.com/spreadsheets/d/1boHyJQ4e2FU0QG8MHwEi6qjX4hvZWVCHcFfXjq7bbMc/edit?resourcekey#gid=923248883"",""Prop!$BQ$1:$CA""),11,0),iferror(vlookup(B26,importrange(""https:/"&amp;"/docs.google.com/spreadsheets/d/1boHyJQ4e2FU0QG8MHwEi6qjX4hvZWVCHcFfXjq7bbMc/edit?resourcekey#gid=923248883"",""Prop!$CB$1:$CL""),11,0),iferror(vlookup(B26,importrange(""https://docs.google.com/spreadsheets/d/1boHyJQ4e2FU0QG8MHwEi6qjX4hvZWVCHcFfXjq7bbMc/e"&amp;"dit?resourcekey#gid=923248883"",""Prop!$CM$1:$CX""),12,0),iferror(vlookup(B26,importrange(""https://docs.google.com/spreadsheets/d/1boHyJQ4e2FU0QG8MHwEi6qjX4hvZWVCHcFfXjq7bbMc/edit?resourcekey#gid=923248883"",""Prop!$CV$1:$DI""),11,0)))))))))))"),"https://drive.google.com/open?id=1yx7PI06hfP8Ge-QsUgkePLzQdJ1wujAK")</f>
        <v>https://drive.google.com/open?id=1yx7PI06hfP8Ge-QsUgkePLzQdJ1wujAK</v>
      </c>
      <c r="Q26" s="7" t="str">
        <f ca="1">IFERROR(__xludf.DUMMYFUNCTION("iferror(vlookup(B26,importrange(""https://docs.google.com/spreadsheets/d/1p53T2AuvvIqhP7Nf-bo3Uhj8cbKYRPpZdsrBv3x3bAQ/edit?resourcekey#gid=1321652304"",""Prop!$C$1:$M""),11,0),IFERROR(vlookup(B26,importrange(""https://docs.google.com/spreadsheets/d/1p53T2"&amp;"AuvvIqhP7Nf-bo3Uhj8cbKYRPpZdsrBv3x3bAQ/edit?resourcekey#gid=1321652304"",""Prop!$N$1:$X""),11,0),iferror(vlookup(B26,importrange(""https://docs.google.com/spreadsheets/d/1p53T2AuvvIqhP7Nf-bo3Uhj8cbKYRPpZdsrBv3x3bAQ/edit?resourcekey#gid=1321652304"",""Prop"&amp;"!$Y$1:$AI""),11,0),iferror(vlookup(B26,importrange(""https://docs.google.com/spreadsheets/d/1p53T2AuvvIqhP7Nf-bo3Uhj8cbKYRPpZdsrBv3x3bAQ/edit?resourcekey#gid=1321652304"",""Prop!$AJ$1:$AT""),11,0),iferror(vlookup(B26,importrange(""https://docs.google.com/"&amp;"spreadsheets/d/1p53T2AuvvIqhP7Nf-bo3Uhj8cbKYRPpZdsrBv3x3bAQ/edit?resourcekey#gid=1321652304"",""Prop!$AU$1:$BE""),11,0),iferror(vlookup(B26,importrange(""https://docs.google.com/spreadsheets/d/1p53T2AuvvIqhP7Nf-bo3Uhj8cbKYRPpZdsrBv3x3bAQ/edit?resourcekey#"&amp;"gid=1321652304"",""Prop!$BF$1:$BP""),11,0),iferror(vlookup(B26,importrange(""https://docs.google.com/spreadsheets/d/1p53T2AuvvIqhP7Nf-bo3Uhj8cbKYRPpZdsrBv3x3bAQ/edit?resourcekey#gid=1321652304"",""Prop!$BQ$1:$CA""),11,0),iferror(vlookup(B26,importrange("""&amp;"https://docs.google.com/spreadsheets/d/1p53T2AuvvIqhP7Nf-bo3Uhj8cbKYRPpZdsrBv3x3bAQ/edit?resourcekey#gid=1321652304"",""Prop!$CB$1:$CL""),11,0),iferror(vlookup(B26,importrange(""https://docs.google.com/spreadsheets/d/1p53T2AuvvIqhP7Nf-bo3Uhj8cbKYRPpZdsrBv"&amp;"3x3bAQ/edit?resourcekey#gid=1321652304"",""Prop!$CM$1:$CX""),12,0),iferror(vlookup(B26,importrange(""https://docs.google.com/spreadsheets/d/1p53T2AuvvIqhP7Nf-bo3Uhj8cbKYRPpZdsrBv3x3bAQ/edit?resourcekey#gid=1321652304"",""Prop!$CY$1:$DI""),11,0)))))))))))"),"https://drive.google.com/open?id=1HFVHfGetBxuJivKTl1_lKQoobkJLkl14")</f>
        <v>https://drive.google.com/open?id=1HFVHfGetBxuJivKTl1_lKQoobkJLkl14</v>
      </c>
      <c r="R26" s="20" t="s">
        <v>998</v>
      </c>
      <c r="S26" s="20" t="str">
        <f ca="1">IFERROR(__xludf.DUMMYFUNCTION("IFERROR(vlookup(B26,IMPORTRANGE(""https://docs.google.com/spreadsheets/d/1g_jfYYK_KeipEDNDUgqgrsxK94XiocfNQIcP-v1QVhI/edit?resourcekey#gid=233272945"",""Nilai!B:CT""),37,0),"" "")"),"1. pastikan sesuai format, khususnya daftar pustaka
3. ilustrasi gagsan terlalu kecil ukurannya
3. tambahkan sistem kelembagaan pengelolannya")</f>
        <v>1. pastikan sesuai format, khususnya daftar pustaka
3. ilustrasi gagsan terlalu kecil ukurannya
3. tambahkan sistem kelembagaan pengelolannya</v>
      </c>
      <c r="T26" s="20" t="str">
        <f ca="1">IFERROR(__xludf.DUMMYFUNCTION("IFERROR(vlookup(B26,IMPORTRANGE(""https://docs.google.com/spreadsheets/d/1g_jfYYK_KeipEDNDUgqgrsxK94XiocfNQIcP-v1QVhI/edit?resourcekey#gid=233272945"",""Nilai!B:CT""),97,0),"" "")"),"LAYAK UPLOAD KE SIMBELMAWA DENGAN REVISI")</f>
        <v>LAYAK UPLOAD KE SIMBELMAWA DENGAN REVISI</v>
      </c>
      <c r="U26" s="39" t="s">
        <v>831</v>
      </c>
      <c r="V26" s="38" t="s">
        <v>999</v>
      </c>
      <c r="W26" s="18" t="s">
        <v>1012</v>
      </c>
      <c r="X26" s="22" t="b">
        <v>1</v>
      </c>
    </row>
    <row r="27" spans="1:24" ht="72">
      <c r="A27" s="15">
        <v>25</v>
      </c>
      <c r="B27" s="15">
        <f ca="1">IFERROR(__xludf.DUMMYFUNCTION("""COMPUTED_VALUE"""),3056)</f>
        <v>3056</v>
      </c>
      <c r="C27" s="16" t="str">
        <f ca="1">IFERROR(__xludf.DUMMYFUNCTION("""COMPUTED_VALUE"""),"ALDIMAS KURNIAWAN PRATAMA")</f>
        <v>ALDIMAS KURNIAWAN PRATAMA</v>
      </c>
      <c r="D27" s="16" t="str">
        <f ca="1">IFERROR(__xludf.DUMMYFUNCTION("""COMPUTED_VALUE"""),"08111940000061")</f>
        <v>08111940000061</v>
      </c>
      <c r="E27" s="16" t="str">
        <f ca="1">IFERROR(__xludf.DUMMYFUNCTION("""COMPUTED_VALUE"""),"Departemen Arsitektur")</f>
        <v>Departemen Arsitektur</v>
      </c>
      <c r="F27" s="16" t="str">
        <f ca="1">IFERROR(__xludf.DUMMYFUNCTION("""COMPUTED_VALUE"""),"Program Jangka Panjang untuk Mewujudkan Arsitektur Metabolism Building menuju Zero Emission Carbon dengan Pemanfaatan Tanaman Alga sebagai Fasad Bangunan")</f>
        <v>Program Jangka Panjang untuk Mewujudkan Arsitektur Metabolism Building menuju Zero Emission Carbon dengan Pemanfaatan Tanaman Alga sebagai Fasad Bangunan</v>
      </c>
      <c r="G27" s="16" t="str">
        <f ca="1">IFERROR(__xludf.DUMMYFUNCTION("""COMPUTED_VALUE"""),"Endy Yudho Prasetyo, S.T., M.T.")</f>
        <v>Endy Yudho Prasetyo, S.T., M.T.</v>
      </c>
      <c r="H27" s="16" t="str">
        <f ca="1">IFERROR(__xludf.DUMMYFUNCTION("""COMPUTED_VALUE"""),"Prof. Ir. Aguk Zuhdi Muhammad Fathallah, M.Eng., Ph.D.")</f>
        <v>Prof. Ir. Aguk Zuhdi Muhammad Fathallah, M.Eng., Ph.D.</v>
      </c>
      <c r="I27" s="16" t="str">
        <f ca="1">IFERROR(__xludf.DUMMYFUNCTION("""COMPUTED_VALUE"""),"Ahmad Fauzan Adziimaa, S.T., M.Sc.")</f>
        <v>Ahmad Fauzan Adziimaa, S.T., M.Sc.</v>
      </c>
      <c r="J27" s="16"/>
      <c r="K27" s="86" t="s">
        <v>1011</v>
      </c>
      <c r="L27" s="18" t="s">
        <v>1013</v>
      </c>
      <c r="M27" s="19" t="b">
        <v>1</v>
      </c>
      <c r="N27" s="19" t="b">
        <v>1</v>
      </c>
      <c r="O27" s="1" t="s">
        <v>1014</v>
      </c>
      <c r="P27" s="7" t="str">
        <f ca="1">IFERROR(__xludf.DUMMYFUNCTION("iferror(vlookup(B27,importrange(""https://docs.google.com/spreadsheets/d/1boHyJQ4e2FU0QG8MHwEi6qjX4hvZWVCHcFfXjq7bbMc/edit?resourcekey#gid=923248883"",""Prop!$C$1:$M""),12,0),IFERROR(vlookup(B27,importrange(""https://docs.google.com/spreadsheets/d/1boHyJQ"&amp;"4e2FU0QG8MHwEi6qjX4hvZWVCHcFfXjq7bbMc/edit?resourcekey#gid=923248883"",""Prop!$N$1:$X""),11,0),iferror(vlookup(B27,importrange(""https://docs.google.com/spreadsheets/d/1boHyJQ4e2FU0QG8MHwEi6qjX4hvZWVCHcFfXjq7bbMc/edit?resourcekey#gid=923248883"",""Prop!$Y"&amp;"$1:$AI""),11,0),iferror(vlookup(B27,importrange(""https://docs.google.com/spreadsheets/d/1boHyJQ4e2FU0QG8MHwEi6qjX4hvZWVCHcFfXjq7bbMc/edit?resourcekey#gid=923248883"",""Prop!$AJ$1:$AT""),11,0),iferror(vlookup(B27,importrange(""https://docs.google.com/spre"&amp;"adsheets/d/1boHyJQ4e2FU0QG8MHwEi6qjX4hvZWVCHcFfXjq7bbMc/edit?resourcekey#gid=923248883"",""Prop!$AU$1:$BE""),11,0),iferror(vlookup(B27,importrange(""https://docs.google.com/spreadsheets/d/1boHyJQ4e2FU0QG8MHwEi6qjX4hvZWVCHcFfXjq7bbMc/edit?resourcekey#gid=9"&amp;"23248883"",""Prop!$BF$1:$BP""),11,0),iferror(vlookup(B27,importrange(""https://docs.google.com/spreadsheets/d/1boHyJQ4e2FU0QG8MHwEi6qjX4hvZWVCHcFfXjq7bbMc/edit?resourcekey#gid=923248883"",""Prop!$BQ$1:$CA""),11,0),iferror(vlookup(B27,importrange(""https:/"&amp;"/docs.google.com/spreadsheets/d/1boHyJQ4e2FU0QG8MHwEi6qjX4hvZWVCHcFfXjq7bbMc/edit?resourcekey#gid=923248883"",""Prop!$CB$1:$CL""),11,0),iferror(vlookup(B27,importrange(""https://docs.google.com/spreadsheets/d/1boHyJQ4e2FU0QG8MHwEi6qjX4hvZWVCHcFfXjq7bbMc/e"&amp;"dit?resourcekey#gid=923248883"",""Prop!$CM$1:$CX""),12,0),iferror(vlookup(B27,importrange(""https://docs.google.com/spreadsheets/d/1boHyJQ4e2FU0QG8MHwEi6qjX4hvZWVCHcFfXjq7bbMc/edit?resourcekey#gid=923248883"",""Prop!$CV$1:$DI""),11,0)))))))))))"),"https://drive.google.com/open?id=1Qx1xZ2Mpuc_O_YSmC6fdl-DMlC3dsACe")</f>
        <v>https://drive.google.com/open?id=1Qx1xZ2Mpuc_O_YSmC6fdl-DMlC3dsACe</v>
      </c>
      <c r="Q27" s="7" t="str">
        <f ca="1">IFERROR(__xludf.DUMMYFUNCTION("iferror(vlookup(B27,importrange(""https://docs.google.com/spreadsheets/d/1p53T2AuvvIqhP7Nf-bo3Uhj8cbKYRPpZdsrBv3x3bAQ/edit?resourcekey#gid=1321652304"",""Prop!$C$1:$M""),11,0),IFERROR(vlookup(B27,importrange(""https://docs.google.com/spreadsheets/d/1p53T2"&amp;"AuvvIqhP7Nf-bo3Uhj8cbKYRPpZdsrBv3x3bAQ/edit?resourcekey#gid=1321652304"",""Prop!$N$1:$X""),11,0),iferror(vlookup(B27,importrange(""https://docs.google.com/spreadsheets/d/1p53T2AuvvIqhP7Nf-bo3Uhj8cbKYRPpZdsrBv3x3bAQ/edit?resourcekey#gid=1321652304"",""Prop"&amp;"!$Y$1:$AI""),11,0),iferror(vlookup(B27,importrange(""https://docs.google.com/spreadsheets/d/1p53T2AuvvIqhP7Nf-bo3Uhj8cbKYRPpZdsrBv3x3bAQ/edit?resourcekey#gid=1321652304"",""Prop!$AJ$1:$AT""),11,0),iferror(vlookup(B27,importrange(""https://docs.google.com/"&amp;"spreadsheets/d/1p53T2AuvvIqhP7Nf-bo3Uhj8cbKYRPpZdsrBv3x3bAQ/edit?resourcekey#gid=1321652304"",""Prop!$AU$1:$BE""),11,0),iferror(vlookup(B27,importrange(""https://docs.google.com/spreadsheets/d/1p53T2AuvvIqhP7Nf-bo3Uhj8cbKYRPpZdsrBv3x3bAQ/edit?resourcekey#"&amp;"gid=1321652304"",""Prop!$BF$1:$BP""),11,0),iferror(vlookup(B27,importrange(""https://docs.google.com/spreadsheets/d/1p53T2AuvvIqhP7Nf-bo3Uhj8cbKYRPpZdsrBv3x3bAQ/edit?resourcekey#gid=1321652304"",""Prop!$BQ$1:$CA""),11,0),iferror(vlookup(B27,importrange("""&amp;"https://docs.google.com/spreadsheets/d/1p53T2AuvvIqhP7Nf-bo3Uhj8cbKYRPpZdsrBv3x3bAQ/edit?resourcekey#gid=1321652304"",""Prop!$CB$1:$CL""),11,0),iferror(vlookup(B27,importrange(""https://docs.google.com/spreadsheets/d/1p53T2AuvvIqhP7Nf-bo3Uhj8cbKYRPpZdsrBv"&amp;"3x3bAQ/edit?resourcekey#gid=1321652304"",""Prop!$CM$1:$CX""),12,0),iferror(vlookup(B27,importrange(""https://docs.google.com/spreadsheets/d/1p53T2AuvvIqhP7Nf-bo3Uhj8cbKYRPpZdsrBv3x3bAQ/edit?resourcekey#gid=1321652304"",""Prop!$CY$1:$DI""),11,0)))))))))))"),"https://drive.google.com/open?id=15W2BtliUv0Kfb0uIDo-hEr2B1EOVfefn")</f>
        <v>https://drive.google.com/open?id=15W2BtliUv0Kfb0uIDo-hEr2B1EOVfefn</v>
      </c>
      <c r="R27" s="20" t="s">
        <v>998</v>
      </c>
      <c r="S27" s="20" t="str">
        <f ca="1">IFERROR(__xludf.DUMMYFUNCTION("IFERROR(vlookup(B27,IMPORTRANGE(""https://docs.google.com/spreadsheets/d/1g_jfYYK_KeipEDNDUgqgrsxK94XiocfNQIcP-v1QVhI/edit?resourcekey#gid=233272945"",""Nilai!B:CT""),37,0),"" "")"),"1. perbaiki sesuai saran di proposal
2. hal yang prinsip menyesuaikan judul dan membuat gagasan lebih visoner, komprehensif dan implementatif")</f>
        <v>1. perbaiki sesuai saran di proposal
2. hal yang prinsip menyesuaikan judul dan membuat gagasan lebih visoner, komprehensif dan implementatif</v>
      </c>
      <c r="T27" s="20" t="str">
        <f ca="1">IFERROR(__xludf.DUMMYFUNCTION("IFERROR(vlookup(B27,IMPORTRANGE(""https://docs.google.com/spreadsheets/d/1g_jfYYK_KeipEDNDUgqgrsxK94XiocfNQIcP-v1QVhI/edit?resourcekey#gid=233272945"",""Nilai!B:CT""),97,0),"" "")"),"LAYAK UPLOAD KE SIMBELMAWA DENGAN REVISI")</f>
        <v>LAYAK UPLOAD KE SIMBELMAWA DENGAN REVISI</v>
      </c>
      <c r="U27" s="39" t="s">
        <v>831</v>
      </c>
      <c r="V27" s="38" t="s">
        <v>999</v>
      </c>
      <c r="W27" s="18" t="s">
        <v>1015</v>
      </c>
      <c r="X27" s="22" t="b">
        <v>1</v>
      </c>
    </row>
    <row r="28" spans="1:24" ht="69">
      <c r="A28" s="15">
        <v>26</v>
      </c>
      <c r="B28" s="15">
        <f ca="1">IFERROR(__xludf.DUMMYFUNCTION("""COMPUTED_VALUE"""),2319)</f>
        <v>2319</v>
      </c>
      <c r="C28" s="16" t="str">
        <f ca="1">IFERROR(__xludf.DUMMYFUNCTION("""COMPUTED_VALUE"""),"Khusnul Nur Rochmah")</f>
        <v>Khusnul Nur Rochmah</v>
      </c>
      <c r="D28" s="16" t="str">
        <f ca="1">IFERROR(__xludf.DUMMYFUNCTION("""COMPUTED_VALUE"""),"03411940000008")</f>
        <v>03411940000008</v>
      </c>
      <c r="E28" s="16" t="str">
        <f ca="1">IFERROR(__xludf.DUMMYFUNCTION("""COMPUTED_VALUE"""),"Departemen Teknik Geofisika")</f>
        <v>Departemen Teknik Geofisika</v>
      </c>
      <c r="F28" s="16" t="str">
        <f ca="1">IFERROR(__xludf.DUMMYFUNCTION("""COMPUTED_VALUE"""),"Penanganan Kekeringan di Buleleng Bali Melalui Pemanfaatan Geo Ocean Energy Conversion Berbasis Water Desalination Sebagai Inovasi Pembangunan Berkelanjutan Tahun 2030")</f>
        <v>Penanganan Kekeringan di Buleleng Bali Melalui Pemanfaatan Geo Ocean Energy Conversion Berbasis Water Desalination Sebagai Inovasi Pembangunan Berkelanjutan Tahun 2030</v>
      </c>
      <c r="G28" s="16" t="str">
        <f ca="1">IFERROR(__xludf.DUMMYFUNCTION("""COMPUTED_VALUE"""),"Wien Lestari, S.T., M.T.")</f>
        <v>Wien Lestari, S.T., M.T.</v>
      </c>
      <c r="H28" s="16" t="str">
        <f ca="1">IFERROR(__xludf.DUMMYFUNCTION("""COMPUTED_VALUE"""),"Dr.-Ing. Doty Dewi Risanti, S.T., M.T.")</f>
        <v>Dr.-Ing. Doty Dewi Risanti, S.T., M.T.</v>
      </c>
      <c r="I28" s="16" t="str">
        <f ca="1">IFERROR(__xludf.DUMMYFUNCTION("""COMPUTED_VALUE"""),"Dyah Sawitri, S.T., M.T.")</f>
        <v>Dyah Sawitri, S.T., M.T.</v>
      </c>
      <c r="J28" s="16"/>
      <c r="K28" s="86" t="s">
        <v>1011</v>
      </c>
      <c r="L28" s="18" t="s">
        <v>1013</v>
      </c>
      <c r="M28" s="19" t="b">
        <v>1</v>
      </c>
      <c r="N28" s="19" t="b">
        <v>1</v>
      </c>
      <c r="O28" s="1" t="s">
        <v>1014</v>
      </c>
      <c r="P28" s="7" t="str">
        <f ca="1">IFERROR(__xludf.DUMMYFUNCTION("iferror(vlookup(B28,importrange(""https://docs.google.com/spreadsheets/d/1boHyJQ4e2FU0QG8MHwEi6qjX4hvZWVCHcFfXjq7bbMc/edit?resourcekey#gid=923248883"",""Prop!$C$1:$M""),12,0),IFERROR(vlookup(B28,importrange(""https://docs.google.com/spreadsheets/d/1boHyJQ"&amp;"4e2FU0QG8MHwEi6qjX4hvZWVCHcFfXjq7bbMc/edit?resourcekey#gid=923248883"",""Prop!$N$1:$X""),11,0),iferror(vlookup(B28,importrange(""https://docs.google.com/spreadsheets/d/1boHyJQ4e2FU0QG8MHwEi6qjX4hvZWVCHcFfXjq7bbMc/edit?resourcekey#gid=923248883"",""Prop!$Y"&amp;"$1:$AI""),11,0),iferror(vlookup(B28,importrange(""https://docs.google.com/spreadsheets/d/1boHyJQ4e2FU0QG8MHwEi6qjX4hvZWVCHcFfXjq7bbMc/edit?resourcekey#gid=923248883"",""Prop!$AJ$1:$AT""),11,0),iferror(vlookup(B28,importrange(""https://docs.google.com/spre"&amp;"adsheets/d/1boHyJQ4e2FU0QG8MHwEi6qjX4hvZWVCHcFfXjq7bbMc/edit?resourcekey#gid=923248883"",""Prop!$AU$1:$BE""),11,0),iferror(vlookup(B28,importrange(""https://docs.google.com/spreadsheets/d/1boHyJQ4e2FU0QG8MHwEi6qjX4hvZWVCHcFfXjq7bbMc/edit?resourcekey#gid=9"&amp;"23248883"",""Prop!$BF$1:$BP""),11,0),iferror(vlookup(B28,importrange(""https://docs.google.com/spreadsheets/d/1boHyJQ4e2FU0QG8MHwEi6qjX4hvZWVCHcFfXjq7bbMc/edit?resourcekey#gid=923248883"",""Prop!$BQ$1:$CA""),11,0),iferror(vlookup(B28,importrange(""https:/"&amp;"/docs.google.com/spreadsheets/d/1boHyJQ4e2FU0QG8MHwEi6qjX4hvZWVCHcFfXjq7bbMc/edit?resourcekey#gid=923248883"",""Prop!$CB$1:$CL""),11,0),iferror(vlookup(B28,importrange(""https://docs.google.com/spreadsheets/d/1boHyJQ4e2FU0QG8MHwEi6qjX4hvZWVCHcFfXjq7bbMc/e"&amp;"dit?resourcekey#gid=923248883"",""Prop!$CM$1:$CX""),12,0),iferror(vlookup(B28,importrange(""https://docs.google.com/spreadsheets/d/1boHyJQ4e2FU0QG8MHwEi6qjX4hvZWVCHcFfXjq7bbMc/edit?resourcekey#gid=923248883"",""Prop!$CV$1:$DI""),11,0)))))))))))"),"https://drive.google.com/open?id=1WnMHlv9vfaSt2Lc_pM9pc-62DqHvRtET")</f>
        <v>https://drive.google.com/open?id=1WnMHlv9vfaSt2Lc_pM9pc-62DqHvRtET</v>
      </c>
      <c r="Q28" s="7" t="str">
        <f ca="1">IFERROR(__xludf.DUMMYFUNCTION("iferror(vlookup(B28,importrange(""https://docs.google.com/spreadsheets/d/1p53T2AuvvIqhP7Nf-bo3Uhj8cbKYRPpZdsrBv3x3bAQ/edit?resourcekey#gid=1321652304"",""Prop!$C$1:$M""),11,0),IFERROR(vlookup(B28,importrange(""https://docs.google.com/spreadsheets/d/1p53T2"&amp;"AuvvIqhP7Nf-bo3Uhj8cbKYRPpZdsrBv3x3bAQ/edit?resourcekey#gid=1321652304"",""Prop!$N$1:$X""),11,0),iferror(vlookup(B28,importrange(""https://docs.google.com/spreadsheets/d/1p53T2AuvvIqhP7Nf-bo3Uhj8cbKYRPpZdsrBv3x3bAQ/edit?resourcekey#gid=1321652304"",""Prop"&amp;"!$Y$1:$AI""),11,0),iferror(vlookup(B28,importrange(""https://docs.google.com/spreadsheets/d/1p53T2AuvvIqhP7Nf-bo3Uhj8cbKYRPpZdsrBv3x3bAQ/edit?resourcekey#gid=1321652304"",""Prop!$AJ$1:$AT""),11,0),iferror(vlookup(B28,importrange(""https://docs.google.com/"&amp;"spreadsheets/d/1p53T2AuvvIqhP7Nf-bo3Uhj8cbKYRPpZdsrBv3x3bAQ/edit?resourcekey#gid=1321652304"",""Prop!$AU$1:$BE""),11,0),iferror(vlookup(B28,importrange(""https://docs.google.com/spreadsheets/d/1p53T2AuvvIqhP7Nf-bo3Uhj8cbKYRPpZdsrBv3x3bAQ/edit?resourcekey#"&amp;"gid=1321652304"",""Prop!$BF$1:$BP""),11,0),iferror(vlookup(B28,importrange(""https://docs.google.com/spreadsheets/d/1p53T2AuvvIqhP7Nf-bo3Uhj8cbKYRPpZdsrBv3x3bAQ/edit?resourcekey#gid=1321652304"",""Prop!$BQ$1:$CA""),11,0),iferror(vlookup(B28,importrange("""&amp;"https://docs.google.com/spreadsheets/d/1p53T2AuvvIqhP7Nf-bo3Uhj8cbKYRPpZdsrBv3x3bAQ/edit?resourcekey#gid=1321652304"",""Prop!$CB$1:$CL""),11,0),iferror(vlookup(B28,importrange(""https://docs.google.com/spreadsheets/d/1p53T2AuvvIqhP7Nf-bo3Uhj8cbKYRPpZdsrBv"&amp;"3x3bAQ/edit?resourcekey#gid=1321652304"",""Prop!$CM$1:$CX""),12,0),iferror(vlookup(B28,importrange(""https://docs.google.com/spreadsheets/d/1p53T2AuvvIqhP7Nf-bo3Uhj8cbKYRPpZdsrBv3x3bAQ/edit?resourcekey#gid=1321652304"",""Prop!$CY$1:$DI""),11,0)))))))))))"),"https://drive.google.com/open?id=10wY1ISwNNrJzwCIcz0jsCdYcj5qvl3Iq")</f>
        <v>https://drive.google.com/open?id=10wY1ISwNNrJzwCIcz0jsCdYcj5qvl3Iq</v>
      </c>
      <c r="R28" s="20" t="s">
        <v>998</v>
      </c>
      <c r="S28" s="20" t="str">
        <f ca="1">IFERROR(__xludf.DUMMYFUNCTION("IFERROR(vlookup(B28,IMPORTRANGE(""https://docs.google.com/spreadsheets/d/1g_jfYYK_KeipEDNDUgqgrsxK94XiocfNQIcP-v1QVhI/edit?resourcekey#gid=233272945"",""Nilai!B:CT""),37,0),"" "")"),"1. ide ini akan lebih baik membuat food estate di Kab Buleleng dengan berbasis Geo-Ocean Energy Conversion
2. kalau ide spt ini, sdh bukan GFT lagi, karena ide ini sdh banyak dikembangkan
2. proposal layak lolos bila idenya dikembangkan sesuai saran")</f>
        <v>1. ide ini akan lebih baik membuat food estate di Kab Buleleng dengan berbasis Geo-Ocean Energy Conversion
2. kalau ide spt ini, sdh bukan GFT lagi, karena ide ini sdh banyak dikembangkan
2. proposal layak lolos bila idenya dikembangkan sesuai saran</v>
      </c>
      <c r="T28" s="20" t="str">
        <f ca="1">IFERROR(__xludf.DUMMYFUNCTION("IFERROR(vlookup(B28,IMPORTRANGE(""https://docs.google.com/spreadsheets/d/1g_jfYYK_KeipEDNDUgqgrsxK94XiocfNQIcP-v1QVhI/edit?resourcekey#gid=233272945"",""Nilai!B:CT""),97,0),"" "")"),"LAYAK UPLOAD KE SIMBELMAWA DENGAN REVISI")</f>
        <v>LAYAK UPLOAD KE SIMBELMAWA DENGAN REVISI</v>
      </c>
      <c r="U28" s="39" t="s">
        <v>831</v>
      </c>
      <c r="V28" s="38" t="s">
        <v>999</v>
      </c>
      <c r="W28" s="18" t="s">
        <v>1015</v>
      </c>
      <c r="X28" s="22" t="b">
        <v>1</v>
      </c>
    </row>
    <row r="29" spans="1:24" ht="72">
      <c r="A29" s="15">
        <v>27</v>
      </c>
      <c r="B29" s="15">
        <f ca="1">IFERROR(__xludf.DUMMYFUNCTION("""COMPUTED_VALUE"""),3522)</f>
        <v>3522</v>
      </c>
      <c r="C29" s="16" t="str">
        <f ca="1">IFERROR(__xludf.DUMMYFUNCTION("""COMPUTED_VALUE"""),"FAIZ MAULANA ACHSAN")</f>
        <v>FAIZ MAULANA ACHSAN</v>
      </c>
      <c r="D29" s="16" t="str">
        <f ca="1">IFERROR(__xludf.DUMMYFUNCTION("""COMPUTED_VALUE"""),"5017211014")</f>
        <v>5017211014</v>
      </c>
      <c r="E29" s="16" t="str">
        <f ca="1">IFERROR(__xludf.DUMMYFUNCTION("""COMPUTED_VALUE"""),"Departemen Teknik Geofisika")</f>
        <v>Departemen Teknik Geofisika</v>
      </c>
      <c r="F29" s="16" t="str">
        <f ca="1">IFERROR(__xludf.DUMMYFUNCTION("""COMPUTED_VALUE"""),"Inovasi Alat Peringatan Dini Tsunami Senyap Deep-ocean Assessement and Reporting Tsunami Menggunakan Realtime Sub Bottom Profiler dengan Melibatkan Local System")</f>
        <v>Inovasi Alat Peringatan Dini Tsunami Senyap Deep-ocean Assessement and Reporting Tsunami Menggunakan Realtime Sub Bottom Profiler dengan Melibatkan Local System</v>
      </c>
      <c r="G29" s="16" t="str">
        <f ca="1">IFERROR(__xludf.DUMMYFUNCTION("""COMPUTED_VALUE"""),"Juan Pandu Gya Nur Rochman, S.Si., M.T.")</f>
        <v>Juan Pandu Gya Nur Rochman, S.Si., M.T.</v>
      </c>
      <c r="H29" s="16" t="str">
        <f ca="1">IFERROR(__xludf.DUMMYFUNCTION("""COMPUTED_VALUE"""),"Prof. Ir. Aguk Zuhdi Muhammad Fathallah, M.Eng., Ph.D.")</f>
        <v>Prof. Ir. Aguk Zuhdi Muhammad Fathallah, M.Eng., Ph.D.</v>
      </c>
      <c r="I29" s="16" t="str">
        <f ca="1">IFERROR(__xludf.DUMMYFUNCTION("""COMPUTED_VALUE"""),"Muhammad Syifaul Mufid, S.Si.,M.Si")</f>
        <v>Muhammad Syifaul Mufid, S.Si.,M.Si</v>
      </c>
      <c r="J29" s="16"/>
      <c r="K29" s="86" t="s">
        <v>1011</v>
      </c>
      <c r="L29" s="18" t="s">
        <v>1013</v>
      </c>
      <c r="M29" s="19" t="b">
        <v>1</v>
      </c>
      <c r="N29" s="19" t="b">
        <v>1</v>
      </c>
      <c r="O29" s="1" t="s">
        <v>1014</v>
      </c>
      <c r="P29" s="7" t="str">
        <f ca="1">IFERROR(__xludf.DUMMYFUNCTION("iferror(vlookup(B29,importrange(""https://docs.google.com/spreadsheets/d/1boHyJQ4e2FU0QG8MHwEi6qjX4hvZWVCHcFfXjq7bbMc/edit?resourcekey#gid=923248883"",""Prop!$C$1:$M""),12,0),IFERROR(vlookup(B29,importrange(""https://docs.google.com/spreadsheets/d/1boHyJQ"&amp;"4e2FU0QG8MHwEi6qjX4hvZWVCHcFfXjq7bbMc/edit?resourcekey#gid=923248883"",""Prop!$N$1:$X""),11,0),iferror(vlookup(B29,importrange(""https://docs.google.com/spreadsheets/d/1boHyJQ4e2FU0QG8MHwEi6qjX4hvZWVCHcFfXjq7bbMc/edit?resourcekey#gid=923248883"",""Prop!$Y"&amp;"$1:$AI""),11,0),iferror(vlookup(B29,importrange(""https://docs.google.com/spreadsheets/d/1boHyJQ4e2FU0QG8MHwEi6qjX4hvZWVCHcFfXjq7bbMc/edit?resourcekey#gid=923248883"",""Prop!$AJ$1:$AT""),11,0),iferror(vlookup(B29,importrange(""https://docs.google.com/spre"&amp;"adsheets/d/1boHyJQ4e2FU0QG8MHwEi6qjX4hvZWVCHcFfXjq7bbMc/edit?resourcekey#gid=923248883"",""Prop!$AU$1:$BE""),11,0),iferror(vlookup(B29,importrange(""https://docs.google.com/spreadsheets/d/1boHyJQ4e2FU0QG8MHwEi6qjX4hvZWVCHcFfXjq7bbMc/edit?resourcekey#gid=9"&amp;"23248883"",""Prop!$BF$1:$BP""),11,0),iferror(vlookup(B29,importrange(""https://docs.google.com/spreadsheets/d/1boHyJQ4e2FU0QG8MHwEi6qjX4hvZWVCHcFfXjq7bbMc/edit?resourcekey#gid=923248883"",""Prop!$BQ$1:$CA""),11,0),iferror(vlookup(B29,importrange(""https:/"&amp;"/docs.google.com/spreadsheets/d/1boHyJQ4e2FU0QG8MHwEi6qjX4hvZWVCHcFfXjq7bbMc/edit?resourcekey#gid=923248883"",""Prop!$CB$1:$CL""),11,0),iferror(vlookup(B29,importrange(""https://docs.google.com/spreadsheets/d/1boHyJQ4e2FU0QG8MHwEi6qjX4hvZWVCHcFfXjq7bbMc/e"&amp;"dit?resourcekey#gid=923248883"",""Prop!$CM$1:$CX""),12,0),iferror(vlookup(B29,importrange(""https://docs.google.com/spreadsheets/d/1boHyJQ4e2FU0QG8MHwEi6qjX4hvZWVCHcFfXjq7bbMc/edit?resourcekey#gid=923248883"",""Prop!$CV$1:$DI""),11,0)))))))))))"),"https://drive.google.com/open?id=1A7q8QjJhB6ICN-ehSgBKT7G44PeHgu_O")</f>
        <v>https://drive.google.com/open?id=1A7q8QjJhB6ICN-ehSgBKT7G44PeHgu_O</v>
      </c>
      <c r="Q29" s="7" t="str">
        <f ca="1">IFERROR(__xludf.DUMMYFUNCTION("iferror(vlookup(B29,importrange(""https://docs.google.com/spreadsheets/d/1p53T2AuvvIqhP7Nf-bo3Uhj8cbKYRPpZdsrBv3x3bAQ/edit?resourcekey#gid=1321652304"",""Prop!$C$1:$M""),11,0),IFERROR(vlookup(B29,importrange(""https://docs.google.com/spreadsheets/d/1p53T2"&amp;"AuvvIqhP7Nf-bo3Uhj8cbKYRPpZdsrBv3x3bAQ/edit?resourcekey#gid=1321652304"",""Prop!$N$1:$X""),11,0),iferror(vlookup(B29,importrange(""https://docs.google.com/spreadsheets/d/1p53T2AuvvIqhP7Nf-bo3Uhj8cbKYRPpZdsrBv3x3bAQ/edit?resourcekey#gid=1321652304"",""Prop"&amp;"!$Y$1:$AI""),11,0),iferror(vlookup(B29,importrange(""https://docs.google.com/spreadsheets/d/1p53T2AuvvIqhP7Nf-bo3Uhj8cbKYRPpZdsrBv3x3bAQ/edit?resourcekey#gid=1321652304"",""Prop!$AJ$1:$AT""),11,0),iferror(vlookup(B29,importrange(""https://docs.google.com/"&amp;"spreadsheets/d/1p53T2AuvvIqhP7Nf-bo3Uhj8cbKYRPpZdsrBv3x3bAQ/edit?resourcekey#gid=1321652304"",""Prop!$AU$1:$BE""),11,0),iferror(vlookup(B29,importrange(""https://docs.google.com/spreadsheets/d/1p53T2AuvvIqhP7Nf-bo3Uhj8cbKYRPpZdsrBv3x3bAQ/edit?resourcekey#"&amp;"gid=1321652304"",""Prop!$BF$1:$BP""),11,0),iferror(vlookup(B29,importrange(""https://docs.google.com/spreadsheets/d/1p53T2AuvvIqhP7Nf-bo3Uhj8cbKYRPpZdsrBv3x3bAQ/edit?resourcekey#gid=1321652304"",""Prop!$BQ$1:$CA""),11,0),iferror(vlookup(B29,importrange("""&amp;"https://docs.google.com/spreadsheets/d/1p53T2AuvvIqhP7Nf-bo3Uhj8cbKYRPpZdsrBv3x3bAQ/edit?resourcekey#gid=1321652304"",""Prop!$CB$1:$CL""),11,0),iferror(vlookup(B29,importrange(""https://docs.google.com/spreadsheets/d/1p53T2AuvvIqhP7Nf-bo3Uhj8cbKYRPpZdsrBv"&amp;"3x3bAQ/edit?resourcekey#gid=1321652304"",""Prop!$CM$1:$CX""),12,0),iferror(vlookup(B29,importrange(""https://docs.google.com/spreadsheets/d/1p53T2AuvvIqhP7Nf-bo3Uhj8cbKYRPpZdsrBv3x3bAQ/edit?resourcekey#gid=1321652304"",""Prop!$CY$1:$DI""),11,0)))))))))))"),"https://drive.google.com/open?id=1g_ZeGLqPUvZuCgj6OOxOjr4Kz0pGsnyc")</f>
        <v>https://drive.google.com/open?id=1g_ZeGLqPUvZuCgj6OOxOjr4Kz0pGsnyc</v>
      </c>
      <c r="R29" s="20" t="s">
        <v>998</v>
      </c>
      <c r="S29" s="20" t="str">
        <f ca="1">IFERROR(__xludf.DUMMYFUNCTION("IFERROR(vlookup(B29,IMPORTRANGE(""https://docs.google.com/spreadsheets/d/1g_jfYYK_KeipEDNDUgqgrsxK94XiocfNQIcP-v1QVhI/edit?resourcekey#gid=233272945"",""Nilai!B:CT""),37,0),"" "")"),"1. walaupun ada unsur sistemnya, namun gagasan yang ditawarkan masih berbasis alat.
2. aspek visionernya kurang terlihat")</f>
        <v>1. walaupun ada unsur sistemnya, namun gagasan yang ditawarkan masih berbasis alat.
2. aspek visionernya kurang terlihat</v>
      </c>
      <c r="T29" s="20" t="str">
        <f ca="1">IFERROR(__xludf.DUMMYFUNCTION("IFERROR(vlookup(B29,IMPORTRANGE(""https://docs.google.com/spreadsheets/d/1g_jfYYK_KeipEDNDUgqgrsxK94XiocfNQIcP-v1QVhI/edit?resourcekey#gid=233272945"",""Nilai!B:CT""),97,0),"" "")"),"TIDAK LAYAK UPLOAD KE SIMBELMAWA")</f>
        <v>TIDAK LAYAK UPLOAD KE SIMBELMAWA</v>
      </c>
      <c r="U29" s="39" t="s">
        <v>831</v>
      </c>
      <c r="V29" s="38" t="s">
        <v>999</v>
      </c>
      <c r="W29" s="18" t="s">
        <v>1015</v>
      </c>
      <c r="X29" s="22" t="b">
        <v>1</v>
      </c>
    </row>
    <row r="30" spans="1:24" ht="69">
      <c r="A30" s="15">
        <v>28</v>
      </c>
      <c r="B30" s="15">
        <f ca="1">IFERROR(__xludf.DUMMYFUNCTION("""COMPUTED_VALUE"""),4118)</f>
        <v>4118</v>
      </c>
      <c r="C30" s="16" t="str">
        <f ca="1">IFERROR(__xludf.DUMMYFUNCTION("""COMPUTED_VALUE"""),"Bamara Untsa Cita Suci")</f>
        <v>Bamara Untsa Cita Suci</v>
      </c>
      <c r="D30" s="16" t="str">
        <f ca="1">IFERROR(__xludf.DUMMYFUNCTION("""COMPUTED_VALUE"""),"03211940000016")</f>
        <v>03211940000016</v>
      </c>
      <c r="E30" s="16" t="str">
        <f ca="1">IFERROR(__xludf.DUMMYFUNCTION("""COMPUTED_VALUE"""),"Departemen Teknik Lingkungan")</f>
        <v>Departemen Teknik Lingkungan</v>
      </c>
      <c r="F30" s="16" t="str">
        <f ca="1">IFERROR(__xludf.DUMMYFUNCTION("""COMPUTED_VALUE"""),"Barge Mounted Power Plant Penghasil Energi sebagai Pemenuh Kebutuhan Rumah Tangga dan Solusi Permasalahan Sampah Laut di Kepulauan Maluku")</f>
        <v>Barge Mounted Power Plant Penghasil Energi sebagai Pemenuh Kebutuhan Rumah Tangga dan Solusi Permasalahan Sampah Laut di Kepulauan Maluku</v>
      </c>
      <c r="G30" s="16" t="str">
        <f ca="1">IFERROR(__xludf.DUMMYFUNCTION("""COMPUTED_VALUE"""),"Arseto Yekti Bagastyo, S.T., M.Phil, PhD")</f>
        <v>Arseto Yekti Bagastyo, S.T., M.Phil, PhD</v>
      </c>
      <c r="H30" s="16" t="str">
        <f ca="1">IFERROR(__xludf.DUMMYFUNCTION("""COMPUTED_VALUE"""),"Putu Gde Ariastita, S.T., M.T.")</f>
        <v>Putu Gde Ariastita, S.T., M.T.</v>
      </c>
      <c r="I30" s="16" t="str">
        <f ca="1">IFERROR(__xludf.DUMMYFUNCTION("""COMPUTED_VALUE"""),"Dr.-Ing. Doty Dewi Risanti, S.T., M.T.")</f>
        <v>Dr.-Ing. Doty Dewi Risanti, S.T., M.T.</v>
      </c>
      <c r="J30" s="16"/>
      <c r="K30" s="86" t="s">
        <v>1016</v>
      </c>
      <c r="L30" s="18" t="s">
        <v>1013</v>
      </c>
      <c r="M30" s="19" t="b">
        <v>1</v>
      </c>
      <c r="N30" s="19" t="b">
        <v>1</v>
      </c>
      <c r="O30" s="1" t="s">
        <v>1014</v>
      </c>
      <c r="P30" s="7" t="str">
        <f ca="1">IFERROR(__xludf.DUMMYFUNCTION("iferror(vlookup(B30,importrange(""https://docs.google.com/spreadsheets/d/1boHyJQ4e2FU0QG8MHwEi6qjX4hvZWVCHcFfXjq7bbMc/edit?resourcekey#gid=923248883"",""Prop!$C$1:$M""),12,0),IFERROR(vlookup(B30,importrange(""https://docs.google.com/spreadsheets/d/1boHyJQ"&amp;"4e2FU0QG8MHwEi6qjX4hvZWVCHcFfXjq7bbMc/edit?resourcekey#gid=923248883"",""Prop!$N$1:$X""),11,0),iferror(vlookup(B30,importrange(""https://docs.google.com/spreadsheets/d/1boHyJQ4e2FU0QG8MHwEi6qjX4hvZWVCHcFfXjq7bbMc/edit?resourcekey#gid=923248883"",""Prop!$Y"&amp;"$1:$AI""),11,0),iferror(vlookup(B30,importrange(""https://docs.google.com/spreadsheets/d/1boHyJQ4e2FU0QG8MHwEi6qjX4hvZWVCHcFfXjq7bbMc/edit?resourcekey#gid=923248883"",""Prop!$AJ$1:$AT""),11,0),iferror(vlookup(B30,importrange(""https://docs.google.com/spre"&amp;"adsheets/d/1boHyJQ4e2FU0QG8MHwEi6qjX4hvZWVCHcFfXjq7bbMc/edit?resourcekey#gid=923248883"",""Prop!$AU$1:$BE""),11,0),iferror(vlookup(B30,importrange(""https://docs.google.com/spreadsheets/d/1boHyJQ4e2FU0QG8MHwEi6qjX4hvZWVCHcFfXjq7bbMc/edit?resourcekey#gid=9"&amp;"23248883"",""Prop!$BF$1:$BP""),11,0),iferror(vlookup(B30,importrange(""https://docs.google.com/spreadsheets/d/1boHyJQ4e2FU0QG8MHwEi6qjX4hvZWVCHcFfXjq7bbMc/edit?resourcekey#gid=923248883"",""Prop!$BQ$1:$CA""),11,0),iferror(vlookup(B30,importrange(""https:/"&amp;"/docs.google.com/spreadsheets/d/1boHyJQ4e2FU0QG8MHwEi6qjX4hvZWVCHcFfXjq7bbMc/edit?resourcekey#gid=923248883"",""Prop!$CB$1:$CL""),11,0),iferror(vlookup(B30,importrange(""https://docs.google.com/spreadsheets/d/1boHyJQ4e2FU0QG8MHwEi6qjX4hvZWVCHcFfXjq7bbMc/e"&amp;"dit?resourcekey#gid=923248883"",""Prop!$CM$1:$CX""),12,0),iferror(vlookup(B30,importrange(""https://docs.google.com/spreadsheets/d/1boHyJQ4e2FU0QG8MHwEi6qjX4hvZWVCHcFfXjq7bbMc/edit?resourcekey#gid=923248883"",""Prop!$CV$1:$DI""),11,0)))))))))))"),"https://drive.google.com/open?id=1Tq_C75-oySJrgL0pnXWL1BMB6ZWmyFK7")</f>
        <v>https://drive.google.com/open?id=1Tq_C75-oySJrgL0pnXWL1BMB6ZWmyFK7</v>
      </c>
      <c r="Q30" s="7" t="str">
        <f ca="1">IFERROR(__xludf.DUMMYFUNCTION("iferror(vlookup(B30,importrange(""https://docs.google.com/spreadsheets/d/1p53T2AuvvIqhP7Nf-bo3Uhj8cbKYRPpZdsrBv3x3bAQ/edit?resourcekey#gid=1321652304"",""Prop!$C$1:$M""),11,0),IFERROR(vlookup(B30,importrange(""https://docs.google.com/spreadsheets/d/1p53T2"&amp;"AuvvIqhP7Nf-bo3Uhj8cbKYRPpZdsrBv3x3bAQ/edit?resourcekey#gid=1321652304"",""Prop!$N$1:$X""),11,0),iferror(vlookup(B30,importrange(""https://docs.google.com/spreadsheets/d/1p53T2AuvvIqhP7Nf-bo3Uhj8cbKYRPpZdsrBv3x3bAQ/edit?resourcekey#gid=1321652304"",""Prop"&amp;"!$Y$1:$AI""),11,0),iferror(vlookup(B30,importrange(""https://docs.google.com/spreadsheets/d/1p53T2AuvvIqhP7Nf-bo3Uhj8cbKYRPpZdsrBv3x3bAQ/edit?resourcekey#gid=1321652304"",""Prop!$AJ$1:$AT""),11,0),iferror(vlookup(B30,importrange(""https://docs.google.com/"&amp;"spreadsheets/d/1p53T2AuvvIqhP7Nf-bo3Uhj8cbKYRPpZdsrBv3x3bAQ/edit?resourcekey#gid=1321652304"",""Prop!$AU$1:$BE""),11,0),iferror(vlookup(B30,importrange(""https://docs.google.com/spreadsheets/d/1p53T2AuvvIqhP7Nf-bo3Uhj8cbKYRPpZdsrBv3x3bAQ/edit?resourcekey#"&amp;"gid=1321652304"",""Prop!$BF$1:$BP""),11,0),iferror(vlookup(B30,importrange(""https://docs.google.com/spreadsheets/d/1p53T2AuvvIqhP7Nf-bo3Uhj8cbKYRPpZdsrBv3x3bAQ/edit?resourcekey#gid=1321652304"",""Prop!$BQ$1:$CA""),11,0),iferror(vlookup(B30,importrange("""&amp;"https://docs.google.com/spreadsheets/d/1p53T2AuvvIqhP7Nf-bo3Uhj8cbKYRPpZdsrBv3x3bAQ/edit?resourcekey#gid=1321652304"",""Prop!$CB$1:$CL""),11,0),iferror(vlookup(B30,importrange(""https://docs.google.com/spreadsheets/d/1p53T2AuvvIqhP7Nf-bo3Uhj8cbKYRPpZdsrBv"&amp;"3x3bAQ/edit?resourcekey#gid=1321652304"",""Prop!$CM$1:$CX""),12,0),iferror(vlookup(B30,importrange(""https://docs.google.com/spreadsheets/d/1p53T2AuvvIqhP7Nf-bo3Uhj8cbKYRPpZdsrBv3x3bAQ/edit?resourcekey#gid=1321652304"",""Prop!$CY$1:$DI""),11,0)))))))))))"),"https://drive.google.com/open?id=1Q12VkjiTkTijflqvHlM-9lsyupIUOfEN")</f>
        <v>https://drive.google.com/open?id=1Q12VkjiTkTijflqvHlM-9lsyupIUOfEN</v>
      </c>
      <c r="R30" s="20" t="s">
        <v>998</v>
      </c>
      <c r="S30" s="20" t="str">
        <f ca="1">IFERROR(__xludf.DUMMYFUNCTION("IFERROR(vlookup(B30,IMPORTRANGE(""https://docs.google.com/spreadsheets/d/1g_jfYYK_KeipEDNDUgqgrsxK94XiocfNQIcP-v1QVhI/edit?resourcekey#gid=233272945"",""Nilai!B:CT""),37,0),"" "")"),"gagasan baik bagian implementasi yang perlu diperbaiki")</f>
        <v>gagasan baik bagian implementasi yang perlu diperbaiki</v>
      </c>
      <c r="T30" s="20" t="str">
        <f ca="1">IFERROR(__xludf.DUMMYFUNCTION("IFERROR(vlookup(B30,IMPORTRANGE(""https://docs.google.com/spreadsheets/d/1g_jfYYK_KeipEDNDUgqgrsxK94XiocfNQIcP-v1QVhI/edit?resourcekey#gid=233272945"",""Nilai!B:CT""),97,0),"" "")"),"LAYAK UPLOAD KE SIMBELMAWA DENGAN REVISI")</f>
        <v>LAYAK UPLOAD KE SIMBELMAWA DENGAN REVISI</v>
      </c>
      <c r="U30" s="39" t="s">
        <v>831</v>
      </c>
      <c r="V30" s="38" t="s">
        <v>999</v>
      </c>
      <c r="W30" s="18" t="s">
        <v>1015</v>
      </c>
      <c r="X30" s="22" t="b">
        <v>0</v>
      </c>
    </row>
    <row r="31" spans="1:24" ht="57.6">
      <c r="A31" s="15">
        <v>29</v>
      </c>
      <c r="B31" s="15">
        <f ca="1">IFERROR(__xludf.DUMMYFUNCTION("""COMPUTED_VALUE"""),2412)</f>
        <v>2412</v>
      </c>
      <c r="C31" s="16" t="str">
        <f ca="1">IFERROR(__xludf.DUMMYFUNCTION("""COMPUTED_VALUE"""),"MUHAMMAD ARTHUR F")</f>
        <v>MUHAMMAD ARTHUR F</v>
      </c>
      <c r="D31" s="16" t="str">
        <f ca="1">IFERROR(__xludf.DUMMYFUNCTION("""COMPUTED_VALUE"""),"5010211016")</f>
        <v>5010211016</v>
      </c>
      <c r="E31" s="16" t="str">
        <f ca="1">IFERROR(__xludf.DUMMYFUNCTION("""COMPUTED_VALUE"""),"Departemen Teknik Sistem dan Industri")</f>
        <v>Departemen Teknik Sistem dan Industri</v>
      </c>
      <c r="F31" s="16" t="str">
        <f ca="1">IFERROR(__xludf.DUMMYFUNCTION("""COMPUTED_VALUE"""),"Wireless Solar Energy Electric Tower (WIRE): Menara Listrik Nirkabel Berbasis Panel Surya Guna Mengatasi Kelangkaan Energi di Nusa Tenggara Timur")</f>
        <v>Wireless Solar Energy Electric Tower (WIRE): Menara Listrik Nirkabel Berbasis Panel Surya Guna Mengatasi Kelangkaan Energi di Nusa Tenggara Timur</v>
      </c>
      <c r="G31" s="16" t="str">
        <f ca="1">IFERROR(__xludf.DUMMYFUNCTION("""COMPUTED_VALUE"""),"Rindi Kusumawardani, S.Si., M.Sc.")</f>
        <v>Rindi Kusumawardani, S.Si., M.Sc.</v>
      </c>
      <c r="H31" s="16" t="str">
        <f ca="1">IFERROR(__xludf.DUMMYFUNCTION("""COMPUTED_VALUE"""),"Dyah Sawitri, S.T., M.T.")</f>
        <v>Dyah Sawitri, S.T., M.T.</v>
      </c>
      <c r="I31" s="16" t="str">
        <f ca="1">IFERROR(__xludf.DUMMYFUNCTION("""COMPUTED_VALUE"""),"Wimala Lalitya Dhanistha, S.T., M.T.")</f>
        <v>Wimala Lalitya Dhanistha, S.T., M.T.</v>
      </c>
      <c r="J31" s="16"/>
      <c r="K31" s="86" t="s">
        <v>1016</v>
      </c>
      <c r="L31" s="18" t="s">
        <v>1013</v>
      </c>
      <c r="M31" s="19" t="b">
        <v>1</v>
      </c>
      <c r="N31" s="19" t="b">
        <v>1</v>
      </c>
      <c r="O31" s="1" t="s">
        <v>1014</v>
      </c>
      <c r="P31" s="7" t="str">
        <f ca="1">IFERROR(__xludf.DUMMYFUNCTION("iferror(vlookup(B31,importrange(""https://docs.google.com/spreadsheets/d/1boHyJQ4e2FU0QG8MHwEi6qjX4hvZWVCHcFfXjq7bbMc/edit?resourcekey#gid=923248883"",""Prop!$C$1:$M""),12,0),IFERROR(vlookup(B31,importrange(""https://docs.google.com/spreadsheets/d/1boHyJQ"&amp;"4e2FU0QG8MHwEi6qjX4hvZWVCHcFfXjq7bbMc/edit?resourcekey#gid=923248883"",""Prop!$N$1:$X""),11,0),iferror(vlookup(B31,importrange(""https://docs.google.com/spreadsheets/d/1boHyJQ4e2FU0QG8MHwEi6qjX4hvZWVCHcFfXjq7bbMc/edit?resourcekey#gid=923248883"",""Prop!$Y"&amp;"$1:$AI""),11,0),iferror(vlookup(B31,importrange(""https://docs.google.com/spreadsheets/d/1boHyJQ4e2FU0QG8MHwEi6qjX4hvZWVCHcFfXjq7bbMc/edit?resourcekey#gid=923248883"",""Prop!$AJ$1:$AT""),11,0),iferror(vlookup(B31,importrange(""https://docs.google.com/spre"&amp;"adsheets/d/1boHyJQ4e2FU0QG8MHwEi6qjX4hvZWVCHcFfXjq7bbMc/edit?resourcekey#gid=923248883"",""Prop!$AU$1:$BE""),11,0),iferror(vlookup(B31,importrange(""https://docs.google.com/spreadsheets/d/1boHyJQ4e2FU0QG8MHwEi6qjX4hvZWVCHcFfXjq7bbMc/edit?resourcekey#gid=9"&amp;"23248883"",""Prop!$BF$1:$BP""),11,0),iferror(vlookup(B31,importrange(""https://docs.google.com/spreadsheets/d/1boHyJQ4e2FU0QG8MHwEi6qjX4hvZWVCHcFfXjq7bbMc/edit?resourcekey#gid=923248883"",""Prop!$BQ$1:$CA""),11,0),iferror(vlookup(B31,importrange(""https:/"&amp;"/docs.google.com/spreadsheets/d/1boHyJQ4e2FU0QG8MHwEi6qjX4hvZWVCHcFfXjq7bbMc/edit?resourcekey#gid=923248883"",""Prop!$CB$1:$CL""),11,0),iferror(vlookup(B31,importrange(""https://docs.google.com/spreadsheets/d/1boHyJQ4e2FU0QG8MHwEi6qjX4hvZWVCHcFfXjq7bbMc/e"&amp;"dit?resourcekey#gid=923248883"",""Prop!$CM$1:$CX""),12,0),iferror(vlookup(B31,importrange(""https://docs.google.com/spreadsheets/d/1boHyJQ4e2FU0QG8MHwEi6qjX4hvZWVCHcFfXjq7bbMc/edit?resourcekey#gid=923248883"",""Prop!$CV$1:$DI""),11,0)))))))))))"),"https://drive.google.com/open?id=1VYSdrJgiAozcR7b2ysELRszzkMt8IXXm")</f>
        <v>https://drive.google.com/open?id=1VYSdrJgiAozcR7b2ysELRszzkMt8IXXm</v>
      </c>
      <c r="Q31" s="7" t="str">
        <f ca="1">IFERROR(__xludf.DUMMYFUNCTION("iferror(vlookup(B31,importrange(""https://docs.google.com/spreadsheets/d/1p53T2AuvvIqhP7Nf-bo3Uhj8cbKYRPpZdsrBv3x3bAQ/edit?resourcekey#gid=1321652304"",""Prop!$C$1:$M""),11,0),IFERROR(vlookup(B31,importrange(""https://docs.google.com/spreadsheets/d/1p53T2"&amp;"AuvvIqhP7Nf-bo3Uhj8cbKYRPpZdsrBv3x3bAQ/edit?resourcekey#gid=1321652304"",""Prop!$N$1:$X""),11,0),iferror(vlookup(B31,importrange(""https://docs.google.com/spreadsheets/d/1p53T2AuvvIqhP7Nf-bo3Uhj8cbKYRPpZdsrBv3x3bAQ/edit?resourcekey#gid=1321652304"",""Prop"&amp;"!$Y$1:$AI""),11,0),iferror(vlookup(B31,importrange(""https://docs.google.com/spreadsheets/d/1p53T2AuvvIqhP7Nf-bo3Uhj8cbKYRPpZdsrBv3x3bAQ/edit?resourcekey#gid=1321652304"",""Prop!$AJ$1:$AT""),11,0),iferror(vlookup(B31,importrange(""https://docs.google.com/"&amp;"spreadsheets/d/1p53T2AuvvIqhP7Nf-bo3Uhj8cbKYRPpZdsrBv3x3bAQ/edit?resourcekey#gid=1321652304"",""Prop!$AU$1:$BE""),11,0),iferror(vlookup(B31,importrange(""https://docs.google.com/spreadsheets/d/1p53T2AuvvIqhP7Nf-bo3Uhj8cbKYRPpZdsrBv3x3bAQ/edit?resourcekey#"&amp;"gid=1321652304"",""Prop!$BF$1:$BP""),11,0),iferror(vlookup(B31,importrange(""https://docs.google.com/spreadsheets/d/1p53T2AuvvIqhP7Nf-bo3Uhj8cbKYRPpZdsrBv3x3bAQ/edit?resourcekey#gid=1321652304"",""Prop!$BQ$1:$CA""),11,0),iferror(vlookup(B31,importrange("""&amp;"https://docs.google.com/spreadsheets/d/1p53T2AuvvIqhP7Nf-bo3Uhj8cbKYRPpZdsrBv3x3bAQ/edit?resourcekey#gid=1321652304"",""Prop!$CB$1:$CL""),11,0),iferror(vlookup(B31,importrange(""https://docs.google.com/spreadsheets/d/1p53T2AuvvIqhP7Nf-bo3Uhj8cbKYRPpZdsrBv"&amp;"3x3bAQ/edit?resourcekey#gid=1321652304"",""Prop!$CM$1:$CX""),12,0),iferror(vlookup(B31,importrange(""https://docs.google.com/spreadsheets/d/1p53T2AuvvIqhP7Nf-bo3Uhj8cbKYRPpZdsrBv3x3bAQ/edit?resourcekey#gid=1321652304"",""Prop!$CY$1:$DI""),11,0)))))))))))"),"https://drive.google.com/open?id=1GS2MUnfTVXGwGRhBSThhv1QYoU2t24Sk")</f>
        <v>https://drive.google.com/open?id=1GS2MUnfTVXGwGRhBSThhv1QYoU2t24Sk</v>
      </c>
      <c r="R31" s="20" t="s">
        <v>998</v>
      </c>
      <c r="S31" s="20" t="str">
        <f ca="1">IFERROR(__xludf.DUMMYFUNCTION("IFERROR(vlookup(B31,IMPORTRANGE(""https://docs.google.com/spreadsheets/d/1g_jfYYK_KeipEDNDUgqgrsxK94XiocfNQIcP-v1QVhI/edit?resourcekey#gid=233272945"",""Nilai!B:CT""),37,0),"" "")"),"1. gagasannya lebih mengarah pada alat bukan konsep yang visioner dan komprehensif
2. ide ini dapat diselesaikan dengan membuat prototype nya melalui skema PKM KC")</f>
        <v>1. gagasannya lebih mengarah pada alat bukan konsep yang visioner dan komprehensif
2. ide ini dapat diselesaikan dengan membuat prototype nya melalui skema PKM KC</v>
      </c>
      <c r="T31" s="20" t="str">
        <f ca="1">IFERROR(__xludf.DUMMYFUNCTION("IFERROR(vlookup(B31,IMPORTRANGE(""https://docs.google.com/spreadsheets/d/1g_jfYYK_KeipEDNDUgqgrsxK94XiocfNQIcP-v1QVhI/edit?resourcekey#gid=233272945"",""Nilai!B:CT""),97,0),"" "")"),"TIDAK LAYAK UPLOAD KE SIMBELMAWA")</f>
        <v>TIDAK LAYAK UPLOAD KE SIMBELMAWA</v>
      </c>
      <c r="U31" s="39" t="s">
        <v>831</v>
      </c>
      <c r="V31" s="38" t="s">
        <v>999</v>
      </c>
      <c r="W31" s="18" t="s">
        <v>1017</v>
      </c>
      <c r="X31" s="22" t="b">
        <v>1</v>
      </c>
    </row>
    <row r="32" spans="1:24" ht="57.6">
      <c r="A32" s="15">
        <v>30</v>
      </c>
      <c r="B32" s="15">
        <f ca="1">IFERROR(__xludf.DUMMYFUNCTION("""COMPUTED_VALUE"""),2845)</f>
        <v>2845</v>
      </c>
      <c r="C32" s="16" t="str">
        <f ca="1">IFERROR(__xludf.DUMMYFUNCTION("""COMPUTED_VALUE"""),"MOHAMMAD RISQY FIRMANSYAH")</f>
        <v>MOHAMMAD RISQY FIRMANSYAH</v>
      </c>
      <c r="D32" s="16" t="str">
        <f ca="1">IFERROR(__xludf.DUMMYFUNCTION("""COMPUTED_VALUE"""),"5009201034")</f>
        <v>5009201034</v>
      </c>
      <c r="E32" s="16" t="str">
        <f ca="1">IFERROR(__xludf.DUMMYFUNCTION("""COMPUTED_VALUE"""),"Departemen Teknik Fisika")</f>
        <v>Departemen Teknik Fisika</v>
      </c>
      <c r="F32" s="16" t="str">
        <f ca="1">IFERROR(__xludf.DUMMYFUNCTION("""COMPUTED_VALUE"""),"Metaverse Dalam Manajemen Hama Serangga Terpadu Pada Pertanian Padi Untuk Meningkatkan Efektivitas Pengendalian Hama Menuju Indonesia Tangguh Pangan")</f>
        <v>Metaverse Dalam Manajemen Hama Serangga Terpadu Pada Pertanian Padi Untuk Meningkatkan Efektivitas Pengendalian Hama Menuju Indonesia Tangguh Pangan</v>
      </c>
      <c r="G32" s="16" t="str">
        <f ca="1">IFERROR(__xludf.DUMMYFUNCTION("""COMPUTED_VALUE"""),"Dr. Bambang Lelono Widjiantoro, S.T., M.T.")</f>
        <v>Dr. Bambang Lelono Widjiantoro, S.T., M.T.</v>
      </c>
      <c r="H32" s="16" t="str">
        <f ca="1">IFERROR(__xludf.DUMMYFUNCTION("""COMPUTED_VALUE"""),"Putu Gde Ariastita, S.T., M.T.")</f>
        <v>Putu Gde Ariastita, S.T., M.T.</v>
      </c>
      <c r="I32" s="16" t="str">
        <f ca="1">IFERROR(__xludf.DUMMYFUNCTION("""COMPUTED_VALUE"""),"Nova Maulidina Ashuri, S.Si., M.Si.")</f>
        <v>Nova Maulidina Ashuri, S.Si., M.Si.</v>
      </c>
      <c r="J32" s="16"/>
      <c r="K32" s="86" t="s">
        <v>1016</v>
      </c>
      <c r="L32" s="18" t="s">
        <v>1018</v>
      </c>
      <c r="M32" s="19" t="b">
        <v>0</v>
      </c>
      <c r="N32" s="19" t="b">
        <v>0</v>
      </c>
      <c r="O32" s="1" t="s">
        <v>1014</v>
      </c>
      <c r="P32" s="1" t="str">
        <f ca="1">IFERROR(__xludf.DUMMYFUNCTION("iferror(vlookup(B32,importrange(""https://docs.google.com/spreadsheets/d/1boHyJQ4e2FU0QG8MHwEi6qjX4hvZWVCHcFfXjq7bbMc/edit?resourcekey#gid=923248883"",""Prop!$C$1:$M""),12,0),IFERROR(vlookup(B32,importrange(""https://docs.google.com/spreadsheets/d/1boHyJQ"&amp;"4e2FU0QG8MHwEi6qjX4hvZWVCHcFfXjq7bbMc/edit?resourcekey#gid=923248883"",""Prop!$N$1:$X""),11,0),iferror(vlookup(B32,importrange(""https://docs.google.com/spreadsheets/d/1boHyJQ4e2FU0QG8MHwEi6qjX4hvZWVCHcFfXjq7bbMc/edit?resourcekey#gid=923248883"",""Prop!$Y"&amp;"$1:$AI""),11,0),iferror(vlookup(B32,importrange(""https://docs.google.com/spreadsheets/d/1boHyJQ4e2FU0QG8MHwEi6qjX4hvZWVCHcFfXjq7bbMc/edit?resourcekey#gid=923248883"",""Prop!$AJ$1:$AT""),11,0),iferror(vlookup(B32,importrange(""https://docs.google.com/spre"&amp;"adsheets/d/1boHyJQ4e2FU0QG8MHwEi6qjX4hvZWVCHcFfXjq7bbMc/edit?resourcekey#gid=923248883"",""Prop!$AU$1:$BE""),11,0),iferror(vlookup(B32,importrange(""https://docs.google.com/spreadsheets/d/1boHyJQ4e2FU0QG8MHwEi6qjX4hvZWVCHcFfXjq7bbMc/edit?resourcekey#gid=9"&amp;"23248883"",""Prop!$BF$1:$BP""),11,0),iferror(vlookup(B32,importrange(""https://docs.google.com/spreadsheets/d/1boHyJQ4e2FU0QG8MHwEi6qjX4hvZWVCHcFfXjq7bbMc/edit?resourcekey#gid=923248883"",""Prop!$BQ$1:$CA""),11,0),iferror(vlookup(B32,importrange(""https:/"&amp;"/docs.google.com/spreadsheets/d/1boHyJQ4e2FU0QG8MHwEi6qjX4hvZWVCHcFfXjq7bbMc/edit?resourcekey#gid=923248883"",""Prop!$CB$1:$CL""),11,0),iferror(vlookup(B32,importrange(""https://docs.google.com/spreadsheets/d/1boHyJQ4e2FU0QG8MHwEi6qjX4hvZWVCHcFfXjq7bbMc/e"&amp;"dit?resourcekey#gid=923248883"",""Prop!$CM$1:$CX""),12,0),iferror(vlookup(B32,importrange(""https://docs.google.com/spreadsheets/d/1boHyJQ4e2FU0QG8MHwEi6qjX4hvZWVCHcFfXjq7bbMc/edit?resourcekey#gid=923248883"",""Prop!$CV$1:$DI""),11,0)))))))))))"),"")</f>
        <v/>
      </c>
      <c r="Q32" s="7" t="str">
        <f ca="1">IFERROR(__xludf.DUMMYFUNCTION("iferror(vlookup(B32,importrange(""https://docs.google.com/spreadsheets/d/1p53T2AuvvIqhP7Nf-bo3Uhj8cbKYRPpZdsrBv3x3bAQ/edit?resourcekey#gid=1321652304"",""Prop!$C$1:$M""),11,0),IFERROR(vlookup(B32,importrange(""https://docs.google.com/spreadsheets/d/1p53T2"&amp;"AuvvIqhP7Nf-bo3Uhj8cbKYRPpZdsrBv3x3bAQ/edit?resourcekey#gid=1321652304"",""Prop!$N$1:$X""),11,0),iferror(vlookup(B32,importrange(""https://docs.google.com/spreadsheets/d/1p53T2AuvvIqhP7Nf-bo3Uhj8cbKYRPpZdsrBv3x3bAQ/edit?resourcekey#gid=1321652304"",""Prop"&amp;"!$Y$1:$AI""),11,0),iferror(vlookup(B32,importrange(""https://docs.google.com/spreadsheets/d/1p53T2AuvvIqhP7Nf-bo3Uhj8cbKYRPpZdsrBv3x3bAQ/edit?resourcekey#gid=1321652304"",""Prop!$AJ$1:$AT""),11,0),iferror(vlookup(B32,importrange(""https://docs.google.com/"&amp;"spreadsheets/d/1p53T2AuvvIqhP7Nf-bo3Uhj8cbKYRPpZdsrBv3x3bAQ/edit?resourcekey#gid=1321652304"",""Prop!$AU$1:$BE""),11,0),iferror(vlookup(B32,importrange(""https://docs.google.com/spreadsheets/d/1p53T2AuvvIqhP7Nf-bo3Uhj8cbKYRPpZdsrBv3x3bAQ/edit?resourcekey#"&amp;"gid=1321652304"",""Prop!$BF$1:$BP""),11,0),iferror(vlookup(B32,importrange(""https://docs.google.com/spreadsheets/d/1p53T2AuvvIqhP7Nf-bo3Uhj8cbKYRPpZdsrBv3x3bAQ/edit?resourcekey#gid=1321652304"",""Prop!$BQ$1:$CA""),11,0),iferror(vlookup(B32,importrange("""&amp;"https://docs.google.com/spreadsheets/d/1p53T2AuvvIqhP7Nf-bo3Uhj8cbKYRPpZdsrBv3x3bAQ/edit?resourcekey#gid=1321652304"",""Prop!$CB$1:$CL""),11,0),iferror(vlookup(B32,importrange(""https://docs.google.com/spreadsheets/d/1p53T2AuvvIqhP7Nf-bo3Uhj8cbKYRPpZdsrBv"&amp;"3x3bAQ/edit?resourcekey#gid=1321652304"",""Prop!$CM$1:$CX""),12,0),iferror(vlookup(B32,importrange(""https://docs.google.com/spreadsheets/d/1p53T2AuvvIqhP7Nf-bo3Uhj8cbKYRPpZdsrBv3x3bAQ/edit?resourcekey#gid=1321652304"",""Prop!$CY$1:$DI""),11,0)))))))))))"),"https://drive.google.com/open?id=19H5bgTDShV-ruF8K3IBCge0udSYhhwlW")</f>
        <v>https://drive.google.com/open?id=19H5bgTDShV-ruF8K3IBCge0udSYhhwlW</v>
      </c>
      <c r="R32" s="20" t="s">
        <v>998</v>
      </c>
      <c r="S32" s="20" t="str">
        <f ca="1">IFERROR(__xludf.DUMMYFUNCTION("IFERROR(vlookup(B32,IMPORTRANGE(""https://docs.google.com/spreadsheets/d/1g_jfYYK_KeipEDNDUgqgrsxK94XiocfNQIcP-v1QVhI/edit?resourcekey#gid=233272945"",""Nilai!B:CT""),37,0),"" "")"),"1. ide ini dapat direalisasikan dengan skema PKM KC. Teknologinya sdh ada dan membuat skema yang direncanakan relatif memerlukan waktu yang singkat (kurang dari 1 tahun)
2. Konsepnya perlu dibuat lebih komprehensif dan sistematis")</f>
        <v>1. ide ini dapat direalisasikan dengan skema PKM KC. Teknologinya sdh ada dan membuat skema yang direncanakan relatif memerlukan waktu yang singkat (kurang dari 1 tahun)
2. Konsepnya perlu dibuat lebih komprehensif dan sistematis</v>
      </c>
      <c r="T32" s="20" t="str">
        <f ca="1">IFERROR(__xludf.DUMMYFUNCTION("IFERROR(vlookup(B32,IMPORTRANGE(""https://docs.google.com/spreadsheets/d/1g_jfYYK_KeipEDNDUgqgrsxK94XiocfNQIcP-v1QVhI/edit?resourcekey#gid=233272945"",""Nilai!B:CT""),97,0),"" "")"),"TIDAK LAYAK UPLOAD KE SIMBELMAWA")</f>
        <v>TIDAK LAYAK UPLOAD KE SIMBELMAWA</v>
      </c>
      <c r="U32" s="39" t="s">
        <v>831</v>
      </c>
      <c r="V32" s="38" t="s">
        <v>999</v>
      </c>
      <c r="W32" s="18" t="s">
        <v>1017</v>
      </c>
      <c r="X32" s="22" t="b">
        <v>0</v>
      </c>
    </row>
    <row r="33" spans="1:24" ht="72">
      <c r="A33" s="15">
        <v>31</v>
      </c>
      <c r="B33" s="15">
        <f ca="1">IFERROR(__xludf.DUMMYFUNCTION("""COMPUTED_VALUE"""),3286)</f>
        <v>3286</v>
      </c>
      <c r="C33" s="16" t="str">
        <f ca="1">IFERROR(__xludf.DUMMYFUNCTION("""COMPUTED_VALUE"""),"Adinda Rana Fadhilah")</f>
        <v>Adinda Rana Fadhilah</v>
      </c>
      <c r="D33" s="16" t="str">
        <f ca="1">IFERROR(__xludf.DUMMYFUNCTION("""COMPUTED_VALUE"""),"5017211020")</f>
        <v>5017211020</v>
      </c>
      <c r="E33" s="16" t="str">
        <f ca="1">IFERROR(__xludf.DUMMYFUNCTION("""COMPUTED_VALUE"""),"Departemen Teknik Geofisika")</f>
        <v>Departemen Teknik Geofisika</v>
      </c>
      <c r="F33" s="16" t="str">
        <f ca="1">IFERROR(__xludf.DUMMYFUNCTION("""COMPUTED_VALUE"""),"Integrated and Optimal Sanitation System: Upaya Pemenuhan Ketersediaan Air Bersih Siap Minum Ibu Kota Negara di Kabupaten Penajam Paser Utara")</f>
        <v>Integrated and Optimal Sanitation System: Upaya Pemenuhan Ketersediaan Air Bersih Siap Minum Ibu Kota Negara di Kabupaten Penajam Paser Utara</v>
      </c>
      <c r="G33" s="16" t="str">
        <f ca="1">IFERROR(__xludf.DUMMYFUNCTION("""COMPUTED_VALUE"""),"Ir Eddy Setiadi Soedjono, Dipl.SE., M.Sc., Ph.D.")</f>
        <v>Ir Eddy Setiadi Soedjono, Dipl.SE., M.Sc., Ph.D.</v>
      </c>
      <c r="H33" s="16" t="str">
        <f ca="1">IFERROR(__xludf.DUMMYFUNCTION("""COMPUTED_VALUE"""),"Prof. Ir. Aguk Zuhdi Muhammad Fathallah, M.Eng., Ph.D.")</f>
        <v>Prof. Ir. Aguk Zuhdi Muhammad Fathallah, M.Eng., Ph.D.</v>
      </c>
      <c r="I33" s="16" t="str">
        <f ca="1">IFERROR(__xludf.DUMMYFUNCTION("""COMPUTED_VALUE"""),"Putu Gde Ariastita, S.T., M.T.")</f>
        <v>Putu Gde Ariastita, S.T., M.T.</v>
      </c>
      <c r="J33" s="16"/>
      <c r="K33" s="86" t="s">
        <v>1016</v>
      </c>
      <c r="L33" s="18" t="s">
        <v>1018</v>
      </c>
      <c r="M33" s="19" t="b">
        <v>1</v>
      </c>
      <c r="N33" s="19" t="b">
        <v>1</v>
      </c>
      <c r="O33" s="1" t="s">
        <v>1019</v>
      </c>
      <c r="P33" s="7" t="str">
        <f ca="1">IFERROR(__xludf.DUMMYFUNCTION("iferror(vlookup(B33,importrange(""https://docs.google.com/spreadsheets/d/1boHyJQ4e2FU0QG8MHwEi6qjX4hvZWVCHcFfXjq7bbMc/edit?resourcekey#gid=923248883"",""Prop!$C$1:$M""),12,0),IFERROR(vlookup(B33,importrange(""https://docs.google.com/spreadsheets/d/1boHyJQ"&amp;"4e2FU0QG8MHwEi6qjX4hvZWVCHcFfXjq7bbMc/edit?resourcekey#gid=923248883"",""Prop!$N$1:$X""),11,0),iferror(vlookup(B33,importrange(""https://docs.google.com/spreadsheets/d/1boHyJQ4e2FU0QG8MHwEi6qjX4hvZWVCHcFfXjq7bbMc/edit?resourcekey#gid=923248883"",""Prop!$Y"&amp;"$1:$AI""),11,0),iferror(vlookup(B33,importrange(""https://docs.google.com/spreadsheets/d/1boHyJQ4e2FU0QG8MHwEi6qjX4hvZWVCHcFfXjq7bbMc/edit?resourcekey#gid=923248883"",""Prop!$AJ$1:$AT""),11,0),iferror(vlookup(B33,importrange(""https://docs.google.com/spre"&amp;"adsheets/d/1boHyJQ4e2FU0QG8MHwEi6qjX4hvZWVCHcFfXjq7bbMc/edit?resourcekey#gid=923248883"",""Prop!$AU$1:$BE""),11,0),iferror(vlookup(B33,importrange(""https://docs.google.com/spreadsheets/d/1boHyJQ4e2FU0QG8MHwEi6qjX4hvZWVCHcFfXjq7bbMc/edit?resourcekey#gid=9"&amp;"23248883"",""Prop!$BF$1:$BP""),11,0),iferror(vlookup(B33,importrange(""https://docs.google.com/spreadsheets/d/1boHyJQ4e2FU0QG8MHwEi6qjX4hvZWVCHcFfXjq7bbMc/edit?resourcekey#gid=923248883"",""Prop!$BQ$1:$CA""),11,0),iferror(vlookup(B33,importrange(""https:/"&amp;"/docs.google.com/spreadsheets/d/1boHyJQ4e2FU0QG8MHwEi6qjX4hvZWVCHcFfXjq7bbMc/edit?resourcekey#gid=923248883"",""Prop!$CB$1:$CL""),11,0),iferror(vlookup(B33,importrange(""https://docs.google.com/spreadsheets/d/1boHyJQ4e2FU0QG8MHwEi6qjX4hvZWVCHcFfXjq7bbMc/e"&amp;"dit?resourcekey#gid=923248883"",""Prop!$CM$1:$CX""),12,0),iferror(vlookup(B33,importrange(""https://docs.google.com/spreadsheets/d/1boHyJQ4e2FU0QG8MHwEi6qjX4hvZWVCHcFfXjq7bbMc/edit?resourcekey#gid=923248883"",""Prop!$CV$1:$DI""),11,0)))))))))))"),"https://drive.google.com/open?id=14j2w7_0xpVg6SL7M6EQg4t42NmcPo2wT")</f>
        <v>https://drive.google.com/open?id=14j2w7_0xpVg6SL7M6EQg4t42NmcPo2wT</v>
      </c>
      <c r="Q33" s="7" t="str">
        <f ca="1">IFERROR(__xludf.DUMMYFUNCTION("iferror(vlookup(B33,importrange(""https://docs.google.com/spreadsheets/d/1p53T2AuvvIqhP7Nf-bo3Uhj8cbKYRPpZdsrBv3x3bAQ/edit?resourcekey#gid=1321652304"",""Prop!$C$1:$M""),11,0),IFERROR(vlookup(B33,importrange(""https://docs.google.com/spreadsheets/d/1p53T2"&amp;"AuvvIqhP7Nf-bo3Uhj8cbKYRPpZdsrBv3x3bAQ/edit?resourcekey#gid=1321652304"",""Prop!$N$1:$X""),11,0),iferror(vlookup(B33,importrange(""https://docs.google.com/spreadsheets/d/1p53T2AuvvIqhP7Nf-bo3Uhj8cbKYRPpZdsrBv3x3bAQ/edit?resourcekey#gid=1321652304"",""Prop"&amp;"!$Y$1:$AI""),11,0),iferror(vlookup(B33,importrange(""https://docs.google.com/spreadsheets/d/1p53T2AuvvIqhP7Nf-bo3Uhj8cbKYRPpZdsrBv3x3bAQ/edit?resourcekey#gid=1321652304"",""Prop!$AJ$1:$AT""),11,0),iferror(vlookup(B33,importrange(""https://docs.google.com/"&amp;"spreadsheets/d/1p53T2AuvvIqhP7Nf-bo3Uhj8cbKYRPpZdsrBv3x3bAQ/edit?resourcekey#gid=1321652304"",""Prop!$AU$1:$BE""),11,0),iferror(vlookup(B33,importrange(""https://docs.google.com/spreadsheets/d/1p53T2AuvvIqhP7Nf-bo3Uhj8cbKYRPpZdsrBv3x3bAQ/edit?resourcekey#"&amp;"gid=1321652304"",""Prop!$BF$1:$BP""),11,0),iferror(vlookup(B33,importrange(""https://docs.google.com/spreadsheets/d/1p53T2AuvvIqhP7Nf-bo3Uhj8cbKYRPpZdsrBv3x3bAQ/edit?resourcekey#gid=1321652304"",""Prop!$BQ$1:$CA""),11,0),iferror(vlookup(B33,importrange("""&amp;"https://docs.google.com/spreadsheets/d/1p53T2AuvvIqhP7Nf-bo3Uhj8cbKYRPpZdsrBv3x3bAQ/edit?resourcekey#gid=1321652304"",""Prop!$CB$1:$CL""),11,0),iferror(vlookup(B33,importrange(""https://docs.google.com/spreadsheets/d/1p53T2AuvvIqhP7Nf-bo3Uhj8cbKYRPpZdsrBv"&amp;"3x3bAQ/edit?resourcekey#gid=1321652304"",""Prop!$CM$1:$CX""),12,0),iferror(vlookup(B33,importrange(""https://docs.google.com/spreadsheets/d/1p53T2AuvvIqhP7Nf-bo3Uhj8cbKYRPpZdsrBv3x3bAQ/edit?resourcekey#gid=1321652304"",""Prop!$CY$1:$DI""),11,0)))))))))))"),"https://drive.google.com/open?id=1QxQ_tqoHyOzlBTYfC2HH6Wbp3jZ-DERY")</f>
        <v>https://drive.google.com/open?id=1QxQ_tqoHyOzlBTYfC2HH6Wbp3jZ-DERY</v>
      </c>
      <c r="R33" s="20" t="s">
        <v>998</v>
      </c>
      <c r="S33" s="20" t="str">
        <f ca="1">IFERROR(__xludf.DUMMYFUNCTION("IFERROR(vlookup(B33,IMPORTRANGE(""https://docs.google.com/spreadsheets/d/1g_jfYYK_KeipEDNDUgqgrsxK94XiocfNQIcP-v1QVhI/edit?resourcekey#gid=233272945"",""Nilai!B:CT""),37,0),"" "")"),"1. Memperkuat state of the art ide
2. belum terlihat ilustrasi gagasan secara komprehensif")</f>
        <v>1. Memperkuat state of the art ide
2. belum terlihat ilustrasi gagasan secara komprehensif</v>
      </c>
      <c r="T33" s="20" t="str">
        <f ca="1">IFERROR(__xludf.DUMMYFUNCTION("IFERROR(vlookup(B33,IMPORTRANGE(""https://docs.google.com/spreadsheets/d/1g_jfYYK_KeipEDNDUgqgrsxK94XiocfNQIcP-v1QVhI/edit?resourcekey#gid=233272945"",""Nilai!B:CT""),97,0),"" "")"),"LAYAK UPLOAD KE SIMBELMAWA DENGAN REVISI")</f>
        <v>LAYAK UPLOAD KE SIMBELMAWA DENGAN REVISI</v>
      </c>
      <c r="U33" s="39" t="s">
        <v>831</v>
      </c>
      <c r="V33" s="38" t="s">
        <v>999</v>
      </c>
      <c r="W33" s="18" t="s">
        <v>1017</v>
      </c>
      <c r="X33" s="22" t="b">
        <v>1</v>
      </c>
    </row>
    <row r="34" spans="1:24" ht="72">
      <c r="A34" s="15">
        <v>32</v>
      </c>
      <c r="B34" s="15">
        <f ca="1">IFERROR(__xludf.DUMMYFUNCTION("""COMPUTED_VALUE"""),3790)</f>
        <v>3790</v>
      </c>
      <c r="C34" s="16" t="str">
        <f ca="1">IFERROR(__xludf.DUMMYFUNCTION("""COMPUTED_VALUE"""),"I MD VIBRA DANANJAYA")</f>
        <v>I MD VIBRA DANANJAYA</v>
      </c>
      <c r="D34" s="16" t="str">
        <f ca="1">IFERROR(__xludf.DUMMYFUNCTION("""COMPUTED_VALUE"""),"5019211012")</f>
        <v>5019211012</v>
      </c>
      <c r="E34" s="16" t="str">
        <f ca="1">IFERROR(__xludf.DUMMYFUNCTION("""COMPUTED_VALUE"""),"Departemen Teknik Sistem Perkapalan")</f>
        <v>Departemen Teknik Sistem Perkapalan</v>
      </c>
      <c r="F34" s="16" t="str">
        <f ca="1">IFERROR(__xludf.DUMMYFUNCTION("""COMPUTED_VALUE"""),"SMART FLOATING WASTE MANAGEMENT SEBAGAI LANGKAH MENANGGULANGI SAMPAH KIRIMAN DI PANTAI KUTA DAN SEKITARNYA")</f>
        <v>SMART FLOATING WASTE MANAGEMENT SEBAGAI LANGKAH MENANGGULANGI SAMPAH KIRIMAN DI PANTAI KUTA DAN SEKITARNYA</v>
      </c>
      <c r="G34" s="16" t="str">
        <f ca="1">IFERROR(__xludf.DUMMYFUNCTION("""COMPUTED_VALUE"""),"Prof. Ir. Aguk Zuhdi Muhammad Fathallah, M.Eng., Ph.D.")</f>
        <v>Prof. Ir. Aguk Zuhdi Muhammad Fathallah, M.Eng., Ph.D.</v>
      </c>
      <c r="H34" s="16" t="str">
        <f ca="1">IFERROR(__xludf.DUMMYFUNCTION("""COMPUTED_VALUE"""),"Izzat Aulia Akbar, S.Kom., M.Eng., Ph.D.")</f>
        <v>Izzat Aulia Akbar, S.Kom., M.Eng., Ph.D.</v>
      </c>
      <c r="I34" s="16" t="str">
        <f ca="1">IFERROR(__xludf.DUMMYFUNCTION("""COMPUTED_VALUE"""),"Mahardika F. Rois, S.T, M.T")</f>
        <v>Mahardika F. Rois, S.T, M.T</v>
      </c>
      <c r="J34" s="16"/>
      <c r="K34" s="86" t="s">
        <v>1016</v>
      </c>
      <c r="L34" s="18" t="s">
        <v>1018</v>
      </c>
      <c r="M34" s="19" t="b">
        <v>1</v>
      </c>
      <c r="N34" s="19" t="b">
        <v>1</v>
      </c>
      <c r="O34" s="1" t="s">
        <v>1019</v>
      </c>
      <c r="P34" s="7" t="str">
        <f ca="1">IFERROR(__xludf.DUMMYFUNCTION("iferror(vlookup(B34,importrange(""https://docs.google.com/spreadsheets/d/1boHyJQ4e2FU0QG8MHwEi6qjX4hvZWVCHcFfXjq7bbMc/edit?resourcekey#gid=923248883"",""Prop!$C$1:$M""),12,0),IFERROR(vlookup(B34,importrange(""https://docs.google.com/spreadsheets/d/1boHyJQ"&amp;"4e2FU0QG8MHwEi6qjX4hvZWVCHcFfXjq7bbMc/edit?resourcekey#gid=923248883"",""Prop!$N$1:$X""),11,0),iferror(vlookup(B34,importrange(""https://docs.google.com/spreadsheets/d/1boHyJQ4e2FU0QG8MHwEi6qjX4hvZWVCHcFfXjq7bbMc/edit?resourcekey#gid=923248883"",""Prop!$Y"&amp;"$1:$AI""),11,0),iferror(vlookup(B34,importrange(""https://docs.google.com/spreadsheets/d/1boHyJQ4e2FU0QG8MHwEi6qjX4hvZWVCHcFfXjq7bbMc/edit?resourcekey#gid=923248883"",""Prop!$AJ$1:$AT""),11,0),iferror(vlookup(B34,importrange(""https://docs.google.com/spre"&amp;"adsheets/d/1boHyJQ4e2FU0QG8MHwEi6qjX4hvZWVCHcFfXjq7bbMc/edit?resourcekey#gid=923248883"",""Prop!$AU$1:$BE""),11,0),iferror(vlookup(B34,importrange(""https://docs.google.com/spreadsheets/d/1boHyJQ4e2FU0QG8MHwEi6qjX4hvZWVCHcFfXjq7bbMc/edit?resourcekey#gid=9"&amp;"23248883"",""Prop!$BF$1:$BP""),11,0),iferror(vlookup(B34,importrange(""https://docs.google.com/spreadsheets/d/1boHyJQ4e2FU0QG8MHwEi6qjX4hvZWVCHcFfXjq7bbMc/edit?resourcekey#gid=923248883"",""Prop!$BQ$1:$CA""),11,0),iferror(vlookup(B34,importrange(""https:/"&amp;"/docs.google.com/spreadsheets/d/1boHyJQ4e2FU0QG8MHwEi6qjX4hvZWVCHcFfXjq7bbMc/edit?resourcekey#gid=923248883"",""Prop!$CB$1:$CL""),11,0),iferror(vlookup(B34,importrange(""https://docs.google.com/spreadsheets/d/1boHyJQ4e2FU0QG8MHwEi6qjX4hvZWVCHcFfXjq7bbMc/e"&amp;"dit?resourcekey#gid=923248883"",""Prop!$CM$1:$CX""),12,0),iferror(vlookup(B34,importrange(""https://docs.google.com/spreadsheets/d/1boHyJQ4e2FU0QG8MHwEi6qjX4hvZWVCHcFfXjq7bbMc/edit?resourcekey#gid=923248883"",""Prop!$CV$1:$DI""),11,0)))))))))))"),"https://drive.google.com/open?id=1uYWpwucKnToq0M-Ll955z8uc_s63y_S2")</f>
        <v>https://drive.google.com/open?id=1uYWpwucKnToq0M-Ll955z8uc_s63y_S2</v>
      </c>
      <c r="Q34" s="7" t="str">
        <f ca="1">IFERROR(__xludf.DUMMYFUNCTION("iferror(vlookup(B34,importrange(""https://docs.google.com/spreadsheets/d/1p53T2AuvvIqhP7Nf-bo3Uhj8cbKYRPpZdsrBv3x3bAQ/edit?resourcekey#gid=1321652304"",""Prop!$C$1:$M""),11,0),IFERROR(vlookup(B34,importrange(""https://docs.google.com/spreadsheets/d/1p53T2"&amp;"AuvvIqhP7Nf-bo3Uhj8cbKYRPpZdsrBv3x3bAQ/edit?resourcekey#gid=1321652304"",""Prop!$N$1:$X""),11,0),iferror(vlookup(B34,importrange(""https://docs.google.com/spreadsheets/d/1p53T2AuvvIqhP7Nf-bo3Uhj8cbKYRPpZdsrBv3x3bAQ/edit?resourcekey#gid=1321652304"",""Prop"&amp;"!$Y$1:$AI""),11,0),iferror(vlookup(B34,importrange(""https://docs.google.com/spreadsheets/d/1p53T2AuvvIqhP7Nf-bo3Uhj8cbKYRPpZdsrBv3x3bAQ/edit?resourcekey#gid=1321652304"",""Prop!$AJ$1:$AT""),11,0),iferror(vlookup(B34,importrange(""https://docs.google.com/"&amp;"spreadsheets/d/1p53T2AuvvIqhP7Nf-bo3Uhj8cbKYRPpZdsrBv3x3bAQ/edit?resourcekey#gid=1321652304"",""Prop!$AU$1:$BE""),11,0),iferror(vlookup(B34,importrange(""https://docs.google.com/spreadsheets/d/1p53T2AuvvIqhP7Nf-bo3Uhj8cbKYRPpZdsrBv3x3bAQ/edit?resourcekey#"&amp;"gid=1321652304"",""Prop!$BF$1:$BP""),11,0),iferror(vlookup(B34,importrange(""https://docs.google.com/spreadsheets/d/1p53T2AuvvIqhP7Nf-bo3Uhj8cbKYRPpZdsrBv3x3bAQ/edit?resourcekey#gid=1321652304"",""Prop!$BQ$1:$CA""),11,0),iferror(vlookup(B34,importrange("""&amp;"https://docs.google.com/spreadsheets/d/1p53T2AuvvIqhP7Nf-bo3Uhj8cbKYRPpZdsrBv3x3bAQ/edit?resourcekey#gid=1321652304"",""Prop!$CB$1:$CL""),11,0),iferror(vlookup(B34,importrange(""https://docs.google.com/spreadsheets/d/1p53T2AuvvIqhP7Nf-bo3Uhj8cbKYRPpZdsrBv"&amp;"3x3bAQ/edit?resourcekey#gid=1321652304"",""Prop!$CM$1:$CX""),12,0),iferror(vlookup(B34,importrange(""https://docs.google.com/spreadsheets/d/1p53T2AuvvIqhP7Nf-bo3Uhj8cbKYRPpZdsrBv3x3bAQ/edit?resourcekey#gid=1321652304"",""Prop!$CY$1:$DI""),11,0)))))))))))"),"https://drive.google.com/open?id=1Qa3f41544y0I9uVo1v2VGHvsaiKOQ3HU")</f>
        <v>https://drive.google.com/open?id=1Qa3f41544y0I9uVo1v2VGHvsaiKOQ3HU</v>
      </c>
      <c r="R34" s="20" t="s">
        <v>998</v>
      </c>
      <c r="S34" s="20" t="str">
        <f ca="1">IFERROR(__xludf.DUMMYFUNCTION("IFERROR(vlookup(B34,IMPORTRANGE(""https://docs.google.com/spreadsheets/d/1g_jfYYK_KeipEDNDUgqgrsxK94XiocfNQIcP-v1QVhI/edit?resourcekey#gid=233272945"",""Nilai!B:CT""),37,0),"" "")"),"1. format font tdk sesuai
2. perjelas ilustrasi gagasan untuk konteks pantai kuta")</f>
        <v>1. format font tdk sesuai
2. perjelas ilustrasi gagasan untuk konteks pantai kuta</v>
      </c>
      <c r="T34" s="20" t="str">
        <f ca="1">IFERROR(__xludf.DUMMYFUNCTION("IFERROR(vlookup(B34,IMPORTRANGE(""https://docs.google.com/spreadsheets/d/1g_jfYYK_KeipEDNDUgqgrsxK94XiocfNQIcP-v1QVhI/edit?resourcekey#gid=233272945"",""Nilai!B:CT""),97,0),"" "")"),"LAYAK UPLOAD KE SIMBELMAWA DENGAN REVISI")</f>
        <v>LAYAK UPLOAD KE SIMBELMAWA DENGAN REVISI</v>
      </c>
      <c r="U34" s="39" t="s">
        <v>831</v>
      </c>
      <c r="V34" s="38" t="s">
        <v>999</v>
      </c>
      <c r="W34" s="18" t="s">
        <v>1017</v>
      </c>
      <c r="X34" s="22" t="b">
        <v>0</v>
      </c>
    </row>
    <row r="35" spans="1:24" ht="69">
      <c r="A35" s="15">
        <v>33</v>
      </c>
      <c r="B35" s="15">
        <f ca="1">IFERROR(__xludf.DUMMYFUNCTION("""COMPUTED_VALUE"""),2769)</f>
        <v>2769</v>
      </c>
      <c r="C35" s="16" t="str">
        <f ca="1">IFERROR(__xludf.DUMMYFUNCTION("""COMPUTED_VALUE"""),"BAYU SAPUTRA")</f>
        <v>BAYU SAPUTRA</v>
      </c>
      <c r="D35" s="16" t="str">
        <f ca="1">IFERROR(__xludf.DUMMYFUNCTION("""COMPUTED_VALUE"""),"5016201067")</f>
        <v>5016201067</v>
      </c>
      <c r="E35" s="16" t="str">
        <f ca="1">IFERROR(__xludf.DUMMYFUNCTION("""COMPUTED_VALUE"""),"Departemen Teknik Geomatika")</f>
        <v>Departemen Teknik Geomatika</v>
      </c>
      <c r="F35" s="16" t="str">
        <f ca="1">IFERROR(__xludf.DUMMYFUNCTION("""COMPUTED_VALUE"""),"Komba Arc Hydrothermal Vent Floating Power Plant Metode Combustion Chamber Memanfaatkan Non-Decommissioning Oil Rig Guna Membentuk Kawasan Energi Bersih")</f>
        <v>Komba Arc Hydrothermal Vent Floating Power Plant Metode Combustion Chamber Memanfaatkan Non-Decommissioning Oil Rig Guna Membentuk Kawasan Energi Bersih</v>
      </c>
      <c r="G35" s="16" t="str">
        <f ca="1">IFERROR(__xludf.DUMMYFUNCTION("""COMPUTED_VALUE"""),"Dr. Dendy Satrio, S.ST.")</f>
        <v>Dr. Dendy Satrio, S.ST.</v>
      </c>
      <c r="H35" s="16" t="str">
        <f ca="1">IFERROR(__xludf.DUMMYFUNCTION("""COMPUTED_VALUE"""),"Izzat Aulia Akbar, S.Kom., M.Eng., Ph.D.")</f>
        <v>Izzat Aulia Akbar, S.Kom., M.Eng., Ph.D.</v>
      </c>
      <c r="I35" s="16" t="str">
        <f ca="1">IFERROR(__xludf.DUMMYFUNCTION("""COMPUTED_VALUE"""),"Mahardika F. Rois, S.T, M.T")</f>
        <v>Mahardika F. Rois, S.T, M.T</v>
      </c>
      <c r="J35" s="16"/>
      <c r="K35" s="86" t="s">
        <v>1016</v>
      </c>
      <c r="L35" s="18" t="s">
        <v>1018</v>
      </c>
      <c r="M35" s="19" t="b">
        <v>0</v>
      </c>
      <c r="N35" s="19" t="b">
        <v>0</v>
      </c>
      <c r="O35" s="1" t="s">
        <v>1019</v>
      </c>
      <c r="P35" s="7" t="str">
        <f ca="1">IFERROR(__xludf.DUMMYFUNCTION("iferror(vlookup(B35,importrange(""https://docs.google.com/spreadsheets/d/1boHyJQ4e2FU0QG8MHwEi6qjX4hvZWVCHcFfXjq7bbMc/edit?resourcekey#gid=923248883"",""Prop!$C$1:$M""),12,0),IFERROR(vlookup(B35,importrange(""https://docs.google.com/spreadsheets/d/1boHyJQ"&amp;"4e2FU0QG8MHwEi6qjX4hvZWVCHcFfXjq7bbMc/edit?resourcekey#gid=923248883"",""Prop!$N$1:$X""),11,0),iferror(vlookup(B35,importrange(""https://docs.google.com/spreadsheets/d/1boHyJQ4e2FU0QG8MHwEi6qjX4hvZWVCHcFfXjq7bbMc/edit?resourcekey#gid=923248883"",""Prop!$Y"&amp;"$1:$AI""),11,0),iferror(vlookup(B35,importrange(""https://docs.google.com/spreadsheets/d/1boHyJQ4e2FU0QG8MHwEi6qjX4hvZWVCHcFfXjq7bbMc/edit?resourcekey#gid=923248883"",""Prop!$AJ$1:$AT""),11,0),iferror(vlookup(B35,importrange(""https://docs.google.com/spre"&amp;"adsheets/d/1boHyJQ4e2FU0QG8MHwEi6qjX4hvZWVCHcFfXjq7bbMc/edit?resourcekey#gid=923248883"",""Prop!$AU$1:$BE""),11,0),iferror(vlookup(B35,importrange(""https://docs.google.com/spreadsheets/d/1boHyJQ4e2FU0QG8MHwEi6qjX4hvZWVCHcFfXjq7bbMc/edit?resourcekey#gid=9"&amp;"23248883"",""Prop!$BF$1:$BP""),11,0),iferror(vlookup(B35,importrange(""https://docs.google.com/spreadsheets/d/1boHyJQ4e2FU0QG8MHwEi6qjX4hvZWVCHcFfXjq7bbMc/edit?resourcekey#gid=923248883"",""Prop!$BQ$1:$CA""),11,0),iferror(vlookup(B35,importrange(""https:/"&amp;"/docs.google.com/spreadsheets/d/1boHyJQ4e2FU0QG8MHwEi6qjX4hvZWVCHcFfXjq7bbMc/edit?resourcekey#gid=923248883"",""Prop!$CB$1:$CL""),11,0),iferror(vlookup(B35,importrange(""https://docs.google.com/spreadsheets/d/1boHyJQ4e2FU0QG8MHwEi6qjX4hvZWVCHcFfXjq7bbMc/e"&amp;"dit?resourcekey#gid=923248883"",""Prop!$CM$1:$CX""),12,0),iferror(vlookup(B35,importrange(""https://docs.google.com/spreadsheets/d/1boHyJQ4e2FU0QG8MHwEi6qjX4hvZWVCHcFfXjq7bbMc/edit?resourcekey#gid=923248883"",""Prop!$CV$1:$DI""),11,0)))))))))))"),"https://drive.google.com/open?id=1GbXtpg4Z9WojmPGc9WlXdP9jnCcygyHI")</f>
        <v>https://drive.google.com/open?id=1GbXtpg4Z9WojmPGc9WlXdP9jnCcygyHI</v>
      </c>
      <c r="Q35" s="7" t="str">
        <f ca="1">IFERROR(__xludf.DUMMYFUNCTION("iferror(vlookup(B35,importrange(""https://docs.google.com/spreadsheets/d/1p53T2AuvvIqhP7Nf-bo3Uhj8cbKYRPpZdsrBv3x3bAQ/edit?resourcekey#gid=1321652304"",""Prop!$C$1:$M""),11,0),IFERROR(vlookup(B35,importrange(""https://docs.google.com/spreadsheets/d/1p53T2"&amp;"AuvvIqhP7Nf-bo3Uhj8cbKYRPpZdsrBv3x3bAQ/edit?resourcekey#gid=1321652304"",""Prop!$N$1:$X""),11,0),iferror(vlookup(B35,importrange(""https://docs.google.com/spreadsheets/d/1p53T2AuvvIqhP7Nf-bo3Uhj8cbKYRPpZdsrBv3x3bAQ/edit?resourcekey#gid=1321652304"",""Prop"&amp;"!$Y$1:$AI""),11,0),iferror(vlookup(B35,importrange(""https://docs.google.com/spreadsheets/d/1p53T2AuvvIqhP7Nf-bo3Uhj8cbKYRPpZdsrBv3x3bAQ/edit?resourcekey#gid=1321652304"",""Prop!$AJ$1:$AT""),11,0),iferror(vlookup(B35,importrange(""https://docs.google.com/"&amp;"spreadsheets/d/1p53T2AuvvIqhP7Nf-bo3Uhj8cbKYRPpZdsrBv3x3bAQ/edit?resourcekey#gid=1321652304"",""Prop!$AU$1:$BE""),11,0),iferror(vlookup(B35,importrange(""https://docs.google.com/spreadsheets/d/1p53T2AuvvIqhP7Nf-bo3Uhj8cbKYRPpZdsrBv3x3bAQ/edit?resourcekey#"&amp;"gid=1321652304"",""Prop!$BF$1:$BP""),11,0),iferror(vlookup(B35,importrange(""https://docs.google.com/spreadsheets/d/1p53T2AuvvIqhP7Nf-bo3Uhj8cbKYRPpZdsrBv3x3bAQ/edit?resourcekey#gid=1321652304"",""Prop!$BQ$1:$CA""),11,0),iferror(vlookup(B35,importrange("""&amp;"https://docs.google.com/spreadsheets/d/1p53T2AuvvIqhP7Nf-bo3Uhj8cbKYRPpZdsrBv3x3bAQ/edit?resourcekey#gid=1321652304"",""Prop!$CB$1:$CL""),11,0),iferror(vlookup(B35,importrange(""https://docs.google.com/spreadsheets/d/1p53T2AuvvIqhP7Nf-bo3Uhj8cbKYRPpZdsrBv"&amp;"3x3bAQ/edit?resourcekey#gid=1321652304"",""Prop!$CM$1:$CX""),12,0),iferror(vlookup(B35,importrange(""https://docs.google.com/spreadsheets/d/1p53T2AuvvIqhP7Nf-bo3Uhj8cbKYRPpZdsrBv3x3bAQ/edit?resourcekey#gid=1321652304"",""Prop!$CY$1:$DI""),11,0)))))))))))"),"https://drive.google.com/open?id=1korVDsnWIHl6M5Dxhx0fM5umfFYnc0me")</f>
        <v>https://drive.google.com/open?id=1korVDsnWIHl6M5Dxhx0fM5umfFYnc0me</v>
      </c>
      <c r="R35" s="20" t="s">
        <v>998</v>
      </c>
      <c r="S35" s="20" t="str">
        <f ca="1">IFERROR(__xludf.DUMMYFUNCTION("IFERROR(vlookup(B35,IMPORTRANGE(""https://docs.google.com/spreadsheets/d/1g_jfYYK_KeipEDNDUgqgrsxK94XiocfNQIcP-v1QVhI/edit?resourcekey#gid=233272945"",""Nilai!B:CT""),37,0),"" "")"),"1. memperkuat fokus masalah dan tantangan intelektual gagasan
2. belum terlihat ilustrasi gagasan secara komprehensif dan implementasinya di NTT")</f>
        <v>1. memperkuat fokus masalah dan tantangan intelektual gagasan
2. belum terlihat ilustrasi gagasan secara komprehensif dan implementasinya di NTT</v>
      </c>
      <c r="T35" s="20" t="str">
        <f ca="1">IFERROR(__xludf.DUMMYFUNCTION("IFERROR(vlookup(B35,IMPORTRANGE(""https://docs.google.com/spreadsheets/d/1g_jfYYK_KeipEDNDUgqgrsxK94XiocfNQIcP-v1QVhI/edit?resourcekey#gid=233272945"",""Nilai!B:CT""),97,0),"" "")"),"LAYAK UPLOAD KE SIMBELMAWA DENGAN REVISI")</f>
        <v>LAYAK UPLOAD KE SIMBELMAWA DENGAN REVISI</v>
      </c>
      <c r="U35" s="39" t="s">
        <v>831</v>
      </c>
      <c r="V35" s="38" t="s">
        <v>999</v>
      </c>
      <c r="W35" s="18" t="s">
        <v>1020</v>
      </c>
      <c r="X35" s="22" t="b">
        <v>0</v>
      </c>
    </row>
    <row r="36" spans="1:24" ht="69">
      <c r="A36" s="15">
        <v>34</v>
      </c>
      <c r="B36" s="15">
        <f ca="1">IFERROR(__xludf.DUMMYFUNCTION("""COMPUTED_VALUE"""),2137)</f>
        <v>2137</v>
      </c>
      <c r="C36" s="16" t="str">
        <f ca="1">IFERROR(__xludf.DUMMYFUNCTION("""COMPUTED_VALUE"""),"A KRISNA WIKANTYOSO")</f>
        <v>A KRISNA WIKANTYOSO</v>
      </c>
      <c r="D36" s="16" t="str">
        <f ca="1">IFERROR(__xludf.DUMMYFUNCTION("""COMPUTED_VALUE"""),"07111940000119")</f>
        <v>07111940000119</v>
      </c>
      <c r="E36" s="16" t="str">
        <f ca="1">IFERROR(__xludf.DUMMYFUNCTION("""COMPUTED_VALUE"""),"Departemen Teknik Elektro")</f>
        <v>Departemen Teknik Elektro</v>
      </c>
      <c r="F36" s="16" t="str">
        <f ca="1">IFERROR(__xludf.DUMMYFUNCTION("""COMPUTED_VALUE"""),"Fully Remote Monitoring and Controlling Digital Twin Nuclear Power Plant Bangka Belitung dengan Massive IoT yang Terintegrasi 5G Network Slicing
")</f>
        <v xml:space="preserve">Fully Remote Monitoring and Controlling Digital Twin Nuclear Power Plant Bangka Belitung dengan Massive IoT yang Terintegrasi 5G Network Slicing
</v>
      </c>
      <c r="G36" s="16" t="str">
        <f ca="1">IFERROR(__xludf.DUMMYFUNCTION("""COMPUTED_VALUE"""),"Dr. Dimas Fajar Uman Putra, S.T., M.T.")</f>
        <v>Dr. Dimas Fajar Uman Putra, S.T., M.T.</v>
      </c>
      <c r="H36" s="16" t="str">
        <f ca="1">IFERROR(__xludf.DUMMYFUNCTION("""COMPUTED_VALUE"""),"Putu Gde Ariastita, S.T., M.T.")</f>
        <v>Putu Gde Ariastita, S.T., M.T.</v>
      </c>
      <c r="I36" s="16" t="str">
        <f ca="1">IFERROR(__xludf.DUMMYFUNCTION("""COMPUTED_VALUE"""),"Mahardika F. Rois, S.T, M.T")</f>
        <v>Mahardika F. Rois, S.T, M.T</v>
      </c>
      <c r="J36" s="16"/>
      <c r="K36" s="86" t="s">
        <v>1016</v>
      </c>
      <c r="L36" s="18" t="s">
        <v>1018</v>
      </c>
      <c r="M36" s="19" t="b">
        <v>1</v>
      </c>
      <c r="N36" s="19" t="b">
        <v>1</v>
      </c>
      <c r="O36" s="1" t="s">
        <v>1019</v>
      </c>
      <c r="P36" s="7" t="str">
        <f ca="1">IFERROR(__xludf.DUMMYFUNCTION("iferror(vlookup(B36,importrange(""https://docs.google.com/spreadsheets/d/1boHyJQ4e2FU0QG8MHwEi6qjX4hvZWVCHcFfXjq7bbMc/edit?resourcekey#gid=923248883"",""Prop!$C$1:$M""),12,0),IFERROR(vlookup(B36,importrange(""https://docs.google.com/spreadsheets/d/1boHyJQ"&amp;"4e2FU0QG8MHwEi6qjX4hvZWVCHcFfXjq7bbMc/edit?resourcekey#gid=923248883"",""Prop!$N$1:$X""),11,0),iferror(vlookup(B36,importrange(""https://docs.google.com/spreadsheets/d/1boHyJQ4e2FU0QG8MHwEi6qjX4hvZWVCHcFfXjq7bbMc/edit?resourcekey#gid=923248883"",""Prop!$Y"&amp;"$1:$AI""),11,0),iferror(vlookup(B36,importrange(""https://docs.google.com/spreadsheets/d/1boHyJQ4e2FU0QG8MHwEi6qjX4hvZWVCHcFfXjq7bbMc/edit?resourcekey#gid=923248883"",""Prop!$AJ$1:$AT""),11,0),iferror(vlookup(B36,importrange(""https://docs.google.com/spre"&amp;"adsheets/d/1boHyJQ4e2FU0QG8MHwEi6qjX4hvZWVCHcFfXjq7bbMc/edit?resourcekey#gid=923248883"",""Prop!$AU$1:$BE""),11,0),iferror(vlookup(B36,importrange(""https://docs.google.com/spreadsheets/d/1boHyJQ4e2FU0QG8MHwEi6qjX4hvZWVCHcFfXjq7bbMc/edit?resourcekey#gid=9"&amp;"23248883"",""Prop!$BF$1:$BP""),11,0),iferror(vlookup(B36,importrange(""https://docs.google.com/spreadsheets/d/1boHyJQ4e2FU0QG8MHwEi6qjX4hvZWVCHcFfXjq7bbMc/edit?resourcekey#gid=923248883"",""Prop!$BQ$1:$CA""),11,0),iferror(vlookup(B36,importrange(""https:/"&amp;"/docs.google.com/spreadsheets/d/1boHyJQ4e2FU0QG8MHwEi6qjX4hvZWVCHcFfXjq7bbMc/edit?resourcekey#gid=923248883"",""Prop!$CB$1:$CL""),11,0),iferror(vlookup(B36,importrange(""https://docs.google.com/spreadsheets/d/1boHyJQ4e2FU0QG8MHwEi6qjX4hvZWVCHcFfXjq7bbMc/e"&amp;"dit?resourcekey#gid=923248883"",""Prop!$CM$1:$CX""),12,0),iferror(vlookup(B36,importrange(""https://docs.google.com/spreadsheets/d/1boHyJQ4e2FU0QG8MHwEi6qjX4hvZWVCHcFfXjq7bbMc/edit?resourcekey#gid=923248883"",""Prop!$CV$1:$DI""),11,0)))))))))))"),"https://drive.google.com/open?id=10v4rIm-jFzVHE7RMFZp5stWlo4dGreol")</f>
        <v>https://drive.google.com/open?id=10v4rIm-jFzVHE7RMFZp5stWlo4dGreol</v>
      </c>
      <c r="Q36" s="7" t="str">
        <f ca="1">IFERROR(__xludf.DUMMYFUNCTION("iferror(vlookup(B36,importrange(""https://docs.google.com/spreadsheets/d/1p53T2AuvvIqhP7Nf-bo3Uhj8cbKYRPpZdsrBv3x3bAQ/edit?resourcekey#gid=1321652304"",""Prop!$C$1:$M""),11,0),IFERROR(vlookup(B36,importrange(""https://docs.google.com/spreadsheets/d/1p53T2"&amp;"AuvvIqhP7Nf-bo3Uhj8cbKYRPpZdsrBv3x3bAQ/edit?resourcekey#gid=1321652304"",""Prop!$N$1:$X""),11,0),iferror(vlookup(B36,importrange(""https://docs.google.com/spreadsheets/d/1p53T2AuvvIqhP7Nf-bo3Uhj8cbKYRPpZdsrBv3x3bAQ/edit?resourcekey#gid=1321652304"",""Prop"&amp;"!$Y$1:$AI""),11,0),iferror(vlookup(B36,importrange(""https://docs.google.com/spreadsheets/d/1p53T2AuvvIqhP7Nf-bo3Uhj8cbKYRPpZdsrBv3x3bAQ/edit?resourcekey#gid=1321652304"",""Prop!$AJ$1:$AT""),11,0),iferror(vlookup(B36,importrange(""https://docs.google.com/"&amp;"spreadsheets/d/1p53T2AuvvIqhP7Nf-bo3Uhj8cbKYRPpZdsrBv3x3bAQ/edit?resourcekey#gid=1321652304"",""Prop!$AU$1:$BE""),11,0),iferror(vlookup(B36,importrange(""https://docs.google.com/spreadsheets/d/1p53T2AuvvIqhP7Nf-bo3Uhj8cbKYRPpZdsrBv3x3bAQ/edit?resourcekey#"&amp;"gid=1321652304"",""Prop!$BF$1:$BP""),11,0),iferror(vlookup(B36,importrange(""https://docs.google.com/spreadsheets/d/1p53T2AuvvIqhP7Nf-bo3Uhj8cbKYRPpZdsrBv3x3bAQ/edit?resourcekey#gid=1321652304"",""Prop!$BQ$1:$CA""),11,0),iferror(vlookup(B36,importrange("""&amp;"https://docs.google.com/spreadsheets/d/1p53T2AuvvIqhP7Nf-bo3Uhj8cbKYRPpZdsrBv3x3bAQ/edit?resourcekey#gid=1321652304"",""Prop!$CB$1:$CL""),11,0),iferror(vlookup(B36,importrange(""https://docs.google.com/spreadsheets/d/1p53T2AuvvIqhP7Nf-bo3Uhj8cbKYRPpZdsrBv"&amp;"3x3bAQ/edit?resourcekey#gid=1321652304"",""Prop!$CM$1:$CX""),12,0),iferror(vlookup(B36,importrange(""https://docs.google.com/spreadsheets/d/1p53T2AuvvIqhP7Nf-bo3Uhj8cbKYRPpZdsrBv3x3bAQ/edit?resourcekey#gid=1321652304"",""Prop!$CY$1:$DI""),11,0)))))))))))"),"https://drive.google.com/open?id=1c-2_OKcZF9afKJRh_fOTfMaloewbkG0H")</f>
        <v>https://drive.google.com/open?id=1c-2_OKcZF9afKJRh_fOTfMaloewbkG0H</v>
      </c>
      <c r="R36" s="20" t="s">
        <v>998</v>
      </c>
      <c r="S36" s="20" t="str">
        <f ca="1">IFERROR(__xludf.DUMMYFUNCTION("IFERROR(vlookup(B36,IMPORTRANGE(""https://docs.google.com/spreadsheets/d/1g_jfYYK_KeipEDNDUgqgrsxK94XiocfNQIcP-v1QVhI/edit?resourcekey#gid=233272945"",""Nilai!B:CT""),37,0),"" "")"),"Perlu memperjelas cara mendeskripsikan gagasannya (lihat komentar di proposal)")</f>
        <v>Perlu memperjelas cara mendeskripsikan gagasannya (lihat komentar di proposal)</v>
      </c>
      <c r="T36" s="20" t="str">
        <f ca="1">IFERROR(__xludf.DUMMYFUNCTION("IFERROR(vlookup(B36,IMPORTRANGE(""https://docs.google.com/spreadsheets/d/1g_jfYYK_KeipEDNDUgqgrsxK94XiocfNQIcP-v1QVhI/edit?resourcekey#gid=233272945"",""Nilai!B:CT""),97,0),"" "")"),"LAYAK UPLOAD KE SIMBELMAWA DENGAN REVISI")</f>
        <v>LAYAK UPLOAD KE SIMBELMAWA DENGAN REVISI</v>
      </c>
      <c r="U36" s="39" t="s">
        <v>831</v>
      </c>
      <c r="V36" s="38" t="s">
        <v>999</v>
      </c>
      <c r="W36" s="18" t="s">
        <v>1020</v>
      </c>
      <c r="X36" s="22" t="b">
        <v>1</v>
      </c>
    </row>
    <row r="37" spans="1:24" ht="72">
      <c r="A37" s="15">
        <v>35</v>
      </c>
      <c r="B37" s="15">
        <f ca="1">IFERROR(__xludf.DUMMYFUNCTION("""COMPUTED_VALUE"""),3686)</f>
        <v>3686</v>
      </c>
      <c r="C37" s="16" t="str">
        <f ca="1">IFERROR(__xludf.DUMMYFUNCTION("""COMPUTED_VALUE"""),"AHNAF")</f>
        <v>AHNAF</v>
      </c>
      <c r="D37" s="16" t="str">
        <f ca="1">IFERROR(__xludf.DUMMYFUNCTION("""COMPUTED_VALUE"""),"08111840000038")</f>
        <v>08111840000038</v>
      </c>
      <c r="E37" s="16" t="str">
        <f ca="1">IFERROR(__xludf.DUMMYFUNCTION("""COMPUTED_VALUE"""),"Departemen Arsitektur")</f>
        <v>Departemen Arsitektur</v>
      </c>
      <c r="F37" s="16" t="str">
        <f ca="1">IFERROR(__xludf.DUMMYFUNCTION("""COMPUTED_VALUE"""),"COMPLEX SETTLEMENT SEBAGAI SARANA REVITALISASI
KAWASAN CAGAR BUDAYA KALIMAS TIMUR SURABAYA")</f>
        <v>COMPLEX SETTLEMENT SEBAGAI SARANA REVITALISASI
KAWASAN CAGAR BUDAYA KALIMAS TIMUR SURABAYA</v>
      </c>
      <c r="G37" s="16" t="str">
        <f ca="1">IFERROR(__xludf.DUMMYFUNCTION("""COMPUTED_VALUE"""),"Dewi Septanti, S.Pd., S.T., M.T., Ph.D.")</f>
        <v>Dewi Septanti, S.Pd., S.T., M.T., Ph.D.</v>
      </c>
      <c r="H37" s="16" t="str">
        <f ca="1">IFERROR(__xludf.DUMMYFUNCTION("""COMPUTED_VALUE"""),"Prof. Ir. Aguk Zuhdi Muhammad Fathallah, M.Eng., Ph.D.")</f>
        <v>Prof. Ir. Aguk Zuhdi Muhammad Fathallah, M.Eng., Ph.D.</v>
      </c>
      <c r="I37" s="16" t="str">
        <f ca="1">IFERROR(__xludf.DUMMYFUNCTION("""COMPUTED_VALUE"""),"Dyah Sawitri, S.T., M.T.")</f>
        <v>Dyah Sawitri, S.T., M.T.</v>
      </c>
      <c r="J37" s="16"/>
      <c r="K37" s="86" t="s">
        <v>1016</v>
      </c>
      <c r="L37" s="18" t="s">
        <v>1018</v>
      </c>
      <c r="M37" s="19" t="b">
        <v>0</v>
      </c>
      <c r="N37" s="19" t="b">
        <v>0</v>
      </c>
      <c r="O37" s="1" t="s">
        <v>1019</v>
      </c>
      <c r="P37" s="1" t="str">
        <f ca="1">IFERROR(__xludf.DUMMYFUNCTION("iferror(vlookup(B37,importrange(""https://docs.google.com/spreadsheets/d/1boHyJQ4e2FU0QG8MHwEi6qjX4hvZWVCHcFfXjq7bbMc/edit?resourcekey#gid=923248883"",""Prop!$C$1:$M""),12,0),IFERROR(vlookup(B37,importrange(""https://docs.google.com/spreadsheets/d/1boHyJQ"&amp;"4e2FU0QG8MHwEi6qjX4hvZWVCHcFfXjq7bbMc/edit?resourcekey#gid=923248883"",""Prop!$N$1:$X""),11,0),iferror(vlookup(B37,importrange(""https://docs.google.com/spreadsheets/d/1boHyJQ4e2FU0QG8MHwEi6qjX4hvZWVCHcFfXjq7bbMc/edit?resourcekey#gid=923248883"",""Prop!$Y"&amp;"$1:$AI""),11,0),iferror(vlookup(B37,importrange(""https://docs.google.com/spreadsheets/d/1boHyJQ4e2FU0QG8MHwEi6qjX4hvZWVCHcFfXjq7bbMc/edit?resourcekey#gid=923248883"",""Prop!$AJ$1:$AT""),11,0),iferror(vlookup(B37,importrange(""https://docs.google.com/spre"&amp;"adsheets/d/1boHyJQ4e2FU0QG8MHwEi6qjX4hvZWVCHcFfXjq7bbMc/edit?resourcekey#gid=923248883"",""Prop!$AU$1:$BE""),11,0),iferror(vlookup(B37,importrange(""https://docs.google.com/spreadsheets/d/1boHyJQ4e2FU0QG8MHwEi6qjX4hvZWVCHcFfXjq7bbMc/edit?resourcekey#gid=9"&amp;"23248883"",""Prop!$BF$1:$BP""),11,0),iferror(vlookup(B37,importrange(""https://docs.google.com/spreadsheets/d/1boHyJQ4e2FU0QG8MHwEi6qjX4hvZWVCHcFfXjq7bbMc/edit?resourcekey#gid=923248883"",""Prop!$BQ$1:$CA""),11,0),iferror(vlookup(B37,importrange(""https:/"&amp;"/docs.google.com/spreadsheets/d/1boHyJQ4e2FU0QG8MHwEi6qjX4hvZWVCHcFfXjq7bbMc/edit?resourcekey#gid=923248883"",""Prop!$CB$1:$CL""),11,0),iferror(vlookup(B37,importrange(""https://docs.google.com/spreadsheets/d/1boHyJQ4e2FU0QG8MHwEi6qjX4hvZWVCHcFfXjq7bbMc/e"&amp;"dit?resourcekey#gid=923248883"",""Prop!$CM$1:$CX""),12,0),iferror(vlookup(B37,importrange(""https://docs.google.com/spreadsheets/d/1boHyJQ4e2FU0QG8MHwEi6qjX4hvZWVCHcFfXjq7bbMc/edit?resourcekey#gid=923248883"",""Prop!$CV$1:$DI""),11,0)))))))))))"),"")</f>
        <v/>
      </c>
      <c r="Q37" s="1" t="str">
        <f ca="1">IFERROR(__xludf.DUMMYFUNCTION("iferror(vlookup(B37,importrange(""https://docs.google.com/spreadsheets/d/1p53T2AuvvIqhP7Nf-bo3Uhj8cbKYRPpZdsrBv3x3bAQ/edit?resourcekey#gid=1321652304"",""Prop!$C$1:$M""),11,0),IFERROR(vlookup(B37,importrange(""https://docs.google.com/spreadsheets/d/1p53T2"&amp;"AuvvIqhP7Nf-bo3Uhj8cbKYRPpZdsrBv3x3bAQ/edit?resourcekey#gid=1321652304"",""Prop!$N$1:$X""),11,0),iferror(vlookup(B37,importrange(""https://docs.google.com/spreadsheets/d/1p53T2AuvvIqhP7Nf-bo3Uhj8cbKYRPpZdsrBv3x3bAQ/edit?resourcekey#gid=1321652304"",""Prop"&amp;"!$Y$1:$AI""),11,0),iferror(vlookup(B37,importrange(""https://docs.google.com/spreadsheets/d/1p53T2AuvvIqhP7Nf-bo3Uhj8cbKYRPpZdsrBv3x3bAQ/edit?resourcekey#gid=1321652304"",""Prop!$AJ$1:$AT""),11,0),iferror(vlookup(B37,importrange(""https://docs.google.com/"&amp;"spreadsheets/d/1p53T2AuvvIqhP7Nf-bo3Uhj8cbKYRPpZdsrBv3x3bAQ/edit?resourcekey#gid=1321652304"",""Prop!$AU$1:$BE""),11,0),iferror(vlookup(B37,importrange(""https://docs.google.com/spreadsheets/d/1p53T2AuvvIqhP7Nf-bo3Uhj8cbKYRPpZdsrBv3x3bAQ/edit?resourcekey#"&amp;"gid=1321652304"",""Prop!$BF$1:$BP""),11,0),iferror(vlookup(B37,importrange(""https://docs.google.com/spreadsheets/d/1p53T2AuvvIqhP7Nf-bo3Uhj8cbKYRPpZdsrBv3x3bAQ/edit?resourcekey#gid=1321652304"",""Prop!$BQ$1:$CA""),11,0),iferror(vlookup(B37,importrange("""&amp;"https://docs.google.com/spreadsheets/d/1p53T2AuvvIqhP7Nf-bo3Uhj8cbKYRPpZdsrBv3x3bAQ/edit?resourcekey#gid=1321652304"",""Prop!$CB$1:$CL""),11,0),iferror(vlookup(B37,importrange(""https://docs.google.com/spreadsheets/d/1p53T2AuvvIqhP7Nf-bo3Uhj8cbKYRPpZdsrBv"&amp;"3x3bAQ/edit?resourcekey#gid=1321652304"",""Prop!$CM$1:$CX""),12,0),iferror(vlookup(B37,importrange(""https://docs.google.com/spreadsheets/d/1p53T2AuvvIqhP7Nf-bo3Uhj8cbKYRPpZdsrBv3x3bAQ/edit?resourcekey#gid=1321652304"",""Prop!$CY$1:$DI""),11,0)))))))))))"),"")</f>
        <v/>
      </c>
      <c r="R37" s="20" t="s">
        <v>998</v>
      </c>
      <c r="S37" s="20" t="str">
        <f ca="1">IFERROR(__xludf.DUMMYFUNCTION("IFERROR(vlookup(B37,IMPORTRANGE(""https://docs.google.com/spreadsheets/d/1g_jfYYK_KeipEDNDUgqgrsxK94XiocfNQIcP-v1QVhI/edit?resourcekey#gid=233272945"",""Nilai!B:CT""),37,0),"" "")")," ")</f>
        <v xml:space="preserve"> </v>
      </c>
      <c r="T37" s="20" t="str">
        <f ca="1">IFERROR(__xludf.DUMMYFUNCTION("IFERROR(vlookup(B37,IMPORTRANGE(""https://docs.google.com/spreadsheets/d/1g_jfYYK_KeipEDNDUgqgrsxK94XiocfNQIcP-v1QVhI/edit?resourcekey#gid=233272945"",""Nilai!B:CT""),97,0),"" "")")," ")</f>
        <v xml:space="preserve"> </v>
      </c>
      <c r="U37" s="39" t="s">
        <v>831</v>
      </c>
      <c r="V37" s="38" t="s">
        <v>999</v>
      </c>
      <c r="W37" s="18" t="s">
        <v>1020</v>
      </c>
      <c r="X37" s="22" t="b">
        <v>0</v>
      </c>
    </row>
    <row r="38" spans="1:24" ht="57.6">
      <c r="A38" s="15">
        <v>36</v>
      </c>
      <c r="B38" s="15">
        <f ca="1">IFERROR(__xludf.DUMMYFUNCTION("""COMPUTED_VALUE"""),3452)</f>
        <v>3452</v>
      </c>
      <c r="C38" s="16" t="str">
        <f ca="1">IFERROR(__xludf.DUMMYFUNCTION("""COMPUTED_VALUE"""),"SEPTHIA ROIHANATUL WARDAH")</f>
        <v>SEPTHIA ROIHANATUL WARDAH</v>
      </c>
      <c r="D38" s="16" t="str">
        <f ca="1">IFERROR(__xludf.DUMMYFUNCTION("""COMPUTED_VALUE"""),"5020201027")</f>
        <v>5020201027</v>
      </c>
      <c r="E38" s="16" t="str">
        <f ca="1">IFERROR(__xludf.DUMMYFUNCTION("""COMPUTED_VALUE"""),"Departemen Teknik Kelautan")</f>
        <v>Departemen Teknik Kelautan</v>
      </c>
      <c r="F38" s="16" t="str">
        <f ca="1">IFERROR(__xludf.DUMMYFUNCTION("""COMPUTED_VALUE"""),"Penindakan Destructive Fishing Menggunakan Sensor Hyperspectral Dilangkapi Dengan AiC-AIR Technology Sebagai Alutsista Pertahanan Laut Indonesia Masa Depan")</f>
        <v>Penindakan Destructive Fishing Menggunakan Sensor Hyperspectral Dilangkapi Dengan AiC-AIR Technology Sebagai Alutsista Pertahanan Laut Indonesia Masa Depan</v>
      </c>
      <c r="G38" s="16" t="str">
        <f ca="1">IFERROR(__xludf.DUMMYFUNCTION("""COMPUTED_VALUE"""),"Dr. Dendy Satrio, S.ST.")</f>
        <v>Dr. Dendy Satrio, S.ST.</v>
      </c>
      <c r="H38" s="16" t="str">
        <f ca="1">IFERROR(__xludf.DUMMYFUNCTION("""COMPUTED_VALUE"""),"Dr.-Ing. Doty Dewi Risanti, S.T., M.T.")</f>
        <v>Dr.-Ing. Doty Dewi Risanti, S.T., M.T.</v>
      </c>
      <c r="I38" s="16" t="str">
        <f ca="1">IFERROR(__xludf.DUMMYFUNCTION("""COMPUTED_VALUE"""),"Rivan Aji Wahyu Dyan Syafitri, S.PWK, M.Ars.")</f>
        <v>Rivan Aji Wahyu Dyan Syafitri, S.PWK, M.Ars.</v>
      </c>
      <c r="J38" s="16"/>
      <c r="K38" s="86" t="s">
        <v>1016</v>
      </c>
      <c r="L38" s="18" t="s">
        <v>1021</v>
      </c>
      <c r="M38" s="19" t="b">
        <v>0</v>
      </c>
      <c r="N38" s="19" t="b">
        <v>0</v>
      </c>
      <c r="O38" s="1" t="s">
        <v>1019</v>
      </c>
      <c r="P38" s="7" t="str">
        <f ca="1">IFERROR(__xludf.DUMMYFUNCTION("iferror(vlookup(B38,importrange(""https://docs.google.com/spreadsheets/d/1boHyJQ4e2FU0QG8MHwEi6qjX4hvZWVCHcFfXjq7bbMc/edit?resourcekey#gid=923248883"",""Prop!$C$1:$M""),12,0),IFERROR(vlookup(B38,importrange(""https://docs.google.com/spreadsheets/d/1boHyJQ"&amp;"4e2FU0QG8MHwEi6qjX4hvZWVCHcFfXjq7bbMc/edit?resourcekey#gid=923248883"",""Prop!$N$1:$X""),11,0),iferror(vlookup(B38,importrange(""https://docs.google.com/spreadsheets/d/1boHyJQ4e2FU0QG8MHwEi6qjX4hvZWVCHcFfXjq7bbMc/edit?resourcekey#gid=923248883"",""Prop!$Y"&amp;"$1:$AI""),11,0),iferror(vlookup(B38,importrange(""https://docs.google.com/spreadsheets/d/1boHyJQ4e2FU0QG8MHwEi6qjX4hvZWVCHcFfXjq7bbMc/edit?resourcekey#gid=923248883"",""Prop!$AJ$1:$AT""),11,0),iferror(vlookup(B38,importrange(""https://docs.google.com/spre"&amp;"adsheets/d/1boHyJQ4e2FU0QG8MHwEi6qjX4hvZWVCHcFfXjq7bbMc/edit?resourcekey#gid=923248883"",""Prop!$AU$1:$BE""),11,0),iferror(vlookup(B38,importrange(""https://docs.google.com/spreadsheets/d/1boHyJQ4e2FU0QG8MHwEi6qjX4hvZWVCHcFfXjq7bbMc/edit?resourcekey#gid=9"&amp;"23248883"",""Prop!$BF$1:$BP""),11,0),iferror(vlookup(B38,importrange(""https://docs.google.com/spreadsheets/d/1boHyJQ4e2FU0QG8MHwEi6qjX4hvZWVCHcFfXjq7bbMc/edit?resourcekey#gid=923248883"",""Prop!$BQ$1:$CA""),11,0),iferror(vlookup(B38,importrange(""https:/"&amp;"/docs.google.com/spreadsheets/d/1boHyJQ4e2FU0QG8MHwEi6qjX4hvZWVCHcFfXjq7bbMc/edit?resourcekey#gid=923248883"",""Prop!$CB$1:$CL""),11,0),iferror(vlookup(B38,importrange(""https://docs.google.com/spreadsheets/d/1boHyJQ4e2FU0QG8MHwEi6qjX4hvZWVCHcFfXjq7bbMc/e"&amp;"dit?resourcekey#gid=923248883"",""Prop!$CM$1:$CX""),12,0),iferror(vlookup(B38,importrange(""https://docs.google.com/spreadsheets/d/1boHyJQ4e2FU0QG8MHwEi6qjX4hvZWVCHcFfXjq7bbMc/edit?resourcekey#gid=923248883"",""Prop!$CV$1:$DI""),11,0)))))))))))"),"https://drive.google.com/open?id=1As7KNeqLTQ9DMhdbRqbBz1dxKwo2l4Xk")</f>
        <v>https://drive.google.com/open?id=1As7KNeqLTQ9DMhdbRqbBz1dxKwo2l4Xk</v>
      </c>
      <c r="Q38" s="7" t="str">
        <f ca="1">IFERROR(__xludf.DUMMYFUNCTION("iferror(vlookup(B38,importrange(""https://docs.google.com/spreadsheets/d/1p53T2AuvvIqhP7Nf-bo3Uhj8cbKYRPpZdsrBv3x3bAQ/edit?resourcekey#gid=1321652304"",""Prop!$C$1:$M""),11,0),IFERROR(vlookup(B38,importrange(""https://docs.google.com/spreadsheets/d/1p53T2"&amp;"AuvvIqhP7Nf-bo3Uhj8cbKYRPpZdsrBv3x3bAQ/edit?resourcekey#gid=1321652304"",""Prop!$N$1:$X""),11,0),iferror(vlookup(B38,importrange(""https://docs.google.com/spreadsheets/d/1p53T2AuvvIqhP7Nf-bo3Uhj8cbKYRPpZdsrBv3x3bAQ/edit?resourcekey#gid=1321652304"",""Prop"&amp;"!$Y$1:$AI""),11,0),iferror(vlookup(B38,importrange(""https://docs.google.com/spreadsheets/d/1p53T2AuvvIqhP7Nf-bo3Uhj8cbKYRPpZdsrBv3x3bAQ/edit?resourcekey#gid=1321652304"",""Prop!$AJ$1:$AT""),11,0),iferror(vlookup(B38,importrange(""https://docs.google.com/"&amp;"spreadsheets/d/1p53T2AuvvIqhP7Nf-bo3Uhj8cbKYRPpZdsrBv3x3bAQ/edit?resourcekey#gid=1321652304"",""Prop!$AU$1:$BE""),11,0),iferror(vlookup(B38,importrange(""https://docs.google.com/spreadsheets/d/1p53T2AuvvIqhP7Nf-bo3Uhj8cbKYRPpZdsrBv3x3bAQ/edit?resourcekey#"&amp;"gid=1321652304"",""Prop!$BF$1:$BP""),11,0),iferror(vlookup(B38,importrange(""https://docs.google.com/spreadsheets/d/1p53T2AuvvIqhP7Nf-bo3Uhj8cbKYRPpZdsrBv3x3bAQ/edit?resourcekey#gid=1321652304"",""Prop!$BQ$1:$CA""),11,0),iferror(vlookup(B38,importrange("""&amp;"https://docs.google.com/spreadsheets/d/1p53T2AuvvIqhP7Nf-bo3Uhj8cbKYRPpZdsrBv3x3bAQ/edit?resourcekey#gid=1321652304"",""Prop!$CB$1:$CL""),11,0),iferror(vlookup(B38,importrange(""https://docs.google.com/spreadsheets/d/1p53T2AuvvIqhP7Nf-bo3Uhj8cbKYRPpZdsrBv"&amp;"3x3bAQ/edit?resourcekey#gid=1321652304"",""Prop!$CM$1:$CX""),12,0),iferror(vlookup(B38,importrange(""https://docs.google.com/spreadsheets/d/1p53T2AuvvIqhP7Nf-bo3Uhj8cbKYRPpZdsrBv3x3bAQ/edit?resourcekey#gid=1321652304"",""Prop!$CY$1:$DI""),11,0)))))))))))"),"https://drive.google.com/open?id=1H3AWLs3lav3o5QK-UA-wmf34o4cXTktD")</f>
        <v>https://drive.google.com/open?id=1H3AWLs3lav3o5QK-UA-wmf34o4cXTktD</v>
      </c>
      <c r="R38" s="20" t="s">
        <v>998</v>
      </c>
      <c r="S38" s="20" t="str">
        <f ca="1">IFERROR(__xludf.DUMMYFUNCTION("IFERROR(vlookup(B38,IMPORTRANGE(""https://docs.google.com/spreadsheets/d/1g_jfYYK_KeipEDNDUgqgrsxK94XiocfNQIcP-v1QVhI/edit?resourcekey#gid=233272945"",""Nilai!B:CT""),37,0),"" "")"),"1. banyak format yang tdk sesuai
2. ide fokus pada kapalnya, bukan inovasi visioner dari sistem monitoringnya")</f>
        <v>1. banyak format yang tdk sesuai
2. ide fokus pada kapalnya, bukan inovasi visioner dari sistem monitoringnya</v>
      </c>
      <c r="T38" s="20" t="str">
        <f ca="1">IFERROR(__xludf.DUMMYFUNCTION("IFERROR(vlookup(B38,IMPORTRANGE(""https://docs.google.com/spreadsheets/d/1g_jfYYK_KeipEDNDUgqgrsxK94XiocfNQIcP-v1QVhI/edit?resourcekey#gid=233272945"",""Nilai!B:CT""),97,0),"" "")"),"TIDAK LAYAK UPLOAD KE SIMBELMAWA")</f>
        <v>TIDAK LAYAK UPLOAD KE SIMBELMAWA</v>
      </c>
      <c r="U38" s="39" t="s">
        <v>831</v>
      </c>
      <c r="V38" s="38" t="s">
        <v>999</v>
      </c>
      <c r="W38" s="18" t="s">
        <v>1022</v>
      </c>
      <c r="X38" s="22" t="b">
        <v>0</v>
      </c>
    </row>
    <row r="39" spans="1:24" ht="69">
      <c r="A39" s="15">
        <v>37</v>
      </c>
      <c r="B39" s="15">
        <f ca="1">IFERROR(__xludf.DUMMYFUNCTION("""COMPUTED_VALUE"""),2289)</f>
        <v>2289</v>
      </c>
      <c r="C39" s="16" t="str">
        <f ca="1">IFERROR(__xludf.DUMMYFUNCTION("""COMPUTED_VALUE"""),"Yuni Kurnia")</f>
        <v>Yuni Kurnia</v>
      </c>
      <c r="D39" s="16" t="str">
        <f ca="1">IFERROR(__xludf.DUMMYFUNCTION("""COMPUTED_VALUE"""),"02311940000053")</f>
        <v>02311940000053</v>
      </c>
      <c r="E39" s="16" t="str">
        <f ca="1">IFERROR(__xludf.DUMMYFUNCTION("""COMPUTED_VALUE"""),"Departemen Teknik Fisika")</f>
        <v>Departemen Teknik Fisika</v>
      </c>
      <c r="F39" s="16" t="str">
        <f ca="1">IFERROR(__xludf.DUMMYFUNCTION("""COMPUTED_VALUE"""),"Sistem Pengelolaan Karbon Berkelanjutan sebagai Solusi Climate Change di Indonesia")</f>
        <v>Sistem Pengelolaan Karbon Berkelanjutan sebagai Solusi Climate Change di Indonesia</v>
      </c>
      <c r="G39" s="16" t="str">
        <f ca="1">IFERROR(__xludf.DUMMYFUNCTION("""COMPUTED_VALUE"""),"Dyah Sawitri, S.T., M.T.")</f>
        <v>Dyah Sawitri, S.T., M.T.</v>
      </c>
      <c r="H39" s="16" t="str">
        <f ca="1">IFERROR(__xludf.DUMMYFUNCTION("""COMPUTED_VALUE"""),"Dr.-Ing. Doty Dewi Risanti, S.T., M.T.")</f>
        <v>Dr.-Ing. Doty Dewi Risanti, S.T., M.T.</v>
      </c>
      <c r="I39" s="16" t="str">
        <f ca="1">IFERROR(__xludf.DUMMYFUNCTION("""COMPUTED_VALUE"""),"Dyah Sawitri, S.T., M.T.")</f>
        <v>Dyah Sawitri, S.T., M.T.</v>
      </c>
      <c r="J39" s="16"/>
      <c r="K39" s="86" t="s">
        <v>1016</v>
      </c>
      <c r="L39" s="18" t="s">
        <v>1021</v>
      </c>
      <c r="M39" s="19" t="b">
        <v>0</v>
      </c>
      <c r="N39" s="19" t="b">
        <v>0</v>
      </c>
      <c r="O39" s="1" t="s">
        <v>1019</v>
      </c>
      <c r="P39" s="7" t="str">
        <f ca="1">IFERROR(__xludf.DUMMYFUNCTION("iferror(vlookup(B39,importrange(""https://docs.google.com/spreadsheets/d/1boHyJQ4e2FU0QG8MHwEi6qjX4hvZWVCHcFfXjq7bbMc/edit?resourcekey#gid=923248883"",""Prop!$C$1:$M""),12,0),IFERROR(vlookup(B39,importrange(""https://docs.google.com/spreadsheets/d/1boHyJQ"&amp;"4e2FU0QG8MHwEi6qjX4hvZWVCHcFfXjq7bbMc/edit?resourcekey#gid=923248883"",""Prop!$N$1:$X""),11,0),iferror(vlookup(B39,importrange(""https://docs.google.com/spreadsheets/d/1boHyJQ4e2FU0QG8MHwEi6qjX4hvZWVCHcFfXjq7bbMc/edit?resourcekey#gid=923248883"",""Prop!$Y"&amp;"$1:$AI""),11,0),iferror(vlookup(B39,importrange(""https://docs.google.com/spreadsheets/d/1boHyJQ4e2FU0QG8MHwEi6qjX4hvZWVCHcFfXjq7bbMc/edit?resourcekey#gid=923248883"",""Prop!$AJ$1:$AT""),11,0),iferror(vlookup(B39,importrange(""https://docs.google.com/spre"&amp;"adsheets/d/1boHyJQ4e2FU0QG8MHwEi6qjX4hvZWVCHcFfXjq7bbMc/edit?resourcekey#gid=923248883"",""Prop!$AU$1:$BE""),11,0),iferror(vlookup(B39,importrange(""https://docs.google.com/spreadsheets/d/1boHyJQ4e2FU0QG8MHwEi6qjX4hvZWVCHcFfXjq7bbMc/edit?resourcekey#gid=9"&amp;"23248883"",""Prop!$BF$1:$BP""),11,0),iferror(vlookup(B39,importrange(""https://docs.google.com/spreadsheets/d/1boHyJQ4e2FU0QG8MHwEi6qjX4hvZWVCHcFfXjq7bbMc/edit?resourcekey#gid=923248883"",""Prop!$BQ$1:$CA""),11,0),iferror(vlookup(B39,importrange(""https:/"&amp;"/docs.google.com/spreadsheets/d/1boHyJQ4e2FU0QG8MHwEi6qjX4hvZWVCHcFfXjq7bbMc/edit?resourcekey#gid=923248883"",""Prop!$CB$1:$CL""),11,0),iferror(vlookup(B39,importrange(""https://docs.google.com/spreadsheets/d/1boHyJQ4e2FU0QG8MHwEi6qjX4hvZWVCHcFfXjq7bbMc/e"&amp;"dit?resourcekey#gid=923248883"",""Prop!$CM$1:$CX""),12,0),iferror(vlookup(B39,importrange(""https://docs.google.com/spreadsheets/d/1boHyJQ4e2FU0QG8MHwEi6qjX4hvZWVCHcFfXjq7bbMc/edit?resourcekey#gid=923248883"",""Prop!$CV$1:$DI""),11,0)))))))))))"),"https://drive.google.com/open?id=1_juKyMV1EilChXEmetvsoOfol1A2QA0K")</f>
        <v>https://drive.google.com/open?id=1_juKyMV1EilChXEmetvsoOfol1A2QA0K</v>
      </c>
      <c r="Q39" s="7" t="str">
        <f ca="1">IFERROR(__xludf.DUMMYFUNCTION("iferror(vlookup(B39,importrange(""https://docs.google.com/spreadsheets/d/1p53T2AuvvIqhP7Nf-bo3Uhj8cbKYRPpZdsrBv3x3bAQ/edit?resourcekey#gid=1321652304"",""Prop!$C$1:$M""),11,0),IFERROR(vlookup(B39,importrange(""https://docs.google.com/spreadsheets/d/1p53T2"&amp;"AuvvIqhP7Nf-bo3Uhj8cbKYRPpZdsrBv3x3bAQ/edit?resourcekey#gid=1321652304"",""Prop!$N$1:$X""),11,0),iferror(vlookup(B39,importrange(""https://docs.google.com/spreadsheets/d/1p53T2AuvvIqhP7Nf-bo3Uhj8cbKYRPpZdsrBv3x3bAQ/edit?resourcekey#gid=1321652304"",""Prop"&amp;"!$Y$1:$AI""),11,0),iferror(vlookup(B39,importrange(""https://docs.google.com/spreadsheets/d/1p53T2AuvvIqhP7Nf-bo3Uhj8cbKYRPpZdsrBv3x3bAQ/edit?resourcekey#gid=1321652304"",""Prop!$AJ$1:$AT""),11,0),iferror(vlookup(B39,importrange(""https://docs.google.com/"&amp;"spreadsheets/d/1p53T2AuvvIqhP7Nf-bo3Uhj8cbKYRPpZdsrBv3x3bAQ/edit?resourcekey#gid=1321652304"",""Prop!$AU$1:$BE""),11,0),iferror(vlookup(B39,importrange(""https://docs.google.com/spreadsheets/d/1p53T2AuvvIqhP7Nf-bo3Uhj8cbKYRPpZdsrBv3x3bAQ/edit?resourcekey#"&amp;"gid=1321652304"",""Prop!$BF$1:$BP""),11,0),iferror(vlookup(B39,importrange(""https://docs.google.com/spreadsheets/d/1p53T2AuvvIqhP7Nf-bo3Uhj8cbKYRPpZdsrBv3x3bAQ/edit?resourcekey#gid=1321652304"",""Prop!$BQ$1:$CA""),11,0),iferror(vlookup(B39,importrange("""&amp;"https://docs.google.com/spreadsheets/d/1p53T2AuvvIqhP7Nf-bo3Uhj8cbKYRPpZdsrBv3x3bAQ/edit?resourcekey#gid=1321652304"",""Prop!$CB$1:$CL""),11,0),iferror(vlookup(B39,importrange(""https://docs.google.com/spreadsheets/d/1p53T2AuvvIqhP7Nf-bo3Uhj8cbKYRPpZdsrBv"&amp;"3x3bAQ/edit?resourcekey#gid=1321652304"",""Prop!$CM$1:$CX""),12,0),iferror(vlookup(B39,importrange(""https://docs.google.com/spreadsheets/d/1p53T2AuvvIqhP7Nf-bo3Uhj8cbKYRPpZdsrBv3x3bAQ/edit?resourcekey#gid=1321652304"",""Prop!$CY$1:$DI""),11,0)))))))))))"),"https://drive.google.com/open?id=1oEr-YtgGRUgDCkD_wmpy1ZiyFwKJ7gdL")</f>
        <v>https://drive.google.com/open?id=1oEr-YtgGRUgDCkD_wmpy1ZiyFwKJ7gdL</v>
      </c>
      <c r="R39" s="20" t="s">
        <v>998</v>
      </c>
      <c r="S39" s="20" t="str">
        <f ca="1">IFERROR(__xludf.DUMMYFUNCTION("IFERROR(vlookup(B39,IMPORTRANGE(""https://docs.google.com/spreadsheets/d/1g_jfYYK_KeipEDNDUgqgrsxK94XiocfNQIcP-v1QVhI/edit?resourcekey#gid=233272945"",""Nilai!B:CT""),37,0),"" "")"),"1. pembahasan gagasan dibuat dengan ilustrasi yang lebih simpel dan komprehensif, sehingga mudah dipahami oleh pembaca
2. masukkan lain ada di proposal")</f>
        <v>1. pembahasan gagasan dibuat dengan ilustrasi yang lebih simpel dan komprehensif, sehingga mudah dipahami oleh pembaca
2. masukkan lain ada di proposal</v>
      </c>
      <c r="T39" s="20" t="str">
        <f ca="1">IFERROR(__xludf.DUMMYFUNCTION("IFERROR(vlookup(B39,IMPORTRANGE(""https://docs.google.com/spreadsheets/d/1g_jfYYK_KeipEDNDUgqgrsxK94XiocfNQIcP-v1QVhI/edit?resourcekey#gid=233272945"",""Nilai!B:CT""),97,0),"" "")"),"LAYAK UPLOAD KE SIMBELMAWA DENGAN REVISI")</f>
        <v>LAYAK UPLOAD KE SIMBELMAWA DENGAN REVISI</v>
      </c>
      <c r="U39" s="39" t="s">
        <v>831</v>
      </c>
      <c r="V39" s="38" t="s">
        <v>999</v>
      </c>
      <c r="W39" s="18" t="s">
        <v>1022</v>
      </c>
      <c r="X39" s="22" t="b">
        <v>1</v>
      </c>
    </row>
    <row r="40" spans="1:24" ht="57.6">
      <c r="A40" s="15">
        <v>38</v>
      </c>
      <c r="B40" s="15">
        <f ca="1">IFERROR(__xludf.DUMMYFUNCTION("""COMPUTED_VALUE"""),2433)</f>
        <v>2433</v>
      </c>
      <c r="C40" s="16" t="str">
        <f ca="1">IFERROR(__xludf.DUMMYFUNCTION("""COMPUTED_VALUE"""),"SYAUQOTUN NISA` AGIL MAHIROH")</f>
        <v>SYAUQOTUN NISA` AGIL MAHIROH</v>
      </c>
      <c r="D40" s="16" t="str">
        <f ca="1">IFERROR(__xludf.DUMMYFUNCTION("""COMPUTED_VALUE"""),"08111840000034")</f>
        <v>08111840000034</v>
      </c>
      <c r="E40" s="16" t="str">
        <f ca="1">IFERROR(__xludf.DUMMYFUNCTION("""COMPUTED_VALUE"""),"Departemen Arsitektur")</f>
        <v>Departemen Arsitektur</v>
      </c>
      <c r="F40" s="16" t="str">
        <f ca="1">IFERROR(__xludf.DUMMYFUNCTION("""COMPUTED_VALUE"""),"Pusat Rehabilitasi Vokasional dan Sosial untuk Penyandang Disabilitas Intelektual Berbasis Arsitektur Inklusif")</f>
        <v>Pusat Rehabilitasi Vokasional dan Sosial untuk Penyandang Disabilitas Intelektual Berbasis Arsitektur Inklusif</v>
      </c>
      <c r="G40" s="16" t="str">
        <f ca="1">IFERROR(__xludf.DUMMYFUNCTION("""COMPUTED_VALUE"""),"Dewi Septanti, S.Pd., S.T., M.T., Ph.D.")</f>
        <v>Dewi Septanti, S.Pd., S.T., M.T., Ph.D.</v>
      </c>
      <c r="H40" s="16" t="str">
        <f ca="1">IFERROR(__xludf.DUMMYFUNCTION("""COMPUTED_VALUE"""),"Dyah Sawitri, S.T., M.T.")</f>
        <v>Dyah Sawitri, S.T., M.T.</v>
      </c>
      <c r="I40" s="16" t="str">
        <f ca="1">IFERROR(__xludf.DUMMYFUNCTION("""COMPUTED_VALUE"""),"Wimala Lalitya Dhanistha, S.T., M.T.")</f>
        <v>Wimala Lalitya Dhanistha, S.T., M.T.</v>
      </c>
      <c r="J40" s="16"/>
      <c r="K40" s="86" t="s">
        <v>1016</v>
      </c>
      <c r="L40" s="18" t="s">
        <v>1021</v>
      </c>
      <c r="M40" s="19" t="b">
        <v>0</v>
      </c>
      <c r="N40" s="19" t="b">
        <v>0</v>
      </c>
      <c r="O40" s="1" t="s">
        <v>1019</v>
      </c>
      <c r="P40" s="1" t="str">
        <f ca="1">IFERROR(__xludf.DUMMYFUNCTION("iferror(vlookup(B40,importrange(""https://docs.google.com/spreadsheets/d/1boHyJQ4e2FU0QG8MHwEi6qjX4hvZWVCHcFfXjq7bbMc/edit?resourcekey#gid=923248883"",""Prop!$C$1:$M""),12,0),IFERROR(vlookup(B40,importrange(""https://docs.google.com/spreadsheets/d/1boHyJQ"&amp;"4e2FU0QG8MHwEi6qjX4hvZWVCHcFfXjq7bbMc/edit?resourcekey#gid=923248883"",""Prop!$N$1:$X""),11,0),iferror(vlookup(B40,importrange(""https://docs.google.com/spreadsheets/d/1boHyJQ4e2FU0QG8MHwEi6qjX4hvZWVCHcFfXjq7bbMc/edit?resourcekey#gid=923248883"",""Prop!$Y"&amp;"$1:$AI""),11,0),iferror(vlookup(B40,importrange(""https://docs.google.com/spreadsheets/d/1boHyJQ4e2FU0QG8MHwEi6qjX4hvZWVCHcFfXjq7bbMc/edit?resourcekey#gid=923248883"",""Prop!$AJ$1:$AT""),11,0),iferror(vlookup(B40,importrange(""https://docs.google.com/spre"&amp;"adsheets/d/1boHyJQ4e2FU0QG8MHwEi6qjX4hvZWVCHcFfXjq7bbMc/edit?resourcekey#gid=923248883"",""Prop!$AU$1:$BE""),11,0),iferror(vlookup(B40,importrange(""https://docs.google.com/spreadsheets/d/1boHyJQ4e2FU0QG8MHwEi6qjX4hvZWVCHcFfXjq7bbMc/edit?resourcekey#gid=9"&amp;"23248883"",""Prop!$BF$1:$BP""),11,0),iferror(vlookup(B40,importrange(""https://docs.google.com/spreadsheets/d/1boHyJQ4e2FU0QG8MHwEi6qjX4hvZWVCHcFfXjq7bbMc/edit?resourcekey#gid=923248883"",""Prop!$BQ$1:$CA""),11,0),iferror(vlookup(B40,importrange(""https:/"&amp;"/docs.google.com/spreadsheets/d/1boHyJQ4e2FU0QG8MHwEi6qjX4hvZWVCHcFfXjq7bbMc/edit?resourcekey#gid=923248883"",""Prop!$CB$1:$CL""),11,0),iferror(vlookup(B40,importrange(""https://docs.google.com/spreadsheets/d/1boHyJQ4e2FU0QG8MHwEi6qjX4hvZWVCHcFfXjq7bbMc/e"&amp;"dit?resourcekey#gid=923248883"",""Prop!$CM$1:$CX""),12,0),iferror(vlookup(B40,importrange(""https://docs.google.com/spreadsheets/d/1boHyJQ4e2FU0QG8MHwEi6qjX4hvZWVCHcFfXjq7bbMc/edit?resourcekey#gid=923248883"",""Prop!$CV$1:$DI""),11,0)))))))))))"),"")</f>
        <v/>
      </c>
      <c r="Q40" s="1" t="str">
        <f ca="1">IFERROR(__xludf.DUMMYFUNCTION("iferror(vlookup(B40,importrange(""https://docs.google.com/spreadsheets/d/1p53T2AuvvIqhP7Nf-bo3Uhj8cbKYRPpZdsrBv3x3bAQ/edit?resourcekey#gid=1321652304"",""Prop!$C$1:$M""),11,0),IFERROR(vlookup(B40,importrange(""https://docs.google.com/spreadsheets/d/1p53T2"&amp;"AuvvIqhP7Nf-bo3Uhj8cbKYRPpZdsrBv3x3bAQ/edit?resourcekey#gid=1321652304"",""Prop!$N$1:$X""),11,0),iferror(vlookup(B40,importrange(""https://docs.google.com/spreadsheets/d/1p53T2AuvvIqhP7Nf-bo3Uhj8cbKYRPpZdsrBv3x3bAQ/edit?resourcekey#gid=1321652304"",""Prop"&amp;"!$Y$1:$AI""),11,0),iferror(vlookup(B40,importrange(""https://docs.google.com/spreadsheets/d/1p53T2AuvvIqhP7Nf-bo3Uhj8cbKYRPpZdsrBv3x3bAQ/edit?resourcekey#gid=1321652304"",""Prop!$AJ$1:$AT""),11,0),iferror(vlookup(B40,importrange(""https://docs.google.com/"&amp;"spreadsheets/d/1p53T2AuvvIqhP7Nf-bo3Uhj8cbKYRPpZdsrBv3x3bAQ/edit?resourcekey#gid=1321652304"",""Prop!$AU$1:$BE""),11,0),iferror(vlookup(B40,importrange(""https://docs.google.com/spreadsheets/d/1p53T2AuvvIqhP7Nf-bo3Uhj8cbKYRPpZdsrBv3x3bAQ/edit?resourcekey#"&amp;"gid=1321652304"",""Prop!$BF$1:$BP""),11,0),iferror(vlookup(B40,importrange(""https://docs.google.com/spreadsheets/d/1p53T2AuvvIqhP7Nf-bo3Uhj8cbKYRPpZdsrBv3x3bAQ/edit?resourcekey#gid=1321652304"",""Prop!$BQ$1:$CA""),11,0),iferror(vlookup(B40,importrange("""&amp;"https://docs.google.com/spreadsheets/d/1p53T2AuvvIqhP7Nf-bo3Uhj8cbKYRPpZdsrBv3x3bAQ/edit?resourcekey#gid=1321652304"",""Prop!$CB$1:$CL""),11,0),iferror(vlookup(B40,importrange(""https://docs.google.com/spreadsheets/d/1p53T2AuvvIqhP7Nf-bo3Uhj8cbKYRPpZdsrBv"&amp;"3x3bAQ/edit?resourcekey#gid=1321652304"",""Prop!$CM$1:$CX""),12,0),iferror(vlookup(B40,importrange(""https://docs.google.com/spreadsheets/d/1p53T2AuvvIqhP7Nf-bo3Uhj8cbKYRPpZdsrBv3x3bAQ/edit?resourcekey#gid=1321652304"",""Prop!$CY$1:$DI""),11,0)))))))))))"),"")</f>
        <v/>
      </c>
      <c r="R40" s="20" t="s">
        <v>998</v>
      </c>
      <c r="S40" s="20" t="str">
        <f ca="1">IFERROR(__xludf.DUMMYFUNCTION("IFERROR(vlookup(B40,IMPORTRANGE(""https://docs.google.com/spreadsheets/d/1g_jfYYK_KeipEDNDUgqgrsxK94XiocfNQIcP-v1QVhI/edit?resourcekey#gid=233272945"",""Nilai!B:CT""),37,0),"" "")")," ")</f>
        <v xml:space="preserve"> </v>
      </c>
      <c r="T40" s="20" t="str">
        <f ca="1">IFERROR(__xludf.DUMMYFUNCTION("IFERROR(vlookup(B40,IMPORTRANGE(""https://docs.google.com/spreadsheets/d/1g_jfYYK_KeipEDNDUgqgrsxK94XiocfNQIcP-v1QVhI/edit?resourcekey#gid=233272945"",""Nilai!B:CT""),97,0),"" "")")," ")</f>
        <v xml:space="preserve"> </v>
      </c>
      <c r="U40" s="39" t="s">
        <v>831</v>
      </c>
      <c r="V40" s="38" t="s">
        <v>999</v>
      </c>
      <c r="W40" s="18" t="s">
        <v>1023</v>
      </c>
      <c r="X40" s="22" t="b">
        <v>0</v>
      </c>
    </row>
    <row r="41" spans="1:24" ht="138">
      <c r="A41" s="15">
        <v>39</v>
      </c>
      <c r="B41" s="15">
        <f ca="1">IFERROR(__xludf.DUMMYFUNCTION("""COMPUTED_VALUE"""),2623)</f>
        <v>2623</v>
      </c>
      <c r="C41" s="16" t="str">
        <f ca="1">IFERROR(__xludf.DUMMYFUNCTION("""COMPUTED_VALUE"""),"MOCHAMMAD ILHAM YUNANTO")</f>
        <v>MOCHAMMAD ILHAM YUNANTO</v>
      </c>
      <c r="D41" s="16" t="str">
        <f ca="1">IFERROR(__xludf.DUMMYFUNCTION("""COMPUTED_VALUE"""),"5012201164")</f>
        <v>5012201164</v>
      </c>
      <c r="E41" s="16" t="str">
        <f ca="1">IFERROR(__xludf.DUMMYFUNCTION("""COMPUTED_VALUE"""),"Departemen Teknik Sipil")</f>
        <v>Departemen Teknik Sipil</v>
      </c>
      <c r="F41" s="16" t="str">
        <f ca="1">IFERROR(__xludf.DUMMYFUNCTION("""COMPUTED_VALUE"""),"PEMBANGUNAN UNDER PAVEMENT TUNNEL DI KAWASAN BARU IBU KOTA NEGARA SEBAGAI LANGKAH MITIGASI PENCEGAHAN BANJIR DAN CADANGAN AIR")</f>
        <v>PEMBANGUNAN UNDER PAVEMENT TUNNEL DI KAWASAN BARU IBU KOTA NEGARA SEBAGAI LANGKAH MITIGASI PENCEGAHAN BANJIR DAN CADANGAN AIR</v>
      </c>
      <c r="G41" s="16" t="str">
        <f ca="1">IFERROR(__xludf.DUMMYFUNCTION("""COMPUTED_VALUE"""),"Yang Ratri Savitri, S.T., M.T.")</f>
        <v>Yang Ratri Savitri, S.T., M.T.</v>
      </c>
      <c r="H41" s="16" t="str">
        <f ca="1">IFERROR(__xludf.DUMMYFUNCTION("""COMPUTED_VALUE"""),"Putu Gde Ariastita, S.T., M.T.")</f>
        <v>Putu Gde Ariastita, S.T., M.T.</v>
      </c>
      <c r="I41" s="16" t="str">
        <f ca="1">IFERROR(__xludf.DUMMYFUNCTION("""COMPUTED_VALUE"""),"Nova Maulidina Ashuri, S.Si., M.Si.")</f>
        <v>Nova Maulidina Ashuri, S.Si., M.Si.</v>
      </c>
      <c r="J41" s="16"/>
      <c r="K41" s="86" t="s">
        <v>1016</v>
      </c>
      <c r="L41" s="18" t="s">
        <v>1021</v>
      </c>
      <c r="M41" s="19" t="b">
        <v>0</v>
      </c>
      <c r="N41" s="19" t="b">
        <v>0</v>
      </c>
      <c r="O41" s="1" t="s">
        <v>1024</v>
      </c>
      <c r="P41" s="7" t="str">
        <f ca="1">IFERROR(__xludf.DUMMYFUNCTION("iferror(vlookup(B41,importrange(""https://docs.google.com/spreadsheets/d/1boHyJQ4e2FU0QG8MHwEi6qjX4hvZWVCHcFfXjq7bbMc/edit?resourcekey#gid=923248883"",""Prop!$C$1:$M""),12,0),IFERROR(vlookup(B41,importrange(""https://docs.google.com/spreadsheets/d/1boHyJQ"&amp;"4e2FU0QG8MHwEi6qjX4hvZWVCHcFfXjq7bbMc/edit?resourcekey#gid=923248883"",""Prop!$N$1:$X""),11,0),iferror(vlookup(B41,importrange(""https://docs.google.com/spreadsheets/d/1boHyJQ4e2FU0QG8MHwEi6qjX4hvZWVCHcFfXjq7bbMc/edit?resourcekey#gid=923248883"",""Prop!$Y"&amp;"$1:$AI""),11,0),iferror(vlookup(B41,importrange(""https://docs.google.com/spreadsheets/d/1boHyJQ4e2FU0QG8MHwEi6qjX4hvZWVCHcFfXjq7bbMc/edit?resourcekey#gid=923248883"",""Prop!$AJ$1:$AT""),11,0),iferror(vlookup(B41,importrange(""https://docs.google.com/spre"&amp;"adsheets/d/1boHyJQ4e2FU0QG8MHwEi6qjX4hvZWVCHcFfXjq7bbMc/edit?resourcekey#gid=923248883"",""Prop!$AU$1:$BE""),11,0),iferror(vlookup(B41,importrange(""https://docs.google.com/spreadsheets/d/1boHyJQ4e2FU0QG8MHwEi6qjX4hvZWVCHcFfXjq7bbMc/edit?resourcekey#gid=9"&amp;"23248883"",""Prop!$BF$1:$BP""),11,0),iferror(vlookup(B41,importrange(""https://docs.google.com/spreadsheets/d/1boHyJQ4e2FU0QG8MHwEi6qjX4hvZWVCHcFfXjq7bbMc/edit?resourcekey#gid=923248883"",""Prop!$BQ$1:$CA""),11,0),iferror(vlookup(B41,importrange(""https:/"&amp;"/docs.google.com/spreadsheets/d/1boHyJQ4e2FU0QG8MHwEi6qjX4hvZWVCHcFfXjq7bbMc/edit?resourcekey#gid=923248883"",""Prop!$CB$1:$CL""),11,0),iferror(vlookup(B41,importrange(""https://docs.google.com/spreadsheets/d/1boHyJQ4e2FU0QG8MHwEi6qjX4hvZWVCHcFfXjq7bbMc/e"&amp;"dit?resourcekey#gid=923248883"",""Prop!$CM$1:$CX""),12,0),iferror(vlookup(B41,importrange(""https://docs.google.com/spreadsheets/d/1boHyJQ4e2FU0QG8MHwEi6qjX4hvZWVCHcFfXjq7bbMc/edit?resourcekey#gid=923248883"",""Prop!$CV$1:$DI""),11,0)))))))))))"),"https://drive.google.com/open?id=1sb0vv05eg55wZe6OKOMfiksOpNHZ_uIJ")</f>
        <v>https://drive.google.com/open?id=1sb0vv05eg55wZe6OKOMfiksOpNHZ_uIJ</v>
      </c>
      <c r="Q41" s="7" t="str">
        <f ca="1">IFERROR(__xludf.DUMMYFUNCTION("iferror(vlookup(B41,importrange(""https://docs.google.com/spreadsheets/d/1p53T2AuvvIqhP7Nf-bo3Uhj8cbKYRPpZdsrBv3x3bAQ/edit?resourcekey#gid=1321652304"",""Prop!$C$1:$M""),11,0),IFERROR(vlookup(B41,importrange(""https://docs.google.com/spreadsheets/d/1p53T2"&amp;"AuvvIqhP7Nf-bo3Uhj8cbKYRPpZdsrBv3x3bAQ/edit?resourcekey#gid=1321652304"",""Prop!$N$1:$X""),11,0),iferror(vlookup(B41,importrange(""https://docs.google.com/spreadsheets/d/1p53T2AuvvIqhP7Nf-bo3Uhj8cbKYRPpZdsrBv3x3bAQ/edit?resourcekey#gid=1321652304"",""Prop"&amp;"!$Y$1:$AI""),11,0),iferror(vlookup(B41,importrange(""https://docs.google.com/spreadsheets/d/1p53T2AuvvIqhP7Nf-bo3Uhj8cbKYRPpZdsrBv3x3bAQ/edit?resourcekey#gid=1321652304"",""Prop!$AJ$1:$AT""),11,0),iferror(vlookup(B41,importrange(""https://docs.google.com/"&amp;"spreadsheets/d/1p53T2AuvvIqhP7Nf-bo3Uhj8cbKYRPpZdsrBv3x3bAQ/edit?resourcekey#gid=1321652304"",""Prop!$AU$1:$BE""),11,0),iferror(vlookup(B41,importrange(""https://docs.google.com/spreadsheets/d/1p53T2AuvvIqhP7Nf-bo3Uhj8cbKYRPpZdsrBv3x3bAQ/edit?resourcekey#"&amp;"gid=1321652304"",""Prop!$BF$1:$BP""),11,0),iferror(vlookup(B41,importrange(""https://docs.google.com/spreadsheets/d/1p53T2AuvvIqhP7Nf-bo3Uhj8cbKYRPpZdsrBv3x3bAQ/edit?resourcekey#gid=1321652304"",""Prop!$BQ$1:$CA""),11,0),iferror(vlookup(B41,importrange("""&amp;"https://docs.google.com/spreadsheets/d/1p53T2AuvvIqhP7Nf-bo3Uhj8cbKYRPpZdsrBv3x3bAQ/edit?resourcekey#gid=1321652304"",""Prop!$CB$1:$CL""),11,0),iferror(vlookup(B41,importrange(""https://docs.google.com/spreadsheets/d/1p53T2AuvvIqhP7Nf-bo3Uhj8cbKYRPpZdsrBv"&amp;"3x3bAQ/edit?resourcekey#gid=1321652304"",""Prop!$CM$1:$CX""),12,0),iferror(vlookup(B41,importrange(""https://docs.google.com/spreadsheets/d/1p53T2AuvvIqhP7Nf-bo3Uhj8cbKYRPpZdsrBv3x3bAQ/edit?resourcekey#gid=1321652304"",""Prop!$CY$1:$DI""),11,0)))))))))))"),"https://drive.google.com/open?id=1XH5_9HD9lo1_L1nyT481w30Ww9G2EJyO")</f>
        <v>https://drive.google.com/open?id=1XH5_9HD9lo1_L1nyT481w30Ww9G2EJyO</v>
      </c>
      <c r="R41" s="20" t="s">
        <v>998</v>
      </c>
      <c r="S41" s="20" t="str">
        <f ca="1">IFERROR(__xludf.DUMMYFUNCTION("IFERROR(vlookup(B41,IMPORTRANGE(""https://docs.google.com/spreadsheets/d/1g_jfYYK_KeipEDNDUgqgrsxK94XiocfNQIcP-v1QVhI/edit?resourcekey#gid=233272945"",""Nilai!B:CT""),37,0),"" "")"),"1. pada daftar isi, berdasarkan pedoman pkm-GFT 2022, Lampiran 1 terdiri dari Biodata Ketua dan Anggota, serta Dosen Pendamping;
2. before after spasi = 0
3. tujuannya dapat ditulis perpoin
4. Latar belakang kurang menjelaskan fokusan permasalahan yang di"&amp;"atasi
5. Kurang adanya informasi mengenai upaya sebelumnya dalam mengatasi permasalahan tersebut
6. Tidak adanya dampak sistemik dalam prediksi hasil gagasan")</f>
        <v>1. pada daftar isi, berdasarkan pedoman pkm-GFT 2022, Lampiran 1 terdiri dari Biodata Ketua dan Anggota, serta Dosen Pendamping;
2. before after spasi = 0
3. tujuannya dapat ditulis perpoin
4. Latar belakang kurang menjelaskan fokusan permasalahan yang diatasi
5. Kurang adanya informasi mengenai upaya sebelumnya dalam mengatasi permasalahan tersebut
6. Tidak adanya dampak sistemik dalam prediksi hasil gagasan</v>
      </c>
      <c r="T41" s="20" t="str">
        <f ca="1">IFERROR(__xludf.DUMMYFUNCTION("IFERROR(vlookup(B41,IMPORTRANGE(""https://docs.google.com/spreadsheets/d/1g_jfYYK_KeipEDNDUgqgrsxK94XiocfNQIcP-v1QVhI/edit?resourcekey#gid=233272945"",""Nilai!B:CT""),97,0),"" "")"),"LAYAK UPLOAD KE SIMBELMAWA DENGAN REVISI")</f>
        <v>LAYAK UPLOAD KE SIMBELMAWA DENGAN REVISI</v>
      </c>
      <c r="U41" s="39" t="s">
        <v>831</v>
      </c>
      <c r="V41" s="38" t="s">
        <v>999</v>
      </c>
      <c r="W41" s="18" t="s">
        <v>1023</v>
      </c>
      <c r="X41" s="22" t="b">
        <v>0</v>
      </c>
    </row>
    <row r="42" spans="1:24" ht="69">
      <c r="A42" s="15">
        <v>40</v>
      </c>
      <c r="B42" s="15">
        <f ca="1">IFERROR(__xludf.DUMMYFUNCTION("""COMPUTED_VALUE"""),2642)</f>
        <v>2642</v>
      </c>
      <c r="C42" s="16" t="str">
        <f ca="1">IFERROR(__xludf.DUMMYFUNCTION("""COMPUTED_VALUE"""),"RAFI RAJFAN HANIF")</f>
        <v>RAFI RAJFAN HANIF</v>
      </c>
      <c r="D42" s="16" t="str">
        <f ca="1">IFERROR(__xludf.DUMMYFUNCTION("""COMPUTED_VALUE"""),"10411910000043")</f>
        <v>10411910000043</v>
      </c>
      <c r="E42" s="16" t="str">
        <f ca="1">IFERROR(__xludf.DUMMYFUNCTION("""COMPUTED_VALUE"""),"Departemen Teknik Kimia Industri")</f>
        <v>Departemen Teknik Kimia Industri</v>
      </c>
      <c r="F42" s="16" t="str">
        <f ca="1">IFERROR(__xludf.DUMMYFUNCTION("""COMPUTED_VALUE"""),"Konsep Ekosistem Bioekonomi Berkelanjutan Berbasis Produk Bioenergi guna Mewujudkan Bauran Energi 2050")</f>
        <v>Konsep Ekosistem Bioekonomi Berkelanjutan Berbasis Produk Bioenergi guna Mewujudkan Bauran Energi 2050</v>
      </c>
      <c r="G42" s="16" t="str">
        <f ca="1">IFERROR(__xludf.DUMMYFUNCTION("""COMPUTED_VALUE"""),"Dr.Ir. Niniek Fajar Puspita, M.Eng.")</f>
        <v>Dr.Ir. Niniek Fajar Puspita, M.Eng.</v>
      </c>
      <c r="H42" s="16" t="str">
        <f ca="1">IFERROR(__xludf.DUMMYFUNCTION("""COMPUTED_VALUE"""),"Putu Gde Ariastita, S.T., M.T.")</f>
        <v>Putu Gde Ariastita, S.T., M.T.</v>
      </c>
      <c r="I42" s="16" t="str">
        <f ca="1">IFERROR(__xludf.DUMMYFUNCTION("""COMPUTED_VALUE"""),"Mahardika F. Rois, S.T, M.T")</f>
        <v>Mahardika F. Rois, S.T, M.T</v>
      </c>
      <c r="J42" s="16"/>
      <c r="K42" s="86" t="s">
        <v>1016</v>
      </c>
      <c r="L42" s="18" t="s">
        <v>1021</v>
      </c>
      <c r="M42" s="19" t="b">
        <v>0</v>
      </c>
      <c r="N42" s="19" t="b">
        <v>0</v>
      </c>
      <c r="O42" s="1" t="s">
        <v>1024</v>
      </c>
      <c r="P42" s="1" t="str">
        <f ca="1">IFERROR(__xludf.DUMMYFUNCTION("iferror(vlookup(B42,importrange(""https://docs.google.com/spreadsheets/d/1boHyJQ4e2FU0QG8MHwEi6qjX4hvZWVCHcFfXjq7bbMc/edit?resourcekey#gid=923248883"",""Prop!$C$1:$M""),12,0),IFERROR(vlookup(B42,importrange(""https://docs.google.com/spreadsheets/d/1boHyJQ"&amp;"4e2FU0QG8MHwEi6qjX4hvZWVCHcFfXjq7bbMc/edit?resourcekey#gid=923248883"",""Prop!$N$1:$X""),11,0),iferror(vlookup(B42,importrange(""https://docs.google.com/spreadsheets/d/1boHyJQ4e2FU0QG8MHwEi6qjX4hvZWVCHcFfXjq7bbMc/edit?resourcekey#gid=923248883"",""Prop!$Y"&amp;"$1:$AI""),11,0),iferror(vlookup(B42,importrange(""https://docs.google.com/spreadsheets/d/1boHyJQ4e2FU0QG8MHwEi6qjX4hvZWVCHcFfXjq7bbMc/edit?resourcekey#gid=923248883"",""Prop!$AJ$1:$AT""),11,0),iferror(vlookup(B42,importrange(""https://docs.google.com/spre"&amp;"adsheets/d/1boHyJQ4e2FU0QG8MHwEi6qjX4hvZWVCHcFfXjq7bbMc/edit?resourcekey#gid=923248883"",""Prop!$AU$1:$BE""),11,0),iferror(vlookup(B42,importrange(""https://docs.google.com/spreadsheets/d/1boHyJQ4e2FU0QG8MHwEi6qjX4hvZWVCHcFfXjq7bbMc/edit?resourcekey#gid=9"&amp;"23248883"",""Prop!$BF$1:$BP""),11,0),iferror(vlookup(B42,importrange(""https://docs.google.com/spreadsheets/d/1boHyJQ4e2FU0QG8MHwEi6qjX4hvZWVCHcFfXjq7bbMc/edit?resourcekey#gid=923248883"",""Prop!$BQ$1:$CA""),11,0),iferror(vlookup(B42,importrange(""https:/"&amp;"/docs.google.com/spreadsheets/d/1boHyJQ4e2FU0QG8MHwEi6qjX4hvZWVCHcFfXjq7bbMc/edit?resourcekey#gid=923248883"",""Prop!$CB$1:$CL""),11,0),iferror(vlookup(B42,importrange(""https://docs.google.com/spreadsheets/d/1boHyJQ4e2FU0QG8MHwEi6qjX4hvZWVCHcFfXjq7bbMc/e"&amp;"dit?resourcekey#gid=923248883"",""Prop!$CM$1:$CX""),12,0),iferror(vlookup(B42,importrange(""https://docs.google.com/spreadsheets/d/1boHyJQ4e2FU0QG8MHwEi6qjX4hvZWVCHcFfXjq7bbMc/edit?resourcekey#gid=923248883"",""Prop!$CV$1:$DI""),11,0)))))))))))"),"")</f>
        <v/>
      </c>
      <c r="Q42" s="7" t="str">
        <f ca="1">IFERROR(__xludf.DUMMYFUNCTION("iferror(vlookup(B42,importrange(""https://docs.google.com/spreadsheets/d/1p53T2AuvvIqhP7Nf-bo3Uhj8cbKYRPpZdsrBv3x3bAQ/edit?resourcekey#gid=1321652304"",""Prop!$C$1:$M""),11,0),IFERROR(vlookup(B42,importrange(""https://docs.google.com/spreadsheets/d/1p53T2"&amp;"AuvvIqhP7Nf-bo3Uhj8cbKYRPpZdsrBv3x3bAQ/edit?resourcekey#gid=1321652304"",""Prop!$N$1:$X""),11,0),iferror(vlookup(B42,importrange(""https://docs.google.com/spreadsheets/d/1p53T2AuvvIqhP7Nf-bo3Uhj8cbKYRPpZdsrBv3x3bAQ/edit?resourcekey#gid=1321652304"",""Prop"&amp;"!$Y$1:$AI""),11,0),iferror(vlookup(B42,importrange(""https://docs.google.com/spreadsheets/d/1p53T2AuvvIqhP7Nf-bo3Uhj8cbKYRPpZdsrBv3x3bAQ/edit?resourcekey#gid=1321652304"",""Prop!$AJ$1:$AT""),11,0),iferror(vlookup(B42,importrange(""https://docs.google.com/"&amp;"spreadsheets/d/1p53T2AuvvIqhP7Nf-bo3Uhj8cbKYRPpZdsrBv3x3bAQ/edit?resourcekey#gid=1321652304"",""Prop!$AU$1:$BE""),11,0),iferror(vlookup(B42,importrange(""https://docs.google.com/spreadsheets/d/1p53T2AuvvIqhP7Nf-bo3Uhj8cbKYRPpZdsrBv3x3bAQ/edit?resourcekey#"&amp;"gid=1321652304"",""Prop!$BF$1:$BP""),11,0),iferror(vlookup(B42,importrange(""https://docs.google.com/spreadsheets/d/1p53T2AuvvIqhP7Nf-bo3Uhj8cbKYRPpZdsrBv3x3bAQ/edit?resourcekey#gid=1321652304"",""Prop!$BQ$1:$CA""),11,0),iferror(vlookup(B42,importrange("""&amp;"https://docs.google.com/spreadsheets/d/1p53T2AuvvIqhP7Nf-bo3Uhj8cbKYRPpZdsrBv3x3bAQ/edit?resourcekey#gid=1321652304"",""Prop!$CB$1:$CL""),11,0),iferror(vlookup(B42,importrange(""https://docs.google.com/spreadsheets/d/1p53T2AuvvIqhP7Nf-bo3Uhj8cbKYRPpZdsrBv"&amp;"3x3bAQ/edit?resourcekey#gid=1321652304"",""Prop!$CM$1:$CX""),12,0),iferror(vlookup(B42,importrange(""https://docs.google.com/spreadsheets/d/1p53T2AuvvIqhP7Nf-bo3Uhj8cbKYRPpZdsrBv3x3bAQ/edit?resourcekey#gid=1321652304"",""Prop!$CY$1:$DI""),11,0)))))))))))"),"https://drive.google.com/open?id=1L5agORFEg-Wu6ZW_7df5j8_OCjraoz-J")</f>
        <v>https://drive.google.com/open?id=1L5agORFEg-Wu6ZW_7df5j8_OCjraoz-J</v>
      </c>
      <c r="R42" s="20" t="s">
        <v>998</v>
      </c>
      <c r="S42" s="20" t="str">
        <f ca="1">IFERROR(__xludf.DUMMYFUNCTION("IFERROR(vlookup(B42,IMPORTRANGE(""https://docs.google.com/spreadsheets/d/1g_jfYYK_KeipEDNDUgqgrsxK94XiocfNQIcP-v1QVhI/edit?resourcekey#gid=233272945"",""Nilai!B:CT""),37,0),"" "")"),"1. perjelas keterbaruan dan aspek visonernya di latar belakang
2. dampak sistemik yang terukur di akhir bab 3")</f>
        <v>1. perjelas keterbaruan dan aspek visonernya di latar belakang
2. dampak sistemik yang terukur di akhir bab 3</v>
      </c>
      <c r="T42" s="20" t="str">
        <f ca="1">IFERROR(__xludf.DUMMYFUNCTION("IFERROR(vlookup(B42,IMPORTRANGE(""https://docs.google.com/spreadsheets/d/1g_jfYYK_KeipEDNDUgqgrsxK94XiocfNQIcP-v1QVhI/edit?resourcekey#gid=233272945"",""Nilai!B:CT""),97,0),"" "")"),"LAYAK UPLOAD KE SIMBELMAWA DENGAN REVISI")</f>
        <v>LAYAK UPLOAD KE SIMBELMAWA DENGAN REVISI</v>
      </c>
      <c r="U42" s="39" t="s">
        <v>831</v>
      </c>
      <c r="V42" s="38" t="s">
        <v>999</v>
      </c>
      <c r="W42" s="18" t="s">
        <v>1023</v>
      </c>
      <c r="X42" s="22" t="b">
        <v>0</v>
      </c>
    </row>
    <row r="43" spans="1:24" ht="57.6">
      <c r="A43" s="15">
        <v>41</v>
      </c>
      <c r="B43" s="15">
        <f ca="1">IFERROR(__xludf.DUMMYFUNCTION("""COMPUTED_VALUE"""),2438)</f>
        <v>2438</v>
      </c>
      <c r="C43" s="16" t="str">
        <f ca="1">IFERROR(__xludf.DUMMYFUNCTION("""COMPUTED_VALUE"""),"Benedicta S")</f>
        <v>Benedicta S</v>
      </c>
      <c r="D43" s="16" t="str">
        <f ca="1">IFERROR(__xludf.DUMMYFUNCTION("""COMPUTED_VALUE"""),"5023211029")</f>
        <v>5023211029</v>
      </c>
      <c r="E43" s="16" t="str">
        <f ca="1">IFERROR(__xludf.DUMMYFUNCTION("""COMPUTED_VALUE"""),"Departemen Teknik Biomedik")</f>
        <v>Departemen Teknik Biomedik</v>
      </c>
      <c r="F43" s="16" t="str">
        <f ca="1">IFERROR(__xludf.DUMMYFUNCTION("""COMPUTED_VALUE"""),"CareYOne: Sistem Pemantau Kondisi Kesehatan Mental dan Fisik Terintegrasi Database untuk Meningkatkan Kenyamanan dan Kualitas Pekerja Indonesia")</f>
        <v>CareYOne: Sistem Pemantau Kondisi Kesehatan Mental dan Fisik Terintegrasi Database untuk Meningkatkan Kenyamanan dan Kualitas Pekerja Indonesia</v>
      </c>
      <c r="G43" s="16" t="str">
        <f ca="1">IFERROR(__xludf.DUMMYFUNCTION("""COMPUTED_VALUE"""),"Muhammad Hilman Fatoni, S.T., M.T.")</f>
        <v>Muhammad Hilman Fatoni, S.T., M.T.</v>
      </c>
      <c r="H43" s="16" t="str">
        <f ca="1">IFERROR(__xludf.DUMMYFUNCTION("""COMPUTED_VALUE"""),"Dyah Sawitri, S.T., M.T.")</f>
        <v>Dyah Sawitri, S.T., M.T.</v>
      </c>
      <c r="I43" s="16" t="str">
        <f ca="1">IFERROR(__xludf.DUMMYFUNCTION("""COMPUTED_VALUE"""),"Wimala Lalitya Dhanistha, S.T., M.T.")</f>
        <v>Wimala Lalitya Dhanistha, S.T., M.T.</v>
      </c>
      <c r="J43" s="16"/>
      <c r="K43" s="86" t="s">
        <v>1016</v>
      </c>
      <c r="L43" s="18" t="s">
        <v>1021</v>
      </c>
      <c r="M43" s="19" t="b">
        <v>0</v>
      </c>
      <c r="N43" s="19" t="b">
        <v>0</v>
      </c>
      <c r="O43" s="1" t="s">
        <v>1024</v>
      </c>
      <c r="P43" s="7" t="str">
        <f ca="1">IFERROR(__xludf.DUMMYFUNCTION("iferror(vlookup(B43,importrange(""https://docs.google.com/spreadsheets/d/1boHyJQ4e2FU0QG8MHwEi6qjX4hvZWVCHcFfXjq7bbMc/edit?resourcekey#gid=923248883"",""Prop!$C$1:$M""),12,0),IFERROR(vlookup(B43,importrange(""https://docs.google.com/spreadsheets/d/1boHyJQ"&amp;"4e2FU0QG8MHwEi6qjX4hvZWVCHcFfXjq7bbMc/edit?resourcekey#gid=923248883"",""Prop!$N$1:$X""),11,0),iferror(vlookup(B43,importrange(""https://docs.google.com/spreadsheets/d/1boHyJQ4e2FU0QG8MHwEi6qjX4hvZWVCHcFfXjq7bbMc/edit?resourcekey#gid=923248883"",""Prop!$Y"&amp;"$1:$AI""),11,0),iferror(vlookup(B43,importrange(""https://docs.google.com/spreadsheets/d/1boHyJQ4e2FU0QG8MHwEi6qjX4hvZWVCHcFfXjq7bbMc/edit?resourcekey#gid=923248883"",""Prop!$AJ$1:$AT""),11,0),iferror(vlookup(B43,importrange(""https://docs.google.com/spre"&amp;"adsheets/d/1boHyJQ4e2FU0QG8MHwEi6qjX4hvZWVCHcFfXjq7bbMc/edit?resourcekey#gid=923248883"",""Prop!$AU$1:$BE""),11,0),iferror(vlookup(B43,importrange(""https://docs.google.com/spreadsheets/d/1boHyJQ4e2FU0QG8MHwEi6qjX4hvZWVCHcFfXjq7bbMc/edit?resourcekey#gid=9"&amp;"23248883"",""Prop!$BF$1:$BP""),11,0),iferror(vlookup(B43,importrange(""https://docs.google.com/spreadsheets/d/1boHyJQ4e2FU0QG8MHwEi6qjX4hvZWVCHcFfXjq7bbMc/edit?resourcekey#gid=923248883"",""Prop!$BQ$1:$CA""),11,0),iferror(vlookup(B43,importrange(""https:/"&amp;"/docs.google.com/spreadsheets/d/1boHyJQ4e2FU0QG8MHwEi6qjX4hvZWVCHcFfXjq7bbMc/edit?resourcekey#gid=923248883"",""Prop!$CB$1:$CL""),11,0),iferror(vlookup(B43,importrange(""https://docs.google.com/spreadsheets/d/1boHyJQ4e2FU0QG8MHwEi6qjX4hvZWVCHcFfXjq7bbMc/e"&amp;"dit?resourcekey#gid=923248883"",""Prop!$CM$1:$CX""),12,0),iferror(vlookup(B43,importrange(""https://docs.google.com/spreadsheets/d/1boHyJQ4e2FU0QG8MHwEi6qjX4hvZWVCHcFfXjq7bbMc/edit?resourcekey#gid=923248883"",""Prop!$CV$1:$DI""),11,0)))))))))))"),"https://drive.google.com/open?id=1zSzzbYogpYpF1s9yXzs20zpZ6UR-rVme")</f>
        <v>https://drive.google.com/open?id=1zSzzbYogpYpF1s9yXzs20zpZ6UR-rVme</v>
      </c>
      <c r="Q43" s="1" t="str">
        <f ca="1">IFERROR(__xludf.DUMMYFUNCTION("iferror(vlookup(B43,importrange(""https://docs.google.com/spreadsheets/d/1p53T2AuvvIqhP7Nf-bo3Uhj8cbKYRPpZdsrBv3x3bAQ/edit?resourcekey#gid=1321652304"",""Prop!$C$1:$M""),11,0),IFERROR(vlookup(B43,importrange(""https://docs.google.com/spreadsheets/d/1p53T2"&amp;"AuvvIqhP7Nf-bo3Uhj8cbKYRPpZdsrBv3x3bAQ/edit?resourcekey#gid=1321652304"",""Prop!$N$1:$X""),11,0),iferror(vlookup(B43,importrange(""https://docs.google.com/spreadsheets/d/1p53T2AuvvIqhP7Nf-bo3Uhj8cbKYRPpZdsrBv3x3bAQ/edit?resourcekey#gid=1321652304"",""Prop"&amp;"!$Y$1:$AI""),11,0),iferror(vlookup(B43,importrange(""https://docs.google.com/spreadsheets/d/1p53T2AuvvIqhP7Nf-bo3Uhj8cbKYRPpZdsrBv3x3bAQ/edit?resourcekey#gid=1321652304"",""Prop!$AJ$1:$AT""),11,0),iferror(vlookup(B43,importrange(""https://docs.google.com/"&amp;"spreadsheets/d/1p53T2AuvvIqhP7Nf-bo3Uhj8cbKYRPpZdsrBv3x3bAQ/edit?resourcekey#gid=1321652304"",""Prop!$AU$1:$BE""),11,0),iferror(vlookup(B43,importrange(""https://docs.google.com/spreadsheets/d/1p53T2AuvvIqhP7Nf-bo3Uhj8cbKYRPpZdsrBv3x3bAQ/edit?resourcekey#"&amp;"gid=1321652304"",""Prop!$BF$1:$BP""),11,0),iferror(vlookup(B43,importrange(""https://docs.google.com/spreadsheets/d/1p53T2AuvvIqhP7Nf-bo3Uhj8cbKYRPpZdsrBv3x3bAQ/edit?resourcekey#gid=1321652304"",""Prop!$BQ$1:$CA""),11,0),iferror(vlookup(B43,importrange("""&amp;"https://docs.google.com/spreadsheets/d/1p53T2AuvvIqhP7Nf-bo3Uhj8cbKYRPpZdsrBv3x3bAQ/edit?resourcekey#gid=1321652304"",""Prop!$CB$1:$CL""),11,0),iferror(vlookup(B43,importrange(""https://docs.google.com/spreadsheets/d/1p53T2AuvvIqhP7Nf-bo3Uhj8cbKYRPpZdsrBv"&amp;"3x3bAQ/edit?resourcekey#gid=1321652304"",""Prop!$CM$1:$CX""),12,0),iferror(vlookup(B43,importrange(""https://docs.google.com/spreadsheets/d/1p53T2AuvvIqhP7Nf-bo3Uhj8cbKYRPpZdsrBv3x3bAQ/edit?resourcekey#gid=1321652304"",""Prop!$CY$1:$DI""),11,0)))))))))))"),"")</f>
        <v/>
      </c>
      <c r="R43" s="20" t="s">
        <v>998</v>
      </c>
      <c r="S43" s="20" t="str">
        <f ca="1">IFERROR(__xludf.DUMMYFUNCTION("IFERROR(vlookup(B43,IMPORTRANGE(""https://docs.google.com/spreadsheets/d/1g_jfYYK_KeipEDNDUgqgrsxK94XiocfNQIcP-v1QVhI/edit?resourcekey#gid=233272945"",""Nilai!B:CT""),37,0),"" "")")," ")</f>
        <v xml:space="preserve"> </v>
      </c>
      <c r="T43" s="20" t="str">
        <f ca="1">IFERROR(__xludf.DUMMYFUNCTION("IFERROR(vlookup(B43,IMPORTRANGE(""https://docs.google.com/spreadsheets/d/1g_jfYYK_KeipEDNDUgqgrsxK94XiocfNQIcP-v1QVhI/edit?resourcekey#gid=233272945"",""Nilai!B:CT""),97,0),"" "")")," ")</f>
        <v xml:space="preserve"> </v>
      </c>
      <c r="U43" s="39" t="s">
        <v>831</v>
      </c>
      <c r="V43" s="38" t="s">
        <v>999</v>
      </c>
      <c r="W43" s="18" t="s">
        <v>1023</v>
      </c>
      <c r="X43" s="22" t="b">
        <v>0</v>
      </c>
    </row>
    <row r="44" spans="1:24" ht="69">
      <c r="A44" s="15">
        <v>42</v>
      </c>
      <c r="B44" s="15">
        <f ca="1">IFERROR(__xludf.DUMMYFUNCTION("""COMPUTED_VALUE"""),4046)</f>
        <v>4046</v>
      </c>
      <c r="C44" s="16" t="str">
        <f ca="1">IFERROR(__xludf.DUMMYFUNCTION("""COMPUTED_VALUE"""),"AISYIAH ANJELLICA NURRUL IZZA`")</f>
        <v>AISYIAH ANJELLICA NURRUL IZZA`</v>
      </c>
      <c r="D44" s="16" t="str">
        <f ca="1">IFERROR(__xludf.DUMMYFUNCTION("""COMPUTED_VALUE"""),"2042201006")</f>
        <v>2042201006</v>
      </c>
      <c r="E44" s="16" t="str">
        <f ca="1">IFERROR(__xludf.DUMMYFUNCTION("""COMPUTED_VALUE"""),"Departemen Teknik Instrumentasi")</f>
        <v>Departemen Teknik Instrumentasi</v>
      </c>
      <c r="F44" s="16" t="str">
        <f ca="1">IFERROR(__xludf.DUMMYFUNCTION("""COMPUTED_VALUE"""),"Pemanfaatan Power Tiles Pada Trotoar Sebagai Pengisi Battery Swapping Station Untuk Menciptakan Surabaya Kota Kendaraan Listrik")</f>
        <v>Pemanfaatan Power Tiles Pada Trotoar Sebagai Pengisi Battery Swapping Station Untuk Menciptakan Surabaya Kota Kendaraan Listrik</v>
      </c>
      <c r="G44" s="16" t="str">
        <f ca="1">IFERROR(__xludf.DUMMYFUNCTION("""COMPUTED_VALUE"""),"Safira Firdaus Mujiyanti, S.T., M.T.")</f>
        <v>Safira Firdaus Mujiyanti, S.T., M.T.</v>
      </c>
      <c r="H44" s="16" t="str">
        <f ca="1">IFERROR(__xludf.DUMMYFUNCTION("""COMPUTED_VALUE"""),"Putu Gde Ariastita, S.T., M.T.")</f>
        <v>Putu Gde Ariastita, S.T., M.T.</v>
      </c>
      <c r="I44" s="16" t="str">
        <f ca="1">IFERROR(__xludf.DUMMYFUNCTION("""COMPUTED_VALUE"""),"Nova Maulidina Ashuri, S.Si., M.Si.")</f>
        <v>Nova Maulidina Ashuri, S.Si., M.Si.</v>
      </c>
      <c r="J44" s="16"/>
      <c r="K44" s="86" t="s">
        <v>1016</v>
      </c>
      <c r="L44" s="18" t="s">
        <v>1025</v>
      </c>
      <c r="M44" s="19" t="b">
        <v>0</v>
      </c>
      <c r="N44" s="19" t="b">
        <v>0</v>
      </c>
      <c r="O44" s="1" t="s">
        <v>1024</v>
      </c>
      <c r="P44" s="7" t="str">
        <f ca="1">IFERROR(__xludf.DUMMYFUNCTION("iferror(vlookup(B44,importrange(""https://docs.google.com/spreadsheets/d/1boHyJQ4e2FU0QG8MHwEi6qjX4hvZWVCHcFfXjq7bbMc/edit?resourcekey#gid=923248883"",""Prop!$C$1:$M""),12,0),IFERROR(vlookup(B44,importrange(""https://docs.google.com/spreadsheets/d/1boHyJQ"&amp;"4e2FU0QG8MHwEi6qjX4hvZWVCHcFfXjq7bbMc/edit?resourcekey#gid=923248883"",""Prop!$N$1:$X""),11,0),iferror(vlookup(B44,importrange(""https://docs.google.com/spreadsheets/d/1boHyJQ4e2FU0QG8MHwEi6qjX4hvZWVCHcFfXjq7bbMc/edit?resourcekey#gid=923248883"",""Prop!$Y"&amp;"$1:$AI""),11,0),iferror(vlookup(B44,importrange(""https://docs.google.com/spreadsheets/d/1boHyJQ4e2FU0QG8MHwEi6qjX4hvZWVCHcFfXjq7bbMc/edit?resourcekey#gid=923248883"",""Prop!$AJ$1:$AT""),11,0),iferror(vlookup(B44,importrange(""https://docs.google.com/spre"&amp;"adsheets/d/1boHyJQ4e2FU0QG8MHwEi6qjX4hvZWVCHcFfXjq7bbMc/edit?resourcekey#gid=923248883"",""Prop!$AU$1:$BE""),11,0),iferror(vlookup(B44,importrange(""https://docs.google.com/spreadsheets/d/1boHyJQ4e2FU0QG8MHwEi6qjX4hvZWVCHcFfXjq7bbMc/edit?resourcekey#gid=9"&amp;"23248883"",""Prop!$BF$1:$BP""),11,0),iferror(vlookup(B44,importrange(""https://docs.google.com/spreadsheets/d/1boHyJQ4e2FU0QG8MHwEi6qjX4hvZWVCHcFfXjq7bbMc/edit?resourcekey#gid=923248883"",""Prop!$BQ$1:$CA""),11,0),iferror(vlookup(B44,importrange(""https:/"&amp;"/docs.google.com/spreadsheets/d/1boHyJQ4e2FU0QG8MHwEi6qjX4hvZWVCHcFfXjq7bbMc/edit?resourcekey#gid=923248883"",""Prop!$CB$1:$CL""),11,0),iferror(vlookup(B44,importrange(""https://docs.google.com/spreadsheets/d/1boHyJQ4e2FU0QG8MHwEi6qjX4hvZWVCHcFfXjq7bbMc/e"&amp;"dit?resourcekey#gid=923248883"",""Prop!$CM$1:$CX""),12,0),iferror(vlookup(B44,importrange(""https://docs.google.com/spreadsheets/d/1boHyJQ4e2FU0QG8MHwEi6qjX4hvZWVCHcFfXjq7bbMc/edit?resourcekey#gid=923248883"",""Prop!$CV$1:$DI""),11,0)))))))))))"),"https://drive.google.com/open?id=1fITaYZLfZLds7U2RlOYaiq7nOTQL5zoA")</f>
        <v>https://drive.google.com/open?id=1fITaYZLfZLds7U2RlOYaiq7nOTQL5zoA</v>
      </c>
      <c r="Q44" s="7" t="str">
        <f ca="1">IFERROR(__xludf.DUMMYFUNCTION("iferror(vlookup(B44,importrange(""https://docs.google.com/spreadsheets/d/1p53T2AuvvIqhP7Nf-bo3Uhj8cbKYRPpZdsrBv3x3bAQ/edit?resourcekey#gid=1321652304"",""Prop!$C$1:$M""),11,0),IFERROR(vlookup(B44,importrange(""https://docs.google.com/spreadsheets/d/1p53T2"&amp;"AuvvIqhP7Nf-bo3Uhj8cbKYRPpZdsrBv3x3bAQ/edit?resourcekey#gid=1321652304"",""Prop!$N$1:$X""),11,0),iferror(vlookup(B44,importrange(""https://docs.google.com/spreadsheets/d/1p53T2AuvvIqhP7Nf-bo3Uhj8cbKYRPpZdsrBv3x3bAQ/edit?resourcekey#gid=1321652304"",""Prop"&amp;"!$Y$1:$AI""),11,0),iferror(vlookup(B44,importrange(""https://docs.google.com/spreadsheets/d/1p53T2AuvvIqhP7Nf-bo3Uhj8cbKYRPpZdsrBv3x3bAQ/edit?resourcekey#gid=1321652304"",""Prop!$AJ$1:$AT""),11,0),iferror(vlookup(B44,importrange(""https://docs.google.com/"&amp;"spreadsheets/d/1p53T2AuvvIqhP7Nf-bo3Uhj8cbKYRPpZdsrBv3x3bAQ/edit?resourcekey#gid=1321652304"",""Prop!$AU$1:$BE""),11,0),iferror(vlookup(B44,importrange(""https://docs.google.com/spreadsheets/d/1p53T2AuvvIqhP7Nf-bo3Uhj8cbKYRPpZdsrBv3x3bAQ/edit?resourcekey#"&amp;"gid=1321652304"",""Prop!$BF$1:$BP""),11,0),iferror(vlookup(B44,importrange(""https://docs.google.com/spreadsheets/d/1p53T2AuvvIqhP7Nf-bo3Uhj8cbKYRPpZdsrBv3x3bAQ/edit?resourcekey#gid=1321652304"",""Prop!$BQ$1:$CA""),11,0),iferror(vlookup(B44,importrange("""&amp;"https://docs.google.com/spreadsheets/d/1p53T2AuvvIqhP7Nf-bo3Uhj8cbKYRPpZdsrBv3x3bAQ/edit?resourcekey#gid=1321652304"",""Prop!$CB$1:$CL""),11,0),iferror(vlookup(B44,importrange(""https://docs.google.com/spreadsheets/d/1p53T2AuvvIqhP7Nf-bo3Uhj8cbKYRPpZdsrBv"&amp;"3x3bAQ/edit?resourcekey#gid=1321652304"",""Prop!$CM$1:$CX""),12,0),iferror(vlookup(B44,importrange(""https://docs.google.com/spreadsheets/d/1p53T2AuvvIqhP7Nf-bo3Uhj8cbKYRPpZdsrBv3x3bAQ/edit?resourcekey#gid=1321652304"",""Prop!$CY$1:$DI""),11,0)))))))))))"),"https://drive.google.com/open?id=1e1rQyMxnVnW-QAZ3GSNhhFB8nc5Q5jDl")</f>
        <v>https://drive.google.com/open?id=1e1rQyMxnVnW-QAZ3GSNhhFB8nc5Q5jDl</v>
      </c>
      <c r="R44" s="20" t="s">
        <v>998</v>
      </c>
      <c r="S44" s="20" t="str">
        <f ca="1">IFERROR(__xludf.DUMMYFUNCTION("IFERROR(vlookup(B44,IMPORTRANGE(""https://docs.google.com/spreadsheets/d/1g_jfYYK_KeipEDNDUgqgrsxK94XiocfNQIcP-v1QVhI/edit?resourcekey#gid=233272945"",""Nilai!B:CT""),37,0),"" "")"),"1. memperkuat state of the art gagasan
2. memperjelas ilustrasi gagasan secara komprehensif dan implementatif di wilayah studi")</f>
        <v>1. memperkuat state of the art gagasan
2. memperjelas ilustrasi gagasan secara komprehensif dan implementatif di wilayah studi</v>
      </c>
      <c r="T44" s="20" t="str">
        <f ca="1">IFERROR(__xludf.DUMMYFUNCTION("IFERROR(vlookup(B44,IMPORTRANGE(""https://docs.google.com/spreadsheets/d/1g_jfYYK_KeipEDNDUgqgrsxK94XiocfNQIcP-v1QVhI/edit?resourcekey#gid=233272945"",""Nilai!B:CT""),97,0),"" "")"),"LAYAK UPLOAD KE SIMBELMAWA DENGAN REVISI")</f>
        <v>LAYAK UPLOAD KE SIMBELMAWA DENGAN REVISI</v>
      </c>
      <c r="U44" s="39" t="s">
        <v>831</v>
      </c>
      <c r="V44" s="38" t="s">
        <v>999</v>
      </c>
      <c r="W44" s="18" t="s">
        <v>1026</v>
      </c>
      <c r="X44" s="22" t="b">
        <v>0</v>
      </c>
    </row>
    <row r="45" spans="1:24" ht="124.2">
      <c r="A45" s="15">
        <v>43</v>
      </c>
      <c r="B45" s="15">
        <f ca="1">IFERROR(__xludf.DUMMYFUNCTION("""COMPUTED_VALUE"""),2377)</f>
        <v>2377</v>
      </c>
      <c r="C45" s="16" t="str">
        <f ca="1">IFERROR(__xludf.DUMMYFUNCTION("""COMPUTED_VALUE"""),"MUHAMMAD RIFQI RAHARDJO")</f>
        <v>MUHAMMAD RIFQI RAHARDJO</v>
      </c>
      <c r="D45" s="16" t="str">
        <f ca="1">IFERROR(__xludf.DUMMYFUNCTION("""COMPUTED_VALUE"""),"5022201007")</f>
        <v>5022201007</v>
      </c>
      <c r="E45" s="16" t="str">
        <f ca="1">IFERROR(__xludf.DUMMYFUNCTION("""COMPUTED_VALUE"""),"Departemen Teknik Elektro")</f>
        <v>Departemen Teknik Elektro</v>
      </c>
      <c r="F45" s="16" t="str">
        <f ca="1">IFERROR(__xludf.DUMMYFUNCTION("""COMPUTED_VALUE"""),"Smart Tent : Tenda Portabel Bertenaga Matahari Berbasis IOT Sebagai Penyedia Listrik dan Sinyal Darurat Bagi Daerah Terdampak Bencana alam.
")</f>
        <v xml:space="preserve">Smart Tent : Tenda Portabel Bertenaga Matahari Berbasis IOT Sebagai Penyedia Listrik dan Sinyal Darurat Bagi Daerah Terdampak Bencana alam.
</v>
      </c>
      <c r="G45" s="16" t="str">
        <f ca="1">IFERROR(__xludf.DUMMYFUNCTION("""COMPUTED_VALUE"""),"Dr. I Gusti Ngurah Satriyadi Hernanda, S.T., M.T.")</f>
        <v>Dr. I Gusti Ngurah Satriyadi Hernanda, S.T., M.T.</v>
      </c>
      <c r="H45" s="16" t="str">
        <f ca="1">IFERROR(__xludf.DUMMYFUNCTION("""COMPUTED_VALUE"""),"Dr.-Ing. Doty Dewi Risanti, S.T., M.T.")</f>
        <v>Dr.-Ing. Doty Dewi Risanti, S.T., M.T.</v>
      </c>
      <c r="I45" s="16" t="str">
        <f ca="1">IFERROR(__xludf.DUMMYFUNCTION("""COMPUTED_VALUE"""),"Rivan Aji Wahyu Dyan Syafitri, S.PWK, M.Ars.")</f>
        <v>Rivan Aji Wahyu Dyan Syafitri, S.PWK, M.Ars.</v>
      </c>
      <c r="J45" s="16"/>
      <c r="K45" s="86" t="s">
        <v>1016</v>
      </c>
      <c r="L45" s="18" t="s">
        <v>1025</v>
      </c>
      <c r="M45" s="19" t="b">
        <v>0</v>
      </c>
      <c r="N45" s="19" t="b">
        <v>0</v>
      </c>
      <c r="O45" s="1" t="s">
        <v>1024</v>
      </c>
      <c r="P45" s="7" t="str">
        <f ca="1">IFERROR(__xludf.DUMMYFUNCTION("iferror(vlookup(B45,importrange(""https://docs.google.com/spreadsheets/d/1boHyJQ4e2FU0QG8MHwEi6qjX4hvZWVCHcFfXjq7bbMc/edit?resourcekey#gid=923248883"",""Prop!$C$1:$M""),12,0),IFERROR(vlookup(B45,importrange(""https://docs.google.com/spreadsheets/d/1boHyJQ"&amp;"4e2FU0QG8MHwEi6qjX4hvZWVCHcFfXjq7bbMc/edit?resourcekey#gid=923248883"",""Prop!$N$1:$X""),11,0),iferror(vlookup(B45,importrange(""https://docs.google.com/spreadsheets/d/1boHyJQ4e2FU0QG8MHwEi6qjX4hvZWVCHcFfXjq7bbMc/edit?resourcekey#gid=923248883"",""Prop!$Y"&amp;"$1:$AI""),11,0),iferror(vlookup(B45,importrange(""https://docs.google.com/spreadsheets/d/1boHyJQ4e2FU0QG8MHwEi6qjX4hvZWVCHcFfXjq7bbMc/edit?resourcekey#gid=923248883"",""Prop!$AJ$1:$AT""),11,0),iferror(vlookup(B45,importrange(""https://docs.google.com/spre"&amp;"adsheets/d/1boHyJQ4e2FU0QG8MHwEi6qjX4hvZWVCHcFfXjq7bbMc/edit?resourcekey#gid=923248883"",""Prop!$AU$1:$BE""),11,0),iferror(vlookup(B45,importrange(""https://docs.google.com/spreadsheets/d/1boHyJQ4e2FU0QG8MHwEi6qjX4hvZWVCHcFfXjq7bbMc/edit?resourcekey#gid=9"&amp;"23248883"",""Prop!$BF$1:$BP""),11,0),iferror(vlookup(B45,importrange(""https://docs.google.com/spreadsheets/d/1boHyJQ4e2FU0QG8MHwEi6qjX4hvZWVCHcFfXjq7bbMc/edit?resourcekey#gid=923248883"",""Prop!$BQ$1:$CA""),11,0),iferror(vlookup(B45,importrange(""https:/"&amp;"/docs.google.com/spreadsheets/d/1boHyJQ4e2FU0QG8MHwEi6qjX4hvZWVCHcFfXjq7bbMc/edit?resourcekey#gid=923248883"",""Prop!$CB$1:$CL""),11,0),iferror(vlookup(B45,importrange(""https://docs.google.com/spreadsheets/d/1boHyJQ4e2FU0QG8MHwEi6qjX4hvZWVCHcFfXjq7bbMc/e"&amp;"dit?resourcekey#gid=923248883"",""Prop!$CM$1:$CX""),12,0),iferror(vlookup(B45,importrange(""https://docs.google.com/spreadsheets/d/1boHyJQ4e2FU0QG8MHwEi6qjX4hvZWVCHcFfXjq7bbMc/edit?resourcekey#gid=923248883"",""Prop!$CV$1:$DI""),11,0)))))))))))"),"https://drive.google.com/open?id=1LMt4izktXtI6wtugOF78ooPOIYxthBEs")</f>
        <v>https://drive.google.com/open?id=1LMt4izktXtI6wtugOF78ooPOIYxthBEs</v>
      </c>
      <c r="Q45" s="7" t="str">
        <f ca="1">IFERROR(__xludf.DUMMYFUNCTION("iferror(vlookup(B45,importrange(""https://docs.google.com/spreadsheets/d/1p53T2AuvvIqhP7Nf-bo3Uhj8cbKYRPpZdsrBv3x3bAQ/edit?resourcekey#gid=1321652304"",""Prop!$C$1:$M""),11,0),IFERROR(vlookup(B45,importrange(""https://docs.google.com/spreadsheets/d/1p53T2"&amp;"AuvvIqhP7Nf-bo3Uhj8cbKYRPpZdsrBv3x3bAQ/edit?resourcekey#gid=1321652304"",""Prop!$N$1:$X""),11,0),iferror(vlookup(B45,importrange(""https://docs.google.com/spreadsheets/d/1p53T2AuvvIqhP7Nf-bo3Uhj8cbKYRPpZdsrBv3x3bAQ/edit?resourcekey#gid=1321652304"",""Prop"&amp;"!$Y$1:$AI""),11,0),iferror(vlookup(B45,importrange(""https://docs.google.com/spreadsheets/d/1p53T2AuvvIqhP7Nf-bo3Uhj8cbKYRPpZdsrBv3x3bAQ/edit?resourcekey#gid=1321652304"",""Prop!$AJ$1:$AT""),11,0),iferror(vlookup(B45,importrange(""https://docs.google.com/"&amp;"spreadsheets/d/1p53T2AuvvIqhP7Nf-bo3Uhj8cbKYRPpZdsrBv3x3bAQ/edit?resourcekey#gid=1321652304"",""Prop!$AU$1:$BE""),11,0),iferror(vlookup(B45,importrange(""https://docs.google.com/spreadsheets/d/1p53T2AuvvIqhP7Nf-bo3Uhj8cbKYRPpZdsrBv3x3bAQ/edit?resourcekey#"&amp;"gid=1321652304"",""Prop!$BF$1:$BP""),11,0),iferror(vlookup(B45,importrange(""https://docs.google.com/spreadsheets/d/1p53T2AuvvIqhP7Nf-bo3Uhj8cbKYRPpZdsrBv3x3bAQ/edit?resourcekey#gid=1321652304"",""Prop!$BQ$1:$CA""),11,0),iferror(vlookup(B45,importrange("""&amp;"https://docs.google.com/spreadsheets/d/1p53T2AuvvIqhP7Nf-bo3Uhj8cbKYRPpZdsrBv3x3bAQ/edit?resourcekey#gid=1321652304"",""Prop!$CB$1:$CL""),11,0),iferror(vlookup(B45,importrange(""https://docs.google.com/spreadsheets/d/1p53T2AuvvIqhP7Nf-bo3Uhj8cbKYRPpZdsrBv"&amp;"3x3bAQ/edit?resourcekey#gid=1321652304"",""Prop!$CM$1:$CX""),12,0),iferror(vlookup(B45,importrange(""https://docs.google.com/spreadsheets/d/1p53T2AuvvIqhP7Nf-bo3Uhj8cbKYRPpZdsrBv3x3bAQ/edit?resourcekey#gid=1321652304"",""Prop!$CY$1:$DI""),11,0)))))))))))"),"https://drive.google.com/open?id=1tOVTaO-iqlg1nDyrLA1IEERTk800h4zv")</f>
        <v>https://drive.google.com/open?id=1tOVTaO-iqlg1nDyrLA1IEERTk800h4zv</v>
      </c>
      <c r="R45" s="20" t="s">
        <v>998</v>
      </c>
      <c r="S45" s="20" t="str">
        <f ca="1">IFERROR(__xludf.DUMMYFUNCTION("IFERROR(vlookup(B45,IMPORTRANGE(""https://docs.google.com/spreadsheets/d/1g_jfYYK_KeipEDNDUgqgrsxK94XiocfNQIcP-v1QVhI/edit?resourcekey#gid=233272945"",""Nilai!B:CT""),37,0),"" "")"),"1. Latar belakang kurang menjelaskan fokusan permasalahan yang diatasi
2. Kurang adanya informasi mengenai upaya sebelumnya dalam mengatasi permasalahan tersebut
3. Belum terlihat teknologi futuristik di dalam gagasan yang ditawarkan
4. Sumber informasi k"&amp;"urang
5. Tidak adanya dampak sistemik dalam prediksi hasil gagasan
6. tidak ada ilustrasi gambar untuk mempermudah pemahaman")</f>
        <v>1. Latar belakang kurang menjelaskan fokusan permasalahan yang diatasi
2. Kurang adanya informasi mengenai upaya sebelumnya dalam mengatasi permasalahan tersebut
3. Belum terlihat teknologi futuristik di dalam gagasan yang ditawarkan
4. Sumber informasi kurang
5. Tidak adanya dampak sistemik dalam prediksi hasil gagasan
6. tidak ada ilustrasi gambar untuk mempermudah pemahaman</v>
      </c>
      <c r="T45" s="20" t="str">
        <f ca="1">IFERROR(__xludf.DUMMYFUNCTION("IFERROR(vlookup(B45,IMPORTRANGE(""https://docs.google.com/spreadsheets/d/1g_jfYYK_KeipEDNDUgqgrsxK94XiocfNQIcP-v1QVhI/edit?resourcekey#gid=233272945"",""Nilai!B:CT""),97,0),"" "")"),"TIDAK LAYAK UPLOAD KE SIMBELMAWA")</f>
        <v>TIDAK LAYAK UPLOAD KE SIMBELMAWA</v>
      </c>
      <c r="U45" s="39" t="s">
        <v>831</v>
      </c>
      <c r="V45" s="38" t="s">
        <v>999</v>
      </c>
      <c r="W45" s="18" t="s">
        <v>1026</v>
      </c>
      <c r="X45" s="22" t="b">
        <v>0</v>
      </c>
    </row>
    <row r="46" spans="1:24" ht="57.6">
      <c r="A46" s="15">
        <v>44</v>
      </c>
      <c r="B46" s="15">
        <f ca="1">IFERROR(__xludf.DUMMYFUNCTION("""COMPUTED_VALUE"""),2086)</f>
        <v>2086</v>
      </c>
      <c r="C46" s="16" t="str">
        <f ca="1">IFERROR(__xludf.DUMMYFUNCTION("""COMPUTED_VALUE"""),"NAURA ATHIRA ARDIANTI")</f>
        <v>NAURA ATHIRA ARDIANTI</v>
      </c>
      <c r="D46" s="16" t="str">
        <f ca="1">IFERROR(__xludf.DUMMYFUNCTION("""COMPUTED_VALUE"""),"08211840000093")</f>
        <v>08211840000093</v>
      </c>
      <c r="E46" s="16" t="str">
        <f ca="1">IFERROR(__xludf.DUMMYFUNCTION("""COMPUTED_VALUE"""),"Departemen Perencanaan Wilayah dan Kota")</f>
        <v>Departemen Perencanaan Wilayah dan Kota</v>
      </c>
      <c r="F46" s="16" t="str">
        <f ca="1">IFERROR(__xludf.DUMMYFUNCTION("""COMPUTED_VALUE"""),"ARAHAN PENGEMBANGAN RUANG TERBUKA HIJAU DI KAWASAN INDUSTRI TERPADU BATANG DENGAN KONSEP GREEN- BLUE OPEN SPACE ")</f>
        <v xml:space="preserve">ARAHAN PENGEMBANGAN RUANG TERBUKA HIJAU DI KAWASAN INDUSTRI TERPADU BATANG DENGAN KONSEP GREEN- BLUE OPEN SPACE </v>
      </c>
      <c r="G46" s="16" t="str">
        <f ca="1">IFERROR(__xludf.DUMMYFUNCTION("""COMPUTED_VALUE"""),"Ardy Maulidy Navastara, S.T., M.T.")</f>
        <v>Ardy Maulidy Navastara, S.T., M.T.</v>
      </c>
      <c r="H46" s="16" t="str">
        <f ca="1">IFERROR(__xludf.DUMMYFUNCTION("""COMPUTED_VALUE"""),"Dyah Sawitri, S.T., M.T.")</f>
        <v>Dyah Sawitri, S.T., M.T.</v>
      </c>
      <c r="I46" s="16" t="str">
        <f ca="1">IFERROR(__xludf.DUMMYFUNCTION("""COMPUTED_VALUE"""),"Nova Maulidina Ashuri, S.Si., M.Si.")</f>
        <v>Nova Maulidina Ashuri, S.Si., M.Si.</v>
      </c>
      <c r="J46" s="16"/>
      <c r="K46" s="86" t="s">
        <v>1016</v>
      </c>
      <c r="L46" s="18" t="s">
        <v>1025</v>
      </c>
      <c r="M46" s="19" t="b">
        <v>0</v>
      </c>
      <c r="N46" s="19" t="b">
        <v>0</v>
      </c>
      <c r="O46" s="1" t="s">
        <v>1024</v>
      </c>
      <c r="P46" s="1" t="str">
        <f ca="1">IFERROR(__xludf.DUMMYFUNCTION("iferror(vlookup(B46,importrange(""https://docs.google.com/spreadsheets/d/1boHyJQ4e2FU0QG8MHwEi6qjX4hvZWVCHcFfXjq7bbMc/edit?resourcekey#gid=923248883"",""Prop!$C$1:$M""),12,0),IFERROR(vlookup(B46,importrange(""https://docs.google.com/spreadsheets/d/1boHyJQ"&amp;"4e2FU0QG8MHwEi6qjX4hvZWVCHcFfXjq7bbMc/edit?resourcekey#gid=923248883"",""Prop!$N$1:$X""),11,0),iferror(vlookup(B46,importrange(""https://docs.google.com/spreadsheets/d/1boHyJQ4e2FU0QG8MHwEi6qjX4hvZWVCHcFfXjq7bbMc/edit?resourcekey#gid=923248883"",""Prop!$Y"&amp;"$1:$AI""),11,0),iferror(vlookup(B46,importrange(""https://docs.google.com/spreadsheets/d/1boHyJQ4e2FU0QG8MHwEi6qjX4hvZWVCHcFfXjq7bbMc/edit?resourcekey#gid=923248883"",""Prop!$AJ$1:$AT""),11,0),iferror(vlookup(B46,importrange(""https://docs.google.com/spre"&amp;"adsheets/d/1boHyJQ4e2FU0QG8MHwEi6qjX4hvZWVCHcFfXjq7bbMc/edit?resourcekey#gid=923248883"",""Prop!$AU$1:$BE""),11,0),iferror(vlookup(B46,importrange(""https://docs.google.com/spreadsheets/d/1boHyJQ4e2FU0QG8MHwEi6qjX4hvZWVCHcFfXjq7bbMc/edit?resourcekey#gid=9"&amp;"23248883"",""Prop!$BF$1:$BP""),11,0),iferror(vlookup(B46,importrange(""https://docs.google.com/spreadsheets/d/1boHyJQ4e2FU0QG8MHwEi6qjX4hvZWVCHcFfXjq7bbMc/edit?resourcekey#gid=923248883"",""Prop!$BQ$1:$CA""),11,0),iferror(vlookup(B46,importrange(""https:/"&amp;"/docs.google.com/spreadsheets/d/1boHyJQ4e2FU0QG8MHwEi6qjX4hvZWVCHcFfXjq7bbMc/edit?resourcekey#gid=923248883"",""Prop!$CB$1:$CL""),11,0),iferror(vlookup(B46,importrange(""https://docs.google.com/spreadsheets/d/1boHyJQ4e2FU0QG8MHwEi6qjX4hvZWVCHcFfXjq7bbMc/e"&amp;"dit?resourcekey#gid=923248883"",""Prop!$CM$1:$CX""),12,0),iferror(vlookup(B46,importrange(""https://docs.google.com/spreadsheets/d/1boHyJQ4e2FU0QG8MHwEi6qjX4hvZWVCHcFfXjq7bbMc/edit?resourcekey#gid=923248883"",""Prop!$CV$1:$DI""),11,0)))))))))))"),"")</f>
        <v/>
      </c>
      <c r="Q46" s="1" t="str">
        <f ca="1">IFERROR(__xludf.DUMMYFUNCTION("iferror(vlookup(B46,importrange(""https://docs.google.com/spreadsheets/d/1p53T2AuvvIqhP7Nf-bo3Uhj8cbKYRPpZdsrBv3x3bAQ/edit?resourcekey#gid=1321652304"",""Prop!$C$1:$M""),11,0),IFERROR(vlookup(B46,importrange(""https://docs.google.com/spreadsheets/d/1p53T2"&amp;"AuvvIqhP7Nf-bo3Uhj8cbKYRPpZdsrBv3x3bAQ/edit?resourcekey#gid=1321652304"",""Prop!$N$1:$X""),11,0),iferror(vlookup(B46,importrange(""https://docs.google.com/spreadsheets/d/1p53T2AuvvIqhP7Nf-bo3Uhj8cbKYRPpZdsrBv3x3bAQ/edit?resourcekey#gid=1321652304"",""Prop"&amp;"!$Y$1:$AI""),11,0),iferror(vlookup(B46,importrange(""https://docs.google.com/spreadsheets/d/1p53T2AuvvIqhP7Nf-bo3Uhj8cbKYRPpZdsrBv3x3bAQ/edit?resourcekey#gid=1321652304"",""Prop!$AJ$1:$AT""),11,0),iferror(vlookup(B46,importrange(""https://docs.google.com/"&amp;"spreadsheets/d/1p53T2AuvvIqhP7Nf-bo3Uhj8cbKYRPpZdsrBv3x3bAQ/edit?resourcekey#gid=1321652304"",""Prop!$AU$1:$BE""),11,0),iferror(vlookup(B46,importrange(""https://docs.google.com/spreadsheets/d/1p53T2AuvvIqhP7Nf-bo3Uhj8cbKYRPpZdsrBv3x3bAQ/edit?resourcekey#"&amp;"gid=1321652304"",""Prop!$BF$1:$BP""),11,0),iferror(vlookup(B46,importrange(""https://docs.google.com/spreadsheets/d/1p53T2AuvvIqhP7Nf-bo3Uhj8cbKYRPpZdsrBv3x3bAQ/edit?resourcekey#gid=1321652304"",""Prop!$BQ$1:$CA""),11,0),iferror(vlookup(B46,importrange("""&amp;"https://docs.google.com/spreadsheets/d/1p53T2AuvvIqhP7Nf-bo3Uhj8cbKYRPpZdsrBv3x3bAQ/edit?resourcekey#gid=1321652304"",""Prop!$CB$1:$CL""),11,0),iferror(vlookup(B46,importrange(""https://docs.google.com/spreadsheets/d/1p53T2AuvvIqhP7Nf-bo3Uhj8cbKYRPpZdsrBv"&amp;"3x3bAQ/edit?resourcekey#gid=1321652304"",""Prop!$CM$1:$CX""),12,0),iferror(vlookup(B46,importrange(""https://docs.google.com/spreadsheets/d/1p53T2AuvvIqhP7Nf-bo3Uhj8cbKYRPpZdsrBv3x3bAQ/edit?resourcekey#gid=1321652304"",""Prop!$CY$1:$DI""),11,0)))))))))))"),"")</f>
        <v/>
      </c>
      <c r="R46" s="20" t="s">
        <v>998</v>
      </c>
      <c r="S46" s="20" t="str">
        <f ca="1">IFERROR(__xludf.DUMMYFUNCTION("IFERROR(vlookup(B46,IMPORTRANGE(""https://docs.google.com/spreadsheets/d/1g_jfYYK_KeipEDNDUgqgrsxK94XiocfNQIcP-v1QVhI/edit?resourcekey#gid=233272945"",""Nilai!B:CT""),37,0),"" "")")," ")</f>
        <v xml:space="preserve"> </v>
      </c>
      <c r="T46" s="20" t="str">
        <f ca="1">IFERROR(__xludf.DUMMYFUNCTION("IFERROR(vlookup(B46,IMPORTRANGE(""https://docs.google.com/spreadsheets/d/1g_jfYYK_KeipEDNDUgqgrsxK94XiocfNQIcP-v1QVhI/edit?resourcekey#gid=233272945"",""Nilai!B:CT""),97,0),"" "")")," ")</f>
        <v xml:space="preserve"> </v>
      </c>
      <c r="U46" s="39" t="s">
        <v>831</v>
      </c>
      <c r="V46" s="38" t="s">
        <v>999</v>
      </c>
      <c r="W46" s="18" t="s">
        <v>1026</v>
      </c>
      <c r="X46" s="22" t="b">
        <v>0</v>
      </c>
    </row>
    <row r="47" spans="1:24" ht="65.25" customHeight="1">
      <c r="A47" s="15">
        <v>45</v>
      </c>
      <c r="B47" s="15">
        <f ca="1">IFERROR(__xludf.DUMMYFUNCTION("""COMPUTED_VALUE"""),2614)</f>
        <v>2614</v>
      </c>
      <c r="C47" s="16" t="str">
        <f ca="1">IFERROR(__xludf.DUMMYFUNCTION("""COMPUTED_VALUE"""),"RESKY ANDI WICAKSONO")</f>
        <v>RESKY ANDI WICAKSONO</v>
      </c>
      <c r="D47" s="16" t="str">
        <f ca="1">IFERROR(__xludf.DUMMYFUNCTION("""COMPUTED_VALUE"""),"5002211011")</f>
        <v>5002211011</v>
      </c>
      <c r="E47" s="16" t="str">
        <f ca="1">IFERROR(__xludf.DUMMYFUNCTION("""COMPUTED_VALUE"""),"Departemen Matematika")</f>
        <v>Departemen Matematika</v>
      </c>
      <c r="F47" s="16" t="str">
        <f ca="1">IFERROR(__xludf.DUMMYFUNCTION("""COMPUTED_VALUE"""),"EduAI: Solusi Pemberdayaan Sumber Daya Manusia melalui Pendidikan Dukung Indonesia Emas 2045")</f>
        <v>EduAI: Solusi Pemberdayaan Sumber Daya Manusia melalui Pendidikan Dukung Indonesia Emas 2045</v>
      </c>
      <c r="G47" s="16" t="str">
        <f ca="1">IFERROR(__xludf.DUMMYFUNCTION("""COMPUTED_VALUE"""),"Mohammad Iqbal, S.Si., M.Si.")</f>
        <v>Mohammad Iqbal, S.Si., M.Si.</v>
      </c>
      <c r="H47" s="16" t="str">
        <f ca="1">IFERROR(__xludf.DUMMYFUNCTION("""COMPUTED_VALUE"""),"Putu Gde Ariastita, S.T., M.T.")</f>
        <v>Putu Gde Ariastita, S.T., M.T.</v>
      </c>
      <c r="I47" s="16" t="str">
        <f ca="1">IFERROR(__xludf.DUMMYFUNCTION("""COMPUTED_VALUE"""),"Nova Maulidina Ashuri, S.Si., M.Si.")</f>
        <v>Nova Maulidina Ashuri, S.Si., M.Si.</v>
      </c>
      <c r="J47" s="16"/>
      <c r="K47" s="86" t="s">
        <v>1016</v>
      </c>
      <c r="L47" s="18" t="s">
        <v>1025</v>
      </c>
      <c r="M47" s="19" t="b">
        <v>0</v>
      </c>
      <c r="N47" s="19" t="b">
        <v>0</v>
      </c>
      <c r="O47" s="1" t="s">
        <v>1024</v>
      </c>
      <c r="P47" s="7" t="str">
        <f ca="1">IFERROR(__xludf.DUMMYFUNCTION("iferror(vlookup(B47,importrange(""https://docs.google.com/spreadsheets/d/1boHyJQ4e2FU0QG8MHwEi6qjX4hvZWVCHcFfXjq7bbMc/edit?resourcekey#gid=923248883"",""Prop!$C$1:$M""),12,0),IFERROR(vlookup(B47,importrange(""https://docs.google.com/spreadsheets/d/1boHyJQ"&amp;"4e2FU0QG8MHwEi6qjX4hvZWVCHcFfXjq7bbMc/edit?resourcekey#gid=923248883"",""Prop!$N$1:$X""),11,0),iferror(vlookup(B47,importrange(""https://docs.google.com/spreadsheets/d/1boHyJQ4e2FU0QG8MHwEi6qjX4hvZWVCHcFfXjq7bbMc/edit?resourcekey#gid=923248883"",""Prop!$Y"&amp;"$1:$AI""),11,0),iferror(vlookup(B47,importrange(""https://docs.google.com/spreadsheets/d/1boHyJQ4e2FU0QG8MHwEi6qjX4hvZWVCHcFfXjq7bbMc/edit?resourcekey#gid=923248883"",""Prop!$AJ$1:$AT""),11,0),iferror(vlookup(B47,importrange(""https://docs.google.com/spre"&amp;"adsheets/d/1boHyJQ4e2FU0QG8MHwEi6qjX4hvZWVCHcFfXjq7bbMc/edit?resourcekey#gid=923248883"",""Prop!$AU$1:$BE""),11,0),iferror(vlookup(B47,importrange(""https://docs.google.com/spreadsheets/d/1boHyJQ4e2FU0QG8MHwEi6qjX4hvZWVCHcFfXjq7bbMc/edit?resourcekey#gid=9"&amp;"23248883"",""Prop!$BF$1:$BP""),11,0),iferror(vlookup(B47,importrange(""https://docs.google.com/spreadsheets/d/1boHyJQ4e2FU0QG8MHwEi6qjX4hvZWVCHcFfXjq7bbMc/edit?resourcekey#gid=923248883"",""Prop!$BQ$1:$CA""),11,0),iferror(vlookup(B47,importrange(""https:/"&amp;"/docs.google.com/spreadsheets/d/1boHyJQ4e2FU0QG8MHwEi6qjX4hvZWVCHcFfXjq7bbMc/edit?resourcekey#gid=923248883"",""Prop!$CB$1:$CL""),11,0),iferror(vlookup(B47,importrange(""https://docs.google.com/spreadsheets/d/1boHyJQ4e2FU0QG8MHwEi6qjX4hvZWVCHcFfXjq7bbMc/e"&amp;"dit?resourcekey#gid=923248883"",""Prop!$CM$1:$CX""),12,0),iferror(vlookup(B47,importrange(""https://docs.google.com/spreadsheets/d/1boHyJQ4e2FU0QG8MHwEi6qjX4hvZWVCHcFfXjq7bbMc/edit?resourcekey#gid=923248883"",""Prop!$CV$1:$DI""),11,0)))))))))))"),"https://drive.google.com/open?id=1Mrr2I2Abe_lLxaO05b31bqASs3sr_ww6")</f>
        <v>https://drive.google.com/open?id=1Mrr2I2Abe_lLxaO05b31bqASs3sr_ww6</v>
      </c>
      <c r="Q47" s="7" t="str">
        <f ca="1">IFERROR(__xludf.DUMMYFUNCTION("iferror(vlookup(B47,importrange(""https://docs.google.com/spreadsheets/d/1p53T2AuvvIqhP7Nf-bo3Uhj8cbKYRPpZdsrBv3x3bAQ/edit?resourcekey#gid=1321652304"",""Prop!$C$1:$M""),11,0),IFERROR(vlookup(B47,importrange(""https://docs.google.com/spreadsheets/d/1p53T2"&amp;"AuvvIqhP7Nf-bo3Uhj8cbKYRPpZdsrBv3x3bAQ/edit?resourcekey#gid=1321652304"",""Prop!$N$1:$X""),11,0),iferror(vlookup(B47,importrange(""https://docs.google.com/spreadsheets/d/1p53T2AuvvIqhP7Nf-bo3Uhj8cbKYRPpZdsrBv3x3bAQ/edit?resourcekey#gid=1321652304"",""Prop"&amp;"!$Y$1:$AI""),11,0),iferror(vlookup(B47,importrange(""https://docs.google.com/spreadsheets/d/1p53T2AuvvIqhP7Nf-bo3Uhj8cbKYRPpZdsrBv3x3bAQ/edit?resourcekey#gid=1321652304"",""Prop!$AJ$1:$AT""),11,0),iferror(vlookup(B47,importrange(""https://docs.google.com/"&amp;"spreadsheets/d/1p53T2AuvvIqhP7Nf-bo3Uhj8cbKYRPpZdsrBv3x3bAQ/edit?resourcekey#gid=1321652304"",""Prop!$AU$1:$BE""),11,0),iferror(vlookup(B47,importrange(""https://docs.google.com/spreadsheets/d/1p53T2AuvvIqhP7Nf-bo3Uhj8cbKYRPpZdsrBv3x3bAQ/edit?resourcekey#"&amp;"gid=1321652304"",""Prop!$BF$1:$BP""),11,0),iferror(vlookup(B47,importrange(""https://docs.google.com/spreadsheets/d/1p53T2AuvvIqhP7Nf-bo3Uhj8cbKYRPpZdsrBv3x3bAQ/edit?resourcekey#gid=1321652304"",""Prop!$BQ$1:$CA""),11,0),iferror(vlookup(B47,importrange("""&amp;"https://docs.google.com/spreadsheets/d/1p53T2AuvvIqhP7Nf-bo3Uhj8cbKYRPpZdsrBv3x3bAQ/edit?resourcekey#gid=1321652304"",""Prop!$CB$1:$CL""),11,0),iferror(vlookup(B47,importrange(""https://docs.google.com/spreadsheets/d/1p53T2AuvvIqhP7Nf-bo3Uhj8cbKYRPpZdsrBv"&amp;"3x3bAQ/edit?resourcekey#gid=1321652304"",""Prop!$CM$1:$CX""),12,0),iferror(vlookup(B47,importrange(""https://docs.google.com/spreadsheets/d/1p53T2AuvvIqhP7Nf-bo3Uhj8cbKYRPpZdsrBv3x3bAQ/edit?resourcekey#gid=1321652304"",""Prop!$CY$1:$DI""),11,0)))))))))))"),"https://drive.google.com/open?id=1E50T8wLexznNdpasvsFmZXs7H8EEYBOc")</f>
        <v>https://drive.google.com/open?id=1E50T8wLexznNdpasvsFmZXs7H8EEYBOc</v>
      </c>
      <c r="R47" s="20" t="s">
        <v>998</v>
      </c>
      <c r="S47" s="20" t="str">
        <f ca="1">IFERROR(__xludf.DUMMYFUNCTION("IFERROR(vlookup(B47,IMPORTRANGE(""https://docs.google.com/spreadsheets/d/1g_jfYYK_KeipEDNDUgqgrsxK94XiocfNQIcP-v1QVhI/edit?resourcekey#gid=233272945"",""Nilai!B:CT""),37,0),"" "")"),"1. pastikan gagasan ini bukan aplikasi dan software (PKM KC dkk). PKM GFT menghasilkan konsep / sistem, bukan kedua hal di atas
2. gambarkan ilustrasi konsepnya secara komprehensif")</f>
        <v>1. pastikan gagasan ini bukan aplikasi dan software (PKM KC dkk). PKM GFT menghasilkan konsep / sistem, bukan kedua hal di atas
2. gambarkan ilustrasi konsepnya secara komprehensif</v>
      </c>
      <c r="T47" s="20" t="str">
        <f ca="1">IFERROR(__xludf.DUMMYFUNCTION("IFERROR(vlookup(B47,IMPORTRANGE(""https://docs.google.com/spreadsheets/d/1g_jfYYK_KeipEDNDUgqgrsxK94XiocfNQIcP-v1QVhI/edit?resourcekey#gid=233272945"",""Nilai!B:CT""),97,0),"" "")"),"LAYAK UPLOAD KE SIMBELMAWA DENGAN REVISI")</f>
        <v>LAYAK UPLOAD KE SIMBELMAWA DENGAN REVISI</v>
      </c>
      <c r="U47" s="39" t="s">
        <v>831</v>
      </c>
      <c r="V47" s="38" t="s">
        <v>999</v>
      </c>
      <c r="W47" s="18" t="s">
        <v>1026</v>
      </c>
      <c r="X47" s="22" t="b">
        <v>0</v>
      </c>
    </row>
    <row r="48" spans="1:24" ht="144">
      <c r="A48" s="15">
        <v>46</v>
      </c>
      <c r="B48" s="15">
        <f ca="1">IFERROR(__xludf.DUMMYFUNCTION("""COMPUTED_VALUE"""),2157)</f>
        <v>2157</v>
      </c>
      <c r="C48" s="16" t="str">
        <f ca="1">IFERROR(__xludf.DUMMYFUNCTION("""COMPUTED_VALUE"""),"Muhammad Daffa K. P.")</f>
        <v>Muhammad Daffa K. P.</v>
      </c>
      <c r="D48" s="16" t="str">
        <f ca="1">IFERROR(__xludf.DUMMYFUNCTION("""COMPUTED_VALUE"""),"5023211038")</f>
        <v>5023211038</v>
      </c>
      <c r="E48" s="16" t="str">
        <f ca="1">IFERROR(__xludf.DUMMYFUNCTION("""COMPUTED_VALUE"""),"Departemen Teknik Biomedik")</f>
        <v>Departemen Teknik Biomedik</v>
      </c>
      <c r="F48" s="16" t="str">
        <f ca="1">IFERROR(__xludf.DUMMYFUNCTION("""COMPUTED_VALUE"""),"KenaliDiri: Sistem Informasi Genetik Terintegrasi Berbasis Whole Genome
Sequencing Sebagai  Personalized Medicine dan Pendeteksi Dini Penyakit Genetik Penduduk Indonesia
")</f>
        <v xml:space="preserve">KenaliDiri: Sistem Informasi Genetik Terintegrasi Berbasis Whole Genome
Sequencing Sebagai  Personalized Medicine dan Pendeteksi Dini Penyakit Genetik Penduduk Indonesia
</v>
      </c>
      <c r="G48" s="16" t="str">
        <f ca="1">IFERROR(__xludf.DUMMYFUNCTION("""COMPUTED_VALUE"""),"Nada Fitrieyatul Hikmah, S.T., M.T.")</f>
        <v>Nada Fitrieyatul Hikmah, S.T., M.T.</v>
      </c>
      <c r="H48" s="16" t="str">
        <f ca="1">IFERROR(__xludf.DUMMYFUNCTION("""COMPUTED_VALUE"""),"Putu Gde Ariastita, S.T., M.T.")</f>
        <v>Putu Gde Ariastita, S.T., M.T.</v>
      </c>
      <c r="I48" s="16" t="str">
        <f ca="1">IFERROR(__xludf.DUMMYFUNCTION("""COMPUTED_VALUE"""),"Mahardika F. Rois, S.T, M.T")</f>
        <v>Mahardika F. Rois, S.T, M.T</v>
      </c>
      <c r="J48" s="16"/>
      <c r="K48" s="86" t="s">
        <v>1027</v>
      </c>
      <c r="L48" s="18" t="s">
        <v>1025</v>
      </c>
      <c r="M48" s="19" t="b">
        <v>0</v>
      </c>
      <c r="N48" s="19" t="b">
        <v>0</v>
      </c>
      <c r="O48" s="1" t="s">
        <v>1024</v>
      </c>
      <c r="P48" s="7" t="str">
        <f ca="1">IFERROR(__xludf.DUMMYFUNCTION("iferror(vlookup(B48,importrange(""https://docs.google.com/spreadsheets/d/1boHyJQ4e2FU0QG8MHwEi6qjX4hvZWVCHcFfXjq7bbMc/edit?resourcekey#gid=923248883"",""Prop!$C$1:$M""),12,0),IFERROR(vlookup(B48,importrange(""https://docs.google.com/spreadsheets/d/1boHyJQ"&amp;"4e2FU0QG8MHwEi6qjX4hvZWVCHcFfXjq7bbMc/edit?resourcekey#gid=923248883"",""Prop!$N$1:$X""),11,0),iferror(vlookup(B48,importrange(""https://docs.google.com/spreadsheets/d/1boHyJQ4e2FU0QG8MHwEi6qjX4hvZWVCHcFfXjq7bbMc/edit?resourcekey#gid=923248883"",""Prop!$Y"&amp;"$1:$AI""),11,0),iferror(vlookup(B48,importrange(""https://docs.google.com/spreadsheets/d/1boHyJQ4e2FU0QG8MHwEi6qjX4hvZWVCHcFfXjq7bbMc/edit?resourcekey#gid=923248883"",""Prop!$AJ$1:$AT""),11,0),iferror(vlookup(B48,importrange(""https://docs.google.com/spre"&amp;"adsheets/d/1boHyJQ4e2FU0QG8MHwEi6qjX4hvZWVCHcFfXjq7bbMc/edit?resourcekey#gid=923248883"",""Prop!$AU$1:$BE""),11,0),iferror(vlookup(B48,importrange(""https://docs.google.com/spreadsheets/d/1boHyJQ4e2FU0QG8MHwEi6qjX4hvZWVCHcFfXjq7bbMc/edit?resourcekey#gid=9"&amp;"23248883"",""Prop!$BF$1:$BP""),11,0),iferror(vlookup(B48,importrange(""https://docs.google.com/spreadsheets/d/1boHyJQ4e2FU0QG8MHwEi6qjX4hvZWVCHcFfXjq7bbMc/edit?resourcekey#gid=923248883"",""Prop!$BQ$1:$CA""),11,0),iferror(vlookup(B48,importrange(""https:/"&amp;"/docs.google.com/spreadsheets/d/1boHyJQ4e2FU0QG8MHwEi6qjX4hvZWVCHcFfXjq7bbMc/edit?resourcekey#gid=923248883"",""Prop!$CB$1:$CL""),11,0),iferror(vlookup(B48,importrange(""https://docs.google.com/spreadsheets/d/1boHyJQ4e2FU0QG8MHwEi6qjX4hvZWVCHcFfXjq7bbMc/e"&amp;"dit?resourcekey#gid=923248883"",""Prop!$CM$1:$CX""),12,0),iferror(vlookup(B48,importrange(""https://docs.google.com/spreadsheets/d/1boHyJQ4e2FU0QG8MHwEi6qjX4hvZWVCHcFfXjq7bbMc/edit?resourcekey#gid=923248883"",""Prop!$CV$1:$DI""),11,0)))))))))))"),"https://drive.google.com/open?id=15F1wjdX09QwlHETycfEvYRUO1thezPnD")</f>
        <v>https://drive.google.com/open?id=15F1wjdX09QwlHETycfEvYRUO1thezPnD</v>
      </c>
      <c r="Q48" s="7" t="str">
        <f ca="1">IFERROR(__xludf.DUMMYFUNCTION("iferror(vlookup(B48,importrange(""https://docs.google.com/spreadsheets/d/1p53T2AuvvIqhP7Nf-bo3Uhj8cbKYRPpZdsrBv3x3bAQ/edit?resourcekey#gid=1321652304"",""Prop!$C$1:$M""),11,0),IFERROR(vlookup(B48,importrange(""https://docs.google.com/spreadsheets/d/1p53T2"&amp;"AuvvIqhP7Nf-bo3Uhj8cbKYRPpZdsrBv3x3bAQ/edit?resourcekey#gid=1321652304"",""Prop!$N$1:$X""),11,0),iferror(vlookup(B48,importrange(""https://docs.google.com/spreadsheets/d/1p53T2AuvvIqhP7Nf-bo3Uhj8cbKYRPpZdsrBv3x3bAQ/edit?resourcekey#gid=1321652304"",""Prop"&amp;"!$Y$1:$AI""),11,0),iferror(vlookup(B48,importrange(""https://docs.google.com/spreadsheets/d/1p53T2AuvvIqhP7Nf-bo3Uhj8cbKYRPpZdsrBv3x3bAQ/edit?resourcekey#gid=1321652304"",""Prop!$AJ$1:$AT""),11,0),iferror(vlookup(B48,importrange(""https://docs.google.com/"&amp;"spreadsheets/d/1p53T2AuvvIqhP7Nf-bo3Uhj8cbKYRPpZdsrBv3x3bAQ/edit?resourcekey#gid=1321652304"",""Prop!$AU$1:$BE""),11,0),iferror(vlookup(B48,importrange(""https://docs.google.com/spreadsheets/d/1p53T2AuvvIqhP7Nf-bo3Uhj8cbKYRPpZdsrBv3x3bAQ/edit?resourcekey#"&amp;"gid=1321652304"",""Prop!$BF$1:$BP""),11,0),iferror(vlookup(B48,importrange(""https://docs.google.com/spreadsheets/d/1p53T2AuvvIqhP7Nf-bo3Uhj8cbKYRPpZdsrBv3x3bAQ/edit?resourcekey#gid=1321652304"",""Prop!$BQ$1:$CA""),11,0),iferror(vlookup(B48,importrange("""&amp;"https://docs.google.com/spreadsheets/d/1p53T2AuvvIqhP7Nf-bo3Uhj8cbKYRPpZdsrBv3x3bAQ/edit?resourcekey#gid=1321652304"",""Prop!$CB$1:$CL""),11,0),iferror(vlookup(B48,importrange(""https://docs.google.com/spreadsheets/d/1p53T2AuvvIqhP7Nf-bo3Uhj8cbKYRPpZdsrBv"&amp;"3x3bAQ/edit?resourcekey#gid=1321652304"",""Prop!$CM$1:$CX""),12,0),iferror(vlookup(B48,importrange(""https://docs.google.com/spreadsheets/d/1p53T2AuvvIqhP7Nf-bo3Uhj8cbKYRPpZdsrBv3x3bAQ/edit?resourcekey#gid=1321652304"",""Prop!$CY$1:$DI""),11,0)))))))))))"),"https://drive.google.com/open?id=1gtgD93bofO7BlVOEY9LXp72RI49Hkh2l")</f>
        <v>https://drive.google.com/open?id=1gtgD93bofO7BlVOEY9LXp72RI49Hkh2l</v>
      </c>
      <c r="R48" s="20" t="s">
        <v>998</v>
      </c>
      <c r="S48" s="20" t="str">
        <f ca="1">IFERROR(__xludf.DUMMYFUNCTION("IFERROR(vlookup(B48,IMPORTRANGE(""https://docs.google.com/spreadsheets/d/1g_jfYYK_KeipEDNDUgqgrsxK94XiocfNQIcP-v1QVhI/edit?resourcekey#gid=233272945"",""Nilai!B:CT""),37,0),"" "")"),"1. pastikan ide ini tdk sama dengan peraih medali emas PKM GT 2020
2. memperkuat urgensi gagasan
3. gagasan dibuat lebih komprehensif dengan terhubung dengan sistem database lainnya
4. memperjelas ilustrasi gagasan secara komprehensif dan implementatif")</f>
        <v>1. pastikan ide ini tdk sama dengan peraih medali emas PKM GT 2020
2. memperkuat urgensi gagasan
3. gagasan dibuat lebih komprehensif dengan terhubung dengan sistem database lainnya
4. memperjelas ilustrasi gagasan secara komprehensif dan implementatif</v>
      </c>
      <c r="T48" s="20" t="str">
        <f ca="1">IFERROR(__xludf.DUMMYFUNCTION("IFERROR(vlookup(B48,IMPORTRANGE(""https://docs.google.com/spreadsheets/d/1g_jfYYK_KeipEDNDUgqgrsxK94XiocfNQIcP-v1QVhI/edit?resourcekey#gid=233272945"",""Nilai!B:CT""),97,0),"" "")"),"LAYAK UPLOAD KE SIMBELMAWA DENGAN REVISI")</f>
        <v>LAYAK UPLOAD KE SIMBELMAWA DENGAN REVISI</v>
      </c>
      <c r="U48" s="39" t="s">
        <v>831</v>
      </c>
      <c r="V48" s="38" t="s">
        <v>999</v>
      </c>
      <c r="W48" s="18" t="s">
        <v>1028</v>
      </c>
      <c r="X48" s="22" t="b">
        <v>0</v>
      </c>
    </row>
    <row r="49" spans="1:24" ht="72">
      <c r="A49" s="15">
        <v>47</v>
      </c>
      <c r="B49" s="15">
        <f ca="1">IFERROR(__xludf.DUMMYFUNCTION("""COMPUTED_VALUE"""),3044)</f>
        <v>3044</v>
      </c>
      <c r="C49" s="16" t="str">
        <f ca="1">IFERROR(__xludf.DUMMYFUNCTION("""COMPUTED_VALUE"""),"SALMA ARSYI NURANI")</f>
        <v>SALMA ARSYI NURANI</v>
      </c>
      <c r="D49" s="16" t="str">
        <f ca="1">IFERROR(__xludf.DUMMYFUNCTION("""COMPUTED_VALUE"""),"5029211038")</f>
        <v>5029211038</v>
      </c>
      <c r="E49" s="16" t="str">
        <f ca="1">IFERROR(__xludf.DUMMYFUNCTION("""COMPUTED_VALUE"""),"Departemen Desain Interior")</f>
        <v>Departemen Desain Interior</v>
      </c>
      <c r="F49" s="16" t="str">
        <f ca="1">IFERROR(__xludf.DUMMYFUNCTION("""COMPUTED_VALUE"""),"NEOTRAD SETTLEMENT: PENERAPAN POLA PERMUKIMAN TRADISIONAL GUNA MENGIKAT SIKLUS CO2 PADA KAWASAN PERMUKIMAN IBU KOTA BARU")</f>
        <v>NEOTRAD SETTLEMENT: PENERAPAN POLA PERMUKIMAN TRADISIONAL GUNA MENGIKAT SIKLUS CO2 PADA KAWASAN PERMUKIMAN IBU KOTA BARU</v>
      </c>
      <c r="G49" s="16" t="str">
        <f ca="1">IFERROR(__xludf.DUMMYFUNCTION("""COMPUTED_VALUE"""),"Okta Putra Setio Ardianto, S.T., M.T.")</f>
        <v>Okta Putra Setio Ardianto, S.T., M.T.</v>
      </c>
      <c r="H49" s="16" t="str">
        <f ca="1">IFERROR(__xludf.DUMMYFUNCTION("""COMPUTED_VALUE"""),"Prof. Ir. Aguk Zuhdi Muhammad Fathallah, M.Eng., Ph.D.")</f>
        <v>Prof. Ir. Aguk Zuhdi Muhammad Fathallah, M.Eng., Ph.D.</v>
      </c>
      <c r="I49" s="16" t="str">
        <f ca="1">IFERROR(__xludf.DUMMYFUNCTION("""COMPUTED_VALUE"""),"Ahmad Fauzan Adziimaa, S.T., M.Sc.")</f>
        <v>Ahmad Fauzan Adziimaa, S.T., M.Sc.</v>
      </c>
      <c r="J49" s="16"/>
      <c r="K49" s="86" t="s">
        <v>1027</v>
      </c>
      <c r="L49" s="18" t="s">
        <v>1025</v>
      </c>
      <c r="M49" s="19" t="b">
        <v>0</v>
      </c>
      <c r="N49" s="19" t="b">
        <v>0</v>
      </c>
      <c r="O49" s="1" t="s">
        <v>1029</v>
      </c>
      <c r="P49" s="7" t="str">
        <f ca="1">IFERROR(__xludf.DUMMYFUNCTION("iferror(vlookup(B49,importrange(""https://docs.google.com/spreadsheets/d/1boHyJQ4e2FU0QG8MHwEi6qjX4hvZWVCHcFfXjq7bbMc/edit?resourcekey#gid=923248883"",""Prop!$C$1:$M""),12,0),IFERROR(vlookup(B49,importrange(""https://docs.google.com/spreadsheets/d/1boHyJQ"&amp;"4e2FU0QG8MHwEi6qjX4hvZWVCHcFfXjq7bbMc/edit?resourcekey#gid=923248883"",""Prop!$N$1:$X""),11,0),iferror(vlookup(B49,importrange(""https://docs.google.com/spreadsheets/d/1boHyJQ4e2FU0QG8MHwEi6qjX4hvZWVCHcFfXjq7bbMc/edit?resourcekey#gid=923248883"",""Prop!$Y"&amp;"$1:$AI""),11,0),iferror(vlookup(B49,importrange(""https://docs.google.com/spreadsheets/d/1boHyJQ4e2FU0QG8MHwEi6qjX4hvZWVCHcFfXjq7bbMc/edit?resourcekey#gid=923248883"",""Prop!$AJ$1:$AT""),11,0),iferror(vlookup(B49,importrange(""https://docs.google.com/spre"&amp;"adsheets/d/1boHyJQ4e2FU0QG8MHwEi6qjX4hvZWVCHcFfXjq7bbMc/edit?resourcekey#gid=923248883"",""Prop!$AU$1:$BE""),11,0),iferror(vlookup(B49,importrange(""https://docs.google.com/spreadsheets/d/1boHyJQ4e2FU0QG8MHwEi6qjX4hvZWVCHcFfXjq7bbMc/edit?resourcekey#gid=9"&amp;"23248883"",""Prop!$BF$1:$BP""),11,0),iferror(vlookup(B49,importrange(""https://docs.google.com/spreadsheets/d/1boHyJQ4e2FU0QG8MHwEi6qjX4hvZWVCHcFfXjq7bbMc/edit?resourcekey#gid=923248883"",""Prop!$BQ$1:$CA""),11,0),iferror(vlookup(B49,importrange(""https:/"&amp;"/docs.google.com/spreadsheets/d/1boHyJQ4e2FU0QG8MHwEi6qjX4hvZWVCHcFfXjq7bbMc/edit?resourcekey#gid=923248883"",""Prop!$CB$1:$CL""),11,0),iferror(vlookup(B49,importrange(""https://docs.google.com/spreadsheets/d/1boHyJQ4e2FU0QG8MHwEi6qjX4hvZWVCHcFfXjq7bbMc/e"&amp;"dit?resourcekey#gid=923248883"",""Prop!$CM$1:$CX""),12,0),iferror(vlookup(B49,importrange(""https://docs.google.com/spreadsheets/d/1boHyJQ4e2FU0QG8MHwEi6qjX4hvZWVCHcFfXjq7bbMc/edit?resourcekey#gid=923248883"",""Prop!$CV$1:$DI""),11,0)))))))))))"),"https://drive.google.com/open?id=1aR7y8XXONtvuev7-FRU2MP5Z5mW93gfb")</f>
        <v>https://drive.google.com/open?id=1aR7y8XXONtvuev7-FRU2MP5Z5mW93gfb</v>
      </c>
      <c r="Q49" s="7" t="str">
        <f ca="1">IFERROR(__xludf.DUMMYFUNCTION("iferror(vlookup(B49,importrange(""https://docs.google.com/spreadsheets/d/1p53T2AuvvIqhP7Nf-bo3Uhj8cbKYRPpZdsrBv3x3bAQ/edit?resourcekey#gid=1321652304"",""Prop!$C$1:$M""),11,0),IFERROR(vlookup(B49,importrange(""https://docs.google.com/spreadsheets/d/1p53T2"&amp;"AuvvIqhP7Nf-bo3Uhj8cbKYRPpZdsrBv3x3bAQ/edit?resourcekey#gid=1321652304"",""Prop!$N$1:$X""),11,0),iferror(vlookup(B49,importrange(""https://docs.google.com/spreadsheets/d/1p53T2AuvvIqhP7Nf-bo3Uhj8cbKYRPpZdsrBv3x3bAQ/edit?resourcekey#gid=1321652304"",""Prop"&amp;"!$Y$1:$AI""),11,0),iferror(vlookup(B49,importrange(""https://docs.google.com/spreadsheets/d/1p53T2AuvvIqhP7Nf-bo3Uhj8cbKYRPpZdsrBv3x3bAQ/edit?resourcekey#gid=1321652304"",""Prop!$AJ$1:$AT""),11,0),iferror(vlookup(B49,importrange(""https://docs.google.com/"&amp;"spreadsheets/d/1p53T2AuvvIqhP7Nf-bo3Uhj8cbKYRPpZdsrBv3x3bAQ/edit?resourcekey#gid=1321652304"",""Prop!$AU$1:$BE""),11,0),iferror(vlookup(B49,importrange(""https://docs.google.com/spreadsheets/d/1p53T2AuvvIqhP7Nf-bo3Uhj8cbKYRPpZdsrBv3x3bAQ/edit?resourcekey#"&amp;"gid=1321652304"",""Prop!$BF$1:$BP""),11,0),iferror(vlookup(B49,importrange(""https://docs.google.com/spreadsheets/d/1p53T2AuvvIqhP7Nf-bo3Uhj8cbKYRPpZdsrBv3x3bAQ/edit?resourcekey#gid=1321652304"",""Prop!$BQ$1:$CA""),11,0),iferror(vlookup(B49,importrange("""&amp;"https://docs.google.com/spreadsheets/d/1p53T2AuvvIqhP7Nf-bo3Uhj8cbKYRPpZdsrBv3x3bAQ/edit?resourcekey#gid=1321652304"",""Prop!$CB$1:$CL""),11,0),iferror(vlookup(B49,importrange(""https://docs.google.com/spreadsheets/d/1p53T2AuvvIqhP7Nf-bo3Uhj8cbKYRPpZdsrBv"&amp;"3x3bAQ/edit?resourcekey#gid=1321652304"",""Prop!$CM$1:$CX""),12,0),iferror(vlookup(B49,importrange(""https://docs.google.com/spreadsheets/d/1p53T2AuvvIqhP7Nf-bo3Uhj8cbKYRPpZdsrBv3x3bAQ/edit?resourcekey#gid=1321652304"",""Prop!$CY$1:$DI""),11,0)))))))))))"),"https://drive.google.com/open?id=1_4DHoE8SAhwfHZMWOQ_2Sj8arOGkle74")</f>
        <v>https://drive.google.com/open?id=1_4DHoE8SAhwfHZMWOQ_2Sj8arOGkle74</v>
      </c>
      <c r="R49" s="20" t="s">
        <v>998</v>
      </c>
      <c r="S49" s="20" t="str">
        <f ca="1">IFERROR(__xludf.DUMMYFUNCTION("IFERROR(vlookup(B49,IMPORTRANGE(""https://docs.google.com/spreadsheets/d/1g_jfYYK_KeipEDNDUgqgrsxK94XiocfNQIcP-v1QVhI/edit?resourcekey#gid=233272945"",""Nilai!B:CT""),37,0),"" "")"),"latar belakang sangat kurang menjelaskan permasalahan
tujuan masih rancu, belum jelas
teknologi yang ditawarkan kurang futuristik
Sumber informasi kurang
")</f>
        <v xml:space="preserve">latar belakang sangat kurang menjelaskan permasalahan
tujuan masih rancu, belum jelas
teknologi yang ditawarkan kurang futuristik
Sumber informasi kurang
</v>
      </c>
      <c r="T49" s="20" t="str">
        <f ca="1">IFERROR(__xludf.DUMMYFUNCTION("IFERROR(vlookup(B49,IMPORTRANGE(""https://docs.google.com/spreadsheets/d/1g_jfYYK_KeipEDNDUgqgrsxK94XiocfNQIcP-v1QVhI/edit?resourcekey#gid=233272945"",""Nilai!B:CT""),97,0),"" "")"),"TIDAK LAYAK UPLOAD KE SIMBELMAWA")</f>
        <v>TIDAK LAYAK UPLOAD KE SIMBELMAWA</v>
      </c>
      <c r="U49" s="39" t="s">
        <v>831</v>
      </c>
      <c r="V49" s="38" t="s">
        <v>999</v>
      </c>
      <c r="W49" s="18" t="s">
        <v>1028</v>
      </c>
      <c r="X49" s="22" t="b">
        <v>0</v>
      </c>
    </row>
    <row r="50" spans="1:24" ht="69">
      <c r="A50" s="15">
        <v>48</v>
      </c>
      <c r="B50" s="15">
        <f ca="1">IFERROR(__xludf.DUMMYFUNCTION("""COMPUTED_VALUE"""),2211)</f>
        <v>2211</v>
      </c>
      <c r="C50" s="16" t="str">
        <f ca="1">IFERROR(__xludf.DUMMYFUNCTION("""COMPUTED_VALUE"""),"ANDRA CAHAYA KHALIEF")</f>
        <v>ANDRA CAHAYA KHALIEF</v>
      </c>
      <c r="D50" s="16" t="str">
        <f ca="1">IFERROR(__xludf.DUMMYFUNCTION("""COMPUTED_VALUE"""),"07111940000116")</f>
        <v>07111940000116</v>
      </c>
      <c r="E50" s="16" t="str">
        <f ca="1">IFERROR(__xludf.DUMMYFUNCTION("""COMPUTED_VALUE"""),"Departemen Teknik Elektro")</f>
        <v>Departemen Teknik Elektro</v>
      </c>
      <c r="F50" s="16" t="str">
        <f ca="1">IFERROR(__xludf.DUMMYFUNCTION("""COMPUTED_VALUE"""),"Sistem Pengolahan Limbah Baterai Berteknologi Hydrometallurgy Identification Process Terintegrasi IoT guna mendudukung Zero Emissions 2040 di kawasasan Asia Tenggara")</f>
        <v>Sistem Pengolahan Limbah Baterai Berteknologi Hydrometallurgy Identification Process Terintegrasi IoT guna mendudukung Zero Emissions 2040 di kawasasan Asia Tenggara</v>
      </c>
      <c r="G50" s="16" t="str">
        <f ca="1">IFERROR(__xludf.DUMMYFUNCTION("""COMPUTED_VALUE"""),"Dr.Ir. Ni Ketut Aryani, M.T.")</f>
        <v>Dr.Ir. Ni Ketut Aryani, M.T.</v>
      </c>
      <c r="H50" s="16" t="str">
        <f ca="1">IFERROR(__xludf.DUMMYFUNCTION("""COMPUTED_VALUE"""),"Putu Gde Ariastita, S.T., M.T.")</f>
        <v>Putu Gde Ariastita, S.T., M.T.</v>
      </c>
      <c r="I50" s="16" t="str">
        <f ca="1">IFERROR(__xludf.DUMMYFUNCTION("""COMPUTED_VALUE"""),"Mahardika F. Rois, S.T, M.T")</f>
        <v>Mahardika F. Rois, S.T, M.T</v>
      </c>
      <c r="J50" s="16"/>
      <c r="K50" s="86" t="s">
        <v>1027</v>
      </c>
      <c r="L50" s="18" t="s">
        <v>1030</v>
      </c>
      <c r="M50" s="19" t="b">
        <v>0</v>
      </c>
      <c r="N50" s="19" t="b">
        <v>0</v>
      </c>
      <c r="O50" s="1" t="s">
        <v>1029</v>
      </c>
      <c r="P50" s="7" t="str">
        <f ca="1">IFERROR(__xludf.DUMMYFUNCTION("iferror(vlookup(B50,importrange(""https://docs.google.com/spreadsheets/d/1boHyJQ4e2FU0QG8MHwEi6qjX4hvZWVCHcFfXjq7bbMc/edit?resourcekey#gid=923248883"",""Prop!$C$1:$M""),12,0),IFERROR(vlookup(B50,importrange(""https://docs.google.com/spreadsheets/d/1boHyJQ"&amp;"4e2FU0QG8MHwEi6qjX4hvZWVCHcFfXjq7bbMc/edit?resourcekey#gid=923248883"",""Prop!$N$1:$X""),11,0),iferror(vlookup(B50,importrange(""https://docs.google.com/spreadsheets/d/1boHyJQ4e2FU0QG8MHwEi6qjX4hvZWVCHcFfXjq7bbMc/edit?resourcekey#gid=923248883"",""Prop!$Y"&amp;"$1:$AI""),11,0),iferror(vlookup(B50,importrange(""https://docs.google.com/spreadsheets/d/1boHyJQ4e2FU0QG8MHwEi6qjX4hvZWVCHcFfXjq7bbMc/edit?resourcekey#gid=923248883"",""Prop!$AJ$1:$AT""),11,0),iferror(vlookup(B50,importrange(""https://docs.google.com/spre"&amp;"adsheets/d/1boHyJQ4e2FU0QG8MHwEi6qjX4hvZWVCHcFfXjq7bbMc/edit?resourcekey#gid=923248883"",""Prop!$AU$1:$BE""),11,0),iferror(vlookup(B50,importrange(""https://docs.google.com/spreadsheets/d/1boHyJQ4e2FU0QG8MHwEi6qjX4hvZWVCHcFfXjq7bbMc/edit?resourcekey#gid=9"&amp;"23248883"",""Prop!$BF$1:$BP""),11,0),iferror(vlookup(B50,importrange(""https://docs.google.com/spreadsheets/d/1boHyJQ4e2FU0QG8MHwEi6qjX4hvZWVCHcFfXjq7bbMc/edit?resourcekey#gid=923248883"",""Prop!$BQ$1:$CA""),11,0),iferror(vlookup(B50,importrange(""https:/"&amp;"/docs.google.com/spreadsheets/d/1boHyJQ4e2FU0QG8MHwEi6qjX4hvZWVCHcFfXjq7bbMc/edit?resourcekey#gid=923248883"",""Prop!$CB$1:$CL""),11,0),iferror(vlookup(B50,importrange(""https://docs.google.com/spreadsheets/d/1boHyJQ4e2FU0QG8MHwEi6qjX4hvZWVCHcFfXjq7bbMc/e"&amp;"dit?resourcekey#gid=923248883"",""Prop!$CM$1:$CX""),12,0),iferror(vlookup(B50,importrange(""https://docs.google.com/spreadsheets/d/1boHyJQ4e2FU0QG8MHwEi6qjX4hvZWVCHcFfXjq7bbMc/edit?resourcekey#gid=923248883"",""Prop!$CV$1:$DI""),11,0)))))))))))"),"https://drive.google.com/open?id=1T9ZSKv6p9tAzO_mgTGoNhbgsFg3XSD-T")</f>
        <v>https://drive.google.com/open?id=1T9ZSKv6p9tAzO_mgTGoNhbgsFg3XSD-T</v>
      </c>
      <c r="Q50" s="7" t="str">
        <f ca="1">IFERROR(__xludf.DUMMYFUNCTION("iferror(vlookup(B50,importrange(""https://docs.google.com/spreadsheets/d/1p53T2AuvvIqhP7Nf-bo3Uhj8cbKYRPpZdsrBv3x3bAQ/edit?resourcekey#gid=1321652304"",""Prop!$C$1:$M""),11,0),IFERROR(vlookup(B50,importrange(""https://docs.google.com/spreadsheets/d/1p53T2"&amp;"AuvvIqhP7Nf-bo3Uhj8cbKYRPpZdsrBv3x3bAQ/edit?resourcekey#gid=1321652304"",""Prop!$N$1:$X""),11,0),iferror(vlookup(B50,importrange(""https://docs.google.com/spreadsheets/d/1p53T2AuvvIqhP7Nf-bo3Uhj8cbKYRPpZdsrBv3x3bAQ/edit?resourcekey#gid=1321652304"",""Prop"&amp;"!$Y$1:$AI""),11,0),iferror(vlookup(B50,importrange(""https://docs.google.com/spreadsheets/d/1p53T2AuvvIqhP7Nf-bo3Uhj8cbKYRPpZdsrBv3x3bAQ/edit?resourcekey#gid=1321652304"",""Prop!$AJ$1:$AT""),11,0),iferror(vlookup(B50,importrange(""https://docs.google.com/"&amp;"spreadsheets/d/1p53T2AuvvIqhP7Nf-bo3Uhj8cbKYRPpZdsrBv3x3bAQ/edit?resourcekey#gid=1321652304"",""Prop!$AU$1:$BE""),11,0),iferror(vlookup(B50,importrange(""https://docs.google.com/spreadsheets/d/1p53T2AuvvIqhP7Nf-bo3Uhj8cbKYRPpZdsrBv3x3bAQ/edit?resourcekey#"&amp;"gid=1321652304"",""Prop!$BF$1:$BP""),11,0),iferror(vlookup(B50,importrange(""https://docs.google.com/spreadsheets/d/1p53T2AuvvIqhP7Nf-bo3Uhj8cbKYRPpZdsrBv3x3bAQ/edit?resourcekey#gid=1321652304"",""Prop!$BQ$1:$CA""),11,0),iferror(vlookup(B50,importrange("""&amp;"https://docs.google.com/spreadsheets/d/1p53T2AuvvIqhP7Nf-bo3Uhj8cbKYRPpZdsrBv3x3bAQ/edit?resourcekey#gid=1321652304"",""Prop!$CB$1:$CL""),11,0),iferror(vlookup(B50,importrange(""https://docs.google.com/spreadsheets/d/1p53T2AuvvIqhP7Nf-bo3Uhj8cbKYRPpZdsrBv"&amp;"3x3bAQ/edit?resourcekey#gid=1321652304"",""Prop!$CM$1:$CX""),12,0),iferror(vlookup(B50,importrange(""https://docs.google.com/spreadsheets/d/1p53T2AuvvIqhP7Nf-bo3Uhj8cbKYRPpZdsrBv3x3bAQ/edit?resourcekey#gid=1321652304"",""Prop!$CY$1:$DI""),11,0)))))))))))"),"https://drive.google.com/open?id=1hqLwpkMcu7KAZ0Z4JfMfiZpTRGSKtznp")</f>
        <v>https://drive.google.com/open?id=1hqLwpkMcu7KAZ0Z4JfMfiZpTRGSKtznp</v>
      </c>
      <c r="R50" s="20" t="s">
        <v>998</v>
      </c>
      <c r="S50" s="20" t="str">
        <f ca="1">IFERROR(__xludf.DUMMYFUNCTION("IFERROR(vlookup(B50,IMPORTRANGE(""https://docs.google.com/spreadsheets/d/1g_jfYYK_KeipEDNDUgqgrsxK94XiocfNQIcP-v1QVhI/edit?resourcekey#gid=233272945"",""Nilai!B:CT""),37,0),"" "")"),"1. Perjelas keterbaruan gagasan ini dan unsur visionernya
2. Jelaskan alasan pemilihan lokasi
3. buat gagasan secara komprehensif dulu, baru perkomponen")</f>
        <v>1. Perjelas keterbaruan gagasan ini dan unsur visionernya
2. Jelaskan alasan pemilihan lokasi
3. buat gagasan secara komprehensif dulu, baru perkomponen</v>
      </c>
      <c r="T50" s="20" t="str">
        <f ca="1">IFERROR(__xludf.DUMMYFUNCTION("IFERROR(vlookup(B50,IMPORTRANGE(""https://docs.google.com/spreadsheets/d/1g_jfYYK_KeipEDNDUgqgrsxK94XiocfNQIcP-v1QVhI/edit?resourcekey#gid=233272945"",""Nilai!B:CT""),97,0),"" "")"),"LAYAK UPLOAD KE SIMBELMAWA DENGAN REVISI")</f>
        <v>LAYAK UPLOAD KE SIMBELMAWA DENGAN REVISI</v>
      </c>
      <c r="U50" s="39" t="s">
        <v>831</v>
      </c>
      <c r="V50" s="38" t="s">
        <v>999</v>
      </c>
      <c r="W50" s="18" t="s">
        <v>1028</v>
      </c>
      <c r="X50" s="22" t="b">
        <v>0</v>
      </c>
    </row>
    <row r="51" spans="1:24" ht="69">
      <c r="A51" s="15">
        <v>49</v>
      </c>
      <c r="B51" s="15">
        <f ca="1">IFERROR(__xludf.DUMMYFUNCTION("""COMPUTED_VALUE"""),2815)</f>
        <v>2815</v>
      </c>
      <c r="C51" s="16" t="str">
        <f ca="1">IFERROR(__xludf.DUMMYFUNCTION("""COMPUTED_VALUE"""),"RAPHAEL CHRISTANTO")</f>
        <v>RAPHAEL CHRISTANTO</v>
      </c>
      <c r="D51" s="16" t="str">
        <f ca="1">IFERROR(__xludf.DUMMYFUNCTION("""COMPUTED_VALUE"""),"5009211044")</f>
        <v>5009211044</v>
      </c>
      <c r="E51" s="16" t="str">
        <f ca="1">IFERROR(__xludf.DUMMYFUNCTION("""COMPUTED_VALUE"""),"Departemen Teknik Fisika")</f>
        <v>Departemen Teknik Fisika</v>
      </c>
      <c r="F51" s="16" t="str">
        <f ca="1">IFERROR(__xludf.DUMMYFUNCTION("""COMPUTED_VALUE"""),"INUBASE (Indonesian's Natuna Underwater Base) : Pangkalan Bawah Laut untuk Pertahanan dan Riset Perairan Natuna")</f>
        <v>INUBASE (Indonesian's Natuna Underwater Base) : Pangkalan Bawah Laut untuk Pertahanan dan Riset Perairan Natuna</v>
      </c>
      <c r="G51" s="16" t="str">
        <f ca="1">IFERROR(__xludf.DUMMYFUNCTION("""COMPUTED_VALUE"""),"Dr. Dhany Arifianto, S.T., M.Eng.")</f>
        <v>Dr. Dhany Arifianto, S.T., M.Eng.</v>
      </c>
      <c r="H51" s="16" t="str">
        <f ca="1">IFERROR(__xludf.DUMMYFUNCTION("""COMPUTED_VALUE"""),"Dyah Sawitri, S.T., M.T.")</f>
        <v>Dyah Sawitri, S.T., M.T.</v>
      </c>
      <c r="I51" s="16" t="str">
        <f ca="1">IFERROR(__xludf.DUMMYFUNCTION("""COMPUTED_VALUE"""),"Rindi Kusumawardani, S.Si., M.Sc.")</f>
        <v>Rindi Kusumawardani, S.Si., M.Sc.</v>
      </c>
      <c r="J51" s="16"/>
      <c r="K51" s="86" t="s">
        <v>1027</v>
      </c>
      <c r="L51" s="18" t="s">
        <v>1030</v>
      </c>
      <c r="M51" s="19" t="b">
        <v>0</v>
      </c>
      <c r="N51" s="19" t="b">
        <v>0</v>
      </c>
      <c r="O51" s="1" t="s">
        <v>1029</v>
      </c>
      <c r="P51" s="7" t="str">
        <f ca="1">IFERROR(__xludf.DUMMYFUNCTION("iferror(vlookup(B51,importrange(""https://docs.google.com/spreadsheets/d/1boHyJQ4e2FU0QG8MHwEi6qjX4hvZWVCHcFfXjq7bbMc/edit?resourcekey#gid=923248883"",""Prop!$C$1:$M""),12,0),IFERROR(vlookup(B51,importrange(""https://docs.google.com/spreadsheets/d/1boHyJQ"&amp;"4e2FU0QG8MHwEi6qjX4hvZWVCHcFfXjq7bbMc/edit?resourcekey#gid=923248883"",""Prop!$N$1:$X""),11,0),iferror(vlookup(B51,importrange(""https://docs.google.com/spreadsheets/d/1boHyJQ4e2FU0QG8MHwEi6qjX4hvZWVCHcFfXjq7bbMc/edit?resourcekey#gid=923248883"",""Prop!$Y"&amp;"$1:$AI""),11,0),iferror(vlookup(B51,importrange(""https://docs.google.com/spreadsheets/d/1boHyJQ4e2FU0QG8MHwEi6qjX4hvZWVCHcFfXjq7bbMc/edit?resourcekey#gid=923248883"",""Prop!$AJ$1:$AT""),11,0),iferror(vlookup(B51,importrange(""https://docs.google.com/spre"&amp;"adsheets/d/1boHyJQ4e2FU0QG8MHwEi6qjX4hvZWVCHcFfXjq7bbMc/edit?resourcekey#gid=923248883"",""Prop!$AU$1:$BE""),11,0),iferror(vlookup(B51,importrange(""https://docs.google.com/spreadsheets/d/1boHyJQ4e2FU0QG8MHwEi6qjX4hvZWVCHcFfXjq7bbMc/edit?resourcekey#gid=9"&amp;"23248883"",""Prop!$BF$1:$BP""),11,0),iferror(vlookup(B51,importrange(""https://docs.google.com/spreadsheets/d/1boHyJQ4e2FU0QG8MHwEi6qjX4hvZWVCHcFfXjq7bbMc/edit?resourcekey#gid=923248883"",""Prop!$BQ$1:$CA""),11,0),iferror(vlookup(B51,importrange(""https:/"&amp;"/docs.google.com/spreadsheets/d/1boHyJQ4e2FU0QG8MHwEi6qjX4hvZWVCHcFfXjq7bbMc/edit?resourcekey#gid=923248883"",""Prop!$CB$1:$CL""),11,0),iferror(vlookup(B51,importrange(""https://docs.google.com/spreadsheets/d/1boHyJQ4e2FU0QG8MHwEi6qjX4hvZWVCHcFfXjq7bbMc/e"&amp;"dit?resourcekey#gid=923248883"",""Prop!$CM$1:$CX""),12,0),iferror(vlookup(B51,importrange(""https://docs.google.com/spreadsheets/d/1boHyJQ4e2FU0QG8MHwEi6qjX4hvZWVCHcFfXjq7bbMc/edit?resourcekey#gid=923248883"",""Prop!$CV$1:$DI""),11,0)))))))))))"),"https://drive.google.com/open?id=1CPqS9yShRn7r_4JJvaahLVAfPa2KE1GQ")</f>
        <v>https://drive.google.com/open?id=1CPqS9yShRn7r_4JJvaahLVAfPa2KE1GQ</v>
      </c>
      <c r="Q51" s="7" t="str">
        <f ca="1">IFERROR(__xludf.DUMMYFUNCTION("iferror(vlookup(B51,importrange(""https://docs.google.com/spreadsheets/d/1p53T2AuvvIqhP7Nf-bo3Uhj8cbKYRPpZdsrBv3x3bAQ/edit?resourcekey#gid=1321652304"",""Prop!$C$1:$M""),11,0),IFERROR(vlookup(B51,importrange(""https://docs.google.com/spreadsheets/d/1p53T2"&amp;"AuvvIqhP7Nf-bo3Uhj8cbKYRPpZdsrBv3x3bAQ/edit?resourcekey#gid=1321652304"",""Prop!$N$1:$X""),11,0),iferror(vlookup(B51,importrange(""https://docs.google.com/spreadsheets/d/1p53T2AuvvIqhP7Nf-bo3Uhj8cbKYRPpZdsrBv3x3bAQ/edit?resourcekey#gid=1321652304"",""Prop"&amp;"!$Y$1:$AI""),11,0),iferror(vlookup(B51,importrange(""https://docs.google.com/spreadsheets/d/1p53T2AuvvIqhP7Nf-bo3Uhj8cbKYRPpZdsrBv3x3bAQ/edit?resourcekey#gid=1321652304"",""Prop!$AJ$1:$AT""),11,0),iferror(vlookup(B51,importrange(""https://docs.google.com/"&amp;"spreadsheets/d/1p53T2AuvvIqhP7Nf-bo3Uhj8cbKYRPpZdsrBv3x3bAQ/edit?resourcekey#gid=1321652304"",""Prop!$AU$1:$BE""),11,0),iferror(vlookup(B51,importrange(""https://docs.google.com/spreadsheets/d/1p53T2AuvvIqhP7Nf-bo3Uhj8cbKYRPpZdsrBv3x3bAQ/edit?resourcekey#"&amp;"gid=1321652304"",""Prop!$BF$1:$BP""),11,0),iferror(vlookup(B51,importrange(""https://docs.google.com/spreadsheets/d/1p53T2AuvvIqhP7Nf-bo3Uhj8cbKYRPpZdsrBv3x3bAQ/edit?resourcekey#gid=1321652304"",""Prop!$BQ$1:$CA""),11,0),iferror(vlookup(B51,importrange("""&amp;"https://docs.google.com/spreadsheets/d/1p53T2AuvvIqhP7Nf-bo3Uhj8cbKYRPpZdsrBv3x3bAQ/edit?resourcekey#gid=1321652304"",""Prop!$CB$1:$CL""),11,0),iferror(vlookup(B51,importrange(""https://docs.google.com/spreadsheets/d/1p53T2AuvvIqhP7Nf-bo3Uhj8cbKYRPpZdsrBv"&amp;"3x3bAQ/edit?resourcekey#gid=1321652304"",""Prop!$CM$1:$CX""),12,0),iferror(vlookup(B51,importrange(""https://docs.google.com/spreadsheets/d/1p53T2AuvvIqhP7Nf-bo3Uhj8cbKYRPpZdsrBv3x3bAQ/edit?resourcekey#gid=1321652304"",""Prop!$CY$1:$DI""),11,0)))))))))))"),"https://drive.google.com/open?id=1B5IOY5JqPI7sIY8QcgLMsJpZT5xghA1y")</f>
        <v>https://drive.google.com/open?id=1B5IOY5JqPI7sIY8QcgLMsJpZT5xghA1y</v>
      </c>
      <c r="R51" s="20" t="s">
        <v>998</v>
      </c>
      <c r="S51" s="20" t="str">
        <f ca="1">IFERROR(__xludf.DUMMYFUNCTION("IFERROR(vlookup(B51,IMPORTRANGE(""https://docs.google.com/spreadsheets/d/1g_jfYYK_KeipEDNDUgqgrsxK94XiocfNQIcP-v1QVhI/edit?resourcekey#gid=233272945"",""Nilai!B:CT""),37,0),"" "")"),"1. memperkuat persoalan dan alasan mengapa pangkalan militernya di bawah air
2. perjelas ilustrasi gagasan yang komprehensf dan implementatif")</f>
        <v>1. memperkuat persoalan dan alasan mengapa pangkalan militernya di bawah air
2. perjelas ilustrasi gagasan yang komprehensf dan implementatif</v>
      </c>
      <c r="T51" s="20" t="str">
        <f ca="1">IFERROR(__xludf.DUMMYFUNCTION("IFERROR(vlookup(B51,IMPORTRANGE(""https://docs.google.com/spreadsheets/d/1g_jfYYK_KeipEDNDUgqgrsxK94XiocfNQIcP-v1QVhI/edit?resourcekey#gid=233272945"",""Nilai!B:CT""),97,0),"" "")"),"LAYAK UPLOAD KE SIMBELMAWA DENGAN REVISI")</f>
        <v>LAYAK UPLOAD KE SIMBELMAWA DENGAN REVISI</v>
      </c>
      <c r="U51" s="39" t="s">
        <v>831</v>
      </c>
      <c r="V51" s="38" t="s">
        <v>999</v>
      </c>
      <c r="W51" s="18" t="s">
        <v>1028</v>
      </c>
      <c r="X51" s="22" t="b">
        <v>0</v>
      </c>
    </row>
    <row r="52" spans="1:24" ht="165.6">
      <c r="A52" s="15">
        <v>50</v>
      </c>
      <c r="B52" s="15">
        <f ca="1">IFERROR(__xludf.DUMMYFUNCTION("""COMPUTED_VALUE"""),3153)</f>
        <v>3153</v>
      </c>
      <c r="C52" s="16" t="str">
        <f ca="1">IFERROR(__xludf.DUMMYFUNCTION("""COMPUTED_VALUE"""),"BHAGAWANTA ATHA ADYATMA")</f>
        <v>BHAGAWANTA ATHA ADYATMA</v>
      </c>
      <c r="D52" s="16" t="str">
        <f ca="1">IFERROR(__xludf.DUMMYFUNCTION("""COMPUTED_VALUE"""),"5020201108")</f>
        <v>5020201108</v>
      </c>
      <c r="E52" s="16" t="str">
        <f ca="1">IFERROR(__xludf.DUMMYFUNCTION("""COMPUTED_VALUE"""),"Departemen Teknik Kelautan")</f>
        <v>Departemen Teknik Kelautan</v>
      </c>
      <c r="F52" s="16" t="str">
        <f ca="1">IFERROR(__xludf.DUMMYFUNCTION("""COMPUTED_VALUE"""),"TNR : Holographic Robot Berbasis Scanning Test Untuk Uji Kelayakan Kapal")</f>
        <v>TNR : Holographic Robot Berbasis Scanning Test Untuk Uji Kelayakan Kapal</v>
      </c>
      <c r="G52" s="16" t="str">
        <f ca="1">IFERROR(__xludf.DUMMYFUNCTION("""COMPUTED_VALUE"""),"R. Haryo Dwito Armono, S.T., M.Eng., Ph.D.")</f>
        <v>R. Haryo Dwito Armono, S.T., M.Eng., Ph.D.</v>
      </c>
      <c r="H52" s="16" t="str">
        <f ca="1">IFERROR(__xludf.DUMMYFUNCTION("""COMPUTED_VALUE"""),"Dyah Sawitri, S.T., M.T.")</f>
        <v>Dyah Sawitri, S.T., M.T.</v>
      </c>
      <c r="I52" s="16" t="str">
        <f ca="1">IFERROR(__xludf.DUMMYFUNCTION("""COMPUTED_VALUE"""),"Rindi Kusumawardani, S.Si., M.Sc.")</f>
        <v>Rindi Kusumawardani, S.Si., M.Sc.</v>
      </c>
      <c r="J52" s="16"/>
      <c r="K52" s="86" t="s">
        <v>1027</v>
      </c>
      <c r="L52" s="18" t="s">
        <v>1030</v>
      </c>
      <c r="M52" s="19" t="b">
        <v>0</v>
      </c>
      <c r="N52" s="19" t="b">
        <v>0</v>
      </c>
      <c r="O52" s="1" t="s">
        <v>1029</v>
      </c>
      <c r="P52" s="7" t="str">
        <f ca="1">IFERROR(__xludf.DUMMYFUNCTION("iferror(vlookup(B52,importrange(""https://docs.google.com/spreadsheets/d/1boHyJQ4e2FU0QG8MHwEi6qjX4hvZWVCHcFfXjq7bbMc/edit?resourcekey#gid=923248883"",""Prop!$C$1:$M""),12,0),IFERROR(vlookup(B52,importrange(""https://docs.google.com/spreadsheets/d/1boHyJQ"&amp;"4e2FU0QG8MHwEi6qjX4hvZWVCHcFfXjq7bbMc/edit?resourcekey#gid=923248883"",""Prop!$N$1:$X""),11,0),iferror(vlookup(B52,importrange(""https://docs.google.com/spreadsheets/d/1boHyJQ4e2FU0QG8MHwEi6qjX4hvZWVCHcFfXjq7bbMc/edit?resourcekey#gid=923248883"",""Prop!$Y"&amp;"$1:$AI""),11,0),iferror(vlookup(B52,importrange(""https://docs.google.com/spreadsheets/d/1boHyJQ4e2FU0QG8MHwEi6qjX4hvZWVCHcFfXjq7bbMc/edit?resourcekey#gid=923248883"",""Prop!$AJ$1:$AT""),11,0),iferror(vlookup(B52,importrange(""https://docs.google.com/spre"&amp;"adsheets/d/1boHyJQ4e2FU0QG8MHwEi6qjX4hvZWVCHcFfXjq7bbMc/edit?resourcekey#gid=923248883"",""Prop!$AU$1:$BE""),11,0),iferror(vlookup(B52,importrange(""https://docs.google.com/spreadsheets/d/1boHyJQ4e2FU0QG8MHwEi6qjX4hvZWVCHcFfXjq7bbMc/edit?resourcekey#gid=9"&amp;"23248883"",""Prop!$BF$1:$BP""),11,0),iferror(vlookup(B52,importrange(""https://docs.google.com/spreadsheets/d/1boHyJQ4e2FU0QG8MHwEi6qjX4hvZWVCHcFfXjq7bbMc/edit?resourcekey#gid=923248883"",""Prop!$BQ$1:$CA""),11,0),iferror(vlookup(B52,importrange(""https:/"&amp;"/docs.google.com/spreadsheets/d/1boHyJQ4e2FU0QG8MHwEi6qjX4hvZWVCHcFfXjq7bbMc/edit?resourcekey#gid=923248883"",""Prop!$CB$1:$CL""),11,0),iferror(vlookup(B52,importrange(""https://docs.google.com/spreadsheets/d/1boHyJQ4e2FU0QG8MHwEi6qjX4hvZWVCHcFfXjq7bbMc/e"&amp;"dit?resourcekey#gid=923248883"",""Prop!$CM$1:$CX""),12,0),iferror(vlookup(B52,importrange(""https://docs.google.com/spreadsheets/d/1boHyJQ4e2FU0QG8MHwEi6qjX4hvZWVCHcFfXjq7bbMc/edit?resourcekey#gid=923248883"",""Prop!$CV$1:$DI""),11,0)))))))))))"),"https://drive.google.com/open?id=1kqoTO7qLlIbPLbDwJYUL0pcHRPT1GR73")</f>
        <v>https://drive.google.com/open?id=1kqoTO7qLlIbPLbDwJYUL0pcHRPT1GR73</v>
      </c>
      <c r="Q52" s="7" t="str">
        <f ca="1">IFERROR(__xludf.DUMMYFUNCTION("iferror(vlookup(B52,importrange(""https://docs.google.com/spreadsheets/d/1p53T2AuvvIqhP7Nf-bo3Uhj8cbKYRPpZdsrBv3x3bAQ/edit?resourcekey#gid=1321652304"",""Prop!$C$1:$M""),11,0),IFERROR(vlookup(B52,importrange(""https://docs.google.com/spreadsheets/d/1p53T2"&amp;"AuvvIqhP7Nf-bo3Uhj8cbKYRPpZdsrBv3x3bAQ/edit?resourcekey#gid=1321652304"",""Prop!$N$1:$X""),11,0),iferror(vlookup(B52,importrange(""https://docs.google.com/spreadsheets/d/1p53T2AuvvIqhP7Nf-bo3Uhj8cbKYRPpZdsrBv3x3bAQ/edit?resourcekey#gid=1321652304"",""Prop"&amp;"!$Y$1:$AI""),11,0),iferror(vlookup(B52,importrange(""https://docs.google.com/spreadsheets/d/1p53T2AuvvIqhP7Nf-bo3Uhj8cbKYRPpZdsrBv3x3bAQ/edit?resourcekey#gid=1321652304"",""Prop!$AJ$1:$AT""),11,0),iferror(vlookup(B52,importrange(""https://docs.google.com/"&amp;"spreadsheets/d/1p53T2AuvvIqhP7Nf-bo3Uhj8cbKYRPpZdsrBv3x3bAQ/edit?resourcekey#gid=1321652304"",""Prop!$AU$1:$BE""),11,0),iferror(vlookup(B52,importrange(""https://docs.google.com/spreadsheets/d/1p53T2AuvvIqhP7Nf-bo3Uhj8cbKYRPpZdsrBv3x3bAQ/edit?resourcekey#"&amp;"gid=1321652304"",""Prop!$BF$1:$BP""),11,0),iferror(vlookup(B52,importrange(""https://docs.google.com/spreadsheets/d/1p53T2AuvvIqhP7Nf-bo3Uhj8cbKYRPpZdsrBv3x3bAQ/edit?resourcekey#gid=1321652304"",""Prop!$BQ$1:$CA""),11,0),iferror(vlookup(B52,importrange("""&amp;"https://docs.google.com/spreadsheets/d/1p53T2AuvvIqhP7Nf-bo3Uhj8cbKYRPpZdsrBv3x3bAQ/edit?resourcekey#gid=1321652304"",""Prop!$CB$1:$CL""),11,0),iferror(vlookup(B52,importrange(""https://docs.google.com/spreadsheets/d/1p53T2AuvvIqhP7Nf-bo3Uhj8cbKYRPpZdsrBv"&amp;"3x3bAQ/edit?resourcekey#gid=1321652304"",""Prop!$CM$1:$CX""),12,0),iferror(vlookup(B52,importrange(""https://docs.google.com/spreadsheets/d/1p53T2AuvvIqhP7Nf-bo3Uhj8cbKYRPpZdsrBv3x3bAQ/edit?resourcekey#gid=1321652304"",""Prop!$CY$1:$DI""),11,0)))))))))))"),"https://drive.google.com/open?id=1a4Z45D8s6jE0YjuPO-mWeD9WeZkD7BF1")</f>
        <v>https://drive.google.com/open?id=1a4Z45D8s6jE0YjuPO-mWeD9WeZkD7BF1</v>
      </c>
      <c r="R52" s="20" t="s">
        <v>998</v>
      </c>
      <c r="S52" s="20" t="str">
        <f ca="1">IFERROR(__xludf.DUMMYFUNCTION("IFERROR(vlookup(B52,IMPORTRANGE(""https://docs.google.com/spreadsheets/d/1g_jfYYK_KeipEDNDUgqgrsxK94XiocfNQIcP-v1QVhI/edit?resourcekey#gid=233272945"",""Nilai!B:CT""),37,0),"" "")"),"1. Latar belakang kurang menjelaskan fokusan permasalahan yang diatasi
2. tujuan masih kurang pembahannya di gagasan
3. pengecekan kapal yang tidak layak dan yang layak seperti apa tidak disebutkan
4. proses pelaksanaan pengecekan masih kurang jelas terga"&amp;"mbarnya
5. apakah ini untuk semua kapal atau bagaimana
6. teknologi futuristiknya masih belum tergambar secara detail
7. Sumber informasi kurang
8. Tidak adanya dampak sistemik dalam prediksi hasil gagasan
9. biodata dirapikan lagi")</f>
        <v>1. Latar belakang kurang menjelaskan fokusan permasalahan yang diatasi
2. tujuan masih kurang pembahannya di gagasan
3. pengecekan kapal yang tidak layak dan yang layak seperti apa tidak disebutkan
4. proses pelaksanaan pengecekan masih kurang jelas tergambarnya
5. apakah ini untuk semua kapal atau bagaimana
6. teknologi futuristiknya masih belum tergambar secara detail
7. Sumber informasi kurang
8. Tidak adanya dampak sistemik dalam prediksi hasil gagasan
9. biodata dirapikan lagi</v>
      </c>
      <c r="T52" s="20" t="str">
        <f ca="1">IFERROR(__xludf.DUMMYFUNCTION("IFERROR(vlookup(B52,IMPORTRANGE(""https://docs.google.com/spreadsheets/d/1g_jfYYK_KeipEDNDUgqgrsxK94XiocfNQIcP-v1QVhI/edit?resourcekey#gid=233272945"",""Nilai!B:CT""),97,0),"" "")"),"TIDAK LAYAK UPLOAD KE SIMBELMAWA")</f>
        <v>TIDAK LAYAK UPLOAD KE SIMBELMAWA</v>
      </c>
      <c r="U52" s="39" t="s">
        <v>831</v>
      </c>
      <c r="V52" s="38" t="s">
        <v>999</v>
      </c>
      <c r="W52" s="18" t="s">
        <v>1031</v>
      </c>
      <c r="X52" s="22" t="b">
        <v>0</v>
      </c>
    </row>
    <row r="53" spans="1:24" ht="57.6">
      <c r="A53" s="15">
        <v>51</v>
      </c>
      <c r="B53" s="15">
        <f ca="1">IFERROR(__xludf.DUMMYFUNCTION("""COMPUTED_VALUE"""),3374)</f>
        <v>3374</v>
      </c>
      <c r="C53" s="16" t="str">
        <f ca="1">IFERROR(__xludf.DUMMYFUNCTION("""COMPUTED_VALUE"""),"VELLINA AYU PUTRI")</f>
        <v>VELLINA AYU PUTRI</v>
      </c>
      <c r="D53" s="16" t="str">
        <f ca="1">IFERROR(__xludf.DUMMYFUNCTION("""COMPUTED_VALUE"""),"2042201082")</f>
        <v>2042201082</v>
      </c>
      <c r="E53" s="16" t="str">
        <f ca="1">IFERROR(__xludf.DUMMYFUNCTION("""COMPUTED_VALUE"""),"Departemen Teknik Instrumentasi")</f>
        <v>Departemen Teknik Instrumentasi</v>
      </c>
      <c r="F53" s="16" t="str">
        <f ca="1">IFERROR(__xludf.DUMMYFUNCTION("""COMPUTED_VALUE"""),"Free Energy Gravitator to Charging Battery")</f>
        <v>Free Energy Gravitator to Charging Battery</v>
      </c>
      <c r="G53" s="16" t="str">
        <f ca="1">IFERROR(__xludf.DUMMYFUNCTION("""COMPUTED_VALUE"""),"Ahmad Fauzan Adziimaa, S.T., M.Sc.")</f>
        <v>Ahmad Fauzan Adziimaa, S.T., M.Sc.</v>
      </c>
      <c r="H53" s="16" t="str">
        <f ca="1">IFERROR(__xludf.DUMMYFUNCTION("""COMPUTED_VALUE"""),"Dyah Sawitri, S.T., M.T.")</f>
        <v>Dyah Sawitri, S.T., M.T.</v>
      </c>
      <c r="I53" s="16" t="str">
        <f ca="1">IFERROR(__xludf.DUMMYFUNCTION("""COMPUTED_VALUE"""),"Rindi Kusumawardani, S.Si., M.Sc.")</f>
        <v>Rindi Kusumawardani, S.Si., M.Sc.</v>
      </c>
      <c r="J53" s="16"/>
      <c r="K53" s="86" t="s">
        <v>1027</v>
      </c>
      <c r="L53" s="18" t="s">
        <v>1030</v>
      </c>
      <c r="M53" s="19" t="b">
        <v>0</v>
      </c>
      <c r="N53" s="19" t="b">
        <v>0</v>
      </c>
      <c r="O53" s="1" t="s">
        <v>1032</v>
      </c>
      <c r="P53" s="1" t="str">
        <f ca="1">IFERROR(__xludf.DUMMYFUNCTION("iferror(vlookup(B53,importrange(""https://docs.google.com/spreadsheets/d/1boHyJQ4e2FU0QG8MHwEi6qjX4hvZWVCHcFfXjq7bbMc/edit?resourcekey#gid=923248883"",""Prop!$C$1:$M""),12,0),IFERROR(vlookup(B53,importrange(""https://docs.google.com/spreadsheets/d/1boHyJQ"&amp;"4e2FU0QG8MHwEi6qjX4hvZWVCHcFfXjq7bbMc/edit?resourcekey#gid=923248883"",""Prop!$N$1:$X""),11,0),iferror(vlookup(B53,importrange(""https://docs.google.com/spreadsheets/d/1boHyJQ4e2FU0QG8MHwEi6qjX4hvZWVCHcFfXjq7bbMc/edit?resourcekey#gid=923248883"",""Prop!$Y"&amp;"$1:$AI""),11,0),iferror(vlookup(B53,importrange(""https://docs.google.com/spreadsheets/d/1boHyJQ4e2FU0QG8MHwEi6qjX4hvZWVCHcFfXjq7bbMc/edit?resourcekey#gid=923248883"",""Prop!$AJ$1:$AT""),11,0),iferror(vlookup(B53,importrange(""https://docs.google.com/spre"&amp;"adsheets/d/1boHyJQ4e2FU0QG8MHwEi6qjX4hvZWVCHcFfXjq7bbMc/edit?resourcekey#gid=923248883"",""Prop!$AU$1:$BE""),11,0),iferror(vlookup(B53,importrange(""https://docs.google.com/spreadsheets/d/1boHyJQ4e2FU0QG8MHwEi6qjX4hvZWVCHcFfXjq7bbMc/edit?resourcekey#gid=9"&amp;"23248883"",""Prop!$BF$1:$BP""),11,0),iferror(vlookup(B53,importrange(""https://docs.google.com/spreadsheets/d/1boHyJQ4e2FU0QG8MHwEi6qjX4hvZWVCHcFfXjq7bbMc/edit?resourcekey#gid=923248883"",""Prop!$BQ$1:$CA""),11,0),iferror(vlookup(B53,importrange(""https:/"&amp;"/docs.google.com/spreadsheets/d/1boHyJQ4e2FU0QG8MHwEi6qjX4hvZWVCHcFfXjq7bbMc/edit?resourcekey#gid=923248883"",""Prop!$CB$1:$CL""),11,0),iferror(vlookup(B53,importrange(""https://docs.google.com/spreadsheets/d/1boHyJQ4e2FU0QG8MHwEi6qjX4hvZWVCHcFfXjq7bbMc/e"&amp;"dit?resourcekey#gid=923248883"",""Prop!$CM$1:$CX""),12,0),iferror(vlookup(B53,importrange(""https://docs.google.com/spreadsheets/d/1boHyJQ4e2FU0QG8MHwEi6qjX4hvZWVCHcFfXjq7bbMc/edit?resourcekey#gid=923248883"",""Prop!$CV$1:$DI""),11,0)))))))))))"),"")</f>
        <v/>
      </c>
      <c r="Q53" s="1" t="str">
        <f ca="1">IFERROR(__xludf.DUMMYFUNCTION("iferror(vlookup(B53,importrange(""https://docs.google.com/spreadsheets/d/1p53T2AuvvIqhP7Nf-bo3Uhj8cbKYRPpZdsrBv3x3bAQ/edit?resourcekey#gid=1321652304"",""Prop!$C$1:$M""),11,0),IFERROR(vlookup(B53,importrange(""https://docs.google.com/spreadsheets/d/1p53T2"&amp;"AuvvIqhP7Nf-bo3Uhj8cbKYRPpZdsrBv3x3bAQ/edit?resourcekey#gid=1321652304"",""Prop!$N$1:$X""),11,0),iferror(vlookup(B53,importrange(""https://docs.google.com/spreadsheets/d/1p53T2AuvvIqhP7Nf-bo3Uhj8cbKYRPpZdsrBv3x3bAQ/edit?resourcekey#gid=1321652304"",""Prop"&amp;"!$Y$1:$AI""),11,0),iferror(vlookup(B53,importrange(""https://docs.google.com/spreadsheets/d/1p53T2AuvvIqhP7Nf-bo3Uhj8cbKYRPpZdsrBv3x3bAQ/edit?resourcekey#gid=1321652304"",""Prop!$AJ$1:$AT""),11,0),iferror(vlookup(B53,importrange(""https://docs.google.com/"&amp;"spreadsheets/d/1p53T2AuvvIqhP7Nf-bo3Uhj8cbKYRPpZdsrBv3x3bAQ/edit?resourcekey#gid=1321652304"",""Prop!$AU$1:$BE""),11,0),iferror(vlookup(B53,importrange(""https://docs.google.com/spreadsheets/d/1p53T2AuvvIqhP7Nf-bo3Uhj8cbKYRPpZdsrBv3x3bAQ/edit?resourcekey#"&amp;"gid=1321652304"",""Prop!$BF$1:$BP""),11,0),iferror(vlookup(B53,importrange(""https://docs.google.com/spreadsheets/d/1p53T2AuvvIqhP7Nf-bo3Uhj8cbKYRPpZdsrBv3x3bAQ/edit?resourcekey#gid=1321652304"",""Prop!$BQ$1:$CA""),11,0),iferror(vlookup(B53,importrange("""&amp;"https://docs.google.com/spreadsheets/d/1p53T2AuvvIqhP7Nf-bo3Uhj8cbKYRPpZdsrBv3x3bAQ/edit?resourcekey#gid=1321652304"",""Prop!$CB$1:$CL""),11,0),iferror(vlookup(B53,importrange(""https://docs.google.com/spreadsheets/d/1p53T2AuvvIqhP7Nf-bo3Uhj8cbKYRPpZdsrBv"&amp;"3x3bAQ/edit?resourcekey#gid=1321652304"",""Prop!$CM$1:$CX""),12,0),iferror(vlookup(B53,importrange(""https://docs.google.com/spreadsheets/d/1p53T2AuvvIqhP7Nf-bo3Uhj8cbKYRPpZdsrBv3x3bAQ/edit?resourcekey#gid=1321652304"",""Prop!$CY$1:$DI""),11,0)))))))))))"),"")</f>
        <v/>
      </c>
      <c r="R53" s="20" t="s">
        <v>998</v>
      </c>
      <c r="S53" s="20" t="str">
        <f ca="1">IFERROR(__xludf.DUMMYFUNCTION("IFERROR(vlookup(B53,IMPORTRANGE(""https://docs.google.com/spreadsheets/d/1g_jfYYK_KeipEDNDUgqgrsxK94XiocfNQIcP-v1QVhI/edit?resourcekey#gid=233272945"",""Nilai!B:CT""),37,0),"" "")")," ")</f>
        <v xml:space="preserve"> </v>
      </c>
      <c r="T53" s="20" t="str">
        <f ca="1">IFERROR(__xludf.DUMMYFUNCTION("IFERROR(vlookup(B53,IMPORTRANGE(""https://docs.google.com/spreadsheets/d/1g_jfYYK_KeipEDNDUgqgrsxK94XiocfNQIcP-v1QVhI/edit?resourcekey#gid=233272945"",""Nilai!B:CT""),97,0),"" "")")," ")</f>
        <v xml:space="preserve"> </v>
      </c>
      <c r="U53" s="39" t="s">
        <v>831</v>
      </c>
      <c r="V53" s="38" t="s">
        <v>999</v>
      </c>
      <c r="W53" s="18" t="s">
        <v>1031</v>
      </c>
      <c r="X53" s="22" t="b">
        <v>0</v>
      </c>
    </row>
    <row r="54" spans="1:24" ht="82.8">
      <c r="A54" s="15">
        <v>52</v>
      </c>
      <c r="B54" s="15">
        <f ca="1">IFERROR(__xludf.DUMMYFUNCTION("""COMPUTED_VALUE"""),2500)</f>
        <v>2500</v>
      </c>
      <c r="C54" s="16" t="str">
        <f ca="1">IFERROR(__xludf.DUMMYFUNCTION("""COMPUTED_VALUE"""),"Akhmad Farid Rosyidi")</f>
        <v>Akhmad Farid Rosyidi</v>
      </c>
      <c r="D54" s="16" t="str">
        <f ca="1">IFERROR(__xludf.DUMMYFUNCTION("""COMPUTED_VALUE"""),"07111940000065")</f>
        <v>07111940000065</v>
      </c>
      <c r="E54" s="16" t="str">
        <f ca="1">IFERROR(__xludf.DUMMYFUNCTION("""COMPUTED_VALUE"""),"Departemen Teknik Elektro")</f>
        <v>Departemen Teknik Elektro</v>
      </c>
      <c r="F54" s="16" t="str">
        <f ca="1">IFERROR(__xludf.DUMMYFUNCTION("""COMPUTED_VALUE"""),"Smart Offshore Integrated Renewable Energy System")</f>
        <v>Smart Offshore Integrated Renewable Energy System</v>
      </c>
      <c r="G54" s="16" t="str">
        <f ca="1">IFERROR(__xludf.DUMMYFUNCTION("""COMPUTED_VALUE"""),"Feby Agung Pamuji, S.T., M.T., Ph.D.")</f>
        <v>Feby Agung Pamuji, S.T., M.T., Ph.D.</v>
      </c>
      <c r="H54" s="16" t="str">
        <f ca="1">IFERROR(__xludf.DUMMYFUNCTION("""COMPUTED_VALUE"""),"Putu Gde Ariastita, S.T., M.T.")</f>
        <v>Putu Gde Ariastita, S.T., M.T.</v>
      </c>
      <c r="I54" s="16" t="str">
        <f ca="1">IFERROR(__xludf.DUMMYFUNCTION("""COMPUTED_VALUE"""),"Nova Maulidina Ashuri, S.Si., M.Si.")</f>
        <v>Nova Maulidina Ashuri, S.Si., M.Si.</v>
      </c>
      <c r="J54" s="16"/>
      <c r="K54" s="86" t="s">
        <v>1027</v>
      </c>
      <c r="L54" s="18" t="s">
        <v>1033</v>
      </c>
      <c r="M54" s="19" t="b">
        <v>1</v>
      </c>
      <c r="N54" s="19" t="b">
        <v>0</v>
      </c>
      <c r="O54" s="1" t="s">
        <v>1032</v>
      </c>
      <c r="P54" s="7" t="str">
        <f ca="1">IFERROR(__xludf.DUMMYFUNCTION("iferror(vlookup(B54,importrange(""https://docs.google.com/spreadsheets/d/1boHyJQ4e2FU0QG8MHwEi6qjX4hvZWVCHcFfXjq7bbMc/edit?resourcekey#gid=923248883"",""Prop!$C$1:$M""),12,0),IFERROR(vlookup(B54,importrange(""https://docs.google.com/spreadsheets/d/1boHyJQ"&amp;"4e2FU0QG8MHwEi6qjX4hvZWVCHcFfXjq7bbMc/edit?resourcekey#gid=923248883"",""Prop!$N$1:$X""),11,0),iferror(vlookup(B54,importrange(""https://docs.google.com/spreadsheets/d/1boHyJQ4e2FU0QG8MHwEi6qjX4hvZWVCHcFfXjq7bbMc/edit?resourcekey#gid=923248883"",""Prop!$Y"&amp;"$1:$AI""),11,0),iferror(vlookup(B54,importrange(""https://docs.google.com/spreadsheets/d/1boHyJQ4e2FU0QG8MHwEi6qjX4hvZWVCHcFfXjq7bbMc/edit?resourcekey#gid=923248883"",""Prop!$AJ$1:$AT""),11,0),iferror(vlookup(B54,importrange(""https://docs.google.com/spre"&amp;"adsheets/d/1boHyJQ4e2FU0QG8MHwEi6qjX4hvZWVCHcFfXjq7bbMc/edit?resourcekey#gid=923248883"",""Prop!$AU$1:$BE""),11,0),iferror(vlookup(B54,importrange(""https://docs.google.com/spreadsheets/d/1boHyJQ4e2FU0QG8MHwEi6qjX4hvZWVCHcFfXjq7bbMc/edit?resourcekey#gid=9"&amp;"23248883"",""Prop!$BF$1:$BP""),11,0),iferror(vlookup(B54,importrange(""https://docs.google.com/spreadsheets/d/1boHyJQ4e2FU0QG8MHwEi6qjX4hvZWVCHcFfXjq7bbMc/edit?resourcekey#gid=923248883"",""Prop!$BQ$1:$CA""),11,0),iferror(vlookup(B54,importrange(""https:/"&amp;"/docs.google.com/spreadsheets/d/1boHyJQ4e2FU0QG8MHwEi6qjX4hvZWVCHcFfXjq7bbMc/edit?resourcekey#gid=923248883"",""Prop!$CB$1:$CL""),11,0),iferror(vlookup(B54,importrange(""https://docs.google.com/spreadsheets/d/1boHyJQ4e2FU0QG8MHwEi6qjX4hvZWVCHcFfXjq7bbMc/e"&amp;"dit?resourcekey#gid=923248883"",""Prop!$CM$1:$CX""),12,0),iferror(vlookup(B54,importrange(""https://docs.google.com/spreadsheets/d/1boHyJQ4e2FU0QG8MHwEi6qjX4hvZWVCHcFfXjq7bbMc/edit?resourcekey#gid=923248883"",""Prop!$CV$1:$DI""),11,0)))))))))))"),"https://drive.google.com/open?id=1n7WPniC_XVOcKuanKTjT8FHP3nqu7Gp4")</f>
        <v>https://drive.google.com/open?id=1n7WPniC_XVOcKuanKTjT8FHP3nqu7Gp4</v>
      </c>
      <c r="Q54" s="7" t="str">
        <f ca="1">IFERROR(__xludf.DUMMYFUNCTION("iferror(vlookup(B54,importrange(""https://docs.google.com/spreadsheets/d/1p53T2AuvvIqhP7Nf-bo3Uhj8cbKYRPpZdsrBv3x3bAQ/edit?resourcekey#gid=1321652304"",""Prop!$C$1:$M""),11,0),IFERROR(vlookup(B54,importrange(""https://docs.google.com/spreadsheets/d/1p53T2"&amp;"AuvvIqhP7Nf-bo3Uhj8cbKYRPpZdsrBv3x3bAQ/edit?resourcekey#gid=1321652304"",""Prop!$N$1:$X""),11,0),iferror(vlookup(B54,importrange(""https://docs.google.com/spreadsheets/d/1p53T2AuvvIqhP7Nf-bo3Uhj8cbKYRPpZdsrBv3x3bAQ/edit?resourcekey#gid=1321652304"",""Prop"&amp;"!$Y$1:$AI""),11,0),iferror(vlookup(B54,importrange(""https://docs.google.com/spreadsheets/d/1p53T2AuvvIqhP7Nf-bo3Uhj8cbKYRPpZdsrBv3x3bAQ/edit?resourcekey#gid=1321652304"",""Prop!$AJ$1:$AT""),11,0),iferror(vlookup(B54,importrange(""https://docs.google.com/"&amp;"spreadsheets/d/1p53T2AuvvIqhP7Nf-bo3Uhj8cbKYRPpZdsrBv3x3bAQ/edit?resourcekey#gid=1321652304"",""Prop!$AU$1:$BE""),11,0),iferror(vlookup(B54,importrange(""https://docs.google.com/spreadsheets/d/1p53T2AuvvIqhP7Nf-bo3Uhj8cbKYRPpZdsrBv3x3bAQ/edit?resourcekey#"&amp;"gid=1321652304"",""Prop!$BF$1:$BP""),11,0),iferror(vlookup(B54,importrange(""https://docs.google.com/spreadsheets/d/1p53T2AuvvIqhP7Nf-bo3Uhj8cbKYRPpZdsrBv3x3bAQ/edit?resourcekey#gid=1321652304"",""Prop!$BQ$1:$CA""),11,0),iferror(vlookup(B54,importrange("""&amp;"https://docs.google.com/spreadsheets/d/1p53T2AuvvIqhP7Nf-bo3Uhj8cbKYRPpZdsrBv3x3bAQ/edit?resourcekey#gid=1321652304"",""Prop!$CB$1:$CL""),11,0),iferror(vlookup(B54,importrange(""https://docs.google.com/spreadsheets/d/1p53T2AuvvIqhP7Nf-bo3Uhj8cbKYRPpZdsrBv"&amp;"3x3bAQ/edit?resourcekey#gid=1321652304"",""Prop!$CM$1:$CX""),12,0),iferror(vlookup(B54,importrange(""https://docs.google.com/spreadsheets/d/1p53T2AuvvIqhP7Nf-bo3Uhj8cbKYRPpZdsrBv3x3bAQ/edit?resourcekey#gid=1321652304"",""Prop!$CY$1:$DI""),11,0)))))))))))"),"https://drive.google.com/open?id=1tM8qPA5BMUQNBP-95tsVpGarZmc7RGTA")</f>
        <v>https://drive.google.com/open?id=1tM8qPA5BMUQNBP-95tsVpGarZmc7RGTA</v>
      </c>
      <c r="R54" s="20" t="s">
        <v>998</v>
      </c>
      <c r="S54" s="20" t="str">
        <f ca="1">IFERROR(__xludf.DUMMYFUNCTION("IFERROR(vlookup(B54,IMPORTRANGE(""https://docs.google.com/spreadsheets/d/1g_jfYYK_KeipEDNDUgqgrsxK94XiocfNQIcP-v1QVhI/edit?resourcekey#gid=233272945"",""Nilai!B:CT""),37,0),"" "")"),"sitasi gambar 1.1
teknologinya sudah bagus, tetapi penjelasan teknologi tersebut sebagai pengganti teknologi yang sebelumnya serta keunggulannya masih belum tergambar jelas, kenapa sih kita harus menggunakan teknologi ini dibandingkan yang sudah ada.")</f>
        <v>sitasi gambar 1.1
teknologinya sudah bagus, tetapi penjelasan teknologi tersebut sebagai pengganti teknologi yang sebelumnya serta keunggulannya masih belum tergambar jelas, kenapa sih kita harus menggunakan teknologi ini dibandingkan yang sudah ada.</v>
      </c>
      <c r="T54" s="20" t="str">
        <f ca="1">IFERROR(__xludf.DUMMYFUNCTION("IFERROR(vlookup(B54,IMPORTRANGE(""https://docs.google.com/spreadsheets/d/1g_jfYYK_KeipEDNDUgqgrsxK94XiocfNQIcP-v1QVhI/edit?resourcekey#gid=233272945"",""Nilai!B:CT""),97,0),"" "")"),"LAYAK UPLOAD KE SIMBELMAWA DENGAN REVISI")</f>
        <v>LAYAK UPLOAD KE SIMBELMAWA DENGAN REVISI</v>
      </c>
      <c r="U54" s="39" t="s">
        <v>831</v>
      </c>
      <c r="V54" s="38" t="s">
        <v>999</v>
      </c>
      <c r="W54" s="18" t="s">
        <v>1034</v>
      </c>
      <c r="X54" s="22" t="b">
        <v>0</v>
      </c>
    </row>
    <row r="55" spans="1:24" ht="234.6">
      <c r="A55" s="15">
        <v>53</v>
      </c>
      <c r="B55" s="15">
        <f ca="1">IFERROR(__xludf.DUMMYFUNCTION("""COMPUTED_VALUE"""),2420)</f>
        <v>2420</v>
      </c>
      <c r="C55" s="16" t="str">
        <f ca="1">IFERROR(__xludf.DUMMYFUNCTION("""COMPUTED_VALUE"""),"ASTRI MULIA")</f>
        <v>ASTRI MULIA</v>
      </c>
      <c r="D55" s="16" t="str">
        <f ca="1">IFERROR(__xludf.DUMMYFUNCTION("""COMPUTED_VALUE"""),"5013201019")</f>
        <v>5013201019</v>
      </c>
      <c r="E55" s="16" t="str">
        <f ca="1">IFERROR(__xludf.DUMMYFUNCTION("""COMPUTED_VALUE"""),"Departemen Arsitektur")</f>
        <v>Departemen Arsitektur</v>
      </c>
      <c r="F55" s="16" t="str">
        <f ca="1">IFERROR(__xludf.DUMMYFUNCTION("""COMPUTED_VALUE"""),"Konsep  Kawasan Ruang Terbuka Hijau sebagai Titik Kumpul Pasca Bencana di IKN dengan Pendekatan Building Structure dan Material")</f>
        <v>Konsep  Kawasan Ruang Terbuka Hijau sebagai Titik Kumpul Pasca Bencana di IKN dengan Pendekatan Building Structure dan Material</v>
      </c>
      <c r="G55" s="16" t="str">
        <f ca="1">IFERROR(__xludf.DUMMYFUNCTION("""COMPUTED_VALUE"""),"Dr. Arina Hayati, S.T., M.T.")</f>
        <v>Dr. Arina Hayati, S.T., M.T.</v>
      </c>
      <c r="H55" s="16" t="str">
        <f ca="1">IFERROR(__xludf.DUMMYFUNCTION("""COMPUTED_VALUE"""),"Izzat Aulia Akbar, S.Kom., M.Eng., Ph.D.")</f>
        <v>Izzat Aulia Akbar, S.Kom., M.Eng., Ph.D.</v>
      </c>
      <c r="I55" s="16" t="str">
        <f ca="1">IFERROR(__xludf.DUMMYFUNCTION("""COMPUTED_VALUE"""),"Dr.-Ing. Doty Dewi Risanti, S.T., M.T.")</f>
        <v>Dr.-Ing. Doty Dewi Risanti, S.T., M.T.</v>
      </c>
      <c r="J55" s="16"/>
      <c r="K55" s="86" t="s">
        <v>1027</v>
      </c>
      <c r="L55" s="18" t="s">
        <v>1033</v>
      </c>
      <c r="M55" s="19" t="b">
        <v>1</v>
      </c>
      <c r="N55" s="19" t="b">
        <v>0</v>
      </c>
      <c r="O55" s="1" t="s">
        <v>1032</v>
      </c>
      <c r="P55" s="7" t="str">
        <f ca="1">IFERROR(__xludf.DUMMYFUNCTION("iferror(vlookup(B55,importrange(""https://docs.google.com/spreadsheets/d/1boHyJQ4e2FU0QG8MHwEi6qjX4hvZWVCHcFfXjq7bbMc/edit?resourcekey#gid=923248883"",""Prop!$C$1:$M""),12,0),IFERROR(vlookup(B55,importrange(""https://docs.google.com/spreadsheets/d/1boHyJQ"&amp;"4e2FU0QG8MHwEi6qjX4hvZWVCHcFfXjq7bbMc/edit?resourcekey#gid=923248883"",""Prop!$N$1:$X""),11,0),iferror(vlookup(B55,importrange(""https://docs.google.com/spreadsheets/d/1boHyJQ4e2FU0QG8MHwEi6qjX4hvZWVCHcFfXjq7bbMc/edit?resourcekey#gid=923248883"",""Prop!$Y"&amp;"$1:$AI""),11,0),iferror(vlookup(B55,importrange(""https://docs.google.com/spreadsheets/d/1boHyJQ4e2FU0QG8MHwEi6qjX4hvZWVCHcFfXjq7bbMc/edit?resourcekey#gid=923248883"",""Prop!$AJ$1:$AT""),11,0),iferror(vlookup(B55,importrange(""https://docs.google.com/spre"&amp;"adsheets/d/1boHyJQ4e2FU0QG8MHwEi6qjX4hvZWVCHcFfXjq7bbMc/edit?resourcekey#gid=923248883"",""Prop!$AU$1:$BE""),11,0),iferror(vlookup(B55,importrange(""https://docs.google.com/spreadsheets/d/1boHyJQ4e2FU0QG8MHwEi6qjX4hvZWVCHcFfXjq7bbMc/edit?resourcekey#gid=9"&amp;"23248883"",""Prop!$BF$1:$BP""),11,0),iferror(vlookup(B55,importrange(""https://docs.google.com/spreadsheets/d/1boHyJQ4e2FU0QG8MHwEi6qjX4hvZWVCHcFfXjq7bbMc/edit?resourcekey#gid=923248883"",""Prop!$BQ$1:$CA""),11,0),iferror(vlookup(B55,importrange(""https:/"&amp;"/docs.google.com/spreadsheets/d/1boHyJQ4e2FU0QG8MHwEi6qjX4hvZWVCHcFfXjq7bbMc/edit?resourcekey#gid=923248883"",""Prop!$CB$1:$CL""),11,0),iferror(vlookup(B55,importrange(""https://docs.google.com/spreadsheets/d/1boHyJQ4e2FU0QG8MHwEi6qjX4hvZWVCHcFfXjq7bbMc/e"&amp;"dit?resourcekey#gid=923248883"",""Prop!$CM$1:$CX""),12,0),iferror(vlookup(B55,importrange(""https://docs.google.com/spreadsheets/d/1boHyJQ4e2FU0QG8MHwEi6qjX4hvZWVCHcFfXjq7bbMc/edit?resourcekey#gid=923248883"",""Prop!$CV$1:$DI""),11,0)))))))))))"),"https://drive.google.com/open?id=1iqQvej0e_qxb9K-qngGYDMewfSm1MhF2")</f>
        <v>https://drive.google.com/open?id=1iqQvej0e_qxb9K-qngGYDMewfSm1MhF2</v>
      </c>
      <c r="Q55" s="7" t="str">
        <f ca="1">IFERROR(__xludf.DUMMYFUNCTION("iferror(vlookup(B55,importrange(""https://docs.google.com/spreadsheets/d/1p53T2AuvvIqhP7Nf-bo3Uhj8cbKYRPpZdsrBv3x3bAQ/edit?resourcekey#gid=1321652304"",""Prop!$C$1:$M""),11,0),IFERROR(vlookup(B55,importrange(""https://docs.google.com/spreadsheets/d/1p53T2"&amp;"AuvvIqhP7Nf-bo3Uhj8cbKYRPpZdsrBv3x3bAQ/edit?resourcekey#gid=1321652304"",""Prop!$N$1:$X""),11,0),iferror(vlookup(B55,importrange(""https://docs.google.com/spreadsheets/d/1p53T2AuvvIqhP7Nf-bo3Uhj8cbKYRPpZdsrBv3x3bAQ/edit?resourcekey#gid=1321652304"",""Prop"&amp;"!$Y$1:$AI""),11,0),iferror(vlookup(B55,importrange(""https://docs.google.com/spreadsheets/d/1p53T2AuvvIqhP7Nf-bo3Uhj8cbKYRPpZdsrBv3x3bAQ/edit?resourcekey#gid=1321652304"",""Prop!$AJ$1:$AT""),11,0),iferror(vlookup(B55,importrange(""https://docs.google.com/"&amp;"spreadsheets/d/1p53T2AuvvIqhP7Nf-bo3Uhj8cbKYRPpZdsrBv3x3bAQ/edit?resourcekey#gid=1321652304"",""Prop!$AU$1:$BE""),11,0),iferror(vlookup(B55,importrange(""https://docs.google.com/spreadsheets/d/1p53T2AuvvIqhP7Nf-bo3Uhj8cbKYRPpZdsrBv3x3bAQ/edit?resourcekey#"&amp;"gid=1321652304"",""Prop!$BF$1:$BP""),11,0),iferror(vlookup(B55,importrange(""https://docs.google.com/spreadsheets/d/1p53T2AuvvIqhP7Nf-bo3Uhj8cbKYRPpZdsrBv3x3bAQ/edit?resourcekey#gid=1321652304"",""Prop!$BQ$1:$CA""),11,0),iferror(vlookup(B55,importrange("""&amp;"https://docs.google.com/spreadsheets/d/1p53T2AuvvIqhP7Nf-bo3Uhj8cbKYRPpZdsrBv3x3bAQ/edit?resourcekey#gid=1321652304"",""Prop!$CB$1:$CL""),11,0),iferror(vlookup(B55,importrange(""https://docs.google.com/spreadsheets/d/1p53T2AuvvIqhP7Nf-bo3Uhj8cbKYRPpZdsrBv"&amp;"3x3bAQ/edit?resourcekey#gid=1321652304"",""Prop!$CM$1:$CX""),12,0),iferror(vlookup(B55,importrange(""https://docs.google.com/spreadsheets/d/1p53T2AuvvIqhP7Nf-bo3Uhj8cbKYRPpZdsrBv3x3bAQ/edit?resourcekey#gid=1321652304"",""Prop!$CY$1:$DI""),11,0)))))))))))"),"https://drive.google.com/open?id=1suxlaGjaPXj-G4FdLdjjPE3j8TClUTZY")</f>
        <v>https://drive.google.com/open?id=1suxlaGjaPXj-G4FdLdjjPE3j8TClUTZY</v>
      </c>
      <c r="R55" s="20" t="s">
        <v>998</v>
      </c>
      <c r="S55" s="20" t="str">
        <f ca="1">IFERROR(__xludf.DUMMYFUNCTION("IFERROR(vlookup(B55,IMPORTRANGE(""https://docs.google.com/spreadsheets/d/1g_jfYYK_KeipEDNDUgqgrsxK94XiocfNQIcP-v1QVhI/edit?resourcekey#gid=233272945"",""Nilai!B:CT""),37,0),"" "")"),"gambar 1 cari gambar yang jelas, kalau tidak ada bisa kalian buat ulang, 
penulisan tabel dibuat seperti format laporan yang baik, hanya garis atas bawah, 
banyak sekali typo, misal tabel menjadi table, 
perbaiki kalimat awal paragraf latar belakang. 
pem"&amp;"ilihan pulau kalimantan khususnya kalimantan timur masih kurang tergambar dalam latar belakang. 
gempa -&gt; berau. banjir -&gt; berau &amp;kutai timur. tabel IRB Panajam Paser Utara &amp; kutai kertanegara?
*Sehingga jika* dari NRB, lokasi IKN baru Kabupaten Kutai Kar"&amp;"tanegara *cocok dijadikan tempat kumpul* dan evakuasi masyarakat terdampak bencana alam -&gt; alasan masih kurang, pemilihan kata kurang
teknologi kurang terlihat
kurang futuristik
langkah2 pengimplemantasian juga kurang dari 10 tahun")</f>
        <v>gambar 1 cari gambar yang jelas, kalau tidak ada bisa kalian buat ulang, 
penulisan tabel dibuat seperti format laporan yang baik, hanya garis atas bawah, 
banyak sekali typo, misal tabel menjadi table, 
perbaiki kalimat awal paragraf latar belakang. 
pemilihan pulau kalimantan khususnya kalimantan timur masih kurang tergambar dalam latar belakang. 
gempa -&gt; berau. banjir -&gt; berau &amp;kutai timur. tabel IRB Panajam Paser Utara &amp; kutai kertanegara?
*Sehingga jika* dari NRB, lokasi IKN baru Kabupaten Kutai Kartanegara *cocok dijadikan tempat kumpul* dan evakuasi masyarakat terdampak bencana alam -&gt; alasan masih kurang, pemilihan kata kurang
teknologi kurang terlihat
kurang futuristik
langkah2 pengimplemantasian juga kurang dari 10 tahun</v>
      </c>
      <c r="T55" s="20" t="str">
        <f ca="1">IFERROR(__xludf.DUMMYFUNCTION("IFERROR(vlookup(B55,IMPORTRANGE(""https://docs.google.com/spreadsheets/d/1g_jfYYK_KeipEDNDUgqgrsxK94XiocfNQIcP-v1QVhI/edit?resourcekey#gid=233272945"",""Nilai!B:CT""),97,0),"" "")"),"TIDAK LAYAK UPLOAD KE SIMBELMAWA")</f>
        <v>TIDAK LAYAK UPLOAD KE SIMBELMAWA</v>
      </c>
      <c r="U55" s="39" t="s">
        <v>831</v>
      </c>
      <c r="V55" s="38" t="s">
        <v>999</v>
      </c>
      <c r="W55" s="18" t="s">
        <v>1034</v>
      </c>
      <c r="X55" s="22" t="b">
        <v>0</v>
      </c>
    </row>
    <row r="56" spans="1:24" ht="57.6">
      <c r="A56" s="15">
        <v>54</v>
      </c>
      <c r="B56" s="15">
        <f ca="1">IFERROR(__xludf.DUMMYFUNCTION("""COMPUTED_VALUE"""),3338)</f>
        <v>3338</v>
      </c>
      <c r="C56" s="16" t="str">
        <f ca="1">IFERROR(__xludf.DUMMYFUNCTION("""COMPUTED_VALUE"""),"MARIFA NISA AZZAHRO")</f>
        <v>MARIFA NISA AZZAHRO</v>
      </c>
      <c r="D56" s="16" t="str">
        <f ca="1">IFERROR(__xludf.DUMMYFUNCTION("""COMPUTED_VALUE"""),"5005211057")</f>
        <v>5005211057</v>
      </c>
      <c r="E56" s="16" t="str">
        <f ca="1">IFERROR(__xludf.DUMMYFUNCTION("""COMPUTED_VALUE"""),"Departemen Biologi")</f>
        <v>Departemen Biologi</v>
      </c>
      <c r="F56" s="16" t="str">
        <f ca="1">IFERROR(__xludf.DUMMYFUNCTION("""COMPUTED_VALUE"""),"Pemanfaatan Kitosan sebagai Bahan Dasar Obat Kapsul")</f>
        <v>Pemanfaatan Kitosan sebagai Bahan Dasar Obat Kapsul</v>
      </c>
      <c r="G56" s="16" t="str">
        <f ca="1">IFERROR(__xludf.DUMMYFUNCTION("""COMPUTED_VALUE"""),"Nova Maulidina Ashuri, S.Si., M.Si.")</f>
        <v>Nova Maulidina Ashuri, S.Si., M.Si.</v>
      </c>
      <c r="H56" s="16" t="str">
        <f ca="1">IFERROR(__xludf.DUMMYFUNCTION("""COMPUTED_VALUE"""),"Dyah Sawitri, S.T., M.T.")</f>
        <v>Dyah Sawitri, S.T., M.T.</v>
      </c>
      <c r="I56" s="16" t="str">
        <f ca="1">IFERROR(__xludf.DUMMYFUNCTION("""COMPUTED_VALUE"""),"Rindi Kusumawardani, S.Si., M.Sc.")</f>
        <v>Rindi Kusumawardani, S.Si., M.Sc.</v>
      </c>
      <c r="J56" s="16"/>
      <c r="K56" s="86" t="s">
        <v>1027</v>
      </c>
      <c r="L56" s="18" t="s">
        <v>1033</v>
      </c>
      <c r="M56" s="19" t="b">
        <v>0</v>
      </c>
      <c r="N56" s="19" t="b">
        <v>0</v>
      </c>
      <c r="O56" s="1" t="s">
        <v>1032</v>
      </c>
      <c r="P56" s="1" t="str">
        <f ca="1">IFERROR(__xludf.DUMMYFUNCTION("iferror(vlookup(B56,importrange(""https://docs.google.com/spreadsheets/d/1boHyJQ4e2FU0QG8MHwEi6qjX4hvZWVCHcFfXjq7bbMc/edit?resourcekey#gid=923248883"",""Prop!$C$1:$M""),12,0),IFERROR(vlookup(B56,importrange(""https://docs.google.com/spreadsheets/d/1boHyJQ"&amp;"4e2FU0QG8MHwEi6qjX4hvZWVCHcFfXjq7bbMc/edit?resourcekey#gid=923248883"",""Prop!$N$1:$X""),11,0),iferror(vlookup(B56,importrange(""https://docs.google.com/spreadsheets/d/1boHyJQ4e2FU0QG8MHwEi6qjX4hvZWVCHcFfXjq7bbMc/edit?resourcekey#gid=923248883"",""Prop!$Y"&amp;"$1:$AI""),11,0),iferror(vlookup(B56,importrange(""https://docs.google.com/spreadsheets/d/1boHyJQ4e2FU0QG8MHwEi6qjX4hvZWVCHcFfXjq7bbMc/edit?resourcekey#gid=923248883"",""Prop!$AJ$1:$AT""),11,0),iferror(vlookup(B56,importrange(""https://docs.google.com/spre"&amp;"adsheets/d/1boHyJQ4e2FU0QG8MHwEi6qjX4hvZWVCHcFfXjq7bbMc/edit?resourcekey#gid=923248883"",""Prop!$AU$1:$BE""),11,0),iferror(vlookup(B56,importrange(""https://docs.google.com/spreadsheets/d/1boHyJQ4e2FU0QG8MHwEi6qjX4hvZWVCHcFfXjq7bbMc/edit?resourcekey#gid=9"&amp;"23248883"",""Prop!$BF$1:$BP""),11,0),iferror(vlookup(B56,importrange(""https://docs.google.com/spreadsheets/d/1boHyJQ4e2FU0QG8MHwEi6qjX4hvZWVCHcFfXjq7bbMc/edit?resourcekey#gid=923248883"",""Prop!$BQ$1:$CA""),11,0),iferror(vlookup(B56,importrange(""https:/"&amp;"/docs.google.com/spreadsheets/d/1boHyJQ4e2FU0QG8MHwEi6qjX4hvZWVCHcFfXjq7bbMc/edit?resourcekey#gid=923248883"",""Prop!$CB$1:$CL""),11,0),iferror(vlookup(B56,importrange(""https://docs.google.com/spreadsheets/d/1boHyJQ4e2FU0QG8MHwEi6qjX4hvZWVCHcFfXjq7bbMc/e"&amp;"dit?resourcekey#gid=923248883"",""Prop!$CM$1:$CX""),12,0),iferror(vlookup(B56,importrange(""https://docs.google.com/spreadsheets/d/1boHyJQ4e2FU0QG8MHwEi6qjX4hvZWVCHcFfXjq7bbMc/edit?resourcekey#gid=923248883"",""Prop!$CV$1:$DI""),11,0)))))))))))"),"")</f>
        <v/>
      </c>
      <c r="Q56" s="7" t="str">
        <f ca="1">IFERROR(__xludf.DUMMYFUNCTION("iferror(vlookup(B56,importrange(""https://docs.google.com/spreadsheets/d/1p53T2AuvvIqhP7Nf-bo3Uhj8cbKYRPpZdsrBv3x3bAQ/edit?resourcekey#gid=1321652304"",""Prop!$C$1:$M""),11,0),IFERROR(vlookup(B56,importrange(""https://docs.google.com/spreadsheets/d/1p53T2"&amp;"AuvvIqhP7Nf-bo3Uhj8cbKYRPpZdsrBv3x3bAQ/edit?resourcekey#gid=1321652304"",""Prop!$N$1:$X""),11,0),iferror(vlookup(B56,importrange(""https://docs.google.com/spreadsheets/d/1p53T2AuvvIqhP7Nf-bo3Uhj8cbKYRPpZdsrBv3x3bAQ/edit?resourcekey#gid=1321652304"",""Prop"&amp;"!$Y$1:$AI""),11,0),iferror(vlookup(B56,importrange(""https://docs.google.com/spreadsheets/d/1p53T2AuvvIqhP7Nf-bo3Uhj8cbKYRPpZdsrBv3x3bAQ/edit?resourcekey#gid=1321652304"",""Prop!$AJ$1:$AT""),11,0),iferror(vlookup(B56,importrange(""https://docs.google.com/"&amp;"spreadsheets/d/1p53T2AuvvIqhP7Nf-bo3Uhj8cbKYRPpZdsrBv3x3bAQ/edit?resourcekey#gid=1321652304"",""Prop!$AU$1:$BE""),11,0),iferror(vlookup(B56,importrange(""https://docs.google.com/spreadsheets/d/1p53T2AuvvIqhP7Nf-bo3Uhj8cbKYRPpZdsrBv3x3bAQ/edit?resourcekey#"&amp;"gid=1321652304"",""Prop!$BF$1:$BP""),11,0),iferror(vlookup(B56,importrange(""https://docs.google.com/spreadsheets/d/1p53T2AuvvIqhP7Nf-bo3Uhj8cbKYRPpZdsrBv3x3bAQ/edit?resourcekey#gid=1321652304"",""Prop!$BQ$1:$CA""),11,0),iferror(vlookup(B56,importrange("""&amp;"https://docs.google.com/spreadsheets/d/1p53T2AuvvIqhP7Nf-bo3Uhj8cbKYRPpZdsrBv3x3bAQ/edit?resourcekey#gid=1321652304"",""Prop!$CB$1:$CL""),11,0),iferror(vlookup(B56,importrange(""https://docs.google.com/spreadsheets/d/1p53T2AuvvIqhP7Nf-bo3Uhj8cbKYRPpZdsrBv"&amp;"3x3bAQ/edit?resourcekey#gid=1321652304"",""Prop!$CM$1:$CX""),12,0),iferror(vlookup(B56,importrange(""https://docs.google.com/spreadsheets/d/1p53T2AuvvIqhP7Nf-bo3Uhj8cbKYRPpZdsrBv3x3bAQ/edit?resourcekey#gid=1321652304"",""Prop!$CY$1:$DI""),11,0)))))))))))"),"https://drive.google.com/open?id=1RJhZSMvojNxHr3r4kMdSXqOl_eIiwzlB")</f>
        <v>https://drive.google.com/open?id=1RJhZSMvojNxHr3r4kMdSXqOl_eIiwzlB</v>
      </c>
      <c r="R56" s="20" t="s">
        <v>998</v>
      </c>
      <c r="S56" s="20" t="str">
        <f ca="1">IFERROR(__xludf.DUMMYFUNCTION("IFERROR(vlookup(B56,IMPORTRANGE(""https://docs.google.com/spreadsheets/d/1g_jfYYK_KeipEDNDUgqgrsxK94XiocfNQIcP-v1QVhI/edit?resourcekey#gid=233272945"",""Nilai!B:CT""),37,0),"" "")"),"proposal yang disubmit merupakan proposal RE yang sangat jelas isi proposal berbeda dengan proposal GFT")</f>
        <v>proposal yang disubmit merupakan proposal RE yang sangat jelas isi proposal berbeda dengan proposal GFT</v>
      </c>
      <c r="T56" s="20" t="str">
        <f ca="1">IFERROR(__xludf.DUMMYFUNCTION("IFERROR(vlookup(B56,IMPORTRANGE(""https://docs.google.com/spreadsheets/d/1g_jfYYK_KeipEDNDUgqgrsxK94XiocfNQIcP-v1QVhI/edit?resourcekey#gid=233272945"",""Nilai!B:CT""),97,0),"" "")"),"TIDAK LAYAK UPLOAD KE SIMBELMAWA")</f>
        <v>TIDAK LAYAK UPLOAD KE SIMBELMAWA</v>
      </c>
      <c r="U56" s="39" t="s">
        <v>831</v>
      </c>
      <c r="V56" s="38" t="s">
        <v>999</v>
      </c>
      <c r="W56" s="18" t="s">
        <v>1034</v>
      </c>
      <c r="X56" s="22" t="b">
        <v>0</v>
      </c>
    </row>
    <row r="57" spans="1:24" ht="72">
      <c r="A57" s="15">
        <v>55</v>
      </c>
      <c r="B57" s="15">
        <f ca="1">IFERROR(__xludf.DUMMYFUNCTION("""COMPUTED_VALUE"""),3051)</f>
        <v>3051</v>
      </c>
      <c r="C57" s="16" t="str">
        <f ca="1">IFERROR(__xludf.DUMMYFUNCTION("""COMPUTED_VALUE"""),"ARRAFI SYIFA MUKHTAFAQ")</f>
        <v>ARRAFI SYIFA MUKHTAFAQ</v>
      </c>
      <c r="D57" s="16" t="str">
        <f ca="1">IFERROR(__xludf.DUMMYFUNCTION("""COMPUTED_VALUE"""),"5022201223")</f>
        <v>5022201223</v>
      </c>
      <c r="E57" s="16" t="str">
        <f ca="1">IFERROR(__xludf.DUMMYFUNCTION("""COMPUTED_VALUE"""),"Departemen Teknik Elektro")</f>
        <v>Departemen Teknik Elektro</v>
      </c>
      <c r="F57" s="16" t="str">
        <f ca="1">IFERROR(__xludf.DUMMYFUNCTION("""COMPUTED_VALUE"""),"Sistem Charging Station Terintegrasi Perahu Nelayan Bertenaga Listrik Berbasis 5G Smart Controller guna Mencapai Indonesia Zero Net Carbon 2050")</f>
        <v>Sistem Charging Station Terintegrasi Perahu Nelayan Bertenaga Listrik Berbasis 5G Smart Controller guna Mencapai Indonesia Zero Net Carbon 2050</v>
      </c>
      <c r="G57" s="16" t="str">
        <f ca="1">IFERROR(__xludf.DUMMYFUNCTION("""COMPUTED_VALUE"""),"Dr. Dimas Fajar Uman Putra, S.T., M.T.")</f>
        <v>Dr. Dimas Fajar Uman Putra, S.T., M.T.</v>
      </c>
      <c r="H57" s="16" t="str">
        <f ca="1">IFERROR(__xludf.DUMMYFUNCTION("""COMPUTED_VALUE"""),"Prof. Ir. Aguk Zuhdi Muhammad Fathallah, M.Eng., Ph.D.")</f>
        <v>Prof. Ir. Aguk Zuhdi Muhammad Fathallah, M.Eng., Ph.D.</v>
      </c>
      <c r="I57" s="16" t="str">
        <f ca="1">IFERROR(__xludf.DUMMYFUNCTION("""COMPUTED_VALUE"""),"Ahmad Fauzan Adziimaa, S.T., M.Sc.")</f>
        <v>Ahmad Fauzan Adziimaa, S.T., M.Sc.</v>
      </c>
      <c r="J57" s="16"/>
      <c r="K57" s="86" t="s">
        <v>1027</v>
      </c>
      <c r="L57" s="18" t="s">
        <v>1030</v>
      </c>
      <c r="M57" s="19" t="b">
        <v>1</v>
      </c>
      <c r="N57" s="19" t="b">
        <v>0</v>
      </c>
      <c r="O57" s="1" t="s">
        <v>1032</v>
      </c>
      <c r="P57" s="7" t="str">
        <f ca="1">IFERROR(__xludf.DUMMYFUNCTION("iferror(vlookup(B57,importrange(""https://docs.google.com/spreadsheets/d/1boHyJQ4e2FU0QG8MHwEi6qjX4hvZWVCHcFfXjq7bbMc/edit?resourcekey#gid=923248883"",""Prop!$C$1:$M""),12,0),IFERROR(vlookup(B57,importrange(""https://docs.google.com/spreadsheets/d/1boHyJQ"&amp;"4e2FU0QG8MHwEi6qjX4hvZWVCHcFfXjq7bbMc/edit?resourcekey#gid=923248883"",""Prop!$N$1:$X""),11,0),iferror(vlookup(B57,importrange(""https://docs.google.com/spreadsheets/d/1boHyJQ4e2FU0QG8MHwEi6qjX4hvZWVCHcFfXjq7bbMc/edit?resourcekey#gid=923248883"",""Prop!$Y"&amp;"$1:$AI""),11,0),iferror(vlookup(B57,importrange(""https://docs.google.com/spreadsheets/d/1boHyJQ4e2FU0QG8MHwEi6qjX4hvZWVCHcFfXjq7bbMc/edit?resourcekey#gid=923248883"",""Prop!$AJ$1:$AT""),11,0),iferror(vlookup(B57,importrange(""https://docs.google.com/spre"&amp;"adsheets/d/1boHyJQ4e2FU0QG8MHwEi6qjX4hvZWVCHcFfXjq7bbMc/edit?resourcekey#gid=923248883"",""Prop!$AU$1:$BE""),11,0),iferror(vlookup(B57,importrange(""https://docs.google.com/spreadsheets/d/1boHyJQ4e2FU0QG8MHwEi6qjX4hvZWVCHcFfXjq7bbMc/edit?resourcekey#gid=9"&amp;"23248883"",""Prop!$BF$1:$BP""),11,0),iferror(vlookup(B57,importrange(""https://docs.google.com/spreadsheets/d/1boHyJQ4e2FU0QG8MHwEi6qjX4hvZWVCHcFfXjq7bbMc/edit?resourcekey#gid=923248883"",""Prop!$BQ$1:$CA""),11,0),iferror(vlookup(B57,importrange(""https:/"&amp;"/docs.google.com/spreadsheets/d/1boHyJQ4e2FU0QG8MHwEi6qjX4hvZWVCHcFfXjq7bbMc/edit?resourcekey#gid=923248883"",""Prop!$CB$1:$CL""),11,0),iferror(vlookup(B57,importrange(""https://docs.google.com/spreadsheets/d/1boHyJQ4e2FU0QG8MHwEi6qjX4hvZWVCHcFfXjq7bbMc/e"&amp;"dit?resourcekey#gid=923248883"",""Prop!$CM$1:$CX""),12,0),iferror(vlookup(B57,importrange(""https://docs.google.com/spreadsheets/d/1boHyJQ4e2FU0QG8MHwEi6qjX4hvZWVCHcFfXjq7bbMc/edit?resourcekey#gid=923248883"",""Prop!$CV$1:$DI""),11,0)))))))))))"),"https://drive.google.com/open?id=10_PijSQvoc-dUpRBi3mnco9yYk9dYSFq")</f>
        <v>https://drive.google.com/open?id=10_PijSQvoc-dUpRBi3mnco9yYk9dYSFq</v>
      </c>
      <c r="Q57" s="7" t="str">
        <f ca="1">IFERROR(__xludf.DUMMYFUNCTION("iferror(vlookup(B57,importrange(""https://docs.google.com/spreadsheets/d/1p53T2AuvvIqhP7Nf-bo3Uhj8cbKYRPpZdsrBv3x3bAQ/edit?resourcekey#gid=1321652304"",""Prop!$C$1:$M""),11,0),IFERROR(vlookup(B57,importrange(""https://docs.google.com/spreadsheets/d/1p53T2"&amp;"AuvvIqhP7Nf-bo3Uhj8cbKYRPpZdsrBv3x3bAQ/edit?resourcekey#gid=1321652304"",""Prop!$N$1:$X""),11,0),iferror(vlookup(B57,importrange(""https://docs.google.com/spreadsheets/d/1p53T2AuvvIqhP7Nf-bo3Uhj8cbKYRPpZdsrBv3x3bAQ/edit?resourcekey#gid=1321652304"",""Prop"&amp;"!$Y$1:$AI""),11,0),iferror(vlookup(B57,importrange(""https://docs.google.com/spreadsheets/d/1p53T2AuvvIqhP7Nf-bo3Uhj8cbKYRPpZdsrBv3x3bAQ/edit?resourcekey#gid=1321652304"",""Prop!$AJ$1:$AT""),11,0),iferror(vlookup(B57,importrange(""https://docs.google.com/"&amp;"spreadsheets/d/1p53T2AuvvIqhP7Nf-bo3Uhj8cbKYRPpZdsrBv3x3bAQ/edit?resourcekey#gid=1321652304"",""Prop!$AU$1:$BE""),11,0),iferror(vlookup(B57,importrange(""https://docs.google.com/spreadsheets/d/1p53T2AuvvIqhP7Nf-bo3Uhj8cbKYRPpZdsrBv3x3bAQ/edit?resourcekey#"&amp;"gid=1321652304"",""Prop!$BF$1:$BP""),11,0),iferror(vlookup(B57,importrange(""https://docs.google.com/spreadsheets/d/1p53T2AuvvIqhP7Nf-bo3Uhj8cbKYRPpZdsrBv3x3bAQ/edit?resourcekey#gid=1321652304"",""Prop!$BQ$1:$CA""),11,0),iferror(vlookup(B57,importrange("""&amp;"https://docs.google.com/spreadsheets/d/1p53T2AuvvIqhP7Nf-bo3Uhj8cbKYRPpZdsrBv3x3bAQ/edit?resourcekey#gid=1321652304"",""Prop!$CB$1:$CL""),11,0),iferror(vlookup(B57,importrange(""https://docs.google.com/spreadsheets/d/1p53T2AuvvIqhP7Nf-bo3Uhj8cbKYRPpZdsrBv"&amp;"3x3bAQ/edit?resourcekey#gid=1321652304"",""Prop!$CM$1:$CX""),12,0),iferror(vlookup(B57,importrange(""https://docs.google.com/spreadsheets/d/1p53T2AuvvIqhP7Nf-bo3Uhj8cbKYRPpZdsrBv3x3bAQ/edit?resourcekey#gid=1321652304"",""Prop!$CY$1:$DI""),11,0)))))))))))"),"https://drive.google.com/open?id=1Y1rh004oxOCOZzMRTS9o767ZlBMF_xmK")</f>
        <v>https://drive.google.com/open?id=1Y1rh004oxOCOZzMRTS9o767ZlBMF_xmK</v>
      </c>
      <c r="R57" s="20" t="s">
        <v>998</v>
      </c>
      <c r="S57" s="20" t="str">
        <f ca="1">IFERROR(__xludf.DUMMYFUNCTION("IFERROR(vlookup(B57,IMPORTRANGE(""https://docs.google.com/spreadsheets/d/1g_jfYYK_KeipEDNDUgqgrsxK94XiocfNQIcP-v1QVhI/edit?resourcekey#gid=233272945"",""Nilai!B:CT""),37,0),"" "")"),"1. perahu listrik sulit terealisasi karena faktor efisiensi
2. buat gagasannya dengan lebih komprehensif")</f>
        <v>1. perahu listrik sulit terealisasi karena faktor efisiensi
2. buat gagasannya dengan lebih komprehensif</v>
      </c>
      <c r="T57" s="20" t="str">
        <f ca="1">IFERROR(__xludf.DUMMYFUNCTION("IFERROR(vlookup(B57,IMPORTRANGE(""https://docs.google.com/spreadsheets/d/1g_jfYYK_KeipEDNDUgqgrsxK94XiocfNQIcP-v1QVhI/edit?resourcekey#gid=233272945"",""Nilai!B:CT""),97,0),"" "")"),"TIDAK LAYAK UPLOAD KE SIMBELMAWA")</f>
        <v>TIDAK LAYAK UPLOAD KE SIMBELMAWA</v>
      </c>
      <c r="U57" s="39" t="s">
        <v>831</v>
      </c>
      <c r="V57" s="38" t="s">
        <v>999</v>
      </c>
      <c r="W57" s="18" t="s">
        <v>1034</v>
      </c>
      <c r="X57" s="22" t="b">
        <v>0</v>
      </c>
    </row>
    <row r="58" spans="1:24" ht="14.4">
      <c r="A58" s="15"/>
      <c r="B58" s="15"/>
      <c r="C58" s="16"/>
      <c r="D58" s="16"/>
      <c r="E58" s="16"/>
      <c r="F58" s="16"/>
      <c r="G58" s="16"/>
      <c r="H58" s="16"/>
      <c r="I58" s="16"/>
      <c r="J58" s="16"/>
      <c r="K58" s="16"/>
      <c r="L58" s="16"/>
      <c r="M58" s="25"/>
      <c r="N58" s="25"/>
      <c r="O58" s="16"/>
      <c r="P58" s="1"/>
      <c r="Q58" s="1"/>
      <c r="R58" s="1"/>
      <c r="S58" s="20"/>
      <c r="T58" s="20"/>
      <c r="U58" s="39"/>
      <c r="V58" s="38"/>
      <c r="W58" s="1"/>
      <c r="X58" s="1"/>
    </row>
    <row r="59" spans="1:24" ht="14.4">
      <c r="A59" s="15"/>
      <c r="B59" s="15"/>
      <c r="C59" s="16"/>
      <c r="D59" s="16"/>
      <c r="E59" s="16"/>
      <c r="F59" s="16"/>
      <c r="G59" s="16"/>
      <c r="H59" s="16"/>
      <c r="I59" s="16"/>
      <c r="J59" s="16"/>
      <c r="K59" s="16"/>
      <c r="L59" s="16"/>
      <c r="M59" s="25"/>
      <c r="N59" s="25"/>
      <c r="O59" s="16"/>
      <c r="P59" s="1"/>
      <c r="Q59" s="1"/>
      <c r="R59" s="1"/>
      <c r="S59" s="20"/>
      <c r="T59" s="20"/>
      <c r="U59" s="1"/>
      <c r="V59" s="38"/>
      <c r="W59" s="1"/>
      <c r="X59" s="1"/>
    </row>
    <row r="60" spans="1:24" ht="14.4">
      <c r="A60" s="15"/>
      <c r="B60" s="15"/>
      <c r="C60" s="16"/>
      <c r="D60" s="16"/>
      <c r="E60" s="16"/>
      <c r="F60" s="16"/>
      <c r="G60" s="16"/>
      <c r="H60" s="16"/>
      <c r="I60" s="16"/>
      <c r="J60" s="16"/>
      <c r="K60" s="16"/>
      <c r="L60" s="16"/>
      <c r="M60" s="25"/>
      <c r="N60" s="25"/>
      <c r="O60" s="16"/>
      <c r="P60" s="1"/>
      <c r="Q60" s="1"/>
      <c r="R60" s="1"/>
      <c r="S60" s="20"/>
      <c r="T60" s="20"/>
      <c r="U60" s="1"/>
      <c r="V60" s="38"/>
      <c r="W60" s="1"/>
      <c r="X60" s="1"/>
    </row>
    <row r="61" spans="1:24" ht="14.4">
      <c r="A61" s="15"/>
      <c r="B61" s="15"/>
      <c r="C61" s="16"/>
      <c r="D61" s="16"/>
      <c r="E61" s="16"/>
      <c r="F61" s="16"/>
      <c r="G61" s="16"/>
      <c r="H61" s="16"/>
      <c r="I61" s="16"/>
      <c r="J61" s="16"/>
      <c r="K61" s="16"/>
      <c r="L61" s="16"/>
      <c r="M61" s="25"/>
      <c r="N61" s="25"/>
      <c r="O61" s="16"/>
      <c r="P61" s="1"/>
      <c r="Q61" s="1"/>
      <c r="R61" s="1"/>
      <c r="S61" s="20"/>
      <c r="T61" s="20"/>
      <c r="U61" s="1"/>
      <c r="V61" s="38"/>
      <c r="W61" s="1"/>
      <c r="X61" s="1"/>
    </row>
    <row r="62" spans="1:24" ht="14.4">
      <c r="A62" s="15"/>
      <c r="B62" s="15"/>
      <c r="C62" s="16"/>
      <c r="D62" s="16"/>
      <c r="E62" s="16"/>
      <c r="F62" s="16"/>
      <c r="G62" s="16"/>
      <c r="H62" s="16"/>
      <c r="I62" s="16"/>
      <c r="J62" s="16"/>
      <c r="K62" s="16"/>
      <c r="L62" s="16"/>
      <c r="M62" s="25"/>
      <c r="N62" s="25"/>
      <c r="O62" s="16"/>
      <c r="P62" s="1"/>
      <c r="Q62" s="1"/>
      <c r="R62" s="1"/>
      <c r="S62" s="20"/>
      <c r="T62" s="20"/>
      <c r="U62" s="1"/>
      <c r="V62" s="38"/>
      <c r="W62" s="1"/>
      <c r="X62" s="1"/>
    </row>
    <row r="63" spans="1:24" ht="14.4">
      <c r="A63" s="15"/>
      <c r="B63" s="15"/>
      <c r="C63" s="16"/>
      <c r="D63" s="16"/>
      <c r="E63" s="16"/>
      <c r="F63" s="16"/>
      <c r="G63" s="16"/>
      <c r="H63" s="16"/>
      <c r="I63" s="16"/>
      <c r="J63" s="16"/>
      <c r="K63" s="16"/>
      <c r="L63" s="16"/>
      <c r="M63" s="25"/>
      <c r="N63" s="25"/>
      <c r="O63" s="16"/>
      <c r="P63" s="1"/>
      <c r="Q63" s="1"/>
      <c r="R63" s="1"/>
      <c r="S63" s="20"/>
      <c r="T63" s="20"/>
      <c r="U63" s="1"/>
      <c r="V63" s="38"/>
      <c r="W63" s="1"/>
      <c r="X63" s="1"/>
    </row>
    <row r="64" spans="1:24" ht="14.4">
      <c r="A64" s="15"/>
      <c r="B64" s="15"/>
      <c r="C64" s="16"/>
      <c r="D64" s="16"/>
      <c r="E64" s="16"/>
      <c r="F64" s="16"/>
      <c r="G64" s="16"/>
      <c r="H64" s="16"/>
      <c r="I64" s="16"/>
      <c r="J64" s="16"/>
      <c r="K64" s="16"/>
      <c r="L64" s="16"/>
      <c r="M64" s="25"/>
      <c r="N64" s="25"/>
      <c r="O64" s="16"/>
      <c r="P64" s="1"/>
      <c r="Q64" s="1"/>
      <c r="R64" s="1"/>
      <c r="S64" s="1"/>
      <c r="T64" s="1"/>
      <c r="U64" s="1"/>
      <c r="V64" s="38"/>
      <c r="W64" s="1"/>
      <c r="X64" s="1"/>
    </row>
    <row r="65" spans="1:24" ht="14.4">
      <c r="A65" s="15"/>
      <c r="B65" s="15"/>
      <c r="C65" s="16"/>
      <c r="D65" s="16"/>
      <c r="E65" s="16"/>
      <c r="F65" s="16"/>
      <c r="G65" s="16"/>
      <c r="H65" s="16"/>
      <c r="I65" s="16"/>
      <c r="J65" s="16"/>
      <c r="K65" s="16"/>
      <c r="L65" s="16"/>
      <c r="M65" s="25"/>
      <c r="N65" s="25"/>
      <c r="O65" s="16"/>
      <c r="P65" s="1"/>
      <c r="Q65" s="1"/>
      <c r="R65" s="1"/>
      <c r="S65" s="1"/>
      <c r="T65" s="1"/>
      <c r="U65" s="1"/>
      <c r="V65" s="38"/>
      <c r="W65" s="1"/>
      <c r="X65" s="1"/>
    </row>
    <row r="66" spans="1:24" ht="14.4">
      <c r="A66" s="15"/>
      <c r="B66" s="15"/>
      <c r="C66" s="16"/>
      <c r="D66" s="16"/>
      <c r="E66" s="16"/>
      <c r="F66" s="16"/>
      <c r="G66" s="16"/>
      <c r="H66" s="16"/>
      <c r="I66" s="16"/>
      <c r="J66" s="16"/>
      <c r="K66" s="16"/>
      <c r="L66" s="16"/>
      <c r="M66" s="25"/>
      <c r="N66" s="25"/>
      <c r="O66" s="16"/>
      <c r="P66" s="1"/>
      <c r="Q66" s="1"/>
      <c r="R66" s="1"/>
      <c r="S66" s="1"/>
      <c r="T66" s="1"/>
      <c r="U66" s="1"/>
      <c r="V66" s="38"/>
      <c r="W66" s="1"/>
      <c r="X66" s="1"/>
    </row>
    <row r="67" spans="1:24" ht="14.4">
      <c r="A67" s="15"/>
      <c r="B67" s="15"/>
      <c r="C67" s="16"/>
      <c r="D67" s="16"/>
      <c r="E67" s="16"/>
      <c r="F67" s="16"/>
      <c r="G67" s="16"/>
      <c r="H67" s="16"/>
      <c r="I67" s="16"/>
      <c r="J67" s="16"/>
      <c r="K67" s="16"/>
      <c r="L67" s="16"/>
      <c r="M67" s="25"/>
      <c r="N67" s="25"/>
      <c r="O67" s="16"/>
      <c r="P67" s="1"/>
      <c r="Q67" s="1"/>
      <c r="R67" s="1"/>
      <c r="S67" s="1"/>
      <c r="T67" s="1"/>
      <c r="U67" s="1"/>
      <c r="V67" s="38"/>
      <c r="W67" s="1"/>
      <c r="X67" s="1"/>
    </row>
    <row r="68" spans="1:24" ht="14.4">
      <c r="A68" s="15"/>
      <c r="B68" s="15"/>
      <c r="C68" s="16"/>
      <c r="D68" s="16"/>
      <c r="E68" s="16"/>
      <c r="F68" s="16"/>
      <c r="G68" s="16"/>
      <c r="H68" s="16"/>
      <c r="I68" s="16"/>
      <c r="J68" s="16"/>
      <c r="K68" s="16"/>
      <c r="L68" s="16"/>
      <c r="M68" s="25"/>
      <c r="N68" s="25"/>
      <c r="O68" s="16"/>
      <c r="P68" s="1"/>
      <c r="Q68" s="1"/>
      <c r="R68" s="1"/>
      <c r="S68" s="1"/>
      <c r="T68" s="1"/>
      <c r="U68" s="1"/>
      <c r="V68" s="38"/>
      <c r="W68" s="1"/>
      <c r="X68" s="1"/>
    </row>
    <row r="69" spans="1:24" ht="14.4">
      <c r="A69" s="15"/>
      <c r="B69" s="15"/>
      <c r="C69" s="16"/>
      <c r="D69" s="16"/>
      <c r="E69" s="16"/>
      <c r="F69" s="16"/>
      <c r="G69" s="16"/>
      <c r="H69" s="16"/>
      <c r="I69" s="16"/>
      <c r="J69" s="16"/>
      <c r="K69" s="16"/>
      <c r="L69" s="16"/>
      <c r="M69" s="25"/>
      <c r="N69" s="25"/>
      <c r="O69" s="16"/>
      <c r="P69" s="1"/>
      <c r="Q69" s="1"/>
      <c r="R69" s="1"/>
      <c r="S69" s="1"/>
      <c r="T69" s="1"/>
      <c r="U69" s="1"/>
      <c r="V69" s="38"/>
      <c r="W69" s="1"/>
      <c r="X69" s="1"/>
    </row>
    <row r="70" spans="1:24" ht="14.4">
      <c r="A70" s="15"/>
      <c r="B70" s="15"/>
      <c r="C70" s="16"/>
      <c r="D70" s="16"/>
      <c r="E70" s="16"/>
      <c r="F70" s="16"/>
      <c r="G70" s="16"/>
      <c r="H70" s="16"/>
      <c r="I70" s="16"/>
      <c r="J70" s="16"/>
      <c r="K70" s="16"/>
      <c r="L70" s="16"/>
      <c r="M70" s="25"/>
      <c r="N70" s="25"/>
      <c r="O70" s="16"/>
      <c r="P70" s="1"/>
      <c r="Q70" s="1"/>
      <c r="R70" s="1"/>
      <c r="S70" s="1"/>
      <c r="T70" s="1"/>
      <c r="U70" s="1"/>
      <c r="V70" s="38"/>
      <c r="W70" s="1"/>
      <c r="X70" s="1"/>
    </row>
    <row r="71" spans="1:24" ht="14.4">
      <c r="A71" s="15"/>
      <c r="B71" s="15"/>
      <c r="C71" s="16"/>
      <c r="D71" s="16"/>
      <c r="E71" s="16"/>
      <c r="F71" s="16"/>
      <c r="G71" s="16"/>
      <c r="H71" s="16"/>
      <c r="I71" s="16"/>
      <c r="J71" s="16"/>
      <c r="K71" s="16"/>
      <c r="L71" s="16"/>
      <c r="M71" s="25"/>
      <c r="N71" s="25"/>
      <c r="O71" s="16"/>
      <c r="P71" s="1"/>
      <c r="Q71" s="1"/>
      <c r="R71" s="1"/>
      <c r="S71" s="1"/>
      <c r="T71" s="1"/>
      <c r="U71" s="1"/>
      <c r="V71" s="38"/>
      <c r="W71" s="1"/>
      <c r="X71" s="1"/>
    </row>
    <row r="72" spans="1:24" ht="14.4">
      <c r="A72" s="15"/>
      <c r="B72" s="15"/>
      <c r="C72" s="16"/>
      <c r="D72" s="16"/>
      <c r="E72" s="16"/>
      <c r="F72" s="16"/>
      <c r="G72" s="16"/>
      <c r="H72" s="16"/>
      <c r="I72" s="16"/>
      <c r="J72" s="16"/>
      <c r="K72" s="16"/>
      <c r="L72" s="16"/>
      <c r="M72" s="25"/>
      <c r="N72" s="25"/>
      <c r="O72" s="16"/>
      <c r="P72" s="1"/>
      <c r="Q72" s="1"/>
      <c r="R72" s="1"/>
      <c r="S72" s="1"/>
      <c r="T72" s="1"/>
      <c r="U72" s="1"/>
      <c r="V72" s="38"/>
      <c r="W72" s="1"/>
      <c r="X72" s="1"/>
    </row>
    <row r="73" spans="1:24" ht="14.4">
      <c r="A73" s="15"/>
      <c r="B73" s="15"/>
      <c r="C73" s="16"/>
      <c r="D73" s="16"/>
      <c r="E73" s="16"/>
      <c r="F73" s="16"/>
      <c r="G73" s="16"/>
      <c r="H73" s="16"/>
      <c r="I73" s="16"/>
      <c r="J73" s="16"/>
      <c r="K73" s="16"/>
      <c r="L73" s="16"/>
      <c r="M73" s="25"/>
      <c r="N73" s="25"/>
      <c r="O73" s="16"/>
      <c r="P73" s="1"/>
      <c r="Q73" s="1"/>
      <c r="R73" s="1"/>
      <c r="S73" s="1"/>
      <c r="T73" s="1"/>
      <c r="U73" s="1"/>
      <c r="V73" s="38"/>
      <c r="W73" s="1"/>
      <c r="X73" s="1"/>
    </row>
    <row r="74" spans="1:24" ht="14.4">
      <c r="A74" s="15"/>
      <c r="B74" s="15"/>
      <c r="C74" s="16"/>
      <c r="D74" s="16"/>
      <c r="E74" s="16"/>
      <c r="F74" s="16"/>
      <c r="G74" s="16"/>
      <c r="H74" s="16"/>
      <c r="I74" s="16"/>
      <c r="J74" s="16"/>
      <c r="K74" s="16"/>
      <c r="L74" s="16"/>
      <c r="M74" s="25"/>
      <c r="N74" s="25"/>
      <c r="O74" s="16"/>
      <c r="P74" s="1"/>
      <c r="Q74" s="1"/>
      <c r="R74" s="1"/>
      <c r="S74" s="1"/>
      <c r="T74" s="1"/>
      <c r="U74" s="1"/>
      <c r="V74" s="38"/>
      <c r="W74" s="1"/>
      <c r="X74" s="1"/>
    </row>
    <row r="75" spans="1:24" ht="14.4">
      <c r="A75" s="15"/>
      <c r="B75" s="15"/>
      <c r="C75" s="16"/>
      <c r="D75" s="16"/>
      <c r="E75" s="16"/>
      <c r="F75" s="16"/>
      <c r="G75" s="16"/>
      <c r="H75" s="16"/>
      <c r="I75" s="16"/>
      <c r="J75" s="16"/>
      <c r="K75" s="16"/>
      <c r="L75" s="16"/>
      <c r="M75" s="25"/>
      <c r="N75" s="25"/>
      <c r="O75" s="16"/>
      <c r="P75" s="1"/>
      <c r="Q75" s="1"/>
      <c r="R75" s="1"/>
      <c r="S75" s="1"/>
      <c r="T75" s="1"/>
      <c r="U75" s="1"/>
      <c r="V75" s="38"/>
      <c r="W75" s="1"/>
      <c r="X75" s="1"/>
    </row>
    <row r="76" spans="1:24" ht="14.4">
      <c r="A76" s="15"/>
      <c r="B76" s="15"/>
      <c r="C76" s="16"/>
      <c r="D76" s="16"/>
      <c r="E76" s="16"/>
      <c r="F76" s="16"/>
      <c r="G76" s="16"/>
      <c r="H76" s="16"/>
      <c r="I76" s="16"/>
      <c r="J76" s="16"/>
      <c r="K76" s="16"/>
      <c r="L76" s="16"/>
      <c r="M76" s="25"/>
      <c r="N76" s="25"/>
      <c r="O76" s="16"/>
      <c r="P76" s="1"/>
      <c r="Q76" s="1"/>
      <c r="R76" s="1"/>
      <c r="S76" s="1"/>
      <c r="T76" s="1"/>
      <c r="U76" s="1"/>
      <c r="V76" s="38"/>
      <c r="W76" s="1"/>
      <c r="X76" s="1"/>
    </row>
    <row r="77" spans="1:24" ht="14.4">
      <c r="A77" s="15"/>
      <c r="B77" s="15"/>
      <c r="C77" s="16"/>
      <c r="D77" s="16"/>
      <c r="E77" s="16"/>
      <c r="F77" s="16"/>
      <c r="G77" s="16"/>
      <c r="H77" s="16"/>
      <c r="I77" s="16"/>
      <c r="J77" s="16"/>
      <c r="K77" s="16"/>
      <c r="L77" s="16"/>
      <c r="M77" s="25"/>
      <c r="N77" s="25"/>
      <c r="O77" s="16"/>
      <c r="P77" s="1"/>
      <c r="Q77" s="1"/>
      <c r="R77" s="1"/>
      <c r="S77" s="1"/>
      <c r="T77" s="1"/>
      <c r="U77" s="1"/>
      <c r="V77" s="38"/>
      <c r="W77" s="1"/>
      <c r="X77" s="1"/>
    </row>
    <row r="78" spans="1:24" ht="14.4">
      <c r="A78" s="15"/>
      <c r="B78" s="15"/>
      <c r="C78" s="16"/>
      <c r="D78" s="16"/>
      <c r="E78" s="16"/>
      <c r="F78" s="16"/>
      <c r="G78" s="16"/>
      <c r="H78" s="16"/>
      <c r="I78" s="16"/>
      <c r="J78" s="16"/>
      <c r="K78" s="16"/>
      <c r="L78" s="16"/>
      <c r="M78" s="25"/>
      <c r="N78" s="25"/>
      <c r="O78" s="16"/>
      <c r="P78" s="1"/>
      <c r="Q78" s="1"/>
      <c r="R78" s="1"/>
      <c r="S78" s="1"/>
      <c r="T78" s="1"/>
      <c r="U78" s="1"/>
      <c r="V78" s="38"/>
      <c r="W78" s="1"/>
      <c r="X78" s="1"/>
    </row>
    <row r="79" spans="1:24" ht="14.4">
      <c r="A79" s="15"/>
      <c r="B79" s="15"/>
      <c r="C79" s="16"/>
      <c r="D79" s="16"/>
      <c r="E79" s="16"/>
      <c r="F79" s="16"/>
      <c r="G79" s="16"/>
      <c r="H79" s="16"/>
      <c r="I79" s="16"/>
      <c r="J79" s="16"/>
      <c r="K79" s="16"/>
      <c r="L79" s="16"/>
      <c r="M79" s="25"/>
      <c r="N79" s="25"/>
      <c r="O79" s="16"/>
      <c r="P79" s="1"/>
      <c r="Q79" s="1"/>
      <c r="R79" s="1"/>
      <c r="S79" s="1"/>
      <c r="T79" s="1"/>
      <c r="U79" s="1"/>
      <c r="V79" s="38"/>
      <c r="W79" s="1"/>
      <c r="X79" s="1"/>
    </row>
    <row r="80" spans="1:24" ht="14.4">
      <c r="A80" s="15"/>
      <c r="B80" s="15"/>
      <c r="C80" s="16"/>
      <c r="D80" s="16"/>
      <c r="E80" s="16"/>
      <c r="F80" s="16"/>
      <c r="G80" s="16"/>
      <c r="H80" s="16"/>
      <c r="I80" s="16"/>
      <c r="J80" s="16"/>
      <c r="K80" s="16"/>
      <c r="L80" s="16"/>
      <c r="M80" s="25"/>
      <c r="N80" s="25"/>
      <c r="O80" s="16"/>
      <c r="P80" s="1"/>
      <c r="Q80" s="1"/>
      <c r="R80" s="1"/>
      <c r="S80" s="1"/>
      <c r="T80" s="1"/>
      <c r="U80" s="1"/>
      <c r="V80" s="38"/>
      <c r="W80" s="1"/>
      <c r="X80" s="1"/>
    </row>
    <row r="81" spans="1:24" ht="14.4">
      <c r="A81" s="15"/>
      <c r="B81" s="15"/>
      <c r="C81" s="16"/>
      <c r="D81" s="16"/>
      <c r="E81" s="16"/>
      <c r="F81" s="16"/>
      <c r="G81" s="16"/>
      <c r="H81" s="16"/>
      <c r="I81" s="16"/>
      <c r="J81" s="16"/>
      <c r="K81" s="16"/>
      <c r="L81" s="16"/>
      <c r="M81" s="25"/>
      <c r="N81" s="25"/>
      <c r="O81" s="16"/>
      <c r="P81" s="1"/>
      <c r="Q81" s="1"/>
      <c r="R81" s="1"/>
      <c r="S81" s="1"/>
      <c r="T81" s="1"/>
      <c r="U81" s="1"/>
      <c r="V81" s="38"/>
      <c r="W81" s="1"/>
      <c r="X81" s="1"/>
    </row>
    <row r="82" spans="1:24" ht="14.4">
      <c r="A82" s="15"/>
      <c r="B82" s="15"/>
      <c r="C82" s="16"/>
      <c r="D82" s="16"/>
      <c r="E82" s="16"/>
      <c r="F82" s="16"/>
      <c r="G82" s="16"/>
      <c r="H82" s="16"/>
      <c r="I82" s="16"/>
      <c r="J82" s="16"/>
      <c r="K82" s="16"/>
      <c r="L82" s="16"/>
      <c r="M82" s="25"/>
      <c r="N82" s="25"/>
      <c r="O82" s="16"/>
      <c r="P82" s="1"/>
      <c r="Q82" s="1"/>
      <c r="R82" s="1"/>
      <c r="S82" s="1"/>
      <c r="T82" s="1"/>
      <c r="U82" s="1"/>
      <c r="V82" s="38"/>
      <c r="W82" s="1"/>
      <c r="X82" s="1"/>
    </row>
    <row r="83" spans="1:24" ht="14.4">
      <c r="A83" s="15"/>
      <c r="B83" s="15"/>
      <c r="C83" s="16"/>
      <c r="D83" s="16"/>
      <c r="E83" s="16"/>
      <c r="F83" s="16"/>
      <c r="G83" s="16"/>
      <c r="H83" s="16"/>
      <c r="I83" s="16"/>
      <c r="J83" s="16"/>
      <c r="K83" s="16"/>
      <c r="L83" s="16"/>
      <c r="M83" s="25"/>
      <c r="N83" s="25"/>
      <c r="O83" s="16"/>
      <c r="P83" s="1"/>
      <c r="Q83" s="1"/>
      <c r="R83" s="1"/>
      <c r="S83" s="1"/>
      <c r="T83" s="1"/>
      <c r="U83" s="1"/>
      <c r="V83" s="38"/>
      <c r="W83" s="1"/>
      <c r="X83" s="1"/>
    </row>
    <row r="84" spans="1:24" ht="14.4">
      <c r="A84" s="15"/>
      <c r="B84" s="15"/>
      <c r="C84" s="16"/>
      <c r="D84" s="16"/>
      <c r="E84" s="16"/>
      <c r="F84" s="16"/>
      <c r="G84" s="16"/>
      <c r="H84" s="16"/>
      <c r="I84" s="16"/>
      <c r="J84" s="16"/>
      <c r="K84" s="16"/>
      <c r="L84" s="16"/>
      <c r="M84" s="25"/>
      <c r="N84" s="25"/>
      <c r="O84" s="16"/>
      <c r="P84" s="1"/>
      <c r="Q84" s="1"/>
      <c r="R84" s="1"/>
      <c r="S84" s="1"/>
      <c r="T84" s="1"/>
      <c r="U84" s="1"/>
      <c r="V84" s="38"/>
      <c r="W84" s="1"/>
      <c r="X84" s="1"/>
    </row>
    <row r="85" spans="1:24" ht="14.4">
      <c r="A85" s="15"/>
      <c r="B85" s="15"/>
      <c r="C85" s="16"/>
      <c r="D85" s="16"/>
      <c r="E85" s="16"/>
      <c r="F85" s="16"/>
      <c r="G85" s="16"/>
      <c r="H85" s="16"/>
      <c r="I85" s="16"/>
      <c r="J85" s="16"/>
      <c r="K85" s="16"/>
      <c r="L85" s="16"/>
      <c r="M85" s="25"/>
      <c r="N85" s="25"/>
      <c r="O85" s="16"/>
      <c r="P85" s="1"/>
      <c r="Q85" s="1"/>
      <c r="R85" s="1"/>
      <c r="S85" s="1"/>
      <c r="T85" s="1"/>
      <c r="U85" s="1"/>
      <c r="V85" s="38"/>
      <c r="W85" s="1"/>
      <c r="X85" s="1"/>
    </row>
    <row r="86" spans="1:24" ht="14.4">
      <c r="A86" s="15"/>
      <c r="B86" s="15"/>
      <c r="C86" s="16"/>
      <c r="D86" s="16"/>
      <c r="E86" s="16"/>
      <c r="F86" s="16"/>
      <c r="G86" s="16"/>
      <c r="H86" s="16"/>
      <c r="I86" s="16"/>
      <c r="J86" s="16"/>
      <c r="K86" s="16"/>
      <c r="L86" s="16"/>
      <c r="M86" s="25"/>
      <c r="N86" s="25"/>
      <c r="O86" s="16"/>
      <c r="P86" s="1"/>
      <c r="Q86" s="1"/>
      <c r="R86" s="1"/>
      <c r="S86" s="1"/>
      <c r="T86" s="1"/>
      <c r="U86" s="1"/>
      <c r="V86" s="38"/>
      <c r="W86" s="1"/>
      <c r="X86" s="1"/>
    </row>
    <row r="87" spans="1:24" ht="14.4">
      <c r="A87" s="15"/>
      <c r="B87" s="15"/>
      <c r="C87" s="16"/>
      <c r="D87" s="16"/>
      <c r="E87" s="16"/>
      <c r="F87" s="16"/>
      <c r="G87" s="16"/>
      <c r="H87" s="16"/>
      <c r="I87" s="16"/>
      <c r="J87" s="16"/>
      <c r="K87" s="16"/>
      <c r="L87" s="16"/>
      <c r="M87" s="25"/>
      <c r="N87" s="25"/>
      <c r="O87" s="16"/>
      <c r="P87" s="1"/>
      <c r="Q87" s="1"/>
      <c r="R87" s="1"/>
      <c r="S87" s="1"/>
      <c r="T87" s="1"/>
      <c r="U87" s="1"/>
      <c r="V87" s="38"/>
      <c r="W87" s="1"/>
      <c r="X87" s="1"/>
    </row>
    <row r="88" spans="1:24" ht="14.4">
      <c r="A88" s="15"/>
      <c r="B88" s="15"/>
      <c r="C88" s="16"/>
      <c r="D88" s="16"/>
      <c r="E88" s="16"/>
      <c r="F88" s="16"/>
      <c r="G88" s="16"/>
      <c r="H88" s="16"/>
      <c r="I88" s="16"/>
      <c r="J88" s="16"/>
      <c r="K88" s="16"/>
      <c r="L88" s="16"/>
      <c r="M88" s="25"/>
      <c r="N88" s="25"/>
      <c r="O88" s="16"/>
      <c r="P88" s="1"/>
      <c r="Q88" s="1"/>
      <c r="R88" s="1"/>
      <c r="S88" s="1"/>
      <c r="T88" s="1"/>
      <c r="U88" s="1"/>
      <c r="V88" s="38"/>
      <c r="W88" s="1"/>
      <c r="X88" s="1"/>
    </row>
    <row r="89" spans="1:24" ht="14.4">
      <c r="A89" s="15"/>
      <c r="B89" s="15"/>
      <c r="C89" s="16"/>
      <c r="D89" s="16"/>
      <c r="E89" s="16"/>
      <c r="F89" s="16"/>
      <c r="G89" s="16"/>
      <c r="H89" s="16"/>
      <c r="I89" s="16"/>
      <c r="J89" s="16"/>
      <c r="K89" s="16"/>
      <c r="L89" s="16"/>
      <c r="M89" s="25"/>
      <c r="N89" s="25"/>
      <c r="O89" s="16"/>
      <c r="P89" s="1"/>
      <c r="Q89" s="1"/>
      <c r="R89" s="1"/>
      <c r="S89" s="1"/>
      <c r="T89" s="1"/>
      <c r="U89" s="1"/>
      <c r="V89" s="38"/>
      <c r="W89" s="1"/>
      <c r="X89" s="1"/>
    </row>
    <row r="90" spans="1:24" ht="14.4">
      <c r="A90" s="15"/>
      <c r="B90" s="15"/>
      <c r="C90" s="16"/>
      <c r="D90" s="16"/>
      <c r="E90" s="16"/>
      <c r="F90" s="16"/>
      <c r="G90" s="16"/>
      <c r="H90" s="16"/>
      <c r="I90" s="16"/>
      <c r="J90" s="16"/>
      <c r="K90" s="16"/>
      <c r="L90" s="16"/>
      <c r="M90" s="25"/>
      <c r="N90" s="25"/>
      <c r="O90" s="16"/>
      <c r="P90" s="1"/>
      <c r="Q90" s="1"/>
      <c r="R90" s="1"/>
      <c r="S90" s="1"/>
      <c r="T90" s="1"/>
      <c r="U90" s="1"/>
      <c r="V90" s="38"/>
      <c r="W90" s="1"/>
      <c r="X90" s="1"/>
    </row>
    <row r="91" spans="1:24" ht="14.4">
      <c r="A91" s="15"/>
      <c r="B91" s="15"/>
      <c r="C91" s="16"/>
      <c r="D91" s="16"/>
      <c r="E91" s="16"/>
      <c r="F91" s="16"/>
      <c r="G91" s="16"/>
      <c r="H91" s="16"/>
      <c r="I91" s="16"/>
      <c r="J91" s="16"/>
      <c r="K91" s="16"/>
      <c r="L91" s="16"/>
      <c r="M91" s="25"/>
      <c r="N91" s="25"/>
      <c r="O91" s="16"/>
      <c r="P91" s="1"/>
      <c r="Q91" s="1"/>
      <c r="R91" s="1"/>
      <c r="S91" s="1"/>
      <c r="T91" s="1"/>
      <c r="U91" s="1"/>
      <c r="V91" s="38"/>
      <c r="W91" s="1"/>
      <c r="X91" s="1"/>
    </row>
    <row r="92" spans="1:24" ht="14.4">
      <c r="A92" s="15"/>
      <c r="B92" s="15"/>
      <c r="C92" s="16"/>
      <c r="D92" s="16"/>
      <c r="E92" s="16"/>
      <c r="F92" s="16"/>
      <c r="G92" s="16"/>
      <c r="H92" s="16"/>
      <c r="I92" s="16"/>
      <c r="J92" s="16"/>
      <c r="K92" s="16"/>
      <c r="L92" s="16"/>
      <c r="M92" s="25"/>
      <c r="N92" s="25"/>
      <c r="O92" s="16"/>
      <c r="P92" s="1"/>
      <c r="Q92" s="1"/>
      <c r="R92" s="1"/>
      <c r="S92" s="1"/>
      <c r="T92" s="1"/>
      <c r="U92" s="1"/>
      <c r="V92" s="38"/>
      <c r="W92" s="1"/>
      <c r="X92" s="1"/>
    </row>
    <row r="93" spans="1:24" ht="14.4">
      <c r="A93" s="15"/>
      <c r="B93" s="15"/>
      <c r="C93" s="16"/>
      <c r="D93" s="16"/>
      <c r="E93" s="16"/>
      <c r="F93" s="16"/>
      <c r="G93" s="16"/>
      <c r="H93" s="16"/>
      <c r="I93" s="16"/>
      <c r="J93" s="16"/>
      <c r="K93" s="16"/>
      <c r="L93" s="16"/>
      <c r="M93" s="25"/>
      <c r="N93" s="25"/>
      <c r="O93" s="16"/>
      <c r="P93" s="1"/>
      <c r="Q93" s="1"/>
      <c r="R93" s="1"/>
      <c r="S93" s="1"/>
      <c r="T93" s="1"/>
      <c r="U93" s="1"/>
      <c r="V93" s="38"/>
      <c r="W93" s="1"/>
      <c r="X93" s="1"/>
    </row>
    <row r="94" spans="1:24" ht="14.4">
      <c r="A94" s="15"/>
      <c r="B94" s="15"/>
      <c r="C94" s="16"/>
      <c r="D94" s="16"/>
      <c r="E94" s="16"/>
      <c r="F94" s="16"/>
      <c r="G94" s="16"/>
      <c r="H94" s="16"/>
      <c r="I94" s="16"/>
      <c r="J94" s="16"/>
      <c r="K94" s="16"/>
      <c r="L94" s="16"/>
      <c r="M94" s="25"/>
      <c r="N94" s="25"/>
      <c r="O94" s="16"/>
      <c r="P94" s="1"/>
      <c r="Q94" s="1"/>
      <c r="R94" s="1"/>
      <c r="S94" s="1"/>
      <c r="T94" s="1"/>
      <c r="U94" s="1"/>
      <c r="V94" s="38"/>
      <c r="W94" s="1"/>
      <c r="X94" s="1"/>
    </row>
    <row r="95" spans="1:24" ht="14.4">
      <c r="A95" s="15"/>
      <c r="B95" s="15"/>
      <c r="C95" s="16"/>
      <c r="D95" s="16"/>
      <c r="E95" s="16"/>
      <c r="F95" s="16"/>
      <c r="G95" s="16"/>
      <c r="H95" s="16"/>
      <c r="I95" s="16"/>
      <c r="J95" s="16"/>
      <c r="K95" s="16"/>
      <c r="L95" s="16"/>
      <c r="M95" s="25"/>
      <c r="N95" s="25"/>
      <c r="O95" s="16"/>
      <c r="P95" s="1"/>
      <c r="Q95" s="1"/>
      <c r="R95" s="1"/>
      <c r="S95" s="1"/>
      <c r="T95" s="1"/>
      <c r="U95" s="1"/>
      <c r="V95" s="38"/>
      <c r="W95" s="1"/>
      <c r="X95" s="1"/>
    </row>
    <row r="96" spans="1:24" ht="14.4">
      <c r="A96" s="15"/>
      <c r="B96" s="15"/>
      <c r="C96" s="16"/>
      <c r="D96" s="16"/>
      <c r="E96" s="16"/>
      <c r="F96" s="16"/>
      <c r="G96" s="16"/>
      <c r="H96" s="16"/>
      <c r="I96" s="16"/>
      <c r="J96" s="16"/>
      <c r="K96" s="16"/>
      <c r="L96" s="16"/>
      <c r="M96" s="25"/>
      <c r="N96" s="25"/>
      <c r="O96" s="16"/>
      <c r="P96" s="1"/>
      <c r="Q96" s="1"/>
      <c r="R96" s="1"/>
      <c r="S96" s="1"/>
      <c r="T96" s="1"/>
      <c r="U96" s="1"/>
      <c r="V96" s="38"/>
      <c r="W96" s="1"/>
      <c r="X96" s="1"/>
    </row>
    <row r="97" spans="1:24" ht="14.4">
      <c r="A97" s="15"/>
      <c r="B97" s="15"/>
      <c r="C97" s="16"/>
      <c r="D97" s="16"/>
      <c r="E97" s="16"/>
      <c r="F97" s="16"/>
      <c r="G97" s="16"/>
      <c r="H97" s="16"/>
      <c r="I97" s="16"/>
      <c r="J97" s="16"/>
      <c r="K97" s="16"/>
      <c r="L97" s="16"/>
      <c r="M97" s="25"/>
      <c r="N97" s="25"/>
      <c r="O97" s="16"/>
      <c r="P97" s="1"/>
      <c r="Q97" s="1"/>
      <c r="R97" s="1"/>
      <c r="S97" s="1"/>
      <c r="T97" s="1"/>
      <c r="U97" s="1"/>
      <c r="V97" s="38"/>
      <c r="W97" s="1"/>
      <c r="X97" s="1"/>
    </row>
    <row r="98" spans="1:24" ht="14.4">
      <c r="A98" s="15"/>
      <c r="B98" s="15"/>
      <c r="C98" s="16"/>
      <c r="D98" s="16"/>
      <c r="E98" s="16"/>
      <c r="F98" s="16"/>
      <c r="G98" s="16"/>
      <c r="H98" s="16"/>
      <c r="I98" s="16"/>
      <c r="J98" s="16"/>
      <c r="K98" s="16"/>
      <c r="L98" s="16"/>
      <c r="M98" s="25"/>
      <c r="N98" s="25"/>
      <c r="O98" s="16"/>
      <c r="P98" s="1"/>
      <c r="Q98" s="1"/>
      <c r="R98" s="1"/>
      <c r="S98" s="1"/>
      <c r="T98" s="1"/>
      <c r="U98" s="1"/>
      <c r="V98" s="38"/>
      <c r="W98" s="1"/>
      <c r="X98" s="1"/>
    </row>
    <row r="99" spans="1:24" ht="14.4">
      <c r="A99" s="15"/>
      <c r="B99" s="15"/>
      <c r="C99" s="16"/>
      <c r="D99" s="16"/>
      <c r="E99" s="16"/>
      <c r="F99" s="16"/>
      <c r="G99" s="16"/>
      <c r="H99" s="16"/>
      <c r="I99" s="16"/>
      <c r="J99" s="16"/>
      <c r="K99" s="16"/>
      <c r="L99" s="16"/>
      <c r="M99" s="25"/>
      <c r="N99" s="25"/>
      <c r="O99" s="16"/>
      <c r="P99" s="1"/>
      <c r="Q99" s="1"/>
      <c r="R99" s="1"/>
      <c r="S99" s="1"/>
      <c r="T99" s="1"/>
      <c r="U99" s="1"/>
      <c r="V99" s="38"/>
      <c r="W99" s="1"/>
      <c r="X99" s="1"/>
    </row>
    <row r="100" spans="1:24" ht="14.4">
      <c r="A100" s="15"/>
      <c r="B100" s="15"/>
      <c r="C100" s="16"/>
      <c r="D100" s="16"/>
      <c r="E100" s="16"/>
      <c r="F100" s="16"/>
      <c r="G100" s="16"/>
      <c r="H100" s="16"/>
      <c r="I100" s="16"/>
      <c r="J100" s="16"/>
      <c r="K100" s="16"/>
      <c r="L100" s="16"/>
      <c r="M100" s="25"/>
      <c r="N100" s="25"/>
      <c r="O100" s="16"/>
      <c r="P100" s="1"/>
      <c r="Q100" s="1"/>
      <c r="R100" s="1"/>
      <c r="S100" s="1"/>
      <c r="T100" s="1"/>
      <c r="U100" s="1"/>
      <c r="V100" s="38"/>
      <c r="W100" s="1"/>
      <c r="X100" s="1"/>
    </row>
    <row r="101" spans="1:24" ht="14.4">
      <c r="A101" s="15"/>
      <c r="B101" s="15"/>
      <c r="C101" s="16"/>
      <c r="D101" s="16"/>
      <c r="E101" s="16"/>
      <c r="F101" s="16"/>
      <c r="G101" s="16"/>
      <c r="H101" s="16"/>
      <c r="I101" s="16"/>
      <c r="J101" s="16"/>
      <c r="K101" s="16"/>
      <c r="L101" s="16"/>
      <c r="M101" s="25"/>
      <c r="N101" s="25"/>
      <c r="O101" s="16"/>
      <c r="P101" s="1"/>
      <c r="Q101" s="1"/>
      <c r="R101" s="1"/>
      <c r="S101" s="1"/>
      <c r="T101" s="1"/>
      <c r="U101" s="1"/>
      <c r="V101" s="38"/>
      <c r="W101" s="1"/>
      <c r="X101" s="1"/>
    </row>
    <row r="102" spans="1:24" ht="14.4">
      <c r="A102" s="15"/>
      <c r="B102" s="15"/>
      <c r="C102" s="16"/>
      <c r="D102" s="16"/>
      <c r="E102" s="16"/>
      <c r="F102" s="16"/>
      <c r="G102" s="16"/>
      <c r="H102" s="16"/>
      <c r="I102" s="16"/>
      <c r="J102" s="16"/>
      <c r="K102" s="16"/>
      <c r="L102" s="16"/>
      <c r="M102" s="25"/>
      <c r="N102" s="25"/>
      <c r="O102" s="16"/>
      <c r="P102" s="1"/>
      <c r="Q102" s="1"/>
      <c r="R102" s="1"/>
      <c r="S102" s="1"/>
      <c r="T102" s="1"/>
      <c r="U102" s="1"/>
      <c r="V102" s="38"/>
      <c r="W102" s="1"/>
      <c r="X102" s="1"/>
    </row>
    <row r="103" spans="1:24" ht="14.4">
      <c r="A103" s="15"/>
      <c r="B103" s="15"/>
      <c r="C103" s="16"/>
      <c r="D103" s="16"/>
      <c r="E103" s="16"/>
      <c r="F103" s="16"/>
      <c r="G103" s="16"/>
      <c r="H103" s="16"/>
      <c r="I103" s="16"/>
      <c r="J103" s="16"/>
      <c r="K103" s="16"/>
      <c r="L103" s="16"/>
      <c r="M103" s="25"/>
      <c r="N103" s="25"/>
      <c r="O103" s="16"/>
      <c r="P103" s="1"/>
      <c r="Q103" s="1"/>
      <c r="R103" s="1"/>
      <c r="S103" s="1"/>
      <c r="T103" s="1"/>
      <c r="U103" s="1"/>
      <c r="V103" s="38"/>
      <c r="W103" s="1"/>
      <c r="X103" s="1"/>
    </row>
    <row r="104" spans="1:24" ht="14.4">
      <c r="A104" s="15"/>
      <c r="B104" s="15"/>
      <c r="C104" s="16"/>
      <c r="D104" s="16"/>
      <c r="E104" s="16"/>
      <c r="F104" s="16"/>
      <c r="G104" s="16"/>
      <c r="H104" s="16"/>
      <c r="I104" s="16"/>
      <c r="J104" s="16"/>
      <c r="K104" s="16"/>
      <c r="L104" s="16"/>
      <c r="M104" s="25"/>
      <c r="N104" s="25"/>
      <c r="O104" s="16"/>
      <c r="P104" s="1"/>
      <c r="Q104" s="1"/>
      <c r="R104" s="1"/>
      <c r="S104" s="1"/>
      <c r="T104" s="1"/>
      <c r="U104" s="1"/>
      <c r="V104" s="38"/>
      <c r="W104" s="1"/>
      <c r="X104" s="1"/>
    </row>
    <row r="105" spans="1:24" ht="14.4">
      <c r="A105" s="15"/>
      <c r="B105" s="15"/>
      <c r="C105" s="16"/>
      <c r="D105" s="16"/>
      <c r="E105" s="16"/>
      <c r="F105" s="16"/>
      <c r="G105" s="16"/>
      <c r="H105" s="16"/>
      <c r="I105" s="16"/>
      <c r="J105" s="16"/>
      <c r="K105" s="16"/>
      <c r="L105" s="16"/>
      <c r="M105" s="25"/>
      <c r="N105" s="25"/>
      <c r="O105" s="16"/>
      <c r="P105" s="1"/>
      <c r="Q105" s="1"/>
      <c r="R105" s="1"/>
      <c r="S105" s="1"/>
      <c r="T105" s="1"/>
      <c r="U105" s="1"/>
      <c r="V105" s="38"/>
      <c r="W105" s="1"/>
      <c r="X105" s="1"/>
    </row>
    <row r="106" spans="1:24" ht="14.4">
      <c r="A106" s="15"/>
      <c r="B106" s="15"/>
      <c r="C106" s="16"/>
      <c r="D106" s="16"/>
      <c r="E106" s="16"/>
      <c r="F106" s="16"/>
      <c r="G106" s="16"/>
      <c r="H106" s="16"/>
      <c r="I106" s="16"/>
      <c r="J106" s="16"/>
      <c r="K106" s="16"/>
      <c r="L106" s="16"/>
      <c r="M106" s="25"/>
      <c r="N106" s="25"/>
      <c r="O106" s="16"/>
      <c r="P106" s="1"/>
      <c r="Q106" s="1"/>
      <c r="R106" s="1"/>
      <c r="S106" s="1"/>
      <c r="T106" s="1"/>
      <c r="U106" s="1"/>
      <c r="V106" s="38"/>
      <c r="W106" s="1"/>
      <c r="X106" s="1"/>
    </row>
    <row r="107" spans="1:24" ht="14.4">
      <c r="A107" s="15"/>
      <c r="B107" s="15"/>
      <c r="C107" s="16"/>
      <c r="D107" s="16"/>
      <c r="E107" s="16"/>
      <c r="F107" s="16"/>
      <c r="G107" s="16"/>
      <c r="H107" s="16"/>
      <c r="I107" s="16"/>
      <c r="J107" s="16"/>
      <c r="K107" s="16"/>
      <c r="L107" s="16"/>
      <c r="M107" s="25"/>
      <c r="N107" s="25"/>
      <c r="O107" s="16"/>
      <c r="P107" s="1"/>
      <c r="Q107" s="1"/>
      <c r="R107" s="1"/>
      <c r="S107" s="1"/>
      <c r="T107" s="1"/>
      <c r="U107" s="1"/>
      <c r="V107" s="38"/>
      <c r="W107" s="1"/>
      <c r="X107" s="1"/>
    </row>
    <row r="108" spans="1:24" ht="14.4">
      <c r="A108" s="15"/>
      <c r="B108" s="15"/>
      <c r="C108" s="16"/>
      <c r="D108" s="16"/>
      <c r="E108" s="16"/>
      <c r="F108" s="16"/>
      <c r="G108" s="16"/>
      <c r="H108" s="16"/>
      <c r="I108" s="16"/>
      <c r="J108" s="16"/>
      <c r="K108" s="16"/>
      <c r="L108" s="16"/>
      <c r="M108" s="25"/>
      <c r="N108" s="25"/>
      <c r="O108" s="16"/>
      <c r="P108" s="1"/>
      <c r="Q108" s="1"/>
      <c r="R108" s="1"/>
      <c r="S108" s="1"/>
      <c r="T108" s="1"/>
      <c r="U108" s="1"/>
      <c r="V108" s="38"/>
      <c r="W108" s="1"/>
      <c r="X108" s="1"/>
    </row>
    <row r="109" spans="1:24" ht="14.4">
      <c r="A109" s="15"/>
      <c r="B109" s="15"/>
      <c r="C109" s="16"/>
      <c r="D109" s="16"/>
      <c r="E109" s="16"/>
      <c r="F109" s="16"/>
      <c r="G109" s="16"/>
      <c r="H109" s="16"/>
      <c r="I109" s="16"/>
      <c r="J109" s="16"/>
      <c r="K109" s="16"/>
      <c r="L109" s="16"/>
      <c r="M109" s="25"/>
      <c r="N109" s="25"/>
      <c r="O109" s="16"/>
      <c r="P109" s="1"/>
      <c r="Q109" s="1"/>
      <c r="R109" s="1"/>
      <c r="S109" s="1"/>
      <c r="T109" s="1"/>
      <c r="U109" s="1"/>
      <c r="V109" s="38"/>
      <c r="W109" s="1"/>
      <c r="X109" s="1"/>
    </row>
    <row r="110" spans="1:24" ht="14.4">
      <c r="A110" s="15"/>
      <c r="B110" s="15"/>
      <c r="C110" s="16"/>
      <c r="D110" s="16"/>
      <c r="E110" s="16"/>
      <c r="F110" s="16"/>
      <c r="G110" s="16"/>
      <c r="H110" s="16"/>
      <c r="I110" s="16"/>
      <c r="J110" s="16"/>
      <c r="K110" s="16"/>
      <c r="L110" s="16"/>
      <c r="M110" s="25"/>
      <c r="N110" s="25"/>
      <c r="O110" s="16"/>
      <c r="P110" s="1"/>
      <c r="Q110" s="1"/>
      <c r="R110" s="1"/>
      <c r="S110" s="1"/>
      <c r="T110" s="1"/>
      <c r="U110" s="1"/>
      <c r="V110" s="38"/>
      <c r="W110" s="1"/>
      <c r="X110" s="1"/>
    </row>
    <row r="111" spans="1:24" ht="14.4">
      <c r="A111" s="15"/>
      <c r="B111" s="15"/>
      <c r="C111" s="16"/>
      <c r="D111" s="16"/>
      <c r="E111" s="16"/>
      <c r="F111" s="16"/>
      <c r="G111" s="16"/>
      <c r="H111" s="16"/>
      <c r="I111" s="16"/>
      <c r="J111" s="16"/>
      <c r="K111" s="16"/>
      <c r="L111" s="16"/>
      <c r="M111" s="25"/>
      <c r="N111" s="25"/>
      <c r="O111" s="16"/>
      <c r="P111" s="1"/>
      <c r="Q111" s="1"/>
      <c r="R111" s="1"/>
      <c r="S111" s="1"/>
      <c r="T111" s="1"/>
      <c r="U111" s="1"/>
      <c r="V111" s="38"/>
      <c r="W111" s="1"/>
      <c r="X111" s="1"/>
    </row>
    <row r="112" spans="1:24" ht="14.4">
      <c r="A112" s="15"/>
      <c r="B112" s="15"/>
      <c r="C112" s="16"/>
      <c r="D112" s="16"/>
      <c r="E112" s="16"/>
      <c r="F112" s="16"/>
      <c r="G112" s="16"/>
      <c r="H112" s="16"/>
      <c r="I112" s="16"/>
      <c r="J112" s="16"/>
      <c r="K112" s="16"/>
      <c r="L112" s="16"/>
      <c r="M112" s="25"/>
      <c r="N112" s="25"/>
      <c r="O112" s="16"/>
      <c r="P112" s="1"/>
      <c r="Q112" s="1"/>
      <c r="R112" s="1"/>
      <c r="S112" s="1"/>
      <c r="T112" s="1"/>
      <c r="U112" s="1"/>
      <c r="V112" s="38"/>
      <c r="W112" s="1"/>
      <c r="X112" s="1"/>
    </row>
    <row r="113" spans="1:24" ht="14.4">
      <c r="A113" s="15"/>
      <c r="B113" s="15"/>
      <c r="C113" s="16"/>
      <c r="D113" s="16"/>
      <c r="E113" s="16"/>
      <c r="F113" s="16"/>
      <c r="G113" s="16"/>
      <c r="H113" s="16"/>
      <c r="I113" s="16"/>
      <c r="J113" s="16"/>
      <c r="K113" s="16"/>
      <c r="L113" s="16"/>
      <c r="M113" s="25"/>
      <c r="N113" s="25"/>
      <c r="O113" s="16"/>
      <c r="P113" s="1"/>
      <c r="Q113" s="1"/>
      <c r="R113" s="1"/>
      <c r="S113" s="1"/>
      <c r="T113" s="1"/>
      <c r="U113" s="1"/>
      <c r="V113" s="38"/>
      <c r="W113" s="1"/>
      <c r="X113" s="1"/>
    </row>
    <row r="114" spans="1:24" ht="14.4">
      <c r="A114" s="15"/>
      <c r="B114" s="15"/>
      <c r="C114" s="16"/>
      <c r="D114" s="16"/>
      <c r="E114" s="16"/>
      <c r="F114" s="16"/>
      <c r="G114" s="16"/>
      <c r="H114" s="16"/>
      <c r="I114" s="16"/>
      <c r="J114" s="16"/>
      <c r="K114" s="16"/>
      <c r="L114" s="16"/>
      <c r="M114" s="25"/>
      <c r="N114" s="25"/>
      <c r="O114" s="16"/>
      <c r="P114" s="1"/>
      <c r="Q114" s="1"/>
      <c r="R114" s="1"/>
      <c r="S114" s="1"/>
      <c r="T114" s="1"/>
      <c r="U114" s="1"/>
      <c r="V114" s="38"/>
      <c r="W114" s="1"/>
      <c r="X114" s="1"/>
    </row>
    <row r="115" spans="1:24" ht="14.4">
      <c r="A115" s="15"/>
      <c r="B115" s="15"/>
      <c r="C115" s="16"/>
      <c r="D115" s="16"/>
      <c r="E115" s="16"/>
      <c r="F115" s="16"/>
      <c r="G115" s="16"/>
      <c r="H115" s="16"/>
      <c r="I115" s="16"/>
      <c r="J115" s="16"/>
      <c r="K115" s="16"/>
      <c r="L115" s="16"/>
      <c r="M115" s="25"/>
      <c r="N115" s="25"/>
      <c r="O115" s="16"/>
      <c r="P115" s="1"/>
      <c r="Q115" s="1"/>
      <c r="R115" s="1"/>
      <c r="S115" s="1"/>
      <c r="T115" s="1"/>
      <c r="U115" s="1"/>
      <c r="V115" s="38"/>
      <c r="W115" s="1"/>
      <c r="X115" s="1"/>
    </row>
    <row r="116" spans="1:24" ht="14.4">
      <c r="A116" s="15"/>
      <c r="B116" s="15"/>
      <c r="C116" s="16"/>
      <c r="D116" s="16"/>
      <c r="E116" s="16"/>
      <c r="F116" s="16"/>
      <c r="G116" s="16"/>
      <c r="H116" s="16"/>
      <c r="I116" s="16"/>
      <c r="J116" s="16"/>
      <c r="K116" s="16"/>
      <c r="L116" s="16"/>
      <c r="M116" s="25"/>
      <c r="N116" s="25"/>
      <c r="O116" s="16"/>
      <c r="P116" s="1"/>
      <c r="Q116" s="1"/>
      <c r="R116" s="1"/>
      <c r="S116" s="1"/>
      <c r="T116" s="1"/>
      <c r="U116" s="1"/>
      <c r="V116" s="38"/>
      <c r="W116" s="1"/>
      <c r="X116" s="1"/>
    </row>
    <row r="117" spans="1:24" ht="14.4">
      <c r="A117" s="15"/>
      <c r="B117" s="15"/>
      <c r="C117" s="16"/>
      <c r="D117" s="16"/>
      <c r="E117" s="16"/>
      <c r="F117" s="16"/>
      <c r="G117" s="16"/>
      <c r="H117" s="16"/>
      <c r="I117" s="16"/>
      <c r="J117" s="16"/>
      <c r="K117" s="16"/>
      <c r="L117" s="16"/>
      <c r="M117" s="25"/>
      <c r="N117" s="25"/>
      <c r="O117" s="16"/>
      <c r="P117" s="1"/>
      <c r="Q117" s="1"/>
      <c r="R117" s="1"/>
      <c r="S117" s="1"/>
      <c r="T117" s="1"/>
      <c r="U117" s="1"/>
      <c r="V117" s="38"/>
      <c r="W117" s="1"/>
      <c r="X117" s="1"/>
    </row>
    <row r="118" spans="1:24" ht="14.4">
      <c r="A118" s="15"/>
      <c r="B118" s="15"/>
      <c r="C118" s="16"/>
      <c r="D118" s="16"/>
      <c r="E118" s="16"/>
      <c r="F118" s="16"/>
      <c r="G118" s="16"/>
      <c r="H118" s="16"/>
      <c r="I118" s="16"/>
      <c r="J118" s="16"/>
      <c r="K118" s="16"/>
      <c r="L118" s="16"/>
      <c r="M118" s="25"/>
      <c r="N118" s="25"/>
      <c r="O118" s="16"/>
      <c r="P118" s="1"/>
      <c r="Q118" s="1"/>
      <c r="R118" s="1"/>
      <c r="S118" s="1"/>
      <c r="T118" s="1"/>
      <c r="U118" s="1"/>
      <c r="V118" s="38"/>
      <c r="W118" s="1"/>
      <c r="X118" s="1"/>
    </row>
    <row r="119" spans="1:24" ht="14.4">
      <c r="A119" s="15"/>
      <c r="B119" s="15"/>
      <c r="C119" s="16"/>
      <c r="D119" s="16"/>
      <c r="E119" s="16"/>
      <c r="F119" s="16"/>
      <c r="G119" s="16"/>
      <c r="H119" s="16"/>
      <c r="I119" s="16"/>
      <c r="J119" s="16"/>
      <c r="K119" s="16"/>
      <c r="L119" s="16"/>
      <c r="M119" s="25"/>
      <c r="N119" s="25"/>
      <c r="O119" s="16"/>
      <c r="P119" s="1"/>
      <c r="Q119" s="1"/>
      <c r="R119" s="1"/>
      <c r="S119" s="1"/>
      <c r="T119" s="1"/>
      <c r="U119" s="1"/>
      <c r="V119" s="38"/>
      <c r="W119" s="1"/>
      <c r="X119" s="1"/>
    </row>
    <row r="120" spans="1:24" ht="14.4">
      <c r="A120" s="15"/>
      <c r="B120" s="15"/>
      <c r="C120" s="16"/>
      <c r="D120" s="16"/>
      <c r="E120" s="16"/>
      <c r="F120" s="16"/>
      <c r="G120" s="16"/>
      <c r="H120" s="16"/>
      <c r="I120" s="16"/>
      <c r="J120" s="16"/>
      <c r="K120" s="16"/>
      <c r="L120" s="16"/>
      <c r="M120" s="25"/>
      <c r="N120" s="25"/>
      <c r="O120" s="16"/>
      <c r="P120" s="1"/>
      <c r="Q120" s="1"/>
      <c r="R120" s="1"/>
      <c r="S120" s="1"/>
      <c r="T120" s="1"/>
      <c r="U120" s="1"/>
      <c r="V120" s="38"/>
      <c r="W120" s="1"/>
      <c r="X120" s="1"/>
    </row>
    <row r="121" spans="1:24" ht="14.4">
      <c r="A121" s="15"/>
      <c r="B121" s="15"/>
      <c r="C121" s="16"/>
      <c r="D121" s="16"/>
      <c r="E121" s="16"/>
      <c r="F121" s="16"/>
      <c r="G121" s="16"/>
      <c r="H121" s="16"/>
      <c r="I121" s="16"/>
      <c r="J121" s="16"/>
      <c r="K121" s="16"/>
      <c r="L121" s="16"/>
      <c r="M121" s="25"/>
      <c r="N121" s="25"/>
      <c r="O121" s="16"/>
      <c r="P121" s="1"/>
      <c r="Q121" s="1"/>
      <c r="R121" s="1"/>
      <c r="S121" s="1"/>
      <c r="T121" s="1"/>
      <c r="U121" s="1"/>
      <c r="V121" s="38"/>
      <c r="W121" s="1"/>
      <c r="X121" s="1"/>
    </row>
    <row r="122" spans="1:24" ht="14.4">
      <c r="A122" s="15"/>
      <c r="B122" s="15"/>
      <c r="C122" s="16"/>
      <c r="D122" s="16"/>
      <c r="E122" s="16"/>
      <c r="F122" s="16"/>
      <c r="G122" s="16"/>
      <c r="H122" s="16"/>
      <c r="I122" s="16"/>
      <c r="J122" s="16"/>
      <c r="K122" s="16"/>
      <c r="L122" s="16"/>
      <c r="M122" s="25"/>
      <c r="N122" s="25"/>
      <c r="O122" s="16"/>
      <c r="P122" s="1"/>
      <c r="Q122" s="1"/>
      <c r="R122" s="1"/>
      <c r="S122" s="1"/>
      <c r="T122" s="1"/>
      <c r="U122" s="1"/>
      <c r="V122" s="38"/>
      <c r="W122" s="1"/>
      <c r="X122" s="1"/>
    </row>
    <row r="123" spans="1:24" ht="14.4">
      <c r="A123" s="15"/>
      <c r="B123" s="15"/>
      <c r="C123" s="16"/>
      <c r="D123" s="16"/>
      <c r="E123" s="16"/>
      <c r="F123" s="16"/>
      <c r="G123" s="16"/>
      <c r="H123" s="16"/>
      <c r="I123" s="16"/>
      <c r="J123" s="16"/>
      <c r="K123" s="16"/>
      <c r="L123" s="16"/>
      <c r="M123" s="25"/>
      <c r="N123" s="25"/>
      <c r="O123" s="16"/>
      <c r="P123" s="1"/>
      <c r="Q123" s="1"/>
      <c r="R123" s="1"/>
      <c r="S123" s="1"/>
      <c r="T123" s="1"/>
      <c r="U123" s="1"/>
      <c r="V123" s="38"/>
      <c r="W123" s="1"/>
      <c r="X123" s="1"/>
    </row>
    <row r="124" spans="1:24" ht="14.4">
      <c r="A124" s="15"/>
      <c r="B124" s="15"/>
      <c r="C124" s="16"/>
      <c r="D124" s="16"/>
      <c r="E124" s="16"/>
      <c r="F124" s="16"/>
      <c r="G124" s="16"/>
      <c r="H124" s="16"/>
      <c r="I124" s="16"/>
      <c r="J124" s="16"/>
      <c r="K124" s="16"/>
      <c r="L124" s="16"/>
      <c r="M124" s="25"/>
      <c r="N124" s="25"/>
      <c r="O124" s="16"/>
      <c r="P124" s="1"/>
      <c r="Q124" s="1"/>
      <c r="R124" s="1"/>
      <c r="S124" s="1"/>
      <c r="T124" s="1"/>
      <c r="U124" s="1"/>
      <c r="V124" s="38"/>
      <c r="W124" s="1"/>
      <c r="X124" s="1"/>
    </row>
    <row r="125" spans="1:24" ht="14.4">
      <c r="A125" s="15"/>
      <c r="B125" s="15"/>
      <c r="C125" s="16"/>
      <c r="D125" s="16"/>
      <c r="E125" s="16"/>
      <c r="F125" s="16"/>
      <c r="G125" s="16"/>
      <c r="H125" s="16"/>
      <c r="I125" s="16"/>
      <c r="J125" s="16"/>
      <c r="K125" s="16"/>
      <c r="L125" s="16"/>
      <c r="M125" s="25"/>
      <c r="N125" s="25"/>
      <c r="O125" s="16"/>
      <c r="P125" s="1"/>
      <c r="Q125" s="1"/>
      <c r="R125" s="1"/>
      <c r="S125" s="1"/>
      <c r="T125" s="1"/>
      <c r="U125" s="1"/>
      <c r="V125" s="38"/>
      <c r="W125" s="1"/>
      <c r="X125" s="1"/>
    </row>
    <row r="126" spans="1:24" ht="14.4">
      <c r="A126" s="15"/>
      <c r="B126" s="15"/>
      <c r="C126" s="16"/>
      <c r="D126" s="16"/>
      <c r="E126" s="16"/>
      <c r="F126" s="16"/>
      <c r="G126" s="16"/>
      <c r="H126" s="16"/>
      <c r="I126" s="16"/>
      <c r="J126" s="16"/>
      <c r="K126" s="16"/>
      <c r="L126" s="16"/>
      <c r="M126" s="25"/>
      <c r="N126" s="25"/>
      <c r="O126" s="16"/>
      <c r="P126" s="1"/>
      <c r="Q126" s="1"/>
      <c r="R126" s="1"/>
      <c r="S126" s="1"/>
      <c r="T126" s="1"/>
      <c r="U126" s="1"/>
      <c r="V126" s="38"/>
      <c r="W126" s="1"/>
      <c r="X126" s="1"/>
    </row>
    <row r="127" spans="1:24" ht="14.4">
      <c r="A127" s="15"/>
      <c r="B127" s="15"/>
      <c r="C127" s="16"/>
      <c r="D127" s="16"/>
      <c r="E127" s="16"/>
      <c r="F127" s="16"/>
      <c r="G127" s="16"/>
      <c r="H127" s="16"/>
      <c r="I127" s="16"/>
      <c r="J127" s="16"/>
      <c r="K127" s="16"/>
      <c r="L127" s="16"/>
      <c r="M127" s="25"/>
      <c r="N127" s="25"/>
      <c r="O127" s="16"/>
      <c r="P127" s="1"/>
      <c r="Q127" s="1"/>
      <c r="R127" s="1"/>
      <c r="S127" s="1"/>
      <c r="T127" s="1"/>
      <c r="U127" s="1"/>
      <c r="V127" s="38"/>
      <c r="W127" s="1"/>
      <c r="X127" s="1"/>
    </row>
    <row r="128" spans="1:24" ht="14.4">
      <c r="A128" s="15"/>
      <c r="B128" s="15"/>
      <c r="C128" s="16"/>
      <c r="D128" s="16"/>
      <c r="E128" s="16"/>
      <c r="F128" s="16"/>
      <c r="G128" s="16"/>
      <c r="H128" s="16"/>
      <c r="I128" s="16"/>
      <c r="J128" s="16"/>
      <c r="K128" s="16"/>
      <c r="L128" s="16"/>
      <c r="M128" s="25"/>
      <c r="N128" s="25"/>
      <c r="O128" s="16"/>
      <c r="P128" s="1"/>
      <c r="Q128" s="1"/>
      <c r="R128" s="1"/>
      <c r="S128" s="1"/>
      <c r="T128" s="1"/>
      <c r="U128" s="1"/>
      <c r="V128" s="38"/>
      <c r="W128" s="1"/>
      <c r="X128" s="1"/>
    </row>
    <row r="129" spans="1:24" ht="14.4">
      <c r="A129" s="15"/>
      <c r="B129" s="15"/>
      <c r="C129" s="16"/>
      <c r="D129" s="16"/>
      <c r="E129" s="16"/>
      <c r="F129" s="16"/>
      <c r="G129" s="16"/>
      <c r="H129" s="16"/>
      <c r="I129" s="16"/>
      <c r="J129" s="16"/>
      <c r="K129" s="16"/>
      <c r="L129" s="16"/>
      <c r="M129" s="25"/>
      <c r="N129" s="25"/>
      <c r="O129" s="16"/>
      <c r="P129" s="1"/>
      <c r="Q129" s="1"/>
      <c r="R129" s="1"/>
      <c r="S129" s="1"/>
      <c r="T129" s="1"/>
      <c r="U129" s="1"/>
      <c r="V129" s="38"/>
      <c r="W129" s="1"/>
      <c r="X129" s="1"/>
    </row>
    <row r="130" spans="1:24" ht="14.4">
      <c r="A130" s="15"/>
      <c r="B130" s="15"/>
      <c r="C130" s="16"/>
      <c r="D130" s="16"/>
      <c r="E130" s="16"/>
      <c r="F130" s="16"/>
      <c r="G130" s="16"/>
      <c r="H130" s="16"/>
      <c r="I130" s="16"/>
      <c r="J130" s="16"/>
      <c r="K130" s="16"/>
      <c r="L130" s="16"/>
      <c r="M130" s="25"/>
      <c r="N130" s="25"/>
      <c r="O130" s="16"/>
      <c r="P130" s="1"/>
      <c r="Q130" s="1"/>
      <c r="R130" s="1"/>
      <c r="S130" s="1"/>
      <c r="T130" s="1"/>
      <c r="U130" s="1"/>
      <c r="V130" s="38"/>
      <c r="W130" s="1"/>
      <c r="X130" s="1"/>
    </row>
    <row r="131" spans="1:24" ht="14.4">
      <c r="A131" s="15"/>
      <c r="B131" s="15"/>
      <c r="C131" s="16"/>
      <c r="D131" s="16"/>
      <c r="E131" s="16"/>
      <c r="F131" s="16"/>
      <c r="G131" s="16"/>
      <c r="H131" s="16"/>
      <c r="I131" s="16"/>
      <c r="J131" s="16"/>
      <c r="K131" s="16"/>
      <c r="L131" s="16"/>
      <c r="M131" s="25"/>
      <c r="N131" s="25"/>
      <c r="O131" s="16"/>
      <c r="P131" s="1"/>
      <c r="Q131" s="1"/>
      <c r="R131" s="1"/>
      <c r="S131" s="1"/>
      <c r="T131" s="1"/>
      <c r="U131" s="1"/>
      <c r="V131" s="38"/>
      <c r="W131" s="1"/>
      <c r="X131" s="1"/>
    </row>
    <row r="132" spans="1:24" ht="14.4">
      <c r="A132" s="15"/>
      <c r="B132" s="15"/>
      <c r="C132" s="16"/>
      <c r="D132" s="16"/>
      <c r="E132" s="16"/>
      <c r="F132" s="16"/>
      <c r="G132" s="16"/>
      <c r="H132" s="16"/>
      <c r="I132" s="16"/>
      <c r="J132" s="16"/>
      <c r="K132" s="16"/>
      <c r="L132" s="16"/>
      <c r="M132" s="25"/>
      <c r="N132" s="25"/>
      <c r="O132" s="16"/>
      <c r="P132" s="1"/>
      <c r="Q132" s="1"/>
      <c r="R132" s="1"/>
      <c r="S132" s="1"/>
      <c r="T132" s="1"/>
      <c r="U132" s="1"/>
      <c r="V132" s="38"/>
      <c r="W132" s="1"/>
      <c r="X132" s="1"/>
    </row>
    <row r="133" spans="1:24" ht="14.4">
      <c r="A133" s="15"/>
      <c r="B133" s="15"/>
      <c r="C133" s="16"/>
      <c r="D133" s="16"/>
      <c r="E133" s="16"/>
      <c r="F133" s="16"/>
      <c r="G133" s="16"/>
      <c r="H133" s="16"/>
      <c r="I133" s="16"/>
      <c r="J133" s="16"/>
      <c r="K133" s="16"/>
      <c r="L133" s="16"/>
      <c r="M133" s="25"/>
      <c r="N133" s="25"/>
      <c r="O133" s="16"/>
      <c r="P133" s="1"/>
      <c r="Q133" s="1"/>
      <c r="R133" s="1"/>
      <c r="S133" s="1"/>
      <c r="T133" s="1"/>
      <c r="U133" s="1"/>
      <c r="V133" s="38"/>
      <c r="W133" s="1"/>
      <c r="X133" s="1"/>
    </row>
    <row r="134" spans="1:24" ht="14.4">
      <c r="A134" s="15"/>
      <c r="B134" s="15"/>
      <c r="C134" s="16"/>
      <c r="D134" s="16"/>
      <c r="E134" s="16"/>
      <c r="F134" s="16"/>
      <c r="G134" s="16"/>
      <c r="H134" s="16"/>
      <c r="I134" s="16"/>
      <c r="J134" s="16"/>
      <c r="K134" s="16"/>
      <c r="L134" s="16"/>
      <c r="M134" s="25"/>
      <c r="N134" s="25"/>
      <c r="O134" s="16"/>
      <c r="P134" s="1"/>
      <c r="Q134" s="1"/>
      <c r="R134" s="1"/>
      <c r="S134" s="1"/>
      <c r="T134" s="1"/>
      <c r="U134" s="1"/>
      <c r="V134" s="38"/>
      <c r="W134" s="1"/>
      <c r="X134" s="1"/>
    </row>
    <row r="135" spans="1:24" ht="14.4">
      <c r="A135" s="15"/>
      <c r="B135" s="15"/>
      <c r="C135" s="16"/>
      <c r="D135" s="16"/>
      <c r="E135" s="16"/>
      <c r="F135" s="16"/>
      <c r="G135" s="16"/>
      <c r="H135" s="16"/>
      <c r="I135" s="16"/>
      <c r="J135" s="16"/>
      <c r="K135" s="16"/>
      <c r="L135" s="16"/>
      <c r="M135" s="25"/>
      <c r="N135" s="25"/>
      <c r="O135" s="16"/>
      <c r="P135" s="1"/>
      <c r="Q135" s="1"/>
      <c r="R135" s="1"/>
      <c r="S135" s="1"/>
      <c r="T135" s="1"/>
      <c r="U135" s="1"/>
      <c r="V135" s="38"/>
      <c r="W135" s="1"/>
      <c r="X135" s="1"/>
    </row>
    <row r="136" spans="1:24" ht="14.4">
      <c r="A136" s="15"/>
      <c r="B136" s="15"/>
      <c r="C136" s="16"/>
      <c r="D136" s="16"/>
      <c r="E136" s="16"/>
      <c r="F136" s="16"/>
      <c r="G136" s="16"/>
      <c r="H136" s="16"/>
      <c r="I136" s="16"/>
      <c r="J136" s="16"/>
      <c r="K136" s="16"/>
      <c r="L136" s="16"/>
      <c r="M136" s="25"/>
      <c r="N136" s="25"/>
      <c r="O136" s="16"/>
      <c r="P136" s="1"/>
      <c r="Q136" s="1"/>
      <c r="R136" s="1"/>
      <c r="S136" s="1"/>
      <c r="T136" s="1"/>
      <c r="U136" s="1"/>
      <c r="V136" s="38"/>
      <c r="W136" s="1"/>
      <c r="X136" s="1"/>
    </row>
    <row r="137" spans="1:24" ht="14.4">
      <c r="A137" s="15"/>
      <c r="B137" s="15"/>
      <c r="C137" s="16"/>
      <c r="D137" s="16"/>
      <c r="E137" s="16"/>
      <c r="F137" s="16"/>
      <c r="G137" s="16"/>
      <c r="H137" s="16"/>
      <c r="I137" s="16"/>
      <c r="J137" s="16"/>
      <c r="K137" s="16"/>
      <c r="L137" s="16"/>
      <c r="M137" s="25"/>
      <c r="N137" s="25"/>
      <c r="O137" s="16"/>
      <c r="P137" s="1"/>
      <c r="Q137" s="1"/>
      <c r="R137" s="1"/>
      <c r="S137" s="1"/>
      <c r="T137" s="1"/>
      <c r="U137" s="1"/>
      <c r="V137" s="38"/>
      <c r="W137" s="1"/>
      <c r="X137" s="1"/>
    </row>
    <row r="138" spans="1:24" ht="14.4">
      <c r="A138" s="15"/>
      <c r="B138" s="15"/>
      <c r="C138" s="16"/>
      <c r="D138" s="16"/>
      <c r="E138" s="16"/>
      <c r="F138" s="16"/>
      <c r="G138" s="16"/>
      <c r="H138" s="16"/>
      <c r="I138" s="16"/>
      <c r="J138" s="16"/>
      <c r="K138" s="16"/>
      <c r="L138" s="16"/>
      <c r="M138" s="25"/>
      <c r="N138" s="25"/>
      <c r="O138" s="16"/>
      <c r="P138" s="1"/>
      <c r="Q138" s="1"/>
      <c r="R138" s="1"/>
      <c r="S138" s="1"/>
      <c r="T138" s="1"/>
      <c r="U138" s="1"/>
      <c r="V138" s="38"/>
      <c r="W138" s="1"/>
      <c r="X138" s="1"/>
    </row>
    <row r="139" spans="1:24" ht="14.4">
      <c r="A139" s="15"/>
      <c r="B139" s="15"/>
      <c r="C139" s="16"/>
      <c r="D139" s="16"/>
      <c r="E139" s="16"/>
      <c r="F139" s="16"/>
      <c r="G139" s="16"/>
      <c r="H139" s="16"/>
      <c r="I139" s="16"/>
      <c r="J139" s="16"/>
      <c r="K139" s="16"/>
      <c r="L139" s="16"/>
      <c r="M139" s="25"/>
      <c r="N139" s="25"/>
      <c r="O139" s="16"/>
      <c r="P139" s="1"/>
      <c r="Q139" s="1"/>
      <c r="R139" s="1"/>
      <c r="S139" s="1"/>
      <c r="T139" s="1"/>
      <c r="U139" s="1"/>
      <c r="V139" s="38"/>
      <c r="W139" s="1"/>
      <c r="X139" s="1"/>
    </row>
    <row r="140" spans="1:24" ht="14.4">
      <c r="A140" s="15"/>
      <c r="B140" s="15"/>
      <c r="C140" s="16"/>
      <c r="D140" s="16"/>
      <c r="E140" s="16"/>
      <c r="F140" s="16"/>
      <c r="G140" s="16"/>
      <c r="H140" s="16"/>
      <c r="I140" s="16"/>
      <c r="J140" s="16"/>
      <c r="K140" s="16"/>
      <c r="L140" s="16"/>
      <c r="M140" s="25"/>
      <c r="N140" s="25"/>
      <c r="O140" s="16"/>
      <c r="P140" s="1"/>
      <c r="Q140" s="1"/>
      <c r="R140" s="1"/>
      <c r="S140" s="1"/>
      <c r="T140" s="1"/>
      <c r="U140" s="1"/>
      <c r="V140" s="38"/>
      <c r="W140" s="1"/>
      <c r="X140" s="1"/>
    </row>
    <row r="141" spans="1:24" ht="14.4">
      <c r="A141" s="15"/>
      <c r="B141" s="15"/>
      <c r="C141" s="16"/>
      <c r="D141" s="16"/>
      <c r="E141" s="16"/>
      <c r="F141" s="16"/>
      <c r="G141" s="16"/>
      <c r="H141" s="16"/>
      <c r="I141" s="16"/>
      <c r="J141" s="16"/>
      <c r="K141" s="16"/>
      <c r="L141" s="16"/>
      <c r="M141" s="25"/>
      <c r="N141" s="25"/>
      <c r="O141" s="16"/>
      <c r="P141" s="1"/>
      <c r="Q141" s="1"/>
      <c r="R141" s="1"/>
      <c r="S141" s="1"/>
      <c r="T141" s="1"/>
      <c r="U141" s="1"/>
      <c r="V141" s="38"/>
      <c r="W141" s="1"/>
      <c r="X141" s="1"/>
    </row>
    <row r="142" spans="1:24" ht="14.4">
      <c r="A142" s="15"/>
      <c r="B142" s="15"/>
      <c r="C142" s="16"/>
      <c r="D142" s="16"/>
      <c r="E142" s="16"/>
      <c r="F142" s="16"/>
      <c r="G142" s="16"/>
      <c r="H142" s="16"/>
      <c r="I142" s="16"/>
      <c r="J142" s="16"/>
      <c r="K142" s="16"/>
      <c r="L142" s="16"/>
      <c r="M142" s="25"/>
      <c r="N142" s="25"/>
      <c r="O142" s="16"/>
      <c r="P142" s="1"/>
      <c r="Q142" s="1"/>
      <c r="R142" s="1"/>
      <c r="S142" s="1"/>
      <c r="T142" s="1"/>
      <c r="U142" s="1"/>
      <c r="V142" s="38"/>
      <c r="W142" s="1"/>
      <c r="X142" s="1"/>
    </row>
    <row r="143" spans="1:24" ht="14.4">
      <c r="A143" s="15"/>
      <c r="B143" s="15"/>
      <c r="C143" s="16"/>
      <c r="D143" s="16"/>
      <c r="E143" s="16"/>
      <c r="F143" s="16"/>
      <c r="G143" s="16"/>
      <c r="H143" s="16"/>
      <c r="I143" s="16"/>
      <c r="J143" s="16"/>
      <c r="K143" s="16"/>
      <c r="L143" s="16"/>
      <c r="M143" s="25"/>
      <c r="N143" s="25"/>
      <c r="O143" s="16"/>
      <c r="P143" s="1"/>
      <c r="Q143" s="1"/>
      <c r="R143" s="1"/>
      <c r="S143" s="1"/>
      <c r="T143" s="1"/>
      <c r="U143" s="1"/>
      <c r="V143" s="38"/>
      <c r="W143" s="1"/>
      <c r="X143" s="1"/>
    </row>
    <row r="144" spans="1:24" ht="14.4">
      <c r="A144" s="15"/>
      <c r="B144" s="15"/>
      <c r="C144" s="16"/>
      <c r="D144" s="16"/>
      <c r="E144" s="16"/>
      <c r="F144" s="16"/>
      <c r="G144" s="16"/>
      <c r="H144" s="16"/>
      <c r="I144" s="16"/>
      <c r="J144" s="16"/>
      <c r="K144" s="16"/>
      <c r="L144" s="16"/>
      <c r="M144" s="25"/>
      <c r="N144" s="25"/>
      <c r="O144" s="16"/>
      <c r="P144" s="1"/>
      <c r="Q144" s="1"/>
      <c r="R144" s="1"/>
      <c r="S144" s="1"/>
      <c r="T144" s="1"/>
      <c r="U144" s="1"/>
      <c r="V144" s="38"/>
      <c r="W144" s="1"/>
      <c r="X144" s="1"/>
    </row>
    <row r="145" spans="1:24" ht="14.4">
      <c r="A145" s="15"/>
      <c r="B145" s="15"/>
      <c r="C145" s="16"/>
      <c r="D145" s="16"/>
      <c r="E145" s="16"/>
      <c r="F145" s="16"/>
      <c r="G145" s="16"/>
      <c r="H145" s="16"/>
      <c r="I145" s="16"/>
      <c r="J145" s="16"/>
      <c r="K145" s="16"/>
      <c r="L145" s="16"/>
      <c r="M145" s="25"/>
      <c r="N145" s="25"/>
      <c r="O145" s="16"/>
      <c r="P145" s="1"/>
      <c r="Q145" s="1"/>
      <c r="R145" s="1"/>
      <c r="S145" s="1"/>
      <c r="T145" s="1"/>
      <c r="U145" s="1"/>
      <c r="V145" s="38"/>
      <c r="W145" s="1"/>
      <c r="X145" s="1"/>
    </row>
    <row r="146" spans="1:24" ht="14.4">
      <c r="A146" s="15"/>
      <c r="B146" s="15"/>
      <c r="C146" s="16"/>
      <c r="D146" s="16"/>
      <c r="E146" s="16"/>
      <c r="F146" s="16"/>
      <c r="G146" s="16"/>
      <c r="H146" s="16"/>
      <c r="I146" s="16"/>
      <c r="J146" s="16"/>
      <c r="K146" s="16"/>
      <c r="L146" s="16"/>
      <c r="M146" s="25"/>
      <c r="N146" s="25"/>
      <c r="O146" s="16"/>
      <c r="P146" s="1"/>
      <c r="Q146" s="1"/>
      <c r="R146" s="1"/>
      <c r="S146" s="1"/>
      <c r="T146" s="1"/>
      <c r="U146" s="1"/>
      <c r="V146" s="38"/>
      <c r="W146" s="1"/>
      <c r="X146" s="1"/>
    </row>
    <row r="147" spans="1:24" ht="14.4">
      <c r="A147" s="15"/>
      <c r="B147" s="15"/>
      <c r="C147" s="16"/>
      <c r="D147" s="16"/>
      <c r="E147" s="16"/>
      <c r="F147" s="16"/>
      <c r="G147" s="16"/>
      <c r="H147" s="16"/>
      <c r="I147" s="16"/>
      <c r="J147" s="16"/>
      <c r="K147" s="16"/>
      <c r="L147" s="16"/>
      <c r="M147" s="25"/>
      <c r="N147" s="25"/>
      <c r="O147" s="16"/>
      <c r="P147" s="1"/>
      <c r="Q147" s="1"/>
      <c r="R147" s="1"/>
      <c r="S147" s="1"/>
      <c r="T147" s="1"/>
      <c r="U147" s="1"/>
      <c r="V147" s="38"/>
      <c r="W147" s="1"/>
      <c r="X147" s="1"/>
    </row>
    <row r="148" spans="1:24" ht="14.4">
      <c r="A148" s="15"/>
      <c r="B148" s="15"/>
      <c r="C148" s="16"/>
      <c r="D148" s="16"/>
      <c r="E148" s="16"/>
      <c r="F148" s="16"/>
      <c r="G148" s="16"/>
      <c r="H148" s="16"/>
      <c r="I148" s="16"/>
      <c r="J148" s="16"/>
      <c r="K148" s="16"/>
      <c r="L148" s="16"/>
      <c r="M148" s="25"/>
      <c r="N148" s="25"/>
      <c r="O148" s="16"/>
      <c r="P148" s="1"/>
      <c r="Q148" s="1"/>
      <c r="R148" s="1"/>
      <c r="S148" s="1"/>
      <c r="T148" s="1"/>
      <c r="U148" s="1"/>
      <c r="V148" s="38"/>
      <c r="W148" s="1"/>
      <c r="X148" s="1"/>
    </row>
    <row r="149" spans="1:24" ht="14.4">
      <c r="A149" s="15"/>
      <c r="B149" s="15"/>
      <c r="C149" s="16"/>
      <c r="D149" s="16"/>
      <c r="E149" s="16"/>
      <c r="F149" s="16"/>
      <c r="G149" s="16"/>
      <c r="H149" s="16"/>
      <c r="I149" s="16"/>
      <c r="J149" s="16"/>
      <c r="K149" s="16"/>
      <c r="L149" s="16"/>
      <c r="M149" s="25"/>
      <c r="N149" s="25"/>
      <c r="O149" s="16"/>
      <c r="P149" s="1"/>
      <c r="Q149" s="1"/>
      <c r="R149" s="1"/>
      <c r="S149" s="1"/>
      <c r="T149" s="1"/>
      <c r="U149" s="1"/>
      <c r="V149" s="38"/>
      <c r="W149" s="1"/>
      <c r="X149" s="1"/>
    </row>
    <row r="150" spans="1:24" ht="14.4">
      <c r="A150" s="15"/>
      <c r="B150" s="15"/>
      <c r="C150" s="16"/>
      <c r="D150" s="16"/>
      <c r="E150" s="16"/>
      <c r="F150" s="16"/>
      <c r="G150" s="16"/>
      <c r="H150" s="16"/>
      <c r="I150" s="16"/>
      <c r="J150" s="16"/>
      <c r="K150" s="16"/>
      <c r="L150" s="16"/>
      <c r="M150" s="25"/>
      <c r="N150" s="25"/>
      <c r="O150" s="16"/>
      <c r="P150" s="1"/>
      <c r="Q150" s="1"/>
      <c r="R150" s="1"/>
      <c r="S150" s="1"/>
      <c r="T150" s="1"/>
      <c r="U150" s="1"/>
      <c r="V150" s="38"/>
      <c r="W150" s="1"/>
      <c r="X150" s="1"/>
    </row>
    <row r="151" spans="1:24" ht="14.4">
      <c r="A151" s="15"/>
      <c r="B151" s="15"/>
      <c r="C151" s="16"/>
      <c r="D151" s="16"/>
      <c r="E151" s="16"/>
      <c r="F151" s="16"/>
      <c r="G151" s="16"/>
      <c r="H151" s="16"/>
      <c r="I151" s="16"/>
      <c r="J151" s="16"/>
      <c r="K151" s="16"/>
      <c r="L151" s="16"/>
      <c r="M151" s="25"/>
      <c r="N151" s="25"/>
      <c r="O151" s="16"/>
      <c r="P151" s="1"/>
      <c r="Q151" s="1"/>
      <c r="R151" s="1"/>
      <c r="S151" s="1"/>
      <c r="T151" s="1"/>
      <c r="U151" s="1"/>
      <c r="V151" s="38"/>
      <c r="W151" s="1"/>
      <c r="X151" s="1"/>
    </row>
    <row r="152" spans="1:24" ht="14.4">
      <c r="A152" s="15"/>
      <c r="B152" s="15"/>
      <c r="C152" s="16"/>
      <c r="D152" s="16"/>
      <c r="E152" s="16"/>
      <c r="F152" s="16"/>
      <c r="G152" s="16"/>
      <c r="H152" s="16"/>
      <c r="I152" s="16"/>
      <c r="J152" s="16"/>
      <c r="K152" s="16"/>
      <c r="L152" s="16"/>
      <c r="M152" s="25"/>
      <c r="N152" s="25"/>
      <c r="O152" s="16"/>
      <c r="P152" s="1"/>
      <c r="Q152" s="1"/>
      <c r="R152" s="1"/>
      <c r="S152" s="1"/>
      <c r="T152" s="1"/>
      <c r="U152" s="1"/>
      <c r="V152" s="38"/>
      <c r="W152" s="1"/>
      <c r="X152" s="1"/>
    </row>
    <row r="153" spans="1:24" ht="14.4">
      <c r="A153" s="15"/>
      <c r="B153" s="15"/>
      <c r="C153" s="16"/>
      <c r="D153" s="16"/>
      <c r="E153" s="16"/>
      <c r="F153" s="16"/>
      <c r="G153" s="16"/>
      <c r="H153" s="16"/>
      <c r="I153" s="16"/>
      <c r="J153" s="16"/>
      <c r="K153" s="16"/>
      <c r="L153" s="16"/>
      <c r="M153" s="25"/>
      <c r="N153" s="25"/>
      <c r="O153" s="16"/>
      <c r="P153" s="1"/>
      <c r="Q153" s="1"/>
      <c r="R153" s="1"/>
      <c r="S153" s="1"/>
      <c r="T153" s="1"/>
      <c r="U153" s="1"/>
      <c r="V153" s="38"/>
      <c r="W153" s="1"/>
      <c r="X153" s="1"/>
    </row>
    <row r="154" spans="1:24" ht="14.4">
      <c r="A154" s="15"/>
      <c r="B154" s="15"/>
      <c r="C154" s="16"/>
      <c r="D154" s="16"/>
      <c r="E154" s="16"/>
      <c r="F154" s="16"/>
      <c r="G154" s="16"/>
      <c r="H154" s="16"/>
      <c r="I154" s="16"/>
      <c r="J154" s="16"/>
      <c r="K154" s="16"/>
      <c r="L154" s="16"/>
      <c r="M154" s="25"/>
      <c r="N154" s="25"/>
      <c r="O154" s="16"/>
      <c r="P154" s="1"/>
      <c r="Q154" s="1"/>
      <c r="R154" s="1"/>
      <c r="S154" s="1"/>
      <c r="T154" s="1"/>
      <c r="U154" s="1"/>
      <c r="V154" s="38"/>
      <c r="W154" s="1"/>
      <c r="X154" s="1"/>
    </row>
    <row r="155" spans="1:24" ht="14.4">
      <c r="A155" s="15"/>
      <c r="B155" s="15"/>
      <c r="C155" s="16"/>
      <c r="D155" s="16"/>
      <c r="E155" s="16"/>
      <c r="F155" s="16"/>
      <c r="G155" s="16"/>
      <c r="H155" s="16"/>
      <c r="I155" s="16"/>
      <c r="J155" s="16"/>
      <c r="K155" s="16"/>
      <c r="L155" s="16"/>
      <c r="M155" s="25"/>
      <c r="N155" s="25"/>
      <c r="O155" s="16"/>
      <c r="P155" s="1"/>
      <c r="Q155" s="1"/>
      <c r="R155" s="1"/>
      <c r="S155" s="1"/>
      <c r="T155" s="1"/>
      <c r="U155" s="1"/>
      <c r="V155" s="38"/>
      <c r="W155" s="1"/>
      <c r="X155" s="1"/>
    </row>
    <row r="156" spans="1:24" ht="14.4">
      <c r="A156" s="15"/>
      <c r="B156" s="15"/>
      <c r="C156" s="16"/>
      <c r="D156" s="16"/>
      <c r="E156" s="16"/>
      <c r="F156" s="16"/>
      <c r="G156" s="16"/>
      <c r="H156" s="16"/>
      <c r="I156" s="16"/>
      <c r="J156" s="16"/>
      <c r="K156" s="16"/>
      <c r="L156" s="16"/>
      <c r="M156" s="25"/>
      <c r="N156" s="25"/>
      <c r="O156" s="16"/>
      <c r="P156" s="1"/>
      <c r="Q156" s="1"/>
      <c r="R156" s="1"/>
      <c r="S156" s="1"/>
      <c r="T156" s="1"/>
      <c r="U156" s="1"/>
      <c r="V156" s="38"/>
      <c r="W156" s="1"/>
      <c r="X156" s="1"/>
    </row>
    <row r="157" spans="1:24" ht="14.4">
      <c r="A157" s="15"/>
      <c r="B157" s="15"/>
      <c r="C157" s="16"/>
      <c r="D157" s="16"/>
      <c r="E157" s="16"/>
      <c r="F157" s="16"/>
      <c r="G157" s="16"/>
      <c r="H157" s="16"/>
      <c r="I157" s="16"/>
      <c r="J157" s="16"/>
      <c r="K157" s="16"/>
      <c r="L157" s="16"/>
      <c r="M157" s="25"/>
      <c r="N157" s="25"/>
      <c r="O157" s="16"/>
      <c r="P157" s="1"/>
      <c r="Q157" s="1"/>
      <c r="R157" s="1"/>
      <c r="S157" s="1"/>
      <c r="T157" s="1"/>
      <c r="U157" s="1"/>
      <c r="V157" s="38"/>
      <c r="W157" s="1"/>
      <c r="X157" s="1"/>
    </row>
    <row r="158" spans="1:24" ht="14.4">
      <c r="A158" s="15"/>
      <c r="B158" s="15"/>
      <c r="C158" s="16"/>
      <c r="D158" s="16"/>
      <c r="E158" s="16"/>
      <c r="F158" s="16"/>
      <c r="G158" s="16"/>
      <c r="H158" s="16"/>
      <c r="I158" s="16"/>
      <c r="J158" s="16"/>
      <c r="K158" s="16"/>
      <c r="L158" s="16"/>
      <c r="M158" s="25"/>
      <c r="N158" s="25"/>
      <c r="O158" s="16"/>
      <c r="P158" s="1"/>
      <c r="Q158" s="1"/>
      <c r="R158" s="1"/>
      <c r="S158" s="1"/>
      <c r="T158" s="1"/>
      <c r="U158" s="1"/>
      <c r="V158" s="38"/>
      <c r="W158" s="1"/>
      <c r="X158" s="1"/>
    </row>
    <row r="159" spans="1:24" ht="14.4">
      <c r="A159" s="15"/>
      <c r="B159" s="15"/>
      <c r="C159" s="16"/>
      <c r="D159" s="16"/>
      <c r="E159" s="16"/>
      <c r="F159" s="16"/>
      <c r="G159" s="16"/>
      <c r="H159" s="16"/>
      <c r="I159" s="16"/>
      <c r="J159" s="16"/>
      <c r="K159" s="16"/>
      <c r="L159" s="16"/>
      <c r="M159" s="25"/>
      <c r="N159" s="25"/>
      <c r="O159" s="16"/>
      <c r="P159" s="1"/>
      <c r="Q159" s="1"/>
      <c r="R159" s="1"/>
      <c r="S159" s="1"/>
      <c r="T159" s="1"/>
      <c r="U159" s="1"/>
      <c r="V159" s="38"/>
      <c r="W159" s="1"/>
      <c r="X159" s="1"/>
    </row>
    <row r="160" spans="1:24" ht="14.4">
      <c r="A160" s="15"/>
      <c r="B160" s="15"/>
      <c r="C160" s="16"/>
      <c r="D160" s="16"/>
      <c r="E160" s="16"/>
      <c r="F160" s="16"/>
      <c r="G160" s="16"/>
      <c r="H160" s="16"/>
      <c r="I160" s="16"/>
      <c r="J160" s="16"/>
      <c r="K160" s="16"/>
      <c r="L160" s="16"/>
      <c r="M160" s="25"/>
      <c r="N160" s="25"/>
      <c r="O160" s="16"/>
      <c r="P160" s="1"/>
      <c r="Q160" s="1"/>
      <c r="R160" s="1"/>
      <c r="S160" s="1"/>
      <c r="T160" s="1"/>
      <c r="U160" s="1"/>
      <c r="V160" s="38"/>
      <c r="W160" s="1"/>
      <c r="X160" s="1"/>
    </row>
    <row r="161" spans="1:24" ht="14.4">
      <c r="A161" s="15"/>
      <c r="B161" s="15"/>
      <c r="C161" s="16"/>
      <c r="D161" s="16"/>
      <c r="E161" s="16"/>
      <c r="F161" s="16"/>
      <c r="G161" s="16"/>
      <c r="H161" s="16"/>
      <c r="I161" s="16"/>
      <c r="J161" s="16"/>
      <c r="K161" s="16"/>
      <c r="L161" s="16"/>
      <c r="M161" s="25"/>
      <c r="N161" s="25"/>
      <c r="O161" s="16"/>
      <c r="P161" s="1"/>
      <c r="Q161" s="1"/>
      <c r="R161" s="1"/>
      <c r="S161" s="1"/>
      <c r="T161" s="1"/>
      <c r="U161" s="1"/>
      <c r="V161" s="38"/>
      <c r="W161" s="1"/>
      <c r="X161" s="1"/>
    </row>
    <row r="162" spans="1:24" ht="14.4">
      <c r="A162" s="15"/>
      <c r="B162" s="15"/>
      <c r="C162" s="16"/>
      <c r="D162" s="16"/>
      <c r="E162" s="16"/>
      <c r="F162" s="16"/>
      <c r="G162" s="16"/>
      <c r="H162" s="16"/>
      <c r="I162" s="16"/>
      <c r="J162" s="16"/>
      <c r="K162" s="16"/>
      <c r="L162" s="16"/>
      <c r="M162" s="25"/>
      <c r="N162" s="25"/>
      <c r="O162" s="16"/>
      <c r="P162" s="1"/>
      <c r="Q162" s="1"/>
      <c r="R162" s="1"/>
      <c r="S162" s="1"/>
      <c r="T162" s="1"/>
      <c r="U162" s="1"/>
      <c r="V162" s="38"/>
      <c r="W162" s="1"/>
      <c r="X162" s="1"/>
    </row>
    <row r="163" spans="1:24" ht="14.4">
      <c r="A163" s="15"/>
      <c r="B163" s="15"/>
      <c r="C163" s="16"/>
      <c r="D163" s="16"/>
      <c r="E163" s="16"/>
      <c r="F163" s="16"/>
      <c r="G163" s="16"/>
      <c r="H163" s="16"/>
      <c r="I163" s="16"/>
      <c r="J163" s="16"/>
      <c r="K163" s="16"/>
      <c r="L163" s="16"/>
      <c r="M163" s="25"/>
      <c r="N163" s="25"/>
      <c r="O163" s="16"/>
      <c r="P163" s="1"/>
      <c r="Q163" s="1"/>
      <c r="R163" s="1"/>
      <c r="S163" s="1"/>
      <c r="T163" s="1"/>
      <c r="U163" s="1"/>
      <c r="V163" s="38"/>
      <c r="W163" s="1"/>
      <c r="X163" s="1"/>
    </row>
    <row r="164" spans="1:24" ht="14.4">
      <c r="A164" s="15"/>
      <c r="B164" s="15"/>
      <c r="C164" s="16"/>
      <c r="D164" s="16"/>
      <c r="E164" s="16"/>
      <c r="F164" s="16"/>
      <c r="G164" s="16"/>
      <c r="H164" s="16"/>
      <c r="I164" s="16"/>
      <c r="J164" s="16"/>
      <c r="K164" s="16"/>
      <c r="L164" s="16"/>
      <c r="M164" s="25"/>
      <c r="N164" s="25"/>
      <c r="O164" s="16"/>
      <c r="P164" s="1"/>
      <c r="Q164" s="1"/>
      <c r="R164" s="1"/>
      <c r="S164" s="1"/>
      <c r="T164" s="1"/>
      <c r="U164" s="1"/>
      <c r="V164" s="38"/>
      <c r="W164" s="1"/>
      <c r="X164" s="1"/>
    </row>
    <row r="165" spans="1:24" ht="14.4">
      <c r="A165" s="15"/>
      <c r="B165" s="15"/>
      <c r="C165" s="16"/>
      <c r="D165" s="16"/>
      <c r="E165" s="16"/>
      <c r="F165" s="16"/>
      <c r="G165" s="16"/>
      <c r="H165" s="16"/>
      <c r="I165" s="16"/>
      <c r="J165" s="16"/>
      <c r="K165" s="16"/>
      <c r="L165" s="16"/>
      <c r="M165" s="25"/>
      <c r="N165" s="25"/>
      <c r="O165" s="16"/>
      <c r="P165" s="1"/>
      <c r="Q165" s="1"/>
      <c r="R165" s="1"/>
      <c r="S165" s="1"/>
      <c r="T165" s="1"/>
      <c r="U165" s="1"/>
      <c r="V165" s="38"/>
      <c r="W165" s="1"/>
      <c r="X165" s="1"/>
    </row>
    <row r="166" spans="1:24" ht="14.4">
      <c r="A166" s="15"/>
      <c r="B166" s="15"/>
      <c r="C166" s="16"/>
      <c r="D166" s="16"/>
      <c r="E166" s="16"/>
      <c r="F166" s="16"/>
      <c r="G166" s="16"/>
      <c r="H166" s="16"/>
      <c r="I166" s="16"/>
      <c r="J166" s="16"/>
      <c r="K166" s="16"/>
      <c r="L166" s="16"/>
      <c r="M166" s="25"/>
      <c r="N166" s="25"/>
      <c r="O166" s="16"/>
      <c r="P166" s="1"/>
      <c r="Q166" s="1"/>
      <c r="R166" s="1"/>
      <c r="S166" s="1"/>
      <c r="T166" s="1"/>
      <c r="U166" s="1"/>
      <c r="V166" s="38"/>
      <c r="W166" s="1"/>
      <c r="X166" s="1"/>
    </row>
    <row r="167" spans="1:24" ht="14.4">
      <c r="A167" s="15"/>
      <c r="B167" s="15"/>
      <c r="C167" s="16"/>
      <c r="D167" s="16"/>
      <c r="E167" s="16"/>
      <c r="F167" s="16"/>
      <c r="G167" s="16"/>
      <c r="H167" s="16"/>
      <c r="I167" s="16"/>
      <c r="J167" s="16"/>
      <c r="K167" s="16"/>
      <c r="L167" s="16"/>
      <c r="M167" s="25"/>
      <c r="N167" s="25"/>
      <c r="O167" s="16"/>
      <c r="P167" s="1"/>
      <c r="Q167" s="1"/>
      <c r="R167" s="1"/>
      <c r="S167" s="1"/>
      <c r="T167" s="1"/>
      <c r="U167" s="1"/>
      <c r="V167" s="38"/>
      <c r="W167" s="1"/>
      <c r="X167" s="1"/>
    </row>
    <row r="168" spans="1:24" ht="14.4">
      <c r="A168" s="15"/>
      <c r="B168" s="15"/>
      <c r="C168" s="16"/>
      <c r="D168" s="16"/>
      <c r="E168" s="16"/>
      <c r="F168" s="16"/>
      <c r="G168" s="16"/>
      <c r="H168" s="16"/>
      <c r="I168" s="16"/>
      <c r="J168" s="16"/>
      <c r="K168" s="16"/>
      <c r="L168" s="16"/>
      <c r="M168" s="25"/>
      <c r="N168" s="25"/>
      <c r="O168" s="16"/>
      <c r="P168" s="1"/>
      <c r="Q168" s="1"/>
      <c r="R168" s="1"/>
      <c r="S168" s="1"/>
      <c r="T168" s="1"/>
      <c r="U168" s="1"/>
      <c r="V168" s="38"/>
      <c r="W168" s="1"/>
      <c r="X168" s="1"/>
    </row>
    <row r="169" spans="1:24" ht="14.4">
      <c r="A169" s="15"/>
      <c r="B169" s="15"/>
      <c r="C169" s="16"/>
      <c r="D169" s="16"/>
      <c r="E169" s="16"/>
      <c r="F169" s="16"/>
      <c r="G169" s="16"/>
      <c r="H169" s="16"/>
      <c r="I169" s="16"/>
      <c r="J169" s="16"/>
      <c r="K169" s="16"/>
      <c r="L169" s="16"/>
      <c r="M169" s="25"/>
      <c r="N169" s="25"/>
      <c r="O169" s="16"/>
      <c r="P169" s="1"/>
      <c r="Q169" s="1"/>
      <c r="R169" s="1"/>
      <c r="S169" s="1"/>
      <c r="T169" s="1"/>
      <c r="U169" s="1"/>
      <c r="V169" s="38"/>
      <c r="W169" s="1"/>
      <c r="X169" s="1"/>
    </row>
    <row r="170" spans="1:24" ht="14.4">
      <c r="A170" s="15"/>
      <c r="B170" s="15"/>
      <c r="C170" s="16"/>
      <c r="D170" s="16"/>
      <c r="E170" s="16"/>
      <c r="F170" s="16"/>
      <c r="G170" s="16"/>
      <c r="H170" s="16"/>
      <c r="I170" s="16"/>
      <c r="J170" s="16"/>
      <c r="K170" s="16"/>
      <c r="L170" s="16"/>
      <c r="M170" s="25"/>
      <c r="N170" s="25"/>
      <c r="O170" s="16"/>
      <c r="P170" s="1"/>
      <c r="Q170" s="1"/>
      <c r="R170" s="1"/>
      <c r="S170" s="1"/>
      <c r="T170" s="1"/>
      <c r="U170" s="1"/>
      <c r="V170" s="38"/>
      <c r="W170" s="1"/>
      <c r="X170" s="1"/>
    </row>
    <row r="171" spans="1:24" ht="14.4">
      <c r="A171" s="15"/>
      <c r="B171" s="15"/>
      <c r="C171" s="16"/>
      <c r="D171" s="16"/>
      <c r="E171" s="16"/>
      <c r="F171" s="16"/>
      <c r="G171" s="16"/>
      <c r="H171" s="16"/>
      <c r="I171" s="16"/>
      <c r="J171" s="16"/>
      <c r="K171" s="16"/>
      <c r="L171" s="16"/>
      <c r="M171" s="25"/>
      <c r="N171" s="25"/>
      <c r="O171" s="16"/>
      <c r="P171" s="1"/>
      <c r="Q171" s="1"/>
      <c r="R171" s="1"/>
      <c r="S171" s="1"/>
      <c r="T171" s="1"/>
      <c r="U171" s="1"/>
      <c r="V171" s="38"/>
      <c r="W171" s="1"/>
      <c r="X171" s="1"/>
    </row>
    <row r="172" spans="1:24" ht="14.4">
      <c r="A172" s="15"/>
      <c r="B172" s="15"/>
      <c r="C172" s="16"/>
      <c r="D172" s="16"/>
      <c r="E172" s="16"/>
      <c r="F172" s="16"/>
      <c r="G172" s="16"/>
      <c r="H172" s="16"/>
      <c r="I172" s="16"/>
      <c r="J172" s="16"/>
      <c r="K172" s="16"/>
      <c r="L172" s="16"/>
      <c r="M172" s="25"/>
      <c r="N172" s="25"/>
      <c r="O172" s="16"/>
      <c r="P172" s="1"/>
      <c r="Q172" s="1"/>
      <c r="R172" s="1"/>
      <c r="S172" s="1"/>
      <c r="T172" s="1"/>
      <c r="U172" s="1"/>
      <c r="V172" s="38"/>
      <c r="W172" s="1"/>
      <c r="X172" s="1"/>
    </row>
    <row r="173" spans="1:24" ht="14.4">
      <c r="A173" s="15"/>
      <c r="B173" s="15"/>
      <c r="C173" s="16"/>
      <c r="D173" s="16"/>
      <c r="E173" s="16"/>
      <c r="F173" s="16"/>
      <c r="G173" s="16"/>
      <c r="H173" s="16"/>
      <c r="I173" s="16"/>
      <c r="J173" s="16"/>
      <c r="K173" s="16"/>
      <c r="L173" s="16"/>
      <c r="M173" s="25"/>
      <c r="N173" s="25"/>
      <c r="O173" s="16"/>
      <c r="P173" s="1"/>
      <c r="Q173" s="1"/>
      <c r="R173" s="1"/>
      <c r="S173" s="1"/>
      <c r="T173" s="1"/>
      <c r="U173" s="1"/>
      <c r="V173" s="38"/>
      <c r="W173" s="1"/>
      <c r="X173" s="1"/>
    </row>
    <row r="174" spans="1:24" ht="14.4">
      <c r="A174" s="15"/>
      <c r="B174" s="15"/>
      <c r="C174" s="16"/>
      <c r="D174" s="16"/>
      <c r="E174" s="16"/>
      <c r="F174" s="16"/>
      <c r="G174" s="16"/>
      <c r="H174" s="16"/>
      <c r="I174" s="16"/>
      <c r="J174" s="16"/>
      <c r="K174" s="16"/>
      <c r="L174" s="16"/>
      <c r="M174" s="25"/>
      <c r="N174" s="25"/>
      <c r="O174" s="16"/>
      <c r="P174" s="1"/>
      <c r="Q174" s="1"/>
      <c r="R174" s="1"/>
      <c r="S174" s="1"/>
      <c r="T174" s="1"/>
      <c r="U174" s="1"/>
      <c r="V174" s="38"/>
      <c r="W174" s="1"/>
      <c r="X174" s="1"/>
    </row>
    <row r="175" spans="1:24" ht="14.4">
      <c r="A175" s="15"/>
      <c r="B175" s="15"/>
      <c r="C175" s="16"/>
      <c r="D175" s="16"/>
      <c r="E175" s="16"/>
      <c r="F175" s="16"/>
      <c r="G175" s="16"/>
      <c r="H175" s="16"/>
      <c r="I175" s="16"/>
      <c r="J175" s="16"/>
      <c r="K175" s="16"/>
      <c r="L175" s="16"/>
      <c r="M175" s="25"/>
      <c r="N175" s="25"/>
      <c r="O175" s="16"/>
      <c r="P175" s="1"/>
      <c r="Q175" s="1"/>
      <c r="R175" s="1"/>
      <c r="S175" s="1"/>
      <c r="T175" s="1"/>
      <c r="U175" s="1"/>
      <c r="V175" s="38"/>
      <c r="W175" s="1"/>
      <c r="X175" s="1"/>
    </row>
    <row r="176" spans="1:24" ht="14.4">
      <c r="A176" s="15"/>
      <c r="B176" s="15"/>
      <c r="C176" s="16"/>
      <c r="D176" s="16"/>
      <c r="E176" s="16"/>
      <c r="F176" s="16"/>
      <c r="G176" s="16"/>
      <c r="H176" s="16"/>
      <c r="I176" s="16"/>
      <c r="J176" s="16"/>
      <c r="K176" s="16"/>
      <c r="L176" s="16"/>
      <c r="M176" s="25"/>
      <c r="N176" s="25"/>
      <c r="O176" s="16"/>
      <c r="P176" s="1"/>
      <c r="Q176" s="1"/>
      <c r="R176" s="1"/>
      <c r="S176" s="1"/>
      <c r="T176" s="1"/>
      <c r="U176" s="1"/>
      <c r="V176" s="38"/>
      <c r="W176" s="1"/>
      <c r="X176" s="1"/>
    </row>
    <row r="177" spans="1:24" ht="14.4">
      <c r="A177" s="15"/>
      <c r="B177" s="15"/>
      <c r="C177" s="16"/>
      <c r="D177" s="16"/>
      <c r="E177" s="16"/>
      <c r="F177" s="16"/>
      <c r="G177" s="16"/>
      <c r="H177" s="16"/>
      <c r="I177" s="16"/>
      <c r="J177" s="16"/>
      <c r="K177" s="16"/>
      <c r="L177" s="16"/>
      <c r="M177" s="25"/>
      <c r="N177" s="25"/>
      <c r="O177" s="16"/>
      <c r="P177" s="1"/>
      <c r="Q177" s="1"/>
      <c r="R177" s="1"/>
      <c r="S177" s="1"/>
      <c r="T177" s="1"/>
      <c r="U177" s="1"/>
      <c r="V177" s="38"/>
      <c r="W177" s="1"/>
      <c r="X177" s="1"/>
    </row>
    <row r="178" spans="1:24" ht="14.4">
      <c r="A178" s="15"/>
      <c r="B178" s="15"/>
      <c r="C178" s="16"/>
      <c r="D178" s="16"/>
      <c r="E178" s="16"/>
      <c r="F178" s="16"/>
      <c r="G178" s="16"/>
      <c r="H178" s="16"/>
      <c r="I178" s="16"/>
      <c r="J178" s="16"/>
      <c r="K178" s="16"/>
      <c r="L178" s="16"/>
      <c r="M178" s="25"/>
      <c r="N178" s="25"/>
      <c r="O178" s="16"/>
      <c r="P178" s="1"/>
      <c r="Q178" s="1"/>
      <c r="R178" s="1"/>
      <c r="S178" s="1"/>
      <c r="T178" s="1"/>
      <c r="U178" s="1"/>
      <c r="V178" s="38"/>
      <c r="W178" s="1"/>
      <c r="X178" s="1"/>
    </row>
    <row r="179" spans="1:24" ht="14.4">
      <c r="A179" s="15"/>
      <c r="B179" s="15"/>
      <c r="C179" s="16"/>
      <c r="D179" s="16"/>
      <c r="E179" s="16"/>
      <c r="F179" s="16"/>
      <c r="G179" s="16"/>
      <c r="H179" s="16"/>
      <c r="I179" s="16"/>
      <c r="J179" s="16"/>
      <c r="K179" s="16"/>
      <c r="L179" s="16"/>
      <c r="M179" s="25"/>
      <c r="N179" s="25"/>
      <c r="O179" s="16"/>
      <c r="P179" s="1"/>
      <c r="Q179" s="1"/>
      <c r="R179" s="1"/>
      <c r="S179" s="1"/>
      <c r="T179" s="1"/>
      <c r="U179" s="1"/>
      <c r="V179" s="38"/>
      <c r="W179" s="1"/>
      <c r="X179" s="1"/>
    </row>
    <row r="180" spans="1:24" ht="14.4">
      <c r="A180" s="15"/>
      <c r="B180" s="15"/>
      <c r="C180" s="16"/>
      <c r="D180" s="16"/>
      <c r="E180" s="16"/>
      <c r="F180" s="16"/>
      <c r="G180" s="16"/>
      <c r="H180" s="16"/>
      <c r="I180" s="16"/>
      <c r="J180" s="16"/>
      <c r="K180" s="16"/>
      <c r="L180" s="16"/>
      <c r="M180" s="25"/>
      <c r="N180" s="25"/>
      <c r="O180" s="16"/>
      <c r="P180" s="1"/>
      <c r="Q180" s="1"/>
      <c r="R180" s="1"/>
      <c r="S180" s="1"/>
      <c r="T180" s="1"/>
      <c r="U180" s="1"/>
      <c r="V180" s="38"/>
      <c r="W180" s="1"/>
      <c r="X180" s="1"/>
    </row>
    <row r="181" spans="1:24" ht="14.4">
      <c r="A181" s="15"/>
      <c r="B181" s="15"/>
      <c r="C181" s="16"/>
      <c r="D181" s="16"/>
      <c r="E181" s="16"/>
      <c r="F181" s="16"/>
      <c r="G181" s="16"/>
      <c r="H181" s="16"/>
      <c r="I181" s="16"/>
      <c r="J181" s="16"/>
      <c r="K181" s="16"/>
      <c r="L181" s="16"/>
      <c r="M181" s="25"/>
      <c r="N181" s="25"/>
      <c r="O181" s="16"/>
      <c r="P181" s="1"/>
      <c r="Q181" s="1"/>
      <c r="R181" s="1"/>
      <c r="S181" s="1"/>
      <c r="T181" s="1"/>
      <c r="U181" s="1"/>
      <c r="V181" s="38"/>
      <c r="W181" s="1"/>
      <c r="X181" s="1"/>
    </row>
    <row r="182" spans="1:24" ht="14.4">
      <c r="A182" s="15"/>
      <c r="B182" s="15"/>
      <c r="C182" s="16"/>
      <c r="D182" s="16"/>
      <c r="E182" s="16"/>
      <c r="F182" s="16"/>
      <c r="G182" s="16"/>
      <c r="H182" s="16"/>
      <c r="I182" s="16"/>
      <c r="J182" s="16"/>
      <c r="K182" s="16"/>
      <c r="L182" s="16"/>
      <c r="M182" s="25"/>
      <c r="N182" s="25"/>
      <c r="O182" s="16"/>
      <c r="P182" s="1"/>
      <c r="Q182" s="1"/>
      <c r="R182" s="1"/>
      <c r="S182" s="1"/>
      <c r="T182" s="1"/>
      <c r="U182" s="1"/>
      <c r="V182" s="38"/>
      <c r="W182" s="1"/>
      <c r="X182" s="1"/>
    </row>
    <row r="183" spans="1:24" ht="14.4">
      <c r="A183" s="15"/>
      <c r="B183" s="15"/>
      <c r="C183" s="16"/>
      <c r="D183" s="16"/>
      <c r="E183" s="16"/>
      <c r="F183" s="16"/>
      <c r="G183" s="16"/>
      <c r="H183" s="16"/>
      <c r="I183" s="16"/>
      <c r="J183" s="16"/>
      <c r="K183" s="16"/>
      <c r="L183" s="16"/>
      <c r="M183" s="25"/>
      <c r="N183" s="25"/>
      <c r="O183" s="16"/>
      <c r="P183" s="1"/>
      <c r="Q183" s="1"/>
      <c r="R183" s="1"/>
      <c r="S183" s="1"/>
      <c r="T183" s="1"/>
      <c r="U183" s="1"/>
      <c r="V183" s="38"/>
      <c r="W183" s="1"/>
      <c r="X183" s="1"/>
    </row>
    <row r="184" spans="1:24" ht="14.4">
      <c r="A184" s="15"/>
      <c r="B184" s="15"/>
      <c r="C184" s="16"/>
      <c r="D184" s="16"/>
      <c r="E184" s="16"/>
      <c r="F184" s="16"/>
      <c r="G184" s="16"/>
      <c r="H184" s="16"/>
      <c r="I184" s="16"/>
      <c r="J184" s="16"/>
      <c r="K184" s="16"/>
      <c r="L184" s="16"/>
      <c r="M184" s="25"/>
      <c r="N184" s="25"/>
      <c r="O184" s="16"/>
      <c r="P184" s="1"/>
      <c r="Q184" s="1"/>
      <c r="R184" s="1"/>
      <c r="S184" s="1"/>
      <c r="T184" s="1"/>
      <c r="U184" s="1"/>
      <c r="V184" s="38"/>
      <c r="W184" s="1"/>
      <c r="X184" s="1"/>
    </row>
    <row r="185" spans="1:24" ht="14.4">
      <c r="A185" s="15"/>
      <c r="B185" s="15"/>
      <c r="C185" s="16"/>
      <c r="D185" s="16"/>
      <c r="E185" s="16"/>
      <c r="F185" s="16"/>
      <c r="G185" s="16"/>
      <c r="H185" s="16"/>
      <c r="I185" s="16"/>
      <c r="J185" s="16"/>
      <c r="K185" s="16"/>
      <c r="L185" s="16"/>
      <c r="M185" s="25"/>
      <c r="N185" s="25"/>
      <c r="O185" s="16"/>
      <c r="P185" s="1"/>
      <c r="Q185" s="1"/>
      <c r="R185" s="1"/>
      <c r="S185" s="1"/>
      <c r="T185" s="1"/>
      <c r="U185" s="1"/>
      <c r="V185" s="38"/>
      <c r="W185" s="1"/>
      <c r="X185" s="1"/>
    </row>
    <row r="186" spans="1:24" ht="14.4">
      <c r="A186" s="15"/>
      <c r="B186" s="15"/>
      <c r="C186" s="16"/>
      <c r="D186" s="16"/>
      <c r="E186" s="16"/>
      <c r="F186" s="16"/>
      <c r="G186" s="16"/>
      <c r="H186" s="16"/>
      <c r="I186" s="16"/>
      <c r="J186" s="16"/>
      <c r="K186" s="16"/>
      <c r="L186" s="16"/>
      <c r="M186" s="25"/>
      <c r="N186" s="25"/>
      <c r="O186" s="16"/>
      <c r="P186" s="1"/>
      <c r="Q186" s="1"/>
      <c r="R186" s="1"/>
      <c r="S186" s="1"/>
      <c r="T186" s="1"/>
      <c r="U186" s="1"/>
      <c r="V186" s="38"/>
      <c r="W186" s="1"/>
      <c r="X186" s="1"/>
    </row>
    <row r="187" spans="1:24" ht="14.4">
      <c r="A187" s="15"/>
      <c r="B187" s="15"/>
      <c r="C187" s="16"/>
      <c r="D187" s="16"/>
      <c r="E187" s="16"/>
      <c r="F187" s="16"/>
      <c r="G187" s="16"/>
      <c r="H187" s="16"/>
      <c r="I187" s="16"/>
      <c r="J187" s="16"/>
      <c r="K187" s="16"/>
      <c r="L187" s="16"/>
      <c r="M187" s="25"/>
      <c r="N187" s="25"/>
      <c r="O187" s="16"/>
      <c r="P187" s="1"/>
      <c r="Q187" s="1"/>
      <c r="R187" s="1"/>
      <c r="S187" s="1"/>
      <c r="T187" s="1"/>
      <c r="U187" s="1"/>
      <c r="V187" s="38"/>
      <c r="W187" s="1"/>
      <c r="X187" s="1"/>
    </row>
    <row r="188" spans="1:24" ht="14.4">
      <c r="A188" s="15"/>
      <c r="B188" s="15"/>
      <c r="C188" s="16"/>
      <c r="D188" s="16"/>
      <c r="E188" s="16"/>
      <c r="F188" s="16"/>
      <c r="G188" s="16"/>
      <c r="H188" s="16"/>
      <c r="I188" s="16"/>
      <c r="J188" s="16"/>
      <c r="K188" s="16"/>
      <c r="L188" s="16"/>
      <c r="M188" s="25"/>
      <c r="N188" s="25"/>
      <c r="O188" s="16"/>
      <c r="P188" s="1"/>
      <c r="Q188" s="1"/>
      <c r="R188" s="1"/>
      <c r="S188" s="1"/>
      <c r="T188" s="1"/>
      <c r="U188" s="1"/>
      <c r="V188" s="38"/>
      <c r="W188" s="1"/>
      <c r="X188" s="1"/>
    </row>
    <row r="189" spans="1:24" ht="14.4">
      <c r="A189" s="15"/>
      <c r="B189" s="15"/>
      <c r="C189" s="16"/>
      <c r="D189" s="16"/>
      <c r="E189" s="16"/>
      <c r="F189" s="16"/>
      <c r="G189" s="16"/>
      <c r="H189" s="16"/>
      <c r="I189" s="16"/>
      <c r="J189" s="16"/>
      <c r="K189" s="16"/>
      <c r="L189" s="16"/>
      <c r="M189" s="25"/>
      <c r="N189" s="25"/>
      <c r="O189" s="16"/>
      <c r="P189" s="1"/>
      <c r="Q189" s="1"/>
      <c r="R189" s="1"/>
      <c r="S189" s="1"/>
      <c r="T189" s="1"/>
      <c r="U189" s="1"/>
      <c r="V189" s="38"/>
      <c r="W189" s="1"/>
      <c r="X189" s="1"/>
    </row>
    <row r="190" spans="1:24" ht="14.4">
      <c r="A190" s="15"/>
      <c r="B190" s="15"/>
      <c r="C190" s="16"/>
      <c r="D190" s="16"/>
      <c r="E190" s="16"/>
      <c r="F190" s="16"/>
      <c r="G190" s="16"/>
      <c r="H190" s="16"/>
      <c r="I190" s="16"/>
      <c r="J190" s="16"/>
      <c r="K190" s="16"/>
      <c r="L190" s="16"/>
      <c r="M190" s="25"/>
      <c r="N190" s="25"/>
      <c r="O190" s="16"/>
      <c r="P190" s="1"/>
      <c r="Q190" s="1"/>
      <c r="R190" s="1"/>
      <c r="S190" s="1"/>
      <c r="T190" s="1"/>
      <c r="U190" s="1"/>
      <c r="V190" s="38"/>
      <c r="W190" s="1"/>
      <c r="X190" s="1"/>
    </row>
    <row r="191" spans="1:24" ht="14.4">
      <c r="A191" s="15"/>
      <c r="B191" s="15"/>
      <c r="C191" s="16"/>
      <c r="D191" s="16"/>
      <c r="E191" s="16"/>
      <c r="F191" s="16"/>
      <c r="G191" s="16"/>
      <c r="H191" s="16"/>
      <c r="I191" s="16"/>
      <c r="J191" s="16"/>
      <c r="K191" s="16"/>
      <c r="L191" s="16"/>
      <c r="M191" s="25"/>
      <c r="N191" s="25"/>
      <c r="O191" s="16"/>
      <c r="P191" s="1"/>
      <c r="Q191" s="1"/>
      <c r="R191" s="1"/>
      <c r="S191" s="1"/>
      <c r="T191" s="1"/>
      <c r="U191" s="1"/>
      <c r="V191" s="38"/>
      <c r="W191" s="1"/>
      <c r="X191" s="1"/>
    </row>
    <row r="192" spans="1:24" ht="14.4">
      <c r="A192" s="15"/>
      <c r="B192" s="15"/>
      <c r="C192" s="16"/>
      <c r="D192" s="16"/>
      <c r="E192" s="16"/>
      <c r="F192" s="16"/>
      <c r="G192" s="16"/>
      <c r="H192" s="16"/>
      <c r="I192" s="16"/>
      <c r="J192" s="16"/>
      <c r="K192" s="16"/>
      <c r="L192" s="16"/>
      <c r="M192" s="25"/>
      <c r="N192" s="25"/>
      <c r="O192" s="16"/>
      <c r="P192" s="1"/>
      <c r="Q192" s="1"/>
      <c r="R192" s="1"/>
      <c r="S192" s="1"/>
      <c r="T192" s="1"/>
      <c r="U192" s="1"/>
      <c r="V192" s="38"/>
      <c r="W192" s="1"/>
      <c r="X192" s="1"/>
    </row>
    <row r="193" spans="1:24" ht="14.4">
      <c r="A193" s="15"/>
      <c r="B193" s="15"/>
      <c r="C193" s="16"/>
      <c r="D193" s="16"/>
      <c r="E193" s="16"/>
      <c r="F193" s="16"/>
      <c r="G193" s="16"/>
      <c r="H193" s="16"/>
      <c r="I193" s="16"/>
      <c r="J193" s="16"/>
      <c r="K193" s="16"/>
      <c r="L193" s="16"/>
      <c r="M193" s="25"/>
      <c r="N193" s="25"/>
      <c r="O193" s="16"/>
      <c r="P193" s="1"/>
      <c r="Q193" s="1"/>
      <c r="R193" s="1"/>
      <c r="S193" s="1"/>
      <c r="T193" s="1"/>
      <c r="U193" s="1"/>
      <c r="V193" s="38"/>
      <c r="W193" s="1"/>
      <c r="X193" s="1"/>
    </row>
    <row r="194" spans="1:24" ht="14.4">
      <c r="A194" s="15"/>
      <c r="B194" s="15"/>
      <c r="C194" s="16"/>
      <c r="D194" s="16"/>
      <c r="E194" s="16"/>
      <c r="F194" s="16"/>
      <c r="G194" s="16"/>
      <c r="H194" s="16"/>
      <c r="I194" s="16"/>
      <c r="J194" s="16"/>
      <c r="K194" s="16"/>
      <c r="L194" s="16"/>
      <c r="M194" s="25"/>
      <c r="N194" s="25"/>
      <c r="O194" s="16"/>
      <c r="P194" s="1"/>
      <c r="Q194" s="1"/>
      <c r="R194" s="1"/>
      <c r="S194" s="1"/>
      <c r="T194" s="1"/>
      <c r="U194" s="1"/>
      <c r="V194" s="38"/>
      <c r="W194" s="1"/>
      <c r="X194" s="1"/>
    </row>
    <row r="195" spans="1:24" ht="14.4">
      <c r="A195" s="15"/>
      <c r="B195" s="15"/>
      <c r="C195" s="16"/>
      <c r="D195" s="16"/>
      <c r="E195" s="16"/>
      <c r="F195" s="16"/>
      <c r="G195" s="16"/>
      <c r="H195" s="16"/>
      <c r="I195" s="16"/>
      <c r="J195" s="16"/>
      <c r="K195" s="16"/>
      <c r="L195" s="16"/>
      <c r="M195" s="25"/>
      <c r="N195" s="25"/>
      <c r="O195" s="16"/>
      <c r="P195" s="1"/>
      <c r="Q195" s="1"/>
      <c r="R195" s="1"/>
      <c r="S195" s="1"/>
      <c r="T195" s="1"/>
      <c r="U195" s="1"/>
      <c r="V195" s="38"/>
      <c r="W195" s="1"/>
      <c r="X195" s="1"/>
    </row>
    <row r="196" spans="1:24" ht="14.4">
      <c r="A196" s="15"/>
      <c r="B196" s="15"/>
      <c r="C196" s="16"/>
      <c r="D196" s="16"/>
      <c r="E196" s="16"/>
      <c r="F196" s="16"/>
      <c r="G196" s="16"/>
      <c r="H196" s="16"/>
      <c r="I196" s="16"/>
      <c r="J196" s="16"/>
      <c r="K196" s="16"/>
      <c r="L196" s="16"/>
      <c r="M196" s="25"/>
      <c r="N196" s="25"/>
      <c r="O196" s="16"/>
      <c r="P196" s="1"/>
      <c r="Q196" s="1"/>
      <c r="R196" s="1"/>
      <c r="S196" s="1"/>
      <c r="T196" s="1"/>
      <c r="U196" s="1"/>
      <c r="V196" s="38"/>
      <c r="W196" s="1"/>
      <c r="X196" s="1"/>
    </row>
    <row r="197" spans="1:24" ht="14.4">
      <c r="A197" s="15"/>
      <c r="B197" s="15"/>
      <c r="C197" s="16"/>
      <c r="D197" s="16"/>
      <c r="E197" s="16"/>
      <c r="F197" s="16"/>
      <c r="G197" s="16"/>
      <c r="H197" s="16"/>
      <c r="I197" s="16"/>
      <c r="J197" s="16"/>
      <c r="K197" s="16"/>
      <c r="L197" s="16"/>
      <c r="M197" s="25"/>
      <c r="N197" s="25"/>
      <c r="O197" s="16"/>
      <c r="P197" s="1"/>
      <c r="Q197" s="1"/>
      <c r="R197" s="1"/>
      <c r="S197" s="1"/>
      <c r="T197" s="1"/>
      <c r="U197" s="1"/>
      <c r="V197" s="38"/>
      <c r="W197" s="1"/>
      <c r="X197" s="1"/>
    </row>
    <row r="198" spans="1:24" ht="14.4">
      <c r="A198" s="15"/>
      <c r="B198" s="15"/>
      <c r="C198" s="16"/>
      <c r="D198" s="16"/>
      <c r="E198" s="16"/>
      <c r="F198" s="16"/>
      <c r="G198" s="16"/>
      <c r="H198" s="16"/>
      <c r="I198" s="16"/>
      <c r="J198" s="16"/>
      <c r="K198" s="16"/>
      <c r="L198" s="16"/>
      <c r="M198" s="25"/>
      <c r="N198" s="25"/>
      <c r="O198" s="16"/>
      <c r="P198" s="1"/>
      <c r="Q198" s="1"/>
      <c r="R198" s="1"/>
      <c r="S198" s="1"/>
      <c r="T198" s="1"/>
      <c r="U198" s="1"/>
      <c r="V198" s="38"/>
      <c r="W198" s="1"/>
      <c r="X198" s="1"/>
    </row>
    <row r="199" spans="1:24" ht="14.4">
      <c r="A199" s="15"/>
      <c r="B199" s="15"/>
      <c r="C199" s="16"/>
      <c r="D199" s="16"/>
      <c r="E199" s="16"/>
      <c r="F199" s="16"/>
      <c r="G199" s="16"/>
      <c r="H199" s="16"/>
      <c r="I199" s="16"/>
      <c r="J199" s="16"/>
      <c r="K199" s="16"/>
      <c r="L199" s="16"/>
      <c r="M199" s="25"/>
      <c r="N199" s="25"/>
      <c r="O199" s="16"/>
      <c r="P199" s="1"/>
      <c r="Q199" s="1"/>
      <c r="R199" s="1"/>
      <c r="S199" s="1"/>
      <c r="T199" s="1"/>
      <c r="U199" s="1"/>
      <c r="V199" s="38"/>
      <c r="W199" s="1"/>
      <c r="X199" s="1"/>
    </row>
    <row r="200" spans="1:24" ht="14.4">
      <c r="A200" s="15"/>
      <c r="B200" s="15"/>
      <c r="C200" s="16"/>
      <c r="D200" s="16"/>
      <c r="E200" s="16"/>
      <c r="F200" s="16"/>
      <c r="G200" s="16"/>
      <c r="H200" s="16"/>
      <c r="I200" s="16"/>
      <c r="J200" s="16"/>
      <c r="K200" s="16"/>
      <c r="L200" s="16"/>
      <c r="M200" s="25"/>
      <c r="N200" s="25"/>
      <c r="O200" s="16"/>
      <c r="P200" s="1"/>
      <c r="Q200" s="1"/>
      <c r="R200" s="1"/>
      <c r="S200" s="1"/>
      <c r="T200" s="1"/>
      <c r="U200" s="1"/>
      <c r="V200" s="38"/>
      <c r="W200" s="1"/>
      <c r="X200" s="1"/>
    </row>
    <row r="201" spans="1:24" ht="14.4">
      <c r="A201" s="15"/>
      <c r="B201" s="15"/>
      <c r="C201" s="16"/>
      <c r="D201" s="16"/>
      <c r="E201" s="16"/>
      <c r="F201" s="16"/>
      <c r="G201" s="16"/>
      <c r="H201" s="16"/>
      <c r="I201" s="16"/>
      <c r="J201" s="16"/>
      <c r="K201" s="16"/>
      <c r="L201" s="16"/>
      <c r="M201" s="25"/>
      <c r="N201" s="25"/>
      <c r="O201" s="16"/>
      <c r="P201" s="1"/>
      <c r="Q201" s="1"/>
      <c r="R201" s="1"/>
      <c r="S201" s="1"/>
      <c r="T201" s="1"/>
      <c r="U201" s="1"/>
      <c r="V201" s="38"/>
      <c r="W201" s="1"/>
      <c r="X201" s="1"/>
    </row>
    <row r="202" spans="1:24" ht="14.4">
      <c r="A202" s="15"/>
      <c r="B202" s="15"/>
      <c r="C202" s="16"/>
      <c r="D202" s="16"/>
      <c r="E202" s="16"/>
      <c r="F202" s="16"/>
      <c r="G202" s="16"/>
      <c r="H202" s="16"/>
      <c r="I202" s="16"/>
      <c r="J202" s="16"/>
      <c r="K202" s="16"/>
      <c r="L202" s="16"/>
      <c r="M202" s="25"/>
      <c r="N202" s="25"/>
      <c r="O202" s="16"/>
      <c r="P202" s="1"/>
      <c r="Q202" s="1"/>
      <c r="R202" s="1"/>
      <c r="S202" s="1"/>
      <c r="T202" s="1"/>
      <c r="U202" s="1"/>
      <c r="V202" s="38"/>
      <c r="W202" s="1"/>
      <c r="X202" s="1"/>
    </row>
    <row r="203" spans="1:24" ht="14.4">
      <c r="A203" s="15"/>
      <c r="B203" s="15"/>
      <c r="C203" s="16"/>
      <c r="D203" s="16"/>
      <c r="E203" s="16"/>
      <c r="F203" s="16"/>
      <c r="G203" s="16"/>
      <c r="H203" s="16"/>
      <c r="I203" s="16"/>
      <c r="J203" s="16"/>
      <c r="K203" s="16"/>
      <c r="L203" s="16"/>
      <c r="M203" s="25"/>
      <c r="N203" s="25"/>
      <c r="O203" s="16"/>
      <c r="P203" s="1"/>
      <c r="Q203" s="1"/>
      <c r="R203" s="1"/>
      <c r="S203" s="1"/>
      <c r="T203" s="1"/>
      <c r="U203" s="1"/>
      <c r="V203" s="38"/>
      <c r="W203" s="1"/>
      <c r="X203" s="1"/>
    </row>
    <row r="204" spans="1:24" ht="14.4">
      <c r="A204" s="15"/>
      <c r="B204" s="15"/>
      <c r="C204" s="16"/>
      <c r="D204" s="16"/>
      <c r="E204" s="16"/>
      <c r="F204" s="16"/>
      <c r="G204" s="16"/>
      <c r="H204" s="16"/>
      <c r="I204" s="16"/>
      <c r="J204" s="16"/>
      <c r="K204" s="16"/>
      <c r="L204" s="16"/>
      <c r="M204" s="25"/>
      <c r="N204" s="25"/>
      <c r="O204" s="16"/>
      <c r="P204" s="1"/>
      <c r="Q204" s="1"/>
      <c r="R204" s="1"/>
      <c r="S204" s="1"/>
      <c r="T204" s="1"/>
      <c r="U204" s="1"/>
      <c r="V204" s="38"/>
      <c r="W204" s="1"/>
      <c r="X204" s="1"/>
    </row>
    <row r="205" spans="1:24" ht="14.4">
      <c r="A205" s="15"/>
      <c r="B205" s="15"/>
      <c r="C205" s="16"/>
      <c r="D205" s="16"/>
      <c r="E205" s="16"/>
      <c r="F205" s="16"/>
      <c r="G205" s="16"/>
      <c r="H205" s="16"/>
      <c r="I205" s="16"/>
      <c r="J205" s="16"/>
      <c r="K205" s="16"/>
      <c r="L205" s="16"/>
      <c r="M205" s="25"/>
      <c r="N205" s="25"/>
      <c r="O205" s="16"/>
      <c r="P205" s="1"/>
      <c r="Q205" s="1"/>
      <c r="R205" s="1"/>
      <c r="S205" s="1"/>
      <c r="T205" s="1"/>
      <c r="U205" s="1"/>
      <c r="V205" s="38"/>
      <c r="W205" s="1"/>
      <c r="X205" s="1"/>
    </row>
    <row r="206" spans="1:24" ht="14.4">
      <c r="A206" s="15"/>
      <c r="B206" s="15"/>
      <c r="C206" s="16"/>
      <c r="D206" s="16"/>
      <c r="E206" s="16"/>
      <c r="F206" s="16"/>
      <c r="G206" s="16"/>
      <c r="H206" s="16"/>
      <c r="I206" s="16"/>
      <c r="J206" s="16"/>
      <c r="K206" s="16"/>
      <c r="L206" s="16"/>
      <c r="M206" s="25"/>
      <c r="N206" s="25"/>
      <c r="O206" s="16"/>
      <c r="P206" s="1"/>
      <c r="Q206" s="1"/>
      <c r="R206" s="1"/>
      <c r="S206" s="1"/>
      <c r="T206" s="1"/>
      <c r="U206" s="1"/>
      <c r="V206" s="38"/>
      <c r="W206" s="1"/>
      <c r="X206" s="1"/>
    </row>
    <row r="207" spans="1:24" ht="14.4">
      <c r="A207" s="15"/>
      <c r="B207" s="15"/>
      <c r="C207" s="16"/>
      <c r="D207" s="16"/>
      <c r="E207" s="16"/>
      <c r="F207" s="16"/>
      <c r="G207" s="16"/>
      <c r="H207" s="16"/>
      <c r="I207" s="16"/>
      <c r="J207" s="16"/>
      <c r="K207" s="16"/>
      <c r="L207" s="16"/>
      <c r="M207" s="25"/>
      <c r="N207" s="25"/>
      <c r="O207" s="16"/>
      <c r="P207" s="1"/>
      <c r="Q207" s="1"/>
      <c r="R207" s="1"/>
      <c r="S207" s="1"/>
      <c r="T207" s="1"/>
      <c r="U207" s="1"/>
      <c r="V207" s="38"/>
      <c r="W207" s="1"/>
      <c r="X207" s="1"/>
    </row>
    <row r="208" spans="1:24" ht="14.4">
      <c r="A208" s="15"/>
      <c r="B208" s="15"/>
      <c r="C208" s="16"/>
      <c r="D208" s="16"/>
      <c r="E208" s="16"/>
      <c r="F208" s="16"/>
      <c r="G208" s="16"/>
      <c r="H208" s="16"/>
      <c r="I208" s="16"/>
      <c r="J208" s="16"/>
      <c r="K208" s="16"/>
      <c r="L208" s="16"/>
      <c r="M208" s="25"/>
      <c r="N208" s="25"/>
      <c r="O208" s="16"/>
      <c r="P208" s="1"/>
      <c r="Q208" s="1"/>
      <c r="R208" s="1"/>
      <c r="S208" s="1"/>
      <c r="T208" s="1"/>
      <c r="U208" s="1"/>
      <c r="V208" s="38"/>
      <c r="W208" s="1"/>
      <c r="X208" s="1"/>
    </row>
    <row r="209" spans="1:24" ht="14.4">
      <c r="A209" s="15"/>
      <c r="B209" s="15"/>
      <c r="C209" s="16"/>
      <c r="D209" s="16"/>
      <c r="E209" s="16"/>
      <c r="F209" s="16"/>
      <c r="G209" s="16"/>
      <c r="H209" s="16"/>
      <c r="I209" s="16"/>
      <c r="J209" s="16"/>
      <c r="K209" s="16"/>
      <c r="L209" s="16"/>
      <c r="M209" s="25"/>
      <c r="N209" s="25"/>
      <c r="O209" s="16"/>
      <c r="P209" s="1"/>
      <c r="Q209" s="1"/>
      <c r="R209" s="1"/>
      <c r="S209" s="1"/>
      <c r="T209" s="1"/>
      <c r="U209" s="1"/>
      <c r="V209" s="38"/>
      <c r="W209" s="1"/>
      <c r="X209" s="1"/>
    </row>
    <row r="210" spans="1:24" ht="14.4">
      <c r="A210" s="15"/>
      <c r="B210" s="15"/>
      <c r="C210" s="16"/>
      <c r="D210" s="16"/>
      <c r="E210" s="16"/>
      <c r="F210" s="16"/>
      <c r="G210" s="16"/>
      <c r="H210" s="16"/>
      <c r="I210" s="16"/>
      <c r="J210" s="16"/>
      <c r="K210" s="16"/>
      <c r="L210" s="16"/>
      <c r="M210" s="25"/>
      <c r="N210" s="25"/>
      <c r="O210" s="16"/>
      <c r="P210" s="1"/>
      <c r="Q210" s="1"/>
      <c r="R210" s="1"/>
      <c r="S210" s="1"/>
      <c r="T210" s="1"/>
      <c r="U210" s="1"/>
      <c r="V210" s="38"/>
      <c r="W210" s="1"/>
      <c r="X210" s="1"/>
    </row>
    <row r="211" spans="1:24" ht="14.4">
      <c r="A211" s="15"/>
      <c r="B211" s="15"/>
      <c r="C211" s="16"/>
      <c r="D211" s="16"/>
      <c r="E211" s="16"/>
      <c r="F211" s="16"/>
      <c r="G211" s="16"/>
      <c r="H211" s="16"/>
      <c r="I211" s="16"/>
      <c r="J211" s="16"/>
      <c r="K211" s="16"/>
      <c r="L211" s="16"/>
      <c r="M211" s="25"/>
      <c r="N211" s="25"/>
      <c r="O211" s="16"/>
      <c r="P211" s="1"/>
      <c r="Q211" s="1"/>
      <c r="R211" s="1"/>
      <c r="S211" s="1"/>
      <c r="T211" s="1"/>
      <c r="U211" s="1"/>
      <c r="V211" s="38"/>
      <c r="W211" s="1"/>
      <c r="X211" s="1"/>
    </row>
    <row r="212" spans="1:24" ht="14.4">
      <c r="A212" s="15"/>
      <c r="B212" s="15"/>
      <c r="C212" s="16"/>
      <c r="D212" s="16"/>
      <c r="E212" s="16"/>
      <c r="F212" s="16"/>
      <c r="G212" s="16"/>
      <c r="H212" s="16"/>
      <c r="I212" s="16"/>
      <c r="J212" s="16"/>
      <c r="K212" s="16"/>
      <c r="L212" s="16"/>
      <c r="M212" s="25"/>
      <c r="N212" s="25"/>
      <c r="O212" s="16"/>
      <c r="P212" s="1"/>
      <c r="Q212" s="1"/>
      <c r="R212" s="1"/>
      <c r="S212" s="1"/>
      <c r="T212" s="1"/>
      <c r="U212" s="1"/>
      <c r="V212" s="38"/>
      <c r="W212" s="1"/>
      <c r="X212" s="1"/>
    </row>
    <row r="213" spans="1:24" ht="14.4">
      <c r="A213" s="15"/>
      <c r="B213" s="15"/>
      <c r="C213" s="16"/>
      <c r="D213" s="16"/>
      <c r="E213" s="16"/>
      <c r="F213" s="16"/>
      <c r="G213" s="16"/>
      <c r="H213" s="16"/>
      <c r="I213" s="16"/>
      <c r="J213" s="16"/>
      <c r="K213" s="16"/>
      <c r="L213" s="16"/>
      <c r="M213" s="25"/>
      <c r="N213" s="25"/>
      <c r="O213" s="16"/>
      <c r="P213" s="1"/>
      <c r="Q213" s="1"/>
      <c r="R213" s="1"/>
      <c r="S213" s="1"/>
      <c r="T213" s="1"/>
      <c r="U213" s="1"/>
      <c r="V213" s="38"/>
      <c r="W213" s="1"/>
      <c r="X213" s="1"/>
    </row>
    <row r="214" spans="1:24" ht="14.4">
      <c r="A214" s="15"/>
      <c r="B214" s="15"/>
      <c r="C214" s="16"/>
      <c r="D214" s="16"/>
      <c r="E214" s="16"/>
      <c r="F214" s="16"/>
      <c r="G214" s="16"/>
      <c r="H214" s="16"/>
      <c r="I214" s="16"/>
      <c r="J214" s="16"/>
      <c r="K214" s="16"/>
      <c r="L214" s="16"/>
      <c r="M214" s="25"/>
      <c r="N214" s="25"/>
      <c r="O214" s="16"/>
      <c r="P214" s="1"/>
      <c r="Q214" s="1"/>
      <c r="R214" s="1"/>
      <c r="S214" s="1"/>
      <c r="T214" s="1"/>
      <c r="U214" s="1"/>
      <c r="V214" s="38"/>
      <c r="W214" s="1"/>
      <c r="X214" s="1"/>
    </row>
    <row r="215" spans="1:24" ht="14.4">
      <c r="A215" s="15"/>
      <c r="B215" s="15"/>
      <c r="C215" s="16"/>
      <c r="D215" s="16"/>
      <c r="E215" s="16"/>
      <c r="F215" s="16"/>
      <c r="G215" s="16"/>
      <c r="H215" s="16"/>
      <c r="I215" s="16"/>
      <c r="J215" s="16"/>
      <c r="K215" s="16"/>
      <c r="L215" s="16"/>
      <c r="M215" s="25"/>
      <c r="N215" s="25"/>
      <c r="O215" s="16"/>
      <c r="P215" s="1"/>
      <c r="Q215" s="1"/>
      <c r="R215" s="1"/>
      <c r="S215" s="1"/>
      <c r="T215" s="1"/>
      <c r="U215" s="1"/>
      <c r="V215" s="38"/>
      <c r="W215" s="1"/>
      <c r="X215" s="1"/>
    </row>
    <row r="216" spans="1:24" ht="14.4">
      <c r="A216" s="15"/>
      <c r="B216" s="15"/>
      <c r="C216" s="16"/>
      <c r="D216" s="16"/>
      <c r="E216" s="16"/>
      <c r="F216" s="16"/>
      <c r="G216" s="16"/>
      <c r="H216" s="16"/>
      <c r="I216" s="16"/>
      <c r="J216" s="16"/>
      <c r="K216" s="16"/>
      <c r="L216" s="16"/>
      <c r="M216" s="25"/>
      <c r="N216" s="25"/>
      <c r="O216" s="16"/>
      <c r="P216" s="1"/>
      <c r="Q216" s="1"/>
      <c r="R216" s="1"/>
      <c r="S216" s="1"/>
      <c r="T216" s="1"/>
      <c r="U216" s="1"/>
      <c r="V216" s="38"/>
      <c r="W216" s="1"/>
      <c r="X216" s="1"/>
    </row>
    <row r="217" spans="1:24" ht="14.4">
      <c r="A217" s="15"/>
      <c r="B217" s="15"/>
      <c r="C217" s="16"/>
      <c r="D217" s="16"/>
      <c r="E217" s="16"/>
      <c r="F217" s="16"/>
      <c r="G217" s="16"/>
      <c r="H217" s="16"/>
      <c r="I217" s="16"/>
      <c r="J217" s="16"/>
      <c r="K217" s="16"/>
      <c r="L217" s="16"/>
      <c r="M217" s="25"/>
      <c r="N217" s="25"/>
      <c r="O217" s="16"/>
      <c r="P217" s="1"/>
      <c r="Q217" s="1"/>
      <c r="R217" s="1"/>
      <c r="S217" s="1"/>
      <c r="T217" s="1"/>
      <c r="U217" s="1"/>
      <c r="V217" s="38"/>
      <c r="W217" s="1"/>
      <c r="X217" s="1"/>
    </row>
    <row r="218" spans="1:24" ht="14.4">
      <c r="A218" s="15"/>
      <c r="B218" s="15"/>
      <c r="C218" s="16"/>
      <c r="D218" s="16"/>
      <c r="E218" s="16"/>
      <c r="F218" s="16"/>
      <c r="G218" s="16"/>
      <c r="H218" s="16"/>
      <c r="I218" s="16"/>
      <c r="J218" s="16"/>
      <c r="K218" s="16"/>
      <c r="L218" s="16"/>
      <c r="M218" s="25"/>
      <c r="N218" s="25"/>
      <c r="O218" s="16"/>
      <c r="P218" s="1"/>
      <c r="Q218" s="1"/>
      <c r="R218" s="1"/>
      <c r="S218" s="1"/>
      <c r="T218" s="1"/>
      <c r="U218" s="1"/>
      <c r="V218" s="38"/>
      <c r="W218" s="1"/>
      <c r="X218" s="1"/>
    </row>
    <row r="219" spans="1:24" ht="14.4">
      <c r="A219" s="15"/>
      <c r="B219" s="15"/>
      <c r="C219" s="16"/>
      <c r="D219" s="16"/>
      <c r="E219" s="16"/>
      <c r="F219" s="16"/>
      <c r="G219" s="16"/>
      <c r="H219" s="16"/>
      <c r="I219" s="16"/>
      <c r="J219" s="16"/>
      <c r="K219" s="16"/>
      <c r="L219" s="16"/>
      <c r="M219" s="25"/>
      <c r="N219" s="25"/>
      <c r="O219" s="16"/>
      <c r="P219" s="1"/>
      <c r="Q219" s="1"/>
      <c r="R219" s="1"/>
      <c r="S219" s="1"/>
      <c r="T219" s="1"/>
      <c r="U219" s="1"/>
      <c r="V219" s="38"/>
      <c r="W219" s="1"/>
      <c r="X219" s="1"/>
    </row>
    <row r="220" spans="1:24" ht="14.4">
      <c r="A220" s="15"/>
      <c r="B220" s="15"/>
      <c r="C220" s="16"/>
      <c r="D220" s="16"/>
      <c r="E220" s="16"/>
      <c r="F220" s="16"/>
      <c r="G220" s="16"/>
      <c r="H220" s="16"/>
      <c r="I220" s="16"/>
      <c r="J220" s="16"/>
      <c r="K220" s="16"/>
      <c r="L220" s="16"/>
      <c r="M220" s="25"/>
      <c r="N220" s="25"/>
      <c r="O220" s="16"/>
      <c r="P220" s="1"/>
      <c r="Q220" s="1"/>
      <c r="R220" s="1"/>
      <c r="S220" s="1"/>
      <c r="T220" s="1"/>
      <c r="U220" s="1"/>
      <c r="V220" s="38"/>
      <c r="W220" s="1"/>
      <c r="X220" s="1"/>
    </row>
    <row r="221" spans="1:24" ht="14.4">
      <c r="A221" s="15"/>
      <c r="B221" s="15"/>
      <c r="C221" s="16"/>
      <c r="D221" s="16"/>
      <c r="E221" s="16"/>
      <c r="F221" s="16"/>
      <c r="G221" s="16"/>
      <c r="H221" s="16"/>
      <c r="I221" s="16"/>
      <c r="J221" s="16"/>
      <c r="K221" s="16"/>
      <c r="L221" s="16"/>
      <c r="M221" s="25"/>
      <c r="N221" s="25"/>
      <c r="O221" s="16"/>
      <c r="P221" s="1"/>
      <c r="Q221" s="1"/>
      <c r="R221" s="1"/>
      <c r="S221" s="1"/>
      <c r="T221" s="1"/>
      <c r="U221" s="1"/>
      <c r="V221" s="38"/>
      <c r="W221" s="1"/>
      <c r="X221" s="1"/>
    </row>
    <row r="222" spans="1:24" ht="14.4">
      <c r="A222" s="15"/>
      <c r="B222" s="15"/>
      <c r="C222" s="16"/>
      <c r="D222" s="16"/>
      <c r="E222" s="16"/>
      <c r="F222" s="16"/>
      <c r="G222" s="16"/>
      <c r="H222" s="16"/>
      <c r="I222" s="16"/>
      <c r="J222" s="16"/>
      <c r="K222" s="16"/>
      <c r="L222" s="16"/>
      <c r="M222" s="25"/>
      <c r="N222" s="25"/>
      <c r="O222" s="16"/>
      <c r="P222" s="1"/>
      <c r="Q222" s="1"/>
      <c r="R222" s="1"/>
      <c r="S222" s="1"/>
      <c r="T222" s="1"/>
      <c r="U222" s="1"/>
      <c r="V222" s="38"/>
      <c r="W222" s="1"/>
      <c r="X222" s="1"/>
    </row>
    <row r="223" spans="1:24" ht="14.4">
      <c r="A223" s="15"/>
      <c r="B223" s="15"/>
      <c r="C223" s="16"/>
      <c r="D223" s="16"/>
      <c r="E223" s="16"/>
      <c r="F223" s="16"/>
      <c r="G223" s="16"/>
      <c r="H223" s="16"/>
      <c r="I223" s="16"/>
      <c r="J223" s="16"/>
      <c r="K223" s="16"/>
      <c r="L223" s="16"/>
      <c r="M223" s="25"/>
      <c r="N223" s="25"/>
      <c r="O223" s="16"/>
      <c r="P223" s="1"/>
      <c r="Q223" s="1"/>
      <c r="R223" s="1"/>
      <c r="S223" s="1"/>
      <c r="T223" s="1"/>
      <c r="U223" s="1"/>
      <c r="V223" s="38"/>
      <c r="W223" s="1"/>
      <c r="X223" s="1"/>
    </row>
    <row r="224" spans="1:24" ht="14.4">
      <c r="A224" s="15"/>
      <c r="B224" s="15"/>
      <c r="C224" s="16"/>
      <c r="D224" s="16"/>
      <c r="E224" s="16"/>
      <c r="F224" s="16"/>
      <c r="G224" s="16"/>
      <c r="H224" s="16"/>
      <c r="I224" s="16"/>
      <c r="J224" s="16"/>
      <c r="K224" s="16"/>
      <c r="L224" s="16"/>
      <c r="M224" s="25"/>
      <c r="N224" s="25"/>
      <c r="O224" s="16"/>
      <c r="P224" s="1"/>
      <c r="Q224" s="1"/>
      <c r="R224" s="1"/>
      <c r="S224" s="1"/>
      <c r="T224" s="1"/>
      <c r="U224" s="1"/>
      <c r="V224" s="38"/>
      <c r="W224" s="1"/>
      <c r="X224" s="1"/>
    </row>
    <row r="225" spans="1:24" ht="14.4">
      <c r="A225" s="15"/>
      <c r="B225" s="15"/>
      <c r="C225" s="16"/>
      <c r="D225" s="16"/>
      <c r="E225" s="16"/>
      <c r="F225" s="16"/>
      <c r="G225" s="16"/>
      <c r="H225" s="16"/>
      <c r="I225" s="16"/>
      <c r="J225" s="16"/>
      <c r="K225" s="16"/>
      <c r="L225" s="16"/>
      <c r="M225" s="25"/>
      <c r="N225" s="25"/>
      <c r="O225" s="16"/>
      <c r="P225" s="1"/>
      <c r="Q225" s="1"/>
      <c r="R225" s="1"/>
      <c r="S225" s="1"/>
      <c r="T225" s="1"/>
      <c r="U225" s="1"/>
      <c r="V225" s="38"/>
      <c r="W225" s="1"/>
      <c r="X225" s="1"/>
    </row>
    <row r="226" spans="1:24" ht="14.4">
      <c r="A226" s="15"/>
      <c r="B226" s="15"/>
      <c r="C226" s="16"/>
      <c r="D226" s="16"/>
      <c r="E226" s="16"/>
      <c r="F226" s="16"/>
      <c r="G226" s="16"/>
      <c r="H226" s="16"/>
      <c r="I226" s="16"/>
      <c r="J226" s="16"/>
      <c r="K226" s="16"/>
      <c r="L226" s="16"/>
      <c r="M226" s="25"/>
      <c r="N226" s="25"/>
      <c r="O226" s="16"/>
      <c r="P226" s="1"/>
      <c r="Q226" s="1"/>
      <c r="R226" s="1"/>
      <c r="S226" s="1"/>
      <c r="T226" s="1"/>
      <c r="U226" s="1"/>
      <c r="V226" s="38"/>
      <c r="W226" s="1"/>
      <c r="X226" s="1"/>
    </row>
    <row r="227" spans="1:24" ht="14.4">
      <c r="A227" s="15"/>
      <c r="B227" s="15"/>
      <c r="C227" s="16"/>
      <c r="D227" s="16"/>
      <c r="E227" s="16"/>
      <c r="F227" s="16"/>
      <c r="G227" s="16"/>
      <c r="H227" s="16"/>
      <c r="I227" s="16"/>
      <c r="J227" s="16"/>
      <c r="K227" s="16"/>
      <c r="L227" s="16"/>
      <c r="M227" s="25"/>
      <c r="N227" s="25"/>
      <c r="O227" s="16"/>
      <c r="P227" s="1"/>
      <c r="Q227" s="1"/>
      <c r="R227" s="1"/>
      <c r="S227" s="1"/>
      <c r="T227" s="1"/>
      <c r="U227" s="1"/>
      <c r="V227" s="38"/>
      <c r="W227" s="1"/>
      <c r="X227" s="1"/>
    </row>
    <row r="228" spans="1:24" ht="14.4">
      <c r="A228" s="15"/>
      <c r="B228" s="15"/>
      <c r="C228" s="16"/>
      <c r="D228" s="16"/>
      <c r="E228" s="16"/>
      <c r="F228" s="16"/>
      <c r="G228" s="16"/>
      <c r="H228" s="16"/>
      <c r="I228" s="16"/>
      <c r="J228" s="16"/>
      <c r="K228" s="16"/>
      <c r="L228" s="16"/>
      <c r="M228" s="25"/>
      <c r="N228" s="25"/>
      <c r="O228" s="16"/>
      <c r="P228" s="1"/>
      <c r="Q228" s="1"/>
      <c r="R228" s="1"/>
      <c r="S228" s="1"/>
      <c r="T228" s="1"/>
      <c r="U228" s="1"/>
      <c r="V228" s="38"/>
      <c r="W228" s="1"/>
      <c r="X228" s="1"/>
    </row>
    <row r="229" spans="1:24" ht="14.4">
      <c r="A229" s="15"/>
      <c r="B229" s="15"/>
      <c r="C229" s="16"/>
      <c r="D229" s="16"/>
      <c r="E229" s="16"/>
      <c r="F229" s="16"/>
      <c r="G229" s="16"/>
      <c r="H229" s="16"/>
      <c r="I229" s="16"/>
      <c r="J229" s="16"/>
      <c r="K229" s="16"/>
      <c r="L229" s="16"/>
      <c r="M229" s="25"/>
      <c r="N229" s="25"/>
      <c r="O229" s="16"/>
      <c r="P229" s="1"/>
      <c r="Q229" s="1"/>
      <c r="R229" s="1"/>
      <c r="S229" s="1"/>
      <c r="T229" s="1"/>
      <c r="U229" s="1"/>
      <c r="V229" s="38"/>
      <c r="W229" s="1"/>
      <c r="X229" s="1"/>
    </row>
    <row r="230" spans="1:24" ht="14.4">
      <c r="A230" s="15"/>
      <c r="B230" s="15"/>
      <c r="C230" s="16"/>
      <c r="D230" s="16"/>
      <c r="E230" s="16"/>
      <c r="F230" s="16"/>
      <c r="G230" s="16"/>
      <c r="H230" s="16"/>
      <c r="I230" s="16"/>
      <c r="J230" s="16"/>
      <c r="K230" s="16"/>
      <c r="L230" s="16"/>
      <c r="M230" s="25"/>
      <c r="N230" s="25"/>
      <c r="O230" s="16"/>
      <c r="P230" s="1"/>
      <c r="Q230" s="1"/>
      <c r="R230" s="1"/>
      <c r="S230" s="1"/>
      <c r="T230" s="1"/>
      <c r="U230" s="1"/>
      <c r="V230" s="38"/>
      <c r="W230" s="1"/>
      <c r="X230" s="1"/>
    </row>
    <row r="231" spans="1:24" ht="14.4">
      <c r="A231" s="15"/>
      <c r="B231" s="15"/>
      <c r="C231" s="16"/>
      <c r="D231" s="16"/>
      <c r="E231" s="16"/>
      <c r="F231" s="16"/>
      <c r="G231" s="16"/>
      <c r="H231" s="16"/>
      <c r="I231" s="16"/>
      <c r="J231" s="16"/>
      <c r="K231" s="16"/>
      <c r="L231" s="16"/>
      <c r="M231" s="25"/>
      <c r="N231" s="25"/>
      <c r="O231" s="16"/>
      <c r="P231" s="1"/>
      <c r="Q231" s="1"/>
      <c r="R231" s="1"/>
      <c r="S231" s="1"/>
      <c r="T231" s="1"/>
      <c r="U231" s="1"/>
      <c r="V231" s="38"/>
      <c r="W231" s="1"/>
      <c r="X231" s="1"/>
    </row>
    <row r="232" spans="1:24" ht="14.4">
      <c r="A232" s="15"/>
      <c r="B232" s="15"/>
      <c r="C232" s="16"/>
      <c r="D232" s="16"/>
      <c r="E232" s="16"/>
      <c r="F232" s="16"/>
      <c r="G232" s="16"/>
      <c r="H232" s="16"/>
      <c r="I232" s="16"/>
      <c r="J232" s="16"/>
      <c r="K232" s="16"/>
      <c r="L232" s="16"/>
      <c r="M232" s="25"/>
      <c r="N232" s="25"/>
      <c r="O232" s="16"/>
      <c r="P232" s="1"/>
      <c r="Q232" s="1"/>
      <c r="R232" s="1"/>
      <c r="S232" s="1"/>
      <c r="T232" s="1"/>
      <c r="U232" s="1"/>
      <c r="V232" s="38"/>
      <c r="W232" s="1"/>
      <c r="X232" s="1"/>
    </row>
    <row r="233" spans="1:24" ht="14.4">
      <c r="A233" s="15"/>
      <c r="B233" s="15"/>
      <c r="C233" s="16"/>
      <c r="D233" s="16"/>
      <c r="E233" s="16"/>
      <c r="F233" s="16"/>
      <c r="G233" s="16"/>
      <c r="H233" s="16"/>
      <c r="I233" s="16"/>
      <c r="J233" s="16"/>
      <c r="K233" s="16"/>
      <c r="L233" s="16"/>
      <c r="M233" s="25"/>
      <c r="N233" s="25"/>
      <c r="O233" s="16"/>
      <c r="P233" s="1"/>
      <c r="Q233" s="1"/>
      <c r="R233" s="1"/>
      <c r="S233" s="1"/>
      <c r="T233" s="1"/>
      <c r="U233" s="1"/>
      <c r="V233" s="38"/>
      <c r="W233" s="1"/>
      <c r="X233" s="1"/>
    </row>
    <row r="234" spans="1:24" ht="14.4">
      <c r="A234" s="15"/>
      <c r="B234" s="15"/>
      <c r="C234" s="16"/>
      <c r="D234" s="16"/>
      <c r="E234" s="16"/>
      <c r="F234" s="16"/>
      <c r="G234" s="16"/>
      <c r="H234" s="16"/>
      <c r="I234" s="16"/>
      <c r="J234" s="16"/>
      <c r="K234" s="16"/>
      <c r="L234" s="16"/>
      <c r="M234" s="25"/>
      <c r="N234" s="25"/>
      <c r="O234" s="16"/>
      <c r="P234" s="1"/>
      <c r="Q234" s="1"/>
      <c r="R234" s="1"/>
      <c r="S234" s="1"/>
      <c r="T234" s="1"/>
      <c r="U234" s="1"/>
      <c r="V234" s="38"/>
      <c r="W234" s="1"/>
      <c r="X234" s="1"/>
    </row>
    <row r="235" spans="1:24" ht="14.4">
      <c r="A235" s="15"/>
      <c r="B235" s="15"/>
      <c r="C235" s="16"/>
      <c r="D235" s="16"/>
      <c r="E235" s="16"/>
      <c r="F235" s="16"/>
      <c r="G235" s="16"/>
      <c r="H235" s="16"/>
      <c r="I235" s="16"/>
      <c r="J235" s="16"/>
      <c r="K235" s="16"/>
      <c r="L235" s="16"/>
      <c r="M235" s="25"/>
      <c r="N235" s="25"/>
      <c r="O235" s="16"/>
      <c r="P235" s="1"/>
      <c r="Q235" s="1"/>
      <c r="R235" s="1"/>
      <c r="S235" s="1"/>
      <c r="T235" s="1"/>
      <c r="U235" s="1"/>
      <c r="V235" s="38"/>
      <c r="W235" s="1"/>
      <c r="X235" s="1"/>
    </row>
    <row r="236" spans="1:24" ht="14.4">
      <c r="A236" s="15"/>
      <c r="B236" s="15"/>
      <c r="C236" s="16"/>
      <c r="D236" s="16"/>
      <c r="E236" s="16"/>
      <c r="F236" s="16"/>
      <c r="G236" s="16"/>
      <c r="H236" s="16"/>
      <c r="I236" s="16"/>
      <c r="J236" s="16"/>
      <c r="K236" s="16"/>
      <c r="L236" s="16"/>
      <c r="M236" s="25"/>
      <c r="N236" s="25"/>
      <c r="O236" s="16"/>
      <c r="P236" s="1"/>
      <c r="Q236" s="1"/>
      <c r="R236" s="1"/>
      <c r="S236" s="1"/>
      <c r="T236" s="1"/>
      <c r="U236" s="1"/>
      <c r="V236" s="38"/>
      <c r="W236" s="1"/>
      <c r="X236" s="1"/>
    </row>
    <row r="237" spans="1:24" ht="14.4">
      <c r="A237" s="15"/>
      <c r="B237" s="15"/>
      <c r="C237" s="16"/>
      <c r="D237" s="16"/>
      <c r="E237" s="16"/>
      <c r="F237" s="16"/>
      <c r="G237" s="16"/>
      <c r="H237" s="16"/>
      <c r="I237" s="16"/>
      <c r="J237" s="16"/>
      <c r="K237" s="16"/>
      <c r="L237" s="16"/>
      <c r="M237" s="25"/>
      <c r="N237" s="25"/>
      <c r="O237" s="16"/>
      <c r="P237" s="1"/>
      <c r="Q237" s="1"/>
      <c r="R237" s="1"/>
      <c r="S237" s="1"/>
      <c r="T237" s="1"/>
      <c r="U237" s="1"/>
      <c r="V237" s="38"/>
      <c r="W237" s="1"/>
      <c r="X237" s="1"/>
    </row>
    <row r="238" spans="1:24" ht="14.4">
      <c r="A238" s="15"/>
      <c r="B238" s="15"/>
      <c r="C238" s="16"/>
      <c r="D238" s="16"/>
      <c r="E238" s="16"/>
      <c r="F238" s="16"/>
      <c r="G238" s="16"/>
      <c r="H238" s="16"/>
      <c r="I238" s="16"/>
      <c r="J238" s="16"/>
      <c r="K238" s="16"/>
      <c r="L238" s="16"/>
      <c r="M238" s="25"/>
      <c r="N238" s="25"/>
      <c r="O238" s="16"/>
      <c r="P238" s="1"/>
      <c r="Q238" s="1"/>
      <c r="R238" s="1"/>
      <c r="S238" s="1"/>
      <c r="T238" s="1"/>
      <c r="U238" s="1"/>
      <c r="V238" s="38"/>
      <c r="W238" s="1"/>
      <c r="X238" s="1"/>
    </row>
    <row r="239" spans="1:24" ht="14.4">
      <c r="A239" s="15"/>
      <c r="B239" s="15"/>
      <c r="C239" s="16"/>
      <c r="D239" s="16"/>
      <c r="E239" s="16"/>
      <c r="F239" s="16"/>
      <c r="G239" s="16"/>
      <c r="H239" s="16"/>
      <c r="I239" s="16"/>
      <c r="J239" s="16"/>
      <c r="K239" s="16"/>
      <c r="L239" s="16"/>
      <c r="M239" s="25"/>
      <c r="N239" s="25"/>
      <c r="O239" s="16"/>
      <c r="P239" s="1"/>
      <c r="Q239" s="1"/>
      <c r="R239" s="1"/>
      <c r="S239" s="1"/>
      <c r="T239" s="1"/>
      <c r="U239" s="1"/>
      <c r="V239" s="38"/>
      <c r="W239" s="1"/>
      <c r="X239" s="1"/>
    </row>
    <row r="240" spans="1:24" ht="14.4">
      <c r="A240" s="15"/>
      <c r="B240" s="15"/>
      <c r="C240" s="16"/>
      <c r="D240" s="16"/>
      <c r="E240" s="16"/>
      <c r="F240" s="16"/>
      <c r="G240" s="16"/>
      <c r="H240" s="16"/>
      <c r="I240" s="16"/>
      <c r="J240" s="16"/>
      <c r="K240" s="16"/>
      <c r="L240" s="16"/>
      <c r="M240" s="25"/>
      <c r="N240" s="25"/>
      <c r="O240" s="16"/>
      <c r="P240" s="1"/>
      <c r="Q240" s="1"/>
      <c r="R240" s="1"/>
      <c r="S240" s="1"/>
      <c r="T240" s="1"/>
      <c r="U240" s="1"/>
      <c r="V240" s="38"/>
      <c r="W240" s="1"/>
      <c r="X240" s="1"/>
    </row>
    <row r="241" spans="1:24" ht="14.4">
      <c r="A241" s="15"/>
      <c r="B241" s="15"/>
      <c r="C241" s="16"/>
      <c r="D241" s="16"/>
      <c r="E241" s="16"/>
      <c r="F241" s="16"/>
      <c r="G241" s="16"/>
      <c r="H241" s="16"/>
      <c r="I241" s="16"/>
      <c r="J241" s="16"/>
      <c r="K241" s="16"/>
      <c r="L241" s="16"/>
      <c r="M241" s="25"/>
      <c r="N241" s="25"/>
      <c r="O241" s="16"/>
      <c r="P241" s="1"/>
      <c r="Q241" s="1"/>
      <c r="R241" s="1"/>
      <c r="S241" s="1"/>
      <c r="T241" s="1"/>
      <c r="U241" s="1"/>
      <c r="V241" s="38"/>
      <c r="W241" s="1"/>
      <c r="X241" s="1"/>
    </row>
    <row r="242" spans="1:24" ht="14.4">
      <c r="A242" s="15"/>
      <c r="B242" s="15"/>
      <c r="C242" s="16"/>
      <c r="D242" s="16"/>
      <c r="E242" s="16"/>
      <c r="F242" s="16"/>
      <c r="G242" s="16"/>
      <c r="H242" s="16"/>
      <c r="I242" s="16"/>
      <c r="J242" s="16"/>
      <c r="K242" s="16"/>
      <c r="L242" s="16"/>
      <c r="M242" s="25"/>
      <c r="N242" s="25"/>
      <c r="O242" s="16"/>
      <c r="P242" s="1"/>
      <c r="Q242" s="1"/>
      <c r="R242" s="1"/>
      <c r="S242" s="1"/>
      <c r="T242" s="1"/>
      <c r="U242" s="1"/>
      <c r="V242" s="38"/>
      <c r="W242" s="1"/>
      <c r="X242" s="1"/>
    </row>
    <row r="243" spans="1:24" ht="14.4">
      <c r="A243" s="15"/>
      <c r="B243" s="15"/>
      <c r="C243" s="16"/>
      <c r="D243" s="16"/>
      <c r="E243" s="16"/>
      <c r="F243" s="16"/>
      <c r="G243" s="16"/>
      <c r="H243" s="16"/>
      <c r="I243" s="16"/>
      <c r="J243" s="16"/>
      <c r="K243" s="16"/>
      <c r="L243" s="16"/>
      <c r="M243" s="25"/>
      <c r="N243" s="25"/>
      <c r="O243" s="16"/>
      <c r="P243" s="1"/>
      <c r="Q243" s="1"/>
      <c r="R243" s="1"/>
      <c r="S243" s="1"/>
      <c r="T243" s="1"/>
      <c r="U243" s="1"/>
      <c r="V243" s="38"/>
      <c r="W243" s="1"/>
      <c r="X243" s="1"/>
    </row>
    <row r="244" spans="1:24" ht="14.4">
      <c r="A244" s="15"/>
      <c r="B244" s="15"/>
      <c r="C244" s="16"/>
      <c r="D244" s="16"/>
      <c r="E244" s="16"/>
      <c r="F244" s="16"/>
      <c r="G244" s="16"/>
      <c r="H244" s="16"/>
      <c r="I244" s="16"/>
      <c r="J244" s="16"/>
      <c r="K244" s="16"/>
      <c r="L244" s="16"/>
      <c r="M244" s="25"/>
      <c r="N244" s="25"/>
      <c r="O244" s="16"/>
      <c r="P244" s="1"/>
      <c r="Q244" s="1"/>
      <c r="R244" s="1"/>
      <c r="S244" s="1"/>
      <c r="T244" s="1"/>
      <c r="U244" s="1"/>
      <c r="V244" s="38"/>
      <c r="W244" s="1"/>
      <c r="X244" s="1"/>
    </row>
    <row r="245" spans="1:24" ht="14.4">
      <c r="A245" s="15"/>
      <c r="B245" s="15"/>
      <c r="C245" s="16"/>
      <c r="D245" s="16"/>
      <c r="E245" s="16"/>
      <c r="F245" s="16"/>
      <c r="G245" s="16"/>
      <c r="H245" s="16"/>
      <c r="I245" s="16"/>
      <c r="J245" s="16"/>
      <c r="K245" s="16"/>
      <c r="L245" s="16"/>
      <c r="M245" s="25"/>
      <c r="N245" s="25"/>
      <c r="O245" s="16"/>
      <c r="P245" s="1"/>
      <c r="Q245" s="1"/>
      <c r="R245" s="1"/>
      <c r="S245" s="1"/>
      <c r="T245" s="1"/>
      <c r="U245" s="1"/>
      <c r="V245" s="38"/>
      <c r="W245" s="1"/>
      <c r="X245" s="1"/>
    </row>
    <row r="246" spans="1:24" ht="14.4">
      <c r="A246" s="15"/>
      <c r="B246" s="15"/>
      <c r="C246" s="16"/>
      <c r="D246" s="16"/>
      <c r="E246" s="16"/>
      <c r="F246" s="16"/>
      <c r="G246" s="16"/>
      <c r="H246" s="16"/>
      <c r="I246" s="16"/>
      <c r="J246" s="16"/>
      <c r="K246" s="16"/>
      <c r="L246" s="16"/>
      <c r="M246" s="25"/>
      <c r="N246" s="25"/>
      <c r="O246" s="16"/>
      <c r="P246" s="1"/>
      <c r="Q246" s="1"/>
      <c r="R246" s="1"/>
      <c r="S246" s="1"/>
      <c r="T246" s="1"/>
      <c r="U246" s="1"/>
      <c r="V246" s="38"/>
      <c r="W246" s="1"/>
      <c r="X246" s="1"/>
    </row>
    <row r="247" spans="1:24" ht="14.4">
      <c r="A247" s="15"/>
      <c r="B247" s="15"/>
      <c r="C247" s="16"/>
      <c r="D247" s="16"/>
      <c r="E247" s="16"/>
      <c r="F247" s="16"/>
      <c r="G247" s="16"/>
      <c r="H247" s="16"/>
      <c r="I247" s="16"/>
      <c r="J247" s="16"/>
      <c r="K247" s="16"/>
      <c r="L247" s="16"/>
      <c r="M247" s="25"/>
      <c r="N247" s="25"/>
      <c r="O247" s="16"/>
      <c r="P247" s="1"/>
      <c r="Q247" s="1"/>
      <c r="R247" s="1"/>
      <c r="S247" s="1"/>
      <c r="T247" s="1"/>
      <c r="U247" s="1"/>
      <c r="V247" s="38"/>
      <c r="W247" s="1"/>
      <c r="X247" s="1"/>
    </row>
    <row r="248" spans="1:24" ht="14.4">
      <c r="A248" s="15"/>
      <c r="B248" s="15"/>
      <c r="C248" s="16"/>
      <c r="D248" s="16"/>
      <c r="E248" s="16"/>
      <c r="F248" s="16"/>
      <c r="G248" s="16"/>
      <c r="H248" s="16"/>
      <c r="I248" s="16"/>
      <c r="J248" s="16"/>
      <c r="K248" s="16"/>
      <c r="L248" s="16"/>
      <c r="M248" s="25"/>
      <c r="N248" s="25"/>
      <c r="O248" s="16"/>
      <c r="P248" s="1"/>
      <c r="Q248" s="1"/>
      <c r="R248" s="1"/>
      <c r="S248" s="1"/>
      <c r="T248" s="1"/>
      <c r="U248" s="1"/>
      <c r="V248" s="38"/>
      <c r="W248" s="1"/>
      <c r="X248" s="1"/>
    </row>
    <row r="249" spans="1:24" ht="14.4">
      <c r="A249" s="15"/>
      <c r="B249" s="15"/>
      <c r="C249" s="16"/>
      <c r="D249" s="16"/>
      <c r="E249" s="16"/>
      <c r="F249" s="16"/>
      <c r="G249" s="16"/>
      <c r="H249" s="16"/>
      <c r="I249" s="16"/>
      <c r="J249" s="16"/>
      <c r="K249" s="16"/>
      <c r="L249" s="16"/>
      <c r="M249" s="25"/>
      <c r="N249" s="25"/>
      <c r="O249" s="16"/>
      <c r="P249" s="1"/>
      <c r="Q249" s="1"/>
      <c r="R249" s="1"/>
      <c r="S249" s="1"/>
      <c r="T249" s="1"/>
      <c r="U249" s="1"/>
      <c r="V249" s="38"/>
      <c r="W249" s="1"/>
      <c r="X249" s="1"/>
    </row>
    <row r="250" spans="1:24" ht="14.4">
      <c r="A250" s="15"/>
      <c r="B250" s="15"/>
      <c r="C250" s="16"/>
      <c r="D250" s="16"/>
      <c r="E250" s="16"/>
      <c r="F250" s="16"/>
      <c r="G250" s="16"/>
      <c r="H250" s="16"/>
      <c r="I250" s="16"/>
      <c r="J250" s="16"/>
      <c r="K250" s="16"/>
      <c r="L250" s="16"/>
      <c r="M250" s="25"/>
      <c r="N250" s="25"/>
      <c r="O250" s="16"/>
      <c r="P250" s="1"/>
      <c r="Q250" s="1"/>
      <c r="R250" s="1"/>
      <c r="S250" s="1"/>
      <c r="T250" s="1"/>
      <c r="U250" s="1"/>
      <c r="V250" s="38"/>
      <c r="W250" s="1"/>
      <c r="X250" s="1"/>
    </row>
    <row r="251" spans="1:24" ht="14.4">
      <c r="A251" s="15"/>
      <c r="B251" s="15"/>
      <c r="C251" s="16"/>
      <c r="D251" s="16"/>
      <c r="E251" s="16"/>
      <c r="F251" s="16"/>
      <c r="G251" s="16"/>
      <c r="H251" s="16"/>
      <c r="I251" s="16"/>
      <c r="J251" s="16"/>
      <c r="K251" s="16"/>
      <c r="L251" s="16"/>
      <c r="M251" s="25"/>
      <c r="N251" s="25"/>
      <c r="O251" s="16"/>
      <c r="P251" s="1"/>
      <c r="Q251" s="1"/>
      <c r="R251" s="1"/>
      <c r="S251" s="1"/>
      <c r="T251" s="1"/>
      <c r="U251" s="1"/>
      <c r="V251" s="38"/>
      <c r="W251" s="1"/>
      <c r="X251" s="1"/>
    </row>
    <row r="252" spans="1:24" ht="14.4">
      <c r="A252" s="15"/>
      <c r="B252" s="15"/>
      <c r="C252" s="16"/>
      <c r="D252" s="16"/>
      <c r="E252" s="16"/>
      <c r="F252" s="16"/>
      <c r="G252" s="16"/>
      <c r="H252" s="16"/>
      <c r="I252" s="16"/>
      <c r="J252" s="16"/>
      <c r="K252" s="16"/>
      <c r="L252" s="16"/>
      <c r="M252" s="25"/>
      <c r="N252" s="25"/>
      <c r="O252" s="16"/>
      <c r="P252" s="1"/>
      <c r="Q252" s="1"/>
      <c r="R252" s="1"/>
      <c r="S252" s="1"/>
      <c r="T252" s="1"/>
      <c r="U252" s="1"/>
      <c r="V252" s="38"/>
      <c r="W252" s="1"/>
      <c r="X252" s="1"/>
    </row>
    <row r="253" spans="1:24" ht="14.4">
      <c r="A253" s="15"/>
      <c r="B253" s="15"/>
      <c r="C253" s="16"/>
      <c r="D253" s="16"/>
      <c r="E253" s="16"/>
      <c r="F253" s="16"/>
      <c r="G253" s="16"/>
      <c r="H253" s="16"/>
      <c r="I253" s="16"/>
      <c r="J253" s="16"/>
      <c r="K253" s="16"/>
      <c r="L253" s="16"/>
      <c r="M253" s="25"/>
      <c r="N253" s="25"/>
      <c r="O253" s="16"/>
      <c r="P253" s="1"/>
      <c r="Q253" s="1"/>
      <c r="R253" s="1"/>
      <c r="S253" s="1"/>
      <c r="T253" s="1"/>
      <c r="U253" s="1"/>
      <c r="V253" s="38"/>
      <c r="W253" s="1"/>
      <c r="X253" s="1"/>
    </row>
    <row r="254" spans="1:24" ht="14.4">
      <c r="A254" s="15"/>
      <c r="B254" s="15"/>
      <c r="C254" s="16"/>
      <c r="D254" s="16"/>
      <c r="E254" s="16"/>
      <c r="F254" s="16"/>
      <c r="G254" s="16"/>
      <c r="H254" s="16"/>
      <c r="I254" s="16"/>
      <c r="J254" s="16"/>
      <c r="K254" s="16"/>
      <c r="L254" s="16"/>
      <c r="M254" s="25"/>
      <c r="N254" s="25"/>
      <c r="O254" s="16"/>
      <c r="P254" s="1"/>
      <c r="Q254" s="1"/>
      <c r="R254" s="1"/>
      <c r="S254" s="1"/>
      <c r="T254" s="1"/>
      <c r="U254" s="1"/>
      <c r="V254" s="38"/>
      <c r="W254" s="1"/>
      <c r="X254" s="1"/>
    </row>
    <row r="255" spans="1:24" ht="14.4">
      <c r="A255" s="15"/>
      <c r="B255" s="15"/>
      <c r="C255" s="16"/>
      <c r="D255" s="16"/>
      <c r="E255" s="16"/>
      <c r="F255" s="16"/>
      <c r="G255" s="16"/>
      <c r="H255" s="16"/>
      <c r="I255" s="16"/>
      <c r="J255" s="16"/>
      <c r="K255" s="16"/>
      <c r="L255" s="16"/>
      <c r="M255" s="25"/>
      <c r="N255" s="25"/>
      <c r="O255" s="16"/>
      <c r="P255" s="1"/>
      <c r="Q255" s="1"/>
      <c r="R255" s="1"/>
      <c r="S255" s="1"/>
      <c r="T255" s="1"/>
      <c r="U255" s="1"/>
      <c r="V255" s="38"/>
      <c r="W255" s="1"/>
      <c r="X255" s="1"/>
    </row>
    <row r="256" spans="1:24" ht="14.4">
      <c r="A256" s="15"/>
      <c r="B256" s="15"/>
      <c r="C256" s="16"/>
      <c r="D256" s="16"/>
      <c r="E256" s="16"/>
      <c r="F256" s="16"/>
      <c r="G256" s="16"/>
      <c r="H256" s="16"/>
      <c r="I256" s="16"/>
      <c r="J256" s="16"/>
      <c r="K256" s="16"/>
      <c r="L256" s="16"/>
      <c r="M256" s="25"/>
      <c r="N256" s="25"/>
      <c r="O256" s="16"/>
      <c r="P256" s="1"/>
      <c r="Q256" s="1"/>
      <c r="R256" s="1"/>
      <c r="S256" s="1"/>
      <c r="T256" s="1"/>
      <c r="U256" s="1"/>
      <c r="V256" s="38"/>
      <c r="W256" s="1"/>
      <c r="X256" s="1"/>
    </row>
    <row r="257" spans="1:24" ht="14.4">
      <c r="A257" s="15"/>
      <c r="B257" s="15"/>
      <c r="C257" s="16"/>
      <c r="D257" s="16"/>
      <c r="E257" s="16"/>
      <c r="F257" s="16"/>
      <c r="G257" s="16"/>
      <c r="H257" s="16"/>
      <c r="I257" s="16"/>
      <c r="J257" s="16"/>
      <c r="K257" s="16"/>
      <c r="L257" s="16"/>
      <c r="M257" s="25"/>
      <c r="N257" s="25"/>
      <c r="O257" s="16"/>
      <c r="P257" s="1"/>
      <c r="Q257" s="1"/>
      <c r="R257" s="1"/>
      <c r="S257" s="1"/>
      <c r="T257" s="1"/>
      <c r="U257" s="1"/>
      <c r="V257" s="38"/>
      <c r="W257" s="1"/>
      <c r="X257" s="1"/>
    </row>
    <row r="258" spans="1:24" ht="14.4">
      <c r="A258" s="15"/>
      <c r="B258" s="15"/>
      <c r="C258" s="16"/>
      <c r="D258" s="16"/>
      <c r="E258" s="16"/>
      <c r="F258" s="16"/>
      <c r="G258" s="16"/>
      <c r="H258" s="16"/>
      <c r="I258" s="16"/>
      <c r="J258" s="16"/>
      <c r="K258" s="16"/>
      <c r="L258" s="16"/>
      <c r="M258" s="25"/>
      <c r="N258" s="25"/>
      <c r="O258" s="16"/>
      <c r="P258" s="1"/>
      <c r="Q258" s="1"/>
      <c r="R258" s="1"/>
      <c r="S258" s="1"/>
      <c r="T258" s="1"/>
      <c r="U258" s="1"/>
      <c r="V258" s="38"/>
      <c r="W258" s="1"/>
      <c r="X258" s="1"/>
    </row>
    <row r="259" spans="1:24" ht="14.4">
      <c r="A259" s="15"/>
      <c r="B259" s="15"/>
      <c r="C259" s="16"/>
      <c r="D259" s="16"/>
      <c r="E259" s="16"/>
      <c r="F259" s="16"/>
      <c r="G259" s="16"/>
      <c r="H259" s="16"/>
      <c r="I259" s="16"/>
      <c r="J259" s="16"/>
      <c r="K259" s="16"/>
      <c r="L259" s="16"/>
      <c r="M259" s="25"/>
      <c r="N259" s="25"/>
      <c r="O259" s="16"/>
      <c r="P259" s="1"/>
      <c r="Q259" s="1"/>
      <c r="R259" s="1"/>
      <c r="S259" s="1"/>
      <c r="T259" s="1"/>
      <c r="U259" s="1"/>
      <c r="V259" s="38"/>
      <c r="W259" s="1"/>
      <c r="X259" s="1"/>
    </row>
    <row r="260" spans="1:24" ht="14.4">
      <c r="A260" s="15"/>
      <c r="B260" s="15"/>
      <c r="C260" s="16"/>
      <c r="D260" s="16"/>
      <c r="E260" s="16"/>
      <c r="F260" s="16"/>
      <c r="G260" s="16"/>
      <c r="H260" s="16"/>
      <c r="I260" s="16"/>
      <c r="J260" s="16"/>
      <c r="K260" s="16"/>
      <c r="L260" s="16"/>
      <c r="M260" s="25"/>
      <c r="N260" s="25"/>
      <c r="O260" s="16"/>
      <c r="P260" s="1"/>
      <c r="Q260" s="1"/>
      <c r="R260" s="1"/>
      <c r="S260" s="1"/>
      <c r="T260" s="1"/>
      <c r="U260" s="1"/>
      <c r="V260" s="38"/>
      <c r="W260" s="1"/>
      <c r="X260" s="1"/>
    </row>
    <row r="261" spans="1:24" ht="14.4">
      <c r="A261" s="15"/>
      <c r="B261" s="15"/>
      <c r="C261" s="16"/>
      <c r="D261" s="16"/>
      <c r="E261" s="16"/>
      <c r="F261" s="16"/>
      <c r="G261" s="16"/>
      <c r="H261" s="16"/>
      <c r="I261" s="16"/>
      <c r="J261" s="16"/>
      <c r="K261" s="16"/>
      <c r="L261" s="16"/>
      <c r="M261" s="25"/>
      <c r="N261" s="25"/>
      <c r="O261" s="16"/>
      <c r="P261" s="1"/>
      <c r="Q261" s="1"/>
      <c r="R261" s="1"/>
      <c r="S261" s="1"/>
      <c r="T261" s="1"/>
      <c r="U261" s="1"/>
      <c r="V261" s="38"/>
      <c r="W261" s="1"/>
      <c r="X261" s="1"/>
    </row>
    <row r="262" spans="1:24" ht="14.4">
      <c r="A262" s="15"/>
      <c r="B262" s="15"/>
      <c r="C262" s="16"/>
      <c r="D262" s="16"/>
      <c r="E262" s="16"/>
      <c r="F262" s="16"/>
      <c r="G262" s="16"/>
      <c r="H262" s="16"/>
      <c r="I262" s="16"/>
      <c r="J262" s="16"/>
      <c r="K262" s="16"/>
      <c r="L262" s="16"/>
      <c r="M262" s="25"/>
      <c r="N262" s="25"/>
      <c r="O262" s="16"/>
      <c r="P262" s="1"/>
      <c r="Q262" s="1"/>
      <c r="R262" s="1"/>
      <c r="S262" s="1"/>
      <c r="T262" s="1"/>
      <c r="U262" s="1"/>
      <c r="V262" s="38"/>
      <c r="W262" s="1"/>
      <c r="X262" s="1"/>
    </row>
    <row r="263" spans="1:24" ht="14.4">
      <c r="A263" s="15"/>
      <c r="B263" s="15"/>
      <c r="C263" s="16"/>
      <c r="D263" s="16"/>
      <c r="E263" s="16"/>
      <c r="F263" s="16"/>
      <c r="G263" s="16"/>
      <c r="H263" s="16"/>
      <c r="I263" s="16"/>
      <c r="J263" s="16"/>
      <c r="K263" s="16"/>
      <c r="L263" s="16"/>
      <c r="M263" s="25"/>
      <c r="N263" s="25"/>
      <c r="O263" s="16"/>
      <c r="P263" s="1"/>
      <c r="Q263" s="1"/>
      <c r="R263" s="1"/>
      <c r="S263" s="1"/>
      <c r="T263" s="1"/>
      <c r="U263" s="1"/>
      <c r="V263" s="38"/>
      <c r="W263" s="1"/>
      <c r="X263" s="1"/>
    </row>
    <row r="264" spans="1:24" ht="14.4">
      <c r="A264" s="15"/>
      <c r="B264" s="15"/>
      <c r="C264" s="16"/>
      <c r="D264" s="16"/>
      <c r="E264" s="16"/>
      <c r="F264" s="16"/>
      <c r="G264" s="16"/>
      <c r="H264" s="16"/>
      <c r="I264" s="16"/>
      <c r="J264" s="16"/>
      <c r="K264" s="16"/>
      <c r="L264" s="16"/>
      <c r="M264" s="25"/>
      <c r="N264" s="25"/>
      <c r="O264" s="16"/>
      <c r="P264" s="1"/>
      <c r="Q264" s="1"/>
      <c r="R264" s="1"/>
      <c r="S264" s="1"/>
      <c r="T264" s="1"/>
      <c r="U264" s="1"/>
      <c r="V264" s="38"/>
      <c r="W264" s="1"/>
      <c r="X264" s="1"/>
    </row>
    <row r="265" spans="1:24" ht="14.4">
      <c r="A265" s="15"/>
      <c r="B265" s="15"/>
      <c r="C265" s="16"/>
      <c r="D265" s="16"/>
      <c r="E265" s="16"/>
      <c r="F265" s="16"/>
      <c r="G265" s="16"/>
      <c r="H265" s="16"/>
      <c r="I265" s="16"/>
      <c r="J265" s="16"/>
      <c r="K265" s="16"/>
      <c r="L265" s="16"/>
      <c r="M265" s="25"/>
      <c r="N265" s="25"/>
      <c r="O265" s="16"/>
      <c r="P265" s="1"/>
      <c r="Q265" s="1"/>
      <c r="R265" s="1"/>
      <c r="S265" s="1"/>
      <c r="T265" s="1"/>
      <c r="U265" s="1"/>
      <c r="V265" s="38"/>
      <c r="W265" s="1"/>
      <c r="X265" s="1"/>
    </row>
    <row r="266" spans="1:24" ht="14.4">
      <c r="A266" s="15"/>
      <c r="B266" s="15"/>
      <c r="C266" s="16"/>
      <c r="D266" s="16"/>
      <c r="E266" s="16"/>
      <c r="F266" s="16"/>
      <c r="G266" s="16"/>
      <c r="H266" s="16"/>
      <c r="I266" s="16"/>
      <c r="J266" s="16"/>
      <c r="K266" s="16"/>
      <c r="L266" s="16"/>
      <c r="M266" s="25"/>
      <c r="N266" s="25"/>
      <c r="O266" s="16"/>
      <c r="P266" s="1"/>
      <c r="Q266" s="1"/>
      <c r="R266" s="1"/>
      <c r="S266" s="1"/>
      <c r="T266" s="1"/>
      <c r="U266" s="1"/>
      <c r="V266" s="38"/>
      <c r="W266" s="1"/>
      <c r="X266" s="1"/>
    </row>
    <row r="267" spans="1:24" ht="14.4">
      <c r="A267" s="15"/>
      <c r="B267" s="15"/>
      <c r="C267" s="16"/>
      <c r="D267" s="16"/>
      <c r="E267" s="16"/>
      <c r="F267" s="16"/>
      <c r="G267" s="16"/>
      <c r="H267" s="16"/>
      <c r="I267" s="16"/>
      <c r="J267" s="16"/>
      <c r="K267" s="16"/>
      <c r="L267" s="16"/>
      <c r="M267" s="25"/>
      <c r="N267" s="25"/>
      <c r="O267" s="16"/>
      <c r="P267" s="1"/>
      <c r="Q267" s="1"/>
      <c r="R267" s="1"/>
      <c r="S267" s="1"/>
      <c r="T267" s="1"/>
      <c r="U267" s="1"/>
      <c r="V267" s="38"/>
      <c r="W267" s="1"/>
      <c r="X267" s="1"/>
    </row>
    <row r="268" spans="1:24" ht="14.4">
      <c r="A268" s="15"/>
      <c r="B268" s="15"/>
      <c r="C268" s="16"/>
      <c r="D268" s="16"/>
      <c r="E268" s="16"/>
      <c r="F268" s="16"/>
      <c r="G268" s="16"/>
      <c r="H268" s="16"/>
      <c r="I268" s="16"/>
      <c r="J268" s="16"/>
      <c r="K268" s="16"/>
      <c r="L268" s="16"/>
      <c r="M268" s="25"/>
      <c r="N268" s="25"/>
      <c r="O268" s="16"/>
      <c r="P268" s="1"/>
      <c r="Q268" s="1"/>
      <c r="R268" s="1"/>
      <c r="S268" s="1"/>
      <c r="T268" s="1"/>
      <c r="U268" s="1"/>
      <c r="V268" s="38"/>
      <c r="W268" s="1"/>
      <c r="X268" s="1"/>
    </row>
    <row r="269" spans="1:24" ht="14.4">
      <c r="A269" s="15"/>
      <c r="B269" s="15"/>
      <c r="C269" s="16"/>
      <c r="D269" s="16"/>
      <c r="E269" s="16"/>
      <c r="F269" s="16"/>
      <c r="G269" s="16"/>
      <c r="H269" s="16"/>
      <c r="I269" s="16"/>
      <c r="J269" s="16"/>
      <c r="K269" s="16"/>
      <c r="L269" s="16"/>
      <c r="M269" s="25"/>
      <c r="N269" s="25"/>
      <c r="O269" s="16"/>
      <c r="P269" s="1"/>
      <c r="Q269" s="1"/>
      <c r="R269" s="1"/>
      <c r="S269" s="1"/>
      <c r="T269" s="1"/>
      <c r="U269" s="1"/>
      <c r="V269" s="38"/>
      <c r="W269" s="1"/>
      <c r="X269" s="1"/>
    </row>
    <row r="270" spans="1:24" ht="14.4">
      <c r="A270" s="15"/>
      <c r="B270" s="15"/>
      <c r="C270" s="16"/>
      <c r="D270" s="16"/>
      <c r="E270" s="16"/>
      <c r="F270" s="16"/>
      <c r="G270" s="16"/>
      <c r="H270" s="16"/>
      <c r="I270" s="16"/>
      <c r="J270" s="16"/>
      <c r="K270" s="16"/>
      <c r="L270" s="16"/>
      <c r="M270" s="25"/>
      <c r="N270" s="25"/>
      <c r="O270" s="16"/>
      <c r="P270" s="1"/>
      <c r="Q270" s="1"/>
      <c r="R270" s="1"/>
      <c r="S270" s="1"/>
      <c r="T270" s="1"/>
      <c r="U270" s="1"/>
      <c r="V270" s="38"/>
      <c r="W270" s="1"/>
      <c r="X270" s="1"/>
    </row>
    <row r="271" spans="1:24" ht="14.4">
      <c r="A271" s="15"/>
      <c r="B271" s="15"/>
      <c r="C271" s="16"/>
      <c r="D271" s="16"/>
      <c r="E271" s="16"/>
      <c r="F271" s="16"/>
      <c r="G271" s="16"/>
      <c r="H271" s="16"/>
      <c r="I271" s="16"/>
      <c r="J271" s="16"/>
      <c r="K271" s="16"/>
      <c r="L271" s="16"/>
      <c r="M271" s="25"/>
      <c r="N271" s="25"/>
      <c r="O271" s="16"/>
      <c r="P271" s="1"/>
      <c r="Q271" s="1"/>
      <c r="R271" s="1"/>
      <c r="S271" s="1"/>
      <c r="T271" s="1"/>
      <c r="U271" s="1"/>
      <c r="V271" s="38"/>
      <c r="W271" s="1"/>
      <c r="X271" s="1"/>
    </row>
    <row r="272" spans="1:24" ht="14.4">
      <c r="A272" s="15"/>
      <c r="B272" s="15"/>
      <c r="C272" s="16"/>
      <c r="D272" s="16"/>
      <c r="E272" s="16"/>
      <c r="F272" s="16"/>
      <c r="G272" s="16"/>
      <c r="H272" s="16"/>
      <c r="I272" s="16"/>
      <c r="J272" s="16"/>
      <c r="K272" s="16"/>
      <c r="L272" s="16"/>
      <c r="M272" s="25"/>
      <c r="N272" s="25"/>
      <c r="O272" s="16"/>
      <c r="P272" s="1"/>
      <c r="Q272" s="1"/>
      <c r="R272" s="1"/>
      <c r="S272" s="1"/>
      <c r="T272" s="1"/>
      <c r="U272" s="1"/>
      <c r="V272" s="38"/>
      <c r="W272" s="1"/>
      <c r="X272" s="1"/>
    </row>
    <row r="273" spans="1:24" ht="14.4">
      <c r="A273" s="15"/>
      <c r="B273" s="15"/>
      <c r="C273" s="16"/>
      <c r="D273" s="16"/>
      <c r="E273" s="16"/>
      <c r="F273" s="16"/>
      <c r="G273" s="16"/>
      <c r="H273" s="16"/>
      <c r="I273" s="16"/>
      <c r="J273" s="16"/>
      <c r="K273" s="16"/>
      <c r="L273" s="16"/>
      <c r="M273" s="25"/>
      <c r="N273" s="25"/>
      <c r="O273" s="16"/>
      <c r="P273" s="1"/>
      <c r="Q273" s="1"/>
      <c r="R273" s="1"/>
      <c r="S273" s="1"/>
      <c r="T273" s="1"/>
      <c r="U273" s="1"/>
      <c r="V273" s="38"/>
      <c r="W273" s="1"/>
      <c r="X273" s="1"/>
    </row>
    <row r="274" spans="1:24" ht="14.4">
      <c r="A274" s="15"/>
      <c r="B274" s="15"/>
      <c r="C274" s="16"/>
      <c r="D274" s="16"/>
      <c r="E274" s="16"/>
      <c r="F274" s="16"/>
      <c r="G274" s="16"/>
      <c r="H274" s="16"/>
      <c r="I274" s="16"/>
      <c r="J274" s="16"/>
      <c r="K274" s="16"/>
      <c r="L274" s="16"/>
      <c r="M274" s="25"/>
      <c r="N274" s="25"/>
      <c r="O274" s="16"/>
      <c r="P274" s="1"/>
      <c r="Q274" s="1"/>
      <c r="R274" s="1"/>
      <c r="S274" s="1"/>
      <c r="T274" s="1"/>
      <c r="U274" s="1"/>
      <c r="V274" s="38"/>
      <c r="W274" s="1"/>
      <c r="X274" s="1"/>
    </row>
    <row r="275" spans="1:24" ht="14.4">
      <c r="A275" s="15"/>
      <c r="B275" s="15"/>
      <c r="C275" s="16"/>
      <c r="D275" s="16"/>
      <c r="E275" s="16"/>
      <c r="F275" s="16"/>
      <c r="G275" s="16"/>
      <c r="H275" s="16"/>
      <c r="I275" s="16"/>
      <c r="J275" s="16"/>
      <c r="K275" s="16"/>
      <c r="L275" s="16"/>
      <c r="M275" s="25"/>
      <c r="N275" s="25"/>
      <c r="O275" s="16"/>
      <c r="P275" s="1"/>
      <c r="Q275" s="1"/>
      <c r="R275" s="1"/>
      <c r="S275" s="1"/>
      <c r="T275" s="1"/>
      <c r="U275" s="1"/>
      <c r="V275" s="38"/>
      <c r="W275" s="1"/>
      <c r="X275" s="1"/>
    </row>
    <row r="276" spans="1:24" ht="14.4">
      <c r="A276" s="15"/>
      <c r="B276" s="15"/>
      <c r="C276" s="16"/>
      <c r="D276" s="16"/>
      <c r="E276" s="16"/>
      <c r="F276" s="16"/>
      <c r="G276" s="16"/>
      <c r="H276" s="16"/>
      <c r="I276" s="16"/>
      <c r="J276" s="16"/>
      <c r="K276" s="16"/>
      <c r="L276" s="16"/>
      <c r="M276" s="25"/>
      <c r="N276" s="25"/>
      <c r="O276" s="16"/>
      <c r="P276" s="1"/>
      <c r="Q276" s="1"/>
      <c r="R276" s="1"/>
      <c r="S276" s="1"/>
      <c r="T276" s="1"/>
      <c r="U276" s="1"/>
      <c r="V276" s="38"/>
      <c r="W276" s="1"/>
      <c r="X276" s="1"/>
    </row>
    <row r="277" spans="1:24" ht="14.4">
      <c r="A277" s="15"/>
      <c r="B277" s="15"/>
      <c r="C277" s="16"/>
      <c r="D277" s="16"/>
      <c r="E277" s="16"/>
      <c r="F277" s="16"/>
      <c r="G277" s="16"/>
      <c r="H277" s="16"/>
      <c r="I277" s="16"/>
      <c r="J277" s="16"/>
      <c r="K277" s="16"/>
      <c r="L277" s="16"/>
      <c r="M277" s="25"/>
      <c r="N277" s="25"/>
      <c r="O277" s="16"/>
      <c r="P277" s="1"/>
      <c r="Q277" s="1"/>
      <c r="R277" s="1"/>
      <c r="S277" s="1"/>
      <c r="T277" s="1"/>
      <c r="U277" s="1"/>
      <c r="V277" s="38"/>
      <c r="W277" s="1"/>
      <c r="X277" s="1"/>
    </row>
    <row r="278" spans="1:24" ht="14.4">
      <c r="A278" s="15"/>
      <c r="B278" s="15"/>
      <c r="C278" s="16"/>
      <c r="D278" s="16"/>
      <c r="E278" s="16"/>
      <c r="F278" s="16"/>
      <c r="G278" s="16"/>
      <c r="H278" s="16"/>
      <c r="I278" s="16"/>
      <c r="J278" s="16"/>
      <c r="K278" s="16"/>
      <c r="L278" s="16"/>
      <c r="M278" s="25"/>
      <c r="N278" s="25"/>
      <c r="O278" s="16"/>
      <c r="P278" s="1"/>
      <c r="Q278" s="1"/>
      <c r="R278" s="1"/>
      <c r="S278" s="1"/>
      <c r="T278" s="1"/>
      <c r="U278" s="1"/>
      <c r="V278" s="38"/>
      <c r="W278" s="1"/>
      <c r="X278" s="1"/>
    </row>
    <row r="279" spans="1:24" ht="14.4">
      <c r="A279" s="15"/>
      <c r="B279" s="15"/>
      <c r="C279" s="16"/>
      <c r="D279" s="16"/>
      <c r="E279" s="16"/>
      <c r="F279" s="16"/>
      <c r="G279" s="16"/>
      <c r="H279" s="16"/>
      <c r="I279" s="16"/>
      <c r="J279" s="16"/>
      <c r="K279" s="16"/>
      <c r="L279" s="16"/>
      <c r="M279" s="25"/>
      <c r="N279" s="25"/>
      <c r="O279" s="16"/>
      <c r="P279" s="1"/>
      <c r="Q279" s="1"/>
      <c r="R279" s="1"/>
      <c r="S279" s="1"/>
      <c r="T279" s="1"/>
      <c r="U279" s="1"/>
      <c r="V279" s="38"/>
      <c r="W279" s="1"/>
      <c r="X279" s="1"/>
    </row>
    <row r="280" spans="1:24" ht="14.4">
      <c r="A280" s="15"/>
      <c r="B280" s="15"/>
      <c r="C280" s="16"/>
      <c r="D280" s="16"/>
      <c r="E280" s="16"/>
      <c r="F280" s="16"/>
      <c r="G280" s="16"/>
      <c r="H280" s="16"/>
      <c r="I280" s="16"/>
      <c r="J280" s="16"/>
      <c r="K280" s="16"/>
      <c r="L280" s="16"/>
      <c r="M280" s="25"/>
      <c r="N280" s="25"/>
      <c r="O280" s="16"/>
      <c r="P280" s="1"/>
      <c r="Q280" s="1"/>
      <c r="R280" s="1"/>
      <c r="S280" s="1"/>
      <c r="T280" s="1"/>
      <c r="U280" s="1"/>
      <c r="V280" s="38"/>
      <c r="W280" s="1"/>
      <c r="X280" s="1"/>
    </row>
    <row r="281" spans="1:24" ht="14.4">
      <c r="A281" s="15"/>
      <c r="B281" s="15"/>
      <c r="C281" s="16"/>
      <c r="D281" s="16"/>
      <c r="E281" s="16"/>
      <c r="F281" s="16"/>
      <c r="G281" s="16"/>
      <c r="H281" s="16"/>
      <c r="I281" s="16"/>
      <c r="J281" s="16"/>
      <c r="K281" s="16"/>
      <c r="L281" s="16"/>
      <c r="M281" s="25"/>
      <c r="N281" s="25"/>
      <c r="O281" s="16"/>
      <c r="P281" s="1"/>
      <c r="Q281" s="1"/>
      <c r="R281" s="1"/>
      <c r="S281" s="1"/>
      <c r="T281" s="1"/>
      <c r="U281" s="1"/>
      <c r="V281" s="38"/>
      <c r="W281" s="1"/>
      <c r="X281" s="1"/>
    </row>
    <row r="282" spans="1:24" ht="14.4">
      <c r="A282" s="15"/>
      <c r="B282" s="15"/>
      <c r="C282" s="16"/>
      <c r="D282" s="16"/>
      <c r="E282" s="16"/>
      <c r="F282" s="16"/>
      <c r="G282" s="16"/>
      <c r="H282" s="16"/>
      <c r="I282" s="16"/>
      <c r="J282" s="16"/>
      <c r="K282" s="16"/>
      <c r="L282" s="16"/>
      <c r="M282" s="25"/>
      <c r="N282" s="25"/>
      <c r="O282" s="16"/>
      <c r="P282" s="1"/>
      <c r="Q282" s="1"/>
      <c r="R282" s="1"/>
      <c r="S282" s="1"/>
      <c r="T282" s="1"/>
      <c r="U282" s="1"/>
      <c r="V282" s="38"/>
      <c r="W282" s="1"/>
      <c r="X282" s="1"/>
    </row>
    <row r="283" spans="1:24" ht="14.4">
      <c r="A283" s="15"/>
      <c r="B283" s="15"/>
      <c r="C283" s="16"/>
      <c r="D283" s="16"/>
      <c r="E283" s="16"/>
      <c r="F283" s="16"/>
      <c r="G283" s="16"/>
      <c r="H283" s="16"/>
      <c r="I283" s="16"/>
      <c r="J283" s="16"/>
      <c r="K283" s="16"/>
      <c r="L283" s="16"/>
      <c r="M283" s="25"/>
      <c r="N283" s="25"/>
      <c r="O283" s="16"/>
      <c r="P283" s="1"/>
      <c r="Q283" s="1"/>
      <c r="R283" s="1"/>
      <c r="S283" s="1"/>
      <c r="T283" s="1"/>
      <c r="U283" s="1"/>
      <c r="V283" s="38"/>
      <c r="W283" s="1"/>
      <c r="X283" s="1"/>
    </row>
    <row r="284" spans="1:24" ht="14.4">
      <c r="A284" s="15"/>
      <c r="B284" s="15"/>
      <c r="C284" s="16"/>
      <c r="D284" s="16"/>
      <c r="E284" s="16"/>
      <c r="F284" s="16"/>
      <c r="G284" s="16"/>
      <c r="H284" s="16"/>
      <c r="I284" s="16"/>
      <c r="J284" s="16"/>
      <c r="K284" s="16"/>
      <c r="L284" s="16"/>
      <c r="M284" s="25"/>
      <c r="N284" s="25"/>
      <c r="O284" s="16"/>
      <c r="P284" s="1"/>
      <c r="Q284" s="1"/>
      <c r="R284" s="1"/>
      <c r="S284" s="1"/>
      <c r="T284" s="1"/>
      <c r="U284" s="1"/>
      <c r="V284" s="38"/>
      <c r="W284" s="1"/>
      <c r="X284" s="1"/>
    </row>
    <row r="285" spans="1:24" ht="14.4">
      <c r="A285" s="15"/>
      <c r="B285" s="15"/>
      <c r="C285" s="16"/>
      <c r="D285" s="16"/>
      <c r="E285" s="16"/>
      <c r="F285" s="16"/>
      <c r="G285" s="16"/>
      <c r="H285" s="16"/>
      <c r="I285" s="16"/>
      <c r="J285" s="16"/>
      <c r="K285" s="16"/>
      <c r="L285" s="16"/>
      <c r="M285" s="25"/>
      <c r="N285" s="25"/>
      <c r="O285" s="16"/>
      <c r="P285" s="1"/>
      <c r="Q285" s="1"/>
      <c r="R285" s="1"/>
      <c r="S285" s="1"/>
      <c r="T285" s="1"/>
      <c r="U285" s="1"/>
      <c r="V285" s="38"/>
      <c r="W285" s="1"/>
      <c r="X285" s="1"/>
    </row>
    <row r="286" spans="1:24" ht="14.4">
      <c r="A286" s="15"/>
      <c r="B286" s="15"/>
      <c r="C286" s="16"/>
      <c r="D286" s="16"/>
      <c r="E286" s="16"/>
      <c r="F286" s="16"/>
      <c r="G286" s="16"/>
      <c r="H286" s="16"/>
      <c r="I286" s="16"/>
      <c r="J286" s="16"/>
      <c r="K286" s="16"/>
      <c r="L286" s="16"/>
      <c r="M286" s="25"/>
      <c r="N286" s="25"/>
      <c r="O286" s="16"/>
      <c r="P286" s="1"/>
      <c r="Q286" s="1"/>
      <c r="R286" s="1"/>
      <c r="S286" s="1"/>
      <c r="T286" s="1"/>
      <c r="U286" s="1"/>
      <c r="V286" s="38"/>
      <c r="W286" s="1"/>
      <c r="X286" s="1"/>
    </row>
    <row r="287" spans="1:24" ht="14.4">
      <c r="A287" s="15"/>
      <c r="B287" s="15"/>
      <c r="C287" s="16"/>
      <c r="D287" s="16"/>
      <c r="E287" s="16"/>
      <c r="F287" s="16"/>
      <c r="G287" s="16"/>
      <c r="H287" s="16"/>
      <c r="I287" s="16"/>
      <c r="J287" s="16"/>
      <c r="K287" s="16"/>
      <c r="L287" s="16"/>
      <c r="M287" s="25"/>
      <c r="N287" s="25"/>
      <c r="O287" s="16"/>
      <c r="P287" s="1"/>
      <c r="Q287" s="1"/>
      <c r="R287" s="1"/>
      <c r="S287" s="1"/>
      <c r="T287" s="1"/>
      <c r="U287" s="1"/>
      <c r="V287" s="38"/>
      <c r="W287" s="1"/>
      <c r="X287" s="1"/>
    </row>
    <row r="288" spans="1:24" ht="14.4">
      <c r="A288" s="15"/>
      <c r="B288" s="15"/>
      <c r="C288" s="16"/>
      <c r="D288" s="16"/>
      <c r="E288" s="16"/>
      <c r="F288" s="16"/>
      <c r="G288" s="16"/>
      <c r="H288" s="16"/>
      <c r="I288" s="16"/>
      <c r="J288" s="16"/>
      <c r="K288" s="16"/>
      <c r="L288" s="16"/>
      <c r="M288" s="25"/>
      <c r="N288" s="25"/>
      <c r="O288" s="16"/>
      <c r="P288" s="1"/>
      <c r="Q288" s="1"/>
      <c r="R288" s="1"/>
      <c r="S288" s="1"/>
      <c r="T288" s="1"/>
      <c r="U288" s="1"/>
      <c r="V288" s="38"/>
      <c r="W288" s="1"/>
      <c r="X288" s="1"/>
    </row>
    <row r="289" spans="1:24" ht="14.4">
      <c r="A289" s="15"/>
      <c r="B289" s="15"/>
      <c r="C289" s="16"/>
      <c r="D289" s="16"/>
      <c r="E289" s="16"/>
      <c r="F289" s="16"/>
      <c r="G289" s="16"/>
      <c r="H289" s="16"/>
      <c r="I289" s="16"/>
      <c r="J289" s="16"/>
      <c r="K289" s="16"/>
      <c r="L289" s="16"/>
      <c r="M289" s="25"/>
      <c r="N289" s="25"/>
      <c r="O289" s="16"/>
      <c r="P289" s="1"/>
      <c r="Q289" s="1"/>
      <c r="R289" s="1"/>
      <c r="S289" s="1"/>
      <c r="T289" s="1"/>
      <c r="U289" s="1"/>
      <c r="V289" s="38"/>
      <c r="W289" s="1"/>
      <c r="X289" s="1"/>
    </row>
    <row r="290" spans="1:24" ht="14.4">
      <c r="A290" s="15"/>
      <c r="B290" s="15"/>
      <c r="C290" s="16"/>
      <c r="D290" s="16"/>
      <c r="E290" s="16"/>
      <c r="F290" s="16"/>
      <c r="G290" s="16"/>
      <c r="H290" s="16"/>
      <c r="I290" s="16"/>
      <c r="J290" s="16"/>
      <c r="K290" s="16"/>
      <c r="L290" s="16"/>
      <c r="M290" s="25"/>
      <c r="N290" s="25"/>
      <c r="O290" s="16"/>
      <c r="P290" s="1"/>
      <c r="Q290" s="1"/>
      <c r="R290" s="1"/>
      <c r="S290" s="1"/>
      <c r="T290" s="1"/>
      <c r="U290" s="1"/>
      <c r="V290" s="38"/>
      <c r="W290" s="1"/>
      <c r="X290" s="1"/>
    </row>
    <row r="291" spans="1:24" ht="14.4">
      <c r="A291" s="15"/>
      <c r="B291" s="15"/>
      <c r="C291" s="16"/>
      <c r="D291" s="16"/>
      <c r="E291" s="16"/>
      <c r="F291" s="16"/>
      <c r="G291" s="16"/>
      <c r="H291" s="16"/>
      <c r="I291" s="16"/>
      <c r="J291" s="16"/>
      <c r="K291" s="16"/>
      <c r="L291" s="16"/>
      <c r="M291" s="25"/>
      <c r="N291" s="25"/>
      <c r="O291" s="16"/>
      <c r="P291" s="1"/>
      <c r="Q291" s="1"/>
      <c r="R291" s="1"/>
      <c r="S291" s="1"/>
      <c r="T291" s="1"/>
      <c r="U291" s="1"/>
      <c r="V291" s="38"/>
      <c r="W291" s="1"/>
      <c r="X291" s="1"/>
    </row>
    <row r="292" spans="1:24" ht="14.4">
      <c r="A292" s="15"/>
      <c r="B292" s="15"/>
      <c r="C292" s="16"/>
      <c r="D292" s="16"/>
      <c r="E292" s="16"/>
      <c r="F292" s="16"/>
      <c r="G292" s="16"/>
      <c r="H292" s="16"/>
      <c r="I292" s="16"/>
      <c r="J292" s="16"/>
      <c r="K292" s="16"/>
      <c r="L292" s="16"/>
      <c r="M292" s="25"/>
      <c r="N292" s="25"/>
      <c r="O292" s="16"/>
      <c r="P292" s="1"/>
      <c r="Q292" s="1"/>
      <c r="R292" s="1"/>
      <c r="S292" s="1"/>
      <c r="T292" s="1"/>
      <c r="U292" s="1"/>
      <c r="V292" s="38"/>
      <c r="W292" s="1"/>
      <c r="X292" s="1"/>
    </row>
    <row r="293" spans="1:24" ht="14.4">
      <c r="A293" s="15"/>
      <c r="B293" s="15"/>
      <c r="C293" s="16"/>
      <c r="D293" s="16"/>
      <c r="E293" s="16"/>
      <c r="F293" s="16"/>
      <c r="G293" s="16"/>
      <c r="H293" s="16"/>
      <c r="I293" s="16"/>
      <c r="J293" s="16"/>
      <c r="K293" s="16"/>
      <c r="L293" s="16"/>
      <c r="M293" s="25"/>
      <c r="N293" s="25"/>
      <c r="O293" s="16"/>
      <c r="P293" s="1"/>
      <c r="Q293" s="1"/>
      <c r="R293" s="1"/>
      <c r="S293" s="1"/>
      <c r="T293" s="1"/>
      <c r="U293" s="1"/>
      <c r="V293" s="38"/>
      <c r="W293" s="1"/>
      <c r="X293" s="1"/>
    </row>
    <row r="294" spans="1:24" ht="14.4">
      <c r="A294" s="15"/>
      <c r="B294" s="15"/>
      <c r="C294" s="16"/>
      <c r="D294" s="16"/>
      <c r="E294" s="16"/>
      <c r="F294" s="16"/>
      <c r="G294" s="16"/>
      <c r="H294" s="16"/>
      <c r="I294" s="16"/>
      <c r="J294" s="16"/>
      <c r="K294" s="16"/>
      <c r="L294" s="16"/>
      <c r="M294" s="25"/>
      <c r="N294" s="25"/>
      <c r="O294" s="16"/>
      <c r="P294" s="1"/>
      <c r="Q294" s="1"/>
      <c r="R294" s="1"/>
      <c r="S294" s="1"/>
      <c r="T294" s="1"/>
      <c r="U294" s="1"/>
      <c r="V294" s="38"/>
      <c r="W294" s="1"/>
      <c r="X294" s="1"/>
    </row>
    <row r="295" spans="1:24" ht="14.4">
      <c r="A295" s="15"/>
      <c r="B295" s="15"/>
      <c r="C295" s="16"/>
      <c r="D295" s="16"/>
      <c r="E295" s="16"/>
      <c r="F295" s="16"/>
      <c r="G295" s="16"/>
      <c r="H295" s="16"/>
      <c r="I295" s="16"/>
      <c r="J295" s="16"/>
      <c r="K295" s="16"/>
      <c r="L295" s="16"/>
      <c r="M295" s="25"/>
      <c r="N295" s="25"/>
      <c r="O295" s="16"/>
      <c r="P295" s="1"/>
      <c r="Q295" s="1"/>
      <c r="R295" s="1"/>
      <c r="S295" s="1"/>
      <c r="T295" s="1"/>
      <c r="U295" s="1"/>
      <c r="V295" s="38"/>
      <c r="W295" s="1"/>
      <c r="X295" s="1"/>
    </row>
    <row r="296" spans="1:24" ht="14.4">
      <c r="A296" s="15"/>
      <c r="B296" s="15"/>
      <c r="C296" s="16"/>
      <c r="D296" s="16"/>
      <c r="E296" s="16"/>
      <c r="F296" s="16"/>
      <c r="G296" s="16"/>
      <c r="H296" s="16"/>
      <c r="I296" s="16"/>
      <c r="J296" s="16"/>
      <c r="K296" s="16"/>
      <c r="L296" s="16"/>
      <c r="M296" s="25"/>
      <c r="N296" s="25"/>
      <c r="O296" s="16"/>
      <c r="P296" s="1"/>
      <c r="Q296" s="1"/>
      <c r="R296" s="1"/>
      <c r="S296" s="1"/>
      <c r="T296" s="1"/>
      <c r="U296" s="1"/>
      <c r="V296" s="38"/>
      <c r="W296" s="1"/>
      <c r="X296" s="1"/>
    </row>
    <row r="297" spans="1:24" ht="14.4">
      <c r="A297" s="15"/>
      <c r="B297" s="15"/>
      <c r="C297" s="16"/>
      <c r="D297" s="16"/>
      <c r="E297" s="16"/>
      <c r="F297" s="16"/>
      <c r="G297" s="16"/>
      <c r="H297" s="16"/>
      <c r="I297" s="16"/>
      <c r="J297" s="16"/>
      <c r="K297" s="16"/>
      <c r="L297" s="16"/>
      <c r="M297" s="25"/>
      <c r="N297" s="25"/>
      <c r="O297" s="16"/>
      <c r="P297" s="1"/>
      <c r="Q297" s="1"/>
      <c r="R297" s="1"/>
      <c r="S297" s="1"/>
      <c r="T297" s="1"/>
      <c r="U297" s="1"/>
      <c r="V297" s="38"/>
      <c r="W297" s="1"/>
      <c r="X297" s="1"/>
    </row>
    <row r="298" spans="1:24" ht="14.4">
      <c r="A298" s="15"/>
      <c r="B298" s="15"/>
      <c r="C298" s="16"/>
      <c r="D298" s="16"/>
      <c r="E298" s="16"/>
      <c r="F298" s="16"/>
      <c r="G298" s="16"/>
      <c r="H298" s="16"/>
      <c r="I298" s="16"/>
      <c r="J298" s="16"/>
      <c r="K298" s="16"/>
      <c r="L298" s="16"/>
      <c r="M298" s="25"/>
      <c r="N298" s="25"/>
      <c r="O298" s="16"/>
      <c r="P298" s="1"/>
      <c r="Q298" s="1"/>
      <c r="R298" s="1"/>
      <c r="S298" s="1"/>
      <c r="T298" s="1"/>
      <c r="U298" s="1"/>
      <c r="V298" s="38"/>
      <c r="W298" s="1"/>
      <c r="X298" s="1"/>
    </row>
    <row r="299" spans="1:24" ht="14.4">
      <c r="A299" s="15"/>
      <c r="B299" s="15"/>
      <c r="C299" s="16"/>
      <c r="D299" s="16"/>
      <c r="E299" s="16"/>
      <c r="F299" s="16"/>
      <c r="G299" s="16"/>
      <c r="H299" s="16"/>
      <c r="I299" s="16"/>
      <c r="J299" s="16"/>
      <c r="K299" s="16"/>
      <c r="L299" s="16"/>
      <c r="M299" s="25"/>
      <c r="N299" s="25"/>
      <c r="O299" s="16"/>
      <c r="P299" s="1"/>
      <c r="Q299" s="1"/>
      <c r="R299" s="1"/>
      <c r="S299" s="1"/>
      <c r="T299" s="1"/>
      <c r="U299" s="1"/>
      <c r="V299" s="38"/>
      <c r="W299" s="1"/>
      <c r="X299" s="1"/>
    </row>
    <row r="300" spans="1:24" ht="14.4">
      <c r="A300" s="15"/>
      <c r="B300" s="15"/>
      <c r="C300" s="16"/>
      <c r="D300" s="16"/>
      <c r="E300" s="16"/>
      <c r="F300" s="16"/>
      <c r="G300" s="16"/>
      <c r="H300" s="16"/>
      <c r="I300" s="16"/>
      <c r="J300" s="16"/>
      <c r="K300" s="16"/>
      <c r="L300" s="16"/>
      <c r="M300" s="25"/>
      <c r="N300" s="25"/>
      <c r="O300" s="16"/>
      <c r="P300" s="1"/>
      <c r="Q300" s="1"/>
      <c r="R300" s="1"/>
      <c r="S300" s="1"/>
      <c r="T300" s="1"/>
      <c r="U300" s="1"/>
      <c r="V300" s="38"/>
      <c r="W300" s="1"/>
      <c r="X300" s="1"/>
    </row>
    <row r="301" spans="1:24" ht="14.4">
      <c r="A301" s="15"/>
      <c r="B301" s="15"/>
      <c r="C301" s="16"/>
      <c r="D301" s="16"/>
      <c r="E301" s="16"/>
      <c r="F301" s="16"/>
      <c r="G301" s="16"/>
      <c r="H301" s="16"/>
      <c r="I301" s="16"/>
      <c r="J301" s="16"/>
      <c r="K301" s="16"/>
      <c r="L301" s="16"/>
      <c r="M301" s="25"/>
      <c r="N301" s="25"/>
      <c r="O301" s="16"/>
      <c r="P301" s="1"/>
      <c r="Q301" s="1"/>
      <c r="R301" s="1"/>
      <c r="S301" s="1"/>
      <c r="T301" s="1"/>
      <c r="U301" s="1"/>
      <c r="V301" s="38"/>
      <c r="W301" s="1"/>
      <c r="X301" s="1"/>
    </row>
    <row r="302" spans="1:24" ht="14.4">
      <c r="A302" s="15"/>
      <c r="B302" s="15"/>
      <c r="C302" s="16"/>
      <c r="D302" s="16"/>
      <c r="E302" s="16"/>
      <c r="F302" s="16"/>
      <c r="G302" s="16"/>
      <c r="H302" s="16"/>
      <c r="I302" s="16"/>
      <c r="J302" s="16"/>
      <c r="K302" s="16"/>
      <c r="L302" s="16"/>
      <c r="M302" s="25"/>
      <c r="N302" s="25"/>
      <c r="O302" s="16"/>
      <c r="P302" s="1"/>
      <c r="Q302" s="1"/>
      <c r="R302" s="1"/>
      <c r="S302" s="1"/>
      <c r="T302" s="1"/>
      <c r="U302" s="1"/>
      <c r="V302" s="38"/>
      <c r="W302" s="1"/>
      <c r="X302" s="1"/>
    </row>
    <row r="303" spans="1:24" ht="14.4">
      <c r="A303" s="15"/>
      <c r="B303" s="15"/>
      <c r="C303" s="16"/>
      <c r="D303" s="16"/>
      <c r="E303" s="16"/>
      <c r="F303" s="16"/>
      <c r="G303" s="16"/>
      <c r="H303" s="16"/>
      <c r="I303" s="16"/>
      <c r="J303" s="16"/>
      <c r="K303" s="16"/>
      <c r="L303" s="16"/>
      <c r="M303" s="25"/>
      <c r="N303" s="25"/>
      <c r="O303" s="16"/>
      <c r="P303" s="1"/>
      <c r="Q303" s="1"/>
      <c r="R303" s="1"/>
      <c r="S303" s="1"/>
      <c r="T303" s="1"/>
      <c r="U303" s="1"/>
      <c r="V303" s="38"/>
      <c r="W303" s="1"/>
      <c r="X303" s="1"/>
    </row>
    <row r="304" spans="1:24" ht="14.4">
      <c r="A304" s="15"/>
      <c r="B304" s="15"/>
      <c r="C304" s="16"/>
      <c r="D304" s="16"/>
      <c r="E304" s="16"/>
      <c r="F304" s="16"/>
      <c r="G304" s="16"/>
      <c r="H304" s="16"/>
      <c r="I304" s="16"/>
      <c r="J304" s="16"/>
      <c r="K304" s="16"/>
      <c r="L304" s="16"/>
      <c r="M304" s="25"/>
      <c r="N304" s="25"/>
      <c r="O304" s="16"/>
      <c r="P304" s="1"/>
      <c r="Q304" s="1"/>
      <c r="R304" s="1"/>
      <c r="S304" s="1"/>
      <c r="T304" s="1"/>
      <c r="U304" s="1"/>
      <c r="V304" s="38"/>
      <c r="W304" s="1"/>
      <c r="X304" s="1"/>
    </row>
    <row r="305" spans="1:24" ht="14.4">
      <c r="A305" s="15"/>
      <c r="B305" s="15"/>
      <c r="C305" s="16"/>
      <c r="D305" s="16"/>
      <c r="E305" s="16"/>
      <c r="F305" s="16"/>
      <c r="G305" s="16"/>
      <c r="H305" s="16"/>
      <c r="I305" s="16"/>
      <c r="J305" s="16"/>
      <c r="K305" s="16"/>
      <c r="L305" s="16"/>
      <c r="M305" s="25"/>
      <c r="N305" s="25"/>
      <c r="O305" s="16"/>
      <c r="P305" s="1"/>
      <c r="Q305" s="1"/>
      <c r="R305" s="1"/>
      <c r="S305" s="1"/>
      <c r="T305" s="1"/>
      <c r="U305" s="1"/>
      <c r="V305" s="38"/>
      <c r="W305" s="1"/>
      <c r="X305" s="1"/>
    </row>
    <row r="306" spans="1:24" ht="14.4">
      <c r="A306" s="15"/>
      <c r="B306" s="15"/>
      <c r="C306" s="16"/>
      <c r="D306" s="16"/>
      <c r="E306" s="16"/>
      <c r="F306" s="16"/>
      <c r="G306" s="16"/>
      <c r="H306" s="16"/>
      <c r="I306" s="16"/>
      <c r="J306" s="16"/>
      <c r="K306" s="16"/>
      <c r="L306" s="16"/>
      <c r="M306" s="25"/>
      <c r="N306" s="25"/>
      <c r="O306" s="16"/>
      <c r="P306" s="1"/>
      <c r="Q306" s="1"/>
      <c r="R306" s="1"/>
      <c r="S306" s="1"/>
      <c r="T306" s="1"/>
      <c r="U306" s="1"/>
      <c r="V306" s="38"/>
      <c r="W306" s="1"/>
      <c r="X306" s="1"/>
    </row>
    <row r="307" spans="1:24" ht="14.4">
      <c r="A307" s="15"/>
      <c r="B307" s="15"/>
      <c r="C307" s="16"/>
      <c r="D307" s="16"/>
      <c r="E307" s="16"/>
      <c r="F307" s="16"/>
      <c r="G307" s="16"/>
      <c r="H307" s="16"/>
      <c r="I307" s="16"/>
      <c r="J307" s="16"/>
      <c r="K307" s="16"/>
      <c r="L307" s="16"/>
      <c r="M307" s="25"/>
      <c r="N307" s="25"/>
      <c r="O307" s="16"/>
      <c r="P307" s="1"/>
      <c r="Q307" s="1"/>
      <c r="R307" s="1"/>
      <c r="S307" s="1"/>
      <c r="T307" s="1"/>
      <c r="U307" s="1"/>
      <c r="V307" s="38"/>
      <c r="W307" s="1"/>
      <c r="X307" s="1"/>
    </row>
    <row r="308" spans="1:24" ht="14.4">
      <c r="A308" s="15"/>
      <c r="B308" s="15"/>
      <c r="C308" s="16"/>
      <c r="D308" s="16"/>
      <c r="E308" s="16"/>
      <c r="F308" s="16"/>
      <c r="G308" s="16"/>
      <c r="H308" s="16"/>
      <c r="I308" s="16"/>
      <c r="J308" s="16"/>
      <c r="K308" s="16"/>
      <c r="L308" s="16"/>
      <c r="M308" s="25"/>
      <c r="N308" s="25"/>
      <c r="O308" s="16"/>
      <c r="P308" s="1"/>
      <c r="Q308" s="1"/>
      <c r="R308" s="1"/>
      <c r="S308" s="1"/>
      <c r="T308" s="1"/>
      <c r="U308" s="1"/>
      <c r="V308" s="38"/>
      <c r="W308" s="1"/>
      <c r="X308" s="1"/>
    </row>
    <row r="309" spans="1:24" ht="14.4">
      <c r="A309" s="15"/>
      <c r="B309" s="15"/>
      <c r="C309" s="16"/>
      <c r="D309" s="16"/>
      <c r="E309" s="16"/>
      <c r="F309" s="16"/>
      <c r="G309" s="16"/>
      <c r="H309" s="16"/>
      <c r="I309" s="16"/>
      <c r="J309" s="16"/>
      <c r="K309" s="16"/>
      <c r="L309" s="16"/>
      <c r="M309" s="25"/>
      <c r="N309" s="25"/>
      <c r="O309" s="16"/>
      <c r="P309" s="1"/>
      <c r="Q309" s="1"/>
      <c r="R309" s="1"/>
      <c r="S309" s="1"/>
      <c r="T309" s="1"/>
      <c r="U309" s="1"/>
      <c r="V309" s="38"/>
      <c r="W309" s="1"/>
      <c r="X309" s="1"/>
    </row>
    <row r="310" spans="1:24" ht="14.4">
      <c r="A310" s="15"/>
      <c r="B310" s="15"/>
      <c r="C310" s="16"/>
      <c r="D310" s="16"/>
      <c r="E310" s="16"/>
      <c r="F310" s="16"/>
      <c r="G310" s="16"/>
      <c r="H310" s="16"/>
      <c r="I310" s="16"/>
      <c r="J310" s="16"/>
      <c r="K310" s="16"/>
      <c r="L310" s="16"/>
      <c r="M310" s="25"/>
      <c r="N310" s="25"/>
      <c r="O310" s="16"/>
      <c r="P310" s="1"/>
      <c r="Q310" s="1"/>
      <c r="R310" s="1"/>
      <c r="S310" s="1"/>
      <c r="T310" s="1"/>
      <c r="U310" s="1"/>
      <c r="V310" s="38"/>
      <c r="W310" s="1"/>
      <c r="X310" s="1"/>
    </row>
    <row r="311" spans="1:24" ht="14.4">
      <c r="A311" s="15"/>
      <c r="B311" s="15"/>
      <c r="C311" s="16"/>
      <c r="D311" s="16"/>
      <c r="E311" s="16"/>
      <c r="F311" s="16"/>
      <c r="G311" s="16"/>
      <c r="H311" s="16"/>
      <c r="I311" s="16"/>
      <c r="J311" s="16"/>
      <c r="K311" s="16"/>
      <c r="L311" s="16"/>
      <c r="M311" s="25"/>
      <c r="N311" s="25"/>
      <c r="O311" s="16"/>
      <c r="P311" s="1"/>
      <c r="Q311" s="1"/>
      <c r="R311" s="1"/>
      <c r="S311" s="1"/>
      <c r="T311" s="1"/>
      <c r="U311" s="1"/>
      <c r="V311" s="38"/>
      <c r="W311" s="1"/>
      <c r="X311" s="1"/>
    </row>
    <row r="312" spans="1:24" ht="14.4">
      <c r="A312" s="15"/>
      <c r="B312" s="15"/>
      <c r="C312" s="16"/>
      <c r="D312" s="16"/>
      <c r="E312" s="16"/>
      <c r="F312" s="16"/>
      <c r="G312" s="16"/>
      <c r="H312" s="16"/>
      <c r="I312" s="16"/>
      <c r="J312" s="16"/>
      <c r="K312" s="16"/>
      <c r="L312" s="16"/>
      <c r="M312" s="25"/>
      <c r="N312" s="25"/>
      <c r="O312" s="16"/>
      <c r="P312" s="1"/>
      <c r="Q312" s="1"/>
      <c r="R312" s="1"/>
      <c r="S312" s="1"/>
      <c r="T312" s="1"/>
      <c r="U312" s="1"/>
      <c r="V312" s="38"/>
      <c r="W312" s="1"/>
      <c r="X312" s="1"/>
    </row>
    <row r="313" spans="1:24" ht="14.4">
      <c r="A313" s="15"/>
      <c r="B313" s="15"/>
      <c r="C313" s="16"/>
      <c r="D313" s="16"/>
      <c r="E313" s="16"/>
      <c r="F313" s="16"/>
      <c r="G313" s="16"/>
      <c r="H313" s="16"/>
      <c r="I313" s="16"/>
      <c r="J313" s="16"/>
      <c r="K313" s="16"/>
      <c r="L313" s="16"/>
      <c r="M313" s="25"/>
      <c r="N313" s="25"/>
      <c r="O313" s="16"/>
      <c r="P313" s="1"/>
      <c r="Q313" s="1"/>
      <c r="R313" s="1"/>
      <c r="S313" s="1"/>
      <c r="T313" s="1"/>
      <c r="U313" s="1"/>
      <c r="V313" s="38"/>
      <c r="W313" s="1"/>
      <c r="X313" s="1"/>
    </row>
    <row r="314" spans="1:24" ht="14.4">
      <c r="A314" s="15"/>
      <c r="B314" s="15"/>
      <c r="C314" s="16"/>
      <c r="D314" s="16"/>
      <c r="E314" s="16"/>
      <c r="F314" s="16"/>
      <c r="G314" s="16"/>
      <c r="H314" s="16"/>
      <c r="I314" s="16"/>
      <c r="J314" s="16"/>
      <c r="K314" s="16"/>
      <c r="L314" s="16"/>
      <c r="M314" s="25"/>
      <c r="N314" s="25"/>
      <c r="O314" s="16"/>
      <c r="P314" s="1"/>
      <c r="Q314" s="1"/>
      <c r="R314" s="1"/>
      <c r="S314" s="1"/>
      <c r="T314" s="1"/>
      <c r="U314" s="1"/>
      <c r="V314" s="38"/>
      <c r="W314" s="1"/>
      <c r="X314" s="1"/>
    </row>
    <row r="315" spans="1:24" ht="14.4">
      <c r="A315" s="15"/>
      <c r="B315" s="15"/>
      <c r="C315" s="16"/>
      <c r="D315" s="16"/>
      <c r="E315" s="16"/>
      <c r="F315" s="16"/>
      <c r="G315" s="16"/>
      <c r="H315" s="16"/>
      <c r="I315" s="16"/>
      <c r="J315" s="16"/>
      <c r="K315" s="16"/>
      <c r="L315" s="16"/>
      <c r="M315" s="25"/>
      <c r="N315" s="25"/>
      <c r="O315" s="16"/>
      <c r="P315" s="1"/>
      <c r="Q315" s="1"/>
      <c r="R315" s="1"/>
      <c r="S315" s="1"/>
      <c r="T315" s="1"/>
      <c r="U315" s="1"/>
      <c r="V315" s="38"/>
      <c r="W315" s="1"/>
      <c r="X315" s="1"/>
    </row>
    <row r="316" spans="1:24" ht="14.4">
      <c r="A316" s="15"/>
      <c r="B316" s="15"/>
      <c r="C316" s="16"/>
      <c r="D316" s="16"/>
      <c r="E316" s="16"/>
      <c r="F316" s="16"/>
      <c r="G316" s="16"/>
      <c r="H316" s="16"/>
      <c r="I316" s="16"/>
      <c r="J316" s="16"/>
      <c r="K316" s="16"/>
      <c r="L316" s="16"/>
      <c r="M316" s="25"/>
      <c r="N316" s="25"/>
      <c r="O316" s="16"/>
      <c r="P316" s="1"/>
      <c r="Q316" s="1"/>
      <c r="R316" s="1"/>
      <c r="S316" s="1"/>
      <c r="T316" s="1"/>
      <c r="U316" s="1"/>
      <c r="V316" s="38"/>
      <c r="W316" s="1"/>
      <c r="X316" s="1"/>
    </row>
    <row r="317" spans="1:24" ht="14.4">
      <c r="A317" s="15"/>
      <c r="B317" s="15"/>
      <c r="C317" s="16"/>
      <c r="D317" s="16"/>
      <c r="E317" s="16"/>
      <c r="F317" s="16"/>
      <c r="G317" s="16"/>
      <c r="H317" s="16"/>
      <c r="I317" s="16"/>
      <c r="J317" s="16"/>
      <c r="K317" s="16"/>
      <c r="L317" s="16"/>
      <c r="M317" s="25"/>
      <c r="N317" s="25"/>
      <c r="O317" s="16"/>
      <c r="P317" s="1"/>
      <c r="Q317" s="1"/>
      <c r="R317" s="1"/>
      <c r="S317" s="1"/>
      <c r="T317" s="1"/>
      <c r="U317" s="1"/>
      <c r="V317" s="38"/>
      <c r="W317" s="1"/>
      <c r="X317" s="1"/>
    </row>
    <row r="318" spans="1:24" ht="14.4">
      <c r="A318" s="15"/>
      <c r="B318" s="15"/>
      <c r="C318" s="16"/>
      <c r="D318" s="16"/>
      <c r="E318" s="16"/>
      <c r="F318" s="16"/>
      <c r="G318" s="16"/>
      <c r="H318" s="16"/>
      <c r="I318" s="16"/>
      <c r="J318" s="16"/>
      <c r="K318" s="16"/>
      <c r="L318" s="16"/>
      <c r="M318" s="25"/>
      <c r="N318" s="25"/>
      <c r="O318" s="16"/>
      <c r="P318" s="1"/>
      <c r="Q318" s="1"/>
      <c r="R318" s="1"/>
      <c r="S318" s="1"/>
      <c r="T318" s="1"/>
      <c r="U318" s="1"/>
      <c r="V318" s="38"/>
      <c r="W318" s="1"/>
      <c r="X318" s="1"/>
    </row>
    <row r="319" spans="1:24" ht="14.4">
      <c r="A319" s="15"/>
      <c r="B319" s="15"/>
      <c r="C319" s="16"/>
      <c r="D319" s="16"/>
      <c r="E319" s="16"/>
      <c r="F319" s="16"/>
      <c r="G319" s="16"/>
      <c r="H319" s="16"/>
      <c r="I319" s="16"/>
      <c r="J319" s="16"/>
      <c r="K319" s="16"/>
      <c r="L319" s="16"/>
      <c r="M319" s="25"/>
      <c r="N319" s="25"/>
      <c r="O319" s="16"/>
      <c r="P319" s="1"/>
      <c r="Q319" s="1"/>
      <c r="R319" s="1"/>
      <c r="S319" s="1"/>
      <c r="T319" s="1"/>
      <c r="U319" s="1"/>
      <c r="V319" s="38"/>
      <c r="W319" s="1"/>
      <c r="X319" s="1"/>
    </row>
    <row r="320" spans="1:24" ht="14.4">
      <c r="A320" s="15"/>
      <c r="B320" s="15"/>
      <c r="C320" s="16"/>
      <c r="D320" s="16"/>
      <c r="E320" s="16"/>
      <c r="F320" s="16"/>
      <c r="G320" s="16"/>
      <c r="H320" s="16"/>
      <c r="I320" s="16"/>
      <c r="J320" s="16"/>
      <c r="K320" s="16"/>
      <c r="L320" s="16"/>
      <c r="M320" s="25"/>
      <c r="N320" s="25"/>
      <c r="O320" s="16"/>
      <c r="P320" s="1"/>
      <c r="Q320" s="1"/>
      <c r="R320" s="1"/>
      <c r="S320" s="1"/>
      <c r="T320" s="1"/>
      <c r="U320" s="1"/>
      <c r="V320" s="38"/>
      <c r="W320" s="1"/>
      <c r="X320" s="1"/>
    </row>
    <row r="321" spans="1:24" ht="14.4">
      <c r="A321" s="15"/>
      <c r="B321" s="15"/>
      <c r="C321" s="16"/>
      <c r="D321" s="16"/>
      <c r="E321" s="16"/>
      <c r="F321" s="16"/>
      <c r="G321" s="16"/>
      <c r="H321" s="16"/>
      <c r="I321" s="16"/>
      <c r="J321" s="16"/>
      <c r="K321" s="16"/>
      <c r="L321" s="16"/>
      <c r="M321" s="25"/>
      <c r="N321" s="25"/>
      <c r="O321" s="16"/>
      <c r="P321" s="1"/>
      <c r="Q321" s="1"/>
      <c r="R321" s="1"/>
      <c r="S321" s="1"/>
      <c r="T321" s="1"/>
      <c r="U321" s="1"/>
      <c r="V321" s="38"/>
      <c r="W321" s="1"/>
      <c r="X321" s="1"/>
    </row>
    <row r="322" spans="1:24" ht="14.4">
      <c r="A322" s="15"/>
      <c r="B322" s="15"/>
      <c r="C322" s="16"/>
      <c r="D322" s="16"/>
      <c r="E322" s="16"/>
      <c r="F322" s="16"/>
      <c r="G322" s="16"/>
      <c r="H322" s="16"/>
      <c r="I322" s="16"/>
      <c r="J322" s="16"/>
      <c r="K322" s="16"/>
      <c r="L322" s="16"/>
      <c r="M322" s="25"/>
      <c r="N322" s="25"/>
      <c r="O322" s="16"/>
      <c r="P322" s="1"/>
      <c r="Q322" s="1"/>
      <c r="R322" s="1"/>
      <c r="S322" s="1"/>
      <c r="T322" s="1"/>
      <c r="U322" s="1"/>
      <c r="V322" s="38"/>
      <c r="W322" s="1"/>
      <c r="X322" s="1"/>
    </row>
    <row r="323" spans="1:24" ht="14.4">
      <c r="A323" s="15"/>
      <c r="B323" s="15"/>
      <c r="C323" s="16"/>
      <c r="D323" s="16"/>
      <c r="E323" s="16"/>
      <c r="F323" s="16"/>
      <c r="G323" s="16"/>
      <c r="H323" s="16"/>
      <c r="I323" s="16"/>
      <c r="J323" s="16"/>
      <c r="K323" s="16"/>
      <c r="L323" s="16"/>
      <c r="M323" s="25"/>
      <c r="N323" s="25"/>
      <c r="O323" s="16"/>
      <c r="P323" s="1"/>
      <c r="Q323" s="1"/>
      <c r="R323" s="1"/>
      <c r="S323" s="1"/>
      <c r="T323" s="1"/>
      <c r="U323" s="1"/>
      <c r="V323" s="38"/>
      <c r="W323" s="1"/>
      <c r="X323" s="1"/>
    </row>
    <row r="324" spans="1:24" ht="14.4">
      <c r="A324" s="15"/>
      <c r="B324" s="15"/>
      <c r="C324" s="16"/>
      <c r="D324" s="16"/>
      <c r="E324" s="16"/>
      <c r="F324" s="16"/>
      <c r="G324" s="16"/>
      <c r="H324" s="16"/>
      <c r="I324" s="16"/>
      <c r="J324" s="16"/>
      <c r="K324" s="16"/>
      <c r="L324" s="16"/>
      <c r="M324" s="25"/>
      <c r="N324" s="25"/>
      <c r="O324" s="16"/>
      <c r="P324" s="1"/>
      <c r="Q324" s="1"/>
      <c r="R324" s="1"/>
      <c r="S324" s="1"/>
      <c r="T324" s="1"/>
      <c r="U324" s="1"/>
      <c r="V324" s="38"/>
      <c r="W324" s="1"/>
      <c r="X324" s="1"/>
    </row>
    <row r="325" spans="1:24" ht="14.4">
      <c r="A325" s="15"/>
      <c r="B325" s="15"/>
      <c r="C325" s="16"/>
      <c r="D325" s="16"/>
      <c r="E325" s="16"/>
      <c r="F325" s="16"/>
      <c r="G325" s="16"/>
      <c r="H325" s="16"/>
      <c r="I325" s="16"/>
      <c r="J325" s="16"/>
      <c r="K325" s="16"/>
      <c r="L325" s="16"/>
      <c r="M325" s="25"/>
      <c r="N325" s="25"/>
      <c r="O325" s="16"/>
      <c r="P325" s="1"/>
      <c r="Q325" s="1"/>
      <c r="R325" s="1"/>
      <c r="S325" s="1"/>
      <c r="T325" s="1"/>
      <c r="U325" s="1"/>
      <c r="V325" s="38"/>
      <c r="W325" s="1"/>
      <c r="X325" s="1"/>
    </row>
    <row r="326" spans="1:24" ht="14.4">
      <c r="A326" s="15"/>
      <c r="B326" s="15"/>
      <c r="C326" s="16"/>
      <c r="D326" s="16"/>
      <c r="E326" s="16"/>
      <c r="F326" s="16"/>
      <c r="G326" s="16"/>
      <c r="H326" s="16"/>
      <c r="I326" s="16"/>
      <c r="J326" s="16"/>
      <c r="K326" s="16"/>
      <c r="L326" s="16"/>
      <c r="M326" s="25"/>
      <c r="N326" s="25"/>
      <c r="O326" s="16"/>
      <c r="P326" s="1"/>
      <c r="Q326" s="1"/>
      <c r="R326" s="1"/>
      <c r="S326" s="1"/>
      <c r="T326" s="1"/>
      <c r="U326" s="1"/>
      <c r="V326" s="38"/>
      <c r="W326" s="1"/>
      <c r="X326" s="1"/>
    </row>
    <row r="327" spans="1:24" ht="14.4">
      <c r="A327" s="15"/>
      <c r="B327" s="15"/>
      <c r="C327" s="16"/>
      <c r="D327" s="16"/>
      <c r="E327" s="16"/>
      <c r="F327" s="16"/>
      <c r="G327" s="16"/>
      <c r="H327" s="16"/>
      <c r="I327" s="16"/>
      <c r="J327" s="16"/>
      <c r="K327" s="16"/>
      <c r="L327" s="16"/>
      <c r="M327" s="25"/>
      <c r="N327" s="25"/>
      <c r="O327" s="16"/>
      <c r="P327" s="1"/>
      <c r="Q327" s="1"/>
      <c r="R327" s="1"/>
      <c r="S327" s="1"/>
      <c r="T327" s="1"/>
      <c r="U327" s="1"/>
      <c r="V327" s="38"/>
      <c r="W327" s="1"/>
      <c r="X327" s="1"/>
    </row>
    <row r="328" spans="1:24" ht="14.4">
      <c r="A328" s="15"/>
      <c r="B328" s="15"/>
      <c r="C328" s="16"/>
      <c r="D328" s="16"/>
      <c r="E328" s="16"/>
      <c r="F328" s="16"/>
      <c r="G328" s="16"/>
      <c r="H328" s="16"/>
      <c r="I328" s="16"/>
      <c r="J328" s="16"/>
      <c r="K328" s="16"/>
      <c r="L328" s="16"/>
      <c r="M328" s="25"/>
      <c r="N328" s="25"/>
      <c r="O328" s="16"/>
      <c r="P328" s="1"/>
      <c r="Q328" s="1"/>
      <c r="R328" s="1"/>
      <c r="S328" s="1"/>
      <c r="T328" s="1"/>
      <c r="U328" s="1"/>
      <c r="V328" s="38"/>
      <c r="W328" s="1"/>
      <c r="X328" s="1"/>
    </row>
    <row r="329" spans="1:24" ht="14.4">
      <c r="A329" s="15"/>
      <c r="B329" s="15"/>
      <c r="C329" s="16"/>
      <c r="D329" s="16"/>
      <c r="E329" s="16"/>
      <c r="F329" s="16"/>
      <c r="G329" s="16"/>
      <c r="H329" s="16"/>
      <c r="I329" s="16"/>
      <c r="J329" s="16"/>
      <c r="K329" s="16"/>
      <c r="L329" s="16"/>
      <c r="M329" s="25"/>
      <c r="N329" s="25"/>
      <c r="O329" s="16"/>
      <c r="P329" s="1"/>
      <c r="Q329" s="1"/>
      <c r="R329" s="1"/>
      <c r="S329" s="1"/>
      <c r="T329" s="1"/>
      <c r="U329" s="1"/>
      <c r="V329" s="38"/>
      <c r="W329" s="1"/>
      <c r="X329" s="1"/>
    </row>
    <row r="330" spans="1:24" ht="14.4">
      <c r="A330" s="15"/>
      <c r="B330" s="15"/>
      <c r="C330" s="16"/>
      <c r="D330" s="16"/>
      <c r="E330" s="16"/>
      <c r="F330" s="16"/>
      <c r="G330" s="16"/>
      <c r="H330" s="16"/>
      <c r="I330" s="16"/>
      <c r="J330" s="16"/>
      <c r="K330" s="16"/>
      <c r="L330" s="16"/>
      <c r="M330" s="25"/>
      <c r="N330" s="25"/>
      <c r="O330" s="16"/>
      <c r="P330" s="1"/>
      <c r="Q330" s="1"/>
      <c r="R330" s="1"/>
      <c r="S330" s="1"/>
      <c r="T330" s="1"/>
      <c r="U330" s="1"/>
      <c r="V330" s="38"/>
      <c r="W330" s="1"/>
      <c r="X330" s="1"/>
    </row>
    <row r="331" spans="1:24" ht="14.4">
      <c r="A331" s="15"/>
      <c r="B331" s="15"/>
      <c r="C331" s="16"/>
      <c r="D331" s="16"/>
      <c r="E331" s="16"/>
      <c r="F331" s="16"/>
      <c r="G331" s="16"/>
      <c r="H331" s="16"/>
      <c r="I331" s="16"/>
      <c r="J331" s="16"/>
      <c r="K331" s="16"/>
      <c r="L331" s="16"/>
      <c r="M331" s="25"/>
      <c r="N331" s="25"/>
      <c r="O331" s="16"/>
      <c r="P331" s="1"/>
      <c r="Q331" s="1"/>
      <c r="R331" s="1"/>
      <c r="S331" s="1"/>
      <c r="T331" s="1"/>
      <c r="U331" s="1"/>
      <c r="V331" s="38"/>
      <c r="W331" s="1"/>
      <c r="X331" s="1"/>
    </row>
    <row r="332" spans="1:24" ht="14.4">
      <c r="A332" s="15"/>
      <c r="B332" s="15"/>
      <c r="C332" s="16"/>
      <c r="D332" s="16"/>
      <c r="E332" s="16"/>
      <c r="F332" s="16"/>
      <c r="G332" s="16"/>
      <c r="H332" s="16"/>
      <c r="I332" s="16"/>
      <c r="J332" s="16"/>
      <c r="K332" s="16"/>
      <c r="L332" s="16"/>
      <c r="M332" s="25"/>
      <c r="N332" s="25"/>
      <c r="O332" s="16"/>
      <c r="P332" s="1"/>
      <c r="Q332" s="1"/>
      <c r="R332" s="1"/>
      <c r="S332" s="1"/>
      <c r="T332" s="1"/>
      <c r="U332" s="1"/>
      <c r="V332" s="38"/>
      <c r="W332" s="1"/>
      <c r="X332" s="1"/>
    </row>
    <row r="333" spans="1:24" ht="14.4">
      <c r="A333" s="15"/>
      <c r="B333" s="15"/>
      <c r="C333" s="16"/>
      <c r="D333" s="16"/>
      <c r="E333" s="16"/>
      <c r="F333" s="16"/>
      <c r="G333" s="16"/>
      <c r="H333" s="16"/>
      <c r="I333" s="16"/>
      <c r="J333" s="16"/>
      <c r="K333" s="16"/>
      <c r="L333" s="16"/>
      <c r="M333" s="25"/>
      <c r="N333" s="25"/>
      <c r="O333" s="16"/>
      <c r="P333" s="1"/>
      <c r="Q333" s="1"/>
      <c r="R333" s="1"/>
      <c r="S333" s="1"/>
      <c r="T333" s="1"/>
      <c r="U333" s="1"/>
      <c r="V333" s="38"/>
      <c r="W333" s="1"/>
      <c r="X333" s="1"/>
    </row>
    <row r="334" spans="1:24" ht="14.4">
      <c r="A334" s="15"/>
      <c r="B334" s="15"/>
      <c r="C334" s="16"/>
      <c r="D334" s="16"/>
      <c r="E334" s="16"/>
      <c r="F334" s="16"/>
      <c r="G334" s="16"/>
      <c r="H334" s="16"/>
      <c r="I334" s="16"/>
      <c r="J334" s="16"/>
      <c r="K334" s="16"/>
      <c r="L334" s="16"/>
      <c r="M334" s="25"/>
      <c r="N334" s="25"/>
      <c r="O334" s="16"/>
      <c r="P334" s="1"/>
      <c r="Q334" s="1"/>
      <c r="R334" s="1"/>
      <c r="S334" s="1"/>
      <c r="T334" s="1"/>
      <c r="U334" s="1"/>
      <c r="V334" s="38"/>
      <c r="W334" s="1"/>
      <c r="X334" s="1"/>
    </row>
    <row r="335" spans="1:24" ht="14.4">
      <c r="A335" s="15"/>
      <c r="B335" s="15"/>
      <c r="C335" s="16"/>
      <c r="D335" s="16"/>
      <c r="E335" s="16"/>
      <c r="F335" s="16"/>
      <c r="G335" s="16"/>
      <c r="H335" s="16"/>
      <c r="I335" s="16"/>
      <c r="J335" s="16"/>
      <c r="K335" s="16"/>
      <c r="L335" s="16"/>
      <c r="M335" s="25"/>
      <c r="N335" s="25"/>
      <c r="O335" s="16"/>
      <c r="P335" s="1"/>
      <c r="Q335" s="1"/>
      <c r="R335" s="1"/>
      <c r="S335" s="1"/>
      <c r="T335" s="1"/>
      <c r="U335" s="1"/>
      <c r="V335" s="38"/>
      <c r="W335" s="1"/>
      <c r="X335" s="1"/>
    </row>
    <row r="336" spans="1:24" ht="14.4">
      <c r="A336" s="15"/>
      <c r="B336" s="15"/>
      <c r="C336" s="16"/>
      <c r="D336" s="16"/>
      <c r="E336" s="16"/>
      <c r="F336" s="16"/>
      <c r="G336" s="16"/>
      <c r="H336" s="16"/>
      <c r="I336" s="16"/>
      <c r="J336" s="16"/>
      <c r="K336" s="16"/>
      <c r="L336" s="16"/>
      <c r="M336" s="25"/>
      <c r="N336" s="25"/>
      <c r="O336" s="16"/>
      <c r="P336" s="1"/>
      <c r="Q336" s="1"/>
      <c r="R336" s="1"/>
      <c r="S336" s="1"/>
      <c r="T336" s="1"/>
      <c r="U336" s="1"/>
      <c r="V336" s="38"/>
      <c r="W336" s="1"/>
      <c r="X336" s="1"/>
    </row>
    <row r="337" spans="1:24" ht="14.4">
      <c r="A337" s="15"/>
      <c r="B337" s="15"/>
      <c r="C337" s="16"/>
      <c r="D337" s="16"/>
      <c r="E337" s="16"/>
      <c r="F337" s="16"/>
      <c r="G337" s="16"/>
      <c r="H337" s="16"/>
      <c r="I337" s="16"/>
      <c r="J337" s="16"/>
      <c r="K337" s="16"/>
      <c r="L337" s="16"/>
      <c r="M337" s="25"/>
      <c r="N337" s="25"/>
      <c r="O337" s="16"/>
      <c r="P337" s="1"/>
      <c r="Q337" s="1"/>
      <c r="R337" s="1"/>
      <c r="S337" s="1"/>
      <c r="T337" s="1"/>
      <c r="U337" s="1"/>
      <c r="V337" s="38"/>
      <c r="W337" s="1"/>
      <c r="X337" s="1"/>
    </row>
    <row r="338" spans="1:24" ht="14.4">
      <c r="A338" s="15"/>
      <c r="B338" s="15"/>
      <c r="C338" s="16"/>
      <c r="D338" s="16"/>
      <c r="E338" s="16"/>
      <c r="F338" s="16"/>
      <c r="G338" s="16"/>
      <c r="H338" s="16"/>
      <c r="I338" s="16"/>
      <c r="J338" s="16"/>
      <c r="K338" s="16"/>
      <c r="L338" s="16"/>
      <c r="M338" s="25"/>
      <c r="N338" s="25"/>
      <c r="O338" s="16"/>
      <c r="P338" s="1"/>
      <c r="Q338" s="1"/>
      <c r="R338" s="1"/>
      <c r="S338" s="1"/>
      <c r="T338" s="1"/>
      <c r="U338" s="1"/>
      <c r="V338" s="38"/>
      <c r="W338" s="1"/>
      <c r="X338" s="1"/>
    </row>
    <row r="339" spans="1:24" ht="14.4">
      <c r="A339" s="15"/>
      <c r="B339" s="15"/>
      <c r="C339" s="16"/>
      <c r="D339" s="16"/>
      <c r="E339" s="16"/>
      <c r="F339" s="16"/>
      <c r="G339" s="16"/>
      <c r="H339" s="16"/>
      <c r="I339" s="16"/>
      <c r="J339" s="16"/>
      <c r="K339" s="16"/>
      <c r="L339" s="16"/>
      <c r="M339" s="25"/>
      <c r="N339" s="25"/>
      <c r="O339" s="16"/>
      <c r="P339" s="1"/>
      <c r="Q339" s="1"/>
      <c r="R339" s="1"/>
      <c r="S339" s="1"/>
      <c r="T339" s="1"/>
      <c r="U339" s="1"/>
      <c r="V339" s="38"/>
      <c r="W339" s="1"/>
      <c r="X339" s="1"/>
    </row>
    <row r="340" spans="1:24" ht="14.4">
      <c r="A340" s="15"/>
      <c r="B340" s="15"/>
      <c r="C340" s="16"/>
      <c r="D340" s="16"/>
      <c r="E340" s="16"/>
      <c r="F340" s="16"/>
      <c r="G340" s="16"/>
      <c r="H340" s="16"/>
      <c r="I340" s="16"/>
      <c r="J340" s="16"/>
      <c r="K340" s="16"/>
      <c r="L340" s="16"/>
      <c r="M340" s="25"/>
      <c r="N340" s="25"/>
      <c r="O340" s="16"/>
      <c r="P340" s="1"/>
      <c r="Q340" s="1"/>
      <c r="R340" s="1"/>
      <c r="S340" s="1"/>
      <c r="T340" s="1"/>
      <c r="U340" s="1"/>
      <c r="V340" s="38"/>
      <c r="W340" s="1"/>
      <c r="X340" s="1"/>
    </row>
    <row r="341" spans="1:24" ht="14.4">
      <c r="A341" s="15"/>
      <c r="B341" s="15"/>
      <c r="C341" s="16"/>
      <c r="D341" s="16"/>
      <c r="E341" s="16"/>
      <c r="F341" s="16"/>
      <c r="G341" s="16"/>
      <c r="H341" s="16"/>
      <c r="I341" s="16"/>
      <c r="J341" s="16"/>
      <c r="K341" s="16"/>
      <c r="L341" s="16"/>
      <c r="M341" s="25"/>
      <c r="N341" s="25"/>
      <c r="O341" s="16"/>
      <c r="P341" s="1"/>
      <c r="Q341" s="1"/>
      <c r="R341" s="1"/>
      <c r="S341" s="1"/>
      <c r="T341" s="1"/>
      <c r="U341" s="1"/>
      <c r="V341" s="38"/>
      <c r="W341" s="1"/>
      <c r="X341" s="1"/>
    </row>
    <row r="342" spans="1:24" ht="14.4">
      <c r="A342" s="15"/>
      <c r="B342" s="15"/>
      <c r="C342" s="16"/>
      <c r="D342" s="16"/>
      <c r="E342" s="16"/>
      <c r="F342" s="16"/>
      <c r="G342" s="16"/>
      <c r="H342" s="16"/>
      <c r="I342" s="16"/>
      <c r="J342" s="16"/>
      <c r="K342" s="16"/>
      <c r="L342" s="16"/>
      <c r="M342" s="25"/>
      <c r="N342" s="25"/>
      <c r="O342" s="16"/>
      <c r="P342" s="1"/>
      <c r="Q342" s="1"/>
      <c r="R342" s="1"/>
      <c r="S342" s="1"/>
      <c r="T342" s="1"/>
      <c r="U342" s="1"/>
      <c r="V342" s="38"/>
      <c r="W342" s="1"/>
      <c r="X342" s="1"/>
    </row>
    <row r="343" spans="1:24" ht="14.4">
      <c r="A343" s="15"/>
      <c r="B343" s="15"/>
      <c r="C343" s="16"/>
      <c r="D343" s="16"/>
      <c r="E343" s="16"/>
      <c r="F343" s="16"/>
      <c r="G343" s="16"/>
      <c r="H343" s="16"/>
      <c r="I343" s="16"/>
      <c r="J343" s="16"/>
      <c r="K343" s="16"/>
      <c r="L343" s="16"/>
      <c r="M343" s="25"/>
      <c r="N343" s="25"/>
      <c r="O343" s="16"/>
      <c r="P343" s="1"/>
      <c r="Q343" s="1"/>
      <c r="R343" s="1"/>
      <c r="S343" s="1"/>
      <c r="T343" s="1"/>
      <c r="U343" s="1"/>
      <c r="V343" s="38"/>
      <c r="W343" s="1"/>
      <c r="X343" s="1"/>
    </row>
    <row r="344" spans="1:24" ht="14.4">
      <c r="A344" s="15"/>
      <c r="B344" s="15"/>
      <c r="C344" s="16"/>
      <c r="D344" s="16"/>
      <c r="E344" s="16"/>
      <c r="F344" s="16"/>
      <c r="G344" s="16"/>
      <c r="H344" s="16"/>
      <c r="I344" s="16"/>
      <c r="J344" s="16"/>
      <c r="K344" s="16"/>
      <c r="L344" s="16"/>
      <c r="M344" s="25"/>
      <c r="N344" s="25"/>
      <c r="O344" s="16"/>
      <c r="P344" s="1"/>
      <c r="Q344" s="1"/>
      <c r="R344" s="1"/>
      <c r="S344" s="1"/>
      <c r="T344" s="1"/>
      <c r="U344" s="1"/>
      <c r="V344" s="38"/>
      <c r="W344" s="1"/>
      <c r="X344" s="1"/>
    </row>
    <row r="345" spans="1:24" ht="14.4">
      <c r="A345" s="15"/>
      <c r="B345" s="15"/>
      <c r="C345" s="16"/>
      <c r="D345" s="16"/>
      <c r="E345" s="16"/>
      <c r="F345" s="16"/>
      <c r="G345" s="16"/>
      <c r="H345" s="16"/>
      <c r="I345" s="16"/>
      <c r="J345" s="16"/>
      <c r="K345" s="16"/>
      <c r="L345" s="16"/>
      <c r="M345" s="25"/>
      <c r="N345" s="25"/>
      <c r="O345" s="16"/>
      <c r="P345" s="1"/>
      <c r="Q345" s="1"/>
      <c r="R345" s="1"/>
      <c r="S345" s="1"/>
      <c r="T345" s="1"/>
      <c r="U345" s="1"/>
      <c r="V345" s="38"/>
      <c r="W345" s="1"/>
      <c r="X345" s="1"/>
    </row>
    <row r="346" spans="1:24" ht="14.4">
      <c r="A346" s="15"/>
      <c r="B346" s="15"/>
      <c r="C346" s="16"/>
      <c r="D346" s="16"/>
      <c r="E346" s="16"/>
      <c r="F346" s="16"/>
      <c r="G346" s="16"/>
      <c r="H346" s="16"/>
      <c r="I346" s="16"/>
      <c r="J346" s="16"/>
      <c r="K346" s="16"/>
      <c r="L346" s="16"/>
      <c r="M346" s="25"/>
      <c r="N346" s="25"/>
      <c r="O346" s="16"/>
      <c r="P346" s="1"/>
      <c r="Q346" s="1"/>
      <c r="R346" s="1"/>
      <c r="S346" s="1"/>
      <c r="T346" s="1"/>
      <c r="U346" s="1"/>
      <c r="V346" s="38"/>
      <c r="W346" s="1"/>
      <c r="X346" s="1"/>
    </row>
    <row r="347" spans="1:24" ht="14.4">
      <c r="A347" s="15"/>
      <c r="B347" s="15"/>
      <c r="C347" s="16"/>
      <c r="D347" s="16"/>
      <c r="E347" s="16"/>
      <c r="F347" s="16"/>
      <c r="G347" s="16"/>
      <c r="H347" s="16"/>
      <c r="I347" s="16"/>
      <c r="J347" s="16"/>
      <c r="K347" s="16"/>
      <c r="L347" s="16"/>
      <c r="M347" s="25"/>
      <c r="N347" s="25"/>
      <c r="O347" s="16"/>
      <c r="P347" s="1"/>
      <c r="Q347" s="1"/>
      <c r="R347" s="1"/>
      <c r="S347" s="1"/>
      <c r="T347" s="1"/>
      <c r="U347" s="1"/>
      <c r="V347" s="38"/>
      <c r="W347" s="1"/>
      <c r="X347" s="1"/>
    </row>
    <row r="348" spans="1:24" ht="14.4">
      <c r="A348" s="15"/>
      <c r="B348" s="15"/>
      <c r="C348" s="16"/>
      <c r="D348" s="16"/>
      <c r="E348" s="16"/>
      <c r="F348" s="16"/>
      <c r="G348" s="16"/>
      <c r="H348" s="16"/>
      <c r="I348" s="16"/>
      <c r="J348" s="16"/>
      <c r="K348" s="16"/>
      <c r="L348" s="16"/>
      <c r="M348" s="25"/>
      <c r="N348" s="25"/>
      <c r="O348" s="16"/>
      <c r="P348" s="1"/>
      <c r="Q348" s="1"/>
      <c r="R348" s="1"/>
      <c r="S348" s="1"/>
      <c r="T348" s="1"/>
      <c r="U348" s="1"/>
      <c r="V348" s="38"/>
      <c r="W348" s="1"/>
      <c r="X348" s="1"/>
    </row>
    <row r="349" spans="1:24" ht="14.4">
      <c r="A349" s="15"/>
      <c r="B349" s="15"/>
      <c r="C349" s="16"/>
      <c r="D349" s="16"/>
      <c r="E349" s="16"/>
      <c r="F349" s="16"/>
      <c r="G349" s="16"/>
      <c r="H349" s="16"/>
      <c r="I349" s="16"/>
      <c r="J349" s="16"/>
      <c r="K349" s="16"/>
      <c r="L349" s="16"/>
      <c r="M349" s="25"/>
      <c r="N349" s="25"/>
      <c r="O349" s="16"/>
      <c r="P349" s="1"/>
      <c r="Q349" s="1"/>
      <c r="R349" s="1"/>
      <c r="S349" s="1"/>
      <c r="T349" s="1"/>
      <c r="U349" s="1"/>
      <c r="V349" s="38"/>
      <c r="W349" s="1"/>
      <c r="X349" s="1"/>
    </row>
    <row r="350" spans="1:24" ht="14.4">
      <c r="A350" s="15"/>
      <c r="B350" s="15"/>
      <c r="C350" s="16"/>
      <c r="D350" s="16"/>
      <c r="E350" s="16"/>
      <c r="F350" s="16"/>
      <c r="G350" s="16"/>
      <c r="H350" s="16"/>
      <c r="I350" s="16"/>
      <c r="J350" s="16"/>
      <c r="K350" s="16"/>
      <c r="L350" s="16"/>
      <c r="M350" s="25"/>
      <c r="N350" s="25"/>
      <c r="O350" s="16"/>
      <c r="P350" s="1"/>
      <c r="Q350" s="1"/>
      <c r="R350" s="1"/>
      <c r="S350" s="1"/>
      <c r="T350" s="1"/>
      <c r="U350" s="1"/>
      <c r="V350" s="38"/>
      <c r="W350" s="1"/>
      <c r="X350" s="1"/>
    </row>
    <row r="351" spans="1:24" ht="14.4">
      <c r="A351" s="15"/>
      <c r="B351" s="15"/>
      <c r="C351" s="16"/>
      <c r="D351" s="16"/>
      <c r="E351" s="16"/>
      <c r="F351" s="16"/>
      <c r="G351" s="16"/>
      <c r="H351" s="16"/>
      <c r="I351" s="16"/>
      <c r="J351" s="16"/>
      <c r="K351" s="16"/>
      <c r="L351" s="16"/>
      <c r="M351" s="25"/>
      <c r="N351" s="25"/>
      <c r="O351" s="16"/>
      <c r="P351" s="1"/>
      <c r="Q351" s="1"/>
      <c r="R351" s="1"/>
      <c r="S351" s="1"/>
      <c r="T351" s="1"/>
      <c r="U351" s="1"/>
      <c r="V351" s="38"/>
      <c r="W351" s="1"/>
      <c r="X351" s="1"/>
    </row>
    <row r="352" spans="1:24" ht="14.4">
      <c r="A352" s="15"/>
      <c r="B352" s="15"/>
      <c r="C352" s="16"/>
      <c r="D352" s="16"/>
      <c r="E352" s="16"/>
      <c r="F352" s="16"/>
      <c r="G352" s="16"/>
      <c r="H352" s="16"/>
      <c r="I352" s="16"/>
      <c r="J352" s="16"/>
      <c r="K352" s="16"/>
      <c r="L352" s="16"/>
      <c r="M352" s="25"/>
      <c r="N352" s="25"/>
      <c r="O352" s="16"/>
      <c r="P352" s="1"/>
      <c r="Q352" s="1"/>
      <c r="R352" s="1"/>
      <c r="S352" s="1"/>
      <c r="T352" s="1"/>
      <c r="U352" s="1"/>
      <c r="V352" s="38"/>
      <c r="W352" s="1"/>
      <c r="X352" s="1"/>
    </row>
    <row r="353" spans="1:24" ht="14.4">
      <c r="A353" s="15"/>
      <c r="B353" s="15"/>
      <c r="C353" s="16"/>
      <c r="D353" s="16"/>
      <c r="E353" s="16"/>
      <c r="F353" s="16"/>
      <c r="G353" s="16"/>
      <c r="H353" s="16"/>
      <c r="I353" s="16"/>
      <c r="J353" s="16"/>
      <c r="K353" s="16"/>
      <c r="L353" s="16"/>
      <c r="M353" s="25"/>
      <c r="N353" s="25"/>
      <c r="O353" s="16"/>
      <c r="P353" s="1"/>
      <c r="Q353" s="1"/>
      <c r="R353" s="1"/>
      <c r="S353" s="1"/>
      <c r="T353" s="1"/>
      <c r="U353" s="1"/>
      <c r="V353" s="38"/>
      <c r="W353" s="1"/>
      <c r="X353" s="1"/>
    </row>
    <row r="354" spans="1:24" ht="14.4">
      <c r="A354" s="15"/>
      <c r="B354" s="15"/>
      <c r="C354" s="16"/>
      <c r="D354" s="16"/>
      <c r="E354" s="16"/>
      <c r="F354" s="16"/>
      <c r="G354" s="16"/>
      <c r="H354" s="16"/>
      <c r="I354" s="16"/>
      <c r="J354" s="16"/>
      <c r="K354" s="16"/>
      <c r="L354" s="16"/>
      <c r="M354" s="25"/>
      <c r="N354" s="25"/>
      <c r="O354" s="16"/>
      <c r="P354" s="1"/>
      <c r="Q354" s="1"/>
      <c r="R354" s="1"/>
      <c r="S354" s="1"/>
      <c r="T354" s="1"/>
      <c r="U354" s="1"/>
      <c r="V354" s="38"/>
      <c r="W354" s="1"/>
      <c r="X354" s="1"/>
    </row>
    <row r="355" spans="1:24" ht="14.4">
      <c r="A355" s="15"/>
      <c r="B355" s="15"/>
      <c r="C355" s="16"/>
      <c r="D355" s="16"/>
      <c r="E355" s="16"/>
      <c r="F355" s="16"/>
      <c r="G355" s="16"/>
      <c r="H355" s="16"/>
      <c r="I355" s="16"/>
      <c r="J355" s="16"/>
      <c r="K355" s="16"/>
      <c r="L355" s="16"/>
      <c r="M355" s="25"/>
      <c r="N355" s="25"/>
      <c r="O355" s="16"/>
      <c r="P355" s="1"/>
      <c r="Q355" s="1"/>
      <c r="R355" s="1"/>
      <c r="S355" s="1"/>
      <c r="T355" s="1"/>
      <c r="U355" s="1"/>
      <c r="V355" s="38"/>
      <c r="W355" s="1"/>
      <c r="X355" s="1"/>
    </row>
    <row r="356" spans="1:24" ht="14.4">
      <c r="A356" s="15"/>
      <c r="B356" s="15"/>
      <c r="C356" s="16"/>
      <c r="D356" s="16"/>
      <c r="E356" s="16"/>
      <c r="F356" s="16"/>
      <c r="G356" s="16"/>
      <c r="H356" s="16"/>
      <c r="I356" s="16"/>
      <c r="J356" s="16"/>
      <c r="K356" s="16"/>
      <c r="L356" s="16"/>
      <c r="M356" s="25"/>
      <c r="N356" s="25"/>
      <c r="O356" s="16"/>
      <c r="P356" s="1"/>
      <c r="Q356" s="1"/>
      <c r="R356" s="1"/>
      <c r="S356" s="1"/>
      <c r="T356" s="1"/>
      <c r="U356" s="1"/>
      <c r="V356" s="38"/>
      <c r="W356" s="1"/>
      <c r="X356" s="1"/>
    </row>
    <row r="357" spans="1:24" ht="14.4">
      <c r="A357" s="15"/>
      <c r="B357" s="15"/>
      <c r="C357" s="16"/>
      <c r="D357" s="16"/>
      <c r="E357" s="16"/>
      <c r="F357" s="16"/>
      <c r="G357" s="16"/>
      <c r="H357" s="16"/>
      <c r="I357" s="16"/>
      <c r="J357" s="16"/>
      <c r="K357" s="16"/>
      <c r="L357" s="16"/>
      <c r="M357" s="25"/>
      <c r="N357" s="25"/>
      <c r="O357" s="16"/>
      <c r="P357" s="1"/>
      <c r="Q357" s="1"/>
      <c r="R357" s="1"/>
      <c r="S357" s="1"/>
      <c r="T357" s="1"/>
      <c r="U357" s="1"/>
      <c r="V357" s="38"/>
      <c r="W357" s="1"/>
      <c r="X357" s="1"/>
    </row>
    <row r="358" spans="1:24" ht="14.4">
      <c r="A358" s="15"/>
      <c r="B358" s="15"/>
      <c r="C358" s="16"/>
      <c r="D358" s="16"/>
      <c r="E358" s="16"/>
      <c r="F358" s="16"/>
      <c r="G358" s="16"/>
      <c r="H358" s="16"/>
      <c r="I358" s="16"/>
      <c r="J358" s="16"/>
      <c r="K358" s="16"/>
      <c r="L358" s="16"/>
      <c r="M358" s="25"/>
      <c r="N358" s="25"/>
      <c r="O358" s="16"/>
      <c r="P358" s="1"/>
      <c r="Q358" s="1"/>
      <c r="R358" s="1"/>
      <c r="S358" s="1"/>
      <c r="T358" s="1"/>
      <c r="U358" s="1"/>
      <c r="V358" s="38"/>
      <c r="W358" s="1"/>
      <c r="X358" s="1"/>
    </row>
    <row r="359" spans="1:24" ht="14.4">
      <c r="A359" s="15"/>
      <c r="B359" s="15"/>
      <c r="C359" s="16"/>
      <c r="D359" s="16"/>
      <c r="E359" s="16"/>
      <c r="F359" s="16"/>
      <c r="G359" s="16"/>
      <c r="H359" s="16"/>
      <c r="I359" s="16"/>
      <c r="J359" s="16"/>
      <c r="K359" s="16"/>
      <c r="L359" s="16"/>
      <c r="M359" s="25"/>
      <c r="N359" s="25"/>
      <c r="O359" s="16"/>
      <c r="P359" s="1"/>
      <c r="Q359" s="1"/>
      <c r="R359" s="1"/>
      <c r="S359" s="1"/>
      <c r="T359" s="1"/>
      <c r="U359" s="1"/>
      <c r="V359" s="38"/>
      <c r="W359" s="1"/>
      <c r="X359" s="1"/>
    </row>
    <row r="360" spans="1:24" ht="14.4">
      <c r="A360" s="15"/>
      <c r="B360" s="15"/>
      <c r="C360" s="16"/>
      <c r="D360" s="16"/>
      <c r="E360" s="16"/>
      <c r="F360" s="16"/>
      <c r="G360" s="16"/>
      <c r="H360" s="16"/>
      <c r="I360" s="16"/>
      <c r="J360" s="16"/>
      <c r="K360" s="16"/>
      <c r="L360" s="16"/>
      <c r="M360" s="25"/>
      <c r="N360" s="25"/>
      <c r="O360" s="16"/>
      <c r="P360" s="1"/>
      <c r="Q360" s="1"/>
      <c r="R360" s="1"/>
      <c r="S360" s="1"/>
      <c r="T360" s="1"/>
      <c r="U360" s="1"/>
      <c r="V360" s="38"/>
      <c r="W360" s="1"/>
      <c r="X360" s="1"/>
    </row>
    <row r="361" spans="1:24" ht="14.4">
      <c r="A361" s="15"/>
      <c r="B361" s="15"/>
      <c r="C361" s="16"/>
      <c r="D361" s="16"/>
      <c r="E361" s="16"/>
      <c r="F361" s="16"/>
      <c r="G361" s="16"/>
      <c r="H361" s="16"/>
      <c r="I361" s="16"/>
      <c r="J361" s="16"/>
      <c r="K361" s="16"/>
      <c r="L361" s="16"/>
      <c r="M361" s="25"/>
      <c r="N361" s="25"/>
      <c r="O361" s="16"/>
      <c r="P361" s="1"/>
      <c r="Q361" s="1"/>
      <c r="R361" s="1"/>
      <c r="S361" s="1"/>
      <c r="T361" s="1"/>
      <c r="U361" s="1"/>
      <c r="V361" s="38"/>
      <c r="W361" s="1"/>
      <c r="X361" s="1"/>
    </row>
    <row r="362" spans="1:24" ht="14.4">
      <c r="A362" s="15"/>
      <c r="B362" s="15"/>
      <c r="C362" s="16"/>
      <c r="D362" s="16"/>
      <c r="E362" s="16"/>
      <c r="F362" s="16"/>
      <c r="G362" s="16"/>
      <c r="H362" s="16"/>
      <c r="I362" s="16"/>
      <c r="J362" s="16"/>
      <c r="K362" s="16"/>
      <c r="L362" s="16"/>
      <c r="M362" s="25"/>
      <c r="N362" s="25"/>
      <c r="O362" s="16"/>
      <c r="P362" s="1"/>
      <c r="Q362" s="1"/>
      <c r="R362" s="1"/>
      <c r="S362" s="1"/>
      <c r="T362" s="1"/>
      <c r="U362" s="1"/>
      <c r="V362" s="38"/>
      <c r="W362" s="1"/>
      <c r="X362" s="1"/>
    </row>
    <row r="363" spans="1:24" ht="14.4">
      <c r="A363" s="15"/>
      <c r="B363" s="15"/>
      <c r="C363" s="16"/>
      <c r="D363" s="16"/>
      <c r="E363" s="16"/>
      <c r="F363" s="16"/>
      <c r="G363" s="16"/>
      <c r="H363" s="16"/>
      <c r="I363" s="16"/>
      <c r="J363" s="16"/>
      <c r="K363" s="16"/>
      <c r="L363" s="16"/>
      <c r="M363" s="25"/>
      <c r="N363" s="25"/>
      <c r="O363" s="16"/>
      <c r="P363" s="1"/>
      <c r="Q363" s="1"/>
      <c r="R363" s="1"/>
      <c r="S363" s="1"/>
      <c r="T363" s="1"/>
      <c r="U363" s="1"/>
      <c r="V363" s="38"/>
      <c r="W363" s="1"/>
      <c r="X363" s="1"/>
    </row>
    <row r="364" spans="1:24" ht="14.4">
      <c r="A364" s="15"/>
      <c r="B364" s="15"/>
      <c r="C364" s="16"/>
      <c r="D364" s="16"/>
      <c r="E364" s="16"/>
      <c r="F364" s="16"/>
      <c r="G364" s="16"/>
      <c r="H364" s="16"/>
      <c r="I364" s="16"/>
      <c r="J364" s="16"/>
      <c r="K364" s="16"/>
      <c r="L364" s="16"/>
      <c r="M364" s="25"/>
      <c r="N364" s="25"/>
      <c r="O364" s="16"/>
      <c r="P364" s="1"/>
      <c r="Q364" s="1"/>
      <c r="R364" s="1"/>
      <c r="S364" s="1"/>
      <c r="T364" s="1"/>
      <c r="U364" s="1"/>
      <c r="V364" s="38"/>
      <c r="W364" s="1"/>
      <c r="X364" s="1"/>
    </row>
    <row r="365" spans="1:24" ht="14.4">
      <c r="A365" s="15"/>
      <c r="B365" s="15"/>
      <c r="C365" s="16"/>
      <c r="D365" s="16"/>
      <c r="E365" s="16"/>
      <c r="F365" s="16"/>
      <c r="G365" s="16"/>
      <c r="H365" s="16"/>
      <c r="I365" s="16"/>
      <c r="J365" s="16"/>
      <c r="K365" s="16"/>
      <c r="L365" s="16"/>
      <c r="M365" s="25"/>
      <c r="N365" s="25"/>
      <c r="O365" s="16"/>
      <c r="P365" s="1"/>
      <c r="Q365" s="1"/>
      <c r="R365" s="1"/>
      <c r="S365" s="1"/>
      <c r="T365" s="1"/>
      <c r="U365" s="1"/>
      <c r="V365" s="38"/>
      <c r="W365" s="1"/>
      <c r="X365" s="1"/>
    </row>
    <row r="366" spans="1:24" ht="14.4">
      <c r="A366" s="15"/>
      <c r="B366" s="15"/>
      <c r="C366" s="16"/>
      <c r="D366" s="16"/>
      <c r="E366" s="16"/>
      <c r="F366" s="16"/>
      <c r="G366" s="16"/>
      <c r="H366" s="16"/>
      <c r="I366" s="16"/>
      <c r="J366" s="16"/>
      <c r="K366" s="16"/>
      <c r="L366" s="16"/>
      <c r="M366" s="25"/>
      <c r="N366" s="25"/>
      <c r="O366" s="16"/>
      <c r="P366" s="1"/>
      <c r="Q366" s="1"/>
      <c r="R366" s="1"/>
      <c r="S366" s="1"/>
      <c r="T366" s="1"/>
      <c r="U366" s="1"/>
      <c r="V366" s="38"/>
      <c r="W366" s="1"/>
      <c r="X366" s="1"/>
    </row>
    <row r="367" spans="1:24" ht="14.4">
      <c r="A367" s="15"/>
      <c r="B367" s="15"/>
      <c r="C367" s="16"/>
      <c r="D367" s="16"/>
      <c r="E367" s="16"/>
      <c r="F367" s="16"/>
      <c r="G367" s="16"/>
      <c r="H367" s="16"/>
      <c r="I367" s="16"/>
      <c r="J367" s="16"/>
      <c r="K367" s="16"/>
      <c r="L367" s="16"/>
      <c r="M367" s="25"/>
      <c r="N367" s="25"/>
      <c r="O367" s="16"/>
      <c r="P367" s="1"/>
      <c r="Q367" s="1"/>
      <c r="R367" s="1"/>
      <c r="S367" s="1"/>
      <c r="T367" s="1"/>
      <c r="U367" s="1"/>
      <c r="V367" s="38"/>
      <c r="W367" s="1"/>
      <c r="X367" s="1"/>
    </row>
    <row r="368" spans="1:24" ht="14.4">
      <c r="A368" s="15"/>
      <c r="B368" s="15"/>
      <c r="C368" s="16"/>
      <c r="D368" s="16"/>
      <c r="E368" s="16"/>
      <c r="F368" s="16"/>
      <c r="G368" s="16"/>
      <c r="H368" s="16"/>
      <c r="I368" s="16"/>
      <c r="J368" s="16"/>
      <c r="K368" s="16"/>
      <c r="L368" s="16"/>
      <c r="M368" s="25"/>
      <c r="N368" s="25"/>
      <c r="O368" s="16"/>
      <c r="P368" s="1"/>
      <c r="Q368" s="1"/>
      <c r="R368" s="1"/>
      <c r="S368" s="1"/>
      <c r="T368" s="1"/>
      <c r="U368" s="1"/>
      <c r="V368" s="38"/>
      <c r="W368" s="1"/>
      <c r="X368" s="1"/>
    </row>
    <row r="369" spans="1:24" ht="14.4">
      <c r="A369" s="15"/>
      <c r="B369" s="15"/>
      <c r="C369" s="16"/>
      <c r="D369" s="16"/>
      <c r="E369" s="16"/>
      <c r="F369" s="16"/>
      <c r="G369" s="16"/>
      <c r="H369" s="16"/>
      <c r="I369" s="16"/>
      <c r="J369" s="16"/>
      <c r="K369" s="16"/>
      <c r="L369" s="16"/>
      <c r="M369" s="25"/>
      <c r="N369" s="25"/>
      <c r="O369" s="16"/>
      <c r="P369" s="1"/>
      <c r="Q369" s="1"/>
      <c r="R369" s="1"/>
      <c r="S369" s="1"/>
      <c r="T369" s="1"/>
      <c r="U369" s="1"/>
      <c r="V369" s="38"/>
      <c r="W369" s="1"/>
      <c r="X369" s="1"/>
    </row>
    <row r="370" spans="1:24" ht="14.4">
      <c r="A370" s="15"/>
      <c r="B370" s="15"/>
      <c r="C370" s="16"/>
      <c r="D370" s="16"/>
      <c r="E370" s="16"/>
      <c r="F370" s="16"/>
      <c r="G370" s="16"/>
      <c r="H370" s="16"/>
      <c r="I370" s="16"/>
      <c r="J370" s="16"/>
      <c r="K370" s="16"/>
      <c r="L370" s="16"/>
      <c r="M370" s="25"/>
      <c r="N370" s="25"/>
      <c r="O370" s="16"/>
      <c r="P370" s="1"/>
      <c r="Q370" s="1"/>
      <c r="R370" s="1"/>
      <c r="S370" s="1"/>
      <c r="T370" s="1"/>
      <c r="U370" s="1"/>
      <c r="V370" s="38"/>
      <c r="W370" s="1"/>
      <c r="X370" s="1"/>
    </row>
    <row r="371" spans="1:24" ht="14.4">
      <c r="A371" s="15"/>
      <c r="B371" s="15"/>
      <c r="C371" s="16"/>
      <c r="D371" s="16"/>
      <c r="E371" s="16"/>
      <c r="F371" s="16"/>
      <c r="G371" s="16"/>
      <c r="H371" s="16"/>
      <c r="I371" s="16"/>
      <c r="J371" s="16"/>
      <c r="K371" s="16"/>
      <c r="L371" s="16"/>
      <c r="M371" s="25"/>
      <c r="N371" s="25"/>
      <c r="O371" s="16"/>
      <c r="P371" s="1"/>
      <c r="Q371" s="1"/>
      <c r="R371" s="1"/>
      <c r="S371" s="1"/>
      <c r="T371" s="1"/>
      <c r="U371" s="1"/>
      <c r="V371" s="38"/>
      <c r="W371" s="1"/>
      <c r="X371" s="1"/>
    </row>
    <row r="372" spans="1:24" ht="14.4">
      <c r="A372" s="15"/>
      <c r="B372" s="15"/>
      <c r="C372" s="16"/>
      <c r="D372" s="16"/>
      <c r="E372" s="16"/>
      <c r="F372" s="16"/>
      <c r="G372" s="16"/>
      <c r="H372" s="16"/>
      <c r="I372" s="16"/>
      <c r="J372" s="16"/>
      <c r="K372" s="16"/>
      <c r="L372" s="16"/>
      <c r="M372" s="25"/>
      <c r="N372" s="25"/>
      <c r="O372" s="16"/>
      <c r="P372" s="1"/>
      <c r="Q372" s="1"/>
      <c r="R372" s="1"/>
      <c r="S372" s="1"/>
      <c r="T372" s="1"/>
      <c r="U372" s="1"/>
      <c r="V372" s="38"/>
      <c r="W372" s="1"/>
      <c r="X372" s="1"/>
    </row>
    <row r="373" spans="1:24" ht="14.4">
      <c r="A373" s="15"/>
      <c r="B373" s="15"/>
      <c r="C373" s="16"/>
      <c r="D373" s="16"/>
      <c r="E373" s="16"/>
      <c r="F373" s="16"/>
      <c r="G373" s="16"/>
      <c r="H373" s="16"/>
      <c r="I373" s="16"/>
      <c r="J373" s="16"/>
      <c r="K373" s="16"/>
      <c r="L373" s="16"/>
      <c r="M373" s="25"/>
      <c r="N373" s="25"/>
      <c r="O373" s="16"/>
      <c r="P373" s="1"/>
      <c r="Q373" s="1"/>
      <c r="R373" s="1"/>
      <c r="S373" s="1"/>
      <c r="T373" s="1"/>
      <c r="U373" s="1"/>
      <c r="V373" s="38"/>
      <c r="W373" s="1"/>
      <c r="X373" s="1"/>
    </row>
    <row r="374" spans="1:24" ht="14.4">
      <c r="A374" s="15"/>
      <c r="B374" s="15"/>
      <c r="C374" s="16"/>
      <c r="D374" s="16"/>
      <c r="E374" s="16"/>
      <c r="F374" s="16"/>
      <c r="G374" s="16"/>
      <c r="H374" s="16"/>
      <c r="I374" s="16"/>
      <c r="J374" s="16"/>
      <c r="K374" s="16"/>
      <c r="L374" s="16"/>
      <c r="M374" s="26"/>
      <c r="N374" s="26"/>
      <c r="O374" s="16"/>
      <c r="P374" s="1"/>
      <c r="Q374" s="1"/>
      <c r="R374" s="1"/>
      <c r="S374" s="1"/>
      <c r="T374" s="1"/>
      <c r="U374" s="1"/>
      <c r="V374" s="38"/>
      <c r="W374" s="1"/>
      <c r="X374" s="1"/>
    </row>
    <row r="375" spans="1:24" ht="14.4">
      <c r="A375" s="15"/>
      <c r="B375" s="1"/>
      <c r="C375" s="1"/>
      <c r="D375" s="1"/>
      <c r="E375" s="1"/>
      <c r="F375" s="1"/>
      <c r="G375" s="1"/>
      <c r="H375" s="1"/>
      <c r="I375" s="1"/>
      <c r="J375" s="1"/>
      <c r="K375" s="1"/>
      <c r="L375" s="1"/>
      <c r="M375" s="26"/>
      <c r="N375" s="26"/>
      <c r="O375" s="1"/>
      <c r="P375" s="1"/>
      <c r="Q375" s="1"/>
      <c r="R375" s="1"/>
      <c r="S375" s="1"/>
      <c r="T375" s="1"/>
      <c r="U375" s="1"/>
      <c r="V375" s="38"/>
      <c r="W375" s="1"/>
      <c r="X375" s="1"/>
    </row>
    <row r="376" spans="1:24" ht="14.4">
      <c r="A376" s="15"/>
      <c r="B376" s="1"/>
      <c r="C376" s="1"/>
      <c r="D376" s="1"/>
      <c r="E376" s="1"/>
      <c r="F376" s="1"/>
      <c r="G376" s="1"/>
      <c r="H376" s="1"/>
      <c r="I376" s="1"/>
      <c r="J376" s="1"/>
      <c r="K376" s="1"/>
      <c r="L376" s="1"/>
      <c r="M376" s="26"/>
      <c r="N376" s="26"/>
      <c r="O376" s="1"/>
      <c r="P376" s="1"/>
      <c r="Q376" s="1"/>
      <c r="R376" s="1"/>
      <c r="S376" s="1"/>
      <c r="T376" s="1"/>
      <c r="U376" s="1"/>
      <c r="V376" s="38"/>
      <c r="W376" s="1"/>
      <c r="X376" s="1"/>
    </row>
    <row r="377" spans="1:24" ht="14.4">
      <c r="A377" s="15"/>
      <c r="B377" s="1"/>
      <c r="C377" s="1"/>
      <c r="D377" s="1"/>
      <c r="E377" s="1"/>
      <c r="F377" s="1"/>
      <c r="G377" s="1"/>
      <c r="H377" s="1"/>
      <c r="I377" s="1"/>
      <c r="J377" s="1"/>
      <c r="K377" s="1"/>
      <c r="L377" s="1"/>
      <c r="M377" s="26"/>
      <c r="N377" s="26"/>
      <c r="O377" s="1"/>
      <c r="P377" s="1"/>
      <c r="Q377" s="1"/>
      <c r="R377" s="1"/>
      <c r="S377" s="1"/>
      <c r="T377" s="1"/>
      <c r="U377" s="1"/>
      <c r="V377" s="38"/>
      <c r="W377" s="1"/>
      <c r="X377" s="1"/>
    </row>
    <row r="378" spans="1:24" ht="14.4">
      <c r="A378" s="1"/>
      <c r="B378" s="93"/>
      <c r="C378" s="1"/>
      <c r="D378" s="1"/>
      <c r="E378" s="1"/>
      <c r="F378" s="93"/>
      <c r="G378" s="93"/>
      <c r="H378" s="93"/>
      <c r="I378" s="93"/>
      <c r="J378" s="93"/>
      <c r="K378" s="93"/>
      <c r="L378" s="93"/>
      <c r="M378" s="26"/>
      <c r="N378" s="26"/>
      <c r="O378" s="1"/>
      <c r="P378" s="1"/>
      <c r="Q378" s="1"/>
      <c r="R378" s="1"/>
      <c r="S378" s="1"/>
      <c r="T378" s="1"/>
      <c r="U378" s="1"/>
      <c r="V378" s="38"/>
      <c r="W378" s="1"/>
      <c r="X378" s="1"/>
    </row>
    <row r="379" spans="1:24" ht="14.4">
      <c r="A379" s="1"/>
      <c r="B379" s="94"/>
      <c r="C379" s="1"/>
      <c r="D379" s="1"/>
      <c r="E379" s="1"/>
      <c r="F379" s="94"/>
      <c r="G379" s="94"/>
      <c r="H379" s="94"/>
      <c r="I379" s="94"/>
      <c r="J379" s="94"/>
      <c r="K379" s="94"/>
      <c r="L379" s="94"/>
      <c r="M379" s="26"/>
      <c r="N379" s="26"/>
      <c r="O379" s="1"/>
      <c r="P379" s="1"/>
      <c r="Q379" s="1"/>
      <c r="R379" s="1"/>
      <c r="S379" s="1"/>
      <c r="T379" s="1"/>
      <c r="U379" s="1"/>
      <c r="V379" s="38"/>
      <c r="W379" s="1"/>
      <c r="X379" s="1"/>
    </row>
    <row r="380" spans="1:24" ht="14.4">
      <c r="A380" s="1"/>
      <c r="B380" s="94"/>
      <c r="C380" s="1"/>
      <c r="D380" s="1"/>
      <c r="E380" s="1"/>
      <c r="F380" s="94"/>
      <c r="G380" s="94"/>
      <c r="H380" s="94"/>
      <c r="I380" s="94"/>
      <c r="J380" s="94"/>
      <c r="K380" s="94"/>
      <c r="L380" s="94"/>
      <c r="M380" s="26"/>
      <c r="N380" s="26"/>
      <c r="O380" s="1"/>
      <c r="P380" s="1"/>
      <c r="Q380" s="1"/>
      <c r="R380" s="1"/>
      <c r="S380" s="1"/>
      <c r="T380" s="1"/>
      <c r="U380" s="1"/>
      <c r="V380" s="38"/>
      <c r="W380" s="1"/>
      <c r="X380" s="1"/>
    </row>
    <row r="381" spans="1:24" ht="14.4">
      <c r="A381" s="1"/>
      <c r="B381" s="94"/>
      <c r="C381" s="1"/>
      <c r="D381" s="1"/>
      <c r="E381" s="1"/>
      <c r="F381" s="94"/>
      <c r="G381" s="94"/>
      <c r="H381" s="94"/>
      <c r="I381" s="94"/>
      <c r="J381" s="94"/>
      <c r="K381" s="94"/>
      <c r="L381" s="94"/>
      <c r="M381" s="26"/>
      <c r="N381" s="26"/>
      <c r="O381" s="1"/>
      <c r="P381" s="1"/>
      <c r="Q381" s="1"/>
      <c r="R381" s="1"/>
      <c r="S381" s="1"/>
      <c r="T381" s="1"/>
      <c r="U381" s="1"/>
      <c r="V381" s="38"/>
      <c r="W381" s="1"/>
      <c r="X381" s="1"/>
    </row>
    <row r="382" spans="1:24" ht="14.4">
      <c r="A382" s="1"/>
      <c r="B382" s="94"/>
      <c r="C382" s="1"/>
      <c r="D382" s="1"/>
      <c r="E382" s="1"/>
      <c r="F382" s="94"/>
      <c r="G382" s="94"/>
      <c r="H382" s="94"/>
      <c r="I382" s="94"/>
      <c r="J382" s="94"/>
      <c r="K382" s="94"/>
      <c r="L382" s="94"/>
      <c r="M382" s="26"/>
      <c r="N382" s="26"/>
      <c r="O382" s="1"/>
      <c r="P382" s="1"/>
      <c r="Q382" s="1"/>
      <c r="R382" s="1"/>
      <c r="S382" s="1"/>
      <c r="T382" s="1"/>
      <c r="U382" s="1"/>
      <c r="V382" s="38"/>
      <c r="W382" s="1"/>
      <c r="X382" s="1"/>
    </row>
    <row r="383" spans="1:24" ht="14.4">
      <c r="A383" s="1"/>
      <c r="B383" s="93"/>
      <c r="C383" s="1"/>
      <c r="D383" s="1"/>
      <c r="E383" s="1"/>
      <c r="F383" s="93"/>
      <c r="G383" s="93"/>
      <c r="H383" s="93"/>
      <c r="I383" s="93"/>
      <c r="J383" s="93"/>
      <c r="K383" s="93"/>
      <c r="L383" s="93"/>
      <c r="M383" s="26"/>
      <c r="N383" s="26"/>
      <c r="O383" s="1"/>
      <c r="P383" s="1"/>
      <c r="Q383" s="1"/>
      <c r="R383" s="1"/>
      <c r="S383" s="1"/>
      <c r="T383" s="1"/>
      <c r="U383" s="1"/>
      <c r="V383" s="38"/>
      <c r="W383" s="1"/>
      <c r="X383" s="1"/>
    </row>
    <row r="384" spans="1:24" ht="14.4">
      <c r="A384" s="1"/>
      <c r="B384" s="94"/>
      <c r="C384" s="1"/>
      <c r="D384" s="1"/>
      <c r="E384" s="1"/>
      <c r="F384" s="94"/>
      <c r="G384" s="94"/>
      <c r="H384" s="94"/>
      <c r="I384" s="94"/>
      <c r="J384" s="94"/>
      <c r="K384" s="94"/>
      <c r="L384" s="94"/>
      <c r="M384" s="26"/>
      <c r="N384" s="26"/>
      <c r="O384" s="1"/>
      <c r="P384" s="1"/>
      <c r="Q384" s="1"/>
      <c r="R384" s="1"/>
      <c r="S384" s="1"/>
      <c r="T384" s="1"/>
      <c r="U384" s="1"/>
      <c r="V384" s="38"/>
      <c r="W384" s="1"/>
      <c r="X384" s="1"/>
    </row>
    <row r="385" spans="1:24" ht="14.4">
      <c r="A385" s="1"/>
      <c r="B385" s="94"/>
      <c r="C385" s="1"/>
      <c r="D385" s="1"/>
      <c r="E385" s="1"/>
      <c r="F385" s="94"/>
      <c r="G385" s="94"/>
      <c r="H385" s="94"/>
      <c r="I385" s="94"/>
      <c r="J385" s="94"/>
      <c r="K385" s="94"/>
      <c r="L385" s="94"/>
      <c r="M385" s="26"/>
      <c r="N385" s="26"/>
      <c r="O385" s="1"/>
      <c r="P385" s="1"/>
      <c r="Q385" s="1"/>
      <c r="R385" s="1"/>
      <c r="S385" s="1"/>
      <c r="T385" s="1"/>
      <c r="U385" s="1"/>
      <c r="V385" s="38"/>
      <c r="W385" s="1"/>
      <c r="X385" s="1"/>
    </row>
    <row r="386" spans="1:24" ht="14.4">
      <c r="A386" s="1"/>
      <c r="B386" s="94"/>
      <c r="C386" s="1"/>
      <c r="D386" s="1"/>
      <c r="E386" s="1"/>
      <c r="F386" s="94"/>
      <c r="G386" s="94"/>
      <c r="H386" s="94"/>
      <c r="I386" s="94"/>
      <c r="J386" s="94"/>
      <c r="K386" s="94"/>
      <c r="L386" s="94"/>
      <c r="M386" s="26"/>
      <c r="N386" s="26"/>
      <c r="O386" s="1"/>
      <c r="P386" s="1"/>
      <c r="Q386" s="1"/>
      <c r="R386" s="1"/>
      <c r="S386" s="1"/>
      <c r="T386" s="1"/>
      <c r="U386" s="1"/>
      <c r="V386" s="38"/>
      <c r="W386" s="1"/>
      <c r="X386" s="1"/>
    </row>
    <row r="387" spans="1:24" ht="14.4">
      <c r="A387" s="1"/>
      <c r="B387" s="94"/>
      <c r="C387" s="1"/>
      <c r="D387" s="1"/>
      <c r="E387" s="1"/>
      <c r="F387" s="94"/>
      <c r="G387" s="94"/>
      <c r="H387" s="94"/>
      <c r="I387" s="94"/>
      <c r="J387" s="94"/>
      <c r="K387" s="94"/>
      <c r="L387" s="94"/>
      <c r="M387" s="26"/>
      <c r="N387" s="26"/>
      <c r="O387" s="1"/>
      <c r="P387" s="1"/>
      <c r="Q387" s="1"/>
      <c r="R387" s="1"/>
      <c r="S387" s="1"/>
      <c r="T387" s="1"/>
      <c r="U387" s="1"/>
      <c r="V387" s="38"/>
      <c r="W387" s="1"/>
      <c r="X387" s="1"/>
    </row>
    <row r="388" spans="1:24" ht="14.4">
      <c r="A388" s="1"/>
      <c r="B388" s="93"/>
      <c r="C388" s="1"/>
      <c r="D388" s="1"/>
      <c r="E388" s="1"/>
      <c r="F388" s="93"/>
      <c r="G388" s="93"/>
      <c r="H388" s="93"/>
      <c r="I388" s="93"/>
      <c r="J388" s="93"/>
      <c r="K388" s="93"/>
      <c r="L388" s="93"/>
      <c r="M388" s="26"/>
      <c r="N388" s="26"/>
      <c r="O388" s="1"/>
      <c r="P388" s="1"/>
      <c r="Q388" s="1"/>
      <c r="R388" s="1"/>
      <c r="S388" s="1"/>
      <c r="T388" s="1"/>
      <c r="U388" s="1"/>
      <c r="V388" s="38"/>
      <c r="W388" s="1"/>
      <c r="X388" s="1"/>
    </row>
    <row r="389" spans="1:24" ht="14.4">
      <c r="A389" s="1"/>
      <c r="B389" s="94"/>
      <c r="C389" s="1"/>
      <c r="D389" s="1"/>
      <c r="E389" s="1"/>
      <c r="F389" s="94"/>
      <c r="G389" s="94"/>
      <c r="H389" s="94"/>
      <c r="I389" s="94"/>
      <c r="J389" s="94"/>
      <c r="K389" s="94"/>
      <c r="L389" s="94"/>
      <c r="M389" s="26"/>
      <c r="N389" s="26"/>
      <c r="O389" s="1"/>
      <c r="P389" s="1"/>
      <c r="Q389" s="1"/>
      <c r="R389" s="1"/>
      <c r="S389" s="1"/>
      <c r="T389" s="1"/>
      <c r="U389" s="1"/>
      <c r="V389" s="38"/>
      <c r="W389" s="1"/>
      <c r="X389" s="1"/>
    </row>
    <row r="390" spans="1:24" ht="14.4">
      <c r="A390" s="1"/>
      <c r="B390" s="94"/>
      <c r="C390" s="1"/>
      <c r="D390" s="1"/>
      <c r="E390" s="1"/>
      <c r="F390" s="94"/>
      <c r="G390" s="94"/>
      <c r="H390" s="94"/>
      <c r="I390" s="94"/>
      <c r="J390" s="94"/>
      <c r="K390" s="94"/>
      <c r="L390" s="94"/>
      <c r="M390" s="26"/>
      <c r="N390" s="26"/>
      <c r="O390" s="1"/>
      <c r="P390" s="1"/>
      <c r="Q390" s="1"/>
      <c r="R390" s="1"/>
      <c r="S390" s="1"/>
      <c r="T390" s="1"/>
      <c r="U390" s="1"/>
      <c r="V390" s="38"/>
      <c r="W390" s="1"/>
      <c r="X390" s="1"/>
    </row>
    <row r="391" spans="1:24" ht="14.4">
      <c r="A391" s="1"/>
      <c r="B391" s="94"/>
      <c r="C391" s="1"/>
      <c r="D391" s="1"/>
      <c r="E391" s="1"/>
      <c r="F391" s="94"/>
      <c r="G391" s="94"/>
      <c r="H391" s="94"/>
      <c r="I391" s="94"/>
      <c r="J391" s="94"/>
      <c r="K391" s="94"/>
      <c r="L391" s="94"/>
      <c r="M391" s="26"/>
      <c r="N391" s="26"/>
      <c r="O391" s="1"/>
      <c r="P391" s="1"/>
      <c r="Q391" s="1"/>
      <c r="R391" s="1"/>
      <c r="S391" s="1"/>
      <c r="T391" s="1"/>
      <c r="U391" s="1"/>
      <c r="V391" s="38"/>
      <c r="W391" s="1"/>
      <c r="X391" s="1"/>
    </row>
    <row r="392" spans="1:24" ht="14.4">
      <c r="A392" s="1"/>
      <c r="B392" s="94"/>
      <c r="C392" s="1"/>
      <c r="D392" s="1"/>
      <c r="E392" s="1"/>
      <c r="F392" s="94"/>
      <c r="G392" s="94"/>
      <c r="H392" s="94"/>
      <c r="I392" s="94"/>
      <c r="J392" s="94"/>
      <c r="K392" s="94"/>
      <c r="L392" s="94"/>
      <c r="M392" s="26"/>
      <c r="N392" s="26"/>
      <c r="O392" s="1"/>
      <c r="P392" s="1"/>
      <c r="Q392" s="1"/>
      <c r="R392" s="1"/>
      <c r="S392" s="1"/>
      <c r="T392" s="1"/>
      <c r="U392" s="1"/>
      <c r="V392" s="38"/>
      <c r="W392" s="1"/>
      <c r="X392" s="1"/>
    </row>
    <row r="393" spans="1:24" ht="14.4">
      <c r="A393" s="1"/>
      <c r="B393" s="93"/>
      <c r="C393" s="1"/>
      <c r="D393" s="1"/>
      <c r="E393" s="1"/>
      <c r="F393" s="93"/>
      <c r="G393" s="93"/>
      <c r="H393" s="93"/>
      <c r="I393" s="93"/>
      <c r="J393" s="93"/>
      <c r="K393" s="93"/>
      <c r="L393" s="93"/>
      <c r="M393" s="26"/>
      <c r="N393" s="26"/>
      <c r="O393" s="1"/>
      <c r="P393" s="1"/>
      <c r="Q393" s="1"/>
      <c r="R393" s="1"/>
      <c r="S393" s="1"/>
      <c r="T393" s="1"/>
      <c r="U393" s="1"/>
      <c r="V393" s="38"/>
      <c r="W393" s="1"/>
      <c r="X393" s="1"/>
    </row>
    <row r="394" spans="1:24" ht="14.4">
      <c r="A394" s="1"/>
      <c r="B394" s="94"/>
      <c r="C394" s="1"/>
      <c r="D394" s="1"/>
      <c r="E394" s="1"/>
      <c r="F394" s="94"/>
      <c r="G394" s="94"/>
      <c r="H394" s="94"/>
      <c r="I394" s="94"/>
      <c r="J394" s="94"/>
      <c r="K394" s="94"/>
      <c r="L394" s="94"/>
      <c r="M394" s="26"/>
      <c r="N394" s="26"/>
      <c r="O394" s="1"/>
      <c r="P394" s="1"/>
      <c r="Q394" s="1"/>
      <c r="R394" s="1"/>
      <c r="S394" s="1"/>
      <c r="T394" s="1"/>
      <c r="U394" s="1"/>
      <c r="V394" s="38"/>
      <c r="W394" s="1"/>
      <c r="X394" s="1"/>
    </row>
    <row r="395" spans="1:24" ht="14.4">
      <c r="A395" s="1"/>
      <c r="B395" s="94"/>
      <c r="C395" s="1"/>
      <c r="D395" s="1"/>
      <c r="E395" s="1"/>
      <c r="F395" s="94"/>
      <c r="G395" s="94"/>
      <c r="H395" s="94"/>
      <c r="I395" s="94"/>
      <c r="J395" s="94"/>
      <c r="K395" s="94"/>
      <c r="L395" s="94"/>
      <c r="M395" s="26"/>
      <c r="N395" s="26"/>
      <c r="O395" s="1"/>
      <c r="P395" s="1"/>
      <c r="Q395" s="1"/>
      <c r="R395" s="1"/>
      <c r="S395" s="1"/>
      <c r="T395" s="1"/>
      <c r="U395" s="1"/>
      <c r="V395" s="38"/>
      <c r="W395" s="1"/>
      <c r="X395" s="1"/>
    </row>
    <row r="396" spans="1:24" ht="14.4">
      <c r="A396" s="1"/>
      <c r="B396" s="94"/>
      <c r="C396" s="1"/>
      <c r="D396" s="1"/>
      <c r="E396" s="1"/>
      <c r="F396" s="94"/>
      <c r="G396" s="94"/>
      <c r="H396" s="94"/>
      <c r="I396" s="94"/>
      <c r="J396" s="94"/>
      <c r="K396" s="94"/>
      <c r="L396" s="94"/>
      <c r="M396" s="26"/>
      <c r="N396" s="26"/>
      <c r="O396" s="1"/>
      <c r="P396" s="1"/>
      <c r="Q396" s="1"/>
      <c r="R396" s="1"/>
      <c r="S396" s="1"/>
      <c r="T396" s="1"/>
      <c r="U396" s="1"/>
      <c r="V396" s="38"/>
      <c r="W396" s="1"/>
      <c r="X396" s="1"/>
    </row>
    <row r="397" spans="1:24" ht="14.4">
      <c r="A397" s="1"/>
      <c r="B397" s="94"/>
      <c r="C397" s="1"/>
      <c r="D397" s="1"/>
      <c r="E397" s="1"/>
      <c r="F397" s="94"/>
      <c r="G397" s="94"/>
      <c r="H397" s="94"/>
      <c r="I397" s="94"/>
      <c r="J397" s="94"/>
      <c r="K397" s="94"/>
      <c r="L397" s="94"/>
      <c r="M397" s="26"/>
      <c r="N397" s="26"/>
      <c r="O397" s="1"/>
      <c r="P397" s="1"/>
      <c r="Q397" s="1"/>
      <c r="R397" s="1"/>
      <c r="S397" s="1"/>
      <c r="T397" s="1"/>
      <c r="U397" s="1"/>
      <c r="V397" s="38"/>
      <c r="W397" s="1"/>
      <c r="X397" s="1"/>
    </row>
    <row r="398" spans="1:24" ht="14.4">
      <c r="A398" s="1"/>
      <c r="B398" s="93"/>
      <c r="C398" s="1"/>
      <c r="D398" s="1"/>
      <c r="E398" s="1"/>
      <c r="F398" s="93"/>
      <c r="G398" s="93"/>
      <c r="H398" s="93"/>
      <c r="I398" s="93"/>
      <c r="J398" s="93"/>
      <c r="K398" s="93"/>
      <c r="L398" s="93"/>
      <c r="M398" s="26"/>
      <c r="N398" s="26"/>
      <c r="O398" s="1"/>
      <c r="P398" s="1"/>
      <c r="Q398" s="1"/>
      <c r="R398" s="1"/>
      <c r="S398" s="1"/>
      <c r="T398" s="1"/>
      <c r="U398" s="1"/>
      <c r="V398" s="38"/>
      <c r="W398" s="1"/>
      <c r="X398" s="1"/>
    </row>
    <row r="399" spans="1:24" ht="14.4">
      <c r="A399" s="1"/>
      <c r="B399" s="94"/>
      <c r="C399" s="1"/>
      <c r="D399" s="1"/>
      <c r="E399" s="1"/>
      <c r="F399" s="94"/>
      <c r="G399" s="94"/>
      <c r="H399" s="94"/>
      <c r="I399" s="94"/>
      <c r="J399" s="94"/>
      <c r="K399" s="94"/>
      <c r="L399" s="94"/>
      <c r="M399" s="26"/>
      <c r="N399" s="26"/>
      <c r="O399" s="1"/>
      <c r="P399" s="1"/>
      <c r="Q399" s="1"/>
      <c r="R399" s="1"/>
      <c r="S399" s="1"/>
      <c r="T399" s="1"/>
      <c r="U399" s="1"/>
      <c r="V399" s="38"/>
      <c r="W399" s="1"/>
      <c r="X399" s="1"/>
    </row>
    <row r="400" spans="1:24" ht="14.4">
      <c r="A400" s="1"/>
      <c r="B400" s="94"/>
      <c r="C400" s="1"/>
      <c r="D400" s="1"/>
      <c r="E400" s="1"/>
      <c r="F400" s="94"/>
      <c r="G400" s="94"/>
      <c r="H400" s="94"/>
      <c r="I400" s="94"/>
      <c r="J400" s="94"/>
      <c r="K400" s="94"/>
      <c r="L400" s="94"/>
      <c r="M400" s="26"/>
      <c r="N400" s="26"/>
      <c r="O400" s="1"/>
      <c r="P400" s="1"/>
      <c r="Q400" s="1"/>
      <c r="R400" s="1"/>
      <c r="S400" s="1"/>
      <c r="T400" s="1"/>
      <c r="U400" s="1"/>
      <c r="V400" s="38"/>
      <c r="W400" s="1"/>
      <c r="X400" s="1"/>
    </row>
    <row r="401" spans="1:24" ht="14.4">
      <c r="A401" s="1"/>
      <c r="B401" s="94"/>
      <c r="C401" s="1"/>
      <c r="D401" s="1"/>
      <c r="E401" s="1"/>
      <c r="F401" s="94"/>
      <c r="G401" s="94"/>
      <c r="H401" s="94"/>
      <c r="I401" s="94"/>
      <c r="J401" s="94"/>
      <c r="K401" s="94"/>
      <c r="L401" s="94"/>
      <c r="M401" s="26"/>
      <c r="N401" s="26"/>
      <c r="O401" s="1"/>
      <c r="P401" s="1"/>
      <c r="Q401" s="1"/>
      <c r="R401" s="1"/>
      <c r="S401" s="1"/>
      <c r="T401" s="1"/>
      <c r="U401" s="1"/>
      <c r="V401" s="38"/>
      <c r="W401" s="1"/>
      <c r="X401" s="1"/>
    </row>
    <row r="402" spans="1:24" ht="14.4">
      <c r="A402" s="1"/>
      <c r="B402" s="94"/>
      <c r="C402" s="1"/>
      <c r="D402" s="1"/>
      <c r="E402" s="1"/>
      <c r="F402" s="94"/>
      <c r="G402" s="94"/>
      <c r="H402" s="94"/>
      <c r="I402" s="94"/>
      <c r="J402" s="94"/>
      <c r="K402" s="94"/>
      <c r="L402" s="94"/>
      <c r="M402" s="26"/>
      <c r="N402" s="26"/>
      <c r="O402" s="1"/>
      <c r="P402" s="1"/>
      <c r="Q402" s="1"/>
      <c r="R402" s="1"/>
      <c r="S402" s="1"/>
      <c r="T402" s="1"/>
      <c r="U402" s="1"/>
      <c r="V402" s="38"/>
      <c r="W402" s="1"/>
      <c r="X402" s="1"/>
    </row>
    <row r="403" spans="1:24" ht="14.4">
      <c r="A403" s="1"/>
      <c r="B403" s="93"/>
      <c r="C403" s="1"/>
      <c r="D403" s="1"/>
      <c r="E403" s="1"/>
      <c r="F403" s="93"/>
      <c r="G403" s="93"/>
      <c r="H403" s="93"/>
      <c r="I403" s="93"/>
      <c r="J403" s="93"/>
      <c r="K403" s="93"/>
      <c r="L403" s="93"/>
      <c r="M403" s="26"/>
      <c r="N403" s="26"/>
      <c r="O403" s="1"/>
      <c r="P403" s="1"/>
      <c r="Q403" s="1"/>
      <c r="R403" s="1"/>
      <c r="S403" s="1"/>
      <c r="T403" s="1"/>
      <c r="U403" s="1"/>
      <c r="V403" s="38"/>
      <c r="W403" s="1"/>
      <c r="X403" s="1"/>
    </row>
    <row r="404" spans="1:24" ht="14.4">
      <c r="A404" s="1"/>
      <c r="B404" s="94"/>
      <c r="C404" s="1"/>
      <c r="D404" s="1"/>
      <c r="E404" s="1"/>
      <c r="F404" s="94"/>
      <c r="G404" s="94"/>
      <c r="H404" s="94"/>
      <c r="I404" s="94"/>
      <c r="J404" s="94"/>
      <c r="K404" s="94"/>
      <c r="L404" s="94"/>
      <c r="M404" s="26"/>
      <c r="N404" s="26"/>
      <c r="O404" s="1"/>
      <c r="P404" s="1"/>
      <c r="Q404" s="1"/>
      <c r="R404" s="1"/>
      <c r="S404" s="1"/>
      <c r="T404" s="1"/>
      <c r="U404" s="1"/>
      <c r="V404" s="38"/>
      <c r="W404" s="1"/>
      <c r="X404" s="1"/>
    </row>
    <row r="405" spans="1:24" ht="14.4">
      <c r="A405" s="1"/>
      <c r="B405" s="94"/>
      <c r="C405" s="1"/>
      <c r="D405" s="1"/>
      <c r="E405" s="1"/>
      <c r="F405" s="94"/>
      <c r="G405" s="94"/>
      <c r="H405" s="94"/>
      <c r="I405" s="94"/>
      <c r="J405" s="94"/>
      <c r="K405" s="94"/>
      <c r="L405" s="94"/>
      <c r="M405" s="26"/>
      <c r="N405" s="26"/>
      <c r="O405" s="1"/>
      <c r="P405" s="1"/>
      <c r="Q405" s="1"/>
      <c r="R405" s="1"/>
      <c r="S405" s="1"/>
      <c r="T405" s="1"/>
      <c r="U405" s="1"/>
      <c r="V405" s="38"/>
      <c r="W405" s="1"/>
      <c r="X405" s="1"/>
    </row>
    <row r="406" spans="1:24" ht="14.4">
      <c r="A406" s="1"/>
      <c r="B406" s="94"/>
      <c r="C406" s="1"/>
      <c r="D406" s="1"/>
      <c r="E406" s="1"/>
      <c r="F406" s="94"/>
      <c r="G406" s="94"/>
      <c r="H406" s="94"/>
      <c r="I406" s="94"/>
      <c r="J406" s="94"/>
      <c r="K406" s="94"/>
      <c r="L406" s="94"/>
      <c r="M406" s="26"/>
      <c r="N406" s="26"/>
      <c r="O406" s="1"/>
      <c r="P406" s="1"/>
      <c r="Q406" s="1"/>
      <c r="R406" s="1"/>
      <c r="S406" s="1"/>
      <c r="T406" s="1"/>
      <c r="U406" s="1"/>
      <c r="V406" s="38"/>
      <c r="W406" s="1"/>
      <c r="X406" s="1"/>
    </row>
    <row r="407" spans="1:24" ht="14.4">
      <c r="A407" s="1"/>
      <c r="B407" s="94"/>
      <c r="C407" s="1"/>
      <c r="D407" s="1"/>
      <c r="E407" s="1"/>
      <c r="F407" s="94"/>
      <c r="G407" s="94"/>
      <c r="H407" s="94"/>
      <c r="I407" s="94"/>
      <c r="J407" s="94"/>
      <c r="K407" s="94"/>
      <c r="L407" s="94"/>
      <c r="M407" s="26"/>
      <c r="N407" s="26"/>
      <c r="O407" s="1"/>
      <c r="P407" s="1"/>
      <c r="Q407" s="1"/>
      <c r="R407" s="1"/>
      <c r="S407" s="1"/>
      <c r="T407" s="1"/>
      <c r="U407" s="1"/>
      <c r="V407" s="38"/>
      <c r="W407" s="1"/>
      <c r="X407" s="1"/>
    </row>
    <row r="408" spans="1:24" ht="14.4">
      <c r="A408" s="1"/>
      <c r="B408" s="93"/>
      <c r="C408" s="1"/>
      <c r="D408" s="1"/>
      <c r="E408" s="1"/>
      <c r="F408" s="93"/>
      <c r="G408" s="93"/>
      <c r="H408" s="93"/>
      <c r="I408" s="93"/>
      <c r="J408" s="93"/>
      <c r="K408" s="93"/>
      <c r="L408" s="93"/>
      <c r="M408" s="26"/>
      <c r="N408" s="26"/>
      <c r="O408" s="1"/>
      <c r="P408" s="1"/>
      <c r="Q408" s="1"/>
      <c r="R408" s="1"/>
      <c r="S408" s="1"/>
      <c r="T408" s="1"/>
      <c r="U408" s="1"/>
      <c r="V408" s="38"/>
      <c r="W408" s="1"/>
      <c r="X408" s="1"/>
    </row>
    <row r="409" spans="1:24" ht="14.4">
      <c r="A409" s="1"/>
      <c r="B409" s="94"/>
      <c r="C409" s="1"/>
      <c r="D409" s="1"/>
      <c r="E409" s="1"/>
      <c r="F409" s="94"/>
      <c r="G409" s="94"/>
      <c r="H409" s="94"/>
      <c r="I409" s="94"/>
      <c r="J409" s="94"/>
      <c r="K409" s="94"/>
      <c r="L409" s="94"/>
      <c r="M409" s="26"/>
      <c r="N409" s="26"/>
      <c r="O409" s="1"/>
      <c r="P409" s="1"/>
      <c r="Q409" s="1"/>
      <c r="R409" s="1"/>
      <c r="S409" s="1"/>
      <c r="T409" s="1"/>
      <c r="U409" s="1"/>
      <c r="V409" s="38"/>
      <c r="W409" s="1"/>
      <c r="X409" s="1"/>
    </row>
    <row r="410" spans="1:24" ht="14.4">
      <c r="A410" s="1"/>
      <c r="B410" s="94"/>
      <c r="C410" s="1"/>
      <c r="D410" s="1"/>
      <c r="E410" s="1"/>
      <c r="F410" s="94"/>
      <c r="G410" s="94"/>
      <c r="H410" s="94"/>
      <c r="I410" s="94"/>
      <c r="J410" s="94"/>
      <c r="K410" s="94"/>
      <c r="L410" s="94"/>
      <c r="M410" s="26"/>
      <c r="N410" s="26"/>
      <c r="O410" s="1"/>
      <c r="P410" s="1"/>
      <c r="Q410" s="1"/>
      <c r="R410" s="1"/>
      <c r="S410" s="1"/>
      <c r="T410" s="1"/>
      <c r="U410" s="1"/>
      <c r="V410" s="38"/>
      <c r="W410" s="1"/>
      <c r="X410" s="1"/>
    </row>
    <row r="411" spans="1:24" ht="14.4">
      <c r="A411" s="1"/>
      <c r="B411" s="94"/>
      <c r="C411" s="1"/>
      <c r="D411" s="1"/>
      <c r="E411" s="1"/>
      <c r="F411" s="94"/>
      <c r="G411" s="94"/>
      <c r="H411" s="94"/>
      <c r="I411" s="94"/>
      <c r="J411" s="94"/>
      <c r="K411" s="94"/>
      <c r="L411" s="94"/>
      <c r="M411" s="26"/>
      <c r="N411" s="26"/>
      <c r="O411" s="1"/>
      <c r="P411" s="1"/>
      <c r="Q411" s="1"/>
      <c r="R411" s="1"/>
      <c r="S411" s="1"/>
      <c r="T411" s="1"/>
      <c r="U411" s="1"/>
      <c r="V411" s="38"/>
      <c r="W411" s="1"/>
      <c r="X411" s="1"/>
    </row>
    <row r="412" spans="1:24" ht="14.4">
      <c r="A412" s="1"/>
      <c r="B412" s="94"/>
      <c r="C412" s="1"/>
      <c r="D412" s="1"/>
      <c r="E412" s="1"/>
      <c r="F412" s="94"/>
      <c r="G412" s="94"/>
      <c r="H412" s="94"/>
      <c r="I412" s="94"/>
      <c r="J412" s="94"/>
      <c r="K412" s="94"/>
      <c r="L412" s="94"/>
      <c r="M412" s="26"/>
      <c r="N412" s="26"/>
      <c r="O412" s="1"/>
      <c r="P412" s="1"/>
      <c r="Q412" s="1"/>
      <c r="R412" s="1"/>
      <c r="S412" s="1"/>
      <c r="T412" s="1"/>
      <c r="U412" s="1"/>
      <c r="V412" s="38"/>
      <c r="W412" s="1"/>
      <c r="X412" s="1"/>
    </row>
    <row r="413" spans="1:24" ht="14.4">
      <c r="A413" s="1"/>
      <c r="B413" s="93"/>
      <c r="C413" s="1"/>
      <c r="D413" s="1"/>
      <c r="E413" s="1"/>
      <c r="F413" s="93"/>
      <c r="G413" s="93"/>
      <c r="H413" s="93"/>
      <c r="I413" s="93"/>
      <c r="J413" s="93"/>
      <c r="K413" s="93"/>
      <c r="L413" s="93"/>
      <c r="M413" s="26"/>
      <c r="N413" s="26"/>
      <c r="O413" s="1"/>
      <c r="P413" s="1"/>
      <c r="Q413" s="1"/>
      <c r="R413" s="1"/>
      <c r="S413" s="1"/>
      <c r="T413" s="1"/>
      <c r="U413" s="1"/>
      <c r="V413" s="38"/>
      <c r="W413" s="1"/>
      <c r="X413" s="1"/>
    </row>
    <row r="414" spans="1:24" ht="14.4">
      <c r="A414" s="1"/>
      <c r="B414" s="94"/>
      <c r="C414" s="1"/>
      <c r="D414" s="1"/>
      <c r="E414" s="1"/>
      <c r="F414" s="94"/>
      <c r="G414" s="94"/>
      <c r="H414" s="94"/>
      <c r="I414" s="94"/>
      <c r="J414" s="94"/>
      <c r="K414" s="94"/>
      <c r="L414" s="94"/>
      <c r="M414" s="26"/>
      <c r="N414" s="26"/>
      <c r="O414" s="1"/>
      <c r="P414" s="1"/>
      <c r="Q414" s="1"/>
      <c r="R414" s="1"/>
      <c r="S414" s="1"/>
      <c r="T414" s="1"/>
      <c r="U414" s="1"/>
      <c r="V414" s="38"/>
      <c r="W414" s="1"/>
      <c r="X414" s="1"/>
    </row>
    <row r="415" spans="1:24" ht="14.4">
      <c r="A415" s="1"/>
      <c r="B415" s="94"/>
      <c r="C415" s="1"/>
      <c r="D415" s="1"/>
      <c r="E415" s="1"/>
      <c r="F415" s="94"/>
      <c r="G415" s="94"/>
      <c r="H415" s="94"/>
      <c r="I415" s="94"/>
      <c r="J415" s="94"/>
      <c r="K415" s="94"/>
      <c r="L415" s="94"/>
      <c r="M415" s="26"/>
      <c r="N415" s="26"/>
      <c r="O415" s="1"/>
      <c r="P415" s="1"/>
      <c r="Q415" s="1"/>
      <c r="R415" s="1"/>
      <c r="S415" s="1"/>
      <c r="T415" s="1"/>
      <c r="U415" s="1"/>
      <c r="V415" s="38"/>
      <c r="W415" s="1"/>
      <c r="X415" s="1"/>
    </row>
    <row r="416" spans="1:24" ht="14.4">
      <c r="A416" s="1"/>
      <c r="B416" s="94"/>
      <c r="C416" s="1"/>
      <c r="D416" s="1"/>
      <c r="E416" s="1"/>
      <c r="F416" s="94"/>
      <c r="G416" s="94"/>
      <c r="H416" s="94"/>
      <c r="I416" s="94"/>
      <c r="J416" s="94"/>
      <c r="K416" s="94"/>
      <c r="L416" s="94"/>
      <c r="M416" s="26"/>
      <c r="N416" s="26"/>
      <c r="O416" s="1"/>
      <c r="P416" s="1"/>
      <c r="Q416" s="1"/>
      <c r="R416" s="1"/>
      <c r="S416" s="1"/>
      <c r="T416" s="1"/>
      <c r="U416" s="1"/>
      <c r="V416" s="38"/>
      <c r="W416" s="1"/>
      <c r="X416" s="1"/>
    </row>
    <row r="417" spans="1:24" ht="14.4">
      <c r="A417" s="1"/>
      <c r="B417" s="94"/>
      <c r="C417" s="1"/>
      <c r="D417" s="1"/>
      <c r="E417" s="1"/>
      <c r="F417" s="94"/>
      <c r="G417" s="94"/>
      <c r="H417" s="94"/>
      <c r="I417" s="94"/>
      <c r="J417" s="94"/>
      <c r="K417" s="94"/>
      <c r="L417" s="94"/>
      <c r="M417" s="26"/>
      <c r="N417" s="26"/>
      <c r="O417" s="1"/>
      <c r="P417" s="1"/>
      <c r="Q417" s="1"/>
      <c r="R417" s="1"/>
      <c r="S417" s="1"/>
      <c r="T417" s="1"/>
      <c r="U417" s="1"/>
      <c r="V417" s="38"/>
      <c r="W417" s="1"/>
      <c r="X417" s="1"/>
    </row>
    <row r="418" spans="1:24" ht="14.4">
      <c r="A418" s="1"/>
      <c r="B418" s="93"/>
      <c r="C418" s="1"/>
      <c r="D418" s="1"/>
      <c r="E418" s="1"/>
      <c r="F418" s="93"/>
      <c r="G418" s="93"/>
      <c r="H418" s="93"/>
      <c r="I418" s="93"/>
      <c r="J418" s="93"/>
      <c r="K418" s="93"/>
      <c r="L418" s="93"/>
      <c r="M418" s="26"/>
      <c r="N418" s="26"/>
      <c r="O418" s="1"/>
      <c r="P418" s="1"/>
      <c r="Q418" s="1"/>
      <c r="R418" s="1"/>
      <c r="S418" s="1"/>
      <c r="T418" s="1"/>
      <c r="U418" s="1"/>
      <c r="V418" s="38"/>
      <c r="W418" s="1"/>
      <c r="X418" s="1"/>
    </row>
    <row r="419" spans="1:24" ht="14.4">
      <c r="A419" s="1"/>
      <c r="B419" s="94"/>
      <c r="C419" s="1"/>
      <c r="D419" s="1"/>
      <c r="E419" s="1"/>
      <c r="F419" s="94"/>
      <c r="G419" s="94"/>
      <c r="H419" s="94"/>
      <c r="I419" s="94"/>
      <c r="J419" s="94"/>
      <c r="K419" s="94"/>
      <c r="L419" s="94"/>
      <c r="M419" s="26"/>
      <c r="N419" s="26"/>
      <c r="O419" s="1"/>
      <c r="P419" s="1"/>
      <c r="Q419" s="1"/>
      <c r="R419" s="1"/>
      <c r="S419" s="1"/>
      <c r="T419" s="1"/>
      <c r="U419" s="1"/>
      <c r="V419" s="38"/>
      <c r="W419" s="1"/>
      <c r="X419" s="1"/>
    </row>
    <row r="420" spans="1:24" ht="14.4">
      <c r="A420" s="1"/>
      <c r="B420" s="94"/>
      <c r="C420" s="1"/>
      <c r="D420" s="1"/>
      <c r="E420" s="1"/>
      <c r="F420" s="94"/>
      <c r="G420" s="94"/>
      <c r="H420" s="94"/>
      <c r="I420" s="94"/>
      <c r="J420" s="94"/>
      <c r="K420" s="94"/>
      <c r="L420" s="94"/>
      <c r="M420" s="26"/>
      <c r="N420" s="26"/>
      <c r="O420" s="1"/>
      <c r="P420" s="1"/>
      <c r="Q420" s="1"/>
      <c r="R420" s="1"/>
      <c r="S420" s="1"/>
      <c r="T420" s="1"/>
      <c r="U420" s="1"/>
      <c r="V420" s="38"/>
      <c r="W420" s="1"/>
      <c r="X420" s="1"/>
    </row>
    <row r="421" spans="1:24" ht="14.4">
      <c r="A421" s="1"/>
      <c r="B421" s="94"/>
      <c r="C421" s="1"/>
      <c r="D421" s="1"/>
      <c r="E421" s="1"/>
      <c r="F421" s="94"/>
      <c r="G421" s="94"/>
      <c r="H421" s="94"/>
      <c r="I421" s="94"/>
      <c r="J421" s="94"/>
      <c r="K421" s="94"/>
      <c r="L421" s="94"/>
      <c r="M421" s="26"/>
      <c r="N421" s="26"/>
      <c r="O421" s="1"/>
      <c r="P421" s="1"/>
      <c r="Q421" s="1"/>
      <c r="R421" s="1"/>
      <c r="S421" s="1"/>
      <c r="T421" s="1"/>
      <c r="U421" s="1"/>
      <c r="V421" s="38"/>
      <c r="W421" s="1"/>
      <c r="X421" s="1"/>
    </row>
    <row r="422" spans="1:24" ht="14.4">
      <c r="A422" s="1"/>
      <c r="B422" s="94"/>
      <c r="C422" s="1"/>
      <c r="D422" s="1"/>
      <c r="E422" s="1"/>
      <c r="F422" s="94"/>
      <c r="G422" s="94"/>
      <c r="H422" s="94"/>
      <c r="I422" s="94"/>
      <c r="J422" s="94"/>
      <c r="K422" s="94"/>
      <c r="L422" s="94"/>
      <c r="M422" s="26"/>
      <c r="N422" s="26"/>
      <c r="O422" s="1"/>
      <c r="P422" s="1"/>
      <c r="Q422" s="1"/>
      <c r="R422" s="1"/>
      <c r="S422" s="1"/>
      <c r="T422" s="1"/>
      <c r="U422" s="1"/>
      <c r="V422" s="38"/>
      <c r="W422" s="1"/>
      <c r="X422" s="1"/>
    </row>
    <row r="423" spans="1:24" ht="14.4">
      <c r="A423" s="1"/>
      <c r="B423" s="93"/>
      <c r="C423" s="1"/>
      <c r="D423" s="1"/>
      <c r="E423" s="1"/>
      <c r="F423" s="93"/>
      <c r="G423" s="93"/>
      <c r="H423" s="93"/>
      <c r="I423" s="93"/>
      <c r="J423" s="93"/>
      <c r="K423" s="93"/>
      <c r="L423" s="93"/>
      <c r="M423" s="26"/>
      <c r="N423" s="26"/>
      <c r="O423" s="1"/>
      <c r="P423" s="1"/>
      <c r="Q423" s="1"/>
      <c r="R423" s="1"/>
      <c r="S423" s="1"/>
      <c r="T423" s="1"/>
      <c r="U423" s="1"/>
      <c r="V423" s="38"/>
      <c r="W423" s="1"/>
      <c r="X423" s="1"/>
    </row>
    <row r="424" spans="1:24" ht="14.4">
      <c r="A424" s="1"/>
      <c r="B424" s="94"/>
      <c r="C424" s="1"/>
      <c r="D424" s="1"/>
      <c r="E424" s="1"/>
      <c r="F424" s="94"/>
      <c r="G424" s="94"/>
      <c r="H424" s="94"/>
      <c r="I424" s="94"/>
      <c r="J424" s="94"/>
      <c r="K424" s="94"/>
      <c r="L424" s="94"/>
      <c r="M424" s="26"/>
      <c r="N424" s="26"/>
      <c r="O424" s="1"/>
      <c r="P424" s="1"/>
      <c r="Q424" s="1"/>
      <c r="R424" s="1"/>
      <c r="S424" s="1"/>
      <c r="T424" s="1"/>
      <c r="U424" s="1"/>
      <c r="V424" s="38"/>
      <c r="W424" s="1"/>
      <c r="X424" s="1"/>
    </row>
    <row r="425" spans="1:24" ht="14.4">
      <c r="A425" s="1"/>
      <c r="B425" s="94"/>
      <c r="C425" s="1"/>
      <c r="D425" s="1"/>
      <c r="E425" s="1"/>
      <c r="F425" s="94"/>
      <c r="G425" s="94"/>
      <c r="H425" s="94"/>
      <c r="I425" s="94"/>
      <c r="J425" s="94"/>
      <c r="K425" s="94"/>
      <c r="L425" s="94"/>
      <c r="M425" s="26"/>
      <c r="N425" s="26"/>
      <c r="O425" s="1"/>
      <c r="P425" s="1"/>
      <c r="Q425" s="1"/>
      <c r="R425" s="1"/>
      <c r="S425" s="1"/>
      <c r="T425" s="1"/>
      <c r="U425" s="1"/>
      <c r="V425" s="38"/>
      <c r="W425" s="1"/>
      <c r="X425" s="1"/>
    </row>
    <row r="426" spans="1:24" ht="14.4">
      <c r="A426" s="1"/>
      <c r="B426" s="94"/>
      <c r="C426" s="1"/>
      <c r="D426" s="1"/>
      <c r="E426" s="1"/>
      <c r="F426" s="94"/>
      <c r="G426" s="94"/>
      <c r="H426" s="94"/>
      <c r="I426" s="94"/>
      <c r="J426" s="94"/>
      <c r="K426" s="94"/>
      <c r="L426" s="94"/>
      <c r="M426" s="26"/>
      <c r="N426" s="26"/>
      <c r="O426" s="1"/>
      <c r="P426" s="1"/>
      <c r="Q426" s="1"/>
      <c r="R426" s="1"/>
      <c r="S426" s="1"/>
      <c r="T426" s="1"/>
      <c r="U426" s="1"/>
      <c r="V426" s="38"/>
      <c r="W426" s="1"/>
      <c r="X426" s="1"/>
    </row>
    <row r="427" spans="1:24" ht="14.4">
      <c r="A427" s="1"/>
      <c r="B427" s="94"/>
      <c r="C427" s="1"/>
      <c r="D427" s="1"/>
      <c r="E427" s="1"/>
      <c r="F427" s="94"/>
      <c r="G427" s="94"/>
      <c r="H427" s="94"/>
      <c r="I427" s="94"/>
      <c r="J427" s="94"/>
      <c r="K427" s="94"/>
      <c r="L427" s="94"/>
      <c r="M427" s="26"/>
      <c r="N427" s="26"/>
      <c r="O427" s="1"/>
      <c r="P427" s="1"/>
      <c r="Q427" s="1"/>
      <c r="R427" s="1"/>
      <c r="S427" s="1"/>
      <c r="T427" s="1"/>
      <c r="U427" s="1"/>
      <c r="V427" s="38"/>
      <c r="W427" s="1"/>
      <c r="X427" s="1"/>
    </row>
    <row r="428" spans="1:24" ht="14.4">
      <c r="A428" s="1"/>
      <c r="B428" s="93"/>
      <c r="C428" s="1"/>
      <c r="D428" s="1"/>
      <c r="E428" s="1"/>
      <c r="F428" s="93"/>
      <c r="G428" s="93"/>
      <c r="H428" s="93"/>
      <c r="I428" s="93"/>
      <c r="J428" s="93"/>
      <c r="K428" s="93"/>
      <c r="L428" s="93"/>
      <c r="M428" s="26"/>
      <c r="N428" s="26"/>
      <c r="O428" s="1"/>
      <c r="P428" s="1"/>
      <c r="Q428" s="1"/>
      <c r="R428" s="1"/>
      <c r="S428" s="1"/>
      <c r="T428" s="1"/>
      <c r="U428" s="1"/>
      <c r="V428" s="38"/>
      <c r="W428" s="1"/>
      <c r="X428" s="1"/>
    </row>
    <row r="429" spans="1:24" ht="14.4">
      <c r="A429" s="1"/>
      <c r="B429" s="94"/>
      <c r="C429" s="1"/>
      <c r="D429" s="1"/>
      <c r="E429" s="1"/>
      <c r="F429" s="94"/>
      <c r="G429" s="94"/>
      <c r="H429" s="94"/>
      <c r="I429" s="94"/>
      <c r="J429" s="94"/>
      <c r="K429" s="94"/>
      <c r="L429" s="94"/>
      <c r="M429" s="26"/>
      <c r="N429" s="26"/>
      <c r="O429" s="1"/>
      <c r="P429" s="1"/>
      <c r="Q429" s="1"/>
      <c r="R429" s="1"/>
      <c r="S429" s="1"/>
      <c r="T429" s="1"/>
      <c r="U429" s="1"/>
      <c r="V429" s="38"/>
      <c r="W429" s="1"/>
      <c r="X429" s="1"/>
    </row>
    <row r="430" spans="1:24" ht="14.4">
      <c r="A430" s="1"/>
      <c r="B430" s="94"/>
      <c r="C430" s="1"/>
      <c r="D430" s="1"/>
      <c r="E430" s="1"/>
      <c r="F430" s="94"/>
      <c r="G430" s="94"/>
      <c r="H430" s="94"/>
      <c r="I430" s="94"/>
      <c r="J430" s="94"/>
      <c r="K430" s="94"/>
      <c r="L430" s="94"/>
      <c r="M430" s="26"/>
      <c r="N430" s="26"/>
      <c r="O430" s="1"/>
      <c r="P430" s="1"/>
      <c r="Q430" s="1"/>
      <c r="R430" s="1"/>
      <c r="S430" s="1"/>
      <c r="T430" s="1"/>
      <c r="U430" s="1"/>
      <c r="V430" s="38"/>
      <c r="W430" s="1"/>
      <c r="X430" s="1"/>
    </row>
    <row r="431" spans="1:24" ht="14.4">
      <c r="A431" s="1"/>
      <c r="B431" s="94"/>
      <c r="C431" s="1"/>
      <c r="D431" s="1"/>
      <c r="E431" s="1"/>
      <c r="F431" s="94"/>
      <c r="G431" s="94"/>
      <c r="H431" s="94"/>
      <c r="I431" s="94"/>
      <c r="J431" s="94"/>
      <c r="K431" s="94"/>
      <c r="L431" s="94"/>
      <c r="M431" s="26"/>
      <c r="N431" s="26"/>
      <c r="O431" s="1"/>
      <c r="P431" s="1"/>
      <c r="Q431" s="1"/>
      <c r="R431" s="1"/>
      <c r="S431" s="1"/>
      <c r="T431" s="1"/>
      <c r="U431" s="1"/>
      <c r="V431" s="38"/>
      <c r="W431" s="1"/>
      <c r="X431" s="1"/>
    </row>
    <row r="432" spans="1:24" ht="14.4">
      <c r="A432" s="1"/>
      <c r="B432" s="94"/>
      <c r="C432" s="1"/>
      <c r="D432" s="1"/>
      <c r="E432" s="1"/>
      <c r="F432" s="94"/>
      <c r="G432" s="94"/>
      <c r="H432" s="94"/>
      <c r="I432" s="94"/>
      <c r="J432" s="94"/>
      <c r="K432" s="94"/>
      <c r="L432" s="94"/>
      <c r="M432" s="26"/>
      <c r="N432" s="26"/>
      <c r="O432" s="1"/>
      <c r="P432" s="1"/>
      <c r="Q432" s="1"/>
      <c r="R432" s="1"/>
      <c r="S432" s="1"/>
      <c r="T432" s="1"/>
      <c r="U432" s="1"/>
      <c r="V432" s="38"/>
      <c r="W432" s="1"/>
      <c r="X432" s="1"/>
    </row>
    <row r="433" spans="1:24" ht="14.4">
      <c r="A433" s="1"/>
      <c r="B433" s="93"/>
      <c r="C433" s="1"/>
      <c r="D433" s="1"/>
      <c r="E433" s="1"/>
      <c r="F433" s="93"/>
      <c r="G433" s="93"/>
      <c r="H433" s="93"/>
      <c r="I433" s="93"/>
      <c r="J433" s="93"/>
      <c r="K433" s="93"/>
      <c r="L433" s="93"/>
      <c r="M433" s="26"/>
      <c r="N433" s="26"/>
      <c r="O433" s="1"/>
      <c r="P433" s="1"/>
      <c r="Q433" s="1"/>
      <c r="R433" s="1"/>
      <c r="S433" s="1"/>
      <c r="T433" s="1"/>
      <c r="U433" s="1"/>
      <c r="V433" s="38"/>
      <c r="W433" s="1"/>
      <c r="X433" s="1"/>
    </row>
    <row r="434" spans="1:24" ht="14.4">
      <c r="A434" s="1"/>
      <c r="B434" s="94"/>
      <c r="C434" s="1"/>
      <c r="D434" s="1"/>
      <c r="E434" s="1"/>
      <c r="F434" s="94"/>
      <c r="G434" s="94"/>
      <c r="H434" s="94"/>
      <c r="I434" s="94"/>
      <c r="J434" s="94"/>
      <c r="K434" s="94"/>
      <c r="L434" s="94"/>
      <c r="M434" s="26"/>
      <c r="N434" s="26"/>
      <c r="O434" s="1"/>
      <c r="P434" s="1"/>
      <c r="Q434" s="1"/>
      <c r="R434" s="1"/>
      <c r="S434" s="1"/>
      <c r="T434" s="1"/>
      <c r="U434" s="1"/>
      <c r="V434" s="38"/>
      <c r="W434" s="1"/>
      <c r="X434" s="1"/>
    </row>
    <row r="435" spans="1:24" ht="14.4">
      <c r="A435" s="1"/>
      <c r="B435" s="94"/>
      <c r="C435" s="1"/>
      <c r="D435" s="1"/>
      <c r="E435" s="1"/>
      <c r="F435" s="94"/>
      <c r="G435" s="94"/>
      <c r="H435" s="94"/>
      <c r="I435" s="94"/>
      <c r="J435" s="94"/>
      <c r="K435" s="94"/>
      <c r="L435" s="94"/>
      <c r="M435" s="26"/>
      <c r="N435" s="26"/>
      <c r="O435" s="1"/>
      <c r="P435" s="1"/>
      <c r="Q435" s="1"/>
      <c r="R435" s="1"/>
      <c r="S435" s="1"/>
      <c r="T435" s="1"/>
      <c r="U435" s="1"/>
      <c r="V435" s="38"/>
      <c r="W435" s="1"/>
      <c r="X435" s="1"/>
    </row>
    <row r="436" spans="1:24" ht="14.4">
      <c r="A436" s="1"/>
      <c r="B436" s="94"/>
      <c r="C436" s="1"/>
      <c r="D436" s="1"/>
      <c r="E436" s="1"/>
      <c r="F436" s="94"/>
      <c r="G436" s="94"/>
      <c r="H436" s="94"/>
      <c r="I436" s="94"/>
      <c r="J436" s="94"/>
      <c r="K436" s="94"/>
      <c r="L436" s="94"/>
      <c r="M436" s="26"/>
      <c r="N436" s="26"/>
      <c r="O436" s="1"/>
      <c r="P436" s="1"/>
      <c r="Q436" s="1"/>
      <c r="R436" s="1"/>
      <c r="S436" s="1"/>
      <c r="T436" s="1"/>
      <c r="U436" s="1"/>
      <c r="V436" s="38"/>
      <c r="W436" s="1"/>
      <c r="X436" s="1"/>
    </row>
    <row r="437" spans="1:24" ht="14.4">
      <c r="A437" s="1"/>
      <c r="B437" s="94"/>
      <c r="C437" s="1"/>
      <c r="D437" s="1"/>
      <c r="E437" s="1"/>
      <c r="F437" s="94"/>
      <c r="G437" s="94"/>
      <c r="H437" s="94"/>
      <c r="I437" s="94"/>
      <c r="J437" s="94"/>
      <c r="K437" s="94"/>
      <c r="L437" s="94"/>
      <c r="M437" s="26"/>
      <c r="N437" s="26"/>
      <c r="O437" s="1"/>
      <c r="P437" s="1"/>
      <c r="Q437" s="1"/>
      <c r="R437" s="1"/>
      <c r="S437" s="1"/>
      <c r="T437" s="1"/>
      <c r="U437" s="1"/>
      <c r="V437" s="38"/>
      <c r="W437" s="1"/>
      <c r="X437" s="1"/>
    </row>
    <row r="438" spans="1:24" ht="14.4">
      <c r="A438" s="1"/>
      <c r="B438" s="93"/>
      <c r="C438" s="1"/>
      <c r="D438" s="1"/>
      <c r="E438" s="1"/>
      <c r="F438" s="93"/>
      <c r="G438" s="93"/>
      <c r="H438" s="93"/>
      <c r="I438" s="93"/>
      <c r="J438" s="93"/>
      <c r="K438" s="93"/>
      <c r="L438" s="93"/>
      <c r="M438" s="26"/>
      <c r="N438" s="26"/>
      <c r="O438" s="1"/>
      <c r="P438" s="1"/>
      <c r="Q438" s="1"/>
      <c r="R438" s="1"/>
      <c r="S438" s="1"/>
      <c r="T438" s="1"/>
      <c r="U438" s="1"/>
      <c r="V438" s="38"/>
      <c r="W438" s="1"/>
      <c r="X438" s="1"/>
    </row>
    <row r="439" spans="1:24" ht="14.4">
      <c r="A439" s="1"/>
      <c r="B439" s="94"/>
      <c r="C439" s="1"/>
      <c r="D439" s="1"/>
      <c r="E439" s="1"/>
      <c r="F439" s="94"/>
      <c r="G439" s="94"/>
      <c r="H439" s="94"/>
      <c r="I439" s="94"/>
      <c r="J439" s="94"/>
      <c r="K439" s="94"/>
      <c r="L439" s="94"/>
      <c r="M439" s="26"/>
      <c r="N439" s="26"/>
      <c r="O439" s="1"/>
      <c r="P439" s="1"/>
      <c r="Q439" s="1"/>
      <c r="R439" s="1"/>
      <c r="S439" s="1"/>
      <c r="T439" s="1"/>
      <c r="U439" s="1"/>
      <c r="V439" s="38"/>
      <c r="W439" s="1"/>
      <c r="X439" s="1"/>
    </row>
    <row r="440" spans="1:24" ht="14.4">
      <c r="A440" s="1"/>
      <c r="B440" s="94"/>
      <c r="C440" s="1"/>
      <c r="D440" s="1"/>
      <c r="E440" s="1"/>
      <c r="F440" s="94"/>
      <c r="G440" s="94"/>
      <c r="H440" s="94"/>
      <c r="I440" s="94"/>
      <c r="J440" s="94"/>
      <c r="K440" s="94"/>
      <c r="L440" s="94"/>
      <c r="M440" s="26"/>
      <c r="N440" s="26"/>
      <c r="O440" s="1"/>
      <c r="P440" s="1"/>
      <c r="Q440" s="1"/>
      <c r="R440" s="1"/>
      <c r="S440" s="1"/>
      <c r="T440" s="1"/>
      <c r="U440" s="1"/>
      <c r="V440" s="38"/>
      <c r="W440" s="1"/>
      <c r="X440" s="1"/>
    </row>
    <row r="441" spans="1:24" ht="14.4">
      <c r="A441" s="1"/>
      <c r="B441" s="94"/>
      <c r="C441" s="1"/>
      <c r="D441" s="1"/>
      <c r="E441" s="1"/>
      <c r="F441" s="94"/>
      <c r="G441" s="94"/>
      <c r="H441" s="94"/>
      <c r="I441" s="94"/>
      <c r="J441" s="94"/>
      <c r="K441" s="94"/>
      <c r="L441" s="94"/>
      <c r="M441" s="26"/>
      <c r="N441" s="26"/>
      <c r="O441" s="1"/>
      <c r="P441" s="1"/>
      <c r="Q441" s="1"/>
      <c r="R441" s="1"/>
      <c r="S441" s="1"/>
      <c r="T441" s="1"/>
      <c r="U441" s="1"/>
      <c r="V441" s="38"/>
      <c r="W441" s="1"/>
      <c r="X441" s="1"/>
    </row>
    <row r="442" spans="1:24" ht="14.4">
      <c r="A442" s="1"/>
      <c r="B442" s="94"/>
      <c r="C442" s="1"/>
      <c r="D442" s="1"/>
      <c r="E442" s="1"/>
      <c r="F442" s="94"/>
      <c r="G442" s="94"/>
      <c r="H442" s="94"/>
      <c r="I442" s="94"/>
      <c r="J442" s="94"/>
      <c r="K442" s="94"/>
      <c r="L442" s="94"/>
      <c r="M442" s="26"/>
      <c r="N442" s="26"/>
      <c r="O442" s="1"/>
      <c r="P442" s="1"/>
      <c r="Q442" s="1"/>
      <c r="R442" s="1"/>
      <c r="S442" s="1"/>
      <c r="T442" s="1"/>
      <c r="U442" s="1"/>
      <c r="V442" s="38"/>
      <c r="W442" s="1"/>
      <c r="X442" s="1"/>
    </row>
    <row r="443" spans="1:24" ht="14.4">
      <c r="A443" s="1"/>
      <c r="B443" s="93"/>
      <c r="C443" s="1"/>
      <c r="D443" s="1"/>
      <c r="E443" s="1"/>
      <c r="F443" s="93"/>
      <c r="G443" s="93"/>
      <c r="H443" s="93"/>
      <c r="I443" s="93"/>
      <c r="J443" s="93"/>
      <c r="K443" s="93"/>
      <c r="L443" s="93"/>
      <c r="M443" s="26"/>
      <c r="N443" s="26"/>
      <c r="O443" s="1"/>
      <c r="P443" s="1"/>
      <c r="Q443" s="1"/>
      <c r="R443" s="1"/>
      <c r="S443" s="1"/>
      <c r="T443" s="1"/>
      <c r="U443" s="1"/>
      <c r="V443" s="38"/>
      <c r="W443" s="1"/>
      <c r="X443" s="1"/>
    </row>
    <row r="444" spans="1:24" ht="14.4">
      <c r="A444" s="1"/>
      <c r="B444" s="94"/>
      <c r="C444" s="1"/>
      <c r="D444" s="1"/>
      <c r="E444" s="1"/>
      <c r="F444" s="94"/>
      <c r="G444" s="94"/>
      <c r="H444" s="94"/>
      <c r="I444" s="94"/>
      <c r="J444" s="94"/>
      <c r="K444" s="94"/>
      <c r="L444" s="94"/>
      <c r="M444" s="26"/>
      <c r="N444" s="26"/>
      <c r="O444" s="1"/>
      <c r="P444" s="1"/>
      <c r="Q444" s="1"/>
      <c r="R444" s="1"/>
      <c r="S444" s="1"/>
      <c r="T444" s="1"/>
      <c r="U444" s="1"/>
      <c r="V444" s="38"/>
      <c r="W444" s="1"/>
      <c r="X444" s="1"/>
    </row>
    <row r="445" spans="1:24" ht="14.4">
      <c r="A445" s="1"/>
      <c r="B445" s="94"/>
      <c r="C445" s="1"/>
      <c r="D445" s="1"/>
      <c r="E445" s="1"/>
      <c r="F445" s="94"/>
      <c r="G445" s="94"/>
      <c r="H445" s="94"/>
      <c r="I445" s="94"/>
      <c r="J445" s="94"/>
      <c r="K445" s="94"/>
      <c r="L445" s="94"/>
      <c r="M445" s="26"/>
      <c r="N445" s="26"/>
      <c r="O445" s="1"/>
      <c r="P445" s="1"/>
      <c r="Q445" s="1"/>
      <c r="R445" s="1"/>
      <c r="S445" s="1"/>
      <c r="T445" s="1"/>
      <c r="U445" s="1"/>
      <c r="V445" s="38"/>
      <c r="W445" s="1"/>
      <c r="X445" s="1"/>
    </row>
    <row r="446" spans="1:24" ht="14.4">
      <c r="A446" s="1"/>
      <c r="B446" s="94"/>
      <c r="C446" s="1"/>
      <c r="D446" s="1"/>
      <c r="E446" s="1"/>
      <c r="F446" s="94"/>
      <c r="G446" s="94"/>
      <c r="H446" s="94"/>
      <c r="I446" s="94"/>
      <c r="J446" s="94"/>
      <c r="K446" s="94"/>
      <c r="L446" s="94"/>
      <c r="M446" s="26"/>
      <c r="N446" s="26"/>
      <c r="O446" s="1"/>
      <c r="P446" s="1"/>
      <c r="Q446" s="1"/>
      <c r="R446" s="1"/>
      <c r="S446" s="1"/>
      <c r="T446" s="1"/>
      <c r="U446" s="1"/>
      <c r="V446" s="38"/>
      <c r="W446" s="1"/>
      <c r="X446" s="1"/>
    </row>
    <row r="447" spans="1:24" ht="14.4">
      <c r="A447" s="1"/>
      <c r="B447" s="94"/>
      <c r="C447" s="1"/>
      <c r="D447" s="1"/>
      <c r="E447" s="1"/>
      <c r="F447" s="94"/>
      <c r="G447" s="94"/>
      <c r="H447" s="94"/>
      <c r="I447" s="94"/>
      <c r="J447" s="94"/>
      <c r="K447" s="94"/>
      <c r="L447" s="94"/>
      <c r="M447" s="26"/>
      <c r="N447" s="26"/>
      <c r="O447" s="1"/>
      <c r="P447" s="1"/>
      <c r="Q447" s="1"/>
      <c r="R447" s="1"/>
      <c r="S447" s="1"/>
      <c r="T447" s="1"/>
      <c r="U447" s="1"/>
      <c r="V447" s="38"/>
      <c r="W447" s="1"/>
      <c r="X447" s="1"/>
    </row>
    <row r="448" spans="1:24" ht="14.4">
      <c r="A448" s="1"/>
      <c r="B448" s="93"/>
      <c r="C448" s="1"/>
      <c r="D448" s="1"/>
      <c r="E448" s="1"/>
      <c r="F448" s="93"/>
      <c r="G448" s="93"/>
      <c r="H448" s="93"/>
      <c r="I448" s="93"/>
      <c r="J448" s="93"/>
      <c r="K448" s="93"/>
      <c r="L448" s="93"/>
      <c r="M448" s="26"/>
      <c r="N448" s="26"/>
      <c r="O448" s="1"/>
      <c r="P448" s="1"/>
      <c r="Q448" s="1"/>
      <c r="R448" s="1"/>
      <c r="S448" s="1"/>
      <c r="T448" s="1"/>
      <c r="U448" s="1"/>
      <c r="V448" s="38"/>
      <c r="W448" s="1"/>
      <c r="X448" s="1"/>
    </row>
    <row r="449" spans="1:24" ht="14.4">
      <c r="A449" s="1"/>
      <c r="B449" s="94"/>
      <c r="C449" s="1"/>
      <c r="D449" s="1"/>
      <c r="E449" s="1"/>
      <c r="F449" s="94"/>
      <c r="G449" s="94"/>
      <c r="H449" s="94"/>
      <c r="I449" s="94"/>
      <c r="J449" s="94"/>
      <c r="K449" s="94"/>
      <c r="L449" s="94"/>
      <c r="M449" s="26"/>
      <c r="N449" s="26"/>
      <c r="O449" s="1"/>
      <c r="P449" s="1"/>
      <c r="Q449" s="1"/>
      <c r="R449" s="1"/>
      <c r="S449" s="1"/>
      <c r="T449" s="1"/>
      <c r="U449" s="1"/>
      <c r="V449" s="38"/>
      <c r="W449" s="1"/>
      <c r="X449" s="1"/>
    </row>
    <row r="450" spans="1:24" ht="14.4">
      <c r="A450" s="1"/>
      <c r="B450" s="94"/>
      <c r="C450" s="1"/>
      <c r="D450" s="1"/>
      <c r="E450" s="1"/>
      <c r="F450" s="94"/>
      <c r="G450" s="94"/>
      <c r="H450" s="94"/>
      <c r="I450" s="94"/>
      <c r="J450" s="94"/>
      <c r="K450" s="94"/>
      <c r="L450" s="94"/>
      <c r="M450" s="26"/>
      <c r="N450" s="26"/>
      <c r="O450" s="1"/>
      <c r="P450" s="1"/>
      <c r="Q450" s="1"/>
      <c r="R450" s="1"/>
      <c r="S450" s="1"/>
      <c r="T450" s="1"/>
      <c r="U450" s="1"/>
      <c r="V450" s="38"/>
      <c r="W450" s="1"/>
      <c r="X450" s="1"/>
    </row>
    <row r="451" spans="1:24" ht="14.4">
      <c r="A451" s="1"/>
      <c r="B451" s="94"/>
      <c r="C451" s="1"/>
      <c r="D451" s="1"/>
      <c r="E451" s="1"/>
      <c r="F451" s="94"/>
      <c r="G451" s="94"/>
      <c r="H451" s="94"/>
      <c r="I451" s="94"/>
      <c r="J451" s="94"/>
      <c r="K451" s="94"/>
      <c r="L451" s="94"/>
      <c r="M451" s="26"/>
      <c r="N451" s="26"/>
      <c r="O451" s="1"/>
      <c r="P451" s="1"/>
      <c r="Q451" s="1"/>
      <c r="R451" s="1"/>
      <c r="S451" s="1"/>
      <c r="T451" s="1"/>
      <c r="U451" s="1"/>
      <c r="V451" s="38"/>
      <c r="W451" s="1"/>
      <c r="X451" s="1"/>
    </row>
    <row r="452" spans="1:24" ht="14.4">
      <c r="A452" s="1"/>
      <c r="B452" s="94"/>
      <c r="C452" s="1"/>
      <c r="D452" s="1"/>
      <c r="E452" s="1"/>
      <c r="F452" s="94"/>
      <c r="G452" s="94"/>
      <c r="H452" s="94"/>
      <c r="I452" s="94"/>
      <c r="J452" s="94"/>
      <c r="K452" s="94"/>
      <c r="L452" s="94"/>
      <c r="M452" s="26"/>
      <c r="N452" s="26"/>
      <c r="O452" s="1"/>
      <c r="P452" s="1"/>
      <c r="Q452" s="1"/>
      <c r="R452" s="1"/>
      <c r="S452" s="1"/>
      <c r="T452" s="1"/>
      <c r="U452" s="1"/>
      <c r="V452" s="38"/>
      <c r="W452" s="1"/>
      <c r="X452" s="1"/>
    </row>
    <row r="453" spans="1:24" ht="14.4">
      <c r="A453" s="1"/>
      <c r="B453" s="93"/>
      <c r="C453" s="1"/>
      <c r="D453" s="1"/>
      <c r="E453" s="1"/>
      <c r="F453" s="93"/>
      <c r="G453" s="93"/>
      <c r="H453" s="93"/>
      <c r="I453" s="93"/>
      <c r="J453" s="93"/>
      <c r="K453" s="93"/>
      <c r="L453" s="93"/>
      <c r="M453" s="26"/>
      <c r="N453" s="26"/>
      <c r="O453" s="1"/>
      <c r="P453" s="1"/>
      <c r="Q453" s="1"/>
      <c r="R453" s="1"/>
      <c r="S453" s="1"/>
      <c r="T453" s="1"/>
      <c r="U453" s="1"/>
      <c r="V453" s="38"/>
      <c r="W453" s="1"/>
      <c r="X453" s="1"/>
    </row>
    <row r="454" spans="1:24" ht="14.4">
      <c r="A454" s="1"/>
      <c r="B454" s="94"/>
      <c r="C454" s="1"/>
      <c r="D454" s="1"/>
      <c r="E454" s="1"/>
      <c r="F454" s="94"/>
      <c r="G454" s="94"/>
      <c r="H454" s="94"/>
      <c r="I454" s="94"/>
      <c r="J454" s="94"/>
      <c r="K454" s="94"/>
      <c r="L454" s="94"/>
      <c r="M454" s="26"/>
      <c r="N454" s="26"/>
      <c r="O454" s="1"/>
      <c r="P454" s="1"/>
      <c r="Q454" s="1"/>
      <c r="R454" s="1"/>
      <c r="S454" s="1"/>
      <c r="T454" s="1"/>
      <c r="U454" s="1"/>
      <c r="V454" s="38"/>
      <c r="W454" s="1"/>
      <c r="X454" s="1"/>
    </row>
    <row r="455" spans="1:24" ht="14.4">
      <c r="A455" s="1"/>
      <c r="B455" s="94"/>
      <c r="C455" s="1"/>
      <c r="D455" s="1"/>
      <c r="E455" s="1"/>
      <c r="F455" s="94"/>
      <c r="G455" s="94"/>
      <c r="H455" s="94"/>
      <c r="I455" s="94"/>
      <c r="J455" s="94"/>
      <c r="K455" s="94"/>
      <c r="L455" s="94"/>
      <c r="M455" s="26"/>
      <c r="N455" s="26"/>
      <c r="O455" s="1"/>
      <c r="P455" s="1"/>
      <c r="Q455" s="1"/>
      <c r="R455" s="1"/>
      <c r="S455" s="1"/>
      <c r="T455" s="1"/>
      <c r="U455" s="1"/>
      <c r="V455" s="38"/>
      <c r="W455" s="1"/>
      <c r="X455" s="1"/>
    </row>
    <row r="456" spans="1:24" ht="14.4">
      <c r="A456" s="1"/>
      <c r="B456" s="94"/>
      <c r="C456" s="1"/>
      <c r="D456" s="1"/>
      <c r="E456" s="1"/>
      <c r="F456" s="94"/>
      <c r="G456" s="94"/>
      <c r="H456" s="94"/>
      <c r="I456" s="94"/>
      <c r="J456" s="94"/>
      <c r="K456" s="94"/>
      <c r="L456" s="94"/>
      <c r="M456" s="26"/>
      <c r="N456" s="26"/>
      <c r="O456" s="1"/>
      <c r="P456" s="1"/>
      <c r="Q456" s="1"/>
      <c r="R456" s="1"/>
      <c r="S456" s="1"/>
      <c r="T456" s="1"/>
      <c r="U456" s="1"/>
      <c r="V456" s="38"/>
      <c r="W456" s="1"/>
      <c r="X456" s="1"/>
    </row>
    <row r="457" spans="1:24" ht="14.4">
      <c r="A457" s="1"/>
      <c r="B457" s="94"/>
      <c r="C457" s="1"/>
      <c r="D457" s="1"/>
      <c r="E457" s="1"/>
      <c r="F457" s="94"/>
      <c r="G457" s="94"/>
      <c r="H457" s="94"/>
      <c r="I457" s="94"/>
      <c r="J457" s="94"/>
      <c r="K457" s="94"/>
      <c r="L457" s="94"/>
      <c r="M457" s="26"/>
      <c r="N457" s="26"/>
      <c r="O457" s="1"/>
      <c r="P457" s="1"/>
      <c r="Q457" s="1"/>
      <c r="R457" s="1"/>
      <c r="S457" s="1"/>
      <c r="T457" s="1"/>
      <c r="U457" s="1"/>
      <c r="V457" s="38"/>
      <c r="W457" s="1"/>
      <c r="X457" s="1"/>
    </row>
    <row r="458" spans="1:24" ht="14.4">
      <c r="A458" s="1"/>
      <c r="B458" s="93"/>
      <c r="C458" s="1"/>
      <c r="D458" s="1"/>
      <c r="E458" s="1"/>
      <c r="F458" s="93"/>
      <c r="G458" s="93"/>
      <c r="H458" s="93"/>
      <c r="I458" s="93"/>
      <c r="J458" s="93"/>
      <c r="K458" s="93"/>
      <c r="L458" s="93"/>
      <c r="M458" s="26"/>
      <c r="N458" s="26"/>
      <c r="O458" s="1"/>
      <c r="P458" s="1"/>
      <c r="Q458" s="1"/>
      <c r="R458" s="1"/>
      <c r="S458" s="1"/>
      <c r="T458" s="1"/>
      <c r="U458" s="1"/>
      <c r="V458" s="38"/>
      <c r="W458" s="1"/>
      <c r="X458" s="1"/>
    </row>
    <row r="459" spans="1:24" ht="14.4">
      <c r="A459" s="1"/>
      <c r="B459" s="94"/>
      <c r="C459" s="1"/>
      <c r="D459" s="1"/>
      <c r="E459" s="1"/>
      <c r="F459" s="94"/>
      <c r="G459" s="94"/>
      <c r="H459" s="94"/>
      <c r="I459" s="94"/>
      <c r="J459" s="94"/>
      <c r="K459" s="94"/>
      <c r="L459" s="94"/>
      <c r="M459" s="26"/>
      <c r="N459" s="26"/>
      <c r="O459" s="1"/>
      <c r="P459" s="1"/>
      <c r="Q459" s="1"/>
      <c r="R459" s="1"/>
      <c r="S459" s="1"/>
      <c r="T459" s="1"/>
      <c r="U459" s="1"/>
      <c r="V459" s="38"/>
      <c r="W459" s="1"/>
      <c r="X459" s="1"/>
    </row>
    <row r="460" spans="1:24" ht="14.4">
      <c r="A460" s="1"/>
      <c r="B460" s="94"/>
      <c r="C460" s="1"/>
      <c r="D460" s="1"/>
      <c r="E460" s="1"/>
      <c r="F460" s="94"/>
      <c r="G460" s="94"/>
      <c r="H460" s="94"/>
      <c r="I460" s="94"/>
      <c r="J460" s="94"/>
      <c r="K460" s="94"/>
      <c r="L460" s="94"/>
      <c r="M460" s="26"/>
      <c r="N460" s="26"/>
      <c r="O460" s="1"/>
      <c r="P460" s="1"/>
      <c r="Q460" s="1"/>
      <c r="R460" s="1"/>
      <c r="S460" s="1"/>
      <c r="T460" s="1"/>
      <c r="U460" s="1"/>
      <c r="V460" s="38"/>
      <c r="W460" s="1"/>
      <c r="X460" s="1"/>
    </row>
    <row r="461" spans="1:24" ht="14.4">
      <c r="A461" s="1"/>
      <c r="B461" s="94"/>
      <c r="C461" s="1"/>
      <c r="D461" s="1"/>
      <c r="E461" s="1"/>
      <c r="F461" s="94"/>
      <c r="G461" s="94"/>
      <c r="H461" s="94"/>
      <c r="I461" s="94"/>
      <c r="J461" s="94"/>
      <c r="K461" s="94"/>
      <c r="L461" s="94"/>
      <c r="M461" s="26"/>
      <c r="N461" s="26"/>
      <c r="O461" s="1"/>
      <c r="P461" s="1"/>
      <c r="Q461" s="1"/>
      <c r="R461" s="1"/>
      <c r="S461" s="1"/>
      <c r="T461" s="1"/>
      <c r="U461" s="1"/>
      <c r="V461" s="38"/>
      <c r="W461" s="1"/>
      <c r="X461" s="1"/>
    </row>
    <row r="462" spans="1:24" ht="14.4">
      <c r="A462" s="1"/>
      <c r="B462" s="94"/>
      <c r="C462" s="1"/>
      <c r="D462" s="1"/>
      <c r="E462" s="1"/>
      <c r="F462" s="94"/>
      <c r="G462" s="94"/>
      <c r="H462" s="94"/>
      <c r="I462" s="94"/>
      <c r="J462" s="94"/>
      <c r="K462" s="94"/>
      <c r="L462" s="94"/>
      <c r="M462" s="26"/>
      <c r="N462" s="26"/>
      <c r="O462" s="1"/>
      <c r="P462" s="1"/>
      <c r="Q462" s="1"/>
      <c r="R462" s="1"/>
      <c r="S462" s="1"/>
      <c r="T462" s="1"/>
      <c r="U462" s="1"/>
      <c r="V462" s="38"/>
      <c r="W462" s="1"/>
      <c r="X462" s="1"/>
    </row>
    <row r="463" spans="1:24" ht="14.4">
      <c r="A463" s="1"/>
      <c r="B463" s="93"/>
      <c r="C463" s="1"/>
      <c r="D463" s="1"/>
      <c r="E463" s="1"/>
      <c r="F463" s="93"/>
      <c r="G463" s="93"/>
      <c r="H463" s="93"/>
      <c r="I463" s="93"/>
      <c r="J463" s="93"/>
      <c r="K463" s="93"/>
      <c r="L463" s="93"/>
      <c r="M463" s="26"/>
      <c r="N463" s="26"/>
      <c r="O463" s="1"/>
      <c r="P463" s="1"/>
      <c r="Q463" s="1"/>
      <c r="R463" s="1"/>
      <c r="S463" s="1"/>
      <c r="T463" s="1"/>
      <c r="U463" s="1"/>
      <c r="V463" s="38"/>
      <c r="W463" s="1"/>
      <c r="X463" s="1"/>
    </row>
    <row r="464" spans="1:24" ht="14.4">
      <c r="A464" s="1"/>
      <c r="B464" s="94"/>
      <c r="C464" s="1"/>
      <c r="D464" s="1"/>
      <c r="E464" s="1"/>
      <c r="F464" s="94"/>
      <c r="G464" s="94"/>
      <c r="H464" s="94"/>
      <c r="I464" s="94"/>
      <c r="J464" s="94"/>
      <c r="K464" s="94"/>
      <c r="L464" s="94"/>
      <c r="M464" s="26"/>
      <c r="N464" s="26"/>
      <c r="O464" s="1"/>
      <c r="P464" s="1"/>
      <c r="Q464" s="1"/>
      <c r="R464" s="1"/>
      <c r="S464" s="1"/>
      <c r="T464" s="1"/>
      <c r="U464" s="1"/>
      <c r="V464" s="38"/>
      <c r="W464" s="1"/>
      <c r="X464" s="1"/>
    </row>
    <row r="465" spans="1:24" ht="14.4">
      <c r="A465" s="1"/>
      <c r="B465" s="94"/>
      <c r="C465" s="1"/>
      <c r="D465" s="1"/>
      <c r="E465" s="1"/>
      <c r="F465" s="94"/>
      <c r="G465" s="94"/>
      <c r="H465" s="94"/>
      <c r="I465" s="94"/>
      <c r="J465" s="94"/>
      <c r="K465" s="94"/>
      <c r="L465" s="94"/>
      <c r="M465" s="26"/>
      <c r="N465" s="26"/>
      <c r="O465" s="1"/>
      <c r="P465" s="1"/>
      <c r="Q465" s="1"/>
      <c r="R465" s="1"/>
      <c r="S465" s="1"/>
      <c r="T465" s="1"/>
      <c r="U465" s="1"/>
      <c r="V465" s="38"/>
      <c r="W465" s="1"/>
      <c r="X465" s="1"/>
    </row>
    <row r="466" spans="1:24" ht="14.4">
      <c r="A466" s="1"/>
      <c r="B466" s="94"/>
      <c r="C466" s="1"/>
      <c r="D466" s="1"/>
      <c r="E466" s="1"/>
      <c r="F466" s="94"/>
      <c r="G466" s="94"/>
      <c r="H466" s="94"/>
      <c r="I466" s="94"/>
      <c r="J466" s="94"/>
      <c r="K466" s="94"/>
      <c r="L466" s="94"/>
      <c r="M466" s="26"/>
      <c r="N466" s="26"/>
      <c r="O466" s="1"/>
      <c r="P466" s="1"/>
      <c r="Q466" s="1"/>
      <c r="R466" s="1"/>
      <c r="S466" s="1"/>
      <c r="T466" s="1"/>
      <c r="U466" s="1"/>
      <c r="V466" s="38"/>
      <c r="W466" s="1"/>
      <c r="X466" s="1"/>
    </row>
    <row r="467" spans="1:24" ht="14.4">
      <c r="A467" s="1"/>
      <c r="B467" s="94"/>
      <c r="C467" s="1"/>
      <c r="D467" s="1"/>
      <c r="E467" s="1"/>
      <c r="F467" s="94"/>
      <c r="G467" s="94"/>
      <c r="H467" s="94"/>
      <c r="I467" s="94"/>
      <c r="J467" s="94"/>
      <c r="K467" s="94"/>
      <c r="L467" s="94"/>
      <c r="M467" s="26"/>
      <c r="N467" s="26"/>
      <c r="O467" s="1"/>
      <c r="P467" s="1"/>
      <c r="Q467" s="1"/>
      <c r="R467" s="1"/>
      <c r="S467" s="1"/>
      <c r="T467" s="1"/>
      <c r="U467" s="1"/>
      <c r="V467" s="38"/>
      <c r="W467" s="1"/>
      <c r="X467" s="1"/>
    </row>
    <row r="468" spans="1:24" ht="14.4">
      <c r="A468" s="1"/>
      <c r="B468" s="93"/>
      <c r="C468" s="1"/>
      <c r="D468" s="1"/>
      <c r="E468" s="1"/>
      <c r="F468" s="93"/>
      <c r="G468" s="93"/>
      <c r="H468" s="93"/>
      <c r="I468" s="93"/>
      <c r="J468" s="93"/>
      <c r="K468" s="93"/>
      <c r="L468" s="93"/>
      <c r="M468" s="26"/>
      <c r="N468" s="26"/>
      <c r="O468" s="1"/>
      <c r="P468" s="1"/>
      <c r="Q468" s="1"/>
      <c r="R468" s="1"/>
      <c r="S468" s="1"/>
      <c r="T468" s="1"/>
      <c r="U468" s="1"/>
      <c r="V468" s="38"/>
      <c r="W468" s="1"/>
      <c r="X468" s="1"/>
    </row>
    <row r="469" spans="1:24" ht="14.4">
      <c r="A469" s="1"/>
      <c r="B469" s="94"/>
      <c r="C469" s="1"/>
      <c r="D469" s="1"/>
      <c r="E469" s="1"/>
      <c r="F469" s="94"/>
      <c r="G469" s="94"/>
      <c r="H469" s="94"/>
      <c r="I469" s="94"/>
      <c r="J469" s="94"/>
      <c r="K469" s="94"/>
      <c r="L469" s="94"/>
      <c r="M469" s="26"/>
      <c r="N469" s="26"/>
      <c r="O469" s="1"/>
      <c r="P469" s="1"/>
      <c r="Q469" s="1"/>
      <c r="R469" s="1"/>
      <c r="S469" s="1"/>
      <c r="T469" s="1"/>
      <c r="U469" s="1"/>
      <c r="V469" s="38"/>
      <c r="W469" s="1"/>
      <c r="X469" s="1"/>
    </row>
    <row r="470" spans="1:24" ht="14.4">
      <c r="A470" s="1"/>
      <c r="B470" s="94"/>
      <c r="C470" s="1"/>
      <c r="D470" s="1"/>
      <c r="E470" s="1"/>
      <c r="F470" s="94"/>
      <c r="G470" s="94"/>
      <c r="H470" s="94"/>
      <c r="I470" s="94"/>
      <c r="J470" s="94"/>
      <c r="K470" s="94"/>
      <c r="L470" s="94"/>
      <c r="M470" s="26"/>
      <c r="N470" s="26"/>
      <c r="O470" s="1"/>
      <c r="P470" s="1"/>
      <c r="Q470" s="1"/>
      <c r="R470" s="1"/>
      <c r="S470" s="1"/>
      <c r="T470" s="1"/>
      <c r="U470" s="1"/>
      <c r="V470" s="38"/>
      <c r="W470" s="1"/>
      <c r="X470" s="1"/>
    </row>
    <row r="471" spans="1:24" ht="14.4">
      <c r="A471" s="1"/>
      <c r="B471" s="94"/>
      <c r="C471" s="1"/>
      <c r="D471" s="1"/>
      <c r="E471" s="1"/>
      <c r="F471" s="94"/>
      <c r="G471" s="94"/>
      <c r="H471" s="94"/>
      <c r="I471" s="94"/>
      <c r="J471" s="94"/>
      <c r="K471" s="94"/>
      <c r="L471" s="94"/>
      <c r="M471" s="26"/>
      <c r="N471" s="26"/>
      <c r="O471" s="1"/>
      <c r="P471" s="1"/>
      <c r="Q471" s="1"/>
      <c r="R471" s="1"/>
      <c r="S471" s="1"/>
      <c r="T471" s="1"/>
      <c r="U471" s="1"/>
      <c r="V471" s="38"/>
      <c r="W471" s="1"/>
      <c r="X471" s="1"/>
    </row>
    <row r="472" spans="1:24" ht="14.4">
      <c r="A472" s="1"/>
      <c r="B472" s="94"/>
      <c r="C472" s="1"/>
      <c r="D472" s="1"/>
      <c r="E472" s="1"/>
      <c r="F472" s="94"/>
      <c r="G472" s="94"/>
      <c r="H472" s="94"/>
      <c r="I472" s="94"/>
      <c r="J472" s="94"/>
      <c r="K472" s="94"/>
      <c r="L472" s="94"/>
      <c r="M472" s="26"/>
      <c r="N472" s="26"/>
      <c r="O472" s="1"/>
      <c r="P472" s="1"/>
      <c r="Q472" s="1"/>
      <c r="R472" s="1"/>
      <c r="S472" s="1"/>
      <c r="T472" s="1"/>
      <c r="U472" s="1"/>
      <c r="V472" s="38"/>
      <c r="W472" s="1"/>
      <c r="X472" s="1"/>
    </row>
    <row r="473" spans="1:24" ht="14.4">
      <c r="A473" s="1"/>
      <c r="B473" s="93"/>
      <c r="C473" s="1"/>
      <c r="D473" s="1"/>
      <c r="E473" s="1"/>
      <c r="F473" s="93"/>
      <c r="G473" s="93"/>
      <c r="H473" s="93"/>
      <c r="I473" s="93"/>
      <c r="J473" s="93"/>
      <c r="K473" s="93"/>
      <c r="L473" s="93"/>
      <c r="M473" s="26"/>
      <c r="N473" s="26"/>
      <c r="O473" s="1"/>
      <c r="P473" s="1"/>
      <c r="Q473" s="1"/>
      <c r="R473" s="1"/>
      <c r="S473" s="1"/>
      <c r="T473" s="1"/>
      <c r="U473" s="1"/>
      <c r="V473" s="38"/>
      <c r="W473" s="1"/>
      <c r="X473" s="1"/>
    </row>
    <row r="474" spans="1:24" ht="14.4">
      <c r="A474" s="1"/>
      <c r="B474" s="94"/>
      <c r="C474" s="1"/>
      <c r="D474" s="1"/>
      <c r="E474" s="1"/>
      <c r="F474" s="94"/>
      <c r="G474" s="94"/>
      <c r="H474" s="94"/>
      <c r="I474" s="94"/>
      <c r="J474" s="94"/>
      <c r="K474" s="94"/>
      <c r="L474" s="94"/>
      <c r="M474" s="26"/>
      <c r="N474" s="26"/>
      <c r="O474" s="1"/>
      <c r="P474" s="1"/>
      <c r="Q474" s="1"/>
      <c r="R474" s="1"/>
      <c r="S474" s="1"/>
      <c r="T474" s="1"/>
      <c r="U474" s="1"/>
      <c r="V474" s="38"/>
      <c r="W474" s="1"/>
      <c r="X474" s="1"/>
    </row>
    <row r="475" spans="1:24" ht="14.4">
      <c r="A475" s="1"/>
      <c r="B475" s="94"/>
      <c r="C475" s="1"/>
      <c r="D475" s="1"/>
      <c r="E475" s="1"/>
      <c r="F475" s="94"/>
      <c r="G475" s="94"/>
      <c r="H475" s="94"/>
      <c r="I475" s="94"/>
      <c r="J475" s="94"/>
      <c r="K475" s="94"/>
      <c r="L475" s="94"/>
      <c r="M475" s="26"/>
      <c r="N475" s="26"/>
      <c r="O475" s="1"/>
      <c r="P475" s="1"/>
      <c r="Q475" s="1"/>
      <c r="R475" s="1"/>
      <c r="S475" s="1"/>
      <c r="T475" s="1"/>
      <c r="U475" s="1"/>
      <c r="V475" s="38"/>
      <c r="W475" s="1"/>
      <c r="X475" s="1"/>
    </row>
    <row r="476" spans="1:24" ht="14.4">
      <c r="A476" s="1"/>
      <c r="B476" s="94"/>
      <c r="C476" s="1"/>
      <c r="D476" s="1"/>
      <c r="E476" s="1"/>
      <c r="F476" s="94"/>
      <c r="G476" s="94"/>
      <c r="H476" s="94"/>
      <c r="I476" s="94"/>
      <c r="J476" s="94"/>
      <c r="K476" s="94"/>
      <c r="L476" s="94"/>
      <c r="M476" s="26"/>
      <c r="N476" s="26"/>
      <c r="O476" s="1"/>
      <c r="P476" s="1"/>
      <c r="Q476" s="1"/>
      <c r="R476" s="1"/>
      <c r="S476" s="1"/>
      <c r="T476" s="1"/>
      <c r="U476" s="1"/>
      <c r="V476" s="38"/>
      <c r="W476" s="1"/>
      <c r="X476" s="1"/>
    </row>
    <row r="477" spans="1:24" ht="14.4">
      <c r="A477" s="1"/>
      <c r="B477" s="94"/>
      <c r="C477" s="1"/>
      <c r="D477" s="1"/>
      <c r="E477" s="1"/>
      <c r="F477" s="94"/>
      <c r="G477" s="94"/>
      <c r="H477" s="94"/>
      <c r="I477" s="94"/>
      <c r="J477" s="94"/>
      <c r="K477" s="94"/>
      <c r="L477" s="94"/>
      <c r="M477" s="26"/>
      <c r="N477" s="26"/>
      <c r="O477" s="1"/>
      <c r="P477" s="1"/>
      <c r="Q477" s="1"/>
      <c r="R477" s="1"/>
      <c r="S477" s="1"/>
      <c r="T477" s="1"/>
      <c r="U477" s="1"/>
      <c r="V477" s="38"/>
      <c r="W477" s="1"/>
      <c r="X477" s="1"/>
    </row>
    <row r="478" spans="1:24" ht="14.4">
      <c r="A478" s="1"/>
      <c r="B478" s="93"/>
      <c r="C478" s="1"/>
      <c r="D478" s="1"/>
      <c r="E478" s="1"/>
      <c r="F478" s="93"/>
      <c r="G478" s="93"/>
      <c r="H478" s="93"/>
      <c r="I478" s="93"/>
      <c r="J478" s="93"/>
      <c r="K478" s="93"/>
      <c r="L478" s="93"/>
      <c r="M478" s="26"/>
      <c r="N478" s="26"/>
      <c r="O478" s="1"/>
      <c r="P478" s="1"/>
      <c r="Q478" s="1"/>
      <c r="R478" s="1"/>
      <c r="S478" s="1"/>
      <c r="T478" s="1"/>
      <c r="U478" s="1"/>
      <c r="V478" s="38"/>
      <c r="W478" s="1"/>
      <c r="X478" s="1"/>
    </row>
    <row r="479" spans="1:24" ht="14.4">
      <c r="A479" s="1"/>
      <c r="B479" s="94"/>
      <c r="C479" s="1"/>
      <c r="D479" s="1"/>
      <c r="E479" s="1"/>
      <c r="F479" s="94"/>
      <c r="G479" s="94"/>
      <c r="H479" s="94"/>
      <c r="I479" s="94"/>
      <c r="J479" s="94"/>
      <c r="K479" s="94"/>
      <c r="L479" s="94"/>
      <c r="M479" s="26"/>
      <c r="N479" s="26"/>
      <c r="O479" s="1"/>
      <c r="P479" s="1"/>
      <c r="Q479" s="1"/>
      <c r="R479" s="1"/>
      <c r="S479" s="1"/>
      <c r="T479" s="1"/>
      <c r="U479" s="1"/>
      <c r="V479" s="38"/>
      <c r="W479" s="1"/>
      <c r="X479" s="1"/>
    </row>
    <row r="480" spans="1:24" ht="14.4">
      <c r="A480" s="1"/>
      <c r="B480" s="94"/>
      <c r="C480" s="1"/>
      <c r="D480" s="1"/>
      <c r="E480" s="1"/>
      <c r="F480" s="94"/>
      <c r="G480" s="94"/>
      <c r="H480" s="94"/>
      <c r="I480" s="94"/>
      <c r="J480" s="94"/>
      <c r="K480" s="94"/>
      <c r="L480" s="94"/>
      <c r="M480" s="26"/>
      <c r="N480" s="26"/>
      <c r="O480" s="1"/>
      <c r="P480" s="1"/>
      <c r="Q480" s="1"/>
      <c r="R480" s="1"/>
      <c r="S480" s="1"/>
      <c r="T480" s="1"/>
      <c r="U480" s="1"/>
      <c r="V480" s="38"/>
      <c r="W480" s="1"/>
      <c r="X480" s="1"/>
    </row>
    <row r="481" spans="1:24" ht="14.4">
      <c r="A481" s="1"/>
      <c r="B481" s="94"/>
      <c r="C481" s="1"/>
      <c r="D481" s="1"/>
      <c r="E481" s="1"/>
      <c r="F481" s="94"/>
      <c r="G481" s="94"/>
      <c r="H481" s="94"/>
      <c r="I481" s="94"/>
      <c r="J481" s="94"/>
      <c r="K481" s="94"/>
      <c r="L481" s="94"/>
      <c r="M481" s="26"/>
      <c r="N481" s="26"/>
      <c r="O481" s="1"/>
      <c r="P481" s="1"/>
      <c r="Q481" s="1"/>
      <c r="R481" s="1"/>
      <c r="S481" s="1"/>
      <c r="T481" s="1"/>
      <c r="U481" s="1"/>
      <c r="V481" s="38"/>
      <c r="W481" s="1"/>
      <c r="X481" s="1"/>
    </row>
    <row r="482" spans="1:24" ht="14.4">
      <c r="A482" s="1"/>
      <c r="B482" s="94"/>
      <c r="C482" s="1"/>
      <c r="D482" s="1"/>
      <c r="E482" s="1"/>
      <c r="F482" s="94"/>
      <c r="G482" s="94"/>
      <c r="H482" s="94"/>
      <c r="I482" s="94"/>
      <c r="J482" s="94"/>
      <c r="K482" s="94"/>
      <c r="L482" s="94"/>
      <c r="M482" s="26"/>
      <c r="N482" s="26"/>
      <c r="O482" s="1"/>
      <c r="P482" s="1"/>
      <c r="Q482" s="1"/>
      <c r="R482" s="1"/>
      <c r="S482" s="1"/>
      <c r="T482" s="1"/>
      <c r="U482" s="1"/>
      <c r="V482" s="38"/>
      <c r="W482" s="1"/>
      <c r="X482" s="1"/>
    </row>
    <row r="483" spans="1:24" ht="14.4">
      <c r="A483" s="1"/>
      <c r="B483" s="93"/>
      <c r="C483" s="1"/>
      <c r="D483" s="1"/>
      <c r="E483" s="1"/>
      <c r="F483" s="93"/>
      <c r="G483" s="93"/>
      <c r="H483" s="93"/>
      <c r="I483" s="93"/>
      <c r="J483" s="93"/>
      <c r="K483" s="93"/>
      <c r="L483" s="93"/>
      <c r="M483" s="26"/>
      <c r="N483" s="26"/>
      <c r="O483" s="1"/>
      <c r="P483" s="1"/>
      <c r="Q483" s="1"/>
      <c r="R483" s="1"/>
      <c r="S483" s="1"/>
      <c r="T483" s="1"/>
      <c r="U483" s="1"/>
      <c r="V483" s="38"/>
      <c r="W483" s="1"/>
      <c r="X483" s="1"/>
    </row>
    <row r="484" spans="1:24" ht="14.4">
      <c r="A484" s="1"/>
      <c r="B484" s="94"/>
      <c r="C484" s="1"/>
      <c r="D484" s="1"/>
      <c r="E484" s="1"/>
      <c r="F484" s="94"/>
      <c r="G484" s="94"/>
      <c r="H484" s="94"/>
      <c r="I484" s="94"/>
      <c r="J484" s="94"/>
      <c r="K484" s="94"/>
      <c r="L484" s="94"/>
      <c r="M484" s="26"/>
      <c r="N484" s="26"/>
      <c r="O484" s="1"/>
      <c r="P484" s="1"/>
      <c r="Q484" s="1"/>
      <c r="R484" s="1"/>
      <c r="S484" s="1"/>
      <c r="T484" s="1"/>
      <c r="U484" s="1"/>
      <c r="V484" s="38"/>
      <c r="W484" s="1"/>
      <c r="X484" s="1"/>
    </row>
    <row r="485" spans="1:24" ht="14.4">
      <c r="A485" s="1"/>
      <c r="B485" s="94"/>
      <c r="C485" s="1"/>
      <c r="D485" s="1"/>
      <c r="E485" s="1"/>
      <c r="F485" s="94"/>
      <c r="G485" s="94"/>
      <c r="H485" s="94"/>
      <c r="I485" s="94"/>
      <c r="J485" s="94"/>
      <c r="K485" s="94"/>
      <c r="L485" s="94"/>
      <c r="M485" s="26"/>
      <c r="N485" s="26"/>
      <c r="O485" s="1"/>
      <c r="P485" s="1"/>
      <c r="Q485" s="1"/>
      <c r="R485" s="1"/>
      <c r="S485" s="1"/>
      <c r="T485" s="1"/>
      <c r="U485" s="1"/>
      <c r="V485" s="38"/>
      <c r="W485" s="1"/>
      <c r="X485" s="1"/>
    </row>
    <row r="486" spans="1:24" ht="14.4">
      <c r="A486" s="1"/>
      <c r="B486" s="94"/>
      <c r="C486" s="1"/>
      <c r="D486" s="1"/>
      <c r="E486" s="1"/>
      <c r="F486" s="94"/>
      <c r="G486" s="94"/>
      <c r="H486" s="94"/>
      <c r="I486" s="94"/>
      <c r="J486" s="94"/>
      <c r="K486" s="94"/>
      <c r="L486" s="94"/>
      <c r="M486" s="26"/>
      <c r="N486" s="26"/>
      <c r="O486" s="1"/>
      <c r="P486" s="1"/>
      <c r="Q486" s="1"/>
      <c r="R486" s="1"/>
      <c r="S486" s="1"/>
      <c r="T486" s="1"/>
      <c r="U486" s="1"/>
      <c r="V486" s="38"/>
      <c r="W486" s="1"/>
      <c r="X486" s="1"/>
    </row>
    <row r="487" spans="1:24" ht="14.4">
      <c r="A487" s="1"/>
      <c r="B487" s="94"/>
      <c r="C487" s="1"/>
      <c r="D487" s="1"/>
      <c r="E487" s="1"/>
      <c r="F487" s="94"/>
      <c r="G487" s="94"/>
      <c r="H487" s="94"/>
      <c r="I487" s="94"/>
      <c r="J487" s="94"/>
      <c r="K487" s="94"/>
      <c r="L487" s="94"/>
      <c r="M487" s="26"/>
      <c r="N487" s="26"/>
      <c r="O487" s="1"/>
      <c r="P487" s="1"/>
      <c r="Q487" s="1"/>
      <c r="R487" s="1"/>
      <c r="S487" s="1"/>
      <c r="T487" s="1"/>
      <c r="U487" s="1"/>
      <c r="V487" s="38"/>
      <c r="W487" s="1"/>
      <c r="X487" s="1"/>
    </row>
    <row r="488" spans="1:24" ht="14.4">
      <c r="A488" s="1"/>
      <c r="B488" s="93"/>
      <c r="C488" s="1"/>
      <c r="D488" s="1"/>
      <c r="E488" s="1"/>
      <c r="F488" s="93"/>
      <c r="G488" s="93"/>
      <c r="H488" s="93"/>
      <c r="I488" s="93"/>
      <c r="J488" s="93"/>
      <c r="K488" s="93"/>
      <c r="L488" s="93"/>
      <c r="M488" s="26"/>
      <c r="N488" s="26"/>
      <c r="O488" s="1"/>
      <c r="P488" s="1"/>
      <c r="Q488" s="1"/>
      <c r="R488" s="1"/>
      <c r="S488" s="1"/>
      <c r="T488" s="1"/>
      <c r="U488" s="1"/>
      <c r="V488" s="38"/>
      <c r="W488" s="1"/>
      <c r="X488" s="1"/>
    </row>
    <row r="489" spans="1:24" ht="14.4">
      <c r="A489" s="1"/>
      <c r="B489" s="94"/>
      <c r="C489" s="1"/>
      <c r="D489" s="1"/>
      <c r="E489" s="1"/>
      <c r="F489" s="94"/>
      <c r="G489" s="94"/>
      <c r="H489" s="94"/>
      <c r="I489" s="94"/>
      <c r="J489" s="94"/>
      <c r="K489" s="94"/>
      <c r="L489" s="94"/>
      <c r="M489" s="26"/>
      <c r="N489" s="26"/>
      <c r="O489" s="1"/>
      <c r="P489" s="1"/>
      <c r="Q489" s="1"/>
      <c r="R489" s="1"/>
      <c r="S489" s="1"/>
      <c r="T489" s="1"/>
      <c r="U489" s="1"/>
      <c r="V489" s="38"/>
      <c r="W489" s="1"/>
      <c r="X489" s="1"/>
    </row>
    <row r="490" spans="1:24" ht="14.4">
      <c r="A490" s="1"/>
      <c r="B490" s="94"/>
      <c r="C490" s="1"/>
      <c r="D490" s="1"/>
      <c r="E490" s="1"/>
      <c r="F490" s="94"/>
      <c r="G490" s="94"/>
      <c r="H490" s="94"/>
      <c r="I490" s="94"/>
      <c r="J490" s="94"/>
      <c r="K490" s="94"/>
      <c r="L490" s="94"/>
      <c r="M490" s="26"/>
      <c r="N490" s="26"/>
      <c r="O490" s="1"/>
      <c r="P490" s="1"/>
      <c r="Q490" s="1"/>
      <c r="R490" s="1"/>
      <c r="S490" s="1"/>
      <c r="T490" s="1"/>
      <c r="U490" s="1"/>
      <c r="V490" s="38"/>
      <c r="W490" s="1"/>
      <c r="X490" s="1"/>
    </row>
    <row r="491" spans="1:24" ht="14.4">
      <c r="A491" s="1"/>
      <c r="B491" s="94"/>
      <c r="C491" s="1"/>
      <c r="D491" s="1"/>
      <c r="E491" s="1"/>
      <c r="F491" s="94"/>
      <c r="G491" s="94"/>
      <c r="H491" s="94"/>
      <c r="I491" s="94"/>
      <c r="J491" s="94"/>
      <c r="K491" s="94"/>
      <c r="L491" s="94"/>
      <c r="M491" s="26"/>
      <c r="N491" s="26"/>
      <c r="O491" s="1"/>
      <c r="P491" s="1"/>
      <c r="Q491" s="1"/>
      <c r="R491" s="1"/>
      <c r="S491" s="1"/>
      <c r="T491" s="1"/>
      <c r="U491" s="1"/>
      <c r="V491" s="38"/>
      <c r="W491" s="1"/>
      <c r="X491" s="1"/>
    </row>
    <row r="492" spans="1:24" ht="14.4">
      <c r="A492" s="1"/>
      <c r="B492" s="94"/>
      <c r="C492" s="1"/>
      <c r="D492" s="1"/>
      <c r="E492" s="1"/>
      <c r="F492" s="94"/>
      <c r="G492" s="94"/>
      <c r="H492" s="94"/>
      <c r="I492" s="94"/>
      <c r="J492" s="94"/>
      <c r="K492" s="94"/>
      <c r="L492" s="94"/>
      <c r="M492" s="26"/>
      <c r="N492" s="26"/>
      <c r="O492" s="1"/>
      <c r="P492" s="1"/>
      <c r="Q492" s="1"/>
      <c r="R492" s="1"/>
      <c r="S492" s="1"/>
      <c r="T492" s="1"/>
      <c r="U492" s="1"/>
      <c r="V492" s="38"/>
      <c r="W492" s="1"/>
      <c r="X492" s="1"/>
    </row>
    <row r="493" spans="1:24" ht="14.4">
      <c r="A493" s="1"/>
      <c r="B493" s="93"/>
      <c r="C493" s="1"/>
      <c r="D493" s="1"/>
      <c r="E493" s="1"/>
      <c r="F493" s="93"/>
      <c r="G493" s="93"/>
      <c r="H493" s="93"/>
      <c r="I493" s="93"/>
      <c r="J493" s="93"/>
      <c r="K493" s="93"/>
      <c r="L493" s="93"/>
      <c r="M493" s="26"/>
      <c r="N493" s="26"/>
      <c r="O493" s="1"/>
      <c r="P493" s="1"/>
      <c r="Q493" s="1"/>
      <c r="R493" s="1"/>
      <c r="S493" s="1"/>
      <c r="T493" s="1"/>
      <c r="U493" s="1"/>
      <c r="V493" s="38"/>
      <c r="W493" s="1"/>
      <c r="X493" s="1"/>
    </row>
    <row r="494" spans="1:24" ht="14.4">
      <c r="A494" s="1"/>
      <c r="B494" s="94"/>
      <c r="C494" s="1"/>
      <c r="D494" s="1"/>
      <c r="E494" s="1"/>
      <c r="F494" s="94"/>
      <c r="G494" s="94"/>
      <c r="H494" s="94"/>
      <c r="I494" s="94"/>
      <c r="J494" s="94"/>
      <c r="K494" s="94"/>
      <c r="L494" s="94"/>
      <c r="M494" s="26"/>
      <c r="N494" s="26"/>
      <c r="O494" s="1"/>
      <c r="P494" s="1"/>
      <c r="Q494" s="1"/>
      <c r="R494" s="1"/>
      <c r="S494" s="1"/>
      <c r="T494" s="1"/>
      <c r="U494" s="1"/>
      <c r="V494" s="38"/>
      <c r="W494" s="1"/>
      <c r="X494" s="1"/>
    </row>
    <row r="495" spans="1:24" ht="14.4">
      <c r="A495" s="1"/>
      <c r="B495" s="94"/>
      <c r="C495" s="1"/>
      <c r="D495" s="1"/>
      <c r="E495" s="1"/>
      <c r="F495" s="94"/>
      <c r="G495" s="94"/>
      <c r="H495" s="94"/>
      <c r="I495" s="94"/>
      <c r="J495" s="94"/>
      <c r="K495" s="94"/>
      <c r="L495" s="94"/>
      <c r="M495" s="26"/>
      <c r="N495" s="26"/>
      <c r="O495" s="1"/>
      <c r="P495" s="1"/>
      <c r="Q495" s="1"/>
      <c r="R495" s="1"/>
      <c r="S495" s="1"/>
      <c r="T495" s="1"/>
      <c r="U495" s="1"/>
      <c r="V495" s="38"/>
      <c r="W495" s="1"/>
      <c r="X495" s="1"/>
    </row>
    <row r="496" spans="1:24" ht="14.4">
      <c r="A496" s="1"/>
      <c r="B496" s="94"/>
      <c r="C496" s="1"/>
      <c r="D496" s="1"/>
      <c r="E496" s="1"/>
      <c r="F496" s="94"/>
      <c r="G496" s="94"/>
      <c r="H496" s="94"/>
      <c r="I496" s="94"/>
      <c r="J496" s="94"/>
      <c r="K496" s="94"/>
      <c r="L496" s="94"/>
      <c r="M496" s="26"/>
      <c r="N496" s="26"/>
      <c r="O496" s="1"/>
      <c r="P496" s="1"/>
      <c r="Q496" s="1"/>
      <c r="R496" s="1"/>
      <c r="S496" s="1"/>
      <c r="T496" s="1"/>
      <c r="U496" s="1"/>
      <c r="V496" s="38"/>
      <c r="W496" s="1"/>
      <c r="X496" s="1"/>
    </row>
    <row r="497" spans="1:24" ht="14.4">
      <c r="A497" s="1"/>
      <c r="B497" s="94"/>
      <c r="C497" s="1"/>
      <c r="D497" s="1"/>
      <c r="E497" s="1"/>
      <c r="F497" s="94"/>
      <c r="G497" s="94"/>
      <c r="H497" s="94"/>
      <c r="I497" s="94"/>
      <c r="J497" s="94"/>
      <c r="K497" s="94"/>
      <c r="L497" s="94"/>
      <c r="M497" s="26"/>
      <c r="N497" s="26"/>
      <c r="O497" s="1"/>
      <c r="P497" s="1"/>
      <c r="Q497" s="1"/>
      <c r="R497" s="1"/>
      <c r="S497" s="1"/>
      <c r="T497" s="1"/>
      <c r="U497" s="1"/>
      <c r="V497" s="38"/>
      <c r="W497" s="1"/>
      <c r="X497" s="1"/>
    </row>
    <row r="498" spans="1:24" ht="14.4">
      <c r="A498" s="1"/>
      <c r="B498" s="93"/>
      <c r="C498" s="1"/>
      <c r="D498" s="1"/>
      <c r="E498" s="1"/>
      <c r="F498" s="93"/>
      <c r="G498" s="93"/>
      <c r="H498" s="93"/>
      <c r="I498" s="93"/>
      <c r="J498" s="93"/>
      <c r="K498" s="93"/>
      <c r="L498" s="93"/>
      <c r="M498" s="26"/>
      <c r="N498" s="26"/>
      <c r="O498" s="1"/>
      <c r="P498" s="1"/>
      <c r="Q498" s="1"/>
      <c r="R498" s="1"/>
      <c r="S498" s="1"/>
      <c r="T498" s="1"/>
      <c r="U498" s="1"/>
      <c r="V498" s="38"/>
      <c r="W498" s="1"/>
      <c r="X498" s="1"/>
    </row>
    <row r="499" spans="1:24" ht="14.4">
      <c r="A499" s="1"/>
      <c r="B499" s="94"/>
      <c r="C499" s="1"/>
      <c r="D499" s="1"/>
      <c r="E499" s="1"/>
      <c r="F499" s="94"/>
      <c r="G499" s="94"/>
      <c r="H499" s="94"/>
      <c r="I499" s="94"/>
      <c r="J499" s="94"/>
      <c r="K499" s="94"/>
      <c r="L499" s="94"/>
      <c r="M499" s="26"/>
      <c r="N499" s="26"/>
      <c r="O499" s="1"/>
      <c r="P499" s="1"/>
      <c r="Q499" s="1"/>
      <c r="R499" s="1"/>
      <c r="S499" s="1"/>
      <c r="T499" s="1"/>
      <c r="U499" s="1"/>
      <c r="V499" s="38"/>
      <c r="W499" s="1"/>
      <c r="X499" s="1"/>
    </row>
    <row r="500" spans="1:24" ht="14.4">
      <c r="A500" s="1"/>
      <c r="B500" s="94"/>
      <c r="C500" s="1"/>
      <c r="D500" s="1"/>
      <c r="E500" s="1"/>
      <c r="F500" s="94"/>
      <c r="G500" s="94"/>
      <c r="H500" s="94"/>
      <c r="I500" s="94"/>
      <c r="J500" s="94"/>
      <c r="K500" s="94"/>
      <c r="L500" s="94"/>
      <c r="M500" s="26"/>
      <c r="N500" s="26"/>
      <c r="O500" s="1"/>
      <c r="P500" s="1"/>
      <c r="Q500" s="1"/>
      <c r="R500" s="1"/>
      <c r="S500" s="1"/>
      <c r="T500" s="1"/>
      <c r="U500" s="1"/>
      <c r="V500" s="38"/>
      <c r="W500" s="1"/>
      <c r="X500" s="1"/>
    </row>
    <row r="501" spans="1:24" ht="14.4">
      <c r="A501" s="1"/>
      <c r="B501" s="94"/>
      <c r="C501" s="1"/>
      <c r="D501" s="1"/>
      <c r="E501" s="1"/>
      <c r="F501" s="94"/>
      <c r="G501" s="94"/>
      <c r="H501" s="94"/>
      <c r="I501" s="94"/>
      <c r="J501" s="94"/>
      <c r="K501" s="94"/>
      <c r="L501" s="94"/>
      <c r="M501" s="26"/>
      <c r="N501" s="26"/>
      <c r="O501" s="1"/>
      <c r="P501" s="1"/>
      <c r="Q501" s="1"/>
      <c r="R501" s="1"/>
      <c r="S501" s="1"/>
      <c r="T501" s="1"/>
      <c r="U501" s="1"/>
      <c r="V501" s="38"/>
      <c r="W501" s="1"/>
      <c r="X501" s="1"/>
    </row>
    <row r="502" spans="1:24" ht="14.4">
      <c r="A502" s="1"/>
      <c r="B502" s="94"/>
      <c r="C502" s="1"/>
      <c r="D502" s="1"/>
      <c r="E502" s="1"/>
      <c r="F502" s="94"/>
      <c r="G502" s="94"/>
      <c r="H502" s="94"/>
      <c r="I502" s="94"/>
      <c r="J502" s="94"/>
      <c r="K502" s="94"/>
      <c r="L502" s="94"/>
      <c r="M502" s="26"/>
      <c r="N502" s="26"/>
      <c r="O502" s="1"/>
      <c r="P502" s="1"/>
      <c r="Q502" s="1"/>
      <c r="R502" s="1"/>
      <c r="S502" s="1"/>
      <c r="T502" s="1"/>
      <c r="U502" s="1"/>
      <c r="V502" s="38"/>
      <c r="W502" s="1"/>
      <c r="X502" s="1"/>
    </row>
    <row r="503" spans="1:24" ht="14.4">
      <c r="A503" s="1"/>
      <c r="B503" s="93"/>
      <c r="C503" s="1"/>
      <c r="D503" s="1"/>
      <c r="E503" s="1"/>
      <c r="F503" s="93"/>
      <c r="G503" s="93"/>
      <c r="H503" s="93"/>
      <c r="I503" s="93"/>
      <c r="J503" s="93"/>
      <c r="K503" s="93"/>
      <c r="L503" s="93"/>
      <c r="M503" s="26"/>
      <c r="N503" s="26"/>
      <c r="O503" s="1"/>
      <c r="P503" s="1"/>
      <c r="Q503" s="1"/>
      <c r="R503" s="1"/>
      <c r="S503" s="1"/>
      <c r="T503" s="1"/>
      <c r="U503" s="1"/>
      <c r="V503" s="38"/>
      <c r="W503" s="1"/>
      <c r="X503" s="1"/>
    </row>
    <row r="504" spans="1:24" ht="14.4">
      <c r="A504" s="1"/>
      <c r="B504" s="94"/>
      <c r="C504" s="1"/>
      <c r="D504" s="1"/>
      <c r="E504" s="1"/>
      <c r="F504" s="94"/>
      <c r="G504" s="94"/>
      <c r="H504" s="94"/>
      <c r="I504" s="94"/>
      <c r="J504" s="94"/>
      <c r="K504" s="94"/>
      <c r="L504" s="94"/>
      <c r="M504" s="26"/>
      <c r="N504" s="26"/>
      <c r="O504" s="1"/>
      <c r="P504" s="1"/>
      <c r="Q504" s="1"/>
      <c r="R504" s="1"/>
      <c r="S504" s="1"/>
      <c r="T504" s="1"/>
      <c r="U504" s="1"/>
      <c r="V504" s="38"/>
      <c r="W504" s="1"/>
      <c r="X504" s="1"/>
    </row>
    <row r="505" spans="1:24" ht="14.4">
      <c r="A505" s="1"/>
      <c r="B505" s="94"/>
      <c r="C505" s="1"/>
      <c r="D505" s="1"/>
      <c r="E505" s="1"/>
      <c r="F505" s="94"/>
      <c r="G505" s="94"/>
      <c r="H505" s="94"/>
      <c r="I505" s="94"/>
      <c r="J505" s="94"/>
      <c r="K505" s="94"/>
      <c r="L505" s="94"/>
      <c r="M505" s="26"/>
      <c r="N505" s="26"/>
      <c r="O505" s="1"/>
      <c r="P505" s="1"/>
      <c r="Q505" s="1"/>
      <c r="R505" s="1"/>
      <c r="S505" s="1"/>
      <c r="T505" s="1"/>
      <c r="U505" s="1"/>
      <c r="V505" s="38"/>
      <c r="W505" s="1"/>
      <c r="X505" s="1"/>
    </row>
    <row r="506" spans="1:24" ht="14.4">
      <c r="A506" s="1"/>
      <c r="B506" s="94"/>
      <c r="C506" s="1"/>
      <c r="D506" s="1"/>
      <c r="E506" s="1"/>
      <c r="F506" s="94"/>
      <c r="G506" s="94"/>
      <c r="H506" s="94"/>
      <c r="I506" s="94"/>
      <c r="J506" s="94"/>
      <c r="K506" s="94"/>
      <c r="L506" s="94"/>
      <c r="M506" s="26"/>
      <c r="N506" s="26"/>
      <c r="O506" s="1"/>
      <c r="P506" s="1"/>
      <c r="Q506" s="1"/>
      <c r="R506" s="1"/>
      <c r="S506" s="1"/>
      <c r="T506" s="1"/>
      <c r="U506" s="1"/>
      <c r="V506" s="38"/>
      <c r="W506" s="1"/>
      <c r="X506" s="1"/>
    </row>
    <row r="507" spans="1:24" ht="14.4">
      <c r="A507" s="1"/>
      <c r="B507" s="94"/>
      <c r="C507" s="1"/>
      <c r="D507" s="1"/>
      <c r="E507" s="1"/>
      <c r="F507" s="94"/>
      <c r="G507" s="94"/>
      <c r="H507" s="94"/>
      <c r="I507" s="94"/>
      <c r="J507" s="94"/>
      <c r="K507" s="94"/>
      <c r="L507" s="94"/>
      <c r="M507" s="26"/>
      <c r="N507" s="26"/>
      <c r="O507" s="1"/>
      <c r="P507" s="1"/>
      <c r="Q507" s="1"/>
      <c r="R507" s="1"/>
      <c r="S507" s="1"/>
      <c r="T507" s="1"/>
      <c r="U507" s="1"/>
      <c r="V507" s="38"/>
      <c r="W507" s="1"/>
      <c r="X507" s="1"/>
    </row>
    <row r="508" spans="1:24" ht="14.4">
      <c r="A508" s="1"/>
      <c r="B508" s="93"/>
      <c r="C508" s="1"/>
      <c r="D508" s="1"/>
      <c r="E508" s="1"/>
      <c r="F508" s="93"/>
      <c r="G508" s="93"/>
      <c r="H508" s="93"/>
      <c r="I508" s="93"/>
      <c r="J508" s="93"/>
      <c r="K508" s="93"/>
      <c r="L508" s="93"/>
      <c r="M508" s="26"/>
      <c r="N508" s="26"/>
      <c r="O508" s="1"/>
      <c r="P508" s="1"/>
      <c r="Q508" s="1"/>
      <c r="R508" s="1"/>
      <c r="S508" s="1"/>
      <c r="T508" s="1"/>
      <c r="U508" s="1"/>
      <c r="V508" s="38"/>
      <c r="W508" s="1"/>
      <c r="X508" s="1"/>
    </row>
    <row r="509" spans="1:24" ht="14.4">
      <c r="A509" s="1"/>
      <c r="B509" s="94"/>
      <c r="C509" s="1"/>
      <c r="D509" s="1"/>
      <c r="E509" s="1"/>
      <c r="F509" s="94"/>
      <c r="G509" s="94"/>
      <c r="H509" s="94"/>
      <c r="I509" s="94"/>
      <c r="J509" s="94"/>
      <c r="K509" s="94"/>
      <c r="L509" s="94"/>
      <c r="M509" s="26"/>
      <c r="N509" s="26"/>
      <c r="O509" s="1"/>
      <c r="P509" s="1"/>
      <c r="Q509" s="1"/>
      <c r="R509" s="1"/>
      <c r="S509" s="1"/>
      <c r="T509" s="1"/>
      <c r="U509" s="1"/>
      <c r="V509" s="38"/>
      <c r="W509" s="1"/>
      <c r="X509" s="1"/>
    </row>
    <row r="510" spans="1:24" ht="14.4">
      <c r="A510" s="1"/>
      <c r="B510" s="94"/>
      <c r="C510" s="1"/>
      <c r="D510" s="1"/>
      <c r="E510" s="1"/>
      <c r="F510" s="94"/>
      <c r="G510" s="94"/>
      <c r="H510" s="94"/>
      <c r="I510" s="94"/>
      <c r="J510" s="94"/>
      <c r="K510" s="94"/>
      <c r="L510" s="94"/>
      <c r="M510" s="26"/>
      <c r="N510" s="26"/>
      <c r="O510" s="1"/>
      <c r="P510" s="1"/>
      <c r="Q510" s="1"/>
      <c r="R510" s="1"/>
      <c r="S510" s="1"/>
      <c r="T510" s="1"/>
      <c r="U510" s="1"/>
      <c r="V510" s="38"/>
      <c r="W510" s="1"/>
      <c r="X510" s="1"/>
    </row>
    <row r="511" spans="1:24" ht="14.4">
      <c r="A511" s="1"/>
      <c r="B511" s="94"/>
      <c r="C511" s="1"/>
      <c r="D511" s="1"/>
      <c r="E511" s="1"/>
      <c r="F511" s="94"/>
      <c r="G511" s="94"/>
      <c r="H511" s="94"/>
      <c r="I511" s="94"/>
      <c r="J511" s="94"/>
      <c r="K511" s="94"/>
      <c r="L511" s="94"/>
      <c r="M511" s="26"/>
      <c r="N511" s="26"/>
      <c r="O511" s="1"/>
      <c r="P511" s="1"/>
      <c r="Q511" s="1"/>
      <c r="R511" s="1"/>
      <c r="S511" s="1"/>
      <c r="T511" s="1"/>
      <c r="U511" s="1"/>
      <c r="V511" s="38"/>
      <c r="W511" s="1"/>
      <c r="X511" s="1"/>
    </row>
    <row r="512" spans="1:24" ht="14.4">
      <c r="A512" s="1"/>
      <c r="B512" s="94"/>
      <c r="C512" s="1"/>
      <c r="D512" s="1"/>
      <c r="E512" s="1"/>
      <c r="F512" s="94"/>
      <c r="G512" s="94"/>
      <c r="H512" s="94"/>
      <c r="I512" s="94"/>
      <c r="J512" s="94"/>
      <c r="K512" s="94"/>
      <c r="L512" s="94"/>
      <c r="M512" s="26"/>
      <c r="N512" s="26"/>
      <c r="O512" s="1"/>
      <c r="P512" s="1"/>
      <c r="Q512" s="1"/>
      <c r="R512" s="1"/>
      <c r="S512" s="1"/>
      <c r="T512" s="1"/>
      <c r="U512" s="1"/>
      <c r="V512" s="38"/>
      <c r="W512" s="1"/>
      <c r="X512" s="1"/>
    </row>
    <row r="513" spans="1:24" ht="14.4">
      <c r="A513" s="1"/>
      <c r="B513" s="93"/>
      <c r="C513" s="1"/>
      <c r="D513" s="1"/>
      <c r="E513" s="1"/>
      <c r="F513" s="93"/>
      <c r="G513" s="93"/>
      <c r="H513" s="93"/>
      <c r="I513" s="93"/>
      <c r="J513" s="93"/>
      <c r="K513" s="93"/>
      <c r="L513" s="93"/>
      <c r="M513" s="26"/>
      <c r="N513" s="26"/>
      <c r="O513" s="1"/>
      <c r="P513" s="1"/>
      <c r="Q513" s="1"/>
      <c r="R513" s="1"/>
      <c r="S513" s="1"/>
      <c r="T513" s="1"/>
      <c r="U513" s="1"/>
      <c r="V513" s="38"/>
      <c r="W513" s="1"/>
      <c r="X513" s="1"/>
    </row>
    <row r="514" spans="1:24" ht="14.4">
      <c r="A514" s="1"/>
      <c r="B514" s="94"/>
      <c r="C514" s="1"/>
      <c r="D514" s="1"/>
      <c r="E514" s="1"/>
      <c r="F514" s="94"/>
      <c r="G514" s="94"/>
      <c r="H514" s="94"/>
      <c r="I514" s="94"/>
      <c r="J514" s="94"/>
      <c r="K514" s="94"/>
      <c r="L514" s="94"/>
      <c r="M514" s="26"/>
      <c r="N514" s="26"/>
      <c r="O514" s="1"/>
      <c r="P514" s="1"/>
      <c r="Q514" s="1"/>
      <c r="R514" s="1"/>
      <c r="S514" s="1"/>
      <c r="T514" s="1"/>
      <c r="U514" s="1"/>
      <c r="V514" s="38"/>
      <c r="W514" s="1"/>
      <c r="X514" s="1"/>
    </row>
    <row r="515" spans="1:24" ht="14.4">
      <c r="A515" s="1"/>
      <c r="B515" s="94"/>
      <c r="C515" s="1"/>
      <c r="D515" s="1"/>
      <c r="E515" s="1"/>
      <c r="F515" s="94"/>
      <c r="G515" s="94"/>
      <c r="H515" s="94"/>
      <c r="I515" s="94"/>
      <c r="J515" s="94"/>
      <c r="K515" s="94"/>
      <c r="L515" s="94"/>
      <c r="M515" s="26"/>
      <c r="N515" s="26"/>
      <c r="O515" s="1"/>
      <c r="P515" s="1"/>
      <c r="Q515" s="1"/>
      <c r="R515" s="1"/>
      <c r="S515" s="1"/>
      <c r="T515" s="1"/>
      <c r="U515" s="1"/>
      <c r="V515" s="38"/>
      <c r="W515" s="1"/>
      <c r="X515" s="1"/>
    </row>
    <row r="516" spans="1:24" ht="14.4">
      <c r="A516" s="1"/>
      <c r="B516" s="94"/>
      <c r="C516" s="1"/>
      <c r="D516" s="1"/>
      <c r="E516" s="1"/>
      <c r="F516" s="94"/>
      <c r="G516" s="94"/>
      <c r="H516" s="94"/>
      <c r="I516" s="94"/>
      <c r="J516" s="94"/>
      <c r="K516" s="94"/>
      <c r="L516" s="94"/>
      <c r="M516" s="26"/>
      <c r="N516" s="26"/>
      <c r="O516" s="1"/>
      <c r="P516" s="1"/>
      <c r="Q516" s="1"/>
      <c r="R516" s="1"/>
      <c r="S516" s="1"/>
      <c r="T516" s="1"/>
      <c r="U516" s="1"/>
      <c r="V516" s="38"/>
      <c r="W516" s="1"/>
      <c r="X516" s="1"/>
    </row>
    <row r="517" spans="1:24" ht="14.4">
      <c r="A517" s="1"/>
      <c r="B517" s="94"/>
      <c r="C517" s="1"/>
      <c r="D517" s="1"/>
      <c r="E517" s="1"/>
      <c r="F517" s="94"/>
      <c r="G517" s="94"/>
      <c r="H517" s="94"/>
      <c r="I517" s="94"/>
      <c r="J517" s="94"/>
      <c r="K517" s="94"/>
      <c r="L517" s="94"/>
      <c r="M517" s="26"/>
      <c r="N517" s="26"/>
      <c r="O517" s="1"/>
      <c r="P517" s="1"/>
      <c r="Q517" s="1"/>
      <c r="R517" s="1"/>
      <c r="S517" s="1"/>
      <c r="T517" s="1"/>
      <c r="U517" s="1"/>
      <c r="V517" s="38"/>
      <c r="W517" s="1"/>
      <c r="X517" s="1"/>
    </row>
    <row r="518" spans="1:24" ht="14.4">
      <c r="A518" s="1"/>
      <c r="B518" s="93"/>
      <c r="C518" s="1"/>
      <c r="D518" s="1"/>
      <c r="E518" s="1"/>
      <c r="F518" s="93"/>
      <c r="G518" s="93"/>
      <c r="H518" s="93"/>
      <c r="I518" s="93"/>
      <c r="J518" s="93"/>
      <c r="K518" s="93"/>
      <c r="L518" s="93"/>
      <c r="M518" s="26"/>
      <c r="N518" s="26"/>
      <c r="O518" s="1"/>
      <c r="P518" s="1"/>
      <c r="Q518" s="1"/>
      <c r="R518" s="1"/>
      <c r="S518" s="1"/>
      <c r="T518" s="1"/>
      <c r="U518" s="1"/>
      <c r="V518" s="38"/>
      <c r="W518" s="1"/>
      <c r="X518" s="1"/>
    </row>
    <row r="519" spans="1:24" ht="14.4">
      <c r="A519" s="1"/>
      <c r="B519" s="94"/>
      <c r="C519" s="1"/>
      <c r="D519" s="1"/>
      <c r="E519" s="1"/>
      <c r="F519" s="94"/>
      <c r="G519" s="94"/>
      <c r="H519" s="94"/>
      <c r="I519" s="94"/>
      <c r="J519" s="94"/>
      <c r="K519" s="94"/>
      <c r="L519" s="94"/>
      <c r="M519" s="26"/>
      <c r="N519" s="26"/>
      <c r="O519" s="1"/>
      <c r="P519" s="1"/>
      <c r="Q519" s="1"/>
      <c r="R519" s="1"/>
      <c r="S519" s="1"/>
      <c r="T519" s="1"/>
      <c r="U519" s="1"/>
      <c r="V519" s="38"/>
      <c r="W519" s="1"/>
      <c r="X519" s="1"/>
    </row>
    <row r="520" spans="1:24" ht="14.4">
      <c r="A520" s="1"/>
      <c r="B520" s="94"/>
      <c r="C520" s="1"/>
      <c r="D520" s="1"/>
      <c r="E520" s="1"/>
      <c r="F520" s="94"/>
      <c r="G520" s="94"/>
      <c r="H520" s="94"/>
      <c r="I520" s="94"/>
      <c r="J520" s="94"/>
      <c r="K520" s="94"/>
      <c r="L520" s="94"/>
      <c r="M520" s="26"/>
      <c r="N520" s="26"/>
      <c r="O520" s="1"/>
      <c r="P520" s="1"/>
      <c r="Q520" s="1"/>
      <c r="R520" s="1"/>
      <c r="S520" s="1"/>
      <c r="T520" s="1"/>
      <c r="U520" s="1"/>
      <c r="V520" s="38"/>
      <c r="W520" s="1"/>
      <c r="X520" s="1"/>
    </row>
    <row r="521" spans="1:24" ht="14.4">
      <c r="A521" s="1"/>
      <c r="B521" s="94"/>
      <c r="C521" s="1"/>
      <c r="D521" s="1"/>
      <c r="E521" s="1"/>
      <c r="F521" s="94"/>
      <c r="G521" s="94"/>
      <c r="H521" s="94"/>
      <c r="I521" s="94"/>
      <c r="J521" s="94"/>
      <c r="K521" s="94"/>
      <c r="L521" s="94"/>
      <c r="M521" s="26"/>
      <c r="N521" s="26"/>
      <c r="O521" s="1"/>
      <c r="P521" s="1"/>
      <c r="Q521" s="1"/>
      <c r="R521" s="1"/>
      <c r="S521" s="1"/>
      <c r="T521" s="1"/>
      <c r="U521" s="1"/>
      <c r="V521" s="38"/>
      <c r="W521" s="1"/>
      <c r="X521" s="1"/>
    </row>
    <row r="522" spans="1:24" ht="14.4">
      <c r="A522" s="1"/>
      <c r="B522" s="94"/>
      <c r="C522" s="1"/>
      <c r="D522" s="1"/>
      <c r="E522" s="1"/>
      <c r="F522" s="94"/>
      <c r="G522" s="94"/>
      <c r="H522" s="94"/>
      <c r="I522" s="94"/>
      <c r="J522" s="94"/>
      <c r="K522" s="94"/>
      <c r="L522" s="94"/>
      <c r="M522" s="26"/>
      <c r="N522" s="26"/>
      <c r="O522" s="1"/>
      <c r="P522" s="1"/>
      <c r="Q522" s="1"/>
      <c r="R522" s="1"/>
      <c r="S522" s="1"/>
      <c r="T522" s="1"/>
      <c r="U522" s="1"/>
      <c r="V522" s="38"/>
      <c r="W522" s="1"/>
      <c r="X522" s="1"/>
    </row>
    <row r="523" spans="1:24" ht="14.4">
      <c r="A523" s="1"/>
      <c r="B523" s="93"/>
      <c r="C523" s="1"/>
      <c r="D523" s="1"/>
      <c r="E523" s="1"/>
      <c r="F523" s="93"/>
      <c r="G523" s="93"/>
      <c r="H523" s="93"/>
      <c r="I523" s="93"/>
      <c r="J523" s="93"/>
      <c r="K523" s="93"/>
      <c r="L523" s="93"/>
      <c r="M523" s="26"/>
      <c r="N523" s="26"/>
      <c r="O523" s="1"/>
      <c r="P523" s="1"/>
      <c r="Q523" s="1"/>
      <c r="R523" s="1"/>
      <c r="S523" s="1"/>
      <c r="T523" s="1"/>
      <c r="U523" s="1"/>
      <c r="V523" s="38"/>
      <c r="W523" s="1"/>
      <c r="X523" s="1"/>
    </row>
    <row r="524" spans="1:24" ht="14.4">
      <c r="A524" s="1"/>
      <c r="B524" s="94"/>
      <c r="C524" s="1"/>
      <c r="D524" s="1"/>
      <c r="E524" s="1"/>
      <c r="F524" s="94"/>
      <c r="G524" s="94"/>
      <c r="H524" s="94"/>
      <c r="I524" s="94"/>
      <c r="J524" s="94"/>
      <c r="K524" s="94"/>
      <c r="L524" s="94"/>
      <c r="M524" s="26"/>
      <c r="N524" s="26"/>
      <c r="O524" s="1"/>
      <c r="P524" s="1"/>
      <c r="Q524" s="1"/>
      <c r="R524" s="1"/>
      <c r="S524" s="1"/>
      <c r="T524" s="1"/>
      <c r="U524" s="1"/>
      <c r="V524" s="38"/>
      <c r="W524" s="1"/>
      <c r="X524" s="1"/>
    </row>
    <row r="525" spans="1:24" ht="14.4">
      <c r="A525" s="1"/>
      <c r="B525" s="94"/>
      <c r="C525" s="1"/>
      <c r="D525" s="1"/>
      <c r="E525" s="1"/>
      <c r="F525" s="94"/>
      <c r="G525" s="94"/>
      <c r="H525" s="94"/>
      <c r="I525" s="94"/>
      <c r="J525" s="94"/>
      <c r="K525" s="94"/>
      <c r="L525" s="94"/>
      <c r="M525" s="26"/>
      <c r="N525" s="26"/>
      <c r="O525" s="1"/>
      <c r="P525" s="1"/>
      <c r="Q525" s="1"/>
      <c r="R525" s="1"/>
      <c r="S525" s="1"/>
      <c r="T525" s="1"/>
      <c r="U525" s="1"/>
      <c r="V525" s="38"/>
      <c r="W525" s="1"/>
      <c r="X525" s="1"/>
    </row>
    <row r="526" spans="1:24" ht="14.4">
      <c r="A526" s="1"/>
      <c r="B526" s="94"/>
      <c r="C526" s="1"/>
      <c r="D526" s="1"/>
      <c r="E526" s="1"/>
      <c r="F526" s="94"/>
      <c r="G526" s="94"/>
      <c r="H526" s="94"/>
      <c r="I526" s="94"/>
      <c r="J526" s="94"/>
      <c r="K526" s="94"/>
      <c r="L526" s="94"/>
      <c r="M526" s="26"/>
      <c r="N526" s="26"/>
      <c r="O526" s="1"/>
      <c r="P526" s="1"/>
      <c r="Q526" s="1"/>
      <c r="R526" s="1"/>
      <c r="S526" s="1"/>
      <c r="T526" s="1"/>
      <c r="U526" s="1"/>
      <c r="V526" s="38"/>
      <c r="W526" s="1"/>
      <c r="X526" s="1"/>
    </row>
    <row r="527" spans="1:24" ht="14.4">
      <c r="A527" s="1"/>
      <c r="B527" s="94"/>
      <c r="C527" s="1"/>
      <c r="D527" s="1"/>
      <c r="E527" s="1"/>
      <c r="F527" s="94"/>
      <c r="G527" s="94"/>
      <c r="H527" s="94"/>
      <c r="I527" s="94"/>
      <c r="J527" s="94"/>
      <c r="K527" s="94"/>
      <c r="L527" s="94"/>
      <c r="M527" s="26"/>
      <c r="N527" s="26"/>
      <c r="O527" s="1"/>
      <c r="P527" s="1"/>
      <c r="Q527" s="1"/>
      <c r="R527" s="1"/>
      <c r="S527" s="1"/>
      <c r="T527" s="1"/>
      <c r="U527" s="1"/>
      <c r="V527" s="38"/>
      <c r="W527" s="1"/>
      <c r="X527" s="1"/>
    </row>
    <row r="528" spans="1:24" ht="14.4">
      <c r="A528" s="1"/>
      <c r="B528" s="93"/>
      <c r="C528" s="1"/>
      <c r="D528" s="1"/>
      <c r="E528" s="1"/>
      <c r="F528" s="93"/>
      <c r="G528" s="93"/>
      <c r="H528" s="93"/>
      <c r="I528" s="93"/>
      <c r="J528" s="93"/>
      <c r="K528" s="93"/>
      <c r="L528" s="93"/>
      <c r="M528" s="26"/>
      <c r="N528" s="26"/>
      <c r="O528" s="1"/>
      <c r="P528" s="1"/>
      <c r="Q528" s="1"/>
      <c r="R528" s="1"/>
      <c r="S528" s="1"/>
      <c r="T528" s="1"/>
      <c r="U528" s="1"/>
      <c r="V528" s="38"/>
      <c r="W528" s="1"/>
      <c r="X528" s="1"/>
    </row>
    <row r="529" spans="1:24" ht="14.4">
      <c r="A529" s="1"/>
      <c r="B529" s="94"/>
      <c r="C529" s="1"/>
      <c r="D529" s="1"/>
      <c r="E529" s="1"/>
      <c r="F529" s="94"/>
      <c r="G529" s="94"/>
      <c r="H529" s="94"/>
      <c r="I529" s="94"/>
      <c r="J529" s="94"/>
      <c r="K529" s="94"/>
      <c r="L529" s="94"/>
      <c r="M529" s="26"/>
      <c r="N529" s="26"/>
      <c r="O529" s="1"/>
      <c r="P529" s="1"/>
      <c r="Q529" s="1"/>
      <c r="R529" s="1"/>
      <c r="S529" s="1"/>
      <c r="T529" s="1"/>
      <c r="U529" s="1"/>
      <c r="V529" s="38"/>
      <c r="W529" s="1"/>
      <c r="X529" s="1"/>
    </row>
    <row r="530" spans="1:24" ht="14.4">
      <c r="A530" s="1"/>
      <c r="B530" s="94"/>
      <c r="C530" s="1"/>
      <c r="D530" s="1"/>
      <c r="E530" s="1"/>
      <c r="F530" s="94"/>
      <c r="G530" s="94"/>
      <c r="H530" s="94"/>
      <c r="I530" s="94"/>
      <c r="J530" s="94"/>
      <c r="K530" s="94"/>
      <c r="L530" s="94"/>
      <c r="M530" s="26"/>
      <c r="N530" s="26"/>
      <c r="O530" s="1"/>
      <c r="P530" s="1"/>
      <c r="Q530" s="1"/>
      <c r="R530" s="1"/>
      <c r="S530" s="1"/>
      <c r="T530" s="1"/>
      <c r="U530" s="1"/>
      <c r="V530" s="38"/>
      <c r="W530" s="1"/>
      <c r="X530" s="1"/>
    </row>
    <row r="531" spans="1:24" ht="14.4">
      <c r="A531" s="1"/>
      <c r="B531" s="94"/>
      <c r="C531" s="1"/>
      <c r="D531" s="1"/>
      <c r="E531" s="1"/>
      <c r="F531" s="94"/>
      <c r="G531" s="94"/>
      <c r="H531" s="94"/>
      <c r="I531" s="94"/>
      <c r="J531" s="94"/>
      <c r="K531" s="94"/>
      <c r="L531" s="94"/>
      <c r="M531" s="26"/>
      <c r="N531" s="26"/>
      <c r="O531" s="1"/>
      <c r="P531" s="1"/>
      <c r="Q531" s="1"/>
      <c r="R531" s="1"/>
      <c r="S531" s="1"/>
      <c r="T531" s="1"/>
      <c r="U531" s="1"/>
      <c r="V531" s="38"/>
      <c r="W531" s="1"/>
      <c r="X531" s="1"/>
    </row>
    <row r="532" spans="1:24" ht="14.4">
      <c r="A532" s="1"/>
      <c r="B532" s="94"/>
      <c r="C532" s="1"/>
      <c r="D532" s="1"/>
      <c r="E532" s="1"/>
      <c r="F532" s="94"/>
      <c r="G532" s="94"/>
      <c r="H532" s="94"/>
      <c r="I532" s="94"/>
      <c r="J532" s="94"/>
      <c r="K532" s="94"/>
      <c r="L532" s="94"/>
      <c r="M532" s="26"/>
      <c r="N532" s="26"/>
      <c r="O532" s="1"/>
      <c r="P532" s="1"/>
      <c r="Q532" s="1"/>
      <c r="R532" s="1"/>
      <c r="S532" s="1"/>
      <c r="T532" s="1"/>
      <c r="U532" s="1"/>
      <c r="V532" s="38"/>
      <c r="W532" s="1"/>
      <c r="X532" s="1"/>
    </row>
    <row r="533" spans="1:24" ht="14.4">
      <c r="A533" s="1"/>
      <c r="B533" s="93"/>
      <c r="C533" s="1"/>
      <c r="D533" s="1"/>
      <c r="E533" s="1"/>
      <c r="F533" s="93"/>
      <c r="G533" s="93"/>
      <c r="H533" s="93"/>
      <c r="I533" s="93"/>
      <c r="J533" s="93"/>
      <c r="K533" s="93"/>
      <c r="L533" s="93"/>
      <c r="M533" s="26"/>
      <c r="N533" s="26"/>
      <c r="O533" s="1"/>
      <c r="P533" s="1"/>
      <c r="Q533" s="1"/>
      <c r="R533" s="1"/>
      <c r="S533" s="1"/>
      <c r="T533" s="1"/>
      <c r="U533" s="1"/>
      <c r="V533" s="38"/>
      <c r="W533" s="1"/>
      <c r="X533" s="1"/>
    </row>
    <row r="534" spans="1:24" ht="14.4">
      <c r="A534" s="1"/>
      <c r="B534" s="94"/>
      <c r="C534" s="1"/>
      <c r="D534" s="1"/>
      <c r="E534" s="1"/>
      <c r="F534" s="94"/>
      <c r="G534" s="94"/>
      <c r="H534" s="94"/>
      <c r="I534" s="94"/>
      <c r="J534" s="94"/>
      <c r="K534" s="94"/>
      <c r="L534" s="94"/>
      <c r="M534" s="26"/>
      <c r="N534" s="26"/>
      <c r="O534" s="1"/>
      <c r="P534" s="1"/>
      <c r="Q534" s="1"/>
      <c r="R534" s="1"/>
      <c r="S534" s="1"/>
      <c r="T534" s="1"/>
      <c r="U534" s="1"/>
      <c r="V534" s="38"/>
      <c r="W534" s="1"/>
      <c r="X534" s="1"/>
    </row>
    <row r="535" spans="1:24" ht="14.4">
      <c r="A535" s="1"/>
      <c r="B535" s="94"/>
      <c r="C535" s="1"/>
      <c r="D535" s="1"/>
      <c r="E535" s="1"/>
      <c r="F535" s="94"/>
      <c r="G535" s="94"/>
      <c r="H535" s="94"/>
      <c r="I535" s="94"/>
      <c r="J535" s="94"/>
      <c r="K535" s="94"/>
      <c r="L535" s="94"/>
      <c r="M535" s="26"/>
      <c r="N535" s="26"/>
      <c r="O535" s="1"/>
      <c r="P535" s="1"/>
      <c r="Q535" s="1"/>
      <c r="R535" s="1"/>
      <c r="S535" s="1"/>
      <c r="T535" s="1"/>
      <c r="U535" s="1"/>
      <c r="V535" s="38"/>
      <c r="W535" s="1"/>
      <c r="X535" s="1"/>
    </row>
    <row r="536" spans="1:24" ht="14.4">
      <c r="A536" s="1"/>
      <c r="B536" s="94"/>
      <c r="C536" s="1"/>
      <c r="D536" s="1"/>
      <c r="E536" s="1"/>
      <c r="F536" s="94"/>
      <c r="G536" s="94"/>
      <c r="H536" s="94"/>
      <c r="I536" s="94"/>
      <c r="J536" s="94"/>
      <c r="K536" s="94"/>
      <c r="L536" s="94"/>
      <c r="M536" s="26"/>
      <c r="N536" s="26"/>
      <c r="O536" s="1"/>
      <c r="P536" s="1"/>
      <c r="Q536" s="1"/>
      <c r="R536" s="1"/>
      <c r="S536" s="1"/>
      <c r="T536" s="1"/>
      <c r="U536" s="1"/>
      <c r="V536" s="38"/>
      <c r="W536" s="1"/>
      <c r="X536" s="1"/>
    </row>
    <row r="537" spans="1:24" ht="14.4">
      <c r="A537" s="1"/>
      <c r="B537" s="94"/>
      <c r="C537" s="1"/>
      <c r="D537" s="1"/>
      <c r="E537" s="1"/>
      <c r="F537" s="94"/>
      <c r="G537" s="94"/>
      <c r="H537" s="94"/>
      <c r="I537" s="94"/>
      <c r="J537" s="94"/>
      <c r="K537" s="94"/>
      <c r="L537" s="94"/>
      <c r="M537" s="26"/>
      <c r="N537" s="26"/>
      <c r="O537" s="1"/>
      <c r="P537" s="1"/>
      <c r="Q537" s="1"/>
      <c r="R537" s="1"/>
      <c r="S537" s="1"/>
      <c r="T537" s="1"/>
      <c r="U537" s="1"/>
      <c r="V537" s="38"/>
      <c r="W537" s="1"/>
      <c r="X537" s="1"/>
    </row>
    <row r="538" spans="1:24" ht="14.4">
      <c r="A538" s="1"/>
      <c r="B538" s="93"/>
      <c r="C538" s="1"/>
      <c r="D538" s="1"/>
      <c r="E538" s="1"/>
      <c r="F538" s="93"/>
      <c r="G538" s="93"/>
      <c r="H538" s="93"/>
      <c r="I538" s="93"/>
      <c r="J538" s="93"/>
      <c r="K538" s="93"/>
      <c r="L538" s="93"/>
      <c r="M538" s="26"/>
      <c r="N538" s="26"/>
      <c r="O538" s="1"/>
      <c r="P538" s="1"/>
      <c r="Q538" s="1"/>
      <c r="R538" s="1"/>
      <c r="S538" s="1"/>
      <c r="T538" s="1"/>
      <c r="U538" s="1"/>
      <c r="V538" s="38"/>
      <c r="W538" s="1"/>
      <c r="X538" s="1"/>
    </row>
    <row r="539" spans="1:24" ht="14.4">
      <c r="A539" s="1"/>
      <c r="B539" s="94"/>
      <c r="C539" s="1"/>
      <c r="D539" s="1"/>
      <c r="E539" s="1"/>
      <c r="F539" s="94"/>
      <c r="G539" s="94"/>
      <c r="H539" s="94"/>
      <c r="I539" s="94"/>
      <c r="J539" s="94"/>
      <c r="K539" s="94"/>
      <c r="L539" s="94"/>
      <c r="M539" s="26"/>
      <c r="N539" s="26"/>
      <c r="O539" s="1"/>
      <c r="P539" s="1"/>
      <c r="Q539" s="1"/>
      <c r="R539" s="1"/>
      <c r="S539" s="1"/>
      <c r="T539" s="1"/>
      <c r="U539" s="1"/>
      <c r="V539" s="38"/>
      <c r="W539" s="1"/>
      <c r="X539" s="1"/>
    </row>
    <row r="540" spans="1:24" ht="14.4">
      <c r="A540" s="1"/>
      <c r="B540" s="94"/>
      <c r="C540" s="1"/>
      <c r="D540" s="1"/>
      <c r="E540" s="1"/>
      <c r="F540" s="94"/>
      <c r="G540" s="94"/>
      <c r="H540" s="94"/>
      <c r="I540" s="94"/>
      <c r="J540" s="94"/>
      <c r="K540" s="94"/>
      <c r="L540" s="94"/>
      <c r="M540" s="26"/>
      <c r="N540" s="26"/>
      <c r="O540" s="1"/>
      <c r="P540" s="1"/>
      <c r="Q540" s="1"/>
      <c r="R540" s="1"/>
      <c r="S540" s="1"/>
      <c r="T540" s="1"/>
      <c r="U540" s="1"/>
      <c r="V540" s="38"/>
      <c r="W540" s="1"/>
      <c r="X540" s="1"/>
    </row>
    <row r="541" spans="1:24" ht="14.4">
      <c r="A541" s="1"/>
      <c r="B541" s="94"/>
      <c r="C541" s="1"/>
      <c r="D541" s="1"/>
      <c r="E541" s="1"/>
      <c r="F541" s="94"/>
      <c r="G541" s="94"/>
      <c r="H541" s="94"/>
      <c r="I541" s="94"/>
      <c r="J541" s="94"/>
      <c r="K541" s="94"/>
      <c r="L541" s="94"/>
      <c r="M541" s="26"/>
      <c r="N541" s="26"/>
      <c r="O541" s="1"/>
      <c r="P541" s="1"/>
      <c r="Q541" s="1"/>
      <c r="R541" s="1"/>
      <c r="S541" s="1"/>
      <c r="T541" s="1"/>
      <c r="U541" s="1"/>
      <c r="V541" s="38"/>
      <c r="W541" s="1"/>
      <c r="X541" s="1"/>
    </row>
    <row r="542" spans="1:24" ht="14.4">
      <c r="A542" s="1"/>
      <c r="B542" s="94"/>
      <c r="C542" s="1"/>
      <c r="D542" s="1"/>
      <c r="E542" s="1"/>
      <c r="F542" s="94"/>
      <c r="G542" s="94"/>
      <c r="H542" s="94"/>
      <c r="I542" s="94"/>
      <c r="J542" s="94"/>
      <c r="K542" s="94"/>
      <c r="L542" s="94"/>
      <c r="M542" s="26"/>
      <c r="N542" s="26"/>
      <c r="O542" s="1"/>
      <c r="P542" s="1"/>
      <c r="Q542" s="1"/>
      <c r="R542" s="1"/>
      <c r="S542" s="1"/>
      <c r="T542" s="1"/>
      <c r="U542" s="1"/>
      <c r="V542" s="38"/>
      <c r="W542" s="1"/>
      <c r="X542" s="1"/>
    </row>
    <row r="543" spans="1:24" ht="14.4">
      <c r="A543" s="1"/>
      <c r="B543" s="93"/>
      <c r="C543" s="1"/>
      <c r="D543" s="1"/>
      <c r="E543" s="1"/>
      <c r="F543" s="93"/>
      <c r="G543" s="93"/>
      <c r="H543" s="93"/>
      <c r="I543" s="93"/>
      <c r="J543" s="93"/>
      <c r="K543" s="93"/>
      <c r="L543" s="93"/>
      <c r="M543" s="26"/>
      <c r="N543" s="26"/>
      <c r="O543" s="1"/>
      <c r="P543" s="1"/>
      <c r="Q543" s="1"/>
      <c r="R543" s="1"/>
      <c r="S543" s="1"/>
      <c r="T543" s="1"/>
      <c r="U543" s="1"/>
      <c r="V543" s="38"/>
      <c r="W543" s="1"/>
      <c r="X543" s="1"/>
    </row>
    <row r="544" spans="1:24" ht="14.4">
      <c r="A544" s="1"/>
      <c r="B544" s="94"/>
      <c r="C544" s="1"/>
      <c r="D544" s="1"/>
      <c r="E544" s="1"/>
      <c r="F544" s="94"/>
      <c r="G544" s="94"/>
      <c r="H544" s="94"/>
      <c r="I544" s="94"/>
      <c r="J544" s="94"/>
      <c r="K544" s="94"/>
      <c r="L544" s="94"/>
      <c r="M544" s="26"/>
      <c r="N544" s="26"/>
      <c r="O544" s="1"/>
      <c r="P544" s="1"/>
      <c r="Q544" s="1"/>
      <c r="R544" s="1"/>
      <c r="S544" s="1"/>
      <c r="T544" s="1"/>
      <c r="U544" s="1"/>
      <c r="V544" s="38"/>
      <c r="W544" s="1"/>
      <c r="X544" s="1"/>
    </row>
    <row r="545" spans="1:24" ht="14.4">
      <c r="A545" s="1"/>
      <c r="B545" s="94"/>
      <c r="C545" s="1"/>
      <c r="D545" s="1"/>
      <c r="E545" s="1"/>
      <c r="F545" s="94"/>
      <c r="G545" s="94"/>
      <c r="H545" s="94"/>
      <c r="I545" s="94"/>
      <c r="J545" s="94"/>
      <c r="K545" s="94"/>
      <c r="L545" s="94"/>
      <c r="M545" s="26"/>
      <c r="N545" s="26"/>
      <c r="O545" s="1"/>
      <c r="P545" s="1"/>
      <c r="Q545" s="1"/>
      <c r="R545" s="1"/>
      <c r="S545" s="1"/>
      <c r="T545" s="1"/>
      <c r="U545" s="1"/>
      <c r="V545" s="38"/>
      <c r="W545" s="1"/>
      <c r="X545" s="1"/>
    </row>
    <row r="546" spans="1:24" ht="14.4">
      <c r="A546" s="1"/>
      <c r="B546" s="94"/>
      <c r="C546" s="1"/>
      <c r="D546" s="1"/>
      <c r="E546" s="1"/>
      <c r="F546" s="94"/>
      <c r="G546" s="94"/>
      <c r="H546" s="94"/>
      <c r="I546" s="94"/>
      <c r="J546" s="94"/>
      <c r="K546" s="94"/>
      <c r="L546" s="94"/>
      <c r="M546" s="26"/>
      <c r="N546" s="26"/>
      <c r="O546" s="1"/>
      <c r="P546" s="1"/>
      <c r="Q546" s="1"/>
      <c r="R546" s="1"/>
      <c r="S546" s="1"/>
      <c r="T546" s="1"/>
      <c r="U546" s="1"/>
      <c r="V546" s="38"/>
      <c r="W546" s="1"/>
      <c r="X546" s="1"/>
    </row>
    <row r="547" spans="1:24" ht="14.4">
      <c r="A547" s="1"/>
      <c r="B547" s="94"/>
      <c r="C547" s="1"/>
      <c r="D547" s="1"/>
      <c r="E547" s="1"/>
      <c r="F547" s="94"/>
      <c r="G547" s="94"/>
      <c r="H547" s="94"/>
      <c r="I547" s="94"/>
      <c r="J547" s="94"/>
      <c r="K547" s="94"/>
      <c r="L547" s="94"/>
      <c r="M547" s="26"/>
      <c r="N547" s="26"/>
      <c r="O547" s="1"/>
      <c r="P547" s="1"/>
      <c r="Q547" s="1"/>
      <c r="R547" s="1"/>
      <c r="S547" s="1"/>
      <c r="T547" s="1"/>
      <c r="U547" s="1"/>
      <c r="V547" s="38"/>
      <c r="W547" s="1"/>
      <c r="X547" s="1"/>
    </row>
    <row r="548" spans="1:24" ht="14.4">
      <c r="A548" s="1"/>
      <c r="M548" s="26"/>
      <c r="N548" s="26"/>
      <c r="P548" s="1"/>
      <c r="Q548" s="1"/>
      <c r="R548" s="1"/>
      <c r="S548" s="1"/>
      <c r="T548" s="1"/>
      <c r="U548" s="1"/>
      <c r="V548" s="38"/>
      <c r="W548" s="1"/>
      <c r="X548" s="1"/>
    </row>
    <row r="549" spans="1:24" ht="14.4">
      <c r="A549" s="1"/>
      <c r="M549" s="26"/>
      <c r="N549" s="26"/>
      <c r="P549" s="1"/>
      <c r="Q549" s="1"/>
      <c r="R549" s="1"/>
      <c r="S549" s="1"/>
      <c r="T549" s="1"/>
      <c r="U549" s="1"/>
      <c r="V549" s="38"/>
      <c r="W549" s="1"/>
      <c r="X549" s="1"/>
    </row>
    <row r="550" spans="1:24" ht="14.4">
      <c r="A550" s="1"/>
      <c r="M550" s="26"/>
      <c r="N550" s="26"/>
      <c r="P550" s="1"/>
      <c r="Q550" s="1"/>
      <c r="R550" s="1"/>
      <c r="S550" s="1"/>
      <c r="T550" s="1"/>
      <c r="U550" s="1"/>
      <c r="V550" s="38"/>
      <c r="W550" s="1"/>
      <c r="X550" s="1"/>
    </row>
    <row r="551" spans="1:24" ht="14.4">
      <c r="A551" s="1"/>
      <c r="M551" s="26"/>
      <c r="N551" s="26"/>
      <c r="P551" s="1"/>
      <c r="Q551" s="1"/>
      <c r="R551" s="1"/>
      <c r="S551" s="1"/>
      <c r="T551" s="1"/>
      <c r="U551" s="1"/>
      <c r="V551" s="38"/>
      <c r="W551" s="1"/>
      <c r="X551" s="1"/>
    </row>
    <row r="552" spans="1:24" ht="14.4">
      <c r="A552" s="1"/>
      <c r="M552" s="26"/>
      <c r="N552" s="26"/>
      <c r="P552" s="1"/>
      <c r="Q552" s="1"/>
      <c r="R552" s="1"/>
      <c r="S552" s="1"/>
      <c r="T552" s="1"/>
      <c r="U552" s="1"/>
      <c r="V552" s="38"/>
      <c r="W552" s="1"/>
      <c r="X552" s="1"/>
    </row>
    <row r="553" spans="1:24" ht="14.4">
      <c r="A553" s="1"/>
      <c r="M553" s="26"/>
      <c r="N553" s="26"/>
      <c r="P553" s="1"/>
      <c r="Q553" s="1"/>
      <c r="R553" s="1"/>
      <c r="S553" s="1"/>
      <c r="T553" s="1"/>
      <c r="U553" s="1"/>
      <c r="V553" s="38"/>
      <c r="W553" s="1"/>
      <c r="X553" s="1"/>
    </row>
    <row r="554" spans="1:24" ht="14.4">
      <c r="A554" s="1"/>
      <c r="M554" s="26"/>
      <c r="N554" s="26"/>
      <c r="P554" s="1"/>
      <c r="Q554" s="1"/>
      <c r="R554" s="1"/>
      <c r="S554" s="1"/>
      <c r="T554" s="1"/>
      <c r="U554" s="1"/>
      <c r="V554" s="38"/>
      <c r="W554" s="1"/>
      <c r="X554" s="1"/>
    </row>
    <row r="555" spans="1:24" ht="14.4">
      <c r="A555" s="1"/>
      <c r="M555" s="26"/>
      <c r="N555" s="26"/>
      <c r="P555" s="1"/>
      <c r="Q555" s="1"/>
      <c r="R555" s="1"/>
      <c r="S555" s="1"/>
      <c r="T555" s="1"/>
      <c r="U555" s="1"/>
      <c r="V555" s="38"/>
      <c r="W555" s="1"/>
      <c r="X555" s="1"/>
    </row>
    <row r="556" spans="1:24" ht="14.4">
      <c r="A556" s="1"/>
      <c r="M556" s="26"/>
      <c r="N556" s="26"/>
      <c r="P556" s="1"/>
      <c r="Q556" s="1"/>
      <c r="R556" s="1"/>
      <c r="S556" s="1"/>
      <c r="T556" s="1"/>
      <c r="U556" s="1"/>
      <c r="V556" s="38"/>
      <c r="W556" s="1"/>
      <c r="X556" s="1"/>
    </row>
    <row r="557" spans="1:24" ht="14.4">
      <c r="A557" s="1"/>
      <c r="M557" s="26"/>
      <c r="N557" s="26"/>
      <c r="P557" s="1"/>
      <c r="Q557" s="1"/>
      <c r="R557" s="1"/>
      <c r="S557" s="1"/>
      <c r="T557" s="1"/>
      <c r="U557" s="1"/>
      <c r="V557" s="38"/>
      <c r="W557" s="1"/>
      <c r="X557" s="1"/>
    </row>
    <row r="558" spans="1:24" ht="14.4">
      <c r="A558" s="1"/>
      <c r="M558" s="26"/>
      <c r="N558" s="26"/>
      <c r="P558" s="1"/>
      <c r="Q558" s="1"/>
      <c r="R558" s="1"/>
      <c r="S558" s="1"/>
      <c r="T558" s="1"/>
      <c r="U558" s="1"/>
      <c r="V558" s="38"/>
      <c r="W558" s="1"/>
      <c r="X558" s="1"/>
    </row>
    <row r="559" spans="1:24" ht="14.4">
      <c r="A559" s="1"/>
      <c r="M559" s="26"/>
      <c r="N559" s="26"/>
      <c r="P559" s="1"/>
      <c r="Q559" s="1"/>
      <c r="R559" s="1"/>
      <c r="S559" s="1"/>
      <c r="T559" s="1"/>
      <c r="U559" s="1"/>
      <c r="V559" s="38"/>
      <c r="W559" s="1"/>
      <c r="X559" s="1"/>
    </row>
    <row r="560" spans="1:24" ht="14.4">
      <c r="A560" s="1"/>
      <c r="M560" s="26"/>
      <c r="N560" s="26"/>
      <c r="P560" s="1"/>
      <c r="Q560" s="1"/>
      <c r="R560" s="1"/>
      <c r="S560" s="1"/>
      <c r="T560" s="1"/>
      <c r="U560" s="1"/>
      <c r="V560" s="38"/>
      <c r="W560" s="1"/>
      <c r="X560" s="1"/>
    </row>
    <row r="561" spans="1:24" ht="14.4">
      <c r="A561" s="1"/>
      <c r="M561" s="26"/>
      <c r="N561" s="26"/>
      <c r="P561" s="1"/>
      <c r="Q561" s="1"/>
      <c r="R561" s="1"/>
      <c r="S561" s="1"/>
      <c r="T561" s="1"/>
      <c r="U561" s="1"/>
      <c r="V561" s="38"/>
      <c r="W561" s="1"/>
      <c r="X561" s="1"/>
    </row>
    <row r="562" spans="1:24" ht="14.4">
      <c r="A562" s="1"/>
      <c r="M562" s="26"/>
      <c r="N562" s="26"/>
      <c r="P562" s="1"/>
      <c r="Q562" s="1"/>
      <c r="R562" s="1"/>
      <c r="S562" s="1"/>
      <c r="T562" s="1"/>
      <c r="U562" s="1"/>
      <c r="V562" s="38"/>
      <c r="W562" s="1"/>
      <c r="X562" s="1"/>
    </row>
    <row r="563" spans="1:24" ht="14.4">
      <c r="A563" s="1"/>
      <c r="M563" s="26"/>
      <c r="N563" s="26"/>
      <c r="P563" s="1"/>
      <c r="Q563" s="1"/>
      <c r="R563" s="1"/>
      <c r="S563" s="1"/>
      <c r="T563" s="1"/>
      <c r="U563" s="1"/>
      <c r="V563" s="38"/>
      <c r="W563" s="1"/>
      <c r="X563" s="1"/>
    </row>
    <row r="564" spans="1:24" ht="14.4">
      <c r="A564" s="1"/>
      <c r="M564" s="26"/>
      <c r="N564" s="26"/>
      <c r="P564" s="1"/>
      <c r="Q564" s="1"/>
      <c r="R564" s="1"/>
      <c r="S564" s="1"/>
      <c r="T564" s="1"/>
      <c r="U564" s="1"/>
      <c r="V564" s="38"/>
      <c r="W564" s="1"/>
      <c r="X564" s="1"/>
    </row>
    <row r="565" spans="1:24" ht="14.4">
      <c r="A565" s="1"/>
      <c r="M565" s="26"/>
      <c r="N565" s="26"/>
      <c r="P565" s="1"/>
      <c r="Q565" s="1"/>
      <c r="R565" s="1"/>
      <c r="S565" s="1"/>
      <c r="T565" s="1"/>
      <c r="U565" s="1"/>
      <c r="V565" s="38"/>
      <c r="W565" s="1"/>
      <c r="X565" s="1"/>
    </row>
    <row r="566" spans="1:24" ht="14.4">
      <c r="A566" s="1"/>
      <c r="M566" s="26"/>
      <c r="N566" s="26"/>
      <c r="P566" s="1"/>
      <c r="Q566" s="1"/>
      <c r="R566" s="1"/>
      <c r="S566" s="1"/>
      <c r="T566" s="1"/>
      <c r="U566" s="1"/>
      <c r="V566" s="38"/>
      <c r="W566" s="1"/>
      <c r="X566" s="1"/>
    </row>
    <row r="567" spans="1:24" ht="14.4">
      <c r="A567" s="1"/>
      <c r="M567" s="26"/>
      <c r="N567" s="26"/>
      <c r="P567" s="1"/>
      <c r="Q567" s="1"/>
      <c r="R567" s="1"/>
      <c r="S567" s="1"/>
      <c r="T567" s="1"/>
      <c r="U567" s="1"/>
      <c r="V567" s="38"/>
      <c r="W567" s="1"/>
      <c r="X567" s="1"/>
    </row>
    <row r="568" spans="1:24" ht="14.4">
      <c r="A568" s="1"/>
      <c r="M568" s="26"/>
      <c r="N568" s="26"/>
      <c r="P568" s="1"/>
      <c r="Q568" s="1"/>
      <c r="R568" s="1"/>
      <c r="S568" s="1"/>
      <c r="T568" s="1"/>
      <c r="U568" s="1"/>
      <c r="V568" s="38"/>
      <c r="W568" s="1"/>
      <c r="X568" s="1"/>
    </row>
    <row r="569" spans="1:24" ht="14.4">
      <c r="A569" s="1"/>
      <c r="M569" s="26"/>
      <c r="N569" s="26"/>
      <c r="P569" s="1"/>
      <c r="Q569" s="1"/>
      <c r="R569" s="1"/>
      <c r="S569" s="1"/>
      <c r="T569" s="1"/>
      <c r="U569" s="1"/>
      <c r="V569" s="38"/>
      <c r="W569" s="1"/>
      <c r="X569" s="1"/>
    </row>
    <row r="570" spans="1:24" ht="14.4">
      <c r="A570" s="1"/>
      <c r="M570" s="26"/>
      <c r="N570" s="26"/>
      <c r="P570" s="1"/>
      <c r="Q570" s="1"/>
      <c r="R570" s="1"/>
      <c r="S570" s="1"/>
      <c r="T570" s="1"/>
      <c r="U570" s="1"/>
      <c r="V570" s="38"/>
      <c r="W570" s="1"/>
      <c r="X570" s="1"/>
    </row>
    <row r="571" spans="1:24" ht="14.4">
      <c r="A571" s="1"/>
      <c r="M571" s="26"/>
      <c r="N571" s="26"/>
      <c r="P571" s="1"/>
      <c r="Q571" s="1"/>
      <c r="R571" s="1"/>
      <c r="S571" s="1"/>
      <c r="T571" s="1"/>
      <c r="U571" s="1"/>
      <c r="V571" s="38"/>
      <c r="W571" s="1"/>
      <c r="X571" s="1"/>
    </row>
    <row r="572" spans="1:24" ht="14.4">
      <c r="A572" s="1"/>
      <c r="M572" s="26"/>
      <c r="N572" s="26"/>
      <c r="P572" s="1"/>
      <c r="Q572" s="1"/>
      <c r="R572" s="1"/>
      <c r="S572" s="1"/>
      <c r="T572" s="1"/>
      <c r="U572" s="1"/>
      <c r="V572" s="38"/>
      <c r="W572" s="1"/>
      <c r="X572" s="1"/>
    </row>
    <row r="573" spans="1:24" ht="14.4">
      <c r="A573" s="1"/>
      <c r="M573" s="26"/>
      <c r="N573" s="26"/>
      <c r="P573" s="1"/>
      <c r="Q573" s="1"/>
      <c r="R573" s="1"/>
      <c r="S573" s="1"/>
      <c r="T573" s="1"/>
      <c r="U573" s="1"/>
      <c r="V573" s="38"/>
      <c r="W573" s="1"/>
      <c r="X573" s="1"/>
    </row>
    <row r="574" spans="1:24" ht="14.4">
      <c r="A574" s="1"/>
      <c r="M574" s="26"/>
      <c r="N574" s="26"/>
      <c r="P574" s="1"/>
      <c r="Q574" s="1"/>
      <c r="R574" s="1"/>
      <c r="S574" s="1"/>
      <c r="T574" s="1"/>
      <c r="U574" s="1"/>
      <c r="V574" s="38"/>
      <c r="W574" s="1"/>
      <c r="X574" s="1"/>
    </row>
    <row r="575" spans="1:24" ht="14.4">
      <c r="A575" s="1"/>
      <c r="M575" s="26"/>
      <c r="N575" s="26"/>
      <c r="P575" s="1"/>
      <c r="Q575" s="1"/>
      <c r="R575" s="1"/>
      <c r="S575" s="1"/>
      <c r="T575" s="1"/>
      <c r="U575" s="1"/>
      <c r="V575" s="38"/>
      <c r="W575" s="1"/>
      <c r="X575" s="1"/>
    </row>
    <row r="576" spans="1:24" ht="14.4">
      <c r="A576" s="1"/>
      <c r="M576" s="26"/>
      <c r="N576" s="26"/>
      <c r="P576" s="1"/>
      <c r="Q576" s="1"/>
      <c r="R576" s="1"/>
      <c r="S576" s="1"/>
      <c r="T576" s="1"/>
      <c r="U576" s="1"/>
      <c r="V576" s="38"/>
      <c r="W576" s="1"/>
      <c r="X576" s="1"/>
    </row>
    <row r="577" spans="1:24" ht="14.4">
      <c r="A577" s="1"/>
      <c r="M577" s="26"/>
      <c r="N577" s="26"/>
      <c r="P577" s="1"/>
      <c r="Q577" s="1"/>
      <c r="R577" s="1"/>
      <c r="S577" s="1"/>
      <c r="T577" s="1"/>
      <c r="U577" s="1"/>
      <c r="V577" s="38"/>
      <c r="W577" s="1"/>
      <c r="X577" s="1"/>
    </row>
    <row r="578" spans="1:24" ht="14.4">
      <c r="A578" s="1"/>
      <c r="M578" s="26"/>
      <c r="N578" s="26"/>
      <c r="P578" s="1"/>
      <c r="Q578" s="1"/>
      <c r="R578" s="1"/>
      <c r="S578" s="1"/>
      <c r="T578" s="1"/>
      <c r="U578" s="1"/>
      <c r="V578" s="38"/>
      <c r="W578" s="1"/>
      <c r="X578" s="1"/>
    </row>
    <row r="579" spans="1:24" ht="14.4">
      <c r="A579" s="1"/>
      <c r="M579" s="26"/>
      <c r="N579" s="26"/>
      <c r="P579" s="1"/>
      <c r="Q579" s="1"/>
      <c r="R579" s="1"/>
      <c r="S579" s="1"/>
      <c r="T579" s="1"/>
      <c r="U579" s="1"/>
      <c r="V579" s="38"/>
      <c r="W579" s="1"/>
      <c r="X579" s="1"/>
    </row>
    <row r="580" spans="1:24" ht="14.4">
      <c r="A580" s="1"/>
      <c r="M580" s="26"/>
      <c r="N580" s="26"/>
      <c r="P580" s="1"/>
      <c r="Q580" s="1"/>
      <c r="R580" s="1"/>
      <c r="S580" s="1"/>
      <c r="T580" s="1"/>
      <c r="U580" s="1"/>
      <c r="V580" s="38"/>
      <c r="W580" s="1"/>
      <c r="X580" s="1"/>
    </row>
    <row r="581" spans="1:24" ht="14.4">
      <c r="A581" s="1"/>
      <c r="M581" s="26"/>
      <c r="N581" s="26"/>
      <c r="P581" s="1"/>
      <c r="Q581" s="1"/>
      <c r="R581" s="1"/>
      <c r="S581" s="1"/>
      <c r="T581" s="1"/>
      <c r="U581" s="1"/>
      <c r="V581" s="38"/>
      <c r="W581" s="1"/>
      <c r="X581" s="1"/>
    </row>
    <row r="582" spans="1:24" ht="14.4">
      <c r="A582" s="1"/>
      <c r="M582" s="26"/>
      <c r="N582" s="26"/>
      <c r="P582" s="1"/>
      <c r="Q582" s="1"/>
      <c r="R582" s="1"/>
      <c r="S582" s="1"/>
      <c r="T582" s="1"/>
      <c r="U582" s="1"/>
      <c r="V582" s="38"/>
      <c r="W582" s="1"/>
      <c r="X582" s="1"/>
    </row>
    <row r="583" spans="1:24" ht="14.4">
      <c r="A583" s="1"/>
      <c r="M583" s="26"/>
      <c r="N583" s="26"/>
      <c r="P583" s="1"/>
      <c r="Q583" s="1"/>
      <c r="R583" s="1"/>
      <c r="S583" s="1"/>
      <c r="T583" s="1"/>
      <c r="U583" s="1"/>
      <c r="V583" s="38"/>
      <c r="W583" s="1"/>
      <c r="X583" s="1"/>
    </row>
    <row r="584" spans="1:24" ht="14.4">
      <c r="A584" s="1"/>
      <c r="M584" s="26"/>
      <c r="N584" s="26"/>
      <c r="P584" s="1"/>
      <c r="Q584" s="1"/>
      <c r="R584" s="1"/>
      <c r="S584" s="1"/>
      <c r="T584" s="1"/>
      <c r="U584" s="1"/>
      <c r="V584" s="38"/>
      <c r="W584" s="1"/>
      <c r="X584" s="1"/>
    </row>
    <row r="585" spans="1:24" ht="14.4">
      <c r="A585" s="1"/>
      <c r="M585" s="26"/>
      <c r="N585" s="26"/>
      <c r="P585" s="1"/>
      <c r="Q585" s="1"/>
      <c r="R585" s="1"/>
      <c r="S585" s="1"/>
      <c r="T585" s="1"/>
      <c r="U585" s="1"/>
      <c r="V585" s="38"/>
      <c r="W585" s="1"/>
      <c r="X585" s="1"/>
    </row>
    <row r="586" spans="1:24" ht="14.4">
      <c r="A586" s="1"/>
      <c r="M586" s="26"/>
      <c r="N586" s="26"/>
      <c r="P586" s="1"/>
      <c r="Q586" s="1"/>
      <c r="R586" s="1"/>
      <c r="S586" s="1"/>
      <c r="T586" s="1"/>
      <c r="U586" s="1"/>
      <c r="V586" s="38"/>
      <c r="W586" s="1"/>
      <c r="X586" s="1"/>
    </row>
    <row r="587" spans="1:24" ht="14.4">
      <c r="A587" s="1"/>
      <c r="M587" s="26"/>
      <c r="N587" s="26"/>
      <c r="P587" s="1"/>
      <c r="Q587" s="1"/>
      <c r="R587" s="1"/>
      <c r="S587" s="1"/>
      <c r="T587" s="1"/>
      <c r="U587" s="1"/>
      <c r="V587" s="38"/>
      <c r="W587" s="1"/>
      <c r="X587" s="1"/>
    </row>
    <row r="588" spans="1:24" ht="14.4">
      <c r="A588" s="1"/>
      <c r="M588" s="26"/>
      <c r="N588" s="26"/>
      <c r="P588" s="1"/>
      <c r="Q588" s="1"/>
      <c r="R588" s="1"/>
      <c r="S588" s="1"/>
      <c r="T588" s="1"/>
      <c r="U588" s="1"/>
      <c r="V588" s="38"/>
      <c r="W588" s="1"/>
      <c r="X588" s="1"/>
    </row>
    <row r="589" spans="1:24" ht="14.4">
      <c r="A589" s="1"/>
      <c r="M589" s="26"/>
      <c r="N589" s="26"/>
      <c r="P589" s="1"/>
      <c r="Q589" s="1"/>
      <c r="R589" s="1"/>
      <c r="S589" s="1"/>
      <c r="T589" s="1"/>
      <c r="U589" s="1"/>
      <c r="V589" s="38"/>
      <c r="W589" s="1"/>
      <c r="X589" s="1"/>
    </row>
    <row r="590" spans="1:24" ht="14.4">
      <c r="A590" s="1"/>
      <c r="M590" s="26"/>
      <c r="N590" s="26"/>
      <c r="P590" s="1"/>
      <c r="Q590" s="1"/>
      <c r="R590" s="1"/>
      <c r="S590" s="1"/>
      <c r="T590" s="1"/>
      <c r="U590" s="1"/>
      <c r="V590" s="38"/>
      <c r="W590" s="1"/>
      <c r="X590" s="1"/>
    </row>
    <row r="591" spans="1:24" ht="14.4">
      <c r="A591" s="1"/>
      <c r="M591" s="26"/>
      <c r="N591" s="26"/>
      <c r="P591" s="1"/>
      <c r="Q591" s="1"/>
      <c r="R591" s="1"/>
      <c r="S591" s="1"/>
      <c r="T591" s="1"/>
      <c r="U591" s="1"/>
      <c r="V591" s="38"/>
      <c r="W591" s="1"/>
      <c r="X591" s="1"/>
    </row>
    <row r="592" spans="1:24" ht="14.4">
      <c r="A592" s="1"/>
      <c r="M592" s="26"/>
      <c r="N592" s="26"/>
      <c r="P592" s="1"/>
      <c r="Q592" s="1"/>
      <c r="R592" s="1"/>
      <c r="S592" s="1"/>
      <c r="T592" s="1"/>
      <c r="U592" s="1"/>
      <c r="V592" s="38"/>
      <c r="W592" s="1"/>
      <c r="X592" s="1"/>
    </row>
    <row r="593" spans="1:24" ht="14.4">
      <c r="A593" s="1"/>
      <c r="M593" s="26"/>
      <c r="N593" s="26"/>
      <c r="P593" s="1"/>
      <c r="Q593" s="1"/>
      <c r="R593" s="1"/>
      <c r="S593" s="1"/>
      <c r="T593" s="1"/>
      <c r="U593" s="1"/>
      <c r="V593" s="38"/>
      <c r="W593" s="1"/>
      <c r="X593" s="1"/>
    </row>
    <row r="594" spans="1:24" ht="14.4">
      <c r="A594" s="1"/>
      <c r="M594" s="26"/>
      <c r="N594" s="26"/>
      <c r="P594" s="1"/>
      <c r="Q594" s="1"/>
      <c r="R594" s="1"/>
      <c r="S594" s="1"/>
      <c r="T594" s="1"/>
      <c r="U594" s="1"/>
      <c r="V594" s="38"/>
      <c r="W594" s="1"/>
      <c r="X594" s="1"/>
    </row>
    <row r="595" spans="1:24" ht="14.4">
      <c r="A595" s="1"/>
      <c r="M595" s="26"/>
      <c r="N595" s="26"/>
      <c r="P595" s="1"/>
      <c r="Q595" s="1"/>
      <c r="R595" s="1"/>
      <c r="S595" s="1"/>
      <c r="T595" s="1"/>
      <c r="U595" s="1"/>
      <c r="V595" s="38"/>
      <c r="W595" s="1"/>
      <c r="X595" s="1"/>
    </row>
    <row r="596" spans="1:24" ht="14.4">
      <c r="A596" s="1"/>
      <c r="M596" s="26"/>
      <c r="N596" s="26"/>
      <c r="P596" s="1"/>
      <c r="Q596" s="1"/>
      <c r="R596" s="1"/>
      <c r="S596" s="1"/>
      <c r="T596" s="1"/>
      <c r="U596" s="1"/>
      <c r="V596" s="38"/>
      <c r="W596" s="1"/>
      <c r="X596" s="1"/>
    </row>
    <row r="597" spans="1:24" ht="14.4">
      <c r="A597" s="1"/>
      <c r="M597" s="26"/>
      <c r="N597" s="26"/>
      <c r="P597" s="1"/>
      <c r="Q597" s="1"/>
      <c r="R597" s="1"/>
      <c r="S597" s="1"/>
      <c r="T597" s="1"/>
      <c r="U597" s="1"/>
      <c r="V597" s="38"/>
      <c r="W597" s="1"/>
      <c r="X597" s="1"/>
    </row>
    <row r="598" spans="1:24" ht="14.4">
      <c r="A598" s="1"/>
      <c r="M598" s="26"/>
      <c r="N598" s="26"/>
      <c r="P598" s="1"/>
      <c r="Q598" s="1"/>
      <c r="R598" s="1"/>
      <c r="S598" s="1"/>
      <c r="T598" s="1"/>
      <c r="U598" s="1"/>
      <c r="V598" s="38"/>
      <c r="W598" s="1"/>
      <c r="X598" s="1"/>
    </row>
    <row r="599" spans="1:24" ht="14.4">
      <c r="A599" s="1"/>
      <c r="M599" s="26"/>
      <c r="N599" s="26"/>
      <c r="P599" s="1"/>
      <c r="Q599" s="1"/>
      <c r="R599" s="1"/>
      <c r="S599" s="1"/>
      <c r="T599" s="1"/>
      <c r="U599" s="1"/>
      <c r="V599" s="38"/>
      <c r="W599" s="1"/>
      <c r="X599" s="1"/>
    </row>
    <row r="600" spans="1:24" ht="14.4">
      <c r="A600" s="1"/>
      <c r="M600" s="26"/>
      <c r="N600" s="26"/>
      <c r="P600" s="1"/>
      <c r="Q600" s="1"/>
      <c r="R600" s="1"/>
      <c r="S600" s="1"/>
      <c r="T600" s="1"/>
      <c r="U600" s="1"/>
      <c r="V600" s="38"/>
      <c r="W600" s="1"/>
      <c r="X600" s="1"/>
    </row>
    <row r="601" spans="1:24" ht="14.4">
      <c r="A601" s="1"/>
      <c r="M601" s="26"/>
      <c r="N601" s="26"/>
      <c r="P601" s="1"/>
      <c r="Q601" s="1"/>
      <c r="R601" s="1"/>
      <c r="S601" s="1"/>
      <c r="T601" s="1"/>
      <c r="U601" s="1"/>
      <c r="V601" s="38"/>
      <c r="W601" s="1"/>
      <c r="X601" s="1"/>
    </row>
    <row r="602" spans="1:24" ht="14.4">
      <c r="A602" s="1"/>
      <c r="M602" s="26"/>
      <c r="N602" s="26"/>
      <c r="P602" s="1"/>
      <c r="Q602" s="1"/>
      <c r="R602" s="1"/>
      <c r="S602" s="1"/>
      <c r="T602" s="1"/>
      <c r="U602" s="1"/>
      <c r="V602" s="38"/>
      <c r="W602" s="1"/>
      <c r="X602" s="1"/>
    </row>
    <row r="603" spans="1:24" ht="14.4">
      <c r="A603" s="1"/>
      <c r="M603" s="26"/>
      <c r="N603" s="26"/>
      <c r="P603" s="1"/>
      <c r="Q603" s="1"/>
      <c r="R603" s="1"/>
      <c r="S603" s="1"/>
      <c r="T603" s="1"/>
      <c r="U603" s="1"/>
      <c r="V603" s="38"/>
      <c r="W603" s="1"/>
      <c r="X603" s="1"/>
    </row>
    <row r="604" spans="1:24" ht="14.4">
      <c r="A604" s="1"/>
      <c r="M604" s="26"/>
      <c r="N604" s="26"/>
      <c r="P604" s="1"/>
      <c r="Q604" s="1"/>
      <c r="R604" s="1"/>
      <c r="S604" s="1"/>
      <c r="T604" s="1"/>
      <c r="U604" s="1"/>
      <c r="V604" s="38"/>
      <c r="W604" s="1"/>
      <c r="X604" s="1"/>
    </row>
    <row r="605" spans="1:24" ht="14.4">
      <c r="A605" s="1"/>
      <c r="M605" s="26"/>
      <c r="N605" s="26"/>
      <c r="P605" s="1"/>
      <c r="Q605" s="1"/>
      <c r="R605" s="1"/>
      <c r="S605" s="1"/>
      <c r="T605" s="1"/>
      <c r="U605" s="1"/>
      <c r="V605" s="38"/>
      <c r="W605" s="1"/>
      <c r="X605" s="1"/>
    </row>
    <row r="606" spans="1:24" ht="14.4">
      <c r="A606" s="1"/>
      <c r="M606" s="26"/>
      <c r="N606" s="26"/>
      <c r="P606" s="1"/>
      <c r="Q606" s="1"/>
      <c r="R606" s="1"/>
      <c r="S606" s="1"/>
      <c r="T606" s="1"/>
      <c r="U606" s="1"/>
      <c r="V606" s="38"/>
      <c r="W606" s="1"/>
      <c r="X606" s="1"/>
    </row>
    <row r="607" spans="1:24" ht="14.4">
      <c r="A607" s="1"/>
      <c r="M607" s="26"/>
      <c r="N607" s="26"/>
      <c r="P607" s="1"/>
      <c r="Q607" s="1"/>
      <c r="R607" s="1"/>
      <c r="S607" s="1"/>
      <c r="T607" s="1"/>
      <c r="U607" s="1"/>
      <c r="V607" s="38"/>
      <c r="W607" s="1"/>
      <c r="X607" s="1"/>
    </row>
    <row r="608" spans="1:24" ht="14.4">
      <c r="A608" s="1"/>
      <c r="M608" s="26"/>
      <c r="N608" s="26"/>
      <c r="P608" s="1"/>
      <c r="Q608" s="1"/>
      <c r="R608" s="1"/>
      <c r="S608" s="1"/>
      <c r="T608" s="1"/>
      <c r="U608" s="1"/>
      <c r="V608" s="38"/>
      <c r="W608" s="1"/>
      <c r="X608" s="1"/>
    </row>
    <row r="609" spans="1:24" ht="14.4">
      <c r="A609" s="1"/>
      <c r="M609" s="26"/>
      <c r="N609" s="26"/>
      <c r="P609" s="1"/>
      <c r="Q609" s="1"/>
      <c r="R609" s="1"/>
      <c r="S609" s="1"/>
      <c r="T609" s="1"/>
      <c r="U609" s="1"/>
      <c r="V609" s="38"/>
      <c r="W609" s="1"/>
      <c r="X609" s="1"/>
    </row>
    <row r="610" spans="1:24" ht="14.4">
      <c r="A610" s="1"/>
      <c r="M610" s="26"/>
      <c r="N610" s="26"/>
      <c r="P610" s="1"/>
      <c r="Q610" s="1"/>
      <c r="R610" s="1"/>
      <c r="S610" s="1"/>
      <c r="T610" s="1"/>
      <c r="U610" s="1"/>
      <c r="V610" s="38"/>
      <c r="W610" s="1"/>
      <c r="X610" s="1"/>
    </row>
    <row r="611" spans="1:24" ht="14.4">
      <c r="A611" s="1"/>
      <c r="M611" s="26"/>
      <c r="N611" s="26"/>
      <c r="P611" s="1"/>
      <c r="Q611" s="1"/>
      <c r="R611" s="1"/>
      <c r="S611" s="1"/>
      <c r="T611" s="1"/>
      <c r="U611" s="1"/>
      <c r="V611" s="38"/>
      <c r="W611" s="1"/>
      <c r="X611" s="1"/>
    </row>
    <row r="612" spans="1:24" ht="14.4">
      <c r="A612" s="1"/>
      <c r="M612" s="26"/>
      <c r="N612" s="26"/>
      <c r="P612" s="1"/>
      <c r="Q612" s="1"/>
      <c r="R612" s="1"/>
      <c r="S612" s="1"/>
      <c r="T612" s="1"/>
      <c r="U612" s="1"/>
      <c r="V612" s="38"/>
      <c r="W612" s="1"/>
      <c r="X612" s="1"/>
    </row>
    <row r="613" spans="1:24" ht="14.4">
      <c r="A613" s="1"/>
      <c r="M613" s="26"/>
      <c r="N613" s="26"/>
      <c r="P613" s="1"/>
      <c r="Q613" s="1"/>
      <c r="R613" s="1"/>
      <c r="S613" s="1"/>
      <c r="T613" s="1"/>
      <c r="U613" s="1"/>
      <c r="V613" s="38"/>
      <c r="W613" s="1"/>
      <c r="X613" s="1"/>
    </row>
    <row r="614" spans="1:24" ht="14.4">
      <c r="A614" s="1"/>
      <c r="M614" s="26"/>
      <c r="N614" s="26"/>
      <c r="P614" s="1"/>
      <c r="Q614" s="1"/>
      <c r="R614" s="1"/>
      <c r="S614" s="1"/>
      <c r="T614" s="1"/>
      <c r="U614" s="1"/>
      <c r="V614" s="38"/>
      <c r="W614" s="1"/>
      <c r="X614" s="1"/>
    </row>
    <row r="615" spans="1:24" ht="14.4">
      <c r="A615" s="1"/>
      <c r="M615" s="26"/>
      <c r="N615" s="26"/>
      <c r="P615" s="1"/>
      <c r="Q615" s="1"/>
      <c r="R615" s="1"/>
      <c r="S615" s="1"/>
      <c r="T615" s="1"/>
      <c r="U615" s="1"/>
      <c r="V615" s="38"/>
      <c r="W615" s="1"/>
      <c r="X615" s="1"/>
    </row>
    <row r="616" spans="1:24" ht="14.4">
      <c r="A616" s="1"/>
      <c r="M616" s="26"/>
      <c r="N616" s="26"/>
      <c r="P616" s="1"/>
      <c r="Q616" s="1"/>
      <c r="R616" s="1"/>
      <c r="S616" s="1"/>
      <c r="T616" s="1"/>
      <c r="U616" s="1"/>
      <c r="V616" s="38"/>
      <c r="W616" s="1"/>
      <c r="X616" s="1"/>
    </row>
    <row r="617" spans="1:24" ht="14.4">
      <c r="A617" s="1"/>
      <c r="M617" s="26"/>
      <c r="N617" s="26"/>
      <c r="P617" s="1"/>
      <c r="Q617" s="1"/>
      <c r="R617" s="1"/>
      <c r="S617" s="1"/>
      <c r="T617" s="1"/>
      <c r="U617" s="1"/>
      <c r="V617" s="38"/>
      <c r="W617" s="1"/>
      <c r="X617" s="1"/>
    </row>
    <row r="618" spans="1:24" ht="14.4">
      <c r="A618" s="1"/>
      <c r="M618" s="26"/>
      <c r="N618" s="26"/>
      <c r="P618" s="1"/>
      <c r="Q618" s="1"/>
      <c r="R618" s="1"/>
      <c r="S618" s="1"/>
      <c r="T618" s="1"/>
      <c r="U618" s="1"/>
      <c r="V618" s="38"/>
      <c r="W618" s="1"/>
      <c r="X618" s="1"/>
    </row>
    <row r="619" spans="1:24" ht="14.4">
      <c r="A619" s="1"/>
      <c r="M619" s="26"/>
      <c r="N619" s="26"/>
      <c r="P619" s="1"/>
      <c r="Q619" s="1"/>
      <c r="R619" s="1"/>
      <c r="S619" s="1"/>
      <c r="T619" s="1"/>
      <c r="U619" s="1"/>
      <c r="V619" s="38"/>
      <c r="W619" s="1"/>
      <c r="X619" s="1"/>
    </row>
    <row r="620" spans="1:24" ht="14.4">
      <c r="A620" s="1"/>
      <c r="M620" s="26"/>
      <c r="N620" s="26"/>
      <c r="P620" s="1"/>
      <c r="Q620" s="1"/>
      <c r="R620" s="1"/>
      <c r="S620" s="1"/>
      <c r="T620" s="1"/>
      <c r="U620" s="1"/>
      <c r="V620" s="38"/>
      <c r="W620" s="1"/>
      <c r="X620" s="1"/>
    </row>
    <row r="621" spans="1:24" ht="14.4">
      <c r="A621" s="1"/>
      <c r="M621" s="26"/>
      <c r="N621" s="26"/>
      <c r="P621" s="1"/>
      <c r="Q621" s="1"/>
      <c r="R621" s="1"/>
      <c r="S621" s="1"/>
      <c r="T621" s="1"/>
      <c r="U621" s="1"/>
      <c r="V621" s="38"/>
      <c r="W621" s="1"/>
      <c r="X621" s="1"/>
    </row>
    <row r="622" spans="1:24" ht="14.4">
      <c r="A622" s="1"/>
      <c r="M622" s="26"/>
      <c r="N622" s="26"/>
      <c r="P622" s="1"/>
      <c r="Q622" s="1"/>
      <c r="R622" s="1"/>
      <c r="S622" s="1"/>
      <c r="T622" s="1"/>
      <c r="U622" s="1"/>
      <c r="V622" s="38"/>
      <c r="W622" s="1"/>
      <c r="X622" s="1"/>
    </row>
    <row r="623" spans="1:24" ht="14.4">
      <c r="A623" s="1"/>
      <c r="M623" s="26"/>
      <c r="N623" s="26"/>
      <c r="P623" s="1"/>
      <c r="Q623" s="1"/>
      <c r="R623" s="1"/>
      <c r="S623" s="1"/>
      <c r="T623" s="1"/>
      <c r="U623" s="1"/>
      <c r="V623" s="38"/>
      <c r="W623" s="1"/>
      <c r="X623" s="1"/>
    </row>
    <row r="624" spans="1:24" ht="14.4">
      <c r="A624" s="1"/>
      <c r="M624" s="26"/>
      <c r="N624" s="26"/>
      <c r="P624" s="1"/>
      <c r="Q624" s="1"/>
      <c r="R624" s="1"/>
      <c r="S624" s="1"/>
      <c r="T624" s="1"/>
      <c r="U624" s="1"/>
      <c r="V624" s="38"/>
      <c r="W624" s="1"/>
      <c r="X624" s="1"/>
    </row>
    <row r="625" spans="1:24" ht="14.4">
      <c r="A625" s="1"/>
      <c r="M625" s="26"/>
      <c r="N625" s="26"/>
      <c r="P625" s="1"/>
      <c r="Q625" s="1"/>
      <c r="R625" s="1"/>
      <c r="S625" s="1"/>
      <c r="T625" s="1"/>
      <c r="U625" s="1"/>
      <c r="V625" s="38"/>
      <c r="W625" s="1"/>
      <c r="X625" s="1"/>
    </row>
    <row r="626" spans="1:24" ht="14.4">
      <c r="A626" s="1"/>
      <c r="M626" s="26"/>
      <c r="N626" s="26"/>
      <c r="P626" s="1"/>
      <c r="Q626" s="1"/>
      <c r="R626" s="1"/>
      <c r="S626" s="1"/>
      <c r="T626" s="1"/>
      <c r="U626" s="1"/>
      <c r="V626" s="38"/>
      <c r="W626" s="1"/>
      <c r="X626" s="1"/>
    </row>
    <row r="627" spans="1:24" ht="14.4">
      <c r="A627" s="1"/>
      <c r="M627" s="26"/>
      <c r="N627" s="26"/>
      <c r="P627" s="1"/>
      <c r="Q627" s="1"/>
      <c r="R627" s="1"/>
      <c r="S627" s="1"/>
      <c r="T627" s="1"/>
      <c r="U627" s="1"/>
      <c r="V627" s="38"/>
      <c r="W627" s="1"/>
      <c r="X627" s="1"/>
    </row>
    <row r="628" spans="1:24" ht="14.4">
      <c r="A628" s="1"/>
      <c r="M628" s="26"/>
      <c r="N628" s="26"/>
      <c r="P628" s="1"/>
      <c r="Q628" s="1"/>
      <c r="R628" s="1"/>
      <c r="S628" s="1"/>
      <c r="T628" s="1"/>
      <c r="U628" s="1"/>
      <c r="V628" s="38"/>
      <c r="W628" s="1"/>
      <c r="X628" s="1"/>
    </row>
    <row r="629" spans="1:24" ht="14.4">
      <c r="A629" s="1"/>
      <c r="M629" s="26"/>
      <c r="N629" s="26"/>
      <c r="P629" s="1"/>
      <c r="Q629" s="1"/>
      <c r="R629" s="1"/>
      <c r="S629" s="1"/>
      <c r="T629" s="1"/>
      <c r="U629" s="1"/>
      <c r="V629" s="38"/>
      <c r="W629" s="1"/>
      <c r="X629" s="1"/>
    </row>
    <row r="630" spans="1:24" ht="14.4">
      <c r="A630" s="1"/>
      <c r="M630" s="26"/>
      <c r="N630" s="26"/>
      <c r="P630" s="1"/>
      <c r="Q630" s="1"/>
      <c r="R630" s="1"/>
      <c r="S630" s="1"/>
      <c r="T630" s="1"/>
      <c r="U630" s="1"/>
      <c r="V630" s="38"/>
      <c r="W630" s="1"/>
      <c r="X630" s="1"/>
    </row>
    <row r="631" spans="1:24" ht="14.4">
      <c r="A631" s="1"/>
      <c r="M631" s="26"/>
      <c r="N631" s="26"/>
      <c r="P631" s="1"/>
      <c r="Q631" s="1"/>
      <c r="R631" s="1"/>
      <c r="S631" s="1"/>
      <c r="T631" s="1"/>
      <c r="U631" s="1"/>
      <c r="V631" s="38"/>
      <c r="W631" s="1"/>
      <c r="X631" s="1"/>
    </row>
    <row r="632" spans="1:24" ht="14.4">
      <c r="A632" s="1"/>
      <c r="M632" s="26"/>
      <c r="N632" s="26"/>
      <c r="P632" s="1"/>
      <c r="Q632" s="1"/>
      <c r="R632" s="1"/>
      <c r="S632" s="1"/>
      <c r="T632" s="1"/>
      <c r="U632" s="1"/>
      <c r="V632" s="38"/>
      <c r="W632" s="1"/>
      <c r="X632" s="1"/>
    </row>
    <row r="633" spans="1:24" ht="14.4">
      <c r="A633" s="1"/>
      <c r="M633" s="26"/>
      <c r="N633" s="26"/>
      <c r="P633" s="1"/>
      <c r="Q633" s="1"/>
      <c r="R633" s="1"/>
      <c r="S633" s="1"/>
      <c r="T633" s="1"/>
      <c r="U633" s="1"/>
      <c r="V633" s="38"/>
      <c r="W633" s="1"/>
      <c r="X633" s="1"/>
    </row>
    <row r="634" spans="1:24" ht="14.4">
      <c r="A634" s="1"/>
      <c r="M634" s="26"/>
      <c r="N634" s="26"/>
      <c r="P634" s="1"/>
      <c r="Q634" s="1"/>
      <c r="R634" s="1"/>
      <c r="S634" s="1"/>
      <c r="T634" s="1"/>
      <c r="U634" s="1"/>
      <c r="V634" s="38"/>
      <c r="W634" s="1"/>
      <c r="X634" s="1"/>
    </row>
    <row r="635" spans="1:24" ht="14.4">
      <c r="A635" s="1"/>
      <c r="M635" s="26"/>
      <c r="N635" s="26"/>
      <c r="P635" s="1"/>
      <c r="Q635" s="1"/>
      <c r="R635" s="1"/>
      <c r="S635" s="1"/>
      <c r="T635" s="1"/>
      <c r="U635" s="1"/>
      <c r="V635" s="38"/>
      <c r="W635" s="1"/>
      <c r="X635" s="1"/>
    </row>
    <row r="636" spans="1:24" ht="14.4">
      <c r="A636" s="1"/>
      <c r="M636" s="26"/>
      <c r="N636" s="26"/>
      <c r="P636" s="1"/>
      <c r="Q636" s="1"/>
      <c r="R636" s="1"/>
      <c r="S636" s="1"/>
      <c r="T636" s="1"/>
      <c r="U636" s="1"/>
      <c r="V636" s="38"/>
      <c r="W636" s="1"/>
      <c r="X636" s="1"/>
    </row>
    <row r="637" spans="1:24" ht="14.4">
      <c r="A637" s="1"/>
      <c r="M637" s="26"/>
      <c r="N637" s="26"/>
      <c r="P637" s="1"/>
      <c r="Q637" s="1"/>
      <c r="R637" s="1"/>
      <c r="S637" s="1"/>
      <c r="T637" s="1"/>
      <c r="U637" s="1"/>
      <c r="V637" s="38"/>
      <c r="W637" s="1"/>
      <c r="X637" s="1"/>
    </row>
    <row r="638" spans="1:24" ht="14.4">
      <c r="A638" s="1"/>
      <c r="M638" s="26"/>
      <c r="N638" s="26"/>
      <c r="P638" s="1"/>
      <c r="Q638" s="1"/>
      <c r="R638" s="1"/>
      <c r="S638" s="1"/>
      <c r="T638" s="1"/>
      <c r="U638" s="1"/>
      <c r="V638" s="38"/>
      <c r="W638" s="1"/>
      <c r="X638" s="1"/>
    </row>
    <row r="639" spans="1:24" ht="14.4">
      <c r="A639" s="1"/>
      <c r="M639" s="26"/>
      <c r="N639" s="26"/>
      <c r="P639" s="1"/>
      <c r="Q639" s="1"/>
      <c r="R639" s="1"/>
      <c r="S639" s="1"/>
      <c r="T639" s="1"/>
      <c r="U639" s="1"/>
      <c r="V639" s="38"/>
      <c r="W639" s="1"/>
      <c r="X639" s="1"/>
    </row>
    <row r="640" spans="1:24" ht="14.4">
      <c r="A640" s="1"/>
      <c r="M640" s="26"/>
      <c r="N640" s="26"/>
      <c r="P640" s="1"/>
      <c r="Q640" s="1"/>
      <c r="R640" s="1"/>
      <c r="S640" s="1"/>
      <c r="T640" s="1"/>
      <c r="U640" s="1"/>
      <c r="V640" s="38"/>
      <c r="W640" s="1"/>
      <c r="X640" s="1"/>
    </row>
    <row r="641" spans="1:24" ht="14.4">
      <c r="A641" s="1"/>
      <c r="M641" s="26"/>
      <c r="N641" s="26"/>
      <c r="P641" s="1"/>
      <c r="Q641" s="1"/>
      <c r="R641" s="1"/>
      <c r="S641" s="1"/>
      <c r="T641" s="1"/>
      <c r="U641" s="1"/>
      <c r="V641" s="38"/>
      <c r="W641" s="1"/>
      <c r="X641" s="1"/>
    </row>
    <row r="642" spans="1:24" ht="14.4">
      <c r="A642" s="1"/>
      <c r="M642" s="26"/>
      <c r="N642" s="26"/>
      <c r="P642" s="1"/>
      <c r="Q642" s="1"/>
      <c r="R642" s="1"/>
      <c r="S642" s="1"/>
      <c r="T642" s="1"/>
      <c r="U642" s="1"/>
      <c r="V642" s="38"/>
      <c r="W642" s="1"/>
      <c r="X642" s="1"/>
    </row>
    <row r="643" spans="1:24" ht="14.4">
      <c r="A643" s="1"/>
      <c r="M643" s="26"/>
      <c r="N643" s="26"/>
      <c r="P643" s="1"/>
      <c r="Q643" s="1"/>
      <c r="R643" s="1"/>
      <c r="S643" s="1"/>
      <c r="T643" s="1"/>
      <c r="U643" s="1"/>
      <c r="V643" s="38"/>
      <c r="W643" s="1"/>
      <c r="X643" s="1"/>
    </row>
    <row r="644" spans="1:24" ht="14.4">
      <c r="A644" s="1"/>
      <c r="M644" s="26"/>
      <c r="N644" s="26"/>
      <c r="P644" s="1"/>
      <c r="Q644" s="1"/>
      <c r="R644" s="1"/>
      <c r="S644" s="1"/>
      <c r="T644" s="1"/>
      <c r="U644" s="1"/>
      <c r="V644" s="38"/>
      <c r="W644" s="1"/>
      <c r="X644" s="1"/>
    </row>
    <row r="645" spans="1:24" ht="14.4">
      <c r="A645" s="1"/>
      <c r="M645" s="26"/>
      <c r="N645" s="26"/>
      <c r="P645" s="1"/>
      <c r="Q645" s="1"/>
      <c r="R645" s="1"/>
      <c r="S645" s="1"/>
      <c r="T645" s="1"/>
      <c r="U645" s="1"/>
      <c r="V645" s="38"/>
      <c r="W645" s="1"/>
      <c r="X645" s="1"/>
    </row>
    <row r="646" spans="1:24" ht="14.4">
      <c r="A646" s="1"/>
      <c r="M646" s="26"/>
      <c r="N646" s="26"/>
      <c r="P646" s="1"/>
      <c r="Q646" s="1"/>
      <c r="R646" s="1"/>
      <c r="S646" s="1"/>
      <c r="T646" s="1"/>
      <c r="U646" s="1"/>
      <c r="V646" s="38"/>
      <c r="W646" s="1"/>
      <c r="X646" s="1"/>
    </row>
    <row r="647" spans="1:24" ht="14.4">
      <c r="A647" s="1"/>
      <c r="M647" s="26"/>
      <c r="N647" s="26"/>
      <c r="P647" s="1"/>
      <c r="Q647" s="1"/>
      <c r="R647" s="1"/>
      <c r="S647" s="1"/>
      <c r="T647" s="1"/>
      <c r="U647" s="1"/>
      <c r="V647" s="38"/>
      <c r="W647" s="1"/>
      <c r="X647" s="1"/>
    </row>
    <row r="648" spans="1:24" ht="14.4">
      <c r="A648" s="1"/>
      <c r="M648" s="26"/>
      <c r="N648" s="26"/>
      <c r="P648" s="1"/>
      <c r="Q648" s="1"/>
      <c r="R648" s="1"/>
      <c r="S648" s="1"/>
      <c r="T648" s="1"/>
      <c r="U648" s="1"/>
      <c r="V648" s="38"/>
      <c r="W648" s="1"/>
      <c r="X648" s="1"/>
    </row>
    <row r="649" spans="1:24" ht="14.4">
      <c r="A649" s="1"/>
      <c r="M649" s="26"/>
      <c r="N649" s="26"/>
      <c r="P649" s="1"/>
      <c r="Q649" s="1"/>
      <c r="R649" s="1"/>
      <c r="S649" s="1"/>
      <c r="T649" s="1"/>
      <c r="U649" s="1"/>
      <c r="V649" s="38"/>
      <c r="W649" s="1"/>
      <c r="X649" s="1"/>
    </row>
    <row r="650" spans="1:24" ht="14.4">
      <c r="A650" s="1"/>
      <c r="M650" s="26"/>
      <c r="N650" s="26"/>
      <c r="P650" s="1"/>
      <c r="Q650" s="1"/>
      <c r="R650" s="1"/>
      <c r="S650" s="1"/>
      <c r="T650" s="1"/>
      <c r="U650" s="1"/>
      <c r="V650" s="38"/>
      <c r="W650" s="1"/>
      <c r="X650" s="1"/>
    </row>
    <row r="651" spans="1:24" ht="14.4">
      <c r="A651" s="1"/>
      <c r="M651" s="26"/>
      <c r="N651" s="26"/>
      <c r="P651" s="1"/>
      <c r="Q651" s="1"/>
      <c r="R651" s="1"/>
      <c r="S651" s="1"/>
      <c r="T651" s="1"/>
      <c r="U651" s="1"/>
      <c r="V651" s="38"/>
      <c r="W651" s="1"/>
      <c r="X651" s="1"/>
    </row>
    <row r="652" spans="1:24" ht="14.4">
      <c r="A652" s="1"/>
      <c r="M652" s="26"/>
      <c r="N652" s="26"/>
      <c r="P652" s="1"/>
      <c r="Q652" s="1"/>
      <c r="R652" s="1"/>
      <c r="S652" s="1"/>
      <c r="T652" s="1"/>
      <c r="U652" s="1"/>
      <c r="V652" s="38"/>
      <c r="W652" s="1"/>
      <c r="X652" s="1"/>
    </row>
    <row r="653" spans="1:24" ht="14.4">
      <c r="A653" s="1"/>
      <c r="M653" s="26"/>
      <c r="N653" s="26"/>
      <c r="P653" s="1"/>
      <c r="Q653" s="1"/>
      <c r="R653" s="1"/>
      <c r="S653" s="1"/>
      <c r="T653" s="1"/>
      <c r="U653" s="1"/>
      <c r="V653" s="38"/>
      <c r="W653" s="1"/>
      <c r="X653" s="1"/>
    </row>
    <row r="654" spans="1:24" ht="14.4">
      <c r="A654" s="1"/>
      <c r="M654" s="26"/>
      <c r="N654" s="26"/>
      <c r="P654" s="1"/>
      <c r="Q654" s="1"/>
      <c r="R654" s="1"/>
      <c r="S654" s="1"/>
      <c r="T654" s="1"/>
      <c r="U654" s="1"/>
      <c r="V654" s="38"/>
      <c r="W654" s="1"/>
      <c r="X654" s="1"/>
    </row>
    <row r="655" spans="1:24" ht="14.4">
      <c r="A655" s="1"/>
      <c r="M655" s="26"/>
      <c r="N655" s="26"/>
      <c r="P655" s="1"/>
      <c r="Q655" s="1"/>
      <c r="R655" s="1"/>
      <c r="S655" s="1"/>
      <c r="T655" s="1"/>
      <c r="U655" s="1"/>
      <c r="V655" s="38"/>
      <c r="W655" s="1"/>
      <c r="X655" s="1"/>
    </row>
    <row r="656" spans="1:24" ht="14.4">
      <c r="A656" s="1"/>
      <c r="M656" s="26"/>
      <c r="N656" s="26"/>
      <c r="P656" s="1"/>
      <c r="Q656" s="1"/>
      <c r="R656" s="1"/>
      <c r="S656" s="1"/>
      <c r="T656" s="1"/>
      <c r="U656" s="1"/>
      <c r="V656" s="38"/>
      <c r="W656" s="1"/>
      <c r="X656" s="1"/>
    </row>
    <row r="657" spans="1:24" ht="14.4">
      <c r="A657" s="1"/>
      <c r="M657" s="26"/>
      <c r="N657" s="26"/>
      <c r="P657" s="1"/>
      <c r="Q657" s="1"/>
      <c r="R657" s="1"/>
      <c r="S657" s="1"/>
      <c r="T657" s="1"/>
      <c r="U657" s="1"/>
      <c r="V657" s="38"/>
      <c r="W657" s="1"/>
      <c r="X657" s="1"/>
    </row>
    <row r="658" spans="1:24" ht="14.4">
      <c r="A658" s="1"/>
      <c r="M658" s="26"/>
      <c r="N658" s="26"/>
      <c r="P658" s="1"/>
      <c r="Q658" s="1"/>
      <c r="R658" s="1"/>
      <c r="S658" s="1"/>
      <c r="T658" s="1"/>
      <c r="U658" s="1"/>
      <c r="V658" s="38"/>
      <c r="W658" s="1"/>
      <c r="X658" s="1"/>
    </row>
    <row r="659" spans="1:24" ht="14.4">
      <c r="A659" s="1"/>
      <c r="M659" s="26"/>
      <c r="N659" s="26"/>
      <c r="P659" s="1"/>
      <c r="Q659" s="1"/>
      <c r="R659" s="1"/>
      <c r="S659" s="1"/>
      <c r="T659" s="1"/>
      <c r="U659" s="1"/>
      <c r="V659" s="38"/>
      <c r="W659" s="1"/>
      <c r="X659" s="1"/>
    </row>
    <row r="660" spans="1:24" ht="14.4">
      <c r="A660" s="1"/>
      <c r="M660" s="26"/>
      <c r="N660" s="26"/>
      <c r="P660" s="1"/>
      <c r="Q660" s="1"/>
      <c r="R660" s="1"/>
      <c r="S660" s="1"/>
      <c r="T660" s="1"/>
      <c r="U660" s="1"/>
      <c r="V660" s="38"/>
      <c r="W660" s="1"/>
      <c r="X660" s="1"/>
    </row>
    <row r="661" spans="1:24" ht="14.4">
      <c r="A661" s="1"/>
      <c r="M661" s="26"/>
      <c r="N661" s="26"/>
      <c r="P661" s="1"/>
      <c r="Q661" s="1"/>
      <c r="R661" s="1"/>
      <c r="S661" s="1"/>
      <c r="T661" s="1"/>
      <c r="U661" s="1"/>
      <c r="V661" s="38"/>
      <c r="W661" s="1"/>
      <c r="X661" s="1"/>
    </row>
    <row r="662" spans="1:24" ht="14.4">
      <c r="A662" s="1"/>
      <c r="M662" s="26"/>
      <c r="N662" s="26"/>
      <c r="P662" s="1"/>
      <c r="Q662" s="1"/>
      <c r="R662" s="1"/>
      <c r="S662" s="1"/>
      <c r="T662" s="1"/>
      <c r="U662" s="1"/>
      <c r="V662" s="38"/>
      <c r="W662" s="1"/>
      <c r="X662" s="1"/>
    </row>
    <row r="663" spans="1:24" ht="14.4">
      <c r="A663" s="1"/>
      <c r="M663" s="26"/>
      <c r="N663" s="26"/>
      <c r="P663" s="1"/>
      <c r="Q663" s="1"/>
      <c r="R663" s="1"/>
      <c r="S663" s="1"/>
      <c r="T663" s="1"/>
      <c r="U663" s="1"/>
      <c r="V663" s="38"/>
      <c r="W663" s="1"/>
      <c r="X663" s="1"/>
    </row>
    <row r="664" spans="1:24" ht="14.4">
      <c r="A664" s="1"/>
      <c r="M664" s="26"/>
      <c r="N664" s="26"/>
      <c r="P664" s="1"/>
      <c r="Q664" s="1"/>
      <c r="R664" s="1"/>
      <c r="S664" s="1"/>
      <c r="T664" s="1"/>
      <c r="U664" s="1"/>
      <c r="V664" s="38"/>
      <c r="W664" s="1"/>
      <c r="X664" s="1"/>
    </row>
    <row r="665" spans="1:24" ht="14.4">
      <c r="A665" s="1"/>
      <c r="M665" s="26"/>
      <c r="N665" s="26"/>
      <c r="P665" s="1"/>
      <c r="Q665" s="1"/>
      <c r="R665" s="1"/>
      <c r="S665" s="1"/>
      <c r="T665" s="1"/>
      <c r="U665" s="1"/>
      <c r="V665" s="38"/>
      <c r="W665" s="1"/>
      <c r="X665" s="1"/>
    </row>
    <row r="666" spans="1:24" ht="14.4">
      <c r="A666" s="1"/>
      <c r="M666" s="26"/>
      <c r="N666" s="26"/>
      <c r="P666" s="1"/>
      <c r="Q666" s="1"/>
      <c r="R666" s="1"/>
      <c r="S666" s="1"/>
      <c r="T666" s="1"/>
      <c r="U666" s="1"/>
      <c r="V666" s="38"/>
      <c r="W666" s="1"/>
      <c r="X666" s="1"/>
    </row>
    <row r="667" spans="1:24" ht="14.4">
      <c r="A667" s="1"/>
      <c r="M667" s="26"/>
      <c r="N667" s="26"/>
      <c r="P667" s="1"/>
      <c r="Q667" s="1"/>
      <c r="R667" s="1"/>
      <c r="S667" s="1"/>
      <c r="T667" s="1"/>
      <c r="U667" s="1"/>
      <c r="V667" s="38"/>
      <c r="W667" s="1"/>
      <c r="X667" s="1"/>
    </row>
    <row r="668" spans="1:24" ht="14.4">
      <c r="A668" s="1"/>
      <c r="M668" s="26"/>
      <c r="N668" s="26"/>
      <c r="P668" s="1"/>
      <c r="Q668" s="1"/>
      <c r="R668" s="1"/>
      <c r="S668" s="1"/>
      <c r="T668" s="1"/>
      <c r="U668" s="1"/>
      <c r="V668" s="38"/>
      <c r="W668" s="1"/>
      <c r="X668" s="1"/>
    </row>
    <row r="669" spans="1:24" ht="14.4">
      <c r="A669" s="1"/>
      <c r="M669" s="26"/>
      <c r="N669" s="26"/>
      <c r="P669" s="1"/>
      <c r="Q669" s="1"/>
      <c r="R669" s="1"/>
      <c r="S669" s="1"/>
      <c r="T669" s="1"/>
      <c r="U669" s="1"/>
      <c r="V669" s="38"/>
      <c r="W669" s="1"/>
      <c r="X669" s="1"/>
    </row>
    <row r="670" spans="1:24" ht="14.4">
      <c r="A670" s="1"/>
      <c r="M670" s="26"/>
      <c r="N670" s="26"/>
      <c r="P670" s="1"/>
      <c r="Q670" s="1"/>
      <c r="R670" s="1"/>
      <c r="S670" s="1"/>
      <c r="T670" s="1"/>
      <c r="U670" s="1"/>
      <c r="V670" s="38"/>
      <c r="W670" s="1"/>
      <c r="X670" s="1"/>
    </row>
    <row r="671" spans="1:24" ht="14.4">
      <c r="A671" s="1"/>
      <c r="M671" s="26"/>
      <c r="N671" s="26"/>
      <c r="P671" s="1"/>
      <c r="Q671" s="1"/>
      <c r="R671" s="1"/>
      <c r="S671" s="1"/>
      <c r="T671" s="1"/>
      <c r="U671" s="1"/>
      <c r="V671" s="38"/>
      <c r="W671" s="1"/>
      <c r="X671" s="1"/>
    </row>
    <row r="672" spans="1:24" ht="14.4">
      <c r="A672" s="1"/>
      <c r="M672" s="26"/>
      <c r="N672" s="26"/>
      <c r="P672" s="1"/>
      <c r="Q672" s="1"/>
      <c r="R672" s="1"/>
      <c r="S672" s="1"/>
      <c r="T672" s="1"/>
      <c r="U672" s="1"/>
      <c r="V672" s="38"/>
      <c r="W672" s="1"/>
      <c r="X672" s="1"/>
    </row>
    <row r="673" spans="1:24" ht="14.4">
      <c r="A673" s="1"/>
      <c r="M673" s="26"/>
      <c r="N673" s="26"/>
      <c r="P673" s="1"/>
      <c r="Q673" s="1"/>
      <c r="R673" s="1"/>
      <c r="S673" s="1"/>
      <c r="T673" s="1"/>
      <c r="U673" s="1"/>
      <c r="V673" s="38"/>
      <c r="W673" s="1"/>
      <c r="X673" s="1"/>
    </row>
    <row r="674" spans="1:24" ht="14.4">
      <c r="A674" s="1"/>
      <c r="M674" s="26"/>
      <c r="N674" s="26"/>
      <c r="P674" s="1"/>
      <c r="Q674" s="1"/>
      <c r="R674" s="1"/>
      <c r="S674" s="1"/>
      <c r="T674" s="1"/>
      <c r="U674" s="1"/>
      <c r="V674" s="38"/>
      <c r="W674" s="1"/>
      <c r="X674" s="1"/>
    </row>
    <row r="675" spans="1:24" ht="14.4">
      <c r="A675" s="1"/>
      <c r="M675" s="26"/>
      <c r="N675" s="26"/>
      <c r="P675" s="1"/>
      <c r="Q675" s="1"/>
      <c r="R675" s="1"/>
      <c r="S675" s="1"/>
      <c r="T675" s="1"/>
      <c r="U675" s="1"/>
      <c r="V675" s="38"/>
      <c r="W675" s="1"/>
      <c r="X675" s="1"/>
    </row>
    <row r="676" spans="1:24" ht="14.4">
      <c r="A676" s="1"/>
      <c r="M676" s="26"/>
      <c r="N676" s="26"/>
      <c r="P676" s="1"/>
      <c r="Q676" s="1"/>
      <c r="R676" s="1"/>
      <c r="S676" s="1"/>
      <c r="T676" s="1"/>
      <c r="U676" s="1"/>
      <c r="V676" s="38"/>
      <c r="W676" s="1"/>
      <c r="X676" s="1"/>
    </row>
    <row r="677" spans="1:24" ht="14.4">
      <c r="A677" s="1"/>
      <c r="M677" s="26"/>
      <c r="N677" s="26"/>
      <c r="P677" s="1"/>
      <c r="Q677" s="1"/>
      <c r="R677" s="1"/>
      <c r="S677" s="1"/>
      <c r="T677" s="1"/>
      <c r="U677" s="1"/>
      <c r="V677" s="38"/>
      <c r="W677" s="1"/>
      <c r="X677" s="1"/>
    </row>
    <row r="678" spans="1:24" ht="14.4">
      <c r="A678" s="1"/>
      <c r="M678" s="26"/>
      <c r="N678" s="26"/>
      <c r="P678" s="1"/>
      <c r="Q678" s="1"/>
      <c r="R678" s="1"/>
      <c r="S678" s="1"/>
      <c r="T678" s="1"/>
      <c r="U678" s="1"/>
      <c r="V678" s="38"/>
      <c r="W678" s="1"/>
      <c r="X678" s="1"/>
    </row>
    <row r="679" spans="1:24" ht="14.4">
      <c r="A679" s="1"/>
      <c r="M679" s="26"/>
      <c r="N679" s="26"/>
      <c r="P679" s="1"/>
      <c r="Q679" s="1"/>
      <c r="R679" s="1"/>
      <c r="S679" s="1"/>
      <c r="T679" s="1"/>
      <c r="U679" s="1"/>
      <c r="V679" s="38"/>
      <c r="W679" s="1"/>
      <c r="X679" s="1"/>
    </row>
    <row r="680" spans="1:24" ht="14.4">
      <c r="A680" s="1"/>
      <c r="M680" s="26"/>
      <c r="N680" s="26"/>
      <c r="P680" s="1"/>
      <c r="Q680" s="1"/>
      <c r="R680" s="1"/>
      <c r="S680" s="1"/>
      <c r="T680" s="1"/>
      <c r="U680" s="1"/>
      <c r="V680" s="38"/>
      <c r="W680" s="1"/>
      <c r="X680" s="1"/>
    </row>
    <row r="681" spans="1:24" ht="14.4">
      <c r="A681" s="1"/>
      <c r="M681" s="26"/>
      <c r="N681" s="26"/>
      <c r="P681" s="1"/>
      <c r="Q681" s="1"/>
      <c r="R681" s="1"/>
      <c r="S681" s="1"/>
      <c r="T681" s="1"/>
      <c r="U681" s="1"/>
      <c r="V681" s="38"/>
      <c r="W681" s="1"/>
      <c r="X681" s="1"/>
    </row>
    <row r="682" spans="1:24" ht="14.4">
      <c r="A682" s="1"/>
      <c r="M682" s="26"/>
      <c r="N682" s="26"/>
      <c r="P682" s="1"/>
      <c r="Q682" s="1"/>
      <c r="R682" s="1"/>
      <c r="S682" s="1"/>
      <c r="T682" s="1"/>
      <c r="U682" s="1"/>
      <c r="V682" s="38"/>
      <c r="W682" s="1"/>
      <c r="X682" s="1"/>
    </row>
    <row r="683" spans="1:24" ht="14.4">
      <c r="A683" s="1"/>
      <c r="M683" s="26"/>
      <c r="N683" s="26"/>
      <c r="P683" s="1"/>
      <c r="Q683" s="1"/>
      <c r="R683" s="1"/>
      <c r="S683" s="1"/>
      <c r="T683" s="1"/>
      <c r="U683" s="1"/>
      <c r="V683" s="38"/>
      <c r="W683" s="1"/>
      <c r="X683" s="1"/>
    </row>
    <row r="684" spans="1:24" ht="14.4">
      <c r="A684" s="1"/>
      <c r="M684" s="26"/>
      <c r="N684" s="26"/>
      <c r="P684" s="1"/>
      <c r="Q684" s="1"/>
      <c r="R684" s="1"/>
      <c r="S684" s="1"/>
      <c r="T684" s="1"/>
      <c r="U684" s="1"/>
      <c r="V684" s="38"/>
      <c r="W684" s="1"/>
      <c r="X684" s="1"/>
    </row>
    <row r="685" spans="1:24" ht="14.4">
      <c r="A685" s="1"/>
      <c r="M685" s="26"/>
      <c r="N685" s="26"/>
      <c r="P685" s="1"/>
      <c r="Q685" s="1"/>
      <c r="R685" s="1"/>
      <c r="S685" s="1"/>
      <c r="T685" s="1"/>
      <c r="U685" s="1"/>
      <c r="V685" s="38"/>
      <c r="W685" s="1"/>
      <c r="X685" s="1"/>
    </row>
    <row r="686" spans="1:24" ht="14.4">
      <c r="A686" s="1"/>
      <c r="M686" s="26"/>
      <c r="N686" s="26"/>
      <c r="P686" s="1"/>
      <c r="Q686" s="1"/>
      <c r="R686" s="1"/>
      <c r="S686" s="1"/>
      <c r="T686" s="1"/>
      <c r="U686" s="1"/>
      <c r="V686" s="38"/>
      <c r="W686" s="1"/>
      <c r="X686" s="1"/>
    </row>
    <row r="687" spans="1:24" ht="14.4">
      <c r="A687" s="1"/>
      <c r="M687" s="26"/>
      <c r="N687" s="26"/>
      <c r="P687" s="1"/>
      <c r="Q687" s="1"/>
      <c r="R687" s="1"/>
      <c r="S687" s="1"/>
      <c r="T687" s="1"/>
      <c r="U687" s="1"/>
      <c r="V687" s="38"/>
      <c r="W687" s="1"/>
      <c r="X687" s="1"/>
    </row>
    <row r="688" spans="1:24" ht="14.4">
      <c r="A688" s="1"/>
      <c r="M688" s="26"/>
      <c r="N688" s="26"/>
      <c r="P688" s="1"/>
      <c r="Q688" s="1"/>
      <c r="R688" s="1"/>
      <c r="S688" s="1"/>
      <c r="T688" s="1"/>
      <c r="U688" s="1"/>
      <c r="V688" s="38"/>
      <c r="W688" s="1"/>
      <c r="X688" s="1"/>
    </row>
    <row r="689" spans="1:24" ht="14.4">
      <c r="A689" s="1"/>
      <c r="M689" s="26"/>
      <c r="N689" s="26"/>
      <c r="P689" s="1"/>
      <c r="Q689" s="1"/>
      <c r="R689" s="1"/>
      <c r="S689" s="1"/>
      <c r="T689" s="1"/>
      <c r="U689" s="1"/>
      <c r="V689" s="38"/>
      <c r="W689" s="1"/>
      <c r="X689" s="1"/>
    </row>
    <row r="690" spans="1:24" ht="14.4">
      <c r="A690" s="1"/>
      <c r="M690" s="26"/>
      <c r="N690" s="26"/>
      <c r="P690" s="1"/>
      <c r="Q690" s="1"/>
      <c r="R690" s="1"/>
      <c r="S690" s="1"/>
      <c r="T690" s="1"/>
      <c r="U690" s="1"/>
      <c r="V690" s="38"/>
      <c r="W690" s="1"/>
      <c r="X690" s="1"/>
    </row>
    <row r="691" spans="1:24" ht="14.4">
      <c r="A691" s="1"/>
      <c r="M691" s="26"/>
      <c r="N691" s="26"/>
      <c r="P691" s="1"/>
      <c r="Q691" s="1"/>
      <c r="R691" s="1"/>
      <c r="S691" s="1"/>
      <c r="T691" s="1"/>
      <c r="U691" s="1"/>
      <c r="V691" s="38"/>
      <c r="W691" s="1"/>
      <c r="X691" s="1"/>
    </row>
    <row r="692" spans="1:24" ht="14.4">
      <c r="A692" s="1"/>
      <c r="M692" s="26"/>
      <c r="N692" s="26"/>
      <c r="P692" s="1"/>
      <c r="Q692" s="1"/>
      <c r="R692" s="1"/>
      <c r="S692" s="1"/>
      <c r="T692" s="1"/>
      <c r="U692" s="1"/>
      <c r="V692" s="38"/>
      <c r="W692" s="1"/>
      <c r="X692" s="1"/>
    </row>
    <row r="693" spans="1:24" ht="14.4">
      <c r="A693" s="1"/>
      <c r="M693" s="26"/>
      <c r="N693" s="26"/>
      <c r="P693" s="1"/>
      <c r="Q693" s="1"/>
      <c r="R693" s="1"/>
      <c r="S693" s="1"/>
      <c r="T693" s="1"/>
      <c r="U693" s="1"/>
      <c r="V693" s="38"/>
      <c r="W693" s="1"/>
      <c r="X693" s="1"/>
    </row>
    <row r="694" spans="1:24" ht="14.4">
      <c r="A694" s="1"/>
      <c r="M694" s="26"/>
      <c r="N694" s="26"/>
      <c r="P694" s="1"/>
      <c r="Q694" s="1"/>
      <c r="R694" s="1"/>
      <c r="S694" s="1"/>
      <c r="T694" s="1"/>
      <c r="U694" s="1"/>
      <c r="V694" s="38"/>
      <c r="W694" s="1"/>
      <c r="X694" s="1"/>
    </row>
    <row r="695" spans="1:24" ht="14.4">
      <c r="A695" s="1"/>
      <c r="M695" s="26"/>
      <c r="N695" s="26"/>
      <c r="P695" s="1"/>
      <c r="Q695" s="1"/>
      <c r="R695" s="1"/>
      <c r="S695" s="1"/>
      <c r="T695" s="1"/>
      <c r="U695" s="1"/>
      <c r="V695" s="38"/>
      <c r="W695" s="1"/>
      <c r="X695" s="1"/>
    </row>
    <row r="696" spans="1:24" ht="14.4">
      <c r="A696" s="1"/>
      <c r="M696" s="26"/>
      <c r="N696" s="26"/>
      <c r="P696" s="1"/>
      <c r="Q696" s="1"/>
      <c r="R696" s="1"/>
      <c r="S696" s="1"/>
      <c r="T696" s="1"/>
      <c r="U696" s="1"/>
      <c r="V696" s="38"/>
      <c r="W696" s="1"/>
      <c r="X696" s="1"/>
    </row>
    <row r="697" spans="1:24" ht="14.4">
      <c r="A697" s="1"/>
      <c r="M697" s="26"/>
      <c r="N697" s="26"/>
      <c r="P697" s="1"/>
      <c r="Q697" s="1"/>
      <c r="R697" s="1"/>
      <c r="S697" s="1"/>
      <c r="T697" s="1"/>
      <c r="U697" s="1"/>
      <c r="V697" s="38"/>
      <c r="W697" s="1"/>
      <c r="X697" s="1"/>
    </row>
    <row r="698" spans="1:24" ht="14.4">
      <c r="A698" s="1"/>
      <c r="M698" s="26"/>
      <c r="N698" s="26"/>
      <c r="P698" s="1"/>
      <c r="Q698" s="1"/>
      <c r="R698" s="1"/>
      <c r="S698" s="1"/>
      <c r="T698" s="1"/>
      <c r="U698" s="1"/>
      <c r="V698" s="38"/>
      <c r="W698" s="1"/>
      <c r="X698" s="1"/>
    </row>
    <row r="699" spans="1:24" ht="14.4">
      <c r="A699" s="1"/>
      <c r="M699" s="26"/>
      <c r="N699" s="26"/>
      <c r="P699" s="1"/>
      <c r="Q699" s="1"/>
      <c r="R699" s="1"/>
      <c r="S699" s="1"/>
      <c r="T699" s="1"/>
      <c r="U699" s="1"/>
      <c r="V699" s="38"/>
      <c r="W699" s="1"/>
      <c r="X699" s="1"/>
    </row>
    <row r="700" spans="1:24" ht="14.4">
      <c r="A700" s="1"/>
      <c r="M700" s="26"/>
      <c r="N700" s="26"/>
      <c r="P700" s="1"/>
      <c r="Q700" s="1"/>
      <c r="R700" s="1"/>
      <c r="S700" s="1"/>
      <c r="T700" s="1"/>
      <c r="U700" s="1"/>
      <c r="V700" s="38"/>
      <c r="W700" s="1"/>
      <c r="X700" s="1"/>
    </row>
    <row r="701" spans="1:24" ht="14.4">
      <c r="A701" s="1"/>
      <c r="M701" s="26"/>
      <c r="N701" s="26"/>
      <c r="P701" s="1"/>
      <c r="Q701" s="1"/>
      <c r="R701" s="1"/>
      <c r="S701" s="1"/>
      <c r="T701" s="1"/>
      <c r="U701" s="1"/>
      <c r="V701" s="38"/>
      <c r="W701" s="1"/>
      <c r="X701" s="1"/>
    </row>
    <row r="702" spans="1:24" ht="14.4">
      <c r="A702" s="1"/>
      <c r="M702" s="26"/>
      <c r="N702" s="26"/>
      <c r="P702" s="1"/>
      <c r="Q702" s="1"/>
      <c r="R702" s="1"/>
      <c r="S702" s="1"/>
      <c r="T702" s="1"/>
      <c r="U702" s="1"/>
      <c r="V702" s="38"/>
      <c r="W702" s="1"/>
      <c r="X702" s="1"/>
    </row>
    <row r="703" spans="1:24" ht="14.4">
      <c r="A703" s="1"/>
      <c r="M703" s="26"/>
      <c r="N703" s="26"/>
      <c r="P703" s="1"/>
      <c r="Q703" s="1"/>
      <c r="R703" s="1"/>
      <c r="S703" s="1"/>
      <c r="T703" s="1"/>
      <c r="U703" s="1"/>
      <c r="V703" s="38"/>
      <c r="W703" s="1"/>
      <c r="X703" s="1"/>
    </row>
    <row r="704" spans="1:24" ht="14.4">
      <c r="A704" s="1"/>
      <c r="M704" s="26"/>
      <c r="N704" s="26"/>
      <c r="P704" s="1"/>
      <c r="Q704" s="1"/>
      <c r="R704" s="1"/>
      <c r="S704" s="1"/>
      <c r="T704" s="1"/>
      <c r="U704" s="1"/>
      <c r="V704" s="38"/>
      <c r="W704" s="1"/>
      <c r="X704" s="1"/>
    </row>
    <row r="705" spans="1:24" ht="14.4">
      <c r="A705" s="1"/>
      <c r="M705" s="26"/>
      <c r="N705" s="26"/>
      <c r="P705" s="1"/>
      <c r="Q705" s="1"/>
      <c r="R705" s="1"/>
      <c r="S705" s="1"/>
      <c r="T705" s="1"/>
      <c r="U705" s="1"/>
      <c r="V705" s="38"/>
      <c r="W705" s="1"/>
      <c r="X705" s="1"/>
    </row>
    <row r="706" spans="1:24" ht="14.4">
      <c r="A706" s="1"/>
      <c r="M706" s="26"/>
      <c r="N706" s="26"/>
      <c r="P706" s="1"/>
      <c r="Q706" s="1"/>
      <c r="R706" s="1"/>
      <c r="S706" s="1"/>
      <c r="T706" s="1"/>
      <c r="U706" s="1"/>
      <c r="V706" s="38"/>
      <c r="W706" s="1"/>
      <c r="X706" s="1"/>
    </row>
    <row r="707" spans="1:24" ht="14.4">
      <c r="A707" s="1"/>
      <c r="M707" s="26"/>
      <c r="N707" s="26"/>
      <c r="P707" s="1"/>
      <c r="Q707" s="1"/>
      <c r="R707" s="1"/>
      <c r="S707" s="1"/>
      <c r="T707" s="1"/>
      <c r="U707" s="1"/>
      <c r="V707" s="38"/>
      <c r="W707" s="1"/>
      <c r="X707" s="1"/>
    </row>
    <row r="708" spans="1:24" ht="14.4">
      <c r="A708" s="1"/>
      <c r="M708" s="26"/>
      <c r="N708" s="26"/>
      <c r="P708" s="1"/>
      <c r="Q708" s="1"/>
      <c r="R708" s="1"/>
      <c r="S708" s="1"/>
      <c r="T708" s="1"/>
      <c r="U708" s="1"/>
      <c r="V708" s="38"/>
      <c r="W708" s="1"/>
      <c r="X708" s="1"/>
    </row>
    <row r="709" spans="1:24" ht="14.4">
      <c r="A709" s="1"/>
      <c r="M709" s="26"/>
      <c r="N709" s="26"/>
      <c r="P709" s="1"/>
      <c r="Q709" s="1"/>
      <c r="R709" s="1"/>
      <c r="S709" s="1"/>
      <c r="T709" s="1"/>
      <c r="U709" s="1"/>
      <c r="V709" s="38"/>
      <c r="W709" s="1"/>
      <c r="X709" s="1"/>
    </row>
    <row r="710" spans="1:24" ht="14.4">
      <c r="A710" s="1"/>
      <c r="M710" s="26"/>
      <c r="N710" s="26"/>
      <c r="P710" s="1"/>
      <c r="Q710" s="1"/>
      <c r="R710" s="1"/>
      <c r="S710" s="1"/>
      <c r="T710" s="1"/>
      <c r="U710" s="1"/>
      <c r="V710" s="38"/>
      <c r="W710" s="1"/>
      <c r="X710" s="1"/>
    </row>
    <row r="711" spans="1:24" ht="14.4">
      <c r="A711" s="1"/>
      <c r="M711" s="26"/>
      <c r="N711" s="26"/>
      <c r="P711" s="1"/>
      <c r="Q711" s="1"/>
      <c r="R711" s="1"/>
      <c r="S711" s="1"/>
      <c r="T711" s="1"/>
      <c r="U711" s="1"/>
      <c r="V711" s="38"/>
      <c r="W711" s="1"/>
      <c r="X711" s="1"/>
    </row>
    <row r="712" spans="1:24" ht="14.4">
      <c r="A712" s="1"/>
      <c r="M712" s="26"/>
      <c r="N712" s="26"/>
      <c r="P712" s="1"/>
      <c r="Q712" s="1"/>
      <c r="R712" s="1"/>
      <c r="S712" s="1"/>
      <c r="T712" s="1"/>
      <c r="U712" s="1"/>
      <c r="V712" s="38"/>
      <c r="W712" s="1"/>
      <c r="X712" s="1"/>
    </row>
    <row r="713" spans="1:24" ht="14.4">
      <c r="A713" s="1"/>
      <c r="M713" s="26"/>
      <c r="N713" s="26"/>
      <c r="P713" s="1"/>
      <c r="Q713" s="1"/>
      <c r="R713" s="1"/>
      <c r="S713" s="1"/>
      <c r="T713" s="1"/>
      <c r="U713" s="1"/>
      <c r="V713" s="38"/>
      <c r="W713" s="1"/>
      <c r="X713" s="1"/>
    </row>
    <row r="714" spans="1:24" ht="14.4">
      <c r="A714" s="1"/>
      <c r="M714" s="26"/>
      <c r="N714" s="26"/>
      <c r="P714" s="1"/>
      <c r="Q714" s="1"/>
      <c r="R714" s="1"/>
      <c r="S714" s="1"/>
      <c r="T714" s="1"/>
      <c r="U714" s="1"/>
      <c r="V714" s="38"/>
      <c r="W714" s="1"/>
      <c r="X714" s="1"/>
    </row>
    <row r="715" spans="1:24" ht="14.4">
      <c r="A715" s="1"/>
      <c r="M715" s="26"/>
      <c r="N715" s="26"/>
      <c r="P715" s="1"/>
      <c r="Q715" s="1"/>
      <c r="R715" s="1"/>
      <c r="S715" s="1"/>
      <c r="T715" s="1"/>
      <c r="U715" s="1"/>
      <c r="V715" s="38"/>
      <c r="W715" s="1"/>
      <c r="X715" s="1"/>
    </row>
    <row r="716" spans="1:24" ht="14.4">
      <c r="A716" s="1"/>
      <c r="M716" s="26"/>
      <c r="N716" s="26"/>
      <c r="P716" s="1"/>
      <c r="Q716" s="1"/>
      <c r="R716" s="1"/>
      <c r="S716" s="1"/>
      <c r="T716" s="1"/>
      <c r="U716" s="1"/>
      <c r="V716" s="38"/>
      <c r="W716" s="1"/>
      <c r="X716" s="1"/>
    </row>
    <row r="717" spans="1:24" ht="14.4">
      <c r="A717" s="1"/>
      <c r="M717" s="26"/>
      <c r="N717" s="26"/>
      <c r="P717" s="1"/>
      <c r="Q717" s="1"/>
      <c r="R717" s="1"/>
      <c r="S717" s="1"/>
      <c r="T717" s="1"/>
      <c r="U717" s="1"/>
      <c r="V717" s="38"/>
      <c r="W717" s="1"/>
      <c r="X717" s="1"/>
    </row>
    <row r="718" spans="1:24" ht="14.4">
      <c r="A718" s="1"/>
      <c r="M718" s="26"/>
      <c r="N718" s="26"/>
      <c r="P718" s="1"/>
      <c r="Q718" s="1"/>
      <c r="R718" s="1"/>
      <c r="S718" s="1"/>
      <c r="T718" s="1"/>
      <c r="U718" s="1"/>
      <c r="V718" s="38"/>
      <c r="W718" s="1"/>
      <c r="X718" s="1"/>
    </row>
    <row r="719" spans="1:24" ht="14.4">
      <c r="A719" s="1"/>
      <c r="M719" s="26"/>
      <c r="N719" s="26"/>
      <c r="P719" s="1"/>
      <c r="Q719" s="1"/>
      <c r="R719" s="1"/>
      <c r="S719" s="1"/>
      <c r="T719" s="1"/>
      <c r="U719" s="1"/>
      <c r="V719" s="38"/>
      <c r="W719" s="1"/>
      <c r="X719" s="1"/>
    </row>
    <row r="720" spans="1:24" ht="14.4">
      <c r="A720" s="1"/>
      <c r="M720" s="26"/>
      <c r="N720" s="26"/>
      <c r="P720" s="1"/>
      <c r="Q720" s="1"/>
      <c r="R720" s="1"/>
      <c r="S720" s="1"/>
      <c r="T720" s="1"/>
      <c r="U720" s="1"/>
      <c r="V720" s="38"/>
      <c r="W720" s="1"/>
      <c r="X720" s="1"/>
    </row>
    <row r="721" spans="1:24" ht="14.4">
      <c r="A721" s="1"/>
      <c r="M721" s="26"/>
      <c r="N721" s="26"/>
      <c r="P721" s="1"/>
      <c r="Q721" s="1"/>
      <c r="R721" s="1"/>
      <c r="S721" s="1"/>
      <c r="T721" s="1"/>
      <c r="U721" s="1"/>
      <c r="V721" s="38"/>
      <c r="W721" s="1"/>
      <c r="X721" s="1"/>
    </row>
    <row r="722" spans="1:24" ht="14.4">
      <c r="A722" s="1"/>
      <c r="M722" s="26"/>
      <c r="N722" s="26"/>
      <c r="P722" s="1"/>
      <c r="Q722" s="1"/>
      <c r="R722" s="1"/>
      <c r="S722" s="1"/>
      <c r="T722" s="1"/>
      <c r="U722" s="1"/>
      <c r="V722" s="38"/>
      <c r="W722" s="1"/>
      <c r="X722" s="1"/>
    </row>
    <row r="723" spans="1:24" ht="14.4">
      <c r="A723" s="1"/>
      <c r="M723" s="26"/>
      <c r="N723" s="26"/>
      <c r="P723" s="1"/>
      <c r="Q723" s="1"/>
      <c r="R723" s="1"/>
      <c r="S723" s="1"/>
      <c r="T723" s="1"/>
      <c r="U723" s="1"/>
      <c r="V723" s="38"/>
      <c r="W723" s="1"/>
      <c r="X723" s="1"/>
    </row>
    <row r="724" spans="1:24" ht="14.4">
      <c r="A724" s="1"/>
      <c r="M724" s="26"/>
      <c r="N724" s="26"/>
      <c r="P724" s="1"/>
      <c r="Q724" s="1"/>
      <c r="R724" s="1"/>
      <c r="S724" s="1"/>
      <c r="T724" s="1"/>
      <c r="U724" s="1"/>
      <c r="V724" s="38"/>
      <c r="W724" s="1"/>
      <c r="X724" s="1"/>
    </row>
    <row r="725" spans="1:24" ht="14.4">
      <c r="A725" s="1"/>
      <c r="M725" s="26"/>
      <c r="N725" s="26"/>
      <c r="P725" s="1"/>
      <c r="Q725" s="1"/>
      <c r="R725" s="1"/>
      <c r="S725" s="1"/>
      <c r="T725" s="1"/>
      <c r="U725" s="1"/>
      <c r="V725" s="38"/>
      <c r="W725" s="1"/>
      <c r="X725" s="1"/>
    </row>
    <row r="726" spans="1:24" ht="14.4">
      <c r="A726" s="1"/>
      <c r="M726" s="26"/>
      <c r="N726" s="26"/>
      <c r="P726" s="1"/>
      <c r="Q726" s="1"/>
      <c r="R726" s="1"/>
      <c r="S726" s="1"/>
      <c r="T726" s="1"/>
      <c r="U726" s="1"/>
      <c r="V726" s="38"/>
      <c r="W726" s="1"/>
      <c r="X726" s="1"/>
    </row>
    <row r="727" spans="1:24" ht="14.4">
      <c r="A727" s="1"/>
      <c r="M727" s="26"/>
      <c r="N727" s="26"/>
      <c r="P727" s="1"/>
      <c r="Q727" s="1"/>
      <c r="R727" s="1"/>
      <c r="S727" s="1"/>
      <c r="T727" s="1"/>
      <c r="U727" s="1"/>
      <c r="V727" s="38"/>
      <c r="W727" s="1"/>
      <c r="X727" s="1"/>
    </row>
    <row r="728" spans="1:24" ht="14.4">
      <c r="A728" s="1"/>
      <c r="M728" s="26"/>
      <c r="N728" s="26"/>
      <c r="P728" s="1"/>
      <c r="Q728" s="1"/>
      <c r="R728" s="1"/>
      <c r="S728" s="1"/>
      <c r="T728" s="1"/>
      <c r="U728" s="1"/>
      <c r="V728" s="38"/>
      <c r="W728" s="1"/>
      <c r="X728" s="1"/>
    </row>
    <row r="729" spans="1:24" ht="14.4">
      <c r="A729" s="1"/>
      <c r="M729" s="26"/>
      <c r="N729" s="26"/>
      <c r="P729" s="1"/>
      <c r="Q729" s="1"/>
      <c r="R729" s="1"/>
      <c r="S729" s="1"/>
      <c r="T729" s="1"/>
      <c r="U729" s="1"/>
      <c r="V729" s="38"/>
      <c r="W729" s="1"/>
      <c r="X729" s="1"/>
    </row>
    <row r="730" spans="1:24" ht="14.4">
      <c r="A730" s="1"/>
      <c r="M730" s="26"/>
      <c r="N730" s="26"/>
      <c r="P730" s="1"/>
      <c r="Q730" s="1"/>
      <c r="R730" s="1"/>
      <c r="S730" s="1"/>
      <c r="T730" s="1"/>
      <c r="U730" s="1"/>
      <c r="V730" s="38"/>
      <c r="W730" s="1"/>
      <c r="X730" s="1"/>
    </row>
    <row r="731" spans="1:24" ht="14.4">
      <c r="A731" s="1"/>
      <c r="M731" s="26"/>
      <c r="N731" s="26"/>
      <c r="P731" s="1"/>
      <c r="Q731" s="1"/>
      <c r="R731" s="1"/>
      <c r="S731" s="1"/>
      <c r="T731" s="1"/>
      <c r="U731" s="1"/>
      <c r="V731" s="38"/>
      <c r="W731" s="1"/>
      <c r="X731" s="1"/>
    </row>
    <row r="732" spans="1:24" ht="14.4">
      <c r="A732" s="1"/>
      <c r="M732" s="26"/>
      <c r="N732" s="26"/>
      <c r="P732" s="1"/>
      <c r="Q732" s="1"/>
      <c r="R732" s="1"/>
      <c r="S732" s="1"/>
      <c r="T732" s="1"/>
      <c r="U732" s="1"/>
      <c r="V732" s="38"/>
      <c r="W732" s="1"/>
      <c r="X732" s="1"/>
    </row>
    <row r="733" spans="1:24" ht="14.4">
      <c r="A733" s="1"/>
      <c r="M733" s="26"/>
      <c r="N733" s="26"/>
      <c r="P733" s="1"/>
      <c r="Q733" s="1"/>
      <c r="R733" s="1"/>
      <c r="S733" s="1"/>
      <c r="T733" s="1"/>
      <c r="U733" s="1"/>
      <c r="V733" s="38"/>
      <c r="W733" s="1"/>
      <c r="X733" s="1"/>
    </row>
    <row r="734" spans="1:24" ht="14.4">
      <c r="A734" s="1"/>
      <c r="M734" s="26"/>
      <c r="N734" s="26"/>
      <c r="P734" s="1"/>
      <c r="Q734" s="1"/>
      <c r="R734" s="1"/>
      <c r="S734" s="1"/>
      <c r="T734" s="1"/>
      <c r="U734" s="1"/>
      <c r="V734" s="38"/>
      <c r="W734" s="1"/>
      <c r="X734" s="1"/>
    </row>
    <row r="735" spans="1:24" ht="14.4">
      <c r="A735" s="1"/>
      <c r="M735" s="26"/>
      <c r="N735" s="26"/>
      <c r="P735" s="1"/>
      <c r="Q735" s="1"/>
      <c r="R735" s="1"/>
      <c r="S735" s="1"/>
      <c r="T735" s="1"/>
      <c r="U735" s="1"/>
      <c r="V735" s="38"/>
      <c r="W735" s="1"/>
      <c r="X735" s="1"/>
    </row>
    <row r="736" spans="1:24" ht="14.4">
      <c r="A736" s="1"/>
      <c r="M736" s="26"/>
      <c r="N736" s="26"/>
      <c r="P736" s="1"/>
      <c r="Q736" s="1"/>
      <c r="R736" s="1"/>
      <c r="S736" s="1"/>
      <c r="T736" s="1"/>
      <c r="U736" s="1"/>
      <c r="V736" s="38"/>
      <c r="W736" s="1"/>
      <c r="X736" s="1"/>
    </row>
    <row r="737" spans="1:24" ht="14.4">
      <c r="A737" s="1"/>
      <c r="M737" s="26"/>
      <c r="N737" s="26"/>
      <c r="P737" s="1"/>
      <c r="Q737" s="1"/>
      <c r="R737" s="1"/>
      <c r="S737" s="1"/>
      <c r="T737" s="1"/>
      <c r="U737" s="1"/>
      <c r="V737" s="38"/>
      <c r="W737" s="1"/>
      <c r="X737" s="1"/>
    </row>
    <row r="738" spans="1:24" ht="14.4">
      <c r="A738" s="1"/>
      <c r="M738" s="26"/>
      <c r="N738" s="26"/>
      <c r="P738" s="1"/>
      <c r="Q738" s="1"/>
      <c r="R738" s="1"/>
      <c r="S738" s="1"/>
      <c r="T738" s="1"/>
      <c r="U738" s="1"/>
      <c r="V738" s="38"/>
      <c r="W738" s="1"/>
      <c r="X738" s="1"/>
    </row>
    <row r="739" spans="1:24" ht="14.4">
      <c r="A739" s="1"/>
      <c r="M739" s="26"/>
      <c r="N739" s="26"/>
      <c r="P739" s="1"/>
      <c r="Q739" s="1"/>
      <c r="R739" s="1"/>
      <c r="S739" s="1"/>
      <c r="T739" s="1"/>
      <c r="U739" s="1"/>
      <c r="V739" s="38"/>
      <c r="W739" s="1"/>
      <c r="X739" s="1"/>
    </row>
    <row r="740" spans="1:24" ht="14.4">
      <c r="A740" s="1"/>
      <c r="M740" s="26"/>
      <c r="N740" s="26"/>
      <c r="P740" s="1"/>
      <c r="Q740" s="1"/>
      <c r="R740" s="1"/>
      <c r="S740" s="1"/>
      <c r="T740" s="1"/>
      <c r="U740" s="1"/>
      <c r="V740" s="38"/>
      <c r="W740" s="1"/>
      <c r="X740" s="1"/>
    </row>
    <row r="741" spans="1:24" ht="14.4">
      <c r="A741" s="1"/>
      <c r="M741" s="26"/>
      <c r="N741" s="26"/>
      <c r="P741" s="1"/>
      <c r="Q741" s="1"/>
      <c r="R741" s="1"/>
      <c r="S741" s="1"/>
      <c r="T741" s="1"/>
      <c r="U741" s="1"/>
      <c r="V741" s="38"/>
      <c r="W741" s="1"/>
      <c r="X741" s="1"/>
    </row>
    <row r="742" spans="1:24" ht="14.4">
      <c r="A742" s="1"/>
      <c r="M742" s="26"/>
      <c r="N742" s="26"/>
      <c r="P742" s="1"/>
      <c r="Q742" s="1"/>
      <c r="R742" s="1"/>
      <c r="S742" s="1"/>
      <c r="T742" s="1"/>
      <c r="U742" s="1"/>
      <c r="V742" s="38"/>
      <c r="W742" s="1"/>
      <c r="X742" s="1"/>
    </row>
    <row r="743" spans="1:24" ht="14.4">
      <c r="A743" s="1"/>
      <c r="M743" s="26"/>
      <c r="N743" s="26"/>
      <c r="P743" s="1"/>
      <c r="Q743" s="1"/>
      <c r="R743" s="1"/>
      <c r="S743" s="1"/>
      <c r="T743" s="1"/>
      <c r="U743" s="1"/>
      <c r="V743" s="38"/>
      <c r="W743" s="1"/>
      <c r="X743" s="1"/>
    </row>
    <row r="744" spans="1:24" ht="14.4">
      <c r="A744" s="1"/>
      <c r="M744" s="26"/>
      <c r="N744" s="26"/>
      <c r="P744" s="1"/>
      <c r="Q744" s="1"/>
      <c r="R744" s="1"/>
      <c r="S744" s="1"/>
      <c r="T744" s="1"/>
      <c r="U744" s="1"/>
      <c r="V744" s="38"/>
      <c r="W744" s="1"/>
      <c r="X744" s="1"/>
    </row>
    <row r="745" spans="1:24" ht="14.4">
      <c r="A745" s="1"/>
      <c r="M745" s="26"/>
      <c r="N745" s="26"/>
      <c r="P745" s="1"/>
      <c r="Q745" s="1"/>
      <c r="R745" s="1"/>
      <c r="S745" s="1"/>
      <c r="T745" s="1"/>
      <c r="U745" s="1"/>
      <c r="V745" s="38"/>
      <c r="W745" s="1"/>
      <c r="X745" s="1"/>
    </row>
    <row r="746" spans="1:24" ht="14.4">
      <c r="A746" s="1"/>
      <c r="M746" s="26"/>
      <c r="N746" s="26"/>
      <c r="P746" s="1"/>
      <c r="Q746" s="1"/>
      <c r="R746" s="1"/>
      <c r="S746" s="1"/>
      <c r="T746" s="1"/>
      <c r="U746" s="1"/>
      <c r="V746" s="38"/>
      <c r="W746" s="1"/>
      <c r="X746" s="1"/>
    </row>
    <row r="747" spans="1:24" ht="14.4">
      <c r="A747" s="1"/>
      <c r="M747" s="26"/>
      <c r="N747" s="26"/>
      <c r="P747" s="1"/>
      <c r="Q747" s="1"/>
      <c r="R747" s="1"/>
      <c r="S747" s="1"/>
      <c r="T747" s="1"/>
      <c r="U747" s="1"/>
      <c r="V747" s="38"/>
      <c r="W747" s="1"/>
      <c r="X747" s="1"/>
    </row>
    <row r="748" spans="1:24" ht="14.4">
      <c r="A748" s="1"/>
      <c r="M748" s="26"/>
      <c r="N748" s="26"/>
      <c r="P748" s="1"/>
      <c r="Q748" s="1"/>
      <c r="R748" s="1"/>
      <c r="S748" s="1"/>
      <c r="T748" s="1"/>
      <c r="U748" s="1"/>
      <c r="V748" s="38"/>
      <c r="W748" s="1"/>
      <c r="X748" s="1"/>
    </row>
    <row r="749" spans="1:24" ht="14.4">
      <c r="A749" s="1"/>
      <c r="M749" s="26"/>
      <c r="N749" s="26"/>
      <c r="P749" s="1"/>
      <c r="Q749" s="1"/>
      <c r="R749" s="1"/>
      <c r="S749" s="1"/>
      <c r="T749" s="1"/>
      <c r="U749" s="1"/>
      <c r="V749" s="38"/>
      <c r="W749" s="1"/>
      <c r="X749" s="1"/>
    </row>
    <row r="750" spans="1:24" ht="14.4">
      <c r="A750" s="1"/>
      <c r="M750" s="26"/>
      <c r="N750" s="26"/>
      <c r="P750" s="1"/>
      <c r="Q750" s="1"/>
      <c r="R750" s="1"/>
      <c r="S750" s="1"/>
      <c r="T750" s="1"/>
      <c r="U750" s="1"/>
      <c r="V750" s="38"/>
      <c r="W750" s="1"/>
      <c r="X750" s="1"/>
    </row>
    <row r="751" spans="1:24" ht="14.4">
      <c r="A751" s="1"/>
      <c r="M751" s="26"/>
      <c r="N751" s="26"/>
      <c r="P751" s="1"/>
      <c r="Q751" s="1"/>
      <c r="R751" s="1"/>
      <c r="S751" s="1"/>
      <c r="T751" s="1"/>
      <c r="U751" s="1"/>
      <c r="V751" s="38"/>
      <c r="W751" s="1"/>
      <c r="X751" s="1"/>
    </row>
    <row r="752" spans="1:24" ht="14.4">
      <c r="A752" s="1"/>
      <c r="M752" s="26"/>
      <c r="N752" s="26"/>
      <c r="P752" s="1"/>
      <c r="Q752" s="1"/>
      <c r="R752" s="1"/>
      <c r="S752" s="1"/>
      <c r="T752" s="1"/>
      <c r="U752" s="1"/>
      <c r="V752" s="38"/>
      <c r="W752" s="1"/>
      <c r="X752" s="1"/>
    </row>
    <row r="753" spans="1:24" ht="14.4">
      <c r="A753" s="1"/>
      <c r="M753" s="26"/>
      <c r="N753" s="26"/>
      <c r="P753" s="1"/>
      <c r="Q753" s="1"/>
      <c r="R753" s="1"/>
      <c r="S753" s="1"/>
      <c r="T753" s="1"/>
      <c r="U753" s="1"/>
      <c r="V753" s="38"/>
      <c r="W753" s="1"/>
      <c r="X753" s="1"/>
    </row>
    <row r="754" spans="1:24" ht="14.4">
      <c r="A754" s="1"/>
      <c r="M754" s="26"/>
      <c r="N754" s="26"/>
      <c r="P754" s="1"/>
      <c r="Q754" s="1"/>
      <c r="R754" s="1"/>
      <c r="S754" s="1"/>
      <c r="T754" s="1"/>
      <c r="U754" s="1"/>
      <c r="V754" s="38"/>
      <c r="W754" s="1"/>
      <c r="X754" s="1"/>
    </row>
    <row r="755" spans="1:24" ht="14.4">
      <c r="A755" s="1"/>
      <c r="M755" s="26"/>
      <c r="N755" s="26"/>
      <c r="P755" s="1"/>
      <c r="Q755" s="1"/>
      <c r="R755" s="1"/>
      <c r="S755" s="1"/>
      <c r="T755" s="1"/>
      <c r="U755" s="1"/>
      <c r="V755" s="38"/>
      <c r="W755" s="1"/>
      <c r="X755" s="1"/>
    </row>
    <row r="756" spans="1:24" ht="14.4">
      <c r="A756" s="1"/>
      <c r="M756" s="26"/>
      <c r="N756" s="26"/>
      <c r="P756" s="1"/>
      <c r="Q756" s="1"/>
      <c r="R756" s="1"/>
      <c r="S756" s="1"/>
      <c r="T756" s="1"/>
      <c r="U756" s="1"/>
      <c r="V756" s="38"/>
      <c r="W756" s="1"/>
      <c r="X756" s="1"/>
    </row>
    <row r="757" spans="1:24" ht="14.4">
      <c r="A757" s="1"/>
      <c r="M757" s="26"/>
      <c r="N757" s="26"/>
      <c r="P757" s="1"/>
      <c r="Q757" s="1"/>
      <c r="R757" s="1"/>
      <c r="S757" s="1"/>
      <c r="T757" s="1"/>
      <c r="U757" s="1"/>
      <c r="V757" s="38"/>
      <c r="W757" s="1"/>
      <c r="X757" s="1"/>
    </row>
    <row r="758" spans="1:24" ht="14.4">
      <c r="A758" s="1"/>
      <c r="M758" s="26"/>
      <c r="N758" s="26"/>
      <c r="P758" s="1"/>
      <c r="Q758" s="1"/>
      <c r="R758" s="1"/>
      <c r="S758" s="1"/>
      <c r="T758" s="1"/>
      <c r="U758" s="1"/>
      <c r="V758" s="38"/>
      <c r="W758" s="1"/>
      <c r="X758" s="1"/>
    </row>
    <row r="759" spans="1:24" ht="14.4">
      <c r="A759" s="1"/>
      <c r="M759" s="26"/>
      <c r="N759" s="26"/>
      <c r="P759" s="1"/>
      <c r="Q759" s="1"/>
      <c r="R759" s="1"/>
      <c r="S759" s="1"/>
      <c r="T759" s="1"/>
      <c r="U759" s="1"/>
      <c r="V759" s="38"/>
      <c r="W759" s="1"/>
      <c r="X759" s="1"/>
    </row>
    <row r="760" spans="1:24" ht="14.4">
      <c r="A760" s="1"/>
      <c r="M760" s="26"/>
      <c r="N760" s="26"/>
      <c r="P760" s="1"/>
      <c r="Q760" s="1"/>
      <c r="R760" s="1"/>
      <c r="S760" s="1"/>
      <c r="T760" s="1"/>
      <c r="U760" s="1"/>
      <c r="V760" s="38"/>
      <c r="W760" s="1"/>
      <c r="X760" s="1"/>
    </row>
    <row r="761" spans="1:24" ht="14.4">
      <c r="A761" s="1"/>
      <c r="M761" s="26"/>
      <c r="N761" s="26"/>
      <c r="P761" s="1"/>
      <c r="Q761" s="1"/>
      <c r="R761" s="1"/>
      <c r="S761" s="1"/>
      <c r="T761" s="1"/>
      <c r="U761" s="1"/>
      <c r="V761" s="38"/>
      <c r="W761" s="1"/>
      <c r="X761" s="1"/>
    </row>
    <row r="762" spans="1:24" ht="14.4">
      <c r="A762" s="1"/>
      <c r="M762" s="26"/>
      <c r="N762" s="26"/>
      <c r="P762" s="1"/>
      <c r="Q762" s="1"/>
      <c r="R762" s="1"/>
      <c r="S762" s="1"/>
      <c r="T762" s="1"/>
      <c r="U762" s="1"/>
      <c r="V762" s="38"/>
      <c r="W762" s="1"/>
      <c r="X762" s="1"/>
    </row>
    <row r="763" spans="1:24" ht="14.4">
      <c r="A763" s="1"/>
      <c r="M763" s="26"/>
      <c r="N763" s="26"/>
      <c r="P763" s="1"/>
      <c r="Q763" s="1"/>
      <c r="R763" s="1"/>
      <c r="S763" s="1"/>
      <c r="T763" s="1"/>
      <c r="U763" s="1"/>
      <c r="V763" s="38"/>
      <c r="W763" s="1"/>
      <c r="X763" s="1"/>
    </row>
    <row r="764" spans="1:24" ht="14.4">
      <c r="A764" s="1"/>
      <c r="M764" s="26"/>
      <c r="N764" s="26"/>
      <c r="P764" s="1"/>
      <c r="Q764" s="1"/>
      <c r="R764" s="1"/>
      <c r="S764" s="1"/>
      <c r="T764" s="1"/>
      <c r="U764" s="1"/>
      <c r="V764" s="38"/>
      <c r="W764" s="1"/>
      <c r="X764" s="1"/>
    </row>
    <row r="765" spans="1:24" ht="14.4">
      <c r="A765" s="1"/>
      <c r="M765" s="26"/>
      <c r="N765" s="26"/>
      <c r="P765" s="1"/>
      <c r="Q765" s="1"/>
      <c r="R765" s="1"/>
      <c r="S765" s="1"/>
      <c r="T765" s="1"/>
      <c r="U765" s="1"/>
      <c r="V765" s="38"/>
      <c r="W765" s="1"/>
      <c r="X765" s="1"/>
    </row>
    <row r="766" spans="1:24" ht="14.4">
      <c r="A766" s="1"/>
      <c r="M766" s="26"/>
      <c r="N766" s="26"/>
      <c r="P766" s="1"/>
      <c r="Q766" s="1"/>
      <c r="R766" s="1"/>
      <c r="S766" s="1"/>
      <c r="T766" s="1"/>
      <c r="U766" s="1"/>
      <c r="V766" s="38"/>
      <c r="W766" s="1"/>
      <c r="X766" s="1"/>
    </row>
    <row r="767" spans="1:24" ht="14.4">
      <c r="A767" s="1"/>
      <c r="M767" s="26"/>
      <c r="N767" s="26"/>
      <c r="P767" s="1"/>
      <c r="Q767" s="1"/>
      <c r="R767" s="1"/>
      <c r="S767" s="1"/>
      <c r="T767" s="1"/>
      <c r="U767" s="1"/>
      <c r="V767" s="38"/>
      <c r="W767" s="1"/>
      <c r="X767" s="1"/>
    </row>
    <row r="768" spans="1:24" ht="14.4">
      <c r="A768" s="1"/>
      <c r="M768" s="26"/>
      <c r="N768" s="26"/>
      <c r="P768" s="1"/>
      <c r="Q768" s="1"/>
      <c r="R768" s="1"/>
      <c r="S768" s="1"/>
      <c r="T768" s="1"/>
      <c r="U768" s="1"/>
      <c r="V768" s="38"/>
      <c r="W768" s="1"/>
      <c r="X768" s="1"/>
    </row>
    <row r="769" spans="1:24" ht="14.4">
      <c r="A769" s="1"/>
      <c r="M769" s="26"/>
      <c r="N769" s="26"/>
      <c r="P769" s="1"/>
      <c r="Q769" s="1"/>
      <c r="R769" s="1"/>
      <c r="S769" s="1"/>
      <c r="T769" s="1"/>
      <c r="U769" s="1"/>
      <c r="V769" s="38"/>
      <c r="W769" s="1"/>
      <c r="X769" s="1"/>
    </row>
    <row r="770" spans="1:24" ht="14.4">
      <c r="A770" s="1"/>
      <c r="M770" s="26"/>
      <c r="N770" s="26"/>
      <c r="P770" s="1"/>
      <c r="Q770" s="1"/>
      <c r="R770" s="1"/>
      <c r="S770" s="1"/>
      <c r="T770" s="1"/>
      <c r="U770" s="1"/>
      <c r="V770" s="38"/>
      <c r="W770" s="1"/>
      <c r="X770" s="1"/>
    </row>
    <row r="771" spans="1:24" ht="14.4">
      <c r="A771" s="1"/>
      <c r="M771" s="26"/>
      <c r="N771" s="26"/>
      <c r="P771" s="1"/>
      <c r="Q771" s="1"/>
      <c r="R771" s="1"/>
      <c r="S771" s="1"/>
      <c r="T771" s="1"/>
      <c r="U771" s="1"/>
      <c r="V771" s="38"/>
      <c r="W771" s="1"/>
      <c r="X771" s="1"/>
    </row>
    <row r="772" spans="1:24" ht="14.4">
      <c r="A772" s="1"/>
      <c r="M772" s="26"/>
      <c r="N772" s="26"/>
      <c r="P772" s="1"/>
      <c r="Q772" s="1"/>
      <c r="R772" s="1"/>
      <c r="S772" s="1"/>
      <c r="T772" s="1"/>
      <c r="U772" s="1"/>
      <c r="V772" s="38"/>
      <c r="W772" s="1"/>
      <c r="X772" s="1"/>
    </row>
    <row r="773" spans="1:24" ht="14.4">
      <c r="A773" s="1"/>
      <c r="M773" s="26"/>
      <c r="N773" s="26"/>
      <c r="P773" s="1"/>
      <c r="Q773" s="1"/>
      <c r="R773" s="1"/>
      <c r="S773" s="1"/>
      <c r="T773" s="1"/>
      <c r="U773" s="1"/>
      <c r="V773" s="38"/>
      <c r="W773" s="1"/>
      <c r="X773" s="1"/>
    </row>
    <row r="774" spans="1:24" ht="14.4">
      <c r="A774" s="1"/>
      <c r="M774" s="26"/>
      <c r="N774" s="26"/>
      <c r="P774" s="1"/>
      <c r="Q774" s="1"/>
      <c r="R774" s="1"/>
      <c r="S774" s="1"/>
      <c r="T774" s="1"/>
      <c r="U774" s="1"/>
      <c r="V774" s="38"/>
      <c r="W774" s="1"/>
      <c r="X774" s="1"/>
    </row>
    <row r="775" spans="1:24" ht="14.4">
      <c r="A775" s="1"/>
      <c r="M775" s="26"/>
      <c r="N775" s="26"/>
      <c r="P775" s="1"/>
      <c r="Q775" s="1"/>
      <c r="R775" s="1"/>
      <c r="S775" s="1"/>
      <c r="T775" s="1"/>
      <c r="U775" s="1"/>
      <c r="V775" s="38"/>
      <c r="W775" s="1"/>
      <c r="X775" s="1"/>
    </row>
    <row r="776" spans="1:24" ht="14.4">
      <c r="A776" s="1"/>
      <c r="M776" s="26"/>
      <c r="N776" s="26"/>
      <c r="P776" s="1"/>
      <c r="Q776" s="1"/>
      <c r="R776" s="1"/>
      <c r="S776" s="1"/>
      <c r="T776" s="1"/>
      <c r="U776" s="1"/>
      <c r="V776" s="38"/>
      <c r="W776" s="1"/>
      <c r="X776" s="1"/>
    </row>
    <row r="777" spans="1:24" ht="14.4">
      <c r="A777" s="1"/>
      <c r="M777" s="26"/>
      <c r="N777" s="26"/>
      <c r="P777" s="1"/>
      <c r="Q777" s="1"/>
      <c r="R777" s="1"/>
      <c r="S777" s="1"/>
      <c r="T777" s="1"/>
      <c r="U777" s="1"/>
      <c r="V777" s="38"/>
      <c r="W777" s="1"/>
      <c r="X777" s="1"/>
    </row>
    <row r="778" spans="1:24" ht="14.4">
      <c r="A778" s="1"/>
      <c r="M778" s="26"/>
      <c r="N778" s="26"/>
      <c r="P778" s="1"/>
      <c r="Q778" s="1"/>
      <c r="R778" s="1"/>
      <c r="S778" s="1"/>
      <c r="T778" s="1"/>
      <c r="U778" s="1"/>
      <c r="V778" s="38"/>
      <c r="W778" s="1"/>
      <c r="X778" s="1"/>
    </row>
    <row r="779" spans="1:24" ht="14.4">
      <c r="A779" s="1"/>
      <c r="M779" s="26"/>
      <c r="N779" s="26"/>
      <c r="P779" s="1"/>
      <c r="Q779" s="1"/>
      <c r="R779" s="1"/>
      <c r="S779" s="1"/>
      <c r="T779" s="1"/>
      <c r="U779" s="1"/>
      <c r="V779" s="38"/>
      <c r="W779" s="1"/>
      <c r="X779" s="1"/>
    </row>
    <row r="780" spans="1:24" ht="14.4">
      <c r="A780" s="1"/>
      <c r="M780" s="26"/>
      <c r="N780" s="26"/>
      <c r="P780" s="1"/>
      <c r="Q780" s="1"/>
      <c r="R780" s="1"/>
      <c r="S780" s="1"/>
      <c r="T780" s="1"/>
      <c r="U780" s="1"/>
      <c r="V780" s="38"/>
      <c r="W780" s="1"/>
      <c r="X780" s="1"/>
    </row>
    <row r="781" spans="1:24" ht="14.4">
      <c r="A781" s="1"/>
      <c r="M781" s="26"/>
      <c r="N781" s="26"/>
      <c r="P781" s="1"/>
      <c r="Q781" s="1"/>
      <c r="R781" s="1"/>
      <c r="S781" s="1"/>
      <c r="T781" s="1"/>
      <c r="U781" s="1"/>
      <c r="V781" s="38"/>
      <c r="W781" s="1"/>
      <c r="X781" s="1"/>
    </row>
    <row r="782" spans="1:24" ht="14.4">
      <c r="A782" s="1"/>
      <c r="M782" s="26"/>
      <c r="N782" s="26"/>
      <c r="P782" s="1"/>
      <c r="Q782" s="1"/>
      <c r="R782" s="1"/>
      <c r="S782" s="1"/>
      <c r="T782" s="1"/>
      <c r="U782" s="1"/>
      <c r="V782" s="38"/>
      <c r="W782" s="1"/>
      <c r="X782" s="1"/>
    </row>
    <row r="783" spans="1:24" ht="14.4">
      <c r="A783" s="1"/>
      <c r="M783" s="26"/>
      <c r="N783" s="26"/>
      <c r="P783" s="1"/>
      <c r="Q783" s="1"/>
      <c r="R783" s="1"/>
      <c r="S783" s="1"/>
      <c r="T783" s="1"/>
      <c r="U783" s="1"/>
      <c r="V783" s="38"/>
      <c r="W783" s="1"/>
      <c r="X783" s="1"/>
    </row>
    <row r="784" spans="1:24" ht="14.4">
      <c r="A784" s="1"/>
      <c r="M784" s="26"/>
      <c r="N784" s="26"/>
      <c r="P784" s="1"/>
      <c r="Q784" s="1"/>
      <c r="R784" s="1"/>
      <c r="S784" s="1"/>
      <c r="T784" s="1"/>
      <c r="U784" s="1"/>
      <c r="V784" s="38"/>
      <c r="W784" s="1"/>
      <c r="X784" s="1"/>
    </row>
    <row r="785" spans="1:24" ht="14.4">
      <c r="A785" s="1"/>
      <c r="M785" s="26"/>
      <c r="N785" s="26"/>
      <c r="P785" s="1"/>
      <c r="Q785" s="1"/>
      <c r="R785" s="1"/>
      <c r="S785" s="1"/>
      <c r="T785" s="1"/>
      <c r="U785" s="1"/>
      <c r="V785" s="38"/>
      <c r="W785" s="1"/>
      <c r="X785" s="1"/>
    </row>
    <row r="786" spans="1:24" ht="14.4">
      <c r="A786" s="1"/>
      <c r="M786" s="26"/>
      <c r="N786" s="26"/>
      <c r="P786" s="1"/>
      <c r="Q786" s="1"/>
      <c r="R786" s="1"/>
      <c r="S786" s="1"/>
      <c r="T786" s="1"/>
      <c r="U786" s="1"/>
      <c r="V786" s="38"/>
      <c r="W786" s="1"/>
      <c r="X786" s="1"/>
    </row>
    <row r="787" spans="1:24" ht="14.4">
      <c r="A787" s="1"/>
      <c r="M787" s="26"/>
      <c r="N787" s="26"/>
      <c r="P787" s="1"/>
      <c r="Q787" s="1"/>
      <c r="R787" s="1"/>
      <c r="S787" s="1"/>
      <c r="T787" s="1"/>
      <c r="U787" s="1"/>
      <c r="V787" s="38"/>
      <c r="W787" s="1"/>
      <c r="X787" s="1"/>
    </row>
    <row r="788" spans="1:24" ht="14.4">
      <c r="A788" s="1"/>
      <c r="M788" s="26"/>
      <c r="N788" s="26"/>
      <c r="P788" s="1"/>
      <c r="Q788" s="1"/>
      <c r="R788" s="1"/>
      <c r="S788" s="1"/>
      <c r="T788" s="1"/>
      <c r="U788" s="1"/>
      <c r="V788" s="38"/>
      <c r="W788" s="1"/>
      <c r="X788" s="1"/>
    </row>
    <row r="789" spans="1:24" ht="14.4">
      <c r="A789" s="1"/>
      <c r="M789" s="26"/>
      <c r="N789" s="26"/>
      <c r="P789" s="1"/>
      <c r="Q789" s="1"/>
      <c r="R789" s="1"/>
      <c r="S789" s="1"/>
      <c r="T789" s="1"/>
      <c r="U789" s="1"/>
      <c r="V789" s="38"/>
      <c r="W789" s="1"/>
      <c r="X789" s="1"/>
    </row>
    <row r="790" spans="1:24" ht="14.4">
      <c r="A790" s="1"/>
      <c r="M790" s="26"/>
      <c r="N790" s="26"/>
      <c r="P790" s="1"/>
      <c r="Q790" s="1"/>
      <c r="R790" s="1"/>
      <c r="S790" s="1"/>
      <c r="T790" s="1"/>
      <c r="U790" s="1"/>
      <c r="V790" s="38"/>
      <c r="W790" s="1"/>
      <c r="X790" s="1"/>
    </row>
    <row r="791" spans="1:24" ht="14.4">
      <c r="A791" s="1"/>
      <c r="M791" s="26"/>
      <c r="N791" s="26"/>
      <c r="P791" s="1"/>
      <c r="Q791" s="1"/>
      <c r="R791" s="1"/>
      <c r="S791" s="1"/>
      <c r="T791" s="1"/>
      <c r="U791" s="1"/>
      <c r="V791" s="38"/>
      <c r="W791" s="1"/>
      <c r="X791" s="1"/>
    </row>
    <row r="792" spans="1:24" ht="14.4">
      <c r="A792" s="1"/>
      <c r="M792" s="26"/>
      <c r="N792" s="26"/>
      <c r="P792" s="1"/>
      <c r="Q792" s="1"/>
      <c r="R792" s="1"/>
      <c r="S792" s="1"/>
      <c r="T792" s="1"/>
      <c r="U792" s="1"/>
      <c r="V792" s="38"/>
      <c r="W792" s="1"/>
      <c r="X792" s="1"/>
    </row>
    <row r="793" spans="1:24" ht="14.4">
      <c r="A793" s="1"/>
      <c r="M793" s="26"/>
      <c r="N793" s="26"/>
      <c r="P793" s="1"/>
      <c r="Q793" s="1"/>
      <c r="R793" s="1"/>
      <c r="S793" s="1"/>
      <c r="T793" s="1"/>
      <c r="U793" s="1"/>
      <c r="V793" s="38"/>
      <c r="W793" s="1"/>
      <c r="X793" s="1"/>
    </row>
    <row r="794" spans="1:24" ht="14.4">
      <c r="A794" s="1"/>
      <c r="M794" s="26"/>
      <c r="N794" s="26"/>
      <c r="P794" s="1"/>
      <c r="Q794" s="1"/>
      <c r="R794" s="1"/>
      <c r="S794" s="1"/>
      <c r="T794" s="1"/>
      <c r="U794" s="1"/>
      <c r="V794" s="38"/>
      <c r="W794" s="1"/>
      <c r="X794" s="1"/>
    </row>
    <row r="795" spans="1:24" ht="14.4">
      <c r="A795" s="1"/>
      <c r="M795" s="26"/>
      <c r="N795" s="26"/>
      <c r="P795" s="1"/>
      <c r="Q795" s="1"/>
      <c r="R795" s="1"/>
      <c r="S795" s="1"/>
      <c r="T795" s="1"/>
      <c r="U795" s="1"/>
      <c r="V795" s="38"/>
      <c r="W795" s="1"/>
      <c r="X795" s="1"/>
    </row>
    <row r="796" spans="1:24" ht="14.4">
      <c r="A796" s="1"/>
      <c r="M796" s="26"/>
      <c r="N796" s="26"/>
      <c r="P796" s="1"/>
      <c r="Q796" s="1"/>
      <c r="R796" s="1"/>
      <c r="S796" s="1"/>
      <c r="T796" s="1"/>
      <c r="U796" s="1"/>
      <c r="V796" s="38"/>
      <c r="W796" s="1"/>
      <c r="X796" s="1"/>
    </row>
    <row r="797" spans="1:24" ht="14.4">
      <c r="A797" s="1"/>
      <c r="M797" s="26"/>
      <c r="N797" s="26"/>
      <c r="P797" s="1"/>
      <c r="Q797" s="1"/>
      <c r="R797" s="1"/>
      <c r="S797" s="1"/>
      <c r="T797" s="1"/>
      <c r="U797" s="1"/>
      <c r="V797" s="38"/>
      <c r="W797" s="1"/>
      <c r="X797" s="1"/>
    </row>
    <row r="798" spans="1:24" ht="14.4">
      <c r="A798" s="1"/>
      <c r="M798" s="26"/>
      <c r="N798" s="26"/>
      <c r="P798" s="1"/>
      <c r="Q798" s="1"/>
      <c r="R798" s="1"/>
      <c r="S798" s="1"/>
      <c r="T798" s="1"/>
      <c r="U798" s="1"/>
      <c r="V798" s="38"/>
      <c r="W798" s="1"/>
      <c r="X798" s="1"/>
    </row>
    <row r="799" spans="1:24" ht="14.4">
      <c r="A799" s="1"/>
      <c r="M799" s="26"/>
      <c r="N799" s="26"/>
      <c r="P799" s="1"/>
      <c r="Q799" s="1"/>
      <c r="R799" s="1"/>
      <c r="S799" s="1"/>
      <c r="T799" s="1"/>
      <c r="U799" s="1"/>
      <c r="V799" s="38"/>
      <c r="W799" s="1"/>
      <c r="X799" s="1"/>
    </row>
    <row r="800" spans="1:24" ht="14.4">
      <c r="A800" s="1"/>
      <c r="M800" s="26"/>
      <c r="N800" s="26"/>
      <c r="P800" s="1"/>
      <c r="Q800" s="1"/>
      <c r="R800" s="1"/>
      <c r="S800" s="1"/>
      <c r="T800" s="1"/>
      <c r="U800" s="1"/>
      <c r="V800" s="38"/>
      <c r="W800" s="1"/>
      <c r="X800" s="1"/>
    </row>
    <row r="801" spans="1:24" ht="14.4">
      <c r="A801" s="1"/>
      <c r="M801" s="26"/>
      <c r="N801" s="26"/>
      <c r="P801" s="1"/>
      <c r="Q801" s="1"/>
      <c r="R801" s="1"/>
      <c r="S801" s="1"/>
      <c r="T801" s="1"/>
      <c r="U801" s="1"/>
      <c r="V801" s="38"/>
      <c r="W801" s="1"/>
      <c r="X801" s="1"/>
    </row>
    <row r="802" spans="1:24" ht="14.4">
      <c r="A802" s="1"/>
      <c r="M802" s="26"/>
      <c r="N802" s="26"/>
      <c r="P802" s="1"/>
      <c r="Q802" s="1"/>
      <c r="R802" s="1"/>
      <c r="S802" s="1"/>
      <c r="T802" s="1"/>
      <c r="U802" s="1"/>
      <c r="V802" s="38"/>
      <c r="W802" s="1"/>
      <c r="X802" s="1"/>
    </row>
    <row r="803" spans="1:24" ht="14.4">
      <c r="A803" s="1"/>
      <c r="M803" s="26"/>
      <c r="N803" s="26"/>
      <c r="P803" s="1"/>
      <c r="Q803" s="1"/>
      <c r="R803" s="1"/>
      <c r="S803" s="1"/>
      <c r="T803" s="1"/>
      <c r="U803" s="1"/>
      <c r="V803" s="38"/>
      <c r="W803" s="1"/>
      <c r="X803" s="1"/>
    </row>
    <row r="804" spans="1:24" ht="14.4">
      <c r="A804" s="1"/>
      <c r="M804" s="26"/>
      <c r="N804" s="26"/>
      <c r="P804" s="1"/>
      <c r="Q804" s="1"/>
      <c r="R804" s="1"/>
      <c r="S804" s="1"/>
      <c r="T804" s="1"/>
      <c r="U804" s="1"/>
      <c r="V804" s="38"/>
      <c r="W804" s="1"/>
      <c r="X804" s="1"/>
    </row>
    <row r="805" spans="1:24" ht="14.4">
      <c r="A805" s="1"/>
      <c r="M805" s="26"/>
      <c r="N805" s="26"/>
      <c r="P805" s="1"/>
      <c r="Q805" s="1"/>
      <c r="R805" s="1"/>
      <c r="S805" s="1"/>
      <c r="T805" s="1"/>
      <c r="U805" s="1"/>
      <c r="V805" s="38"/>
      <c r="W805" s="1"/>
      <c r="X805" s="1"/>
    </row>
    <row r="806" spans="1:24" ht="14.4">
      <c r="A806" s="1"/>
      <c r="M806" s="26"/>
      <c r="N806" s="26"/>
      <c r="P806" s="1"/>
      <c r="Q806" s="1"/>
      <c r="R806" s="1"/>
      <c r="S806" s="1"/>
      <c r="T806" s="1"/>
      <c r="U806" s="1"/>
      <c r="V806" s="38"/>
      <c r="W806" s="1"/>
      <c r="X806" s="1"/>
    </row>
    <row r="807" spans="1:24" ht="14.4">
      <c r="A807" s="1"/>
      <c r="M807" s="26"/>
      <c r="N807" s="26"/>
      <c r="P807" s="1"/>
      <c r="Q807" s="1"/>
      <c r="R807" s="1"/>
      <c r="S807" s="1"/>
      <c r="T807" s="1"/>
      <c r="U807" s="1"/>
      <c r="V807" s="38"/>
      <c r="W807" s="1"/>
      <c r="X807" s="1"/>
    </row>
    <row r="808" spans="1:24" ht="14.4">
      <c r="A808" s="1"/>
      <c r="M808" s="26"/>
      <c r="N808" s="26"/>
      <c r="P808" s="1"/>
      <c r="Q808" s="1"/>
      <c r="R808" s="1"/>
      <c r="S808" s="1"/>
      <c r="T808" s="1"/>
      <c r="U808" s="1"/>
      <c r="V808" s="38"/>
      <c r="W808" s="1"/>
      <c r="X808" s="1"/>
    </row>
    <row r="809" spans="1:24" ht="14.4">
      <c r="A809" s="1"/>
      <c r="M809" s="26"/>
      <c r="N809" s="26"/>
      <c r="P809" s="1"/>
      <c r="Q809" s="1"/>
      <c r="R809" s="1"/>
      <c r="S809" s="1"/>
      <c r="T809" s="1"/>
      <c r="U809" s="1"/>
      <c r="V809" s="38"/>
      <c r="W809" s="1"/>
      <c r="X809" s="1"/>
    </row>
    <row r="810" spans="1:24" ht="14.4">
      <c r="A810" s="1"/>
      <c r="M810" s="26"/>
      <c r="N810" s="26"/>
      <c r="P810" s="1"/>
      <c r="Q810" s="1"/>
      <c r="R810" s="1"/>
      <c r="S810" s="1"/>
      <c r="T810" s="1"/>
      <c r="U810" s="1"/>
      <c r="V810" s="38"/>
      <c r="W810" s="1"/>
      <c r="X810" s="1"/>
    </row>
    <row r="811" spans="1:24" ht="14.4">
      <c r="A811" s="1"/>
      <c r="M811" s="26"/>
      <c r="N811" s="26"/>
      <c r="P811" s="1"/>
      <c r="Q811" s="1"/>
      <c r="R811" s="1"/>
      <c r="S811" s="1"/>
      <c r="T811" s="1"/>
      <c r="U811" s="1"/>
      <c r="V811" s="38"/>
      <c r="W811" s="1"/>
      <c r="X811" s="1"/>
    </row>
    <row r="812" spans="1:24" ht="14.4">
      <c r="A812" s="1"/>
      <c r="M812" s="26"/>
      <c r="N812" s="26"/>
      <c r="P812" s="1"/>
      <c r="Q812" s="1"/>
      <c r="R812" s="1"/>
      <c r="S812" s="1"/>
      <c r="T812" s="1"/>
      <c r="U812" s="1"/>
      <c r="V812" s="38"/>
      <c r="W812" s="1"/>
      <c r="X812" s="1"/>
    </row>
    <row r="813" spans="1:24" ht="14.4">
      <c r="A813" s="1"/>
      <c r="M813" s="26"/>
      <c r="N813" s="26"/>
      <c r="P813" s="1"/>
      <c r="Q813" s="1"/>
      <c r="R813" s="1"/>
      <c r="S813" s="1"/>
      <c r="T813" s="1"/>
      <c r="U813" s="1"/>
      <c r="V813" s="38"/>
      <c r="W813" s="1"/>
      <c r="X813" s="1"/>
    </row>
    <row r="814" spans="1:24" ht="14.4">
      <c r="A814" s="1"/>
      <c r="M814" s="26"/>
      <c r="N814" s="26"/>
      <c r="P814" s="1"/>
      <c r="Q814" s="1"/>
      <c r="R814" s="1"/>
      <c r="S814" s="1"/>
      <c r="T814" s="1"/>
      <c r="U814" s="1"/>
      <c r="V814" s="38"/>
      <c r="W814" s="1"/>
      <c r="X814" s="1"/>
    </row>
    <row r="815" spans="1:24" ht="14.4">
      <c r="A815" s="1"/>
      <c r="M815" s="26"/>
      <c r="N815" s="26"/>
      <c r="P815" s="1"/>
      <c r="Q815" s="1"/>
      <c r="R815" s="1"/>
      <c r="S815" s="1"/>
      <c r="T815" s="1"/>
      <c r="U815" s="1"/>
      <c r="V815" s="38"/>
      <c r="W815" s="1"/>
      <c r="X815" s="1"/>
    </row>
    <row r="816" spans="1:24" ht="14.4">
      <c r="A816" s="1"/>
      <c r="M816" s="26"/>
      <c r="N816" s="26"/>
      <c r="P816" s="1"/>
      <c r="Q816" s="1"/>
      <c r="R816" s="1"/>
      <c r="S816" s="1"/>
      <c r="T816" s="1"/>
      <c r="U816" s="1"/>
      <c r="V816" s="38"/>
      <c r="W816" s="1"/>
      <c r="X816" s="1"/>
    </row>
    <row r="817" spans="1:24" ht="14.4">
      <c r="A817" s="1"/>
      <c r="M817" s="26"/>
      <c r="N817" s="26"/>
      <c r="P817" s="1"/>
      <c r="Q817" s="1"/>
      <c r="R817" s="1"/>
      <c r="S817" s="1"/>
      <c r="T817" s="1"/>
      <c r="U817" s="1"/>
      <c r="V817" s="38"/>
      <c r="W817" s="1"/>
      <c r="X817" s="1"/>
    </row>
    <row r="818" spans="1:24" ht="14.4">
      <c r="A818" s="1"/>
      <c r="M818" s="26"/>
      <c r="N818" s="26"/>
      <c r="P818" s="1"/>
      <c r="Q818" s="1"/>
      <c r="R818" s="1"/>
      <c r="S818" s="1"/>
      <c r="T818" s="1"/>
      <c r="U818" s="1"/>
      <c r="V818" s="38"/>
      <c r="W818" s="1"/>
      <c r="X818" s="1"/>
    </row>
    <row r="819" spans="1:24" ht="14.4">
      <c r="A819" s="1"/>
      <c r="M819" s="26"/>
      <c r="N819" s="26"/>
      <c r="P819" s="1"/>
      <c r="Q819" s="1"/>
      <c r="R819" s="1"/>
      <c r="S819" s="1"/>
      <c r="T819" s="1"/>
      <c r="U819" s="1"/>
      <c r="V819" s="38"/>
      <c r="W819" s="1"/>
      <c r="X819" s="1"/>
    </row>
    <row r="820" spans="1:24" ht="14.4">
      <c r="A820" s="1"/>
      <c r="M820" s="26"/>
      <c r="N820" s="26"/>
      <c r="P820" s="1"/>
      <c r="Q820" s="1"/>
      <c r="R820" s="1"/>
      <c r="S820" s="1"/>
      <c r="T820" s="1"/>
      <c r="U820" s="1"/>
      <c r="V820" s="38"/>
      <c r="W820" s="1"/>
      <c r="X820" s="1"/>
    </row>
    <row r="821" spans="1:24" ht="14.4">
      <c r="A821" s="1"/>
      <c r="M821" s="26"/>
      <c r="N821" s="26"/>
      <c r="P821" s="1"/>
      <c r="Q821" s="1"/>
      <c r="R821" s="1"/>
      <c r="S821" s="1"/>
      <c r="T821" s="1"/>
      <c r="U821" s="1"/>
      <c r="V821" s="38"/>
      <c r="W821" s="1"/>
      <c r="X821" s="1"/>
    </row>
    <row r="822" spans="1:24" ht="14.4">
      <c r="A822" s="1"/>
      <c r="M822" s="26"/>
      <c r="N822" s="26"/>
      <c r="P822" s="1"/>
      <c r="Q822" s="1"/>
      <c r="R822" s="1"/>
      <c r="S822" s="1"/>
      <c r="T822" s="1"/>
      <c r="U822" s="1"/>
      <c r="V822" s="38"/>
      <c r="W822" s="1"/>
      <c r="X822" s="1"/>
    </row>
    <row r="823" spans="1:24" ht="14.4">
      <c r="A823" s="1"/>
      <c r="M823" s="26"/>
      <c r="N823" s="26"/>
      <c r="P823" s="1"/>
      <c r="Q823" s="1"/>
      <c r="R823" s="1"/>
      <c r="S823" s="1"/>
      <c r="T823" s="1"/>
      <c r="U823" s="1"/>
      <c r="V823" s="38"/>
      <c r="W823" s="1"/>
      <c r="X823" s="1"/>
    </row>
    <row r="824" spans="1:24" ht="14.4">
      <c r="A824" s="1"/>
      <c r="M824" s="26"/>
      <c r="N824" s="26"/>
      <c r="P824" s="1"/>
      <c r="Q824" s="1"/>
      <c r="R824" s="1"/>
      <c r="S824" s="1"/>
      <c r="T824" s="1"/>
      <c r="U824" s="1"/>
      <c r="V824" s="38"/>
      <c r="W824" s="1"/>
      <c r="X824" s="1"/>
    </row>
    <row r="825" spans="1:24" ht="14.4">
      <c r="A825" s="1"/>
      <c r="M825" s="26"/>
      <c r="N825" s="26"/>
      <c r="P825" s="1"/>
      <c r="Q825" s="1"/>
      <c r="R825" s="1"/>
      <c r="S825" s="1"/>
      <c r="T825" s="1"/>
      <c r="U825" s="1"/>
      <c r="V825" s="38"/>
      <c r="W825" s="1"/>
      <c r="X825" s="1"/>
    </row>
    <row r="826" spans="1:24" ht="14.4">
      <c r="A826" s="1"/>
      <c r="M826" s="26"/>
      <c r="N826" s="26"/>
      <c r="P826" s="1"/>
      <c r="Q826" s="1"/>
      <c r="R826" s="1"/>
      <c r="S826" s="1"/>
      <c r="T826" s="1"/>
      <c r="U826" s="1"/>
      <c r="V826" s="38"/>
      <c r="W826" s="1"/>
      <c r="X826" s="1"/>
    </row>
    <row r="827" spans="1:24" ht="14.4">
      <c r="A827" s="1"/>
      <c r="M827" s="26"/>
      <c r="N827" s="26"/>
      <c r="P827" s="1"/>
      <c r="Q827" s="1"/>
      <c r="R827" s="1"/>
      <c r="S827" s="1"/>
      <c r="T827" s="1"/>
      <c r="U827" s="1"/>
      <c r="V827" s="38"/>
      <c r="W827" s="1"/>
      <c r="X827" s="1"/>
    </row>
    <row r="828" spans="1:24" ht="14.4">
      <c r="A828" s="1"/>
      <c r="M828" s="26"/>
      <c r="N828" s="26"/>
      <c r="P828" s="1"/>
      <c r="Q828" s="1"/>
      <c r="R828" s="1"/>
      <c r="S828" s="1"/>
      <c r="T828" s="1"/>
      <c r="U828" s="1"/>
      <c r="V828" s="38"/>
      <c r="W828" s="1"/>
      <c r="X828" s="1"/>
    </row>
    <row r="829" spans="1:24" ht="14.4">
      <c r="A829" s="1"/>
      <c r="M829" s="26"/>
      <c r="N829" s="26"/>
      <c r="P829" s="1"/>
      <c r="Q829" s="1"/>
      <c r="R829" s="1"/>
      <c r="S829" s="1"/>
      <c r="T829" s="1"/>
      <c r="U829" s="1"/>
      <c r="V829" s="38"/>
      <c r="W829" s="1"/>
      <c r="X829" s="1"/>
    </row>
    <row r="830" spans="1:24" ht="14.4">
      <c r="A830" s="1"/>
      <c r="M830" s="26"/>
      <c r="N830" s="26"/>
      <c r="P830" s="1"/>
      <c r="Q830" s="1"/>
      <c r="R830" s="1"/>
      <c r="S830" s="1"/>
      <c r="T830" s="1"/>
      <c r="U830" s="1"/>
      <c r="V830" s="38"/>
      <c r="W830" s="1"/>
      <c r="X830" s="1"/>
    </row>
    <row r="831" spans="1:24" ht="14.4">
      <c r="A831" s="1"/>
      <c r="M831" s="26"/>
      <c r="N831" s="26"/>
      <c r="P831" s="1"/>
      <c r="Q831" s="1"/>
      <c r="R831" s="1"/>
      <c r="S831" s="1"/>
      <c r="T831" s="1"/>
      <c r="U831" s="1"/>
      <c r="V831" s="38"/>
      <c r="W831" s="1"/>
      <c r="X831" s="1"/>
    </row>
    <row r="832" spans="1:24" ht="14.4">
      <c r="A832" s="1"/>
      <c r="M832" s="26"/>
      <c r="N832" s="26"/>
      <c r="P832" s="1"/>
      <c r="Q832" s="1"/>
      <c r="R832" s="1"/>
      <c r="S832" s="1"/>
      <c r="T832" s="1"/>
      <c r="U832" s="1"/>
      <c r="V832" s="38"/>
      <c r="W832" s="1"/>
      <c r="X832" s="1"/>
    </row>
    <row r="833" spans="1:24" ht="14.4">
      <c r="A833" s="1"/>
      <c r="M833" s="26"/>
      <c r="N833" s="26"/>
      <c r="P833" s="1"/>
      <c r="Q833" s="1"/>
      <c r="R833" s="1"/>
      <c r="S833" s="1"/>
      <c r="T833" s="1"/>
      <c r="U833" s="1"/>
      <c r="V833" s="38"/>
      <c r="W833" s="1"/>
      <c r="X833" s="1"/>
    </row>
    <row r="834" spans="1:24" ht="14.4">
      <c r="A834" s="1"/>
      <c r="M834" s="26"/>
      <c r="N834" s="26"/>
      <c r="P834" s="1"/>
      <c r="Q834" s="1"/>
      <c r="R834" s="1"/>
      <c r="S834" s="1"/>
      <c r="T834" s="1"/>
      <c r="U834" s="1"/>
      <c r="V834" s="38"/>
      <c r="W834" s="1"/>
      <c r="X834" s="1"/>
    </row>
    <row r="835" spans="1:24" ht="14.4">
      <c r="A835" s="1"/>
      <c r="M835" s="26"/>
      <c r="N835" s="26"/>
      <c r="P835" s="1"/>
      <c r="Q835" s="1"/>
      <c r="R835" s="1"/>
      <c r="S835" s="1"/>
      <c r="T835" s="1"/>
      <c r="U835" s="1"/>
      <c r="V835" s="38"/>
      <c r="W835" s="1"/>
      <c r="X835" s="1"/>
    </row>
    <row r="836" spans="1:24" ht="14.4">
      <c r="A836" s="1"/>
      <c r="M836" s="26"/>
      <c r="N836" s="26"/>
      <c r="P836" s="1"/>
      <c r="Q836" s="1"/>
      <c r="R836" s="1"/>
      <c r="S836" s="1"/>
      <c r="T836" s="1"/>
      <c r="U836" s="1"/>
      <c r="V836" s="38"/>
      <c r="W836" s="1"/>
      <c r="X836" s="1"/>
    </row>
    <row r="837" spans="1:24" ht="14.4">
      <c r="A837" s="1"/>
      <c r="M837" s="26"/>
      <c r="N837" s="26"/>
      <c r="P837" s="1"/>
      <c r="Q837" s="1"/>
      <c r="R837" s="1"/>
      <c r="S837" s="1"/>
      <c r="T837" s="1"/>
      <c r="U837" s="1"/>
      <c r="V837" s="38"/>
      <c r="W837" s="1"/>
      <c r="X837" s="1"/>
    </row>
    <row r="838" spans="1:24" ht="14.4">
      <c r="A838" s="1"/>
      <c r="M838" s="26"/>
      <c r="N838" s="26"/>
      <c r="P838" s="1"/>
      <c r="Q838" s="1"/>
      <c r="R838" s="1"/>
      <c r="S838" s="1"/>
      <c r="T838" s="1"/>
      <c r="U838" s="1"/>
      <c r="V838" s="38"/>
      <c r="W838" s="1"/>
      <c r="X838" s="1"/>
    </row>
    <row r="839" spans="1:24" ht="14.4">
      <c r="A839" s="1"/>
      <c r="M839" s="26"/>
      <c r="N839" s="26"/>
      <c r="P839" s="1"/>
      <c r="Q839" s="1"/>
      <c r="R839" s="1"/>
      <c r="S839" s="1"/>
      <c r="T839" s="1"/>
      <c r="U839" s="1"/>
      <c r="V839" s="38"/>
      <c r="W839" s="1"/>
      <c r="X839" s="1"/>
    </row>
    <row r="840" spans="1:24" ht="14.4">
      <c r="A840" s="1"/>
      <c r="M840" s="26"/>
      <c r="N840" s="26"/>
      <c r="P840" s="1"/>
      <c r="Q840" s="1"/>
      <c r="R840" s="1"/>
      <c r="S840" s="1"/>
      <c r="T840" s="1"/>
      <c r="U840" s="1"/>
      <c r="V840" s="38"/>
      <c r="W840" s="1"/>
      <c r="X840" s="1"/>
    </row>
    <row r="841" spans="1:24" ht="14.4">
      <c r="A841" s="1"/>
      <c r="M841" s="26"/>
      <c r="N841" s="26"/>
      <c r="P841" s="1"/>
      <c r="Q841" s="1"/>
      <c r="R841" s="1"/>
      <c r="S841" s="1"/>
      <c r="T841" s="1"/>
      <c r="U841" s="1"/>
      <c r="V841" s="38"/>
      <c r="W841" s="1"/>
      <c r="X841" s="1"/>
    </row>
    <row r="842" spans="1:24" ht="14.4">
      <c r="A842" s="1"/>
      <c r="M842" s="26"/>
      <c r="N842" s="26"/>
      <c r="P842" s="1"/>
      <c r="Q842" s="1"/>
      <c r="R842" s="1"/>
      <c r="S842" s="1"/>
      <c r="T842" s="1"/>
      <c r="U842" s="1"/>
      <c r="V842" s="38"/>
      <c r="W842" s="1"/>
      <c r="X842" s="1"/>
    </row>
    <row r="843" spans="1:24" ht="14.4">
      <c r="A843" s="1"/>
      <c r="M843" s="26"/>
      <c r="N843" s="26"/>
      <c r="P843" s="1"/>
      <c r="Q843" s="1"/>
      <c r="R843" s="1"/>
      <c r="S843" s="1"/>
      <c r="T843" s="1"/>
      <c r="U843" s="1"/>
      <c r="V843" s="38"/>
      <c r="W843" s="1"/>
      <c r="X843" s="1"/>
    </row>
    <row r="844" spans="1:24" ht="14.4">
      <c r="A844" s="1"/>
      <c r="M844" s="26"/>
      <c r="N844" s="26"/>
      <c r="P844" s="1"/>
      <c r="Q844" s="1"/>
      <c r="R844" s="1"/>
      <c r="S844" s="1"/>
      <c r="T844" s="1"/>
      <c r="U844" s="1"/>
      <c r="V844" s="38"/>
      <c r="W844" s="1"/>
      <c r="X844" s="1"/>
    </row>
    <row r="845" spans="1:24" ht="14.4">
      <c r="A845" s="1"/>
      <c r="M845" s="26"/>
      <c r="N845" s="26"/>
      <c r="P845" s="1"/>
      <c r="Q845" s="1"/>
      <c r="R845" s="1"/>
      <c r="S845" s="1"/>
      <c r="T845" s="1"/>
      <c r="U845" s="1"/>
      <c r="V845" s="38"/>
      <c r="W845" s="1"/>
      <c r="X845" s="1"/>
    </row>
    <row r="846" spans="1:24" ht="14.4">
      <c r="A846" s="1"/>
      <c r="M846" s="26"/>
      <c r="N846" s="26"/>
      <c r="P846" s="1"/>
      <c r="Q846" s="1"/>
      <c r="R846" s="1"/>
      <c r="S846" s="1"/>
      <c r="T846" s="1"/>
      <c r="U846" s="1"/>
      <c r="V846" s="38"/>
      <c r="W846" s="1"/>
      <c r="X846" s="1"/>
    </row>
    <row r="847" spans="1:24" ht="14.4">
      <c r="A847" s="1"/>
      <c r="M847" s="26"/>
      <c r="N847" s="26"/>
      <c r="P847" s="1"/>
      <c r="Q847" s="1"/>
      <c r="R847" s="1"/>
      <c r="S847" s="1"/>
      <c r="T847" s="1"/>
      <c r="U847" s="1"/>
      <c r="V847" s="38"/>
      <c r="W847" s="1"/>
      <c r="X847" s="1"/>
    </row>
    <row r="848" spans="1:24" ht="14.4">
      <c r="A848" s="1"/>
      <c r="M848" s="26"/>
      <c r="N848" s="26"/>
      <c r="P848" s="1"/>
      <c r="Q848" s="1"/>
      <c r="R848" s="1"/>
      <c r="S848" s="1"/>
      <c r="T848" s="1"/>
      <c r="U848" s="1"/>
      <c r="V848" s="38"/>
      <c r="W848" s="1"/>
      <c r="X848" s="1"/>
    </row>
    <row r="849" spans="1:24" ht="14.4">
      <c r="A849" s="1"/>
      <c r="M849" s="26"/>
      <c r="N849" s="26"/>
      <c r="P849" s="1"/>
      <c r="Q849" s="1"/>
      <c r="R849" s="1"/>
      <c r="S849" s="1"/>
      <c r="T849" s="1"/>
      <c r="U849" s="1"/>
      <c r="V849" s="38"/>
      <c r="W849" s="1"/>
      <c r="X849" s="1"/>
    </row>
    <row r="850" spans="1:24" ht="14.4">
      <c r="A850" s="1"/>
      <c r="M850" s="26"/>
      <c r="N850" s="26"/>
      <c r="P850" s="1"/>
      <c r="Q850" s="1"/>
      <c r="R850" s="1"/>
      <c r="S850" s="1"/>
      <c r="T850" s="1"/>
      <c r="U850" s="1"/>
      <c r="V850" s="38"/>
      <c r="W850" s="1"/>
      <c r="X850" s="1"/>
    </row>
    <row r="851" spans="1:24" ht="14.4">
      <c r="A851" s="1"/>
      <c r="M851" s="26"/>
      <c r="N851" s="26"/>
      <c r="P851" s="1"/>
      <c r="Q851" s="1"/>
      <c r="R851" s="1"/>
      <c r="S851" s="1"/>
      <c r="T851" s="1"/>
      <c r="U851" s="1"/>
      <c r="V851" s="38"/>
      <c r="W851" s="1"/>
      <c r="X851" s="1"/>
    </row>
    <row r="852" spans="1:24" ht="14.4">
      <c r="A852" s="1"/>
      <c r="M852" s="26"/>
      <c r="N852" s="26"/>
      <c r="P852" s="1"/>
      <c r="Q852" s="1"/>
      <c r="R852" s="1"/>
      <c r="S852" s="1"/>
      <c r="T852" s="1"/>
      <c r="U852" s="1"/>
      <c r="V852" s="38"/>
      <c r="W852" s="1"/>
      <c r="X852" s="1"/>
    </row>
    <row r="853" spans="1:24" ht="14.4">
      <c r="A853" s="1"/>
      <c r="M853" s="26"/>
      <c r="N853" s="26"/>
      <c r="P853" s="1"/>
      <c r="Q853" s="1"/>
      <c r="R853" s="1"/>
      <c r="S853" s="1"/>
      <c r="T853" s="1"/>
      <c r="U853" s="1"/>
      <c r="V853" s="38"/>
      <c r="W853" s="1"/>
      <c r="X853" s="1"/>
    </row>
    <row r="854" spans="1:24" ht="14.4">
      <c r="A854" s="1"/>
      <c r="M854" s="26"/>
      <c r="N854" s="26"/>
      <c r="P854" s="1"/>
      <c r="Q854" s="1"/>
      <c r="R854" s="1"/>
      <c r="S854" s="1"/>
      <c r="T854" s="1"/>
      <c r="U854" s="1"/>
      <c r="V854" s="38"/>
      <c r="W854" s="1"/>
      <c r="X854" s="1"/>
    </row>
    <row r="855" spans="1:24" ht="14.4">
      <c r="A855" s="1"/>
      <c r="M855" s="26"/>
      <c r="N855" s="26"/>
      <c r="P855" s="1"/>
      <c r="Q855" s="1"/>
      <c r="R855" s="1"/>
      <c r="S855" s="1"/>
      <c r="T855" s="1"/>
      <c r="U855" s="1"/>
      <c r="V855" s="38"/>
      <c r="W855" s="1"/>
      <c r="X855" s="1"/>
    </row>
    <row r="856" spans="1:24" ht="14.4">
      <c r="A856" s="1"/>
      <c r="M856" s="26"/>
      <c r="N856" s="26"/>
      <c r="P856" s="1"/>
      <c r="Q856" s="1"/>
      <c r="R856" s="1"/>
      <c r="S856" s="1"/>
      <c r="T856" s="1"/>
      <c r="U856" s="1"/>
      <c r="V856" s="38"/>
      <c r="W856" s="1"/>
      <c r="X856" s="1"/>
    </row>
    <row r="857" spans="1:24" ht="14.4">
      <c r="A857" s="1"/>
      <c r="M857" s="26"/>
      <c r="N857" s="26"/>
      <c r="P857" s="1"/>
      <c r="Q857" s="1"/>
      <c r="R857" s="1"/>
      <c r="S857" s="1"/>
      <c r="T857" s="1"/>
      <c r="U857" s="1"/>
      <c r="V857" s="38"/>
      <c r="W857" s="1"/>
      <c r="X857" s="1"/>
    </row>
    <row r="858" spans="1:24" ht="14.4">
      <c r="A858" s="1"/>
      <c r="M858" s="26"/>
      <c r="N858" s="26"/>
      <c r="P858" s="1"/>
      <c r="Q858" s="1"/>
      <c r="R858" s="1"/>
      <c r="S858" s="1"/>
      <c r="T858" s="1"/>
      <c r="U858" s="1"/>
      <c r="V858" s="38"/>
      <c r="W858" s="1"/>
      <c r="X858" s="1"/>
    </row>
    <row r="859" spans="1:24" ht="14.4">
      <c r="A859" s="1"/>
      <c r="M859" s="26"/>
      <c r="N859" s="26"/>
      <c r="P859" s="1"/>
      <c r="Q859" s="1"/>
      <c r="R859" s="1"/>
      <c r="S859" s="1"/>
      <c r="T859" s="1"/>
      <c r="U859" s="1"/>
      <c r="V859" s="38"/>
      <c r="W859" s="1"/>
      <c r="X859" s="1"/>
    </row>
    <row r="860" spans="1:24" ht="14.4">
      <c r="A860" s="1"/>
      <c r="M860" s="26"/>
      <c r="N860" s="26"/>
      <c r="P860" s="1"/>
      <c r="Q860" s="1"/>
      <c r="R860" s="1"/>
      <c r="S860" s="1"/>
      <c r="T860" s="1"/>
      <c r="U860" s="1"/>
      <c r="V860" s="38"/>
      <c r="W860" s="1"/>
      <c r="X860" s="1"/>
    </row>
    <row r="861" spans="1:24" ht="14.4">
      <c r="A861" s="1"/>
      <c r="M861" s="26"/>
      <c r="N861" s="26"/>
      <c r="P861" s="1"/>
      <c r="Q861" s="1"/>
      <c r="R861" s="1"/>
      <c r="S861" s="1"/>
      <c r="T861" s="1"/>
      <c r="U861" s="1"/>
      <c r="V861" s="38"/>
      <c r="W861" s="1"/>
      <c r="X861" s="1"/>
    </row>
    <row r="862" spans="1:24" ht="14.4">
      <c r="A862" s="1"/>
      <c r="M862" s="26"/>
      <c r="N862" s="26"/>
      <c r="P862" s="1"/>
      <c r="Q862" s="1"/>
      <c r="R862" s="1"/>
      <c r="S862" s="1"/>
      <c r="T862" s="1"/>
      <c r="U862" s="1"/>
      <c r="V862" s="38"/>
      <c r="W862" s="1"/>
      <c r="X862" s="1"/>
    </row>
    <row r="863" spans="1:24" ht="14.4">
      <c r="A863" s="1"/>
      <c r="M863" s="26"/>
      <c r="N863" s="26"/>
      <c r="P863" s="1"/>
      <c r="Q863" s="1"/>
      <c r="R863" s="1"/>
      <c r="S863" s="1"/>
      <c r="T863" s="1"/>
      <c r="U863" s="1"/>
      <c r="V863" s="38"/>
      <c r="W863" s="1"/>
      <c r="X863" s="1"/>
    </row>
    <row r="864" spans="1:24" ht="14.4">
      <c r="A864" s="1"/>
      <c r="M864" s="26"/>
      <c r="N864" s="26"/>
      <c r="P864" s="1"/>
      <c r="Q864" s="1"/>
      <c r="R864" s="1"/>
      <c r="S864" s="1"/>
      <c r="T864" s="1"/>
      <c r="U864" s="1"/>
      <c r="V864" s="38"/>
      <c r="W864" s="1"/>
      <c r="X864" s="1"/>
    </row>
    <row r="865" spans="1:24" ht="14.4">
      <c r="A865" s="1"/>
      <c r="M865" s="26"/>
      <c r="N865" s="26"/>
      <c r="P865" s="1"/>
      <c r="Q865" s="1"/>
      <c r="R865" s="1"/>
      <c r="S865" s="1"/>
      <c r="T865" s="1"/>
      <c r="U865" s="1"/>
      <c r="V865" s="38"/>
      <c r="W865" s="1"/>
      <c r="X865" s="1"/>
    </row>
    <row r="866" spans="1:24" ht="14.4">
      <c r="A866" s="1"/>
      <c r="M866" s="26"/>
      <c r="N866" s="26"/>
      <c r="P866" s="1"/>
      <c r="Q866" s="1"/>
      <c r="R866" s="1"/>
      <c r="S866" s="1"/>
      <c r="T866" s="1"/>
      <c r="U866" s="1"/>
      <c r="V866" s="38"/>
      <c r="W866" s="1"/>
      <c r="X866" s="1"/>
    </row>
    <row r="867" spans="1:24" ht="14.4">
      <c r="A867" s="1"/>
      <c r="M867" s="26"/>
      <c r="N867" s="26"/>
      <c r="P867" s="1"/>
      <c r="Q867" s="1"/>
      <c r="R867" s="1"/>
      <c r="S867" s="1"/>
      <c r="T867" s="1"/>
      <c r="U867" s="1"/>
      <c r="V867" s="38"/>
      <c r="W867" s="1"/>
      <c r="X867" s="1"/>
    </row>
    <row r="868" spans="1:24" ht="14.4">
      <c r="A868" s="1"/>
      <c r="M868" s="26"/>
      <c r="N868" s="26"/>
      <c r="P868" s="1"/>
      <c r="Q868" s="1"/>
      <c r="R868" s="1"/>
      <c r="S868" s="1"/>
      <c r="T868" s="1"/>
      <c r="U868" s="1"/>
      <c r="V868" s="38"/>
      <c r="W868" s="1"/>
      <c r="X868" s="1"/>
    </row>
    <row r="869" spans="1:24" ht="14.4">
      <c r="A869" s="1"/>
      <c r="M869" s="26"/>
      <c r="N869" s="26"/>
      <c r="P869" s="1"/>
      <c r="Q869" s="1"/>
      <c r="R869" s="1"/>
      <c r="S869" s="1"/>
      <c r="T869" s="1"/>
      <c r="U869" s="1"/>
      <c r="V869" s="38"/>
      <c r="W869" s="1"/>
      <c r="X869" s="1"/>
    </row>
    <row r="870" spans="1:24" ht="14.4">
      <c r="A870" s="1"/>
      <c r="M870" s="26"/>
      <c r="N870" s="26"/>
      <c r="P870" s="1"/>
      <c r="Q870" s="1"/>
      <c r="R870" s="1"/>
      <c r="S870" s="1"/>
      <c r="T870" s="1"/>
      <c r="U870" s="1"/>
      <c r="V870" s="38"/>
      <c r="W870" s="1"/>
      <c r="X870" s="1"/>
    </row>
    <row r="871" spans="1:24" ht="14.4">
      <c r="A871" s="1"/>
      <c r="M871" s="26"/>
      <c r="N871" s="26"/>
      <c r="P871" s="1"/>
      <c r="Q871" s="1"/>
      <c r="R871" s="1"/>
      <c r="S871" s="1"/>
      <c r="T871" s="1"/>
      <c r="U871" s="1"/>
      <c r="V871" s="38"/>
      <c r="W871" s="1"/>
      <c r="X871" s="1"/>
    </row>
    <row r="872" spans="1:24" ht="14.4">
      <c r="A872" s="1"/>
      <c r="M872" s="26"/>
      <c r="N872" s="26"/>
      <c r="P872" s="1"/>
      <c r="Q872" s="1"/>
      <c r="R872" s="1"/>
      <c r="S872" s="1"/>
      <c r="T872" s="1"/>
      <c r="U872" s="1"/>
      <c r="V872" s="38"/>
      <c r="W872" s="1"/>
      <c r="X872" s="1"/>
    </row>
    <row r="873" spans="1:24" ht="14.4">
      <c r="A873" s="1"/>
      <c r="M873" s="26"/>
      <c r="N873" s="26"/>
      <c r="P873" s="1"/>
      <c r="Q873" s="1"/>
      <c r="R873" s="1"/>
      <c r="S873" s="1"/>
      <c r="T873" s="1"/>
      <c r="U873" s="1"/>
      <c r="V873" s="38"/>
      <c r="W873" s="1"/>
      <c r="X873" s="1"/>
    </row>
    <row r="874" spans="1:24" ht="14.4">
      <c r="A874" s="1"/>
      <c r="M874" s="26"/>
      <c r="N874" s="26"/>
      <c r="P874" s="1"/>
      <c r="Q874" s="1"/>
      <c r="R874" s="1"/>
      <c r="S874" s="1"/>
      <c r="T874" s="1"/>
      <c r="U874" s="1"/>
      <c r="V874" s="38"/>
      <c r="W874" s="1"/>
      <c r="X874" s="1"/>
    </row>
    <row r="875" spans="1:24" ht="14.4">
      <c r="A875" s="1"/>
      <c r="M875" s="26"/>
      <c r="N875" s="26"/>
      <c r="P875" s="1"/>
      <c r="Q875" s="1"/>
      <c r="R875" s="1"/>
      <c r="S875" s="1"/>
      <c r="T875" s="1"/>
      <c r="U875" s="1"/>
      <c r="V875" s="38"/>
      <c r="W875" s="1"/>
      <c r="X875" s="1"/>
    </row>
    <row r="876" spans="1:24" ht="14.4">
      <c r="A876" s="1"/>
      <c r="M876" s="26"/>
      <c r="N876" s="26"/>
      <c r="P876" s="1"/>
      <c r="Q876" s="1"/>
      <c r="R876" s="1"/>
      <c r="S876" s="1"/>
      <c r="T876" s="1"/>
      <c r="U876" s="1"/>
      <c r="V876" s="38"/>
      <c r="W876" s="1"/>
      <c r="X876" s="1"/>
    </row>
    <row r="877" spans="1:24" ht="14.4">
      <c r="A877" s="1"/>
      <c r="M877" s="26"/>
      <c r="N877" s="26"/>
      <c r="P877" s="1"/>
      <c r="Q877" s="1"/>
      <c r="R877" s="1"/>
      <c r="S877" s="1"/>
      <c r="T877" s="1"/>
      <c r="U877" s="1"/>
      <c r="V877" s="38"/>
      <c r="W877" s="1"/>
      <c r="X877" s="1"/>
    </row>
    <row r="878" spans="1:24" ht="14.4">
      <c r="A878" s="1"/>
      <c r="M878" s="26"/>
      <c r="N878" s="26"/>
      <c r="P878" s="1"/>
      <c r="Q878" s="1"/>
      <c r="R878" s="1"/>
      <c r="S878" s="1"/>
      <c r="T878" s="1"/>
      <c r="U878" s="1"/>
      <c r="V878" s="38"/>
      <c r="W878" s="1"/>
      <c r="X878" s="1"/>
    </row>
    <row r="879" spans="1:24" ht="14.4">
      <c r="A879" s="1"/>
      <c r="M879" s="26"/>
      <c r="N879" s="26"/>
      <c r="P879" s="1"/>
      <c r="Q879" s="1"/>
      <c r="R879" s="1"/>
      <c r="S879" s="1"/>
      <c r="T879" s="1"/>
      <c r="U879" s="1"/>
      <c r="V879" s="38"/>
      <c r="W879" s="1"/>
      <c r="X879" s="1"/>
    </row>
    <row r="880" spans="1:24" ht="14.4">
      <c r="A880" s="1"/>
      <c r="M880" s="26"/>
      <c r="N880" s="26"/>
      <c r="P880" s="1"/>
      <c r="Q880" s="1"/>
      <c r="R880" s="1"/>
      <c r="S880" s="1"/>
      <c r="T880" s="1"/>
      <c r="U880" s="1"/>
      <c r="V880" s="38"/>
      <c r="W880" s="1"/>
      <c r="X880" s="1"/>
    </row>
    <row r="881" spans="1:24" ht="14.4">
      <c r="A881" s="1"/>
      <c r="M881" s="26"/>
      <c r="N881" s="26"/>
      <c r="P881" s="1"/>
      <c r="Q881" s="1"/>
      <c r="R881" s="1"/>
      <c r="S881" s="1"/>
      <c r="T881" s="1"/>
      <c r="U881" s="1"/>
      <c r="V881" s="38"/>
      <c r="W881" s="1"/>
      <c r="X881" s="1"/>
    </row>
    <row r="882" spans="1:24" ht="14.4">
      <c r="A882" s="1"/>
      <c r="M882" s="26"/>
      <c r="N882" s="26"/>
      <c r="P882" s="1"/>
      <c r="Q882" s="1"/>
      <c r="R882" s="1"/>
      <c r="S882" s="1"/>
      <c r="T882" s="1"/>
      <c r="U882" s="1"/>
      <c r="V882" s="38"/>
      <c r="W882" s="1"/>
      <c r="X882" s="1"/>
    </row>
    <row r="883" spans="1:24" ht="14.4">
      <c r="A883" s="1"/>
      <c r="M883" s="26"/>
      <c r="N883" s="26"/>
      <c r="P883" s="1"/>
      <c r="Q883" s="1"/>
      <c r="R883" s="1"/>
      <c r="S883" s="1"/>
      <c r="T883" s="1"/>
      <c r="U883" s="1"/>
      <c r="V883" s="38"/>
      <c r="W883" s="1"/>
      <c r="X883" s="1"/>
    </row>
    <row r="884" spans="1:24" ht="14.4">
      <c r="A884" s="1"/>
      <c r="M884" s="26"/>
      <c r="N884" s="26"/>
      <c r="P884" s="1"/>
      <c r="Q884" s="1"/>
      <c r="R884" s="1"/>
      <c r="S884" s="1"/>
      <c r="T884" s="1"/>
      <c r="U884" s="1"/>
      <c r="V884" s="38"/>
      <c r="W884" s="1"/>
      <c r="X884" s="1"/>
    </row>
    <row r="885" spans="1:24" ht="14.4">
      <c r="A885" s="1"/>
      <c r="M885" s="26"/>
      <c r="N885" s="26"/>
      <c r="P885" s="1"/>
      <c r="Q885" s="1"/>
      <c r="R885" s="1"/>
      <c r="S885" s="1"/>
      <c r="T885" s="1"/>
      <c r="U885" s="1"/>
      <c r="V885" s="38"/>
      <c r="W885" s="1"/>
      <c r="X885" s="1"/>
    </row>
    <row r="886" spans="1:24" ht="14.4">
      <c r="A886" s="1"/>
      <c r="M886" s="26"/>
      <c r="N886" s="26"/>
      <c r="P886" s="1"/>
      <c r="Q886" s="1"/>
      <c r="R886" s="1"/>
      <c r="S886" s="1"/>
      <c r="T886" s="1"/>
      <c r="U886" s="1"/>
      <c r="V886" s="38"/>
      <c r="W886" s="1"/>
      <c r="X886" s="1"/>
    </row>
    <row r="887" spans="1:24" ht="14.4">
      <c r="A887" s="1"/>
      <c r="M887" s="26"/>
      <c r="N887" s="26"/>
      <c r="P887" s="1"/>
      <c r="Q887" s="1"/>
      <c r="R887" s="1"/>
      <c r="S887" s="1"/>
      <c r="T887" s="1"/>
      <c r="U887" s="1"/>
      <c r="V887" s="38"/>
      <c r="W887" s="1"/>
      <c r="X887" s="1"/>
    </row>
    <row r="888" spans="1:24" ht="14.4">
      <c r="A888" s="1"/>
      <c r="M888" s="26"/>
      <c r="N888" s="26"/>
      <c r="P888" s="1"/>
      <c r="Q888" s="1"/>
      <c r="R888" s="1"/>
      <c r="S888" s="1"/>
      <c r="T888" s="1"/>
      <c r="U888" s="1"/>
      <c r="V888" s="38"/>
      <c r="W888" s="1"/>
      <c r="X888" s="1"/>
    </row>
    <row r="889" spans="1:24" ht="14.4">
      <c r="A889" s="1"/>
      <c r="M889" s="26"/>
      <c r="N889" s="26"/>
      <c r="P889" s="1"/>
      <c r="Q889" s="1"/>
      <c r="R889" s="1"/>
      <c r="S889" s="1"/>
      <c r="T889" s="1"/>
      <c r="U889" s="1"/>
      <c r="V889" s="38"/>
      <c r="W889" s="1"/>
      <c r="X889" s="1"/>
    </row>
    <row r="890" spans="1:24" ht="14.4">
      <c r="A890" s="1"/>
      <c r="M890" s="26"/>
      <c r="N890" s="26"/>
      <c r="P890" s="1"/>
      <c r="Q890" s="1"/>
      <c r="R890" s="1"/>
      <c r="S890" s="1"/>
      <c r="T890" s="1"/>
      <c r="U890" s="1"/>
      <c r="V890" s="38"/>
      <c r="W890" s="1"/>
      <c r="X890" s="1"/>
    </row>
    <row r="891" spans="1:24" ht="14.4">
      <c r="A891" s="1"/>
      <c r="M891" s="26"/>
      <c r="N891" s="26"/>
      <c r="P891" s="1"/>
      <c r="Q891" s="1"/>
      <c r="R891" s="1"/>
      <c r="S891" s="1"/>
      <c r="T891" s="1"/>
      <c r="U891" s="1"/>
      <c r="V891" s="38"/>
      <c r="W891" s="1"/>
      <c r="X891" s="1"/>
    </row>
    <row r="892" spans="1:24" ht="14.4">
      <c r="A892" s="1"/>
      <c r="M892" s="26"/>
      <c r="N892" s="26"/>
      <c r="P892" s="1"/>
      <c r="Q892" s="1"/>
      <c r="R892" s="1"/>
      <c r="S892" s="1"/>
      <c r="T892" s="1"/>
      <c r="U892" s="1"/>
      <c r="V892" s="38"/>
      <c r="W892" s="1"/>
      <c r="X892" s="1"/>
    </row>
    <row r="893" spans="1:24" ht="14.4">
      <c r="A893" s="1"/>
      <c r="M893" s="26"/>
      <c r="N893" s="26"/>
      <c r="P893" s="1"/>
      <c r="Q893" s="1"/>
      <c r="R893" s="1"/>
      <c r="S893" s="1"/>
      <c r="T893" s="1"/>
      <c r="U893" s="1"/>
      <c r="V893" s="38"/>
      <c r="W893" s="1"/>
      <c r="X893" s="1"/>
    </row>
    <row r="894" spans="1:24" ht="14.4">
      <c r="A894" s="1"/>
      <c r="M894" s="26"/>
      <c r="N894" s="26"/>
      <c r="P894" s="1"/>
      <c r="Q894" s="1"/>
      <c r="R894" s="1"/>
      <c r="S894" s="1"/>
      <c r="T894" s="1"/>
      <c r="U894" s="1"/>
      <c r="V894" s="38"/>
      <c r="W894" s="1"/>
      <c r="X894" s="1"/>
    </row>
    <row r="895" spans="1:24" ht="14.4">
      <c r="A895" s="1"/>
      <c r="M895" s="26"/>
      <c r="N895" s="26"/>
      <c r="P895" s="1"/>
      <c r="Q895" s="1"/>
      <c r="R895" s="1"/>
      <c r="S895" s="1"/>
      <c r="T895" s="1"/>
      <c r="U895" s="1"/>
      <c r="V895" s="38"/>
      <c r="W895" s="1"/>
      <c r="X895" s="1"/>
    </row>
    <row r="896" spans="1:24" ht="14.4">
      <c r="A896" s="1"/>
      <c r="M896" s="26"/>
      <c r="N896" s="26"/>
      <c r="P896" s="1"/>
      <c r="Q896" s="1"/>
      <c r="R896" s="1"/>
      <c r="S896" s="1"/>
      <c r="T896" s="1"/>
      <c r="U896" s="1"/>
      <c r="V896" s="38"/>
      <c r="W896" s="1"/>
      <c r="X896" s="1"/>
    </row>
    <row r="897" spans="1:24" ht="14.4">
      <c r="A897" s="1"/>
      <c r="M897" s="26"/>
      <c r="N897" s="26"/>
      <c r="P897" s="1"/>
      <c r="Q897" s="1"/>
      <c r="R897" s="1"/>
      <c r="S897" s="1"/>
      <c r="T897" s="1"/>
      <c r="U897" s="1"/>
      <c r="V897" s="38"/>
      <c r="W897" s="1"/>
      <c r="X897" s="1"/>
    </row>
    <row r="898" spans="1:24" ht="14.4">
      <c r="A898" s="1"/>
      <c r="M898" s="26"/>
      <c r="N898" s="26"/>
      <c r="P898" s="1"/>
      <c r="Q898" s="1"/>
      <c r="R898" s="1"/>
      <c r="S898" s="1"/>
      <c r="T898" s="1"/>
      <c r="U898" s="1"/>
      <c r="V898" s="38"/>
      <c r="W898" s="1"/>
      <c r="X898" s="1"/>
    </row>
    <row r="899" spans="1:24" ht="14.4">
      <c r="A899" s="1"/>
      <c r="M899" s="26"/>
      <c r="N899" s="26"/>
      <c r="P899" s="1"/>
      <c r="Q899" s="1"/>
      <c r="R899" s="1"/>
      <c r="S899" s="1"/>
      <c r="T899" s="1"/>
      <c r="U899" s="1"/>
      <c r="V899" s="38"/>
      <c r="W899" s="1"/>
      <c r="X899" s="1"/>
    </row>
    <row r="900" spans="1:24" ht="14.4">
      <c r="A900" s="1"/>
      <c r="M900" s="26"/>
      <c r="N900" s="26"/>
      <c r="P900" s="1"/>
      <c r="Q900" s="1"/>
      <c r="R900" s="1"/>
      <c r="S900" s="1"/>
      <c r="T900" s="1"/>
      <c r="U900" s="1"/>
      <c r="V900" s="38"/>
      <c r="W900" s="1"/>
      <c r="X900" s="1"/>
    </row>
    <row r="901" spans="1:24" ht="14.4">
      <c r="A901" s="1"/>
      <c r="M901" s="26"/>
      <c r="N901" s="26"/>
      <c r="P901" s="1"/>
      <c r="Q901" s="1"/>
      <c r="R901" s="1"/>
      <c r="S901" s="1"/>
      <c r="T901" s="1"/>
      <c r="U901" s="1"/>
      <c r="V901" s="38"/>
      <c r="W901" s="1"/>
      <c r="X901" s="1"/>
    </row>
    <row r="902" spans="1:24" ht="14.4">
      <c r="A902" s="1"/>
      <c r="M902" s="26"/>
      <c r="N902" s="26"/>
      <c r="P902" s="1"/>
      <c r="Q902" s="1"/>
      <c r="R902" s="1"/>
      <c r="S902" s="1"/>
      <c r="T902" s="1"/>
      <c r="U902" s="1"/>
      <c r="V902" s="38"/>
      <c r="W902" s="1"/>
      <c r="X902" s="1"/>
    </row>
    <row r="903" spans="1:24" ht="14.4">
      <c r="A903" s="1"/>
      <c r="M903" s="26"/>
      <c r="N903" s="26"/>
      <c r="P903" s="1"/>
      <c r="Q903" s="1"/>
      <c r="R903" s="1"/>
      <c r="S903" s="1"/>
      <c r="T903" s="1"/>
      <c r="U903" s="1"/>
      <c r="V903" s="38"/>
      <c r="W903" s="1"/>
      <c r="X903" s="1"/>
    </row>
    <row r="904" spans="1:24" ht="14.4">
      <c r="A904" s="1"/>
      <c r="M904" s="26"/>
      <c r="N904" s="26"/>
      <c r="P904" s="1"/>
      <c r="Q904" s="1"/>
      <c r="R904" s="1"/>
      <c r="S904" s="1"/>
      <c r="T904" s="1"/>
      <c r="U904" s="1"/>
      <c r="V904" s="38"/>
      <c r="W904" s="1"/>
      <c r="X904" s="1"/>
    </row>
    <row r="905" spans="1:24" ht="14.4">
      <c r="A905" s="1"/>
      <c r="M905" s="26"/>
      <c r="N905" s="26"/>
      <c r="P905" s="1"/>
      <c r="Q905" s="1"/>
      <c r="R905" s="1"/>
      <c r="S905" s="1"/>
      <c r="T905" s="1"/>
      <c r="U905" s="1"/>
      <c r="V905" s="38"/>
      <c r="W905" s="1"/>
      <c r="X905" s="1"/>
    </row>
    <row r="906" spans="1:24" ht="14.4">
      <c r="A906" s="1"/>
      <c r="M906" s="26"/>
      <c r="N906" s="26"/>
      <c r="P906" s="1"/>
      <c r="Q906" s="1"/>
      <c r="R906" s="1"/>
      <c r="S906" s="1"/>
      <c r="T906" s="1"/>
      <c r="U906" s="1"/>
      <c r="V906" s="38"/>
      <c r="W906" s="1"/>
      <c r="X906" s="1"/>
    </row>
    <row r="907" spans="1:24" ht="14.4">
      <c r="A907" s="1"/>
      <c r="M907" s="26"/>
      <c r="N907" s="26"/>
      <c r="P907" s="1"/>
      <c r="Q907" s="1"/>
      <c r="R907" s="1"/>
      <c r="S907" s="1"/>
      <c r="T907" s="1"/>
      <c r="U907" s="1"/>
      <c r="V907" s="38"/>
      <c r="W907" s="1"/>
      <c r="X907" s="1"/>
    </row>
    <row r="908" spans="1:24" ht="14.4">
      <c r="A908" s="1"/>
      <c r="M908" s="26"/>
      <c r="N908" s="26"/>
      <c r="P908" s="1"/>
      <c r="Q908" s="1"/>
      <c r="R908" s="1"/>
      <c r="S908" s="1"/>
      <c r="T908" s="1"/>
      <c r="U908" s="1"/>
      <c r="V908" s="38"/>
      <c r="W908" s="1"/>
      <c r="X908" s="1"/>
    </row>
    <row r="909" spans="1:24" ht="14.4">
      <c r="A909" s="1"/>
      <c r="M909" s="26"/>
      <c r="N909" s="26"/>
      <c r="P909" s="1"/>
      <c r="Q909" s="1"/>
      <c r="R909" s="1"/>
      <c r="S909" s="1"/>
      <c r="T909" s="1"/>
      <c r="U909" s="1"/>
      <c r="V909" s="38"/>
      <c r="W909" s="1"/>
      <c r="X909" s="1"/>
    </row>
    <row r="910" spans="1:24" ht="14.4">
      <c r="A910" s="1"/>
      <c r="M910" s="26"/>
      <c r="N910" s="26"/>
      <c r="P910" s="1"/>
      <c r="Q910" s="1"/>
      <c r="R910" s="1"/>
      <c r="S910" s="1"/>
      <c r="T910" s="1"/>
      <c r="U910" s="1"/>
      <c r="V910" s="38"/>
      <c r="W910" s="1"/>
      <c r="X910" s="1"/>
    </row>
    <row r="911" spans="1:24" ht="14.4">
      <c r="A911" s="1"/>
      <c r="M911" s="26"/>
      <c r="N911" s="26"/>
      <c r="P911" s="1"/>
      <c r="Q911" s="1"/>
      <c r="R911" s="1"/>
      <c r="S911" s="1"/>
      <c r="T911" s="1"/>
      <c r="U911" s="1"/>
      <c r="V911" s="38"/>
      <c r="W911" s="1"/>
      <c r="X911" s="1"/>
    </row>
    <row r="912" spans="1:24" ht="14.4">
      <c r="A912" s="1"/>
      <c r="M912" s="26"/>
      <c r="N912" s="26"/>
      <c r="P912" s="1"/>
      <c r="Q912" s="1"/>
      <c r="R912" s="1"/>
      <c r="S912" s="1"/>
      <c r="T912" s="1"/>
      <c r="U912" s="1"/>
      <c r="V912" s="38"/>
      <c r="W912" s="1"/>
      <c r="X912" s="1"/>
    </row>
    <row r="913" spans="1:24" ht="14.4">
      <c r="A913" s="1"/>
      <c r="M913" s="26"/>
      <c r="N913" s="26"/>
      <c r="P913" s="1"/>
      <c r="Q913" s="1"/>
      <c r="R913" s="1"/>
      <c r="S913" s="1"/>
      <c r="T913" s="1"/>
      <c r="U913" s="1"/>
      <c r="V913" s="38"/>
      <c r="W913" s="1"/>
      <c r="X913" s="1"/>
    </row>
    <row r="914" spans="1:24" ht="14.4">
      <c r="A914" s="1"/>
      <c r="M914" s="26"/>
      <c r="N914" s="26"/>
      <c r="P914" s="1"/>
      <c r="Q914" s="1"/>
      <c r="R914" s="1"/>
      <c r="S914" s="1"/>
      <c r="T914" s="1"/>
      <c r="U914" s="1"/>
      <c r="V914" s="38"/>
      <c r="W914" s="1"/>
      <c r="X914" s="1"/>
    </row>
    <row r="915" spans="1:24" ht="14.4">
      <c r="A915" s="1"/>
      <c r="M915" s="26"/>
      <c r="N915" s="26"/>
      <c r="P915" s="1"/>
      <c r="Q915" s="1"/>
      <c r="R915" s="1"/>
      <c r="S915" s="1"/>
      <c r="T915" s="1"/>
      <c r="U915" s="1"/>
      <c r="V915" s="38"/>
      <c r="W915" s="1"/>
      <c r="X915" s="1"/>
    </row>
    <row r="916" spans="1:24" ht="14.4">
      <c r="A916" s="1"/>
      <c r="M916" s="26"/>
      <c r="N916" s="26"/>
      <c r="P916" s="1"/>
      <c r="Q916" s="1"/>
      <c r="R916" s="1"/>
      <c r="S916" s="1"/>
      <c r="T916" s="1"/>
      <c r="U916" s="1"/>
      <c r="V916" s="38"/>
      <c r="W916" s="1"/>
      <c r="X916" s="1"/>
    </row>
    <row r="917" spans="1:24" ht="14.4">
      <c r="A917" s="1"/>
      <c r="M917" s="26"/>
      <c r="N917" s="26"/>
      <c r="P917" s="1"/>
      <c r="Q917" s="1"/>
      <c r="R917" s="1"/>
      <c r="S917" s="1"/>
      <c r="T917" s="1"/>
      <c r="U917" s="1"/>
      <c r="V917" s="38"/>
      <c r="W917" s="1"/>
      <c r="X917" s="1"/>
    </row>
    <row r="918" spans="1:24" ht="14.4">
      <c r="A918" s="1"/>
      <c r="M918" s="26"/>
      <c r="N918" s="26"/>
      <c r="P918" s="1"/>
      <c r="Q918" s="1"/>
      <c r="R918" s="1"/>
      <c r="S918" s="1"/>
      <c r="T918" s="1"/>
      <c r="U918" s="1"/>
      <c r="V918" s="38"/>
      <c r="W918" s="1"/>
      <c r="X918" s="1"/>
    </row>
    <row r="919" spans="1:24" ht="14.4">
      <c r="A919" s="1"/>
      <c r="M919" s="26"/>
      <c r="N919" s="26"/>
      <c r="P919" s="1"/>
      <c r="Q919" s="1"/>
      <c r="R919" s="1"/>
      <c r="S919" s="1"/>
      <c r="T919" s="1"/>
      <c r="U919" s="1"/>
      <c r="V919" s="38"/>
      <c r="W919" s="1"/>
      <c r="X919" s="1"/>
    </row>
    <row r="920" spans="1:24" ht="14.4">
      <c r="A920" s="1"/>
      <c r="M920" s="26"/>
      <c r="N920" s="26"/>
      <c r="P920" s="1"/>
      <c r="Q920" s="1"/>
      <c r="R920" s="1"/>
      <c r="S920" s="1"/>
      <c r="T920" s="1"/>
      <c r="U920" s="1"/>
      <c r="V920" s="38"/>
      <c r="W920" s="1"/>
      <c r="X920" s="1"/>
    </row>
    <row r="921" spans="1:24" ht="14.4">
      <c r="A921" s="1"/>
      <c r="M921" s="26"/>
      <c r="N921" s="26"/>
      <c r="P921" s="1"/>
      <c r="Q921" s="1"/>
      <c r="R921" s="1"/>
      <c r="S921" s="1"/>
      <c r="T921" s="1"/>
      <c r="U921" s="1"/>
      <c r="V921" s="38"/>
      <c r="W921" s="1"/>
      <c r="X921" s="1"/>
    </row>
    <row r="922" spans="1:24" ht="14.4">
      <c r="A922" s="1"/>
      <c r="M922" s="26"/>
      <c r="N922" s="26"/>
      <c r="P922" s="1"/>
      <c r="Q922" s="1"/>
      <c r="R922" s="1"/>
      <c r="S922" s="1"/>
      <c r="T922" s="1"/>
      <c r="U922" s="1"/>
      <c r="V922" s="38"/>
      <c r="W922" s="1"/>
      <c r="X922" s="1"/>
    </row>
    <row r="923" spans="1:24" ht="14.4">
      <c r="A923" s="1"/>
      <c r="M923" s="26"/>
      <c r="N923" s="26"/>
      <c r="P923" s="1"/>
      <c r="Q923" s="1"/>
      <c r="R923" s="1"/>
      <c r="S923" s="1"/>
      <c r="T923" s="1"/>
      <c r="U923" s="1"/>
      <c r="V923" s="38"/>
      <c r="W923" s="1"/>
      <c r="X923" s="1"/>
    </row>
    <row r="924" spans="1:24" ht="14.4">
      <c r="A924" s="1"/>
      <c r="M924" s="26"/>
      <c r="N924" s="26"/>
      <c r="P924" s="1"/>
      <c r="Q924" s="1"/>
      <c r="R924" s="1"/>
      <c r="S924" s="1"/>
      <c r="T924" s="1"/>
      <c r="U924" s="1"/>
      <c r="V924" s="38"/>
      <c r="W924" s="1"/>
      <c r="X924" s="1"/>
    </row>
    <row r="925" spans="1:24" ht="14.4">
      <c r="A925" s="1"/>
      <c r="M925" s="26"/>
      <c r="N925" s="26"/>
      <c r="P925" s="1"/>
      <c r="Q925" s="1"/>
      <c r="R925" s="1"/>
      <c r="S925" s="1"/>
      <c r="T925" s="1"/>
      <c r="U925" s="1"/>
      <c r="V925" s="38"/>
      <c r="W925" s="1"/>
      <c r="X925" s="1"/>
    </row>
    <row r="926" spans="1:24" ht="14.4">
      <c r="A926" s="1"/>
      <c r="M926" s="26"/>
      <c r="N926" s="26"/>
      <c r="P926" s="1"/>
      <c r="Q926" s="1"/>
      <c r="R926" s="1"/>
      <c r="S926" s="1"/>
      <c r="T926" s="1"/>
      <c r="U926" s="1"/>
      <c r="V926" s="38"/>
      <c r="W926" s="1"/>
      <c r="X926" s="1"/>
    </row>
    <row r="927" spans="1:24" ht="14.4">
      <c r="A927" s="1"/>
      <c r="M927" s="26"/>
      <c r="N927" s="26"/>
      <c r="P927" s="1"/>
      <c r="Q927" s="1"/>
      <c r="R927" s="1"/>
      <c r="S927" s="1"/>
      <c r="T927" s="1"/>
      <c r="U927" s="1"/>
      <c r="V927" s="38"/>
      <c r="W927" s="1"/>
      <c r="X927" s="1"/>
    </row>
    <row r="928" spans="1:24" ht="14.4">
      <c r="A928" s="1"/>
      <c r="M928" s="26"/>
      <c r="N928" s="26"/>
      <c r="P928" s="1"/>
      <c r="Q928" s="1"/>
      <c r="R928" s="1"/>
      <c r="S928" s="1"/>
      <c r="T928" s="1"/>
      <c r="U928" s="1"/>
      <c r="V928" s="38"/>
      <c r="W928" s="1"/>
      <c r="X928" s="1"/>
    </row>
    <row r="929" spans="1:24" ht="14.4">
      <c r="A929" s="1"/>
      <c r="M929" s="26"/>
      <c r="N929" s="26"/>
      <c r="P929" s="1"/>
      <c r="Q929" s="1"/>
      <c r="R929" s="1"/>
      <c r="S929" s="1"/>
      <c r="T929" s="1"/>
      <c r="U929" s="1"/>
      <c r="V929" s="38"/>
      <c r="W929" s="1"/>
      <c r="X929" s="1"/>
    </row>
    <row r="930" spans="1:24" ht="14.4">
      <c r="A930" s="1"/>
      <c r="M930" s="26"/>
      <c r="N930" s="26"/>
      <c r="P930" s="1"/>
      <c r="Q930" s="1"/>
      <c r="R930" s="1"/>
      <c r="S930" s="1"/>
      <c r="T930" s="1"/>
      <c r="U930" s="1"/>
      <c r="V930" s="38"/>
      <c r="W930" s="1"/>
      <c r="X930" s="1"/>
    </row>
    <row r="931" spans="1:24" ht="14.4">
      <c r="A931" s="1"/>
      <c r="M931" s="26"/>
      <c r="N931" s="26"/>
      <c r="P931" s="1"/>
      <c r="Q931" s="1"/>
      <c r="R931" s="1"/>
      <c r="S931" s="1"/>
      <c r="T931" s="1"/>
      <c r="U931" s="1"/>
      <c r="V931" s="38"/>
      <c r="W931" s="1"/>
      <c r="X931" s="1"/>
    </row>
    <row r="932" spans="1:24" ht="14.4">
      <c r="A932" s="1"/>
      <c r="M932" s="26"/>
      <c r="N932" s="26"/>
      <c r="P932" s="1"/>
      <c r="Q932" s="1"/>
      <c r="R932" s="1"/>
      <c r="S932" s="1"/>
      <c r="T932" s="1"/>
      <c r="U932" s="1"/>
      <c r="V932" s="38"/>
      <c r="W932" s="1"/>
      <c r="X932" s="1"/>
    </row>
    <row r="933" spans="1:24" ht="14.4">
      <c r="A933" s="1"/>
      <c r="M933" s="26"/>
      <c r="N933" s="26"/>
      <c r="P933" s="1"/>
      <c r="Q933" s="1"/>
      <c r="R933" s="1"/>
      <c r="S933" s="1"/>
      <c r="T933" s="1"/>
      <c r="U933" s="1"/>
      <c r="V933" s="38"/>
      <c r="W933" s="1"/>
      <c r="X933" s="1"/>
    </row>
    <row r="934" spans="1:24" ht="14.4">
      <c r="A934" s="1"/>
      <c r="M934" s="26"/>
      <c r="N934" s="26"/>
      <c r="P934" s="1"/>
      <c r="Q934" s="1"/>
      <c r="R934" s="1"/>
      <c r="S934" s="1"/>
      <c r="T934" s="1"/>
      <c r="U934" s="1"/>
      <c r="V934" s="38"/>
      <c r="W934" s="1"/>
      <c r="X934" s="1"/>
    </row>
    <row r="935" spans="1:24" ht="14.4">
      <c r="A935" s="1"/>
      <c r="M935" s="26"/>
      <c r="N935" s="26"/>
      <c r="P935" s="1"/>
      <c r="Q935" s="1"/>
      <c r="R935" s="1"/>
      <c r="S935" s="1"/>
      <c r="T935" s="1"/>
      <c r="U935" s="1"/>
      <c r="V935" s="38"/>
      <c r="W935" s="1"/>
      <c r="X935" s="1"/>
    </row>
    <row r="936" spans="1:24" ht="14.4">
      <c r="A936" s="1"/>
      <c r="M936" s="26"/>
      <c r="N936" s="26"/>
      <c r="P936" s="1"/>
      <c r="Q936" s="1"/>
      <c r="R936" s="1"/>
      <c r="S936" s="1"/>
      <c r="T936" s="1"/>
      <c r="U936" s="1"/>
      <c r="V936" s="38"/>
      <c r="W936" s="1"/>
      <c r="X936" s="1"/>
    </row>
    <row r="937" spans="1:24" ht="14.4">
      <c r="A937" s="1"/>
      <c r="M937" s="26"/>
      <c r="N937" s="26"/>
      <c r="P937" s="1"/>
      <c r="Q937" s="1"/>
      <c r="R937" s="1"/>
      <c r="S937" s="1"/>
      <c r="T937" s="1"/>
      <c r="U937" s="1"/>
      <c r="V937" s="38"/>
      <c r="W937" s="1"/>
      <c r="X937" s="1"/>
    </row>
    <row r="938" spans="1:24" ht="14.4">
      <c r="A938" s="1"/>
      <c r="M938" s="26"/>
      <c r="N938" s="26"/>
      <c r="P938" s="1"/>
      <c r="Q938" s="1"/>
      <c r="R938" s="1"/>
      <c r="S938" s="1"/>
      <c r="T938" s="1"/>
      <c r="U938" s="1"/>
      <c r="V938" s="38"/>
      <c r="W938" s="1"/>
      <c r="X938" s="1"/>
    </row>
    <row r="939" spans="1:24" ht="14.4">
      <c r="A939" s="1"/>
      <c r="M939" s="26"/>
      <c r="N939" s="26"/>
      <c r="P939" s="1"/>
      <c r="Q939" s="1"/>
      <c r="R939" s="1"/>
      <c r="S939" s="1"/>
      <c r="T939" s="1"/>
      <c r="U939" s="1"/>
      <c r="V939" s="38"/>
      <c r="W939" s="1"/>
      <c r="X939" s="1"/>
    </row>
    <row r="940" spans="1:24" ht="14.4">
      <c r="A940" s="1"/>
      <c r="M940" s="26"/>
      <c r="N940" s="26"/>
      <c r="P940" s="1"/>
      <c r="Q940" s="1"/>
      <c r="R940" s="1"/>
      <c r="S940" s="1"/>
      <c r="T940" s="1"/>
      <c r="U940" s="1"/>
      <c r="V940" s="38"/>
      <c r="W940" s="1"/>
      <c r="X940" s="1"/>
    </row>
    <row r="941" spans="1:24" ht="14.4">
      <c r="A941" s="1"/>
      <c r="M941" s="26"/>
      <c r="N941" s="26"/>
      <c r="P941" s="1"/>
      <c r="Q941" s="1"/>
      <c r="R941" s="1"/>
      <c r="S941" s="1"/>
      <c r="T941" s="1"/>
      <c r="U941" s="1"/>
      <c r="V941" s="38"/>
      <c r="W941" s="1"/>
      <c r="X941" s="1"/>
    </row>
    <row r="942" spans="1:24" ht="14.4">
      <c r="A942" s="1"/>
      <c r="M942" s="26"/>
      <c r="N942" s="26"/>
      <c r="P942" s="1"/>
      <c r="Q942" s="1"/>
      <c r="R942" s="1"/>
      <c r="S942" s="1"/>
      <c r="T942" s="1"/>
      <c r="U942" s="1"/>
      <c r="V942" s="38"/>
      <c r="W942" s="1"/>
      <c r="X942" s="1"/>
    </row>
    <row r="943" spans="1:24" ht="14.4">
      <c r="A943" s="1"/>
      <c r="M943" s="26"/>
      <c r="N943" s="26"/>
      <c r="P943" s="1"/>
      <c r="Q943" s="1"/>
      <c r="R943" s="1"/>
      <c r="S943" s="1"/>
      <c r="T943" s="1"/>
      <c r="U943" s="1"/>
      <c r="V943" s="38"/>
      <c r="W943" s="1"/>
      <c r="X943" s="1"/>
    </row>
    <row r="944" spans="1:24" ht="14.4">
      <c r="A944" s="1"/>
      <c r="M944" s="26"/>
      <c r="N944" s="26"/>
      <c r="P944" s="1"/>
      <c r="Q944" s="1"/>
      <c r="R944" s="1"/>
      <c r="S944" s="1"/>
      <c r="T944" s="1"/>
      <c r="U944" s="1"/>
      <c r="V944" s="38"/>
      <c r="W944" s="1"/>
      <c r="X944" s="1"/>
    </row>
    <row r="945" spans="1:24" ht="14.4">
      <c r="A945" s="1"/>
      <c r="M945" s="26"/>
      <c r="N945" s="26"/>
      <c r="P945" s="1"/>
      <c r="Q945" s="1"/>
      <c r="R945" s="1"/>
      <c r="S945" s="1"/>
      <c r="T945" s="1"/>
      <c r="U945" s="1"/>
      <c r="V945" s="38"/>
      <c r="W945" s="1"/>
      <c r="X945" s="1"/>
    </row>
    <row r="946" spans="1:24" ht="14.4">
      <c r="A946" s="1"/>
      <c r="M946" s="26"/>
      <c r="N946" s="26"/>
      <c r="P946" s="1"/>
      <c r="Q946" s="1"/>
      <c r="R946" s="1"/>
      <c r="S946" s="1"/>
      <c r="T946" s="1"/>
      <c r="U946" s="1"/>
      <c r="V946" s="38"/>
      <c r="W946" s="1"/>
      <c r="X946" s="1"/>
    </row>
    <row r="947" spans="1:24" ht="14.4">
      <c r="A947" s="1"/>
      <c r="M947" s="26"/>
      <c r="N947" s="26"/>
      <c r="P947" s="1"/>
      <c r="Q947" s="1"/>
      <c r="R947" s="1"/>
      <c r="S947" s="1"/>
      <c r="T947" s="1"/>
      <c r="U947" s="1"/>
      <c r="V947" s="38"/>
      <c r="W947" s="1"/>
      <c r="X947" s="1"/>
    </row>
    <row r="948" spans="1:24" ht="14.4">
      <c r="A948" s="1"/>
      <c r="M948" s="26"/>
      <c r="N948" s="26"/>
      <c r="P948" s="1"/>
      <c r="Q948" s="1"/>
      <c r="R948" s="1"/>
      <c r="S948" s="1"/>
      <c r="T948" s="1"/>
      <c r="U948" s="1"/>
      <c r="V948" s="38"/>
      <c r="W948" s="1"/>
      <c r="X948" s="1"/>
    </row>
    <row r="949" spans="1:24" ht="14.4">
      <c r="A949" s="1"/>
      <c r="M949" s="26"/>
      <c r="N949" s="26"/>
      <c r="P949" s="1"/>
      <c r="Q949" s="1"/>
      <c r="R949" s="1"/>
      <c r="S949" s="1"/>
      <c r="T949" s="1"/>
      <c r="U949" s="1"/>
      <c r="V949" s="38"/>
      <c r="W949" s="1"/>
      <c r="X949" s="1"/>
    </row>
    <row r="950" spans="1:24" ht="14.4">
      <c r="A950" s="1"/>
      <c r="M950" s="26"/>
      <c r="N950" s="26"/>
      <c r="P950" s="1"/>
      <c r="Q950" s="1"/>
      <c r="R950" s="1"/>
      <c r="S950" s="1"/>
      <c r="T950" s="1"/>
      <c r="U950" s="1"/>
      <c r="V950" s="38"/>
      <c r="W950" s="1"/>
      <c r="X950" s="1"/>
    </row>
    <row r="951" spans="1:24" ht="14.4">
      <c r="A951" s="1"/>
      <c r="M951" s="26"/>
      <c r="N951" s="26"/>
      <c r="P951" s="1"/>
      <c r="Q951" s="1"/>
      <c r="R951" s="1"/>
      <c r="S951" s="1"/>
      <c r="T951" s="1"/>
      <c r="U951" s="1"/>
      <c r="V951" s="38"/>
      <c r="W951" s="1"/>
      <c r="X951" s="1"/>
    </row>
    <row r="952" spans="1:24" ht="14.4">
      <c r="A952" s="1"/>
      <c r="M952" s="26"/>
      <c r="N952" s="26"/>
      <c r="P952" s="1"/>
      <c r="Q952" s="1"/>
      <c r="R952" s="1"/>
      <c r="S952" s="1"/>
      <c r="T952" s="1"/>
      <c r="U952" s="1"/>
      <c r="V952" s="38"/>
      <c r="W952" s="1"/>
      <c r="X952" s="1"/>
    </row>
    <row r="953" spans="1:24" ht="14.4">
      <c r="A953" s="1"/>
      <c r="M953" s="26"/>
      <c r="N953" s="26"/>
      <c r="P953" s="1"/>
      <c r="Q953" s="1"/>
      <c r="R953" s="1"/>
      <c r="S953" s="1"/>
      <c r="T953" s="1"/>
      <c r="U953" s="1"/>
      <c r="V953" s="38"/>
      <c r="W953" s="1"/>
      <c r="X953" s="1"/>
    </row>
    <row r="954" spans="1:24" ht="14.4">
      <c r="A954" s="1"/>
      <c r="M954" s="26"/>
      <c r="N954" s="26"/>
      <c r="P954" s="1"/>
      <c r="Q954" s="1"/>
      <c r="R954" s="1"/>
      <c r="S954" s="1"/>
      <c r="T954" s="1"/>
      <c r="U954" s="1"/>
      <c r="V954" s="38"/>
      <c r="W954" s="1"/>
      <c r="X954" s="1"/>
    </row>
    <row r="955" spans="1:24" ht="14.4">
      <c r="A955" s="1"/>
      <c r="M955" s="26"/>
      <c r="N955" s="26"/>
      <c r="P955" s="1"/>
      <c r="Q955" s="1"/>
      <c r="R955" s="1"/>
      <c r="S955" s="1"/>
      <c r="T955" s="1"/>
      <c r="U955" s="1"/>
      <c r="V955" s="38"/>
      <c r="W955" s="1"/>
      <c r="X955" s="1"/>
    </row>
    <row r="956" spans="1:24" ht="14.4">
      <c r="A956" s="1"/>
      <c r="M956" s="26"/>
      <c r="N956" s="26"/>
      <c r="P956" s="1"/>
      <c r="Q956" s="1"/>
      <c r="R956" s="1"/>
      <c r="S956" s="1"/>
      <c r="T956" s="1"/>
      <c r="U956" s="1"/>
      <c r="V956" s="38"/>
      <c r="W956" s="1"/>
      <c r="X956" s="1"/>
    </row>
    <row r="957" spans="1:24" ht="14.4">
      <c r="A957" s="1"/>
      <c r="M957" s="26"/>
      <c r="N957" s="26"/>
      <c r="P957" s="1"/>
      <c r="Q957" s="1"/>
      <c r="R957" s="1"/>
      <c r="S957" s="1"/>
      <c r="T957" s="1"/>
      <c r="U957" s="1"/>
      <c r="V957" s="38"/>
      <c r="W957" s="1"/>
      <c r="X957" s="1"/>
    </row>
    <row r="958" spans="1:24" ht="14.4">
      <c r="A958" s="1"/>
      <c r="M958" s="26"/>
      <c r="N958" s="26"/>
      <c r="P958" s="1"/>
      <c r="Q958" s="1"/>
      <c r="R958" s="1"/>
      <c r="S958" s="1"/>
      <c r="T958" s="1"/>
      <c r="U958" s="1"/>
      <c r="V958" s="38"/>
      <c r="W958" s="1"/>
      <c r="X958" s="1"/>
    </row>
    <row r="959" spans="1:24" ht="14.4">
      <c r="A959" s="1"/>
      <c r="M959" s="26"/>
      <c r="N959" s="26"/>
      <c r="P959" s="1"/>
      <c r="Q959" s="1"/>
      <c r="R959" s="1"/>
      <c r="S959" s="1"/>
      <c r="T959" s="1"/>
      <c r="U959" s="1"/>
      <c r="V959" s="38"/>
      <c r="W959" s="1"/>
      <c r="X959" s="1"/>
    </row>
    <row r="960" spans="1:24" ht="14.4">
      <c r="A960" s="1"/>
      <c r="M960" s="26"/>
      <c r="N960" s="26"/>
      <c r="P960" s="1"/>
      <c r="Q960" s="1"/>
      <c r="R960" s="1"/>
      <c r="S960" s="1"/>
      <c r="T960" s="1"/>
      <c r="U960" s="1"/>
      <c r="V960" s="38"/>
      <c r="W960" s="1"/>
      <c r="X960" s="1"/>
    </row>
    <row r="961" spans="1:24" ht="14.4">
      <c r="A961" s="1"/>
      <c r="M961" s="26"/>
      <c r="N961" s="26"/>
      <c r="P961" s="1"/>
      <c r="Q961" s="1"/>
      <c r="R961" s="1"/>
      <c r="S961" s="1"/>
      <c r="T961" s="1"/>
      <c r="U961" s="1"/>
      <c r="V961" s="38"/>
      <c r="W961" s="1"/>
      <c r="X961" s="1"/>
    </row>
    <row r="962" spans="1:24" ht="14.4">
      <c r="A962" s="1"/>
      <c r="M962" s="26"/>
      <c r="N962" s="26"/>
      <c r="P962" s="1"/>
      <c r="Q962" s="1"/>
      <c r="R962" s="1"/>
      <c r="S962" s="1"/>
      <c r="T962" s="1"/>
      <c r="U962" s="1"/>
      <c r="V962" s="38"/>
      <c r="W962" s="1"/>
      <c r="X962" s="1"/>
    </row>
    <row r="963" spans="1:24" ht="14.4">
      <c r="A963" s="1"/>
      <c r="M963" s="26"/>
      <c r="N963" s="26"/>
      <c r="P963" s="1"/>
      <c r="Q963" s="1"/>
      <c r="R963" s="1"/>
      <c r="S963" s="1"/>
      <c r="T963" s="1"/>
      <c r="U963" s="1"/>
      <c r="V963" s="38"/>
      <c r="W963" s="1"/>
      <c r="X963" s="1"/>
    </row>
    <row r="964" spans="1:24" ht="14.4">
      <c r="A964" s="1"/>
      <c r="M964" s="26"/>
      <c r="N964" s="26"/>
      <c r="P964" s="1"/>
      <c r="Q964" s="1"/>
      <c r="R964" s="1"/>
      <c r="S964" s="1"/>
      <c r="T964" s="1"/>
      <c r="U964" s="1"/>
      <c r="V964" s="38"/>
      <c r="W964" s="1"/>
      <c r="X964" s="1"/>
    </row>
    <row r="965" spans="1:24" ht="14.4">
      <c r="A965" s="1"/>
      <c r="M965" s="26"/>
      <c r="N965" s="26"/>
      <c r="P965" s="1"/>
      <c r="Q965" s="1"/>
      <c r="R965" s="1"/>
      <c r="S965" s="1"/>
      <c r="T965" s="1"/>
      <c r="U965" s="1"/>
      <c r="V965" s="38"/>
      <c r="W965" s="1"/>
      <c r="X965" s="1"/>
    </row>
    <row r="966" spans="1:24" ht="14.4">
      <c r="A966" s="1"/>
      <c r="M966" s="26"/>
      <c r="N966" s="26"/>
      <c r="P966" s="1"/>
      <c r="Q966" s="1"/>
      <c r="R966" s="1"/>
      <c r="S966" s="1"/>
      <c r="T966" s="1"/>
      <c r="U966" s="1"/>
      <c r="V966" s="38"/>
      <c r="W966" s="1"/>
      <c r="X966" s="1"/>
    </row>
    <row r="967" spans="1:24" ht="14.4">
      <c r="A967" s="1"/>
      <c r="M967" s="26"/>
      <c r="N967" s="26"/>
      <c r="P967" s="1"/>
      <c r="Q967" s="1"/>
      <c r="R967" s="1"/>
      <c r="S967" s="1"/>
      <c r="T967" s="1"/>
      <c r="U967" s="1"/>
      <c r="V967" s="38"/>
      <c r="W967" s="1"/>
      <c r="X967" s="1"/>
    </row>
    <row r="968" spans="1:24" ht="14.4">
      <c r="A968" s="1"/>
      <c r="M968" s="26"/>
      <c r="N968" s="26"/>
      <c r="P968" s="1"/>
      <c r="Q968" s="1"/>
      <c r="R968" s="1"/>
      <c r="S968" s="1"/>
      <c r="T968" s="1"/>
      <c r="U968" s="1"/>
      <c r="V968" s="38"/>
      <c r="W968" s="1"/>
      <c r="X968" s="1"/>
    </row>
    <row r="969" spans="1:24" ht="14.4">
      <c r="A969" s="1"/>
      <c r="M969" s="26"/>
      <c r="N969" s="26"/>
      <c r="P969" s="1"/>
      <c r="Q969" s="1"/>
      <c r="R969" s="1"/>
      <c r="S969" s="1"/>
      <c r="T969" s="1"/>
      <c r="U969" s="1"/>
      <c r="V969" s="38"/>
      <c r="W969" s="1"/>
      <c r="X969" s="1"/>
    </row>
    <row r="970" spans="1:24" ht="14.4">
      <c r="A970" s="1"/>
      <c r="M970" s="26"/>
      <c r="N970" s="26"/>
      <c r="P970" s="1"/>
      <c r="Q970" s="1"/>
      <c r="R970" s="1"/>
      <c r="S970" s="1"/>
      <c r="T970" s="1"/>
      <c r="U970" s="1"/>
      <c r="V970" s="38"/>
      <c r="W970" s="1"/>
      <c r="X970" s="1"/>
    </row>
    <row r="971" spans="1:24" ht="14.4">
      <c r="A971" s="1"/>
      <c r="M971" s="26"/>
      <c r="N971" s="26"/>
      <c r="P971" s="1"/>
      <c r="Q971" s="1"/>
      <c r="R971" s="1"/>
      <c r="S971" s="1"/>
      <c r="T971" s="1"/>
      <c r="U971" s="1"/>
      <c r="V971" s="38"/>
      <c r="W971" s="1"/>
      <c r="X971" s="1"/>
    </row>
    <row r="972" spans="1:24" ht="14.4">
      <c r="A972" s="1"/>
      <c r="M972" s="26"/>
      <c r="N972" s="26"/>
      <c r="P972" s="1"/>
      <c r="Q972" s="1"/>
      <c r="R972" s="1"/>
      <c r="S972" s="1"/>
      <c r="T972" s="1"/>
      <c r="U972" s="1"/>
      <c r="V972" s="38"/>
      <c r="W972" s="1"/>
      <c r="X972" s="1"/>
    </row>
    <row r="973" spans="1:24" ht="14.4">
      <c r="A973" s="1"/>
      <c r="M973" s="26"/>
      <c r="N973" s="26"/>
      <c r="P973" s="1"/>
      <c r="Q973" s="1"/>
      <c r="R973" s="1"/>
      <c r="S973" s="1"/>
      <c r="T973" s="1"/>
      <c r="U973" s="1"/>
      <c r="V973" s="38"/>
      <c r="W973" s="1"/>
      <c r="X973" s="1"/>
    </row>
    <row r="974" spans="1:24" ht="14.4">
      <c r="A974" s="1"/>
      <c r="M974" s="26"/>
      <c r="N974" s="26"/>
      <c r="P974" s="1"/>
      <c r="Q974" s="1"/>
      <c r="R974" s="1"/>
      <c r="S974" s="1"/>
      <c r="T974" s="1"/>
      <c r="U974" s="1"/>
      <c r="V974" s="38"/>
      <c r="W974" s="1"/>
      <c r="X974" s="1"/>
    </row>
    <row r="975" spans="1:24" ht="14.4">
      <c r="A975" s="1"/>
      <c r="M975" s="26"/>
      <c r="N975" s="26"/>
      <c r="P975" s="1"/>
      <c r="Q975" s="1"/>
      <c r="R975" s="1"/>
      <c r="S975" s="1"/>
      <c r="T975" s="1"/>
      <c r="U975" s="1"/>
      <c r="V975" s="38"/>
      <c r="W975" s="1"/>
      <c r="X975" s="1"/>
    </row>
    <row r="976" spans="1:24" ht="14.4">
      <c r="A976" s="1"/>
      <c r="M976" s="26"/>
      <c r="N976" s="26"/>
      <c r="P976" s="1"/>
      <c r="Q976" s="1"/>
      <c r="R976" s="1"/>
      <c r="S976" s="1"/>
      <c r="T976" s="1"/>
      <c r="U976" s="1"/>
      <c r="V976" s="38"/>
      <c r="W976" s="1"/>
      <c r="X976" s="1"/>
    </row>
    <row r="977" spans="1:24" ht="14.4">
      <c r="A977" s="1"/>
      <c r="M977" s="26"/>
      <c r="N977" s="26"/>
      <c r="P977" s="1"/>
      <c r="Q977" s="1"/>
      <c r="R977" s="1"/>
      <c r="S977" s="1"/>
      <c r="T977" s="1"/>
      <c r="U977" s="1"/>
      <c r="V977" s="38"/>
      <c r="W977" s="1"/>
      <c r="X977" s="1"/>
    </row>
    <row r="978" spans="1:24" ht="14.4">
      <c r="A978" s="1"/>
      <c r="M978" s="26"/>
      <c r="N978" s="26"/>
      <c r="P978" s="1"/>
      <c r="Q978" s="1"/>
      <c r="R978" s="1"/>
      <c r="S978" s="1"/>
      <c r="T978" s="1"/>
      <c r="U978" s="1"/>
      <c r="V978" s="38"/>
      <c r="W978" s="1"/>
      <c r="X978" s="1"/>
    </row>
    <row r="979" spans="1:24" ht="14.4">
      <c r="A979" s="1"/>
      <c r="M979" s="26"/>
      <c r="N979" s="26"/>
      <c r="P979" s="1"/>
      <c r="Q979" s="1"/>
      <c r="R979" s="1"/>
      <c r="S979" s="1"/>
      <c r="T979" s="1"/>
      <c r="U979" s="1"/>
      <c r="V979" s="38"/>
      <c r="W979" s="1"/>
      <c r="X979" s="1"/>
    </row>
    <row r="980" spans="1:24" ht="14.4">
      <c r="A980" s="1"/>
      <c r="M980" s="26"/>
      <c r="N980" s="26"/>
      <c r="P980" s="1"/>
      <c r="Q980" s="1"/>
      <c r="R980" s="1"/>
      <c r="S980" s="1"/>
      <c r="T980" s="1"/>
      <c r="U980" s="1"/>
      <c r="V980" s="38"/>
      <c r="W980" s="1"/>
      <c r="X980" s="1"/>
    </row>
    <row r="981" spans="1:24" ht="14.4">
      <c r="A981" s="1"/>
      <c r="M981" s="26"/>
      <c r="N981" s="26"/>
      <c r="P981" s="1"/>
      <c r="Q981" s="1"/>
      <c r="R981" s="1"/>
      <c r="S981" s="1"/>
      <c r="T981" s="1"/>
      <c r="U981" s="1"/>
      <c r="V981" s="38"/>
      <c r="W981" s="1"/>
      <c r="X981" s="1"/>
    </row>
    <row r="982" spans="1:24" ht="14.4">
      <c r="A982" s="1"/>
      <c r="M982" s="26"/>
      <c r="N982" s="26"/>
      <c r="P982" s="1"/>
      <c r="Q982" s="1"/>
      <c r="R982" s="1"/>
      <c r="S982" s="1"/>
      <c r="T982" s="1"/>
      <c r="U982" s="1"/>
      <c r="V982" s="38"/>
      <c r="W982" s="1"/>
      <c r="X982" s="1"/>
    </row>
    <row r="983" spans="1:24" ht="14.4">
      <c r="A983" s="1"/>
      <c r="M983" s="26"/>
      <c r="N983" s="26"/>
      <c r="P983" s="1"/>
      <c r="Q983" s="1"/>
      <c r="R983" s="1"/>
      <c r="S983" s="1"/>
      <c r="T983" s="1"/>
      <c r="U983" s="1"/>
      <c r="V983" s="38"/>
      <c r="W983" s="1"/>
      <c r="X983" s="1"/>
    </row>
    <row r="984" spans="1:24" ht="14.4">
      <c r="A984" s="1"/>
      <c r="M984" s="26"/>
      <c r="N984" s="26"/>
      <c r="P984" s="1"/>
      <c r="Q984" s="1"/>
      <c r="R984" s="1"/>
      <c r="S984" s="1"/>
      <c r="T984" s="1"/>
      <c r="U984" s="1"/>
      <c r="V984" s="38"/>
      <c r="W984" s="1"/>
      <c r="X984" s="1"/>
    </row>
    <row r="985" spans="1:24" ht="14.4">
      <c r="A985" s="1"/>
      <c r="M985" s="26"/>
      <c r="N985" s="26"/>
      <c r="P985" s="1"/>
      <c r="Q985" s="1"/>
      <c r="R985" s="1"/>
      <c r="S985" s="1"/>
      <c r="T985" s="1"/>
      <c r="U985" s="1"/>
      <c r="V985" s="38"/>
      <c r="W985" s="1"/>
      <c r="X985" s="1"/>
    </row>
    <row r="986" spans="1:24" ht="14.4">
      <c r="A986" s="1"/>
      <c r="M986" s="26"/>
      <c r="N986" s="26"/>
      <c r="P986" s="1"/>
      <c r="Q986" s="1"/>
      <c r="R986" s="1"/>
      <c r="S986" s="1"/>
      <c r="T986" s="1"/>
      <c r="U986" s="1"/>
      <c r="V986" s="38"/>
      <c r="W986" s="1"/>
      <c r="X986" s="1"/>
    </row>
    <row r="987" spans="1:24" ht="14.4">
      <c r="A987" s="1"/>
      <c r="M987" s="26"/>
      <c r="N987" s="26"/>
      <c r="P987" s="1"/>
      <c r="Q987" s="1"/>
      <c r="R987" s="1"/>
      <c r="S987" s="1"/>
      <c r="T987" s="1"/>
      <c r="U987" s="1"/>
      <c r="V987" s="38"/>
      <c r="W987" s="1"/>
      <c r="X987" s="1"/>
    </row>
    <row r="988" spans="1:24" ht="14.4">
      <c r="A988" s="1"/>
      <c r="M988" s="26"/>
      <c r="N988" s="26"/>
      <c r="P988" s="1"/>
      <c r="Q988" s="1"/>
      <c r="R988" s="1"/>
      <c r="S988" s="1"/>
      <c r="T988" s="1"/>
      <c r="U988" s="1"/>
      <c r="V988" s="38"/>
      <c r="W988" s="1"/>
      <c r="X988" s="1"/>
    </row>
    <row r="989" spans="1:24" ht="14.4">
      <c r="A989" s="1"/>
      <c r="M989" s="26"/>
      <c r="N989" s="26"/>
      <c r="P989" s="1"/>
      <c r="Q989" s="1"/>
      <c r="R989" s="1"/>
      <c r="S989" s="1"/>
      <c r="T989" s="1"/>
      <c r="U989" s="1"/>
      <c r="V989" s="38"/>
      <c r="W989" s="1"/>
      <c r="X989" s="1"/>
    </row>
    <row r="990" spans="1:24" ht="14.4">
      <c r="A990" s="1"/>
      <c r="M990" s="26"/>
      <c r="N990" s="26"/>
      <c r="P990" s="1"/>
      <c r="Q990" s="1"/>
      <c r="R990" s="1"/>
      <c r="S990" s="1"/>
      <c r="T990" s="1"/>
      <c r="U990" s="1"/>
      <c r="V990" s="38"/>
      <c r="W990" s="1"/>
      <c r="X990" s="1"/>
    </row>
    <row r="991" spans="1:24" ht="14.4">
      <c r="A991" s="1"/>
      <c r="M991" s="26"/>
      <c r="N991" s="26"/>
      <c r="P991" s="1"/>
      <c r="Q991" s="1"/>
      <c r="R991" s="1"/>
      <c r="S991" s="1"/>
      <c r="T991" s="1"/>
      <c r="U991" s="1"/>
      <c r="V991" s="38"/>
      <c r="W991" s="1"/>
      <c r="X991" s="1"/>
    </row>
    <row r="992" spans="1:24" ht="14.4">
      <c r="A992" s="1"/>
      <c r="M992" s="26"/>
      <c r="N992" s="26"/>
      <c r="P992" s="1"/>
      <c r="Q992" s="1"/>
      <c r="R992" s="1"/>
      <c r="S992" s="1"/>
      <c r="T992" s="1"/>
      <c r="U992" s="1"/>
      <c r="V992" s="38"/>
      <c r="W992" s="1"/>
      <c r="X992" s="1"/>
    </row>
    <row r="993" spans="1:24" ht="14.4">
      <c r="A993" s="1"/>
      <c r="M993" s="26"/>
      <c r="N993" s="26"/>
      <c r="P993" s="1"/>
      <c r="Q993" s="1"/>
      <c r="R993" s="1"/>
      <c r="S993" s="1"/>
      <c r="T993" s="1"/>
      <c r="U993" s="1"/>
      <c r="V993" s="38"/>
      <c r="W993" s="1"/>
      <c r="X993" s="1"/>
    </row>
    <row r="994" spans="1:24" ht="14.4">
      <c r="A994" s="1"/>
      <c r="M994" s="26"/>
      <c r="N994" s="26"/>
      <c r="P994" s="1"/>
      <c r="Q994" s="1"/>
      <c r="R994" s="1"/>
      <c r="S994" s="1"/>
      <c r="T994" s="1"/>
      <c r="U994" s="1"/>
      <c r="V994" s="38"/>
      <c r="W994" s="1"/>
      <c r="X994" s="1"/>
    </row>
    <row r="995" spans="1:24" ht="14.4">
      <c r="A995" s="1"/>
      <c r="M995" s="26"/>
      <c r="N995" s="26"/>
      <c r="P995" s="1"/>
      <c r="Q995" s="1"/>
      <c r="R995" s="1"/>
      <c r="S995" s="1"/>
      <c r="T995" s="1"/>
      <c r="U995" s="1"/>
      <c r="V995" s="38"/>
      <c r="W995" s="1"/>
      <c r="X995" s="1"/>
    </row>
    <row r="996" spans="1:24" ht="14.4">
      <c r="A996" s="1"/>
      <c r="M996" s="26"/>
      <c r="N996" s="26"/>
      <c r="P996" s="1"/>
      <c r="Q996" s="1"/>
      <c r="R996" s="1"/>
      <c r="S996" s="1"/>
      <c r="T996" s="1"/>
      <c r="U996" s="1"/>
      <c r="V996" s="38"/>
      <c r="W996" s="1"/>
      <c r="X996" s="1"/>
    </row>
    <row r="997" spans="1:24" ht="14.4">
      <c r="A997" s="1"/>
      <c r="M997" s="26"/>
      <c r="N997" s="26"/>
      <c r="P997" s="1"/>
      <c r="Q997" s="1"/>
      <c r="R997" s="1"/>
      <c r="S997" s="1"/>
      <c r="T997" s="1"/>
      <c r="U997" s="1"/>
      <c r="V997" s="38"/>
      <c r="W997" s="1"/>
      <c r="X997" s="1"/>
    </row>
    <row r="998" spans="1:24" ht="14.4">
      <c r="A998" s="1"/>
      <c r="M998" s="26"/>
      <c r="N998" s="26"/>
      <c r="P998" s="1"/>
      <c r="Q998" s="1"/>
      <c r="R998" s="1"/>
      <c r="S998" s="1"/>
      <c r="T998" s="1"/>
      <c r="U998" s="1"/>
      <c r="V998" s="38"/>
      <c r="W998" s="1"/>
      <c r="X998" s="1"/>
    </row>
    <row r="999" spans="1:24" ht="14.4">
      <c r="A999" s="1"/>
      <c r="M999" s="26"/>
      <c r="N999" s="26"/>
      <c r="P999" s="1"/>
      <c r="Q999" s="1"/>
      <c r="R999" s="1"/>
      <c r="S999" s="1"/>
      <c r="T999" s="1"/>
      <c r="U999" s="1"/>
      <c r="V999" s="38"/>
      <c r="W999" s="1"/>
      <c r="X999" s="1"/>
    </row>
    <row r="1000" spans="1:24" ht="14.4">
      <c r="A1000" s="1"/>
      <c r="M1000" s="26"/>
      <c r="N1000" s="26"/>
      <c r="P1000" s="1"/>
      <c r="Q1000" s="1"/>
      <c r="R1000" s="1"/>
      <c r="S1000" s="1"/>
      <c r="T1000" s="1"/>
      <c r="U1000" s="1"/>
      <c r="V1000" s="38"/>
      <c r="W1000" s="1"/>
      <c r="X1000" s="1"/>
    </row>
    <row r="1001" spans="1:24" ht="14.4">
      <c r="A1001" s="1"/>
      <c r="M1001" s="26"/>
      <c r="N1001" s="26"/>
      <c r="P1001" s="1"/>
      <c r="Q1001" s="1"/>
      <c r="R1001" s="1"/>
      <c r="S1001" s="1"/>
      <c r="T1001" s="1"/>
      <c r="U1001" s="1"/>
      <c r="V1001" s="38"/>
      <c r="W1001" s="1"/>
      <c r="X1001" s="1"/>
    </row>
    <row r="1002" spans="1:24" ht="14.4">
      <c r="A1002" s="1"/>
      <c r="M1002" s="26"/>
      <c r="N1002" s="26"/>
      <c r="P1002" s="1"/>
      <c r="Q1002" s="1"/>
      <c r="R1002" s="1"/>
      <c r="S1002" s="1"/>
      <c r="T1002" s="1"/>
      <c r="U1002" s="1"/>
      <c r="V1002" s="38"/>
      <c r="W1002" s="1"/>
      <c r="X1002" s="1"/>
    </row>
    <row r="1003" spans="1:24" ht="14.4">
      <c r="A1003" s="1"/>
      <c r="M1003" s="26"/>
      <c r="N1003" s="26"/>
      <c r="P1003" s="1"/>
      <c r="Q1003" s="1"/>
      <c r="R1003" s="1"/>
      <c r="S1003" s="1"/>
      <c r="T1003" s="1"/>
      <c r="U1003" s="1"/>
      <c r="V1003" s="38"/>
      <c r="W1003" s="1"/>
      <c r="X1003" s="1"/>
    </row>
    <row r="1004" spans="1:24" ht="14.4">
      <c r="A1004" s="1"/>
      <c r="M1004" s="26"/>
      <c r="N1004" s="26"/>
      <c r="P1004" s="1"/>
      <c r="Q1004" s="1"/>
      <c r="R1004" s="1"/>
      <c r="S1004" s="1"/>
      <c r="T1004" s="1"/>
      <c r="U1004" s="1"/>
      <c r="V1004" s="38"/>
      <c r="W1004" s="1"/>
      <c r="X1004" s="1"/>
    </row>
    <row r="1005" spans="1:24" ht="14.4">
      <c r="A1005" s="1"/>
      <c r="M1005" s="26"/>
      <c r="N1005" s="26"/>
      <c r="P1005" s="1"/>
      <c r="Q1005" s="1"/>
      <c r="R1005" s="1"/>
      <c r="S1005" s="1"/>
      <c r="T1005" s="1"/>
      <c r="U1005" s="1"/>
      <c r="V1005" s="38"/>
      <c r="W1005" s="1"/>
      <c r="X1005" s="1"/>
    </row>
    <row r="1006" spans="1:24" ht="14.4">
      <c r="A1006" s="1"/>
      <c r="M1006" s="26"/>
      <c r="N1006" s="26"/>
      <c r="P1006" s="1"/>
      <c r="Q1006" s="1"/>
      <c r="R1006" s="1"/>
      <c r="S1006" s="1"/>
      <c r="T1006" s="1"/>
      <c r="U1006" s="1"/>
      <c r="V1006" s="38"/>
      <c r="W1006" s="1"/>
      <c r="X1006" s="1"/>
    </row>
    <row r="1007" spans="1:24" ht="14.4">
      <c r="A1007" s="1"/>
      <c r="M1007" s="26"/>
      <c r="N1007" s="26"/>
      <c r="P1007" s="1"/>
      <c r="Q1007" s="1"/>
      <c r="R1007" s="1"/>
      <c r="S1007" s="1"/>
      <c r="T1007" s="1"/>
      <c r="U1007" s="1"/>
      <c r="V1007" s="38"/>
      <c r="W1007" s="1"/>
      <c r="X1007" s="1"/>
    </row>
    <row r="1008" spans="1:24" ht="14.4">
      <c r="A1008" s="1"/>
      <c r="M1008" s="26"/>
      <c r="N1008" s="26"/>
      <c r="P1008" s="1"/>
      <c r="Q1008" s="1"/>
      <c r="R1008" s="1"/>
      <c r="S1008" s="1"/>
      <c r="T1008" s="1"/>
      <c r="U1008" s="1"/>
      <c r="V1008" s="38"/>
      <c r="W1008" s="1"/>
      <c r="X1008" s="1"/>
    </row>
    <row r="1009" spans="1:24" ht="14.4">
      <c r="A1009" s="1"/>
      <c r="M1009" s="26"/>
      <c r="N1009" s="26"/>
      <c r="P1009" s="1"/>
      <c r="Q1009" s="1"/>
      <c r="R1009" s="1"/>
      <c r="S1009" s="1"/>
      <c r="T1009" s="1"/>
      <c r="U1009" s="1"/>
      <c r="V1009" s="38"/>
      <c r="W1009" s="1"/>
      <c r="X1009" s="1"/>
    </row>
    <row r="1010" spans="1:24" ht="14.4">
      <c r="A1010" s="1"/>
      <c r="M1010" s="26"/>
      <c r="N1010" s="26"/>
      <c r="P1010" s="1"/>
      <c r="Q1010" s="1"/>
      <c r="R1010" s="1"/>
      <c r="S1010" s="1"/>
      <c r="T1010" s="1"/>
      <c r="U1010" s="1"/>
      <c r="V1010" s="38"/>
      <c r="W1010" s="1"/>
      <c r="X1010" s="1"/>
    </row>
    <row r="1011" spans="1:24" ht="14.4">
      <c r="A1011" s="1"/>
      <c r="M1011" s="26"/>
      <c r="N1011" s="26"/>
      <c r="P1011" s="1"/>
      <c r="Q1011" s="1"/>
      <c r="R1011" s="1"/>
      <c r="S1011" s="1"/>
      <c r="T1011" s="1"/>
      <c r="U1011" s="1"/>
      <c r="V1011" s="38"/>
      <c r="W1011" s="1"/>
      <c r="X1011" s="1"/>
    </row>
    <row r="1012" spans="1:24" ht="14.4">
      <c r="A1012" s="1"/>
      <c r="M1012" s="26"/>
      <c r="N1012" s="26"/>
      <c r="P1012" s="1"/>
      <c r="Q1012" s="1"/>
      <c r="R1012" s="1"/>
      <c r="S1012" s="1"/>
      <c r="T1012" s="1"/>
      <c r="U1012" s="1"/>
      <c r="V1012" s="38"/>
      <c r="W1012" s="1"/>
      <c r="X1012" s="1"/>
    </row>
    <row r="1013" spans="1:24" ht="14.4">
      <c r="A1013" s="1"/>
      <c r="M1013" s="26"/>
      <c r="N1013" s="26"/>
      <c r="P1013" s="1"/>
      <c r="Q1013" s="1"/>
      <c r="R1013" s="1"/>
      <c r="S1013" s="1"/>
      <c r="T1013" s="1"/>
      <c r="U1013" s="1"/>
      <c r="V1013" s="38"/>
      <c r="W1013" s="1"/>
      <c r="X1013" s="1"/>
    </row>
    <row r="1014" spans="1:24" ht="14.4">
      <c r="A1014" s="1"/>
      <c r="M1014" s="26"/>
      <c r="N1014" s="26"/>
      <c r="P1014" s="1"/>
      <c r="Q1014" s="1"/>
      <c r="R1014" s="1"/>
      <c r="S1014" s="1"/>
      <c r="T1014" s="1"/>
      <c r="U1014" s="1"/>
      <c r="V1014" s="38"/>
      <c r="W1014" s="1"/>
      <c r="X1014" s="1"/>
    </row>
    <row r="1015" spans="1:24" ht="14.4">
      <c r="A1015" s="1"/>
      <c r="M1015" s="26"/>
      <c r="N1015" s="26"/>
      <c r="P1015" s="1"/>
      <c r="Q1015" s="1"/>
      <c r="R1015" s="1"/>
      <c r="S1015" s="1"/>
      <c r="T1015" s="1"/>
      <c r="U1015" s="1"/>
      <c r="V1015" s="38"/>
      <c r="W1015" s="1"/>
      <c r="X1015" s="1"/>
    </row>
    <row r="1016" spans="1:24" ht="14.4">
      <c r="A1016" s="1"/>
      <c r="M1016" s="26"/>
      <c r="N1016" s="26"/>
      <c r="P1016" s="1"/>
      <c r="Q1016" s="1"/>
      <c r="R1016" s="1"/>
      <c r="S1016" s="1"/>
      <c r="T1016" s="1"/>
      <c r="U1016" s="1"/>
      <c r="V1016" s="38"/>
      <c r="W1016" s="1"/>
      <c r="X1016" s="1"/>
    </row>
    <row r="1017" spans="1:24" ht="14.4">
      <c r="A1017" s="1"/>
      <c r="M1017" s="26"/>
      <c r="N1017" s="26"/>
      <c r="P1017" s="1"/>
      <c r="Q1017" s="1"/>
      <c r="R1017" s="1"/>
      <c r="S1017" s="1"/>
      <c r="T1017" s="1"/>
      <c r="U1017" s="1"/>
      <c r="V1017" s="38"/>
      <c r="W1017" s="1"/>
      <c r="X1017" s="1"/>
    </row>
    <row r="1018" spans="1:24" ht="14.4">
      <c r="A1018" s="1"/>
      <c r="M1018" s="26"/>
      <c r="N1018" s="26"/>
      <c r="P1018" s="1"/>
      <c r="Q1018" s="1"/>
      <c r="R1018" s="1"/>
      <c r="S1018" s="1"/>
      <c r="T1018" s="1"/>
      <c r="U1018" s="1"/>
      <c r="V1018" s="38"/>
      <c r="W1018" s="1"/>
      <c r="X1018" s="1"/>
    </row>
    <row r="1019" spans="1:24" ht="14.4">
      <c r="A1019" s="1"/>
      <c r="M1019" s="26"/>
      <c r="N1019" s="26"/>
      <c r="P1019" s="1"/>
      <c r="Q1019" s="1"/>
      <c r="R1019" s="1"/>
      <c r="S1019" s="1"/>
      <c r="T1019" s="1"/>
      <c r="U1019" s="1"/>
      <c r="V1019" s="38"/>
      <c r="W1019" s="1"/>
      <c r="X1019" s="1"/>
    </row>
    <row r="1020" spans="1:24" ht="14.4">
      <c r="A1020" s="1"/>
      <c r="M1020" s="26"/>
      <c r="N1020" s="26"/>
      <c r="P1020" s="1"/>
      <c r="Q1020" s="1"/>
      <c r="R1020" s="1"/>
      <c r="S1020" s="1"/>
      <c r="T1020" s="1"/>
      <c r="U1020" s="1"/>
      <c r="V1020" s="38"/>
      <c r="W1020" s="1"/>
      <c r="X1020" s="1"/>
    </row>
    <row r="1021" spans="1:24" ht="14.4">
      <c r="A1021" s="1"/>
      <c r="M1021" s="26"/>
      <c r="N1021" s="26"/>
      <c r="P1021" s="1"/>
      <c r="Q1021" s="1"/>
      <c r="R1021" s="1"/>
      <c r="S1021" s="1"/>
      <c r="T1021" s="1"/>
      <c r="U1021" s="1"/>
      <c r="V1021" s="38"/>
      <c r="W1021" s="1"/>
      <c r="X1021" s="1"/>
    </row>
    <row r="1022" spans="1:24" ht="14.4">
      <c r="A1022" s="1"/>
      <c r="M1022" s="26"/>
      <c r="N1022" s="26"/>
      <c r="P1022" s="1"/>
      <c r="Q1022" s="1"/>
      <c r="R1022" s="1"/>
      <c r="S1022" s="1"/>
      <c r="T1022" s="1"/>
      <c r="U1022" s="1"/>
      <c r="V1022" s="38"/>
      <c r="W1022" s="1"/>
      <c r="X1022" s="1"/>
    </row>
    <row r="1023" spans="1:24" ht="14.4">
      <c r="A1023" s="1"/>
      <c r="M1023" s="26"/>
      <c r="N1023" s="26"/>
      <c r="P1023" s="1"/>
      <c r="Q1023" s="1"/>
      <c r="R1023" s="1"/>
      <c r="S1023" s="1"/>
      <c r="T1023" s="1"/>
      <c r="U1023" s="1"/>
      <c r="V1023" s="38"/>
      <c r="W1023" s="1"/>
      <c r="X1023" s="1"/>
    </row>
    <row r="1024" spans="1:24" ht="14.4">
      <c r="A1024" s="1"/>
      <c r="M1024" s="26"/>
      <c r="N1024" s="26"/>
      <c r="P1024" s="1"/>
      <c r="Q1024" s="1"/>
      <c r="R1024" s="1"/>
      <c r="S1024" s="1"/>
      <c r="T1024" s="1"/>
      <c r="U1024" s="1"/>
      <c r="V1024" s="38"/>
      <c r="W1024" s="1"/>
      <c r="X1024" s="1"/>
    </row>
    <row r="1025" spans="1:24" ht="14.4">
      <c r="A1025" s="1"/>
      <c r="M1025" s="26"/>
      <c r="N1025" s="26"/>
      <c r="P1025" s="1"/>
      <c r="Q1025" s="1"/>
      <c r="R1025" s="1"/>
      <c r="S1025" s="1"/>
      <c r="T1025" s="1"/>
      <c r="U1025" s="1"/>
      <c r="V1025" s="38"/>
      <c r="W1025" s="1"/>
      <c r="X1025" s="1"/>
    </row>
    <row r="1026" spans="1:24" ht="14.4">
      <c r="A1026" s="1"/>
      <c r="M1026" s="26"/>
      <c r="N1026" s="26"/>
      <c r="P1026" s="1"/>
      <c r="Q1026" s="1"/>
      <c r="R1026" s="1"/>
      <c r="S1026" s="1"/>
      <c r="T1026" s="1"/>
      <c r="U1026" s="1"/>
      <c r="V1026" s="38"/>
      <c r="W1026" s="1"/>
      <c r="X1026" s="1"/>
    </row>
    <row r="1027" spans="1:24" ht="14.4">
      <c r="A1027" s="1"/>
      <c r="M1027" s="26"/>
      <c r="N1027" s="26"/>
      <c r="P1027" s="1"/>
      <c r="Q1027" s="1"/>
      <c r="R1027" s="1"/>
      <c r="S1027" s="1"/>
      <c r="T1027" s="1"/>
      <c r="U1027" s="1"/>
      <c r="V1027" s="38"/>
      <c r="W1027" s="1"/>
      <c r="X1027" s="1"/>
    </row>
    <row r="1028" spans="1:24" ht="14.4">
      <c r="A1028" s="1"/>
      <c r="M1028" s="26"/>
      <c r="N1028" s="26"/>
      <c r="P1028" s="1"/>
      <c r="Q1028" s="1"/>
      <c r="R1028" s="1"/>
      <c r="S1028" s="1"/>
      <c r="T1028" s="1"/>
      <c r="U1028" s="1"/>
      <c r="V1028" s="38"/>
      <c r="W1028" s="1"/>
      <c r="X1028" s="1"/>
    </row>
    <row r="1029" spans="1:24" ht="14.4">
      <c r="A1029" s="1"/>
      <c r="M1029" s="26"/>
      <c r="N1029" s="26"/>
      <c r="P1029" s="1"/>
      <c r="Q1029" s="1"/>
      <c r="R1029" s="1"/>
      <c r="S1029" s="1"/>
      <c r="T1029" s="1"/>
      <c r="U1029" s="1"/>
      <c r="V1029" s="38"/>
      <c r="W1029" s="1"/>
      <c r="X1029" s="1"/>
    </row>
    <row r="1030" spans="1:24" ht="14.4">
      <c r="A1030" s="1"/>
      <c r="M1030" s="26"/>
      <c r="N1030" s="26"/>
      <c r="P1030" s="1"/>
      <c r="Q1030" s="1"/>
      <c r="R1030" s="1"/>
      <c r="S1030" s="1"/>
      <c r="T1030" s="1"/>
      <c r="U1030" s="1"/>
      <c r="V1030" s="38"/>
      <c r="W1030" s="1"/>
      <c r="X1030" s="1"/>
    </row>
    <row r="1031" spans="1:24" ht="14.4">
      <c r="A1031" s="1"/>
      <c r="M1031" s="26"/>
      <c r="N1031" s="26"/>
      <c r="P1031" s="1"/>
      <c r="Q1031" s="1"/>
      <c r="R1031" s="1"/>
      <c r="S1031" s="1"/>
      <c r="T1031" s="1"/>
      <c r="U1031" s="1"/>
      <c r="V1031" s="38"/>
      <c r="W1031" s="1"/>
      <c r="X1031" s="1"/>
    </row>
    <row r="1032" spans="1:24" ht="14.4">
      <c r="A1032" s="1"/>
      <c r="M1032" s="26"/>
      <c r="N1032" s="26"/>
      <c r="P1032" s="1"/>
      <c r="Q1032" s="1"/>
      <c r="R1032" s="1"/>
      <c r="S1032" s="1"/>
      <c r="T1032" s="1"/>
      <c r="U1032" s="1"/>
      <c r="V1032" s="38"/>
      <c r="W1032" s="1"/>
      <c r="X1032" s="1"/>
    </row>
    <row r="1033" spans="1:24" ht="14.4">
      <c r="A1033" s="1"/>
      <c r="M1033" s="26"/>
      <c r="N1033" s="26"/>
      <c r="P1033" s="1"/>
      <c r="Q1033" s="1"/>
      <c r="R1033" s="1"/>
      <c r="S1033" s="1"/>
      <c r="T1033" s="1"/>
      <c r="U1033" s="1"/>
      <c r="V1033" s="38"/>
      <c r="W1033" s="1"/>
      <c r="X1033" s="1"/>
    </row>
    <row r="1034" spans="1:24" ht="14.4">
      <c r="A1034" s="1"/>
      <c r="M1034" s="26"/>
      <c r="N1034" s="26"/>
      <c r="P1034" s="1"/>
      <c r="Q1034" s="1"/>
      <c r="R1034" s="1"/>
      <c r="S1034" s="1"/>
      <c r="T1034" s="1"/>
      <c r="U1034" s="1"/>
      <c r="V1034" s="38"/>
      <c r="W1034" s="1"/>
      <c r="X1034" s="1"/>
    </row>
    <row r="1035" spans="1:24" ht="14.4">
      <c r="A1035" s="1"/>
      <c r="M1035" s="26"/>
      <c r="N1035" s="26"/>
      <c r="P1035" s="1"/>
      <c r="Q1035" s="1"/>
      <c r="R1035" s="1"/>
      <c r="S1035" s="1"/>
      <c r="T1035" s="1"/>
      <c r="U1035" s="1"/>
      <c r="V1035" s="38"/>
      <c r="W1035" s="1"/>
      <c r="X1035" s="1"/>
    </row>
    <row r="1036" spans="1:24" ht="14.4">
      <c r="A1036" s="1"/>
      <c r="M1036" s="26"/>
      <c r="N1036" s="26"/>
      <c r="P1036" s="1"/>
      <c r="Q1036" s="1"/>
      <c r="R1036" s="1"/>
      <c r="S1036" s="1"/>
      <c r="T1036" s="1"/>
      <c r="U1036" s="1"/>
      <c r="V1036" s="38"/>
      <c r="W1036" s="1"/>
      <c r="X1036" s="1"/>
    </row>
    <row r="1037" spans="1:24" ht="14.4">
      <c r="A1037" s="1"/>
      <c r="M1037" s="26"/>
      <c r="N1037" s="26"/>
      <c r="P1037" s="1"/>
      <c r="Q1037" s="1"/>
      <c r="R1037" s="1"/>
      <c r="S1037" s="1"/>
      <c r="T1037" s="1"/>
      <c r="U1037" s="1"/>
      <c r="V1037" s="38"/>
      <c r="W1037" s="1"/>
      <c r="X1037" s="1"/>
    </row>
    <row r="1038" spans="1:24" ht="14.4">
      <c r="A1038" s="1"/>
      <c r="M1038" s="26"/>
      <c r="N1038" s="26"/>
      <c r="P1038" s="1"/>
      <c r="Q1038" s="1"/>
      <c r="R1038" s="1"/>
      <c r="S1038" s="1"/>
      <c r="T1038" s="1"/>
      <c r="U1038" s="1"/>
      <c r="V1038" s="38"/>
      <c r="W1038" s="1"/>
      <c r="X1038" s="1"/>
    </row>
    <row r="1039" spans="1:24" ht="14.4">
      <c r="A1039" s="1"/>
      <c r="M1039" s="26"/>
      <c r="N1039" s="26"/>
      <c r="P1039" s="1"/>
      <c r="Q1039" s="1"/>
      <c r="R1039" s="1"/>
      <c r="S1039" s="1"/>
      <c r="T1039" s="1"/>
      <c r="U1039" s="1"/>
      <c r="V1039" s="38"/>
      <c r="W1039" s="1"/>
      <c r="X1039" s="1"/>
    </row>
    <row r="1040" spans="1:24" ht="14.4">
      <c r="A1040" s="1"/>
      <c r="M1040" s="26"/>
      <c r="N1040" s="26"/>
      <c r="P1040" s="1"/>
      <c r="Q1040" s="1"/>
      <c r="R1040" s="1"/>
      <c r="S1040" s="1"/>
      <c r="T1040" s="1"/>
      <c r="U1040" s="1"/>
      <c r="V1040" s="38"/>
      <c r="W1040" s="1"/>
      <c r="X1040" s="1"/>
    </row>
    <row r="1041" spans="1:24" ht="14.4">
      <c r="A1041" s="1"/>
      <c r="M1041" s="26"/>
      <c r="N1041" s="26"/>
      <c r="P1041" s="1"/>
      <c r="Q1041" s="1"/>
      <c r="R1041" s="1"/>
      <c r="S1041" s="1"/>
      <c r="T1041" s="1"/>
      <c r="U1041" s="1"/>
      <c r="V1041" s="38"/>
      <c r="W1041" s="1"/>
      <c r="X1041" s="1"/>
    </row>
    <row r="1042" spans="1:24" ht="14.4">
      <c r="A1042" s="1"/>
      <c r="M1042" s="26"/>
      <c r="N1042" s="26"/>
      <c r="P1042" s="1"/>
      <c r="Q1042" s="1"/>
      <c r="R1042" s="1"/>
      <c r="S1042" s="1"/>
      <c r="T1042" s="1"/>
      <c r="U1042" s="1"/>
      <c r="V1042" s="38"/>
      <c r="W1042" s="1"/>
      <c r="X1042" s="1"/>
    </row>
    <row r="1043" spans="1:24" ht="14.4">
      <c r="A1043" s="1"/>
      <c r="M1043" s="26"/>
      <c r="N1043" s="26"/>
      <c r="P1043" s="1"/>
      <c r="Q1043" s="1"/>
      <c r="R1043" s="1"/>
      <c r="S1043" s="1"/>
      <c r="T1043" s="1"/>
      <c r="U1043" s="1"/>
      <c r="V1043" s="38"/>
      <c r="W1043" s="1"/>
      <c r="X1043" s="1"/>
    </row>
    <row r="1044" spans="1:24" ht="14.4">
      <c r="A1044" s="1"/>
      <c r="M1044" s="26"/>
      <c r="N1044" s="26"/>
      <c r="P1044" s="1"/>
      <c r="Q1044" s="1"/>
      <c r="R1044" s="1"/>
      <c r="S1044" s="1"/>
      <c r="T1044" s="1"/>
      <c r="U1044" s="1"/>
      <c r="V1044" s="38"/>
      <c r="W1044" s="1"/>
      <c r="X1044" s="1"/>
    </row>
    <row r="1045" spans="1:24" ht="14.4">
      <c r="A1045" s="1"/>
      <c r="M1045" s="26"/>
      <c r="N1045" s="26"/>
      <c r="P1045" s="1"/>
      <c r="Q1045" s="1"/>
      <c r="R1045" s="1"/>
      <c r="S1045" s="1"/>
      <c r="T1045" s="1"/>
      <c r="U1045" s="1"/>
      <c r="V1045" s="38"/>
      <c r="W1045" s="1"/>
      <c r="X1045" s="1"/>
    </row>
    <row r="1046" spans="1:24" ht="14.4">
      <c r="A1046" s="1"/>
      <c r="M1046" s="26"/>
      <c r="N1046" s="26"/>
      <c r="P1046" s="1"/>
      <c r="Q1046" s="1"/>
      <c r="R1046" s="1"/>
      <c r="S1046" s="1"/>
      <c r="T1046" s="1"/>
      <c r="U1046" s="1"/>
      <c r="V1046" s="38"/>
      <c r="W1046" s="1"/>
      <c r="X1046" s="1"/>
    </row>
    <row r="1047" spans="1:24" ht="14.4">
      <c r="A1047" s="1"/>
      <c r="M1047" s="26"/>
      <c r="N1047" s="26"/>
      <c r="P1047" s="1"/>
      <c r="Q1047" s="1"/>
      <c r="R1047" s="1"/>
      <c r="S1047" s="1"/>
      <c r="T1047" s="1"/>
      <c r="U1047" s="1"/>
      <c r="V1047" s="38"/>
      <c r="W1047" s="1"/>
      <c r="X1047" s="1"/>
    </row>
    <row r="1048" spans="1:24" ht="14.4">
      <c r="A1048" s="1"/>
      <c r="M1048" s="26"/>
      <c r="N1048" s="26"/>
      <c r="P1048" s="1"/>
      <c r="Q1048" s="1"/>
      <c r="R1048" s="1"/>
      <c r="S1048" s="1"/>
      <c r="T1048" s="1"/>
      <c r="U1048" s="1"/>
      <c r="V1048" s="38"/>
      <c r="W1048" s="1"/>
      <c r="X1048" s="1"/>
    </row>
    <row r="1049" spans="1:24" ht="14.4">
      <c r="A1049" s="1"/>
      <c r="M1049" s="26"/>
      <c r="N1049" s="26"/>
      <c r="P1049" s="1"/>
      <c r="Q1049" s="1"/>
      <c r="R1049" s="1"/>
      <c r="S1049" s="1"/>
      <c r="T1049" s="1"/>
      <c r="U1049" s="1"/>
      <c r="V1049" s="38"/>
      <c r="W1049" s="1"/>
      <c r="X1049" s="1"/>
    </row>
    <row r="1050" spans="1:24" ht="14.4">
      <c r="A1050" s="1"/>
      <c r="M1050" s="26"/>
      <c r="N1050" s="26"/>
      <c r="P1050" s="1"/>
      <c r="Q1050" s="1"/>
      <c r="R1050" s="1"/>
      <c r="S1050" s="1"/>
      <c r="T1050" s="1"/>
      <c r="U1050" s="1"/>
      <c r="V1050" s="38"/>
      <c r="W1050" s="1"/>
      <c r="X1050" s="1"/>
    </row>
    <row r="1051" spans="1:24" ht="14.4">
      <c r="A1051" s="1"/>
      <c r="M1051" s="26"/>
      <c r="N1051" s="26"/>
      <c r="P1051" s="1"/>
      <c r="Q1051" s="1"/>
      <c r="R1051" s="1"/>
      <c r="S1051" s="1"/>
      <c r="T1051" s="1"/>
      <c r="U1051" s="1"/>
      <c r="V1051" s="38"/>
      <c r="W1051" s="1"/>
      <c r="X1051" s="1"/>
    </row>
    <row r="1052" spans="1:24" ht="14.4">
      <c r="A1052" s="1"/>
      <c r="M1052" s="26"/>
      <c r="N1052" s="26"/>
      <c r="P1052" s="1"/>
      <c r="Q1052" s="1"/>
      <c r="R1052" s="1"/>
      <c r="S1052" s="1"/>
      <c r="T1052" s="1"/>
      <c r="U1052" s="1"/>
      <c r="V1052" s="38"/>
      <c r="W1052" s="1"/>
      <c r="X1052" s="1"/>
    </row>
    <row r="1053" spans="1:24" ht="14.4">
      <c r="A1053" s="1"/>
      <c r="M1053" s="26"/>
      <c r="N1053" s="26"/>
      <c r="P1053" s="1"/>
      <c r="Q1053" s="1"/>
      <c r="R1053" s="1"/>
      <c r="S1053" s="1"/>
      <c r="T1053" s="1"/>
      <c r="U1053" s="1"/>
      <c r="V1053" s="38"/>
      <c r="W1053" s="1"/>
      <c r="X1053" s="1"/>
    </row>
    <row r="1054" spans="1:24" ht="14.4">
      <c r="A1054" s="1"/>
      <c r="M1054" s="26"/>
      <c r="N1054" s="26"/>
      <c r="P1054" s="1"/>
      <c r="Q1054" s="1"/>
      <c r="R1054" s="1"/>
      <c r="S1054" s="1"/>
      <c r="T1054" s="1"/>
      <c r="U1054" s="1"/>
      <c r="V1054" s="38"/>
      <c r="W1054" s="1"/>
      <c r="X1054" s="1"/>
    </row>
    <row r="1055" spans="1:24" ht="14.4">
      <c r="A1055" s="1"/>
      <c r="M1055" s="26"/>
      <c r="N1055" s="26"/>
      <c r="P1055" s="1"/>
      <c r="Q1055" s="1"/>
      <c r="R1055" s="1"/>
      <c r="S1055" s="1"/>
      <c r="T1055" s="1"/>
      <c r="U1055" s="1"/>
      <c r="V1055" s="38"/>
      <c r="W1055" s="1"/>
      <c r="X1055" s="1"/>
    </row>
    <row r="1056" spans="1:24" ht="14.4">
      <c r="A1056" s="1"/>
      <c r="M1056" s="26"/>
      <c r="N1056" s="26"/>
      <c r="P1056" s="1"/>
      <c r="Q1056" s="1"/>
      <c r="R1056" s="1"/>
      <c r="S1056" s="1"/>
      <c r="T1056" s="1"/>
      <c r="U1056" s="1"/>
      <c r="V1056" s="38"/>
      <c r="W1056" s="1"/>
      <c r="X1056" s="1"/>
    </row>
    <row r="1057" spans="1:24" ht="14.4">
      <c r="A1057" s="1"/>
      <c r="M1057" s="26"/>
      <c r="N1057" s="26"/>
      <c r="P1057" s="1"/>
      <c r="Q1057" s="1"/>
      <c r="R1057" s="1"/>
      <c r="S1057" s="1"/>
      <c r="T1057" s="1"/>
      <c r="U1057" s="1"/>
      <c r="V1057" s="38"/>
      <c r="W1057" s="1"/>
      <c r="X1057" s="1"/>
    </row>
    <row r="1058" spans="1:24" ht="14.4">
      <c r="A1058" s="1"/>
      <c r="M1058" s="26"/>
      <c r="N1058" s="26"/>
      <c r="P1058" s="1"/>
      <c r="Q1058" s="1"/>
      <c r="R1058" s="1"/>
      <c r="S1058" s="1"/>
      <c r="T1058" s="1"/>
      <c r="U1058" s="1"/>
      <c r="V1058" s="38"/>
      <c r="W1058" s="1"/>
      <c r="X1058" s="1"/>
    </row>
    <row r="1059" spans="1:24" ht="14.4">
      <c r="A1059" s="1"/>
      <c r="M1059" s="26"/>
      <c r="N1059" s="26"/>
      <c r="P1059" s="1"/>
      <c r="Q1059" s="1"/>
      <c r="R1059" s="1"/>
      <c r="S1059" s="1"/>
      <c r="T1059" s="1"/>
      <c r="U1059" s="1"/>
      <c r="V1059" s="38"/>
      <c r="W1059" s="1"/>
      <c r="X1059" s="1"/>
    </row>
    <row r="1060" spans="1:24" ht="14.4">
      <c r="A1060" s="1"/>
      <c r="M1060" s="26"/>
      <c r="N1060" s="26"/>
      <c r="P1060" s="1"/>
      <c r="Q1060" s="1"/>
      <c r="R1060" s="1"/>
      <c r="S1060" s="1"/>
      <c r="T1060" s="1"/>
      <c r="U1060" s="1"/>
      <c r="V1060" s="38"/>
      <c r="W1060" s="1"/>
      <c r="X1060" s="1"/>
    </row>
    <row r="1061" spans="1:24" ht="14.4">
      <c r="A1061" s="1"/>
      <c r="M1061" s="26"/>
      <c r="N1061" s="26"/>
      <c r="P1061" s="1"/>
      <c r="Q1061" s="1"/>
      <c r="R1061" s="1"/>
      <c r="S1061" s="1"/>
      <c r="T1061" s="1"/>
      <c r="U1061" s="1"/>
      <c r="V1061" s="38"/>
      <c r="W1061" s="1"/>
      <c r="X1061" s="1"/>
    </row>
    <row r="1062" spans="1:24" ht="14.4">
      <c r="A1062" s="1"/>
      <c r="M1062" s="26"/>
      <c r="N1062" s="26"/>
      <c r="P1062" s="1"/>
      <c r="Q1062" s="1"/>
      <c r="R1062" s="1"/>
      <c r="S1062" s="1"/>
      <c r="T1062" s="1"/>
      <c r="U1062" s="1"/>
      <c r="V1062" s="38"/>
      <c r="W1062" s="1"/>
      <c r="X1062" s="1"/>
    </row>
    <row r="1063" spans="1:24" ht="14.4">
      <c r="A1063" s="1"/>
      <c r="M1063" s="26"/>
      <c r="N1063" s="26"/>
      <c r="P1063" s="1"/>
      <c r="Q1063" s="1"/>
      <c r="R1063" s="1"/>
      <c r="S1063" s="1"/>
      <c r="T1063" s="1"/>
      <c r="U1063" s="1"/>
      <c r="V1063" s="38"/>
      <c r="W1063" s="1"/>
      <c r="X1063" s="1"/>
    </row>
    <row r="1064" spans="1:24" ht="14.4">
      <c r="A1064" s="1"/>
      <c r="M1064" s="26"/>
      <c r="N1064" s="26"/>
      <c r="P1064" s="1"/>
      <c r="Q1064" s="1"/>
      <c r="R1064" s="1"/>
      <c r="S1064" s="1"/>
      <c r="T1064" s="1"/>
      <c r="U1064" s="1"/>
      <c r="V1064" s="38"/>
      <c r="W1064" s="1"/>
      <c r="X1064" s="1"/>
    </row>
    <row r="1065" spans="1:24" ht="14.4">
      <c r="A1065" s="1"/>
      <c r="M1065" s="26"/>
      <c r="N1065" s="26"/>
      <c r="P1065" s="1"/>
      <c r="Q1065" s="1"/>
      <c r="R1065" s="1"/>
      <c r="S1065" s="1"/>
      <c r="T1065" s="1"/>
      <c r="U1065" s="1"/>
      <c r="V1065" s="38"/>
      <c r="W1065" s="1"/>
      <c r="X1065" s="1"/>
    </row>
    <row r="1066" spans="1:24" ht="14.4">
      <c r="A1066" s="1"/>
      <c r="M1066" s="26"/>
      <c r="N1066" s="26"/>
      <c r="P1066" s="1"/>
      <c r="Q1066" s="1"/>
      <c r="R1066" s="1"/>
      <c r="S1066" s="1"/>
      <c r="T1066" s="1"/>
      <c r="U1066" s="1"/>
      <c r="V1066" s="38"/>
      <c r="W1066" s="1"/>
      <c r="X1066" s="1"/>
    </row>
    <row r="1067" spans="1:24" ht="14.4">
      <c r="A1067" s="1"/>
      <c r="M1067" s="26"/>
      <c r="N1067" s="26"/>
      <c r="P1067" s="1"/>
      <c r="Q1067" s="1"/>
      <c r="R1067" s="1"/>
      <c r="S1067" s="1"/>
      <c r="T1067" s="1"/>
      <c r="U1067" s="1"/>
      <c r="V1067" s="38"/>
      <c r="W1067" s="1"/>
      <c r="X1067" s="1"/>
    </row>
    <row r="1068" spans="1:24" ht="14.4">
      <c r="A1068" s="1"/>
      <c r="M1068" s="26"/>
      <c r="N1068" s="26"/>
      <c r="P1068" s="1"/>
      <c r="Q1068" s="1"/>
      <c r="R1068" s="1"/>
      <c r="S1068" s="1"/>
      <c r="T1068" s="1"/>
      <c r="U1068" s="1"/>
      <c r="V1068" s="38"/>
      <c r="W1068" s="1"/>
      <c r="X1068" s="1"/>
    </row>
    <row r="1069" spans="1:24" ht="14.4">
      <c r="A1069" s="1"/>
      <c r="M1069" s="26"/>
      <c r="N1069" s="26"/>
      <c r="P1069" s="1"/>
      <c r="Q1069" s="1"/>
      <c r="R1069" s="1"/>
      <c r="S1069" s="1"/>
      <c r="T1069" s="1"/>
      <c r="U1069" s="1"/>
      <c r="V1069" s="38"/>
      <c r="W1069" s="1"/>
      <c r="X1069" s="1"/>
    </row>
    <row r="1070" spans="1:24" ht="14.4">
      <c r="A1070" s="1"/>
      <c r="M1070" s="26"/>
      <c r="N1070" s="26"/>
      <c r="P1070" s="1"/>
      <c r="Q1070" s="1"/>
      <c r="R1070" s="1"/>
      <c r="S1070" s="1"/>
      <c r="T1070" s="1"/>
      <c r="U1070" s="1"/>
      <c r="V1070" s="38"/>
      <c r="W1070" s="1"/>
      <c r="X1070" s="1"/>
    </row>
    <row r="1071" spans="1:24" ht="14.4">
      <c r="A1071" s="1"/>
      <c r="M1071" s="26"/>
      <c r="N1071" s="26"/>
      <c r="P1071" s="1"/>
      <c r="Q1071" s="1"/>
      <c r="R1071" s="1"/>
      <c r="S1071" s="1"/>
      <c r="T1071" s="1"/>
      <c r="U1071" s="1"/>
      <c r="V1071" s="38"/>
      <c r="W1071" s="1"/>
      <c r="X1071" s="1"/>
    </row>
    <row r="1072" spans="1:24" ht="14.4">
      <c r="A1072" s="1"/>
      <c r="M1072" s="26"/>
      <c r="N1072" s="26"/>
      <c r="P1072" s="1"/>
      <c r="Q1072" s="1"/>
      <c r="R1072" s="1"/>
      <c r="S1072" s="1"/>
      <c r="T1072" s="1"/>
      <c r="U1072" s="1"/>
      <c r="V1072" s="38"/>
      <c r="W1072" s="1"/>
      <c r="X1072" s="1"/>
    </row>
    <row r="1073" spans="1:24" ht="14.4">
      <c r="A1073" s="1"/>
      <c r="M1073" s="26"/>
      <c r="N1073" s="26"/>
      <c r="P1073" s="1"/>
      <c r="Q1073" s="1"/>
      <c r="R1073" s="1"/>
      <c r="S1073" s="1"/>
      <c r="T1073" s="1"/>
      <c r="U1073" s="1"/>
      <c r="V1073" s="38"/>
      <c r="W1073" s="1"/>
      <c r="X1073" s="1"/>
    </row>
    <row r="1074" spans="1:24" ht="14.4">
      <c r="A1074" s="1"/>
      <c r="M1074" s="26"/>
      <c r="N1074" s="26"/>
      <c r="P1074" s="1"/>
      <c r="Q1074" s="1"/>
      <c r="R1074" s="1"/>
      <c r="S1074" s="1"/>
      <c r="T1074" s="1"/>
      <c r="U1074" s="1"/>
      <c r="V1074" s="38"/>
      <c r="W1074" s="1"/>
      <c r="X1074" s="1"/>
    </row>
    <row r="1075" spans="1:24" ht="14.4">
      <c r="A1075" s="1"/>
      <c r="M1075" s="26"/>
      <c r="N1075" s="26"/>
      <c r="P1075" s="1"/>
      <c r="Q1075" s="1"/>
      <c r="R1075" s="1"/>
      <c r="S1075" s="1"/>
      <c r="T1075" s="1"/>
      <c r="U1075" s="1"/>
      <c r="V1075" s="38"/>
      <c r="W1075" s="1"/>
      <c r="X1075" s="1"/>
    </row>
    <row r="1076" spans="1:24" ht="14.4">
      <c r="A1076" s="1"/>
      <c r="M1076" s="26"/>
      <c r="N1076" s="26"/>
      <c r="P1076" s="1"/>
      <c r="Q1076" s="1"/>
      <c r="R1076" s="1"/>
      <c r="S1076" s="1"/>
      <c r="T1076" s="1"/>
      <c r="U1076" s="1"/>
      <c r="V1076" s="38"/>
      <c r="W1076" s="1"/>
      <c r="X1076" s="1"/>
    </row>
    <row r="1077" spans="1:24" ht="14.4">
      <c r="A1077" s="1"/>
      <c r="M1077" s="26"/>
      <c r="N1077" s="26"/>
      <c r="P1077" s="1"/>
      <c r="Q1077" s="1"/>
      <c r="R1077" s="1"/>
      <c r="S1077" s="1"/>
      <c r="T1077" s="1"/>
      <c r="U1077" s="1"/>
      <c r="V1077" s="38"/>
      <c r="W1077" s="1"/>
      <c r="X1077" s="1"/>
    </row>
    <row r="1078" spans="1:24" ht="14.4">
      <c r="A1078" s="1"/>
      <c r="M1078" s="26"/>
      <c r="N1078" s="26"/>
      <c r="P1078" s="1"/>
      <c r="Q1078" s="1"/>
      <c r="R1078" s="1"/>
      <c r="S1078" s="1"/>
      <c r="T1078" s="1"/>
      <c r="U1078" s="1"/>
      <c r="V1078" s="38"/>
      <c r="W1078" s="1"/>
      <c r="X1078" s="1"/>
    </row>
    <row r="1079" spans="1:24" ht="14.4">
      <c r="A1079" s="1"/>
      <c r="M1079" s="26"/>
      <c r="N1079" s="26"/>
      <c r="P1079" s="1"/>
      <c r="Q1079" s="1"/>
      <c r="R1079" s="1"/>
      <c r="S1079" s="1"/>
      <c r="T1079" s="1"/>
      <c r="U1079" s="1"/>
      <c r="V1079" s="38"/>
      <c r="W1079" s="1"/>
      <c r="X1079" s="1"/>
    </row>
    <row r="1080" spans="1:24" ht="14.4">
      <c r="A1080" s="1"/>
      <c r="M1080" s="26"/>
      <c r="N1080" s="26"/>
      <c r="P1080" s="1"/>
      <c r="Q1080" s="1"/>
      <c r="R1080" s="1"/>
      <c r="S1080" s="1"/>
      <c r="T1080" s="1"/>
      <c r="U1080" s="1"/>
      <c r="V1080" s="38"/>
      <c r="W1080" s="1"/>
      <c r="X1080" s="1"/>
    </row>
    <row r="1081" spans="1:24" ht="14.4">
      <c r="A1081" s="1"/>
      <c r="M1081" s="26"/>
      <c r="N1081" s="26"/>
      <c r="P1081" s="1"/>
      <c r="Q1081" s="1"/>
      <c r="R1081" s="1"/>
      <c r="S1081" s="1"/>
      <c r="T1081" s="1"/>
      <c r="U1081" s="1"/>
      <c r="V1081" s="38"/>
      <c r="W1081" s="1"/>
      <c r="X1081" s="1"/>
    </row>
    <row r="1082" spans="1:24" ht="14.4">
      <c r="A1082" s="1"/>
      <c r="M1082" s="26"/>
      <c r="N1082" s="26"/>
      <c r="P1082" s="1"/>
      <c r="Q1082" s="1"/>
      <c r="R1082" s="1"/>
      <c r="S1082" s="1"/>
      <c r="T1082" s="1"/>
      <c r="U1082" s="1"/>
      <c r="V1082" s="38"/>
      <c r="W1082" s="1"/>
      <c r="X1082" s="1"/>
    </row>
    <row r="1083" spans="1:24" ht="14.4">
      <c r="A1083" s="1"/>
      <c r="M1083" s="26"/>
      <c r="N1083" s="26"/>
      <c r="P1083" s="1"/>
      <c r="Q1083" s="1"/>
      <c r="R1083" s="1"/>
      <c r="S1083" s="1"/>
      <c r="T1083" s="1"/>
      <c r="U1083" s="1"/>
      <c r="V1083" s="38"/>
      <c r="W1083" s="1"/>
      <c r="X1083" s="1"/>
    </row>
    <row r="1084" spans="1:24" ht="14.4">
      <c r="A1084" s="1"/>
      <c r="M1084" s="26"/>
      <c r="N1084" s="26"/>
      <c r="P1084" s="1"/>
      <c r="Q1084" s="1"/>
      <c r="R1084" s="1"/>
      <c r="S1084" s="1"/>
      <c r="T1084" s="1"/>
      <c r="U1084" s="1"/>
      <c r="V1084" s="38"/>
      <c r="W1084" s="1"/>
      <c r="X1084" s="1"/>
    </row>
    <row r="1085" spans="1:24" ht="14.4">
      <c r="A1085" s="1"/>
      <c r="M1085" s="26"/>
      <c r="N1085" s="26"/>
      <c r="P1085" s="1"/>
      <c r="Q1085" s="1"/>
      <c r="R1085" s="1"/>
      <c r="S1085" s="1"/>
      <c r="T1085" s="1"/>
      <c r="U1085" s="1"/>
      <c r="V1085" s="38"/>
      <c r="W1085" s="1"/>
      <c r="X1085" s="1"/>
    </row>
    <row r="1086" spans="1:24" ht="14.4">
      <c r="A1086" s="1"/>
      <c r="M1086" s="26"/>
      <c r="N1086" s="26"/>
      <c r="P1086" s="1"/>
      <c r="Q1086" s="1"/>
      <c r="R1086" s="1"/>
      <c r="S1086" s="1"/>
      <c r="T1086" s="1"/>
      <c r="U1086" s="1"/>
      <c r="V1086" s="38"/>
      <c r="W1086" s="1"/>
      <c r="X1086" s="1"/>
    </row>
    <row r="1087" spans="1:24" ht="14.4">
      <c r="A1087" s="1"/>
      <c r="M1087" s="26"/>
      <c r="N1087" s="26"/>
      <c r="P1087" s="1"/>
      <c r="Q1087" s="1"/>
      <c r="R1087" s="1"/>
      <c r="S1087" s="1"/>
      <c r="T1087" s="1"/>
      <c r="U1087" s="1"/>
      <c r="V1087" s="38"/>
      <c r="W1087" s="1"/>
      <c r="X1087" s="1"/>
    </row>
    <row r="1088" spans="1:24" ht="14.4">
      <c r="A1088" s="1"/>
      <c r="M1088" s="26"/>
      <c r="N1088" s="26"/>
      <c r="P1088" s="1"/>
      <c r="Q1088" s="1"/>
      <c r="R1088" s="1"/>
      <c r="S1088" s="1"/>
      <c r="T1088" s="1"/>
      <c r="U1088" s="1"/>
      <c r="V1088" s="38"/>
      <c r="W1088" s="1"/>
      <c r="X1088" s="1"/>
    </row>
    <row r="1089" spans="1:24" ht="14.4">
      <c r="A1089" s="1"/>
      <c r="M1089" s="26"/>
      <c r="N1089" s="26"/>
      <c r="P1089" s="1"/>
      <c r="Q1089" s="1"/>
      <c r="R1089" s="1"/>
      <c r="S1089" s="1"/>
      <c r="T1089" s="1"/>
      <c r="U1089" s="1"/>
      <c r="V1089" s="38"/>
      <c r="W1089" s="1"/>
      <c r="X1089" s="1"/>
    </row>
    <row r="1090" spans="1:24" ht="14.4">
      <c r="A1090" s="1"/>
      <c r="M1090" s="26"/>
      <c r="N1090" s="26"/>
      <c r="P1090" s="1"/>
      <c r="Q1090" s="1"/>
      <c r="R1090" s="1"/>
      <c r="S1090" s="1"/>
      <c r="T1090" s="1"/>
      <c r="U1090" s="1"/>
      <c r="V1090" s="38"/>
      <c r="W1090" s="1"/>
      <c r="X1090" s="1"/>
    </row>
    <row r="1091" spans="1:24" ht="14.4">
      <c r="A1091" s="1"/>
      <c r="M1091" s="26"/>
      <c r="N1091" s="26"/>
      <c r="P1091" s="1"/>
      <c r="Q1091" s="1"/>
      <c r="R1091" s="1"/>
      <c r="S1091" s="1"/>
      <c r="T1091" s="1"/>
      <c r="U1091" s="1"/>
      <c r="V1091" s="38"/>
      <c r="W1091" s="1"/>
      <c r="X1091" s="1"/>
    </row>
    <row r="1092" spans="1:24" ht="14.4">
      <c r="A1092" s="1"/>
      <c r="M1092" s="26"/>
      <c r="N1092" s="26"/>
      <c r="P1092" s="1"/>
      <c r="Q1092" s="1"/>
      <c r="R1092" s="1"/>
      <c r="S1092" s="1"/>
      <c r="T1092" s="1"/>
      <c r="U1092" s="1"/>
      <c r="V1092" s="38"/>
      <c r="W1092" s="1"/>
      <c r="X1092" s="1"/>
    </row>
    <row r="1093" spans="1:24" ht="14.4">
      <c r="A1093" s="1"/>
      <c r="M1093" s="26"/>
      <c r="N1093" s="26"/>
      <c r="P1093" s="1"/>
      <c r="Q1093" s="1"/>
      <c r="R1093" s="1"/>
      <c r="S1093" s="1"/>
      <c r="T1093" s="1"/>
      <c r="U1093" s="1"/>
      <c r="V1093" s="38"/>
      <c r="W1093" s="1"/>
      <c r="X1093" s="1"/>
    </row>
    <row r="1094" spans="1:24" ht="14.4">
      <c r="A1094" s="1"/>
      <c r="M1094" s="26"/>
      <c r="N1094" s="26"/>
      <c r="P1094" s="1"/>
      <c r="Q1094" s="1"/>
      <c r="R1094" s="1"/>
      <c r="S1094" s="1"/>
      <c r="T1094" s="1"/>
      <c r="U1094" s="1"/>
      <c r="V1094" s="38"/>
      <c r="W1094" s="1"/>
      <c r="X1094" s="1"/>
    </row>
    <row r="1095" spans="1:24" ht="14.4">
      <c r="A1095" s="1"/>
      <c r="M1095" s="26"/>
      <c r="N1095" s="26"/>
      <c r="P1095" s="1"/>
      <c r="Q1095" s="1"/>
      <c r="R1095" s="1"/>
      <c r="S1095" s="1"/>
      <c r="T1095" s="1"/>
      <c r="U1095" s="1"/>
      <c r="V1095" s="38"/>
      <c r="W1095" s="1"/>
      <c r="X1095" s="1"/>
    </row>
    <row r="1096" spans="1:24" ht="14.4">
      <c r="A1096" s="1"/>
      <c r="M1096" s="26"/>
      <c r="N1096" s="26"/>
      <c r="P1096" s="1"/>
      <c r="Q1096" s="1"/>
      <c r="R1096" s="1"/>
      <c r="S1096" s="1"/>
      <c r="T1096" s="1"/>
      <c r="U1096" s="1"/>
      <c r="V1096" s="38"/>
      <c r="W1096" s="1"/>
      <c r="X1096" s="1"/>
    </row>
    <row r="1097" spans="1:24" ht="14.4">
      <c r="A1097" s="1"/>
      <c r="M1097" s="26"/>
      <c r="N1097" s="26"/>
      <c r="P1097" s="1"/>
      <c r="Q1097" s="1"/>
      <c r="R1097" s="1"/>
      <c r="S1097" s="1"/>
      <c r="T1097" s="1"/>
      <c r="U1097" s="1"/>
      <c r="V1097" s="38"/>
      <c r="W1097" s="1"/>
      <c r="X1097" s="1"/>
    </row>
    <row r="1098" spans="1:24" ht="14.4">
      <c r="A1098" s="1"/>
      <c r="M1098" s="26"/>
      <c r="N1098" s="26"/>
      <c r="P1098" s="1"/>
      <c r="Q1098" s="1"/>
      <c r="R1098" s="1"/>
      <c r="S1098" s="1"/>
      <c r="T1098" s="1"/>
      <c r="U1098" s="1"/>
      <c r="V1098" s="38"/>
      <c r="W1098" s="1"/>
      <c r="X1098" s="1"/>
    </row>
    <row r="1099" spans="1:24" ht="14.4">
      <c r="A1099" s="1"/>
      <c r="M1099" s="26"/>
      <c r="N1099" s="26"/>
      <c r="P1099" s="1"/>
      <c r="Q1099" s="1"/>
      <c r="R1099" s="1"/>
      <c r="S1099" s="1"/>
      <c r="T1099" s="1"/>
      <c r="U1099" s="1"/>
      <c r="V1099" s="38"/>
      <c r="W1099" s="1"/>
      <c r="X1099" s="1"/>
    </row>
    <row r="1100" spans="1:24" ht="14.4">
      <c r="A1100" s="1"/>
      <c r="M1100" s="26"/>
      <c r="N1100" s="26"/>
      <c r="P1100" s="1"/>
      <c r="Q1100" s="1"/>
      <c r="R1100" s="1"/>
      <c r="S1100" s="1"/>
      <c r="T1100" s="1"/>
      <c r="U1100" s="1"/>
      <c r="V1100" s="38"/>
      <c r="W1100" s="1"/>
      <c r="X1100" s="1"/>
    </row>
    <row r="1101" spans="1:24" ht="14.4">
      <c r="A1101" s="1"/>
      <c r="M1101" s="26"/>
      <c r="N1101" s="26"/>
      <c r="P1101" s="1"/>
      <c r="Q1101" s="1"/>
      <c r="R1101" s="1"/>
      <c r="S1101" s="1"/>
      <c r="T1101" s="1"/>
      <c r="U1101" s="1"/>
      <c r="V1101" s="38"/>
      <c r="W1101" s="1"/>
      <c r="X1101" s="1"/>
    </row>
    <row r="1102" spans="1:24" ht="14.4">
      <c r="A1102" s="1"/>
      <c r="M1102" s="26"/>
      <c r="N1102" s="26"/>
      <c r="P1102" s="1"/>
      <c r="Q1102" s="1"/>
      <c r="R1102" s="1"/>
      <c r="S1102" s="1"/>
      <c r="T1102" s="1"/>
      <c r="U1102" s="1"/>
      <c r="V1102" s="38"/>
      <c r="W1102" s="1"/>
      <c r="X1102" s="1"/>
    </row>
    <row r="1103" spans="1:24" ht="14.4">
      <c r="A1103" s="1"/>
      <c r="M1103" s="26"/>
      <c r="N1103" s="26"/>
      <c r="P1103" s="1"/>
      <c r="Q1103" s="1"/>
      <c r="R1103" s="1"/>
      <c r="S1103" s="1"/>
      <c r="T1103" s="1"/>
      <c r="U1103" s="1"/>
      <c r="V1103" s="38"/>
      <c r="W1103" s="1"/>
      <c r="X1103" s="1"/>
    </row>
    <row r="1104" spans="1:24" ht="14.4">
      <c r="A1104" s="1"/>
      <c r="M1104" s="26"/>
      <c r="N1104" s="26"/>
      <c r="P1104" s="1"/>
      <c r="Q1104" s="1"/>
      <c r="R1104" s="1"/>
      <c r="S1104" s="1"/>
      <c r="T1104" s="1"/>
      <c r="U1104" s="1"/>
      <c r="V1104" s="38"/>
      <c r="W1104" s="1"/>
      <c r="X1104" s="1"/>
    </row>
    <row r="1105" spans="1:24" ht="14.4">
      <c r="A1105" s="1"/>
      <c r="M1105" s="26"/>
      <c r="N1105" s="26"/>
      <c r="P1105" s="1"/>
      <c r="Q1105" s="1"/>
      <c r="R1105" s="1"/>
      <c r="S1105" s="1"/>
      <c r="T1105" s="1"/>
      <c r="U1105" s="1"/>
      <c r="V1105" s="38"/>
      <c r="W1105" s="1"/>
      <c r="X1105" s="1"/>
    </row>
    <row r="1106" spans="1:24" ht="14.4">
      <c r="A1106" s="1"/>
      <c r="M1106" s="26"/>
      <c r="N1106" s="26"/>
      <c r="P1106" s="1"/>
      <c r="Q1106" s="1"/>
      <c r="R1106" s="1"/>
      <c r="S1106" s="1"/>
      <c r="T1106" s="1"/>
      <c r="U1106" s="1"/>
      <c r="V1106" s="38"/>
      <c r="W1106" s="1"/>
      <c r="X1106" s="1"/>
    </row>
    <row r="1107" spans="1:24" ht="14.4">
      <c r="A1107" s="1"/>
      <c r="M1107" s="26"/>
      <c r="N1107" s="26"/>
      <c r="P1107" s="1"/>
      <c r="Q1107" s="1"/>
      <c r="R1107" s="1"/>
      <c r="S1107" s="1"/>
      <c r="T1107" s="1"/>
      <c r="U1107" s="1"/>
      <c r="V1107" s="38"/>
      <c r="W1107" s="1"/>
      <c r="X1107" s="1"/>
    </row>
    <row r="1108" spans="1:24" ht="14.4">
      <c r="A1108" s="1"/>
      <c r="M1108" s="26"/>
      <c r="N1108" s="26"/>
      <c r="P1108" s="1"/>
      <c r="Q1108" s="1"/>
      <c r="R1108" s="1"/>
      <c r="S1108" s="1"/>
      <c r="T1108" s="1"/>
      <c r="U1108" s="1"/>
      <c r="V1108" s="38"/>
      <c r="W1108" s="1"/>
      <c r="X1108" s="1"/>
    </row>
    <row r="1109" spans="1:24" ht="14.4">
      <c r="A1109" s="1"/>
      <c r="M1109" s="26"/>
      <c r="N1109" s="26"/>
      <c r="P1109" s="1"/>
      <c r="Q1109" s="1"/>
      <c r="R1109" s="1"/>
      <c r="S1109" s="1"/>
      <c r="T1109" s="1"/>
      <c r="U1109" s="1"/>
      <c r="V1109" s="38"/>
      <c r="W1109" s="1"/>
      <c r="X1109" s="1"/>
    </row>
    <row r="1110" spans="1:24" ht="14.4">
      <c r="A1110" s="1"/>
      <c r="M1110" s="26"/>
      <c r="N1110" s="26"/>
      <c r="P1110" s="1"/>
      <c r="Q1110" s="1"/>
      <c r="R1110" s="1"/>
      <c r="S1110" s="1"/>
      <c r="T1110" s="1"/>
      <c r="U1110" s="1"/>
      <c r="V1110" s="38"/>
      <c r="W1110" s="1"/>
      <c r="X1110" s="1"/>
    </row>
    <row r="1111" spans="1:24" ht="14.4">
      <c r="A1111" s="1"/>
      <c r="M1111" s="26"/>
      <c r="N1111" s="26"/>
      <c r="P1111" s="1"/>
      <c r="Q1111" s="1"/>
      <c r="R1111" s="1"/>
      <c r="S1111" s="1"/>
      <c r="T1111" s="1"/>
      <c r="U1111" s="1"/>
      <c r="V1111" s="38"/>
      <c r="W1111" s="1"/>
      <c r="X1111" s="1"/>
    </row>
    <row r="1112" spans="1:24" ht="14.4">
      <c r="A1112" s="1"/>
      <c r="M1112" s="26"/>
      <c r="N1112" s="26"/>
      <c r="P1112" s="1"/>
      <c r="Q1112" s="1"/>
      <c r="R1112" s="1"/>
      <c r="S1112" s="1"/>
      <c r="T1112" s="1"/>
      <c r="U1112" s="1"/>
      <c r="V1112" s="38"/>
      <c r="W1112" s="1"/>
      <c r="X1112" s="1"/>
    </row>
    <row r="1113" spans="1:24" ht="14.4">
      <c r="A1113" s="1"/>
      <c r="M1113" s="26"/>
      <c r="N1113" s="26"/>
      <c r="P1113" s="1"/>
      <c r="Q1113" s="1"/>
      <c r="R1113" s="1"/>
      <c r="S1113" s="1"/>
      <c r="T1113" s="1"/>
      <c r="U1113" s="1"/>
      <c r="V1113" s="38"/>
      <c r="W1113" s="1"/>
      <c r="X1113" s="1"/>
    </row>
    <row r="1114" spans="1:24" ht="14.4">
      <c r="A1114" s="1"/>
      <c r="M1114" s="26"/>
      <c r="N1114" s="26"/>
      <c r="P1114" s="1"/>
      <c r="Q1114" s="1"/>
      <c r="R1114" s="1"/>
      <c r="S1114" s="1"/>
      <c r="T1114" s="1"/>
      <c r="U1114" s="1"/>
      <c r="V1114" s="38"/>
      <c r="W1114" s="1"/>
      <c r="X1114" s="1"/>
    </row>
    <row r="1115" spans="1:24" ht="14.4">
      <c r="A1115" s="1"/>
      <c r="M1115" s="26"/>
      <c r="N1115" s="26"/>
      <c r="P1115" s="1"/>
      <c r="Q1115" s="1"/>
      <c r="R1115" s="1"/>
      <c r="S1115" s="1"/>
      <c r="T1115" s="1"/>
      <c r="U1115" s="1"/>
      <c r="V1115" s="38"/>
      <c r="W1115" s="1"/>
      <c r="X1115" s="1"/>
    </row>
    <row r="1116" spans="1:24" ht="14.4">
      <c r="A1116" s="1"/>
      <c r="M1116" s="26"/>
      <c r="N1116" s="26"/>
      <c r="P1116" s="1"/>
      <c r="Q1116" s="1"/>
      <c r="R1116" s="1"/>
      <c r="S1116" s="1"/>
      <c r="T1116" s="1"/>
      <c r="U1116" s="1"/>
      <c r="V1116" s="38"/>
      <c r="W1116" s="1"/>
      <c r="X1116" s="1"/>
    </row>
    <row r="1117" spans="1:24" ht="14.4">
      <c r="A1117" s="1"/>
      <c r="M1117" s="26"/>
      <c r="N1117" s="26"/>
      <c r="P1117" s="1"/>
      <c r="Q1117" s="1"/>
      <c r="R1117" s="1"/>
      <c r="S1117" s="1"/>
      <c r="T1117" s="1"/>
      <c r="U1117" s="1"/>
      <c r="V1117" s="38"/>
      <c r="W1117" s="1"/>
      <c r="X1117" s="1"/>
    </row>
    <row r="1118" spans="1:24" ht="14.4">
      <c r="A1118" s="1"/>
      <c r="M1118" s="26"/>
      <c r="N1118" s="26"/>
      <c r="P1118" s="1"/>
      <c r="Q1118" s="1"/>
      <c r="R1118" s="1"/>
      <c r="S1118" s="1"/>
      <c r="T1118" s="1"/>
      <c r="U1118" s="1"/>
      <c r="V1118" s="38"/>
      <c r="W1118" s="1"/>
      <c r="X1118" s="1"/>
    </row>
    <row r="1119" spans="1:24" ht="14.4">
      <c r="A1119" s="1"/>
      <c r="M1119" s="26"/>
      <c r="N1119" s="26"/>
      <c r="P1119" s="1"/>
      <c r="Q1119" s="1"/>
      <c r="R1119" s="1"/>
      <c r="S1119" s="1"/>
      <c r="T1119" s="1"/>
      <c r="U1119" s="1"/>
      <c r="V1119" s="38"/>
      <c r="W1119" s="1"/>
      <c r="X1119" s="1"/>
    </row>
    <row r="1120" spans="1:24" ht="14.4">
      <c r="A1120" s="1"/>
      <c r="M1120" s="26"/>
      <c r="N1120" s="26"/>
      <c r="P1120" s="1"/>
      <c r="Q1120" s="1"/>
      <c r="R1120" s="1"/>
      <c r="S1120" s="1"/>
      <c r="T1120" s="1"/>
      <c r="U1120" s="1"/>
      <c r="V1120" s="38"/>
      <c r="W1120" s="1"/>
      <c r="X1120" s="1"/>
    </row>
    <row r="1121" spans="1:24" ht="14.4">
      <c r="A1121" s="1"/>
      <c r="M1121" s="26"/>
      <c r="N1121" s="26"/>
      <c r="P1121" s="1"/>
      <c r="Q1121" s="1"/>
      <c r="R1121" s="1"/>
      <c r="S1121" s="1"/>
      <c r="T1121" s="1"/>
      <c r="U1121" s="1"/>
      <c r="V1121" s="38"/>
      <c r="W1121" s="1"/>
      <c r="X1121" s="1"/>
    </row>
    <row r="1122" spans="1:24" ht="14.4">
      <c r="A1122" s="1"/>
      <c r="M1122" s="26"/>
      <c r="N1122" s="26"/>
      <c r="P1122" s="1"/>
      <c r="Q1122" s="1"/>
      <c r="R1122" s="1"/>
      <c r="S1122" s="1"/>
      <c r="T1122" s="1"/>
      <c r="U1122" s="1"/>
      <c r="V1122" s="38"/>
      <c r="W1122" s="1"/>
      <c r="X1122" s="1"/>
    </row>
    <row r="1123" spans="1:24" ht="14.4">
      <c r="A1123" s="1"/>
      <c r="M1123" s="26"/>
      <c r="N1123" s="26"/>
      <c r="P1123" s="1"/>
      <c r="Q1123" s="1"/>
      <c r="R1123" s="1"/>
      <c r="S1123" s="1"/>
      <c r="T1123" s="1"/>
      <c r="U1123" s="1"/>
      <c r="V1123" s="38"/>
      <c r="W1123" s="1"/>
      <c r="X1123" s="1"/>
    </row>
    <row r="1124" spans="1:24" ht="14.4">
      <c r="A1124" s="1"/>
      <c r="M1124" s="26"/>
      <c r="N1124" s="26"/>
      <c r="P1124" s="1"/>
      <c r="Q1124" s="1"/>
      <c r="R1124" s="1"/>
      <c r="S1124" s="1"/>
      <c r="T1124" s="1"/>
      <c r="U1124" s="1"/>
      <c r="V1124" s="38"/>
      <c r="W1124" s="1"/>
      <c r="X1124" s="1"/>
    </row>
    <row r="1125" spans="1:24" ht="14.4">
      <c r="A1125" s="1"/>
      <c r="M1125" s="26"/>
      <c r="N1125" s="26"/>
      <c r="P1125" s="1"/>
      <c r="Q1125" s="1"/>
      <c r="R1125" s="1"/>
      <c r="S1125" s="1"/>
      <c r="T1125" s="1"/>
      <c r="U1125" s="1"/>
      <c r="V1125" s="38"/>
      <c r="W1125" s="1"/>
      <c r="X1125" s="1"/>
    </row>
    <row r="1126" spans="1:24" ht="14.4">
      <c r="A1126" s="1"/>
      <c r="M1126" s="26"/>
      <c r="N1126" s="26"/>
      <c r="P1126" s="1"/>
      <c r="Q1126" s="1"/>
      <c r="R1126" s="1"/>
      <c r="S1126" s="1"/>
      <c r="T1126" s="1"/>
      <c r="U1126" s="1"/>
      <c r="V1126" s="38"/>
      <c r="W1126" s="1"/>
      <c r="X1126" s="1"/>
    </row>
    <row r="1127" spans="1:24" ht="14.4">
      <c r="A1127" s="1"/>
      <c r="M1127" s="26"/>
      <c r="N1127" s="26"/>
      <c r="P1127" s="1"/>
      <c r="Q1127" s="1"/>
      <c r="R1127" s="1"/>
      <c r="S1127" s="1"/>
      <c r="T1127" s="1"/>
      <c r="U1127" s="1"/>
      <c r="V1127" s="38"/>
      <c r="W1127" s="1"/>
      <c r="X1127" s="1"/>
    </row>
    <row r="1128" spans="1:24" ht="14.4">
      <c r="A1128" s="1"/>
      <c r="M1128" s="26"/>
      <c r="N1128" s="26"/>
      <c r="P1128" s="1"/>
      <c r="Q1128" s="1"/>
      <c r="R1128" s="1"/>
      <c r="S1128" s="1"/>
      <c r="T1128" s="1"/>
      <c r="U1128" s="1"/>
      <c r="V1128" s="38"/>
      <c r="W1128" s="1"/>
      <c r="X1128" s="1"/>
    </row>
    <row r="1129" spans="1:24" ht="14.4">
      <c r="A1129" s="1"/>
      <c r="M1129" s="26"/>
      <c r="N1129" s="26"/>
      <c r="P1129" s="1"/>
      <c r="Q1129" s="1"/>
      <c r="R1129" s="1"/>
      <c r="S1129" s="1"/>
      <c r="T1129" s="1"/>
      <c r="U1129" s="1"/>
      <c r="V1129" s="38"/>
      <c r="W1129" s="1"/>
      <c r="X1129" s="1"/>
    </row>
    <row r="1130" spans="1:24" ht="14.4">
      <c r="A1130" s="1"/>
      <c r="M1130" s="26"/>
      <c r="N1130" s="26"/>
      <c r="P1130" s="1"/>
      <c r="Q1130" s="1"/>
      <c r="R1130" s="1"/>
      <c r="S1130" s="1"/>
      <c r="T1130" s="1"/>
      <c r="U1130" s="1"/>
      <c r="V1130" s="38"/>
      <c r="W1130" s="1"/>
      <c r="X1130" s="1"/>
    </row>
    <row r="1131" spans="1:24" ht="14.4">
      <c r="A1131" s="1"/>
      <c r="M1131" s="26"/>
      <c r="N1131" s="26"/>
      <c r="P1131" s="1"/>
      <c r="Q1131" s="1"/>
      <c r="R1131" s="1"/>
      <c r="S1131" s="1"/>
      <c r="T1131" s="1"/>
      <c r="U1131" s="1"/>
      <c r="V1131" s="38"/>
      <c r="W1131" s="1"/>
      <c r="X1131" s="1"/>
    </row>
    <row r="1132" spans="1:24" ht="14.4">
      <c r="A1132" s="1"/>
      <c r="M1132" s="26"/>
      <c r="N1132" s="26"/>
      <c r="P1132" s="1"/>
      <c r="Q1132" s="1"/>
      <c r="R1132" s="1"/>
      <c r="S1132" s="1"/>
      <c r="T1132" s="1"/>
      <c r="U1132" s="1"/>
      <c r="V1132" s="38"/>
      <c r="W1132" s="1"/>
      <c r="X1132" s="1"/>
    </row>
    <row r="1133" spans="1:24" ht="14.4">
      <c r="A1133" s="1"/>
      <c r="M1133" s="26"/>
      <c r="N1133" s="26"/>
      <c r="P1133" s="1"/>
      <c r="Q1133" s="1"/>
      <c r="R1133" s="1"/>
      <c r="S1133" s="1"/>
      <c r="T1133" s="1"/>
      <c r="U1133" s="1"/>
      <c r="V1133" s="38"/>
      <c r="W1133" s="1"/>
      <c r="X1133" s="1"/>
    </row>
    <row r="1134" spans="1:24" ht="14.4">
      <c r="A1134" s="1"/>
      <c r="M1134" s="26"/>
      <c r="N1134" s="26"/>
      <c r="P1134" s="1"/>
      <c r="Q1134" s="1"/>
      <c r="R1134" s="1"/>
      <c r="S1134" s="1"/>
      <c r="T1134" s="1"/>
      <c r="U1134" s="1"/>
      <c r="V1134" s="38"/>
      <c r="W1134" s="1"/>
      <c r="X1134" s="1"/>
    </row>
    <row r="1135" spans="1:24" ht="14.4">
      <c r="A1135" s="1"/>
      <c r="M1135" s="26"/>
      <c r="N1135" s="26"/>
      <c r="P1135" s="1"/>
      <c r="Q1135" s="1"/>
      <c r="R1135" s="1"/>
      <c r="S1135" s="1"/>
      <c r="T1135" s="1"/>
      <c r="U1135" s="1"/>
      <c r="V1135" s="38"/>
      <c r="W1135" s="1"/>
      <c r="X1135" s="1"/>
    </row>
    <row r="1136" spans="1:24" ht="14.4">
      <c r="A1136" s="1"/>
      <c r="M1136" s="26"/>
      <c r="N1136" s="26"/>
      <c r="P1136" s="1"/>
      <c r="Q1136" s="1"/>
      <c r="R1136" s="1"/>
      <c r="S1136" s="1"/>
      <c r="T1136" s="1"/>
      <c r="U1136" s="1"/>
      <c r="V1136" s="38"/>
      <c r="W1136" s="1"/>
      <c r="X1136" s="1"/>
    </row>
    <row r="1137" spans="1:24" ht="14.4">
      <c r="A1137" s="1"/>
      <c r="M1137" s="26"/>
      <c r="N1137" s="26"/>
      <c r="P1137" s="1"/>
      <c r="Q1137" s="1"/>
      <c r="R1137" s="1"/>
      <c r="S1137" s="1"/>
      <c r="T1137" s="1"/>
      <c r="U1137" s="1"/>
      <c r="V1137" s="38"/>
      <c r="W1137" s="1"/>
      <c r="X1137" s="1"/>
    </row>
    <row r="1138" spans="1:24" ht="14.4">
      <c r="A1138" s="1"/>
      <c r="M1138" s="26"/>
      <c r="N1138" s="26"/>
      <c r="P1138" s="1"/>
      <c r="Q1138" s="1"/>
      <c r="R1138" s="1"/>
      <c r="S1138" s="1"/>
      <c r="T1138" s="1"/>
      <c r="U1138" s="1"/>
      <c r="V1138" s="38"/>
      <c r="W1138" s="1"/>
      <c r="X1138" s="1"/>
    </row>
    <row r="1139" spans="1:24" ht="14.4">
      <c r="A1139" s="1"/>
      <c r="M1139" s="26"/>
      <c r="N1139" s="26"/>
      <c r="P1139" s="1"/>
      <c r="Q1139" s="1"/>
      <c r="R1139" s="1"/>
      <c r="S1139" s="1"/>
      <c r="T1139" s="1"/>
      <c r="U1139" s="1"/>
      <c r="V1139" s="38"/>
      <c r="W1139" s="1"/>
      <c r="X1139" s="1"/>
    </row>
    <row r="1140" spans="1:24" ht="14.4">
      <c r="A1140" s="1"/>
      <c r="M1140" s="26"/>
      <c r="N1140" s="26"/>
      <c r="P1140" s="1"/>
      <c r="Q1140" s="1"/>
      <c r="R1140" s="1"/>
      <c r="S1140" s="1"/>
      <c r="T1140" s="1"/>
      <c r="U1140" s="1"/>
      <c r="V1140" s="38"/>
      <c r="W1140" s="1"/>
      <c r="X1140" s="1"/>
    </row>
    <row r="1141" spans="1:24" ht="14.4">
      <c r="A1141" s="1"/>
      <c r="M1141" s="26"/>
      <c r="N1141" s="26"/>
      <c r="P1141" s="1"/>
      <c r="Q1141" s="1"/>
      <c r="R1141" s="1"/>
      <c r="S1141" s="1"/>
      <c r="T1141" s="1"/>
      <c r="U1141" s="1"/>
      <c r="V1141" s="38"/>
      <c r="W1141" s="1"/>
      <c r="X1141" s="1"/>
    </row>
    <row r="1142" spans="1:24" ht="14.4">
      <c r="A1142" s="1"/>
      <c r="M1142" s="26"/>
      <c r="N1142" s="26"/>
      <c r="P1142" s="1"/>
      <c r="Q1142" s="1"/>
      <c r="R1142" s="1"/>
      <c r="S1142" s="1"/>
      <c r="T1142" s="1"/>
      <c r="U1142" s="1"/>
      <c r="V1142" s="38"/>
      <c r="W1142" s="1"/>
      <c r="X1142" s="1"/>
    </row>
    <row r="1143" spans="1:24" ht="14.4">
      <c r="A1143" s="1"/>
      <c r="M1143" s="26"/>
      <c r="N1143" s="26"/>
      <c r="P1143" s="1"/>
      <c r="Q1143" s="1"/>
      <c r="R1143" s="1"/>
      <c r="S1143" s="1"/>
      <c r="T1143" s="1"/>
      <c r="U1143" s="1"/>
      <c r="V1143" s="38"/>
      <c r="W1143" s="1"/>
      <c r="X1143" s="1"/>
    </row>
    <row r="1144" spans="1:24" ht="14.4">
      <c r="A1144" s="1"/>
      <c r="M1144" s="26"/>
      <c r="N1144" s="26"/>
      <c r="P1144" s="1"/>
      <c r="Q1144" s="1"/>
      <c r="R1144" s="1"/>
      <c r="S1144" s="1"/>
      <c r="T1144" s="1"/>
      <c r="U1144" s="1"/>
      <c r="V1144" s="38"/>
      <c r="W1144" s="1"/>
      <c r="X1144" s="1"/>
    </row>
    <row r="1145" spans="1:24" ht="14.4">
      <c r="A1145" s="1"/>
      <c r="M1145" s="26"/>
      <c r="N1145" s="26"/>
      <c r="P1145" s="1"/>
      <c r="Q1145" s="1"/>
      <c r="R1145" s="1"/>
      <c r="S1145" s="1"/>
      <c r="T1145" s="1"/>
      <c r="U1145" s="1"/>
      <c r="V1145" s="38"/>
      <c r="W1145" s="1"/>
      <c r="X1145" s="1"/>
    </row>
    <row r="1146" spans="1:24" ht="14.4">
      <c r="A1146" s="1"/>
      <c r="M1146" s="26"/>
      <c r="N1146" s="26"/>
      <c r="P1146" s="1"/>
      <c r="Q1146" s="1"/>
      <c r="R1146" s="1"/>
      <c r="S1146" s="1"/>
      <c r="T1146" s="1"/>
      <c r="U1146" s="1"/>
      <c r="V1146" s="38"/>
      <c r="W1146" s="1"/>
      <c r="X1146" s="1"/>
    </row>
    <row r="1147" spans="1:24" ht="14.4">
      <c r="A1147" s="1"/>
      <c r="M1147" s="26"/>
      <c r="N1147" s="26"/>
      <c r="P1147" s="1"/>
      <c r="Q1147" s="1"/>
      <c r="R1147" s="1"/>
      <c r="S1147" s="1"/>
      <c r="T1147" s="1"/>
      <c r="U1147" s="1"/>
      <c r="V1147" s="38"/>
      <c r="W1147" s="1"/>
      <c r="X1147" s="1"/>
    </row>
    <row r="1148" spans="1:24" ht="14.4">
      <c r="A1148" s="1"/>
      <c r="M1148" s="26"/>
      <c r="N1148" s="26"/>
      <c r="P1148" s="1"/>
      <c r="Q1148" s="1"/>
      <c r="R1148" s="1"/>
      <c r="S1148" s="1"/>
      <c r="T1148" s="1"/>
      <c r="U1148" s="1"/>
      <c r="V1148" s="38"/>
      <c r="W1148" s="1"/>
      <c r="X1148" s="1"/>
    </row>
    <row r="1149" spans="1:24" ht="14.4">
      <c r="A1149" s="1"/>
      <c r="M1149" s="26"/>
      <c r="N1149" s="26"/>
      <c r="P1149" s="1"/>
      <c r="Q1149" s="1"/>
      <c r="R1149" s="1"/>
      <c r="S1149" s="1"/>
      <c r="T1149" s="1"/>
      <c r="U1149" s="1"/>
      <c r="V1149" s="38"/>
      <c r="W1149" s="1"/>
      <c r="X1149" s="1"/>
    </row>
    <row r="1150" spans="1:24" ht="14.4">
      <c r="A1150" s="1"/>
      <c r="M1150" s="26"/>
      <c r="N1150" s="26"/>
      <c r="P1150" s="1"/>
      <c r="Q1150" s="1"/>
      <c r="R1150" s="1"/>
      <c r="S1150" s="1"/>
      <c r="T1150" s="1"/>
      <c r="U1150" s="1"/>
      <c r="V1150" s="38"/>
      <c r="W1150" s="1"/>
      <c r="X1150" s="1"/>
    </row>
    <row r="1151" spans="1:24" ht="14.4">
      <c r="A1151" s="1"/>
      <c r="M1151" s="26"/>
      <c r="N1151" s="26"/>
      <c r="P1151" s="1"/>
      <c r="Q1151" s="1"/>
      <c r="R1151" s="1"/>
      <c r="S1151" s="1"/>
      <c r="T1151" s="1"/>
      <c r="U1151" s="1"/>
      <c r="V1151" s="38"/>
      <c r="W1151" s="1"/>
      <c r="X1151" s="1"/>
    </row>
    <row r="1152" spans="1:24" ht="14.4">
      <c r="A1152" s="1"/>
      <c r="M1152" s="26"/>
      <c r="N1152" s="26"/>
      <c r="P1152" s="1"/>
      <c r="Q1152" s="1"/>
      <c r="R1152" s="1"/>
      <c r="S1152" s="1"/>
      <c r="T1152" s="1"/>
      <c r="U1152" s="1"/>
      <c r="V1152" s="38"/>
      <c r="W1152" s="1"/>
      <c r="X1152" s="1"/>
    </row>
    <row r="1153" spans="1:24" ht="14.4">
      <c r="A1153" s="1"/>
      <c r="M1153" s="26"/>
      <c r="N1153" s="26"/>
      <c r="P1153" s="1"/>
      <c r="Q1153" s="1"/>
      <c r="R1153" s="1"/>
      <c r="S1153" s="1"/>
      <c r="T1153" s="1"/>
      <c r="U1153" s="1"/>
      <c r="V1153" s="38"/>
      <c r="W1153" s="1"/>
      <c r="X1153" s="1"/>
    </row>
    <row r="1154" spans="1:24" ht="14.4">
      <c r="A1154" s="1"/>
      <c r="M1154" s="26"/>
      <c r="N1154" s="26"/>
      <c r="P1154" s="1"/>
      <c r="Q1154" s="1"/>
      <c r="R1154" s="1"/>
      <c r="S1154" s="1"/>
      <c r="T1154" s="1"/>
      <c r="U1154" s="1"/>
      <c r="V1154" s="38"/>
      <c r="W1154" s="1"/>
      <c r="X1154" s="1"/>
    </row>
    <row r="1155" spans="1:24" ht="14.4">
      <c r="A1155" s="1"/>
      <c r="M1155" s="26"/>
      <c r="N1155" s="26"/>
      <c r="P1155" s="1"/>
      <c r="Q1155" s="1"/>
      <c r="R1155" s="1"/>
      <c r="S1155" s="1"/>
      <c r="T1155" s="1"/>
      <c r="U1155" s="1"/>
      <c r="V1155" s="38"/>
      <c r="W1155" s="1"/>
      <c r="X1155" s="1"/>
    </row>
    <row r="1156" spans="1:24" ht="14.4">
      <c r="A1156" s="1"/>
      <c r="M1156" s="26"/>
      <c r="N1156" s="26"/>
      <c r="P1156" s="1"/>
      <c r="Q1156" s="1"/>
      <c r="R1156" s="1"/>
      <c r="S1156" s="1"/>
      <c r="T1156" s="1"/>
      <c r="U1156" s="1"/>
      <c r="V1156" s="38"/>
      <c r="W1156" s="1"/>
      <c r="X1156" s="1"/>
    </row>
    <row r="1157" spans="1:24" ht="14.4">
      <c r="A1157" s="1"/>
      <c r="M1157" s="26"/>
      <c r="N1157" s="26"/>
      <c r="P1157" s="1"/>
      <c r="Q1157" s="1"/>
      <c r="R1157" s="1"/>
      <c r="S1157" s="1"/>
      <c r="T1157" s="1"/>
      <c r="U1157" s="1"/>
      <c r="V1157" s="38"/>
      <c r="W1157" s="1"/>
      <c r="X1157" s="1"/>
    </row>
    <row r="1158" spans="1:24" ht="14.4">
      <c r="A1158" s="1"/>
      <c r="M1158" s="26"/>
      <c r="N1158" s="26"/>
      <c r="P1158" s="1"/>
      <c r="Q1158" s="1"/>
      <c r="R1158" s="1"/>
      <c r="S1158" s="1"/>
      <c r="T1158" s="1"/>
      <c r="U1158" s="1"/>
      <c r="V1158" s="38"/>
      <c r="W1158" s="1"/>
      <c r="X1158" s="1"/>
    </row>
    <row r="1159" spans="1:24" ht="14.4">
      <c r="A1159" s="1"/>
      <c r="M1159" s="26"/>
      <c r="N1159" s="26"/>
      <c r="P1159" s="1"/>
      <c r="Q1159" s="1"/>
      <c r="R1159" s="1"/>
      <c r="S1159" s="1"/>
      <c r="T1159" s="1"/>
      <c r="U1159" s="1"/>
      <c r="V1159" s="38"/>
      <c r="W1159" s="1"/>
      <c r="X1159" s="1"/>
    </row>
    <row r="1160" spans="1:24" ht="14.4">
      <c r="A1160" s="1"/>
      <c r="M1160" s="26"/>
      <c r="N1160" s="26"/>
      <c r="P1160" s="1"/>
      <c r="Q1160" s="1"/>
      <c r="R1160" s="1"/>
      <c r="S1160" s="1"/>
      <c r="T1160" s="1"/>
      <c r="U1160" s="1"/>
      <c r="V1160" s="38"/>
      <c r="W1160" s="1"/>
      <c r="X1160" s="1"/>
    </row>
    <row r="1161" spans="1:24" ht="14.4">
      <c r="A1161" s="1"/>
      <c r="M1161" s="26"/>
      <c r="N1161" s="26"/>
      <c r="P1161" s="1"/>
      <c r="Q1161" s="1"/>
      <c r="R1161" s="1"/>
      <c r="S1161" s="1"/>
      <c r="T1161" s="1"/>
      <c r="U1161" s="1"/>
      <c r="V1161" s="38"/>
      <c r="W1161" s="1"/>
      <c r="X1161" s="1"/>
    </row>
    <row r="1162" spans="1:24" ht="14.4">
      <c r="A1162" s="1"/>
      <c r="M1162" s="26"/>
      <c r="N1162" s="26"/>
      <c r="P1162" s="1"/>
      <c r="Q1162" s="1"/>
      <c r="R1162" s="1"/>
      <c r="S1162" s="1"/>
      <c r="T1162" s="1"/>
      <c r="U1162" s="1"/>
      <c r="V1162" s="38"/>
      <c r="W1162" s="1"/>
      <c r="X1162" s="1"/>
    </row>
    <row r="1163" spans="1:24" ht="14.4">
      <c r="A1163" s="1"/>
      <c r="M1163" s="26"/>
      <c r="N1163" s="26"/>
      <c r="P1163" s="1"/>
      <c r="Q1163" s="1"/>
      <c r="R1163" s="1"/>
      <c r="S1163" s="1"/>
      <c r="T1163" s="1"/>
      <c r="U1163" s="1"/>
      <c r="V1163" s="38"/>
      <c r="W1163" s="1"/>
      <c r="X1163" s="1"/>
    </row>
    <row r="1164" spans="1:24" ht="14.4">
      <c r="A1164" s="1"/>
      <c r="M1164" s="26"/>
      <c r="N1164" s="26"/>
      <c r="P1164" s="1"/>
      <c r="Q1164" s="1"/>
      <c r="R1164" s="1"/>
      <c r="S1164" s="1"/>
      <c r="T1164" s="1"/>
      <c r="U1164" s="1"/>
      <c r="V1164" s="38"/>
      <c r="W1164" s="1"/>
      <c r="X1164" s="1"/>
    </row>
    <row r="1165" spans="1:24" ht="14.4">
      <c r="A1165" s="1"/>
      <c r="M1165" s="26"/>
      <c r="N1165" s="26"/>
      <c r="P1165" s="1"/>
      <c r="Q1165" s="1"/>
      <c r="R1165" s="1"/>
      <c r="S1165" s="1"/>
      <c r="T1165" s="1"/>
      <c r="U1165" s="1"/>
      <c r="V1165" s="38"/>
      <c r="W1165" s="1"/>
      <c r="X1165" s="1"/>
    </row>
    <row r="1166" spans="1:24" ht="14.4">
      <c r="A1166" s="1"/>
      <c r="M1166" s="26"/>
      <c r="N1166" s="26"/>
      <c r="P1166" s="1"/>
      <c r="Q1166" s="1"/>
      <c r="R1166" s="1"/>
      <c r="S1166" s="1"/>
      <c r="T1166" s="1"/>
      <c r="U1166" s="1"/>
      <c r="V1166" s="38"/>
      <c r="W1166" s="1"/>
      <c r="X1166" s="1"/>
    </row>
    <row r="1167" spans="1:24" ht="14.4">
      <c r="A1167" s="1"/>
      <c r="M1167" s="26"/>
      <c r="N1167" s="26"/>
      <c r="P1167" s="1"/>
      <c r="Q1167" s="1"/>
      <c r="R1167" s="1"/>
      <c r="S1167" s="1"/>
      <c r="T1167" s="1"/>
      <c r="U1167" s="1"/>
      <c r="V1167" s="38"/>
      <c r="W1167" s="1"/>
      <c r="X1167" s="1"/>
    </row>
    <row r="1168" spans="1:24" ht="14.4">
      <c r="A1168" s="1"/>
      <c r="M1168" s="26"/>
      <c r="N1168" s="26"/>
      <c r="P1168" s="1"/>
      <c r="Q1168" s="1"/>
      <c r="R1168" s="1"/>
      <c r="S1168" s="1"/>
      <c r="T1168" s="1"/>
      <c r="U1168" s="1"/>
      <c r="V1168" s="38"/>
      <c r="W1168" s="1"/>
      <c r="X1168" s="1"/>
    </row>
    <row r="1169" spans="1:24" ht="14.4">
      <c r="A1169" s="1"/>
      <c r="M1169" s="26"/>
      <c r="N1169" s="26"/>
      <c r="P1169" s="1"/>
      <c r="Q1169" s="1"/>
      <c r="R1169" s="1"/>
      <c r="S1169" s="1"/>
      <c r="T1169" s="1"/>
      <c r="U1169" s="1"/>
      <c r="V1169" s="38"/>
      <c r="W1169" s="1"/>
      <c r="X1169" s="1"/>
    </row>
    <row r="1170" spans="1:24" ht="14.4">
      <c r="A1170" s="1"/>
      <c r="M1170" s="26"/>
      <c r="N1170" s="26"/>
      <c r="P1170" s="1"/>
      <c r="Q1170" s="1"/>
      <c r="R1170" s="1"/>
      <c r="S1170" s="1"/>
      <c r="T1170" s="1"/>
      <c r="U1170" s="1"/>
      <c r="V1170" s="38"/>
      <c r="W1170" s="1"/>
      <c r="X1170" s="1"/>
    </row>
    <row r="1171" spans="1:24" ht="14.4">
      <c r="A1171" s="1"/>
      <c r="M1171" s="26"/>
      <c r="N1171" s="26"/>
      <c r="P1171" s="1"/>
      <c r="Q1171" s="1"/>
      <c r="R1171" s="1"/>
      <c r="S1171" s="1"/>
      <c r="T1171" s="1"/>
      <c r="U1171" s="1"/>
      <c r="V1171" s="38"/>
      <c r="W1171" s="1"/>
      <c r="X1171" s="1"/>
    </row>
    <row r="1172" spans="1:24" ht="14.4">
      <c r="A1172" s="1"/>
      <c r="M1172" s="26"/>
      <c r="N1172" s="26"/>
      <c r="P1172" s="1"/>
      <c r="Q1172" s="1"/>
      <c r="R1172" s="1"/>
      <c r="S1172" s="1"/>
      <c r="T1172" s="1"/>
      <c r="U1172" s="1"/>
      <c r="V1172" s="38"/>
      <c r="W1172" s="1"/>
      <c r="X1172" s="1"/>
    </row>
    <row r="1173" spans="1:24" ht="14.4">
      <c r="A1173" s="1"/>
      <c r="M1173" s="26"/>
      <c r="N1173" s="26"/>
      <c r="P1173" s="1"/>
      <c r="Q1173" s="1"/>
      <c r="R1173" s="1"/>
      <c r="S1173" s="1"/>
      <c r="T1173" s="1"/>
      <c r="U1173" s="1"/>
      <c r="V1173" s="38"/>
      <c r="W1173" s="1"/>
      <c r="X1173" s="1"/>
    </row>
    <row r="1174" spans="1:24" ht="14.4">
      <c r="A1174" s="1"/>
      <c r="M1174" s="26"/>
      <c r="N1174" s="26"/>
      <c r="P1174" s="1"/>
      <c r="Q1174" s="1"/>
      <c r="R1174" s="1"/>
      <c r="S1174" s="1"/>
      <c r="T1174" s="1"/>
      <c r="U1174" s="1"/>
      <c r="V1174" s="38"/>
      <c r="W1174" s="1"/>
      <c r="X1174" s="1"/>
    </row>
    <row r="1175" spans="1:24" ht="14.4">
      <c r="A1175" s="1"/>
      <c r="M1175" s="26"/>
      <c r="N1175" s="26"/>
      <c r="P1175" s="1"/>
      <c r="Q1175" s="1"/>
      <c r="R1175" s="1"/>
      <c r="S1175" s="1"/>
      <c r="T1175" s="1"/>
      <c r="U1175" s="1"/>
      <c r="V1175" s="38"/>
      <c r="W1175" s="1"/>
      <c r="X1175" s="1"/>
    </row>
    <row r="1176" spans="1:24" ht="14.4">
      <c r="A1176" s="1"/>
      <c r="M1176" s="26"/>
      <c r="N1176" s="26"/>
      <c r="P1176" s="1"/>
      <c r="Q1176" s="1"/>
      <c r="R1176" s="1"/>
      <c r="S1176" s="1"/>
      <c r="T1176" s="1"/>
      <c r="U1176" s="1"/>
      <c r="V1176" s="38"/>
      <c r="W1176" s="1"/>
      <c r="X1176" s="1"/>
    </row>
    <row r="1177" spans="1:24" ht="14.4">
      <c r="A1177" s="1"/>
      <c r="M1177" s="26"/>
      <c r="N1177" s="26"/>
      <c r="P1177" s="1"/>
      <c r="Q1177" s="1"/>
      <c r="R1177" s="1"/>
      <c r="S1177" s="1"/>
      <c r="T1177" s="1"/>
      <c r="U1177" s="1"/>
      <c r="V1177" s="38"/>
      <c r="W1177" s="1"/>
      <c r="X1177" s="1"/>
    </row>
    <row r="1178" spans="1:24" ht="14.4">
      <c r="A1178" s="1"/>
      <c r="M1178" s="26"/>
      <c r="N1178" s="26"/>
      <c r="P1178" s="1"/>
      <c r="Q1178" s="1"/>
      <c r="R1178" s="1"/>
      <c r="S1178" s="1"/>
      <c r="T1178" s="1"/>
      <c r="U1178" s="1"/>
      <c r="V1178" s="38"/>
      <c r="W1178" s="1"/>
      <c r="X1178" s="1"/>
    </row>
    <row r="1179" spans="1:24" ht="14.4">
      <c r="A1179" s="1"/>
      <c r="M1179" s="26"/>
      <c r="N1179" s="26"/>
      <c r="P1179" s="1"/>
      <c r="Q1179" s="1"/>
      <c r="R1179" s="1"/>
      <c r="S1179" s="1"/>
      <c r="T1179" s="1"/>
      <c r="U1179" s="1"/>
      <c r="V1179" s="38"/>
      <c r="W1179" s="1"/>
      <c r="X1179" s="1"/>
    </row>
    <row r="1180" spans="1:24" ht="14.4">
      <c r="A1180" s="1"/>
      <c r="M1180" s="26"/>
      <c r="N1180" s="26"/>
      <c r="P1180" s="1"/>
      <c r="Q1180" s="1"/>
      <c r="R1180" s="1"/>
      <c r="S1180" s="1"/>
      <c r="T1180" s="1"/>
      <c r="U1180" s="1"/>
      <c r="V1180" s="38"/>
      <c r="W1180" s="1"/>
      <c r="X1180" s="1"/>
    </row>
    <row r="1181" spans="1:24" ht="14.4">
      <c r="A1181" s="1"/>
      <c r="M1181" s="26"/>
      <c r="N1181" s="26"/>
      <c r="P1181" s="1"/>
      <c r="Q1181" s="1"/>
      <c r="R1181" s="1"/>
      <c r="S1181" s="1"/>
      <c r="T1181" s="1"/>
      <c r="U1181" s="1"/>
      <c r="V1181" s="38"/>
      <c r="W1181" s="1"/>
      <c r="X1181" s="1"/>
    </row>
    <row r="1182" spans="1:24" ht="14.4">
      <c r="A1182" s="1"/>
      <c r="M1182" s="26"/>
      <c r="N1182" s="26"/>
      <c r="P1182" s="1"/>
      <c r="Q1182" s="1"/>
      <c r="R1182" s="1"/>
      <c r="S1182" s="1"/>
      <c r="T1182" s="1"/>
      <c r="U1182" s="1"/>
      <c r="V1182" s="38"/>
      <c r="W1182" s="1"/>
      <c r="X1182" s="1"/>
    </row>
    <row r="1183" spans="1:24" ht="14.4">
      <c r="A1183" s="1"/>
      <c r="M1183" s="26"/>
      <c r="N1183" s="26"/>
      <c r="P1183" s="1"/>
      <c r="Q1183" s="1"/>
      <c r="R1183" s="1"/>
      <c r="S1183" s="1"/>
      <c r="T1183" s="1"/>
      <c r="U1183" s="1"/>
      <c r="V1183" s="38"/>
      <c r="W1183" s="1"/>
      <c r="X1183" s="1"/>
    </row>
    <row r="1184" spans="1:24" ht="14.4">
      <c r="A1184" s="1"/>
      <c r="M1184" s="26"/>
      <c r="N1184" s="26"/>
      <c r="P1184" s="1"/>
      <c r="Q1184" s="1"/>
      <c r="R1184" s="1"/>
      <c r="S1184" s="1"/>
      <c r="T1184" s="1"/>
      <c r="U1184" s="1"/>
      <c r="V1184" s="38"/>
      <c r="W1184" s="1"/>
      <c r="X1184" s="1"/>
    </row>
    <row r="1185" spans="1:24" ht="14.4">
      <c r="A1185" s="1"/>
      <c r="M1185" s="26"/>
      <c r="N1185" s="26"/>
      <c r="P1185" s="1"/>
      <c r="Q1185" s="1"/>
      <c r="R1185" s="1"/>
      <c r="S1185" s="1"/>
      <c r="T1185" s="1"/>
      <c r="U1185" s="1"/>
      <c r="V1185" s="38"/>
      <c r="W1185" s="1"/>
      <c r="X1185" s="1"/>
    </row>
    <row r="1186" spans="1:24" ht="14.4">
      <c r="A1186" s="1"/>
      <c r="M1186" s="26"/>
      <c r="N1186" s="26"/>
      <c r="P1186" s="1"/>
      <c r="Q1186" s="1"/>
      <c r="R1186" s="1"/>
      <c r="S1186" s="1"/>
      <c r="T1186" s="1"/>
      <c r="U1186" s="1"/>
      <c r="V1186" s="38"/>
      <c r="W1186" s="1"/>
      <c r="X1186" s="1"/>
    </row>
    <row r="1187" spans="1:24" ht="14.4">
      <c r="A1187" s="1"/>
      <c r="M1187" s="26"/>
      <c r="N1187" s="26"/>
      <c r="P1187" s="1"/>
      <c r="Q1187" s="1"/>
      <c r="R1187" s="1"/>
      <c r="S1187" s="1"/>
      <c r="T1187" s="1"/>
      <c r="U1187" s="1"/>
      <c r="V1187" s="38"/>
      <c r="W1187" s="1"/>
      <c r="X1187" s="1"/>
    </row>
    <row r="1188" spans="1:24" ht="14.4">
      <c r="A1188" s="1"/>
      <c r="M1188" s="26"/>
      <c r="N1188" s="26"/>
      <c r="P1188" s="1"/>
      <c r="Q1188" s="1"/>
      <c r="R1188" s="1"/>
      <c r="S1188" s="1"/>
      <c r="T1188" s="1"/>
      <c r="U1188" s="1"/>
      <c r="V1188" s="38"/>
      <c r="W1188" s="1"/>
      <c r="X1188" s="1"/>
    </row>
    <row r="1189" spans="1:24" ht="14.4">
      <c r="A1189" s="1"/>
      <c r="M1189" s="26"/>
      <c r="N1189" s="26"/>
      <c r="P1189" s="1"/>
      <c r="Q1189" s="1"/>
      <c r="R1189" s="1"/>
      <c r="S1189" s="1"/>
      <c r="T1189" s="1"/>
      <c r="U1189" s="1"/>
      <c r="V1189" s="38"/>
      <c r="W1189" s="1"/>
      <c r="X1189" s="1"/>
    </row>
    <row r="1190" spans="1:24" ht="14.4">
      <c r="A1190" s="1"/>
      <c r="M1190" s="26"/>
      <c r="N1190" s="26"/>
      <c r="P1190" s="1"/>
      <c r="Q1190" s="1"/>
      <c r="R1190" s="1"/>
      <c r="S1190" s="1"/>
      <c r="T1190" s="1"/>
      <c r="U1190" s="1"/>
      <c r="V1190" s="38"/>
      <c r="W1190" s="1"/>
      <c r="X1190" s="1"/>
    </row>
    <row r="1191" spans="1:24" ht="14.4">
      <c r="A1191" s="1"/>
      <c r="M1191" s="26"/>
      <c r="N1191" s="26"/>
      <c r="P1191" s="1"/>
      <c r="Q1191" s="1"/>
      <c r="R1191" s="1"/>
      <c r="S1191" s="1"/>
      <c r="T1191" s="1"/>
      <c r="U1191" s="1"/>
      <c r="V1191" s="38"/>
      <c r="W1191" s="1"/>
      <c r="X1191" s="1"/>
    </row>
    <row r="1192" spans="1:24" ht="14.4">
      <c r="A1192" s="1"/>
      <c r="M1192" s="26"/>
      <c r="N1192" s="26"/>
      <c r="P1192" s="1"/>
      <c r="Q1192" s="1"/>
      <c r="R1192" s="1"/>
      <c r="S1192" s="1"/>
      <c r="T1192" s="1"/>
      <c r="U1192" s="1"/>
      <c r="V1192" s="38"/>
      <c r="W1192" s="1"/>
      <c r="X1192" s="1"/>
    </row>
    <row r="1193" spans="1:24" ht="14.4">
      <c r="A1193" s="1"/>
      <c r="M1193" s="26"/>
      <c r="N1193" s="26"/>
      <c r="P1193" s="1"/>
      <c r="Q1193" s="1"/>
      <c r="R1193" s="1"/>
      <c r="S1193" s="1"/>
      <c r="T1193" s="1"/>
      <c r="U1193" s="1"/>
      <c r="V1193" s="38"/>
      <c r="W1193" s="1"/>
      <c r="X1193" s="1"/>
    </row>
    <row r="1194" spans="1:24" ht="14.4">
      <c r="A1194" s="1"/>
      <c r="M1194" s="26"/>
      <c r="N1194" s="26"/>
      <c r="P1194" s="1"/>
      <c r="Q1194" s="1"/>
      <c r="R1194" s="1"/>
      <c r="S1194" s="1"/>
      <c r="T1194" s="1"/>
      <c r="U1194" s="1"/>
      <c r="V1194" s="38"/>
      <c r="W1194" s="1"/>
      <c r="X1194" s="1"/>
    </row>
    <row r="1195" spans="1:24" ht="14.4">
      <c r="A1195" s="1"/>
      <c r="M1195" s="26"/>
      <c r="N1195" s="26"/>
      <c r="P1195" s="1"/>
      <c r="Q1195" s="1"/>
      <c r="R1195" s="1"/>
      <c r="S1195" s="1"/>
      <c r="T1195" s="1"/>
      <c r="U1195" s="1"/>
      <c r="V1195" s="38"/>
      <c r="W1195" s="1"/>
      <c r="X1195" s="1"/>
    </row>
    <row r="1196" spans="1:24" ht="14.4">
      <c r="A1196" s="1"/>
      <c r="M1196" s="26"/>
      <c r="N1196" s="26"/>
      <c r="P1196" s="1"/>
      <c r="Q1196" s="1"/>
      <c r="R1196" s="1"/>
      <c r="S1196" s="1"/>
      <c r="T1196" s="1"/>
      <c r="U1196" s="1"/>
      <c r="V1196" s="38"/>
      <c r="W1196" s="1"/>
      <c r="X1196" s="1"/>
    </row>
    <row r="1197" spans="1:24" ht="14.4">
      <c r="A1197" s="1"/>
      <c r="M1197" s="26"/>
      <c r="N1197" s="26"/>
      <c r="P1197" s="1"/>
      <c r="Q1197" s="1"/>
      <c r="R1197" s="1"/>
      <c r="S1197" s="1"/>
      <c r="T1197" s="1"/>
      <c r="U1197" s="1"/>
      <c r="V1197" s="38"/>
      <c r="W1197" s="1"/>
      <c r="X1197" s="1"/>
    </row>
    <row r="1198" spans="1:24" ht="14.4">
      <c r="A1198" s="1"/>
      <c r="M1198" s="26"/>
      <c r="N1198" s="26"/>
      <c r="P1198" s="1"/>
      <c r="Q1198" s="1"/>
      <c r="R1198" s="1"/>
      <c r="S1198" s="1"/>
      <c r="T1198" s="1"/>
      <c r="U1198" s="1"/>
      <c r="V1198" s="38"/>
      <c r="W1198" s="1"/>
      <c r="X1198" s="1"/>
    </row>
    <row r="1199" spans="1:24" ht="14.4">
      <c r="A1199" s="1"/>
      <c r="M1199" s="26"/>
      <c r="N1199" s="26"/>
      <c r="P1199" s="1"/>
      <c r="Q1199" s="1"/>
      <c r="R1199" s="1"/>
      <c r="S1199" s="1"/>
      <c r="T1199" s="1"/>
      <c r="U1199" s="1"/>
      <c r="V1199" s="38"/>
      <c r="W1199" s="1"/>
      <c r="X1199" s="1"/>
    </row>
    <row r="1200" spans="1:24" ht="14.4">
      <c r="A1200" s="1"/>
      <c r="M1200" s="26"/>
      <c r="N1200" s="26"/>
      <c r="P1200" s="1"/>
      <c r="Q1200" s="1"/>
      <c r="R1200" s="1"/>
      <c r="S1200" s="1"/>
      <c r="T1200" s="1"/>
      <c r="U1200" s="1"/>
      <c r="V1200" s="38"/>
      <c r="W1200" s="1"/>
      <c r="X1200" s="1"/>
    </row>
    <row r="1201" spans="1:24" ht="14.4">
      <c r="A1201" s="1"/>
      <c r="M1201" s="26"/>
      <c r="N1201" s="26"/>
      <c r="P1201" s="1"/>
      <c r="Q1201" s="1"/>
      <c r="R1201" s="1"/>
      <c r="S1201" s="1"/>
      <c r="T1201" s="1"/>
      <c r="U1201" s="1"/>
      <c r="V1201" s="38"/>
      <c r="W1201" s="1"/>
      <c r="X1201" s="1"/>
    </row>
    <row r="1202" spans="1:24" ht="14.4">
      <c r="A1202" s="1"/>
      <c r="M1202" s="26"/>
      <c r="N1202" s="26"/>
      <c r="P1202" s="1"/>
      <c r="Q1202" s="1"/>
      <c r="R1202" s="1"/>
      <c r="S1202" s="1"/>
      <c r="T1202" s="1"/>
      <c r="U1202" s="1"/>
      <c r="V1202" s="38"/>
      <c r="W1202" s="1"/>
      <c r="X1202" s="1"/>
    </row>
    <row r="1203" spans="1:24" ht="14.4">
      <c r="A1203" s="1"/>
      <c r="M1203" s="26"/>
      <c r="N1203" s="26"/>
      <c r="P1203" s="1"/>
      <c r="Q1203" s="1"/>
      <c r="R1203" s="1"/>
      <c r="S1203" s="1"/>
      <c r="T1203" s="1"/>
      <c r="U1203" s="1"/>
      <c r="V1203" s="38"/>
      <c r="W1203" s="1"/>
      <c r="X1203" s="1"/>
    </row>
    <row r="1204" spans="1:24" ht="14.4">
      <c r="A1204" s="1"/>
      <c r="M1204" s="26"/>
      <c r="N1204" s="26"/>
      <c r="P1204" s="1"/>
      <c r="Q1204" s="1"/>
      <c r="R1204" s="1"/>
      <c r="S1204" s="1"/>
      <c r="T1204" s="1"/>
      <c r="U1204" s="1"/>
      <c r="V1204" s="38"/>
      <c r="W1204" s="1"/>
      <c r="X1204" s="1"/>
    </row>
    <row r="1205" spans="1:24" ht="14.4">
      <c r="A1205" s="1"/>
      <c r="M1205" s="26"/>
      <c r="N1205" s="26"/>
      <c r="P1205" s="1"/>
      <c r="Q1205" s="1"/>
      <c r="R1205" s="1"/>
      <c r="S1205" s="1"/>
      <c r="T1205" s="1"/>
      <c r="U1205" s="1"/>
      <c r="V1205" s="38"/>
      <c r="W1205" s="1"/>
      <c r="X1205" s="1"/>
    </row>
    <row r="1206" spans="1:24" ht="14.4">
      <c r="A1206" s="1"/>
      <c r="M1206" s="26"/>
      <c r="N1206" s="26"/>
      <c r="P1206" s="1"/>
      <c r="Q1206" s="1"/>
      <c r="R1206" s="1"/>
      <c r="S1206" s="1"/>
      <c r="T1206" s="1"/>
      <c r="U1206" s="1"/>
      <c r="V1206" s="38"/>
      <c r="W1206" s="1"/>
      <c r="X1206" s="1"/>
    </row>
    <row r="1207" spans="1:24" ht="14.4">
      <c r="A1207" s="1"/>
      <c r="M1207" s="26"/>
      <c r="N1207" s="26"/>
      <c r="P1207" s="1"/>
      <c r="Q1207" s="1"/>
      <c r="R1207" s="1"/>
      <c r="S1207" s="1"/>
      <c r="T1207" s="1"/>
      <c r="U1207" s="1"/>
      <c r="V1207" s="38"/>
      <c r="W1207" s="1"/>
      <c r="X1207" s="1"/>
    </row>
    <row r="1208" spans="1:24" ht="14.4">
      <c r="A1208" s="1"/>
      <c r="M1208" s="26"/>
      <c r="N1208" s="26"/>
      <c r="P1208" s="1"/>
      <c r="Q1208" s="1"/>
      <c r="R1208" s="1"/>
      <c r="S1208" s="1"/>
      <c r="T1208" s="1"/>
      <c r="U1208" s="1"/>
      <c r="V1208" s="38"/>
      <c r="W1208" s="1"/>
      <c r="X1208" s="1"/>
    </row>
    <row r="1209" spans="1:24" ht="14.4">
      <c r="A1209" s="1"/>
      <c r="M1209" s="26"/>
      <c r="N1209" s="26"/>
      <c r="P1209" s="1"/>
      <c r="Q1209" s="1"/>
      <c r="R1209" s="1"/>
      <c r="S1209" s="1"/>
      <c r="T1209" s="1"/>
      <c r="U1209" s="1"/>
      <c r="V1209" s="38"/>
      <c r="W1209" s="1"/>
      <c r="X1209" s="1"/>
    </row>
    <row r="1210" spans="1:24" ht="14.4">
      <c r="A1210" s="1"/>
      <c r="M1210" s="26"/>
      <c r="N1210" s="26"/>
      <c r="P1210" s="1"/>
      <c r="Q1210" s="1"/>
      <c r="R1210" s="1"/>
      <c r="S1210" s="1"/>
      <c r="T1210" s="1"/>
      <c r="U1210" s="1"/>
      <c r="V1210" s="38"/>
      <c r="W1210" s="1"/>
      <c r="X1210" s="1"/>
    </row>
    <row r="1211" spans="1:24" ht="14.4">
      <c r="A1211" s="1"/>
      <c r="M1211" s="26"/>
      <c r="N1211" s="26"/>
      <c r="P1211" s="1"/>
      <c r="Q1211" s="1"/>
      <c r="R1211" s="1"/>
      <c r="S1211" s="1"/>
      <c r="T1211" s="1"/>
      <c r="U1211" s="1"/>
      <c r="V1211" s="38"/>
      <c r="W1211" s="1"/>
      <c r="X1211" s="1"/>
    </row>
    <row r="1212" spans="1:24" ht="14.4">
      <c r="A1212" s="1"/>
      <c r="M1212" s="26"/>
      <c r="N1212" s="26"/>
      <c r="P1212" s="1"/>
      <c r="Q1212" s="1"/>
      <c r="R1212" s="1"/>
      <c r="S1212" s="1"/>
      <c r="T1212" s="1"/>
      <c r="U1212" s="1"/>
      <c r="V1212" s="38"/>
      <c r="W1212" s="1"/>
      <c r="X1212" s="1"/>
    </row>
    <row r="1213" spans="1:24" ht="14.4">
      <c r="A1213" s="1"/>
      <c r="M1213" s="26"/>
      <c r="N1213" s="26"/>
      <c r="P1213" s="1"/>
      <c r="Q1213" s="1"/>
      <c r="R1213" s="1"/>
      <c r="S1213" s="1"/>
      <c r="T1213" s="1"/>
      <c r="U1213" s="1"/>
      <c r="V1213" s="38"/>
      <c r="W1213" s="1"/>
      <c r="X1213" s="1"/>
    </row>
    <row r="1214" spans="1:24" ht="14.4">
      <c r="A1214" s="1"/>
      <c r="M1214" s="26"/>
      <c r="N1214" s="26"/>
      <c r="P1214" s="1"/>
      <c r="Q1214" s="1"/>
      <c r="R1214" s="1"/>
      <c r="S1214" s="1"/>
      <c r="T1214" s="1"/>
      <c r="U1214" s="1"/>
      <c r="V1214" s="38"/>
      <c r="W1214" s="1"/>
      <c r="X1214" s="1"/>
    </row>
    <row r="1215" spans="1:24" ht="14.4">
      <c r="A1215" s="1"/>
      <c r="M1215" s="26"/>
      <c r="N1215" s="26"/>
      <c r="P1215" s="1"/>
      <c r="Q1215" s="1"/>
      <c r="R1215" s="1"/>
      <c r="S1215" s="1"/>
      <c r="T1215" s="1"/>
      <c r="U1215" s="1"/>
      <c r="V1215" s="38"/>
      <c r="W1215" s="1"/>
      <c r="X1215" s="1"/>
    </row>
    <row r="1216" spans="1:24" ht="14.4">
      <c r="A1216" s="1"/>
      <c r="M1216" s="26"/>
      <c r="N1216" s="26"/>
      <c r="P1216" s="1"/>
      <c r="Q1216" s="1"/>
      <c r="R1216" s="1"/>
      <c r="S1216" s="1"/>
      <c r="T1216" s="1"/>
      <c r="U1216" s="1"/>
      <c r="V1216" s="38"/>
      <c r="W1216" s="1"/>
      <c r="X1216" s="1"/>
    </row>
    <row r="1217" spans="1:24" ht="14.4">
      <c r="A1217" s="1"/>
      <c r="M1217" s="26"/>
      <c r="N1217" s="26"/>
      <c r="P1217" s="1"/>
      <c r="Q1217" s="1"/>
      <c r="R1217" s="1"/>
      <c r="S1217" s="1"/>
      <c r="T1217" s="1"/>
      <c r="U1217" s="1"/>
      <c r="V1217" s="38"/>
      <c r="W1217" s="1"/>
      <c r="X1217" s="1"/>
    </row>
    <row r="1218" spans="1:24" ht="14.4">
      <c r="A1218" s="1"/>
      <c r="M1218" s="26"/>
      <c r="N1218" s="26"/>
      <c r="P1218" s="1"/>
      <c r="Q1218" s="1"/>
      <c r="R1218" s="1"/>
      <c r="S1218" s="1"/>
      <c r="T1218" s="1"/>
      <c r="U1218" s="1"/>
      <c r="V1218" s="38"/>
      <c r="W1218" s="1"/>
      <c r="X1218" s="1"/>
    </row>
    <row r="1219" spans="1:24" ht="14.4">
      <c r="A1219" s="1"/>
      <c r="M1219" s="26"/>
      <c r="N1219" s="26"/>
      <c r="P1219" s="1"/>
      <c r="Q1219" s="1"/>
      <c r="R1219" s="1"/>
      <c r="S1219" s="1"/>
      <c r="T1219" s="1"/>
      <c r="U1219" s="1"/>
      <c r="V1219" s="38"/>
      <c r="W1219" s="1"/>
      <c r="X1219" s="1"/>
    </row>
    <row r="1220" spans="1:24" ht="14.4">
      <c r="A1220" s="1"/>
      <c r="M1220" s="26"/>
      <c r="N1220" s="26"/>
      <c r="P1220" s="1"/>
      <c r="Q1220" s="1"/>
      <c r="R1220" s="1"/>
      <c r="S1220" s="1"/>
      <c r="T1220" s="1"/>
      <c r="U1220" s="1"/>
      <c r="V1220" s="38"/>
      <c r="W1220" s="1"/>
      <c r="X1220" s="1"/>
    </row>
    <row r="1221" spans="1:24" ht="14.4">
      <c r="A1221" s="1"/>
      <c r="M1221" s="26"/>
      <c r="N1221" s="26"/>
      <c r="P1221" s="1"/>
      <c r="Q1221" s="1"/>
      <c r="R1221" s="1"/>
      <c r="S1221" s="1"/>
      <c r="T1221" s="1"/>
      <c r="U1221" s="1"/>
      <c r="V1221" s="38"/>
      <c r="W1221" s="1"/>
      <c r="X1221" s="1"/>
    </row>
    <row r="1222" spans="1:24" ht="14.4">
      <c r="A1222" s="1"/>
      <c r="M1222" s="26"/>
      <c r="N1222" s="26"/>
      <c r="P1222" s="1"/>
      <c r="Q1222" s="1"/>
      <c r="R1222" s="1"/>
      <c r="S1222" s="1"/>
      <c r="T1222" s="1"/>
      <c r="U1222" s="1"/>
      <c r="V1222" s="38"/>
      <c r="W1222" s="1"/>
      <c r="X1222" s="1"/>
    </row>
    <row r="1223" spans="1:24" ht="14.4">
      <c r="A1223" s="1"/>
      <c r="M1223" s="26"/>
      <c r="N1223" s="26"/>
      <c r="P1223" s="1"/>
      <c r="Q1223" s="1"/>
      <c r="R1223" s="1"/>
      <c r="S1223" s="1"/>
      <c r="T1223" s="1"/>
      <c r="U1223" s="1"/>
      <c r="V1223" s="38"/>
      <c r="W1223" s="1"/>
      <c r="X1223" s="1"/>
    </row>
    <row r="1224" spans="1:24" ht="14.4">
      <c r="A1224" s="1"/>
      <c r="M1224" s="26"/>
      <c r="N1224" s="26"/>
      <c r="P1224" s="1"/>
      <c r="Q1224" s="1"/>
      <c r="R1224" s="1"/>
      <c r="S1224" s="1"/>
      <c r="T1224" s="1"/>
      <c r="U1224" s="1"/>
      <c r="V1224" s="38"/>
      <c r="W1224" s="1"/>
      <c r="X1224" s="1"/>
    </row>
    <row r="1225" spans="1:24" ht="14.4">
      <c r="A1225" s="1"/>
      <c r="M1225" s="26"/>
      <c r="N1225" s="26"/>
      <c r="P1225" s="1"/>
      <c r="Q1225" s="1"/>
      <c r="R1225" s="1"/>
      <c r="S1225" s="1"/>
      <c r="T1225" s="1"/>
      <c r="U1225" s="1"/>
      <c r="V1225" s="38"/>
      <c r="W1225" s="1"/>
      <c r="X1225" s="1"/>
    </row>
    <row r="1226" spans="1:24" ht="14.4">
      <c r="A1226" s="1"/>
      <c r="M1226" s="26"/>
      <c r="N1226" s="26"/>
      <c r="P1226" s="1"/>
      <c r="Q1226" s="1"/>
      <c r="R1226" s="1"/>
      <c r="S1226" s="1"/>
      <c r="T1226" s="1"/>
      <c r="U1226" s="1"/>
      <c r="V1226" s="38"/>
      <c r="W1226" s="1"/>
      <c r="X1226" s="1"/>
    </row>
    <row r="1227" spans="1:24" ht="14.4">
      <c r="A1227" s="1"/>
      <c r="M1227" s="26"/>
      <c r="N1227" s="26"/>
      <c r="P1227" s="1"/>
      <c r="Q1227" s="1"/>
      <c r="R1227" s="1"/>
      <c r="S1227" s="1"/>
      <c r="T1227" s="1"/>
      <c r="U1227" s="1"/>
      <c r="V1227" s="38"/>
      <c r="W1227" s="1"/>
      <c r="X1227" s="1"/>
    </row>
    <row r="1228" spans="1:24" ht="14.4">
      <c r="A1228" s="1"/>
      <c r="M1228" s="26"/>
      <c r="N1228" s="26"/>
      <c r="P1228" s="1"/>
      <c r="Q1228" s="1"/>
      <c r="R1228" s="1"/>
      <c r="S1228" s="1"/>
      <c r="T1228" s="1"/>
      <c r="U1228" s="1"/>
      <c r="V1228" s="38"/>
      <c r="W1228" s="1"/>
      <c r="X1228" s="1"/>
    </row>
    <row r="1229" spans="1:24" ht="14.4">
      <c r="A1229" s="1"/>
      <c r="M1229" s="26"/>
      <c r="N1229" s="26"/>
      <c r="P1229" s="1"/>
      <c r="Q1229" s="1"/>
      <c r="R1229" s="1"/>
      <c r="S1229" s="1"/>
      <c r="T1229" s="1"/>
      <c r="U1229" s="1"/>
      <c r="V1229" s="38"/>
      <c r="W1229" s="1"/>
      <c r="X1229" s="1"/>
    </row>
    <row r="1230" spans="1:24" ht="14.4">
      <c r="A1230" s="1"/>
      <c r="M1230" s="26"/>
      <c r="N1230" s="26"/>
      <c r="P1230" s="1"/>
      <c r="Q1230" s="1"/>
      <c r="R1230" s="1"/>
      <c r="S1230" s="1"/>
      <c r="T1230" s="1"/>
      <c r="U1230" s="1"/>
      <c r="V1230" s="38"/>
      <c r="W1230" s="1"/>
      <c r="X1230" s="1"/>
    </row>
    <row r="1231" spans="1:24" ht="14.4">
      <c r="A1231" s="1"/>
      <c r="M1231" s="26"/>
      <c r="N1231" s="26"/>
      <c r="P1231" s="1"/>
      <c r="Q1231" s="1"/>
      <c r="R1231" s="1"/>
      <c r="S1231" s="1"/>
      <c r="T1231" s="1"/>
      <c r="U1231" s="1"/>
      <c r="V1231" s="38"/>
      <c r="W1231" s="1"/>
      <c r="X1231" s="1"/>
    </row>
    <row r="1232" spans="1:24" ht="14.4">
      <c r="A1232" s="1"/>
      <c r="M1232" s="26"/>
      <c r="N1232" s="26"/>
      <c r="P1232" s="1"/>
      <c r="Q1232" s="1"/>
      <c r="R1232" s="1"/>
      <c r="S1232" s="1"/>
      <c r="T1232" s="1"/>
      <c r="U1232" s="1"/>
      <c r="V1232" s="38"/>
      <c r="W1232" s="1"/>
      <c r="X1232" s="1"/>
    </row>
    <row r="1233" spans="1:24" ht="14.4">
      <c r="A1233" s="1"/>
      <c r="M1233" s="26"/>
      <c r="N1233" s="26"/>
      <c r="P1233" s="1"/>
      <c r="Q1233" s="1"/>
      <c r="R1233" s="1"/>
      <c r="S1233" s="1"/>
      <c r="T1233" s="1"/>
      <c r="U1233" s="1"/>
      <c r="V1233" s="38"/>
      <c r="W1233" s="1"/>
      <c r="X1233" s="1"/>
    </row>
    <row r="1234" spans="1:24" ht="14.4">
      <c r="A1234" s="1"/>
      <c r="M1234" s="26"/>
      <c r="N1234" s="26"/>
      <c r="P1234" s="1"/>
      <c r="Q1234" s="1"/>
      <c r="R1234" s="1"/>
      <c r="S1234" s="1"/>
      <c r="T1234" s="1"/>
      <c r="U1234" s="1"/>
      <c r="V1234" s="38"/>
      <c r="W1234" s="1"/>
      <c r="X1234" s="1"/>
    </row>
    <row r="1235" spans="1:24" ht="14.4">
      <c r="A1235" s="1"/>
      <c r="M1235" s="26"/>
      <c r="N1235" s="26"/>
      <c r="P1235" s="1"/>
      <c r="Q1235" s="1"/>
      <c r="R1235" s="1"/>
      <c r="S1235" s="1"/>
      <c r="T1235" s="1"/>
      <c r="U1235" s="1"/>
      <c r="V1235" s="38"/>
      <c r="W1235" s="1"/>
      <c r="X1235" s="1"/>
    </row>
    <row r="1236" spans="1:24" ht="14.4">
      <c r="A1236" s="1"/>
      <c r="M1236" s="26"/>
      <c r="N1236" s="26"/>
      <c r="P1236" s="1"/>
      <c r="Q1236" s="1"/>
      <c r="R1236" s="1"/>
      <c r="S1236" s="1"/>
      <c r="T1236" s="1"/>
      <c r="U1236" s="1"/>
      <c r="V1236" s="38"/>
      <c r="W1236" s="1"/>
      <c r="X1236" s="1"/>
    </row>
    <row r="1237" spans="1:24" ht="14.4">
      <c r="A1237" s="1"/>
      <c r="M1237" s="26"/>
      <c r="N1237" s="26"/>
      <c r="P1237" s="1"/>
      <c r="Q1237" s="1"/>
      <c r="R1237" s="1"/>
      <c r="S1237" s="1"/>
      <c r="T1237" s="1"/>
      <c r="U1237" s="1"/>
      <c r="V1237" s="38"/>
      <c r="W1237" s="1"/>
      <c r="X1237" s="1"/>
    </row>
    <row r="1238" spans="1:24" ht="14.4">
      <c r="A1238" s="1"/>
      <c r="M1238" s="26"/>
      <c r="N1238" s="26"/>
      <c r="P1238" s="1"/>
      <c r="Q1238" s="1"/>
      <c r="R1238" s="1"/>
      <c r="S1238" s="1"/>
      <c r="T1238" s="1"/>
      <c r="U1238" s="1"/>
      <c r="V1238" s="38"/>
      <c r="W1238" s="1"/>
      <c r="X1238" s="1"/>
    </row>
    <row r="1239" spans="1:24" ht="14.4">
      <c r="A1239" s="1"/>
      <c r="M1239" s="26"/>
      <c r="N1239" s="26"/>
      <c r="P1239" s="1"/>
      <c r="Q1239" s="1"/>
      <c r="R1239" s="1"/>
      <c r="S1239" s="1"/>
      <c r="T1239" s="1"/>
      <c r="U1239" s="1"/>
      <c r="V1239" s="38"/>
      <c r="W1239" s="1"/>
      <c r="X1239" s="1"/>
    </row>
    <row r="1240" spans="1:24" ht="14.4">
      <c r="A1240" s="1"/>
      <c r="M1240" s="26"/>
      <c r="N1240" s="26"/>
      <c r="P1240" s="1"/>
      <c r="Q1240" s="1"/>
      <c r="R1240" s="1"/>
      <c r="S1240" s="1"/>
      <c r="T1240" s="1"/>
      <c r="U1240" s="1"/>
      <c r="V1240" s="38"/>
      <c r="W1240" s="1"/>
      <c r="X1240" s="1"/>
    </row>
    <row r="1241" spans="1:24" ht="14.4">
      <c r="A1241" s="1"/>
      <c r="M1241" s="26"/>
      <c r="N1241" s="26"/>
      <c r="P1241" s="1"/>
      <c r="Q1241" s="1"/>
      <c r="R1241" s="1"/>
      <c r="S1241" s="1"/>
      <c r="T1241" s="1"/>
      <c r="U1241" s="1"/>
      <c r="V1241" s="38"/>
      <c r="W1241" s="1"/>
      <c r="X1241" s="1"/>
    </row>
    <row r="1242" spans="1:24" ht="14.4">
      <c r="A1242" s="1"/>
      <c r="M1242" s="26"/>
      <c r="N1242" s="26"/>
      <c r="P1242" s="1"/>
      <c r="Q1242" s="1"/>
      <c r="R1242" s="1"/>
      <c r="S1242" s="1"/>
      <c r="T1242" s="1"/>
      <c r="U1242" s="1"/>
      <c r="V1242" s="38"/>
      <c r="W1242" s="1"/>
      <c r="X1242" s="1"/>
    </row>
    <row r="1243" spans="1:24" ht="14.4">
      <c r="A1243" s="1"/>
      <c r="M1243" s="26"/>
      <c r="N1243" s="26"/>
      <c r="P1243" s="1"/>
      <c r="Q1243" s="1"/>
      <c r="R1243" s="1"/>
      <c r="S1243" s="1"/>
      <c r="T1243" s="1"/>
      <c r="U1243" s="1"/>
      <c r="V1243" s="38"/>
      <c r="W1243" s="1"/>
      <c r="X1243" s="1"/>
    </row>
    <row r="1244" spans="1:24" ht="14.4">
      <c r="A1244" s="1"/>
      <c r="M1244" s="26"/>
      <c r="N1244" s="26"/>
      <c r="P1244" s="1"/>
      <c r="Q1244" s="1"/>
      <c r="R1244" s="1"/>
      <c r="S1244" s="1"/>
      <c r="T1244" s="1"/>
      <c r="U1244" s="1"/>
      <c r="V1244" s="38"/>
      <c r="W1244" s="1"/>
      <c r="X1244" s="1"/>
    </row>
    <row r="1245" spans="1:24" ht="14.4">
      <c r="A1245" s="1"/>
      <c r="M1245" s="26"/>
      <c r="N1245" s="26"/>
      <c r="P1245" s="1"/>
      <c r="Q1245" s="1"/>
      <c r="R1245" s="1"/>
      <c r="S1245" s="1"/>
      <c r="T1245" s="1"/>
      <c r="U1245" s="1"/>
      <c r="V1245" s="38"/>
      <c r="W1245" s="1"/>
      <c r="X1245" s="1"/>
    </row>
    <row r="1246" spans="1:24" ht="14.4">
      <c r="A1246" s="1"/>
      <c r="M1246" s="26"/>
      <c r="N1246" s="26"/>
      <c r="P1246" s="1"/>
      <c r="Q1246" s="1"/>
      <c r="R1246" s="1"/>
      <c r="S1246" s="1"/>
      <c r="T1246" s="1"/>
      <c r="U1246" s="1"/>
      <c r="V1246" s="38"/>
      <c r="W1246" s="1"/>
      <c r="X1246" s="1"/>
    </row>
    <row r="1247" spans="1:24" ht="14.4">
      <c r="A1247" s="1"/>
      <c r="M1247" s="26"/>
      <c r="N1247" s="26"/>
      <c r="P1247" s="1"/>
      <c r="Q1247" s="1"/>
      <c r="R1247" s="1"/>
      <c r="S1247" s="1"/>
      <c r="T1247" s="1"/>
      <c r="U1247" s="1"/>
      <c r="V1247" s="38"/>
      <c r="W1247" s="1"/>
      <c r="X1247" s="1"/>
    </row>
    <row r="1248" spans="1:24" ht="14.4">
      <c r="A1248" s="1"/>
      <c r="M1248" s="26"/>
      <c r="N1248" s="26"/>
      <c r="P1248" s="1"/>
      <c r="Q1248" s="1"/>
      <c r="R1248" s="1"/>
      <c r="S1248" s="1"/>
      <c r="T1248" s="1"/>
      <c r="U1248" s="1"/>
      <c r="V1248" s="38"/>
      <c r="W1248" s="1"/>
      <c r="X1248" s="1"/>
    </row>
    <row r="1249" spans="1:24" ht="14.4">
      <c r="A1249" s="1"/>
      <c r="M1249" s="26"/>
      <c r="N1249" s="26"/>
      <c r="P1249" s="1"/>
      <c r="Q1249" s="1"/>
      <c r="R1249" s="1"/>
      <c r="S1249" s="1"/>
      <c r="T1249" s="1"/>
      <c r="U1249" s="1"/>
      <c r="V1249" s="38"/>
      <c r="W1249" s="1"/>
      <c r="X1249" s="1"/>
    </row>
    <row r="1250" spans="1:24" ht="14.4">
      <c r="A1250" s="1"/>
      <c r="M1250" s="26"/>
      <c r="N1250" s="26"/>
      <c r="P1250" s="1"/>
      <c r="Q1250" s="1"/>
      <c r="R1250" s="1"/>
      <c r="S1250" s="1"/>
      <c r="T1250" s="1"/>
      <c r="U1250" s="1"/>
      <c r="V1250" s="38"/>
      <c r="W1250" s="1"/>
      <c r="X1250" s="1"/>
    </row>
    <row r="1251" spans="1:24" ht="14.4">
      <c r="A1251" s="1"/>
      <c r="M1251" s="26"/>
      <c r="N1251" s="26"/>
      <c r="P1251" s="1"/>
      <c r="Q1251" s="1"/>
      <c r="R1251" s="1"/>
      <c r="S1251" s="1"/>
      <c r="T1251" s="1"/>
      <c r="U1251" s="1"/>
      <c r="V1251" s="38"/>
      <c r="W1251" s="1"/>
      <c r="X1251" s="1"/>
    </row>
    <row r="1252" spans="1:24" ht="14.4">
      <c r="A1252" s="1"/>
      <c r="M1252" s="26"/>
      <c r="N1252" s="26"/>
      <c r="P1252" s="1"/>
      <c r="Q1252" s="1"/>
      <c r="R1252" s="1"/>
      <c r="S1252" s="1"/>
      <c r="T1252" s="1"/>
      <c r="U1252" s="1"/>
      <c r="V1252" s="38"/>
      <c r="W1252" s="1"/>
      <c r="X1252" s="1"/>
    </row>
    <row r="1253" spans="1:24" ht="14.4">
      <c r="A1253" s="1"/>
      <c r="M1253" s="26"/>
      <c r="N1253" s="26"/>
      <c r="P1253" s="1"/>
      <c r="Q1253" s="1"/>
      <c r="R1253" s="1"/>
      <c r="S1253" s="1"/>
      <c r="T1253" s="1"/>
      <c r="U1253" s="1"/>
      <c r="V1253" s="38"/>
      <c r="W1253" s="1"/>
      <c r="X1253" s="1"/>
    </row>
    <row r="1254" spans="1:24" ht="14.4">
      <c r="A1254" s="1"/>
      <c r="M1254" s="26"/>
      <c r="N1254" s="26"/>
      <c r="P1254" s="1"/>
      <c r="Q1254" s="1"/>
      <c r="R1254" s="1"/>
      <c r="S1254" s="1"/>
      <c r="T1254" s="1"/>
      <c r="U1254" s="1"/>
      <c r="V1254" s="38"/>
      <c r="W1254" s="1"/>
      <c r="X1254" s="1"/>
    </row>
    <row r="1255" spans="1:24" ht="14.4">
      <c r="A1255" s="1"/>
      <c r="M1255" s="26"/>
      <c r="N1255" s="26"/>
      <c r="P1255" s="1"/>
      <c r="Q1255" s="1"/>
      <c r="R1255" s="1"/>
      <c r="S1255" s="1"/>
      <c r="T1255" s="1"/>
      <c r="U1255" s="1"/>
      <c r="V1255" s="38"/>
      <c r="W1255" s="1"/>
      <c r="X1255" s="1"/>
    </row>
    <row r="1256" spans="1:24" ht="14.4">
      <c r="A1256" s="1"/>
      <c r="M1256" s="26"/>
      <c r="N1256" s="26"/>
      <c r="P1256" s="1"/>
      <c r="Q1256" s="1"/>
      <c r="R1256" s="1"/>
      <c r="S1256" s="1"/>
      <c r="T1256" s="1"/>
      <c r="U1256" s="1"/>
      <c r="V1256" s="38"/>
      <c r="W1256" s="1"/>
      <c r="X1256" s="1"/>
    </row>
    <row r="1257" spans="1:24" ht="14.4">
      <c r="A1257" s="1"/>
      <c r="M1257" s="26"/>
      <c r="N1257" s="26"/>
      <c r="P1257" s="1"/>
      <c r="Q1257" s="1"/>
      <c r="R1257" s="1"/>
      <c r="S1257" s="1"/>
      <c r="T1257" s="1"/>
      <c r="U1257" s="1"/>
      <c r="V1257" s="38"/>
      <c r="W1257" s="1"/>
      <c r="X1257" s="1"/>
    </row>
    <row r="1258" spans="1:24" ht="14.4">
      <c r="A1258" s="1"/>
      <c r="M1258" s="26"/>
      <c r="N1258" s="26"/>
      <c r="P1258" s="1"/>
      <c r="Q1258" s="1"/>
      <c r="R1258" s="1"/>
      <c r="S1258" s="1"/>
      <c r="T1258" s="1"/>
      <c r="U1258" s="1"/>
      <c r="V1258" s="38"/>
      <c r="W1258" s="1"/>
      <c r="X1258" s="1"/>
    </row>
    <row r="1259" spans="1:24" ht="14.4">
      <c r="A1259" s="1"/>
      <c r="M1259" s="26"/>
      <c r="N1259" s="26"/>
      <c r="P1259" s="1"/>
      <c r="Q1259" s="1"/>
      <c r="R1259" s="1"/>
      <c r="S1259" s="1"/>
      <c r="T1259" s="1"/>
      <c r="U1259" s="1"/>
      <c r="V1259" s="38"/>
      <c r="W1259" s="1"/>
      <c r="X1259" s="1"/>
    </row>
    <row r="1260" spans="1:24" ht="14.4">
      <c r="A1260" s="1"/>
      <c r="M1260" s="26"/>
      <c r="N1260" s="26"/>
      <c r="P1260" s="1"/>
      <c r="Q1260" s="1"/>
      <c r="R1260" s="1"/>
      <c r="S1260" s="1"/>
      <c r="T1260" s="1"/>
      <c r="U1260" s="1"/>
      <c r="V1260" s="38"/>
      <c r="W1260" s="1"/>
      <c r="X1260" s="1"/>
    </row>
    <row r="1261" spans="1:24" ht="14.4">
      <c r="A1261" s="1"/>
      <c r="M1261" s="26"/>
      <c r="N1261" s="26"/>
      <c r="P1261" s="1"/>
      <c r="Q1261" s="1"/>
      <c r="R1261" s="1"/>
      <c r="S1261" s="1"/>
      <c r="T1261" s="1"/>
      <c r="U1261" s="1"/>
      <c r="V1261" s="38"/>
      <c r="W1261" s="1"/>
      <c r="X1261" s="1"/>
    </row>
    <row r="1262" spans="1:24" ht="14.4">
      <c r="A1262" s="1"/>
      <c r="M1262" s="26"/>
      <c r="N1262" s="26"/>
      <c r="P1262" s="1"/>
      <c r="Q1262" s="1"/>
      <c r="R1262" s="1"/>
      <c r="S1262" s="1"/>
      <c r="T1262" s="1"/>
      <c r="U1262" s="1"/>
      <c r="V1262" s="38"/>
      <c r="W1262" s="1"/>
      <c r="X1262" s="1"/>
    </row>
    <row r="1263" spans="1:24" ht="14.4">
      <c r="A1263" s="1"/>
      <c r="M1263" s="26"/>
      <c r="N1263" s="26"/>
      <c r="P1263" s="1"/>
      <c r="Q1263" s="1"/>
      <c r="R1263" s="1"/>
      <c r="S1263" s="1"/>
      <c r="T1263" s="1"/>
      <c r="U1263" s="1"/>
      <c r="V1263" s="38"/>
      <c r="W1263" s="1"/>
      <c r="X1263" s="1"/>
    </row>
    <row r="1264" spans="1:24" ht="14.4">
      <c r="A1264" s="1"/>
      <c r="M1264" s="26"/>
      <c r="N1264" s="26"/>
      <c r="P1264" s="1"/>
      <c r="Q1264" s="1"/>
      <c r="R1264" s="1"/>
      <c r="S1264" s="1"/>
      <c r="T1264" s="1"/>
      <c r="U1264" s="1"/>
      <c r="V1264" s="38"/>
      <c r="W1264" s="1"/>
      <c r="X1264" s="1"/>
    </row>
    <row r="1265" spans="1:24" ht="14.4">
      <c r="A1265" s="1"/>
      <c r="M1265" s="26"/>
      <c r="N1265" s="26"/>
      <c r="P1265" s="1"/>
      <c r="Q1265" s="1"/>
      <c r="R1265" s="1"/>
      <c r="S1265" s="1"/>
      <c r="T1265" s="1"/>
      <c r="U1265" s="1"/>
      <c r="V1265" s="38"/>
      <c r="W1265" s="1"/>
      <c r="X1265" s="1"/>
    </row>
    <row r="1266" spans="1:24" ht="14.4">
      <c r="A1266" s="1"/>
      <c r="M1266" s="26"/>
      <c r="N1266" s="26"/>
      <c r="P1266" s="1"/>
      <c r="Q1266" s="1"/>
      <c r="R1266" s="1"/>
      <c r="S1266" s="1"/>
      <c r="T1266" s="1"/>
      <c r="U1266" s="1"/>
      <c r="V1266" s="38"/>
      <c r="W1266" s="1"/>
      <c r="X1266" s="1"/>
    </row>
    <row r="1267" spans="1:24" ht="14.4">
      <c r="A1267" s="1"/>
      <c r="M1267" s="26"/>
      <c r="N1267" s="26"/>
      <c r="P1267" s="1"/>
      <c r="Q1267" s="1"/>
      <c r="R1267" s="1"/>
      <c r="S1267" s="1"/>
      <c r="T1267" s="1"/>
      <c r="U1267" s="1"/>
      <c r="V1267" s="38"/>
      <c r="W1267" s="1"/>
      <c r="X1267" s="1"/>
    </row>
    <row r="1268" spans="1:24" ht="14.4">
      <c r="A1268" s="1"/>
      <c r="M1268" s="26"/>
      <c r="N1268" s="26"/>
      <c r="P1268" s="1"/>
      <c r="Q1268" s="1"/>
      <c r="R1268" s="1"/>
      <c r="S1268" s="1"/>
      <c r="T1268" s="1"/>
      <c r="U1268" s="1"/>
      <c r="V1268" s="38"/>
      <c r="W1268" s="1"/>
      <c r="X1268" s="1"/>
    </row>
    <row r="1269" spans="1:24" ht="14.4">
      <c r="A1269" s="1"/>
      <c r="M1269" s="26"/>
      <c r="N1269" s="26"/>
      <c r="P1269" s="1"/>
      <c r="Q1269" s="1"/>
      <c r="R1269" s="1"/>
      <c r="S1269" s="1"/>
      <c r="T1269" s="1"/>
      <c r="U1269" s="1"/>
      <c r="V1269" s="38"/>
      <c r="W1269" s="1"/>
      <c r="X1269" s="1"/>
    </row>
    <row r="1270" spans="1:24" ht="14.4">
      <c r="A1270" s="1"/>
      <c r="M1270" s="26"/>
      <c r="N1270" s="26"/>
      <c r="P1270" s="1"/>
      <c r="Q1270" s="1"/>
      <c r="R1270" s="1"/>
      <c r="S1270" s="1"/>
      <c r="T1270" s="1"/>
      <c r="U1270" s="1"/>
      <c r="V1270" s="38"/>
      <c r="W1270" s="1"/>
      <c r="X1270" s="1"/>
    </row>
    <row r="1271" spans="1:24" ht="14.4">
      <c r="A1271" s="1"/>
      <c r="M1271" s="26"/>
      <c r="N1271" s="26"/>
      <c r="P1271" s="1"/>
      <c r="Q1271" s="1"/>
      <c r="R1271" s="1"/>
      <c r="S1271" s="1"/>
      <c r="T1271" s="1"/>
      <c r="U1271" s="1"/>
      <c r="V1271" s="38"/>
      <c r="W1271" s="1"/>
      <c r="X1271" s="1"/>
    </row>
    <row r="1272" spans="1:24" ht="14.4">
      <c r="A1272" s="1"/>
      <c r="M1272" s="26"/>
      <c r="N1272" s="26"/>
      <c r="P1272" s="1"/>
      <c r="Q1272" s="1"/>
      <c r="R1272" s="1"/>
      <c r="S1272" s="1"/>
      <c r="T1272" s="1"/>
      <c r="U1272" s="1"/>
      <c r="V1272" s="38"/>
      <c r="W1272" s="1"/>
      <c r="X1272" s="1"/>
    </row>
    <row r="1273" spans="1:24" ht="14.4">
      <c r="A1273" s="1"/>
      <c r="M1273" s="26"/>
      <c r="N1273" s="26"/>
      <c r="P1273" s="1"/>
      <c r="Q1273" s="1"/>
      <c r="R1273" s="1"/>
      <c r="S1273" s="1"/>
      <c r="T1273" s="1"/>
      <c r="U1273" s="1"/>
      <c r="V1273" s="38"/>
      <c r="W1273" s="1"/>
      <c r="X1273" s="1"/>
    </row>
    <row r="1274" spans="1:24" ht="14.4">
      <c r="A1274" s="1"/>
      <c r="M1274" s="26"/>
      <c r="N1274" s="26"/>
      <c r="P1274" s="1"/>
      <c r="Q1274" s="1"/>
      <c r="R1274" s="1"/>
      <c r="S1274" s="1"/>
      <c r="T1274" s="1"/>
      <c r="U1274" s="1"/>
      <c r="V1274" s="38"/>
      <c r="W1274" s="1"/>
      <c r="X1274" s="1"/>
    </row>
    <row r="1275" spans="1:24" ht="14.4">
      <c r="A1275" s="1"/>
      <c r="M1275" s="26"/>
      <c r="N1275" s="26"/>
      <c r="P1275" s="1"/>
      <c r="Q1275" s="1"/>
      <c r="R1275" s="1"/>
      <c r="S1275" s="1"/>
      <c r="T1275" s="1"/>
      <c r="U1275" s="1"/>
      <c r="V1275" s="38"/>
      <c r="W1275" s="1"/>
      <c r="X1275" s="1"/>
    </row>
    <row r="1276" spans="1:24" ht="14.4">
      <c r="A1276" s="1"/>
      <c r="M1276" s="26"/>
      <c r="N1276" s="26"/>
      <c r="P1276" s="1"/>
      <c r="Q1276" s="1"/>
      <c r="R1276" s="1"/>
      <c r="S1276" s="1"/>
      <c r="T1276" s="1"/>
      <c r="U1276" s="1"/>
      <c r="V1276" s="38"/>
      <c r="W1276" s="1"/>
      <c r="X1276" s="1"/>
    </row>
    <row r="1277" spans="1:24" ht="14.4">
      <c r="A1277" s="1"/>
      <c r="M1277" s="26"/>
      <c r="N1277" s="26"/>
      <c r="P1277" s="1"/>
      <c r="Q1277" s="1"/>
      <c r="R1277" s="1"/>
      <c r="S1277" s="1"/>
      <c r="T1277" s="1"/>
      <c r="U1277" s="1"/>
      <c r="V1277" s="38"/>
      <c r="W1277" s="1"/>
      <c r="X1277" s="1"/>
    </row>
    <row r="1278" spans="1:24" ht="14.4">
      <c r="A1278" s="1"/>
      <c r="M1278" s="26"/>
      <c r="N1278" s="26"/>
      <c r="P1278" s="1"/>
      <c r="Q1278" s="1"/>
      <c r="R1278" s="1"/>
      <c r="S1278" s="1"/>
      <c r="T1278" s="1"/>
      <c r="U1278" s="1"/>
      <c r="V1278" s="38"/>
      <c r="W1278" s="1"/>
      <c r="X1278" s="1"/>
    </row>
    <row r="1279" spans="1:24" ht="14.4">
      <c r="A1279" s="1"/>
      <c r="M1279" s="26"/>
      <c r="N1279" s="26"/>
      <c r="P1279" s="1"/>
      <c r="Q1279" s="1"/>
      <c r="R1279" s="1"/>
      <c r="S1279" s="1"/>
      <c r="T1279" s="1"/>
      <c r="U1279" s="1"/>
      <c r="V1279" s="38"/>
      <c r="W1279" s="1"/>
      <c r="X1279" s="1"/>
    </row>
    <row r="1280" spans="1:24" ht="14.4">
      <c r="A1280" s="1"/>
      <c r="M1280" s="26"/>
      <c r="N1280" s="26"/>
      <c r="P1280" s="1"/>
      <c r="Q1280" s="1"/>
      <c r="R1280" s="1"/>
      <c r="S1280" s="1"/>
      <c r="T1280" s="1"/>
      <c r="U1280" s="1"/>
      <c r="V1280" s="38"/>
      <c r="W1280" s="1"/>
      <c r="X1280" s="1"/>
    </row>
    <row r="1281" spans="1:24" ht="14.4">
      <c r="A1281" s="1"/>
      <c r="M1281" s="26"/>
      <c r="N1281" s="26"/>
      <c r="P1281" s="1"/>
      <c r="Q1281" s="1"/>
      <c r="R1281" s="1"/>
      <c r="S1281" s="1"/>
      <c r="T1281" s="1"/>
      <c r="U1281" s="1"/>
      <c r="V1281" s="38"/>
      <c r="W1281" s="1"/>
      <c r="X1281" s="1"/>
    </row>
    <row r="1282" spans="1:24" ht="14.4">
      <c r="A1282" s="1"/>
      <c r="M1282" s="26"/>
      <c r="N1282" s="26"/>
      <c r="P1282" s="1"/>
      <c r="Q1282" s="1"/>
      <c r="R1282" s="1"/>
      <c r="S1282" s="1"/>
      <c r="T1282" s="1"/>
      <c r="U1282" s="1"/>
      <c r="V1282" s="38"/>
      <c r="W1282" s="1"/>
      <c r="X1282" s="1"/>
    </row>
    <row r="1283" spans="1:24" ht="14.4">
      <c r="A1283" s="1"/>
      <c r="M1283" s="26"/>
      <c r="N1283" s="26"/>
      <c r="P1283" s="1"/>
      <c r="Q1283" s="1"/>
      <c r="R1283" s="1"/>
      <c r="S1283" s="1"/>
      <c r="T1283" s="1"/>
      <c r="U1283" s="1"/>
      <c r="V1283" s="38"/>
      <c r="W1283" s="1"/>
      <c r="X1283" s="1"/>
    </row>
    <row r="1284" spans="1:24" ht="14.4">
      <c r="A1284" s="1"/>
      <c r="M1284" s="26"/>
      <c r="N1284" s="26"/>
      <c r="P1284" s="1"/>
      <c r="Q1284" s="1"/>
      <c r="R1284" s="1"/>
      <c r="S1284" s="1"/>
      <c r="T1284" s="1"/>
      <c r="U1284" s="1"/>
      <c r="V1284" s="38"/>
      <c r="W1284" s="1"/>
      <c r="X1284" s="1"/>
    </row>
    <row r="1285" spans="1:24" ht="14.4">
      <c r="A1285" s="1"/>
      <c r="M1285" s="26"/>
      <c r="N1285" s="26"/>
      <c r="P1285" s="1"/>
      <c r="Q1285" s="1"/>
      <c r="R1285" s="1"/>
      <c r="S1285" s="1"/>
      <c r="T1285" s="1"/>
      <c r="U1285" s="1"/>
      <c r="V1285" s="38"/>
      <c r="W1285" s="1"/>
      <c r="X1285" s="1"/>
    </row>
    <row r="1286" spans="1:24" ht="14.4">
      <c r="A1286" s="1"/>
      <c r="M1286" s="26"/>
      <c r="N1286" s="26"/>
      <c r="P1286" s="1"/>
      <c r="Q1286" s="1"/>
      <c r="R1286" s="1"/>
      <c r="S1286" s="1"/>
      <c r="T1286" s="1"/>
      <c r="U1286" s="1"/>
      <c r="V1286" s="38"/>
      <c r="W1286" s="1"/>
      <c r="X1286" s="1"/>
    </row>
    <row r="1287" spans="1:24" ht="14.4">
      <c r="A1287" s="1"/>
      <c r="M1287" s="26"/>
      <c r="N1287" s="26"/>
      <c r="P1287" s="1"/>
      <c r="Q1287" s="1"/>
      <c r="R1287" s="1"/>
      <c r="S1287" s="1"/>
      <c r="T1287" s="1"/>
      <c r="U1287" s="1"/>
      <c r="V1287" s="38"/>
      <c r="W1287" s="1"/>
      <c r="X1287" s="1"/>
    </row>
    <row r="1288" spans="1:24" ht="14.4">
      <c r="A1288" s="1"/>
      <c r="M1288" s="26"/>
      <c r="N1288" s="26"/>
      <c r="P1288" s="1"/>
      <c r="Q1288" s="1"/>
      <c r="R1288" s="1"/>
      <c r="S1288" s="1"/>
      <c r="T1288" s="1"/>
      <c r="U1288" s="1"/>
      <c r="V1288" s="38"/>
      <c r="W1288" s="1"/>
      <c r="X1288" s="1"/>
    </row>
    <row r="1289" spans="1:24" ht="14.4">
      <c r="A1289" s="1"/>
      <c r="M1289" s="26"/>
      <c r="N1289" s="26"/>
      <c r="P1289" s="1"/>
      <c r="Q1289" s="1"/>
      <c r="R1289" s="1"/>
      <c r="S1289" s="1"/>
      <c r="T1289" s="1"/>
      <c r="U1289" s="1"/>
      <c r="V1289" s="38"/>
      <c r="W1289" s="1"/>
      <c r="X1289" s="1"/>
    </row>
    <row r="1290" spans="1:24" ht="14.4">
      <c r="A1290" s="1"/>
      <c r="M1290" s="26"/>
      <c r="N1290" s="26"/>
      <c r="P1290" s="1"/>
      <c r="Q1290" s="1"/>
      <c r="R1290" s="1"/>
      <c r="S1290" s="1"/>
      <c r="T1290" s="1"/>
      <c r="U1290" s="1"/>
      <c r="V1290" s="38"/>
      <c r="W1290" s="1"/>
      <c r="X1290" s="1"/>
    </row>
    <row r="1291" spans="1:24" ht="14.4">
      <c r="A1291" s="1"/>
      <c r="M1291" s="26"/>
      <c r="N1291" s="26"/>
      <c r="P1291" s="1"/>
      <c r="Q1291" s="1"/>
      <c r="R1291" s="1"/>
      <c r="S1291" s="1"/>
      <c r="T1291" s="1"/>
      <c r="U1291" s="1"/>
      <c r="V1291" s="38"/>
      <c r="W1291" s="1"/>
      <c r="X1291" s="1"/>
    </row>
    <row r="1292" spans="1:24" ht="14.4">
      <c r="A1292" s="1"/>
      <c r="M1292" s="26"/>
      <c r="N1292" s="26"/>
      <c r="P1292" s="1"/>
      <c r="Q1292" s="1"/>
      <c r="R1292" s="1"/>
      <c r="S1292" s="1"/>
      <c r="T1292" s="1"/>
      <c r="U1292" s="1"/>
      <c r="V1292" s="38"/>
      <c r="W1292" s="1"/>
      <c r="X1292" s="1"/>
    </row>
    <row r="1293" spans="1:24" ht="14.4">
      <c r="A1293" s="1"/>
      <c r="M1293" s="26"/>
      <c r="N1293" s="26"/>
      <c r="P1293" s="1"/>
      <c r="Q1293" s="1"/>
      <c r="R1293" s="1"/>
      <c r="S1293" s="1"/>
      <c r="T1293" s="1"/>
      <c r="U1293" s="1"/>
      <c r="V1293" s="38"/>
      <c r="W1293" s="1"/>
      <c r="X1293" s="1"/>
    </row>
    <row r="1294" spans="1:24" ht="14.4">
      <c r="A1294" s="1"/>
      <c r="M1294" s="26"/>
      <c r="N1294" s="26"/>
      <c r="P1294" s="1"/>
      <c r="Q1294" s="1"/>
      <c r="R1294" s="1"/>
      <c r="S1294" s="1"/>
      <c r="T1294" s="1"/>
      <c r="U1294" s="1"/>
      <c r="V1294" s="38"/>
      <c r="W1294" s="1"/>
      <c r="X1294" s="1"/>
    </row>
    <row r="1295" spans="1:24" ht="14.4">
      <c r="A1295" s="1"/>
      <c r="M1295" s="26"/>
      <c r="N1295" s="26"/>
      <c r="P1295" s="1"/>
      <c r="Q1295" s="1"/>
      <c r="R1295" s="1"/>
      <c r="S1295" s="1"/>
      <c r="T1295" s="1"/>
      <c r="U1295" s="1"/>
      <c r="V1295" s="38"/>
      <c r="W1295" s="1"/>
      <c r="X1295" s="1"/>
    </row>
    <row r="1296" spans="1:24" ht="14.4">
      <c r="A1296" s="1"/>
      <c r="M1296" s="26"/>
      <c r="N1296" s="26"/>
      <c r="P1296" s="1"/>
      <c r="Q1296" s="1"/>
      <c r="R1296" s="1"/>
      <c r="S1296" s="1"/>
      <c r="T1296" s="1"/>
      <c r="U1296" s="1"/>
      <c r="V1296" s="38"/>
      <c r="W1296" s="1"/>
      <c r="X1296" s="1"/>
    </row>
    <row r="1297" spans="1:24" ht="14.4">
      <c r="A1297" s="1"/>
      <c r="M1297" s="26"/>
      <c r="N1297" s="26"/>
      <c r="P1297" s="1"/>
      <c r="Q1297" s="1"/>
      <c r="R1297" s="1"/>
      <c r="S1297" s="1"/>
      <c r="T1297" s="1"/>
      <c r="U1297" s="1"/>
      <c r="V1297" s="38"/>
      <c r="W1297" s="1"/>
      <c r="X1297" s="1"/>
    </row>
    <row r="1298" spans="1:24" ht="14.4">
      <c r="A1298" s="1"/>
      <c r="M1298" s="26"/>
      <c r="N1298" s="26"/>
      <c r="P1298" s="1"/>
      <c r="Q1298" s="1"/>
      <c r="R1298" s="1"/>
      <c r="S1298" s="1"/>
      <c r="T1298" s="1"/>
      <c r="U1298" s="1"/>
      <c r="V1298" s="38"/>
      <c r="W1298" s="1"/>
      <c r="X1298" s="1"/>
    </row>
    <row r="1299" spans="1:24" ht="14.4">
      <c r="A1299" s="1"/>
      <c r="M1299" s="26"/>
      <c r="N1299" s="26"/>
      <c r="P1299" s="1"/>
      <c r="Q1299" s="1"/>
      <c r="R1299" s="1"/>
      <c r="S1299" s="1"/>
      <c r="T1299" s="1"/>
      <c r="U1299" s="1"/>
      <c r="V1299" s="38"/>
      <c r="W1299" s="1"/>
      <c r="X1299" s="1"/>
    </row>
    <row r="1300" spans="1:24" ht="14.4">
      <c r="A1300" s="1"/>
      <c r="M1300" s="26"/>
      <c r="N1300" s="26"/>
      <c r="P1300" s="1"/>
      <c r="Q1300" s="1"/>
      <c r="R1300" s="1"/>
      <c r="S1300" s="1"/>
      <c r="T1300" s="1"/>
      <c r="U1300" s="1"/>
      <c r="V1300" s="38"/>
      <c r="W1300" s="1"/>
      <c r="X1300" s="1"/>
    </row>
    <row r="1301" spans="1:24" ht="14.4">
      <c r="A1301" s="1"/>
      <c r="M1301" s="26"/>
      <c r="N1301" s="26"/>
      <c r="P1301" s="1"/>
      <c r="Q1301" s="1"/>
      <c r="R1301" s="1"/>
      <c r="S1301" s="1"/>
      <c r="T1301" s="1"/>
      <c r="U1301" s="1"/>
      <c r="V1301" s="38"/>
      <c r="W1301" s="1"/>
      <c r="X1301" s="1"/>
    </row>
    <row r="1302" spans="1:24" ht="14.4">
      <c r="A1302" s="1"/>
      <c r="M1302" s="26"/>
      <c r="N1302" s="26"/>
      <c r="P1302" s="1"/>
      <c r="Q1302" s="1"/>
      <c r="R1302" s="1"/>
      <c r="S1302" s="1"/>
      <c r="T1302" s="1"/>
      <c r="U1302" s="1"/>
      <c r="V1302" s="38"/>
      <c r="W1302" s="1"/>
      <c r="X1302" s="1"/>
    </row>
    <row r="1303" spans="1:24" ht="14.4">
      <c r="A1303" s="1"/>
      <c r="M1303" s="26"/>
      <c r="N1303" s="26"/>
      <c r="P1303" s="1"/>
      <c r="Q1303" s="1"/>
      <c r="R1303" s="1"/>
      <c r="S1303" s="1"/>
      <c r="T1303" s="1"/>
      <c r="U1303" s="1"/>
      <c r="V1303" s="38"/>
      <c r="W1303" s="1"/>
      <c r="X1303" s="1"/>
    </row>
    <row r="1304" spans="1:24" ht="14.4">
      <c r="A1304" s="1"/>
      <c r="M1304" s="26"/>
      <c r="N1304" s="26"/>
      <c r="P1304" s="1"/>
      <c r="Q1304" s="1"/>
      <c r="R1304" s="1"/>
      <c r="S1304" s="1"/>
      <c r="T1304" s="1"/>
      <c r="U1304" s="1"/>
      <c r="V1304" s="38"/>
      <c r="W1304" s="1"/>
      <c r="X1304" s="1"/>
    </row>
    <row r="1305" spans="1:24" ht="14.4">
      <c r="A1305" s="1"/>
      <c r="M1305" s="26"/>
      <c r="N1305" s="26"/>
      <c r="P1305" s="1"/>
      <c r="Q1305" s="1"/>
      <c r="R1305" s="1"/>
      <c r="S1305" s="1"/>
      <c r="T1305" s="1"/>
      <c r="U1305" s="1"/>
      <c r="V1305" s="38"/>
      <c r="W1305" s="1"/>
      <c r="X1305" s="1"/>
    </row>
    <row r="1306" spans="1:24" ht="14.4">
      <c r="A1306" s="1"/>
      <c r="M1306" s="26"/>
      <c r="N1306" s="26"/>
      <c r="P1306" s="1"/>
      <c r="Q1306" s="1"/>
      <c r="R1306" s="1"/>
      <c r="S1306" s="1"/>
      <c r="T1306" s="1"/>
      <c r="U1306" s="1"/>
      <c r="V1306" s="38"/>
      <c r="W1306" s="1"/>
      <c r="X1306" s="1"/>
    </row>
    <row r="1307" spans="1:24" ht="14.4">
      <c r="A1307" s="1"/>
      <c r="M1307" s="26"/>
      <c r="N1307" s="26"/>
      <c r="P1307" s="1"/>
      <c r="Q1307" s="1"/>
      <c r="R1307" s="1"/>
      <c r="S1307" s="1"/>
      <c r="T1307" s="1"/>
      <c r="U1307" s="1"/>
      <c r="V1307" s="38"/>
      <c r="W1307" s="1"/>
      <c r="X1307" s="1"/>
    </row>
    <row r="1308" spans="1:24" ht="14.4">
      <c r="A1308" s="1"/>
      <c r="M1308" s="26"/>
      <c r="N1308" s="26"/>
      <c r="P1308" s="1"/>
      <c r="Q1308" s="1"/>
      <c r="R1308" s="1"/>
      <c r="S1308" s="1"/>
      <c r="T1308" s="1"/>
      <c r="U1308" s="1"/>
      <c r="V1308" s="38"/>
      <c r="W1308" s="1"/>
      <c r="X1308" s="1"/>
    </row>
    <row r="1309" spans="1:24" ht="14.4">
      <c r="A1309" s="1"/>
      <c r="M1309" s="26"/>
      <c r="N1309" s="26"/>
      <c r="P1309" s="1"/>
      <c r="Q1309" s="1"/>
      <c r="R1309" s="1"/>
      <c r="S1309" s="1"/>
      <c r="T1309" s="1"/>
      <c r="U1309" s="1"/>
      <c r="V1309" s="38"/>
      <c r="W1309" s="1"/>
      <c r="X1309" s="1"/>
    </row>
    <row r="1310" spans="1:24" ht="14.4">
      <c r="A1310" s="1"/>
      <c r="M1310" s="26"/>
      <c r="N1310" s="26"/>
      <c r="P1310" s="1"/>
      <c r="Q1310" s="1"/>
      <c r="R1310" s="1"/>
      <c r="S1310" s="1"/>
      <c r="T1310" s="1"/>
      <c r="U1310" s="1"/>
      <c r="V1310" s="38"/>
      <c r="W1310" s="1"/>
      <c r="X1310" s="1"/>
    </row>
    <row r="1311" spans="1:24" ht="14.4">
      <c r="A1311" s="1"/>
      <c r="M1311" s="26"/>
      <c r="N1311" s="26"/>
      <c r="P1311" s="1"/>
      <c r="Q1311" s="1"/>
      <c r="R1311" s="1"/>
      <c r="S1311" s="1"/>
      <c r="T1311" s="1"/>
      <c r="U1311" s="1"/>
      <c r="V1311" s="38"/>
      <c r="W1311" s="1"/>
      <c r="X1311" s="1"/>
    </row>
    <row r="1312" spans="1:24" ht="14.4">
      <c r="A1312" s="1"/>
      <c r="M1312" s="26"/>
      <c r="N1312" s="26"/>
      <c r="P1312" s="1"/>
      <c r="Q1312" s="1"/>
      <c r="R1312" s="1"/>
      <c r="S1312" s="1"/>
      <c r="T1312" s="1"/>
      <c r="U1312" s="1"/>
      <c r="V1312" s="38"/>
      <c r="W1312" s="1"/>
      <c r="X1312" s="1"/>
    </row>
    <row r="1313" spans="1:24" ht="14.4">
      <c r="A1313" s="1"/>
      <c r="M1313" s="26"/>
      <c r="N1313" s="26"/>
      <c r="P1313" s="1"/>
      <c r="Q1313" s="1"/>
      <c r="R1313" s="1"/>
      <c r="S1313" s="1"/>
      <c r="T1313" s="1"/>
      <c r="U1313" s="1"/>
      <c r="V1313" s="38"/>
      <c r="W1313" s="1"/>
      <c r="X1313" s="1"/>
    </row>
    <row r="1314" spans="1:24" ht="14.4">
      <c r="A1314" s="1"/>
      <c r="M1314" s="26"/>
      <c r="N1314" s="26"/>
      <c r="P1314" s="1"/>
      <c r="Q1314" s="1"/>
      <c r="R1314" s="1"/>
      <c r="S1314" s="1"/>
      <c r="T1314" s="1"/>
      <c r="U1314" s="1"/>
      <c r="V1314" s="38"/>
      <c r="W1314" s="1"/>
      <c r="X1314" s="1"/>
    </row>
    <row r="1315" spans="1:24" ht="14.4">
      <c r="A1315" s="1"/>
      <c r="M1315" s="26"/>
      <c r="N1315" s="26"/>
      <c r="P1315" s="1"/>
      <c r="Q1315" s="1"/>
      <c r="R1315" s="1"/>
      <c r="S1315" s="1"/>
      <c r="T1315" s="1"/>
      <c r="U1315" s="1"/>
      <c r="V1315" s="38"/>
      <c r="W1315" s="1"/>
      <c r="X1315" s="1"/>
    </row>
    <row r="1316" spans="1:24" ht="14.4">
      <c r="A1316" s="1"/>
      <c r="M1316" s="26"/>
      <c r="N1316" s="26"/>
      <c r="P1316" s="1"/>
      <c r="Q1316" s="1"/>
      <c r="R1316" s="1"/>
      <c r="S1316" s="1"/>
      <c r="T1316" s="1"/>
      <c r="U1316" s="1"/>
      <c r="V1316" s="38"/>
      <c r="W1316" s="1"/>
      <c r="X1316" s="1"/>
    </row>
    <row r="1317" spans="1:24" ht="14.4">
      <c r="A1317" s="1"/>
      <c r="M1317" s="26"/>
      <c r="N1317" s="26"/>
      <c r="P1317" s="1"/>
      <c r="Q1317" s="1"/>
      <c r="R1317" s="1"/>
      <c r="S1317" s="1"/>
      <c r="T1317" s="1"/>
      <c r="U1317" s="1"/>
      <c r="V1317" s="38"/>
      <c r="W1317" s="1"/>
      <c r="X1317" s="1"/>
    </row>
    <row r="1318" spans="1:24" ht="14.4">
      <c r="A1318" s="1"/>
      <c r="M1318" s="26"/>
      <c r="N1318" s="26"/>
      <c r="P1318" s="1"/>
      <c r="Q1318" s="1"/>
      <c r="R1318" s="1"/>
      <c r="S1318" s="1"/>
      <c r="T1318" s="1"/>
      <c r="U1318" s="1"/>
      <c r="V1318" s="38"/>
      <c r="W1318" s="1"/>
      <c r="X1318" s="1"/>
    </row>
    <row r="1319" spans="1:24" ht="14.4">
      <c r="A1319" s="1"/>
      <c r="M1319" s="26"/>
      <c r="N1319" s="26"/>
      <c r="P1319" s="1"/>
      <c r="Q1319" s="1"/>
      <c r="R1319" s="1"/>
      <c r="S1319" s="1"/>
      <c r="T1319" s="1"/>
      <c r="U1319" s="1"/>
      <c r="V1319" s="38"/>
      <c r="W1319" s="1"/>
      <c r="X1319" s="1"/>
    </row>
    <row r="1320" spans="1:24" ht="14.4">
      <c r="A1320" s="1"/>
      <c r="M1320" s="26"/>
      <c r="N1320" s="26"/>
      <c r="P1320" s="1"/>
      <c r="Q1320" s="1"/>
      <c r="R1320" s="1"/>
      <c r="S1320" s="1"/>
      <c r="T1320" s="1"/>
      <c r="U1320" s="1"/>
      <c r="V1320" s="38"/>
      <c r="W1320" s="1"/>
      <c r="X1320" s="1"/>
    </row>
    <row r="1321" spans="1:24" ht="14.4">
      <c r="A1321" s="1"/>
      <c r="M1321" s="26"/>
      <c r="N1321" s="26"/>
      <c r="P1321" s="1"/>
      <c r="Q1321" s="1"/>
      <c r="R1321" s="1"/>
      <c r="S1321" s="1"/>
      <c r="T1321" s="1"/>
      <c r="U1321" s="1"/>
      <c r="V1321" s="38"/>
      <c r="W1321" s="1"/>
      <c r="X1321" s="1"/>
    </row>
    <row r="1322" spans="1:24" ht="14.4">
      <c r="A1322" s="1"/>
      <c r="M1322" s="26"/>
      <c r="N1322" s="26"/>
      <c r="P1322" s="1"/>
      <c r="Q1322" s="1"/>
      <c r="R1322" s="1"/>
      <c r="S1322" s="1"/>
      <c r="T1322" s="1"/>
      <c r="U1322" s="1"/>
      <c r="V1322" s="38"/>
      <c r="W1322" s="1"/>
      <c r="X1322" s="1"/>
    </row>
    <row r="1323" spans="1:24" ht="14.4">
      <c r="A1323" s="1"/>
      <c r="M1323" s="26"/>
      <c r="N1323" s="26"/>
      <c r="P1323" s="1"/>
      <c r="Q1323" s="1"/>
      <c r="R1323" s="1"/>
      <c r="S1323" s="1"/>
      <c r="T1323" s="1"/>
      <c r="U1323" s="1"/>
      <c r="V1323" s="38"/>
      <c r="W1323" s="1"/>
      <c r="X1323" s="1"/>
    </row>
    <row r="1324" spans="1:24" ht="14.4">
      <c r="A1324" s="1"/>
      <c r="M1324" s="26"/>
      <c r="N1324" s="26"/>
      <c r="P1324" s="1"/>
      <c r="Q1324" s="1"/>
      <c r="R1324" s="1"/>
      <c r="S1324" s="1"/>
      <c r="T1324" s="1"/>
      <c r="U1324" s="1"/>
      <c r="V1324" s="38"/>
      <c r="W1324" s="1"/>
      <c r="X1324" s="1"/>
    </row>
    <row r="1325" spans="1:24" ht="14.4">
      <c r="A1325" s="1"/>
      <c r="M1325" s="26"/>
      <c r="N1325" s="26"/>
      <c r="P1325" s="1"/>
      <c r="Q1325" s="1"/>
      <c r="R1325" s="1"/>
      <c r="S1325" s="1"/>
      <c r="T1325" s="1"/>
      <c r="U1325" s="1"/>
      <c r="V1325" s="38"/>
      <c r="W1325" s="1"/>
      <c r="X1325" s="1"/>
    </row>
    <row r="1326" spans="1:24" ht="14.4">
      <c r="A1326" s="1"/>
      <c r="M1326" s="26"/>
      <c r="N1326" s="26"/>
      <c r="P1326" s="1"/>
      <c r="Q1326" s="1"/>
      <c r="R1326" s="1"/>
      <c r="S1326" s="1"/>
      <c r="T1326" s="1"/>
      <c r="U1326" s="1"/>
      <c r="V1326" s="38"/>
      <c r="W1326" s="1"/>
      <c r="X1326" s="1"/>
    </row>
    <row r="1327" spans="1:24" ht="14.4">
      <c r="A1327" s="1"/>
      <c r="M1327" s="26"/>
      <c r="N1327" s="26"/>
      <c r="P1327" s="1"/>
      <c r="Q1327" s="1"/>
      <c r="R1327" s="1"/>
      <c r="S1327" s="1"/>
      <c r="T1327" s="1"/>
      <c r="U1327" s="1"/>
      <c r="V1327" s="38"/>
      <c r="W1327" s="1"/>
      <c r="X1327" s="1"/>
    </row>
    <row r="1328" spans="1:24" ht="14.4">
      <c r="A1328" s="1"/>
      <c r="M1328" s="26"/>
      <c r="N1328" s="26"/>
      <c r="P1328" s="1"/>
      <c r="Q1328" s="1"/>
      <c r="R1328" s="1"/>
      <c r="S1328" s="1"/>
      <c r="T1328" s="1"/>
      <c r="U1328" s="1"/>
      <c r="V1328" s="38"/>
      <c r="W1328" s="1"/>
      <c r="X1328" s="1"/>
    </row>
    <row r="1329" spans="1:24" ht="14.4">
      <c r="A1329" s="1"/>
      <c r="M1329" s="26"/>
      <c r="N1329" s="26"/>
      <c r="P1329" s="1"/>
      <c r="Q1329" s="1"/>
      <c r="R1329" s="1"/>
      <c r="S1329" s="1"/>
      <c r="T1329" s="1"/>
      <c r="U1329" s="1"/>
      <c r="V1329" s="38"/>
      <c r="W1329" s="1"/>
      <c r="X1329" s="1"/>
    </row>
    <row r="1330" spans="1:24" ht="14.4">
      <c r="A1330" s="1"/>
      <c r="M1330" s="26"/>
      <c r="N1330" s="26"/>
      <c r="P1330" s="1"/>
      <c r="Q1330" s="1"/>
      <c r="R1330" s="1"/>
      <c r="S1330" s="1"/>
      <c r="T1330" s="1"/>
      <c r="U1330" s="1"/>
      <c r="V1330" s="38"/>
      <c r="W1330" s="1"/>
      <c r="X1330" s="1"/>
    </row>
    <row r="1331" spans="1:24" ht="14.4">
      <c r="A1331" s="1"/>
      <c r="M1331" s="26"/>
      <c r="N1331" s="26"/>
      <c r="P1331" s="1"/>
      <c r="Q1331" s="1"/>
      <c r="R1331" s="1"/>
      <c r="S1331" s="1"/>
      <c r="T1331" s="1"/>
      <c r="U1331" s="1"/>
      <c r="V1331" s="38"/>
      <c r="W1331" s="1"/>
      <c r="X1331" s="1"/>
    </row>
    <row r="1332" spans="1:24" ht="14.4">
      <c r="A1332" s="1"/>
      <c r="M1332" s="26"/>
      <c r="N1332" s="26"/>
      <c r="P1332" s="1"/>
      <c r="Q1332" s="1"/>
      <c r="R1332" s="1"/>
      <c r="S1332" s="1"/>
      <c r="T1332" s="1"/>
      <c r="U1332" s="1"/>
      <c r="V1332" s="38"/>
      <c r="W1332" s="1"/>
      <c r="X1332" s="1"/>
    </row>
    <row r="1333" spans="1:24" ht="14.4">
      <c r="A1333" s="1"/>
      <c r="M1333" s="26"/>
      <c r="N1333" s="26"/>
      <c r="P1333" s="1"/>
      <c r="Q1333" s="1"/>
      <c r="R1333" s="1"/>
      <c r="S1333" s="1"/>
      <c r="T1333" s="1"/>
      <c r="U1333" s="1"/>
      <c r="V1333" s="38"/>
      <c r="W1333" s="1"/>
      <c r="X1333" s="1"/>
    </row>
    <row r="1334" spans="1:24" ht="14.4">
      <c r="A1334" s="1"/>
      <c r="M1334" s="26"/>
      <c r="N1334" s="26"/>
      <c r="P1334" s="1"/>
      <c r="Q1334" s="1"/>
      <c r="R1334" s="1"/>
      <c r="S1334" s="1"/>
      <c r="T1334" s="1"/>
      <c r="U1334" s="1"/>
      <c r="V1334" s="38"/>
      <c r="W1334" s="1"/>
      <c r="X1334" s="1"/>
    </row>
    <row r="1335" spans="1:24" ht="14.4">
      <c r="A1335" s="1"/>
      <c r="M1335" s="26"/>
      <c r="N1335" s="26"/>
      <c r="P1335" s="1"/>
      <c r="Q1335" s="1"/>
      <c r="R1335" s="1"/>
      <c r="S1335" s="1"/>
      <c r="T1335" s="1"/>
      <c r="U1335" s="1"/>
      <c r="V1335" s="38"/>
      <c r="W1335" s="1"/>
      <c r="X1335" s="1"/>
    </row>
    <row r="1336" spans="1:24" ht="14.4">
      <c r="A1336" s="1"/>
      <c r="M1336" s="26"/>
      <c r="N1336" s="26"/>
      <c r="P1336" s="1"/>
      <c r="Q1336" s="1"/>
      <c r="R1336" s="1"/>
      <c r="S1336" s="1"/>
      <c r="T1336" s="1"/>
      <c r="U1336" s="1"/>
      <c r="V1336" s="38"/>
      <c r="W1336" s="1"/>
      <c r="X1336" s="1"/>
    </row>
    <row r="1337" spans="1:24" ht="14.4">
      <c r="A1337" s="1"/>
      <c r="M1337" s="26"/>
      <c r="N1337" s="26"/>
      <c r="P1337" s="1"/>
      <c r="Q1337" s="1"/>
      <c r="R1337" s="1"/>
      <c r="S1337" s="1"/>
      <c r="T1337" s="1"/>
      <c r="U1337" s="1"/>
      <c r="V1337" s="38"/>
      <c r="W1337" s="1"/>
      <c r="X1337" s="1"/>
    </row>
    <row r="1338" spans="1:24" ht="14.4">
      <c r="A1338" s="1"/>
      <c r="M1338" s="26"/>
      <c r="N1338" s="26"/>
      <c r="P1338" s="1"/>
      <c r="Q1338" s="1"/>
      <c r="R1338" s="1"/>
      <c r="S1338" s="1"/>
      <c r="T1338" s="1"/>
      <c r="U1338" s="1"/>
      <c r="V1338" s="38"/>
      <c r="W1338" s="1"/>
      <c r="X1338" s="1"/>
    </row>
    <row r="1339" spans="1:24" ht="14.4">
      <c r="A1339" s="1"/>
      <c r="M1339" s="26"/>
      <c r="N1339" s="26"/>
      <c r="P1339" s="1"/>
      <c r="Q1339" s="1"/>
      <c r="R1339" s="1"/>
      <c r="S1339" s="1"/>
      <c r="T1339" s="1"/>
      <c r="U1339" s="1"/>
      <c r="V1339" s="38"/>
      <c r="W1339" s="1"/>
      <c r="X1339" s="1"/>
    </row>
    <row r="1340" spans="1:24" ht="14.4">
      <c r="A1340" s="1"/>
      <c r="M1340" s="26"/>
      <c r="N1340" s="26"/>
      <c r="P1340" s="1"/>
      <c r="Q1340" s="1"/>
      <c r="R1340" s="1"/>
      <c r="S1340" s="1"/>
      <c r="T1340" s="1"/>
      <c r="U1340" s="1"/>
      <c r="V1340" s="38"/>
      <c r="W1340" s="1"/>
      <c r="X1340" s="1"/>
    </row>
    <row r="1341" spans="1:24" ht="14.4">
      <c r="A1341" s="1"/>
      <c r="M1341" s="26"/>
      <c r="N1341" s="26"/>
      <c r="P1341" s="1"/>
      <c r="Q1341" s="1"/>
      <c r="R1341" s="1"/>
      <c r="S1341" s="1"/>
      <c r="T1341" s="1"/>
      <c r="U1341" s="1"/>
      <c r="V1341" s="38"/>
      <c r="W1341" s="1"/>
      <c r="X1341" s="1"/>
    </row>
    <row r="1342" spans="1:24" ht="14.4">
      <c r="A1342" s="1"/>
      <c r="M1342" s="26"/>
      <c r="N1342" s="26"/>
      <c r="P1342" s="1"/>
      <c r="Q1342" s="1"/>
      <c r="R1342" s="1"/>
      <c r="S1342" s="1"/>
      <c r="T1342" s="1"/>
      <c r="U1342" s="1"/>
      <c r="V1342" s="38"/>
      <c r="W1342" s="1"/>
      <c r="X1342" s="1"/>
    </row>
    <row r="1343" spans="1:24" ht="14.4">
      <c r="A1343" s="1"/>
      <c r="M1343" s="26"/>
      <c r="N1343" s="26"/>
      <c r="P1343" s="1"/>
      <c r="Q1343" s="1"/>
      <c r="R1343" s="1"/>
      <c r="S1343" s="1"/>
      <c r="T1343" s="1"/>
      <c r="U1343" s="1"/>
      <c r="V1343" s="38"/>
      <c r="W1343" s="1"/>
      <c r="X1343" s="1"/>
    </row>
    <row r="1344" spans="1:24" ht="14.4">
      <c r="A1344" s="1"/>
      <c r="M1344" s="26"/>
      <c r="N1344" s="26"/>
      <c r="P1344" s="1"/>
      <c r="Q1344" s="1"/>
      <c r="R1344" s="1"/>
      <c r="S1344" s="1"/>
      <c r="T1344" s="1"/>
      <c r="U1344" s="1"/>
      <c r="V1344" s="38"/>
      <c r="W1344" s="1"/>
      <c r="X1344" s="1"/>
    </row>
    <row r="1345" spans="1:24" ht="14.4">
      <c r="A1345" s="1"/>
      <c r="M1345" s="26"/>
      <c r="N1345" s="26"/>
      <c r="P1345" s="1"/>
      <c r="Q1345" s="1"/>
      <c r="R1345" s="1"/>
      <c r="S1345" s="1"/>
      <c r="T1345" s="1"/>
      <c r="U1345" s="1"/>
      <c r="V1345" s="38"/>
      <c r="W1345" s="1"/>
      <c r="X1345" s="1"/>
    </row>
    <row r="1346" spans="1:24" ht="14.4">
      <c r="A1346" s="1"/>
      <c r="M1346" s="26"/>
      <c r="N1346" s="26"/>
      <c r="P1346" s="1"/>
      <c r="Q1346" s="1"/>
      <c r="R1346" s="1"/>
      <c r="S1346" s="1"/>
      <c r="T1346" s="1"/>
      <c r="U1346" s="1"/>
      <c r="V1346" s="38"/>
      <c r="W1346" s="1"/>
      <c r="X1346" s="1"/>
    </row>
    <row r="1347" spans="1:24" ht="14.4">
      <c r="A1347" s="1"/>
      <c r="M1347" s="26"/>
      <c r="N1347" s="26"/>
      <c r="P1347" s="1"/>
      <c r="Q1347" s="1"/>
      <c r="R1347" s="1"/>
      <c r="S1347" s="1"/>
      <c r="T1347" s="1"/>
      <c r="U1347" s="1"/>
      <c r="V1347" s="38"/>
      <c r="W1347" s="1"/>
      <c r="X1347" s="1"/>
    </row>
    <row r="1348" spans="1:24" ht="14.4">
      <c r="A1348" s="1"/>
      <c r="M1348" s="26"/>
      <c r="N1348" s="26"/>
      <c r="P1348" s="1"/>
      <c r="Q1348" s="1"/>
      <c r="R1348" s="1"/>
      <c r="S1348" s="1"/>
      <c r="T1348" s="1"/>
      <c r="U1348" s="1"/>
      <c r="V1348" s="38"/>
      <c r="W1348" s="1"/>
      <c r="X1348" s="1"/>
    </row>
    <row r="1349" spans="1:24" ht="14.4">
      <c r="A1349" s="1"/>
      <c r="M1349" s="26"/>
      <c r="N1349" s="26"/>
      <c r="P1349" s="1"/>
      <c r="Q1349" s="1"/>
      <c r="R1349" s="1"/>
      <c r="S1349" s="1"/>
      <c r="T1349" s="1"/>
      <c r="U1349" s="1"/>
      <c r="V1349" s="38"/>
      <c r="W1349" s="1"/>
      <c r="X1349" s="1"/>
    </row>
    <row r="1350" spans="1:24" ht="14.4">
      <c r="A1350" s="1"/>
      <c r="M1350" s="26"/>
      <c r="N1350" s="26"/>
      <c r="P1350" s="1"/>
      <c r="Q1350" s="1"/>
      <c r="R1350" s="1"/>
      <c r="S1350" s="1"/>
      <c r="T1350" s="1"/>
      <c r="U1350" s="1"/>
      <c r="V1350" s="38"/>
      <c r="W1350" s="1"/>
      <c r="X1350" s="1"/>
    </row>
    <row r="1351" spans="1:24" ht="14.4">
      <c r="A1351" s="1"/>
      <c r="M1351" s="26"/>
      <c r="N1351" s="26"/>
      <c r="P1351" s="1"/>
      <c r="Q1351" s="1"/>
      <c r="R1351" s="1"/>
      <c r="S1351" s="1"/>
      <c r="T1351" s="1"/>
      <c r="U1351" s="1"/>
      <c r="V1351" s="38"/>
      <c r="W1351" s="1"/>
      <c r="X1351" s="1"/>
    </row>
    <row r="1352" spans="1:24" ht="14.4">
      <c r="A1352" s="1"/>
      <c r="M1352" s="26"/>
      <c r="N1352" s="26"/>
      <c r="P1352" s="1"/>
      <c r="Q1352" s="1"/>
      <c r="R1352" s="1"/>
      <c r="S1352" s="1"/>
      <c r="T1352" s="1"/>
      <c r="U1352" s="1"/>
      <c r="V1352" s="38"/>
      <c r="W1352" s="1"/>
      <c r="X1352" s="1"/>
    </row>
    <row r="1353" spans="1:24" ht="14.4">
      <c r="A1353" s="1"/>
      <c r="M1353" s="26"/>
      <c r="N1353" s="26"/>
      <c r="P1353" s="1"/>
      <c r="Q1353" s="1"/>
      <c r="R1353" s="1"/>
      <c r="S1353" s="1"/>
      <c r="T1353" s="1"/>
      <c r="U1353" s="1"/>
      <c r="V1353" s="38"/>
      <c r="W1353" s="1"/>
      <c r="X1353" s="1"/>
    </row>
    <row r="1354" spans="1:24" ht="14.4">
      <c r="A1354" s="1"/>
      <c r="M1354" s="26"/>
      <c r="N1354" s="26"/>
      <c r="P1354" s="1"/>
      <c r="Q1354" s="1"/>
      <c r="R1354" s="1"/>
      <c r="S1354" s="1"/>
      <c r="T1354" s="1"/>
      <c r="U1354" s="1"/>
      <c r="V1354" s="38"/>
      <c r="W1354" s="1"/>
      <c r="X1354" s="1"/>
    </row>
    <row r="1355" spans="1:24" ht="14.4">
      <c r="A1355" s="1"/>
      <c r="M1355" s="26"/>
      <c r="N1355" s="26"/>
      <c r="P1355" s="1"/>
      <c r="Q1355" s="1"/>
      <c r="R1355" s="1"/>
      <c r="S1355" s="1"/>
      <c r="T1355" s="1"/>
      <c r="U1355" s="1"/>
      <c r="V1355" s="38"/>
      <c r="W1355" s="1"/>
      <c r="X1355" s="1"/>
    </row>
    <row r="1356" spans="1:24" ht="14.4">
      <c r="A1356" s="1"/>
      <c r="M1356" s="26"/>
      <c r="N1356" s="26"/>
      <c r="P1356" s="1"/>
      <c r="Q1356" s="1"/>
      <c r="R1356" s="1"/>
      <c r="S1356" s="1"/>
      <c r="T1356" s="1"/>
      <c r="U1356" s="1"/>
      <c r="V1356" s="38"/>
      <c r="W1356" s="1"/>
      <c r="X1356" s="1"/>
    </row>
    <row r="1357" spans="1:24" ht="14.4">
      <c r="A1357" s="1"/>
      <c r="M1357" s="26"/>
      <c r="N1357" s="26"/>
      <c r="P1357" s="1"/>
      <c r="Q1357" s="1"/>
      <c r="R1357" s="1"/>
      <c r="S1357" s="1"/>
      <c r="T1357" s="1"/>
      <c r="U1357" s="1"/>
      <c r="V1357" s="38"/>
      <c r="W1357" s="1"/>
      <c r="X1357" s="1"/>
    </row>
    <row r="1358" spans="1:24" ht="14.4">
      <c r="A1358" s="1"/>
      <c r="M1358" s="26"/>
      <c r="N1358" s="26"/>
      <c r="P1358" s="1"/>
      <c r="Q1358" s="1"/>
      <c r="R1358" s="1"/>
      <c r="S1358" s="1"/>
      <c r="T1358" s="1"/>
      <c r="U1358" s="1"/>
      <c r="V1358" s="38"/>
      <c r="W1358" s="1"/>
      <c r="X1358" s="1"/>
    </row>
    <row r="1359" spans="1:24" ht="14.4">
      <c r="A1359" s="1"/>
      <c r="M1359" s="26"/>
      <c r="N1359" s="26"/>
      <c r="P1359" s="1"/>
      <c r="Q1359" s="1"/>
      <c r="R1359" s="1"/>
      <c r="S1359" s="1"/>
      <c r="T1359" s="1"/>
      <c r="U1359" s="1"/>
      <c r="V1359" s="38"/>
      <c r="W1359" s="1"/>
      <c r="X1359" s="1"/>
    </row>
    <row r="1360" spans="1:24" ht="14.4">
      <c r="A1360" s="1"/>
      <c r="M1360" s="26"/>
      <c r="N1360" s="26"/>
      <c r="P1360" s="1"/>
      <c r="Q1360" s="1"/>
      <c r="R1360" s="1"/>
      <c r="S1360" s="1"/>
      <c r="T1360" s="1"/>
      <c r="U1360" s="1"/>
      <c r="V1360" s="38"/>
      <c r="W1360" s="1"/>
      <c r="X1360" s="1"/>
    </row>
    <row r="1361" spans="1:24" ht="14.4">
      <c r="A1361" s="1"/>
      <c r="M1361" s="26"/>
      <c r="N1361" s="26"/>
      <c r="P1361" s="1"/>
      <c r="Q1361" s="1"/>
      <c r="R1361" s="1"/>
      <c r="S1361" s="1"/>
      <c r="T1361" s="1"/>
      <c r="U1361" s="1"/>
      <c r="V1361" s="38"/>
      <c r="W1361" s="1"/>
      <c r="X1361" s="1"/>
    </row>
    <row r="1362" spans="1:24" ht="14.4">
      <c r="A1362" s="1"/>
      <c r="M1362" s="26"/>
      <c r="N1362" s="26"/>
      <c r="P1362" s="1"/>
      <c r="Q1362" s="1"/>
      <c r="R1362" s="1"/>
      <c r="S1362" s="1"/>
      <c r="T1362" s="1"/>
      <c r="U1362" s="1"/>
      <c r="V1362" s="38"/>
      <c r="W1362" s="1"/>
      <c r="X1362" s="1"/>
    </row>
    <row r="1363" spans="1:24" ht="14.4">
      <c r="A1363" s="1"/>
      <c r="M1363" s="26"/>
      <c r="N1363" s="26"/>
      <c r="P1363" s="1"/>
      <c r="Q1363" s="1"/>
      <c r="R1363" s="1"/>
      <c r="S1363" s="1"/>
      <c r="T1363" s="1"/>
      <c r="U1363" s="1"/>
      <c r="V1363" s="38"/>
      <c r="W1363" s="1"/>
      <c r="X1363" s="1"/>
    </row>
    <row r="1364" spans="1:24" ht="14.4">
      <c r="A1364" s="1"/>
      <c r="M1364" s="26"/>
      <c r="N1364" s="26"/>
      <c r="P1364" s="1"/>
      <c r="Q1364" s="1"/>
      <c r="R1364" s="1"/>
      <c r="S1364" s="1"/>
      <c r="T1364" s="1"/>
      <c r="U1364" s="1"/>
      <c r="V1364" s="38"/>
      <c r="W1364" s="1"/>
      <c r="X1364" s="1"/>
    </row>
    <row r="1365" spans="1:24" ht="14.4">
      <c r="A1365" s="1"/>
      <c r="M1365" s="26"/>
      <c r="N1365" s="26"/>
      <c r="P1365" s="1"/>
      <c r="Q1365" s="1"/>
      <c r="R1365" s="1"/>
      <c r="S1365" s="1"/>
      <c r="T1365" s="1"/>
      <c r="U1365" s="1"/>
      <c r="V1365" s="38"/>
      <c r="W1365" s="1"/>
      <c r="X1365" s="1"/>
    </row>
    <row r="1366" spans="1:24" ht="14.4">
      <c r="A1366" s="1"/>
      <c r="M1366" s="26"/>
      <c r="N1366" s="26"/>
      <c r="P1366" s="1"/>
      <c r="Q1366" s="1"/>
      <c r="R1366" s="1"/>
      <c r="S1366" s="1"/>
      <c r="T1366" s="1"/>
      <c r="U1366" s="1"/>
      <c r="V1366" s="38"/>
      <c r="W1366" s="1"/>
      <c r="X1366" s="1"/>
    </row>
    <row r="1367" spans="1:24" ht="14.4">
      <c r="A1367" s="1"/>
      <c r="M1367" s="26"/>
      <c r="N1367" s="26"/>
      <c r="P1367" s="1"/>
      <c r="Q1367" s="1"/>
      <c r="R1367" s="1"/>
      <c r="S1367" s="1"/>
      <c r="T1367" s="1"/>
      <c r="U1367" s="1"/>
      <c r="V1367" s="38"/>
      <c r="W1367" s="1"/>
      <c r="X1367" s="1"/>
    </row>
    <row r="1368" spans="1:24" ht="14.4">
      <c r="A1368" s="1"/>
      <c r="M1368" s="26"/>
      <c r="N1368" s="26"/>
      <c r="P1368" s="1"/>
      <c r="Q1368" s="1"/>
      <c r="R1368" s="1"/>
      <c r="S1368" s="1"/>
      <c r="T1368" s="1"/>
      <c r="U1368" s="1"/>
      <c r="V1368" s="38"/>
      <c r="W1368" s="1"/>
      <c r="X1368" s="1"/>
    </row>
    <row r="1369" spans="1:24" ht="14.4">
      <c r="A1369" s="1"/>
      <c r="M1369" s="26"/>
      <c r="N1369" s="26"/>
      <c r="P1369" s="1"/>
      <c r="Q1369" s="1"/>
      <c r="R1369" s="1"/>
      <c r="S1369" s="1"/>
      <c r="T1369" s="1"/>
      <c r="U1369" s="1"/>
      <c r="V1369" s="38"/>
      <c r="W1369" s="1"/>
      <c r="X1369" s="1"/>
    </row>
    <row r="1370" spans="1:24" ht="14.4">
      <c r="A1370" s="1"/>
      <c r="M1370" s="26"/>
      <c r="N1370" s="26"/>
      <c r="P1370" s="1"/>
      <c r="Q1370" s="1"/>
      <c r="R1370" s="1"/>
      <c r="S1370" s="1"/>
      <c r="T1370" s="1"/>
      <c r="U1370" s="1"/>
      <c r="V1370" s="38"/>
      <c r="W1370" s="1"/>
      <c r="X1370" s="1"/>
    </row>
    <row r="1371" spans="1:24" ht="14.4">
      <c r="A1371" s="1"/>
      <c r="M1371" s="26"/>
      <c r="N1371" s="26"/>
      <c r="P1371" s="1"/>
      <c r="Q1371" s="1"/>
      <c r="R1371" s="1"/>
      <c r="S1371" s="1"/>
      <c r="T1371" s="1"/>
      <c r="U1371" s="1"/>
      <c r="V1371" s="38"/>
      <c r="W1371" s="1"/>
      <c r="X1371" s="1"/>
    </row>
    <row r="1372" spans="1:24" ht="14.4">
      <c r="A1372" s="1"/>
      <c r="M1372" s="26"/>
      <c r="N1372" s="26"/>
      <c r="P1372" s="1"/>
      <c r="Q1372" s="1"/>
      <c r="R1372" s="1"/>
      <c r="S1372" s="1"/>
      <c r="T1372" s="1"/>
      <c r="U1372" s="1"/>
      <c r="V1372" s="38"/>
      <c r="W1372" s="1"/>
      <c r="X1372" s="1"/>
    </row>
    <row r="1373" spans="1:24" ht="14.4">
      <c r="A1373" s="1"/>
      <c r="M1373" s="26"/>
      <c r="N1373" s="26"/>
      <c r="P1373" s="1"/>
      <c r="Q1373" s="1"/>
      <c r="R1373" s="1"/>
      <c r="S1373" s="1"/>
      <c r="T1373" s="1"/>
      <c r="U1373" s="1"/>
      <c r="V1373" s="38"/>
      <c r="W1373" s="1"/>
      <c r="X1373" s="1"/>
    </row>
    <row r="1374" spans="1:24" ht="14.4">
      <c r="A1374" s="1"/>
      <c r="M1374" s="26"/>
      <c r="N1374" s="26"/>
      <c r="P1374" s="1"/>
      <c r="Q1374" s="1"/>
      <c r="R1374" s="1"/>
      <c r="S1374" s="1"/>
      <c r="T1374" s="1"/>
      <c r="U1374" s="1"/>
      <c r="V1374" s="38"/>
      <c r="W1374" s="1"/>
      <c r="X1374" s="1"/>
    </row>
    <row r="1375" spans="1:24" ht="14.4">
      <c r="A1375" s="1"/>
      <c r="M1375" s="26"/>
      <c r="N1375" s="26"/>
      <c r="P1375" s="1"/>
      <c r="Q1375" s="1"/>
      <c r="R1375" s="1"/>
      <c r="S1375" s="1"/>
      <c r="T1375" s="1"/>
      <c r="U1375" s="1"/>
      <c r="V1375" s="38"/>
      <c r="W1375" s="1"/>
      <c r="X1375" s="1"/>
    </row>
    <row r="1376" spans="1:24" ht="14.4">
      <c r="A1376" s="1"/>
      <c r="M1376" s="26"/>
      <c r="N1376" s="26"/>
      <c r="P1376" s="1"/>
      <c r="Q1376" s="1"/>
      <c r="R1376" s="1"/>
      <c r="S1376" s="1"/>
      <c r="T1376" s="1"/>
      <c r="U1376" s="1"/>
      <c r="V1376" s="38"/>
      <c r="W1376" s="1"/>
      <c r="X1376" s="1"/>
    </row>
    <row r="1377" spans="1:24" ht="14.4">
      <c r="A1377" s="1"/>
      <c r="M1377" s="26"/>
      <c r="N1377" s="26"/>
      <c r="P1377" s="1"/>
      <c r="Q1377" s="1"/>
      <c r="R1377" s="1"/>
      <c r="S1377" s="1"/>
      <c r="T1377" s="1"/>
      <c r="U1377" s="1"/>
      <c r="V1377" s="38"/>
      <c r="W1377" s="1"/>
      <c r="X1377" s="1"/>
    </row>
    <row r="1378" spans="1:24" ht="14.4">
      <c r="A1378" s="1"/>
      <c r="M1378" s="26"/>
      <c r="N1378" s="26"/>
      <c r="P1378" s="1"/>
      <c r="Q1378" s="1"/>
      <c r="R1378" s="1"/>
      <c r="S1378" s="1"/>
      <c r="T1378" s="1"/>
      <c r="U1378" s="1"/>
      <c r="V1378" s="38"/>
      <c r="W1378" s="1"/>
      <c r="X1378" s="1"/>
    </row>
    <row r="1379" spans="1:24" ht="14.4">
      <c r="A1379" s="1"/>
      <c r="M1379" s="26"/>
      <c r="N1379" s="26"/>
      <c r="P1379" s="1"/>
      <c r="Q1379" s="1"/>
      <c r="R1379" s="1"/>
      <c r="S1379" s="1"/>
      <c r="T1379" s="1"/>
      <c r="U1379" s="1"/>
      <c r="V1379" s="38"/>
      <c r="W1379" s="1"/>
      <c r="X1379" s="1"/>
    </row>
    <row r="1380" spans="1:24" ht="14.4">
      <c r="A1380" s="1"/>
      <c r="M1380" s="26"/>
      <c r="N1380" s="26"/>
      <c r="P1380" s="1"/>
      <c r="Q1380" s="1"/>
      <c r="R1380" s="1"/>
      <c r="S1380" s="1"/>
      <c r="T1380" s="1"/>
      <c r="U1380" s="1"/>
      <c r="V1380" s="38"/>
      <c r="W1380" s="1"/>
      <c r="X1380" s="1"/>
    </row>
    <row r="1381" spans="1:24" ht="14.4">
      <c r="A1381" s="1"/>
      <c r="M1381" s="26"/>
      <c r="N1381" s="26"/>
      <c r="P1381" s="1"/>
      <c r="Q1381" s="1"/>
      <c r="R1381" s="1"/>
      <c r="S1381" s="1"/>
      <c r="T1381" s="1"/>
      <c r="U1381" s="1"/>
      <c r="V1381" s="38"/>
      <c r="W1381" s="1"/>
      <c r="X1381" s="1"/>
    </row>
    <row r="1382" spans="1:24" ht="14.4">
      <c r="A1382" s="1"/>
      <c r="M1382" s="26"/>
      <c r="N1382" s="26"/>
      <c r="P1382" s="1"/>
      <c r="Q1382" s="1"/>
      <c r="R1382" s="1"/>
      <c r="S1382" s="1"/>
      <c r="T1382" s="1"/>
      <c r="U1382" s="1"/>
      <c r="V1382" s="38"/>
      <c r="W1382" s="1"/>
      <c r="X1382" s="1"/>
    </row>
    <row r="1383" spans="1:24" ht="14.4">
      <c r="A1383" s="1"/>
      <c r="M1383" s="26"/>
      <c r="N1383" s="26"/>
      <c r="P1383" s="1"/>
      <c r="Q1383" s="1"/>
      <c r="R1383" s="1"/>
      <c r="S1383" s="1"/>
      <c r="T1383" s="1"/>
      <c r="U1383" s="1"/>
      <c r="V1383" s="38"/>
      <c r="W1383" s="1"/>
      <c r="X1383" s="1"/>
    </row>
    <row r="1384" spans="1:24" ht="14.4">
      <c r="A1384" s="1"/>
      <c r="M1384" s="26"/>
      <c r="N1384" s="26"/>
      <c r="P1384" s="1"/>
      <c r="Q1384" s="1"/>
      <c r="R1384" s="1"/>
      <c r="S1384" s="1"/>
      <c r="T1384" s="1"/>
      <c r="U1384" s="1"/>
      <c r="V1384" s="38"/>
      <c r="W1384" s="1"/>
      <c r="X1384" s="1"/>
    </row>
    <row r="1385" spans="1:24" ht="14.4">
      <c r="A1385" s="1"/>
      <c r="M1385" s="26"/>
      <c r="N1385" s="26"/>
      <c r="P1385" s="1"/>
      <c r="Q1385" s="1"/>
      <c r="R1385" s="1"/>
      <c r="S1385" s="1"/>
      <c r="T1385" s="1"/>
      <c r="U1385" s="1"/>
      <c r="V1385" s="38"/>
      <c r="W1385" s="1"/>
      <c r="X1385" s="1"/>
    </row>
    <row r="1386" spans="1:24" ht="14.4">
      <c r="A1386" s="1"/>
      <c r="M1386" s="26"/>
      <c r="N1386" s="26"/>
      <c r="P1386" s="1"/>
      <c r="Q1386" s="1"/>
      <c r="R1386" s="1"/>
      <c r="S1386" s="1"/>
      <c r="T1386" s="1"/>
      <c r="U1386" s="1"/>
      <c r="V1386" s="38"/>
      <c r="W1386" s="1"/>
      <c r="X1386" s="1"/>
    </row>
    <row r="1387" spans="1:24" ht="14.4">
      <c r="A1387" s="1"/>
      <c r="M1387" s="26"/>
      <c r="N1387" s="26"/>
      <c r="P1387" s="1"/>
      <c r="Q1387" s="1"/>
      <c r="R1387" s="1"/>
      <c r="S1387" s="1"/>
      <c r="T1387" s="1"/>
      <c r="U1387" s="1"/>
      <c r="V1387" s="38"/>
      <c r="W1387" s="1"/>
      <c r="X1387" s="1"/>
    </row>
    <row r="1388" spans="1:24" ht="14.4">
      <c r="A1388" s="1"/>
      <c r="M1388" s="26"/>
      <c r="N1388" s="26"/>
      <c r="P1388" s="1"/>
      <c r="Q1388" s="1"/>
      <c r="R1388" s="1"/>
      <c r="S1388" s="1"/>
      <c r="T1388" s="1"/>
      <c r="U1388" s="1"/>
      <c r="V1388" s="38"/>
      <c r="W1388" s="1"/>
      <c r="X1388" s="1"/>
    </row>
    <row r="1389" spans="1:24" ht="14.4">
      <c r="A1389" s="1"/>
      <c r="M1389" s="26"/>
      <c r="N1389" s="26"/>
      <c r="P1389" s="1"/>
      <c r="Q1389" s="1"/>
      <c r="R1389" s="1"/>
      <c r="S1389" s="1"/>
      <c r="T1389" s="1"/>
      <c r="U1389" s="1"/>
      <c r="V1389" s="38"/>
      <c r="W1389" s="1"/>
      <c r="X1389" s="1"/>
    </row>
    <row r="1390" spans="1:24" ht="14.4">
      <c r="A1390" s="1"/>
      <c r="M1390" s="26"/>
      <c r="N1390" s="26"/>
      <c r="P1390" s="1"/>
      <c r="Q1390" s="1"/>
      <c r="R1390" s="1"/>
      <c r="S1390" s="1"/>
      <c r="T1390" s="1"/>
      <c r="U1390" s="1"/>
      <c r="V1390" s="38"/>
      <c r="W1390" s="1"/>
      <c r="X1390" s="1"/>
    </row>
    <row r="1391" spans="1:24" ht="14.4">
      <c r="A1391" s="1"/>
      <c r="M1391" s="26"/>
      <c r="N1391" s="26"/>
      <c r="P1391" s="1"/>
      <c r="Q1391" s="1"/>
      <c r="R1391" s="1"/>
      <c r="S1391" s="1"/>
      <c r="T1391" s="1"/>
      <c r="U1391" s="1"/>
      <c r="V1391" s="38"/>
      <c r="W1391" s="1"/>
      <c r="X1391" s="1"/>
    </row>
    <row r="1392" spans="1:24" ht="14.4">
      <c r="A1392" s="1"/>
      <c r="M1392" s="26"/>
      <c r="N1392" s="26"/>
      <c r="P1392" s="1"/>
      <c r="Q1392" s="1"/>
      <c r="R1392" s="1"/>
      <c r="S1392" s="1"/>
      <c r="T1392" s="1"/>
      <c r="U1392" s="1"/>
      <c r="V1392" s="38"/>
      <c r="W1392" s="1"/>
      <c r="X1392" s="1"/>
    </row>
    <row r="1393" spans="1:24" ht="14.4">
      <c r="A1393" s="1"/>
      <c r="M1393" s="26"/>
      <c r="N1393" s="26"/>
      <c r="P1393" s="1"/>
      <c r="Q1393" s="1"/>
      <c r="R1393" s="1"/>
      <c r="S1393" s="1"/>
      <c r="T1393" s="1"/>
      <c r="U1393" s="1"/>
      <c r="V1393" s="38"/>
      <c r="W1393" s="1"/>
      <c r="X1393" s="1"/>
    </row>
    <row r="1394" spans="1:24" ht="14.4">
      <c r="A1394" s="1"/>
      <c r="M1394" s="26"/>
      <c r="N1394" s="26"/>
      <c r="P1394" s="1"/>
      <c r="Q1394" s="1"/>
      <c r="R1394" s="1"/>
      <c r="S1394" s="1"/>
      <c r="T1394" s="1"/>
      <c r="U1394" s="1"/>
      <c r="V1394" s="38"/>
      <c r="W1394" s="1"/>
      <c r="X1394" s="1"/>
    </row>
    <row r="1395" spans="1:24" ht="14.4">
      <c r="A1395" s="1"/>
      <c r="M1395" s="26"/>
      <c r="N1395" s="26"/>
      <c r="P1395" s="1"/>
      <c r="Q1395" s="1"/>
      <c r="R1395" s="1"/>
      <c r="S1395" s="1"/>
      <c r="T1395" s="1"/>
      <c r="U1395" s="1"/>
      <c r="V1395" s="38"/>
      <c r="W1395" s="1"/>
      <c r="X1395" s="1"/>
    </row>
    <row r="1396" spans="1:24" ht="14.4">
      <c r="A1396" s="1"/>
      <c r="M1396" s="26"/>
      <c r="N1396" s="26"/>
      <c r="P1396" s="1"/>
      <c r="Q1396" s="1"/>
      <c r="R1396" s="1"/>
      <c r="S1396" s="1"/>
      <c r="T1396" s="1"/>
      <c r="U1396" s="1"/>
      <c r="V1396" s="38"/>
      <c r="W1396" s="1"/>
      <c r="X1396" s="1"/>
    </row>
    <row r="1397" spans="1:24" ht="14.4">
      <c r="A1397" s="1"/>
      <c r="M1397" s="26"/>
      <c r="N1397" s="26"/>
      <c r="P1397" s="1"/>
      <c r="Q1397" s="1"/>
      <c r="R1397" s="1"/>
      <c r="S1397" s="1"/>
      <c r="T1397" s="1"/>
      <c r="U1397" s="1"/>
      <c r="V1397" s="38"/>
      <c r="W1397" s="1"/>
      <c r="X1397" s="1"/>
    </row>
    <row r="1398" spans="1:24" ht="14.4">
      <c r="A1398" s="1"/>
      <c r="M1398" s="26"/>
      <c r="N1398" s="26"/>
      <c r="P1398" s="1"/>
      <c r="Q1398" s="1"/>
      <c r="R1398" s="1"/>
      <c r="S1398" s="1"/>
      <c r="T1398" s="1"/>
      <c r="U1398" s="1"/>
      <c r="V1398" s="38"/>
      <c r="W1398" s="1"/>
      <c r="X1398" s="1"/>
    </row>
    <row r="1399" spans="1:24" ht="14.4">
      <c r="A1399" s="1"/>
      <c r="M1399" s="26"/>
      <c r="N1399" s="26"/>
      <c r="P1399" s="1"/>
      <c r="Q1399" s="1"/>
      <c r="R1399" s="1"/>
      <c r="S1399" s="1"/>
      <c r="T1399" s="1"/>
      <c r="U1399" s="1"/>
      <c r="V1399" s="38"/>
      <c r="W1399" s="1"/>
      <c r="X1399" s="1"/>
    </row>
    <row r="1400" spans="1:24" ht="14.4">
      <c r="A1400" s="1"/>
      <c r="M1400" s="26"/>
      <c r="N1400" s="26"/>
      <c r="P1400" s="1"/>
      <c r="Q1400" s="1"/>
      <c r="R1400" s="1"/>
      <c r="S1400" s="1"/>
      <c r="T1400" s="1"/>
      <c r="U1400" s="1"/>
      <c r="V1400" s="38"/>
      <c r="W1400" s="1"/>
      <c r="X1400" s="1"/>
    </row>
    <row r="1401" spans="1:24" ht="14.4">
      <c r="A1401" s="1"/>
      <c r="M1401" s="26"/>
      <c r="N1401" s="26"/>
      <c r="P1401" s="1"/>
      <c r="Q1401" s="1"/>
      <c r="R1401" s="1"/>
      <c r="S1401" s="1"/>
      <c r="T1401" s="1"/>
      <c r="U1401" s="1"/>
      <c r="V1401" s="38"/>
      <c r="W1401" s="1"/>
      <c r="X1401" s="1"/>
    </row>
    <row r="1402" spans="1:24" ht="14.4">
      <c r="A1402" s="1"/>
      <c r="M1402" s="26"/>
      <c r="N1402" s="26"/>
      <c r="P1402" s="1"/>
      <c r="Q1402" s="1"/>
      <c r="R1402" s="1"/>
      <c r="S1402" s="1"/>
      <c r="T1402" s="1"/>
      <c r="U1402" s="1"/>
      <c r="V1402" s="38"/>
      <c r="W1402" s="1"/>
      <c r="X1402" s="1"/>
    </row>
    <row r="1403" spans="1:24" ht="14.4">
      <c r="A1403" s="1"/>
      <c r="M1403" s="26"/>
      <c r="N1403" s="26"/>
      <c r="P1403" s="1"/>
      <c r="Q1403" s="1"/>
      <c r="R1403" s="1"/>
      <c r="S1403" s="1"/>
      <c r="T1403" s="1"/>
      <c r="U1403" s="1"/>
      <c r="V1403" s="38"/>
      <c r="W1403" s="1"/>
      <c r="X1403" s="1"/>
    </row>
    <row r="1404" spans="1:24" ht="14.4">
      <c r="A1404" s="1"/>
      <c r="M1404" s="26"/>
      <c r="N1404" s="26"/>
      <c r="P1404" s="1"/>
      <c r="Q1404" s="1"/>
      <c r="R1404" s="1"/>
      <c r="S1404" s="1"/>
      <c r="T1404" s="1"/>
      <c r="U1404" s="1"/>
      <c r="V1404" s="38"/>
      <c r="W1404" s="1"/>
      <c r="X1404" s="1"/>
    </row>
    <row r="1405" spans="1:24" ht="14.4">
      <c r="A1405" s="1"/>
      <c r="M1405" s="26"/>
      <c r="N1405" s="26"/>
      <c r="P1405" s="1"/>
      <c r="Q1405" s="1"/>
      <c r="R1405" s="1"/>
      <c r="S1405" s="1"/>
      <c r="T1405" s="1"/>
      <c r="U1405" s="1"/>
      <c r="V1405" s="38"/>
      <c r="W1405" s="1"/>
      <c r="X1405" s="1"/>
    </row>
    <row r="1406" spans="1:24" ht="14.4">
      <c r="A1406" s="1"/>
      <c r="M1406" s="26"/>
      <c r="N1406" s="26"/>
      <c r="P1406" s="1"/>
      <c r="Q1406" s="1"/>
      <c r="R1406" s="1"/>
      <c r="S1406" s="1"/>
      <c r="T1406" s="1"/>
      <c r="U1406" s="1"/>
      <c r="V1406" s="38"/>
      <c r="W1406" s="1"/>
      <c r="X1406" s="1"/>
    </row>
    <row r="1407" spans="1:24" ht="14.4">
      <c r="A1407" s="1"/>
      <c r="M1407" s="26"/>
      <c r="N1407" s="26"/>
      <c r="P1407" s="1"/>
      <c r="Q1407" s="1"/>
      <c r="R1407" s="1"/>
      <c r="S1407" s="1"/>
      <c r="T1407" s="1"/>
      <c r="U1407" s="1"/>
      <c r="V1407" s="38"/>
      <c r="W1407" s="1"/>
      <c r="X1407" s="1"/>
    </row>
    <row r="1408" spans="1:24" ht="14.4">
      <c r="A1408" s="1"/>
      <c r="M1408" s="26"/>
      <c r="N1408" s="26"/>
      <c r="P1408" s="1"/>
      <c r="Q1408" s="1"/>
      <c r="R1408" s="1"/>
      <c r="S1408" s="1"/>
      <c r="T1408" s="1"/>
      <c r="U1408" s="1"/>
      <c r="V1408" s="38"/>
      <c r="W1408" s="1"/>
      <c r="X1408" s="1"/>
    </row>
    <row r="1409" spans="1:24" ht="14.4">
      <c r="A1409" s="1"/>
      <c r="M1409" s="26"/>
      <c r="N1409" s="26"/>
      <c r="P1409" s="1"/>
      <c r="Q1409" s="1"/>
      <c r="R1409" s="1"/>
      <c r="S1409" s="1"/>
      <c r="T1409" s="1"/>
      <c r="U1409" s="1"/>
      <c r="V1409" s="38"/>
      <c r="W1409" s="1"/>
      <c r="X1409" s="1"/>
    </row>
    <row r="1410" spans="1:24" ht="14.4">
      <c r="A1410" s="1"/>
      <c r="M1410" s="26"/>
      <c r="N1410" s="26"/>
      <c r="P1410" s="1"/>
      <c r="Q1410" s="1"/>
      <c r="R1410" s="1"/>
      <c r="S1410" s="1"/>
      <c r="T1410" s="1"/>
      <c r="U1410" s="1"/>
      <c r="V1410" s="38"/>
      <c r="W1410" s="1"/>
      <c r="X1410" s="1"/>
    </row>
    <row r="1411" spans="1:24" ht="14.4">
      <c r="A1411" s="1"/>
      <c r="M1411" s="26"/>
      <c r="N1411" s="26"/>
      <c r="P1411" s="1"/>
      <c r="Q1411" s="1"/>
      <c r="R1411" s="1"/>
      <c r="S1411" s="1"/>
      <c r="T1411" s="1"/>
      <c r="U1411" s="1"/>
      <c r="V1411" s="38"/>
      <c r="W1411" s="1"/>
      <c r="X1411" s="1"/>
    </row>
    <row r="1412" spans="1:24" ht="14.4">
      <c r="A1412" s="1"/>
      <c r="M1412" s="26"/>
      <c r="N1412" s="26"/>
      <c r="P1412" s="1"/>
      <c r="Q1412" s="1"/>
      <c r="R1412" s="1"/>
      <c r="S1412" s="1"/>
      <c r="T1412" s="1"/>
      <c r="U1412" s="1"/>
      <c r="V1412" s="38"/>
      <c r="W1412" s="1"/>
      <c r="X1412" s="1"/>
    </row>
    <row r="1413" spans="1:24" ht="14.4">
      <c r="A1413" s="1"/>
      <c r="M1413" s="26"/>
      <c r="N1413" s="26"/>
      <c r="P1413" s="1"/>
      <c r="Q1413" s="1"/>
      <c r="R1413" s="1"/>
      <c r="S1413" s="1"/>
      <c r="T1413" s="1"/>
      <c r="U1413" s="1"/>
      <c r="V1413" s="38"/>
      <c r="W1413" s="1"/>
      <c r="X1413" s="1"/>
    </row>
    <row r="1414" spans="1:24" ht="14.4">
      <c r="A1414" s="1"/>
      <c r="M1414" s="26"/>
      <c r="N1414" s="26"/>
      <c r="P1414" s="1"/>
      <c r="Q1414" s="1"/>
      <c r="R1414" s="1"/>
      <c r="S1414" s="1"/>
      <c r="T1414" s="1"/>
      <c r="U1414" s="1"/>
      <c r="V1414" s="38"/>
      <c r="W1414" s="1"/>
      <c r="X1414" s="1"/>
    </row>
    <row r="1415" spans="1:24" ht="14.4">
      <c r="A1415" s="1"/>
      <c r="M1415" s="26"/>
      <c r="N1415" s="26"/>
      <c r="P1415" s="1"/>
      <c r="Q1415" s="1"/>
      <c r="R1415" s="1"/>
      <c r="S1415" s="1"/>
      <c r="T1415" s="1"/>
      <c r="U1415" s="1"/>
      <c r="V1415" s="38"/>
      <c r="W1415" s="1"/>
      <c r="X1415" s="1"/>
    </row>
    <row r="1416" spans="1:24" ht="14.4">
      <c r="A1416" s="1"/>
      <c r="M1416" s="26"/>
      <c r="N1416" s="26"/>
      <c r="P1416" s="1"/>
      <c r="Q1416" s="1"/>
      <c r="R1416" s="1"/>
      <c r="S1416" s="1"/>
      <c r="T1416" s="1"/>
      <c r="U1416" s="1"/>
      <c r="V1416" s="38"/>
      <c r="W1416" s="1"/>
      <c r="X1416" s="1"/>
    </row>
    <row r="1417" spans="1:24" ht="14.4">
      <c r="A1417" s="1"/>
      <c r="M1417" s="26"/>
      <c r="N1417" s="26"/>
      <c r="P1417" s="1"/>
      <c r="Q1417" s="1"/>
      <c r="R1417" s="1"/>
      <c r="S1417" s="1"/>
      <c r="T1417" s="1"/>
      <c r="U1417" s="1"/>
      <c r="V1417" s="38"/>
      <c r="W1417" s="1"/>
      <c r="X1417" s="1"/>
    </row>
    <row r="1418" spans="1:24" ht="14.4">
      <c r="A1418" s="1"/>
      <c r="M1418" s="26"/>
      <c r="N1418" s="26"/>
      <c r="P1418" s="1"/>
      <c r="Q1418" s="1"/>
      <c r="R1418" s="1"/>
      <c r="S1418" s="1"/>
      <c r="T1418" s="1"/>
      <c r="U1418" s="1"/>
      <c r="V1418" s="38"/>
      <c r="W1418" s="1"/>
      <c r="X1418" s="1"/>
    </row>
    <row r="1419" spans="1:24" ht="14.4">
      <c r="A1419" s="1"/>
      <c r="M1419" s="26"/>
      <c r="N1419" s="26"/>
      <c r="P1419" s="1"/>
      <c r="Q1419" s="1"/>
      <c r="R1419" s="1"/>
      <c r="S1419" s="1"/>
      <c r="T1419" s="1"/>
      <c r="U1419" s="1"/>
      <c r="V1419" s="38"/>
      <c r="W1419" s="1"/>
      <c r="X1419" s="1"/>
    </row>
    <row r="1420" spans="1:24" ht="14.4">
      <c r="A1420" s="1"/>
      <c r="M1420" s="26"/>
      <c r="N1420" s="26"/>
      <c r="P1420" s="1"/>
      <c r="Q1420" s="1"/>
      <c r="R1420" s="1"/>
      <c r="S1420" s="1"/>
      <c r="T1420" s="1"/>
      <c r="U1420" s="1"/>
      <c r="V1420" s="38"/>
      <c r="W1420" s="1"/>
      <c r="X1420" s="1"/>
    </row>
    <row r="1421" spans="1:24" ht="14.4">
      <c r="A1421" s="1"/>
      <c r="M1421" s="26"/>
      <c r="N1421" s="26"/>
      <c r="P1421" s="1"/>
      <c r="Q1421" s="1"/>
      <c r="R1421" s="1"/>
      <c r="S1421" s="1"/>
      <c r="T1421" s="1"/>
      <c r="U1421" s="1"/>
      <c r="V1421" s="38"/>
      <c r="W1421" s="1"/>
      <c r="X1421" s="1"/>
    </row>
    <row r="1422" spans="1:24" ht="14.4">
      <c r="A1422" s="1"/>
      <c r="M1422" s="26"/>
      <c r="N1422" s="26"/>
      <c r="P1422" s="1"/>
      <c r="Q1422" s="1"/>
      <c r="R1422" s="1"/>
      <c r="S1422" s="1"/>
      <c r="T1422" s="1"/>
      <c r="U1422" s="1"/>
      <c r="V1422" s="38"/>
      <c r="W1422" s="1"/>
      <c r="X1422" s="1"/>
    </row>
    <row r="1423" spans="1:24" ht="14.4">
      <c r="A1423" s="1"/>
      <c r="M1423" s="26"/>
      <c r="N1423" s="26"/>
      <c r="P1423" s="1"/>
      <c r="Q1423" s="1"/>
      <c r="R1423" s="1"/>
      <c r="S1423" s="1"/>
      <c r="T1423" s="1"/>
      <c r="U1423" s="1"/>
      <c r="V1423" s="38"/>
      <c r="W1423" s="1"/>
      <c r="X1423" s="1"/>
    </row>
    <row r="1424" spans="1:24" ht="14.4">
      <c r="A1424" s="1"/>
      <c r="M1424" s="26"/>
      <c r="N1424" s="26"/>
      <c r="P1424" s="1"/>
      <c r="Q1424" s="1"/>
      <c r="R1424" s="1"/>
      <c r="S1424" s="1"/>
      <c r="T1424" s="1"/>
      <c r="U1424" s="1"/>
      <c r="V1424" s="38"/>
      <c r="W1424" s="1"/>
      <c r="X1424" s="1"/>
    </row>
    <row r="1425" spans="1:24" ht="14.4">
      <c r="A1425" s="1"/>
      <c r="M1425" s="26"/>
      <c r="N1425" s="26"/>
      <c r="P1425" s="1"/>
      <c r="Q1425" s="1"/>
      <c r="R1425" s="1"/>
      <c r="S1425" s="1"/>
      <c r="T1425" s="1"/>
      <c r="U1425" s="1"/>
      <c r="V1425" s="38"/>
      <c r="W1425" s="1"/>
      <c r="X1425" s="1"/>
    </row>
    <row r="1426" spans="1:24" ht="14.4">
      <c r="A1426" s="1"/>
      <c r="M1426" s="26"/>
      <c r="N1426" s="26"/>
      <c r="P1426" s="1"/>
      <c r="Q1426" s="1"/>
      <c r="R1426" s="1"/>
      <c r="S1426" s="1"/>
      <c r="T1426" s="1"/>
      <c r="U1426" s="1"/>
      <c r="V1426" s="38"/>
      <c r="W1426" s="1"/>
      <c r="X1426" s="1"/>
    </row>
    <row r="1427" spans="1:24" ht="14.4">
      <c r="A1427" s="1"/>
      <c r="M1427" s="26"/>
      <c r="N1427" s="26"/>
      <c r="P1427" s="1"/>
      <c r="Q1427" s="1"/>
      <c r="R1427" s="1"/>
      <c r="S1427" s="1"/>
      <c r="T1427" s="1"/>
      <c r="U1427" s="1"/>
      <c r="V1427" s="38"/>
      <c r="W1427" s="1"/>
      <c r="X1427" s="1"/>
    </row>
    <row r="1428" spans="1:24" ht="14.4">
      <c r="A1428" s="1"/>
      <c r="M1428" s="26"/>
      <c r="N1428" s="26"/>
      <c r="P1428" s="1"/>
      <c r="Q1428" s="1"/>
      <c r="R1428" s="1"/>
      <c r="S1428" s="1"/>
      <c r="T1428" s="1"/>
      <c r="U1428" s="1"/>
      <c r="V1428" s="38"/>
      <c r="W1428" s="1"/>
      <c r="X1428" s="1"/>
    </row>
    <row r="1429" spans="1:24" ht="14.4">
      <c r="A1429" s="1"/>
      <c r="M1429" s="26"/>
      <c r="N1429" s="26"/>
      <c r="P1429" s="1"/>
      <c r="Q1429" s="1"/>
      <c r="R1429" s="1"/>
      <c r="S1429" s="1"/>
      <c r="T1429" s="1"/>
      <c r="U1429" s="1"/>
      <c r="V1429" s="38"/>
      <c r="W1429" s="1"/>
      <c r="X1429" s="1"/>
    </row>
    <row r="1430" spans="1:24" ht="14.4">
      <c r="A1430" s="1"/>
      <c r="M1430" s="26"/>
      <c r="N1430" s="26"/>
      <c r="P1430" s="1"/>
      <c r="Q1430" s="1"/>
      <c r="R1430" s="1"/>
      <c r="S1430" s="1"/>
      <c r="T1430" s="1"/>
      <c r="U1430" s="1"/>
      <c r="V1430" s="38"/>
      <c r="W1430" s="1"/>
      <c r="X1430" s="1"/>
    </row>
    <row r="1431" spans="1:24" ht="14.4">
      <c r="A1431" s="1"/>
      <c r="M1431" s="26"/>
      <c r="N1431" s="26"/>
      <c r="P1431" s="1"/>
      <c r="Q1431" s="1"/>
      <c r="R1431" s="1"/>
      <c r="S1431" s="1"/>
      <c r="T1431" s="1"/>
      <c r="U1431" s="1"/>
      <c r="V1431" s="38"/>
      <c r="W1431" s="1"/>
      <c r="X1431" s="1"/>
    </row>
    <row r="1432" spans="1:24" ht="14.4">
      <c r="A1432" s="1"/>
      <c r="M1432" s="26"/>
      <c r="N1432" s="26"/>
      <c r="P1432" s="1"/>
      <c r="Q1432" s="1"/>
      <c r="R1432" s="1"/>
      <c r="S1432" s="1"/>
      <c r="T1432" s="1"/>
      <c r="U1432" s="1"/>
      <c r="V1432" s="38"/>
      <c r="W1432" s="1"/>
      <c r="X1432" s="1"/>
    </row>
    <row r="1433" spans="1:24" ht="14.4">
      <c r="A1433" s="1"/>
      <c r="M1433" s="26"/>
      <c r="N1433" s="26"/>
      <c r="P1433" s="1"/>
      <c r="Q1433" s="1"/>
      <c r="R1433" s="1"/>
      <c r="S1433" s="1"/>
      <c r="T1433" s="1"/>
      <c r="U1433" s="1"/>
      <c r="V1433" s="38"/>
      <c r="W1433" s="1"/>
      <c r="X1433" s="1"/>
    </row>
    <row r="1434" spans="1:24" ht="14.4">
      <c r="A1434" s="1"/>
      <c r="M1434" s="26"/>
      <c r="N1434" s="26"/>
      <c r="P1434" s="1"/>
      <c r="Q1434" s="1"/>
      <c r="R1434" s="1"/>
      <c r="S1434" s="1"/>
      <c r="T1434" s="1"/>
      <c r="U1434" s="1"/>
      <c r="V1434" s="38"/>
      <c r="W1434" s="1"/>
      <c r="X1434" s="1"/>
    </row>
    <row r="1435" spans="1:24" ht="14.4">
      <c r="A1435" s="1"/>
      <c r="M1435" s="26"/>
      <c r="N1435" s="26"/>
      <c r="P1435" s="1"/>
      <c r="Q1435" s="1"/>
      <c r="R1435" s="1"/>
      <c r="S1435" s="1"/>
      <c r="T1435" s="1"/>
      <c r="U1435" s="1"/>
      <c r="V1435" s="38"/>
      <c r="W1435" s="1"/>
      <c r="X1435" s="1"/>
    </row>
    <row r="1436" spans="1:24" ht="14.4">
      <c r="A1436" s="1"/>
      <c r="M1436" s="26"/>
      <c r="N1436" s="26"/>
      <c r="P1436" s="1"/>
      <c r="Q1436" s="1"/>
      <c r="R1436" s="1"/>
      <c r="S1436" s="1"/>
      <c r="T1436" s="1"/>
      <c r="U1436" s="1"/>
      <c r="V1436" s="38"/>
      <c r="W1436" s="1"/>
      <c r="X1436" s="1"/>
    </row>
    <row r="1437" spans="1:24" ht="14.4">
      <c r="A1437" s="1"/>
      <c r="M1437" s="26"/>
      <c r="N1437" s="26"/>
      <c r="P1437" s="1"/>
      <c r="Q1437" s="1"/>
      <c r="R1437" s="1"/>
      <c r="S1437" s="1"/>
      <c r="T1437" s="1"/>
      <c r="U1437" s="1"/>
      <c r="V1437" s="38"/>
      <c r="W1437" s="1"/>
      <c r="X1437" s="1"/>
    </row>
    <row r="1438" spans="1:24" ht="14.4">
      <c r="A1438" s="1"/>
      <c r="M1438" s="26"/>
      <c r="N1438" s="26"/>
      <c r="P1438" s="1"/>
      <c r="Q1438" s="1"/>
      <c r="R1438" s="1"/>
      <c r="S1438" s="1"/>
      <c r="T1438" s="1"/>
      <c r="U1438" s="1"/>
      <c r="V1438" s="38"/>
      <c r="W1438" s="1"/>
      <c r="X1438" s="1"/>
    </row>
    <row r="1439" spans="1:24" ht="14.4">
      <c r="A1439" s="1"/>
      <c r="M1439" s="26"/>
      <c r="N1439" s="26"/>
      <c r="P1439" s="1"/>
      <c r="Q1439" s="1"/>
      <c r="R1439" s="1"/>
      <c r="S1439" s="1"/>
      <c r="T1439" s="1"/>
      <c r="U1439" s="1"/>
      <c r="V1439" s="38"/>
      <c r="W1439" s="1"/>
      <c r="X1439" s="1"/>
    </row>
    <row r="1440" spans="1:24" ht="14.4">
      <c r="A1440" s="1"/>
      <c r="M1440" s="26"/>
      <c r="N1440" s="26"/>
      <c r="P1440" s="1"/>
      <c r="Q1440" s="1"/>
      <c r="R1440" s="1"/>
      <c r="S1440" s="1"/>
      <c r="T1440" s="1"/>
      <c r="U1440" s="1"/>
      <c r="V1440" s="38"/>
      <c r="W1440" s="1"/>
      <c r="X1440" s="1"/>
    </row>
    <row r="1441" spans="1:24" ht="14.4">
      <c r="A1441" s="1"/>
      <c r="M1441" s="26"/>
      <c r="N1441" s="26"/>
      <c r="P1441" s="1"/>
      <c r="Q1441" s="1"/>
      <c r="R1441" s="1"/>
      <c r="S1441" s="1"/>
      <c r="T1441" s="1"/>
      <c r="U1441" s="1"/>
      <c r="V1441" s="38"/>
      <c r="W1441" s="1"/>
      <c r="X1441" s="1"/>
    </row>
    <row r="1442" spans="1:24" ht="14.4">
      <c r="A1442" s="1"/>
      <c r="M1442" s="26"/>
      <c r="N1442" s="26"/>
      <c r="P1442" s="1"/>
      <c r="Q1442" s="1"/>
      <c r="R1442" s="1"/>
      <c r="S1442" s="1"/>
      <c r="T1442" s="1"/>
      <c r="U1442" s="1"/>
      <c r="V1442" s="38"/>
      <c r="W1442" s="1"/>
      <c r="X1442" s="1"/>
    </row>
    <row r="1443" spans="1:24" ht="14.4">
      <c r="A1443" s="1"/>
      <c r="M1443" s="26"/>
      <c r="N1443" s="26"/>
      <c r="P1443" s="1"/>
      <c r="Q1443" s="1"/>
      <c r="R1443" s="1"/>
      <c r="S1443" s="1"/>
      <c r="T1443" s="1"/>
      <c r="U1443" s="1"/>
      <c r="V1443" s="38"/>
      <c r="W1443" s="1"/>
      <c r="X1443" s="1"/>
    </row>
    <row r="1444" spans="1:24" ht="14.4">
      <c r="A1444" s="1"/>
      <c r="M1444" s="26"/>
      <c r="N1444" s="26"/>
      <c r="P1444" s="1"/>
      <c r="Q1444" s="1"/>
      <c r="R1444" s="1"/>
      <c r="S1444" s="1"/>
      <c r="T1444" s="1"/>
      <c r="U1444" s="1"/>
      <c r="V1444" s="38"/>
      <c r="W1444" s="1"/>
      <c r="X1444" s="1"/>
    </row>
    <row r="1445" spans="1:24" ht="14.4">
      <c r="A1445" s="1"/>
      <c r="M1445" s="26"/>
      <c r="N1445" s="26"/>
      <c r="P1445" s="1"/>
      <c r="Q1445" s="1"/>
      <c r="R1445" s="1"/>
      <c r="S1445" s="1"/>
      <c r="T1445" s="1"/>
      <c r="U1445" s="1"/>
      <c r="V1445" s="38"/>
      <c r="W1445" s="1"/>
      <c r="X1445" s="1"/>
    </row>
    <row r="1446" spans="1:24" ht="14.4">
      <c r="A1446" s="1"/>
      <c r="M1446" s="26"/>
      <c r="N1446" s="26"/>
      <c r="P1446" s="1"/>
      <c r="Q1446" s="1"/>
      <c r="R1446" s="1"/>
      <c r="S1446" s="1"/>
      <c r="T1446" s="1"/>
      <c r="U1446" s="1"/>
      <c r="V1446" s="38"/>
      <c r="W1446" s="1"/>
      <c r="X1446" s="1"/>
    </row>
    <row r="1447" spans="1:24" ht="14.4">
      <c r="A1447" s="1"/>
      <c r="M1447" s="26"/>
      <c r="N1447" s="26"/>
      <c r="P1447" s="1"/>
      <c r="Q1447" s="1"/>
      <c r="R1447" s="1"/>
      <c r="S1447" s="1"/>
      <c r="T1447" s="1"/>
      <c r="U1447" s="1"/>
      <c r="V1447" s="38"/>
      <c r="W1447" s="1"/>
      <c r="X1447" s="1"/>
    </row>
    <row r="1448" spans="1:24" ht="14.4">
      <c r="A1448" s="1"/>
      <c r="M1448" s="26"/>
      <c r="N1448" s="26"/>
      <c r="P1448" s="1"/>
      <c r="Q1448" s="1"/>
      <c r="R1448" s="1"/>
      <c r="S1448" s="1"/>
      <c r="T1448" s="1"/>
      <c r="U1448" s="1"/>
      <c r="V1448" s="38"/>
      <c r="W1448" s="1"/>
      <c r="X1448" s="1"/>
    </row>
    <row r="1449" spans="1:24" ht="14.4">
      <c r="A1449" s="1"/>
      <c r="M1449" s="26"/>
      <c r="N1449" s="26"/>
      <c r="P1449" s="1"/>
      <c r="Q1449" s="1"/>
      <c r="R1449" s="1"/>
      <c r="S1449" s="1"/>
      <c r="T1449" s="1"/>
      <c r="U1449" s="1"/>
      <c r="V1449" s="38"/>
      <c r="W1449" s="1"/>
      <c r="X1449" s="1"/>
    </row>
    <row r="1450" spans="1:24" ht="14.4">
      <c r="A1450" s="1"/>
      <c r="M1450" s="26"/>
      <c r="N1450" s="26"/>
      <c r="P1450" s="1"/>
      <c r="Q1450" s="1"/>
      <c r="R1450" s="1"/>
      <c r="S1450" s="1"/>
      <c r="T1450" s="1"/>
      <c r="U1450" s="1"/>
      <c r="V1450" s="38"/>
      <c r="W1450" s="1"/>
      <c r="X1450" s="1"/>
    </row>
    <row r="1451" spans="1:24" ht="14.4">
      <c r="A1451" s="1"/>
      <c r="M1451" s="26"/>
      <c r="N1451" s="26"/>
      <c r="P1451" s="1"/>
      <c r="Q1451" s="1"/>
      <c r="R1451" s="1"/>
      <c r="S1451" s="1"/>
      <c r="T1451" s="1"/>
      <c r="U1451" s="1"/>
      <c r="V1451" s="38"/>
      <c r="W1451" s="1"/>
      <c r="X1451" s="1"/>
    </row>
    <row r="1452" spans="1:24" ht="14.4">
      <c r="A1452" s="1"/>
      <c r="M1452" s="26"/>
      <c r="N1452" s="26"/>
      <c r="P1452" s="1"/>
      <c r="Q1452" s="1"/>
      <c r="R1452" s="1"/>
      <c r="S1452" s="1"/>
      <c r="T1452" s="1"/>
      <c r="U1452" s="1"/>
      <c r="V1452" s="38"/>
      <c r="W1452" s="1"/>
      <c r="X1452" s="1"/>
    </row>
    <row r="1453" spans="1:24" ht="14.4">
      <c r="A1453" s="1"/>
      <c r="M1453" s="26"/>
      <c r="N1453" s="26"/>
      <c r="P1453" s="1"/>
      <c r="Q1453" s="1"/>
      <c r="R1453" s="1"/>
      <c r="S1453" s="1"/>
      <c r="T1453" s="1"/>
      <c r="U1453" s="1"/>
      <c r="V1453" s="38"/>
      <c r="W1453" s="1"/>
      <c r="X1453" s="1"/>
    </row>
    <row r="1454" spans="1:24" ht="14.4">
      <c r="A1454" s="1"/>
      <c r="M1454" s="26"/>
      <c r="N1454" s="26"/>
      <c r="P1454" s="1"/>
      <c r="Q1454" s="1"/>
      <c r="R1454" s="1"/>
      <c r="S1454" s="1"/>
      <c r="T1454" s="1"/>
      <c r="U1454" s="1"/>
      <c r="V1454" s="38"/>
      <c r="W1454" s="1"/>
      <c r="X1454" s="1"/>
    </row>
    <row r="1455" spans="1:24" ht="14.4">
      <c r="A1455" s="1"/>
      <c r="M1455" s="26"/>
      <c r="N1455" s="26"/>
      <c r="P1455" s="1"/>
      <c r="Q1455" s="1"/>
      <c r="R1455" s="1"/>
      <c r="S1455" s="1"/>
      <c r="T1455" s="1"/>
      <c r="U1455" s="1"/>
      <c r="V1455" s="38"/>
      <c r="W1455" s="1"/>
      <c r="X1455" s="1"/>
    </row>
    <row r="1456" spans="1:24" ht="14.4">
      <c r="A1456" s="1"/>
      <c r="M1456" s="26"/>
      <c r="N1456" s="26"/>
      <c r="P1456" s="1"/>
      <c r="Q1456" s="1"/>
      <c r="R1456" s="1"/>
      <c r="S1456" s="1"/>
      <c r="T1456" s="1"/>
      <c r="U1456" s="1"/>
      <c r="V1456" s="38"/>
      <c r="W1456" s="1"/>
      <c r="X1456" s="1"/>
    </row>
    <row r="1457" spans="1:24" ht="14.4">
      <c r="A1457" s="1"/>
      <c r="M1457" s="26"/>
      <c r="N1457" s="26"/>
      <c r="P1457" s="1"/>
      <c r="Q1457" s="1"/>
      <c r="R1457" s="1"/>
      <c r="S1457" s="1"/>
      <c r="T1457" s="1"/>
      <c r="U1457" s="1"/>
      <c r="V1457" s="38"/>
      <c r="W1457" s="1"/>
      <c r="X1457" s="1"/>
    </row>
    <row r="1458" spans="1:24" ht="14.4">
      <c r="A1458" s="1"/>
      <c r="M1458" s="26"/>
      <c r="N1458" s="26"/>
      <c r="P1458" s="1"/>
      <c r="Q1458" s="1"/>
      <c r="R1458" s="1"/>
      <c r="S1458" s="1"/>
      <c r="T1458" s="1"/>
      <c r="U1458" s="1"/>
      <c r="V1458" s="38"/>
      <c r="W1458" s="1"/>
      <c r="X1458" s="1"/>
    </row>
    <row r="1459" spans="1:24" ht="14.4">
      <c r="A1459" s="1"/>
      <c r="M1459" s="26"/>
      <c r="N1459" s="26"/>
      <c r="P1459" s="1"/>
      <c r="Q1459" s="1"/>
      <c r="R1459" s="1"/>
      <c r="S1459" s="1"/>
      <c r="T1459" s="1"/>
      <c r="U1459" s="1"/>
      <c r="V1459" s="38"/>
      <c r="W1459" s="1"/>
      <c r="X1459" s="1"/>
    </row>
    <row r="1460" spans="1:24" ht="14.4">
      <c r="A1460" s="1"/>
      <c r="M1460" s="26"/>
      <c r="N1460" s="26"/>
      <c r="P1460" s="1"/>
      <c r="Q1460" s="1"/>
      <c r="R1460" s="1"/>
      <c r="S1460" s="1"/>
      <c r="T1460" s="1"/>
      <c r="U1460" s="1"/>
      <c r="V1460" s="38"/>
      <c r="W1460" s="1"/>
      <c r="X1460" s="1"/>
    </row>
    <row r="1461" spans="1:24" ht="14.4">
      <c r="A1461" s="1"/>
      <c r="M1461" s="26"/>
      <c r="N1461" s="26"/>
      <c r="P1461" s="1"/>
      <c r="Q1461" s="1"/>
      <c r="R1461" s="1"/>
      <c r="S1461" s="1"/>
      <c r="T1461" s="1"/>
      <c r="U1461" s="1"/>
      <c r="V1461" s="38"/>
      <c r="W1461" s="1"/>
      <c r="X1461" s="1"/>
    </row>
    <row r="1462" spans="1:24" ht="14.4">
      <c r="A1462" s="1"/>
      <c r="M1462" s="26"/>
      <c r="N1462" s="26"/>
      <c r="P1462" s="1"/>
      <c r="Q1462" s="1"/>
      <c r="R1462" s="1"/>
      <c r="S1462" s="1"/>
      <c r="T1462" s="1"/>
      <c r="U1462" s="1"/>
      <c r="V1462" s="38"/>
      <c r="W1462" s="1"/>
      <c r="X1462" s="1"/>
    </row>
    <row r="1463" spans="1:24" ht="14.4">
      <c r="A1463" s="1"/>
      <c r="M1463" s="26"/>
      <c r="N1463" s="26"/>
      <c r="P1463" s="1"/>
      <c r="Q1463" s="1"/>
      <c r="R1463" s="1"/>
      <c r="S1463" s="1"/>
      <c r="T1463" s="1"/>
      <c r="U1463" s="1"/>
      <c r="V1463" s="38"/>
      <c r="W1463" s="1"/>
      <c r="X1463" s="1"/>
    </row>
    <row r="1464" spans="1:24" ht="14.4">
      <c r="A1464" s="1"/>
      <c r="M1464" s="26"/>
      <c r="N1464" s="26"/>
      <c r="P1464" s="1"/>
      <c r="Q1464" s="1"/>
      <c r="R1464" s="1"/>
      <c r="S1464" s="1"/>
      <c r="T1464" s="1"/>
      <c r="U1464" s="1"/>
      <c r="V1464" s="38"/>
      <c r="W1464" s="1"/>
      <c r="X1464" s="1"/>
    </row>
    <row r="1465" spans="1:24" ht="14.4">
      <c r="A1465" s="1"/>
      <c r="M1465" s="26"/>
      <c r="N1465" s="26"/>
      <c r="P1465" s="1"/>
      <c r="Q1465" s="1"/>
      <c r="R1465" s="1"/>
      <c r="S1465" s="1"/>
      <c r="T1465" s="1"/>
      <c r="U1465" s="1"/>
      <c r="V1465" s="38"/>
      <c r="W1465" s="1"/>
      <c r="X1465" s="1"/>
    </row>
    <row r="1466" spans="1:24" ht="14.4">
      <c r="A1466" s="1"/>
      <c r="M1466" s="26"/>
      <c r="N1466" s="26"/>
      <c r="P1466" s="1"/>
      <c r="Q1466" s="1"/>
      <c r="R1466" s="1"/>
      <c r="S1466" s="1"/>
      <c r="T1466" s="1"/>
      <c r="U1466" s="1"/>
      <c r="V1466" s="38"/>
      <c r="W1466" s="1"/>
      <c r="X1466" s="1"/>
    </row>
    <row r="1467" spans="1:24" ht="14.4">
      <c r="A1467" s="1"/>
      <c r="M1467" s="26"/>
      <c r="N1467" s="26"/>
      <c r="P1467" s="1"/>
      <c r="Q1467" s="1"/>
      <c r="R1467" s="1"/>
      <c r="S1467" s="1"/>
      <c r="T1467" s="1"/>
      <c r="U1467" s="1"/>
      <c r="V1467" s="38"/>
      <c r="W1467" s="1"/>
      <c r="X1467" s="1"/>
    </row>
    <row r="1468" spans="1:24" ht="14.4">
      <c r="A1468" s="1"/>
      <c r="M1468" s="26"/>
      <c r="N1468" s="26"/>
      <c r="P1468" s="1"/>
      <c r="Q1468" s="1"/>
      <c r="R1468" s="1"/>
      <c r="S1468" s="1"/>
      <c r="T1468" s="1"/>
      <c r="U1468" s="1"/>
      <c r="V1468" s="38"/>
      <c r="W1468" s="1"/>
      <c r="X1468" s="1"/>
    </row>
    <row r="1469" spans="1:24" ht="14.4">
      <c r="A1469" s="1"/>
      <c r="M1469" s="26"/>
      <c r="N1469" s="26"/>
      <c r="P1469" s="1"/>
      <c r="Q1469" s="1"/>
      <c r="R1469" s="1"/>
      <c r="S1469" s="1"/>
      <c r="T1469" s="1"/>
      <c r="U1469" s="1"/>
      <c r="V1469" s="38"/>
      <c r="W1469" s="1"/>
      <c r="X1469" s="1"/>
    </row>
    <row r="1470" spans="1:24" ht="14.4">
      <c r="A1470" s="1"/>
      <c r="M1470" s="26"/>
      <c r="N1470" s="26"/>
      <c r="P1470" s="1"/>
      <c r="Q1470" s="1"/>
      <c r="R1470" s="1"/>
      <c r="S1470" s="1"/>
      <c r="T1470" s="1"/>
      <c r="U1470" s="1"/>
      <c r="V1470" s="38"/>
      <c r="W1470" s="1"/>
      <c r="X1470" s="1"/>
    </row>
    <row r="1471" spans="1:24" ht="14.4">
      <c r="A1471" s="1"/>
      <c r="M1471" s="26"/>
      <c r="N1471" s="26"/>
      <c r="P1471" s="1"/>
      <c r="Q1471" s="1"/>
      <c r="R1471" s="1"/>
      <c r="S1471" s="1"/>
      <c r="T1471" s="1"/>
      <c r="U1471" s="1"/>
      <c r="V1471" s="38"/>
      <c r="W1471" s="1"/>
      <c r="X1471" s="1"/>
    </row>
    <row r="1472" spans="1:24" ht="14.4">
      <c r="A1472" s="1"/>
      <c r="M1472" s="26"/>
      <c r="N1472" s="26"/>
      <c r="P1472" s="1"/>
      <c r="Q1472" s="1"/>
      <c r="R1472" s="1"/>
      <c r="S1472" s="1"/>
      <c r="T1472" s="1"/>
      <c r="U1472" s="1"/>
      <c r="V1472" s="38"/>
      <c r="W1472" s="1"/>
      <c r="X1472" s="1"/>
    </row>
    <row r="1473" spans="1:24" ht="14.4">
      <c r="A1473" s="1"/>
      <c r="M1473" s="26"/>
      <c r="N1473" s="26"/>
      <c r="P1473" s="1"/>
      <c r="Q1473" s="1"/>
      <c r="R1473" s="1"/>
      <c r="S1473" s="1"/>
      <c r="T1473" s="1"/>
      <c r="U1473" s="1"/>
      <c r="V1473" s="38"/>
      <c r="W1473" s="1"/>
      <c r="X1473" s="1"/>
    </row>
    <row r="1474" spans="1:24" ht="14.4">
      <c r="A1474" s="1"/>
      <c r="M1474" s="26"/>
      <c r="N1474" s="26"/>
      <c r="P1474" s="1"/>
      <c r="Q1474" s="1"/>
      <c r="R1474" s="1"/>
      <c r="S1474" s="1"/>
      <c r="T1474" s="1"/>
      <c r="U1474" s="1"/>
      <c r="V1474" s="38"/>
      <c r="W1474" s="1"/>
      <c r="X1474" s="1"/>
    </row>
    <row r="1475" spans="1:24" ht="14.4">
      <c r="A1475" s="1"/>
      <c r="M1475" s="26"/>
      <c r="N1475" s="26"/>
      <c r="P1475" s="1"/>
      <c r="Q1475" s="1"/>
      <c r="R1475" s="1"/>
      <c r="S1475" s="1"/>
      <c r="T1475" s="1"/>
      <c r="U1475" s="1"/>
      <c r="V1475" s="38"/>
      <c r="W1475" s="1"/>
      <c r="X1475" s="1"/>
    </row>
    <row r="1476" spans="1:24" ht="14.4">
      <c r="A1476" s="1"/>
      <c r="M1476" s="26"/>
      <c r="N1476" s="26"/>
      <c r="P1476" s="1"/>
      <c r="Q1476" s="1"/>
      <c r="R1476" s="1"/>
      <c r="S1476" s="1"/>
      <c r="T1476" s="1"/>
      <c r="U1476" s="1"/>
      <c r="V1476" s="38"/>
      <c r="W1476" s="1"/>
      <c r="X1476" s="1"/>
    </row>
    <row r="1477" spans="1:24" ht="14.4">
      <c r="A1477" s="1"/>
      <c r="M1477" s="26"/>
      <c r="N1477" s="26"/>
      <c r="P1477" s="1"/>
      <c r="Q1477" s="1"/>
      <c r="R1477" s="1"/>
      <c r="S1477" s="1"/>
      <c r="T1477" s="1"/>
      <c r="U1477" s="1"/>
      <c r="V1477" s="38"/>
      <c r="W1477" s="1"/>
      <c r="X1477" s="1"/>
    </row>
    <row r="1478" spans="1:24" ht="14.4">
      <c r="A1478" s="1"/>
      <c r="M1478" s="26"/>
      <c r="N1478" s="26"/>
      <c r="P1478" s="1"/>
      <c r="Q1478" s="1"/>
      <c r="R1478" s="1"/>
      <c r="S1478" s="1"/>
      <c r="T1478" s="1"/>
      <c r="U1478" s="1"/>
      <c r="V1478" s="38"/>
      <c r="W1478" s="1"/>
      <c r="X1478" s="1"/>
    </row>
    <row r="1479" spans="1:24" ht="14.4">
      <c r="A1479" s="1"/>
      <c r="M1479" s="26"/>
      <c r="N1479" s="26"/>
      <c r="P1479" s="1"/>
      <c r="Q1479" s="1"/>
      <c r="R1479" s="1"/>
      <c r="S1479" s="1"/>
      <c r="T1479" s="1"/>
      <c r="U1479" s="1"/>
      <c r="V1479" s="38"/>
      <c r="W1479" s="1"/>
      <c r="X1479" s="1"/>
    </row>
    <row r="1480" spans="1:24" ht="14.4">
      <c r="A1480" s="1"/>
      <c r="M1480" s="26"/>
      <c r="N1480" s="26"/>
      <c r="P1480" s="1"/>
      <c r="Q1480" s="1"/>
      <c r="R1480" s="1"/>
      <c r="S1480" s="1"/>
      <c r="T1480" s="1"/>
      <c r="U1480" s="1"/>
      <c r="V1480" s="38"/>
      <c r="W1480" s="1"/>
      <c r="X1480" s="1"/>
    </row>
    <row r="1481" spans="1:24" ht="14.4">
      <c r="A1481" s="1"/>
      <c r="M1481" s="26"/>
      <c r="N1481" s="26"/>
      <c r="P1481" s="1"/>
      <c r="Q1481" s="1"/>
      <c r="R1481" s="1"/>
      <c r="S1481" s="1"/>
      <c r="T1481" s="1"/>
      <c r="U1481" s="1"/>
      <c r="V1481" s="38"/>
      <c r="W1481" s="1"/>
      <c r="X1481" s="1"/>
    </row>
    <row r="1482" spans="1:24" ht="14.4">
      <c r="A1482" s="1"/>
      <c r="M1482" s="26"/>
      <c r="N1482" s="26"/>
      <c r="P1482" s="1"/>
      <c r="Q1482" s="1"/>
      <c r="R1482" s="1"/>
      <c r="S1482" s="1"/>
      <c r="T1482" s="1"/>
      <c r="U1482" s="1"/>
      <c r="V1482" s="38"/>
      <c r="W1482" s="1"/>
      <c r="X1482" s="1"/>
    </row>
    <row r="1483" spans="1:24" ht="14.4">
      <c r="A1483" s="1"/>
      <c r="M1483" s="26"/>
      <c r="N1483" s="26"/>
      <c r="P1483" s="1"/>
      <c r="Q1483" s="1"/>
      <c r="R1483" s="1"/>
      <c r="S1483" s="1"/>
      <c r="T1483" s="1"/>
      <c r="U1483" s="1"/>
      <c r="V1483" s="38"/>
      <c r="W1483" s="1"/>
      <c r="X1483" s="1"/>
    </row>
    <row r="1484" spans="1:24" ht="14.4">
      <c r="A1484" s="1"/>
      <c r="M1484" s="26"/>
      <c r="N1484" s="26"/>
      <c r="P1484" s="1"/>
      <c r="Q1484" s="1"/>
      <c r="R1484" s="1"/>
      <c r="S1484" s="1"/>
      <c r="T1484" s="1"/>
      <c r="U1484" s="1"/>
      <c r="V1484" s="38"/>
      <c r="W1484" s="1"/>
      <c r="X1484" s="1"/>
    </row>
    <row r="1485" spans="1:24" ht="14.4">
      <c r="A1485" s="1"/>
      <c r="M1485" s="26"/>
      <c r="N1485" s="26"/>
      <c r="P1485" s="1"/>
      <c r="Q1485" s="1"/>
      <c r="R1485" s="1"/>
      <c r="S1485" s="1"/>
      <c r="T1485" s="1"/>
      <c r="U1485" s="1"/>
      <c r="V1485" s="38"/>
      <c r="W1485" s="1"/>
      <c r="X1485" s="1"/>
    </row>
    <row r="1486" spans="1:24" ht="14.4">
      <c r="A1486" s="1"/>
      <c r="M1486" s="26"/>
      <c r="N1486" s="26"/>
      <c r="P1486" s="1"/>
      <c r="Q1486" s="1"/>
      <c r="R1486" s="1"/>
      <c r="S1486" s="1"/>
      <c r="T1486" s="1"/>
      <c r="U1486" s="1"/>
      <c r="V1486" s="38"/>
      <c r="W1486" s="1"/>
      <c r="X1486" s="1"/>
    </row>
    <row r="1487" spans="1:24" ht="14.4">
      <c r="A1487" s="1"/>
      <c r="M1487" s="26"/>
      <c r="N1487" s="26"/>
      <c r="P1487" s="1"/>
      <c r="Q1487" s="1"/>
      <c r="R1487" s="1"/>
      <c r="S1487" s="1"/>
      <c r="T1487" s="1"/>
      <c r="U1487" s="1"/>
      <c r="V1487" s="38"/>
      <c r="W1487" s="1"/>
      <c r="X1487" s="1"/>
    </row>
    <row r="1488" spans="1:24" ht="14.4">
      <c r="A1488" s="1"/>
      <c r="M1488" s="26"/>
      <c r="N1488" s="26"/>
      <c r="P1488" s="1"/>
      <c r="Q1488" s="1"/>
      <c r="R1488" s="1"/>
      <c r="S1488" s="1"/>
      <c r="T1488" s="1"/>
      <c r="U1488" s="1"/>
      <c r="V1488" s="38"/>
      <c r="W1488" s="1"/>
      <c r="X1488" s="1"/>
    </row>
    <row r="1489" spans="1:24" ht="14.4">
      <c r="A1489" s="1"/>
      <c r="M1489" s="26"/>
      <c r="N1489" s="26"/>
      <c r="P1489" s="1"/>
      <c r="Q1489" s="1"/>
      <c r="R1489" s="1"/>
      <c r="S1489" s="1"/>
      <c r="T1489" s="1"/>
      <c r="U1489" s="1"/>
      <c r="V1489" s="38"/>
      <c r="W1489" s="1"/>
      <c r="X1489" s="1"/>
    </row>
    <row r="1490" spans="1:24" ht="14.4">
      <c r="A1490" s="1"/>
      <c r="M1490" s="26"/>
      <c r="N1490" s="26"/>
      <c r="P1490" s="1"/>
      <c r="Q1490" s="1"/>
      <c r="R1490" s="1"/>
      <c r="S1490" s="1"/>
      <c r="T1490" s="1"/>
      <c r="U1490" s="1"/>
      <c r="V1490" s="38"/>
      <c r="W1490" s="1"/>
      <c r="X1490" s="1"/>
    </row>
    <row r="1491" spans="1:24" ht="14.4">
      <c r="A1491" s="1"/>
      <c r="M1491" s="26"/>
      <c r="N1491" s="26"/>
      <c r="P1491" s="1"/>
      <c r="Q1491" s="1"/>
      <c r="R1491" s="1"/>
      <c r="S1491" s="1"/>
      <c r="T1491" s="1"/>
      <c r="U1491" s="1"/>
      <c r="V1491" s="38"/>
      <c r="W1491" s="1"/>
      <c r="X1491" s="1"/>
    </row>
    <row r="1492" spans="1:24" ht="14.4">
      <c r="A1492" s="1"/>
      <c r="M1492" s="26"/>
      <c r="N1492" s="26"/>
      <c r="P1492" s="1"/>
      <c r="Q1492" s="1"/>
      <c r="R1492" s="1"/>
      <c r="S1492" s="1"/>
      <c r="T1492" s="1"/>
      <c r="U1492" s="1"/>
      <c r="V1492" s="38"/>
      <c r="W1492" s="1"/>
      <c r="X1492" s="1"/>
    </row>
    <row r="1493" spans="1:24" ht="14.4">
      <c r="A1493" s="1"/>
      <c r="M1493" s="26"/>
      <c r="N1493" s="26"/>
      <c r="P1493" s="1"/>
      <c r="Q1493" s="1"/>
      <c r="R1493" s="1"/>
      <c r="S1493" s="1"/>
      <c r="T1493" s="1"/>
      <c r="U1493" s="1"/>
      <c r="V1493" s="38"/>
      <c r="W1493" s="1"/>
      <c r="X1493" s="1"/>
    </row>
    <row r="1494" spans="1:24" ht="14.4">
      <c r="A1494" s="1"/>
      <c r="M1494" s="26"/>
      <c r="N1494" s="26"/>
      <c r="P1494" s="1"/>
      <c r="Q1494" s="1"/>
      <c r="R1494" s="1"/>
      <c r="S1494" s="1"/>
      <c r="T1494" s="1"/>
      <c r="U1494" s="1"/>
      <c r="V1494" s="38"/>
      <c r="W1494" s="1"/>
      <c r="X1494" s="1"/>
    </row>
    <row r="1495" spans="1:24" ht="14.4">
      <c r="A1495" s="1"/>
      <c r="M1495" s="26"/>
      <c r="N1495" s="26"/>
      <c r="P1495" s="1"/>
      <c r="Q1495" s="1"/>
      <c r="R1495" s="1"/>
      <c r="S1495" s="1"/>
      <c r="T1495" s="1"/>
      <c r="U1495" s="1"/>
      <c r="V1495" s="38"/>
      <c r="W1495" s="1"/>
      <c r="X1495" s="1"/>
    </row>
    <row r="1496" spans="1:24" ht="14.4">
      <c r="A1496" s="1"/>
      <c r="M1496" s="26"/>
      <c r="N1496" s="26"/>
      <c r="P1496" s="1"/>
      <c r="Q1496" s="1"/>
      <c r="R1496" s="1"/>
      <c r="S1496" s="1"/>
      <c r="T1496" s="1"/>
      <c r="U1496" s="1"/>
      <c r="V1496" s="38"/>
      <c r="W1496" s="1"/>
      <c r="X1496" s="1"/>
    </row>
    <row r="1497" spans="1:24" ht="14.4">
      <c r="A1497" s="1"/>
      <c r="M1497" s="26"/>
      <c r="N1497" s="26"/>
      <c r="P1497" s="1"/>
      <c r="Q1497" s="1"/>
      <c r="R1497" s="1"/>
      <c r="S1497" s="1"/>
      <c r="T1497" s="1"/>
      <c r="U1497" s="1"/>
      <c r="V1497" s="38"/>
      <c r="W1497" s="1"/>
      <c r="X1497" s="1"/>
    </row>
    <row r="1498" spans="1:24" ht="14.4">
      <c r="A1498" s="1"/>
      <c r="M1498" s="26"/>
      <c r="N1498" s="26"/>
      <c r="P1498" s="1"/>
      <c r="Q1498" s="1"/>
      <c r="R1498" s="1"/>
      <c r="S1498" s="1"/>
      <c r="T1498" s="1"/>
      <c r="U1498" s="1"/>
      <c r="V1498" s="38"/>
      <c r="W1498" s="1"/>
      <c r="X1498" s="1"/>
    </row>
    <row r="1499" spans="1:24" ht="14.4">
      <c r="A1499" s="1"/>
      <c r="M1499" s="26"/>
      <c r="N1499" s="26"/>
      <c r="P1499" s="1"/>
      <c r="Q1499" s="1"/>
      <c r="R1499" s="1"/>
      <c r="S1499" s="1"/>
      <c r="T1499" s="1"/>
      <c r="U1499" s="1"/>
      <c r="V1499" s="38"/>
      <c r="W1499" s="1"/>
      <c r="X1499" s="1"/>
    </row>
    <row r="1500" spans="1:24" ht="14.4">
      <c r="A1500" s="1"/>
      <c r="M1500" s="26"/>
      <c r="N1500" s="26"/>
      <c r="P1500" s="1"/>
      <c r="Q1500" s="1"/>
      <c r="R1500" s="1"/>
      <c r="S1500" s="1"/>
      <c r="T1500" s="1"/>
      <c r="U1500" s="1"/>
      <c r="V1500" s="38"/>
      <c r="W1500" s="1"/>
      <c r="X1500" s="1"/>
    </row>
    <row r="1501" spans="1:24" ht="14.4">
      <c r="A1501" s="1"/>
      <c r="M1501" s="26"/>
      <c r="N1501" s="26"/>
      <c r="P1501" s="1"/>
      <c r="Q1501" s="1"/>
      <c r="R1501" s="1"/>
      <c r="S1501" s="1"/>
      <c r="T1501" s="1"/>
      <c r="U1501" s="1"/>
      <c r="V1501" s="38"/>
      <c r="W1501" s="1"/>
      <c r="X1501" s="1"/>
    </row>
    <row r="1502" spans="1:24" ht="14.4">
      <c r="A1502" s="1"/>
      <c r="M1502" s="26"/>
      <c r="N1502" s="26"/>
      <c r="P1502" s="1"/>
      <c r="Q1502" s="1"/>
      <c r="R1502" s="1"/>
      <c r="S1502" s="1"/>
      <c r="T1502" s="1"/>
      <c r="U1502" s="1"/>
      <c r="V1502" s="38"/>
      <c r="W1502" s="1"/>
      <c r="X1502" s="1"/>
    </row>
    <row r="1503" spans="1:24" ht="14.4">
      <c r="A1503" s="1"/>
      <c r="M1503" s="26"/>
      <c r="N1503" s="26"/>
      <c r="P1503" s="1"/>
      <c r="Q1503" s="1"/>
      <c r="R1503" s="1"/>
      <c r="S1503" s="1"/>
      <c r="T1503" s="1"/>
      <c r="U1503" s="1"/>
      <c r="V1503" s="38"/>
      <c r="W1503" s="1"/>
      <c r="X1503" s="1"/>
    </row>
    <row r="1504" spans="1:24" ht="14.4">
      <c r="A1504" s="1"/>
      <c r="M1504" s="26"/>
      <c r="N1504" s="26"/>
      <c r="P1504" s="1"/>
      <c r="Q1504" s="1"/>
      <c r="R1504" s="1"/>
      <c r="S1504" s="1"/>
      <c r="T1504" s="1"/>
      <c r="U1504" s="1"/>
      <c r="V1504" s="38"/>
      <c r="W1504" s="1"/>
      <c r="X1504" s="1"/>
    </row>
    <row r="1505" spans="1:24" ht="14.4">
      <c r="A1505" s="1"/>
      <c r="M1505" s="26"/>
      <c r="N1505" s="26"/>
      <c r="P1505" s="1"/>
      <c r="Q1505" s="1"/>
      <c r="R1505" s="1"/>
      <c r="S1505" s="1"/>
      <c r="T1505" s="1"/>
      <c r="U1505" s="1"/>
      <c r="V1505" s="38"/>
      <c r="W1505" s="1"/>
      <c r="X1505" s="1"/>
    </row>
    <row r="1506" spans="1:24" ht="14.4">
      <c r="A1506" s="1"/>
      <c r="M1506" s="26"/>
      <c r="N1506" s="26"/>
      <c r="P1506" s="1"/>
      <c r="Q1506" s="1"/>
      <c r="R1506" s="1"/>
      <c r="S1506" s="1"/>
      <c r="T1506" s="1"/>
      <c r="U1506" s="1"/>
      <c r="V1506" s="38"/>
      <c r="W1506" s="1"/>
      <c r="X1506" s="1"/>
    </row>
    <row r="1507" spans="1:24" ht="14.4">
      <c r="A1507" s="1"/>
      <c r="M1507" s="26"/>
      <c r="N1507" s="26"/>
      <c r="P1507" s="1"/>
      <c r="Q1507" s="1"/>
      <c r="R1507" s="1"/>
      <c r="S1507" s="1"/>
      <c r="T1507" s="1"/>
      <c r="U1507" s="1"/>
      <c r="V1507" s="38"/>
      <c r="W1507" s="1"/>
      <c r="X1507" s="1"/>
    </row>
    <row r="1508" spans="1:24" ht="14.4">
      <c r="A1508" s="1"/>
      <c r="M1508" s="26"/>
      <c r="N1508" s="26"/>
      <c r="P1508" s="1"/>
      <c r="Q1508" s="1"/>
      <c r="R1508" s="1"/>
      <c r="S1508" s="1"/>
      <c r="T1508" s="1"/>
      <c r="U1508" s="1"/>
      <c r="V1508" s="38"/>
      <c r="W1508" s="1"/>
      <c r="X1508" s="1"/>
    </row>
    <row r="1509" spans="1:24" ht="14.4">
      <c r="A1509" s="1"/>
      <c r="M1509" s="26"/>
      <c r="N1509" s="26"/>
      <c r="P1509" s="1"/>
      <c r="Q1509" s="1"/>
      <c r="R1509" s="1"/>
      <c r="S1509" s="1"/>
      <c r="T1509" s="1"/>
      <c r="U1509" s="1"/>
      <c r="V1509" s="38"/>
      <c r="W1509" s="1"/>
      <c r="X1509" s="1"/>
    </row>
    <row r="1510" spans="1:24" ht="14.4">
      <c r="A1510" s="1"/>
      <c r="M1510" s="26"/>
      <c r="N1510" s="26"/>
      <c r="P1510" s="1"/>
      <c r="Q1510" s="1"/>
      <c r="R1510" s="1"/>
      <c r="S1510" s="1"/>
      <c r="T1510" s="1"/>
      <c r="U1510" s="1"/>
      <c r="V1510" s="38"/>
      <c r="W1510" s="1"/>
      <c r="X1510" s="1"/>
    </row>
    <row r="1511" spans="1:24" ht="14.4">
      <c r="A1511" s="1"/>
      <c r="M1511" s="26"/>
      <c r="N1511" s="26"/>
      <c r="P1511" s="1"/>
      <c r="Q1511" s="1"/>
      <c r="R1511" s="1"/>
      <c r="S1511" s="1"/>
      <c r="T1511" s="1"/>
      <c r="U1511" s="1"/>
      <c r="V1511" s="38"/>
      <c r="W1511" s="1"/>
      <c r="X1511" s="1"/>
    </row>
    <row r="1512" spans="1:24" ht="14.4">
      <c r="A1512" s="1"/>
      <c r="M1512" s="26"/>
      <c r="N1512" s="26"/>
      <c r="P1512" s="1"/>
      <c r="Q1512" s="1"/>
      <c r="R1512" s="1"/>
      <c r="S1512" s="1"/>
      <c r="T1512" s="1"/>
      <c r="U1512" s="1"/>
      <c r="V1512" s="38"/>
      <c r="W1512" s="1"/>
      <c r="X1512" s="1"/>
    </row>
    <row r="1513" spans="1:24" ht="14.4">
      <c r="A1513" s="1"/>
      <c r="M1513" s="26"/>
      <c r="N1513" s="26"/>
      <c r="P1513" s="1"/>
      <c r="Q1513" s="1"/>
      <c r="R1513" s="1"/>
      <c r="S1513" s="1"/>
      <c r="T1513" s="1"/>
      <c r="U1513" s="1"/>
      <c r="V1513" s="38"/>
      <c r="W1513" s="1"/>
      <c r="X1513" s="1"/>
    </row>
    <row r="1514" spans="1:24" ht="14.4">
      <c r="A1514" s="1"/>
      <c r="M1514" s="26"/>
      <c r="N1514" s="26"/>
      <c r="P1514" s="1"/>
      <c r="Q1514" s="1"/>
      <c r="R1514" s="1"/>
      <c r="S1514" s="1"/>
      <c r="T1514" s="1"/>
      <c r="U1514" s="1"/>
      <c r="V1514" s="38"/>
      <c r="W1514" s="1"/>
      <c r="X1514" s="1"/>
    </row>
    <row r="1515" spans="1:24" ht="14.4">
      <c r="A1515" s="1"/>
      <c r="M1515" s="26"/>
      <c r="N1515" s="26"/>
      <c r="P1515" s="1"/>
      <c r="Q1515" s="1"/>
      <c r="R1515" s="1"/>
      <c r="S1515" s="1"/>
      <c r="T1515" s="1"/>
      <c r="U1515" s="1"/>
      <c r="V1515" s="38"/>
      <c r="W1515" s="1"/>
      <c r="X1515" s="1"/>
    </row>
    <row r="1516" spans="1:24" ht="14.4">
      <c r="A1516" s="1"/>
      <c r="M1516" s="26"/>
      <c r="N1516" s="26"/>
      <c r="P1516" s="1"/>
      <c r="Q1516" s="1"/>
      <c r="R1516" s="1"/>
      <c r="S1516" s="1"/>
      <c r="T1516" s="1"/>
      <c r="U1516" s="1"/>
      <c r="V1516" s="38"/>
      <c r="W1516" s="1"/>
      <c r="X1516" s="1"/>
    </row>
    <row r="1517" spans="1:24" ht="14.4">
      <c r="A1517" s="1"/>
      <c r="M1517" s="26"/>
      <c r="N1517" s="26"/>
      <c r="P1517" s="1"/>
      <c r="Q1517" s="1"/>
      <c r="R1517" s="1"/>
      <c r="S1517" s="1"/>
      <c r="T1517" s="1"/>
      <c r="U1517" s="1"/>
      <c r="V1517" s="38"/>
      <c r="W1517" s="1"/>
      <c r="X1517" s="1"/>
    </row>
    <row r="1518" spans="1:24" ht="14.4">
      <c r="A1518" s="1"/>
      <c r="M1518" s="26"/>
      <c r="N1518" s="26"/>
      <c r="P1518" s="1"/>
      <c r="Q1518" s="1"/>
      <c r="R1518" s="1"/>
      <c r="S1518" s="1"/>
      <c r="T1518" s="1"/>
      <c r="U1518" s="1"/>
      <c r="V1518" s="38"/>
      <c r="W1518" s="1"/>
      <c r="X1518" s="1"/>
    </row>
    <row r="1519" spans="1:24" ht="14.4">
      <c r="A1519" s="1"/>
      <c r="M1519" s="26"/>
      <c r="N1519" s="26"/>
      <c r="P1519" s="1"/>
      <c r="Q1519" s="1"/>
      <c r="R1519" s="1"/>
      <c r="S1519" s="1"/>
      <c r="T1519" s="1"/>
      <c r="U1519" s="1"/>
      <c r="V1519" s="38"/>
      <c r="W1519" s="1"/>
      <c r="X1519" s="1"/>
    </row>
    <row r="1520" spans="1:24" ht="14.4">
      <c r="A1520" s="1"/>
      <c r="M1520" s="26"/>
      <c r="N1520" s="26"/>
      <c r="P1520" s="1"/>
      <c r="Q1520" s="1"/>
      <c r="R1520" s="1"/>
      <c r="S1520" s="1"/>
      <c r="T1520" s="1"/>
      <c r="U1520" s="1"/>
      <c r="V1520" s="38"/>
      <c r="W1520" s="1"/>
      <c r="X1520" s="1"/>
    </row>
    <row r="1521" spans="1:24" ht="14.4">
      <c r="A1521" s="1"/>
      <c r="M1521" s="26"/>
      <c r="N1521" s="26"/>
      <c r="P1521" s="1"/>
      <c r="Q1521" s="1"/>
      <c r="R1521" s="1"/>
      <c r="S1521" s="1"/>
      <c r="T1521" s="1"/>
      <c r="U1521" s="1"/>
      <c r="V1521" s="38"/>
      <c r="W1521" s="1"/>
      <c r="X1521" s="1"/>
    </row>
    <row r="1522" spans="1:24" ht="14.4">
      <c r="A1522" s="1"/>
      <c r="M1522" s="26"/>
      <c r="N1522" s="26"/>
      <c r="P1522" s="1"/>
      <c r="Q1522" s="1"/>
      <c r="R1522" s="1"/>
      <c r="S1522" s="1"/>
      <c r="T1522" s="1"/>
      <c r="U1522" s="1"/>
      <c r="V1522" s="38"/>
      <c r="W1522" s="1"/>
      <c r="X1522" s="1"/>
    </row>
    <row r="1523" spans="1:24" ht="14.4">
      <c r="A1523" s="1"/>
      <c r="M1523" s="26"/>
      <c r="N1523" s="26"/>
      <c r="P1523" s="1"/>
      <c r="Q1523" s="1"/>
      <c r="R1523" s="1"/>
      <c r="S1523" s="1"/>
      <c r="T1523" s="1"/>
      <c r="U1523" s="1"/>
      <c r="V1523" s="38"/>
      <c r="W1523" s="1"/>
      <c r="X1523" s="1"/>
    </row>
    <row r="1524" spans="1:24" ht="14.4">
      <c r="A1524" s="1"/>
      <c r="M1524" s="26"/>
      <c r="N1524" s="26"/>
      <c r="P1524" s="1"/>
      <c r="Q1524" s="1"/>
      <c r="R1524" s="1"/>
      <c r="S1524" s="1"/>
      <c r="T1524" s="1"/>
      <c r="U1524" s="1"/>
      <c r="V1524" s="38"/>
      <c r="W1524" s="1"/>
      <c r="X1524" s="1"/>
    </row>
    <row r="1525" spans="1:24" ht="14.4">
      <c r="A1525" s="1"/>
      <c r="M1525" s="26"/>
      <c r="N1525" s="26"/>
      <c r="P1525" s="1"/>
      <c r="Q1525" s="1"/>
      <c r="R1525" s="1"/>
      <c r="S1525" s="1"/>
      <c r="T1525" s="1"/>
      <c r="U1525" s="1"/>
      <c r="V1525" s="38"/>
      <c r="W1525" s="1"/>
      <c r="X1525" s="1"/>
    </row>
    <row r="1526" spans="1:24" ht="14.4">
      <c r="A1526" s="1"/>
      <c r="M1526" s="26"/>
      <c r="N1526" s="26"/>
      <c r="P1526" s="1"/>
      <c r="Q1526" s="1"/>
      <c r="R1526" s="1"/>
      <c r="S1526" s="1"/>
      <c r="T1526" s="1"/>
      <c r="U1526" s="1"/>
      <c r="V1526" s="38"/>
      <c r="W1526" s="1"/>
      <c r="X1526" s="1"/>
    </row>
    <row r="1527" spans="1:24" ht="14.4">
      <c r="A1527" s="1"/>
      <c r="M1527" s="26"/>
      <c r="N1527" s="26"/>
      <c r="P1527" s="1"/>
      <c r="Q1527" s="1"/>
      <c r="R1527" s="1"/>
      <c r="S1527" s="1"/>
      <c r="T1527" s="1"/>
      <c r="U1527" s="1"/>
      <c r="V1527" s="38"/>
      <c r="W1527" s="1"/>
      <c r="X1527" s="1"/>
    </row>
    <row r="1528" spans="1:24" ht="14.4">
      <c r="A1528" s="1"/>
      <c r="M1528" s="26"/>
      <c r="N1528" s="26"/>
      <c r="P1528" s="1"/>
      <c r="Q1528" s="1"/>
      <c r="R1528" s="1"/>
      <c r="S1528" s="1"/>
      <c r="T1528" s="1"/>
      <c r="U1528" s="1"/>
      <c r="V1528" s="38"/>
      <c r="W1528" s="1"/>
      <c r="X1528" s="1"/>
    </row>
    <row r="1529" spans="1:24" ht="14.4">
      <c r="A1529" s="1"/>
      <c r="M1529" s="26"/>
      <c r="N1529" s="26"/>
      <c r="P1529" s="1"/>
      <c r="Q1529" s="1"/>
      <c r="R1529" s="1"/>
      <c r="S1529" s="1"/>
      <c r="T1529" s="1"/>
      <c r="U1529" s="1"/>
      <c r="V1529" s="38"/>
      <c r="W1529" s="1"/>
      <c r="X1529" s="1"/>
    </row>
    <row r="1530" spans="1:24" ht="14.4">
      <c r="A1530" s="1"/>
      <c r="M1530" s="26"/>
      <c r="N1530" s="26"/>
      <c r="P1530" s="1"/>
      <c r="Q1530" s="1"/>
      <c r="R1530" s="1"/>
      <c r="S1530" s="1"/>
      <c r="T1530" s="1"/>
      <c r="U1530" s="1"/>
      <c r="V1530" s="38"/>
      <c r="W1530" s="1"/>
      <c r="X1530" s="1"/>
    </row>
    <row r="1531" spans="1:24" ht="14.4">
      <c r="A1531" s="1"/>
      <c r="M1531" s="26"/>
      <c r="N1531" s="26"/>
      <c r="P1531" s="1"/>
      <c r="Q1531" s="1"/>
      <c r="R1531" s="1"/>
      <c r="S1531" s="1"/>
      <c r="T1531" s="1"/>
      <c r="U1531" s="1"/>
      <c r="V1531" s="38"/>
      <c r="W1531" s="1"/>
      <c r="X1531" s="1"/>
    </row>
    <row r="1532" spans="1:24" ht="14.4">
      <c r="A1532" s="1"/>
      <c r="M1532" s="26"/>
      <c r="N1532" s="26"/>
      <c r="P1532" s="1"/>
      <c r="Q1532" s="1"/>
      <c r="R1532" s="1"/>
      <c r="S1532" s="1"/>
      <c r="T1532" s="1"/>
      <c r="U1532" s="1"/>
      <c r="V1532" s="38"/>
      <c r="W1532" s="1"/>
      <c r="X1532" s="1"/>
    </row>
    <row r="1533" spans="1:24" ht="14.4">
      <c r="A1533" s="1"/>
      <c r="M1533" s="26"/>
      <c r="N1533" s="26"/>
      <c r="P1533" s="1"/>
      <c r="Q1533" s="1"/>
      <c r="R1533" s="1"/>
      <c r="S1533" s="1"/>
      <c r="T1533" s="1"/>
      <c r="U1533" s="1"/>
      <c r="V1533" s="38"/>
      <c r="W1533" s="1"/>
      <c r="X1533" s="1"/>
    </row>
    <row r="1534" spans="1:24" ht="14.4">
      <c r="A1534" s="1"/>
      <c r="M1534" s="26"/>
      <c r="N1534" s="26"/>
      <c r="P1534" s="1"/>
      <c r="Q1534" s="1"/>
      <c r="R1534" s="1"/>
      <c r="S1534" s="1"/>
      <c r="T1534" s="1"/>
      <c r="U1534" s="1"/>
      <c r="V1534" s="38"/>
      <c r="W1534" s="1"/>
      <c r="X1534" s="1"/>
    </row>
    <row r="1535" spans="1:24" ht="14.4">
      <c r="A1535" s="1"/>
      <c r="M1535" s="26"/>
      <c r="N1535" s="26"/>
      <c r="P1535" s="1"/>
      <c r="Q1535" s="1"/>
      <c r="R1535" s="1"/>
      <c r="S1535" s="1"/>
      <c r="T1535" s="1"/>
      <c r="U1535" s="1"/>
      <c r="V1535" s="38"/>
      <c r="W1535" s="1"/>
      <c r="X1535" s="1"/>
    </row>
    <row r="1536" spans="1:24" ht="14.4">
      <c r="A1536" s="1"/>
      <c r="M1536" s="26"/>
      <c r="N1536" s="26"/>
      <c r="P1536" s="1"/>
      <c r="Q1536" s="1"/>
      <c r="R1536" s="1"/>
      <c r="S1536" s="1"/>
      <c r="T1536" s="1"/>
      <c r="U1536" s="1"/>
      <c r="V1536" s="38"/>
      <c r="W1536" s="1"/>
      <c r="X1536" s="1"/>
    </row>
    <row r="1537" spans="1:24" ht="14.4">
      <c r="A1537" s="1"/>
      <c r="M1537" s="26"/>
      <c r="N1537" s="26"/>
      <c r="P1537" s="1"/>
      <c r="Q1537" s="1"/>
      <c r="R1537" s="1"/>
      <c r="S1537" s="1"/>
      <c r="T1537" s="1"/>
      <c r="U1537" s="1"/>
      <c r="V1537" s="38"/>
      <c r="W1537" s="1"/>
      <c r="X1537" s="1"/>
    </row>
    <row r="1538" spans="1:24" ht="14.4">
      <c r="A1538" s="1"/>
      <c r="M1538" s="26"/>
      <c r="N1538" s="26"/>
      <c r="P1538" s="1"/>
      <c r="Q1538" s="1"/>
      <c r="R1538" s="1"/>
      <c r="S1538" s="1"/>
      <c r="T1538" s="1"/>
      <c r="U1538" s="1"/>
      <c r="V1538" s="38"/>
      <c r="W1538" s="1"/>
      <c r="X1538" s="1"/>
    </row>
    <row r="1539" spans="1:24" ht="14.4">
      <c r="A1539" s="1"/>
      <c r="M1539" s="26"/>
      <c r="N1539" s="26"/>
      <c r="P1539" s="1"/>
      <c r="Q1539" s="1"/>
      <c r="R1539" s="1"/>
      <c r="S1539" s="1"/>
      <c r="T1539" s="1"/>
      <c r="U1539" s="1"/>
      <c r="V1539" s="38"/>
      <c r="W1539" s="1"/>
      <c r="X1539" s="1"/>
    </row>
    <row r="1540" spans="1:24" ht="14.4">
      <c r="A1540" s="1"/>
      <c r="M1540" s="26"/>
      <c r="N1540" s="26"/>
      <c r="P1540" s="1"/>
      <c r="Q1540" s="1"/>
      <c r="R1540" s="1"/>
      <c r="S1540" s="1"/>
      <c r="T1540" s="1"/>
      <c r="U1540" s="1"/>
      <c r="V1540" s="38"/>
      <c r="W1540" s="1"/>
      <c r="X1540" s="1"/>
    </row>
    <row r="1541" spans="1:24" ht="14.4">
      <c r="A1541" s="1"/>
      <c r="M1541" s="26"/>
      <c r="N1541" s="26"/>
      <c r="P1541" s="1"/>
      <c r="Q1541" s="1"/>
      <c r="R1541" s="1"/>
      <c r="S1541" s="1"/>
      <c r="T1541" s="1"/>
      <c r="U1541" s="1"/>
      <c r="V1541" s="38"/>
      <c r="W1541" s="1"/>
      <c r="X1541" s="1"/>
    </row>
    <row r="1542" spans="1:24" ht="14.4">
      <c r="A1542" s="1"/>
      <c r="M1542" s="26"/>
      <c r="N1542" s="26"/>
      <c r="P1542" s="1"/>
      <c r="Q1542" s="1"/>
      <c r="R1542" s="1"/>
      <c r="S1542" s="1"/>
      <c r="T1542" s="1"/>
      <c r="U1542" s="1"/>
      <c r="V1542" s="38"/>
      <c r="W1542" s="1"/>
      <c r="X1542" s="1"/>
    </row>
    <row r="1543" spans="1:24" ht="14.4">
      <c r="A1543" s="1"/>
      <c r="M1543" s="26"/>
      <c r="N1543" s="26"/>
      <c r="P1543" s="1"/>
      <c r="Q1543" s="1"/>
      <c r="R1543" s="1"/>
      <c r="S1543" s="1"/>
      <c r="T1543" s="1"/>
      <c r="U1543" s="1"/>
      <c r="V1543" s="38"/>
      <c r="W1543" s="1"/>
      <c r="X1543" s="1"/>
    </row>
    <row r="1544" spans="1:24" ht="14.4">
      <c r="A1544" s="1"/>
      <c r="M1544" s="26"/>
      <c r="N1544" s="26"/>
      <c r="P1544" s="1"/>
      <c r="Q1544" s="1"/>
      <c r="R1544" s="1"/>
      <c r="S1544" s="1"/>
      <c r="T1544" s="1"/>
      <c r="U1544" s="1"/>
      <c r="V1544" s="38"/>
      <c r="W1544" s="1"/>
      <c r="X1544" s="1"/>
    </row>
    <row r="1545" spans="1:24" ht="14.4">
      <c r="A1545" s="1"/>
      <c r="M1545" s="26"/>
      <c r="N1545" s="26"/>
      <c r="P1545" s="1"/>
      <c r="Q1545" s="1"/>
      <c r="R1545" s="1"/>
      <c r="S1545" s="1"/>
      <c r="T1545" s="1"/>
      <c r="U1545" s="1"/>
      <c r="V1545" s="38"/>
      <c r="W1545" s="1"/>
      <c r="X1545" s="1"/>
    </row>
    <row r="1546" spans="1:24" ht="14.4">
      <c r="A1546" s="1"/>
      <c r="M1546" s="26"/>
      <c r="N1546" s="26"/>
      <c r="P1546" s="1"/>
      <c r="Q1546" s="1"/>
      <c r="R1546" s="1"/>
      <c r="S1546" s="1"/>
      <c r="T1546" s="1"/>
      <c r="U1546" s="1"/>
      <c r="V1546" s="38"/>
      <c r="W1546" s="1"/>
      <c r="X1546" s="1"/>
    </row>
    <row r="1547" spans="1:24" ht="14.4">
      <c r="A1547" s="1"/>
      <c r="M1547" s="26"/>
      <c r="N1547" s="26"/>
      <c r="P1547" s="1"/>
      <c r="Q1547" s="1"/>
      <c r="R1547" s="1"/>
      <c r="S1547" s="1"/>
      <c r="T1547" s="1"/>
      <c r="U1547" s="1"/>
      <c r="V1547" s="38"/>
      <c r="W1547" s="1"/>
      <c r="X1547" s="1"/>
    </row>
    <row r="1548" spans="1:24" ht="14.4">
      <c r="A1548" s="1"/>
      <c r="M1548" s="26"/>
      <c r="N1548" s="26"/>
      <c r="P1548" s="1"/>
      <c r="Q1548" s="1"/>
      <c r="R1548" s="1"/>
      <c r="S1548" s="1"/>
      <c r="T1548" s="1"/>
      <c r="U1548" s="1"/>
      <c r="V1548" s="38"/>
      <c r="W1548" s="1"/>
      <c r="X1548" s="1"/>
    </row>
    <row r="1549" spans="1:24" ht="14.4">
      <c r="A1549" s="1"/>
      <c r="M1549" s="26"/>
      <c r="N1549" s="26"/>
      <c r="P1549" s="1"/>
      <c r="Q1549" s="1"/>
      <c r="R1549" s="1"/>
      <c r="S1549" s="1"/>
      <c r="T1549" s="1"/>
      <c r="U1549" s="1"/>
      <c r="V1549" s="38"/>
      <c r="W1549" s="1"/>
      <c r="X1549" s="1"/>
    </row>
    <row r="1550" spans="1:24" ht="14.4">
      <c r="A1550" s="1"/>
      <c r="M1550" s="26"/>
      <c r="N1550" s="26"/>
      <c r="P1550" s="1"/>
      <c r="Q1550" s="1"/>
      <c r="R1550" s="1"/>
      <c r="S1550" s="1"/>
      <c r="T1550" s="1"/>
      <c r="U1550" s="1"/>
      <c r="V1550" s="38"/>
      <c r="W1550" s="1"/>
      <c r="X1550" s="1"/>
    </row>
    <row r="1551" spans="1:24" ht="14.4">
      <c r="A1551" s="1"/>
      <c r="M1551" s="26"/>
      <c r="N1551" s="26"/>
      <c r="P1551" s="1"/>
      <c r="Q1551" s="1"/>
      <c r="R1551" s="1"/>
      <c r="S1551" s="1"/>
      <c r="T1551" s="1"/>
      <c r="U1551" s="1"/>
      <c r="V1551" s="38"/>
      <c r="W1551" s="1"/>
      <c r="X1551" s="1"/>
    </row>
    <row r="1552" spans="1:24" ht="14.4">
      <c r="A1552" s="1"/>
      <c r="M1552" s="26"/>
      <c r="N1552" s="26"/>
      <c r="P1552" s="1"/>
      <c r="Q1552" s="1"/>
      <c r="R1552" s="1"/>
      <c r="S1552" s="1"/>
      <c r="T1552" s="1"/>
      <c r="U1552" s="1"/>
      <c r="V1552" s="38"/>
      <c r="W1552" s="1"/>
      <c r="X1552" s="1"/>
    </row>
    <row r="1553" spans="1:24" ht="14.4">
      <c r="A1553" s="1"/>
      <c r="M1553" s="26"/>
      <c r="N1553" s="26"/>
      <c r="P1553" s="1"/>
      <c r="Q1553" s="1"/>
      <c r="R1553" s="1"/>
      <c r="S1553" s="1"/>
      <c r="T1553" s="1"/>
      <c r="U1553" s="1"/>
      <c r="V1553" s="38"/>
      <c r="W1553" s="1"/>
      <c r="X1553" s="1"/>
    </row>
    <row r="1554" spans="1:24" ht="14.4">
      <c r="A1554" s="1"/>
      <c r="M1554" s="26"/>
      <c r="N1554" s="26"/>
      <c r="P1554" s="1"/>
      <c r="Q1554" s="1"/>
      <c r="R1554" s="1"/>
      <c r="S1554" s="1"/>
      <c r="T1554" s="1"/>
      <c r="U1554" s="1"/>
      <c r="V1554" s="38"/>
      <c r="W1554" s="1"/>
      <c r="X1554" s="1"/>
    </row>
    <row r="1555" spans="1:24" ht="14.4">
      <c r="A1555" s="1"/>
      <c r="M1555" s="26"/>
      <c r="N1555" s="26"/>
      <c r="P1555" s="1"/>
      <c r="Q1555" s="1"/>
      <c r="R1555" s="1"/>
      <c r="S1555" s="1"/>
      <c r="T1555" s="1"/>
      <c r="U1555" s="1"/>
      <c r="V1555" s="38"/>
      <c r="W1555" s="1"/>
      <c r="X1555" s="1"/>
    </row>
    <row r="1556" spans="1:24" ht="14.4">
      <c r="A1556" s="1"/>
      <c r="M1556" s="26"/>
      <c r="N1556" s="26"/>
      <c r="P1556" s="1"/>
      <c r="Q1556" s="1"/>
      <c r="R1556" s="1"/>
      <c r="S1556" s="1"/>
      <c r="T1556" s="1"/>
      <c r="U1556" s="1"/>
      <c r="V1556" s="38"/>
      <c r="W1556" s="1"/>
      <c r="X1556" s="1"/>
    </row>
    <row r="1557" spans="1:24" ht="14.4">
      <c r="A1557" s="1"/>
      <c r="M1557" s="26"/>
      <c r="N1557" s="26"/>
      <c r="P1557" s="1"/>
      <c r="Q1557" s="1"/>
      <c r="R1557" s="1"/>
      <c r="S1557" s="1"/>
      <c r="T1557" s="1"/>
      <c r="U1557" s="1"/>
      <c r="V1557" s="38"/>
      <c r="W1557" s="1"/>
      <c r="X1557" s="1"/>
    </row>
    <row r="1558" spans="1:24" ht="14.4">
      <c r="A1558" s="1"/>
      <c r="M1558" s="26"/>
      <c r="N1558" s="26"/>
      <c r="P1558" s="1"/>
      <c r="Q1558" s="1"/>
      <c r="R1558" s="1"/>
      <c r="S1558" s="1"/>
      <c r="T1558" s="1"/>
      <c r="U1558" s="1"/>
      <c r="V1558" s="38"/>
      <c r="W1558" s="1"/>
      <c r="X1558" s="1"/>
    </row>
    <row r="1559" spans="1:24" ht="14.4">
      <c r="A1559" s="1"/>
      <c r="M1559" s="26"/>
      <c r="N1559" s="26"/>
      <c r="P1559" s="1"/>
      <c r="Q1559" s="1"/>
      <c r="R1559" s="1"/>
      <c r="S1559" s="1"/>
      <c r="T1559" s="1"/>
      <c r="U1559" s="1"/>
      <c r="V1559" s="38"/>
      <c r="W1559" s="1"/>
      <c r="X1559" s="1"/>
    </row>
    <row r="1560" spans="1:24" ht="14.4">
      <c r="A1560" s="1"/>
      <c r="M1560" s="26"/>
      <c r="N1560" s="26"/>
      <c r="P1560" s="1"/>
      <c r="Q1560" s="1"/>
      <c r="R1560" s="1"/>
      <c r="S1560" s="1"/>
      <c r="T1560" s="1"/>
      <c r="U1560" s="1"/>
      <c r="V1560" s="38"/>
      <c r="W1560" s="1"/>
      <c r="X1560" s="1"/>
    </row>
    <row r="1561" spans="1:24" ht="14.4">
      <c r="A1561" s="1"/>
      <c r="M1561" s="26"/>
      <c r="N1561" s="26"/>
      <c r="P1561" s="1"/>
      <c r="Q1561" s="1"/>
      <c r="R1561" s="1"/>
      <c r="S1561" s="1"/>
      <c r="T1561" s="1"/>
      <c r="U1561" s="1"/>
      <c r="V1561" s="38"/>
      <c r="W1561" s="1"/>
      <c r="X1561" s="1"/>
    </row>
    <row r="1562" spans="1:24" ht="14.4">
      <c r="A1562" s="1"/>
      <c r="M1562" s="26"/>
      <c r="N1562" s="26"/>
      <c r="P1562" s="1"/>
      <c r="Q1562" s="1"/>
      <c r="R1562" s="1"/>
      <c r="S1562" s="1"/>
      <c r="T1562" s="1"/>
      <c r="U1562" s="1"/>
      <c r="V1562" s="38"/>
      <c r="W1562" s="1"/>
      <c r="X1562" s="1"/>
    </row>
    <row r="1563" spans="1:24" ht="14.4">
      <c r="A1563" s="1"/>
      <c r="M1563" s="26"/>
      <c r="N1563" s="26"/>
      <c r="P1563" s="1"/>
      <c r="Q1563" s="1"/>
      <c r="R1563" s="1"/>
      <c r="S1563" s="1"/>
      <c r="T1563" s="1"/>
      <c r="U1563" s="1"/>
      <c r="V1563" s="38"/>
      <c r="W1563" s="1"/>
      <c r="X1563" s="1"/>
    </row>
    <row r="1564" spans="1:24" ht="14.4">
      <c r="A1564" s="1"/>
      <c r="M1564" s="26"/>
      <c r="N1564" s="26"/>
      <c r="P1564" s="1"/>
      <c r="Q1564" s="1"/>
      <c r="R1564" s="1"/>
      <c r="S1564" s="1"/>
      <c r="T1564" s="1"/>
      <c r="U1564" s="1"/>
      <c r="V1564" s="38"/>
      <c r="W1564" s="1"/>
      <c r="X1564" s="1"/>
    </row>
    <row r="1565" spans="1:24" ht="14.4">
      <c r="A1565" s="1"/>
      <c r="M1565" s="26"/>
      <c r="N1565" s="26"/>
      <c r="P1565" s="1"/>
      <c r="Q1565" s="1"/>
      <c r="R1565" s="1"/>
      <c r="S1565" s="1"/>
      <c r="T1565" s="1"/>
      <c r="U1565" s="1"/>
      <c r="V1565" s="38"/>
      <c r="W1565" s="1"/>
      <c r="X1565" s="1"/>
    </row>
    <row r="1566" spans="1:24" ht="14.4">
      <c r="A1566" s="1"/>
      <c r="M1566" s="26"/>
      <c r="N1566" s="26"/>
      <c r="P1566" s="1"/>
      <c r="Q1566" s="1"/>
      <c r="R1566" s="1"/>
      <c r="S1566" s="1"/>
      <c r="T1566" s="1"/>
      <c r="U1566" s="1"/>
      <c r="V1566" s="38"/>
      <c r="W1566" s="1"/>
      <c r="X1566" s="1"/>
    </row>
    <row r="1567" spans="1:24" ht="14.4">
      <c r="A1567" s="1"/>
      <c r="M1567" s="26"/>
      <c r="N1567" s="26"/>
      <c r="P1567" s="1"/>
      <c r="Q1567" s="1"/>
      <c r="R1567" s="1"/>
      <c r="S1567" s="1"/>
      <c r="T1567" s="1"/>
      <c r="U1567" s="1"/>
      <c r="V1567" s="38"/>
      <c r="W1567" s="1"/>
      <c r="X1567" s="1"/>
    </row>
    <row r="1568" spans="1:24" ht="14.4">
      <c r="A1568" s="1"/>
      <c r="M1568" s="26"/>
      <c r="N1568" s="26"/>
      <c r="P1568" s="1"/>
      <c r="Q1568" s="1"/>
      <c r="R1568" s="1"/>
      <c r="S1568" s="1"/>
      <c r="T1568" s="1"/>
      <c r="U1568" s="1"/>
      <c r="V1568" s="38"/>
      <c r="W1568" s="1"/>
      <c r="X1568" s="1"/>
    </row>
    <row r="1569" spans="1:24" ht="14.4">
      <c r="A1569" s="1"/>
      <c r="M1569" s="26"/>
      <c r="N1569" s="26"/>
      <c r="P1569" s="1"/>
      <c r="Q1569" s="1"/>
      <c r="R1569" s="1"/>
      <c r="S1569" s="1"/>
      <c r="T1569" s="1"/>
      <c r="U1569" s="1"/>
      <c r="V1569" s="38"/>
      <c r="W1569" s="1"/>
      <c r="X1569" s="1"/>
    </row>
    <row r="1570" spans="1:24" ht="14.4">
      <c r="A1570" s="1"/>
      <c r="M1570" s="26"/>
      <c r="N1570" s="26"/>
      <c r="P1570" s="1"/>
      <c r="Q1570" s="1"/>
      <c r="R1570" s="1"/>
      <c r="S1570" s="1"/>
      <c r="T1570" s="1"/>
      <c r="U1570" s="1"/>
      <c r="V1570" s="38"/>
      <c r="W1570" s="1"/>
      <c r="X1570" s="1"/>
    </row>
    <row r="1571" spans="1:24" ht="14.4">
      <c r="A1571" s="1"/>
      <c r="M1571" s="26"/>
      <c r="N1571" s="26"/>
      <c r="P1571" s="1"/>
      <c r="Q1571" s="1"/>
      <c r="R1571" s="1"/>
      <c r="S1571" s="1"/>
      <c r="T1571" s="1"/>
      <c r="U1571" s="1"/>
      <c r="V1571" s="38"/>
      <c r="W1571" s="1"/>
      <c r="X1571" s="1"/>
    </row>
    <row r="1572" spans="1:24" ht="14.4">
      <c r="A1572" s="1"/>
      <c r="M1572" s="26"/>
      <c r="N1572" s="26"/>
      <c r="P1572" s="1"/>
      <c r="Q1572" s="1"/>
      <c r="R1572" s="1"/>
      <c r="S1572" s="1"/>
      <c r="T1572" s="1"/>
      <c r="U1572" s="1"/>
      <c r="V1572" s="38"/>
      <c r="W1572" s="1"/>
      <c r="X1572" s="1"/>
    </row>
    <row r="1573" spans="1:24" ht="14.4">
      <c r="A1573" s="1"/>
      <c r="M1573" s="26"/>
      <c r="N1573" s="26"/>
      <c r="P1573" s="1"/>
      <c r="Q1573" s="1"/>
      <c r="R1573" s="1"/>
      <c r="S1573" s="1"/>
      <c r="T1573" s="1"/>
      <c r="U1573" s="1"/>
      <c r="V1573" s="38"/>
      <c r="W1573" s="1"/>
      <c r="X1573" s="1"/>
    </row>
    <row r="1574" spans="1:24" ht="14.4">
      <c r="A1574" s="1"/>
      <c r="M1574" s="26"/>
      <c r="N1574" s="26"/>
      <c r="P1574" s="1"/>
      <c r="Q1574" s="1"/>
      <c r="R1574" s="1"/>
      <c r="S1574" s="1"/>
      <c r="T1574" s="1"/>
      <c r="U1574" s="1"/>
      <c r="V1574" s="38"/>
      <c r="W1574" s="1"/>
      <c r="X1574" s="1"/>
    </row>
    <row r="1575" spans="1:24" ht="14.4">
      <c r="A1575" s="1"/>
      <c r="M1575" s="26"/>
      <c r="N1575" s="26"/>
      <c r="P1575" s="1"/>
      <c r="Q1575" s="1"/>
      <c r="R1575" s="1"/>
      <c r="S1575" s="1"/>
      <c r="T1575" s="1"/>
      <c r="U1575" s="1"/>
      <c r="V1575" s="38"/>
      <c r="W1575" s="1"/>
      <c r="X1575" s="1"/>
    </row>
    <row r="1576" spans="1:24" ht="14.4">
      <c r="A1576" s="1"/>
      <c r="M1576" s="26"/>
      <c r="N1576" s="26"/>
      <c r="P1576" s="1"/>
      <c r="Q1576" s="1"/>
      <c r="R1576" s="1"/>
      <c r="S1576" s="1"/>
      <c r="T1576" s="1"/>
      <c r="U1576" s="1"/>
      <c r="V1576" s="38"/>
      <c r="W1576" s="1"/>
      <c r="X1576" s="1"/>
    </row>
    <row r="1577" spans="1:24" ht="14.4">
      <c r="A1577" s="1"/>
      <c r="M1577" s="26"/>
      <c r="N1577" s="26"/>
      <c r="P1577" s="1"/>
      <c r="Q1577" s="1"/>
      <c r="R1577" s="1"/>
      <c r="S1577" s="1"/>
      <c r="T1577" s="1"/>
      <c r="U1577" s="1"/>
      <c r="V1577" s="38"/>
      <c r="W1577" s="1"/>
      <c r="X1577" s="1"/>
    </row>
    <row r="1578" spans="1:24" ht="14.4">
      <c r="A1578" s="1"/>
      <c r="M1578" s="26"/>
      <c r="N1578" s="26"/>
      <c r="P1578" s="1"/>
      <c r="Q1578" s="1"/>
      <c r="R1578" s="1"/>
      <c r="S1578" s="1"/>
      <c r="T1578" s="1"/>
      <c r="U1578" s="1"/>
      <c r="V1578" s="38"/>
      <c r="W1578" s="1"/>
      <c r="X1578" s="1"/>
    </row>
    <row r="1579" spans="1:24" ht="14.4">
      <c r="A1579" s="1"/>
      <c r="M1579" s="26"/>
      <c r="N1579" s="26"/>
      <c r="P1579" s="1"/>
      <c r="Q1579" s="1"/>
      <c r="R1579" s="1"/>
      <c r="S1579" s="1"/>
      <c r="T1579" s="1"/>
      <c r="U1579" s="1"/>
      <c r="V1579" s="38"/>
      <c r="W1579" s="1"/>
      <c r="X1579" s="1"/>
    </row>
    <row r="1580" spans="1:24" ht="14.4">
      <c r="A1580" s="1"/>
      <c r="M1580" s="26"/>
      <c r="N1580" s="26"/>
      <c r="P1580" s="1"/>
      <c r="Q1580" s="1"/>
      <c r="R1580" s="1"/>
      <c r="S1580" s="1"/>
      <c r="T1580" s="1"/>
      <c r="U1580" s="1"/>
      <c r="V1580" s="38"/>
      <c r="W1580" s="1"/>
      <c r="X1580" s="1"/>
    </row>
    <row r="1581" spans="1:24" ht="14.4">
      <c r="A1581" s="1"/>
      <c r="M1581" s="26"/>
      <c r="N1581" s="26"/>
      <c r="P1581" s="1"/>
      <c r="Q1581" s="1"/>
      <c r="R1581" s="1"/>
      <c r="S1581" s="1"/>
      <c r="T1581" s="1"/>
      <c r="U1581" s="1"/>
      <c r="V1581" s="38"/>
      <c r="W1581" s="1"/>
      <c r="X1581" s="1"/>
    </row>
    <row r="1582" spans="1:24" ht="14.4">
      <c r="A1582" s="1"/>
      <c r="M1582" s="26"/>
      <c r="N1582" s="26"/>
      <c r="P1582" s="1"/>
      <c r="Q1582" s="1"/>
      <c r="R1582" s="1"/>
      <c r="S1582" s="1"/>
      <c r="T1582" s="1"/>
      <c r="U1582" s="1"/>
      <c r="V1582" s="38"/>
      <c r="W1582" s="1"/>
      <c r="X1582" s="1"/>
    </row>
    <row r="1583" spans="1:24" ht="14.4">
      <c r="A1583" s="1"/>
      <c r="M1583" s="26"/>
      <c r="N1583" s="26"/>
      <c r="P1583" s="1"/>
      <c r="Q1583" s="1"/>
      <c r="R1583" s="1"/>
      <c r="S1583" s="1"/>
      <c r="T1583" s="1"/>
      <c r="U1583" s="1"/>
      <c r="V1583" s="38"/>
      <c r="W1583" s="1"/>
      <c r="X1583" s="1"/>
    </row>
    <row r="1584" spans="1:24" ht="14.4">
      <c r="A1584" s="1"/>
      <c r="M1584" s="26"/>
      <c r="N1584" s="26"/>
      <c r="P1584" s="1"/>
      <c r="Q1584" s="1"/>
      <c r="R1584" s="1"/>
      <c r="S1584" s="1"/>
      <c r="T1584" s="1"/>
      <c r="U1584" s="1"/>
      <c r="V1584" s="38"/>
      <c r="W1584" s="1"/>
      <c r="X1584" s="1"/>
    </row>
    <row r="1585" spans="1:24" ht="14.4">
      <c r="A1585" s="1"/>
      <c r="M1585" s="26"/>
      <c r="N1585" s="26"/>
      <c r="P1585" s="1"/>
      <c r="Q1585" s="1"/>
      <c r="R1585" s="1"/>
      <c r="S1585" s="1"/>
      <c r="T1585" s="1"/>
      <c r="U1585" s="1"/>
      <c r="V1585" s="38"/>
      <c r="W1585" s="1"/>
      <c r="X1585" s="1"/>
    </row>
    <row r="1586" spans="1:24" ht="14.4">
      <c r="A1586" s="1"/>
      <c r="M1586" s="26"/>
      <c r="N1586" s="26"/>
      <c r="P1586" s="1"/>
      <c r="Q1586" s="1"/>
      <c r="R1586" s="1"/>
      <c r="S1586" s="1"/>
      <c r="T1586" s="1"/>
      <c r="U1586" s="1"/>
      <c r="V1586" s="38"/>
      <c r="W1586" s="1"/>
      <c r="X1586" s="1"/>
    </row>
    <row r="1587" spans="1:24" ht="14.4">
      <c r="A1587" s="1"/>
      <c r="M1587" s="26"/>
      <c r="N1587" s="26"/>
      <c r="P1587" s="1"/>
      <c r="Q1587" s="1"/>
      <c r="R1587" s="1"/>
      <c r="S1587" s="1"/>
      <c r="T1587" s="1"/>
      <c r="U1587" s="1"/>
      <c r="V1587" s="38"/>
      <c r="W1587" s="1"/>
      <c r="X1587" s="1"/>
    </row>
    <row r="1588" spans="1:24" ht="14.4">
      <c r="A1588" s="1"/>
      <c r="M1588" s="26"/>
      <c r="N1588" s="26"/>
      <c r="P1588" s="1"/>
      <c r="Q1588" s="1"/>
      <c r="R1588" s="1"/>
      <c r="S1588" s="1"/>
      <c r="T1588" s="1"/>
      <c r="U1588" s="1"/>
      <c r="V1588" s="38"/>
      <c r="W1588" s="1"/>
      <c r="X1588" s="1"/>
    </row>
    <row r="1589" spans="1:24" ht="14.4">
      <c r="A1589" s="1"/>
      <c r="M1589" s="26"/>
      <c r="N1589" s="26"/>
      <c r="P1589" s="1"/>
      <c r="Q1589" s="1"/>
      <c r="R1589" s="1"/>
      <c r="S1589" s="1"/>
      <c r="T1589" s="1"/>
      <c r="U1589" s="1"/>
      <c r="V1589" s="38"/>
      <c r="W1589" s="1"/>
      <c r="X1589" s="1"/>
    </row>
    <row r="1590" spans="1:24" ht="14.4">
      <c r="A1590" s="1"/>
      <c r="M1590" s="26"/>
      <c r="N1590" s="26"/>
      <c r="P1590" s="1"/>
      <c r="Q1590" s="1"/>
      <c r="R1590" s="1"/>
      <c r="S1590" s="1"/>
      <c r="T1590" s="1"/>
      <c r="U1590" s="1"/>
      <c r="V1590" s="38"/>
      <c r="W1590" s="1"/>
      <c r="X1590" s="1"/>
    </row>
    <row r="1591" spans="1:24" ht="14.4">
      <c r="A1591" s="1"/>
      <c r="M1591" s="26"/>
      <c r="N1591" s="26"/>
      <c r="P1591" s="1"/>
      <c r="Q1591" s="1"/>
      <c r="R1591" s="1"/>
      <c r="S1591" s="1"/>
      <c r="T1591" s="1"/>
      <c r="U1591" s="1"/>
      <c r="V1591" s="38"/>
      <c r="W1591" s="1"/>
      <c r="X1591" s="1"/>
    </row>
    <row r="1592" spans="1:24" ht="14.4">
      <c r="A1592" s="1"/>
      <c r="M1592" s="26"/>
      <c r="N1592" s="26"/>
      <c r="P1592" s="1"/>
      <c r="Q1592" s="1"/>
      <c r="R1592" s="1"/>
      <c r="S1592" s="1"/>
      <c r="T1592" s="1"/>
      <c r="U1592" s="1"/>
      <c r="V1592" s="38"/>
      <c r="W1592" s="1"/>
      <c r="X1592" s="1"/>
    </row>
    <row r="1593" spans="1:24" ht="14.4">
      <c r="A1593" s="1"/>
      <c r="M1593" s="26"/>
      <c r="N1593" s="26"/>
      <c r="P1593" s="1"/>
      <c r="Q1593" s="1"/>
      <c r="R1593" s="1"/>
      <c r="S1593" s="1"/>
      <c r="T1593" s="1"/>
      <c r="U1593" s="1"/>
      <c r="V1593" s="38"/>
      <c r="W1593" s="1"/>
      <c r="X1593" s="1"/>
    </row>
    <row r="1594" spans="1:24" ht="14.4">
      <c r="A1594" s="1"/>
      <c r="M1594" s="26"/>
      <c r="N1594" s="26"/>
      <c r="P1594" s="1"/>
      <c r="Q1594" s="1"/>
      <c r="R1594" s="1"/>
      <c r="S1594" s="1"/>
      <c r="T1594" s="1"/>
      <c r="U1594" s="1"/>
      <c r="V1594" s="38"/>
      <c r="W1594" s="1"/>
      <c r="X1594" s="1"/>
    </row>
    <row r="1595" spans="1:24" ht="14.4">
      <c r="A1595" s="1"/>
      <c r="M1595" s="26"/>
      <c r="N1595" s="26"/>
      <c r="P1595" s="1"/>
      <c r="Q1595" s="1"/>
      <c r="R1595" s="1"/>
      <c r="S1595" s="1"/>
      <c r="T1595" s="1"/>
      <c r="U1595" s="1"/>
      <c r="V1595" s="38"/>
      <c r="W1595" s="1"/>
      <c r="X1595" s="1"/>
    </row>
    <row r="1596" spans="1:24" ht="14.4">
      <c r="A1596" s="1"/>
      <c r="M1596" s="26"/>
      <c r="N1596" s="26"/>
      <c r="P1596" s="1"/>
      <c r="Q1596" s="1"/>
      <c r="R1596" s="1"/>
      <c r="S1596" s="1"/>
      <c r="T1596" s="1"/>
      <c r="U1596" s="1"/>
      <c r="V1596" s="38"/>
      <c r="W1596" s="1"/>
      <c r="X1596" s="1"/>
    </row>
    <row r="1597" spans="1:24" ht="14.4">
      <c r="A1597" s="1"/>
      <c r="M1597" s="26"/>
      <c r="N1597" s="26"/>
      <c r="P1597" s="1"/>
      <c r="Q1597" s="1"/>
      <c r="R1597" s="1"/>
      <c r="S1597" s="1"/>
      <c r="T1597" s="1"/>
      <c r="U1597" s="1"/>
      <c r="V1597" s="38"/>
      <c r="W1597" s="1"/>
      <c r="X1597" s="1"/>
    </row>
    <row r="1598" spans="1:24" ht="14.4">
      <c r="A1598" s="1"/>
      <c r="M1598" s="26"/>
      <c r="N1598" s="26"/>
      <c r="P1598" s="1"/>
      <c r="Q1598" s="1"/>
      <c r="R1598" s="1"/>
      <c r="S1598" s="1"/>
      <c r="T1598" s="1"/>
      <c r="U1598" s="1"/>
      <c r="V1598" s="38"/>
      <c r="W1598" s="1"/>
      <c r="X1598" s="1"/>
    </row>
    <row r="1599" spans="1:24" ht="14.4">
      <c r="A1599" s="1"/>
      <c r="M1599" s="26"/>
      <c r="N1599" s="26"/>
      <c r="P1599" s="1"/>
      <c r="Q1599" s="1"/>
      <c r="R1599" s="1"/>
      <c r="S1599" s="1"/>
      <c r="T1599" s="1"/>
      <c r="U1599" s="1"/>
      <c r="V1599" s="38"/>
      <c r="W1599" s="1"/>
      <c r="X1599" s="1"/>
    </row>
    <row r="1600" spans="1:24" ht="14.4">
      <c r="A1600" s="1"/>
      <c r="M1600" s="26"/>
      <c r="N1600" s="26"/>
      <c r="P1600" s="1"/>
      <c r="Q1600" s="1"/>
      <c r="R1600" s="1"/>
      <c r="S1600" s="1"/>
      <c r="T1600" s="1"/>
      <c r="U1600" s="1"/>
      <c r="V1600" s="38"/>
      <c r="W1600" s="1"/>
      <c r="X1600" s="1"/>
    </row>
    <row r="1601" spans="1:24" ht="14.4">
      <c r="A1601" s="1"/>
      <c r="M1601" s="26"/>
      <c r="N1601" s="26"/>
      <c r="P1601" s="1"/>
      <c r="Q1601" s="1"/>
      <c r="R1601" s="1"/>
      <c r="S1601" s="1"/>
      <c r="T1601" s="1"/>
      <c r="U1601" s="1"/>
      <c r="V1601" s="38"/>
      <c r="W1601" s="1"/>
      <c r="X1601" s="1"/>
    </row>
    <row r="1602" spans="1:24" ht="14.4">
      <c r="A1602" s="1"/>
      <c r="M1602" s="26"/>
      <c r="N1602" s="26"/>
      <c r="P1602" s="1"/>
      <c r="Q1602" s="1"/>
      <c r="R1602" s="1"/>
      <c r="S1602" s="1"/>
      <c r="T1602" s="1"/>
      <c r="U1602" s="1"/>
      <c r="V1602" s="38"/>
      <c r="W1602" s="1"/>
      <c r="X1602" s="1"/>
    </row>
    <row r="1603" spans="1:24" ht="14.4">
      <c r="A1603" s="1"/>
      <c r="M1603" s="26"/>
      <c r="N1603" s="26"/>
      <c r="P1603" s="1"/>
      <c r="Q1603" s="1"/>
      <c r="R1603" s="1"/>
      <c r="S1603" s="1"/>
      <c r="T1603" s="1"/>
      <c r="U1603" s="1"/>
      <c r="V1603" s="38"/>
      <c r="W1603" s="1"/>
      <c r="X1603" s="1"/>
    </row>
    <row r="1604" spans="1:24" ht="14.4">
      <c r="A1604" s="1"/>
      <c r="M1604" s="26"/>
      <c r="N1604" s="26"/>
      <c r="P1604" s="1"/>
      <c r="Q1604" s="1"/>
      <c r="R1604" s="1"/>
      <c r="S1604" s="1"/>
      <c r="T1604" s="1"/>
      <c r="U1604" s="1"/>
      <c r="V1604" s="38"/>
      <c r="W1604" s="1"/>
      <c r="X1604" s="1"/>
    </row>
    <row r="1605" spans="1:24" ht="14.4">
      <c r="A1605" s="1"/>
      <c r="M1605" s="26"/>
      <c r="N1605" s="26"/>
      <c r="P1605" s="1"/>
      <c r="Q1605" s="1"/>
      <c r="R1605" s="1"/>
      <c r="S1605" s="1"/>
      <c r="T1605" s="1"/>
      <c r="U1605" s="1"/>
      <c r="V1605" s="38"/>
      <c r="W1605" s="1"/>
      <c r="X1605" s="1"/>
    </row>
    <row r="1606" spans="1:24" ht="14.4">
      <c r="A1606" s="1"/>
      <c r="M1606" s="26"/>
      <c r="N1606" s="26"/>
      <c r="P1606" s="1"/>
      <c r="Q1606" s="1"/>
      <c r="R1606" s="1"/>
      <c r="S1606" s="1"/>
      <c r="T1606" s="1"/>
      <c r="U1606" s="1"/>
      <c r="V1606" s="38"/>
      <c r="W1606" s="1"/>
      <c r="X1606" s="1"/>
    </row>
    <row r="1607" spans="1:24" ht="14.4">
      <c r="A1607" s="1"/>
      <c r="M1607" s="26"/>
      <c r="N1607" s="26"/>
      <c r="P1607" s="1"/>
      <c r="Q1607" s="1"/>
      <c r="R1607" s="1"/>
      <c r="S1607" s="1"/>
      <c r="T1607" s="1"/>
      <c r="U1607" s="1"/>
      <c r="V1607" s="38"/>
      <c r="W1607" s="1"/>
      <c r="X1607" s="1"/>
    </row>
    <row r="1608" spans="1:24" ht="14.4">
      <c r="A1608" s="1"/>
      <c r="M1608" s="26"/>
      <c r="N1608" s="26"/>
      <c r="P1608" s="1"/>
      <c r="Q1608" s="1"/>
      <c r="R1608" s="1"/>
      <c r="S1608" s="1"/>
      <c r="T1608" s="1"/>
      <c r="U1608" s="1"/>
      <c r="V1608" s="38"/>
      <c r="W1608" s="1"/>
      <c r="X1608" s="1"/>
    </row>
    <row r="1609" spans="1:24" ht="14.4">
      <c r="A1609" s="1"/>
      <c r="M1609" s="26"/>
      <c r="N1609" s="26"/>
      <c r="P1609" s="1"/>
      <c r="Q1609" s="1"/>
      <c r="R1609" s="1"/>
      <c r="S1609" s="1"/>
      <c r="T1609" s="1"/>
      <c r="U1609" s="1"/>
      <c r="V1609" s="38"/>
      <c r="W1609" s="1"/>
      <c r="X1609" s="1"/>
    </row>
    <row r="1610" spans="1:24" ht="14.4">
      <c r="A1610" s="1"/>
      <c r="M1610" s="26"/>
      <c r="N1610" s="26"/>
      <c r="P1610" s="1"/>
      <c r="Q1610" s="1"/>
      <c r="R1610" s="1"/>
      <c r="S1610" s="1"/>
      <c r="T1610" s="1"/>
      <c r="U1610" s="1"/>
      <c r="V1610" s="38"/>
      <c r="W1610" s="1"/>
      <c r="X1610" s="1"/>
    </row>
    <row r="1611" spans="1:24" ht="14.4">
      <c r="A1611" s="1"/>
      <c r="M1611" s="26"/>
      <c r="N1611" s="26"/>
      <c r="P1611" s="1"/>
      <c r="Q1611" s="1"/>
      <c r="R1611" s="1"/>
      <c r="S1611" s="1"/>
      <c r="T1611" s="1"/>
      <c r="U1611" s="1"/>
      <c r="V1611" s="38"/>
      <c r="W1611" s="1"/>
      <c r="X1611" s="1"/>
    </row>
    <row r="1612" spans="1:24" ht="14.4">
      <c r="A1612" s="1"/>
      <c r="M1612" s="26"/>
      <c r="N1612" s="26"/>
      <c r="P1612" s="1"/>
      <c r="Q1612" s="1"/>
      <c r="R1612" s="1"/>
      <c r="S1612" s="1"/>
      <c r="T1612" s="1"/>
      <c r="U1612" s="1"/>
      <c r="V1612" s="38"/>
      <c r="W1612" s="1"/>
      <c r="X1612" s="1"/>
    </row>
    <row r="1613" spans="1:24" ht="14.4">
      <c r="A1613" s="1"/>
      <c r="M1613" s="26"/>
      <c r="N1613" s="26"/>
      <c r="P1613" s="1"/>
      <c r="Q1613" s="1"/>
      <c r="R1613" s="1"/>
      <c r="S1613" s="1"/>
      <c r="T1613" s="1"/>
      <c r="U1613" s="1"/>
      <c r="V1613" s="38"/>
      <c r="W1613" s="1"/>
      <c r="X1613" s="1"/>
    </row>
    <row r="1614" spans="1:24" ht="14.4">
      <c r="A1614" s="1"/>
      <c r="M1614" s="26"/>
      <c r="N1614" s="26"/>
      <c r="P1614" s="1"/>
      <c r="Q1614" s="1"/>
      <c r="R1614" s="1"/>
      <c r="S1614" s="1"/>
      <c r="T1614" s="1"/>
      <c r="U1614" s="1"/>
      <c r="V1614" s="38"/>
      <c r="W1614" s="1"/>
      <c r="X1614" s="1"/>
    </row>
    <row r="1615" spans="1:24" ht="14.4">
      <c r="A1615" s="1"/>
      <c r="M1615" s="26"/>
      <c r="N1615" s="26"/>
      <c r="P1615" s="1"/>
      <c r="Q1615" s="1"/>
      <c r="R1615" s="1"/>
      <c r="S1615" s="1"/>
      <c r="T1615" s="1"/>
      <c r="U1615" s="1"/>
      <c r="V1615" s="38"/>
      <c r="W1615" s="1"/>
      <c r="X1615" s="1"/>
    </row>
    <row r="1616" spans="1:24" ht="14.4">
      <c r="A1616" s="1"/>
      <c r="M1616" s="26"/>
      <c r="N1616" s="26"/>
      <c r="P1616" s="1"/>
      <c r="Q1616" s="1"/>
      <c r="R1616" s="1"/>
      <c r="S1616" s="1"/>
      <c r="T1616" s="1"/>
      <c r="U1616" s="1"/>
      <c r="V1616" s="38"/>
      <c r="W1616" s="1"/>
      <c r="X1616" s="1"/>
    </row>
    <row r="1617" spans="1:24" ht="14.4">
      <c r="A1617" s="1"/>
      <c r="M1617" s="26"/>
      <c r="N1617" s="26"/>
      <c r="P1617" s="1"/>
      <c r="Q1617" s="1"/>
      <c r="R1617" s="1"/>
      <c r="S1617" s="1"/>
      <c r="T1617" s="1"/>
      <c r="U1617" s="1"/>
      <c r="V1617" s="38"/>
      <c r="W1617" s="1"/>
      <c r="X1617" s="1"/>
    </row>
    <row r="1618" spans="1:24" ht="14.4">
      <c r="A1618" s="1"/>
      <c r="M1618" s="26"/>
      <c r="N1618" s="26"/>
      <c r="P1618" s="1"/>
      <c r="Q1618" s="1"/>
      <c r="R1618" s="1"/>
      <c r="S1618" s="1"/>
      <c r="T1618" s="1"/>
      <c r="U1618" s="1"/>
      <c r="V1618" s="38"/>
      <c r="W1618" s="1"/>
      <c r="X1618" s="1"/>
    </row>
    <row r="1619" spans="1:24" ht="14.4">
      <c r="A1619" s="1"/>
      <c r="M1619" s="26"/>
      <c r="N1619" s="26"/>
      <c r="P1619" s="1"/>
      <c r="Q1619" s="1"/>
      <c r="R1619" s="1"/>
      <c r="S1619" s="1"/>
      <c r="T1619" s="1"/>
      <c r="U1619" s="1"/>
      <c r="V1619" s="38"/>
      <c r="W1619" s="1"/>
      <c r="X1619" s="1"/>
    </row>
    <row r="1620" spans="1:24" ht="14.4">
      <c r="A1620" s="1"/>
      <c r="M1620" s="26"/>
      <c r="N1620" s="26"/>
      <c r="P1620" s="1"/>
      <c r="Q1620" s="1"/>
      <c r="R1620" s="1"/>
      <c r="S1620" s="1"/>
      <c r="T1620" s="1"/>
      <c r="U1620" s="1"/>
      <c r="V1620" s="38"/>
      <c r="W1620" s="1"/>
      <c r="X1620" s="1"/>
    </row>
    <row r="1621" spans="1:24" ht="14.4">
      <c r="A1621" s="1"/>
      <c r="M1621" s="26"/>
      <c r="N1621" s="26"/>
      <c r="P1621" s="1"/>
      <c r="Q1621" s="1"/>
      <c r="R1621" s="1"/>
      <c r="S1621" s="1"/>
      <c r="T1621" s="1"/>
      <c r="U1621" s="1"/>
      <c r="V1621" s="38"/>
      <c r="W1621" s="1"/>
      <c r="X1621" s="1"/>
    </row>
    <row r="1622" spans="1:24" ht="14.4">
      <c r="A1622" s="1"/>
      <c r="M1622" s="26"/>
      <c r="N1622" s="26"/>
      <c r="P1622" s="1"/>
      <c r="Q1622" s="1"/>
      <c r="R1622" s="1"/>
      <c r="S1622" s="1"/>
      <c r="T1622" s="1"/>
      <c r="U1622" s="1"/>
      <c r="V1622" s="38"/>
      <c r="W1622" s="1"/>
      <c r="X1622" s="1"/>
    </row>
    <row r="1623" spans="1:24" ht="14.4">
      <c r="A1623" s="1"/>
      <c r="M1623" s="26"/>
      <c r="N1623" s="26"/>
      <c r="P1623" s="1"/>
      <c r="Q1623" s="1"/>
      <c r="R1623" s="1"/>
      <c r="S1623" s="1"/>
      <c r="T1623" s="1"/>
      <c r="U1623" s="1"/>
      <c r="V1623" s="38"/>
      <c r="W1623" s="1"/>
      <c r="X1623" s="1"/>
    </row>
    <row r="1624" spans="1:24" ht="14.4">
      <c r="A1624" s="1"/>
      <c r="M1624" s="26"/>
      <c r="N1624" s="26"/>
      <c r="P1624" s="1"/>
      <c r="Q1624" s="1"/>
      <c r="R1624" s="1"/>
      <c r="S1624" s="1"/>
      <c r="T1624" s="1"/>
      <c r="U1624" s="1"/>
      <c r="V1624" s="38"/>
      <c r="W1624" s="1"/>
      <c r="X1624" s="1"/>
    </row>
    <row r="1625" spans="1:24" ht="14.4">
      <c r="A1625" s="1"/>
      <c r="M1625" s="26"/>
      <c r="N1625" s="26"/>
      <c r="P1625" s="1"/>
      <c r="Q1625" s="1"/>
      <c r="R1625" s="1"/>
      <c r="S1625" s="1"/>
      <c r="T1625" s="1"/>
      <c r="U1625" s="1"/>
      <c r="V1625" s="38"/>
      <c r="W1625" s="1"/>
      <c r="X1625" s="1"/>
    </row>
    <row r="1626" spans="1:24" ht="14.4">
      <c r="A1626" s="1"/>
      <c r="M1626" s="26"/>
      <c r="N1626" s="26"/>
      <c r="P1626" s="1"/>
      <c r="Q1626" s="1"/>
      <c r="R1626" s="1"/>
      <c r="S1626" s="1"/>
      <c r="T1626" s="1"/>
      <c r="U1626" s="1"/>
      <c r="V1626" s="38"/>
      <c r="W1626" s="1"/>
      <c r="X1626" s="1"/>
    </row>
    <row r="1627" spans="1:24" ht="14.4">
      <c r="A1627" s="1"/>
      <c r="M1627" s="26"/>
      <c r="N1627" s="26"/>
      <c r="P1627" s="1"/>
      <c r="Q1627" s="1"/>
      <c r="R1627" s="1"/>
      <c r="S1627" s="1"/>
      <c r="T1627" s="1"/>
      <c r="U1627" s="1"/>
      <c r="V1627" s="38"/>
      <c r="W1627" s="1"/>
      <c r="X1627" s="1"/>
    </row>
    <row r="1628" spans="1:24" ht="14.4">
      <c r="A1628" s="1"/>
      <c r="M1628" s="26"/>
      <c r="N1628" s="26"/>
      <c r="P1628" s="1"/>
      <c r="Q1628" s="1"/>
      <c r="R1628" s="1"/>
      <c r="S1628" s="1"/>
      <c r="T1628" s="1"/>
      <c r="U1628" s="1"/>
      <c r="V1628" s="38"/>
      <c r="W1628" s="1"/>
      <c r="X1628" s="1"/>
    </row>
    <row r="1629" spans="1:24" ht="14.4">
      <c r="A1629" s="1"/>
      <c r="M1629" s="26"/>
      <c r="N1629" s="26"/>
      <c r="P1629" s="1"/>
      <c r="Q1629" s="1"/>
      <c r="R1629" s="1"/>
      <c r="S1629" s="1"/>
      <c r="T1629" s="1"/>
      <c r="U1629" s="1"/>
      <c r="V1629" s="38"/>
      <c r="W1629" s="1"/>
      <c r="X1629" s="1"/>
    </row>
    <row r="1630" spans="1:24" ht="14.4">
      <c r="A1630" s="1"/>
      <c r="M1630" s="26"/>
      <c r="N1630" s="26"/>
      <c r="P1630" s="1"/>
      <c r="Q1630" s="1"/>
      <c r="R1630" s="1"/>
      <c r="S1630" s="1"/>
      <c r="T1630" s="1"/>
      <c r="U1630" s="1"/>
      <c r="V1630" s="38"/>
      <c r="W1630" s="1"/>
      <c r="X1630" s="1"/>
    </row>
    <row r="1631" spans="1:24" ht="14.4">
      <c r="A1631" s="1"/>
      <c r="M1631" s="26"/>
      <c r="N1631" s="26"/>
      <c r="P1631" s="1"/>
      <c r="Q1631" s="1"/>
      <c r="R1631" s="1"/>
      <c r="S1631" s="1"/>
      <c r="T1631" s="1"/>
      <c r="U1631" s="1"/>
      <c r="V1631" s="38"/>
      <c r="W1631" s="1"/>
      <c r="X1631" s="1"/>
    </row>
    <row r="1632" spans="1:24" ht="14.4">
      <c r="A1632" s="1"/>
      <c r="M1632" s="26"/>
      <c r="N1632" s="26"/>
      <c r="P1632" s="1"/>
      <c r="Q1632" s="1"/>
      <c r="R1632" s="1"/>
      <c r="S1632" s="1"/>
      <c r="T1632" s="1"/>
      <c r="U1632" s="1"/>
      <c r="V1632" s="38"/>
      <c r="W1632" s="1"/>
      <c r="X1632" s="1"/>
    </row>
    <row r="1633" spans="1:24" ht="14.4">
      <c r="A1633" s="1"/>
      <c r="M1633" s="26"/>
      <c r="N1633" s="26"/>
      <c r="P1633" s="1"/>
      <c r="Q1633" s="1"/>
      <c r="R1633" s="1"/>
      <c r="S1633" s="1"/>
      <c r="T1633" s="1"/>
      <c r="U1633" s="1"/>
      <c r="V1633" s="38"/>
      <c r="W1633" s="1"/>
      <c r="X1633" s="1"/>
    </row>
    <row r="1634" spans="1:24" ht="14.4">
      <c r="A1634" s="1"/>
      <c r="M1634" s="26"/>
      <c r="N1634" s="26"/>
      <c r="P1634" s="1"/>
      <c r="Q1634" s="1"/>
      <c r="R1634" s="1"/>
      <c r="S1634" s="1"/>
      <c r="T1634" s="1"/>
      <c r="U1634" s="1"/>
      <c r="V1634" s="38"/>
      <c r="W1634" s="1"/>
      <c r="X1634" s="1"/>
    </row>
    <row r="1635" spans="1:24" ht="14.4">
      <c r="A1635" s="1"/>
      <c r="M1635" s="26"/>
      <c r="N1635" s="26"/>
      <c r="P1635" s="1"/>
      <c r="Q1635" s="1"/>
      <c r="R1635" s="1"/>
      <c r="S1635" s="1"/>
      <c r="T1635" s="1"/>
      <c r="U1635" s="1"/>
      <c r="V1635" s="38"/>
      <c r="W1635" s="1"/>
      <c r="X1635" s="1"/>
    </row>
    <row r="1636" spans="1:24" ht="14.4">
      <c r="A1636" s="1"/>
      <c r="M1636" s="26"/>
      <c r="N1636" s="26"/>
      <c r="P1636" s="1"/>
      <c r="Q1636" s="1"/>
      <c r="R1636" s="1"/>
      <c r="S1636" s="1"/>
      <c r="T1636" s="1"/>
      <c r="U1636" s="1"/>
      <c r="V1636" s="38"/>
      <c r="W1636" s="1"/>
      <c r="X1636" s="1"/>
    </row>
    <row r="1637" spans="1:24" ht="14.4">
      <c r="A1637" s="1"/>
      <c r="M1637" s="26"/>
      <c r="N1637" s="26"/>
      <c r="P1637" s="1"/>
      <c r="Q1637" s="1"/>
      <c r="R1637" s="1"/>
      <c r="S1637" s="1"/>
      <c r="T1637" s="1"/>
      <c r="U1637" s="1"/>
      <c r="V1637" s="38"/>
      <c r="W1637" s="1"/>
      <c r="X1637" s="1"/>
    </row>
    <row r="1638" spans="1:24" ht="14.4">
      <c r="A1638" s="1"/>
      <c r="M1638" s="26"/>
      <c r="N1638" s="26"/>
      <c r="P1638" s="1"/>
      <c r="Q1638" s="1"/>
      <c r="R1638" s="1"/>
      <c r="S1638" s="1"/>
      <c r="T1638" s="1"/>
      <c r="U1638" s="1"/>
      <c r="V1638" s="38"/>
      <c r="W1638" s="1"/>
      <c r="X1638" s="1"/>
    </row>
    <row r="1639" spans="1:24" ht="14.4">
      <c r="A1639" s="1"/>
      <c r="M1639" s="26"/>
      <c r="N1639" s="26"/>
      <c r="P1639" s="1"/>
      <c r="Q1639" s="1"/>
      <c r="R1639" s="1"/>
      <c r="S1639" s="1"/>
      <c r="T1639" s="1"/>
      <c r="U1639" s="1"/>
      <c r="V1639" s="38"/>
      <c r="W1639" s="1"/>
      <c r="X1639" s="1"/>
    </row>
    <row r="1640" spans="1:24" ht="14.4">
      <c r="A1640" s="1"/>
      <c r="M1640" s="26"/>
      <c r="N1640" s="26"/>
      <c r="P1640" s="1"/>
      <c r="Q1640" s="1"/>
      <c r="R1640" s="1"/>
      <c r="S1640" s="1"/>
      <c r="T1640" s="1"/>
      <c r="U1640" s="1"/>
      <c r="V1640" s="38"/>
      <c r="W1640" s="1"/>
      <c r="X1640" s="1"/>
    </row>
    <row r="1641" spans="1:24" ht="14.4">
      <c r="A1641" s="1"/>
      <c r="M1641" s="26"/>
      <c r="N1641" s="26"/>
      <c r="P1641" s="1"/>
      <c r="Q1641" s="1"/>
      <c r="R1641" s="1"/>
      <c r="S1641" s="1"/>
      <c r="T1641" s="1"/>
      <c r="U1641" s="1"/>
      <c r="V1641" s="38"/>
      <c r="W1641" s="1"/>
      <c r="X1641" s="1"/>
    </row>
    <row r="1642" spans="1:24" ht="14.4">
      <c r="A1642" s="1"/>
      <c r="M1642" s="26"/>
      <c r="N1642" s="26"/>
      <c r="P1642" s="1"/>
      <c r="Q1642" s="1"/>
      <c r="R1642" s="1"/>
      <c r="S1642" s="1"/>
      <c r="T1642" s="1"/>
      <c r="U1642" s="1"/>
      <c r="V1642" s="38"/>
      <c r="W1642" s="1"/>
      <c r="X1642" s="1"/>
    </row>
    <row r="1643" spans="1:24" ht="14.4">
      <c r="A1643" s="1"/>
      <c r="M1643" s="26"/>
      <c r="N1643" s="26"/>
      <c r="P1643" s="1"/>
      <c r="Q1643" s="1"/>
      <c r="R1643" s="1"/>
      <c r="S1643" s="1"/>
      <c r="T1643" s="1"/>
      <c r="U1643" s="1"/>
      <c r="V1643" s="38"/>
      <c r="W1643" s="1"/>
      <c r="X1643" s="1"/>
    </row>
    <row r="1644" spans="1:24" ht="14.4">
      <c r="A1644" s="1"/>
      <c r="M1644" s="26"/>
      <c r="N1644" s="26"/>
      <c r="P1644" s="1"/>
      <c r="Q1644" s="1"/>
      <c r="R1644" s="1"/>
      <c r="S1644" s="1"/>
      <c r="T1644" s="1"/>
      <c r="U1644" s="1"/>
      <c r="V1644" s="38"/>
      <c r="W1644" s="1"/>
      <c r="X1644" s="1"/>
    </row>
    <row r="1645" spans="1:24" ht="14.4">
      <c r="A1645" s="1"/>
      <c r="M1645" s="26"/>
      <c r="N1645" s="26"/>
      <c r="P1645" s="1"/>
      <c r="Q1645" s="1"/>
      <c r="R1645" s="1"/>
      <c r="S1645" s="1"/>
      <c r="T1645" s="1"/>
      <c r="U1645" s="1"/>
      <c r="V1645" s="38"/>
      <c r="W1645" s="1"/>
      <c r="X1645" s="1"/>
    </row>
    <row r="1646" spans="1:24" ht="14.4">
      <c r="A1646" s="1"/>
      <c r="M1646" s="26"/>
      <c r="N1646" s="26"/>
      <c r="P1646" s="1"/>
      <c r="Q1646" s="1"/>
      <c r="R1646" s="1"/>
      <c r="S1646" s="1"/>
      <c r="T1646" s="1"/>
      <c r="U1646" s="1"/>
      <c r="V1646" s="38"/>
      <c r="W1646" s="1"/>
      <c r="X1646" s="1"/>
    </row>
    <row r="1647" spans="1:24" ht="14.4">
      <c r="A1647" s="1"/>
      <c r="M1647" s="26"/>
      <c r="N1647" s="26"/>
      <c r="P1647" s="1"/>
      <c r="Q1647" s="1"/>
      <c r="R1647" s="1"/>
      <c r="S1647" s="1"/>
      <c r="T1647" s="1"/>
      <c r="U1647" s="1"/>
      <c r="V1647" s="38"/>
      <c r="W1647" s="1"/>
      <c r="X1647" s="1"/>
    </row>
    <row r="1648" spans="1:24" ht="14.4">
      <c r="A1648" s="1"/>
      <c r="M1648" s="26"/>
      <c r="N1648" s="26"/>
      <c r="P1648" s="1"/>
      <c r="Q1648" s="1"/>
      <c r="R1648" s="1"/>
      <c r="S1648" s="1"/>
      <c r="T1648" s="1"/>
      <c r="U1648" s="1"/>
      <c r="V1648" s="38"/>
      <c r="W1648" s="1"/>
      <c r="X1648" s="1"/>
    </row>
    <row r="1649" spans="1:24" ht="14.4">
      <c r="A1649" s="1"/>
      <c r="M1649" s="26"/>
      <c r="N1649" s="26"/>
      <c r="P1649" s="1"/>
      <c r="Q1649" s="1"/>
      <c r="R1649" s="1"/>
      <c r="S1649" s="1"/>
      <c r="T1649" s="1"/>
      <c r="U1649" s="1"/>
      <c r="V1649" s="38"/>
      <c r="W1649" s="1"/>
      <c r="X1649" s="1"/>
    </row>
    <row r="1650" spans="1:24" ht="14.4">
      <c r="A1650" s="1"/>
      <c r="M1650" s="26"/>
      <c r="N1650" s="26"/>
      <c r="P1650" s="1"/>
      <c r="Q1650" s="1"/>
      <c r="R1650" s="1"/>
      <c r="S1650" s="1"/>
      <c r="T1650" s="1"/>
      <c r="U1650" s="1"/>
      <c r="V1650" s="38"/>
      <c r="W1650" s="1"/>
      <c r="X1650" s="1"/>
    </row>
    <row r="1651" spans="1:24" ht="14.4">
      <c r="A1651" s="1"/>
      <c r="M1651" s="26"/>
      <c r="N1651" s="26"/>
      <c r="P1651" s="1"/>
      <c r="Q1651" s="1"/>
      <c r="R1651" s="1"/>
      <c r="S1651" s="1"/>
      <c r="T1651" s="1"/>
      <c r="U1651" s="1"/>
      <c r="V1651" s="38"/>
      <c r="W1651" s="1"/>
      <c r="X1651" s="1"/>
    </row>
    <row r="1652" spans="1:24" ht="14.4">
      <c r="A1652" s="1"/>
      <c r="M1652" s="26"/>
      <c r="N1652" s="26"/>
      <c r="P1652" s="1"/>
      <c r="Q1652" s="1"/>
      <c r="R1652" s="1"/>
      <c r="S1652" s="1"/>
      <c r="T1652" s="1"/>
      <c r="U1652" s="1"/>
      <c r="V1652" s="38"/>
      <c r="W1652" s="1"/>
      <c r="X1652" s="1"/>
    </row>
    <row r="1653" spans="1:24" ht="14.4">
      <c r="A1653" s="1"/>
      <c r="M1653" s="26"/>
      <c r="N1653" s="26"/>
      <c r="P1653" s="1"/>
      <c r="Q1653" s="1"/>
      <c r="R1653" s="1"/>
      <c r="S1653" s="1"/>
      <c r="T1653" s="1"/>
      <c r="U1653" s="1"/>
      <c r="V1653" s="38"/>
      <c r="W1653" s="1"/>
      <c r="X1653" s="1"/>
    </row>
    <row r="1654" spans="1:24" ht="14.4">
      <c r="A1654" s="1"/>
      <c r="M1654" s="26"/>
      <c r="N1654" s="26"/>
      <c r="P1654" s="1"/>
      <c r="Q1654" s="1"/>
      <c r="R1654" s="1"/>
      <c r="S1654" s="1"/>
      <c r="T1654" s="1"/>
      <c r="U1654" s="1"/>
      <c r="V1654" s="38"/>
      <c r="W1654" s="1"/>
      <c r="X1654" s="1"/>
    </row>
    <row r="1655" spans="1:24" ht="14.4">
      <c r="A1655" s="1"/>
      <c r="M1655" s="26"/>
      <c r="N1655" s="26"/>
      <c r="P1655" s="1"/>
      <c r="Q1655" s="1"/>
      <c r="R1655" s="1"/>
      <c r="S1655" s="1"/>
      <c r="T1655" s="1"/>
      <c r="U1655" s="1"/>
      <c r="V1655" s="38"/>
      <c r="W1655" s="1"/>
      <c r="X1655" s="1"/>
    </row>
    <row r="1656" spans="1:24" ht="14.4">
      <c r="A1656" s="1"/>
      <c r="M1656" s="26"/>
      <c r="N1656" s="26"/>
      <c r="P1656" s="1"/>
      <c r="Q1656" s="1"/>
      <c r="R1656" s="1"/>
      <c r="S1656" s="1"/>
      <c r="T1656" s="1"/>
      <c r="U1656" s="1"/>
      <c r="V1656" s="38"/>
      <c r="W1656" s="1"/>
      <c r="X1656" s="1"/>
    </row>
    <row r="1657" spans="1:24" ht="14.4">
      <c r="A1657" s="1"/>
      <c r="M1657" s="26"/>
      <c r="N1657" s="26"/>
      <c r="P1657" s="1"/>
      <c r="Q1657" s="1"/>
      <c r="R1657" s="1"/>
      <c r="S1657" s="1"/>
      <c r="T1657" s="1"/>
      <c r="U1657" s="1"/>
      <c r="V1657" s="38"/>
      <c r="W1657" s="1"/>
      <c r="X1657" s="1"/>
    </row>
    <row r="1658" spans="1:24" ht="14.4">
      <c r="A1658" s="1"/>
      <c r="M1658" s="26"/>
      <c r="N1658" s="26"/>
      <c r="P1658" s="1"/>
      <c r="Q1658" s="1"/>
      <c r="R1658" s="1"/>
      <c r="S1658" s="1"/>
      <c r="T1658" s="1"/>
      <c r="U1658" s="1"/>
      <c r="V1658" s="38"/>
      <c r="W1658" s="1"/>
      <c r="X1658" s="1"/>
    </row>
    <row r="1659" spans="1:24" ht="14.4">
      <c r="A1659" s="1"/>
      <c r="M1659" s="26"/>
      <c r="N1659" s="26"/>
      <c r="P1659" s="1"/>
      <c r="Q1659" s="1"/>
      <c r="R1659" s="1"/>
      <c r="S1659" s="1"/>
      <c r="T1659" s="1"/>
      <c r="U1659" s="1"/>
      <c r="V1659" s="38"/>
      <c r="W1659" s="1"/>
      <c r="X1659" s="1"/>
    </row>
    <row r="1660" spans="1:24" ht="14.4">
      <c r="A1660" s="1"/>
      <c r="M1660" s="26"/>
      <c r="N1660" s="26"/>
      <c r="P1660" s="1"/>
      <c r="Q1660" s="1"/>
      <c r="R1660" s="1"/>
      <c r="S1660" s="1"/>
      <c r="T1660" s="1"/>
      <c r="U1660" s="1"/>
      <c r="V1660" s="38"/>
      <c r="W1660" s="1"/>
      <c r="X1660" s="1"/>
    </row>
    <row r="1661" spans="1:24" ht="14.4">
      <c r="A1661" s="1"/>
      <c r="M1661" s="26"/>
      <c r="N1661" s="26"/>
      <c r="P1661" s="1"/>
      <c r="Q1661" s="1"/>
      <c r="R1661" s="1"/>
      <c r="S1661" s="1"/>
      <c r="T1661" s="1"/>
      <c r="U1661" s="1"/>
      <c r="V1661" s="38"/>
      <c r="W1661" s="1"/>
      <c r="X1661" s="1"/>
    </row>
    <row r="1662" spans="1:24" ht="14.4">
      <c r="A1662" s="1"/>
      <c r="M1662" s="26"/>
      <c r="N1662" s="26"/>
      <c r="P1662" s="1"/>
      <c r="Q1662" s="1"/>
      <c r="R1662" s="1"/>
      <c r="S1662" s="1"/>
      <c r="T1662" s="1"/>
      <c r="U1662" s="1"/>
      <c r="V1662" s="38"/>
      <c r="W1662" s="1"/>
      <c r="X1662" s="1"/>
    </row>
    <row r="1663" spans="1:24" ht="14.4">
      <c r="A1663" s="1"/>
      <c r="M1663" s="26"/>
      <c r="N1663" s="26"/>
      <c r="P1663" s="1"/>
      <c r="Q1663" s="1"/>
      <c r="R1663" s="1"/>
      <c r="S1663" s="1"/>
      <c r="T1663" s="1"/>
      <c r="U1663" s="1"/>
      <c r="V1663" s="38"/>
      <c r="W1663" s="1"/>
      <c r="X1663" s="1"/>
    </row>
    <row r="1664" spans="1:24" ht="14.4">
      <c r="A1664" s="1"/>
      <c r="M1664" s="26"/>
      <c r="N1664" s="26"/>
      <c r="P1664" s="1"/>
      <c r="Q1664" s="1"/>
      <c r="R1664" s="1"/>
      <c r="S1664" s="1"/>
      <c r="T1664" s="1"/>
      <c r="U1664" s="1"/>
      <c r="V1664" s="38"/>
      <c r="W1664" s="1"/>
      <c r="X1664" s="1"/>
    </row>
    <row r="1665" spans="1:24" ht="14.4">
      <c r="A1665" s="1"/>
      <c r="M1665" s="26"/>
      <c r="N1665" s="26"/>
      <c r="P1665" s="1"/>
      <c r="Q1665" s="1"/>
      <c r="R1665" s="1"/>
      <c r="S1665" s="1"/>
      <c r="T1665" s="1"/>
      <c r="U1665" s="1"/>
      <c r="V1665" s="38"/>
      <c r="W1665" s="1"/>
      <c r="X1665" s="1"/>
    </row>
    <row r="1666" spans="1:24" ht="14.4">
      <c r="A1666" s="1"/>
      <c r="M1666" s="26"/>
      <c r="N1666" s="26"/>
      <c r="P1666" s="1"/>
      <c r="Q1666" s="1"/>
      <c r="R1666" s="1"/>
      <c r="S1666" s="1"/>
      <c r="T1666" s="1"/>
      <c r="U1666" s="1"/>
      <c r="V1666" s="38"/>
      <c r="W1666" s="1"/>
      <c r="X1666" s="1"/>
    </row>
    <row r="1667" spans="1:24" ht="14.4">
      <c r="A1667" s="1"/>
      <c r="M1667" s="26"/>
      <c r="N1667" s="26"/>
      <c r="P1667" s="1"/>
      <c r="Q1667" s="1"/>
      <c r="R1667" s="1"/>
      <c r="S1667" s="1"/>
      <c r="T1667" s="1"/>
      <c r="U1667" s="1"/>
      <c r="V1667" s="38"/>
      <c r="W1667" s="1"/>
      <c r="X1667" s="1"/>
    </row>
    <row r="1668" spans="1:24" ht="14.4">
      <c r="A1668" s="1"/>
      <c r="M1668" s="26"/>
      <c r="N1668" s="26"/>
      <c r="P1668" s="1"/>
      <c r="Q1668" s="1"/>
      <c r="R1668" s="1"/>
      <c r="S1668" s="1"/>
      <c r="T1668" s="1"/>
      <c r="U1668" s="1"/>
      <c r="V1668" s="38"/>
      <c r="W1668" s="1"/>
      <c r="X1668" s="1"/>
    </row>
    <row r="1669" spans="1:24" ht="14.4">
      <c r="A1669" s="1"/>
      <c r="M1669" s="26"/>
      <c r="N1669" s="26"/>
      <c r="P1669" s="1"/>
      <c r="Q1669" s="1"/>
      <c r="R1669" s="1"/>
      <c r="S1669" s="1"/>
      <c r="T1669" s="1"/>
      <c r="U1669" s="1"/>
      <c r="V1669" s="38"/>
      <c r="W1669" s="1"/>
      <c r="X1669" s="1"/>
    </row>
    <row r="1670" spans="1:24" ht="14.4">
      <c r="A1670" s="1"/>
      <c r="M1670" s="26"/>
      <c r="N1670" s="26"/>
      <c r="P1670" s="1"/>
      <c r="Q1670" s="1"/>
      <c r="R1670" s="1"/>
      <c r="S1670" s="1"/>
      <c r="T1670" s="1"/>
      <c r="U1670" s="1"/>
      <c r="V1670" s="38"/>
      <c r="W1670" s="1"/>
      <c r="X1670" s="1"/>
    </row>
    <row r="1671" spans="1:24" ht="14.4">
      <c r="A1671" s="1"/>
      <c r="M1671" s="26"/>
      <c r="N1671" s="26"/>
      <c r="P1671" s="1"/>
      <c r="Q1671" s="1"/>
      <c r="R1671" s="1"/>
      <c r="S1671" s="1"/>
      <c r="T1671" s="1"/>
      <c r="U1671" s="1"/>
      <c r="V1671" s="38"/>
      <c r="W1671" s="1"/>
      <c r="X1671" s="1"/>
    </row>
    <row r="1672" spans="1:24" ht="14.4">
      <c r="A1672" s="1"/>
      <c r="M1672" s="26"/>
      <c r="N1672" s="26"/>
      <c r="P1672" s="1"/>
      <c r="Q1672" s="1"/>
      <c r="R1672" s="1"/>
      <c r="S1672" s="1"/>
      <c r="T1672" s="1"/>
      <c r="U1672" s="1"/>
      <c r="V1672" s="38"/>
      <c r="W1672" s="1"/>
      <c r="X1672" s="1"/>
    </row>
    <row r="1673" spans="1:24" ht="14.4">
      <c r="A1673" s="1"/>
      <c r="M1673" s="26"/>
      <c r="N1673" s="26"/>
      <c r="P1673" s="1"/>
      <c r="Q1673" s="1"/>
      <c r="R1673" s="1"/>
      <c r="S1673" s="1"/>
      <c r="T1673" s="1"/>
      <c r="U1673" s="1"/>
      <c r="V1673" s="38"/>
      <c r="W1673" s="1"/>
      <c r="X1673" s="1"/>
    </row>
    <row r="1674" spans="1:24" ht="14.4">
      <c r="A1674" s="1"/>
      <c r="M1674" s="26"/>
      <c r="N1674" s="26"/>
      <c r="P1674" s="1"/>
      <c r="Q1674" s="1"/>
      <c r="R1674" s="1"/>
      <c r="S1674" s="1"/>
      <c r="T1674" s="1"/>
      <c r="U1674" s="1"/>
      <c r="V1674" s="38"/>
      <c r="W1674" s="1"/>
      <c r="X1674" s="1"/>
    </row>
    <row r="1675" spans="1:24" ht="14.4">
      <c r="A1675" s="1"/>
      <c r="M1675" s="26"/>
      <c r="N1675" s="26"/>
      <c r="P1675" s="1"/>
      <c r="Q1675" s="1"/>
      <c r="R1675" s="1"/>
      <c r="S1675" s="1"/>
      <c r="T1675" s="1"/>
      <c r="U1675" s="1"/>
      <c r="V1675" s="38"/>
      <c r="W1675" s="1"/>
      <c r="X1675" s="1"/>
    </row>
    <row r="1676" spans="1:24" ht="14.4">
      <c r="A1676" s="1"/>
      <c r="M1676" s="26"/>
      <c r="N1676" s="26"/>
      <c r="P1676" s="1"/>
      <c r="Q1676" s="1"/>
      <c r="R1676" s="1"/>
      <c r="S1676" s="1"/>
      <c r="T1676" s="1"/>
      <c r="U1676" s="1"/>
      <c r="V1676" s="38"/>
      <c r="W1676" s="1"/>
      <c r="X1676" s="1"/>
    </row>
    <row r="1677" spans="1:24" ht="14.4">
      <c r="A1677" s="1"/>
      <c r="M1677" s="26"/>
      <c r="N1677" s="26"/>
      <c r="P1677" s="1"/>
      <c r="Q1677" s="1"/>
      <c r="R1677" s="1"/>
      <c r="S1677" s="1"/>
      <c r="T1677" s="1"/>
      <c r="U1677" s="1"/>
      <c r="V1677" s="38"/>
      <c r="W1677" s="1"/>
      <c r="X1677" s="1"/>
    </row>
    <row r="1678" spans="1:24" ht="14.4">
      <c r="A1678" s="1"/>
      <c r="M1678" s="26"/>
      <c r="N1678" s="26"/>
      <c r="P1678" s="1"/>
      <c r="Q1678" s="1"/>
      <c r="R1678" s="1"/>
      <c r="S1678" s="1"/>
      <c r="T1678" s="1"/>
      <c r="U1678" s="1"/>
      <c r="V1678" s="38"/>
      <c r="W1678" s="1"/>
      <c r="X1678" s="1"/>
    </row>
    <row r="1679" spans="1:24" ht="14.4">
      <c r="A1679" s="1"/>
      <c r="M1679" s="26"/>
      <c r="N1679" s="26"/>
      <c r="P1679" s="1"/>
      <c r="Q1679" s="1"/>
      <c r="R1679" s="1"/>
      <c r="S1679" s="1"/>
      <c r="T1679" s="1"/>
      <c r="U1679" s="1"/>
      <c r="V1679" s="38"/>
      <c r="W1679" s="1"/>
      <c r="X1679" s="1"/>
    </row>
    <row r="1680" spans="1:24" ht="14.4">
      <c r="A1680" s="1"/>
      <c r="M1680" s="26"/>
      <c r="N1680" s="26"/>
      <c r="P1680" s="1"/>
      <c r="Q1680" s="1"/>
      <c r="R1680" s="1"/>
      <c r="S1680" s="1"/>
      <c r="T1680" s="1"/>
      <c r="U1680" s="1"/>
      <c r="V1680" s="38"/>
      <c r="W1680" s="1"/>
      <c r="X1680" s="1"/>
    </row>
    <row r="1681" spans="1:24" ht="14.4">
      <c r="A1681" s="1"/>
      <c r="M1681" s="26"/>
      <c r="N1681" s="26"/>
      <c r="P1681" s="1"/>
      <c r="Q1681" s="1"/>
      <c r="R1681" s="1"/>
      <c r="S1681" s="1"/>
      <c r="T1681" s="1"/>
      <c r="U1681" s="1"/>
      <c r="V1681" s="38"/>
      <c r="W1681" s="1"/>
      <c r="X1681" s="1"/>
    </row>
    <row r="1682" spans="1:24" ht="14.4">
      <c r="A1682" s="1"/>
      <c r="M1682" s="26"/>
      <c r="N1682" s="26"/>
      <c r="P1682" s="1"/>
      <c r="Q1682" s="1"/>
      <c r="R1682" s="1"/>
      <c r="S1682" s="1"/>
      <c r="T1682" s="1"/>
      <c r="U1682" s="1"/>
      <c r="V1682" s="38"/>
      <c r="W1682" s="1"/>
      <c r="X1682" s="1"/>
    </row>
    <row r="1683" spans="1:24" ht="14.4">
      <c r="A1683" s="1"/>
      <c r="M1683" s="26"/>
      <c r="N1683" s="26"/>
      <c r="P1683" s="1"/>
      <c r="Q1683" s="1"/>
      <c r="R1683" s="1"/>
      <c r="S1683" s="1"/>
      <c r="T1683" s="1"/>
      <c r="U1683" s="1"/>
      <c r="V1683" s="38"/>
      <c r="W1683" s="1"/>
      <c r="X1683" s="1"/>
    </row>
    <row r="1684" spans="1:24" ht="14.4">
      <c r="A1684" s="1"/>
      <c r="M1684" s="26"/>
      <c r="N1684" s="26"/>
      <c r="P1684" s="1"/>
      <c r="Q1684" s="1"/>
      <c r="R1684" s="1"/>
      <c r="S1684" s="1"/>
      <c r="T1684" s="1"/>
      <c r="U1684" s="1"/>
      <c r="V1684" s="38"/>
      <c r="W1684" s="1"/>
      <c r="X1684" s="1"/>
    </row>
    <row r="1685" spans="1:24" ht="14.4">
      <c r="A1685" s="1"/>
      <c r="M1685" s="26"/>
      <c r="N1685" s="26"/>
      <c r="P1685" s="1"/>
      <c r="Q1685" s="1"/>
      <c r="R1685" s="1"/>
      <c r="S1685" s="1"/>
      <c r="T1685" s="1"/>
      <c r="U1685" s="1"/>
      <c r="V1685" s="38"/>
      <c r="W1685" s="1"/>
      <c r="X1685" s="1"/>
    </row>
    <row r="1686" spans="1:24" ht="14.4">
      <c r="A1686" s="1"/>
      <c r="M1686" s="26"/>
      <c r="N1686" s="26"/>
      <c r="P1686" s="1"/>
      <c r="Q1686" s="1"/>
      <c r="R1686" s="1"/>
      <c r="S1686" s="1"/>
      <c r="T1686" s="1"/>
      <c r="U1686" s="1"/>
      <c r="V1686" s="38"/>
      <c r="W1686" s="1"/>
      <c r="X1686" s="1"/>
    </row>
    <row r="1687" spans="1:24" ht="14.4">
      <c r="A1687" s="1"/>
      <c r="M1687" s="26"/>
      <c r="N1687" s="26"/>
      <c r="P1687" s="1"/>
      <c r="Q1687" s="1"/>
      <c r="R1687" s="1"/>
      <c r="S1687" s="1"/>
      <c r="T1687" s="1"/>
      <c r="U1687" s="1"/>
      <c r="V1687" s="38"/>
      <c r="W1687" s="1"/>
      <c r="X1687" s="1"/>
    </row>
    <row r="1688" spans="1:24" ht="14.4">
      <c r="A1688" s="1"/>
      <c r="M1688" s="26"/>
      <c r="N1688" s="26"/>
      <c r="P1688" s="1"/>
      <c r="Q1688" s="1"/>
      <c r="R1688" s="1"/>
      <c r="S1688" s="1"/>
      <c r="T1688" s="1"/>
      <c r="U1688" s="1"/>
      <c r="V1688" s="38"/>
      <c r="W1688" s="1"/>
      <c r="X1688" s="1"/>
    </row>
    <row r="1689" spans="1:24" ht="14.4">
      <c r="A1689" s="1"/>
      <c r="M1689" s="26"/>
      <c r="N1689" s="26"/>
      <c r="P1689" s="1"/>
      <c r="Q1689" s="1"/>
      <c r="R1689" s="1"/>
      <c r="S1689" s="1"/>
      <c r="T1689" s="1"/>
      <c r="U1689" s="1"/>
      <c r="V1689" s="38"/>
      <c r="W1689" s="1"/>
      <c r="X1689" s="1"/>
    </row>
    <row r="1690" spans="1:24" ht="14.4">
      <c r="A1690" s="1"/>
      <c r="M1690" s="26"/>
      <c r="N1690" s="26"/>
      <c r="P1690" s="1"/>
      <c r="Q1690" s="1"/>
      <c r="R1690" s="1"/>
      <c r="S1690" s="1"/>
      <c r="T1690" s="1"/>
      <c r="U1690" s="1"/>
      <c r="V1690" s="38"/>
      <c r="W1690" s="1"/>
      <c r="X1690" s="1"/>
    </row>
    <row r="1691" spans="1:24" ht="14.4">
      <c r="A1691" s="1"/>
      <c r="M1691" s="26"/>
      <c r="N1691" s="26"/>
      <c r="P1691" s="1"/>
      <c r="Q1691" s="1"/>
      <c r="R1691" s="1"/>
      <c r="S1691" s="1"/>
      <c r="T1691" s="1"/>
      <c r="U1691" s="1"/>
      <c r="V1691" s="38"/>
      <c r="W1691" s="1"/>
      <c r="X1691" s="1"/>
    </row>
    <row r="1692" spans="1:24" ht="14.4">
      <c r="A1692" s="1"/>
      <c r="M1692" s="26"/>
      <c r="N1692" s="26"/>
      <c r="P1692" s="1"/>
      <c r="Q1692" s="1"/>
      <c r="R1692" s="1"/>
      <c r="S1692" s="1"/>
      <c r="T1692" s="1"/>
      <c r="U1692" s="1"/>
      <c r="V1692" s="38"/>
      <c r="W1692" s="1"/>
      <c r="X1692" s="1"/>
    </row>
    <row r="1693" spans="1:24" ht="14.4">
      <c r="A1693" s="1"/>
      <c r="M1693" s="26"/>
      <c r="N1693" s="26"/>
      <c r="P1693" s="1"/>
      <c r="Q1693" s="1"/>
      <c r="R1693" s="1"/>
      <c r="S1693" s="1"/>
      <c r="T1693" s="1"/>
      <c r="U1693" s="1"/>
      <c r="V1693" s="38"/>
      <c r="W1693" s="1"/>
      <c r="X1693" s="1"/>
    </row>
    <row r="1694" spans="1:24" ht="14.4">
      <c r="A1694" s="1"/>
      <c r="M1694" s="26"/>
      <c r="N1694" s="26"/>
      <c r="P1694" s="1"/>
      <c r="Q1694" s="1"/>
      <c r="R1694" s="1"/>
      <c r="S1694" s="1"/>
      <c r="T1694" s="1"/>
      <c r="U1694" s="1"/>
      <c r="V1694" s="38"/>
      <c r="W1694" s="1"/>
      <c r="X1694" s="1"/>
    </row>
    <row r="1695" spans="1:24" ht="14.4">
      <c r="A1695" s="1"/>
      <c r="M1695" s="26"/>
      <c r="N1695" s="26"/>
      <c r="P1695" s="1"/>
      <c r="Q1695" s="1"/>
      <c r="R1695" s="1"/>
      <c r="S1695" s="1"/>
      <c r="T1695" s="1"/>
      <c r="U1695" s="1"/>
      <c r="V1695" s="38"/>
      <c r="W1695" s="1"/>
      <c r="X1695" s="1"/>
    </row>
    <row r="1696" spans="1:24" ht="14.4">
      <c r="A1696" s="1"/>
      <c r="M1696" s="26"/>
      <c r="N1696" s="26"/>
      <c r="P1696" s="1"/>
      <c r="Q1696" s="1"/>
      <c r="R1696" s="1"/>
      <c r="S1696" s="1"/>
      <c r="T1696" s="1"/>
      <c r="U1696" s="1"/>
      <c r="V1696" s="38"/>
      <c r="W1696" s="1"/>
      <c r="X1696" s="1"/>
    </row>
    <row r="1697" spans="1:24" ht="14.4">
      <c r="A1697" s="1"/>
      <c r="M1697" s="26"/>
      <c r="N1697" s="26"/>
      <c r="P1697" s="1"/>
      <c r="Q1697" s="1"/>
      <c r="R1697" s="1"/>
      <c r="S1697" s="1"/>
      <c r="T1697" s="1"/>
      <c r="U1697" s="1"/>
      <c r="V1697" s="38"/>
      <c r="W1697" s="1"/>
      <c r="X1697" s="1"/>
    </row>
    <row r="1698" spans="1:24" ht="14.4">
      <c r="A1698" s="1"/>
      <c r="M1698" s="26"/>
      <c r="N1698" s="26"/>
      <c r="P1698" s="1"/>
      <c r="Q1698" s="1"/>
      <c r="R1698" s="1"/>
      <c r="S1698" s="1"/>
      <c r="T1698" s="1"/>
      <c r="U1698" s="1"/>
      <c r="V1698" s="38"/>
      <c r="W1698" s="1"/>
      <c r="X1698" s="1"/>
    </row>
    <row r="1699" spans="1:24" ht="14.4">
      <c r="A1699" s="1"/>
      <c r="M1699" s="26"/>
      <c r="N1699" s="26"/>
      <c r="P1699" s="1"/>
      <c r="Q1699" s="1"/>
      <c r="R1699" s="1"/>
      <c r="S1699" s="1"/>
      <c r="T1699" s="1"/>
      <c r="U1699" s="1"/>
      <c r="V1699" s="38"/>
      <c r="W1699" s="1"/>
      <c r="X1699" s="1"/>
    </row>
    <row r="1700" spans="1:24" ht="14.4">
      <c r="A1700" s="1"/>
      <c r="M1700" s="26"/>
      <c r="N1700" s="26"/>
      <c r="P1700" s="1"/>
      <c r="Q1700" s="1"/>
      <c r="R1700" s="1"/>
      <c r="S1700" s="1"/>
      <c r="T1700" s="1"/>
      <c r="U1700" s="1"/>
      <c r="V1700" s="38"/>
      <c r="W1700" s="1"/>
      <c r="X1700" s="1"/>
    </row>
    <row r="1701" spans="1:24" ht="14.4">
      <c r="A1701" s="1"/>
      <c r="M1701" s="26"/>
      <c r="N1701" s="26"/>
      <c r="P1701" s="1"/>
      <c r="Q1701" s="1"/>
      <c r="R1701" s="1"/>
      <c r="S1701" s="1"/>
      <c r="T1701" s="1"/>
      <c r="U1701" s="1"/>
      <c r="V1701" s="38"/>
      <c r="W1701" s="1"/>
      <c r="X1701" s="1"/>
    </row>
    <row r="1702" spans="1:24" ht="14.4">
      <c r="A1702" s="1"/>
      <c r="M1702" s="26"/>
      <c r="N1702" s="26"/>
      <c r="P1702" s="1"/>
      <c r="Q1702" s="1"/>
      <c r="R1702" s="1"/>
      <c r="S1702" s="1"/>
      <c r="T1702" s="1"/>
      <c r="U1702" s="1"/>
      <c r="V1702" s="38"/>
      <c r="W1702" s="1"/>
      <c r="X1702" s="1"/>
    </row>
    <row r="1703" spans="1:24" ht="14.4">
      <c r="A1703" s="1"/>
      <c r="M1703" s="26"/>
      <c r="N1703" s="26"/>
      <c r="P1703" s="1"/>
      <c r="Q1703" s="1"/>
      <c r="R1703" s="1"/>
      <c r="S1703" s="1"/>
      <c r="T1703" s="1"/>
      <c r="U1703" s="1"/>
      <c r="V1703" s="38"/>
      <c r="W1703" s="1"/>
      <c r="X1703" s="1"/>
    </row>
    <row r="1704" spans="1:24" ht="14.4">
      <c r="A1704" s="1"/>
      <c r="M1704" s="26"/>
      <c r="N1704" s="26"/>
      <c r="P1704" s="1"/>
      <c r="Q1704" s="1"/>
      <c r="R1704" s="1"/>
      <c r="S1704" s="1"/>
      <c r="T1704" s="1"/>
      <c r="U1704" s="1"/>
      <c r="V1704" s="38"/>
      <c r="W1704" s="1"/>
      <c r="X1704" s="1"/>
    </row>
    <row r="1705" spans="1:24" ht="14.4">
      <c r="A1705" s="1"/>
      <c r="M1705" s="26"/>
      <c r="N1705" s="26"/>
      <c r="P1705" s="1"/>
      <c r="Q1705" s="1"/>
      <c r="R1705" s="1"/>
      <c r="S1705" s="1"/>
      <c r="T1705" s="1"/>
      <c r="U1705" s="1"/>
      <c r="V1705" s="38"/>
      <c r="W1705" s="1"/>
      <c r="X1705" s="1"/>
    </row>
    <row r="1706" spans="1:24" ht="14.4">
      <c r="A1706" s="1"/>
      <c r="M1706" s="26"/>
      <c r="N1706" s="26"/>
      <c r="P1706" s="1"/>
      <c r="Q1706" s="1"/>
      <c r="R1706" s="1"/>
      <c r="S1706" s="1"/>
      <c r="T1706" s="1"/>
      <c r="U1706" s="1"/>
      <c r="V1706" s="38"/>
      <c r="W1706" s="1"/>
      <c r="X1706" s="1"/>
    </row>
    <row r="1707" spans="1:24" ht="14.4">
      <c r="A1707" s="1"/>
      <c r="M1707" s="26"/>
      <c r="N1707" s="26"/>
      <c r="P1707" s="1"/>
      <c r="Q1707" s="1"/>
      <c r="R1707" s="1"/>
      <c r="S1707" s="1"/>
      <c r="T1707" s="1"/>
      <c r="U1707" s="1"/>
      <c r="V1707" s="38"/>
      <c r="W1707" s="1"/>
      <c r="X1707" s="1"/>
    </row>
    <row r="1708" spans="1:24" ht="14.4">
      <c r="A1708" s="1"/>
      <c r="M1708" s="26"/>
      <c r="N1708" s="26"/>
      <c r="P1708" s="1"/>
      <c r="Q1708" s="1"/>
      <c r="R1708" s="1"/>
      <c r="S1708" s="1"/>
      <c r="T1708" s="1"/>
      <c r="U1708" s="1"/>
      <c r="V1708" s="38"/>
      <c r="W1708" s="1"/>
      <c r="X1708" s="1"/>
    </row>
    <row r="1709" spans="1:24" ht="14.4">
      <c r="A1709" s="1"/>
      <c r="M1709" s="26"/>
      <c r="N1709" s="26"/>
      <c r="P1709" s="1"/>
      <c r="Q1709" s="1"/>
      <c r="R1709" s="1"/>
      <c r="S1709" s="1"/>
      <c r="T1709" s="1"/>
      <c r="U1709" s="1"/>
      <c r="V1709" s="38"/>
      <c r="W1709" s="1"/>
      <c r="X1709" s="1"/>
    </row>
    <row r="1710" spans="1:24" ht="14.4">
      <c r="A1710" s="1"/>
      <c r="M1710" s="26"/>
      <c r="N1710" s="26"/>
      <c r="P1710" s="1"/>
      <c r="Q1710" s="1"/>
      <c r="R1710" s="1"/>
      <c r="S1710" s="1"/>
      <c r="T1710" s="1"/>
      <c r="U1710" s="1"/>
      <c r="V1710" s="38"/>
      <c r="W1710" s="1"/>
      <c r="X1710" s="1"/>
    </row>
    <row r="1711" spans="1:24" ht="14.4">
      <c r="A1711" s="1"/>
      <c r="M1711" s="26"/>
      <c r="N1711" s="26"/>
      <c r="P1711" s="1"/>
      <c r="Q1711" s="1"/>
      <c r="R1711" s="1"/>
      <c r="S1711" s="1"/>
      <c r="T1711" s="1"/>
      <c r="U1711" s="1"/>
      <c r="V1711" s="38"/>
      <c r="W1711" s="1"/>
      <c r="X1711" s="1"/>
    </row>
    <row r="1712" spans="1:24" ht="14.4">
      <c r="A1712" s="1"/>
      <c r="M1712" s="26"/>
      <c r="N1712" s="26"/>
      <c r="P1712" s="1"/>
      <c r="Q1712" s="1"/>
      <c r="R1712" s="1"/>
      <c r="S1712" s="1"/>
      <c r="T1712" s="1"/>
      <c r="U1712" s="1"/>
      <c r="V1712" s="38"/>
      <c r="W1712" s="1"/>
      <c r="X1712" s="1"/>
    </row>
    <row r="1713" spans="1:24" ht="14.4">
      <c r="A1713" s="1"/>
      <c r="M1713" s="26"/>
      <c r="N1713" s="26"/>
      <c r="P1713" s="1"/>
      <c r="Q1713" s="1"/>
      <c r="R1713" s="1"/>
      <c r="S1713" s="1"/>
      <c r="T1713" s="1"/>
      <c r="U1713" s="1"/>
      <c r="V1713" s="38"/>
      <c r="W1713" s="1"/>
      <c r="X1713" s="1"/>
    </row>
    <row r="1714" spans="1:24" ht="14.4">
      <c r="A1714" s="1"/>
      <c r="M1714" s="26"/>
      <c r="N1714" s="26"/>
      <c r="P1714" s="1"/>
      <c r="Q1714" s="1"/>
      <c r="R1714" s="1"/>
      <c r="S1714" s="1"/>
      <c r="T1714" s="1"/>
      <c r="U1714" s="1"/>
      <c r="V1714" s="38"/>
      <c r="W1714" s="1"/>
      <c r="X1714" s="1"/>
    </row>
    <row r="1715" spans="1:24" ht="14.4">
      <c r="A1715" s="1"/>
      <c r="M1715" s="26"/>
      <c r="N1715" s="26"/>
      <c r="P1715" s="1"/>
      <c r="Q1715" s="1"/>
      <c r="R1715" s="1"/>
      <c r="S1715" s="1"/>
      <c r="T1715" s="1"/>
      <c r="U1715" s="1"/>
      <c r="V1715" s="38"/>
      <c r="W1715" s="1"/>
      <c r="X1715" s="1"/>
    </row>
    <row r="1716" spans="1:24" ht="14.4">
      <c r="A1716" s="1"/>
      <c r="M1716" s="26"/>
      <c r="N1716" s="26"/>
      <c r="P1716" s="1"/>
      <c r="Q1716" s="1"/>
      <c r="R1716" s="1"/>
      <c r="S1716" s="1"/>
      <c r="T1716" s="1"/>
      <c r="U1716" s="1"/>
      <c r="V1716" s="38"/>
      <c r="W1716" s="1"/>
      <c r="X1716" s="1"/>
    </row>
    <row r="1717" spans="1:24" ht="14.4">
      <c r="A1717" s="1"/>
      <c r="M1717" s="26"/>
      <c r="N1717" s="26"/>
      <c r="P1717" s="1"/>
      <c r="Q1717" s="1"/>
      <c r="R1717" s="1"/>
      <c r="S1717" s="1"/>
      <c r="T1717" s="1"/>
      <c r="U1717" s="1"/>
      <c r="V1717" s="38"/>
      <c r="W1717" s="1"/>
      <c r="X1717" s="1"/>
    </row>
    <row r="1718" spans="1:24" ht="14.4">
      <c r="A1718" s="1"/>
      <c r="M1718" s="26"/>
      <c r="N1718" s="26"/>
      <c r="P1718" s="1"/>
      <c r="Q1718" s="1"/>
      <c r="R1718" s="1"/>
      <c r="S1718" s="1"/>
      <c r="T1718" s="1"/>
      <c r="U1718" s="1"/>
      <c r="V1718" s="38"/>
      <c r="W1718" s="1"/>
      <c r="X1718" s="1"/>
    </row>
    <row r="1719" spans="1:24" ht="14.4">
      <c r="A1719" s="1"/>
      <c r="M1719" s="26"/>
      <c r="N1719" s="26"/>
      <c r="P1719" s="1"/>
      <c r="Q1719" s="1"/>
      <c r="R1719" s="1"/>
      <c r="S1719" s="1"/>
      <c r="T1719" s="1"/>
      <c r="U1719" s="1"/>
      <c r="V1719" s="38"/>
      <c r="W1719" s="1"/>
      <c r="X1719" s="1"/>
    </row>
    <row r="1720" spans="1:24" ht="14.4">
      <c r="A1720" s="1"/>
      <c r="M1720" s="26"/>
      <c r="N1720" s="26"/>
      <c r="P1720" s="1"/>
      <c r="Q1720" s="1"/>
      <c r="R1720" s="1"/>
      <c r="S1720" s="1"/>
      <c r="T1720" s="1"/>
      <c r="U1720" s="1"/>
      <c r="V1720" s="38"/>
      <c r="W1720" s="1"/>
      <c r="X1720" s="1"/>
    </row>
    <row r="1721" spans="1:24" ht="14.4">
      <c r="A1721" s="1"/>
      <c r="M1721" s="26"/>
      <c r="N1721" s="26"/>
      <c r="P1721" s="1"/>
      <c r="Q1721" s="1"/>
      <c r="R1721" s="1"/>
      <c r="S1721" s="1"/>
      <c r="T1721" s="1"/>
      <c r="U1721" s="1"/>
      <c r="V1721" s="38"/>
      <c r="W1721" s="1"/>
      <c r="X1721" s="1"/>
    </row>
    <row r="1722" spans="1:24" ht="14.4">
      <c r="A1722" s="1"/>
      <c r="M1722" s="26"/>
      <c r="N1722" s="26"/>
      <c r="P1722" s="1"/>
      <c r="Q1722" s="1"/>
      <c r="R1722" s="1"/>
      <c r="S1722" s="1"/>
      <c r="T1722" s="1"/>
      <c r="U1722" s="1"/>
      <c r="V1722" s="38"/>
      <c r="W1722" s="1"/>
      <c r="X1722" s="1"/>
    </row>
    <row r="1723" spans="1:24" ht="14.4">
      <c r="A1723" s="1"/>
      <c r="M1723" s="26"/>
      <c r="N1723" s="26"/>
      <c r="P1723" s="1"/>
      <c r="Q1723" s="1"/>
      <c r="R1723" s="1"/>
      <c r="S1723" s="1"/>
      <c r="T1723" s="1"/>
      <c r="U1723" s="1"/>
      <c r="V1723" s="38"/>
      <c r="W1723" s="1"/>
      <c r="X1723" s="1"/>
    </row>
    <row r="1724" spans="1:24" ht="14.4">
      <c r="A1724" s="1"/>
      <c r="M1724" s="26"/>
      <c r="N1724" s="26"/>
      <c r="P1724" s="1"/>
      <c r="Q1724" s="1"/>
      <c r="R1724" s="1"/>
      <c r="S1724" s="1"/>
      <c r="T1724" s="1"/>
      <c r="U1724" s="1"/>
      <c r="V1724" s="38"/>
      <c r="W1724" s="1"/>
      <c r="X1724" s="1"/>
    </row>
    <row r="1725" spans="1:24" ht="14.4">
      <c r="A1725" s="1"/>
      <c r="M1725" s="26"/>
      <c r="N1725" s="26"/>
      <c r="P1725" s="1"/>
      <c r="Q1725" s="1"/>
      <c r="R1725" s="1"/>
      <c r="S1725" s="1"/>
      <c r="T1725" s="1"/>
      <c r="U1725" s="1"/>
      <c r="V1725" s="38"/>
      <c r="W1725" s="1"/>
      <c r="X1725" s="1"/>
    </row>
    <row r="1726" spans="1:24" ht="14.4">
      <c r="A1726" s="1"/>
      <c r="M1726" s="26"/>
      <c r="N1726" s="26"/>
      <c r="P1726" s="1"/>
      <c r="Q1726" s="1"/>
      <c r="R1726" s="1"/>
      <c r="S1726" s="1"/>
      <c r="T1726" s="1"/>
      <c r="U1726" s="1"/>
      <c r="V1726" s="38"/>
      <c r="W1726" s="1"/>
      <c r="X1726" s="1"/>
    </row>
    <row r="1727" spans="1:24" ht="14.4">
      <c r="A1727" s="1"/>
      <c r="M1727" s="26"/>
      <c r="N1727" s="26"/>
      <c r="P1727" s="1"/>
      <c r="Q1727" s="1"/>
      <c r="R1727" s="1"/>
      <c r="S1727" s="1"/>
      <c r="T1727" s="1"/>
      <c r="U1727" s="1"/>
      <c r="V1727" s="38"/>
      <c r="W1727" s="1"/>
      <c r="X1727" s="1"/>
    </row>
    <row r="1728" spans="1:24" ht="14.4">
      <c r="A1728" s="1"/>
      <c r="M1728" s="26"/>
      <c r="N1728" s="26"/>
      <c r="P1728" s="1"/>
      <c r="Q1728" s="1"/>
      <c r="R1728" s="1"/>
      <c r="S1728" s="1"/>
      <c r="T1728" s="1"/>
      <c r="U1728" s="1"/>
      <c r="V1728" s="38"/>
      <c r="W1728" s="1"/>
      <c r="X1728" s="1"/>
    </row>
    <row r="1729" spans="1:24" ht="14.4">
      <c r="A1729" s="1"/>
      <c r="M1729" s="26"/>
      <c r="N1729" s="26"/>
      <c r="P1729" s="1"/>
      <c r="Q1729" s="1"/>
      <c r="R1729" s="1"/>
      <c r="S1729" s="1"/>
      <c r="T1729" s="1"/>
      <c r="U1729" s="1"/>
      <c r="V1729" s="38"/>
      <c r="W1729" s="1"/>
      <c r="X1729" s="1"/>
    </row>
    <row r="1730" spans="1:24" ht="14.4">
      <c r="A1730" s="1"/>
      <c r="M1730" s="26"/>
      <c r="N1730" s="26"/>
      <c r="P1730" s="1"/>
      <c r="Q1730" s="1"/>
      <c r="R1730" s="1"/>
      <c r="S1730" s="1"/>
      <c r="T1730" s="1"/>
      <c r="U1730" s="1"/>
      <c r="V1730" s="38"/>
      <c r="W1730" s="1"/>
      <c r="X1730" s="1"/>
    </row>
    <row r="1731" spans="1:24" ht="14.4">
      <c r="A1731" s="1"/>
      <c r="M1731" s="26"/>
      <c r="N1731" s="26"/>
      <c r="P1731" s="1"/>
      <c r="Q1731" s="1"/>
      <c r="R1731" s="1"/>
      <c r="S1731" s="1"/>
      <c r="T1731" s="1"/>
      <c r="U1731" s="1"/>
      <c r="V1731" s="38"/>
      <c r="W1731" s="1"/>
      <c r="X1731" s="1"/>
    </row>
    <row r="1732" spans="1:24" ht="14.4">
      <c r="A1732" s="1"/>
      <c r="M1732" s="26"/>
      <c r="N1732" s="26"/>
      <c r="P1732" s="1"/>
      <c r="Q1732" s="1"/>
      <c r="R1732" s="1"/>
      <c r="S1732" s="1"/>
      <c r="T1732" s="1"/>
      <c r="U1732" s="1"/>
      <c r="V1732" s="38"/>
      <c r="W1732" s="1"/>
      <c r="X1732" s="1"/>
    </row>
    <row r="1733" spans="1:24" ht="14.4">
      <c r="A1733" s="1"/>
      <c r="M1733" s="26"/>
      <c r="N1733" s="26"/>
      <c r="P1733" s="1"/>
      <c r="Q1733" s="1"/>
      <c r="R1733" s="1"/>
      <c r="S1733" s="1"/>
      <c r="T1733" s="1"/>
      <c r="U1733" s="1"/>
      <c r="V1733" s="38"/>
      <c r="W1733" s="1"/>
      <c r="X1733" s="1"/>
    </row>
    <row r="1734" spans="1:24" ht="14.4">
      <c r="A1734" s="1"/>
      <c r="M1734" s="26"/>
      <c r="N1734" s="26"/>
      <c r="P1734" s="1"/>
      <c r="Q1734" s="1"/>
      <c r="R1734" s="1"/>
      <c r="S1734" s="1"/>
      <c r="T1734" s="1"/>
      <c r="U1734" s="1"/>
      <c r="V1734" s="38"/>
      <c r="W1734" s="1"/>
      <c r="X1734" s="1"/>
    </row>
    <row r="1735" spans="1:24" ht="14.4">
      <c r="A1735" s="1"/>
      <c r="M1735" s="26"/>
      <c r="N1735" s="26"/>
      <c r="P1735" s="1"/>
      <c r="Q1735" s="1"/>
      <c r="R1735" s="1"/>
      <c r="S1735" s="1"/>
      <c r="T1735" s="1"/>
      <c r="U1735" s="1"/>
      <c r="V1735" s="38"/>
      <c r="W1735" s="1"/>
      <c r="X1735" s="1"/>
    </row>
    <row r="1736" spans="1:24" ht="14.4">
      <c r="A1736" s="1"/>
      <c r="M1736" s="26"/>
      <c r="N1736" s="26"/>
      <c r="P1736" s="1"/>
      <c r="Q1736" s="1"/>
      <c r="R1736" s="1"/>
      <c r="S1736" s="1"/>
      <c r="T1736" s="1"/>
      <c r="U1736" s="1"/>
      <c r="V1736" s="38"/>
      <c r="W1736" s="1"/>
      <c r="X1736" s="1"/>
    </row>
    <row r="1737" spans="1:24" ht="14.4">
      <c r="A1737" s="1"/>
      <c r="M1737" s="26"/>
      <c r="N1737" s="26"/>
      <c r="P1737" s="1"/>
      <c r="Q1737" s="1"/>
      <c r="R1737" s="1"/>
      <c r="S1737" s="1"/>
      <c r="T1737" s="1"/>
      <c r="U1737" s="1"/>
      <c r="V1737" s="38"/>
      <c r="W1737" s="1"/>
      <c r="X1737" s="1"/>
    </row>
    <row r="1738" spans="1:24" ht="14.4">
      <c r="A1738" s="1"/>
      <c r="M1738" s="26"/>
      <c r="N1738" s="26"/>
      <c r="P1738" s="1"/>
      <c r="Q1738" s="1"/>
      <c r="R1738" s="1"/>
      <c r="S1738" s="1"/>
      <c r="T1738" s="1"/>
      <c r="U1738" s="1"/>
      <c r="V1738" s="38"/>
      <c r="W1738" s="1"/>
      <c r="X1738" s="1"/>
    </row>
    <row r="1739" spans="1:24" ht="14.4">
      <c r="A1739" s="1"/>
      <c r="M1739" s="26"/>
      <c r="N1739" s="26"/>
      <c r="P1739" s="1"/>
      <c r="Q1739" s="1"/>
      <c r="R1739" s="1"/>
      <c r="S1739" s="1"/>
      <c r="T1739" s="1"/>
      <c r="U1739" s="1"/>
      <c r="V1739" s="38"/>
      <c r="W1739" s="1"/>
      <c r="X1739" s="1"/>
    </row>
    <row r="1740" spans="1:24" ht="14.4">
      <c r="A1740" s="1"/>
      <c r="M1740" s="26"/>
      <c r="N1740" s="26"/>
      <c r="P1740" s="1"/>
      <c r="Q1740" s="1"/>
      <c r="R1740" s="1"/>
      <c r="S1740" s="1"/>
      <c r="T1740" s="1"/>
      <c r="U1740" s="1"/>
      <c r="V1740" s="38"/>
      <c r="W1740" s="1"/>
      <c r="X1740" s="1"/>
    </row>
    <row r="1741" spans="1:24" ht="14.4">
      <c r="A1741" s="1"/>
      <c r="M1741" s="26"/>
      <c r="N1741" s="26"/>
      <c r="P1741" s="1"/>
      <c r="Q1741" s="1"/>
      <c r="R1741" s="1"/>
      <c r="S1741" s="1"/>
      <c r="T1741" s="1"/>
      <c r="U1741" s="1"/>
      <c r="V1741" s="38"/>
      <c r="W1741" s="1"/>
      <c r="X1741" s="1"/>
    </row>
    <row r="1742" spans="1:24" ht="14.4">
      <c r="A1742" s="1"/>
      <c r="M1742" s="26"/>
      <c r="N1742" s="26"/>
      <c r="P1742" s="1"/>
      <c r="Q1742" s="1"/>
      <c r="R1742" s="1"/>
      <c r="S1742" s="1"/>
      <c r="T1742" s="1"/>
      <c r="U1742" s="1"/>
      <c r="V1742" s="38"/>
      <c r="W1742" s="1"/>
      <c r="X1742" s="1"/>
    </row>
    <row r="1743" spans="1:24" ht="14.4">
      <c r="A1743" s="1"/>
      <c r="M1743" s="26"/>
      <c r="N1743" s="26"/>
      <c r="P1743" s="1"/>
      <c r="Q1743" s="1"/>
      <c r="R1743" s="1"/>
      <c r="S1743" s="1"/>
      <c r="T1743" s="1"/>
      <c r="U1743" s="1"/>
      <c r="V1743" s="38"/>
      <c r="W1743" s="1"/>
      <c r="X1743" s="1"/>
    </row>
    <row r="1744" spans="1:24" ht="14.4">
      <c r="A1744" s="1"/>
      <c r="M1744" s="26"/>
      <c r="N1744" s="26"/>
      <c r="P1744" s="1"/>
      <c r="Q1744" s="1"/>
      <c r="R1744" s="1"/>
      <c r="S1744" s="1"/>
      <c r="T1744" s="1"/>
      <c r="U1744" s="1"/>
      <c r="V1744" s="38"/>
      <c r="W1744" s="1"/>
      <c r="X1744" s="1"/>
    </row>
    <row r="1745" spans="1:24" ht="14.4">
      <c r="A1745" s="1"/>
      <c r="M1745" s="26"/>
      <c r="N1745" s="26"/>
      <c r="P1745" s="1"/>
      <c r="Q1745" s="1"/>
      <c r="R1745" s="1"/>
      <c r="S1745" s="1"/>
      <c r="T1745" s="1"/>
      <c r="U1745" s="1"/>
      <c r="V1745" s="38"/>
      <c r="W1745" s="1"/>
      <c r="X1745" s="1"/>
    </row>
    <row r="1746" spans="1:24" ht="14.4">
      <c r="A1746" s="1"/>
      <c r="M1746" s="26"/>
      <c r="N1746" s="26"/>
      <c r="P1746" s="1"/>
      <c r="Q1746" s="1"/>
      <c r="R1746" s="1"/>
      <c r="S1746" s="1"/>
      <c r="T1746" s="1"/>
      <c r="U1746" s="1"/>
      <c r="V1746" s="38"/>
      <c r="W1746" s="1"/>
      <c r="X1746" s="1"/>
    </row>
    <row r="1747" spans="1:24" ht="14.4">
      <c r="A1747" s="1"/>
      <c r="M1747" s="26"/>
      <c r="N1747" s="26"/>
      <c r="P1747" s="1"/>
      <c r="Q1747" s="1"/>
      <c r="R1747" s="1"/>
      <c r="S1747" s="1"/>
      <c r="T1747" s="1"/>
      <c r="U1747" s="1"/>
      <c r="V1747" s="38"/>
      <c r="W1747" s="1"/>
      <c r="X1747" s="1"/>
    </row>
    <row r="1748" spans="1:24" ht="14.4">
      <c r="A1748" s="1"/>
      <c r="M1748" s="26"/>
      <c r="N1748" s="26"/>
      <c r="P1748" s="1"/>
      <c r="Q1748" s="1"/>
      <c r="R1748" s="1"/>
      <c r="S1748" s="1"/>
      <c r="T1748" s="1"/>
      <c r="U1748" s="1"/>
      <c r="V1748" s="38"/>
      <c r="W1748" s="1"/>
      <c r="X1748" s="1"/>
    </row>
    <row r="1749" spans="1:24" ht="14.4">
      <c r="A1749" s="1"/>
      <c r="M1749" s="26"/>
      <c r="N1749" s="26"/>
      <c r="P1749" s="1"/>
      <c r="Q1749" s="1"/>
      <c r="R1749" s="1"/>
      <c r="S1749" s="1"/>
      <c r="T1749" s="1"/>
      <c r="U1749" s="1"/>
      <c r="V1749" s="38"/>
      <c r="W1749" s="1"/>
      <c r="X1749" s="1"/>
    </row>
    <row r="1750" spans="1:24" ht="14.4">
      <c r="A1750" s="1"/>
      <c r="M1750" s="26"/>
      <c r="N1750" s="26"/>
      <c r="P1750" s="1"/>
      <c r="Q1750" s="1"/>
      <c r="R1750" s="1"/>
      <c r="S1750" s="1"/>
      <c r="T1750" s="1"/>
      <c r="U1750" s="1"/>
      <c r="V1750" s="38"/>
      <c r="W1750" s="1"/>
      <c r="X1750" s="1"/>
    </row>
    <row r="1751" spans="1:24" ht="14.4">
      <c r="A1751" s="1"/>
      <c r="M1751" s="26"/>
      <c r="N1751" s="26"/>
      <c r="P1751" s="1"/>
      <c r="Q1751" s="1"/>
      <c r="R1751" s="1"/>
      <c r="S1751" s="1"/>
      <c r="T1751" s="1"/>
      <c r="U1751" s="1"/>
      <c r="V1751" s="38"/>
      <c r="W1751" s="1"/>
      <c r="X1751" s="1"/>
    </row>
    <row r="1752" spans="1:24" ht="14.4">
      <c r="A1752" s="1"/>
      <c r="M1752" s="26"/>
      <c r="N1752" s="26"/>
      <c r="P1752" s="1"/>
      <c r="Q1752" s="1"/>
      <c r="R1752" s="1"/>
      <c r="S1752" s="1"/>
      <c r="T1752" s="1"/>
      <c r="U1752" s="1"/>
      <c r="V1752" s="38"/>
      <c r="W1752" s="1"/>
      <c r="X1752" s="1"/>
    </row>
    <row r="1753" spans="1:24" ht="14.4">
      <c r="A1753" s="1"/>
      <c r="M1753" s="26"/>
      <c r="N1753" s="26"/>
      <c r="P1753" s="1"/>
      <c r="Q1753" s="1"/>
      <c r="R1753" s="1"/>
      <c r="S1753" s="1"/>
      <c r="T1753" s="1"/>
      <c r="U1753" s="1"/>
      <c r="V1753" s="38"/>
      <c r="W1753" s="1"/>
      <c r="X1753" s="1"/>
    </row>
    <row r="1754" spans="1:24" ht="14.4">
      <c r="A1754" s="1"/>
      <c r="M1754" s="26"/>
      <c r="N1754" s="26"/>
      <c r="P1754" s="1"/>
      <c r="Q1754" s="1"/>
      <c r="R1754" s="1"/>
      <c r="S1754" s="1"/>
      <c r="T1754" s="1"/>
      <c r="U1754" s="1"/>
      <c r="V1754" s="38"/>
      <c r="W1754" s="1"/>
      <c r="X1754" s="1"/>
    </row>
    <row r="1755" spans="1:24" ht="14.4">
      <c r="A1755" s="1"/>
      <c r="M1755" s="26"/>
      <c r="N1755" s="26"/>
      <c r="P1755" s="1"/>
      <c r="Q1755" s="1"/>
      <c r="R1755" s="1"/>
      <c r="S1755" s="1"/>
      <c r="T1755" s="1"/>
      <c r="U1755" s="1"/>
      <c r="V1755" s="38"/>
      <c r="W1755" s="1"/>
      <c r="X1755" s="1"/>
    </row>
    <row r="1756" spans="1:24" ht="14.4">
      <c r="A1756" s="1"/>
      <c r="M1756" s="26"/>
      <c r="N1756" s="26"/>
      <c r="P1756" s="1"/>
      <c r="Q1756" s="1"/>
      <c r="R1756" s="1"/>
      <c r="S1756" s="1"/>
      <c r="T1756" s="1"/>
      <c r="U1756" s="1"/>
      <c r="V1756" s="38"/>
      <c r="W1756" s="1"/>
      <c r="X1756" s="1"/>
    </row>
    <row r="1757" spans="1:24" ht="14.4">
      <c r="A1757" s="1"/>
      <c r="M1757" s="26"/>
      <c r="N1757" s="26"/>
      <c r="P1757" s="1"/>
      <c r="Q1757" s="1"/>
      <c r="R1757" s="1"/>
      <c r="S1757" s="1"/>
      <c r="T1757" s="1"/>
      <c r="U1757" s="1"/>
      <c r="V1757" s="38"/>
      <c r="W1757" s="1"/>
      <c r="X1757" s="1"/>
    </row>
    <row r="1758" spans="1:24" ht="14.4">
      <c r="A1758" s="1"/>
      <c r="M1758" s="26"/>
      <c r="N1758" s="26"/>
      <c r="P1758" s="1"/>
      <c r="Q1758" s="1"/>
      <c r="R1758" s="1"/>
      <c r="S1758" s="1"/>
      <c r="T1758" s="1"/>
      <c r="U1758" s="1"/>
      <c r="V1758" s="38"/>
      <c r="W1758" s="1"/>
      <c r="X1758" s="1"/>
    </row>
    <row r="1759" spans="1:24" ht="14.4">
      <c r="A1759" s="1"/>
      <c r="M1759" s="26"/>
      <c r="N1759" s="26"/>
      <c r="P1759" s="1"/>
      <c r="Q1759" s="1"/>
      <c r="R1759" s="1"/>
      <c r="S1759" s="1"/>
      <c r="T1759" s="1"/>
      <c r="U1759" s="1"/>
      <c r="V1759" s="38"/>
      <c r="W1759" s="1"/>
      <c r="X1759" s="1"/>
    </row>
    <row r="1760" spans="1:24" ht="14.4">
      <c r="A1760" s="1"/>
      <c r="M1760" s="26"/>
      <c r="N1760" s="26"/>
      <c r="P1760" s="1"/>
      <c r="Q1760" s="1"/>
      <c r="R1760" s="1"/>
      <c r="S1760" s="1"/>
      <c r="T1760" s="1"/>
      <c r="U1760" s="1"/>
      <c r="V1760" s="38"/>
      <c r="W1760" s="1"/>
      <c r="X1760" s="1"/>
    </row>
    <row r="1761" spans="1:24" ht="14.4">
      <c r="A1761" s="1"/>
      <c r="M1761" s="26"/>
      <c r="N1761" s="26"/>
      <c r="P1761" s="1"/>
      <c r="Q1761" s="1"/>
      <c r="R1761" s="1"/>
      <c r="S1761" s="1"/>
      <c r="T1761" s="1"/>
      <c r="U1761" s="1"/>
      <c r="V1761" s="38"/>
      <c r="W1761" s="1"/>
      <c r="X1761" s="1"/>
    </row>
    <row r="1762" spans="1:24" ht="14.4">
      <c r="A1762" s="1"/>
      <c r="M1762" s="26"/>
      <c r="N1762" s="26"/>
      <c r="P1762" s="1"/>
      <c r="Q1762" s="1"/>
      <c r="R1762" s="1"/>
      <c r="S1762" s="1"/>
      <c r="T1762" s="1"/>
      <c r="U1762" s="1"/>
      <c r="V1762" s="38"/>
      <c r="W1762" s="1"/>
      <c r="X1762" s="1"/>
    </row>
    <row r="1763" spans="1:24" ht="14.4">
      <c r="A1763" s="1"/>
      <c r="M1763" s="26"/>
      <c r="N1763" s="26"/>
      <c r="P1763" s="1"/>
      <c r="Q1763" s="1"/>
      <c r="R1763" s="1"/>
      <c r="S1763" s="1"/>
      <c r="T1763" s="1"/>
      <c r="U1763" s="1"/>
      <c r="V1763" s="38"/>
      <c r="W1763" s="1"/>
      <c r="X1763" s="1"/>
    </row>
    <row r="1764" spans="1:24" ht="14.4">
      <c r="A1764" s="1"/>
      <c r="M1764" s="26"/>
      <c r="N1764" s="26"/>
      <c r="P1764" s="1"/>
      <c r="Q1764" s="1"/>
      <c r="R1764" s="1"/>
      <c r="S1764" s="1"/>
      <c r="T1764" s="1"/>
      <c r="U1764" s="1"/>
      <c r="V1764" s="38"/>
      <c r="W1764" s="1"/>
      <c r="X1764" s="1"/>
    </row>
    <row r="1765" spans="1:24" ht="14.4">
      <c r="A1765" s="1"/>
      <c r="M1765" s="26"/>
      <c r="N1765" s="26"/>
      <c r="P1765" s="1"/>
      <c r="Q1765" s="1"/>
      <c r="R1765" s="1"/>
      <c r="S1765" s="1"/>
      <c r="T1765" s="1"/>
      <c r="U1765" s="1"/>
      <c r="V1765" s="38"/>
      <c r="W1765" s="1"/>
      <c r="X1765" s="1"/>
    </row>
    <row r="1766" spans="1:24" ht="14.4">
      <c r="A1766" s="1"/>
      <c r="M1766" s="26"/>
      <c r="N1766" s="26"/>
      <c r="P1766" s="1"/>
      <c r="Q1766" s="1"/>
      <c r="R1766" s="1"/>
      <c r="S1766" s="1"/>
      <c r="T1766" s="1"/>
      <c r="U1766" s="1"/>
      <c r="V1766" s="38"/>
      <c r="W1766" s="1"/>
      <c r="X1766" s="1"/>
    </row>
    <row r="1767" spans="1:24" ht="14.4">
      <c r="A1767" s="1"/>
      <c r="M1767" s="26"/>
      <c r="N1767" s="26"/>
      <c r="P1767" s="1"/>
      <c r="Q1767" s="1"/>
      <c r="R1767" s="1"/>
      <c r="S1767" s="1"/>
      <c r="T1767" s="1"/>
      <c r="U1767" s="1"/>
      <c r="V1767" s="38"/>
      <c r="W1767" s="1"/>
      <c r="X1767" s="1"/>
    </row>
    <row r="1768" spans="1:24" ht="14.4">
      <c r="A1768" s="1"/>
      <c r="M1768" s="26"/>
      <c r="N1768" s="26"/>
      <c r="P1768" s="1"/>
      <c r="Q1768" s="1"/>
      <c r="R1768" s="1"/>
      <c r="S1768" s="1"/>
      <c r="T1768" s="1"/>
      <c r="U1768" s="1"/>
      <c r="V1768" s="38"/>
      <c r="W1768" s="1"/>
      <c r="X1768" s="1"/>
    </row>
    <row r="1769" spans="1:24" ht="14.4">
      <c r="A1769" s="1"/>
      <c r="M1769" s="26"/>
      <c r="N1769" s="26"/>
      <c r="P1769" s="1"/>
      <c r="Q1769" s="1"/>
      <c r="R1769" s="1"/>
      <c r="S1769" s="1"/>
      <c r="T1769" s="1"/>
      <c r="U1769" s="1"/>
      <c r="V1769" s="38"/>
      <c r="W1769" s="1"/>
      <c r="X1769" s="1"/>
    </row>
    <row r="1770" spans="1:24" ht="14.4">
      <c r="A1770" s="1"/>
      <c r="M1770" s="26"/>
      <c r="N1770" s="26"/>
      <c r="P1770" s="1"/>
      <c r="Q1770" s="1"/>
      <c r="R1770" s="1"/>
      <c r="S1770" s="1"/>
      <c r="T1770" s="1"/>
      <c r="U1770" s="1"/>
      <c r="V1770" s="38"/>
      <c r="W1770" s="1"/>
      <c r="X1770" s="1"/>
    </row>
    <row r="1771" spans="1:24" ht="14.4">
      <c r="A1771" s="1"/>
      <c r="M1771" s="26"/>
      <c r="N1771" s="26"/>
      <c r="P1771" s="1"/>
      <c r="Q1771" s="1"/>
      <c r="R1771" s="1"/>
      <c r="S1771" s="1"/>
      <c r="T1771" s="1"/>
      <c r="U1771" s="1"/>
      <c r="V1771" s="38"/>
      <c r="W1771" s="1"/>
      <c r="X1771" s="1"/>
    </row>
    <row r="1772" spans="1:24" ht="14.4">
      <c r="A1772" s="1"/>
      <c r="M1772" s="26"/>
      <c r="N1772" s="26"/>
      <c r="P1772" s="1"/>
      <c r="Q1772" s="1"/>
      <c r="R1772" s="1"/>
      <c r="S1772" s="1"/>
      <c r="T1772" s="1"/>
      <c r="U1772" s="1"/>
      <c r="V1772" s="38"/>
      <c r="W1772" s="1"/>
      <c r="X1772" s="1"/>
    </row>
    <row r="1773" spans="1:24" ht="14.4">
      <c r="A1773" s="1"/>
      <c r="M1773" s="26"/>
      <c r="N1773" s="26"/>
      <c r="P1773" s="1"/>
      <c r="Q1773" s="1"/>
      <c r="R1773" s="1"/>
      <c r="S1773" s="1"/>
      <c r="T1773" s="1"/>
      <c r="U1773" s="1"/>
      <c r="V1773" s="38"/>
      <c r="W1773" s="1"/>
      <c r="X1773" s="1"/>
    </row>
    <row r="1774" spans="1:24" ht="14.4">
      <c r="A1774" s="1"/>
      <c r="M1774" s="26"/>
      <c r="N1774" s="26"/>
      <c r="P1774" s="1"/>
      <c r="Q1774" s="1"/>
      <c r="R1774" s="1"/>
      <c r="S1774" s="1"/>
      <c r="T1774" s="1"/>
      <c r="U1774" s="1"/>
      <c r="V1774" s="38"/>
      <c r="W1774" s="1"/>
      <c r="X1774" s="1"/>
    </row>
    <row r="1775" spans="1:24" ht="14.4">
      <c r="A1775" s="1"/>
      <c r="M1775" s="26"/>
      <c r="N1775" s="26"/>
      <c r="P1775" s="1"/>
      <c r="Q1775" s="1"/>
      <c r="R1775" s="1"/>
      <c r="S1775" s="1"/>
      <c r="T1775" s="1"/>
      <c r="U1775" s="1"/>
      <c r="V1775" s="38"/>
      <c r="W1775" s="1"/>
      <c r="X1775" s="1"/>
    </row>
    <row r="1776" spans="1:24" ht="14.4">
      <c r="A1776" s="1"/>
      <c r="M1776" s="26"/>
      <c r="N1776" s="26"/>
      <c r="P1776" s="1"/>
      <c r="Q1776" s="1"/>
      <c r="R1776" s="1"/>
      <c r="S1776" s="1"/>
      <c r="T1776" s="1"/>
      <c r="U1776" s="1"/>
      <c r="V1776" s="38"/>
      <c r="W1776" s="1"/>
      <c r="X1776" s="1"/>
    </row>
    <row r="1777" spans="1:24" ht="14.4">
      <c r="A1777" s="1"/>
      <c r="M1777" s="26"/>
      <c r="N1777" s="26"/>
      <c r="P1777" s="1"/>
      <c r="Q1777" s="1"/>
      <c r="R1777" s="1"/>
      <c r="S1777" s="1"/>
      <c r="T1777" s="1"/>
      <c r="U1777" s="1"/>
      <c r="V1777" s="38"/>
      <c r="W1777" s="1"/>
      <c r="X1777" s="1"/>
    </row>
    <row r="1778" spans="1:24" ht="14.4">
      <c r="A1778" s="1"/>
      <c r="M1778" s="26"/>
      <c r="N1778" s="26"/>
      <c r="P1778" s="1"/>
      <c r="Q1778" s="1"/>
      <c r="R1778" s="1"/>
      <c r="S1778" s="1"/>
      <c r="T1778" s="1"/>
      <c r="U1778" s="1"/>
      <c r="V1778" s="38"/>
      <c r="W1778" s="1"/>
      <c r="X1778" s="1"/>
    </row>
    <row r="1779" spans="1:24" ht="14.4">
      <c r="A1779" s="1"/>
      <c r="M1779" s="26"/>
      <c r="N1779" s="26"/>
      <c r="P1779" s="1"/>
      <c r="Q1779" s="1"/>
      <c r="R1779" s="1"/>
      <c r="S1779" s="1"/>
      <c r="T1779" s="1"/>
      <c r="U1779" s="1"/>
      <c r="V1779" s="38"/>
      <c r="W1779" s="1"/>
      <c r="X1779" s="1"/>
    </row>
    <row r="1780" spans="1:24" ht="14.4">
      <c r="A1780" s="1"/>
      <c r="M1780" s="26"/>
      <c r="N1780" s="26"/>
      <c r="P1780" s="1"/>
      <c r="Q1780" s="1"/>
      <c r="R1780" s="1"/>
      <c r="S1780" s="1"/>
      <c r="T1780" s="1"/>
      <c r="U1780" s="1"/>
      <c r="V1780" s="38"/>
      <c r="W1780" s="1"/>
      <c r="X1780" s="1"/>
    </row>
    <row r="1781" spans="1:24" ht="14.4">
      <c r="A1781" s="1"/>
      <c r="M1781" s="26"/>
      <c r="N1781" s="26"/>
      <c r="P1781" s="1"/>
      <c r="Q1781" s="1"/>
      <c r="R1781" s="1"/>
      <c r="S1781" s="1"/>
      <c r="T1781" s="1"/>
      <c r="U1781" s="1"/>
      <c r="V1781" s="38"/>
      <c r="W1781" s="1"/>
      <c r="X1781" s="1"/>
    </row>
    <row r="1782" spans="1:24" ht="14.4">
      <c r="A1782" s="1"/>
      <c r="M1782" s="26"/>
      <c r="N1782" s="26"/>
      <c r="P1782" s="1"/>
      <c r="Q1782" s="1"/>
      <c r="R1782" s="1"/>
      <c r="S1782" s="1"/>
      <c r="T1782" s="1"/>
      <c r="U1782" s="1"/>
      <c r="V1782" s="38"/>
      <c r="W1782" s="1"/>
      <c r="X1782" s="1"/>
    </row>
    <row r="1783" spans="1:24" ht="14.4">
      <c r="A1783" s="1"/>
      <c r="M1783" s="26"/>
      <c r="N1783" s="26"/>
      <c r="P1783" s="1"/>
      <c r="Q1783" s="1"/>
      <c r="R1783" s="1"/>
      <c r="S1783" s="1"/>
      <c r="T1783" s="1"/>
      <c r="U1783" s="1"/>
      <c r="V1783" s="38"/>
      <c r="W1783" s="1"/>
      <c r="X1783" s="1"/>
    </row>
    <row r="1784" spans="1:24" ht="14.4">
      <c r="A1784" s="1"/>
      <c r="M1784" s="26"/>
      <c r="N1784" s="26"/>
      <c r="P1784" s="1"/>
      <c r="Q1784" s="1"/>
      <c r="R1784" s="1"/>
      <c r="S1784" s="1"/>
      <c r="T1784" s="1"/>
      <c r="U1784" s="1"/>
      <c r="V1784" s="38"/>
      <c r="W1784" s="1"/>
      <c r="X1784" s="1"/>
    </row>
    <row r="1785" spans="1:24" ht="14.4">
      <c r="A1785" s="1"/>
      <c r="M1785" s="26"/>
      <c r="N1785" s="26"/>
      <c r="P1785" s="1"/>
      <c r="Q1785" s="1"/>
      <c r="R1785" s="1"/>
      <c r="S1785" s="1"/>
      <c r="T1785" s="1"/>
      <c r="U1785" s="1"/>
      <c r="V1785" s="38"/>
      <c r="W1785" s="1"/>
      <c r="X1785" s="1"/>
    </row>
    <row r="1786" spans="1:24" ht="14.4">
      <c r="A1786" s="1"/>
      <c r="P1786" s="1"/>
      <c r="Q1786" s="1"/>
      <c r="R1786" s="1"/>
      <c r="S1786" s="1"/>
      <c r="T1786" s="1"/>
      <c r="U1786" s="1"/>
      <c r="V1786" s="38"/>
      <c r="W1786" s="1"/>
      <c r="X1786" s="1"/>
    </row>
  </sheetData>
  <mergeCells count="296">
    <mergeCell ref="L433:L437"/>
    <mergeCell ref="L438:L442"/>
    <mergeCell ref="G423:G427"/>
    <mergeCell ref="H423:H427"/>
    <mergeCell ref="G433:G437"/>
    <mergeCell ref="H433:H437"/>
    <mergeCell ref="I433:I437"/>
    <mergeCell ref="J433:J437"/>
    <mergeCell ref="K433:K437"/>
    <mergeCell ref="K428:K432"/>
    <mergeCell ref="L428:L432"/>
    <mergeCell ref="L418:L422"/>
    <mergeCell ref="B423:B427"/>
    <mergeCell ref="F428:F432"/>
    <mergeCell ref="G428:G432"/>
    <mergeCell ref="H428:H432"/>
    <mergeCell ref="I428:I432"/>
    <mergeCell ref="J428:J432"/>
    <mergeCell ref="F463:F467"/>
    <mergeCell ref="F473:F477"/>
    <mergeCell ref="I473:I477"/>
    <mergeCell ref="J473:J477"/>
    <mergeCell ref="K473:K477"/>
    <mergeCell ref="L473:L477"/>
    <mergeCell ref="G463:G467"/>
    <mergeCell ref="H463:H467"/>
    <mergeCell ref="I463:I467"/>
    <mergeCell ref="J463:J467"/>
    <mergeCell ref="K463:K467"/>
    <mergeCell ref="L463:L467"/>
    <mergeCell ref="F418:F422"/>
    <mergeCell ref="F423:F427"/>
    <mergeCell ref="F433:F437"/>
    <mergeCell ref="F438:F442"/>
    <mergeCell ref="G438:G442"/>
    <mergeCell ref="I458:I462"/>
    <mergeCell ref="J458:J462"/>
    <mergeCell ref="K458:K462"/>
    <mergeCell ref="L458:L462"/>
    <mergeCell ref="J478:J482"/>
    <mergeCell ref="K478:K482"/>
    <mergeCell ref="L478:L482"/>
    <mergeCell ref="B473:B477"/>
    <mergeCell ref="F413:F417"/>
    <mergeCell ref="G413:G417"/>
    <mergeCell ref="H413:H417"/>
    <mergeCell ref="I413:I417"/>
    <mergeCell ref="J413:J417"/>
    <mergeCell ref="K413:K417"/>
    <mergeCell ref="L413:L417"/>
    <mergeCell ref="I423:I427"/>
    <mergeCell ref="J423:J427"/>
    <mergeCell ref="K423:K427"/>
    <mergeCell ref="L423:L427"/>
    <mergeCell ref="G418:G422"/>
    <mergeCell ref="H418:H422"/>
    <mergeCell ref="I418:I422"/>
    <mergeCell ref="J418:J422"/>
    <mergeCell ref="K418:K422"/>
    <mergeCell ref="F498:F502"/>
    <mergeCell ref="G498:G502"/>
    <mergeCell ref="H498:H502"/>
    <mergeCell ref="I498:I502"/>
    <mergeCell ref="J498:J502"/>
    <mergeCell ref="K498:K502"/>
    <mergeCell ref="L498:L502"/>
    <mergeCell ref="F503:F507"/>
    <mergeCell ref="G503:G507"/>
    <mergeCell ref="H503:H507"/>
    <mergeCell ref="I503:I507"/>
    <mergeCell ref="J503:J507"/>
    <mergeCell ref="K503:K507"/>
    <mergeCell ref="L503:L507"/>
    <mergeCell ref="H508:H512"/>
    <mergeCell ref="I508:I512"/>
    <mergeCell ref="J508:J512"/>
    <mergeCell ref="K508:K512"/>
    <mergeCell ref="L508:L512"/>
    <mergeCell ref="F513:F517"/>
    <mergeCell ref="G513:G517"/>
    <mergeCell ref="H513:H517"/>
    <mergeCell ref="I513:I517"/>
    <mergeCell ref="J513:J517"/>
    <mergeCell ref="K513:K517"/>
    <mergeCell ref="L513:L517"/>
    <mergeCell ref="B538:B542"/>
    <mergeCell ref="F523:F527"/>
    <mergeCell ref="G523:G527"/>
    <mergeCell ref="H523:H527"/>
    <mergeCell ref="I523:I527"/>
    <mergeCell ref="J523:J527"/>
    <mergeCell ref="K523:K527"/>
    <mergeCell ref="L523:L527"/>
    <mergeCell ref="F518:F522"/>
    <mergeCell ref="G518:G522"/>
    <mergeCell ref="H518:H522"/>
    <mergeCell ref="I518:I522"/>
    <mergeCell ref="J518:J522"/>
    <mergeCell ref="K518:K522"/>
    <mergeCell ref="L518:L522"/>
    <mergeCell ref="J538:J542"/>
    <mergeCell ref="K538:K542"/>
    <mergeCell ref="L538:L542"/>
    <mergeCell ref="F538:F542"/>
    <mergeCell ref="F543:F547"/>
    <mergeCell ref="G543:G547"/>
    <mergeCell ref="H543:H547"/>
    <mergeCell ref="J543:J547"/>
    <mergeCell ref="K543:K547"/>
    <mergeCell ref="L543:L547"/>
    <mergeCell ref="G538:G542"/>
    <mergeCell ref="H538:H542"/>
    <mergeCell ref="I538:I542"/>
    <mergeCell ref="B543:B547"/>
    <mergeCell ref="I543:I547"/>
    <mergeCell ref="G483:G487"/>
    <mergeCell ref="H483:H487"/>
    <mergeCell ref="J483:J487"/>
    <mergeCell ref="K483:K487"/>
    <mergeCell ref="L483:L487"/>
    <mergeCell ref="G473:G477"/>
    <mergeCell ref="H473:H477"/>
    <mergeCell ref="B478:B482"/>
    <mergeCell ref="G478:G482"/>
    <mergeCell ref="H478:H482"/>
    <mergeCell ref="I478:I482"/>
    <mergeCell ref="I483:I487"/>
    <mergeCell ref="K488:K492"/>
    <mergeCell ref="L488:L492"/>
    <mergeCell ref="F478:F482"/>
    <mergeCell ref="F483:F487"/>
    <mergeCell ref="F488:F492"/>
    <mergeCell ref="G488:G492"/>
    <mergeCell ref="H488:H492"/>
    <mergeCell ref="I488:I492"/>
    <mergeCell ref="J488:J492"/>
    <mergeCell ref="F493:F497"/>
    <mergeCell ref="G493:G497"/>
    <mergeCell ref="H493:H497"/>
    <mergeCell ref="I493:I497"/>
    <mergeCell ref="J493:J497"/>
    <mergeCell ref="K493:K497"/>
    <mergeCell ref="L493:L497"/>
    <mergeCell ref="B483:B487"/>
    <mergeCell ref="B488:B492"/>
    <mergeCell ref="B493:B497"/>
    <mergeCell ref="B498:B502"/>
    <mergeCell ref="B503:B507"/>
    <mergeCell ref="B508:B512"/>
    <mergeCell ref="B513:B517"/>
    <mergeCell ref="B533:B537"/>
    <mergeCell ref="J528:J532"/>
    <mergeCell ref="K528:K532"/>
    <mergeCell ref="L528:L532"/>
    <mergeCell ref="J533:J537"/>
    <mergeCell ref="K533:K537"/>
    <mergeCell ref="L533:L537"/>
    <mergeCell ref="B518:B522"/>
    <mergeCell ref="B523:B527"/>
    <mergeCell ref="B528:B532"/>
    <mergeCell ref="F528:F532"/>
    <mergeCell ref="G528:G532"/>
    <mergeCell ref="H528:H532"/>
    <mergeCell ref="I528:I532"/>
    <mergeCell ref="F533:F537"/>
    <mergeCell ref="G533:G537"/>
    <mergeCell ref="H533:H537"/>
    <mergeCell ref="I533:I537"/>
    <mergeCell ref="F508:F512"/>
    <mergeCell ref="G508:G512"/>
    <mergeCell ref="F383:F387"/>
    <mergeCell ref="G383:G387"/>
    <mergeCell ref="H383:H387"/>
    <mergeCell ref="I383:I387"/>
    <mergeCell ref="J383:J387"/>
    <mergeCell ref="K383:K387"/>
    <mergeCell ref="L383:L387"/>
    <mergeCell ref="F388:F392"/>
    <mergeCell ref="G388:G392"/>
    <mergeCell ref="H388:H392"/>
    <mergeCell ref="I388:I392"/>
    <mergeCell ref="J388:J392"/>
    <mergeCell ref="K388:K392"/>
    <mergeCell ref="L388:L392"/>
    <mergeCell ref="G408:G412"/>
    <mergeCell ref="H408:H412"/>
    <mergeCell ref="I408:I412"/>
    <mergeCell ref="J408:J412"/>
    <mergeCell ref="K408:K412"/>
    <mergeCell ref="L408:L412"/>
    <mergeCell ref="F393:F397"/>
    <mergeCell ref="G393:G397"/>
    <mergeCell ref="H393:H397"/>
    <mergeCell ref="I393:I397"/>
    <mergeCell ref="J393:J397"/>
    <mergeCell ref="K393:K397"/>
    <mergeCell ref="L393:L397"/>
    <mergeCell ref="F398:F402"/>
    <mergeCell ref="G398:G402"/>
    <mergeCell ref="H398:H402"/>
    <mergeCell ref="I398:I402"/>
    <mergeCell ref="J398:J402"/>
    <mergeCell ref="K398:K402"/>
    <mergeCell ref="L398:L402"/>
    <mergeCell ref="X1:X2"/>
    <mergeCell ref="O1:O2"/>
    <mergeCell ref="P1:P2"/>
    <mergeCell ref="Q1:Q2"/>
    <mergeCell ref="R1:R2"/>
    <mergeCell ref="S1:S2"/>
    <mergeCell ref="T1:T2"/>
    <mergeCell ref="U1:U2"/>
    <mergeCell ref="A1:A2"/>
    <mergeCell ref="B1:B2"/>
    <mergeCell ref="C1:C2"/>
    <mergeCell ref="D1:D2"/>
    <mergeCell ref="E1:E2"/>
    <mergeCell ref="F1:F2"/>
    <mergeCell ref="G1:G2"/>
    <mergeCell ref="H1:H2"/>
    <mergeCell ref="I1:I2"/>
    <mergeCell ref="J1:J2"/>
    <mergeCell ref="K1:K2"/>
    <mergeCell ref="L1:L2"/>
    <mergeCell ref="M1:M2"/>
    <mergeCell ref="N1:N2"/>
    <mergeCell ref="V1:V2"/>
    <mergeCell ref="W1:W2"/>
    <mergeCell ref="F378:F382"/>
    <mergeCell ref="G378:G382"/>
    <mergeCell ref="H378:H382"/>
    <mergeCell ref="I378:I382"/>
    <mergeCell ref="J378:J382"/>
    <mergeCell ref="K378:K382"/>
    <mergeCell ref="L378:L382"/>
    <mergeCell ref="B413:B417"/>
    <mergeCell ref="B418:B422"/>
    <mergeCell ref="B378:B382"/>
    <mergeCell ref="B383:B387"/>
    <mergeCell ref="B388:B392"/>
    <mergeCell ref="B393:B397"/>
    <mergeCell ref="B398:B402"/>
    <mergeCell ref="B403:B407"/>
    <mergeCell ref="B408:B412"/>
    <mergeCell ref="F403:F407"/>
    <mergeCell ref="G403:G407"/>
    <mergeCell ref="H403:H407"/>
    <mergeCell ref="I403:I407"/>
    <mergeCell ref="J403:J407"/>
    <mergeCell ref="K403:K407"/>
    <mergeCell ref="L403:L407"/>
    <mergeCell ref="F408:F412"/>
    <mergeCell ref="K443:K447"/>
    <mergeCell ref="L443:L447"/>
    <mergeCell ref="J438:J442"/>
    <mergeCell ref="K438:K442"/>
    <mergeCell ref="F443:F447"/>
    <mergeCell ref="G443:G447"/>
    <mergeCell ref="H443:H447"/>
    <mergeCell ref="I443:I447"/>
    <mergeCell ref="J443:J447"/>
    <mergeCell ref="H438:H442"/>
    <mergeCell ref="I438:I442"/>
    <mergeCell ref="F448:F452"/>
    <mergeCell ref="G448:G452"/>
    <mergeCell ref="H448:H452"/>
    <mergeCell ref="I448:I452"/>
    <mergeCell ref="J448:J452"/>
    <mergeCell ref="K448:K452"/>
    <mergeCell ref="L448:L452"/>
    <mergeCell ref="F468:F472"/>
    <mergeCell ref="G468:G472"/>
    <mergeCell ref="H468:H472"/>
    <mergeCell ref="I468:I472"/>
    <mergeCell ref="J468:J472"/>
    <mergeCell ref="K468:K472"/>
    <mergeCell ref="L468:L472"/>
    <mergeCell ref="F453:F457"/>
    <mergeCell ref="G453:G457"/>
    <mergeCell ref="H453:H457"/>
    <mergeCell ref="I453:I457"/>
    <mergeCell ref="J453:J457"/>
    <mergeCell ref="K453:K457"/>
    <mergeCell ref="L453:L457"/>
    <mergeCell ref="F458:F462"/>
    <mergeCell ref="G458:G462"/>
    <mergeCell ref="H458:H462"/>
    <mergeCell ref="B463:B467"/>
    <mergeCell ref="B468:B472"/>
    <mergeCell ref="B428:B432"/>
    <mergeCell ref="B433:B437"/>
    <mergeCell ref="B438:B442"/>
    <mergeCell ref="B443:B447"/>
    <mergeCell ref="B448:B452"/>
    <mergeCell ref="B453:B457"/>
    <mergeCell ref="B458:B462"/>
  </mergeCells>
  <conditionalFormatting sqref="U1:U58 P3:Q57">
    <cfRule type="containsBlanks" dxfId="6" priority="1">
      <formula>LEN(TRIM(U1))=0</formula>
    </cfRule>
  </conditionalFormatting>
  <pageMargins left="0" right="0" top="0" bottom="0" header="0" footer="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X1786"/>
  <sheetViews>
    <sheetView tabSelected="1" topLeftCell="A10" workbookViewId="0">
      <pane xSplit="2" topLeftCell="C1" activePane="topRight" state="frozen"/>
      <selection pane="topRight" activeCell="F23" sqref="F23"/>
    </sheetView>
  </sheetViews>
  <sheetFormatPr defaultColWidth="14.44140625" defaultRowHeight="15" customHeight="1"/>
  <cols>
    <col min="1" max="1" width="5.44140625" customWidth="1"/>
    <col min="3" max="3" width="12" customWidth="1"/>
    <col min="4" max="5" width="14.44140625" hidden="1"/>
    <col min="6" max="6" width="37.88671875" customWidth="1"/>
    <col min="8" max="10" width="14.44140625" hidden="1"/>
    <col min="11" max="11" width="25.109375" hidden="1" customWidth="1"/>
    <col min="12" max="12" width="14.44140625" hidden="1"/>
    <col min="13" max="14" width="13" customWidth="1"/>
    <col min="15" max="15" width="14.44140625" hidden="1"/>
    <col min="18" max="18" width="12.109375" customWidth="1"/>
    <col min="19" max="19" width="52.33203125" customWidth="1"/>
    <col min="20" max="20" width="71" hidden="1" customWidth="1"/>
    <col min="21" max="21" width="38.6640625" customWidth="1"/>
    <col min="22" max="22" width="32.44140625" customWidth="1"/>
    <col min="23" max="24" width="15.44140625" customWidth="1"/>
  </cols>
  <sheetData>
    <row r="1" spans="1:24">
      <c r="A1" s="98" t="s">
        <v>840</v>
      </c>
      <c r="B1" s="96" t="s">
        <v>841</v>
      </c>
      <c r="C1" s="96" t="s">
        <v>842</v>
      </c>
      <c r="D1" s="96" t="s">
        <v>843</v>
      </c>
      <c r="E1" s="96" t="s">
        <v>844</v>
      </c>
      <c r="F1" s="96" t="s">
        <v>845</v>
      </c>
      <c r="G1" s="96" t="s">
        <v>846</v>
      </c>
      <c r="H1" s="96" t="s">
        <v>847</v>
      </c>
      <c r="I1" s="96" t="s">
        <v>848</v>
      </c>
      <c r="J1" s="96" t="s">
        <v>849</v>
      </c>
      <c r="K1" s="96" t="s">
        <v>850</v>
      </c>
      <c r="L1" s="96" t="s">
        <v>851</v>
      </c>
      <c r="M1" s="96" t="s">
        <v>852</v>
      </c>
      <c r="N1" s="96" t="s">
        <v>853</v>
      </c>
      <c r="O1" s="96" t="s">
        <v>854</v>
      </c>
      <c r="P1" s="95" t="s">
        <v>855</v>
      </c>
      <c r="Q1" s="95" t="s">
        <v>856</v>
      </c>
      <c r="R1" s="95" t="s">
        <v>857</v>
      </c>
      <c r="S1" s="95" t="s">
        <v>858</v>
      </c>
      <c r="T1" s="95" t="s">
        <v>859</v>
      </c>
      <c r="U1" s="95" t="s">
        <v>860</v>
      </c>
      <c r="V1" s="96" t="s">
        <v>861</v>
      </c>
      <c r="W1" s="96" t="s">
        <v>862</v>
      </c>
      <c r="X1" s="95" t="s">
        <v>863</v>
      </c>
    </row>
    <row r="2" spans="1:24">
      <c r="A2" s="97"/>
      <c r="B2" s="97"/>
      <c r="C2" s="97"/>
      <c r="D2" s="97"/>
      <c r="E2" s="97"/>
      <c r="F2" s="97"/>
      <c r="G2" s="97"/>
      <c r="H2" s="97"/>
      <c r="I2" s="97"/>
      <c r="J2" s="97"/>
      <c r="K2" s="97"/>
      <c r="L2" s="97"/>
      <c r="M2" s="97"/>
      <c r="N2" s="97"/>
      <c r="O2" s="97"/>
      <c r="P2" s="94"/>
      <c r="Q2" s="94"/>
      <c r="R2" s="94"/>
      <c r="S2" s="94"/>
      <c r="T2" s="94"/>
      <c r="U2" s="94"/>
      <c r="V2" s="97"/>
      <c r="W2" s="97"/>
      <c r="X2" s="94"/>
    </row>
    <row r="3" spans="1:24">
      <c r="A3" s="40">
        <v>1</v>
      </c>
      <c r="B3" s="40">
        <f ca="1">IFERROR(__xludf.DUMMYFUNCTION("query(Rekap!A2:AD1786,""Select B,E,F,G,D,H,U,V,W where C='PKM Karya Inovatif'"")"),3765)</f>
        <v>3765</v>
      </c>
      <c r="C3" s="41" t="str">
        <f ca="1">IFERROR(__xludf.DUMMYFUNCTION("""COMPUTED_VALUE"""),"RAFIF WIRARESWARA")</f>
        <v>RAFIF WIRARESWARA</v>
      </c>
      <c r="D3" s="41" t="str">
        <f ca="1">IFERROR(__xludf.DUMMYFUNCTION("""COMPUTED_VALUE"""),"02111940000207")</f>
        <v>02111940000207</v>
      </c>
      <c r="E3" s="41" t="str">
        <f ca="1">IFERROR(__xludf.DUMMYFUNCTION("""COMPUTED_VALUE"""),"Departemen Teknik Mesin")</f>
        <v>Departemen Teknik Mesin</v>
      </c>
      <c r="F3" s="41" t="str">
        <f ca="1">IFERROR(__xludf.DUMMYFUNCTION("""COMPUTED_VALUE"""),"RENEW TECH ALAT DEWATERING BERBASIS MIKROKONTROLER, ARTIFICIAL INTELLIGENCE, DAN FUZZY LOGIC SEBAGAI SOLUSI PENINGKATAN MUTU MADU")</f>
        <v>RENEW TECH ALAT DEWATERING BERBASIS MIKROKONTROLER, ARTIFICIAL INTELLIGENCE, DAN FUZZY LOGIC SEBAGAI SOLUSI PENINGKATAN MUTU MADU</v>
      </c>
      <c r="G3" s="41" t="str">
        <f ca="1">IFERROR(__xludf.DUMMYFUNCTION("""COMPUTED_VALUE"""),"Mohammad Khoirul Effendi, S.T., M.Sc.Eng., Ph.D.")</f>
        <v>Mohammad Khoirul Effendi, S.T., M.Sc.Eng., Ph.D.</v>
      </c>
      <c r="H3" s="41" t="str">
        <f ca="1">IFERROR(__xludf.DUMMYFUNCTION("""COMPUTED_VALUE"""),"Andre Parvian Aristio, S.Kom., M.Sc.")</f>
        <v>Andre Parvian Aristio, S.Kom., M.Sc.</v>
      </c>
      <c r="I3" s="41" t="str">
        <f ca="1">IFERROR(__xludf.DUMMYFUNCTION("""COMPUTED_VALUE"""),"Azzah Dyah Pramata, S.T., M.T., M.Eng., Ph.D.")</f>
        <v>Azzah Dyah Pramata, S.T., M.T., M.Eng., Ph.D.</v>
      </c>
      <c r="J3" s="41" t="str">
        <f ca="1">IFERROR(__xludf.DUMMYFUNCTION("""COMPUTED_VALUE"""),"Arief Abdurrakhman, S.T., M.T.")</f>
        <v>Arief Abdurrakhman, S.T., M.T.</v>
      </c>
      <c r="K3" s="42" t="s">
        <v>1035</v>
      </c>
      <c r="L3" s="43" t="s">
        <v>1036</v>
      </c>
      <c r="M3" s="44" t="b">
        <v>1</v>
      </c>
      <c r="N3" s="44" t="b">
        <v>1</v>
      </c>
      <c r="O3" s="31" t="s">
        <v>1037</v>
      </c>
      <c r="P3" s="7" t="str">
        <f ca="1">IFERROR(__xludf.DUMMYFUNCTION("iferror(vlookup(B3,importrange(""https://docs.google.com/spreadsheets/d/1boHyJQ4e2FU0QG8MHwEi6qjX4hvZWVCHcFfXjq7bbMc/edit?resourcekey#gid=923248883"",""Prop!$C$1:$M""),12,0),IFERROR(vlookup(B3,importrange(""https://docs.google.com/spreadsheets/d/1boHyJQ4e"&amp;"2FU0QG8MHwEi6qjX4hvZWVCHcFfXjq7bbMc/edit?resourcekey#gid=923248883"",""Prop!$N$1:$X""),11,0),iferror(vlookup(B3,importrange(""https://docs.google.com/spreadsheets/d/1boHyJQ4e2FU0QG8MHwEi6qjX4hvZWVCHcFfXjq7bbMc/edit?resourcekey#gid=923248883"",""Prop!$Y$1:"&amp;"$AI""),11,0),iferror(vlookup(B3,importrange(""https://docs.google.com/spreadsheets/d/1boHyJQ4e2FU0QG8MHwEi6qjX4hvZWVCHcFfXjq7bbMc/edit?resourcekey#gid=923248883"",""Prop!$AJ$1:$AT""),11,0),iferror(vlookup(B3,importrange(""https://docs.google.com/spreadshe"&amp;"ets/d/1boHyJQ4e2FU0QG8MHwEi6qjX4hvZWVCHcFfXjq7bbMc/edit?resourcekey#gid=923248883"",""Prop!$AU$1:$BE""),11,0),iferror(vlookup(B3,importrange(""https://docs.google.com/spreadsheets/d/1boHyJQ4e2FU0QG8MHwEi6qjX4hvZWVCHcFfXjq7bbMc/edit?resourcekey#gid=9232488"&amp;"83"",""Prop!$BF$1:$BP""),11,0),iferror(vlookup(B3,importrange(""https://docs.google.com/spreadsheets/d/1boHyJQ4e2FU0QG8MHwEi6qjX4hvZWVCHcFfXjq7bbMc/edit?resourcekey#gid=923248883"",""Prop!$BQ$1:$CA""),11,0),iferror(vlookup(B3,importrange(""https://docs.go"&amp;"ogle.com/spreadsheets/d/1boHyJQ4e2FU0QG8MHwEi6qjX4hvZWVCHcFfXjq7bbMc/edit?resourcekey#gid=923248883"",""Prop!$CB$1:$CL""),11,0),iferror(vlookup(B3,importrange(""https://docs.google.com/spreadsheets/d/1boHyJQ4e2FU0QG8MHwEi6qjX4hvZWVCHcFfXjq7bbMc/edit?resou"&amp;"rcekey#gid=923248883"",""Prop!$CM$1:$CX""),12,0),iferror(vlookup(B3,importrange(""https://docs.google.com/spreadsheets/d/1boHyJQ4e2FU0QG8MHwEi6qjX4hvZWVCHcFfXjq7bbMc/edit?resourcekey#gid=923248883"",""Prop!$CV$1:$DI""),11,0)))))))))))"),"https://drive.google.com/open?id=1PuXrF-Y1e3rHg89i-gI6Vmn_zIQSHP93")</f>
        <v>https://drive.google.com/open?id=1PuXrF-Y1e3rHg89i-gI6Vmn_zIQSHP93</v>
      </c>
      <c r="Q3" s="7" t="str">
        <f ca="1">IFERROR(__xludf.DUMMYFUNCTION("iferror(vlookup(B3,importrange(""https://docs.google.com/spreadsheets/d/1p53T2AuvvIqhP7Nf-bo3Uhj8cbKYRPpZdsrBv3x3bAQ/edit?resourcekey#gid=1321652304"",""Prop!$C$1:$M""),11,0),IFERROR(vlookup(B3,importrange(""https://docs.google.com/spreadsheets/d/1p53T2Au"&amp;"vvIqhP7Nf-bo3Uhj8cbKYRPpZdsrBv3x3bAQ/edit?resourcekey#gid=1321652304"",""Prop!$N$1:$X""),11,0),iferror(vlookup(B3,importrange(""https://docs.google.com/spreadsheets/d/1p53T2AuvvIqhP7Nf-bo3Uhj8cbKYRPpZdsrBv3x3bAQ/edit?resourcekey#gid=1321652304"",""Prop!$Y"&amp;"$1:$AI""),11,0),iferror(vlookup(B3,importrange(""https://docs.google.com/spreadsheets/d/1p53T2AuvvIqhP7Nf-bo3Uhj8cbKYRPpZdsrBv3x3bAQ/edit?resourcekey#gid=1321652304"",""Prop!$AJ$1:$AT""),11,0),iferror(vlookup(B3,importrange(""https://docs.google.com/sprea"&amp;"dsheets/d/1p53T2AuvvIqhP7Nf-bo3Uhj8cbKYRPpZdsrBv3x3bAQ/edit?resourcekey#gid=1321652304"",""Prop!$AU$1:$BE""),11,0),iferror(vlookup(B3,importrange(""https://docs.google.com/spreadsheets/d/1p53T2AuvvIqhP7Nf-bo3Uhj8cbKYRPpZdsrBv3x3bAQ/edit?resourcekey#gid=13"&amp;"21652304"",""Prop!$BF$1:$BP""),11,0),iferror(vlookup(B3,importrange(""https://docs.google.com/spreadsheets/d/1p53T2AuvvIqhP7Nf-bo3Uhj8cbKYRPpZdsrBv3x3bAQ/edit?resourcekey#gid=1321652304"",""Prop!$BQ$1:$CA""),11,0),iferror(vlookup(B3,importrange(""https://"&amp;"docs.google.com/spreadsheets/d/1p53T2AuvvIqhP7Nf-bo3Uhj8cbKYRPpZdsrBv3x3bAQ/edit?resourcekey#gid=1321652304"",""Prop!$CB$1:$CL""),11,0),iferror(vlookup(B3,importrange(""https://docs.google.com/spreadsheets/d/1p53T2AuvvIqhP7Nf-bo3Uhj8cbKYRPpZdsrBv3x3bAQ/ed"&amp;"it?resourcekey#gid=1321652304"",""Prop!$CM$1:$CX""),12,0),iferror(vlookup(B3,importrange(""https://docs.google.com/spreadsheets/d/1p53T2AuvvIqhP7Nf-bo3Uhj8cbKYRPpZdsrBv3x3bAQ/edit?resourcekey#gid=1321652304"",""Prop!$CY$1:$DI""),11,0)))))))))))"),"https://drive.google.com/open?id=1KBYV2ktmx8FYPpPOZvQa6D8LMs7Gwn-P")</f>
        <v>https://drive.google.com/open?id=1KBYV2ktmx8FYPpPOZvQa6D8LMs7Gwn-P</v>
      </c>
      <c r="R3" s="20" t="s">
        <v>1038</v>
      </c>
      <c r="S3" s="20" t="str">
        <f ca="1">IFERROR(__xludf.DUMMYFUNCTION("IFERROR(vlookup(B3,IMPORTRANGE(""https://docs.google.com/spreadsheets/d/1g_jfYYK_KeipEDNDUgqgrsxK94XiocfNQIcP-v1QVhI/edit?resourcekey#gid=233272945"",""Nilai!B:CT""),75,0),"" "")"),"Rancangan kontrol elektronik meragukan, ARDUINO tidak mampu bekerja wakt lama.")</f>
        <v>Rancangan kontrol elektronik meragukan, ARDUINO tidak mampu bekerja wakt lama.</v>
      </c>
      <c r="T3" s="20" t="str">
        <f ca="1">IFERROR(__xludf.DUMMYFUNCTION("IFERROR(vlookup(B3,IMPORTRANGE(""https://docs.google.com/spreadsheets/d/1g_jfYYK_KeipEDNDUgqgrsxK94XiocfNQIcP-v1QVhI/edit?resourcekey#gid=233272945"",""Nilai!B:CT""),97,0),"" "")"),"")</f>
        <v/>
      </c>
      <c r="U3" s="45" t="s">
        <v>719</v>
      </c>
      <c r="V3" s="46" t="s">
        <v>1039</v>
      </c>
      <c r="W3" s="43" t="s">
        <v>1040</v>
      </c>
      <c r="X3" s="44" t="b">
        <v>1</v>
      </c>
    </row>
    <row r="4" spans="1:24">
      <c r="A4" s="40">
        <v>2</v>
      </c>
      <c r="B4" s="40">
        <f ca="1">IFERROR(__xludf.DUMMYFUNCTION("""COMPUTED_VALUE"""),3045)</f>
        <v>3045</v>
      </c>
      <c r="C4" s="41" t="str">
        <f ca="1">IFERROR(__xludf.DUMMYFUNCTION("""COMPUTED_VALUE"""),"Mochammad Dwi Putra Sufandi")</f>
        <v>Mochammad Dwi Putra Sufandi</v>
      </c>
      <c r="D4" s="41" t="str">
        <f ca="1">IFERROR(__xludf.DUMMYFUNCTION("""COMPUTED_VALUE"""),"01111940000021")</f>
        <v>01111940000021</v>
      </c>
      <c r="E4" s="41" t="str">
        <f ca="1">IFERROR(__xludf.DUMMYFUNCTION("""COMPUTED_VALUE"""),"Departemen Fisika")</f>
        <v>Departemen Fisika</v>
      </c>
      <c r="F4" s="41" t="str">
        <f ca="1">IFERROR(__xludf.DUMMYFUNCTION("""COMPUTED_VALUE"""),"Key-Box : Sistem Kotak Penerima Paket Terintegrasi IoT dan Security System dalam Mendukung Smart Home")</f>
        <v>Key-Box : Sistem Kotak Penerima Paket Terintegrasi IoT dan Security System dalam Mendukung Smart Home</v>
      </c>
      <c r="G4" s="41" t="str">
        <f ca="1">IFERROR(__xludf.DUMMYFUNCTION("""COMPUTED_VALUE"""),"Dr. Suyatno, S.Si., M.Si.")</f>
        <v>Dr. Suyatno, S.Si., M.Si.</v>
      </c>
      <c r="H4" s="41" t="str">
        <f ca="1">IFERROR(__xludf.DUMMYFUNCTION("""COMPUTED_VALUE"""),"Andre Parvian Aristio, S.Kom., M.Sc.")</f>
        <v>Andre Parvian Aristio, S.Kom., M.Sc.</v>
      </c>
      <c r="I4" s="41" t="str">
        <f ca="1">IFERROR(__xludf.DUMMYFUNCTION("""COMPUTED_VALUE"""),"Azzah Dyah Pramata, S.T., M.T., M.Eng., Ph.D.")</f>
        <v>Azzah Dyah Pramata, S.T., M.T., M.Eng., Ph.D.</v>
      </c>
      <c r="J4" s="41" t="str">
        <f ca="1">IFERROR(__xludf.DUMMYFUNCTION("""COMPUTED_VALUE"""),"Arief Abdurrakhman, S.T., M.T.")</f>
        <v>Arief Abdurrakhman, S.T., M.T.</v>
      </c>
      <c r="K4" s="42" t="s">
        <v>1035</v>
      </c>
      <c r="L4" s="43" t="s">
        <v>1036</v>
      </c>
      <c r="M4" s="44" t="b">
        <v>1</v>
      </c>
      <c r="N4" s="44" t="b">
        <v>1</v>
      </c>
      <c r="O4" s="31" t="s">
        <v>1037</v>
      </c>
      <c r="P4" s="7" t="str">
        <f ca="1">IFERROR(__xludf.DUMMYFUNCTION("iferror(vlookup(B4,importrange(""https://docs.google.com/spreadsheets/d/1boHyJQ4e2FU0QG8MHwEi6qjX4hvZWVCHcFfXjq7bbMc/edit?resourcekey#gid=923248883"",""Prop!$C$1:$M""),12,0),IFERROR(vlookup(B4,importrange(""https://docs.google.com/spreadsheets/d/1boHyJQ4e"&amp;"2FU0QG8MHwEi6qjX4hvZWVCHcFfXjq7bbMc/edit?resourcekey#gid=923248883"",""Prop!$N$1:$X""),11,0),iferror(vlookup(B4,importrange(""https://docs.google.com/spreadsheets/d/1boHyJQ4e2FU0QG8MHwEi6qjX4hvZWVCHcFfXjq7bbMc/edit?resourcekey#gid=923248883"",""Prop!$Y$1:"&amp;"$AI""),11,0),iferror(vlookup(B4,importrange(""https://docs.google.com/spreadsheets/d/1boHyJQ4e2FU0QG8MHwEi6qjX4hvZWVCHcFfXjq7bbMc/edit?resourcekey#gid=923248883"",""Prop!$AJ$1:$AT""),11,0),iferror(vlookup(B4,importrange(""https://docs.google.com/spreadshe"&amp;"ets/d/1boHyJQ4e2FU0QG8MHwEi6qjX4hvZWVCHcFfXjq7bbMc/edit?resourcekey#gid=923248883"",""Prop!$AU$1:$BE""),11,0),iferror(vlookup(B4,importrange(""https://docs.google.com/spreadsheets/d/1boHyJQ4e2FU0QG8MHwEi6qjX4hvZWVCHcFfXjq7bbMc/edit?resourcekey#gid=9232488"&amp;"83"",""Prop!$BF$1:$BP""),11,0),iferror(vlookup(B4,importrange(""https://docs.google.com/spreadsheets/d/1boHyJQ4e2FU0QG8MHwEi6qjX4hvZWVCHcFfXjq7bbMc/edit?resourcekey#gid=923248883"",""Prop!$BQ$1:$CA""),11,0),iferror(vlookup(B4,importrange(""https://docs.go"&amp;"ogle.com/spreadsheets/d/1boHyJQ4e2FU0QG8MHwEi6qjX4hvZWVCHcFfXjq7bbMc/edit?resourcekey#gid=923248883"",""Prop!$CB$1:$CL""),11,0),iferror(vlookup(B4,importrange(""https://docs.google.com/spreadsheets/d/1boHyJQ4e2FU0QG8MHwEi6qjX4hvZWVCHcFfXjq7bbMc/edit?resou"&amp;"rcekey#gid=923248883"",""Prop!$CM$1:$CX""),12,0),iferror(vlookup(B4,importrange(""https://docs.google.com/spreadsheets/d/1boHyJQ4e2FU0QG8MHwEi6qjX4hvZWVCHcFfXjq7bbMc/edit?resourcekey#gid=923248883"",""Prop!$CV$1:$DI""),11,0)))))))))))"),"https://drive.google.com/open?id=16Ty9YZyD5KNmCUsjcZh1WfBWLU2NWhxe")</f>
        <v>https://drive.google.com/open?id=16Ty9YZyD5KNmCUsjcZh1WfBWLU2NWhxe</v>
      </c>
      <c r="Q4" s="7" t="str">
        <f ca="1">IFERROR(__xludf.DUMMYFUNCTION("iferror(vlookup(B4,importrange(""https://docs.google.com/spreadsheets/d/1p53T2AuvvIqhP7Nf-bo3Uhj8cbKYRPpZdsrBv3x3bAQ/edit?resourcekey#gid=1321652304"",""Prop!$C$1:$M""),11,0),IFERROR(vlookup(B4,importrange(""https://docs.google.com/spreadsheets/d/1p53T2Au"&amp;"vvIqhP7Nf-bo3Uhj8cbKYRPpZdsrBv3x3bAQ/edit?resourcekey#gid=1321652304"",""Prop!$N$1:$X""),11,0),iferror(vlookup(B4,importrange(""https://docs.google.com/spreadsheets/d/1p53T2AuvvIqhP7Nf-bo3Uhj8cbKYRPpZdsrBv3x3bAQ/edit?resourcekey#gid=1321652304"",""Prop!$Y"&amp;"$1:$AI""),11,0),iferror(vlookup(B4,importrange(""https://docs.google.com/spreadsheets/d/1p53T2AuvvIqhP7Nf-bo3Uhj8cbKYRPpZdsrBv3x3bAQ/edit?resourcekey#gid=1321652304"",""Prop!$AJ$1:$AT""),11,0),iferror(vlookup(B4,importrange(""https://docs.google.com/sprea"&amp;"dsheets/d/1p53T2AuvvIqhP7Nf-bo3Uhj8cbKYRPpZdsrBv3x3bAQ/edit?resourcekey#gid=1321652304"",""Prop!$AU$1:$BE""),11,0),iferror(vlookup(B4,importrange(""https://docs.google.com/spreadsheets/d/1p53T2AuvvIqhP7Nf-bo3Uhj8cbKYRPpZdsrBv3x3bAQ/edit?resourcekey#gid=13"&amp;"21652304"",""Prop!$BF$1:$BP""),11,0),iferror(vlookup(B4,importrange(""https://docs.google.com/spreadsheets/d/1p53T2AuvvIqhP7Nf-bo3Uhj8cbKYRPpZdsrBv3x3bAQ/edit?resourcekey#gid=1321652304"",""Prop!$BQ$1:$CA""),11,0),iferror(vlookup(B4,importrange(""https://"&amp;"docs.google.com/spreadsheets/d/1p53T2AuvvIqhP7Nf-bo3Uhj8cbKYRPpZdsrBv3x3bAQ/edit?resourcekey#gid=1321652304"",""Prop!$CB$1:$CL""),11,0),iferror(vlookup(B4,importrange(""https://docs.google.com/spreadsheets/d/1p53T2AuvvIqhP7Nf-bo3Uhj8cbKYRPpZdsrBv3x3bAQ/ed"&amp;"it?resourcekey#gid=1321652304"",""Prop!$CM$1:$CX""),12,0),iferror(vlookup(B4,importrange(""https://docs.google.com/spreadsheets/d/1p53T2AuvvIqhP7Nf-bo3Uhj8cbKYRPpZdsrBv3x3bAQ/edit?resourcekey#gid=1321652304"",""Prop!$CY$1:$DI""),11,0)))))))))))"),"https://drive.google.com/open?id=1PonzIttDf26671cnar7CO8dmaq4H0W98")</f>
        <v>https://drive.google.com/open?id=1PonzIttDf26671cnar7CO8dmaq4H0W98</v>
      </c>
      <c r="R4" s="20" t="s">
        <v>1038</v>
      </c>
      <c r="S4" s="20" t="str">
        <f ca="1">IFERROR(__xludf.DUMMYFUNCTION("IFERROR(vlookup(B4,IMPORTRANGE(""https://docs.google.com/spreadsheets/d/1g_jfYYK_KeipEDNDUgqgrsxK94XiocfNQIcP-v1QVhI/edit?resourcekey#gid=233272945"",""Nilai!B:CT""),75,0),"" "")"),"Teknologi terlalu sederhana, urgensi kurang kuat")</f>
        <v>Teknologi terlalu sederhana, urgensi kurang kuat</v>
      </c>
      <c r="T4" s="20" t="str">
        <f ca="1">IFERROR(__xludf.DUMMYFUNCTION("IFERROR(vlookup(B4,IMPORTRANGE(""https://docs.google.com/spreadsheets/d/1g_jfYYK_KeipEDNDUgqgrsxK94XiocfNQIcP-v1QVhI/edit?resourcekey#gid=233272945"",""Nilai!B:CT""),97,0),"" "")"),"")</f>
        <v/>
      </c>
      <c r="U4" s="45" t="s">
        <v>719</v>
      </c>
      <c r="V4" s="46" t="s">
        <v>1039</v>
      </c>
      <c r="W4" s="43" t="s">
        <v>1040</v>
      </c>
      <c r="X4" s="44" t="b">
        <v>1</v>
      </c>
    </row>
    <row r="5" spans="1:24">
      <c r="A5" s="40">
        <v>3</v>
      </c>
      <c r="B5" s="40">
        <f ca="1">IFERROR(__xludf.DUMMYFUNCTION("""COMPUTED_VALUE"""),2066)</f>
        <v>2066</v>
      </c>
      <c r="C5" s="41" t="str">
        <f ca="1">IFERROR(__xludf.DUMMYFUNCTION("""COMPUTED_VALUE"""),"ANDREAS PRATAMA PUTRA")</f>
        <v>ANDREAS PRATAMA PUTRA</v>
      </c>
      <c r="D5" s="41" t="str">
        <f ca="1">IFERROR(__xludf.DUMMYFUNCTION("""COMPUTED_VALUE"""),"10511910000033")</f>
        <v>10511910000033</v>
      </c>
      <c r="E5" s="41" t="str">
        <f ca="1">IFERROR(__xludf.DUMMYFUNCTION("""COMPUTED_VALUE"""),"Departemen Teknik Instrumentasi")</f>
        <v>Departemen Teknik Instrumentasi</v>
      </c>
      <c r="F5" s="41" t="str">
        <f ca="1">IFERROR(__xludf.DUMMYFUNCTION("""COMPUTED_VALUE"""),"
Monitoring Kondisi Dasar Waduk Menggunakan Remotely Operated Vehicle Sebagai Upaya Pemeliharaan Infrastruktur di Indonesia")</f>
        <v xml:space="preserve">
Monitoring Kondisi Dasar Waduk Menggunakan Remotely Operated Vehicle Sebagai Upaya Pemeliharaan Infrastruktur di Indonesia</v>
      </c>
      <c r="G5" s="41" t="str">
        <f ca="1">IFERROR(__xludf.DUMMYFUNCTION("""COMPUTED_VALUE"""),"Murry Raditya, S.T., M.T.")</f>
        <v>Murry Raditya, S.T., M.T.</v>
      </c>
      <c r="H5" s="41" t="str">
        <f ca="1">IFERROR(__xludf.DUMMYFUNCTION("""COMPUTED_VALUE"""),"Andre Parvian Aristio, S.Kom., M.Sc.")</f>
        <v>Andre Parvian Aristio, S.Kom., M.Sc.</v>
      </c>
      <c r="I5" s="41" t="str">
        <f ca="1">IFERROR(__xludf.DUMMYFUNCTION("""COMPUTED_VALUE"""),"Azzah Dyah Pramata, S.T., M.T., M.Eng., Ph.D.")</f>
        <v>Azzah Dyah Pramata, S.T., M.T., M.Eng., Ph.D.</v>
      </c>
      <c r="J5" s="41" t="str">
        <f ca="1">IFERROR(__xludf.DUMMYFUNCTION("""COMPUTED_VALUE"""),"Arief Abdurrakhman, S.T., M.T.")</f>
        <v>Arief Abdurrakhman, S.T., M.T.</v>
      </c>
      <c r="K5" s="42" t="s">
        <v>1035</v>
      </c>
      <c r="L5" s="43" t="s">
        <v>1036</v>
      </c>
      <c r="M5" s="44" t="b">
        <v>0</v>
      </c>
      <c r="N5" s="44" t="b">
        <v>0</v>
      </c>
      <c r="O5" s="31" t="s">
        <v>1037</v>
      </c>
      <c r="P5" s="7" t="str">
        <f ca="1">IFERROR(__xludf.DUMMYFUNCTION("iferror(vlookup(B5,importrange(""https://docs.google.com/spreadsheets/d/1boHyJQ4e2FU0QG8MHwEi6qjX4hvZWVCHcFfXjq7bbMc/edit?resourcekey#gid=923248883"",""Prop!$C$1:$M""),12,0),IFERROR(vlookup(B5,importrange(""https://docs.google.com/spreadsheets/d/1boHyJQ4e"&amp;"2FU0QG8MHwEi6qjX4hvZWVCHcFfXjq7bbMc/edit?resourcekey#gid=923248883"",""Prop!$N$1:$X""),11,0),iferror(vlookup(B5,importrange(""https://docs.google.com/spreadsheets/d/1boHyJQ4e2FU0QG8MHwEi6qjX4hvZWVCHcFfXjq7bbMc/edit?resourcekey#gid=923248883"",""Prop!$Y$1:"&amp;"$AI""),11,0),iferror(vlookup(B5,importrange(""https://docs.google.com/spreadsheets/d/1boHyJQ4e2FU0QG8MHwEi6qjX4hvZWVCHcFfXjq7bbMc/edit?resourcekey#gid=923248883"",""Prop!$AJ$1:$AT""),11,0),iferror(vlookup(B5,importrange(""https://docs.google.com/spreadshe"&amp;"ets/d/1boHyJQ4e2FU0QG8MHwEi6qjX4hvZWVCHcFfXjq7bbMc/edit?resourcekey#gid=923248883"",""Prop!$AU$1:$BE""),11,0),iferror(vlookup(B5,importrange(""https://docs.google.com/spreadsheets/d/1boHyJQ4e2FU0QG8MHwEi6qjX4hvZWVCHcFfXjq7bbMc/edit?resourcekey#gid=9232488"&amp;"83"",""Prop!$BF$1:$BP""),11,0),iferror(vlookup(B5,importrange(""https://docs.google.com/spreadsheets/d/1boHyJQ4e2FU0QG8MHwEi6qjX4hvZWVCHcFfXjq7bbMc/edit?resourcekey#gid=923248883"",""Prop!$BQ$1:$CA""),11,0),iferror(vlookup(B5,importrange(""https://docs.go"&amp;"ogle.com/spreadsheets/d/1boHyJQ4e2FU0QG8MHwEi6qjX4hvZWVCHcFfXjq7bbMc/edit?resourcekey#gid=923248883"",""Prop!$CB$1:$CL""),11,0),iferror(vlookup(B5,importrange(""https://docs.google.com/spreadsheets/d/1boHyJQ4e2FU0QG8MHwEi6qjX4hvZWVCHcFfXjq7bbMc/edit?resou"&amp;"rcekey#gid=923248883"",""Prop!$CM$1:$CX""),12,0),iferror(vlookup(B5,importrange(""https://docs.google.com/spreadsheets/d/1boHyJQ4e2FU0QG8MHwEi6qjX4hvZWVCHcFfXjq7bbMc/edit?resourcekey#gid=923248883"",""Prop!$CV$1:$DI""),11,0)))))))))))"),"https://drive.google.com/open?id=1l1X7i2t8K13ATFSlHf2UouBBIBGFzW2p")</f>
        <v>https://drive.google.com/open?id=1l1X7i2t8K13ATFSlHf2UouBBIBGFzW2p</v>
      </c>
      <c r="Q5" s="7" t="str">
        <f ca="1">IFERROR(__xludf.DUMMYFUNCTION("iferror(vlookup(B5,importrange(""https://docs.google.com/spreadsheets/d/1p53T2AuvvIqhP7Nf-bo3Uhj8cbKYRPpZdsrBv3x3bAQ/edit?resourcekey#gid=1321652304"",""Prop!$C$1:$M""),11,0),IFERROR(vlookup(B5,importrange(""https://docs.google.com/spreadsheets/d/1p53T2Au"&amp;"vvIqhP7Nf-bo3Uhj8cbKYRPpZdsrBv3x3bAQ/edit?resourcekey#gid=1321652304"",""Prop!$N$1:$X""),11,0),iferror(vlookup(B5,importrange(""https://docs.google.com/spreadsheets/d/1p53T2AuvvIqhP7Nf-bo3Uhj8cbKYRPpZdsrBv3x3bAQ/edit?resourcekey#gid=1321652304"",""Prop!$Y"&amp;"$1:$AI""),11,0),iferror(vlookup(B5,importrange(""https://docs.google.com/spreadsheets/d/1p53T2AuvvIqhP7Nf-bo3Uhj8cbKYRPpZdsrBv3x3bAQ/edit?resourcekey#gid=1321652304"",""Prop!$AJ$1:$AT""),11,0),iferror(vlookup(B5,importrange(""https://docs.google.com/sprea"&amp;"dsheets/d/1p53T2AuvvIqhP7Nf-bo3Uhj8cbKYRPpZdsrBv3x3bAQ/edit?resourcekey#gid=1321652304"",""Prop!$AU$1:$BE""),11,0),iferror(vlookup(B5,importrange(""https://docs.google.com/spreadsheets/d/1p53T2AuvvIqhP7Nf-bo3Uhj8cbKYRPpZdsrBv3x3bAQ/edit?resourcekey#gid=13"&amp;"21652304"",""Prop!$BF$1:$BP""),11,0),iferror(vlookup(B5,importrange(""https://docs.google.com/spreadsheets/d/1p53T2AuvvIqhP7Nf-bo3Uhj8cbKYRPpZdsrBv3x3bAQ/edit?resourcekey#gid=1321652304"",""Prop!$BQ$1:$CA""),11,0),iferror(vlookup(B5,importrange(""https://"&amp;"docs.google.com/spreadsheets/d/1p53T2AuvvIqhP7Nf-bo3Uhj8cbKYRPpZdsrBv3x3bAQ/edit?resourcekey#gid=1321652304"",""Prop!$CB$1:$CL""),11,0),iferror(vlookup(B5,importrange(""https://docs.google.com/spreadsheets/d/1p53T2AuvvIqhP7Nf-bo3Uhj8cbKYRPpZdsrBv3x3bAQ/ed"&amp;"it?resourcekey#gid=1321652304"",""Prop!$CM$1:$CX""),12,0),iferror(vlookup(B5,importrange(""https://docs.google.com/spreadsheets/d/1p53T2AuvvIqhP7Nf-bo3Uhj8cbKYRPpZdsrBv3x3bAQ/edit?resourcekey#gid=1321652304"",""Prop!$CY$1:$DI""),11,0)))))))))))"),"https://drive.google.com/open?id=1SGmJEEJJESm4xG1A_OJ038yWbP90Vrb_")</f>
        <v>https://drive.google.com/open?id=1SGmJEEJJESm4xG1A_OJ038yWbP90Vrb_</v>
      </c>
      <c r="R5" s="20" t="s">
        <v>1038</v>
      </c>
      <c r="S5" s="20" t="str">
        <f ca="1">IFERROR(__xludf.DUMMYFUNCTION("IFERROR(vlookup(B5,IMPORTRANGE(""https://docs.google.com/spreadsheets/d/1g_jfYYK_KeipEDNDUgqgrsxK94XiocfNQIcP-v1QVhI/edit?resourcekey#gid=233272945"",""Nilai!B:CT""),75,0),"" "")"),"Spasi awal Daftar, Kutipan penulis ada yg TIDAK MASUK PUSTAKA, Produknya hanya Pengairan (kedalaman waduk), Rancangan Fisik alat terutama elektronik yang dibuat kurang meyakinkan. ")</f>
        <v xml:space="preserve">Spasi awal Daftar, Kutipan penulis ada yg TIDAK MASUK PUSTAKA, Produknya hanya Pengairan (kedalaman waduk), Rancangan Fisik alat terutama elektronik yang dibuat kurang meyakinkan. </v>
      </c>
      <c r="T5" s="20" t="str">
        <f ca="1">IFERROR(__xludf.DUMMYFUNCTION("IFERROR(vlookup(B5,IMPORTRANGE(""https://docs.google.com/spreadsheets/d/1g_jfYYK_KeipEDNDUgqgrsxK94XiocfNQIcP-v1QVhI/edit?resourcekey#gid=233272945"",""Nilai!B:CT""),97,0),"" "")"),"LAYAK UPLOAD KE SIMBELMAWA DENGAN REVISI")</f>
        <v>LAYAK UPLOAD KE SIMBELMAWA DENGAN REVISI</v>
      </c>
      <c r="U5" s="87" t="s">
        <v>1041</v>
      </c>
      <c r="V5" s="46" t="s">
        <v>1039</v>
      </c>
      <c r="W5" s="43" t="s">
        <v>1042</v>
      </c>
      <c r="X5" s="44" t="b">
        <v>0</v>
      </c>
    </row>
    <row r="6" spans="1:24">
      <c r="A6" s="15">
        <v>4</v>
      </c>
      <c r="B6" s="15">
        <f ca="1">IFERROR(__xludf.DUMMYFUNCTION("""COMPUTED_VALUE"""),3471)</f>
        <v>3471</v>
      </c>
      <c r="C6" s="16" t="str">
        <f ca="1">IFERROR(__xludf.DUMMYFUNCTION("""COMPUTED_VALUE"""),"IRGA MERDIANSYAH")</f>
        <v>IRGA MERDIANSYAH</v>
      </c>
      <c r="D6" s="16" t="str">
        <f ca="1">IFERROR(__xludf.DUMMYFUNCTION("""COMPUTED_VALUE"""),"2042201081")</f>
        <v>2042201081</v>
      </c>
      <c r="E6" s="16" t="str">
        <f ca="1">IFERROR(__xludf.DUMMYFUNCTION("""COMPUTED_VALUE"""),"Departemen Teknik Instrumentasi")</f>
        <v>Departemen Teknik Instrumentasi</v>
      </c>
      <c r="F6" s="16" t="str">
        <f ca="1">IFERROR(__xludf.DUMMYFUNCTION("""COMPUTED_VALUE"""),"Perangkap Cerdas Bemisia Tabaci Dilengkapi Sistem Keamanan Pencurian Berbasis Photovoltaic dan IoT Sebagai Solusi Hama Persawahan")</f>
        <v>Perangkap Cerdas Bemisia Tabaci Dilengkapi Sistem Keamanan Pencurian Berbasis Photovoltaic dan IoT Sebagai Solusi Hama Persawahan</v>
      </c>
      <c r="G6" s="16" t="str">
        <f ca="1">IFERROR(__xludf.DUMMYFUNCTION("""COMPUTED_VALUE"""),"Brian Raafi'u, S.ST., M.T.")</f>
        <v>Brian Raafi'u, S.ST., M.T.</v>
      </c>
      <c r="H6" s="16" t="str">
        <f ca="1">IFERROR(__xludf.DUMMYFUNCTION("""COMPUTED_VALUE"""),"Andre Parvian Aristio, S.Kom., M.Sc.")</f>
        <v>Andre Parvian Aristio, S.Kom., M.Sc.</v>
      </c>
      <c r="I6" s="16" t="str">
        <f ca="1">IFERROR(__xludf.DUMMYFUNCTION("""COMPUTED_VALUE"""),"Azzah Dyah Pramata, S.T., M.T., M.Eng., Ph.D.")</f>
        <v>Azzah Dyah Pramata, S.T., M.T., M.Eng., Ph.D.</v>
      </c>
      <c r="J6" s="16" t="str">
        <f ca="1">IFERROR(__xludf.DUMMYFUNCTION("""COMPUTED_VALUE"""),"Arief Abdurrakhman, S.T., M.T.")</f>
        <v>Arief Abdurrakhman, S.T., M.T.</v>
      </c>
      <c r="K6" s="17" t="s">
        <v>1035</v>
      </c>
      <c r="L6" s="23" t="s">
        <v>1036</v>
      </c>
      <c r="M6" s="19" t="b">
        <v>1</v>
      </c>
      <c r="N6" s="19" t="b">
        <v>1</v>
      </c>
      <c r="O6" s="1" t="s">
        <v>1037</v>
      </c>
      <c r="P6" s="7" t="str">
        <f ca="1">IFERROR(__xludf.DUMMYFUNCTION("iferror(vlookup(B6,importrange(""https://docs.google.com/spreadsheets/d/1boHyJQ4e2FU0QG8MHwEi6qjX4hvZWVCHcFfXjq7bbMc/edit?resourcekey#gid=923248883"",""Prop!$C$1:$M""),12,0),IFERROR(vlookup(B6,importrange(""https://docs.google.com/spreadsheets/d/1boHyJQ4e"&amp;"2FU0QG8MHwEi6qjX4hvZWVCHcFfXjq7bbMc/edit?resourcekey#gid=923248883"",""Prop!$N$1:$X""),11,0),iferror(vlookup(B6,importrange(""https://docs.google.com/spreadsheets/d/1boHyJQ4e2FU0QG8MHwEi6qjX4hvZWVCHcFfXjq7bbMc/edit?resourcekey#gid=923248883"",""Prop!$Y$1:"&amp;"$AI""),11,0),iferror(vlookup(B6,importrange(""https://docs.google.com/spreadsheets/d/1boHyJQ4e2FU0QG8MHwEi6qjX4hvZWVCHcFfXjq7bbMc/edit?resourcekey#gid=923248883"",""Prop!$AJ$1:$AT""),11,0),iferror(vlookup(B6,importrange(""https://docs.google.com/spreadshe"&amp;"ets/d/1boHyJQ4e2FU0QG8MHwEi6qjX4hvZWVCHcFfXjq7bbMc/edit?resourcekey#gid=923248883"",""Prop!$AU$1:$BE""),11,0),iferror(vlookup(B6,importrange(""https://docs.google.com/spreadsheets/d/1boHyJQ4e2FU0QG8MHwEi6qjX4hvZWVCHcFfXjq7bbMc/edit?resourcekey#gid=9232488"&amp;"83"",""Prop!$BF$1:$BP""),11,0),iferror(vlookup(B6,importrange(""https://docs.google.com/spreadsheets/d/1boHyJQ4e2FU0QG8MHwEi6qjX4hvZWVCHcFfXjq7bbMc/edit?resourcekey#gid=923248883"",""Prop!$BQ$1:$CA""),11,0),iferror(vlookup(B6,importrange(""https://docs.go"&amp;"ogle.com/spreadsheets/d/1boHyJQ4e2FU0QG8MHwEi6qjX4hvZWVCHcFfXjq7bbMc/edit?resourcekey#gid=923248883"",""Prop!$CB$1:$CL""),11,0),iferror(vlookup(B6,importrange(""https://docs.google.com/spreadsheets/d/1boHyJQ4e2FU0QG8MHwEi6qjX4hvZWVCHcFfXjq7bbMc/edit?resou"&amp;"rcekey#gid=923248883"",""Prop!$CM$1:$CX""),12,0),iferror(vlookup(B6,importrange(""https://docs.google.com/spreadsheets/d/1boHyJQ4e2FU0QG8MHwEi6qjX4hvZWVCHcFfXjq7bbMc/edit?resourcekey#gid=923248883"",""Prop!$CV$1:$DI""),11,0)))))))))))"),"https://drive.google.com/open?id=1wxWCTre0dJwOyKtWCuNCaBzkq3fu-1CX")</f>
        <v>https://drive.google.com/open?id=1wxWCTre0dJwOyKtWCuNCaBzkq3fu-1CX</v>
      </c>
      <c r="Q6" s="7" t="str">
        <f ca="1">IFERROR(__xludf.DUMMYFUNCTION("iferror(vlookup(B6,importrange(""https://docs.google.com/spreadsheets/d/1p53T2AuvvIqhP7Nf-bo3Uhj8cbKYRPpZdsrBv3x3bAQ/edit?resourcekey#gid=1321652304"",""Prop!$C$1:$M""),11,0),IFERROR(vlookup(B6,importrange(""https://docs.google.com/spreadsheets/d/1p53T2Au"&amp;"vvIqhP7Nf-bo3Uhj8cbKYRPpZdsrBv3x3bAQ/edit?resourcekey#gid=1321652304"",""Prop!$N$1:$X""),11,0),iferror(vlookup(B6,importrange(""https://docs.google.com/spreadsheets/d/1p53T2AuvvIqhP7Nf-bo3Uhj8cbKYRPpZdsrBv3x3bAQ/edit?resourcekey#gid=1321652304"",""Prop!$Y"&amp;"$1:$AI""),11,0),iferror(vlookup(B6,importrange(""https://docs.google.com/spreadsheets/d/1p53T2AuvvIqhP7Nf-bo3Uhj8cbKYRPpZdsrBv3x3bAQ/edit?resourcekey#gid=1321652304"",""Prop!$AJ$1:$AT""),11,0),iferror(vlookup(B6,importrange(""https://docs.google.com/sprea"&amp;"dsheets/d/1p53T2AuvvIqhP7Nf-bo3Uhj8cbKYRPpZdsrBv3x3bAQ/edit?resourcekey#gid=1321652304"",""Prop!$AU$1:$BE""),11,0),iferror(vlookup(B6,importrange(""https://docs.google.com/spreadsheets/d/1p53T2AuvvIqhP7Nf-bo3Uhj8cbKYRPpZdsrBv3x3bAQ/edit?resourcekey#gid=13"&amp;"21652304"",""Prop!$BF$1:$BP""),11,0),iferror(vlookup(B6,importrange(""https://docs.google.com/spreadsheets/d/1p53T2AuvvIqhP7Nf-bo3Uhj8cbKYRPpZdsrBv3x3bAQ/edit?resourcekey#gid=1321652304"",""Prop!$BQ$1:$CA""),11,0),iferror(vlookup(B6,importrange(""https://"&amp;"docs.google.com/spreadsheets/d/1p53T2AuvvIqhP7Nf-bo3Uhj8cbKYRPpZdsrBv3x3bAQ/edit?resourcekey#gid=1321652304"",""Prop!$CB$1:$CL""),11,0),iferror(vlookup(B6,importrange(""https://docs.google.com/spreadsheets/d/1p53T2AuvvIqhP7Nf-bo3Uhj8cbKYRPpZdsrBv3x3bAQ/ed"&amp;"it?resourcekey#gid=1321652304"",""Prop!$CM$1:$CX""),12,0),iferror(vlookup(B6,importrange(""https://docs.google.com/spreadsheets/d/1p53T2AuvvIqhP7Nf-bo3Uhj8cbKYRPpZdsrBv3x3bAQ/edit?resourcekey#gid=1321652304"",""Prop!$CY$1:$DI""),11,0)))))))))))"),"https://drive.google.com/open?id=1k5zxB8kdJdmP2aIQfEvO_Pp9Qw6wSm6W")</f>
        <v>https://drive.google.com/open?id=1k5zxB8kdJdmP2aIQfEvO_Pp9Qw6wSm6W</v>
      </c>
      <c r="R6" s="20" t="s">
        <v>1038</v>
      </c>
      <c r="S6" s="20" t="str">
        <f ca="1">IFERROR(__xludf.DUMMYFUNCTION("IFERROR(vlookup(B6,IMPORTRANGE(""https://docs.google.com/spreadsheets/d/1g_jfYYK_KeipEDNDUgqgrsxK94XiocfNQIcP-v1QVhI/edit?resourcekey#gid=233272945"",""Nilai!B:CT""),75,0),"" "")"),"Produknya mencegah pencurian TETAPI TIDAK ada SOLUSi. Demikan IoT dipakai untuk apa?. Rancangan Fisik alat terutama elektronik yang dibuat kurang meyakinkan.")</f>
        <v>Produknya mencegah pencurian TETAPI TIDAK ada SOLUSi. Demikan IoT dipakai untuk apa?. Rancangan Fisik alat terutama elektronik yang dibuat kurang meyakinkan.</v>
      </c>
      <c r="T6" s="20" t="str">
        <f ca="1">IFERROR(__xludf.DUMMYFUNCTION("IFERROR(vlookup(B6,IMPORTRANGE(""https://docs.google.com/spreadsheets/d/1g_jfYYK_KeipEDNDUgqgrsxK94XiocfNQIcP-v1QVhI/edit?resourcekey#gid=233272945"",""Nilai!B:CT""),97,0),"" "")"),"TIDAK LAYAK UPLOAD KE SIMBELMAWA")</f>
        <v>TIDAK LAYAK UPLOAD KE SIMBELMAWA</v>
      </c>
      <c r="U6" s="87" t="s">
        <v>1043</v>
      </c>
      <c r="V6" s="46" t="s">
        <v>1039</v>
      </c>
      <c r="W6" s="43" t="s">
        <v>1042</v>
      </c>
      <c r="X6" s="44" t="b">
        <v>0</v>
      </c>
    </row>
    <row r="7" spans="1:24">
      <c r="A7" s="40">
        <v>5</v>
      </c>
      <c r="B7" s="40">
        <f ca="1">IFERROR(__xludf.DUMMYFUNCTION("""COMPUTED_VALUE"""),2921)</f>
        <v>2921</v>
      </c>
      <c r="C7" s="41" t="str">
        <f ca="1">IFERROR(__xludf.DUMMYFUNCTION("""COMPUTED_VALUE"""),"HENGGAR PANGGALIH")</f>
        <v>HENGGAR PANGGALIH</v>
      </c>
      <c r="D7" s="41" t="str">
        <f ca="1">IFERROR(__xludf.DUMMYFUNCTION("""COMPUTED_VALUE"""),"5011201055")</f>
        <v>5011201055</v>
      </c>
      <c r="E7" s="41" t="str">
        <f ca="1">IFERROR(__xludf.DUMMYFUNCTION("""COMPUTED_VALUE"""),"Departemen Teknik Material dan Metalurgi")</f>
        <v>Departemen Teknik Material dan Metalurgi</v>
      </c>
      <c r="F7" s="41" t="str">
        <f ca="1">IFERROR(__xludf.DUMMYFUNCTION("""COMPUTED_VALUE"""),"Rekayasa Feedstock Metal Injection Moulding Berbahan Biodegradable Metal untuk Implant Tulang")</f>
        <v>Rekayasa Feedstock Metal Injection Moulding Berbahan Biodegradable Metal untuk Implant Tulang</v>
      </c>
      <c r="G7" s="41" t="str">
        <f ca="1">IFERROR(__xludf.DUMMYFUNCTION("""COMPUTED_VALUE"""),"Dr. Widyastuti, S.Si., M.Si.")</f>
        <v>Dr. Widyastuti, S.Si., M.Si.</v>
      </c>
      <c r="H7" s="41" t="str">
        <f ca="1">IFERROR(__xludf.DUMMYFUNCTION("""COMPUTED_VALUE"""),"Andre Parvian Aristio, S.Kom., M.Sc.")</f>
        <v>Andre Parvian Aristio, S.Kom., M.Sc.</v>
      </c>
      <c r="I7" s="41" t="str">
        <f ca="1">IFERROR(__xludf.DUMMYFUNCTION("""COMPUTED_VALUE"""),"Azzah Dyah Pramata, S.T., M.T., M.Eng., Ph.D.")</f>
        <v>Azzah Dyah Pramata, S.T., M.T., M.Eng., Ph.D.</v>
      </c>
      <c r="J7" s="41" t="str">
        <f ca="1">IFERROR(__xludf.DUMMYFUNCTION("""COMPUTED_VALUE"""),"Arief Abdurrakhman, S.T., M.T.")</f>
        <v>Arief Abdurrakhman, S.T., M.T.</v>
      </c>
      <c r="K7" s="42" t="s">
        <v>1035</v>
      </c>
      <c r="L7" s="43" t="s">
        <v>1036</v>
      </c>
      <c r="M7" s="44" t="b">
        <v>0</v>
      </c>
      <c r="N7" s="44" t="b">
        <v>0</v>
      </c>
      <c r="O7" s="31" t="s">
        <v>1037</v>
      </c>
      <c r="P7" s="1" t="str">
        <f ca="1">IFERROR(__xludf.DUMMYFUNCTION("iferror(vlookup(B7,importrange(""https://docs.google.com/spreadsheets/d/1boHyJQ4e2FU0QG8MHwEi6qjX4hvZWVCHcFfXjq7bbMc/edit?resourcekey#gid=923248883"",""Prop!$C$1:$M""),12,0),IFERROR(vlookup(B7,importrange(""https://docs.google.com/spreadsheets/d/1boHyJQ4e"&amp;"2FU0QG8MHwEi6qjX4hvZWVCHcFfXjq7bbMc/edit?resourcekey#gid=923248883"",""Prop!$N$1:$X""),11,0),iferror(vlookup(B7,importrange(""https://docs.google.com/spreadsheets/d/1boHyJQ4e2FU0QG8MHwEi6qjX4hvZWVCHcFfXjq7bbMc/edit?resourcekey#gid=923248883"",""Prop!$Y$1:"&amp;"$AI""),11,0),iferror(vlookup(B7,importrange(""https://docs.google.com/spreadsheets/d/1boHyJQ4e2FU0QG8MHwEi6qjX4hvZWVCHcFfXjq7bbMc/edit?resourcekey#gid=923248883"",""Prop!$AJ$1:$AT""),11,0),iferror(vlookup(B7,importrange(""https://docs.google.com/spreadshe"&amp;"ets/d/1boHyJQ4e2FU0QG8MHwEi6qjX4hvZWVCHcFfXjq7bbMc/edit?resourcekey#gid=923248883"",""Prop!$AU$1:$BE""),11,0),iferror(vlookup(B7,importrange(""https://docs.google.com/spreadsheets/d/1boHyJQ4e2FU0QG8MHwEi6qjX4hvZWVCHcFfXjq7bbMc/edit?resourcekey#gid=9232488"&amp;"83"",""Prop!$BF$1:$BP""),11,0),iferror(vlookup(B7,importrange(""https://docs.google.com/spreadsheets/d/1boHyJQ4e2FU0QG8MHwEi6qjX4hvZWVCHcFfXjq7bbMc/edit?resourcekey#gid=923248883"",""Prop!$BQ$1:$CA""),11,0),iferror(vlookup(B7,importrange(""https://docs.go"&amp;"ogle.com/spreadsheets/d/1boHyJQ4e2FU0QG8MHwEi6qjX4hvZWVCHcFfXjq7bbMc/edit?resourcekey#gid=923248883"",""Prop!$CB$1:$CL""),11,0),iferror(vlookup(B7,importrange(""https://docs.google.com/spreadsheets/d/1boHyJQ4e2FU0QG8MHwEi6qjX4hvZWVCHcFfXjq7bbMc/edit?resou"&amp;"rcekey#gid=923248883"",""Prop!$CM$1:$CX""),12,0),iferror(vlookup(B7,importrange(""https://docs.google.com/spreadsheets/d/1boHyJQ4e2FU0QG8MHwEi6qjX4hvZWVCHcFfXjq7bbMc/edit?resourcekey#gid=923248883"",""Prop!$CV$1:$DI""),11,0)))))))))))"),"")</f>
        <v/>
      </c>
      <c r="Q7" s="1" t="str">
        <f ca="1">IFERROR(__xludf.DUMMYFUNCTION("iferror(vlookup(B7,importrange(""https://docs.google.com/spreadsheets/d/1p53T2AuvvIqhP7Nf-bo3Uhj8cbKYRPpZdsrBv3x3bAQ/edit?resourcekey#gid=1321652304"",""Prop!$C$1:$M""),11,0),IFERROR(vlookup(B7,importrange(""https://docs.google.com/spreadsheets/d/1p53T2Au"&amp;"vvIqhP7Nf-bo3Uhj8cbKYRPpZdsrBv3x3bAQ/edit?resourcekey#gid=1321652304"",""Prop!$N$1:$X""),11,0),iferror(vlookup(B7,importrange(""https://docs.google.com/spreadsheets/d/1p53T2AuvvIqhP7Nf-bo3Uhj8cbKYRPpZdsrBv3x3bAQ/edit?resourcekey#gid=1321652304"",""Prop!$Y"&amp;"$1:$AI""),11,0),iferror(vlookup(B7,importrange(""https://docs.google.com/spreadsheets/d/1p53T2AuvvIqhP7Nf-bo3Uhj8cbKYRPpZdsrBv3x3bAQ/edit?resourcekey#gid=1321652304"",""Prop!$AJ$1:$AT""),11,0),iferror(vlookup(B7,importrange(""https://docs.google.com/sprea"&amp;"dsheets/d/1p53T2AuvvIqhP7Nf-bo3Uhj8cbKYRPpZdsrBv3x3bAQ/edit?resourcekey#gid=1321652304"",""Prop!$AU$1:$BE""),11,0),iferror(vlookup(B7,importrange(""https://docs.google.com/spreadsheets/d/1p53T2AuvvIqhP7Nf-bo3Uhj8cbKYRPpZdsrBv3x3bAQ/edit?resourcekey#gid=13"&amp;"21652304"",""Prop!$BF$1:$BP""),11,0),iferror(vlookup(B7,importrange(""https://docs.google.com/spreadsheets/d/1p53T2AuvvIqhP7Nf-bo3Uhj8cbKYRPpZdsrBv3x3bAQ/edit?resourcekey#gid=1321652304"",""Prop!$BQ$1:$CA""),11,0),iferror(vlookup(B7,importrange(""https://"&amp;"docs.google.com/spreadsheets/d/1p53T2AuvvIqhP7Nf-bo3Uhj8cbKYRPpZdsrBv3x3bAQ/edit?resourcekey#gid=1321652304"",""Prop!$CB$1:$CL""),11,0),iferror(vlookup(B7,importrange(""https://docs.google.com/spreadsheets/d/1p53T2AuvvIqhP7Nf-bo3Uhj8cbKYRPpZdsrBv3x3bAQ/ed"&amp;"it?resourcekey#gid=1321652304"",""Prop!$CM$1:$CX""),12,0),iferror(vlookup(B7,importrange(""https://docs.google.com/spreadsheets/d/1p53T2AuvvIqhP7Nf-bo3Uhj8cbKYRPpZdsrBv3x3bAQ/edit?resourcekey#gid=1321652304"",""Prop!$CY$1:$DI""),11,0)))))))))))"),"")</f>
        <v/>
      </c>
      <c r="R7" s="20" t="s">
        <v>1038</v>
      </c>
      <c r="S7" s="20" t="str">
        <f ca="1">IFERROR(__xludf.DUMMYFUNCTION("IFERROR(vlookup(B7,IMPORTRANGE(""https://docs.google.com/spreadsheets/d/1g_jfYYK_KeipEDNDUgqgrsxK94XiocfNQIcP-v1QVhI/edit?resourcekey#gid=233272945"",""Nilai!B:CT""),75,0),"" "")"),"Tidak ada file yang dilihat!")</f>
        <v>Tidak ada file yang dilihat!</v>
      </c>
      <c r="T7" s="20" t="str">
        <f ca="1">IFERROR(__xludf.DUMMYFUNCTION("IFERROR(vlookup(B7,IMPORTRANGE(""https://docs.google.com/spreadsheets/d/1g_jfYYK_KeipEDNDUgqgrsxK94XiocfNQIcP-v1QVhI/edit?resourcekey#gid=233272945"",""Nilai!B:CT""),97,0),"" "")"),"TIDAK LAYAK UPLOAD KE SIMBELMAWA")</f>
        <v>TIDAK LAYAK UPLOAD KE SIMBELMAWA</v>
      </c>
      <c r="U7" s="45" t="s">
        <v>719</v>
      </c>
      <c r="V7" s="46" t="s">
        <v>1039</v>
      </c>
      <c r="W7" s="43" t="s">
        <v>1044</v>
      </c>
      <c r="X7" s="44" t="b">
        <v>0</v>
      </c>
    </row>
    <row r="8" spans="1:24">
      <c r="A8" s="15">
        <v>6</v>
      </c>
      <c r="B8" s="15">
        <f ca="1">IFERROR(__xludf.DUMMYFUNCTION("""COMPUTED_VALUE"""),2300)</f>
        <v>2300</v>
      </c>
      <c r="C8" s="16" t="str">
        <f ca="1">IFERROR(__xludf.DUMMYFUNCTION("""COMPUTED_VALUE"""),"BINTANG KALAHARI")</f>
        <v>BINTANG KALAHARI</v>
      </c>
      <c r="D8" s="16" t="str">
        <f ca="1">IFERROR(__xludf.DUMMYFUNCTION("""COMPUTED_VALUE"""),"10511910000058")</f>
        <v>10511910000058</v>
      </c>
      <c r="E8" s="16" t="str">
        <f ca="1">IFERROR(__xludf.DUMMYFUNCTION("""COMPUTED_VALUE"""),"Departemen Teknik Instrumentasi")</f>
        <v>Departemen Teknik Instrumentasi</v>
      </c>
      <c r="F8" s="16" t="str">
        <f ca="1">IFERROR(__xludf.DUMMYFUNCTION("""COMPUTED_VALUE"""),"Inovasi Mesin Pengupas Kulit Bawang Otomatis Berbasis PLC Guna Meningkatkan Produktivitas UMKM Bawang Merah")</f>
        <v>Inovasi Mesin Pengupas Kulit Bawang Otomatis Berbasis PLC Guna Meningkatkan Produktivitas UMKM Bawang Merah</v>
      </c>
      <c r="G8" s="16" t="str">
        <f ca="1">IFERROR(__xludf.DUMMYFUNCTION("""COMPUTED_VALUE"""),"Murry Raditya, S.T., M.T.")</f>
        <v>Murry Raditya, S.T., M.T.</v>
      </c>
      <c r="H8" s="16" t="str">
        <f ca="1">IFERROR(__xludf.DUMMYFUNCTION("""COMPUTED_VALUE"""),"Andre Parvian Aristio, S.Kom., M.Sc.")</f>
        <v>Andre Parvian Aristio, S.Kom., M.Sc.</v>
      </c>
      <c r="I8" s="16" t="str">
        <f ca="1">IFERROR(__xludf.DUMMYFUNCTION("""COMPUTED_VALUE"""),"Azzah Dyah Pramata, S.T., M.T., M.Eng., Ph.D.")</f>
        <v>Azzah Dyah Pramata, S.T., M.T., M.Eng., Ph.D.</v>
      </c>
      <c r="J8" s="16" t="str">
        <f ca="1">IFERROR(__xludf.DUMMYFUNCTION("""COMPUTED_VALUE"""),"Arief Abdurrakhman, S.T., M.T.")</f>
        <v>Arief Abdurrakhman, S.T., M.T.</v>
      </c>
      <c r="K8" s="17" t="s">
        <v>1035</v>
      </c>
      <c r="L8" s="23" t="s">
        <v>1045</v>
      </c>
      <c r="M8" s="19" t="b">
        <v>1</v>
      </c>
      <c r="N8" s="19" t="b">
        <v>1</v>
      </c>
      <c r="O8" s="1" t="s">
        <v>1046</v>
      </c>
      <c r="P8" s="7" t="str">
        <f ca="1">IFERROR(__xludf.DUMMYFUNCTION("iferror(vlookup(B8,importrange(""https://docs.google.com/spreadsheets/d/1boHyJQ4e2FU0QG8MHwEi6qjX4hvZWVCHcFfXjq7bbMc/edit?resourcekey#gid=923248883"",""Prop!$C$1:$M""),12,0),IFERROR(vlookup(B8,importrange(""https://docs.google.com/spreadsheets/d/1boHyJQ4e"&amp;"2FU0QG8MHwEi6qjX4hvZWVCHcFfXjq7bbMc/edit?resourcekey#gid=923248883"",""Prop!$N$1:$X""),11,0),iferror(vlookup(B8,importrange(""https://docs.google.com/spreadsheets/d/1boHyJQ4e2FU0QG8MHwEi6qjX4hvZWVCHcFfXjq7bbMc/edit?resourcekey#gid=923248883"",""Prop!$Y$1:"&amp;"$AI""),11,0),iferror(vlookup(B8,importrange(""https://docs.google.com/spreadsheets/d/1boHyJQ4e2FU0QG8MHwEi6qjX4hvZWVCHcFfXjq7bbMc/edit?resourcekey#gid=923248883"",""Prop!$AJ$1:$AT""),11,0),iferror(vlookup(B8,importrange(""https://docs.google.com/spreadshe"&amp;"ets/d/1boHyJQ4e2FU0QG8MHwEi6qjX4hvZWVCHcFfXjq7bbMc/edit?resourcekey#gid=923248883"",""Prop!$AU$1:$BE""),11,0),iferror(vlookup(B8,importrange(""https://docs.google.com/spreadsheets/d/1boHyJQ4e2FU0QG8MHwEi6qjX4hvZWVCHcFfXjq7bbMc/edit?resourcekey#gid=9232488"&amp;"83"",""Prop!$BF$1:$BP""),11,0),iferror(vlookup(B8,importrange(""https://docs.google.com/spreadsheets/d/1boHyJQ4e2FU0QG8MHwEi6qjX4hvZWVCHcFfXjq7bbMc/edit?resourcekey#gid=923248883"",""Prop!$BQ$1:$CA""),11,0),iferror(vlookup(B8,importrange(""https://docs.go"&amp;"ogle.com/spreadsheets/d/1boHyJQ4e2FU0QG8MHwEi6qjX4hvZWVCHcFfXjq7bbMc/edit?resourcekey#gid=923248883"",""Prop!$CB$1:$CL""),11,0),iferror(vlookup(B8,importrange(""https://docs.google.com/spreadsheets/d/1boHyJQ4e2FU0QG8MHwEi6qjX4hvZWVCHcFfXjq7bbMc/edit?resou"&amp;"rcekey#gid=923248883"",""Prop!$CM$1:$CX""),12,0),iferror(vlookup(B8,importrange(""https://docs.google.com/spreadsheets/d/1boHyJQ4e2FU0QG8MHwEi6qjX4hvZWVCHcFfXjq7bbMc/edit?resourcekey#gid=923248883"",""Prop!$CV$1:$DI""),11,0)))))))))))"),"https://drive.google.com/open?id=1p9GnSXO1k6z0tu3hD1l1vRkYp00JAtSk")</f>
        <v>https://drive.google.com/open?id=1p9GnSXO1k6z0tu3hD1l1vRkYp00JAtSk</v>
      </c>
      <c r="Q8" s="7" t="str">
        <f ca="1">IFERROR(__xludf.DUMMYFUNCTION("iferror(vlookup(B8,importrange(""https://docs.google.com/spreadsheets/d/1p53T2AuvvIqhP7Nf-bo3Uhj8cbKYRPpZdsrBv3x3bAQ/edit?resourcekey#gid=1321652304"",""Prop!$C$1:$M""),11,0),IFERROR(vlookup(B8,importrange(""https://docs.google.com/spreadsheets/d/1p53T2Au"&amp;"vvIqhP7Nf-bo3Uhj8cbKYRPpZdsrBv3x3bAQ/edit?resourcekey#gid=1321652304"",""Prop!$N$1:$X""),11,0),iferror(vlookup(B8,importrange(""https://docs.google.com/spreadsheets/d/1p53T2AuvvIqhP7Nf-bo3Uhj8cbKYRPpZdsrBv3x3bAQ/edit?resourcekey#gid=1321652304"",""Prop!$Y"&amp;"$1:$AI""),11,0),iferror(vlookup(B8,importrange(""https://docs.google.com/spreadsheets/d/1p53T2AuvvIqhP7Nf-bo3Uhj8cbKYRPpZdsrBv3x3bAQ/edit?resourcekey#gid=1321652304"",""Prop!$AJ$1:$AT""),11,0),iferror(vlookup(B8,importrange(""https://docs.google.com/sprea"&amp;"dsheets/d/1p53T2AuvvIqhP7Nf-bo3Uhj8cbKYRPpZdsrBv3x3bAQ/edit?resourcekey#gid=1321652304"",""Prop!$AU$1:$BE""),11,0),iferror(vlookup(B8,importrange(""https://docs.google.com/spreadsheets/d/1p53T2AuvvIqhP7Nf-bo3Uhj8cbKYRPpZdsrBv3x3bAQ/edit?resourcekey#gid=13"&amp;"21652304"",""Prop!$BF$1:$BP""),11,0),iferror(vlookup(B8,importrange(""https://docs.google.com/spreadsheets/d/1p53T2AuvvIqhP7Nf-bo3Uhj8cbKYRPpZdsrBv3x3bAQ/edit?resourcekey#gid=1321652304"",""Prop!$BQ$1:$CA""),11,0),iferror(vlookup(B8,importrange(""https://"&amp;"docs.google.com/spreadsheets/d/1p53T2AuvvIqhP7Nf-bo3Uhj8cbKYRPpZdsrBv3x3bAQ/edit?resourcekey#gid=1321652304"",""Prop!$CB$1:$CL""),11,0),iferror(vlookup(B8,importrange(""https://docs.google.com/spreadsheets/d/1p53T2AuvvIqhP7Nf-bo3Uhj8cbKYRPpZdsrBv3x3bAQ/ed"&amp;"it?resourcekey#gid=1321652304"",""Prop!$CM$1:$CX""),12,0),iferror(vlookup(B8,importrange(""https://docs.google.com/spreadsheets/d/1p53T2AuvvIqhP7Nf-bo3Uhj8cbKYRPpZdsrBv3x3bAQ/edit?resourcekey#gid=1321652304"",""Prop!$CY$1:$DI""),11,0)))))))))))"),"https://drive.google.com/open?id=1ROh60aQfESdYHITcPubAUl9msDgB8b6x")</f>
        <v>https://drive.google.com/open?id=1ROh60aQfESdYHITcPubAUl9msDgB8b6x</v>
      </c>
      <c r="R8" s="20" t="s">
        <v>1038</v>
      </c>
      <c r="S8" s="20" t="str">
        <f ca="1">IFERROR(__xludf.DUMMYFUNCTION("IFERROR(vlookup(B8,IMPORTRANGE(""https://docs.google.com/spreadsheets/d/1g_jfYYK_KeipEDNDUgqgrsxK94XiocfNQIcP-v1QVhI/edit?resourcekey#gid=233272945"",""Nilai!B:CT""),75,0),"" "")"),"Peralatan untuk yang dibuat mengupas kulit bawang, tetapi mekanisme pengupasan apa benar hanya di aduk dengan cara diputar? Manfaat PLC sebagai peralatan kontrol yang canggih tidak terlihat daya gunanya. Tanpa PLC pun bisa dilakukan. Solusi mekanik dan el"&amp;"ektronik meragukan.
")</f>
        <v xml:space="preserve">Peralatan untuk yang dibuat mengupas kulit bawang, tetapi mekanisme pengupasan apa benar hanya di aduk dengan cara diputar? Manfaat PLC sebagai peralatan kontrol yang canggih tidak terlihat daya gunanya. Tanpa PLC pun bisa dilakukan. Solusi mekanik dan elektronik meragukan.
</v>
      </c>
      <c r="T8" s="20" t="str">
        <f ca="1">IFERROR(__xludf.DUMMYFUNCTION("IFERROR(vlookup(B8,IMPORTRANGE(""https://docs.google.com/spreadsheets/d/1g_jfYYK_KeipEDNDUgqgrsxK94XiocfNQIcP-v1QVhI/edit?resourcekey#gid=233272945"",""Nilai!B:CT""),97,0),"" "")"),"TIDAK LAYAK UPLOAD KE SIMBELMAWA")</f>
        <v>TIDAK LAYAK UPLOAD KE SIMBELMAWA</v>
      </c>
      <c r="U8" s="45" t="s">
        <v>719</v>
      </c>
      <c r="V8" s="46" t="s">
        <v>1039</v>
      </c>
      <c r="W8" s="43" t="s">
        <v>1044</v>
      </c>
      <c r="X8" s="44" t="b">
        <v>0</v>
      </c>
    </row>
    <row r="9" spans="1:24">
      <c r="A9" s="15">
        <v>7</v>
      </c>
      <c r="B9" s="15">
        <f ca="1">IFERROR(__xludf.DUMMYFUNCTION("""COMPUTED_VALUE"""),3984)</f>
        <v>3984</v>
      </c>
      <c r="C9" s="16" t="str">
        <f ca="1">IFERROR(__xludf.DUMMYFUNCTION("""COMPUTED_VALUE"""),"HANSEL PINGGALA MAHESWARA")</f>
        <v>HANSEL PINGGALA MAHESWARA</v>
      </c>
      <c r="D9" s="16" t="str">
        <f ca="1">IFERROR(__xludf.DUMMYFUNCTION("""COMPUTED_VALUE"""),"2042201110")</f>
        <v>2042201110</v>
      </c>
      <c r="E9" s="16" t="str">
        <f ca="1">IFERROR(__xludf.DUMMYFUNCTION("""COMPUTED_VALUE"""),"Departemen Teknik Instrumentasi")</f>
        <v>Departemen Teknik Instrumentasi</v>
      </c>
      <c r="F9" s="16" t="str">
        <f ca="1">IFERROR(__xludf.DUMMYFUNCTION("""COMPUTED_VALUE"""),"Helm Safety Dilengkapi Airbag Guna Meminimalisir Head Injuries Pada Pekerja Kontruksi")</f>
        <v>Helm Safety Dilengkapi Airbag Guna Meminimalisir Head Injuries Pada Pekerja Kontruksi</v>
      </c>
      <c r="G9" s="16" t="str">
        <f ca="1">IFERROR(__xludf.DUMMYFUNCTION("""COMPUTED_VALUE"""),"Sefi Novendra Patrialova, S.Si., M.T")</f>
        <v>Sefi Novendra Patrialova, S.Si., M.T</v>
      </c>
      <c r="H9" s="16" t="str">
        <f ca="1">IFERROR(__xludf.DUMMYFUNCTION("""COMPUTED_VALUE"""),"Andre Parvian Aristio, S.Kom., M.Sc.")</f>
        <v>Andre Parvian Aristio, S.Kom., M.Sc.</v>
      </c>
      <c r="I9" s="16" t="str">
        <f ca="1">IFERROR(__xludf.DUMMYFUNCTION("""COMPUTED_VALUE"""),"Azzah Dyah Pramata, S.T., M.T., M.Eng., Ph.D.")</f>
        <v>Azzah Dyah Pramata, S.T., M.T., M.Eng., Ph.D.</v>
      </c>
      <c r="J9" s="16" t="str">
        <f ca="1">IFERROR(__xludf.DUMMYFUNCTION("""COMPUTED_VALUE"""),"Arief Abdurrakhman, S.T., M.T.")</f>
        <v>Arief Abdurrakhman, S.T., M.T.</v>
      </c>
      <c r="K9" s="17" t="s">
        <v>1047</v>
      </c>
      <c r="L9" s="23" t="s">
        <v>1045</v>
      </c>
      <c r="M9" s="19" t="b">
        <v>0</v>
      </c>
      <c r="N9" s="19" t="b">
        <v>0</v>
      </c>
      <c r="O9" s="1" t="s">
        <v>1046</v>
      </c>
      <c r="P9" s="7" t="str">
        <f ca="1">IFERROR(__xludf.DUMMYFUNCTION("iferror(vlookup(B9,importrange(""https://docs.google.com/spreadsheets/d/1boHyJQ4e2FU0QG8MHwEi6qjX4hvZWVCHcFfXjq7bbMc/edit?resourcekey#gid=923248883"",""Prop!$C$1:$M""),12,0),IFERROR(vlookup(B9,importrange(""https://docs.google.com/spreadsheets/d/1boHyJQ4e"&amp;"2FU0QG8MHwEi6qjX4hvZWVCHcFfXjq7bbMc/edit?resourcekey#gid=923248883"",""Prop!$N$1:$X""),11,0),iferror(vlookup(B9,importrange(""https://docs.google.com/spreadsheets/d/1boHyJQ4e2FU0QG8MHwEi6qjX4hvZWVCHcFfXjq7bbMc/edit?resourcekey#gid=923248883"",""Prop!$Y$1:"&amp;"$AI""),11,0),iferror(vlookup(B9,importrange(""https://docs.google.com/spreadsheets/d/1boHyJQ4e2FU0QG8MHwEi6qjX4hvZWVCHcFfXjq7bbMc/edit?resourcekey#gid=923248883"",""Prop!$AJ$1:$AT""),11,0),iferror(vlookup(B9,importrange(""https://docs.google.com/spreadshe"&amp;"ets/d/1boHyJQ4e2FU0QG8MHwEi6qjX4hvZWVCHcFfXjq7bbMc/edit?resourcekey#gid=923248883"",""Prop!$AU$1:$BE""),11,0),iferror(vlookup(B9,importrange(""https://docs.google.com/spreadsheets/d/1boHyJQ4e2FU0QG8MHwEi6qjX4hvZWVCHcFfXjq7bbMc/edit?resourcekey#gid=9232488"&amp;"83"",""Prop!$BF$1:$BP""),11,0),iferror(vlookup(B9,importrange(""https://docs.google.com/spreadsheets/d/1boHyJQ4e2FU0QG8MHwEi6qjX4hvZWVCHcFfXjq7bbMc/edit?resourcekey#gid=923248883"",""Prop!$BQ$1:$CA""),11,0),iferror(vlookup(B9,importrange(""https://docs.go"&amp;"ogle.com/spreadsheets/d/1boHyJQ4e2FU0QG8MHwEi6qjX4hvZWVCHcFfXjq7bbMc/edit?resourcekey#gid=923248883"",""Prop!$CB$1:$CL""),11,0),iferror(vlookup(B9,importrange(""https://docs.google.com/spreadsheets/d/1boHyJQ4e2FU0QG8MHwEi6qjX4hvZWVCHcFfXjq7bbMc/edit?resou"&amp;"rcekey#gid=923248883"",""Prop!$CM$1:$CX""),12,0),iferror(vlookup(B9,importrange(""https://docs.google.com/spreadsheets/d/1boHyJQ4e2FU0QG8MHwEi6qjX4hvZWVCHcFfXjq7bbMc/edit?resourcekey#gid=923248883"",""Prop!$CV$1:$DI""),11,0)))))))))))"),"https://drive.google.com/open?id=1_i_pcmUsQBO18vM1Ti2lqH0VU0z2TN24")</f>
        <v>https://drive.google.com/open?id=1_i_pcmUsQBO18vM1Ti2lqH0VU0z2TN24</v>
      </c>
      <c r="Q9" s="7" t="str">
        <f ca="1">IFERROR(__xludf.DUMMYFUNCTION("iferror(vlookup(B9,importrange(""https://docs.google.com/spreadsheets/d/1p53T2AuvvIqhP7Nf-bo3Uhj8cbKYRPpZdsrBv3x3bAQ/edit?resourcekey#gid=1321652304"",""Prop!$C$1:$M""),11,0),IFERROR(vlookup(B9,importrange(""https://docs.google.com/spreadsheets/d/1p53T2Au"&amp;"vvIqhP7Nf-bo3Uhj8cbKYRPpZdsrBv3x3bAQ/edit?resourcekey#gid=1321652304"",""Prop!$N$1:$X""),11,0),iferror(vlookup(B9,importrange(""https://docs.google.com/spreadsheets/d/1p53T2AuvvIqhP7Nf-bo3Uhj8cbKYRPpZdsrBv3x3bAQ/edit?resourcekey#gid=1321652304"",""Prop!$Y"&amp;"$1:$AI""),11,0),iferror(vlookup(B9,importrange(""https://docs.google.com/spreadsheets/d/1p53T2AuvvIqhP7Nf-bo3Uhj8cbKYRPpZdsrBv3x3bAQ/edit?resourcekey#gid=1321652304"",""Prop!$AJ$1:$AT""),11,0),iferror(vlookup(B9,importrange(""https://docs.google.com/sprea"&amp;"dsheets/d/1p53T2AuvvIqhP7Nf-bo3Uhj8cbKYRPpZdsrBv3x3bAQ/edit?resourcekey#gid=1321652304"",""Prop!$AU$1:$BE""),11,0),iferror(vlookup(B9,importrange(""https://docs.google.com/spreadsheets/d/1p53T2AuvvIqhP7Nf-bo3Uhj8cbKYRPpZdsrBv3x3bAQ/edit?resourcekey#gid=13"&amp;"21652304"",""Prop!$BF$1:$BP""),11,0),iferror(vlookup(B9,importrange(""https://docs.google.com/spreadsheets/d/1p53T2AuvvIqhP7Nf-bo3Uhj8cbKYRPpZdsrBv3x3bAQ/edit?resourcekey#gid=1321652304"",""Prop!$BQ$1:$CA""),11,0),iferror(vlookup(B9,importrange(""https://"&amp;"docs.google.com/spreadsheets/d/1p53T2AuvvIqhP7Nf-bo3Uhj8cbKYRPpZdsrBv3x3bAQ/edit?resourcekey#gid=1321652304"",""Prop!$CB$1:$CL""),11,0),iferror(vlookup(B9,importrange(""https://docs.google.com/spreadsheets/d/1p53T2AuvvIqhP7Nf-bo3Uhj8cbKYRPpZdsrBv3x3bAQ/ed"&amp;"it?resourcekey#gid=1321652304"",""Prop!$CM$1:$CX""),12,0),iferror(vlookup(B9,importrange(""https://docs.google.com/spreadsheets/d/1p53T2AuvvIqhP7Nf-bo3Uhj8cbKYRPpZdsrBv3x3bAQ/edit?resourcekey#gid=1321652304"",""Prop!$CY$1:$DI""),11,0)))))))))))"),"https://drive.google.com/open?id=1dfWW4dlBBcj8HahYwPZH4wtv71g-VPVv")</f>
        <v>https://drive.google.com/open?id=1dfWW4dlBBcj8HahYwPZH4wtv71g-VPVv</v>
      </c>
      <c r="R9" s="20" t="s">
        <v>1038</v>
      </c>
      <c r="S9" s="20" t="str">
        <f ca="1">IFERROR(__xludf.DUMMYFUNCTION("IFERROR(vlookup(B9,IMPORTRANGE(""https://docs.google.com/spreadsheets/d/1g_jfYYK_KeipEDNDUgqgrsxK94XiocfNQIcP-v1QVhI/edit?resourcekey#gid=233272945"",""Nilai!B:CT""),75,0),"" "")"),"Metode pelaksanaan harusnya melaksanakan hasil riset tentang crass di kepala.
Kemudian bagaimana solusinya.
Rancangan helm yang dibuat apa sudah dipikirkan ergonomisnya, terutama untuk pekerja yang selalu bergerak.
Rancangan elektronik belum terlihat rang"&amp;"kaian dan peletakan.")</f>
        <v>Metode pelaksanaan harusnya melaksanakan hasil riset tentang crass di kepala.
Kemudian bagaimana solusinya.
Rancangan helm yang dibuat apa sudah dipikirkan ergonomisnya, terutama untuk pekerja yang selalu bergerak.
Rancangan elektronik belum terlihat rangkaian dan peletakan.</v>
      </c>
      <c r="T9" s="20" t="str">
        <f ca="1">IFERROR(__xludf.DUMMYFUNCTION("IFERROR(vlookup(B9,IMPORTRANGE(""https://docs.google.com/spreadsheets/d/1g_jfYYK_KeipEDNDUgqgrsxK94XiocfNQIcP-v1QVhI/edit?resourcekey#gid=233272945"",""Nilai!B:CT""),97,0),"" "")"),"TIDAK LAYAK UPLOAD KE SIMBELMAWA")</f>
        <v>TIDAK LAYAK UPLOAD KE SIMBELMAWA</v>
      </c>
      <c r="U9" s="45" t="s">
        <v>719</v>
      </c>
      <c r="V9" s="46" t="s">
        <v>1039</v>
      </c>
      <c r="W9" s="43" t="s">
        <v>1044</v>
      </c>
      <c r="X9" s="44" t="b">
        <v>0</v>
      </c>
    </row>
    <row r="10" spans="1:24">
      <c r="A10" s="15">
        <v>8</v>
      </c>
      <c r="B10" s="15">
        <f ca="1">IFERROR(__xludf.DUMMYFUNCTION("""COMPUTED_VALUE"""),3480)</f>
        <v>3480</v>
      </c>
      <c r="C10" s="16" t="str">
        <f ca="1">IFERROR(__xludf.DUMMYFUNCTION("""COMPUTED_VALUE"""),"HALEN DINATA ATMAJA")</f>
        <v>HALEN DINATA ATMAJA</v>
      </c>
      <c r="D10" s="16" t="str">
        <f ca="1">IFERROR(__xludf.DUMMYFUNCTION("""COMPUTED_VALUE"""),"10511910000003")</f>
        <v>10511910000003</v>
      </c>
      <c r="E10" s="16" t="str">
        <f ca="1">IFERROR(__xludf.DUMMYFUNCTION("""COMPUTED_VALUE"""),"Departemen Teknik Instrumentasi")</f>
        <v>Departemen Teknik Instrumentasi</v>
      </c>
      <c r="F10" s="16" t="str">
        <f ca="1">IFERROR(__xludf.DUMMYFUNCTION("""COMPUTED_VALUE"""),"Deteksi Kekeruhan Air pada Budidaya Perikanan Air Tawar Berbasis Internet of Things Sebagai Solusi Alternatif Sensor Kekeruhan di Kalangan Pembudidaya")</f>
        <v>Deteksi Kekeruhan Air pada Budidaya Perikanan Air Tawar Berbasis Internet of Things Sebagai Solusi Alternatif Sensor Kekeruhan di Kalangan Pembudidaya</v>
      </c>
      <c r="G10" s="16" t="str">
        <f ca="1">IFERROR(__xludf.DUMMYFUNCTION("""COMPUTED_VALUE"""),"Ahmad Fauzan Adziimaa, S.T., M.Sc.")</f>
        <v>Ahmad Fauzan Adziimaa, S.T., M.Sc.</v>
      </c>
      <c r="H10" s="16" t="str">
        <f ca="1">IFERROR(__xludf.DUMMYFUNCTION("""COMPUTED_VALUE"""),"Andre Parvian Aristio, S.Kom., M.Sc.")</f>
        <v>Andre Parvian Aristio, S.Kom., M.Sc.</v>
      </c>
      <c r="I10" s="16" t="str">
        <f ca="1">IFERROR(__xludf.DUMMYFUNCTION("""COMPUTED_VALUE"""),"Azzah Dyah Pramata, S.T., M.T., M.Eng., Ph.D.")</f>
        <v>Azzah Dyah Pramata, S.T., M.T., M.Eng., Ph.D.</v>
      </c>
      <c r="J10" s="16" t="str">
        <f ca="1">IFERROR(__xludf.DUMMYFUNCTION("""COMPUTED_VALUE"""),"Arief Abdurrakhman, S.T., M.T.")</f>
        <v>Arief Abdurrakhman, S.T., M.T.</v>
      </c>
      <c r="K10" s="17" t="s">
        <v>1047</v>
      </c>
      <c r="L10" s="23" t="s">
        <v>1045</v>
      </c>
      <c r="M10" s="19" t="b">
        <v>0</v>
      </c>
      <c r="N10" s="19" t="b">
        <v>0</v>
      </c>
      <c r="O10" s="1" t="s">
        <v>1046</v>
      </c>
      <c r="P10" s="7" t="str">
        <f ca="1">IFERROR(__xludf.DUMMYFUNCTION("iferror(vlookup(B10,importrange(""https://docs.google.com/spreadsheets/d/1boHyJQ4e2FU0QG8MHwEi6qjX4hvZWVCHcFfXjq7bbMc/edit?resourcekey#gid=923248883"",""Prop!$C$1:$M""),12,0),IFERROR(vlookup(B10,importrange(""https://docs.google.com/spreadsheets/d/1boHyJQ"&amp;"4e2FU0QG8MHwEi6qjX4hvZWVCHcFfXjq7bbMc/edit?resourcekey#gid=923248883"",""Prop!$N$1:$X""),11,0),iferror(vlookup(B10,importrange(""https://docs.google.com/spreadsheets/d/1boHyJQ4e2FU0QG8MHwEi6qjX4hvZWVCHcFfXjq7bbMc/edit?resourcekey#gid=923248883"",""Prop!$Y"&amp;"$1:$AI""),11,0),iferror(vlookup(B10,importrange(""https://docs.google.com/spreadsheets/d/1boHyJQ4e2FU0QG8MHwEi6qjX4hvZWVCHcFfXjq7bbMc/edit?resourcekey#gid=923248883"",""Prop!$AJ$1:$AT""),11,0),iferror(vlookup(B10,importrange(""https://docs.google.com/spre"&amp;"adsheets/d/1boHyJQ4e2FU0QG8MHwEi6qjX4hvZWVCHcFfXjq7bbMc/edit?resourcekey#gid=923248883"",""Prop!$AU$1:$BE""),11,0),iferror(vlookup(B10,importrange(""https://docs.google.com/spreadsheets/d/1boHyJQ4e2FU0QG8MHwEi6qjX4hvZWVCHcFfXjq7bbMc/edit?resourcekey#gid=9"&amp;"23248883"",""Prop!$BF$1:$BP""),11,0),iferror(vlookup(B10,importrange(""https://docs.google.com/spreadsheets/d/1boHyJQ4e2FU0QG8MHwEi6qjX4hvZWVCHcFfXjq7bbMc/edit?resourcekey#gid=923248883"",""Prop!$BQ$1:$CA""),11,0),iferror(vlookup(B10,importrange(""https:/"&amp;"/docs.google.com/spreadsheets/d/1boHyJQ4e2FU0QG8MHwEi6qjX4hvZWVCHcFfXjq7bbMc/edit?resourcekey#gid=923248883"",""Prop!$CB$1:$CL""),11,0),iferror(vlookup(B10,importrange(""https://docs.google.com/spreadsheets/d/1boHyJQ4e2FU0QG8MHwEi6qjX4hvZWVCHcFfXjq7bbMc/e"&amp;"dit?resourcekey#gid=923248883"",""Prop!$CM$1:$CX""),12,0),iferror(vlookup(B10,importrange(""https://docs.google.com/spreadsheets/d/1boHyJQ4e2FU0QG8MHwEi6qjX4hvZWVCHcFfXjq7bbMc/edit?resourcekey#gid=923248883"",""Prop!$CV$1:$DI""),11,0)))))))))))"),"https://drive.google.com/open?id=1weCPtnRP3j7J9wsNYCqCmlT7KyUBx6Ec")</f>
        <v>https://drive.google.com/open?id=1weCPtnRP3j7J9wsNYCqCmlT7KyUBx6Ec</v>
      </c>
      <c r="Q10" s="7" t="str">
        <f ca="1">IFERROR(__xludf.DUMMYFUNCTION("iferror(vlookup(B10,importrange(""https://docs.google.com/spreadsheets/d/1p53T2AuvvIqhP7Nf-bo3Uhj8cbKYRPpZdsrBv3x3bAQ/edit?resourcekey#gid=1321652304"",""Prop!$C$1:$M""),11,0),IFERROR(vlookup(B10,importrange(""https://docs.google.com/spreadsheets/d/1p53T2"&amp;"AuvvIqhP7Nf-bo3Uhj8cbKYRPpZdsrBv3x3bAQ/edit?resourcekey#gid=1321652304"",""Prop!$N$1:$X""),11,0),iferror(vlookup(B10,importrange(""https://docs.google.com/spreadsheets/d/1p53T2AuvvIqhP7Nf-bo3Uhj8cbKYRPpZdsrBv3x3bAQ/edit?resourcekey#gid=1321652304"",""Prop"&amp;"!$Y$1:$AI""),11,0),iferror(vlookup(B10,importrange(""https://docs.google.com/spreadsheets/d/1p53T2AuvvIqhP7Nf-bo3Uhj8cbKYRPpZdsrBv3x3bAQ/edit?resourcekey#gid=1321652304"",""Prop!$AJ$1:$AT""),11,0),iferror(vlookup(B10,importrange(""https://docs.google.com/"&amp;"spreadsheets/d/1p53T2AuvvIqhP7Nf-bo3Uhj8cbKYRPpZdsrBv3x3bAQ/edit?resourcekey#gid=1321652304"",""Prop!$AU$1:$BE""),11,0),iferror(vlookup(B10,importrange(""https://docs.google.com/spreadsheets/d/1p53T2AuvvIqhP7Nf-bo3Uhj8cbKYRPpZdsrBv3x3bAQ/edit?resourcekey#"&amp;"gid=1321652304"",""Prop!$BF$1:$BP""),11,0),iferror(vlookup(B10,importrange(""https://docs.google.com/spreadsheets/d/1p53T2AuvvIqhP7Nf-bo3Uhj8cbKYRPpZdsrBv3x3bAQ/edit?resourcekey#gid=1321652304"",""Prop!$BQ$1:$CA""),11,0),iferror(vlookup(B10,importrange("""&amp;"https://docs.google.com/spreadsheets/d/1p53T2AuvvIqhP7Nf-bo3Uhj8cbKYRPpZdsrBv3x3bAQ/edit?resourcekey#gid=1321652304"",""Prop!$CB$1:$CL""),11,0),iferror(vlookup(B10,importrange(""https://docs.google.com/spreadsheets/d/1p53T2AuvvIqhP7Nf-bo3Uhj8cbKYRPpZdsrBv"&amp;"3x3bAQ/edit?resourcekey#gid=1321652304"",""Prop!$CM$1:$CX""),12,0),iferror(vlookup(B10,importrange(""https://docs.google.com/spreadsheets/d/1p53T2AuvvIqhP7Nf-bo3Uhj8cbKYRPpZdsrBv3x3bAQ/edit?resourcekey#gid=1321652304"",""Prop!$CY$1:$DI""),11,0)))))))))))"),"https://drive.google.com/open?id=1zpwEkXRMpIoTTDjXFceW_Bn1qwrZhLMt")</f>
        <v>https://drive.google.com/open?id=1zpwEkXRMpIoTTDjXFceW_Bn1qwrZhLMt</v>
      </c>
      <c r="R10" s="20" t="s">
        <v>1038</v>
      </c>
      <c r="S10" s="20" t="str">
        <f ca="1">IFERROR(__xludf.DUMMYFUNCTION("IFERROR(vlookup(B10,IMPORTRANGE(""https://docs.google.com/spreadsheets/d/1g_jfYYK_KeipEDNDUgqgrsxK94XiocfNQIcP-v1QVhI/edit?resourcekey#gid=233272945"",""Nilai!B:CT""),75,0),"" "")"),"Pemasalahan yang ditulis kok sama dengan tujuan, padahal di pendahuluan yang ditulis banyak persoalan yang butuh solusi.
Luaran disesuaikan dengan Pedoman
Di Kajian Pustaka menyebutkan Perlunya Cloud dan Jarinan Internet, tetapi
di Metode Pelaksanaan Tida"&amp;"k ada penjelasan dan rancangan elektronik
Jadwal yang dibuat terlalu OverLoad
Rancangan di Lampiran Tidak terlihat Cloud dan Jaringan Internet
Sepertinya Judul Internet of Things hanya aseksoris, sementara peranan nya tidak ada penjelasan")</f>
        <v>Pemasalahan yang ditulis kok sama dengan tujuan, padahal di pendahuluan yang ditulis banyak persoalan yang butuh solusi.
Luaran disesuaikan dengan Pedoman
Di Kajian Pustaka menyebutkan Perlunya Cloud dan Jarinan Internet, tetapi
di Metode Pelaksanaan Tidak ada penjelasan dan rancangan elektronik
Jadwal yang dibuat terlalu OverLoad
Rancangan di Lampiran Tidak terlihat Cloud dan Jaringan Internet
Sepertinya Judul Internet of Things hanya aseksoris, sementara peranan nya tidak ada penjelasan</v>
      </c>
      <c r="T10" s="20" t="str">
        <f ca="1">IFERROR(__xludf.DUMMYFUNCTION("IFERROR(vlookup(B10,IMPORTRANGE(""https://docs.google.com/spreadsheets/d/1g_jfYYK_KeipEDNDUgqgrsxK94XiocfNQIcP-v1QVhI/edit?resourcekey#gid=233272945"",""Nilai!B:CT""),97,0),"" "")"),"TIDAK LAYAK UPLOAD KE SIMBELMAWA")</f>
        <v>TIDAK LAYAK UPLOAD KE SIMBELMAWA</v>
      </c>
      <c r="U10" s="87" t="s">
        <v>1043</v>
      </c>
      <c r="V10" s="46" t="s">
        <v>1039</v>
      </c>
      <c r="W10" s="43" t="s">
        <v>1048</v>
      </c>
      <c r="X10" s="44" t="b">
        <v>0</v>
      </c>
    </row>
    <row r="11" spans="1:24">
      <c r="A11" s="15">
        <v>9</v>
      </c>
      <c r="B11" s="15">
        <f ca="1">IFERROR(__xludf.DUMMYFUNCTION("""COMPUTED_VALUE"""),2025)</f>
        <v>2025</v>
      </c>
      <c r="C11" s="16" t="str">
        <f ca="1">IFERROR(__xludf.DUMMYFUNCTION("""COMPUTED_VALUE"""),"MUHAMMAD AINUL YAQIN")</f>
        <v>MUHAMMAD AINUL YAQIN</v>
      </c>
      <c r="D11" s="16" t="str">
        <f ca="1">IFERROR(__xludf.DUMMYFUNCTION("""COMPUTED_VALUE"""),"02311940000070")</f>
        <v>02311940000070</v>
      </c>
      <c r="E11" s="16" t="str">
        <f ca="1">IFERROR(__xludf.DUMMYFUNCTION("""COMPUTED_VALUE"""),"Departemen Teknik Fisika")</f>
        <v>Departemen Teknik Fisika</v>
      </c>
      <c r="F11" s="16" t="str">
        <f ca="1">IFERROR(__xludf.DUMMYFUNCTION("""COMPUTED_VALUE"""),"Reverse Vending Machine Berbasis Deep Learning Object Detection untuk Penukaran Tiket Transportasi Bus yang Efektif")</f>
        <v>Reverse Vending Machine Berbasis Deep Learning Object Detection untuk Penukaran Tiket Transportasi Bus yang Efektif</v>
      </c>
      <c r="G11" s="16" t="str">
        <f ca="1">IFERROR(__xludf.DUMMYFUNCTION("""COMPUTED_VALUE"""),"Dr. Bambang Lelono Widjiantoro, S.T., M.T.")</f>
        <v>Dr. Bambang Lelono Widjiantoro, S.T., M.T.</v>
      </c>
      <c r="H11" s="16" t="str">
        <f ca="1">IFERROR(__xludf.DUMMYFUNCTION("""COMPUTED_VALUE"""),"Mohammad Khoirul Effendi, S.T., M.Sc.Eng., Ph.D.")</f>
        <v>Mohammad Khoirul Effendi, S.T., M.Sc.Eng., Ph.D.</v>
      </c>
      <c r="I11" s="16" t="str">
        <f ca="1">IFERROR(__xludf.DUMMYFUNCTION("""COMPUTED_VALUE"""),"Azzah Dyah Pramata, S.T., M.T., M.Eng., Ph.D.")</f>
        <v>Azzah Dyah Pramata, S.T., M.T., M.Eng., Ph.D.</v>
      </c>
      <c r="J11" s="16" t="str">
        <f ca="1">IFERROR(__xludf.DUMMYFUNCTION("""COMPUTED_VALUE"""),"Arief Abdurrakhman, S.T., M.T.")</f>
        <v>Arief Abdurrakhman, S.T., M.T.</v>
      </c>
      <c r="K11" s="17" t="s">
        <v>1047</v>
      </c>
      <c r="L11" s="23" t="s">
        <v>1045</v>
      </c>
      <c r="M11" s="19" t="b">
        <v>1</v>
      </c>
      <c r="N11" s="19" t="b">
        <v>1</v>
      </c>
      <c r="O11" s="1" t="s">
        <v>1046</v>
      </c>
      <c r="P11" s="7" t="str">
        <f ca="1">IFERROR(__xludf.DUMMYFUNCTION("iferror(vlookup(B11,importrange(""https://docs.google.com/spreadsheets/d/1boHyJQ4e2FU0QG8MHwEi6qjX4hvZWVCHcFfXjq7bbMc/edit?resourcekey#gid=923248883"",""Prop!$C$1:$M""),12,0),IFERROR(vlookup(B11,importrange(""https://docs.google.com/spreadsheets/d/1boHyJQ"&amp;"4e2FU0QG8MHwEi6qjX4hvZWVCHcFfXjq7bbMc/edit?resourcekey#gid=923248883"",""Prop!$N$1:$X""),11,0),iferror(vlookup(B11,importrange(""https://docs.google.com/spreadsheets/d/1boHyJQ4e2FU0QG8MHwEi6qjX4hvZWVCHcFfXjq7bbMc/edit?resourcekey#gid=923248883"",""Prop!$Y"&amp;"$1:$AI""),11,0),iferror(vlookup(B11,importrange(""https://docs.google.com/spreadsheets/d/1boHyJQ4e2FU0QG8MHwEi6qjX4hvZWVCHcFfXjq7bbMc/edit?resourcekey#gid=923248883"",""Prop!$AJ$1:$AT""),11,0),iferror(vlookup(B11,importrange(""https://docs.google.com/spre"&amp;"adsheets/d/1boHyJQ4e2FU0QG8MHwEi6qjX4hvZWVCHcFfXjq7bbMc/edit?resourcekey#gid=923248883"",""Prop!$AU$1:$BE""),11,0),iferror(vlookup(B11,importrange(""https://docs.google.com/spreadsheets/d/1boHyJQ4e2FU0QG8MHwEi6qjX4hvZWVCHcFfXjq7bbMc/edit?resourcekey#gid=9"&amp;"23248883"",""Prop!$BF$1:$BP""),11,0),iferror(vlookup(B11,importrange(""https://docs.google.com/spreadsheets/d/1boHyJQ4e2FU0QG8MHwEi6qjX4hvZWVCHcFfXjq7bbMc/edit?resourcekey#gid=923248883"",""Prop!$BQ$1:$CA""),11,0),iferror(vlookup(B11,importrange(""https:/"&amp;"/docs.google.com/spreadsheets/d/1boHyJQ4e2FU0QG8MHwEi6qjX4hvZWVCHcFfXjq7bbMc/edit?resourcekey#gid=923248883"",""Prop!$CB$1:$CL""),11,0),iferror(vlookup(B11,importrange(""https://docs.google.com/spreadsheets/d/1boHyJQ4e2FU0QG8MHwEi6qjX4hvZWVCHcFfXjq7bbMc/e"&amp;"dit?resourcekey#gid=923248883"",""Prop!$CM$1:$CX""),12,0),iferror(vlookup(B11,importrange(""https://docs.google.com/spreadsheets/d/1boHyJQ4e2FU0QG8MHwEi6qjX4hvZWVCHcFfXjq7bbMc/edit?resourcekey#gid=923248883"",""Prop!$CV$1:$DI""),11,0)))))))))))"),"https://drive.google.com/open?id=12MSCrAwVx6fPp_M8o0rZEbb1CTr-cvhI")</f>
        <v>https://drive.google.com/open?id=12MSCrAwVx6fPp_M8o0rZEbb1CTr-cvhI</v>
      </c>
      <c r="Q11" s="7" t="str">
        <f ca="1">IFERROR(__xludf.DUMMYFUNCTION("iferror(vlookup(B11,importrange(""https://docs.google.com/spreadsheets/d/1p53T2AuvvIqhP7Nf-bo3Uhj8cbKYRPpZdsrBv3x3bAQ/edit?resourcekey#gid=1321652304"",""Prop!$C$1:$M""),11,0),IFERROR(vlookup(B11,importrange(""https://docs.google.com/spreadsheets/d/1p53T2"&amp;"AuvvIqhP7Nf-bo3Uhj8cbKYRPpZdsrBv3x3bAQ/edit?resourcekey#gid=1321652304"",""Prop!$N$1:$X""),11,0),iferror(vlookup(B11,importrange(""https://docs.google.com/spreadsheets/d/1p53T2AuvvIqhP7Nf-bo3Uhj8cbKYRPpZdsrBv3x3bAQ/edit?resourcekey#gid=1321652304"",""Prop"&amp;"!$Y$1:$AI""),11,0),iferror(vlookup(B11,importrange(""https://docs.google.com/spreadsheets/d/1p53T2AuvvIqhP7Nf-bo3Uhj8cbKYRPpZdsrBv3x3bAQ/edit?resourcekey#gid=1321652304"",""Prop!$AJ$1:$AT""),11,0),iferror(vlookup(B11,importrange(""https://docs.google.com/"&amp;"spreadsheets/d/1p53T2AuvvIqhP7Nf-bo3Uhj8cbKYRPpZdsrBv3x3bAQ/edit?resourcekey#gid=1321652304"",""Prop!$AU$1:$BE""),11,0),iferror(vlookup(B11,importrange(""https://docs.google.com/spreadsheets/d/1p53T2AuvvIqhP7Nf-bo3Uhj8cbKYRPpZdsrBv3x3bAQ/edit?resourcekey#"&amp;"gid=1321652304"",""Prop!$BF$1:$BP""),11,0),iferror(vlookup(B11,importrange(""https://docs.google.com/spreadsheets/d/1p53T2AuvvIqhP7Nf-bo3Uhj8cbKYRPpZdsrBv3x3bAQ/edit?resourcekey#gid=1321652304"",""Prop!$BQ$1:$CA""),11,0),iferror(vlookup(B11,importrange("""&amp;"https://docs.google.com/spreadsheets/d/1p53T2AuvvIqhP7Nf-bo3Uhj8cbKYRPpZdsrBv3x3bAQ/edit?resourcekey#gid=1321652304"",""Prop!$CB$1:$CL""),11,0),iferror(vlookup(B11,importrange(""https://docs.google.com/spreadsheets/d/1p53T2AuvvIqhP7Nf-bo3Uhj8cbKYRPpZdsrBv"&amp;"3x3bAQ/edit?resourcekey#gid=1321652304"",""Prop!$CM$1:$CX""),12,0),iferror(vlookup(B11,importrange(""https://docs.google.com/spreadsheets/d/1p53T2AuvvIqhP7Nf-bo3Uhj8cbKYRPpZdsrBv3x3bAQ/edit?resourcekey#gid=1321652304"",""Prop!$CY$1:$DI""),11,0)))))))))))"),"https://drive.google.com/open?id=1R5sGWSRiG8vF4dBESB1v8hIwER5NmeL7")</f>
        <v>https://drive.google.com/open?id=1R5sGWSRiG8vF4dBESB1v8hIwER5NmeL7</v>
      </c>
      <c r="R11" s="20" t="s">
        <v>1038</v>
      </c>
      <c r="S11" s="20" t="str">
        <f ca="1">IFERROR(__xludf.DUMMYFUNCTION("IFERROR(vlookup(B11,IMPORTRANGE(""https://docs.google.com/spreadsheets/d/1g_jfYYK_KeipEDNDUgqgrsxK94XiocfNQIcP-v1QVhI/edit?resourcekey#gid=233272945"",""Nilai!B:CT""),75,0),"" "")"),"Ide menarik sayang penyelesaianya kurang bagus.
Objek utamanya berupa penukaran tiket, tetapi tidak tergambar bagaimana mekanismenya.
Cerita yang ada hanya Reverse Vending Machine untuk barang bekas.
Rancangan mekanik dan elektronik meragukan.
Metode Pela"&amp;"ksanaan (perlu revisi)
Produk utama untuk Tiket Transportasi")</f>
        <v>Ide menarik sayang penyelesaianya kurang bagus.
Objek utamanya berupa penukaran tiket, tetapi tidak tergambar bagaimana mekanismenya.
Cerita yang ada hanya Reverse Vending Machine untuk barang bekas.
Rancangan mekanik dan elektronik meragukan.
Metode Pelaksanaan (perlu revisi)
Produk utama untuk Tiket Transportasi</v>
      </c>
      <c r="T11" s="20" t="str">
        <f ca="1">IFERROR(__xludf.DUMMYFUNCTION("IFERROR(vlookup(B11,IMPORTRANGE(""https://docs.google.com/spreadsheets/d/1g_jfYYK_KeipEDNDUgqgrsxK94XiocfNQIcP-v1QVhI/edit?resourcekey#gid=233272945"",""Nilai!B:CT""),97,0),"" "")"),"LAYAK UPLOAD KE SIMBELMAWA DENGAN REVISI")</f>
        <v>LAYAK UPLOAD KE SIMBELMAWA DENGAN REVISI</v>
      </c>
      <c r="U11" s="45" t="s">
        <v>719</v>
      </c>
      <c r="V11" s="46" t="s">
        <v>1039</v>
      </c>
      <c r="W11" s="43" t="s">
        <v>1048</v>
      </c>
      <c r="X11" s="44" t="b">
        <v>1</v>
      </c>
    </row>
    <row r="12" spans="1:24">
      <c r="A12" s="15">
        <v>10</v>
      </c>
      <c r="B12" s="15">
        <f ca="1">IFERROR(__xludf.DUMMYFUNCTION("""COMPUTED_VALUE"""),2038)</f>
        <v>2038</v>
      </c>
      <c r="C12" s="16" t="str">
        <f ca="1">IFERROR(__xludf.DUMMYFUNCTION("""COMPUTED_VALUE"""),"BENI PUTRA KURNIAWAN")</f>
        <v>BENI PUTRA KURNIAWAN</v>
      </c>
      <c r="D12" s="16" t="str">
        <f ca="1">IFERROR(__xludf.DUMMYFUNCTION("""COMPUTED_VALUE"""),"10311910000063")</f>
        <v>10311910000063</v>
      </c>
      <c r="E12" s="16" t="str">
        <f ca="1">IFERROR(__xludf.DUMMYFUNCTION("""COMPUTED_VALUE"""),"Departemen Teknik Elektro Otomasi")</f>
        <v>Departemen Teknik Elektro Otomasi</v>
      </c>
      <c r="F12" s="16" t="str">
        <f ca="1">IFERROR(__xludf.DUMMYFUNCTION("""COMPUTED_VALUE"""),"Inovasi Mesin Pengolah Umbi Porang Otomatis Berbasis 
Kontrol Elektrik Guna Meningkatkan Produktivitas Petani 
Lokal")</f>
        <v>Inovasi Mesin Pengolah Umbi Porang Otomatis Berbasis 
Kontrol Elektrik Guna Meningkatkan Produktivitas Petani 
Lokal</v>
      </c>
      <c r="G12" s="16" t="str">
        <f ca="1">IFERROR(__xludf.DUMMYFUNCTION("""COMPUTED_VALUE"""),"Lucky Putri Rahayu, S.Si., M.Si.")</f>
        <v>Lucky Putri Rahayu, S.Si., M.Si.</v>
      </c>
      <c r="H12" s="16" t="str">
        <f ca="1">IFERROR(__xludf.DUMMYFUNCTION("""COMPUTED_VALUE"""),"Andre Parvian Aristio, S.Kom., M.Sc.")</f>
        <v>Andre Parvian Aristio, S.Kom., M.Sc.</v>
      </c>
      <c r="I12" s="16" t="str">
        <f ca="1">IFERROR(__xludf.DUMMYFUNCTION("""COMPUTED_VALUE"""),"Azzah Dyah Pramata, S.T., M.T., M.Eng., Ph.D.")</f>
        <v>Azzah Dyah Pramata, S.T., M.T., M.Eng., Ph.D.</v>
      </c>
      <c r="J12" s="16" t="str">
        <f ca="1">IFERROR(__xludf.DUMMYFUNCTION("""COMPUTED_VALUE"""),"Arief Abdurrakhman, S.T., M.T.")</f>
        <v>Arief Abdurrakhman, S.T., M.T.</v>
      </c>
      <c r="K12" s="17" t="s">
        <v>1047</v>
      </c>
      <c r="L12" s="23" t="s">
        <v>1045</v>
      </c>
      <c r="M12" s="19" t="b">
        <v>1</v>
      </c>
      <c r="N12" s="19" t="b">
        <v>1</v>
      </c>
      <c r="O12" s="1" t="s">
        <v>1046</v>
      </c>
      <c r="P12" s="7" t="str">
        <f ca="1">IFERROR(__xludf.DUMMYFUNCTION("iferror(vlookup(B12,importrange(""https://docs.google.com/spreadsheets/d/1boHyJQ4e2FU0QG8MHwEi6qjX4hvZWVCHcFfXjq7bbMc/edit?resourcekey#gid=923248883"",""Prop!$C$1:$M""),12,0),IFERROR(vlookup(B12,importrange(""https://docs.google.com/spreadsheets/d/1boHyJQ"&amp;"4e2FU0QG8MHwEi6qjX4hvZWVCHcFfXjq7bbMc/edit?resourcekey#gid=923248883"",""Prop!$N$1:$X""),11,0),iferror(vlookup(B12,importrange(""https://docs.google.com/spreadsheets/d/1boHyJQ4e2FU0QG8MHwEi6qjX4hvZWVCHcFfXjq7bbMc/edit?resourcekey#gid=923248883"",""Prop!$Y"&amp;"$1:$AI""),11,0),iferror(vlookup(B12,importrange(""https://docs.google.com/spreadsheets/d/1boHyJQ4e2FU0QG8MHwEi6qjX4hvZWVCHcFfXjq7bbMc/edit?resourcekey#gid=923248883"",""Prop!$AJ$1:$AT""),11,0),iferror(vlookup(B12,importrange(""https://docs.google.com/spre"&amp;"adsheets/d/1boHyJQ4e2FU0QG8MHwEi6qjX4hvZWVCHcFfXjq7bbMc/edit?resourcekey#gid=923248883"",""Prop!$AU$1:$BE""),11,0),iferror(vlookup(B12,importrange(""https://docs.google.com/spreadsheets/d/1boHyJQ4e2FU0QG8MHwEi6qjX4hvZWVCHcFfXjq7bbMc/edit?resourcekey#gid=9"&amp;"23248883"",""Prop!$BF$1:$BP""),11,0),iferror(vlookup(B12,importrange(""https://docs.google.com/spreadsheets/d/1boHyJQ4e2FU0QG8MHwEi6qjX4hvZWVCHcFfXjq7bbMc/edit?resourcekey#gid=923248883"",""Prop!$BQ$1:$CA""),11,0),iferror(vlookup(B12,importrange(""https:/"&amp;"/docs.google.com/spreadsheets/d/1boHyJQ4e2FU0QG8MHwEi6qjX4hvZWVCHcFfXjq7bbMc/edit?resourcekey#gid=923248883"",""Prop!$CB$1:$CL""),11,0),iferror(vlookup(B12,importrange(""https://docs.google.com/spreadsheets/d/1boHyJQ4e2FU0QG8MHwEi6qjX4hvZWVCHcFfXjq7bbMc/e"&amp;"dit?resourcekey#gid=923248883"",""Prop!$CM$1:$CX""),12,0),iferror(vlookup(B12,importrange(""https://docs.google.com/spreadsheets/d/1boHyJQ4e2FU0QG8MHwEi6qjX4hvZWVCHcFfXjq7bbMc/edit?resourcekey#gid=923248883"",""Prop!$CV$1:$DI""),11,0)))))))))))"),"https://drive.google.com/open?id=1YKmCf86eZAjxcPGAcvW9z4Xmk97fwdwC")</f>
        <v>https://drive.google.com/open?id=1YKmCf86eZAjxcPGAcvW9z4Xmk97fwdwC</v>
      </c>
      <c r="Q12" s="7" t="str">
        <f ca="1">IFERROR(__xludf.DUMMYFUNCTION("iferror(vlookup(B12,importrange(""https://docs.google.com/spreadsheets/d/1p53T2AuvvIqhP7Nf-bo3Uhj8cbKYRPpZdsrBv3x3bAQ/edit?resourcekey#gid=1321652304"",""Prop!$C$1:$M""),11,0),IFERROR(vlookup(B12,importrange(""https://docs.google.com/spreadsheets/d/1p53T2"&amp;"AuvvIqhP7Nf-bo3Uhj8cbKYRPpZdsrBv3x3bAQ/edit?resourcekey#gid=1321652304"",""Prop!$N$1:$X""),11,0),iferror(vlookup(B12,importrange(""https://docs.google.com/spreadsheets/d/1p53T2AuvvIqhP7Nf-bo3Uhj8cbKYRPpZdsrBv3x3bAQ/edit?resourcekey#gid=1321652304"",""Prop"&amp;"!$Y$1:$AI""),11,0),iferror(vlookup(B12,importrange(""https://docs.google.com/spreadsheets/d/1p53T2AuvvIqhP7Nf-bo3Uhj8cbKYRPpZdsrBv3x3bAQ/edit?resourcekey#gid=1321652304"",""Prop!$AJ$1:$AT""),11,0),iferror(vlookup(B12,importrange(""https://docs.google.com/"&amp;"spreadsheets/d/1p53T2AuvvIqhP7Nf-bo3Uhj8cbKYRPpZdsrBv3x3bAQ/edit?resourcekey#gid=1321652304"",""Prop!$AU$1:$BE""),11,0),iferror(vlookup(B12,importrange(""https://docs.google.com/spreadsheets/d/1p53T2AuvvIqhP7Nf-bo3Uhj8cbKYRPpZdsrBv3x3bAQ/edit?resourcekey#"&amp;"gid=1321652304"",""Prop!$BF$1:$BP""),11,0),iferror(vlookup(B12,importrange(""https://docs.google.com/spreadsheets/d/1p53T2AuvvIqhP7Nf-bo3Uhj8cbKYRPpZdsrBv3x3bAQ/edit?resourcekey#gid=1321652304"",""Prop!$BQ$1:$CA""),11,0),iferror(vlookup(B12,importrange("""&amp;"https://docs.google.com/spreadsheets/d/1p53T2AuvvIqhP7Nf-bo3Uhj8cbKYRPpZdsrBv3x3bAQ/edit?resourcekey#gid=1321652304"",""Prop!$CB$1:$CL""),11,0),iferror(vlookup(B12,importrange(""https://docs.google.com/spreadsheets/d/1p53T2AuvvIqhP7Nf-bo3Uhj8cbKYRPpZdsrBv"&amp;"3x3bAQ/edit?resourcekey#gid=1321652304"",""Prop!$CM$1:$CX""),12,0),iferror(vlookup(B12,importrange(""https://docs.google.com/spreadsheets/d/1p53T2AuvvIqhP7Nf-bo3Uhj8cbKYRPpZdsrBv3x3bAQ/edit?resourcekey#gid=1321652304"",""Prop!$CY$1:$DI""),11,0)))))))))))"),"https://drive.google.com/open?id=1fUa71RveKt0ueTROxn4Px7mmIrgdV1Bo")</f>
        <v>https://drive.google.com/open?id=1fUa71RveKt0ueTROxn4Px7mmIrgdV1Bo</v>
      </c>
      <c r="R12" s="20" t="s">
        <v>1038</v>
      </c>
      <c r="S12" s="20" t="str">
        <f ca="1">IFERROR(__xludf.DUMMYFUNCTION("IFERROR(vlookup(B12,IMPORTRANGE(""https://docs.google.com/spreadsheets/d/1g_jfYYK_KeipEDNDUgqgrsxK94XiocfNQIcP-v1QVhI/edit?resourcekey#gid=233272945"",""Nilai!B:CT""),75,0),"" "")"),"Kemanfaatan porang secara ekonomi belum nampak.
Alur kerja dari alat perlu diperjelas
Jadwal perlu direvisi
Revisi pustaka yang disebut di sitasi")</f>
        <v>Kemanfaatan porang secara ekonomi belum nampak.
Alur kerja dari alat perlu diperjelas
Jadwal perlu direvisi
Revisi pustaka yang disebut di sitasi</v>
      </c>
      <c r="T12" s="20" t="str">
        <f ca="1">IFERROR(__xludf.DUMMYFUNCTION("IFERROR(vlookup(B12,IMPORTRANGE(""https://docs.google.com/spreadsheets/d/1g_jfYYK_KeipEDNDUgqgrsxK94XiocfNQIcP-v1QVhI/edit?resourcekey#gid=233272945"",""Nilai!B:CT""),97,0),"" "")"),"LAYAK UPLOAD KE SIMBELMAWA DENGAN REVISI")</f>
        <v>LAYAK UPLOAD KE SIMBELMAWA DENGAN REVISI</v>
      </c>
      <c r="U12" s="45" t="s">
        <v>719</v>
      </c>
      <c r="V12" s="46" t="s">
        <v>1039</v>
      </c>
      <c r="W12" s="43" t="s">
        <v>1048</v>
      </c>
      <c r="X12" s="44" t="b">
        <v>1</v>
      </c>
    </row>
    <row r="13" spans="1:24">
      <c r="A13" s="15">
        <v>11</v>
      </c>
      <c r="B13" s="15">
        <f ca="1">IFERROR(__xludf.DUMMYFUNCTION("""COMPUTED_VALUE"""),3660)</f>
        <v>3660</v>
      </c>
      <c r="C13" s="16" t="str">
        <f ca="1">IFERROR(__xludf.DUMMYFUNCTION("""COMPUTED_VALUE"""),"MUHAMMAD ALI YAFI")</f>
        <v>MUHAMMAD ALI YAFI</v>
      </c>
      <c r="D13" s="16" t="str">
        <f ca="1">IFERROR(__xludf.DUMMYFUNCTION("""COMPUTED_VALUE"""),"2040201107")</f>
        <v>2040201107</v>
      </c>
      <c r="E13" s="16" t="str">
        <f ca="1">IFERROR(__xludf.DUMMYFUNCTION("""COMPUTED_VALUE"""),"Departemen Teknik Elektro Otomasi")</f>
        <v>Departemen Teknik Elektro Otomasi</v>
      </c>
      <c r="F13" s="16" t="str">
        <f ca="1">IFERROR(__xludf.DUMMYFUNCTION("""COMPUTED_VALUE"""),"Inovasi Mesin Pengering Daun Tembakau Otomatis Menggunakan Pengolahan Citra Digital Untuk Solusi Petani Tembakau")</f>
        <v>Inovasi Mesin Pengering Daun Tembakau Otomatis Menggunakan Pengolahan Citra Digital Untuk Solusi Petani Tembakau</v>
      </c>
      <c r="G13" s="16" t="str">
        <f ca="1">IFERROR(__xludf.DUMMYFUNCTION("""COMPUTED_VALUE"""),"Joko Priambodo, S.T., M.T.")</f>
        <v>Joko Priambodo, S.T., M.T.</v>
      </c>
      <c r="H13" s="16" t="str">
        <f ca="1">IFERROR(__xludf.DUMMYFUNCTION("""COMPUTED_VALUE"""),"Andre Parvian Aristio, S.Kom., M.Sc.")</f>
        <v>Andre Parvian Aristio, S.Kom., M.Sc.</v>
      </c>
      <c r="I13" s="16" t="str">
        <f ca="1">IFERROR(__xludf.DUMMYFUNCTION("""COMPUTED_VALUE"""),"Azzah Dyah Pramata, S.T., M.T., M.Eng., Ph.D.")</f>
        <v>Azzah Dyah Pramata, S.T., M.T., M.Eng., Ph.D.</v>
      </c>
      <c r="J13" s="16" t="str">
        <f ca="1">IFERROR(__xludf.DUMMYFUNCTION("""COMPUTED_VALUE"""),"Arief Abdurrakhman, S.T., M.T.")</f>
        <v>Arief Abdurrakhman, S.T., M.T.</v>
      </c>
      <c r="K13" s="17" t="s">
        <v>1047</v>
      </c>
      <c r="L13" s="23" t="s">
        <v>1049</v>
      </c>
      <c r="M13" s="19" t="b">
        <v>0</v>
      </c>
      <c r="N13" s="19" t="b">
        <v>0</v>
      </c>
      <c r="O13" s="1" t="s">
        <v>1046</v>
      </c>
      <c r="P13" s="1" t="str">
        <f ca="1">IFERROR(__xludf.DUMMYFUNCTION("iferror(vlookup(B13,importrange(""https://docs.google.com/spreadsheets/d/1boHyJQ4e2FU0QG8MHwEi6qjX4hvZWVCHcFfXjq7bbMc/edit?resourcekey#gid=923248883"",""Prop!$C$1:$M""),12,0),IFERROR(vlookup(B13,importrange(""https://docs.google.com/spreadsheets/d/1boHyJQ"&amp;"4e2FU0QG8MHwEi6qjX4hvZWVCHcFfXjq7bbMc/edit?resourcekey#gid=923248883"",""Prop!$N$1:$X""),11,0),iferror(vlookup(B13,importrange(""https://docs.google.com/spreadsheets/d/1boHyJQ4e2FU0QG8MHwEi6qjX4hvZWVCHcFfXjq7bbMc/edit?resourcekey#gid=923248883"",""Prop!$Y"&amp;"$1:$AI""),11,0),iferror(vlookup(B13,importrange(""https://docs.google.com/spreadsheets/d/1boHyJQ4e2FU0QG8MHwEi6qjX4hvZWVCHcFfXjq7bbMc/edit?resourcekey#gid=923248883"",""Prop!$AJ$1:$AT""),11,0),iferror(vlookup(B13,importrange(""https://docs.google.com/spre"&amp;"adsheets/d/1boHyJQ4e2FU0QG8MHwEi6qjX4hvZWVCHcFfXjq7bbMc/edit?resourcekey#gid=923248883"",""Prop!$AU$1:$BE""),11,0),iferror(vlookup(B13,importrange(""https://docs.google.com/spreadsheets/d/1boHyJQ4e2FU0QG8MHwEi6qjX4hvZWVCHcFfXjq7bbMc/edit?resourcekey#gid=9"&amp;"23248883"",""Prop!$BF$1:$BP""),11,0),iferror(vlookup(B13,importrange(""https://docs.google.com/spreadsheets/d/1boHyJQ4e2FU0QG8MHwEi6qjX4hvZWVCHcFfXjq7bbMc/edit?resourcekey#gid=923248883"",""Prop!$BQ$1:$CA""),11,0),iferror(vlookup(B13,importrange(""https:/"&amp;"/docs.google.com/spreadsheets/d/1boHyJQ4e2FU0QG8MHwEi6qjX4hvZWVCHcFfXjq7bbMc/edit?resourcekey#gid=923248883"",""Prop!$CB$1:$CL""),11,0),iferror(vlookup(B13,importrange(""https://docs.google.com/spreadsheets/d/1boHyJQ4e2FU0QG8MHwEi6qjX4hvZWVCHcFfXjq7bbMc/e"&amp;"dit?resourcekey#gid=923248883"",""Prop!$CM$1:$CX""),12,0),iferror(vlookup(B13,importrange(""https://docs.google.com/spreadsheets/d/1boHyJQ4e2FU0QG8MHwEi6qjX4hvZWVCHcFfXjq7bbMc/edit?resourcekey#gid=923248883"",""Prop!$CV$1:$DI""),11,0)))))))))))"),"")</f>
        <v/>
      </c>
      <c r="Q13" s="7" t="str">
        <f ca="1">IFERROR(__xludf.DUMMYFUNCTION("iferror(vlookup(B13,importrange(""https://docs.google.com/spreadsheets/d/1p53T2AuvvIqhP7Nf-bo3Uhj8cbKYRPpZdsrBv3x3bAQ/edit?resourcekey#gid=1321652304"",""Prop!$C$1:$M""),11,0),IFERROR(vlookup(B13,importrange(""https://docs.google.com/spreadsheets/d/1p53T2"&amp;"AuvvIqhP7Nf-bo3Uhj8cbKYRPpZdsrBv3x3bAQ/edit?resourcekey#gid=1321652304"",""Prop!$N$1:$X""),11,0),iferror(vlookup(B13,importrange(""https://docs.google.com/spreadsheets/d/1p53T2AuvvIqhP7Nf-bo3Uhj8cbKYRPpZdsrBv3x3bAQ/edit?resourcekey#gid=1321652304"",""Prop"&amp;"!$Y$1:$AI""),11,0),iferror(vlookup(B13,importrange(""https://docs.google.com/spreadsheets/d/1p53T2AuvvIqhP7Nf-bo3Uhj8cbKYRPpZdsrBv3x3bAQ/edit?resourcekey#gid=1321652304"",""Prop!$AJ$1:$AT""),11,0),iferror(vlookup(B13,importrange(""https://docs.google.com/"&amp;"spreadsheets/d/1p53T2AuvvIqhP7Nf-bo3Uhj8cbKYRPpZdsrBv3x3bAQ/edit?resourcekey#gid=1321652304"",""Prop!$AU$1:$BE""),11,0),iferror(vlookup(B13,importrange(""https://docs.google.com/spreadsheets/d/1p53T2AuvvIqhP7Nf-bo3Uhj8cbKYRPpZdsrBv3x3bAQ/edit?resourcekey#"&amp;"gid=1321652304"",""Prop!$BF$1:$BP""),11,0),iferror(vlookup(B13,importrange(""https://docs.google.com/spreadsheets/d/1p53T2AuvvIqhP7Nf-bo3Uhj8cbKYRPpZdsrBv3x3bAQ/edit?resourcekey#gid=1321652304"",""Prop!$BQ$1:$CA""),11,0),iferror(vlookup(B13,importrange("""&amp;"https://docs.google.com/spreadsheets/d/1p53T2AuvvIqhP7Nf-bo3Uhj8cbKYRPpZdsrBv3x3bAQ/edit?resourcekey#gid=1321652304"",""Prop!$CB$1:$CL""),11,0),iferror(vlookup(B13,importrange(""https://docs.google.com/spreadsheets/d/1p53T2AuvvIqhP7Nf-bo3Uhj8cbKYRPpZdsrBv"&amp;"3x3bAQ/edit?resourcekey#gid=1321652304"",""Prop!$CM$1:$CX""),12,0),iferror(vlookup(B13,importrange(""https://docs.google.com/spreadsheets/d/1p53T2AuvvIqhP7Nf-bo3Uhj8cbKYRPpZdsrBv3x3bAQ/edit?resourcekey#gid=1321652304"",""Prop!$CY$1:$DI""),11,0)))))))))))"),"https://drive.google.com/open?id=1OIRLvpvWWOIWZ0Eq6A_wQfjQhoyuNOGi")</f>
        <v>https://drive.google.com/open?id=1OIRLvpvWWOIWZ0Eq6A_wQfjQhoyuNOGi</v>
      </c>
      <c r="R13" s="20" t="s">
        <v>1038</v>
      </c>
      <c r="S13" s="20" t="str">
        <f ca="1">IFERROR(__xludf.DUMMYFUNCTION("IFERROR(vlookup(B13,IMPORTRANGE(""https://docs.google.com/spreadsheets/d/1g_jfYYK_KeipEDNDUgqgrsxK94XiocfNQIcP-v1QVhI/edit?resourcekey#gid=233272945"",""Nilai!B:CT""),75,0),"" "")"),"Format Margin
Rancangan Elektronik aneh:
Ada Raspberry Pi ada Arduino, dimana peran mereka masing2.
Anggaran biaya tidak standar
Perlu Revisi sesuai Pedoman")</f>
        <v>Format Margin
Rancangan Elektronik aneh:
Ada Raspberry Pi ada Arduino, dimana peran mereka masing2.
Anggaran biaya tidak standar
Perlu Revisi sesuai Pedoman</v>
      </c>
      <c r="T13" s="20" t="str">
        <f ca="1">IFERROR(__xludf.DUMMYFUNCTION("IFERROR(vlookup(B13,IMPORTRANGE(""https://docs.google.com/spreadsheets/d/1g_jfYYK_KeipEDNDUgqgrsxK94XiocfNQIcP-v1QVhI/edit?resourcekey#gid=233272945"",""Nilai!B:CT""),97,0),"" "")"),"LAYAK UPLOAD KE SIMBELMAWA DENGAN REVISI")</f>
        <v>LAYAK UPLOAD KE SIMBELMAWA DENGAN REVISI</v>
      </c>
      <c r="U13" s="45" t="s">
        <v>719</v>
      </c>
      <c r="V13" s="46" t="s">
        <v>1039</v>
      </c>
      <c r="W13" s="43" t="s">
        <v>1050</v>
      </c>
      <c r="X13" s="44" t="b">
        <v>0</v>
      </c>
    </row>
    <row r="14" spans="1:24">
      <c r="A14" s="15">
        <v>12</v>
      </c>
      <c r="B14" s="15">
        <f ca="1">IFERROR(__xludf.DUMMYFUNCTION("""COMPUTED_VALUE"""),3393)</f>
        <v>3393</v>
      </c>
      <c r="C14" s="16" t="str">
        <f ca="1">IFERROR(__xludf.DUMMYFUNCTION("""COMPUTED_VALUE"""),"FIKRI AZRUR ARIF MAULANA")</f>
        <v>FIKRI AZRUR ARIF MAULANA</v>
      </c>
      <c r="D14" s="16" t="str">
        <f ca="1">IFERROR(__xludf.DUMMYFUNCTION("""COMPUTED_VALUE"""),"10211810013017")</f>
        <v>10211810013017</v>
      </c>
      <c r="E14" s="16" t="str">
        <f ca="1">IFERROR(__xludf.DUMMYFUNCTION("""COMPUTED_VALUE"""),"Departemen Teknik Mesin Industri")</f>
        <v>Departemen Teknik Mesin Industri</v>
      </c>
      <c r="F14" s="16" t="str">
        <f ca="1">IFERROR(__xludf.DUMMYFUNCTION("""COMPUTED_VALUE"""),"Inovasi Mesin Pencuci Guna Mereduksi Asam Oksalat dan Pembersihan pada Umbi Porang")</f>
        <v>Inovasi Mesin Pencuci Guna Mereduksi Asam Oksalat dan Pembersihan pada Umbi Porang</v>
      </c>
      <c r="G14" s="16" t="str">
        <f ca="1">IFERROR(__xludf.DUMMYFUNCTION("""COMPUTED_VALUE"""),"Dedy Zulhidayat Noor, S.T., M.T., Ph.D.")</f>
        <v>Dedy Zulhidayat Noor, S.T., M.T., Ph.D.</v>
      </c>
      <c r="H14" s="16" t="str">
        <f ca="1">IFERROR(__xludf.DUMMYFUNCTION("""COMPUTED_VALUE"""),"Andre Parvian Aristio, S.Kom., M.Sc.")</f>
        <v>Andre Parvian Aristio, S.Kom., M.Sc.</v>
      </c>
      <c r="I14" s="16" t="str">
        <f ca="1">IFERROR(__xludf.DUMMYFUNCTION("""COMPUTED_VALUE"""),"Azzah Dyah Pramata, S.T., M.T., M.Eng., Ph.D.")</f>
        <v>Azzah Dyah Pramata, S.T., M.T., M.Eng., Ph.D.</v>
      </c>
      <c r="J14" s="16" t="str">
        <f ca="1">IFERROR(__xludf.DUMMYFUNCTION("""COMPUTED_VALUE"""),"Arief Abdurrakhman, S.T., M.T.")</f>
        <v>Arief Abdurrakhman, S.T., M.T.</v>
      </c>
      <c r="K14" s="17" t="s">
        <v>1047</v>
      </c>
      <c r="L14" s="23" t="s">
        <v>1049</v>
      </c>
      <c r="M14" s="19" t="b">
        <v>0</v>
      </c>
      <c r="N14" s="19" t="b">
        <v>0</v>
      </c>
      <c r="O14" s="1" t="s">
        <v>1046</v>
      </c>
      <c r="P14" s="1" t="str">
        <f ca="1">IFERROR(__xludf.DUMMYFUNCTION("iferror(vlookup(B14,importrange(""https://docs.google.com/spreadsheets/d/1boHyJQ4e2FU0QG8MHwEi6qjX4hvZWVCHcFfXjq7bbMc/edit?resourcekey#gid=923248883"",""Prop!$C$1:$M""),12,0),IFERROR(vlookup(B14,importrange(""https://docs.google.com/spreadsheets/d/1boHyJQ"&amp;"4e2FU0QG8MHwEi6qjX4hvZWVCHcFfXjq7bbMc/edit?resourcekey#gid=923248883"",""Prop!$N$1:$X""),11,0),iferror(vlookup(B14,importrange(""https://docs.google.com/spreadsheets/d/1boHyJQ4e2FU0QG8MHwEi6qjX4hvZWVCHcFfXjq7bbMc/edit?resourcekey#gid=923248883"",""Prop!$Y"&amp;"$1:$AI""),11,0),iferror(vlookup(B14,importrange(""https://docs.google.com/spreadsheets/d/1boHyJQ4e2FU0QG8MHwEi6qjX4hvZWVCHcFfXjq7bbMc/edit?resourcekey#gid=923248883"",""Prop!$AJ$1:$AT""),11,0),iferror(vlookup(B14,importrange(""https://docs.google.com/spre"&amp;"adsheets/d/1boHyJQ4e2FU0QG8MHwEi6qjX4hvZWVCHcFfXjq7bbMc/edit?resourcekey#gid=923248883"",""Prop!$AU$1:$BE""),11,0),iferror(vlookup(B14,importrange(""https://docs.google.com/spreadsheets/d/1boHyJQ4e2FU0QG8MHwEi6qjX4hvZWVCHcFfXjq7bbMc/edit?resourcekey#gid=9"&amp;"23248883"",""Prop!$BF$1:$BP""),11,0),iferror(vlookup(B14,importrange(""https://docs.google.com/spreadsheets/d/1boHyJQ4e2FU0QG8MHwEi6qjX4hvZWVCHcFfXjq7bbMc/edit?resourcekey#gid=923248883"",""Prop!$BQ$1:$CA""),11,0),iferror(vlookup(B14,importrange(""https:/"&amp;"/docs.google.com/spreadsheets/d/1boHyJQ4e2FU0QG8MHwEi6qjX4hvZWVCHcFfXjq7bbMc/edit?resourcekey#gid=923248883"",""Prop!$CB$1:$CL""),11,0),iferror(vlookup(B14,importrange(""https://docs.google.com/spreadsheets/d/1boHyJQ4e2FU0QG8MHwEi6qjX4hvZWVCHcFfXjq7bbMc/e"&amp;"dit?resourcekey#gid=923248883"",""Prop!$CM$1:$CX""),12,0),iferror(vlookup(B14,importrange(""https://docs.google.com/spreadsheets/d/1boHyJQ4e2FU0QG8MHwEi6qjX4hvZWVCHcFfXjq7bbMc/edit?resourcekey#gid=923248883"",""Prop!$CV$1:$DI""),11,0)))))))))))"),"")</f>
        <v/>
      </c>
      <c r="Q14" s="1" t="str">
        <f ca="1">IFERROR(__xludf.DUMMYFUNCTION("iferror(vlookup(B14,importrange(""https://docs.google.com/spreadsheets/d/1p53T2AuvvIqhP7Nf-bo3Uhj8cbKYRPpZdsrBv3x3bAQ/edit?resourcekey#gid=1321652304"",""Prop!$C$1:$M""),11,0),IFERROR(vlookup(B14,importrange(""https://docs.google.com/spreadsheets/d/1p53T2"&amp;"AuvvIqhP7Nf-bo3Uhj8cbKYRPpZdsrBv3x3bAQ/edit?resourcekey#gid=1321652304"",""Prop!$N$1:$X""),11,0),iferror(vlookup(B14,importrange(""https://docs.google.com/spreadsheets/d/1p53T2AuvvIqhP7Nf-bo3Uhj8cbKYRPpZdsrBv3x3bAQ/edit?resourcekey#gid=1321652304"",""Prop"&amp;"!$Y$1:$AI""),11,0),iferror(vlookup(B14,importrange(""https://docs.google.com/spreadsheets/d/1p53T2AuvvIqhP7Nf-bo3Uhj8cbKYRPpZdsrBv3x3bAQ/edit?resourcekey#gid=1321652304"",""Prop!$AJ$1:$AT""),11,0),iferror(vlookup(B14,importrange(""https://docs.google.com/"&amp;"spreadsheets/d/1p53T2AuvvIqhP7Nf-bo3Uhj8cbKYRPpZdsrBv3x3bAQ/edit?resourcekey#gid=1321652304"",""Prop!$AU$1:$BE""),11,0),iferror(vlookup(B14,importrange(""https://docs.google.com/spreadsheets/d/1p53T2AuvvIqhP7Nf-bo3Uhj8cbKYRPpZdsrBv3x3bAQ/edit?resourcekey#"&amp;"gid=1321652304"",""Prop!$BF$1:$BP""),11,0),iferror(vlookup(B14,importrange(""https://docs.google.com/spreadsheets/d/1p53T2AuvvIqhP7Nf-bo3Uhj8cbKYRPpZdsrBv3x3bAQ/edit?resourcekey#gid=1321652304"",""Prop!$BQ$1:$CA""),11,0),iferror(vlookup(B14,importrange("""&amp;"https://docs.google.com/spreadsheets/d/1p53T2AuvvIqhP7Nf-bo3Uhj8cbKYRPpZdsrBv3x3bAQ/edit?resourcekey#gid=1321652304"",""Prop!$CB$1:$CL""),11,0),iferror(vlookup(B14,importrange(""https://docs.google.com/spreadsheets/d/1p53T2AuvvIqhP7Nf-bo3Uhj8cbKYRPpZdsrBv"&amp;"3x3bAQ/edit?resourcekey#gid=1321652304"",""Prop!$CM$1:$CX""),12,0),iferror(vlookup(B14,importrange(""https://docs.google.com/spreadsheets/d/1p53T2AuvvIqhP7Nf-bo3Uhj8cbKYRPpZdsrBv3x3bAQ/edit?resourcekey#gid=1321652304"",""Prop!$CY$1:$DI""),11,0)))))))))))"),"")</f>
        <v/>
      </c>
      <c r="R14" s="20" t="s">
        <v>1038</v>
      </c>
      <c r="S14" s="20" t="str">
        <f ca="1">IFERROR(__xludf.DUMMYFUNCTION("IFERROR(vlookup(B14,IMPORTRANGE(""https://docs.google.com/spreadsheets/d/1g_jfYYK_KeipEDNDUgqgrsxK94XiocfNQIcP-v1QVhI/edit?resourcekey#gid=233272945"",""Nilai!B:CT""),75,0),"" "")"),"Tidak ada file yang dilihat!")</f>
        <v>Tidak ada file yang dilihat!</v>
      </c>
      <c r="T14" s="20" t="str">
        <f ca="1">IFERROR(__xludf.DUMMYFUNCTION("IFERROR(vlookup(B14,IMPORTRANGE(""https://docs.google.com/spreadsheets/d/1g_jfYYK_KeipEDNDUgqgrsxK94XiocfNQIcP-v1QVhI/edit?resourcekey#gid=233272945"",""Nilai!B:CT""),97,0),"" "")"),"TIDAK LAYAK UPLOAD KE SIMBELMAWA")</f>
        <v>TIDAK LAYAK UPLOAD KE SIMBELMAWA</v>
      </c>
      <c r="U14" s="45" t="s">
        <v>719</v>
      </c>
      <c r="V14" s="46" t="s">
        <v>1039</v>
      </c>
      <c r="W14" s="43" t="s">
        <v>1050</v>
      </c>
      <c r="X14" s="44" t="b">
        <v>0</v>
      </c>
    </row>
    <row r="15" spans="1:24">
      <c r="A15" s="15">
        <v>13</v>
      </c>
      <c r="B15" s="15">
        <f ca="1">IFERROR(__xludf.DUMMYFUNCTION("""COMPUTED_VALUE"""),2607)</f>
        <v>2607</v>
      </c>
      <c r="C15" s="16" t="str">
        <f ca="1">IFERROR(__xludf.DUMMYFUNCTION("""COMPUTED_VALUE"""),"ZULFA VIKRIANDY")</f>
        <v>ZULFA VIKRIANDY</v>
      </c>
      <c r="D15" s="16" t="str">
        <f ca="1">IFERROR(__xludf.DUMMYFUNCTION("""COMPUTED_VALUE"""),"10211810013004")</f>
        <v>10211810013004</v>
      </c>
      <c r="E15" s="16" t="str">
        <f ca="1">IFERROR(__xludf.DUMMYFUNCTION("""COMPUTED_VALUE"""),"Departemen Teknik Mesin Industri")</f>
        <v>Departemen Teknik Mesin Industri</v>
      </c>
      <c r="F15" s="16" t="str">
        <f ca="1">IFERROR(__xludf.DUMMYFUNCTION("""COMPUTED_VALUE"""),"Inovasi mesin kristalisasi serbuk dengan metode double jacket")</f>
        <v>Inovasi mesin kristalisasi serbuk dengan metode double jacket</v>
      </c>
      <c r="G15" s="16" t="str">
        <f ca="1">IFERROR(__xludf.DUMMYFUNCTION("""COMPUTED_VALUE"""),"Ir. Nur Husodo, M.S")</f>
        <v>Ir. Nur Husodo, M.S</v>
      </c>
      <c r="H15" s="16" t="str">
        <f ca="1">IFERROR(__xludf.DUMMYFUNCTION("""COMPUTED_VALUE"""),"Andre Parvian Aristio, S.Kom., M.Sc.")</f>
        <v>Andre Parvian Aristio, S.Kom., M.Sc.</v>
      </c>
      <c r="I15" s="16" t="str">
        <f ca="1">IFERROR(__xludf.DUMMYFUNCTION("""COMPUTED_VALUE"""),"Azzah Dyah Pramata, S.T., M.T., M.Eng., Ph.D.")</f>
        <v>Azzah Dyah Pramata, S.T., M.T., M.Eng., Ph.D.</v>
      </c>
      <c r="J15" s="16" t="str">
        <f ca="1">IFERROR(__xludf.DUMMYFUNCTION("""COMPUTED_VALUE"""),"Arief Abdurrakhman, S.T., M.T.")</f>
        <v>Arief Abdurrakhman, S.T., M.T.</v>
      </c>
      <c r="K15" s="17" t="s">
        <v>1047</v>
      </c>
      <c r="L15" s="23" t="s">
        <v>1049</v>
      </c>
      <c r="M15" s="19" t="b">
        <v>0</v>
      </c>
      <c r="N15" s="19" t="b">
        <v>0</v>
      </c>
      <c r="O15" s="1" t="s">
        <v>1046</v>
      </c>
      <c r="P15" s="7" t="str">
        <f ca="1">IFERROR(__xludf.DUMMYFUNCTION("iferror(vlookup(B15,importrange(""https://docs.google.com/spreadsheets/d/1boHyJQ4e2FU0QG8MHwEi6qjX4hvZWVCHcFfXjq7bbMc/edit?resourcekey#gid=923248883"",""Prop!$C$1:$M""),12,0),IFERROR(vlookup(B15,importrange(""https://docs.google.com/spreadsheets/d/1boHyJQ"&amp;"4e2FU0QG8MHwEi6qjX4hvZWVCHcFfXjq7bbMc/edit?resourcekey#gid=923248883"",""Prop!$N$1:$X""),11,0),iferror(vlookup(B15,importrange(""https://docs.google.com/spreadsheets/d/1boHyJQ4e2FU0QG8MHwEi6qjX4hvZWVCHcFfXjq7bbMc/edit?resourcekey#gid=923248883"",""Prop!$Y"&amp;"$1:$AI""),11,0),iferror(vlookup(B15,importrange(""https://docs.google.com/spreadsheets/d/1boHyJQ4e2FU0QG8MHwEi6qjX4hvZWVCHcFfXjq7bbMc/edit?resourcekey#gid=923248883"",""Prop!$AJ$1:$AT""),11,0),iferror(vlookup(B15,importrange(""https://docs.google.com/spre"&amp;"adsheets/d/1boHyJQ4e2FU0QG8MHwEi6qjX4hvZWVCHcFfXjq7bbMc/edit?resourcekey#gid=923248883"",""Prop!$AU$1:$BE""),11,0),iferror(vlookup(B15,importrange(""https://docs.google.com/spreadsheets/d/1boHyJQ4e2FU0QG8MHwEi6qjX4hvZWVCHcFfXjq7bbMc/edit?resourcekey#gid=9"&amp;"23248883"",""Prop!$BF$1:$BP""),11,0),iferror(vlookup(B15,importrange(""https://docs.google.com/spreadsheets/d/1boHyJQ4e2FU0QG8MHwEi6qjX4hvZWVCHcFfXjq7bbMc/edit?resourcekey#gid=923248883"",""Prop!$BQ$1:$CA""),11,0),iferror(vlookup(B15,importrange(""https:/"&amp;"/docs.google.com/spreadsheets/d/1boHyJQ4e2FU0QG8MHwEi6qjX4hvZWVCHcFfXjq7bbMc/edit?resourcekey#gid=923248883"",""Prop!$CB$1:$CL""),11,0),iferror(vlookup(B15,importrange(""https://docs.google.com/spreadsheets/d/1boHyJQ4e2FU0QG8MHwEi6qjX4hvZWVCHcFfXjq7bbMc/e"&amp;"dit?resourcekey#gid=923248883"",""Prop!$CM$1:$CX""),12,0),iferror(vlookup(B15,importrange(""https://docs.google.com/spreadsheets/d/1boHyJQ4e2FU0QG8MHwEi6qjX4hvZWVCHcFfXjq7bbMc/edit?resourcekey#gid=923248883"",""Prop!$CV$1:$DI""),11,0)))))))))))"),"https://drive.google.com/open?id=1d1_1UWORFglni9QA9QbKde8xjXtgalnv")</f>
        <v>https://drive.google.com/open?id=1d1_1UWORFglni9QA9QbKde8xjXtgalnv</v>
      </c>
      <c r="Q15" s="7" t="str">
        <f ca="1">IFERROR(__xludf.DUMMYFUNCTION("iferror(vlookup(B15,importrange(""https://docs.google.com/spreadsheets/d/1p53T2AuvvIqhP7Nf-bo3Uhj8cbKYRPpZdsrBv3x3bAQ/edit?resourcekey#gid=1321652304"",""Prop!$C$1:$M""),11,0),IFERROR(vlookup(B15,importrange(""https://docs.google.com/spreadsheets/d/1p53T2"&amp;"AuvvIqhP7Nf-bo3Uhj8cbKYRPpZdsrBv3x3bAQ/edit?resourcekey#gid=1321652304"",""Prop!$N$1:$X""),11,0),iferror(vlookup(B15,importrange(""https://docs.google.com/spreadsheets/d/1p53T2AuvvIqhP7Nf-bo3Uhj8cbKYRPpZdsrBv3x3bAQ/edit?resourcekey#gid=1321652304"",""Prop"&amp;"!$Y$1:$AI""),11,0),iferror(vlookup(B15,importrange(""https://docs.google.com/spreadsheets/d/1p53T2AuvvIqhP7Nf-bo3Uhj8cbKYRPpZdsrBv3x3bAQ/edit?resourcekey#gid=1321652304"",""Prop!$AJ$1:$AT""),11,0),iferror(vlookup(B15,importrange(""https://docs.google.com/"&amp;"spreadsheets/d/1p53T2AuvvIqhP7Nf-bo3Uhj8cbKYRPpZdsrBv3x3bAQ/edit?resourcekey#gid=1321652304"",""Prop!$AU$1:$BE""),11,0),iferror(vlookup(B15,importrange(""https://docs.google.com/spreadsheets/d/1p53T2AuvvIqhP7Nf-bo3Uhj8cbKYRPpZdsrBv3x3bAQ/edit?resourcekey#"&amp;"gid=1321652304"",""Prop!$BF$1:$BP""),11,0),iferror(vlookup(B15,importrange(""https://docs.google.com/spreadsheets/d/1p53T2AuvvIqhP7Nf-bo3Uhj8cbKYRPpZdsrBv3x3bAQ/edit?resourcekey#gid=1321652304"",""Prop!$BQ$1:$CA""),11,0),iferror(vlookup(B15,importrange("""&amp;"https://docs.google.com/spreadsheets/d/1p53T2AuvvIqhP7Nf-bo3Uhj8cbKYRPpZdsrBv3x3bAQ/edit?resourcekey#gid=1321652304"",""Prop!$CB$1:$CL""),11,0),iferror(vlookup(B15,importrange(""https://docs.google.com/spreadsheets/d/1p53T2AuvvIqhP7Nf-bo3Uhj8cbKYRPpZdsrBv"&amp;"3x3bAQ/edit?resourcekey#gid=1321652304"",""Prop!$CM$1:$CX""),12,0),iferror(vlookup(B15,importrange(""https://docs.google.com/spreadsheets/d/1p53T2AuvvIqhP7Nf-bo3Uhj8cbKYRPpZdsrBv3x3bAQ/edit?resourcekey#gid=1321652304"",""Prop!$CY$1:$DI""),11,0)))))))))))"),"https://drive.google.com/open?id=1CUrkesELD49YG_0GlHUgBdxIAp9VVuwT")</f>
        <v>https://drive.google.com/open?id=1CUrkesELD49YG_0GlHUgBdxIAp9VVuwT</v>
      </c>
      <c r="R15" s="20" t="s">
        <v>1038</v>
      </c>
      <c r="S15" s="20" t="str">
        <f ca="1">IFERROR(__xludf.DUMMYFUNCTION("IFERROR(vlookup(B15,IMPORTRANGE(""https://docs.google.com/spreadsheets/d/1g_jfYYK_KeipEDNDUgqgrsxK94XiocfNQIcP-v1QVhI/edit?resourcekey#gid=233272945"",""Nilai!B:CT""),75,0),"" "")"),"Tahap pelaksanaan harusnya langsung kearah mesin double jacket.
Tabel pendanaan BELUM ada
Tabel kegiatan disinkronkan dengan metode pelaksanaan.
Rancangan komponen elektronik perlu diperjelas 
Sebaiknya tidak diperlukan PLC cukup VSD saja cukup")</f>
        <v>Tahap pelaksanaan harusnya langsung kearah mesin double jacket.
Tabel pendanaan BELUM ada
Tabel kegiatan disinkronkan dengan metode pelaksanaan.
Rancangan komponen elektronik perlu diperjelas 
Sebaiknya tidak diperlukan PLC cukup VSD saja cukup</v>
      </c>
      <c r="T15" s="20" t="str">
        <f ca="1">IFERROR(__xludf.DUMMYFUNCTION("IFERROR(vlookup(B15,IMPORTRANGE(""https://docs.google.com/spreadsheets/d/1g_jfYYK_KeipEDNDUgqgrsxK94XiocfNQIcP-v1QVhI/edit?resourcekey#gid=233272945"",""Nilai!B:CT""),97,0),"" "")"),"LAYAK UPLOAD KE SIMBELMAWA DENGAN REVISI")</f>
        <v>LAYAK UPLOAD KE SIMBELMAWA DENGAN REVISI</v>
      </c>
      <c r="U15" s="45" t="s">
        <v>719</v>
      </c>
      <c r="V15" s="46" t="s">
        <v>1039</v>
      </c>
      <c r="W15" s="43" t="s">
        <v>1050</v>
      </c>
      <c r="X15" s="44" t="b">
        <v>0</v>
      </c>
    </row>
    <row r="16" spans="1:24">
      <c r="A16" s="15">
        <v>14</v>
      </c>
      <c r="B16" s="15">
        <f ca="1">IFERROR(__xludf.DUMMYFUNCTION("""COMPUTED_VALUE"""),3499)</f>
        <v>3499</v>
      </c>
      <c r="C16" s="16" t="str">
        <f ca="1">IFERROR(__xludf.DUMMYFUNCTION("""COMPUTED_VALUE"""),"RADHWA RASHEESA")</f>
        <v>RADHWA RASHEESA</v>
      </c>
      <c r="D16" s="16" t="str">
        <f ca="1">IFERROR(__xludf.DUMMYFUNCTION("""COMPUTED_VALUE"""),"5022201140")</f>
        <v>5022201140</v>
      </c>
      <c r="E16" s="16" t="str">
        <f ca="1">IFERROR(__xludf.DUMMYFUNCTION("""COMPUTED_VALUE"""),"Departemen Teknik Elektro")</f>
        <v>Departemen Teknik Elektro</v>
      </c>
      <c r="F16" s="16" t="str">
        <f ca="1">IFERROR(__xludf.DUMMYFUNCTION("""COMPUTED_VALUE"""),"Garbage Disposal Sebagai Pembangkit Listrik Alternatif Tenaga Sampah (PLTSa) Berskala Rumah Tangga yang Efisien dan Terjangkau ")</f>
        <v xml:space="preserve">Garbage Disposal Sebagai Pembangkit Listrik Alternatif Tenaga Sampah (PLTSa) Berskala Rumah Tangga yang Efisien dan Terjangkau </v>
      </c>
      <c r="G16" s="16" t="str">
        <f ca="1">IFERROR(__xludf.DUMMYFUNCTION("""COMPUTED_VALUE"""),"Dr. I Gusti Ngurah Satriyadi Hernanda, S.T., M.T.")</f>
        <v>Dr. I Gusti Ngurah Satriyadi Hernanda, S.T., M.T.</v>
      </c>
      <c r="H16" s="16" t="str">
        <f ca="1">IFERROR(__xludf.DUMMYFUNCTION("""COMPUTED_VALUE"""),"Andre Parvian Aristio, S.Kom., M.Sc.")</f>
        <v>Andre Parvian Aristio, S.Kom., M.Sc.</v>
      </c>
      <c r="I16" s="16" t="str">
        <f ca="1">IFERROR(__xludf.DUMMYFUNCTION("""COMPUTED_VALUE"""),"Azzah Dyah Pramata, S.T., M.T., M.Eng., Ph.D.")</f>
        <v>Azzah Dyah Pramata, S.T., M.T., M.Eng., Ph.D.</v>
      </c>
      <c r="J16" s="16" t="str">
        <f ca="1">IFERROR(__xludf.DUMMYFUNCTION("""COMPUTED_VALUE"""),"Arief Abdurrakhman, S.T., M.T.")</f>
        <v>Arief Abdurrakhman, S.T., M.T.</v>
      </c>
      <c r="K16" s="17" t="s">
        <v>1051</v>
      </c>
      <c r="L16" s="23" t="s">
        <v>1049</v>
      </c>
      <c r="M16" s="19" t="b">
        <v>0</v>
      </c>
      <c r="N16" s="19" t="b">
        <v>0</v>
      </c>
      <c r="O16" s="1" t="s">
        <v>1046</v>
      </c>
      <c r="P16" s="7" t="str">
        <f ca="1">IFERROR(__xludf.DUMMYFUNCTION("iferror(vlookup(B16,importrange(""https://docs.google.com/spreadsheets/d/1boHyJQ4e2FU0QG8MHwEi6qjX4hvZWVCHcFfXjq7bbMc/edit?resourcekey#gid=923248883"",""Prop!$C$1:$M""),12,0),IFERROR(vlookup(B16,importrange(""https://docs.google.com/spreadsheets/d/1boHyJQ"&amp;"4e2FU0QG8MHwEi6qjX4hvZWVCHcFfXjq7bbMc/edit?resourcekey#gid=923248883"",""Prop!$N$1:$X""),11,0),iferror(vlookup(B16,importrange(""https://docs.google.com/spreadsheets/d/1boHyJQ4e2FU0QG8MHwEi6qjX4hvZWVCHcFfXjq7bbMc/edit?resourcekey#gid=923248883"",""Prop!$Y"&amp;"$1:$AI""),11,0),iferror(vlookup(B16,importrange(""https://docs.google.com/spreadsheets/d/1boHyJQ4e2FU0QG8MHwEi6qjX4hvZWVCHcFfXjq7bbMc/edit?resourcekey#gid=923248883"",""Prop!$AJ$1:$AT""),11,0),iferror(vlookup(B16,importrange(""https://docs.google.com/spre"&amp;"adsheets/d/1boHyJQ4e2FU0QG8MHwEi6qjX4hvZWVCHcFfXjq7bbMc/edit?resourcekey#gid=923248883"",""Prop!$AU$1:$BE""),11,0),iferror(vlookup(B16,importrange(""https://docs.google.com/spreadsheets/d/1boHyJQ4e2FU0QG8MHwEi6qjX4hvZWVCHcFfXjq7bbMc/edit?resourcekey#gid=9"&amp;"23248883"",""Prop!$BF$1:$BP""),11,0),iferror(vlookup(B16,importrange(""https://docs.google.com/spreadsheets/d/1boHyJQ4e2FU0QG8MHwEi6qjX4hvZWVCHcFfXjq7bbMc/edit?resourcekey#gid=923248883"",""Prop!$BQ$1:$CA""),11,0),iferror(vlookup(B16,importrange(""https:/"&amp;"/docs.google.com/spreadsheets/d/1boHyJQ4e2FU0QG8MHwEi6qjX4hvZWVCHcFfXjq7bbMc/edit?resourcekey#gid=923248883"",""Prop!$CB$1:$CL""),11,0),iferror(vlookup(B16,importrange(""https://docs.google.com/spreadsheets/d/1boHyJQ4e2FU0QG8MHwEi6qjX4hvZWVCHcFfXjq7bbMc/e"&amp;"dit?resourcekey#gid=923248883"",""Prop!$CM$1:$CX""),12,0),iferror(vlookup(B16,importrange(""https://docs.google.com/spreadsheets/d/1boHyJQ4e2FU0QG8MHwEi6qjX4hvZWVCHcFfXjq7bbMc/edit?resourcekey#gid=923248883"",""Prop!$CV$1:$DI""),11,0)))))))))))"),"https://drive.google.com/open?id=1A9MU26zY_50mEwpcVy7AtVqRTRXuX7Xg")</f>
        <v>https://drive.google.com/open?id=1A9MU26zY_50mEwpcVy7AtVqRTRXuX7Xg</v>
      </c>
      <c r="Q16" s="7" t="str">
        <f ca="1">IFERROR(__xludf.DUMMYFUNCTION("iferror(vlookup(B16,importrange(""https://docs.google.com/spreadsheets/d/1p53T2AuvvIqhP7Nf-bo3Uhj8cbKYRPpZdsrBv3x3bAQ/edit?resourcekey#gid=1321652304"",""Prop!$C$1:$M""),11,0),IFERROR(vlookup(B16,importrange(""https://docs.google.com/spreadsheets/d/1p53T2"&amp;"AuvvIqhP7Nf-bo3Uhj8cbKYRPpZdsrBv3x3bAQ/edit?resourcekey#gid=1321652304"",""Prop!$N$1:$X""),11,0),iferror(vlookup(B16,importrange(""https://docs.google.com/spreadsheets/d/1p53T2AuvvIqhP7Nf-bo3Uhj8cbKYRPpZdsrBv3x3bAQ/edit?resourcekey#gid=1321652304"",""Prop"&amp;"!$Y$1:$AI""),11,0),iferror(vlookup(B16,importrange(""https://docs.google.com/spreadsheets/d/1p53T2AuvvIqhP7Nf-bo3Uhj8cbKYRPpZdsrBv3x3bAQ/edit?resourcekey#gid=1321652304"",""Prop!$AJ$1:$AT""),11,0),iferror(vlookup(B16,importrange(""https://docs.google.com/"&amp;"spreadsheets/d/1p53T2AuvvIqhP7Nf-bo3Uhj8cbKYRPpZdsrBv3x3bAQ/edit?resourcekey#gid=1321652304"",""Prop!$AU$1:$BE""),11,0),iferror(vlookup(B16,importrange(""https://docs.google.com/spreadsheets/d/1p53T2AuvvIqhP7Nf-bo3Uhj8cbKYRPpZdsrBv3x3bAQ/edit?resourcekey#"&amp;"gid=1321652304"",""Prop!$BF$1:$BP""),11,0),iferror(vlookup(B16,importrange(""https://docs.google.com/spreadsheets/d/1p53T2AuvvIqhP7Nf-bo3Uhj8cbKYRPpZdsrBv3x3bAQ/edit?resourcekey#gid=1321652304"",""Prop!$BQ$1:$CA""),11,0),iferror(vlookup(B16,importrange("""&amp;"https://docs.google.com/spreadsheets/d/1p53T2AuvvIqhP7Nf-bo3Uhj8cbKYRPpZdsrBv3x3bAQ/edit?resourcekey#gid=1321652304"",""Prop!$CB$1:$CL""),11,0),iferror(vlookup(B16,importrange(""https://docs.google.com/spreadsheets/d/1p53T2AuvvIqhP7Nf-bo3Uhj8cbKYRPpZdsrBv"&amp;"3x3bAQ/edit?resourcekey#gid=1321652304"",""Prop!$CM$1:$CX""),12,0),iferror(vlookup(B16,importrange(""https://docs.google.com/spreadsheets/d/1p53T2AuvvIqhP7Nf-bo3Uhj8cbKYRPpZdsrBv3x3bAQ/edit?resourcekey#gid=1321652304"",""Prop!$CY$1:$DI""),11,0)))))))))))"),"https://drive.google.com/open?id=1sWWEpf2rNGN_WMLgbTeoHOJ3pTafx-p3")</f>
        <v>https://drive.google.com/open?id=1sWWEpf2rNGN_WMLgbTeoHOJ3pTafx-p3</v>
      </c>
      <c r="R16" s="20" t="s">
        <v>1038</v>
      </c>
      <c r="S16" s="20" t="str">
        <f ca="1">IFERROR(__xludf.DUMMYFUNCTION("IFERROR(vlookup(B16,IMPORTRANGE(""https://docs.google.com/spreadsheets/d/1g_jfYYK_KeipEDNDUgqgrsxK94XiocfNQIcP-v1QVhI/edit?resourcekey#gid=233272945"",""Nilai!B:CT""),75,0),"" "")"),"Memang TIDAK PERLU Daftar Isi?
Pendahuluan TIDAK ada Sitasi?
Ada sitasi yang belum ditulis di PUSTAKA
Metode Pelaksanaan:
Sepertinya ide masih angan2, kurang sesuai di PKM KI
Hanya berupa konsep, penggunaan teknologi 1 banding satu tidak nampak.")</f>
        <v>Memang TIDAK PERLU Daftar Isi?
Pendahuluan TIDAK ada Sitasi?
Ada sitasi yang belum ditulis di PUSTAKA
Metode Pelaksanaan:
Sepertinya ide masih angan2, kurang sesuai di PKM KI
Hanya berupa konsep, penggunaan teknologi 1 banding satu tidak nampak.</v>
      </c>
      <c r="T16" s="20" t="str">
        <f ca="1">IFERROR(__xludf.DUMMYFUNCTION("IFERROR(vlookup(B16,IMPORTRANGE(""https://docs.google.com/spreadsheets/d/1g_jfYYK_KeipEDNDUgqgrsxK94XiocfNQIcP-v1QVhI/edit?resourcekey#gid=233272945"",""Nilai!B:CT""),97,0),"" "")"),"TIDAK LAYAK UPLOAD KE SIMBELMAWA")</f>
        <v>TIDAK LAYAK UPLOAD KE SIMBELMAWA</v>
      </c>
      <c r="U16" s="45" t="s">
        <v>719</v>
      </c>
      <c r="V16" s="46" t="s">
        <v>1039</v>
      </c>
      <c r="W16" s="43" t="s">
        <v>1050</v>
      </c>
      <c r="X16" s="44" t="b">
        <v>0</v>
      </c>
    </row>
    <row r="17" spans="1:24">
      <c r="A17" s="15">
        <v>15</v>
      </c>
      <c r="B17" s="15">
        <f ca="1">IFERROR(__xludf.DUMMYFUNCTION("""COMPUTED_VALUE"""),3794)</f>
        <v>3794</v>
      </c>
      <c r="C17" s="16" t="str">
        <f ca="1">IFERROR(__xludf.DUMMYFUNCTION("""COMPUTED_VALUE"""),"IRFAN HAMZAH FANSYURI")</f>
        <v>IRFAN HAMZAH FANSYURI</v>
      </c>
      <c r="D17" s="16" t="str">
        <f ca="1">IFERROR(__xludf.DUMMYFUNCTION("""COMPUTED_VALUE"""),"10311910000055")</f>
        <v>10311910000055</v>
      </c>
      <c r="E17" s="16" t="str">
        <f ca="1">IFERROR(__xludf.DUMMYFUNCTION("""COMPUTED_VALUE"""),"Departemen Teknik Elektro Otomasi")</f>
        <v>Departemen Teknik Elektro Otomasi</v>
      </c>
      <c r="F17" s="16" t="str">
        <f ca="1">IFERROR(__xludf.DUMMYFUNCTION("""COMPUTED_VALUE"""),"(PETE TORAP) Pengecat Tembok Otomatis Berbasis PLC")</f>
        <v>(PETE TORAP) Pengecat Tembok Otomatis Berbasis PLC</v>
      </c>
      <c r="G17" s="16" t="str">
        <f ca="1">IFERROR(__xludf.DUMMYFUNCTION("""COMPUTED_VALUE"""),"Dr.Eng. Imam Wahyudi Farid, S.T., M.T.")</f>
        <v>Dr.Eng. Imam Wahyudi Farid, S.T., M.T.</v>
      </c>
      <c r="H17" s="16" t="str">
        <f ca="1">IFERROR(__xludf.DUMMYFUNCTION("""COMPUTED_VALUE"""),"Andre Parvian Aristio, S.Kom., M.Sc.")</f>
        <v>Andre Parvian Aristio, S.Kom., M.Sc.</v>
      </c>
      <c r="I17" s="16" t="str">
        <f ca="1">IFERROR(__xludf.DUMMYFUNCTION("""COMPUTED_VALUE"""),"Azzah Dyah Pramata, S.T., M.T., M.Eng., Ph.D.")</f>
        <v>Azzah Dyah Pramata, S.T., M.T., M.Eng., Ph.D.</v>
      </c>
      <c r="J17" s="16" t="str">
        <f ca="1">IFERROR(__xludf.DUMMYFUNCTION("""COMPUTED_VALUE"""),"Arief Abdurrakhman, S.T., M.T.")</f>
        <v>Arief Abdurrakhman, S.T., M.T.</v>
      </c>
      <c r="K17" s="17" t="s">
        <v>1051</v>
      </c>
      <c r="L17" s="23" t="s">
        <v>1049</v>
      </c>
      <c r="M17" s="19" t="b">
        <v>1</v>
      </c>
      <c r="N17" s="19" t="b">
        <v>1</v>
      </c>
      <c r="O17" s="1" t="s">
        <v>1046</v>
      </c>
      <c r="P17" s="7" t="str">
        <f ca="1">IFERROR(__xludf.DUMMYFUNCTION("iferror(vlookup(B17,importrange(""https://docs.google.com/spreadsheets/d/1boHyJQ4e2FU0QG8MHwEi6qjX4hvZWVCHcFfXjq7bbMc/edit?resourcekey#gid=923248883"",""Prop!$C$1:$M""),12,0),IFERROR(vlookup(B17,importrange(""https://docs.google.com/spreadsheets/d/1boHyJQ"&amp;"4e2FU0QG8MHwEi6qjX4hvZWVCHcFfXjq7bbMc/edit?resourcekey#gid=923248883"",""Prop!$N$1:$X""),11,0),iferror(vlookup(B17,importrange(""https://docs.google.com/spreadsheets/d/1boHyJQ4e2FU0QG8MHwEi6qjX4hvZWVCHcFfXjq7bbMc/edit?resourcekey#gid=923248883"",""Prop!$Y"&amp;"$1:$AI""),11,0),iferror(vlookup(B17,importrange(""https://docs.google.com/spreadsheets/d/1boHyJQ4e2FU0QG8MHwEi6qjX4hvZWVCHcFfXjq7bbMc/edit?resourcekey#gid=923248883"",""Prop!$AJ$1:$AT""),11,0),iferror(vlookup(B17,importrange(""https://docs.google.com/spre"&amp;"adsheets/d/1boHyJQ4e2FU0QG8MHwEi6qjX4hvZWVCHcFfXjq7bbMc/edit?resourcekey#gid=923248883"",""Prop!$AU$1:$BE""),11,0),iferror(vlookup(B17,importrange(""https://docs.google.com/spreadsheets/d/1boHyJQ4e2FU0QG8MHwEi6qjX4hvZWVCHcFfXjq7bbMc/edit?resourcekey#gid=9"&amp;"23248883"",""Prop!$BF$1:$BP""),11,0),iferror(vlookup(B17,importrange(""https://docs.google.com/spreadsheets/d/1boHyJQ4e2FU0QG8MHwEi6qjX4hvZWVCHcFfXjq7bbMc/edit?resourcekey#gid=923248883"",""Prop!$BQ$1:$CA""),11,0),iferror(vlookup(B17,importrange(""https:/"&amp;"/docs.google.com/spreadsheets/d/1boHyJQ4e2FU0QG8MHwEi6qjX4hvZWVCHcFfXjq7bbMc/edit?resourcekey#gid=923248883"",""Prop!$CB$1:$CL""),11,0),iferror(vlookup(B17,importrange(""https://docs.google.com/spreadsheets/d/1boHyJQ4e2FU0QG8MHwEi6qjX4hvZWVCHcFfXjq7bbMc/e"&amp;"dit?resourcekey#gid=923248883"",""Prop!$CM$1:$CX""),12,0),iferror(vlookup(B17,importrange(""https://docs.google.com/spreadsheets/d/1boHyJQ4e2FU0QG8MHwEi6qjX4hvZWVCHcFfXjq7bbMc/edit?resourcekey#gid=923248883"",""Prop!$CV$1:$DI""),11,0)))))))))))"),"https://drive.google.com/open?id=19UyFVJ0nHLJCQ1VlNYwzj7mDsqiBIPc0")</f>
        <v>https://drive.google.com/open?id=19UyFVJ0nHLJCQ1VlNYwzj7mDsqiBIPc0</v>
      </c>
      <c r="Q17" s="7" t="str">
        <f ca="1">IFERROR(__xludf.DUMMYFUNCTION("iferror(vlookup(B17,importrange(""https://docs.google.com/spreadsheets/d/1p53T2AuvvIqhP7Nf-bo3Uhj8cbKYRPpZdsrBv3x3bAQ/edit?resourcekey#gid=1321652304"",""Prop!$C$1:$M""),11,0),IFERROR(vlookup(B17,importrange(""https://docs.google.com/spreadsheets/d/1p53T2"&amp;"AuvvIqhP7Nf-bo3Uhj8cbKYRPpZdsrBv3x3bAQ/edit?resourcekey#gid=1321652304"",""Prop!$N$1:$X""),11,0),iferror(vlookup(B17,importrange(""https://docs.google.com/spreadsheets/d/1p53T2AuvvIqhP7Nf-bo3Uhj8cbKYRPpZdsrBv3x3bAQ/edit?resourcekey#gid=1321652304"",""Prop"&amp;"!$Y$1:$AI""),11,0),iferror(vlookup(B17,importrange(""https://docs.google.com/spreadsheets/d/1p53T2AuvvIqhP7Nf-bo3Uhj8cbKYRPpZdsrBv3x3bAQ/edit?resourcekey#gid=1321652304"",""Prop!$AJ$1:$AT""),11,0),iferror(vlookup(B17,importrange(""https://docs.google.com/"&amp;"spreadsheets/d/1p53T2AuvvIqhP7Nf-bo3Uhj8cbKYRPpZdsrBv3x3bAQ/edit?resourcekey#gid=1321652304"",""Prop!$AU$1:$BE""),11,0),iferror(vlookup(B17,importrange(""https://docs.google.com/spreadsheets/d/1p53T2AuvvIqhP7Nf-bo3Uhj8cbKYRPpZdsrBv3x3bAQ/edit?resourcekey#"&amp;"gid=1321652304"",""Prop!$BF$1:$BP""),11,0),iferror(vlookup(B17,importrange(""https://docs.google.com/spreadsheets/d/1p53T2AuvvIqhP7Nf-bo3Uhj8cbKYRPpZdsrBv3x3bAQ/edit?resourcekey#gid=1321652304"",""Prop!$BQ$1:$CA""),11,0),iferror(vlookup(B17,importrange("""&amp;"https://docs.google.com/spreadsheets/d/1p53T2AuvvIqhP7Nf-bo3Uhj8cbKYRPpZdsrBv3x3bAQ/edit?resourcekey#gid=1321652304"",""Prop!$CB$1:$CL""),11,0),iferror(vlookup(B17,importrange(""https://docs.google.com/spreadsheets/d/1p53T2AuvvIqhP7Nf-bo3Uhj8cbKYRPpZdsrBv"&amp;"3x3bAQ/edit?resourcekey#gid=1321652304"",""Prop!$CM$1:$CX""),12,0),iferror(vlookup(B17,importrange(""https://docs.google.com/spreadsheets/d/1p53T2AuvvIqhP7Nf-bo3Uhj8cbKYRPpZdsrBv3x3bAQ/edit?resourcekey#gid=1321652304"",""Prop!$CY$1:$DI""),11,0)))))))))))"),"https://drive.google.com/open?id=1MeCxscLqamC5K4VxAwLwa3GjkyRfep7h")</f>
        <v>https://drive.google.com/open?id=1MeCxscLqamC5K4VxAwLwa3GjkyRfep7h</v>
      </c>
      <c r="R17" s="20" t="s">
        <v>1038</v>
      </c>
      <c r="S17" s="20" t="str">
        <f ca="1">IFERROR(__xludf.DUMMYFUNCTION("IFERROR(vlookup(B17,IMPORTRANGE(""https://docs.google.com/spreadsheets/d/1g_jfYYK_KeipEDNDUgqgrsxK94XiocfNQIcP-v1QVhI/edit?resourcekey#gid=233272945"",""Nilai!B:CT""),75,0),"" "")"),"Spasi
Margin
SItasi tidak tergambar di Pustaka
Jadwal kegiatan dan Metode pelaksanaan TIDAK SINKRON
Metode pelaksanaan tidak jelas pelaksanaannya
DIsain mekanik Tidak mengacu dari literatur, terkesan disain yang coba2.
Karena gambar menggunakan komponen y"&amp;"ang tidak standar.
Peran PLC sebagai perangkat canggih tidak tergambar jelas.
Tanpa menggunakan PLC bisa dilaksanakan kegiatan PKM KI ini.")</f>
        <v>Spasi
Margin
SItasi tidak tergambar di Pustaka
Jadwal kegiatan dan Metode pelaksanaan TIDAK SINKRON
Metode pelaksanaan tidak jelas pelaksanaannya
DIsain mekanik Tidak mengacu dari literatur, terkesan disain yang coba2.
Karena gambar menggunakan komponen yang tidak standar.
Peran PLC sebagai perangkat canggih tidak tergambar jelas.
Tanpa menggunakan PLC bisa dilaksanakan kegiatan PKM KI ini.</v>
      </c>
      <c r="T17" s="20" t="str">
        <f ca="1">IFERROR(__xludf.DUMMYFUNCTION("IFERROR(vlookup(B17,IMPORTRANGE(""https://docs.google.com/spreadsheets/d/1g_jfYYK_KeipEDNDUgqgrsxK94XiocfNQIcP-v1QVhI/edit?resourcekey#gid=233272945"",""Nilai!B:CT""),97,0),"" "")"),"TIDAK LAYAK UPLOAD KE SIMBELMAWA")</f>
        <v>TIDAK LAYAK UPLOAD KE SIMBELMAWA</v>
      </c>
      <c r="U17" s="45" t="s">
        <v>719</v>
      </c>
      <c r="V17" s="46" t="s">
        <v>1039</v>
      </c>
      <c r="W17" s="43" t="s">
        <v>1052</v>
      </c>
      <c r="X17" s="44" t="b">
        <v>1</v>
      </c>
    </row>
    <row r="18" spans="1:24">
      <c r="A18" s="40">
        <v>16</v>
      </c>
      <c r="B18" s="40">
        <f ca="1">IFERROR(__xludf.DUMMYFUNCTION("""COMPUTED_VALUE"""),2259)</f>
        <v>2259</v>
      </c>
      <c r="C18" s="41" t="str">
        <f ca="1">IFERROR(__xludf.DUMMYFUNCTION("""COMPUTED_VALUE"""),"ROSYIDATUL MUNAWAROH")</f>
        <v>ROSYIDATUL MUNAWAROH</v>
      </c>
      <c r="D18" s="41" t="str">
        <f ca="1">IFERROR(__xludf.DUMMYFUNCTION("""COMPUTED_VALUE"""),"2042201118")</f>
        <v>2042201118</v>
      </c>
      <c r="E18" s="41" t="str">
        <f ca="1">IFERROR(__xludf.DUMMYFUNCTION("""COMPUTED_VALUE"""),"Departemen Teknik Instrumentasi")</f>
        <v>Departemen Teknik Instrumentasi</v>
      </c>
      <c r="F18" s="41" t="str">
        <f ca="1">IFERROR(__xludf.DUMMYFUNCTION("""COMPUTED_VALUE"""),"PEMANFAATAN TEKNOLOGI DALAM PEMBUATAN MIE UNTUK MENINGKATKAN PRODUKTIVITAS KERJA UMKM DENGAN SISTEM PENGGILING OTOMATIS
")</f>
        <v xml:space="preserve">PEMANFAATAN TEKNOLOGI DALAM PEMBUATAN MIE UNTUK MENINGKATKAN PRODUKTIVITAS KERJA UMKM DENGAN SISTEM PENGGILING OTOMATIS
</v>
      </c>
      <c r="G18" s="41" t="str">
        <f ca="1">IFERROR(__xludf.DUMMYFUNCTION("""COMPUTED_VALUE"""),"Murry Raditya, S.T., M.T.")</f>
        <v>Murry Raditya, S.T., M.T.</v>
      </c>
      <c r="H18" s="41" t="str">
        <f ca="1">IFERROR(__xludf.DUMMYFUNCTION("""COMPUTED_VALUE"""),"Andre Parvian Aristio, S.Kom., M.Sc.")</f>
        <v>Andre Parvian Aristio, S.Kom., M.Sc.</v>
      </c>
      <c r="I18" s="41" t="str">
        <f ca="1">IFERROR(__xludf.DUMMYFUNCTION("""COMPUTED_VALUE"""),"Azzah Dyah Pramata, S.T., M.T., M.Eng., Ph.D.")</f>
        <v>Azzah Dyah Pramata, S.T., M.T., M.Eng., Ph.D.</v>
      </c>
      <c r="J18" s="41" t="str">
        <f ca="1">IFERROR(__xludf.DUMMYFUNCTION("""COMPUTED_VALUE"""),"Arief Abdurrakhman, S.T., M.T.")</f>
        <v>Arief Abdurrakhman, S.T., M.T.</v>
      </c>
      <c r="K18" s="42" t="s">
        <v>1051</v>
      </c>
      <c r="L18" s="43" t="s">
        <v>1053</v>
      </c>
      <c r="M18" s="44" t="b">
        <v>1</v>
      </c>
      <c r="N18" s="44" t="b">
        <v>1</v>
      </c>
      <c r="O18" s="31" t="s">
        <v>1054</v>
      </c>
      <c r="P18" s="7" t="str">
        <f ca="1">IFERROR(__xludf.DUMMYFUNCTION("iferror(vlookup(B18,importrange(""https://docs.google.com/spreadsheets/d/1boHyJQ4e2FU0QG8MHwEi6qjX4hvZWVCHcFfXjq7bbMc/edit?resourcekey#gid=923248883"",""Prop!$C$1:$M""),12,0),IFERROR(vlookup(B18,importrange(""https://docs.google.com/spreadsheets/d/1boHyJQ"&amp;"4e2FU0QG8MHwEi6qjX4hvZWVCHcFfXjq7bbMc/edit?resourcekey#gid=923248883"",""Prop!$N$1:$X""),11,0),iferror(vlookup(B18,importrange(""https://docs.google.com/spreadsheets/d/1boHyJQ4e2FU0QG8MHwEi6qjX4hvZWVCHcFfXjq7bbMc/edit?resourcekey#gid=923248883"",""Prop!$Y"&amp;"$1:$AI""),11,0),iferror(vlookup(B18,importrange(""https://docs.google.com/spreadsheets/d/1boHyJQ4e2FU0QG8MHwEi6qjX4hvZWVCHcFfXjq7bbMc/edit?resourcekey#gid=923248883"",""Prop!$AJ$1:$AT""),11,0),iferror(vlookup(B18,importrange(""https://docs.google.com/spre"&amp;"adsheets/d/1boHyJQ4e2FU0QG8MHwEi6qjX4hvZWVCHcFfXjq7bbMc/edit?resourcekey#gid=923248883"",""Prop!$AU$1:$BE""),11,0),iferror(vlookup(B18,importrange(""https://docs.google.com/spreadsheets/d/1boHyJQ4e2FU0QG8MHwEi6qjX4hvZWVCHcFfXjq7bbMc/edit?resourcekey#gid=9"&amp;"23248883"",""Prop!$BF$1:$BP""),11,0),iferror(vlookup(B18,importrange(""https://docs.google.com/spreadsheets/d/1boHyJQ4e2FU0QG8MHwEi6qjX4hvZWVCHcFfXjq7bbMc/edit?resourcekey#gid=923248883"",""Prop!$BQ$1:$CA""),11,0),iferror(vlookup(B18,importrange(""https:/"&amp;"/docs.google.com/spreadsheets/d/1boHyJQ4e2FU0QG8MHwEi6qjX4hvZWVCHcFfXjq7bbMc/edit?resourcekey#gid=923248883"",""Prop!$CB$1:$CL""),11,0),iferror(vlookup(B18,importrange(""https://docs.google.com/spreadsheets/d/1boHyJQ4e2FU0QG8MHwEi6qjX4hvZWVCHcFfXjq7bbMc/e"&amp;"dit?resourcekey#gid=923248883"",""Prop!$CM$1:$CX""),12,0),iferror(vlookup(B18,importrange(""https://docs.google.com/spreadsheets/d/1boHyJQ4e2FU0QG8MHwEi6qjX4hvZWVCHcFfXjq7bbMc/edit?resourcekey#gid=923248883"",""Prop!$CV$1:$DI""),11,0)))))))))))"),"https://drive.google.com/open?id=1nfmIhVj68Lok5VMClXERvKl6DoVnp5tN")</f>
        <v>https://drive.google.com/open?id=1nfmIhVj68Lok5VMClXERvKl6DoVnp5tN</v>
      </c>
      <c r="Q18" s="1" t="str">
        <f ca="1">IFERROR(__xludf.DUMMYFUNCTION("iferror(vlookup(B18,importrange(""https://docs.google.com/spreadsheets/d/1p53T2AuvvIqhP7Nf-bo3Uhj8cbKYRPpZdsrBv3x3bAQ/edit?resourcekey#gid=1321652304"",""Prop!$C$1:$M""),11,0),IFERROR(vlookup(B18,importrange(""https://docs.google.com/spreadsheets/d/1p53T2"&amp;"AuvvIqhP7Nf-bo3Uhj8cbKYRPpZdsrBv3x3bAQ/edit?resourcekey#gid=1321652304"",""Prop!$N$1:$X""),11,0),iferror(vlookup(B18,importrange(""https://docs.google.com/spreadsheets/d/1p53T2AuvvIqhP7Nf-bo3Uhj8cbKYRPpZdsrBv3x3bAQ/edit?resourcekey#gid=1321652304"",""Prop"&amp;"!$Y$1:$AI""),11,0),iferror(vlookup(B18,importrange(""https://docs.google.com/spreadsheets/d/1p53T2AuvvIqhP7Nf-bo3Uhj8cbKYRPpZdsrBv3x3bAQ/edit?resourcekey#gid=1321652304"",""Prop!$AJ$1:$AT""),11,0),iferror(vlookup(B18,importrange(""https://docs.google.com/"&amp;"spreadsheets/d/1p53T2AuvvIqhP7Nf-bo3Uhj8cbKYRPpZdsrBv3x3bAQ/edit?resourcekey#gid=1321652304"",""Prop!$AU$1:$BE""),11,0),iferror(vlookup(B18,importrange(""https://docs.google.com/spreadsheets/d/1p53T2AuvvIqhP7Nf-bo3Uhj8cbKYRPpZdsrBv3x3bAQ/edit?resourcekey#"&amp;"gid=1321652304"",""Prop!$BF$1:$BP""),11,0),iferror(vlookup(B18,importrange(""https://docs.google.com/spreadsheets/d/1p53T2AuvvIqhP7Nf-bo3Uhj8cbKYRPpZdsrBv3x3bAQ/edit?resourcekey#gid=1321652304"",""Prop!$BQ$1:$CA""),11,0),iferror(vlookup(B18,importrange("""&amp;"https://docs.google.com/spreadsheets/d/1p53T2AuvvIqhP7Nf-bo3Uhj8cbKYRPpZdsrBv3x3bAQ/edit?resourcekey#gid=1321652304"",""Prop!$CB$1:$CL""),11,0),iferror(vlookup(B18,importrange(""https://docs.google.com/spreadsheets/d/1p53T2AuvvIqhP7Nf-bo3Uhj8cbKYRPpZdsrBv"&amp;"3x3bAQ/edit?resourcekey#gid=1321652304"",""Prop!$CM$1:$CX""),12,0),iferror(vlookup(B18,importrange(""https://docs.google.com/spreadsheets/d/1p53T2AuvvIqhP7Nf-bo3Uhj8cbKYRPpZdsrBv3x3bAQ/edit?resourcekey#gid=1321652304"",""Prop!$CY$1:$DI""),11,0)))))))))))"),"")</f>
        <v/>
      </c>
      <c r="R18" s="20" t="s">
        <v>1038</v>
      </c>
      <c r="S18" s="20" t="str">
        <f ca="1">IFERROR(__xludf.DUMMYFUNCTION("IFERROR(vlookup(B18,IMPORTRANGE(""https://docs.google.com/spreadsheets/d/1g_jfYYK_KeipEDNDUgqgrsxK94XiocfNQIcP-v1QVhI/edit?resourcekey#gid=233272945"",""Nilai!B:CT""),75,0),"" "")"),"Pendahuluan miskin cerita Pentingnya teknologi pemuat mie
Teknologi saat ini bagaimana sehingga perlu pembuatan mie
Metode pelaksanaan tidak jelas (hanya cerita komponen elektronik)
Rancangan mekanik dan elektronik meragukan, karena tidak ada penjelasan.
"&amp;"Di pembelanjaan material ternyata membeli mesin pembuat mie, dirancangan alat ada gambar konveyor?")</f>
        <v>Pendahuluan miskin cerita Pentingnya teknologi pemuat mie
Teknologi saat ini bagaimana sehingga perlu pembuatan mie
Metode pelaksanaan tidak jelas (hanya cerita komponen elektronik)
Rancangan mekanik dan elektronik meragukan, karena tidak ada penjelasan.
Di pembelanjaan material ternyata membeli mesin pembuat mie, dirancangan alat ada gambar konveyor?</v>
      </c>
      <c r="T18" s="20" t="str">
        <f ca="1">IFERROR(__xludf.DUMMYFUNCTION("IFERROR(vlookup(B18,IMPORTRANGE(""https://docs.google.com/spreadsheets/d/1g_jfYYK_KeipEDNDUgqgrsxK94XiocfNQIcP-v1QVhI/edit?resourcekey#gid=233272945"",""Nilai!B:CT""),97,0),"" "")"),"TIDAK LAYAK UPLOAD KE SIMBELMAWA")</f>
        <v>TIDAK LAYAK UPLOAD KE SIMBELMAWA</v>
      </c>
      <c r="U18" s="45" t="s">
        <v>719</v>
      </c>
      <c r="V18" s="46" t="s">
        <v>1039</v>
      </c>
      <c r="W18" s="43" t="s">
        <v>1052</v>
      </c>
      <c r="X18" s="44" t="b">
        <v>0</v>
      </c>
    </row>
    <row r="19" spans="1:24">
      <c r="A19" s="15">
        <v>17</v>
      </c>
      <c r="B19" s="15">
        <f ca="1">IFERROR(__xludf.DUMMYFUNCTION("""COMPUTED_VALUE"""),2768)</f>
        <v>2768</v>
      </c>
      <c r="C19" s="16" t="str">
        <f ca="1">IFERROR(__xludf.DUMMYFUNCTION("""COMPUTED_VALUE"""),"MUHAMMAD FARID ASYAM")</f>
        <v>MUHAMMAD FARID ASYAM</v>
      </c>
      <c r="D19" s="16" t="str">
        <f ca="1">IFERROR(__xludf.DUMMYFUNCTION("""COMPUTED_VALUE"""),"5007201059")</f>
        <v>5007201059</v>
      </c>
      <c r="E19" s="16" t="str">
        <f ca="1">IFERROR(__xludf.DUMMYFUNCTION("""COMPUTED_VALUE"""),"Departemen Teknik Mesin")</f>
        <v>Departemen Teknik Mesin</v>
      </c>
      <c r="F19" s="16" t="str">
        <f ca="1">IFERROR(__xludf.DUMMYFUNCTION("""COMPUTED_VALUE"""),"SOLARITREE: Pohon dan Taman Energi Untuk Membangun Semangat Transisi Energi Terbarukan di Indonesia 2045")</f>
        <v>SOLARITREE: Pohon dan Taman Energi Untuk Membangun Semangat Transisi Energi Terbarukan di Indonesia 2045</v>
      </c>
      <c r="G19" s="16" t="str">
        <f ca="1">IFERROR(__xludf.DUMMYFUNCTION("""COMPUTED_VALUE"""),"Alief Wikarta, ST., MSc.Eng. Ph.D")</f>
        <v>Alief Wikarta, ST., MSc.Eng. Ph.D</v>
      </c>
      <c r="H19" s="16" t="str">
        <f ca="1">IFERROR(__xludf.DUMMYFUNCTION("""COMPUTED_VALUE"""),"Andre Parvian Aristio, S.Kom., M.Sc.")</f>
        <v>Andre Parvian Aristio, S.Kom., M.Sc.</v>
      </c>
      <c r="I19" s="16" t="str">
        <f ca="1">IFERROR(__xludf.DUMMYFUNCTION("""COMPUTED_VALUE"""),"Azzah Dyah Pramata, S.T., M.T., M.Eng., Ph.D.")</f>
        <v>Azzah Dyah Pramata, S.T., M.T., M.Eng., Ph.D.</v>
      </c>
      <c r="J19" s="16" t="str">
        <f ca="1">IFERROR(__xludf.DUMMYFUNCTION("""COMPUTED_VALUE"""),"Arief Abdurrakhman, S.T., M.T.")</f>
        <v>Arief Abdurrakhman, S.T., M.T.</v>
      </c>
      <c r="K19" s="17" t="s">
        <v>1051</v>
      </c>
      <c r="L19" s="23" t="s">
        <v>1053</v>
      </c>
      <c r="M19" s="19" t="b">
        <v>0</v>
      </c>
      <c r="N19" s="19" t="b">
        <v>0</v>
      </c>
      <c r="O19" s="1" t="s">
        <v>1054</v>
      </c>
      <c r="P19" s="7" t="str">
        <f ca="1">IFERROR(__xludf.DUMMYFUNCTION("iferror(vlookup(B19,importrange(""https://docs.google.com/spreadsheets/d/1boHyJQ4e2FU0QG8MHwEi6qjX4hvZWVCHcFfXjq7bbMc/edit?resourcekey#gid=923248883"",""Prop!$C$1:$M""),12,0),IFERROR(vlookup(B19,importrange(""https://docs.google.com/spreadsheets/d/1boHyJQ"&amp;"4e2FU0QG8MHwEi6qjX4hvZWVCHcFfXjq7bbMc/edit?resourcekey#gid=923248883"",""Prop!$N$1:$X""),11,0),iferror(vlookup(B19,importrange(""https://docs.google.com/spreadsheets/d/1boHyJQ4e2FU0QG8MHwEi6qjX4hvZWVCHcFfXjq7bbMc/edit?resourcekey#gid=923248883"",""Prop!$Y"&amp;"$1:$AI""),11,0),iferror(vlookup(B19,importrange(""https://docs.google.com/spreadsheets/d/1boHyJQ4e2FU0QG8MHwEi6qjX4hvZWVCHcFfXjq7bbMc/edit?resourcekey#gid=923248883"",""Prop!$AJ$1:$AT""),11,0),iferror(vlookup(B19,importrange(""https://docs.google.com/spre"&amp;"adsheets/d/1boHyJQ4e2FU0QG8MHwEi6qjX4hvZWVCHcFfXjq7bbMc/edit?resourcekey#gid=923248883"",""Prop!$AU$1:$BE""),11,0),iferror(vlookup(B19,importrange(""https://docs.google.com/spreadsheets/d/1boHyJQ4e2FU0QG8MHwEi6qjX4hvZWVCHcFfXjq7bbMc/edit?resourcekey#gid=9"&amp;"23248883"",""Prop!$BF$1:$BP""),11,0),iferror(vlookup(B19,importrange(""https://docs.google.com/spreadsheets/d/1boHyJQ4e2FU0QG8MHwEi6qjX4hvZWVCHcFfXjq7bbMc/edit?resourcekey#gid=923248883"",""Prop!$BQ$1:$CA""),11,0),iferror(vlookup(B19,importrange(""https:/"&amp;"/docs.google.com/spreadsheets/d/1boHyJQ4e2FU0QG8MHwEi6qjX4hvZWVCHcFfXjq7bbMc/edit?resourcekey#gid=923248883"",""Prop!$CB$1:$CL""),11,0),iferror(vlookup(B19,importrange(""https://docs.google.com/spreadsheets/d/1boHyJQ4e2FU0QG8MHwEi6qjX4hvZWVCHcFfXjq7bbMc/e"&amp;"dit?resourcekey#gid=923248883"",""Prop!$CM$1:$CX""),12,0),iferror(vlookup(B19,importrange(""https://docs.google.com/spreadsheets/d/1boHyJQ4e2FU0QG8MHwEi6qjX4hvZWVCHcFfXjq7bbMc/edit?resourcekey#gid=923248883"",""Prop!$CV$1:$DI""),11,0)))))))))))"),"https://drive.google.com/open?id=12OhvM6ba_U7DGqXZxfMZlcuvbBaxfSQN")</f>
        <v>https://drive.google.com/open?id=12OhvM6ba_U7DGqXZxfMZlcuvbBaxfSQN</v>
      </c>
      <c r="Q19" s="7" t="str">
        <f ca="1">IFERROR(__xludf.DUMMYFUNCTION("iferror(vlookup(B19,importrange(""https://docs.google.com/spreadsheets/d/1p53T2AuvvIqhP7Nf-bo3Uhj8cbKYRPpZdsrBv3x3bAQ/edit?resourcekey#gid=1321652304"",""Prop!$C$1:$M""),11,0),IFERROR(vlookup(B19,importrange(""https://docs.google.com/spreadsheets/d/1p53T2"&amp;"AuvvIqhP7Nf-bo3Uhj8cbKYRPpZdsrBv3x3bAQ/edit?resourcekey#gid=1321652304"",""Prop!$N$1:$X""),11,0),iferror(vlookup(B19,importrange(""https://docs.google.com/spreadsheets/d/1p53T2AuvvIqhP7Nf-bo3Uhj8cbKYRPpZdsrBv3x3bAQ/edit?resourcekey#gid=1321652304"",""Prop"&amp;"!$Y$1:$AI""),11,0),iferror(vlookup(B19,importrange(""https://docs.google.com/spreadsheets/d/1p53T2AuvvIqhP7Nf-bo3Uhj8cbKYRPpZdsrBv3x3bAQ/edit?resourcekey#gid=1321652304"",""Prop!$AJ$1:$AT""),11,0),iferror(vlookup(B19,importrange(""https://docs.google.com/"&amp;"spreadsheets/d/1p53T2AuvvIqhP7Nf-bo3Uhj8cbKYRPpZdsrBv3x3bAQ/edit?resourcekey#gid=1321652304"",""Prop!$AU$1:$BE""),11,0),iferror(vlookup(B19,importrange(""https://docs.google.com/spreadsheets/d/1p53T2AuvvIqhP7Nf-bo3Uhj8cbKYRPpZdsrBv3x3bAQ/edit?resourcekey#"&amp;"gid=1321652304"",""Prop!$BF$1:$BP""),11,0),iferror(vlookup(B19,importrange(""https://docs.google.com/spreadsheets/d/1p53T2AuvvIqhP7Nf-bo3Uhj8cbKYRPpZdsrBv3x3bAQ/edit?resourcekey#gid=1321652304"",""Prop!$BQ$1:$CA""),11,0),iferror(vlookup(B19,importrange("""&amp;"https://docs.google.com/spreadsheets/d/1p53T2AuvvIqhP7Nf-bo3Uhj8cbKYRPpZdsrBv3x3bAQ/edit?resourcekey#gid=1321652304"",""Prop!$CB$1:$CL""),11,0),iferror(vlookup(B19,importrange(""https://docs.google.com/spreadsheets/d/1p53T2AuvvIqhP7Nf-bo3Uhj8cbKYRPpZdsrBv"&amp;"3x3bAQ/edit?resourcekey#gid=1321652304"",""Prop!$CM$1:$CX""),12,0),iferror(vlookup(B19,importrange(""https://docs.google.com/spreadsheets/d/1p53T2AuvvIqhP7Nf-bo3Uhj8cbKYRPpZdsrBv3x3bAQ/edit?resourcekey#gid=1321652304"",""Prop!$CY$1:$DI""),11,0)))))))))))"),"https://drive.google.com/open?id=1DiRcJTLrunJUL6oQStWhJovSYZMTI_aw")</f>
        <v>https://drive.google.com/open?id=1DiRcJTLrunJUL6oQStWhJovSYZMTI_aw</v>
      </c>
      <c r="R19" s="20" t="s">
        <v>1038</v>
      </c>
      <c r="S19" s="20" t="str">
        <f ca="1">IFERROR(__xludf.DUMMYFUNCTION("IFERROR(vlookup(B19,IMPORTRANGE(""https://docs.google.com/spreadsheets/d/1g_jfYYK_KeipEDNDUgqgrsxK94XiocfNQIcP-v1QVhI/edit?resourcekey#gid=233272945"",""Nilai!B:CT""),75,0),"" "")"),"Tujuan: (Revisi)
Harusnya membuat produk bukan pengujian (seperti riset)
Luaran sesusikan dengan standar
Metode Pelaksanaan (perlu revisi)
Langsung eksekusi dari program
Perlu disesuaikan dengan jadwal
Jadwal yang dibuat tidak sinkron dengan Metode Pelaks"&amp;"anaan.
Perlu kejelasan rancangan elektronik.
")</f>
        <v xml:space="preserve">Tujuan: (Revisi)
Harusnya membuat produk bukan pengujian (seperti riset)
Luaran sesusikan dengan standar
Metode Pelaksanaan (perlu revisi)
Langsung eksekusi dari program
Perlu disesuaikan dengan jadwal
Jadwal yang dibuat tidak sinkron dengan Metode Pelaksanaan.
Perlu kejelasan rancangan elektronik.
</v>
      </c>
      <c r="T19" s="20" t="str">
        <f ca="1">IFERROR(__xludf.DUMMYFUNCTION("IFERROR(vlookup(B19,IMPORTRANGE(""https://docs.google.com/spreadsheets/d/1g_jfYYK_KeipEDNDUgqgrsxK94XiocfNQIcP-v1QVhI/edit?resourcekey#gid=233272945"",""Nilai!B:CT""),97,0),"" "")"),"LAYAK UPLOAD KE SIMBELMAWA DENGAN REVISI")</f>
        <v>LAYAK UPLOAD KE SIMBELMAWA DENGAN REVISI</v>
      </c>
      <c r="U19" s="45" t="s">
        <v>719</v>
      </c>
      <c r="V19" s="46" t="s">
        <v>1039</v>
      </c>
      <c r="W19" s="43" t="s">
        <v>1052</v>
      </c>
      <c r="X19" s="44" t="b">
        <v>1</v>
      </c>
    </row>
    <row r="20" spans="1:24">
      <c r="A20" s="15">
        <v>18</v>
      </c>
      <c r="B20" s="15">
        <f ca="1">IFERROR(__xludf.DUMMYFUNCTION("""COMPUTED_VALUE"""),3406)</f>
        <v>3406</v>
      </c>
      <c r="C20" s="16" t="str">
        <f ca="1">IFERROR(__xludf.DUMMYFUNCTION("""COMPUTED_VALUE"""),"BARIQ WAHYU WIDIANSYAH")</f>
        <v>BARIQ WAHYU WIDIANSYAH</v>
      </c>
      <c r="D20" s="16" t="str">
        <f ca="1">IFERROR(__xludf.DUMMYFUNCTION("""COMPUTED_VALUE"""),"5010201168")</f>
        <v>5010201168</v>
      </c>
      <c r="E20" s="16" t="str">
        <f ca="1">IFERROR(__xludf.DUMMYFUNCTION("""COMPUTED_VALUE"""),"Departemen Teknik Sistem dan Industri")</f>
        <v>Departemen Teknik Sistem dan Industri</v>
      </c>
      <c r="F20" s="16" t="str">
        <f ca="1">IFERROR(__xludf.DUMMYFUNCTION("""COMPUTED_VALUE"""),"Penerapan Filter Air Rumahan Dalam Kolam Budidaya Ikan")</f>
        <v>Penerapan Filter Air Rumahan Dalam Kolam Budidaya Ikan</v>
      </c>
      <c r="G20" s="16" t="str">
        <f ca="1">IFERROR(__xludf.DUMMYFUNCTION("""COMPUTED_VALUE"""),"Dr. Ir. Mokh Suef, M.Sc (Eng)")</f>
        <v>Dr. Ir. Mokh Suef, M.Sc (Eng)</v>
      </c>
      <c r="H20" s="16" t="str">
        <f ca="1">IFERROR(__xludf.DUMMYFUNCTION("""COMPUTED_VALUE"""),"Andre Parvian Aristio, S.Kom., M.Sc.")</f>
        <v>Andre Parvian Aristio, S.Kom., M.Sc.</v>
      </c>
      <c r="I20" s="16" t="str">
        <f ca="1">IFERROR(__xludf.DUMMYFUNCTION("""COMPUTED_VALUE"""),"Azzah Dyah Pramata, S.T., M.T., M.Eng., Ph.D.")</f>
        <v>Azzah Dyah Pramata, S.T., M.T., M.Eng., Ph.D.</v>
      </c>
      <c r="J20" s="16" t="str">
        <f ca="1">IFERROR(__xludf.DUMMYFUNCTION("""COMPUTED_VALUE"""),"Arief Abdurrakhman, S.T., M.T.")</f>
        <v>Arief Abdurrakhman, S.T., M.T.</v>
      </c>
      <c r="K20" s="17" t="s">
        <v>1051</v>
      </c>
      <c r="L20" s="23" t="s">
        <v>1053</v>
      </c>
      <c r="M20" s="19" t="b">
        <v>1</v>
      </c>
      <c r="N20" s="19" t="b">
        <v>1</v>
      </c>
      <c r="O20" s="1" t="s">
        <v>1054</v>
      </c>
      <c r="P20" s="7" t="str">
        <f ca="1">IFERROR(__xludf.DUMMYFUNCTION("iferror(vlookup(B20,importrange(""https://docs.google.com/spreadsheets/d/1boHyJQ4e2FU0QG8MHwEi6qjX4hvZWVCHcFfXjq7bbMc/edit?resourcekey#gid=923248883"",""Prop!$C$1:$M""),12,0),IFERROR(vlookup(B20,importrange(""https://docs.google.com/spreadsheets/d/1boHyJQ"&amp;"4e2FU0QG8MHwEi6qjX4hvZWVCHcFfXjq7bbMc/edit?resourcekey#gid=923248883"",""Prop!$N$1:$X""),11,0),iferror(vlookup(B20,importrange(""https://docs.google.com/spreadsheets/d/1boHyJQ4e2FU0QG8MHwEi6qjX4hvZWVCHcFfXjq7bbMc/edit?resourcekey#gid=923248883"",""Prop!$Y"&amp;"$1:$AI""),11,0),iferror(vlookup(B20,importrange(""https://docs.google.com/spreadsheets/d/1boHyJQ4e2FU0QG8MHwEi6qjX4hvZWVCHcFfXjq7bbMc/edit?resourcekey#gid=923248883"",""Prop!$AJ$1:$AT""),11,0),iferror(vlookup(B20,importrange(""https://docs.google.com/spre"&amp;"adsheets/d/1boHyJQ4e2FU0QG8MHwEi6qjX4hvZWVCHcFfXjq7bbMc/edit?resourcekey#gid=923248883"",""Prop!$AU$1:$BE""),11,0),iferror(vlookup(B20,importrange(""https://docs.google.com/spreadsheets/d/1boHyJQ4e2FU0QG8MHwEi6qjX4hvZWVCHcFfXjq7bbMc/edit?resourcekey#gid=9"&amp;"23248883"",""Prop!$BF$1:$BP""),11,0),iferror(vlookup(B20,importrange(""https://docs.google.com/spreadsheets/d/1boHyJQ4e2FU0QG8MHwEi6qjX4hvZWVCHcFfXjq7bbMc/edit?resourcekey#gid=923248883"",""Prop!$BQ$1:$CA""),11,0),iferror(vlookup(B20,importrange(""https:/"&amp;"/docs.google.com/spreadsheets/d/1boHyJQ4e2FU0QG8MHwEi6qjX4hvZWVCHcFfXjq7bbMc/edit?resourcekey#gid=923248883"",""Prop!$CB$1:$CL""),11,0),iferror(vlookup(B20,importrange(""https://docs.google.com/spreadsheets/d/1boHyJQ4e2FU0QG8MHwEi6qjX4hvZWVCHcFfXjq7bbMc/e"&amp;"dit?resourcekey#gid=923248883"",""Prop!$CM$1:$CX""),12,0),iferror(vlookup(B20,importrange(""https://docs.google.com/spreadsheets/d/1boHyJQ4e2FU0QG8MHwEi6qjX4hvZWVCHcFfXjq7bbMc/edit?resourcekey#gid=923248883"",""Prop!$CV$1:$DI""),11,0)))))))))))"),"https://drive.google.com/open?id=1x6ymMNYgBxYcRVYIv8rBAecqIB8KetRf")</f>
        <v>https://drive.google.com/open?id=1x6ymMNYgBxYcRVYIv8rBAecqIB8KetRf</v>
      </c>
      <c r="Q20" s="7" t="str">
        <f ca="1">IFERROR(__xludf.DUMMYFUNCTION("iferror(vlookup(B20,importrange(""https://docs.google.com/spreadsheets/d/1p53T2AuvvIqhP7Nf-bo3Uhj8cbKYRPpZdsrBv3x3bAQ/edit?resourcekey#gid=1321652304"",""Prop!$C$1:$M""),11,0),IFERROR(vlookup(B20,importrange(""https://docs.google.com/spreadsheets/d/1p53T2"&amp;"AuvvIqhP7Nf-bo3Uhj8cbKYRPpZdsrBv3x3bAQ/edit?resourcekey#gid=1321652304"",""Prop!$N$1:$X""),11,0),iferror(vlookup(B20,importrange(""https://docs.google.com/spreadsheets/d/1p53T2AuvvIqhP7Nf-bo3Uhj8cbKYRPpZdsrBv3x3bAQ/edit?resourcekey#gid=1321652304"",""Prop"&amp;"!$Y$1:$AI""),11,0),iferror(vlookup(B20,importrange(""https://docs.google.com/spreadsheets/d/1p53T2AuvvIqhP7Nf-bo3Uhj8cbKYRPpZdsrBv3x3bAQ/edit?resourcekey#gid=1321652304"",""Prop!$AJ$1:$AT""),11,0),iferror(vlookup(B20,importrange(""https://docs.google.com/"&amp;"spreadsheets/d/1p53T2AuvvIqhP7Nf-bo3Uhj8cbKYRPpZdsrBv3x3bAQ/edit?resourcekey#gid=1321652304"",""Prop!$AU$1:$BE""),11,0),iferror(vlookup(B20,importrange(""https://docs.google.com/spreadsheets/d/1p53T2AuvvIqhP7Nf-bo3Uhj8cbKYRPpZdsrBv3x3bAQ/edit?resourcekey#"&amp;"gid=1321652304"",""Prop!$BF$1:$BP""),11,0),iferror(vlookup(B20,importrange(""https://docs.google.com/spreadsheets/d/1p53T2AuvvIqhP7Nf-bo3Uhj8cbKYRPpZdsrBv3x3bAQ/edit?resourcekey#gid=1321652304"",""Prop!$BQ$1:$CA""),11,0),iferror(vlookup(B20,importrange("""&amp;"https://docs.google.com/spreadsheets/d/1p53T2AuvvIqhP7Nf-bo3Uhj8cbKYRPpZdsrBv3x3bAQ/edit?resourcekey#gid=1321652304"",""Prop!$CB$1:$CL""),11,0),iferror(vlookup(B20,importrange(""https://docs.google.com/spreadsheets/d/1p53T2AuvvIqhP7Nf-bo3Uhj8cbKYRPpZdsrBv"&amp;"3x3bAQ/edit?resourcekey#gid=1321652304"",""Prop!$CM$1:$CX""),12,0),iferror(vlookup(B20,importrange(""https://docs.google.com/spreadsheets/d/1p53T2AuvvIqhP7Nf-bo3Uhj8cbKYRPpZdsrBv3x3bAQ/edit?resourcekey#gid=1321652304"",""Prop!$CY$1:$DI""),11,0)))))))))))"),"https://drive.google.com/open?id=1ZtV8oPqLceW349ep7xAOqzBdzNSj44Vt")</f>
        <v>https://drive.google.com/open?id=1ZtV8oPqLceW349ep7xAOqzBdzNSj44Vt</v>
      </c>
      <c r="R20" s="20" t="s">
        <v>1038</v>
      </c>
      <c r="S20" s="20" t="str">
        <f ca="1">IFERROR(__xludf.DUMMYFUNCTION("IFERROR(vlookup(B20,IMPORTRANGE(""https://docs.google.com/spreadsheets/d/1g_jfYYK_KeipEDNDUgqgrsxK94XiocfNQIcP-v1QVhI/edit?resourcekey#gid=233272945"",""Nilai!B:CT""),75,0),"" "")"),"Tapi ide yang menarik untuk dicari solusinya.
Format Margin
Pendahuluan
Tidak ada cerita urgensinya air rumahan untuk budidaya kolam.
Tidak ada literatur yang mendukung.
Luaran perlu disesuaikan dengan Pedoman
Metode Pelaksanaan: (perlu revisi)
Sayang sep"&amp;"ertinya kurang mantap dalam pelaksanaan.
Rancangan elektroniknya aneh, Arduino tidak mampu bekerja 24 jam.
Komponen yang digunakan harus yang berstandar (SNI,ISO dll)
Daftar Pustaka:
Perlu literatur terkait dengan penjerniahan air.")</f>
        <v>Tapi ide yang menarik untuk dicari solusinya.
Format Margin
Pendahuluan
Tidak ada cerita urgensinya air rumahan untuk budidaya kolam.
Tidak ada literatur yang mendukung.
Luaran perlu disesuaikan dengan Pedoman
Metode Pelaksanaan: (perlu revisi)
Sayang sepertinya kurang mantap dalam pelaksanaan.
Rancangan elektroniknya aneh, Arduino tidak mampu bekerja 24 jam.
Komponen yang digunakan harus yang berstandar (SNI,ISO dll)
Daftar Pustaka:
Perlu literatur terkait dengan penjerniahan air.</v>
      </c>
      <c r="T20" s="20" t="str">
        <f ca="1">IFERROR(__xludf.DUMMYFUNCTION("IFERROR(vlookup(B20,IMPORTRANGE(""https://docs.google.com/spreadsheets/d/1g_jfYYK_KeipEDNDUgqgrsxK94XiocfNQIcP-v1QVhI/edit?resourcekey#gid=233272945"",""Nilai!B:CT""),97,0),"" "")"),"LAYAK UPLOAD KE SIMBELMAWA DENGAN REVISI")</f>
        <v>LAYAK UPLOAD KE SIMBELMAWA DENGAN REVISI</v>
      </c>
      <c r="U20" s="45" t="s">
        <v>719</v>
      </c>
      <c r="V20" s="46" t="s">
        <v>1039</v>
      </c>
      <c r="W20" s="43" t="s">
        <v>1052</v>
      </c>
      <c r="X20" s="44" t="b">
        <v>0</v>
      </c>
    </row>
    <row r="21" spans="1:24">
      <c r="A21" s="15">
        <v>19</v>
      </c>
      <c r="B21" s="15">
        <f ca="1">IFERROR(__xludf.DUMMYFUNCTION("""COMPUTED_VALUE"""),2115)</f>
        <v>2115</v>
      </c>
      <c r="C21" s="16" t="str">
        <f ca="1">IFERROR(__xludf.DUMMYFUNCTION("""COMPUTED_VALUE"""),"TEGAR GANANG SATRIO PRIAMBODO")</f>
        <v>TEGAR GANANG SATRIO PRIAMBODO</v>
      </c>
      <c r="D21" s="16" t="str">
        <f ca="1">IFERROR(__xludf.DUMMYFUNCTION("""COMPUTED_VALUE"""),"5025201002")</f>
        <v>5025201002</v>
      </c>
      <c r="E21" s="16" t="str">
        <f ca="1">IFERROR(__xludf.DUMMYFUNCTION("""COMPUTED_VALUE"""),"Departemen Teknik Informatika")</f>
        <v>Departemen Teknik Informatika</v>
      </c>
      <c r="F21" s="16" t="str">
        <f ca="1">IFERROR(__xludf.DUMMYFUNCTION("""COMPUTED_VALUE"""),"Pembuatan Situs Donasi Barang Bekas Berbasis Web-service untuk Memfasilitasi Distribusi Barang antara Donatur dengan Penerima")</f>
        <v>Pembuatan Situs Donasi Barang Bekas Berbasis Web-service untuk Memfasilitasi Distribusi Barang antara Donatur dengan Penerima</v>
      </c>
      <c r="G21" s="16" t="str">
        <f ca="1">IFERROR(__xludf.DUMMYFUNCTION("""COMPUTED_VALUE"""),"Dr.Eng. Chastine Fatichah, S.Kom., M.Kom.")</f>
        <v>Dr.Eng. Chastine Fatichah, S.Kom., M.Kom.</v>
      </c>
      <c r="H21" s="16" t="str">
        <f ca="1">IFERROR(__xludf.DUMMYFUNCTION("""COMPUTED_VALUE"""),"Mohammad Khoirul Effendi, S.T., M.Sc.Eng., Ph.D.")</f>
        <v>Mohammad Khoirul Effendi, S.T., M.Sc.Eng., Ph.D.</v>
      </c>
      <c r="I21" s="16" t="str">
        <f ca="1">IFERROR(__xludf.DUMMYFUNCTION("""COMPUTED_VALUE"""),"Azzah Dyah Pramata, S.T., M.T., M.Eng., Ph.D.")</f>
        <v>Azzah Dyah Pramata, S.T., M.T., M.Eng., Ph.D.</v>
      </c>
      <c r="J21" s="16" t="str">
        <f ca="1">IFERROR(__xludf.DUMMYFUNCTION("""COMPUTED_VALUE"""),"Arief Abdurrakhman, S.T., M.T.")</f>
        <v>Arief Abdurrakhman, S.T., M.T.</v>
      </c>
      <c r="K21" s="17" t="s">
        <v>1055</v>
      </c>
      <c r="L21" s="23" t="s">
        <v>1053</v>
      </c>
      <c r="M21" s="19" t="b">
        <v>1</v>
      </c>
      <c r="N21" s="19" t="b">
        <v>1</v>
      </c>
      <c r="O21" s="1" t="s">
        <v>1054</v>
      </c>
      <c r="P21" s="7" t="str">
        <f ca="1">IFERROR(__xludf.DUMMYFUNCTION("iferror(vlookup(B21,importrange(""https://docs.google.com/spreadsheets/d/1boHyJQ4e2FU0QG8MHwEi6qjX4hvZWVCHcFfXjq7bbMc/edit?resourcekey#gid=923248883"",""Prop!$C$1:$M""),12,0),IFERROR(vlookup(B21,importrange(""https://docs.google.com/spreadsheets/d/1boHyJQ"&amp;"4e2FU0QG8MHwEi6qjX4hvZWVCHcFfXjq7bbMc/edit?resourcekey#gid=923248883"",""Prop!$N$1:$X""),11,0),iferror(vlookup(B21,importrange(""https://docs.google.com/spreadsheets/d/1boHyJQ4e2FU0QG8MHwEi6qjX4hvZWVCHcFfXjq7bbMc/edit?resourcekey#gid=923248883"",""Prop!$Y"&amp;"$1:$AI""),11,0),iferror(vlookup(B21,importrange(""https://docs.google.com/spreadsheets/d/1boHyJQ4e2FU0QG8MHwEi6qjX4hvZWVCHcFfXjq7bbMc/edit?resourcekey#gid=923248883"",""Prop!$AJ$1:$AT""),11,0),iferror(vlookup(B21,importrange(""https://docs.google.com/spre"&amp;"adsheets/d/1boHyJQ4e2FU0QG8MHwEi6qjX4hvZWVCHcFfXjq7bbMc/edit?resourcekey#gid=923248883"",""Prop!$AU$1:$BE""),11,0),iferror(vlookup(B21,importrange(""https://docs.google.com/spreadsheets/d/1boHyJQ4e2FU0QG8MHwEi6qjX4hvZWVCHcFfXjq7bbMc/edit?resourcekey#gid=9"&amp;"23248883"",""Prop!$BF$1:$BP""),11,0),iferror(vlookup(B21,importrange(""https://docs.google.com/spreadsheets/d/1boHyJQ4e2FU0QG8MHwEi6qjX4hvZWVCHcFfXjq7bbMc/edit?resourcekey#gid=923248883"",""Prop!$BQ$1:$CA""),11,0),iferror(vlookup(B21,importrange(""https:/"&amp;"/docs.google.com/spreadsheets/d/1boHyJQ4e2FU0QG8MHwEi6qjX4hvZWVCHcFfXjq7bbMc/edit?resourcekey#gid=923248883"",""Prop!$CB$1:$CL""),11,0),iferror(vlookup(B21,importrange(""https://docs.google.com/spreadsheets/d/1boHyJQ4e2FU0QG8MHwEi6qjX4hvZWVCHcFfXjq7bbMc/e"&amp;"dit?resourcekey#gid=923248883"",""Prop!$CM$1:$CX""),12,0),iferror(vlookup(B21,importrange(""https://docs.google.com/spreadsheets/d/1boHyJQ4e2FU0QG8MHwEi6qjX4hvZWVCHcFfXjq7bbMc/edit?resourcekey#gid=923248883"",""Prop!$CV$1:$DI""),11,0)))))))))))"),"https://drive.google.com/open?id=1UKzfkriyhwwgX89HZl5g6UuMRGLyObAA")</f>
        <v>https://drive.google.com/open?id=1UKzfkriyhwwgX89HZl5g6UuMRGLyObAA</v>
      </c>
      <c r="Q21" s="7" t="str">
        <f ca="1">IFERROR(__xludf.DUMMYFUNCTION("iferror(vlookup(B21,importrange(""https://docs.google.com/spreadsheets/d/1p53T2AuvvIqhP7Nf-bo3Uhj8cbKYRPpZdsrBv3x3bAQ/edit?resourcekey#gid=1321652304"",""Prop!$C$1:$M""),11,0),IFERROR(vlookup(B21,importrange(""https://docs.google.com/spreadsheets/d/1p53T2"&amp;"AuvvIqhP7Nf-bo3Uhj8cbKYRPpZdsrBv3x3bAQ/edit?resourcekey#gid=1321652304"",""Prop!$N$1:$X""),11,0),iferror(vlookup(B21,importrange(""https://docs.google.com/spreadsheets/d/1p53T2AuvvIqhP7Nf-bo3Uhj8cbKYRPpZdsrBv3x3bAQ/edit?resourcekey#gid=1321652304"",""Prop"&amp;"!$Y$1:$AI""),11,0),iferror(vlookup(B21,importrange(""https://docs.google.com/spreadsheets/d/1p53T2AuvvIqhP7Nf-bo3Uhj8cbKYRPpZdsrBv3x3bAQ/edit?resourcekey#gid=1321652304"",""Prop!$AJ$1:$AT""),11,0),iferror(vlookup(B21,importrange(""https://docs.google.com/"&amp;"spreadsheets/d/1p53T2AuvvIqhP7Nf-bo3Uhj8cbKYRPpZdsrBv3x3bAQ/edit?resourcekey#gid=1321652304"",""Prop!$AU$1:$BE""),11,0),iferror(vlookup(B21,importrange(""https://docs.google.com/spreadsheets/d/1p53T2AuvvIqhP7Nf-bo3Uhj8cbKYRPpZdsrBv3x3bAQ/edit?resourcekey#"&amp;"gid=1321652304"",""Prop!$BF$1:$BP""),11,0),iferror(vlookup(B21,importrange(""https://docs.google.com/spreadsheets/d/1p53T2AuvvIqhP7Nf-bo3Uhj8cbKYRPpZdsrBv3x3bAQ/edit?resourcekey#gid=1321652304"",""Prop!$BQ$1:$CA""),11,0),iferror(vlookup(B21,importrange("""&amp;"https://docs.google.com/spreadsheets/d/1p53T2AuvvIqhP7Nf-bo3Uhj8cbKYRPpZdsrBv3x3bAQ/edit?resourcekey#gid=1321652304"",""Prop!$CB$1:$CL""),11,0),iferror(vlookup(B21,importrange(""https://docs.google.com/spreadsheets/d/1p53T2AuvvIqhP7Nf-bo3Uhj8cbKYRPpZdsrBv"&amp;"3x3bAQ/edit?resourcekey#gid=1321652304"",""Prop!$CM$1:$CX""),12,0),iferror(vlookup(B21,importrange(""https://docs.google.com/spreadsheets/d/1p53T2AuvvIqhP7Nf-bo3Uhj8cbKYRPpZdsrBv3x3bAQ/edit?resourcekey#gid=1321652304"",""Prop!$CY$1:$DI""),11,0)))))))))))"),"https://drive.google.com/open?id=180YhhyPRYGinP5AWi3yjrQbljIOorWaI")</f>
        <v>https://drive.google.com/open?id=180YhhyPRYGinP5AWi3yjrQbljIOorWaI</v>
      </c>
      <c r="R21" s="20" t="s">
        <v>1038</v>
      </c>
      <c r="S21" s="20" t="str">
        <f ca="1">IFERROR(__xludf.DUMMYFUNCTION("IFERROR(vlookup(B21,IMPORTRANGE(""https://docs.google.com/spreadsheets/d/1g_jfYYK_KeipEDNDUgqgrsxK94XiocfNQIcP-v1QVhI/edit?resourcekey#gid=233272945"",""Nilai!B:CT""),75,0),"" "")"),"Pendahuluan :
Miskin akan sitasi. Apa benar bahwa pernyataan yang disampaikan?
Bagaimana software sejenis yang ada di PlatStore?
Luaran tidak sesuai pedoman
Margin
Metode pelaksanaan KUrang jelas!
Anggaran Biaya
Jadwal pelaksanaan TIDAK MASUK akal
Selama "&amp;"PKM selalu STudi Pustaka")</f>
        <v>Pendahuluan :
Miskin akan sitasi. Apa benar bahwa pernyataan yang disampaikan?
Bagaimana software sejenis yang ada di PlatStore?
Luaran tidak sesuai pedoman
Margin
Metode pelaksanaan KUrang jelas!
Anggaran Biaya
Jadwal pelaksanaan TIDAK MASUK akal
Selama PKM selalu STudi Pustaka</v>
      </c>
      <c r="T21" s="20" t="str">
        <f ca="1">IFERROR(__xludf.DUMMYFUNCTION("IFERROR(vlookup(B21,IMPORTRANGE(""https://docs.google.com/spreadsheets/d/1g_jfYYK_KeipEDNDUgqgrsxK94XiocfNQIcP-v1QVhI/edit?resourcekey#gid=233272945"",""Nilai!B:CT""),97,0),"" "")"),"TIDAK LAYAK UPLOAD KE SIMBELMAWA")</f>
        <v>TIDAK LAYAK UPLOAD KE SIMBELMAWA</v>
      </c>
      <c r="U21" s="45" t="s">
        <v>719</v>
      </c>
      <c r="V21" s="46" t="s">
        <v>1039</v>
      </c>
      <c r="W21" s="43" t="s">
        <v>1056</v>
      </c>
      <c r="X21" s="44" t="b">
        <v>1</v>
      </c>
    </row>
    <row r="22" spans="1:24">
      <c r="A22" s="15">
        <v>20</v>
      </c>
      <c r="B22" s="15">
        <f ca="1">IFERROR(__xludf.DUMMYFUNCTION("""COMPUTED_VALUE"""),2419)</f>
        <v>2419</v>
      </c>
      <c r="C22" s="16" t="str">
        <f ca="1">IFERROR(__xludf.DUMMYFUNCTION("""COMPUTED_VALUE"""),"MUHAMMAD ZANUAR")</f>
        <v>MUHAMMAD ZANUAR</v>
      </c>
      <c r="D22" s="16" t="str">
        <f ca="1">IFERROR(__xludf.DUMMYFUNCTION("""COMPUTED_VALUE"""),"2042201088")</f>
        <v>2042201088</v>
      </c>
      <c r="E22" s="16" t="str">
        <f ca="1">IFERROR(__xludf.DUMMYFUNCTION("""COMPUTED_VALUE"""),"Departemen Teknik Instrumentasi")</f>
        <v>Departemen Teknik Instrumentasi</v>
      </c>
      <c r="F22" s="16" t="str">
        <f ca="1">IFERROR(__xludf.DUMMYFUNCTION("""COMPUTED_VALUE"""),"Alat Pemantau Kualitas Udara untuk Mitigasi Kegagalan Teknologi di Kawasan Industri Gresik berbasis Aplikasi.")</f>
        <v>Alat Pemantau Kualitas Udara untuk Mitigasi Kegagalan Teknologi di Kawasan Industri Gresik berbasis Aplikasi.</v>
      </c>
      <c r="G22" s="16" t="str">
        <f ca="1">IFERROR(__xludf.DUMMYFUNCTION("""COMPUTED_VALUE"""),"Ahmad Fauzan Adziimaa, S.T., M.Sc.")</f>
        <v>Ahmad Fauzan Adziimaa, S.T., M.Sc.</v>
      </c>
      <c r="H22" s="16" t="str">
        <f ca="1">IFERROR(__xludf.DUMMYFUNCTION("""COMPUTED_VALUE"""),"Andre Parvian Aristio, S.Kom., M.Sc.")</f>
        <v>Andre Parvian Aristio, S.Kom., M.Sc.</v>
      </c>
      <c r="I22" s="16" t="str">
        <f ca="1">IFERROR(__xludf.DUMMYFUNCTION("""COMPUTED_VALUE"""),"Azzah Dyah Pramata, S.T., M.T., M.Eng., Ph.D.")</f>
        <v>Azzah Dyah Pramata, S.T., M.T., M.Eng., Ph.D.</v>
      </c>
      <c r="J22" s="16" t="str">
        <f ca="1">IFERROR(__xludf.DUMMYFUNCTION("""COMPUTED_VALUE"""),"Arief Abdurrakhman, S.T., M.T.")</f>
        <v>Arief Abdurrakhman, S.T., M.T.</v>
      </c>
      <c r="K22" s="17" t="s">
        <v>1055</v>
      </c>
      <c r="L22" s="23" t="s">
        <v>1053</v>
      </c>
      <c r="M22" s="19" t="b">
        <v>1</v>
      </c>
      <c r="N22" s="19" t="b">
        <v>1</v>
      </c>
      <c r="O22" s="1" t="s">
        <v>1054</v>
      </c>
      <c r="P22" s="7" t="str">
        <f ca="1">IFERROR(__xludf.DUMMYFUNCTION("iferror(vlookup(B22,importrange(""https://docs.google.com/spreadsheets/d/1boHyJQ4e2FU0QG8MHwEi6qjX4hvZWVCHcFfXjq7bbMc/edit?resourcekey#gid=923248883"",""Prop!$C$1:$M""),12,0),IFERROR(vlookup(B22,importrange(""https://docs.google.com/spreadsheets/d/1boHyJQ"&amp;"4e2FU0QG8MHwEi6qjX4hvZWVCHcFfXjq7bbMc/edit?resourcekey#gid=923248883"",""Prop!$N$1:$X""),11,0),iferror(vlookup(B22,importrange(""https://docs.google.com/spreadsheets/d/1boHyJQ4e2FU0QG8MHwEi6qjX4hvZWVCHcFfXjq7bbMc/edit?resourcekey#gid=923248883"",""Prop!$Y"&amp;"$1:$AI""),11,0),iferror(vlookup(B22,importrange(""https://docs.google.com/spreadsheets/d/1boHyJQ4e2FU0QG8MHwEi6qjX4hvZWVCHcFfXjq7bbMc/edit?resourcekey#gid=923248883"",""Prop!$AJ$1:$AT""),11,0),iferror(vlookup(B22,importrange(""https://docs.google.com/spre"&amp;"adsheets/d/1boHyJQ4e2FU0QG8MHwEi6qjX4hvZWVCHcFfXjq7bbMc/edit?resourcekey#gid=923248883"",""Prop!$AU$1:$BE""),11,0),iferror(vlookup(B22,importrange(""https://docs.google.com/spreadsheets/d/1boHyJQ4e2FU0QG8MHwEi6qjX4hvZWVCHcFfXjq7bbMc/edit?resourcekey#gid=9"&amp;"23248883"",""Prop!$BF$1:$BP""),11,0),iferror(vlookup(B22,importrange(""https://docs.google.com/spreadsheets/d/1boHyJQ4e2FU0QG8MHwEi6qjX4hvZWVCHcFfXjq7bbMc/edit?resourcekey#gid=923248883"",""Prop!$BQ$1:$CA""),11,0),iferror(vlookup(B22,importrange(""https:/"&amp;"/docs.google.com/spreadsheets/d/1boHyJQ4e2FU0QG8MHwEi6qjX4hvZWVCHcFfXjq7bbMc/edit?resourcekey#gid=923248883"",""Prop!$CB$1:$CL""),11,0),iferror(vlookup(B22,importrange(""https://docs.google.com/spreadsheets/d/1boHyJQ4e2FU0QG8MHwEi6qjX4hvZWVCHcFfXjq7bbMc/e"&amp;"dit?resourcekey#gid=923248883"",""Prop!$CM$1:$CX""),12,0),iferror(vlookup(B22,importrange(""https://docs.google.com/spreadsheets/d/1boHyJQ4e2FU0QG8MHwEi6qjX4hvZWVCHcFfXjq7bbMc/edit?resourcekey#gid=923248883"",""Prop!$CV$1:$DI""),11,0)))))))))))"),"https://drive.google.com/open?id=1U9xFZWuIT7jjVDZi5oCGm9BdIBS7-9Mn")</f>
        <v>https://drive.google.com/open?id=1U9xFZWuIT7jjVDZi5oCGm9BdIBS7-9Mn</v>
      </c>
      <c r="Q22" s="7" t="str">
        <f ca="1">IFERROR(__xludf.DUMMYFUNCTION("iferror(vlookup(B22,importrange(""https://docs.google.com/spreadsheets/d/1p53T2AuvvIqhP7Nf-bo3Uhj8cbKYRPpZdsrBv3x3bAQ/edit?resourcekey#gid=1321652304"",""Prop!$C$1:$M""),11,0),IFERROR(vlookup(B22,importrange(""https://docs.google.com/spreadsheets/d/1p53T2"&amp;"AuvvIqhP7Nf-bo3Uhj8cbKYRPpZdsrBv3x3bAQ/edit?resourcekey#gid=1321652304"",""Prop!$N$1:$X""),11,0),iferror(vlookup(B22,importrange(""https://docs.google.com/spreadsheets/d/1p53T2AuvvIqhP7Nf-bo3Uhj8cbKYRPpZdsrBv3x3bAQ/edit?resourcekey#gid=1321652304"",""Prop"&amp;"!$Y$1:$AI""),11,0),iferror(vlookup(B22,importrange(""https://docs.google.com/spreadsheets/d/1p53T2AuvvIqhP7Nf-bo3Uhj8cbKYRPpZdsrBv3x3bAQ/edit?resourcekey#gid=1321652304"",""Prop!$AJ$1:$AT""),11,0),iferror(vlookup(B22,importrange(""https://docs.google.com/"&amp;"spreadsheets/d/1p53T2AuvvIqhP7Nf-bo3Uhj8cbKYRPpZdsrBv3x3bAQ/edit?resourcekey#gid=1321652304"",""Prop!$AU$1:$BE""),11,0),iferror(vlookup(B22,importrange(""https://docs.google.com/spreadsheets/d/1p53T2AuvvIqhP7Nf-bo3Uhj8cbKYRPpZdsrBv3x3bAQ/edit?resourcekey#"&amp;"gid=1321652304"",""Prop!$BF$1:$BP""),11,0),iferror(vlookup(B22,importrange(""https://docs.google.com/spreadsheets/d/1p53T2AuvvIqhP7Nf-bo3Uhj8cbKYRPpZdsrBv3x3bAQ/edit?resourcekey#gid=1321652304"",""Prop!$BQ$1:$CA""),11,0),iferror(vlookup(B22,importrange("""&amp;"https://docs.google.com/spreadsheets/d/1p53T2AuvvIqhP7Nf-bo3Uhj8cbKYRPpZdsrBv3x3bAQ/edit?resourcekey#gid=1321652304"",""Prop!$CB$1:$CL""),11,0),iferror(vlookup(B22,importrange(""https://docs.google.com/spreadsheets/d/1p53T2AuvvIqhP7Nf-bo3Uhj8cbKYRPpZdsrBv"&amp;"3x3bAQ/edit?resourcekey#gid=1321652304"",""Prop!$CM$1:$CX""),12,0),iferror(vlookup(B22,importrange(""https://docs.google.com/spreadsheets/d/1p53T2AuvvIqhP7Nf-bo3Uhj8cbKYRPpZdsrBv3x3bAQ/edit?resourcekey#gid=1321652304"",""Prop!$CY$1:$DI""),11,0)))))))))))"),"https://drive.google.com/open?id=1lM-KN80ew3jR2awIgUs8qVQb-aH3BmVN")</f>
        <v>https://drive.google.com/open?id=1lM-KN80ew3jR2awIgUs8qVQb-aH3BmVN</v>
      </c>
      <c r="R22" s="20" t="s">
        <v>1038</v>
      </c>
      <c r="S22" s="20" t="str">
        <f ca="1">IFERROR(__xludf.DUMMYFUNCTION("IFERROR(vlookup(B22,IMPORTRANGE(""https://docs.google.com/spreadsheets/d/1g_jfYYK_KeipEDNDUgqgrsxK94XiocfNQIcP-v1QVhI/edit?resourcekey#gid=233272945"",""Nilai!B:CT""),75,0),"" "")"),"Perkuat kreativitas, perdalam urgensi pengusulan gagasan")</f>
        <v>Perkuat kreativitas, perdalam urgensi pengusulan gagasan</v>
      </c>
      <c r="T22" s="20" t="str">
        <f ca="1">IFERROR(__xludf.DUMMYFUNCTION("IFERROR(vlookup(B22,IMPORTRANGE(""https://docs.google.com/spreadsheets/d/1g_jfYYK_KeipEDNDUgqgrsxK94XiocfNQIcP-v1QVhI/edit?resourcekey#gid=233272945"",""Nilai!B:CT""),97,0),"" "")"),"")</f>
        <v/>
      </c>
      <c r="U22" s="47" t="s">
        <v>1057</v>
      </c>
      <c r="V22" s="46" t="s">
        <v>1039</v>
      </c>
      <c r="W22" s="43" t="s">
        <v>1056</v>
      </c>
      <c r="X22" s="44" t="b">
        <v>1</v>
      </c>
    </row>
    <row r="23" spans="1:24">
      <c r="A23" s="40">
        <v>21</v>
      </c>
      <c r="B23" s="40">
        <f ca="1">IFERROR(__xludf.DUMMYFUNCTION("""COMPUTED_VALUE"""),3172)</f>
        <v>3172</v>
      </c>
      <c r="C23" s="41" t="str">
        <f ca="1">IFERROR(__xludf.DUMMYFUNCTION("""COMPUTED_VALUE"""),"FIKRI AZRUR ARIF MAULANA")</f>
        <v>FIKRI AZRUR ARIF MAULANA</v>
      </c>
      <c r="D23" s="41" t="str">
        <f ca="1">IFERROR(__xludf.DUMMYFUNCTION("""COMPUTED_VALUE"""),"10211810013017")</f>
        <v>10211810013017</v>
      </c>
      <c r="E23" s="41" t="str">
        <f ca="1">IFERROR(__xludf.DUMMYFUNCTION("""COMPUTED_VALUE"""),"Departemen Teknik Mesin Industri")</f>
        <v>Departemen Teknik Mesin Industri</v>
      </c>
      <c r="F23" s="41" t="str">
        <f ca="1">IFERROR(__xludf.DUMMYFUNCTION("""COMPUTED_VALUE"""),"Inovasi mesin PPO 222  ( Pageantry and Parer Onion) secara otomatis guna mempermudah proses perajangan serta pemisahan kulit bawang")</f>
        <v>Inovasi mesin PPO 222  ( Pageantry and Parer Onion) secara otomatis guna mempermudah proses perajangan serta pemisahan kulit bawang</v>
      </c>
      <c r="G23" s="41" t="str">
        <f ca="1">IFERROR(__xludf.DUMMYFUNCTION("""COMPUTED_VALUE"""),"Dedy Zulhidayat Noor, S.T., M.T., Ph.D.")</f>
        <v>Dedy Zulhidayat Noor, S.T., M.T., Ph.D.</v>
      </c>
      <c r="H23" s="41" t="str">
        <f ca="1">IFERROR(__xludf.DUMMYFUNCTION("""COMPUTED_VALUE"""),"Andre Parvian Aristio, S.Kom., M.Sc.")</f>
        <v>Andre Parvian Aristio, S.Kom., M.Sc.</v>
      </c>
      <c r="I23" s="41" t="str">
        <f ca="1">IFERROR(__xludf.DUMMYFUNCTION("""COMPUTED_VALUE"""),"Azzah Dyah Pramata, S.T., M.T., M.Eng., Ph.D.")</f>
        <v>Azzah Dyah Pramata, S.T., M.T., M.Eng., Ph.D.</v>
      </c>
      <c r="J23" s="41" t="str">
        <f ca="1">IFERROR(__xludf.DUMMYFUNCTION("""COMPUTED_VALUE"""),"Arief Abdurrakhman, S.T., M.T.")</f>
        <v>Arief Abdurrakhman, S.T., M.T.</v>
      </c>
      <c r="K23" s="42" t="s">
        <v>1055</v>
      </c>
      <c r="L23" s="43" t="s">
        <v>1058</v>
      </c>
      <c r="M23" s="44" t="b">
        <v>0</v>
      </c>
      <c r="N23" s="44" t="b">
        <v>0</v>
      </c>
      <c r="O23" s="31" t="s">
        <v>1054</v>
      </c>
      <c r="P23" s="1" t="str">
        <f ca="1">IFERROR(__xludf.DUMMYFUNCTION("iferror(vlookup(B23,importrange(""https://docs.google.com/spreadsheets/d/1boHyJQ4e2FU0QG8MHwEi6qjX4hvZWVCHcFfXjq7bbMc/edit?resourcekey#gid=923248883"",""Prop!$C$1:$M""),12,0),IFERROR(vlookup(B23,importrange(""https://docs.google.com/spreadsheets/d/1boHyJQ"&amp;"4e2FU0QG8MHwEi6qjX4hvZWVCHcFfXjq7bbMc/edit?resourcekey#gid=923248883"",""Prop!$N$1:$X""),11,0),iferror(vlookup(B23,importrange(""https://docs.google.com/spreadsheets/d/1boHyJQ4e2FU0QG8MHwEi6qjX4hvZWVCHcFfXjq7bbMc/edit?resourcekey#gid=923248883"",""Prop!$Y"&amp;"$1:$AI""),11,0),iferror(vlookup(B23,importrange(""https://docs.google.com/spreadsheets/d/1boHyJQ4e2FU0QG8MHwEi6qjX4hvZWVCHcFfXjq7bbMc/edit?resourcekey#gid=923248883"",""Prop!$AJ$1:$AT""),11,0),iferror(vlookup(B23,importrange(""https://docs.google.com/spre"&amp;"adsheets/d/1boHyJQ4e2FU0QG8MHwEi6qjX4hvZWVCHcFfXjq7bbMc/edit?resourcekey#gid=923248883"",""Prop!$AU$1:$BE""),11,0),iferror(vlookup(B23,importrange(""https://docs.google.com/spreadsheets/d/1boHyJQ4e2FU0QG8MHwEi6qjX4hvZWVCHcFfXjq7bbMc/edit?resourcekey#gid=9"&amp;"23248883"",""Prop!$BF$1:$BP""),11,0),iferror(vlookup(B23,importrange(""https://docs.google.com/spreadsheets/d/1boHyJQ4e2FU0QG8MHwEi6qjX4hvZWVCHcFfXjq7bbMc/edit?resourcekey#gid=923248883"",""Prop!$BQ$1:$CA""),11,0),iferror(vlookup(B23,importrange(""https:/"&amp;"/docs.google.com/spreadsheets/d/1boHyJQ4e2FU0QG8MHwEi6qjX4hvZWVCHcFfXjq7bbMc/edit?resourcekey#gid=923248883"",""Prop!$CB$1:$CL""),11,0),iferror(vlookup(B23,importrange(""https://docs.google.com/spreadsheets/d/1boHyJQ4e2FU0QG8MHwEi6qjX4hvZWVCHcFfXjq7bbMc/e"&amp;"dit?resourcekey#gid=923248883"",""Prop!$CM$1:$CX""),12,0),iferror(vlookup(B23,importrange(""https://docs.google.com/spreadsheets/d/1boHyJQ4e2FU0QG8MHwEi6qjX4hvZWVCHcFfXjq7bbMc/edit?resourcekey#gid=923248883"",""Prop!$CV$1:$DI""),11,0)))))))))))"),"")</f>
        <v/>
      </c>
      <c r="Q23" s="1" t="str">
        <f ca="1">IFERROR(__xludf.DUMMYFUNCTION("iferror(vlookup(B23,importrange(""https://docs.google.com/spreadsheets/d/1p53T2AuvvIqhP7Nf-bo3Uhj8cbKYRPpZdsrBv3x3bAQ/edit?resourcekey#gid=1321652304"",""Prop!$C$1:$M""),11,0),IFERROR(vlookup(B23,importrange(""https://docs.google.com/spreadsheets/d/1p53T2"&amp;"AuvvIqhP7Nf-bo3Uhj8cbKYRPpZdsrBv3x3bAQ/edit?resourcekey#gid=1321652304"",""Prop!$N$1:$X""),11,0),iferror(vlookup(B23,importrange(""https://docs.google.com/spreadsheets/d/1p53T2AuvvIqhP7Nf-bo3Uhj8cbKYRPpZdsrBv3x3bAQ/edit?resourcekey#gid=1321652304"",""Prop"&amp;"!$Y$1:$AI""),11,0),iferror(vlookup(B23,importrange(""https://docs.google.com/spreadsheets/d/1p53T2AuvvIqhP7Nf-bo3Uhj8cbKYRPpZdsrBv3x3bAQ/edit?resourcekey#gid=1321652304"",""Prop!$AJ$1:$AT""),11,0),iferror(vlookup(B23,importrange(""https://docs.google.com/"&amp;"spreadsheets/d/1p53T2AuvvIqhP7Nf-bo3Uhj8cbKYRPpZdsrBv3x3bAQ/edit?resourcekey#gid=1321652304"",""Prop!$AU$1:$BE""),11,0),iferror(vlookup(B23,importrange(""https://docs.google.com/spreadsheets/d/1p53T2AuvvIqhP7Nf-bo3Uhj8cbKYRPpZdsrBv3x3bAQ/edit?resourcekey#"&amp;"gid=1321652304"",""Prop!$BF$1:$BP""),11,0),iferror(vlookup(B23,importrange(""https://docs.google.com/spreadsheets/d/1p53T2AuvvIqhP7Nf-bo3Uhj8cbKYRPpZdsrBv3x3bAQ/edit?resourcekey#gid=1321652304"",""Prop!$BQ$1:$CA""),11,0),iferror(vlookup(B23,importrange("""&amp;"https://docs.google.com/spreadsheets/d/1p53T2AuvvIqhP7Nf-bo3Uhj8cbKYRPpZdsrBv3x3bAQ/edit?resourcekey#gid=1321652304"",""Prop!$CB$1:$CL""),11,0),iferror(vlookup(B23,importrange(""https://docs.google.com/spreadsheets/d/1p53T2AuvvIqhP7Nf-bo3Uhj8cbKYRPpZdsrBv"&amp;"3x3bAQ/edit?resourcekey#gid=1321652304"",""Prop!$CM$1:$CX""),12,0),iferror(vlookup(B23,importrange(""https://docs.google.com/spreadsheets/d/1p53T2AuvvIqhP7Nf-bo3Uhj8cbKYRPpZdsrBv3x3bAQ/edit?resourcekey#gid=1321652304"",""Prop!$CY$1:$DI""),11,0)))))))))))"),"")</f>
        <v/>
      </c>
      <c r="R23" s="20" t="s">
        <v>1038</v>
      </c>
      <c r="S23" s="20" t="str">
        <f ca="1">IFERROR(__xludf.DUMMYFUNCTION("IFERROR(vlookup(B23,IMPORTRANGE(""https://docs.google.com/spreadsheets/d/1g_jfYYK_KeipEDNDUgqgrsxK94XiocfNQIcP-v1QVhI/edit?resourcekey#gid=233272945"",""Nilai!B:CT""),75,0),"" "")")," ")</f>
        <v xml:space="preserve"> </v>
      </c>
      <c r="T23" s="20" t="str">
        <f ca="1">IFERROR(__xludf.DUMMYFUNCTION("IFERROR(vlookup(B23,IMPORTRANGE(""https://docs.google.com/spreadsheets/d/1g_jfYYK_KeipEDNDUgqgrsxK94XiocfNQIcP-v1QVhI/edit?resourcekey#gid=233272945"",""Nilai!B:CT""),97,0),"" "")")," ")</f>
        <v xml:space="preserve"> </v>
      </c>
      <c r="U23" s="47" t="s">
        <v>1057</v>
      </c>
      <c r="V23" s="46" t="s">
        <v>1039</v>
      </c>
      <c r="W23" s="43" t="s">
        <v>1056</v>
      </c>
      <c r="X23" s="44" t="b">
        <v>0</v>
      </c>
    </row>
    <row r="24" spans="1:24">
      <c r="A24" s="40">
        <v>22</v>
      </c>
      <c r="B24" s="40">
        <f ca="1">IFERROR(__xludf.DUMMYFUNCTION("""COMPUTED_VALUE"""),3304)</f>
        <v>3304</v>
      </c>
      <c r="C24" s="41" t="str">
        <f ca="1">IFERROR(__xludf.DUMMYFUNCTION("""COMPUTED_VALUE"""),"HANIF AKMAL ARSYI")</f>
        <v>HANIF AKMAL ARSYI</v>
      </c>
      <c r="D24" s="41" t="str">
        <f ca="1">IFERROR(__xludf.DUMMYFUNCTION("""COMPUTED_VALUE"""),"10211810013025")</f>
        <v>10211810013025</v>
      </c>
      <c r="E24" s="41" t="str">
        <f ca="1">IFERROR(__xludf.DUMMYFUNCTION("""COMPUTED_VALUE"""),"Departemen Teknik Mesin Industri")</f>
        <v>Departemen Teknik Mesin Industri</v>
      </c>
      <c r="F24" s="41" t="str">
        <f ca="1">IFERROR(__xludf.DUMMYFUNCTION("""COMPUTED_VALUE"""),"Cyclone Separator untuk Pemisah Biji dan Kulit sorgum")</f>
        <v>Cyclone Separator untuk Pemisah Biji dan Kulit sorgum</v>
      </c>
      <c r="G24" s="41" t="str">
        <f ca="1">IFERROR(__xludf.DUMMYFUNCTION("""COMPUTED_VALUE"""),"Dedy Zulhidayat Noor, S.T., M.T., Ph.D.")</f>
        <v>Dedy Zulhidayat Noor, S.T., M.T., Ph.D.</v>
      </c>
      <c r="H24" s="41" t="str">
        <f ca="1">IFERROR(__xludf.DUMMYFUNCTION("""COMPUTED_VALUE"""),"Andre Parvian Aristio, S.Kom., M.Sc.")</f>
        <v>Andre Parvian Aristio, S.Kom., M.Sc.</v>
      </c>
      <c r="I24" s="41" t="str">
        <f ca="1">IFERROR(__xludf.DUMMYFUNCTION("""COMPUTED_VALUE"""),"Azzah Dyah Pramata, S.T., M.T., M.Eng., Ph.D.")</f>
        <v>Azzah Dyah Pramata, S.T., M.T., M.Eng., Ph.D.</v>
      </c>
      <c r="J24" s="41" t="str">
        <f ca="1">IFERROR(__xludf.DUMMYFUNCTION("""COMPUTED_VALUE"""),"Arief Abdurrakhman, S.T., M.T.")</f>
        <v>Arief Abdurrakhman, S.T., M.T.</v>
      </c>
      <c r="K24" s="42" t="s">
        <v>1055</v>
      </c>
      <c r="L24" s="43" t="s">
        <v>1058</v>
      </c>
      <c r="M24" s="44" t="b">
        <v>0</v>
      </c>
      <c r="N24" s="44" t="b">
        <v>0</v>
      </c>
      <c r="O24" s="31" t="s">
        <v>1054</v>
      </c>
      <c r="P24" s="1" t="str">
        <f ca="1">IFERROR(__xludf.DUMMYFUNCTION("iferror(vlookup(B24,importrange(""https://docs.google.com/spreadsheets/d/1boHyJQ4e2FU0QG8MHwEi6qjX4hvZWVCHcFfXjq7bbMc/edit?resourcekey#gid=923248883"",""Prop!$C$1:$M""),12,0),IFERROR(vlookup(B24,importrange(""https://docs.google.com/spreadsheets/d/1boHyJQ"&amp;"4e2FU0QG8MHwEi6qjX4hvZWVCHcFfXjq7bbMc/edit?resourcekey#gid=923248883"",""Prop!$N$1:$X""),11,0),iferror(vlookup(B24,importrange(""https://docs.google.com/spreadsheets/d/1boHyJQ4e2FU0QG8MHwEi6qjX4hvZWVCHcFfXjq7bbMc/edit?resourcekey#gid=923248883"",""Prop!$Y"&amp;"$1:$AI""),11,0),iferror(vlookup(B24,importrange(""https://docs.google.com/spreadsheets/d/1boHyJQ4e2FU0QG8MHwEi6qjX4hvZWVCHcFfXjq7bbMc/edit?resourcekey#gid=923248883"",""Prop!$AJ$1:$AT""),11,0),iferror(vlookup(B24,importrange(""https://docs.google.com/spre"&amp;"adsheets/d/1boHyJQ4e2FU0QG8MHwEi6qjX4hvZWVCHcFfXjq7bbMc/edit?resourcekey#gid=923248883"",""Prop!$AU$1:$BE""),11,0),iferror(vlookup(B24,importrange(""https://docs.google.com/spreadsheets/d/1boHyJQ4e2FU0QG8MHwEi6qjX4hvZWVCHcFfXjq7bbMc/edit?resourcekey#gid=9"&amp;"23248883"",""Prop!$BF$1:$BP""),11,0),iferror(vlookup(B24,importrange(""https://docs.google.com/spreadsheets/d/1boHyJQ4e2FU0QG8MHwEi6qjX4hvZWVCHcFfXjq7bbMc/edit?resourcekey#gid=923248883"",""Prop!$BQ$1:$CA""),11,0),iferror(vlookup(B24,importrange(""https:/"&amp;"/docs.google.com/spreadsheets/d/1boHyJQ4e2FU0QG8MHwEi6qjX4hvZWVCHcFfXjq7bbMc/edit?resourcekey#gid=923248883"",""Prop!$CB$1:$CL""),11,0),iferror(vlookup(B24,importrange(""https://docs.google.com/spreadsheets/d/1boHyJQ4e2FU0QG8MHwEi6qjX4hvZWVCHcFfXjq7bbMc/e"&amp;"dit?resourcekey#gid=923248883"",""Prop!$CM$1:$CX""),12,0),iferror(vlookup(B24,importrange(""https://docs.google.com/spreadsheets/d/1boHyJQ4e2FU0QG8MHwEi6qjX4hvZWVCHcFfXjq7bbMc/edit?resourcekey#gid=923248883"",""Prop!$CV$1:$DI""),11,0)))))))))))"),"")</f>
        <v/>
      </c>
      <c r="Q24" s="1" t="str">
        <f ca="1">IFERROR(__xludf.DUMMYFUNCTION("iferror(vlookup(B24,importrange(""https://docs.google.com/spreadsheets/d/1p53T2AuvvIqhP7Nf-bo3Uhj8cbKYRPpZdsrBv3x3bAQ/edit?resourcekey#gid=1321652304"",""Prop!$C$1:$M""),11,0),IFERROR(vlookup(B24,importrange(""https://docs.google.com/spreadsheets/d/1p53T2"&amp;"AuvvIqhP7Nf-bo3Uhj8cbKYRPpZdsrBv3x3bAQ/edit?resourcekey#gid=1321652304"",""Prop!$N$1:$X""),11,0),iferror(vlookup(B24,importrange(""https://docs.google.com/spreadsheets/d/1p53T2AuvvIqhP7Nf-bo3Uhj8cbKYRPpZdsrBv3x3bAQ/edit?resourcekey#gid=1321652304"",""Prop"&amp;"!$Y$1:$AI""),11,0),iferror(vlookup(B24,importrange(""https://docs.google.com/spreadsheets/d/1p53T2AuvvIqhP7Nf-bo3Uhj8cbKYRPpZdsrBv3x3bAQ/edit?resourcekey#gid=1321652304"",""Prop!$AJ$1:$AT""),11,0),iferror(vlookup(B24,importrange(""https://docs.google.com/"&amp;"spreadsheets/d/1p53T2AuvvIqhP7Nf-bo3Uhj8cbKYRPpZdsrBv3x3bAQ/edit?resourcekey#gid=1321652304"",""Prop!$AU$1:$BE""),11,0),iferror(vlookup(B24,importrange(""https://docs.google.com/spreadsheets/d/1p53T2AuvvIqhP7Nf-bo3Uhj8cbKYRPpZdsrBv3x3bAQ/edit?resourcekey#"&amp;"gid=1321652304"",""Prop!$BF$1:$BP""),11,0),iferror(vlookup(B24,importrange(""https://docs.google.com/spreadsheets/d/1p53T2AuvvIqhP7Nf-bo3Uhj8cbKYRPpZdsrBv3x3bAQ/edit?resourcekey#gid=1321652304"",""Prop!$BQ$1:$CA""),11,0),iferror(vlookup(B24,importrange("""&amp;"https://docs.google.com/spreadsheets/d/1p53T2AuvvIqhP7Nf-bo3Uhj8cbKYRPpZdsrBv3x3bAQ/edit?resourcekey#gid=1321652304"",""Prop!$CB$1:$CL""),11,0),iferror(vlookup(B24,importrange(""https://docs.google.com/spreadsheets/d/1p53T2AuvvIqhP7Nf-bo3Uhj8cbKYRPpZdsrBv"&amp;"3x3bAQ/edit?resourcekey#gid=1321652304"",""Prop!$CM$1:$CX""),12,0),iferror(vlookup(B24,importrange(""https://docs.google.com/spreadsheets/d/1p53T2AuvvIqhP7Nf-bo3Uhj8cbKYRPpZdsrBv3x3bAQ/edit?resourcekey#gid=1321652304"",""Prop!$CY$1:$DI""),11,0)))))))))))"),"")</f>
        <v/>
      </c>
      <c r="R24" s="20" t="s">
        <v>1038</v>
      </c>
      <c r="S24" s="20" t="str">
        <f ca="1">IFERROR(__xludf.DUMMYFUNCTION("IFERROR(vlookup(B24,IMPORTRANGE(""https://docs.google.com/spreadsheets/d/1g_jfYYK_KeipEDNDUgqgrsxK94XiocfNQIcP-v1QVhI/edit?resourcekey#gid=233272945"",""Nilai!B:CT""),75,0),"" "")")," ")</f>
        <v xml:space="preserve"> </v>
      </c>
      <c r="T24" s="20" t="str">
        <f ca="1">IFERROR(__xludf.DUMMYFUNCTION("IFERROR(vlookup(B24,IMPORTRANGE(""https://docs.google.com/spreadsheets/d/1g_jfYYK_KeipEDNDUgqgrsxK94XiocfNQIcP-v1QVhI/edit?resourcekey#gid=233272945"",""Nilai!B:CT""),97,0),"" "")")," ")</f>
        <v xml:space="preserve"> </v>
      </c>
      <c r="U24" s="47" t="s">
        <v>1057</v>
      </c>
      <c r="V24" s="46" t="s">
        <v>1039</v>
      </c>
      <c r="W24" s="43" t="s">
        <v>1056</v>
      </c>
      <c r="X24" s="44" t="b">
        <v>0</v>
      </c>
    </row>
    <row r="25" spans="1:24">
      <c r="A25" s="40">
        <v>23</v>
      </c>
      <c r="B25" s="40">
        <f ca="1">IFERROR(__xludf.DUMMYFUNCTION("""COMPUTED_VALUE"""),2231)</f>
        <v>2231</v>
      </c>
      <c r="C25" s="41" t="str">
        <f ca="1">IFERROR(__xludf.DUMMYFUNCTION("""COMPUTED_VALUE"""),"Titus Patrick L. S")</f>
        <v>Titus Patrick L. S</v>
      </c>
      <c r="D25" s="41" t="str">
        <f ca="1">IFERROR(__xludf.DUMMYFUNCTION("""COMPUTED_VALUE"""),"5026211027")</f>
        <v>5026211027</v>
      </c>
      <c r="E25" s="41" t="str">
        <f ca="1">IFERROR(__xludf.DUMMYFUNCTION("""COMPUTED_VALUE"""),"Departemen Sistem Informasi")</f>
        <v>Departemen Sistem Informasi</v>
      </c>
      <c r="F25" s="41" t="str">
        <f ca="1">IFERROR(__xludf.DUMMYFUNCTION("""COMPUTED_VALUE"""),"TRACO: Sistem Pengumpulan Sampah Berbasis Reverse Vending Machine
")</f>
        <v xml:space="preserve">TRACO: Sistem Pengumpulan Sampah Berbasis Reverse Vending Machine
</v>
      </c>
      <c r="G25" s="41" t="str">
        <f ca="1">IFERROR(__xludf.DUMMYFUNCTION("""COMPUTED_VALUE"""),"Nisfu Asrul Sani, S.Kom., M.Sc.")</f>
        <v>Nisfu Asrul Sani, S.Kom., M.Sc.</v>
      </c>
      <c r="H25" s="41" t="str">
        <f ca="1">IFERROR(__xludf.DUMMYFUNCTION("""COMPUTED_VALUE"""),"Mohammad Khoirul Effendi, S.T., M.Sc.Eng., Ph.D.")</f>
        <v>Mohammad Khoirul Effendi, S.T., M.Sc.Eng., Ph.D.</v>
      </c>
      <c r="I25" s="41" t="str">
        <f ca="1">IFERROR(__xludf.DUMMYFUNCTION("""COMPUTED_VALUE"""),"Azzah Dyah Pramata, S.T., M.T., M.Eng., Ph.D.")</f>
        <v>Azzah Dyah Pramata, S.T., M.T., M.Eng., Ph.D.</v>
      </c>
      <c r="J25" s="41" t="str">
        <f ca="1">IFERROR(__xludf.DUMMYFUNCTION("""COMPUTED_VALUE"""),"Arief Abdurrakhman, S.T., M.T.")</f>
        <v>Arief Abdurrakhman, S.T., M.T.</v>
      </c>
      <c r="K25" s="42" t="s">
        <v>1055</v>
      </c>
      <c r="L25" s="43" t="s">
        <v>1058</v>
      </c>
      <c r="M25" s="44" t="b">
        <v>0</v>
      </c>
      <c r="N25" s="44" t="b">
        <v>0</v>
      </c>
      <c r="O25" s="31" t="s">
        <v>1054</v>
      </c>
      <c r="P25" s="1" t="str">
        <f ca="1">IFERROR(__xludf.DUMMYFUNCTION("iferror(vlookup(B25,importrange(""https://docs.google.com/spreadsheets/d/1boHyJQ4e2FU0QG8MHwEi6qjX4hvZWVCHcFfXjq7bbMc/edit?resourcekey#gid=923248883"",""Prop!$C$1:$M""),12,0),IFERROR(vlookup(B25,importrange(""https://docs.google.com/spreadsheets/d/1boHyJQ"&amp;"4e2FU0QG8MHwEi6qjX4hvZWVCHcFfXjq7bbMc/edit?resourcekey#gid=923248883"",""Prop!$N$1:$X""),11,0),iferror(vlookup(B25,importrange(""https://docs.google.com/spreadsheets/d/1boHyJQ4e2FU0QG8MHwEi6qjX4hvZWVCHcFfXjq7bbMc/edit?resourcekey#gid=923248883"",""Prop!$Y"&amp;"$1:$AI""),11,0),iferror(vlookup(B25,importrange(""https://docs.google.com/spreadsheets/d/1boHyJQ4e2FU0QG8MHwEi6qjX4hvZWVCHcFfXjq7bbMc/edit?resourcekey#gid=923248883"",""Prop!$AJ$1:$AT""),11,0),iferror(vlookup(B25,importrange(""https://docs.google.com/spre"&amp;"adsheets/d/1boHyJQ4e2FU0QG8MHwEi6qjX4hvZWVCHcFfXjq7bbMc/edit?resourcekey#gid=923248883"",""Prop!$AU$1:$BE""),11,0),iferror(vlookup(B25,importrange(""https://docs.google.com/spreadsheets/d/1boHyJQ4e2FU0QG8MHwEi6qjX4hvZWVCHcFfXjq7bbMc/edit?resourcekey#gid=9"&amp;"23248883"",""Prop!$BF$1:$BP""),11,0),iferror(vlookup(B25,importrange(""https://docs.google.com/spreadsheets/d/1boHyJQ4e2FU0QG8MHwEi6qjX4hvZWVCHcFfXjq7bbMc/edit?resourcekey#gid=923248883"",""Prop!$BQ$1:$CA""),11,0),iferror(vlookup(B25,importrange(""https:/"&amp;"/docs.google.com/spreadsheets/d/1boHyJQ4e2FU0QG8MHwEi6qjX4hvZWVCHcFfXjq7bbMc/edit?resourcekey#gid=923248883"",""Prop!$CB$1:$CL""),11,0),iferror(vlookup(B25,importrange(""https://docs.google.com/spreadsheets/d/1boHyJQ4e2FU0QG8MHwEi6qjX4hvZWVCHcFfXjq7bbMc/e"&amp;"dit?resourcekey#gid=923248883"",""Prop!$CM$1:$CX""),12,0),iferror(vlookup(B25,importrange(""https://docs.google.com/spreadsheets/d/1boHyJQ4e2FU0QG8MHwEi6qjX4hvZWVCHcFfXjq7bbMc/edit?resourcekey#gid=923248883"",""Prop!$CV$1:$DI""),11,0)))))))))))"),"")</f>
        <v/>
      </c>
      <c r="Q25" s="1" t="str">
        <f ca="1">IFERROR(__xludf.DUMMYFUNCTION("iferror(vlookup(B25,importrange(""https://docs.google.com/spreadsheets/d/1p53T2AuvvIqhP7Nf-bo3Uhj8cbKYRPpZdsrBv3x3bAQ/edit?resourcekey#gid=1321652304"",""Prop!$C$1:$M""),11,0),IFERROR(vlookup(B25,importrange(""https://docs.google.com/spreadsheets/d/1p53T2"&amp;"AuvvIqhP7Nf-bo3Uhj8cbKYRPpZdsrBv3x3bAQ/edit?resourcekey#gid=1321652304"",""Prop!$N$1:$X""),11,0),iferror(vlookup(B25,importrange(""https://docs.google.com/spreadsheets/d/1p53T2AuvvIqhP7Nf-bo3Uhj8cbKYRPpZdsrBv3x3bAQ/edit?resourcekey#gid=1321652304"",""Prop"&amp;"!$Y$1:$AI""),11,0),iferror(vlookup(B25,importrange(""https://docs.google.com/spreadsheets/d/1p53T2AuvvIqhP7Nf-bo3Uhj8cbKYRPpZdsrBv3x3bAQ/edit?resourcekey#gid=1321652304"",""Prop!$AJ$1:$AT""),11,0),iferror(vlookup(B25,importrange(""https://docs.google.com/"&amp;"spreadsheets/d/1p53T2AuvvIqhP7Nf-bo3Uhj8cbKYRPpZdsrBv3x3bAQ/edit?resourcekey#gid=1321652304"",""Prop!$AU$1:$BE""),11,0),iferror(vlookup(B25,importrange(""https://docs.google.com/spreadsheets/d/1p53T2AuvvIqhP7Nf-bo3Uhj8cbKYRPpZdsrBv3x3bAQ/edit?resourcekey#"&amp;"gid=1321652304"",""Prop!$BF$1:$BP""),11,0),iferror(vlookup(B25,importrange(""https://docs.google.com/spreadsheets/d/1p53T2AuvvIqhP7Nf-bo3Uhj8cbKYRPpZdsrBv3x3bAQ/edit?resourcekey#gid=1321652304"",""Prop!$BQ$1:$CA""),11,0),iferror(vlookup(B25,importrange("""&amp;"https://docs.google.com/spreadsheets/d/1p53T2AuvvIqhP7Nf-bo3Uhj8cbKYRPpZdsrBv3x3bAQ/edit?resourcekey#gid=1321652304"",""Prop!$CB$1:$CL""),11,0),iferror(vlookup(B25,importrange(""https://docs.google.com/spreadsheets/d/1p53T2AuvvIqhP7Nf-bo3Uhj8cbKYRPpZdsrBv"&amp;"3x3bAQ/edit?resourcekey#gid=1321652304"",""Prop!$CM$1:$CX""),12,0),iferror(vlookup(B25,importrange(""https://docs.google.com/spreadsheets/d/1p53T2AuvvIqhP7Nf-bo3Uhj8cbKYRPpZdsrBv3x3bAQ/edit?resourcekey#gid=1321652304"",""Prop!$CY$1:$DI""),11,0)))))))))))"),"")</f>
        <v/>
      </c>
      <c r="R25" s="20" t="s">
        <v>1038</v>
      </c>
      <c r="S25" s="20" t="str">
        <f ca="1">IFERROR(__xludf.DUMMYFUNCTION("IFERROR(vlookup(B25,IMPORTRANGE(""https://docs.google.com/spreadsheets/d/1g_jfYYK_KeipEDNDUgqgrsxK94XiocfNQIcP-v1QVhI/edit?resourcekey#gid=233272945"",""Nilai!B:CT""),75,0),"" "")")," ")</f>
        <v xml:space="preserve"> </v>
      </c>
      <c r="T25" s="20" t="str">
        <f ca="1">IFERROR(__xludf.DUMMYFUNCTION("IFERROR(vlookup(B25,IMPORTRANGE(""https://docs.google.com/spreadsheets/d/1g_jfYYK_KeipEDNDUgqgrsxK94XiocfNQIcP-v1QVhI/edit?resourcekey#gid=233272945"",""Nilai!B:CT""),97,0),"" "")")," ")</f>
        <v xml:space="preserve"> </v>
      </c>
      <c r="U25" s="47" t="s">
        <v>1057</v>
      </c>
      <c r="V25" s="46" t="s">
        <v>1039</v>
      </c>
      <c r="W25" s="43" t="s">
        <v>1059</v>
      </c>
      <c r="X25" s="44" t="b">
        <v>0</v>
      </c>
    </row>
    <row r="26" spans="1:24">
      <c r="A26" s="15">
        <v>24</v>
      </c>
      <c r="B26" s="15">
        <f ca="1">IFERROR(__xludf.DUMMYFUNCTION("""COMPUTED_VALUE"""),3649)</f>
        <v>3649</v>
      </c>
      <c r="C26" s="16" t="str">
        <f ca="1">IFERROR(__xludf.DUMMYFUNCTION("""COMPUTED_VALUE"""),"Mohammad Yusqi Shoubil Haq")</f>
        <v>Mohammad Yusqi Shoubil Haq</v>
      </c>
      <c r="D26" s="16" t="str">
        <f ca="1">IFERROR(__xludf.DUMMYFUNCTION("""COMPUTED_VALUE"""),"04211941000012")</f>
        <v>04211941000012</v>
      </c>
      <c r="E26" s="16" t="str">
        <f ca="1">IFERROR(__xludf.DUMMYFUNCTION("""COMPUTED_VALUE"""),"Departemen Teknik Sistem Perkapalan")</f>
        <v>Departemen Teknik Sistem Perkapalan</v>
      </c>
      <c r="F26" s="16" t="str">
        <f ca="1">IFERROR(__xludf.DUMMYFUNCTION("""COMPUTED_VALUE"""),"Aplikasi Jejaring PKM Mahasiswa Dengan Fitur Profile Matching untuk Mendapatkan Komposisi Tim PKM Ideal")</f>
        <v>Aplikasi Jejaring PKM Mahasiswa Dengan Fitur Profile Matching untuk Mendapatkan Komposisi Tim PKM Ideal</v>
      </c>
      <c r="G26" s="16" t="str">
        <f ca="1">IFERROR(__xludf.DUMMYFUNCTION("""COMPUTED_VALUE"""),"Sunarsih, S.T., M.Eng., Ph.D.")</f>
        <v>Sunarsih, S.T., M.Eng., Ph.D.</v>
      </c>
      <c r="H26" s="16" t="str">
        <f ca="1">IFERROR(__xludf.DUMMYFUNCTION("""COMPUTED_VALUE"""),"Andre Parvian Aristio, S.Kom., M.Sc.")</f>
        <v>Andre Parvian Aristio, S.Kom., M.Sc.</v>
      </c>
      <c r="I26" s="16" t="str">
        <f ca="1">IFERROR(__xludf.DUMMYFUNCTION("""COMPUTED_VALUE"""),"Azzah Dyah Pramata, S.T., M.T., M.Eng., Ph.D.")</f>
        <v>Azzah Dyah Pramata, S.T., M.T., M.Eng., Ph.D.</v>
      </c>
      <c r="J26" s="16" t="str">
        <f ca="1">IFERROR(__xludf.DUMMYFUNCTION("""COMPUTED_VALUE"""),"Arief Abdurrakhman, S.T., M.T.")</f>
        <v>Arief Abdurrakhman, S.T., M.T.</v>
      </c>
      <c r="K26" s="17" t="s">
        <v>1055</v>
      </c>
      <c r="L26" s="23" t="s">
        <v>1060</v>
      </c>
      <c r="M26" s="19" t="b">
        <v>1</v>
      </c>
      <c r="N26" s="19" t="b">
        <v>1</v>
      </c>
      <c r="O26" s="1" t="s">
        <v>1054</v>
      </c>
      <c r="P26" s="7" t="str">
        <f ca="1">IFERROR(__xludf.DUMMYFUNCTION("iferror(vlookup(B26,importrange(""https://docs.google.com/spreadsheets/d/1boHyJQ4e2FU0QG8MHwEi6qjX4hvZWVCHcFfXjq7bbMc/edit?resourcekey#gid=923248883"",""Prop!$C$1:$M""),12,0),IFERROR(vlookup(B26,importrange(""https://docs.google.com/spreadsheets/d/1boHyJQ"&amp;"4e2FU0QG8MHwEi6qjX4hvZWVCHcFfXjq7bbMc/edit?resourcekey#gid=923248883"",""Prop!$N$1:$X""),11,0),iferror(vlookup(B26,importrange(""https://docs.google.com/spreadsheets/d/1boHyJQ4e2FU0QG8MHwEi6qjX4hvZWVCHcFfXjq7bbMc/edit?resourcekey#gid=923248883"",""Prop!$Y"&amp;"$1:$AI""),11,0),iferror(vlookup(B26,importrange(""https://docs.google.com/spreadsheets/d/1boHyJQ4e2FU0QG8MHwEi6qjX4hvZWVCHcFfXjq7bbMc/edit?resourcekey#gid=923248883"",""Prop!$AJ$1:$AT""),11,0),iferror(vlookup(B26,importrange(""https://docs.google.com/spre"&amp;"adsheets/d/1boHyJQ4e2FU0QG8MHwEi6qjX4hvZWVCHcFfXjq7bbMc/edit?resourcekey#gid=923248883"",""Prop!$AU$1:$BE""),11,0),iferror(vlookup(B26,importrange(""https://docs.google.com/spreadsheets/d/1boHyJQ4e2FU0QG8MHwEi6qjX4hvZWVCHcFfXjq7bbMc/edit?resourcekey#gid=9"&amp;"23248883"",""Prop!$BF$1:$BP""),11,0),iferror(vlookup(B26,importrange(""https://docs.google.com/spreadsheets/d/1boHyJQ4e2FU0QG8MHwEi6qjX4hvZWVCHcFfXjq7bbMc/edit?resourcekey#gid=923248883"",""Prop!$BQ$1:$CA""),11,0),iferror(vlookup(B26,importrange(""https:/"&amp;"/docs.google.com/spreadsheets/d/1boHyJQ4e2FU0QG8MHwEi6qjX4hvZWVCHcFfXjq7bbMc/edit?resourcekey#gid=923248883"",""Prop!$CB$1:$CL""),11,0),iferror(vlookup(B26,importrange(""https://docs.google.com/spreadsheets/d/1boHyJQ4e2FU0QG8MHwEi6qjX4hvZWVCHcFfXjq7bbMc/e"&amp;"dit?resourcekey#gid=923248883"",""Prop!$CM$1:$CX""),12,0),iferror(vlookup(B26,importrange(""https://docs.google.com/spreadsheets/d/1boHyJQ4e2FU0QG8MHwEi6qjX4hvZWVCHcFfXjq7bbMc/edit?resourcekey#gid=923248883"",""Prop!$CV$1:$DI""),11,0)))))))))))"),"https://drive.google.com/open?id=1KNlo-tYxR8v5skF1fpu9N7n9dKzLnDbi")</f>
        <v>https://drive.google.com/open?id=1KNlo-tYxR8v5skF1fpu9N7n9dKzLnDbi</v>
      </c>
      <c r="Q26" s="7" t="str">
        <f ca="1">IFERROR(__xludf.DUMMYFUNCTION("iferror(vlookup(B26,importrange(""https://docs.google.com/spreadsheets/d/1p53T2AuvvIqhP7Nf-bo3Uhj8cbKYRPpZdsrBv3x3bAQ/edit?resourcekey#gid=1321652304"",""Prop!$C$1:$M""),11,0),IFERROR(vlookup(B26,importrange(""https://docs.google.com/spreadsheets/d/1p53T2"&amp;"AuvvIqhP7Nf-bo3Uhj8cbKYRPpZdsrBv3x3bAQ/edit?resourcekey#gid=1321652304"",""Prop!$N$1:$X""),11,0),iferror(vlookup(B26,importrange(""https://docs.google.com/spreadsheets/d/1p53T2AuvvIqhP7Nf-bo3Uhj8cbKYRPpZdsrBv3x3bAQ/edit?resourcekey#gid=1321652304"",""Prop"&amp;"!$Y$1:$AI""),11,0),iferror(vlookup(B26,importrange(""https://docs.google.com/spreadsheets/d/1p53T2AuvvIqhP7Nf-bo3Uhj8cbKYRPpZdsrBv3x3bAQ/edit?resourcekey#gid=1321652304"",""Prop!$AJ$1:$AT""),11,0),iferror(vlookup(B26,importrange(""https://docs.google.com/"&amp;"spreadsheets/d/1p53T2AuvvIqhP7Nf-bo3Uhj8cbKYRPpZdsrBv3x3bAQ/edit?resourcekey#gid=1321652304"",""Prop!$AU$1:$BE""),11,0),iferror(vlookup(B26,importrange(""https://docs.google.com/spreadsheets/d/1p53T2AuvvIqhP7Nf-bo3Uhj8cbKYRPpZdsrBv3x3bAQ/edit?resourcekey#"&amp;"gid=1321652304"",""Prop!$BF$1:$BP""),11,0),iferror(vlookup(B26,importrange(""https://docs.google.com/spreadsheets/d/1p53T2AuvvIqhP7Nf-bo3Uhj8cbKYRPpZdsrBv3x3bAQ/edit?resourcekey#gid=1321652304"",""Prop!$BQ$1:$CA""),11,0),iferror(vlookup(B26,importrange("""&amp;"https://docs.google.com/spreadsheets/d/1p53T2AuvvIqhP7Nf-bo3Uhj8cbKYRPpZdsrBv3x3bAQ/edit?resourcekey#gid=1321652304"",""Prop!$CB$1:$CL""),11,0),iferror(vlookup(B26,importrange(""https://docs.google.com/spreadsheets/d/1p53T2AuvvIqhP7Nf-bo3Uhj8cbKYRPpZdsrBv"&amp;"3x3bAQ/edit?resourcekey#gid=1321652304"",""Prop!$CM$1:$CX""),12,0),iferror(vlookup(B26,importrange(""https://docs.google.com/spreadsheets/d/1p53T2AuvvIqhP7Nf-bo3Uhj8cbKYRPpZdsrBv3x3bAQ/edit?resourcekey#gid=1321652304"",""Prop!$CY$1:$DI""),11,0)))))))))))"),"https://drive.google.com/open?id=1OsWYj53nwZxdewPnCD0fzqKb4F3IECZn")</f>
        <v>https://drive.google.com/open?id=1OsWYj53nwZxdewPnCD0fzqKb4F3IECZn</v>
      </c>
      <c r="R26" s="20" t="s">
        <v>1038</v>
      </c>
      <c r="S26" s="20" t="str">
        <f ca="1">IFERROR(__xludf.DUMMYFUNCTION("IFERROR(vlookup(B26,IMPORTRANGE(""https://docs.google.com/spreadsheets/d/1g_jfYYK_KeipEDNDUgqgrsxK94XiocfNQIcP-v1QVhI/edit?resourcekey#gid=233272945"",""Nilai!B:CT""),75,0),"" "")"),"anggaran dana dan rincian anggaran dana perlu diperbaiki terutama ada larangan2 yg masih dilanggar dalam dana. instutusi lain blm dimasukkan meski nol ")</f>
        <v xml:space="preserve">anggaran dana dan rincian anggaran dana perlu diperbaiki terutama ada larangan2 yg masih dilanggar dalam dana. instutusi lain blm dimasukkan meski nol </v>
      </c>
      <c r="T26" s="20" t="str">
        <f ca="1">IFERROR(__xludf.DUMMYFUNCTION("IFERROR(vlookup(B26,IMPORTRANGE(""https://docs.google.com/spreadsheets/d/1g_jfYYK_KeipEDNDUgqgrsxK94XiocfNQIcP-v1QVhI/edit?resourcekey#gid=233272945"",""Nilai!B:CT""),97,0),"" "")"),"LAYAK UPLOAD KE SIMBELMAWA DENGAN REVISI")</f>
        <v>LAYAK UPLOAD KE SIMBELMAWA DENGAN REVISI</v>
      </c>
      <c r="U26" s="47" t="s">
        <v>1057</v>
      </c>
      <c r="V26" s="46" t="s">
        <v>1039</v>
      </c>
      <c r="W26" s="43" t="s">
        <v>1059</v>
      </c>
      <c r="X26" s="44" t="b">
        <v>1</v>
      </c>
    </row>
    <row r="27" spans="1:24">
      <c r="A27" s="15">
        <v>25</v>
      </c>
      <c r="B27" s="15">
        <f ca="1">IFERROR(__xludf.DUMMYFUNCTION("""COMPUTED_VALUE"""),4106)</f>
        <v>4106</v>
      </c>
      <c r="C27" s="16" t="str">
        <f ca="1">IFERROR(__xludf.DUMMYFUNCTION("""COMPUTED_VALUE"""),"FALIH MUSYAFFA' F.")</f>
        <v>FALIH MUSYAFFA' F.</v>
      </c>
      <c r="D27" s="16" t="str">
        <f ca="1">IFERROR(__xludf.DUMMYFUNCTION("""COMPUTED_VALUE"""),"2040211078")</f>
        <v>2040211078</v>
      </c>
      <c r="E27" s="16" t="str">
        <f ca="1">IFERROR(__xludf.DUMMYFUNCTION("""COMPUTED_VALUE"""),"Departemen Teknik Elektro Otomasi")</f>
        <v>Departemen Teknik Elektro Otomasi</v>
      </c>
      <c r="F27" s="16" t="str">
        <f ca="1">IFERROR(__xludf.DUMMYFUNCTION("""COMPUTED_VALUE"""),"SISTEM PERINGATAN UNTUK MEMINIMALISIR KERUGIAN YANG DISEBABKAN OLEH BANJIR ")</f>
        <v xml:space="preserve">SISTEM PERINGATAN UNTUK MEMINIMALISIR KERUGIAN YANG DISEBABKAN OLEH BANJIR </v>
      </c>
      <c r="G27" s="16" t="str">
        <f ca="1">IFERROR(__xludf.DUMMYFUNCTION("""COMPUTED_VALUE"""),"Fauzi Imaduddin Adhim, S.ST., M.T.")</f>
        <v>Fauzi Imaduddin Adhim, S.ST., M.T.</v>
      </c>
      <c r="H27" s="16" t="str">
        <f ca="1">IFERROR(__xludf.DUMMYFUNCTION("""COMPUTED_VALUE"""),"Andre Parvian Aristio, S.Kom., M.Sc.")</f>
        <v>Andre Parvian Aristio, S.Kom., M.Sc.</v>
      </c>
      <c r="I27" s="16" t="str">
        <f ca="1">IFERROR(__xludf.DUMMYFUNCTION("""COMPUTED_VALUE"""),"Azzah Dyah Pramata, S.T., M.T., M.Eng., Ph.D.")</f>
        <v>Azzah Dyah Pramata, S.T., M.T., M.Eng., Ph.D.</v>
      </c>
      <c r="J27" s="16" t="str">
        <f ca="1">IFERROR(__xludf.DUMMYFUNCTION("""COMPUTED_VALUE"""),"Arief Abdurrakhman, S.T., M.T.")</f>
        <v>Arief Abdurrakhman, S.T., M.T.</v>
      </c>
      <c r="K27" s="17" t="s">
        <v>1055</v>
      </c>
      <c r="L27" s="23" t="s">
        <v>1060</v>
      </c>
      <c r="M27" s="19" t="b">
        <v>1</v>
      </c>
      <c r="N27" s="19" t="b">
        <v>1</v>
      </c>
      <c r="O27" s="1" t="s">
        <v>1054</v>
      </c>
      <c r="P27" s="1" t="str">
        <f ca="1">IFERROR(__xludf.DUMMYFUNCTION("iferror(vlookup(B27,importrange(""https://docs.google.com/spreadsheets/d/1boHyJQ4e2FU0QG8MHwEi6qjX4hvZWVCHcFfXjq7bbMc/edit?resourcekey#gid=923248883"",""Prop!$C$1:$M""),12,0),IFERROR(vlookup(B27,importrange(""https://docs.google.com/spreadsheets/d/1boHyJQ"&amp;"4e2FU0QG8MHwEi6qjX4hvZWVCHcFfXjq7bbMc/edit?resourcekey#gid=923248883"",""Prop!$N$1:$X""),11,0),iferror(vlookup(B27,importrange(""https://docs.google.com/spreadsheets/d/1boHyJQ4e2FU0QG8MHwEi6qjX4hvZWVCHcFfXjq7bbMc/edit?resourcekey#gid=923248883"",""Prop!$Y"&amp;"$1:$AI""),11,0),iferror(vlookup(B27,importrange(""https://docs.google.com/spreadsheets/d/1boHyJQ4e2FU0QG8MHwEi6qjX4hvZWVCHcFfXjq7bbMc/edit?resourcekey#gid=923248883"",""Prop!$AJ$1:$AT""),11,0),iferror(vlookup(B27,importrange(""https://docs.google.com/spre"&amp;"adsheets/d/1boHyJQ4e2FU0QG8MHwEi6qjX4hvZWVCHcFfXjq7bbMc/edit?resourcekey#gid=923248883"",""Prop!$AU$1:$BE""),11,0),iferror(vlookup(B27,importrange(""https://docs.google.com/spreadsheets/d/1boHyJQ4e2FU0QG8MHwEi6qjX4hvZWVCHcFfXjq7bbMc/edit?resourcekey#gid=9"&amp;"23248883"",""Prop!$BF$1:$BP""),11,0),iferror(vlookup(B27,importrange(""https://docs.google.com/spreadsheets/d/1boHyJQ4e2FU0QG8MHwEi6qjX4hvZWVCHcFfXjq7bbMc/edit?resourcekey#gid=923248883"",""Prop!$BQ$1:$CA""),11,0),iferror(vlookup(B27,importrange(""https:/"&amp;"/docs.google.com/spreadsheets/d/1boHyJQ4e2FU0QG8MHwEi6qjX4hvZWVCHcFfXjq7bbMc/edit?resourcekey#gid=923248883"",""Prop!$CB$1:$CL""),11,0),iferror(vlookup(B27,importrange(""https://docs.google.com/spreadsheets/d/1boHyJQ4e2FU0QG8MHwEi6qjX4hvZWVCHcFfXjq7bbMc/e"&amp;"dit?resourcekey#gid=923248883"",""Prop!$CM$1:$CX""),12,0),iferror(vlookup(B27,importrange(""https://docs.google.com/spreadsheets/d/1boHyJQ4e2FU0QG8MHwEi6qjX4hvZWVCHcFfXjq7bbMc/edit?resourcekey#gid=923248883"",""Prop!$CV$1:$DI""),11,0)))))))))))"),"")</f>
        <v/>
      </c>
      <c r="Q27" s="7" t="str">
        <f ca="1">IFERROR(__xludf.DUMMYFUNCTION("iferror(vlookup(B27,importrange(""https://docs.google.com/spreadsheets/d/1p53T2AuvvIqhP7Nf-bo3Uhj8cbKYRPpZdsrBv3x3bAQ/edit?resourcekey#gid=1321652304"",""Prop!$C$1:$M""),11,0),IFERROR(vlookup(B27,importrange(""https://docs.google.com/spreadsheets/d/1p53T2"&amp;"AuvvIqhP7Nf-bo3Uhj8cbKYRPpZdsrBv3x3bAQ/edit?resourcekey#gid=1321652304"",""Prop!$N$1:$X""),11,0),iferror(vlookup(B27,importrange(""https://docs.google.com/spreadsheets/d/1p53T2AuvvIqhP7Nf-bo3Uhj8cbKYRPpZdsrBv3x3bAQ/edit?resourcekey#gid=1321652304"",""Prop"&amp;"!$Y$1:$AI""),11,0),iferror(vlookup(B27,importrange(""https://docs.google.com/spreadsheets/d/1p53T2AuvvIqhP7Nf-bo3Uhj8cbKYRPpZdsrBv3x3bAQ/edit?resourcekey#gid=1321652304"",""Prop!$AJ$1:$AT""),11,0),iferror(vlookup(B27,importrange(""https://docs.google.com/"&amp;"spreadsheets/d/1p53T2AuvvIqhP7Nf-bo3Uhj8cbKYRPpZdsrBv3x3bAQ/edit?resourcekey#gid=1321652304"",""Prop!$AU$1:$BE""),11,0),iferror(vlookup(B27,importrange(""https://docs.google.com/spreadsheets/d/1p53T2AuvvIqhP7Nf-bo3Uhj8cbKYRPpZdsrBv3x3bAQ/edit?resourcekey#"&amp;"gid=1321652304"",""Prop!$BF$1:$BP""),11,0),iferror(vlookup(B27,importrange(""https://docs.google.com/spreadsheets/d/1p53T2AuvvIqhP7Nf-bo3Uhj8cbKYRPpZdsrBv3x3bAQ/edit?resourcekey#gid=1321652304"",""Prop!$BQ$1:$CA""),11,0),iferror(vlookup(B27,importrange("""&amp;"https://docs.google.com/spreadsheets/d/1p53T2AuvvIqhP7Nf-bo3Uhj8cbKYRPpZdsrBv3x3bAQ/edit?resourcekey#gid=1321652304"",""Prop!$CB$1:$CL""),11,0),iferror(vlookup(B27,importrange(""https://docs.google.com/spreadsheets/d/1p53T2AuvvIqhP7Nf-bo3Uhj8cbKYRPpZdsrBv"&amp;"3x3bAQ/edit?resourcekey#gid=1321652304"",""Prop!$CM$1:$CX""),12,0),iferror(vlookup(B27,importrange(""https://docs.google.com/spreadsheets/d/1p53T2AuvvIqhP7Nf-bo3Uhj8cbKYRPpZdsrBv3x3bAQ/edit?resourcekey#gid=1321652304"",""Prop!$CY$1:$DI""),11,0)))))))))))"),"https://drive.google.com/open?id=1s-Ls1uhAS__l9eDfYW5G5STECRAzDZPQ")</f>
        <v>https://drive.google.com/open?id=1s-Ls1uhAS__l9eDfYW5G5STECRAzDZPQ</v>
      </c>
      <c r="R27" s="20" t="s">
        <v>1038</v>
      </c>
      <c r="S27" s="20" t="str">
        <f ca="1">IFERROR(__xludf.DUMMYFUNCTION("IFERROR(vlookup(B27,IMPORTRANGE(""https://docs.google.com/spreadsheets/d/1g_jfYYK_KeipEDNDUgqgrsxK94XiocfNQIcP-v1QVhI/edit?resourcekey#gid=233272945"",""Nilai!B:CT""),75,0),"" "")"),"tidak layak, kacau. sudah saya suruh benerin tapi pancet. dari segi teknologi jg ga masuk komponen2nya")</f>
        <v>tidak layak, kacau. sudah saya suruh benerin tapi pancet. dari segi teknologi jg ga masuk komponen2nya</v>
      </c>
      <c r="T27" s="20" t="str">
        <f ca="1">IFERROR(__xludf.DUMMYFUNCTION("IFERROR(vlookup(B27,IMPORTRANGE(""https://docs.google.com/spreadsheets/d/1g_jfYYK_KeipEDNDUgqgrsxK94XiocfNQIcP-v1QVhI/edit?resourcekey#gid=233272945"",""Nilai!B:CT""),97,0),"" "")"),"TIDAK LAYAK UPLOAD KE SIMBELMAWA")</f>
        <v>TIDAK LAYAK UPLOAD KE SIMBELMAWA</v>
      </c>
      <c r="U27" s="47" t="s">
        <v>1057</v>
      </c>
      <c r="V27" s="46" t="s">
        <v>1039</v>
      </c>
      <c r="W27" s="43" t="s">
        <v>1059</v>
      </c>
      <c r="X27" s="44" t="b">
        <v>0</v>
      </c>
    </row>
    <row r="28" spans="1:24">
      <c r="A28" s="15"/>
      <c r="B28" s="15"/>
      <c r="C28" s="16"/>
      <c r="D28" s="16"/>
      <c r="E28" s="16"/>
      <c r="F28" s="16"/>
      <c r="G28" s="16"/>
      <c r="H28" s="16"/>
      <c r="I28" s="16"/>
      <c r="J28" s="16"/>
      <c r="K28" s="16"/>
      <c r="L28" s="16"/>
      <c r="M28" s="19"/>
      <c r="N28" s="19"/>
      <c r="O28" s="16"/>
      <c r="P28" s="1"/>
      <c r="Q28" s="1"/>
      <c r="R28" s="20"/>
      <c r="S28" s="20"/>
      <c r="T28" s="20"/>
      <c r="U28" s="1"/>
      <c r="V28" s="1"/>
      <c r="W28" s="1"/>
      <c r="X28" s="1"/>
    </row>
    <row r="29" spans="1:24">
      <c r="A29" s="15"/>
      <c r="B29" s="15"/>
      <c r="C29" s="16"/>
      <c r="D29" s="16"/>
      <c r="E29" s="16"/>
      <c r="F29" s="16"/>
      <c r="G29" s="16"/>
      <c r="H29" s="16"/>
      <c r="I29" s="16"/>
      <c r="J29" s="16"/>
      <c r="K29" s="16"/>
      <c r="L29" s="16"/>
      <c r="M29" s="19"/>
      <c r="N29" s="19"/>
      <c r="O29" s="16"/>
      <c r="P29" s="1"/>
      <c r="Q29" s="1"/>
      <c r="R29" s="20"/>
      <c r="S29" s="20"/>
      <c r="T29" s="20"/>
      <c r="U29" s="1"/>
      <c r="V29" s="1"/>
      <c r="W29" s="1"/>
      <c r="X29" s="1"/>
    </row>
    <row r="30" spans="1:24">
      <c r="A30" s="15"/>
      <c r="B30" s="15"/>
      <c r="C30" s="16"/>
      <c r="D30" s="16"/>
      <c r="E30" s="16"/>
      <c r="F30" s="16"/>
      <c r="G30" s="16"/>
      <c r="H30" s="16"/>
      <c r="I30" s="16"/>
      <c r="J30" s="16"/>
      <c r="K30" s="16"/>
      <c r="L30" s="16"/>
      <c r="M30" s="19"/>
      <c r="N30" s="19"/>
      <c r="O30" s="16"/>
      <c r="P30" s="1"/>
      <c r="Q30" s="1"/>
      <c r="R30" s="20"/>
      <c r="S30" s="20"/>
      <c r="T30" s="20"/>
      <c r="U30" s="1"/>
      <c r="V30" s="1"/>
      <c r="W30" s="1"/>
      <c r="X30" s="1"/>
    </row>
    <row r="31" spans="1:24">
      <c r="A31" s="15"/>
      <c r="B31" s="15"/>
      <c r="C31" s="16"/>
      <c r="D31" s="16"/>
      <c r="E31" s="16"/>
      <c r="F31" s="16"/>
      <c r="G31" s="16"/>
      <c r="H31" s="16"/>
      <c r="I31" s="16"/>
      <c r="J31" s="16"/>
      <c r="K31" s="16"/>
      <c r="L31" s="16"/>
      <c r="M31" s="19"/>
      <c r="N31" s="19"/>
      <c r="O31" s="16"/>
      <c r="P31" s="1"/>
      <c r="Q31" s="1"/>
      <c r="R31" s="20"/>
      <c r="S31" s="20"/>
      <c r="T31" s="20"/>
      <c r="U31" s="1"/>
      <c r="V31" s="1"/>
      <c r="W31" s="1"/>
      <c r="X31" s="1"/>
    </row>
    <row r="32" spans="1:24">
      <c r="A32" s="15"/>
      <c r="B32" s="15"/>
      <c r="C32" s="16"/>
      <c r="D32" s="16"/>
      <c r="E32" s="16"/>
      <c r="F32" s="16"/>
      <c r="G32" s="16"/>
      <c r="H32" s="16"/>
      <c r="I32" s="16"/>
      <c r="J32" s="16"/>
      <c r="K32" s="16"/>
      <c r="L32" s="16"/>
      <c r="M32" s="19"/>
      <c r="N32" s="19"/>
      <c r="O32" s="16"/>
      <c r="P32" s="1"/>
      <c r="Q32" s="1"/>
      <c r="R32" s="20"/>
      <c r="S32" s="20"/>
      <c r="T32" s="20"/>
      <c r="U32" s="1"/>
      <c r="V32" s="1"/>
      <c r="W32" s="1"/>
      <c r="X32" s="1"/>
    </row>
    <row r="33" spans="1:24">
      <c r="A33" s="15"/>
      <c r="B33" s="15"/>
      <c r="C33" s="16"/>
      <c r="D33" s="16"/>
      <c r="E33" s="16"/>
      <c r="F33" s="16"/>
      <c r="G33" s="16"/>
      <c r="H33" s="16"/>
      <c r="I33" s="16"/>
      <c r="J33" s="16"/>
      <c r="K33" s="16"/>
      <c r="L33" s="16"/>
      <c r="M33" s="19"/>
      <c r="N33" s="19"/>
      <c r="O33" s="16"/>
      <c r="P33" s="1"/>
      <c r="Q33" s="1"/>
      <c r="R33" s="20"/>
      <c r="S33" s="20"/>
      <c r="T33" s="20"/>
      <c r="U33" s="1"/>
      <c r="V33" s="1"/>
      <c r="W33" s="1"/>
      <c r="X33" s="1"/>
    </row>
    <row r="34" spans="1:24">
      <c r="A34" s="15"/>
      <c r="B34" s="15"/>
      <c r="C34" s="16"/>
      <c r="D34" s="16"/>
      <c r="E34" s="16"/>
      <c r="F34" s="16"/>
      <c r="G34" s="16"/>
      <c r="H34" s="16"/>
      <c r="I34" s="16"/>
      <c r="J34" s="16"/>
      <c r="K34" s="16"/>
      <c r="L34" s="16"/>
      <c r="M34" s="19"/>
      <c r="N34" s="19"/>
      <c r="O34" s="16"/>
      <c r="P34" s="1"/>
      <c r="Q34" s="1"/>
      <c r="R34" s="20"/>
      <c r="S34" s="20"/>
      <c r="T34" s="20"/>
      <c r="U34" s="1"/>
      <c r="V34" s="1"/>
      <c r="W34" s="1"/>
      <c r="X34" s="1"/>
    </row>
    <row r="35" spans="1:24">
      <c r="A35" s="15"/>
      <c r="B35" s="15"/>
      <c r="C35" s="16"/>
      <c r="D35" s="16"/>
      <c r="E35" s="16"/>
      <c r="F35" s="16"/>
      <c r="G35" s="16"/>
      <c r="H35" s="16"/>
      <c r="I35" s="16"/>
      <c r="J35" s="16"/>
      <c r="K35" s="16"/>
      <c r="L35" s="16"/>
      <c r="M35" s="19"/>
      <c r="N35" s="19"/>
      <c r="O35" s="16"/>
      <c r="P35" s="1"/>
      <c r="Q35" s="1"/>
      <c r="R35" s="20"/>
      <c r="S35" s="20"/>
      <c r="T35" s="20"/>
      <c r="U35" s="1"/>
      <c r="V35" s="1"/>
      <c r="W35" s="1"/>
      <c r="X35" s="1"/>
    </row>
    <row r="36" spans="1:24">
      <c r="A36" s="15"/>
      <c r="B36" s="15"/>
      <c r="C36" s="16"/>
      <c r="D36" s="16"/>
      <c r="E36" s="16"/>
      <c r="F36" s="16"/>
      <c r="G36" s="16"/>
      <c r="H36" s="16"/>
      <c r="I36" s="16"/>
      <c r="J36" s="16"/>
      <c r="K36" s="16"/>
      <c r="L36" s="16"/>
      <c r="M36" s="19"/>
      <c r="N36" s="19"/>
      <c r="O36" s="16"/>
      <c r="P36" s="1"/>
      <c r="Q36" s="1"/>
      <c r="R36" s="20"/>
      <c r="S36" s="20"/>
      <c r="T36" s="20"/>
      <c r="U36" s="1"/>
      <c r="V36" s="1"/>
      <c r="W36" s="1"/>
      <c r="X36" s="1"/>
    </row>
    <row r="37" spans="1:24">
      <c r="A37" s="15"/>
      <c r="B37" s="15"/>
      <c r="C37" s="16"/>
      <c r="D37" s="16"/>
      <c r="E37" s="16"/>
      <c r="F37" s="16"/>
      <c r="G37" s="16"/>
      <c r="H37" s="16"/>
      <c r="I37" s="16"/>
      <c r="J37" s="16"/>
      <c r="K37" s="16"/>
      <c r="L37" s="16"/>
      <c r="M37" s="19"/>
      <c r="N37" s="19"/>
      <c r="O37" s="16"/>
      <c r="P37" s="1"/>
      <c r="Q37" s="1"/>
      <c r="R37" s="20"/>
      <c r="S37" s="20"/>
      <c r="T37" s="20"/>
      <c r="U37" s="1"/>
      <c r="V37" s="1"/>
      <c r="W37" s="1"/>
      <c r="X37" s="1"/>
    </row>
    <row r="38" spans="1:24">
      <c r="A38" s="15"/>
      <c r="B38" s="15"/>
      <c r="C38" s="16"/>
      <c r="D38" s="16"/>
      <c r="E38" s="16"/>
      <c r="F38" s="16"/>
      <c r="G38" s="16"/>
      <c r="H38" s="16"/>
      <c r="I38" s="16"/>
      <c r="J38" s="16"/>
      <c r="K38" s="16"/>
      <c r="L38" s="16"/>
      <c r="M38" s="19"/>
      <c r="N38" s="19"/>
      <c r="O38" s="16"/>
      <c r="P38" s="1"/>
      <c r="Q38" s="1"/>
      <c r="R38" s="20"/>
      <c r="S38" s="20"/>
      <c r="T38" s="20"/>
      <c r="U38" s="1"/>
      <c r="V38" s="1"/>
      <c r="W38" s="1"/>
      <c r="X38" s="1"/>
    </row>
    <row r="39" spans="1:24">
      <c r="A39" s="15"/>
      <c r="B39" s="15"/>
      <c r="C39" s="16"/>
      <c r="D39" s="16"/>
      <c r="E39" s="16"/>
      <c r="F39" s="16"/>
      <c r="G39" s="16"/>
      <c r="H39" s="16"/>
      <c r="I39" s="16"/>
      <c r="J39" s="16"/>
      <c r="K39" s="16"/>
      <c r="L39" s="16"/>
      <c r="M39" s="19"/>
      <c r="N39" s="19"/>
      <c r="O39" s="16"/>
      <c r="P39" s="1"/>
      <c r="Q39" s="1"/>
      <c r="R39" s="20"/>
      <c r="S39" s="20"/>
      <c r="T39" s="20"/>
      <c r="U39" s="1"/>
      <c r="V39" s="1"/>
      <c r="W39" s="1"/>
      <c r="X39" s="1"/>
    </row>
    <row r="40" spans="1:24">
      <c r="A40" s="15"/>
      <c r="B40" s="15"/>
      <c r="C40" s="16"/>
      <c r="D40" s="16"/>
      <c r="E40" s="16"/>
      <c r="F40" s="16"/>
      <c r="G40" s="16"/>
      <c r="H40" s="16"/>
      <c r="I40" s="16"/>
      <c r="J40" s="16"/>
      <c r="K40" s="16"/>
      <c r="L40" s="16"/>
      <c r="M40" s="19"/>
      <c r="N40" s="19"/>
      <c r="O40" s="16"/>
      <c r="P40" s="1"/>
      <c r="Q40" s="1"/>
      <c r="R40" s="20"/>
      <c r="S40" s="20"/>
      <c r="T40" s="20"/>
      <c r="U40" s="1"/>
      <c r="V40" s="1"/>
      <c r="W40" s="1"/>
      <c r="X40" s="1"/>
    </row>
    <row r="41" spans="1:24">
      <c r="A41" s="15"/>
      <c r="B41" s="15"/>
      <c r="C41" s="16"/>
      <c r="D41" s="16"/>
      <c r="E41" s="16"/>
      <c r="F41" s="16"/>
      <c r="G41" s="16"/>
      <c r="H41" s="16"/>
      <c r="I41" s="16"/>
      <c r="J41" s="16"/>
      <c r="K41" s="16"/>
      <c r="L41" s="16"/>
      <c r="M41" s="19"/>
      <c r="N41" s="19"/>
      <c r="O41" s="16"/>
      <c r="P41" s="1"/>
      <c r="Q41" s="1"/>
      <c r="R41" s="20"/>
      <c r="S41" s="20"/>
      <c r="T41" s="20"/>
      <c r="U41" s="1"/>
      <c r="V41" s="1"/>
      <c r="W41" s="1"/>
      <c r="X41" s="1"/>
    </row>
    <row r="42" spans="1:24">
      <c r="A42" s="15"/>
      <c r="B42" s="15"/>
      <c r="C42" s="16"/>
      <c r="D42" s="16"/>
      <c r="E42" s="16"/>
      <c r="F42" s="16"/>
      <c r="G42" s="16"/>
      <c r="H42" s="16"/>
      <c r="I42" s="16"/>
      <c r="J42" s="16"/>
      <c r="K42" s="16"/>
      <c r="L42" s="16"/>
      <c r="M42" s="25"/>
      <c r="N42" s="25"/>
      <c r="O42" s="16"/>
      <c r="P42" s="1"/>
      <c r="Q42" s="1"/>
      <c r="R42" s="20"/>
      <c r="S42" s="20"/>
      <c r="T42" s="20"/>
      <c r="U42" s="1"/>
      <c r="V42" s="1"/>
      <c r="W42" s="1"/>
      <c r="X42" s="1"/>
    </row>
    <row r="43" spans="1:24">
      <c r="A43" s="15"/>
      <c r="B43" s="15"/>
      <c r="C43" s="16"/>
      <c r="D43" s="16"/>
      <c r="E43" s="16"/>
      <c r="F43" s="16"/>
      <c r="G43" s="16"/>
      <c r="H43" s="16"/>
      <c r="I43" s="16"/>
      <c r="J43" s="16"/>
      <c r="K43" s="16"/>
      <c r="L43" s="16"/>
      <c r="M43" s="25"/>
      <c r="N43" s="25"/>
      <c r="O43" s="16"/>
      <c r="P43" s="1"/>
      <c r="Q43" s="1"/>
      <c r="R43" s="20"/>
      <c r="S43" s="20"/>
      <c r="T43" s="20"/>
      <c r="U43" s="1"/>
      <c r="V43" s="1"/>
      <c r="W43" s="1"/>
      <c r="X43" s="1"/>
    </row>
    <row r="44" spans="1:24">
      <c r="A44" s="15"/>
      <c r="B44" s="15"/>
      <c r="C44" s="16"/>
      <c r="D44" s="16"/>
      <c r="E44" s="16"/>
      <c r="F44" s="16"/>
      <c r="G44" s="16"/>
      <c r="H44" s="16"/>
      <c r="I44" s="16"/>
      <c r="J44" s="16"/>
      <c r="K44" s="16"/>
      <c r="L44" s="16"/>
      <c r="M44" s="25"/>
      <c r="N44" s="25"/>
      <c r="O44" s="16"/>
      <c r="P44" s="1"/>
      <c r="Q44" s="1"/>
      <c r="R44" s="20"/>
      <c r="S44" s="20"/>
      <c r="T44" s="20"/>
      <c r="U44" s="1"/>
      <c r="V44" s="1"/>
      <c r="W44" s="1"/>
      <c r="X44" s="1"/>
    </row>
    <row r="45" spans="1:24">
      <c r="A45" s="15"/>
      <c r="B45" s="15"/>
      <c r="C45" s="16"/>
      <c r="D45" s="16"/>
      <c r="E45" s="16"/>
      <c r="F45" s="16"/>
      <c r="G45" s="16"/>
      <c r="H45" s="16"/>
      <c r="I45" s="16"/>
      <c r="J45" s="16"/>
      <c r="K45" s="16"/>
      <c r="L45" s="16"/>
      <c r="M45" s="25"/>
      <c r="N45" s="25"/>
      <c r="O45" s="16"/>
      <c r="P45" s="1"/>
      <c r="Q45" s="1"/>
      <c r="R45" s="20"/>
      <c r="S45" s="20"/>
      <c r="T45" s="20"/>
      <c r="U45" s="1"/>
      <c r="V45" s="1"/>
      <c r="W45" s="1"/>
      <c r="X45" s="1"/>
    </row>
    <row r="46" spans="1:24">
      <c r="A46" s="15"/>
      <c r="B46" s="15"/>
      <c r="C46" s="16"/>
      <c r="D46" s="16"/>
      <c r="E46" s="16"/>
      <c r="F46" s="16"/>
      <c r="G46" s="16"/>
      <c r="H46" s="16"/>
      <c r="I46" s="16"/>
      <c r="J46" s="16"/>
      <c r="K46" s="16"/>
      <c r="L46" s="16"/>
      <c r="M46" s="25"/>
      <c r="N46" s="25"/>
      <c r="O46" s="16"/>
      <c r="P46" s="1"/>
      <c r="Q46" s="1"/>
      <c r="R46" s="20"/>
      <c r="S46" s="20"/>
      <c r="T46" s="20"/>
      <c r="U46" s="1"/>
      <c r="V46" s="1"/>
      <c r="W46" s="1"/>
      <c r="X46" s="1"/>
    </row>
    <row r="47" spans="1:24">
      <c r="A47" s="15"/>
      <c r="B47" s="15"/>
      <c r="C47" s="16"/>
      <c r="D47" s="16"/>
      <c r="E47" s="16"/>
      <c r="F47" s="16"/>
      <c r="G47" s="16"/>
      <c r="H47" s="16"/>
      <c r="I47" s="16"/>
      <c r="J47" s="16"/>
      <c r="K47" s="16"/>
      <c r="L47" s="16"/>
      <c r="M47" s="25"/>
      <c r="N47" s="25"/>
      <c r="O47" s="16"/>
      <c r="P47" s="1"/>
      <c r="Q47" s="1"/>
      <c r="R47" s="20"/>
      <c r="S47" s="20"/>
      <c r="T47" s="20"/>
      <c r="U47" s="1"/>
      <c r="V47" s="1"/>
      <c r="W47" s="1"/>
      <c r="X47" s="1"/>
    </row>
    <row r="48" spans="1:24">
      <c r="A48" s="15"/>
      <c r="B48" s="15"/>
      <c r="C48" s="16"/>
      <c r="D48" s="16"/>
      <c r="E48" s="16"/>
      <c r="F48" s="16"/>
      <c r="G48" s="16"/>
      <c r="H48" s="16"/>
      <c r="I48" s="16"/>
      <c r="J48" s="16"/>
      <c r="K48" s="16"/>
      <c r="L48" s="16"/>
      <c r="M48" s="25"/>
      <c r="N48" s="25"/>
      <c r="O48" s="16"/>
      <c r="P48" s="1"/>
      <c r="Q48" s="1"/>
      <c r="R48" s="20"/>
      <c r="S48" s="20"/>
      <c r="T48" s="20"/>
      <c r="U48" s="1"/>
      <c r="V48" s="1"/>
      <c r="W48" s="1"/>
      <c r="X48" s="1"/>
    </row>
    <row r="49" spans="1:24">
      <c r="A49" s="15"/>
      <c r="B49" s="15"/>
      <c r="C49" s="16"/>
      <c r="D49" s="16"/>
      <c r="E49" s="16"/>
      <c r="F49" s="16"/>
      <c r="G49" s="16"/>
      <c r="H49" s="16"/>
      <c r="I49" s="16"/>
      <c r="J49" s="16"/>
      <c r="K49" s="16"/>
      <c r="L49" s="16"/>
      <c r="M49" s="25"/>
      <c r="N49" s="25"/>
      <c r="O49" s="16"/>
      <c r="P49" s="1" t="str">
        <f ca="1">IFERROR(__xludf.DUMMYFUNCTION("iferror(vlookup(B49,importrange(""https://docs.google.com/spreadsheets/d/1boHyJQ4e2FU0QG8MHwEi6qjX4hvZWVCHcFfXjq7bbMc/edit?resourcekey#gid=923248883"",""Prop!$C$1:$M""),12,0),IFERROR(vlookup(B49,importrange(""https://docs.google.com/spreadsheets/d/1boHyJQ"&amp;"4e2FU0QG8MHwEi6qjX4hvZWVCHcFfXjq7bbMc/edit?resourcekey#gid=923248883"",""Prop!$N$1:$X""),11,0),iferror(vlookup(B49,importrange(""https://docs.google.com/spreadsheets/d/1boHyJQ4e2FU0QG8MHwEi6qjX4hvZWVCHcFfXjq7bbMc/edit?resourcekey#gid=923248883"",""Prop!$Y"&amp;"$1:$AI""),11,0),iferror(vlookup(B49,importrange(""https://docs.google.com/spreadsheets/d/1boHyJQ4e2FU0QG8MHwEi6qjX4hvZWVCHcFfXjq7bbMc/edit?resourcekey#gid=923248883"",""Prop!$AJ$1:$AT""),11,0),iferror(vlookup(B49,importrange(""https://docs.google.com/spre"&amp;"adsheets/d/1boHyJQ4e2FU0QG8MHwEi6qjX4hvZWVCHcFfXjq7bbMc/edit?resourcekey#gid=923248883"",""Prop!$AU$1:$BE""),11,0),iferror(vlookup(B49,importrange(""https://docs.google.com/spreadsheets/d/1boHyJQ4e2FU0QG8MHwEi6qjX4hvZWVCHcFfXjq7bbMc/edit?resourcekey#gid=9"&amp;"23248883"",""Prop!$BF$1:$BP""),11,0),iferror(vlookup(B49,importrange(""https://docs.google.com/spreadsheets/d/1boHyJQ4e2FU0QG8MHwEi6qjX4hvZWVCHcFfXjq7bbMc/edit?resourcekey#gid=923248883"",""Prop!$BQ$1:$CA""),11,0),iferror(vlookup(B49,importrange(""https:/"&amp;"/docs.google.com/spreadsheets/d/1boHyJQ4e2FU0QG8MHwEi6qjX4hvZWVCHcFfXjq7bbMc/edit?resourcekey#gid=923248883"",""Prop!$CB$1:$CL""),11,0),iferror(vlookup(B49,importrange(""https://docs.google.com/spreadsheets/d/1boHyJQ4e2FU0QG8MHwEi6qjX4hvZWVCHcFfXjq7bbMc/e"&amp;"dit?resourcekey#gid=923248883"",""Prop!$CM$1:$CX""),12,0),iferror(vlookup(B49,importrange(""https://docs.google.com/spreadsheets/d/1boHyJQ4e2FU0QG8MHwEi6qjX4hvZWVCHcFfXjq7bbMc/edit?resourcekey#gid=923248883"",""Prop!$CV$1:$DI""),11,0)))))))))))"),"")</f>
        <v/>
      </c>
      <c r="Q49" s="1" t="str">
        <f ca="1">IFERROR(__xludf.DUMMYFUNCTION("iferror(vlookup(B49,importrange(""https://docs.google.com/spreadsheets/d/1p53T2AuvvIqhP7Nf-bo3Uhj8cbKYRPpZdsrBv3x3bAQ/edit?resourcekey#gid=1321652304"",""Prop!$C$1:$M""),11,0),IFERROR(vlookup(B49,importrange(""https://docs.google.com/spreadsheets/d/1p53T2"&amp;"AuvvIqhP7Nf-bo3Uhj8cbKYRPpZdsrBv3x3bAQ/edit?resourcekey#gid=1321652304"",""Prop!$N$1:$X""),11,0),iferror(vlookup(B49,importrange(""https://docs.google.com/spreadsheets/d/1p53T2AuvvIqhP7Nf-bo3Uhj8cbKYRPpZdsrBv3x3bAQ/edit?resourcekey#gid=1321652304"",""Prop"&amp;"!$Y$1:$AI""),11,0),iferror(vlookup(B49,importrange(""https://docs.google.com/spreadsheets/d/1p53T2AuvvIqhP7Nf-bo3Uhj8cbKYRPpZdsrBv3x3bAQ/edit?resourcekey#gid=1321652304"",""Prop!$AJ$1:$AT""),11,0),iferror(vlookup(B49,importrange(""https://docs.google.com/"&amp;"spreadsheets/d/1p53T2AuvvIqhP7Nf-bo3Uhj8cbKYRPpZdsrBv3x3bAQ/edit?resourcekey#gid=1321652304"",""Prop!$AU$1:$BE""),11,0),iferror(vlookup(B49,importrange(""https://docs.google.com/spreadsheets/d/1p53T2AuvvIqhP7Nf-bo3Uhj8cbKYRPpZdsrBv3x3bAQ/edit?resourcekey#"&amp;"gid=1321652304"",""Prop!$BF$1:$BP""),11,0),iferror(vlookup(B49,importrange(""https://docs.google.com/spreadsheets/d/1p53T2AuvvIqhP7Nf-bo3Uhj8cbKYRPpZdsrBv3x3bAQ/edit?resourcekey#gid=1321652304"",""Prop!$BQ$1:$CA""),11,0),iferror(vlookup(B49,importrange("""&amp;"https://docs.google.com/spreadsheets/d/1p53T2AuvvIqhP7Nf-bo3Uhj8cbKYRPpZdsrBv3x3bAQ/edit?resourcekey#gid=1321652304"",""Prop!$CB$1:$CL""),11,0),iferror(vlookup(B49,importrange(""https://docs.google.com/spreadsheets/d/1p53T2AuvvIqhP7Nf-bo3Uhj8cbKYRPpZdsrBv"&amp;"3x3bAQ/edit?resourcekey#gid=1321652304"",""Prop!$CM$1:$CX""),12,0),iferror(vlookup(B49,importrange(""https://docs.google.com/spreadsheets/d/1p53T2AuvvIqhP7Nf-bo3Uhj8cbKYRPpZdsrBv3x3bAQ/edit?resourcekey#gid=1321652304"",""Prop!$CY$1:$DI""),11,0)))))))))))"),"")</f>
        <v/>
      </c>
      <c r="R49" s="20" t="str">
        <f ca="1">IFERROR(__xludf.DUMMYFUNCTION("IFERROR(vlookup(A49,IMPORTRANGE(""https://docs.google.com/spreadsheets/d/1g_jfYYK_KeipEDNDUgqgrsxK94XiocfNQIcP-v1QVhI/edit?resourcekey#gid=233272945"",""Nilai!B:CT""),67,0),"" "")")," ")</f>
        <v xml:space="preserve"> </v>
      </c>
      <c r="S49" s="20" t="b">
        <v>0</v>
      </c>
      <c r="T49" s="20" t="str">
        <f ca="1">IFERROR(__xludf.DUMMYFUNCTION("IFERROR(vlookup(B49,IMPORTRANGE(""https://docs.google.com/spreadsheets/d/1g_jfYYK_KeipEDNDUgqgrsxK94XiocfNQIcP-v1QVhI/edit?resourcekey#gid=233272945"",""Nilai!B:BG""),38,0),"" "")")," ")</f>
        <v xml:space="preserve"> </v>
      </c>
      <c r="U49" s="1"/>
      <c r="V49" s="1"/>
      <c r="W49" s="1"/>
      <c r="X49" s="1"/>
    </row>
    <row r="50" spans="1:24">
      <c r="A50" s="15"/>
      <c r="B50" s="15"/>
      <c r="C50" s="16"/>
      <c r="D50" s="16"/>
      <c r="E50" s="16"/>
      <c r="F50" s="16"/>
      <c r="G50" s="16"/>
      <c r="H50" s="16"/>
      <c r="I50" s="16"/>
      <c r="J50" s="16"/>
      <c r="K50" s="16"/>
      <c r="L50" s="16"/>
      <c r="M50" s="25"/>
      <c r="N50" s="25"/>
      <c r="O50" s="16"/>
      <c r="P50" s="1" t="str">
        <f ca="1">IFERROR(__xludf.DUMMYFUNCTION("iferror(vlookup(B50,importrange(""https://docs.google.com/spreadsheets/d/1boHyJQ4e2FU0QG8MHwEi6qjX4hvZWVCHcFfXjq7bbMc/edit?resourcekey#gid=923248883"",""Prop!$C$1:$M""),12,0),IFERROR(vlookup(B50,importrange(""https://docs.google.com/spreadsheets/d/1boHyJQ"&amp;"4e2FU0QG8MHwEi6qjX4hvZWVCHcFfXjq7bbMc/edit?resourcekey#gid=923248883"",""Prop!$N$1:$X""),11,0),iferror(vlookup(B50,importrange(""https://docs.google.com/spreadsheets/d/1boHyJQ4e2FU0QG8MHwEi6qjX4hvZWVCHcFfXjq7bbMc/edit?resourcekey#gid=923248883"",""Prop!$Y"&amp;"$1:$AI""),11,0),iferror(vlookup(B50,importrange(""https://docs.google.com/spreadsheets/d/1boHyJQ4e2FU0QG8MHwEi6qjX4hvZWVCHcFfXjq7bbMc/edit?resourcekey#gid=923248883"",""Prop!$AJ$1:$AT""),11,0),iferror(vlookup(B50,importrange(""https://docs.google.com/spre"&amp;"adsheets/d/1boHyJQ4e2FU0QG8MHwEi6qjX4hvZWVCHcFfXjq7bbMc/edit?resourcekey#gid=923248883"",""Prop!$AU$1:$BE""),11,0),iferror(vlookup(B50,importrange(""https://docs.google.com/spreadsheets/d/1boHyJQ4e2FU0QG8MHwEi6qjX4hvZWVCHcFfXjq7bbMc/edit?resourcekey#gid=9"&amp;"23248883"",""Prop!$BF$1:$BP""),11,0),iferror(vlookup(B50,importrange(""https://docs.google.com/spreadsheets/d/1boHyJQ4e2FU0QG8MHwEi6qjX4hvZWVCHcFfXjq7bbMc/edit?resourcekey#gid=923248883"",""Prop!$BQ$1:$CA""),11,0),iferror(vlookup(B50,importrange(""https:/"&amp;"/docs.google.com/spreadsheets/d/1boHyJQ4e2FU0QG8MHwEi6qjX4hvZWVCHcFfXjq7bbMc/edit?resourcekey#gid=923248883"",""Prop!$CB$1:$CL""),11,0),iferror(vlookup(B50,importrange(""https://docs.google.com/spreadsheets/d/1boHyJQ4e2FU0QG8MHwEi6qjX4hvZWVCHcFfXjq7bbMc/e"&amp;"dit?resourcekey#gid=923248883"",""Prop!$CM$1:$CX""),12,0),iferror(vlookup(B50,importrange(""https://docs.google.com/spreadsheets/d/1boHyJQ4e2FU0QG8MHwEi6qjX4hvZWVCHcFfXjq7bbMc/edit?resourcekey#gid=923248883"",""Prop!$CV$1:$DI""),11,0)))))))))))"),"")</f>
        <v/>
      </c>
      <c r="Q50" s="1" t="str">
        <f ca="1">IFERROR(__xludf.DUMMYFUNCTION("iferror(vlookup(B50,importrange(""https://docs.google.com/spreadsheets/d/1p53T2AuvvIqhP7Nf-bo3Uhj8cbKYRPpZdsrBv3x3bAQ/edit?resourcekey#gid=1321652304"",""Prop!$C$1:$M""),11,0),IFERROR(vlookup(B50,importrange(""https://docs.google.com/spreadsheets/d/1p53T2"&amp;"AuvvIqhP7Nf-bo3Uhj8cbKYRPpZdsrBv3x3bAQ/edit?resourcekey#gid=1321652304"",""Prop!$N$1:$X""),11,0),iferror(vlookup(B50,importrange(""https://docs.google.com/spreadsheets/d/1p53T2AuvvIqhP7Nf-bo3Uhj8cbKYRPpZdsrBv3x3bAQ/edit?resourcekey#gid=1321652304"",""Prop"&amp;"!$Y$1:$AI""),11,0),iferror(vlookup(B50,importrange(""https://docs.google.com/spreadsheets/d/1p53T2AuvvIqhP7Nf-bo3Uhj8cbKYRPpZdsrBv3x3bAQ/edit?resourcekey#gid=1321652304"",""Prop!$AJ$1:$AT""),11,0),iferror(vlookup(B50,importrange(""https://docs.google.com/"&amp;"spreadsheets/d/1p53T2AuvvIqhP7Nf-bo3Uhj8cbKYRPpZdsrBv3x3bAQ/edit?resourcekey#gid=1321652304"",""Prop!$AU$1:$BE""),11,0),iferror(vlookup(B50,importrange(""https://docs.google.com/spreadsheets/d/1p53T2AuvvIqhP7Nf-bo3Uhj8cbKYRPpZdsrBv3x3bAQ/edit?resourcekey#"&amp;"gid=1321652304"",""Prop!$BF$1:$BP""),11,0),iferror(vlookup(B50,importrange(""https://docs.google.com/spreadsheets/d/1p53T2AuvvIqhP7Nf-bo3Uhj8cbKYRPpZdsrBv3x3bAQ/edit?resourcekey#gid=1321652304"",""Prop!$BQ$1:$CA""),11,0),iferror(vlookup(B50,importrange("""&amp;"https://docs.google.com/spreadsheets/d/1p53T2AuvvIqhP7Nf-bo3Uhj8cbKYRPpZdsrBv3x3bAQ/edit?resourcekey#gid=1321652304"",""Prop!$CB$1:$CL""),11,0),iferror(vlookup(B50,importrange(""https://docs.google.com/spreadsheets/d/1p53T2AuvvIqhP7Nf-bo3Uhj8cbKYRPpZdsrBv"&amp;"3x3bAQ/edit?resourcekey#gid=1321652304"",""Prop!$CM$1:$CX""),12,0),iferror(vlookup(B50,importrange(""https://docs.google.com/spreadsheets/d/1p53T2AuvvIqhP7Nf-bo3Uhj8cbKYRPpZdsrBv3x3bAQ/edit?resourcekey#gid=1321652304"",""Prop!$CY$1:$DI""),11,0)))))))))))"),"")</f>
        <v/>
      </c>
      <c r="R50" s="20" t="str">
        <f ca="1">IFERROR(__xludf.DUMMYFUNCTION("IFERROR(vlookup(A50,IMPORTRANGE(""https://docs.google.com/spreadsheets/d/1g_jfYYK_KeipEDNDUgqgrsxK94XiocfNQIcP-v1QVhI/edit?resourcekey#gid=233272945"",""Nilai!B:CT""),67,0),"" "")")," ")</f>
        <v xml:space="preserve"> </v>
      </c>
      <c r="S50" s="20" t="b">
        <v>0</v>
      </c>
      <c r="T50" s="20" t="str">
        <f ca="1">IFERROR(__xludf.DUMMYFUNCTION("IFERROR(vlookup(B50,IMPORTRANGE(""https://docs.google.com/spreadsheets/d/1g_jfYYK_KeipEDNDUgqgrsxK94XiocfNQIcP-v1QVhI/edit?resourcekey#gid=233272945"",""Nilai!B:BG""),38,0),"" "")")," ")</f>
        <v xml:space="preserve"> </v>
      </c>
      <c r="U50" s="1"/>
      <c r="V50" s="1"/>
      <c r="W50" s="1"/>
      <c r="X50" s="1"/>
    </row>
    <row r="51" spans="1:24">
      <c r="A51" s="15"/>
      <c r="B51" s="15"/>
      <c r="C51" s="16"/>
      <c r="D51" s="16"/>
      <c r="E51" s="16"/>
      <c r="F51" s="16"/>
      <c r="G51" s="16"/>
      <c r="H51" s="16"/>
      <c r="I51" s="16"/>
      <c r="J51" s="16"/>
      <c r="K51" s="16"/>
      <c r="L51" s="16"/>
      <c r="M51" s="25"/>
      <c r="N51" s="25"/>
      <c r="O51" s="16"/>
      <c r="P51" s="1" t="str">
        <f ca="1">IFERROR(__xludf.DUMMYFUNCTION("iferror(vlookup(B51,importrange(""https://docs.google.com/spreadsheets/d/1boHyJQ4e2FU0QG8MHwEi6qjX4hvZWVCHcFfXjq7bbMc/edit?resourcekey#gid=923248883"",""Prop!$C$1:$M""),12,0),IFERROR(vlookup(B51,importrange(""https://docs.google.com/spreadsheets/d/1boHyJQ"&amp;"4e2FU0QG8MHwEi6qjX4hvZWVCHcFfXjq7bbMc/edit?resourcekey#gid=923248883"",""Prop!$N$1:$X""),11,0),iferror(vlookup(B51,importrange(""https://docs.google.com/spreadsheets/d/1boHyJQ4e2FU0QG8MHwEi6qjX4hvZWVCHcFfXjq7bbMc/edit?resourcekey#gid=923248883"",""Prop!$Y"&amp;"$1:$AI""),11,0),iferror(vlookup(B51,importrange(""https://docs.google.com/spreadsheets/d/1boHyJQ4e2FU0QG8MHwEi6qjX4hvZWVCHcFfXjq7bbMc/edit?resourcekey#gid=923248883"",""Prop!$AJ$1:$AT""),11,0),iferror(vlookup(B51,importrange(""https://docs.google.com/spre"&amp;"adsheets/d/1boHyJQ4e2FU0QG8MHwEi6qjX4hvZWVCHcFfXjq7bbMc/edit?resourcekey#gid=923248883"",""Prop!$AU$1:$BE""),11,0),iferror(vlookup(B51,importrange(""https://docs.google.com/spreadsheets/d/1boHyJQ4e2FU0QG8MHwEi6qjX4hvZWVCHcFfXjq7bbMc/edit?resourcekey#gid=9"&amp;"23248883"",""Prop!$BF$1:$BP""),11,0),iferror(vlookup(B51,importrange(""https://docs.google.com/spreadsheets/d/1boHyJQ4e2FU0QG8MHwEi6qjX4hvZWVCHcFfXjq7bbMc/edit?resourcekey#gid=923248883"",""Prop!$BQ$1:$CA""),11,0),iferror(vlookup(B51,importrange(""https:/"&amp;"/docs.google.com/spreadsheets/d/1boHyJQ4e2FU0QG8MHwEi6qjX4hvZWVCHcFfXjq7bbMc/edit?resourcekey#gid=923248883"",""Prop!$CB$1:$CL""),11,0),iferror(vlookup(B51,importrange(""https://docs.google.com/spreadsheets/d/1boHyJQ4e2FU0QG8MHwEi6qjX4hvZWVCHcFfXjq7bbMc/e"&amp;"dit?resourcekey#gid=923248883"",""Prop!$CM$1:$CX""),12,0),iferror(vlookup(B51,importrange(""https://docs.google.com/spreadsheets/d/1boHyJQ4e2FU0QG8MHwEi6qjX4hvZWVCHcFfXjq7bbMc/edit?resourcekey#gid=923248883"",""Prop!$CV$1:$DI""),11,0)))))))))))"),"")</f>
        <v/>
      </c>
      <c r="Q51" s="1" t="str">
        <f ca="1">IFERROR(__xludf.DUMMYFUNCTION("iferror(vlookup(B51,importrange(""https://docs.google.com/spreadsheets/d/1p53T2AuvvIqhP7Nf-bo3Uhj8cbKYRPpZdsrBv3x3bAQ/edit?resourcekey#gid=1321652304"",""Prop!$C$1:$M""),11,0),IFERROR(vlookup(B51,importrange(""https://docs.google.com/spreadsheets/d/1p53T2"&amp;"AuvvIqhP7Nf-bo3Uhj8cbKYRPpZdsrBv3x3bAQ/edit?resourcekey#gid=1321652304"",""Prop!$N$1:$X""),11,0),iferror(vlookup(B51,importrange(""https://docs.google.com/spreadsheets/d/1p53T2AuvvIqhP7Nf-bo3Uhj8cbKYRPpZdsrBv3x3bAQ/edit?resourcekey#gid=1321652304"",""Prop"&amp;"!$Y$1:$AI""),11,0),iferror(vlookup(B51,importrange(""https://docs.google.com/spreadsheets/d/1p53T2AuvvIqhP7Nf-bo3Uhj8cbKYRPpZdsrBv3x3bAQ/edit?resourcekey#gid=1321652304"",""Prop!$AJ$1:$AT""),11,0),iferror(vlookup(B51,importrange(""https://docs.google.com/"&amp;"spreadsheets/d/1p53T2AuvvIqhP7Nf-bo3Uhj8cbKYRPpZdsrBv3x3bAQ/edit?resourcekey#gid=1321652304"",""Prop!$AU$1:$BE""),11,0),iferror(vlookup(B51,importrange(""https://docs.google.com/spreadsheets/d/1p53T2AuvvIqhP7Nf-bo3Uhj8cbKYRPpZdsrBv3x3bAQ/edit?resourcekey#"&amp;"gid=1321652304"",""Prop!$BF$1:$BP""),11,0),iferror(vlookup(B51,importrange(""https://docs.google.com/spreadsheets/d/1p53T2AuvvIqhP7Nf-bo3Uhj8cbKYRPpZdsrBv3x3bAQ/edit?resourcekey#gid=1321652304"",""Prop!$BQ$1:$CA""),11,0),iferror(vlookup(B51,importrange("""&amp;"https://docs.google.com/spreadsheets/d/1p53T2AuvvIqhP7Nf-bo3Uhj8cbKYRPpZdsrBv3x3bAQ/edit?resourcekey#gid=1321652304"",""Prop!$CB$1:$CL""),11,0),iferror(vlookup(B51,importrange(""https://docs.google.com/spreadsheets/d/1p53T2AuvvIqhP7Nf-bo3Uhj8cbKYRPpZdsrBv"&amp;"3x3bAQ/edit?resourcekey#gid=1321652304"",""Prop!$CM$1:$CX""),12,0),iferror(vlookup(B51,importrange(""https://docs.google.com/spreadsheets/d/1p53T2AuvvIqhP7Nf-bo3Uhj8cbKYRPpZdsrBv3x3bAQ/edit?resourcekey#gid=1321652304"",""Prop!$CY$1:$DI""),11,0)))))))))))"),"")</f>
        <v/>
      </c>
      <c r="R51" s="20" t="str">
        <f ca="1">IFERROR(__xludf.DUMMYFUNCTION("IFERROR(vlookup(A51,IMPORTRANGE(""https://docs.google.com/spreadsheets/d/1g_jfYYK_KeipEDNDUgqgrsxK94XiocfNQIcP-v1QVhI/edit?resourcekey#gid=233272945"",""Nilai!B:CT""),67,0),"" "")")," ")</f>
        <v xml:space="preserve"> </v>
      </c>
      <c r="S51" s="20" t="b">
        <v>0</v>
      </c>
      <c r="T51" s="20" t="str">
        <f ca="1">IFERROR(__xludf.DUMMYFUNCTION("IFERROR(vlookup(B51,IMPORTRANGE(""https://docs.google.com/spreadsheets/d/1g_jfYYK_KeipEDNDUgqgrsxK94XiocfNQIcP-v1QVhI/edit?resourcekey#gid=233272945"",""Nilai!B:BG""),38,0),"" "")")," ")</f>
        <v xml:space="preserve"> </v>
      </c>
      <c r="U51" s="1"/>
      <c r="V51" s="1"/>
      <c r="W51" s="1"/>
      <c r="X51" s="1"/>
    </row>
    <row r="52" spans="1:24">
      <c r="A52" s="15"/>
      <c r="B52" s="15"/>
      <c r="C52" s="16"/>
      <c r="D52" s="16"/>
      <c r="E52" s="16"/>
      <c r="F52" s="16"/>
      <c r="G52" s="16"/>
      <c r="H52" s="16"/>
      <c r="I52" s="16"/>
      <c r="J52" s="16"/>
      <c r="K52" s="16"/>
      <c r="L52" s="16"/>
      <c r="M52" s="25"/>
      <c r="N52" s="25"/>
      <c r="O52" s="16"/>
      <c r="P52" s="1" t="str">
        <f ca="1">IFERROR(__xludf.DUMMYFUNCTION("iferror(vlookup(B52,importrange(""https://docs.google.com/spreadsheets/d/1boHyJQ4e2FU0QG8MHwEi6qjX4hvZWVCHcFfXjq7bbMc/edit?resourcekey#gid=923248883"",""Prop!$C$1:$M""),12,0),IFERROR(vlookup(B52,importrange(""https://docs.google.com/spreadsheets/d/1boHyJQ"&amp;"4e2FU0QG8MHwEi6qjX4hvZWVCHcFfXjq7bbMc/edit?resourcekey#gid=923248883"",""Prop!$N$1:$X""),11,0),iferror(vlookup(B52,importrange(""https://docs.google.com/spreadsheets/d/1boHyJQ4e2FU0QG8MHwEi6qjX4hvZWVCHcFfXjq7bbMc/edit?resourcekey#gid=923248883"",""Prop!$Y"&amp;"$1:$AI""),11,0),iferror(vlookup(B52,importrange(""https://docs.google.com/spreadsheets/d/1boHyJQ4e2FU0QG8MHwEi6qjX4hvZWVCHcFfXjq7bbMc/edit?resourcekey#gid=923248883"",""Prop!$AJ$1:$AT""),11,0),iferror(vlookup(B52,importrange(""https://docs.google.com/spre"&amp;"adsheets/d/1boHyJQ4e2FU0QG8MHwEi6qjX4hvZWVCHcFfXjq7bbMc/edit?resourcekey#gid=923248883"",""Prop!$AU$1:$BE""),11,0),iferror(vlookup(B52,importrange(""https://docs.google.com/spreadsheets/d/1boHyJQ4e2FU0QG8MHwEi6qjX4hvZWVCHcFfXjq7bbMc/edit?resourcekey#gid=9"&amp;"23248883"",""Prop!$BF$1:$BP""),11,0),iferror(vlookup(B52,importrange(""https://docs.google.com/spreadsheets/d/1boHyJQ4e2FU0QG8MHwEi6qjX4hvZWVCHcFfXjq7bbMc/edit?resourcekey#gid=923248883"",""Prop!$BQ$1:$CA""),11,0),iferror(vlookup(B52,importrange(""https:/"&amp;"/docs.google.com/spreadsheets/d/1boHyJQ4e2FU0QG8MHwEi6qjX4hvZWVCHcFfXjq7bbMc/edit?resourcekey#gid=923248883"",""Prop!$CB$1:$CL""),11,0),iferror(vlookup(B52,importrange(""https://docs.google.com/spreadsheets/d/1boHyJQ4e2FU0QG8MHwEi6qjX4hvZWVCHcFfXjq7bbMc/e"&amp;"dit?resourcekey#gid=923248883"",""Prop!$CM$1:$CX""),12,0),iferror(vlookup(B52,importrange(""https://docs.google.com/spreadsheets/d/1boHyJQ4e2FU0QG8MHwEi6qjX4hvZWVCHcFfXjq7bbMc/edit?resourcekey#gid=923248883"",""Prop!$CV$1:$DI""),11,0)))))))))))"),"")</f>
        <v/>
      </c>
      <c r="Q52" s="1" t="str">
        <f ca="1">IFERROR(__xludf.DUMMYFUNCTION("iferror(vlookup(B52,importrange(""https://docs.google.com/spreadsheets/d/1p53T2AuvvIqhP7Nf-bo3Uhj8cbKYRPpZdsrBv3x3bAQ/edit?resourcekey#gid=1321652304"",""Prop!$C$1:$M""),11,0),IFERROR(vlookup(B52,importrange(""https://docs.google.com/spreadsheets/d/1p53T2"&amp;"AuvvIqhP7Nf-bo3Uhj8cbKYRPpZdsrBv3x3bAQ/edit?resourcekey#gid=1321652304"",""Prop!$N$1:$X""),11,0),iferror(vlookup(B52,importrange(""https://docs.google.com/spreadsheets/d/1p53T2AuvvIqhP7Nf-bo3Uhj8cbKYRPpZdsrBv3x3bAQ/edit?resourcekey#gid=1321652304"",""Prop"&amp;"!$Y$1:$AI""),11,0),iferror(vlookup(B52,importrange(""https://docs.google.com/spreadsheets/d/1p53T2AuvvIqhP7Nf-bo3Uhj8cbKYRPpZdsrBv3x3bAQ/edit?resourcekey#gid=1321652304"",""Prop!$AJ$1:$AT""),11,0),iferror(vlookup(B52,importrange(""https://docs.google.com/"&amp;"spreadsheets/d/1p53T2AuvvIqhP7Nf-bo3Uhj8cbKYRPpZdsrBv3x3bAQ/edit?resourcekey#gid=1321652304"",""Prop!$AU$1:$BE""),11,0),iferror(vlookup(B52,importrange(""https://docs.google.com/spreadsheets/d/1p53T2AuvvIqhP7Nf-bo3Uhj8cbKYRPpZdsrBv3x3bAQ/edit?resourcekey#"&amp;"gid=1321652304"",""Prop!$BF$1:$BP""),11,0),iferror(vlookup(B52,importrange(""https://docs.google.com/spreadsheets/d/1p53T2AuvvIqhP7Nf-bo3Uhj8cbKYRPpZdsrBv3x3bAQ/edit?resourcekey#gid=1321652304"",""Prop!$BQ$1:$CA""),11,0),iferror(vlookup(B52,importrange("""&amp;"https://docs.google.com/spreadsheets/d/1p53T2AuvvIqhP7Nf-bo3Uhj8cbKYRPpZdsrBv3x3bAQ/edit?resourcekey#gid=1321652304"",""Prop!$CB$1:$CL""),11,0),iferror(vlookup(B52,importrange(""https://docs.google.com/spreadsheets/d/1p53T2AuvvIqhP7Nf-bo3Uhj8cbKYRPpZdsrBv"&amp;"3x3bAQ/edit?resourcekey#gid=1321652304"",""Prop!$CM$1:$CX""),12,0),iferror(vlookup(B52,importrange(""https://docs.google.com/spreadsheets/d/1p53T2AuvvIqhP7Nf-bo3Uhj8cbKYRPpZdsrBv3x3bAQ/edit?resourcekey#gid=1321652304"",""Prop!$CY$1:$DI""),11,0)))))))))))"),"")</f>
        <v/>
      </c>
      <c r="R52" s="20" t="str">
        <f ca="1">IFERROR(__xludf.DUMMYFUNCTION("IFERROR(vlookup(A52,IMPORTRANGE(""https://docs.google.com/spreadsheets/d/1g_jfYYK_KeipEDNDUgqgrsxK94XiocfNQIcP-v1QVhI/edit?resourcekey#gid=233272945"",""Nilai!B:CT""),67,0),"" "")")," ")</f>
        <v xml:space="preserve"> </v>
      </c>
      <c r="S52" s="20" t="b">
        <v>0</v>
      </c>
      <c r="T52" s="20" t="str">
        <f ca="1">IFERROR(__xludf.DUMMYFUNCTION("IFERROR(vlookup(B52,IMPORTRANGE(""https://docs.google.com/spreadsheets/d/1g_jfYYK_KeipEDNDUgqgrsxK94XiocfNQIcP-v1QVhI/edit?resourcekey#gid=233272945"",""Nilai!B:BG""),38,0),"" "")")," ")</f>
        <v xml:space="preserve"> </v>
      </c>
      <c r="U52" s="1"/>
      <c r="V52" s="1"/>
      <c r="W52" s="1"/>
      <c r="X52" s="1"/>
    </row>
    <row r="53" spans="1:24">
      <c r="A53" s="15"/>
      <c r="B53" s="15"/>
      <c r="C53" s="16"/>
      <c r="D53" s="16"/>
      <c r="E53" s="16"/>
      <c r="F53" s="16"/>
      <c r="G53" s="16"/>
      <c r="H53" s="16"/>
      <c r="I53" s="16"/>
      <c r="J53" s="16"/>
      <c r="K53" s="16"/>
      <c r="L53" s="16"/>
      <c r="M53" s="25"/>
      <c r="N53" s="25"/>
      <c r="O53" s="16"/>
      <c r="P53" s="1" t="str">
        <f ca="1">IFERROR(__xludf.DUMMYFUNCTION("iferror(vlookup(B53,importrange(""https://docs.google.com/spreadsheets/d/1boHyJQ4e2FU0QG8MHwEi6qjX4hvZWVCHcFfXjq7bbMc/edit?resourcekey#gid=923248883"",""Prop!$C$1:$M""),12,0),IFERROR(vlookup(B53,importrange(""https://docs.google.com/spreadsheets/d/1boHyJQ"&amp;"4e2FU0QG8MHwEi6qjX4hvZWVCHcFfXjq7bbMc/edit?resourcekey#gid=923248883"",""Prop!$N$1:$X""),11,0),iferror(vlookup(B53,importrange(""https://docs.google.com/spreadsheets/d/1boHyJQ4e2FU0QG8MHwEi6qjX4hvZWVCHcFfXjq7bbMc/edit?resourcekey#gid=923248883"",""Prop!$Y"&amp;"$1:$AI""),11,0),iferror(vlookup(B53,importrange(""https://docs.google.com/spreadsheets/d/1boHyJQ4e2FU0QG8MHwEi6qjX4hvZWVCHcFfXjq7bbMc/edit?resourcekey#gid=923248883"",""Prop!$AJ$1:$AT""),11,0),iferror(vlookup(B53,importrange(""https://docs.google.com/spre"&amp;"adsheets/d/1boHyJQ4e2FU0QG8MHwEi6qjX4hvZWVCHcFfXjq7bbMc/edit?resourcekey#gid=923248883"",""Prop!$AU$1:$BE""),11,0),iferror(vlookup(B53,importrange(""https://docs.google.com/spreadsheets/d/1boHyJQ4e2FU0QG8MHwEi6qjX4hvZWVCHcFfXjq7bbMc/edit?resourcekey#gid=9"&amp;"23248883"",""Prop!$BF$1:$BP""),11,0),iferror(vlookup(B53,importrange(""https://docs.google.com/spreadsheets/d/1boHyJQ4e2FU0QG8MHwEi6qjX4hvZWVCHcFfXjq7bbMc/edit?resourcekey#gid=923248883"",""Prop!$BQ$1:$CA""),11,0),iferror(vlookup(B53,importrange(""https:/"&amp;"/docs.google.com/spreadsheets/d/1boHyJQ4e2FU0QG8MHwEi6qjX4hvZWVCHcFfXjq7bbMc/edit?resourcekey#gid=923248883"",""Prop!$CB$1:$CL""),11,0),iferror(vlookup(B53,importrange(""https://docs.google.com/spreadsheets/d/1boHyJQ4e2FU0QG8MHwEi6qjX4hvZWVCHcFfXjq7bbMc/e"&amp;"dit?resourcekey#gid=923248883"",""Prop!$CM$1:$CX""),12,0),iferror(vlookup(B53,importrange(""https://docs.google.com/spreadsheets/d/1boHyJQ4e2FU0QG8MHwEi6qjX4hvZWVCHcFfXjq7bbMc/edit?resourcekey#gid=923248883"",""Prop!$CV$1:$DI""),11,0)))))))))))"),"")</f>
        <v/>
      </c>
      <c r="Q53" s="1" t="str">
        <f ca="1">IFERROR(__xludf.DUMMYFUNCTION("iferror(vlookup(B53,importrange(""https://docs.google.com/spreadsheets/d/1p53T2AuvvIqhP7Nf-bo3Uhj8cbKYRPpZdsrBv3x3bAQ/edit?resourcekey#gid=1321652304"",""Prop!$C$1:$M""),11,0),IFERROR(vlookup(B53,importrange(""https://docs.google.com/spreadsheets/d/1p53T2"&amp;"AuvvIqhP7Nf-bo3Uhj8cbKYRPpZdsrBv3x3bAQ/edit?resourcekey#gid=1321652304"",""Prop!$N$1:$X""),11,0),iferror(vlookup(B53,importrange(""https://docs.google.com/spreadsheets/d/1p53T2AuvvIqhP7Nf-bo3Uhj8cbKYRPpZdsrBv3x3bAQ/edit?resourcekey#gid=1321652304"",""Prop"&amp;"!$Y$1:$AI""),11,0),iferror(vlookup(B53,importrange(""https://docs.google.com/spreadsheets/d/1p53T2AuvvIqhP7Nf-bo3Uhj8cbKYRPpZdsrBv3x3bAQ/edit?resourcekey#gid=1321652304"",""Prop!$AJ$1:$AT""),11,0),iferror(vlookup(B53,importrange(""https://docs.google.com/"&amp;"spreadsheets/d/1p53T2AuvvIqhP7Nf-bo3Uhj8cbKYRPpZdsrBv3x3bAQ/edit?resourcekey#gid=1321652304"",""Prop!$AU$1:$BE""),11,0),iferror(vlookup(B53,importrange(""https://docs.google.com/spreadsheets/d/1p53T2AuvvIqhP7Nf-bo3Uhj8cbKYRPpZdsrBv3x3bAQ/edit?resourcekey#"&amp;"gid=1321652304"",""Prop!$BF$1:$BP""),11,0),iferror(vlookup(B53,importrange(""https://docs.google.com/spreadsheets/d/1p53T2AuvvIqhP7Nf-bo3Uhj8cbKYRPpZdsrBv3x3bAQ/edit?resourcekey#gid=1321652304"",""Prop!$BQ$1:$CA""),11,0),iferror(vlookup(B53,importrange("""&amp;"https://docs.google.com/spreadsheets/d/1p53T2AuvvIqhP7Nf-bo3Uhj8cbKYRPpZdsrBv3x3bAQ/edit?resourcekey#gid=1321652304"",""Prop!$CB$1:$CL""),11,0),iferror(vlookup(B53,importrange(""https://docs.google.com/spreadsheets/d/1p53T2AuvvIqhP7Nf-bo3Uhj8cbKYRPpZdsrBv"&amp;"3x3bAQ/edit?resourcekey#gid=1321652304"",""Prop!$CM$1:$CX""),12,0),iferror(vlookup(B53,importrange(""https://docs.google.com/spreadsheets/d/1p53T2AuvvIqhP7Nf-bo3Uhj8cbKYRPpZdsrBv3x3bAQ/edit?resourcekey#gid=1321652304"",""Prop!$CY$1:$DI""),11,0)))))))))))"),"")</f>
        <v/>
      </c>
      <c r="R53" s="20" t="str">
        <f ca="1">IFERROR(__xludf.DUMMYFUNCTION("IFERROR(vlookup(A53,IMPORTRANGE(""https://docs.google.com/spreadsheets/d/1g_jfYYK_KeipEDNDUgqgrsxK94XiocfNQIcP-v1QVhI/edit?resourcekey#gid=233272945"",""Nilai!B:CT""),67,0),"" "")")," ")</f>
        <v xml:space="preserve"> </v>
      </c>
      <c r="S53" s="20" t="b">
        <v>0</v>
      </c>
      <c r="T53" s="20" t="str">
        <f ca="1">IFERROR(__xludf.DUMMYFUNCTION("IFERROR(vlookup(B53,IMPORTRANGE(""https://docs.google.com/spreadsheets/d/1g_jfYYK_KeipEDNDUgqgrsxK94XiocfNQIcP-v1QVhI/edit?resourcekey#gid=233272945"",""Nilai!B:BG""),38,0),"" "")")," ")</f>
        <v xml:space="preserve"> </v>
      </c>
      <c r="U53" s="1"/>
      <c r="V53" s="1"/>
      <c r="W53" s="1"/>
      <c r="X53" s="1"/>
    </row>
    <row r="54" spans="1:24">
      <c r="A54" s="15"/>
      <c r="B54" s="15"/>
      <c r="C54" s="16"/>
      <c r="D54" s="16"/>
      <c r="E54" s="16"/>
      <c r="F54" s="16"/>
      <c r="G54" s="16"/>
      <c r="H54" s="16"/>
      <c r="I54" s="16"/>
      <c r="J54" s="16"/>
      <c r="K54" s="16"/>
      <c r="L54" s="16"/>
      <c r="M54" s="25"/>
      <c r="N54" s="25"/>
      <c r="O54" s="16"/>
      <c r="P54" s="1" t="str">
        <f ca="1">IFERROR(__xludf.DUMMYFUNCTION("iferror(vlookup(B54,importrange(""https://docs.google.com/spreadsheets/d/1boHyJQ4e2FU0QG8MHwEi6qjX4hvZWVCHcFfXjq7bbMc/edit?resourcekey#gid=923248883"",""Prop!$C$1:$M""),12,0),IFERROR(vlookup(B54,importrange(""https://docs.google.com/spreadsheets/d/1boHyJQ"&amp;"4e2FU0QG8MHwEi6qjX4hvZWVCHcFfXjq7bbMc/edit?resourcekey#gid=923248883"",""Prop!$N$1:$X""),11,0),iferror(vlookup(B54,importrange(""https://docs.google.com/spreadsheets/d/1boHyJQ4e2FU0QG8MHwEi6qjX4hvZWVCHcFfXjq7bbMc/edit?resourcekey#gid=923248883"",""Prop!$Y"&amp;"$1:$AI""),11,0),iferror(vlookup(B54,importrange(""https://docs.google.com/spreadsheets/d/1boHyJQ4e2FU0QG8MHwEi6qjX4hvZWVCHcFfXjq7bbMc/edit?resourcekey#gid=923248883"",""Prop!$AJ$1:$AT""),11,0),iferror(vlookup(B54,importrange(""https://docs.google.com/spre"&amp;"adsheets/d/1boHyJQ4e2FU0QG8MHwEi6qjX4hvZWVCHcFfXjq7bbMc/edit?resourcekey#gid=923248883"",""Prop!$AU$1:$BE""),11,0),iferror(vlookup(B54,importrange(""https://docs.google.com/spreadsheets/d/1boHyJQ4e2FU0QG8MHwEi6qjX4hvZWVCHcFfXjq7bbMc/edit?resourcekey#gid=9"&amp;"23248883"",""Prop!$BF$1:$BP""),11,0),iferror(vlookup(B54,importrange(""https://docs.google.com/spreadsheets/d/1boHyJQ4e2FU0QG8MHwEi6qjX4hvZWVCHcFfXjq7bbMc/edit?resourcekey#gid=923248883"",""Prop!$BQ$1:$CA""),11,0),iferror(vlookup(B54,importrange(""https:/"&amp;"/docs.google.com/spreadsheets/d/1boHyJQ4e2FU0QG8MHwEi6qjX4hvZWVCHcFfXjq7bbMc/edit?resourcekey#gid=923248883"",""Prop!$CB$1:$CL""),11,0),iferror(vlookup(B54,importrange(""https://docs.google.com/spreadsheets/d/1boHyJQ4e2FU0QG8MHwEi6qjX4hvZWVCHcFfXjq7bbMc/e"&amp;"dit?resourcekey#gid=923248883"",""Prop!$CM$1:$CX""),12,0),iferror(vlookup(B54,importrange(""https://docs.google.com/spreadsheets/d/1boHyJQ4e2FU0QG8MHwEi6qjX4hvZWVCHcFfXjq7bbMc/edit?resourcekey#gid=923248883"",""Prop!$CV$1:$DI""),11,0)))))))))))"),"")</f>
        <v/>
      </c>
      <c r="Q54" s="1" t="str">
        <f ca="1">IFERROR(__xludf.DUMMYFUNCTION("iferror(vlookup(B54,importrange(""https://docs.google.com/spreadsheets/d/1p53T2AuvvIqhP7Nf-bo3Uhj8cbKYRPpZdsrBv3x3bAQ/edit?resourcekey#gid=1321652304"",""Prop!$C$1:$M""),11,0),IFERROR(vlookup(B54,importrange(""https://docs.google.com/spreadsheets/d/1p53T2"&amp;"AuvvIqhP7Nf-bo3Uhj8cbKYRPpZdsrBv3x3bAQ/edit?resourcekey#gid=1321652304"",""Prop!$N$1:$X""),11,0),iferror(vlookup(B54,importrange(""https://docs.google.com/spreadsheets/d/1p53T2AuvvIqhP7Nf-bo3Uhj8cbKYRPpZdsrBv3x3bAQ/edit?resourcekey#gid=1321652304"",""Prop"&amp;"!$Y$1:$AI""),11,0),iferror(vlookup(B54,importrange(""https://docs.google.com/spreadsheets/d/1p53T2AuvvIqhP7Nf-bo3Uhj8cbKYRPpZdsrBv3x3bAQ/edit?resourcekey#gid=1321652304"",""Prop!$AJ$1:$AT""),11,0),iferror(vlookup(B54,importrange(""https://docs.google.com/"&amp;"spreadsheets/d/1p53T2AuvvIqhP7Nf-bo3Uhj8cbKYRPpZdsrBv3x3bAQ/edit?resourcekey#gid=1321652304"",""Prop!$AU$1:$BE""),11,0),iferror(vlookup(B54,importrange(""https://docs.google.com/spreadsheets/d/1p53T2AuvvIqhP7Nf-bo3Uhj8cbKYRPpZdsrBv3x3bAQ/edit?resourcekey#"&amp;"gid=1321652304"",""Prop!$BF$1:$BP""),11,0),iferror(vlookup(B54,importrange(""https://docs.google.com/spreadsheets/d/1p53T2AuvvIqhP7Nf-bo3Uhj8cbKYRPpZdsrBv3x3bAQ/edit?resourcekey#gid=1321652304"",""Prop!$BQ$1:$CA""),11,0),iferror(vlookup(B54,importrange("""&amp;"https://docs.google.com/spreadsheets/d/1p53T2AuvvIqhP7Nf-bo3Uhj8cbKYRPpZdsrBv3x3bAQ/edit?resourcekey#gid=1321652304"",""Prop!$CB$1:$CL""),11,0),iferror(vlookup(B54,importrange(""https://docs.google.com/spreadsheets/d/1p53T2AuvvIqhP7Nf-bo3Uhj8cbKYRPpZdsrBv"&amp;"3x3bAQ/edit?resourcekey#gid=1321652304"",""Prop!$CM$1:$CX""),12,0),iferror(vlookup(B54,importrange(""https://docs.google.com/spreadsheets/d/1p53T2AuvvIqhP7Nf-bo3Uhj8cbKYRPpZdsrBv3x3bAQ/edit?resourcekey#gid=1321652304"",""Prop!$CY$1:$DI""),11,0)))))))))))"),"")</f>
        <v/>
      </c>
      <c r="R54" s="20" t="str">
        <f ca="1">IFERROR(__xludf.DUMMYFUNCTION("IFERROR(vlookup(A54,IMPORTRANGE(""https://docs.google.com/spreadsheets/d/1g_jfYYK_KeipEDNDUgqgrsxK94XiocfNQIcP-v1QVhI/edit?resourcekey#gid=233272945"",""Nilai!B:CT""),67,0),"" "")")," ")</f>
        <v xml:space="preserve"> </v>
      </c>
      <c r="S54" s="20" t="b">
        <v>0</v>
      </c>
      <c r="T54" s="20" t="str">
        <f ca="1">IFERROR(__xludf.DUMMYFUNCTION("IFERROR(vlookup(B54,IMPORTRANGE(""https://docs.google.com/spreadsheets/d/1g_jfYYK_KeipEDNDUgqgrsxK94XiocfNQIcP-v1QVhI/edit?resourcekey#gid=233272945"",""Nilai!B:BG""),38,0),"" "")")," ")</f>
        <v xml:space="preserve"> </v>
      </c>
      <c r="U54" s="1"/>
      <c r="V54" s="1"/>
      <c r="W54" s="1"/>
      <c r="X54" s="1"/>
    </row>
    <row r="55" spans="1:24">
      <c r="A55" s="15"/>
      <c r="B55" s="15"/>
      <c r="C55" s="16"/>
      <c r="D55" s="16"/>
      <c r="E55" s="16"/>
      <c r="F55" s="16"/>
      <c r="G55" s="16"/>
      <c r="H55" s="16"/>
      <c r="I55" s="16"/>
      <c r="J55" s="16"/>
      <c r="K55" s="16"/>
      <c r="L55" s="16"/>
      <c r="M55" s="25"/>
      <c r="N55" s="25"/>
      <c r="O55" s="16"/>
      <c r="P55" s="1" t="str">
        <f ca="1">IFERROR(__xludf.DUMMYFUNCTION("iferror(vlookup(B55,importrange(""https://docs.google.com/spreadsheets/d/1boHyJQ4e2FU0QG8MHwEi6qjX4hvZWVCHcFfXjq7bbMc/edit?resourcekey#gid=923248883"",""Prop!$C$1:$M""),12,0),IFERROR(vlookup(B55,importrange(""https://docs.google.com/spreadsheets/d/1boHyJQ"&amp;"4e2FU0QG8MHwEi6qjX4hvZWVCHcFfXjq7bbMc/edit?resourcekey#gid=923248883"",""Prop!$N$1:$X""),11,0),iferror(vlookup(B55,importrange(""https://docs.google.com/spreadsheets/d/1boHyJQ4e2FU0QG8MHwEi6qjX4hvZWVCHcFfXjq7bbMc/edit?resourcekey#gid=923248883"",""Prop!$Y"&amp;"$1:$AI""),11,0),iferror(vlookup(B55,importrange(""https://docs.google.com/spreadsheets/d/1boHyJQ4e2FU0QG8MHwEi6qjX4hvZWVCHcFfXjq7bbMc/edit?resourcekey#gid=923248883"",""Prop!$AJ$1:$AT""),11,0),iferror(vlookup(B55,importrange(""https://docs.google.com/spre"&amp;"adsheets/d/1boHyJQ4e2FU0QG8MHwEi6qjX4hvZWVCHcFfXjq7bbMc/edit?resourcekey#gid=923248883"",""Prop!$AU$1:$BE""),11,0),iferror(vlookup(B55,importrange(""https://docs.google.com/spreadsheets/d/1boHyJQ4e2FU0QG8MHwEi6qjX4hvZWVCHcFfXjq7bbMc/edit?resourcekey#gid=9"&amp;"23248883"",""Prop!$BF$1:$BP""),11,0),iferror(vlookup(B55,importrange(""https://docs.google.com/spreadsheets/d/1boHyJQ4e2FU0QG8MHwEi6qjX4hvZWVCHcFfXjq7bbMc/edit?resourcekey#gid=923248883"",""Prop!$BQ$1:$CA""),11,0),iferror(vlookup(B55,importrange(""https:/"&amp;"/docs.google.com/spreadsheets/d/1boHyJQ4e2FU0QG8MHwEi6qjX4hvZWVCHcFfXjq7bbMc/edit?resourcekey#gid=923248883"",""Prop!$CB$1:$CL""),11,0),iferror(vlookup(B55,importrange(""https://docs.google.com/spreadsheets/d/1boHyJQ4e2FU0QG8MHwEi6qjX4hvZWVCHcFfXjq7bbMc/e"&amp;"dit?resourcekey#gid=923248883"",""Prop!$CM$1:$CX""),12,0),iferror(vlookup(B55,importrange(""https://docs.google.com/spreadsheets/d/1boHyJQ4e2FU0QG8MHwEi6qjX4hvZWVCHcFfXjq7bbMc/edit?resourcekey#gid=923248883"",""Prop!$CV$1:$DI""),11,0)))))))))))"),"")</f>
        <v/>
      </c>
      <c r="Q55" s="1" t="str">
        <f ca="1">IFERROR(__xludf.DUMMYFUNCTION("iferror(vlookup(B55,importrange(""https://docs.google.com/spreadsheets/d/1p53T2AuvvIqhP7Nf-bo3Uhj8cbKYRPpZdsrBv3x3bAQ/edit?resourcekey#gid=1321652304"",""Prop!$C$1:$M""),11,0),IFERROR(vlookup(B55,importrange(""https://docs.google.com/spreadsheets/d/1p53T2"&amp;"AuvvIqhP7Nf-bo3Uhj8cbKYRPpZdsrBv3x3bAQ/edit?resourcekey#gid=1321652304"",""Prop!$N$1:$X""),11,0),iferror(vlookup(B55,importrange(""https://docs.google.com/spreadsheets/d/1p53T2AuvvIqhP7Nf-bo3Uhj8cbKYRPpZdsrBv3x3bAQ/edit?resourcekey#gid=1321652304"",""Prop"&amp;"!$Y$1:$AI""),11,0),iferror(vlookup(B55,importrange(""https://docs.google.com/spreadsheets/d/1p53T2AuvvIqhP7Nf-bo3Uhj8cbKYRPpZdsrBv3x3bAQ/edit?resourcekey#gid=1321652304"",""Prop!$AJ$1:$AT""),11,0),iferror(vlookup(B55,importrange(""https://docs.google.com/"&amp;"spreadsheets/d/1p53T2AuvvIqhP7Nf-bo3Uhj8cbKYRPpZdsrBv3x3bAQ/edit?resourcekey#gid=1321652304"",""Prop!$AU$1:$BE""),11,0),iferror(vlookup(B55,importrange(""https://docs.google.com/spreadsheets/d/1p53T2AuvvIqhP7Nf-bo3Uhj8cbKYRPpZdsrBv3x3bAQ/edit?resourcekey#"&amp;"gid=1321652304"",""Prop!$BF$1:$BP""),11,0),iferror(vlookup(B55,importrange(""https://docs.google.com/spreadsheets/d/1p53T2AuvvIqhP7Nf-bo3Uhj8cbKYRPpZdsrBv3x3bAQ/edit?resourcekey#gid=1321652304"",""Prop!$BQ$1:$CA""),11,0),iferror(vlookup(B55,importrange("""&amp;"https://docs.google.com/spreadsheets/d/1p53T2AuvvIqhP7Nf-bo3Uhj8cbKYRPpZdsrBv3x3bAQ/edit?resourcekey#gid=1321652304"",""Prop!$CB$1:$CL""),11,0),iferror(vlookup(B55,importrange(""https://docs.google.com/spreadsheets/d/1p53T2AuvvIqhP7Nf-bo3Uhj8cbKYRPpZdsrBv"&amp;"3x3bAQ/edit?resourcekey#gid=1321652304"",""Prop!$CM$1:$CX""),12,0),iferror(vlookup(B55,importrange(""https://docs.google.com/spreadsheets/d/1p53T2AuvvIqhP7Nf-bo3Uhj8cbKYRPpZdsrBv3x3bAQ/edit?resourcekey#gid=1321652304"",""Prop!$CY$1:$DI""),11,0)))))))))))"),"")</f>
        <v/>
      </c>
      <c r="R55" s="20" t="str">
        <f ca="1">IFERROR(__xludf.DUMMYFUNCTION("IFERROR(vlookup(A55,IMPORTRANGE(""https://docs.google.com/spreadsheets/d/1g_jfYYK_KeipEDNDUgqgrsxK94XiocfNQIcP-v1QVhI/edit?resourcekey#gid=233272945"",""Nilai!B:CT""),67,0),"" "")")," ")</f>
        <v xml:space="preserve"> </v>
      </c>
      <c r="S55" s="20" t="b">
        <v>0</v>
      </c>
      <c r="T55" s="20" t="str">
        <f ca="1">IFERROR(__xludf.DUMMYFUNCTION("IFERROR(vlookup(B55,IMPORTRANGE(""https://docs.google.com/spreadsheets/d/1g_jfYYK_KeipEDNDUgqgrsxK94XiocfNQIcP-v1QVhI/edit?resourcekey#gid=233272945"",""Nilai!B:BG""),38,0),"" "")")," ")</f>
        <v xml:space="preserve"> </v>
      </c>
      <c r="U55" s="1"/>
      <c r="V55" s="1"/>
      <c r="W55" s="1"/>
      <c r="X55" s="1"/>
    </row>
    <row r="56" spans="1:24">
      <c r="A56" s="15"/>
      <c r="B56" s="15"/>
      <c r="C56" s="16"/>
      <c r="D56" s="16"/>
      <c r="E56" s="16"/>
      <c r="F56" s="16"/>
      <c r="G56" s="16"/>
      <c r="H56" s="16"/>
      <c r="I56" s="16"/>
      <c r="J56" s="16"/>
      <c r="K56" s="16"/>
      <c r="L56" s="16"/>
      <c r="M56" s="25"/>
      <c r="N56" s="25"/>
      <c r="O56" s="16"/>
      <c r="P56" s="1" t="str">
        <f ca="1">IFERROR(__xludf.DUMMYFUNCTION("iferror(vlookup(B56,importrange(""https://docs.google.com/spreadsheets/d/1boHyJQ4e2FU0QG8MHwEi6qjX4hvZWVCHcFfXjq7bbMc/edit?resourcekey#gid=923248883"",""Prop!$C$1:$M""),12,0),IFERROR(vlookup(B56,importrange(""https://docs.google.com/spreadsheets/d/1boHyJQ"&amp;"4e2FU0QG8MHwEi6qjX4hvZWVCHcFfXjq7bbMc/edit?resourcekey#gid=923248883"",""Prop!$N$1:$X""),11,0),iferror(vlookup(B56,importrange(""https://docs.google.com/spreadsheets/d/1boHyJQ4e2FU0QG8MHwEi6qjX4hvZWVCHcFfXjq7bbMc/edit?resourcekey#gid=923248883"",""Prop!$Y"&amp;"$1:$AI""),11,0),iferror(vlookup(B56,importrange(""https://docs.google.com/spreadsheets/d/1boHyJQ4e2FU0QG8MHwEi6qjX4hvZWVCHcFfXjq7bbMc/edit?resourcekey#gid=923248883"",""Prop!$AJ$1:$AT""),11,0),iferror(vlookup(B56,importrange(""https://docs.google.com/spre"&amp;"adsheets/d/1boHyJQ4e2FU0QG8MHwEi6qjX4hvZWVCHcFfXjq7bbMc/edit?resourcekey#gid=923248883"",""Prop!$AU$1:$BE""),11,0),iferror(vlookup(B56,importrange(""https://docs.google.com/spreadsheets/d/1boHyJQ4e2FU0QG8MHwEi6qjX4hvZWVCHcFfXjq7bbMc/edit?resourcekey#gid=9"&amp;"23248883"",""Prop!$BF$1:$BP""),11,0),iferror(vlookup(B56,importrange(""https://docs.google.com/spreadsheets/d/1boHyJQ4e2FU0QG8MHwEi6qjX4hvZWVCHcFfXjq7bbMc/edit?resourcekey#gid=923248883"",""Prop!$BQ$1:$CA""),11,0),iferror(vlookup(B56,importrange(""https:/"&amp;"/docs.google.com/spreadsheets/d/1boHyJQ4e2FU0QG8MHwEi6qjX4hvZWVCHcFfXjq7bbMc/edit?resourcekey#gid=923248883"",""Prop!$CB$1:$CL""),11,0),iferror(vlookup(B56,importrange(""https://docs.google.com/spreadsheets/d/1boHyJQ4e2FU0QG8MHwEi6qjX4hvZWVCHcFfXjq7bbMc/e"&amp;"dit?resourcekey#gid=923248883"",""Prop!$CM$1:$CX""),12,0),iferror(vlookup(B56,importrange(""https://docs.google.com/spreadsheets/d/1boHyJQ4e2FU0QG8MHwEi6qjX4hvZWVCHcFfXjq7bbMc/edit?resourcekey#gid=923248883"",""Prop!$CV$1:$DI""),11,0)))))))))))"),"")</f>
        <v/>
      </c>
      <c r="Q56" s="1" t="str">
        <f ca="1">IFERROR(__xludf.DUMMYFUNCTION("iferror(vlookup(B56,importrange(""https://docs.google.com/spreadsheets/d/1p53T2AuvvIqhP7Nf-bo3Uhj8cbKYRPpZdsrBv3x3bAQ/edit?resourcekey#gid=1321652304"",""Prop!$C$1:$M""),11,0),IFERROR(vlookup(B56,importrange(""https://docs.google.com/spreadsheets/d/1p53T2"&amp;"AuvvIqhP7Nf-bo3Uhj8cbKYRPpZdsrBv3x3bAQ/edit?resourcekey#gid=1321652304"",""Prop!$N$1:$X""),11,0),iferror(vlookup(B56,importrange(""https://docs.google.com/spreadsheets/d/1p53T2AuvvIqhP7Nf-bo3Uhj8cbKYRPpZdsrBv3x3bAQ/edit?resourcekey#gid=1321652304"",""Prop"&amp;"!$Y$1:$AI""),11,0),iferror(vlookup(B56,importrange(""https://docs.google.com/spreadsheets/d/1p53T2AuvvIqhP7Nf-bo3Uhj8cbKYRPpZdsrBv3x3bAQ/edit?resourcekey#gid=1321652304"",""Prop!$AJ$1:$AT""),11,0),iferror(vlookup(B56,importrange(""https://docs.google.com/"&amp;"spreadsheets/d/1p53T2AuvvIqhP7Nf-bo3Uhj8cbKYRPpZdsrBv3x3bAQ/edit?resourcekey#gid=1321652304"",""Prop!$AU$1:$BE""),11,0),iferror(vlookup(B56,importrange(""https://docs.google.com/spreadsheets/d/1p53T2AuvvIqhP7Nf-bo3Uhj8cbKYRPpZdsrBv3x3bAQ/edit?resourcekey#"&amp;"gid=1321652304"",""Prop!$BF$1:$BP""),11,0),iferror(vlookup(B56,importrange(""https://docs.google.com/spreadsheets/d/1p53T2AuvvIqhP7Nf-bo3Uhj8cbKYRPpZdsrBv3x3bAQ/edit?resourcekey#gid=1321652304"",""Prop!$BQ$1:$CA""),11,0),iferror(vlookup(B56,importrange("""&amp;"https://docs.google.com/spreadsheets/d/1p53T2AuvvIqhP7Nf-bo3Uhj8cbKYRPpZdsrBv3x3bAQ/edit?resourcekey#gid=1321652304"",""Prop!$CB$1:$CL""),11,0),iferror(vlookup(B56,importrange(""https://docs.google.com/spreadsheets/d/1p53T2AuvvIqhP7Nf-bo3Uhj8cbKYRPpZdsrBv"&amp;"3x3bAQ/edit?resourcekey#gid=1321652304"",""Prop!$CM$1:$CX""),12,0),iferror(vlookup(B56,importrange(""https://docs.google.com/spreadsheets/d/1p53T2AuvvIqhP7Nf-bo3Uhj8cbKYRPpZdsrBv3x3bAQ/edit?resourcekey#gid=1321652304"",""Prop!$CY$1:$DI""),11,0)))))))))))"),"")</f>
        <v/>
      </c>
      <c r="R56" s="20" t="str">
        <f ca="1">IFERROR(__xludf.DUMMYFUNCTION("IFERROR(vlookup(A56,IMPORTRANGE(""https://docs.google.com/spreadsheets/d/1g_jfYYK_KeipEDNDUgqgrsxK94XiocfNQIcP-v1QVhI/edit?resourcekey#gid=233272945"",""Nilai!B:CT""),67,0),"" "")")," ")</f>
        <v xml:space="preserve"> </v>
      </c>
      <c r="S56" s="20" t="b">
        <v>0</v>
      </c>
      <c r="T56" s="20" t="str">
        <f ca="1">IFERROR(__xludf.DUMMYFUNCTION("IFERROR(vlookup(B56,IMPORTRANGE(""https://docs.google.com/spreadsheets/d/1g_jfYYK_KeipEDNDUgqgrsxK94XiocfNQIcP-v1QVhI/edit?resourcekey#gid=233272945"",""Nilai!B:BG""),38,0),"" "")")," ")</f>
        <v xml:space="preserve"> </v>
      </c>
      <c r="U56" s="1"/>
      <c r="V56" s="1"/>
      <c r="W56" s="1"/>
      <c r="X56" s="1"/>
    </row>
    <row r="57" spans="1:24">
      <c r="A57" s="15"/>
      <c r="B57" s="15"/>
      <c r="C57" s="16"/>
      <c r="D57" s="16"/>
      <c r="E57" s="16"/>
      <c r="F57" s="16"/>
      <c r="G57" s="16"/>
      <c r="H57" s="16"/>
      <c r="I57" s="16"/>
      <c r="J57" s="16"/>
      <c r="K57" s="16"/>
      <c r="L57" s="16"/>
      <c r="M57" s="25"/>
      <c r="N57" s="25"/>
      <c r="O57" s="16"/>
      <c r="P57" s="1" t="str">
        <f ca="1">IFERROR(__xludf.DUMMYFUNCTION("iferror(vlookup(B57,importrange(""https://docs.google.com/spreadsheets/d/1boHyJQ4e2FU0QG8MHwEi6qjX4hvZWVCHcFfXjq7bbMc/edit?resourcekey#gid=923248883"",""Prop!$C$1:$M""),12,0),IFERROR(vlookup(B57,importrange(""https://docs.google.com/spreadsheets/d/1boHyJQ"&amp;"4e2FU0QG8MHwEi6qjX4hvZWVCHcFfXjq7bbMc/edit?resourcekey#gid=923248883"",""Prop!$N$1:$X""),11,0),iferror(vlookup(B57,importrange(""https://docs.google.com/spreadsheets/d/1boHyJQ4e2FU0QG8MHwEi6qjX4hvZWVCHcFfXjq7bbMc/edit?resourcekey#gid=923248883"",""Prop!$Y"&amp;"$1:$AI""),11,0),iferror(vlookup(B57,importrange(""https://docs.google.com/spreadsheets/d/1boHyJQ4e2FU0QG8MHwEi6qjX4hvZWVCHcFfXjq7bbMc/edit?resourcekey#gid=923248883"",""Prop!$AJ$1:$AT""),11,0),iferror(vlookup(B57,importrange(""https://docs.google.com/spre"&amp;"adsheets/d/1boHyJQ4e2FU0QG8MHwEi6qjX4hvZWVCHcFfXjq7bbMc/edit?resourcekey#gid=923248883"",""Prop!$AU$1:$BE""),11,0),iferror(vlookup(B57,importrange(""https://docs.google.com/spreadsheets/d/1boHyJQ4e2FU0QG8MHwEi6qjX4hvZWVCHcFfXjq7bbMc/edit?resourcekey#gid=9"&amp;"23248883"",""Prop!$BF$1:$BP""),11,0),iferror(vlookup(B57,importrange(""https://docs.google.com/spreadsheets/d/1boHyJQ4e2FU0QG8MHwEi6qjX4hvZWVCHcFfXjq7bbMc/edit?resourcekey#gid=923248883"",""Prop!$BQ$1:$CA""),11,0),iferror(vlookup(B57,importrange(""https:/"&amp;"/docs.google.com/spreadsheets/d/1boHyJQ4e2FU0QG8MHwEi6qjX4hvZWVCHcFfXjq7bbMc/edit?resourcekey#gid=923248883"",""Prop!$CB$1:$CL""),11,0),iferror(vlookup(B57,importrange(""https://docs.google.com/spreadsheets/d/1boHyJQ4e2FU0QG8MHwEi6qjX4hvZWVCHcFfXjq7bbMc/e"&amp;"dit?resourcekey#gid=923248883"",""Prop!$CM$1:$CX""),12,0),iferror(vlookup(B57,importrange(""https://docs.google.com/spreadsheets/d/1boHyJQ4e2FU0QG8MHwEi6qjX4hvZWVCHcFfXjq7bbMc/edit?resourcekey#gid=923248883"",""Prop!$CV$1:$DI""),11,0)))))))))))"),"")</f>
        <v/>
      </c>
      <c r="Q57" s="1" t="str">
        <f ca="1">IFERROR(__xludf.DUMMYFUNCTION("iferror(vlookup(B57,importrange(""https://docs.google.com/spreadsheets/d/1p53T2AuvvIqhP7Nf-bo3Uhj8cbKYRPpZdsrBv3x3bAQ/edit?resourcekey#gid=1321652304"",""Prop!$C$1:$M""),11,0),IFERROR(vlookup(B57,importrange(""https://docs.google.com/spreadsheets/d/1p53T2"&amp;"AuvvIqhP7Nf-bo3Uhj8cbKYRPpZdsrBv3x3bAQ/edit?resourcekey#gid=1321652304"",""Prop!$N$1:$X""),11,0),iferror(vlookup(B57,importrange(""https://docs.google.com/spreadsheets/d/1p53T2AuvvIqhP7Nf-bo3Uhj8cbKYRPpZdsrBv3x3bAQ/edit?resourcekey#gid=1321652304"",""Prop"&amp;"!$Y$1:$AI""),11,0),iferror(vlookup(B57,importrange(""https://docs.google.com/spreadsheets/d/1p53T2AuvvIqhP7Nf-bo3Uhj8cbKYRPpZdsrBv3x3bAQ/edit?resourcekey#gid=1321652304"",""Prop!$AJ$1:$AT""),11,0),iferror(vlookup(B57,importrange(""https://docs.google.com/"&amp;"spreadsheets/d/1p53T2AuvvIqhP7Nf-bo3Uhj8cbKYRPpZdsrBv3x3bAQ/edit?resourcekey#gid=1321652304"",""Prop!$AU$1:$BE""),11,0),iferror(vlookup(B57,importrange(""https://docs.google.com/spreadsheets/d/1p53T2AuvvIqhP7Nf-bo3Uhj8cbKYRPpZdsrBv3x3bAQ/edit?resourcekey#"&amp;"gid=1321652304"",""Prop!$BF$1:$BP""),11,0),iferror(vlookup(B57,importrange(""https://docs.google.com/spreadsheets/d/1p53T2AuvvIqhP7Nf-bo3Uhj8cbKYRPpZdsrBv3x3bAQ/edit?resourcekey#gid=1321652304"",""Prop!$BQ$1:$CA""),11,0),iferror(vlookup(B57,importrange("""&amp;"https://docs.google.com/spreadsheets/d/1p53T2AuvvIqhP7Nf-bo3Uhj8cbKYRPpZdsrBv3x3bAQ/edit?resourcekey#gid=1321652304"",""Prop!$CB$1:$CL""),11,0),iferror(vlookup(B57,importrange(""https://docs.google.com/spreadsheets/d/1p53T2AuvvIqhP7Nf-bo3Uhj8cbKYRPpZdsrBv"&amp;"3x3bAQ/edit?resourcekey#gid=1321652304"",""Prop!$CM$1:$CX""),12,0),iferror(vlookup(B57,importrange(""https://docs.google.com/spreadsheets/d/1p53T2AuvvIqhP7Nf-bo3Uhj8cbKYRPpZdsrBv3x3bAQ/edit?resourcekey#gid=1321652304"",""Prop!$CY$1:$DI""),11,0)))))))))))"),"")</f>
        <v/>
      </c>
      <c r="R57" s="20" t="str">
        <f ca="1">IFERROR(__xludf.DUMMYFUNCTION("IFERROR(vlookup(A57,IMPORTRANGE(""https://docs.google.com/spreadsheets/d/1g_jfYYK_KeipEDNDUgqgrsxK94XiocfNQIcP-v1QVhI/edit?resourcekey#gid=233272945"",""Nilai!B:CT""),67,0),"" "")")," ")</f>
        <v xml:space="preserve"> </v>
      </c>
      <c r="S57" s="20" t="b">
        <v>0</v>
      </c>
      <c r="T57" s="20" t="str">
        <f ca="1">IFERROR(__xludf.DUMMYFUNCTION("IFERROR(vlookup(B57,IMPORTRANGE(""https://docs.google.com/spreadsheets/d/1g_jfYYK_KeipEDNDUgqgrsxK94XiocfNQIcP-v1QVhI/edit?resourcekey#gid=233272945"",""Nilai!B:BG""),38,0),"" "")")," ")</f>
        <v xml:space="preserve"> </v>
      </c>
      <c r="U57" s="1"/>
      <c r="V57" s="1"/>
      <c r="W57" s="1"/>
      <c r="X57" s="1"/>
    </row>
    <row r="58" spans="1:24">
      <c r="A58" s="15"/>
      <c r="B58" s="15"/>
      <c r="C58" s="16"/>
      <c r="D58" s="16"/>
      <c r="E58" s="16"/>
      <c r="F58" s="16"/>
      <c r="G58" s="16"/>
      <c r="H58" s="16"/>
      <c r="I58" s="16"/>
      <c r="J58" s="16"/>
      <c r="K58" s="16"/>
      <c r="L58" s="16"/>
      <c r="M58" s="25"/>
      <c r="N58" s="25"/>
      <c r="O58" s="16"/>
      <c r="P58" s="1" t="str">
        <f ca="1">IFERROR(__xludf.DUMMYFUNCTION("iferror(vlookup(B58,importrange(""https://docs.google.com/spreadsheets/d/1boHyJQ4e2FU0QG8MHwEi6qjX4hvZWVCHcFfXjq7bbMc/edit?resourcekey#gid=923248883"",""Prop!$C$1:$M""),12,0),IFERROR(vlookup(B58,importrange(""https://docs.google.com/spreadsheets/d/1boHyJQ"&amp;"4e2FU0QG8MHwEi6qjX4hvZWVCHcFfXjq7bbMc/edit?resourcekey#gid=923248883"",""Prop!$N$1:$X""),11,0),iferror(vlookup(B58,importrange(""https://docs.google.com/spreadsheets/d/1boHyJQ4e2FU0QG8MHwEi6qjX4hvZWVCHcFfXjq7bbMc/edit?resourcekey#gid=923248883"",""Prop!$Y"&amp;"$1:$AI""),11,0),iferror(vlookup(B58,importrange(""https://docs.google.com/spreadsheets/d/1boHyJQ4e2FU0QG8MHwEi6qjX4hvZWVCHcFfXjq7bbMc/edit?resourcekey#gid=923248883"",""Prop!$AJ$1:$AT""),11,0),iferror(vlookup(B58,importrange(""https://docs.google.com/spre"&amp;"adsheets/d/1boHyJQ4e2FU0QG8MHwEi6qjX4hvZWVCHcFfXjq7bbMc/edit?resourcekey#gid=923248883"",""Prop!$AU$1:$BE""),11,0),iferror(vlookup(B58,importrange(""https://docs.google.com/spreadsheets/d/1boHyJQ4e2FU0QG8MHwEi6qjX4hvZWVCHcFfXjq7bbMc/edit?resourcekey#gid=9"&amp;"23248883"",""Prop!$BF$1:$BP""),11,0),iferror(vlookup(B58,importrange(""https://docs.google.com/spreadsheets/d/1boHyJQ4e2FU0QG8MHwEi6qjX4hvZWVCHcFfXjq7bbMc/edit?resourcekey#gid=923248883"",""Prop!$BQ$1:$CA""),11,0),iferror(vlookup(B58,importrange(""https:/"&amp;"/docs.google.com/spreadsheets/d/1boHyJQ4e2FU0QG8MHwEi6qjX4hvZWVCHcFfXjq7bbMc/edit?resourcekey#gid=923248883"",""Prop!$CB$1:$CL""),11,0),iferror(vlookup(B58,importrange(""https://docs.google.com/spreadsheets/d/1boHyJQ4e2FU0QG8MHwEi6qjX4hvZWVCHcFfXjq7bbMc/e"&amp;"dit?resourcekey#gid=923248883"",""Prop!$CM$1:$CX""),12,0),iferror(vlookup(B58,importrange(""https://docs.google.com/spreadsheets/d/1boHyJQ4e2FU0QG8MHwEi6qjX4hvZWVCHcFfXjq7bbMc/edit?resourcekey#gid=923248883"",""Prop!$CV$1:$DI""),11,0)))))))))))"),"")</f>
        <v/>
      </c>
      <c r="Q58" s="1" t="str">
        <f ca="1">IFERROR(__xludf.DUMMYFUNCTION("iferror(vlookup(B58,importrange(""https://docs.google.com/spreadsheets/d/1p53T2AuvvIqhP7Nf-bo3Uhj8cbKYRPpZdsrBv3x3bAQ/edit?resourcekey#gid=1321652304"",""Prop!$C$1:$M""),11,0),IFERROR(vlookup(B58,importrange(""https://docs.google.com/spreadsheets/d/1p53T2"&amp;"AuvvIqhP7Nf-bo3Uhj8cbKYRPpZdsrBv3x3bAQ/edit?resourcekey#gid=1321652304"",""Prop!$N$1:$X""),11,0),iferror(vlookup(B58,importrange(""https://docs.google.com/spreadsheets/d/1p53T2AuvvIqhP7Nf-bo3Uhj8cbKYRPpZdsrBv3x3bAQ/edit?resourcekey#gid=1321652304"",""Prop"&amp;"!$Y$1:$AI""),11,0),iferror(vlookup(B58,importrange(""https://docs.google.com/spreadsheets/d/1p53T2AuvvIqhP7Nf-bo3Uhj8cbKYRPpZdsrBv3x3bAQ/edit?resourcekey#gid=1321652304"",""Prop!$AJ$1:$AT""),11,0),iferror(vlookup(B58,importrange(""https://docs.google.com/"&amp;"spreadsheets/d/1p53T2AuvvIqhP7Nf-bo3Uhj8cbKYRPpZdsrBv3x3bAQ/edit?resourcekey#gid=1321652304"",""Prop!$AU$1:$BE""),11,0),iferror(vlookup(B58,importrange(""https://docs.google.com/spreadsheets/d/1p53T2AuvvIqhP7Nf-bo3Uhj8cbKYRPpZdsrBv3x3bAQ/edit?resourcekey#"&amp;"gid=1321652304"",""Prop!$BF$1:$BP""),11,0),iferror(vlookup(B58,importrange(""https://docs.google.com/spreadsheets/d/1p53T2AuvvIqhP7Nf-bo3Uhj8cbKYRPpZdsrBv3x3bAQ/edit?resourcekey#gid=1321652304"",""Prop!$BQ$1:$CA""),11,0),iferror(vlookup(B58,importrange("""&amp;"https://docs.google.com/spreadsheets/d/1p53T2AuvvIqhP7Nf-bo3Uhj8cbKYRPpZdsrBv3x3bAQ/edit?resourcekey#gid=1321652304"",""Prop!$CB$1:$CL""),11,0),iferror(vlookup(B58,importrange(""https://docs.google.com/spreadsheets/d/1p53T2AuvvIqhP7Nf-bo3Uhj8cbKYRPpZdsrBv"&amp;"3x3bAQ/edit?resourcekey#gid=1321652304"",""Prop!$CM$1:$CX""),12,0),iferror(vlookup(B58,importrange(""https://docs.google.com/spreadsheets/d/1p53T2AuvvIqhP7Nf-bo3Uhj8cbKYRPpZdsrBv3x3bAQ/edit?resourcekey#gid=1321652304"",""Prop!$CY$1:$DI""),11,0)))))))))))"),"")</f>
        <v/>
      </c>
      <c r="R58" s="20" t="str">
        <f ca="1">IFERROR(__xludf.DUMMYFUNCTION("IFERROR(vlookup(A58,IMPORTRANGE(""https://docs.google.com/spreadsheets/d/1g_jfYYK_KeipEDNDUgqgrsxK94XiocfNQIcP-v1QVhI/edit?resourcekey#gid=233272945"",""Nilai!B:CT""),67,0),"" "")")," ")</f>
        <v xml:space="preserve"> </v>
      </c>
      <c r="S58" s="20" t="b">
        <v>0</v>
      </c>
      <c r="T58" s="20" t="str">
        <f ca="1">IFERROR(__xludf.DUMMYFUNCTION("IFERROR(vlookup(B58,IMPORTRANGE(""https://docs.google.com/spreadsheets/d/1g_jfYYK_KeipEDNDUgqgrsxK94XiocfNQIcP-v1QVhI/edit?resourcekey#gid=233272945"",""Nilai!B:BG""),13,0),"" "")")," ")</f>
        <v xml:space="preserve"> </v>
      </c>
      <c r="U58" s="1"/>
      <c r="V58" s="1"/>
      <c r="W58" s="1"/>
      <c r="X58" s="1"/>
    </row>
    <row r="59" spans="1:24">
      <c r="A59" s="15"/>
      <c r="B59" s="15"/>
      <c r="C59" s="16"/>
      <c r="D59" s="16"/>
      <c r="E59" s="16"/>
      <c r="F59" s="16"/>
      <c r="G59" s="16"/>
      <c r="H59" s="16"/>
      <c r="I59" s="16"/>
      <c r="J59" s="16"/>
      <c r="K59" s="16"/>
      <c r="L59" s="16"/>
      <c r="M59" s="25"/>
      <c r="N59" s="25"/>
      <c r="O59" s="16"/>
      <c r="P59" s="1" t="str">
        <f ca="1">IFERROR(__xludf.DUMMYFUNCTION("iferror(vlookup(B59,importrange(""https://docs.google.com/spreadsheets/d/1boHyJQ4e2FU0QG8MHwEi6qjX4hvZWVCHcFfXjq7bbMc/edit?resourcekey#gid=923248883"",""Prop!$C$1:$M""),12,0),IFERROR(vlookup(B59,importrange(""https://docs.google.com/spreadsheets/d/1boHyJQ"&amp;"4e2FU0QG8MHwEi6qjX4hvZWVCHcFfXjq7bbMc/edit?resourcekey#gid=923248883"",""Prop!$N$1:$X""),11,0),iferror(vlookup(B59,importrange(""https://docs.google.com/spreadsheets/d/1boHyJQ4e2FU0QG8MHwEi6qjX4hvZWVCHcFfXjq7bbMc/edit?resourcekey#gid=923248883"",""Prop!$Y"&amp;"$1:$AI""),11,0),iferror(vlookup(B59,importrange(""https://docs.google.com/spreadsheets/d/1boHyJQ4e2FU0QG8MHwEi6qjX4hvZWVCHcFfXjq7bbMc/edit?resourcekey#gid=923248883"",""Prop!$AJ$1:$AT""),11,0),iferror(vlookup(B59,importrange(""https://docs.google.com/spre"&amp;"adsheets/d/1boHyJQ4e2FU0QG8MHwEi6qjX4hvZWVCHcFfXjq7bbMc/edit?resourcekey#gid=923248883"",""Prop!$AU$1:$BE""),11,0),iferror(vlookup(B59,importrange(""https://docs.google.com/spreadsheets/d/1boHyJQ4e2FU0QG8MHwEi6qjX4hvZWVCHcFfXjq7bbMc/edit?resourcekey#gid=9"&amp;"23248883"",""Prop!$BF$1:$BP""),11,0),iferror(vlookup(B59,importrange(""https://docs.google.com/spreadsheets/d/1boHyJQ4e2FU0QG8MHwEi6qjX4hvZWVCHcFfXjq7bbMc/edit?resourcekey#gid=923248883"",""Prop!$BQ$1:$CA""),11,0),iferror(vlookup(B59,importrange(""https:/"&amp;"/docs.google.com/spreadsheets/d/1boHyJQ4e2FU0QG8MHwEi6qjX4hvZWVCHcFfXjq7bbMc/edit?resourcekey#gid=923248883"",""Prop!$CB$1:$CL""),11,0),iferror(vlookup(B59,importrange(""https://docs.google.com/spreadsheets/d/1boHyJQ4e2FU0QG8MHwEi6qjX4hvZWVCHcFfXjq7bbMc/e"&amp;"dit?resourcekey#gid=923248883"",""Prop!$CM$1:$CX""),12,0),iferror(vlookup(B59,importrange(""https://docs.google.com/spreadsheets/d/1boHyJQ4e2FU0QG8MHwEi6qjX4hvZWVCHcFfXjq7bbMc/edit?resourcekey#gid=923248883"",""Prop!$CV$1:$DI""),11,0)))))))))))"),"")</f>
        <v/>
      </c>
      <c r="Q59" s="1" t="str">
        <f ca="1">IFERROR(__xludf.DUMMYFUNCTION("iferror(vlookup(B59,importrange(""https://docs.google.com/spreadsheets/d/1p53T2AuvvIqhP7Nf-bo3Uhj8cbKYRPpZdsrBv3x3bAQ/edit?resourcekey#gid=1321652304"",""Prop!$C$1:$M""),11,0),IFERROR(vlookup(B59,importrange(""https://docs.google.com/spreadsheets/d/1p53T2"&amp;"AuvvIqhP7Nf-bo3Uhj8cbKYRPpZdsrBv3x3bAQ/edit?resourcekey#gid=1321652304"",""Prop!$N$1:$X""),11,0),iferror(vlookup(B59,importrange(""https://docs.google.com/spreadsheets/d/1p53T2AuvvIqhP7Nf-bo3Uhj8cbKYRPpZdsrBv3x3bAQ/edit?resourcekey#gid=1321652304"",""Prop"&amp;"!$Y$1:$AI""),11,0),iferror(vlookup(B59,importrange(""https://docs.google.com/spreadsheets/d/1p53T2AuvvIqhP7Nf-bo3Uhj8cbKYRPpZdsrBv3x3bAQ/edit?resourcekey#gid=1321652304"",""Prop!$AJ$1:$AT""),11,0),iferror(vlookup(B59,importrange(""https://docs.google.com/"&amp;"spreadsheets/d/1p53T2AuvvIqhP7Nf-bo3Uhj8cbKYRPpZdsrBv3x3bAQ/edit?resourcekey#gid=1321652304"",""Prop!$AU$1:$BE""),11,0),iferror(vlookup(B59,importrange(""https://docs.google.com/spreadsheets/d/1p53T2AuvvIqhP7Nf-bo3Uhj8cbKYRPpZdsrBv3x3bAQ/edit?resourcekey#"&amp;"gid=1321652304"",""Prop!$BF$1:$BP""),11,0),iferror(vlookup(B59,importrange(""https://docs.google.com/spreadsheets/d/1p53T2AuvvIqhP7Nf-bo3Uhj8cbKYRPpZdsrBv3x3bAQ/edit?resourcekey#gid=1321652304"",""Prop!$BQ$1:$CA""),11,0),iferror(vlookup(B59,importrange("""&amp;"https://docs.google.com/spreadsheets/d/1p53T2AuvvIqhP7Nf-bo3Uhj8cbKYRPpZdsrBv3x3bAQ/edit?resourcekey#gid=1321652304"",""Prop!$CB$1:$CL""),11,0),iferror(vlookup(B59,importrange(""https://docs.google.com/spreadsheets/d/1p53T2AuvvIqhP7Nf-bo3Uhj8cbKYRPpZdsrBv"&amp;"3x3bAQ/edit?resourcekey#gid=1321652304"",""Prop!$CM$1:$CX""),12,0),iferror(vlookup(B59,importrange(""https://docs.google.com/spreadsheets/d/1p53T2AuvvIqhP7Nf-bo3Uhj8cbKYRPpZdsrBv3x3bAQ/edit?resourcekey#gid=1321652304"",""Prop!$CY$1:$DI""),11,0)))))))))))"),"")</f>
        <v/>
      </c>
      <c r="R59" s="20" t="str">
        <f ca="1">IFERROR(__xludf.DUMMYFUNCTION("IFERROR(vlookup(A59,IMPORTRANGE(""https://docs.google.com/spreadsheets/d/1g_jfYYK_KeipEDNDUgqgrsxK94XiocfNQIcP-v1QVhI/edit?resourcekey#gid=233272945"",""Nilai!B:CT""),67,0),"" "")")," ")</f>
        <v xml:space="preserve"> </v>
      </c>
      <c r="S59" s="20" t="b">
        <v>0</v>
      </c>
      <c r="T59" s="20" t="str">
        <f ca="1">IFERROR(__xludf.DUMMYFUNCTION("IFERROR(vlookup(B59,IMPORTRANGE(""https://docs.google.com/spreadsheets/d/1g_jfYYK_KeipEDNDUgqgrsxK94XiocfNQIcP-v1QVhI/edit?resourcekey#gid=233272945"",""Nilai!B:BG""),13,0),"" "")")," ")</f>
        <v xml:space="preserve"> </v>
      </c>
      <c r="U59" s="1"/>
      <c r="V59" s="1"/>
      <c r="W59" s="1"/>
      <c r="X59" s="1"/>
    </row>
    <row r="60" spans="1:24">
      <c r="A60" s="15"/>
      <c r="B60" s="15"/>
      <c r="C60" s="16"/>
      <c r="D60" s="16"/>
      <c r="E60" s="16"/>
      <c r="F60" s="16"/>
      <c r="G60" s="16"/>
      <c r="H60" s="16"/>
      <c r="I60" s="16"/>
      <c r="J60" s="16"/>
      <c r="K60" s="16"/>
      <c r="L60" s="16"/>
      <c r="M60" s="25"/>
      <c r="N60" s="25"/>
      <c r="O60" s="16"/>
      <c r="P60" s="1" t="str">
        <f ca="1">IFERROR(__xludf.DUMMYFUNCTION("iferror(vlookup(B60,importrange(""https://docs.google.com/spreadsheets/d/1boHyJQ4e2FU0QG8MHwEi6qjX4hvZWVCHcFfXjq7bbMc/edit?resourcekey#gid=923248883"",""Prop!$C$1:$M""),12,0),IFERROR(vlookup(B60,importrange(""https://docs.google.com/spreadsheets/d/1boHyJQ"&amp;"4e2FU0QG8MHwEi6qjX4hvZWVCHcFfXjq7bbMc/edit?resourcekey#gid=923248883"",""Prop!$N$1:$X""),11,0),iferror(vlookup(B60,importrange(""https://docs.google.com/spreadsheets/d/1boHyJQ4e2FU0QG8MHwEi6qjX4hvZWVCHcFfXjq7bbMc/edit?resourcekey#gid=923248883"",""Prop!$Y"&amp;"$1:$AI""),11,0),iferror(vlookup(B60,importrange(""https://docs.google.com/spreadsheets/d/1boHyJQ4e2FU0QG8MHwEi6qjX4hvZWVCHcFfXjq7bbMc/edit?resourcekey#gid=923248883"",""Prop!$AJ$1:$AT""),11,0),iferror(vlookup(B60,importrange(""https://docs.google.com/spre"&amp;"adsheets/d/1boHyJQ4e2FU0QG8MHwEi6qjX4hvZWVCHcFfXjq7bbMc/edit?resourcekey#gid=923248883"",""Prop!$AU$1:$BE""),11,0),iferror(vlookup(B60,importrange(""https://docs.google.com/spreadsheets/d/1boHyJQ4e2FU0QG8MHwEi6qjX4hvZWVCHcFfXjq7bbMc/edit?resourcekey#gid=9"&amp;"23248883"",""Prop!$BF$1:$BP""),11,0),iferror(vlookup(B60,importrange(""https://docs.google.com/spreadsheets/d/1boHyJQ4e2FU0QG8MHwEi6qjX4hvZWVCHcFfXjq7bbMc/edit?resourcekey#gid=923248883"",""Prop!$BQ$1:$CA""),11,0),iferror(vlookup(B60,importrange(""https:/"&amp;"/docs.google.com/spreadsheets/d/1boHyJQ4e2FU0QG8MHwEi6qjX4hvZWVCHcFfXjq7bbMc/edit?resourcekey#gid=923248883"",""Prop!$CB$1:$CL""),11,0),iferror(vlookup(B60,importrange(""https://docs.google.com/spreadsheets/d/1boHyJQ4e2FU0QG8MHwEi6qjX4hvZWVCHcFfXjq7bbMc/e"&amp;"dit?resourcekey#gid=923248883"",""Prop!$CM$1:$CX""),12,0),iferror(vlookup(B60,importrange(""https://docs.google.com/spreadsheets/d/1boHyJQ4e2FU0QG8MHwEi6qjX4hvZWVCHcFfXjq7bbMc/edit?resourcekey#gid=923248883"",""Prop!$CV$1:$DI""),11,0)))))))))))"),"")</f>
        <v/>
      </c>
      <c r="Q60" s="1" t="str">
        <f ca="1">IFERROR(__xludf.DUMMYFUNCTION("iferror(vlookup(B60,importrange(""https://docs.google.com/spreadsheets/d/1p53T2AuvvIqhP7Nf-bo3Uhj8cbKYRPpZdsrBv3x3bAQ/edit?resourcekey#gid=1321652304"",""Prop!$C$1:$M""),11,0),IFERROR(vlookup(B60,importrange(""https://docs.google.com/spreadsheets/d/1p53T2"&amp;"AuvvIqhP7Nf-bo3Uhj8cbKYRPpZdsrBv3x3bAQ/edit?resourcekey#gid=1321652304"",""Prop!$N$1:$X""),11,0),iferror(vlookup(B60,importrange(""https://docs.google.com/spreadsheets/d/1p53T2AuvvIqhP7Nf-bo3Uhj8cbKYRPpZdsrBv3x3bAQ/edit?resourcekey#gid=1321652304"",""Prop"&amp;"!$Y$1:$AI""),11,0),iferror(vlookup(B60,importrange(""https://docs.google.com/spreadsheets/d/1p53T2AuvvIqhP7Nf-bo3Uhj8cbKYRPpZdsrBv3x3bAQ/edit?resourcekey#gid=1321652304"",""Prop!$AJ$1:$AT""),11,0),iferror(vlookup(B60,importrange(""https://docs.google.com/"&amp;"spreadsheets/d/1p53T2AuvvIqhP7Nf-bo3Uhj8cbKYRPpZdsrBv3x3bAQ/edit?resourcekey#gid=1321652304"",""Prop!$AU$1:$BE""),11,0),iferror(vlookup(B60,importrange(""https://docs.google.com/spreadsheets/d/1p53T2AuvvIqhP7Nf-bo3Uhj8cbKYRPpZdsrBv3x3bAQ/edit?resourcekey#"&amp;"gid=1321652304"",""Prop!$BF$1:$BP""),11,0),iferror(vlookup(B60,importrange(""https://docs.google.com/spreadsheets/d/1p53T2AuvvIqhP7Nf-bo3Uhj8cbKYRPpZdsrBv3x3bAQ/edit?resourcekey#gid=1321652304"",""Prop!$BQ$1:$CA""),11,0),iferror(vlookup(B60,importrange("""&amp;"https://docs.google.com/spreadsheets/d/1p53T2AuvvIqhP7Nf-bo3Uhj8cbKYRPpZdsrBv3x3bAQ/edit?resourcekey#gid=1321652304"",""Prop!$CB$1:$CL""),11,0),iferror(vlookup(B60,importrange(""https://docs.google.com/spreadsheets/d/1p53T2AuvvIqhP7Nf-bo3Uhj8cbKYRPpZdsrBv"&amp;"3x3bAQ/edit?resourcekey#gid=1321652304"",""Prop!$CM$1:$CX""),11,0),iferror(vlookup(B60,importrange(""https://docs.google.com/spreadsheets/d/1p53T2AuvvIqhP7Nf-bo3Uhj8cbKYRPpZdsrBv3x3bAQ/edit?resourcekey#gid=1321652304"",""Prop!$CY$1:$DI""),11,0)))))))))))"),"")</f>
        <v/>
      </c>
      <c r="R60" s="20" t="str">
        <f ca="1">IFERROR(__xludf.DUMMYFUNCTION("IFERROR(vlookup(A60,IMPORTRANGE(""https://docs.google.com/spreadsheets/d/1g_jfYYK_KeipEDNDUgqgrsxK94XiocfNQIcP-v1QVhI/edit?resourcekey#gid=233272945"",""Nilai!B:CT""),67,0),"" "")")," ")</f>
        <v xml:space="preserve"> </v>
      </c>
      <c r="S60" s="20" t="b">
        <v>0</v>
      </c>
      <c r="T60" s="20" t="str">
        <f ca="1">IFERROR(__xludf.DUMMYFUNCTION("IFERROR(vlookup(B60,IMPORTRANGE(""https://docs.google.com/spreadsheets/d/1g_jfYYK_KeipEDNDUgqgrsxK94XiocfNQIcP-v1QVhI/edit?resourcekey#gid=233272945"",""Nilai!B:BG""),13,0),"" "")")," ")</f>
        <v xml:space="preserve"> </v>
      </c>
      <c r="U60" s="1"/>
      <c r="V60" s="1"/>
      <c r="W60" s="1"/>
      <c r="X60" s="1"/>
    </row>
    <row r="61" spans="1:24">
      <c r="A61" s="15"/>
      <c r="B61" s="15"/>
      <c r="C61" s="16"/>
      <c r="D61" s="16"/>
      <c r="E61" s="16"/>
      <c r="F61" s="16"/>
      <c r="G61" s="16"/>
      <c r="H61" s="16"/>
      <c r="I61" s="16"/>
      <c r="J61" s="16"/>
      <c r="K61" s="16"/>
      <c r="L61" s="16"/>
      <c r="M61" s="25"/>
      <c r="N61" s="25"/>
      <c r="O61" s="16"/>
      <c r="P61" s="1" t="str">
        <f ca="1">IFERROR(__xludf.DUMMYFUNCTION("iferror(vlookup(B61,importrange(""https://docs.google.com/spreadsheets/d/1boHyJQ4e2FU0QG8MHwEi6qjX4hvZWVCHcFfXjq7bbMc/edit?resourcekey#gid=923248883"",""Prop!$C$1:$M""),12,0),IFERROR(vlookup(B61,importrange(""https://docs.google.com/spreadsheets/d/1boHyJQ"&amp;"4e2FU0QG8MHwEi6qjX4hvZWVCHcFfXjq7bbMc/edit?resourcekey#gid=923248883"",""Prop!$N$1:$X""),11,0),iferror(vlookup(B61,importrange(""https://docs.google.com/spreadsheets/d/1boHyJQ4e2FU0QG8MHwEi6qjX4hvZWVCHcFfXjq7bbMc/edit?resourcekey#gid=923248883"",""Prop!$Y"&amp;"$1:$AI""),11,0),iferror(vlookup(B61,importrange(""https://docs.google.com/spreadsheets/d/1boHyJQ4e2FU0QG8MHwEi6qjX4hvZWVCHcFfXjq7bbMc/edit?resourcekey#gid=923248883"",""Prop!$AJ$1:$AT""),11,0),iferror(vlookup(B61,importrange(""https://docs.google.com/spre"&amp;"adsheets/d/1boHyJQ4e2FU0QG8MHwEi6qjX4hvZWVCHcFfXjq7bbMc/edit?resourcekey#gid=923248883"",""Prop!$AU$1:$BE""),11,0),iferror(vlookup(B61,importrange(""https://docs.google.com/spreadsheets/d/1boHyJQ4e2FU0QG8MHwEi6qjX4hvZWVCHcFfXjq7bbMc/edit?resourcekey#gid=9"&amp;"23248883"",""Prop!$BF$1:$BP""),11,0),iferror(vlookup(B61,importrange(""https://docs.google.com/spreadsheets/d/1boHyJQ4e2FU0QG8MHwEi6qjX4hvZWVCHcFfXjq7bbMc/edit?resourcekey#gid=923248883"",""Prop!$BQ$1:$CA""),11,0),iferror(vlookup(B61,importrange(""https:/"&amp;"/docs.google.com/spreadsheets/d/1boHyJQ4e2FU0QG8MHwEi6qjX4hvZWVCHcFfXjq7bbMc/edit?resourcekey#gid=923248883"",""Prop!$CB$1:$CL""),11,0),iferror(vlookup(B61,importrange(""https://docs.google.com/spreadsheets/d/1boHyJQ4e2FU0QG8MHwEi6qjX4hvZWVCHcFfXjq7bbMc/e"&amp;"dit?resourcekey#gid=923248883"",""Prop!$CM$1:$CX""),12,0),iferror(vlookup(B61,importrange(""https://docs.google.com/spreadsheets/d/1boHyJQ4e2FU0QG8MHwEi6qjX4hvZWVCHcFfXjq7bbMc/edit?resourcekey#gid=923248883"",""Prop!$CV$1:$DI""),11,0)))))))))))"),"")</f>
        <v/>
      </c>
      <c r="Q61" s="1" t="str">
        <f ca="1">IFERROR(__xludf.DUMMYFUNCTION("iferror(vlookup(B61,importrange(""https://docs.google.com/spreadsheets/d/1p53T2AuvvIqhP7Nf-bo3Uhj8cbKYRPpZdsrBv3x3bAQ/edit?resourcekey#gid=1321652304"",""Prop!$C$1:$M""),11,0),IFERROR(vlookup(B61,importrange(""https://docs.google.com/spreadsheets/d/1p53T2"&amp;"AuvvIqhP7Nf-bo3Uhj8cbKYRPpZdsrBv3x3bAQ/edit?resourcekey#gid=1321652304"",""Prop!$N$1:$X""),11,0),iferror(vlookup(B61,importrange(""https://docs.google.com/spreadsheets/d/1p53T2AuvvIqhP7Nf-bo3Uhj8cbKYRPpZdsrBv3x3bAQ/edit?resourcekey#gid=1321652304"",""Prop"&amp;"!$Y$1:$AI""),11,0),iferror(vlookup(B61,importrange(""https://docs.google.com/spreadsheets/d/1p53T2AuvvIqhP7Nf-bo3Uhj8cbKYRPpZdsrBv3x3bAQ/edit?resourcekey#gid=1321652304"",""Prop!$AJ$1:$AT""),11,0),iferror(vlookup(B61,importrange(""https://docs.google.com/"&amp;"spreadsheets/d/1p53T2AuvvIqhP7Nf-bo3Uhj8cbKYRPpZdsrBv3x3bAQ/edit?resourcekey#gid=1321652304"",""Prop!$AU$1:$BE""),11,0),iferror(vlookup(B61,importrange(""https://docs.google.com/spreadsheets/d/1p53T2AuvvIqhP7Nf-bo3Uhj8cbKYRPpZdsrBv3x3bAQ/edit?resourcekey#"&amp;"gid=1321652304"",""Prop!$BF$1:$BP""),11,0),iferror(vlookup(B61,importrange(""https://docs.google.com/spreadsheets/d/1p53T2AuvvIqhP7Nf-bo3Uhj8cbKYRPpZdsrBv3x3bAQ/edit?resourcekey#gid=1321652304"",""Prop!$BQ$1:$CA""),11,0),iferror(vlookup(B61,importrange("""&amp;"https://docs.google.com/spreadsheets/d/1p53T2AuvvIqhP7Nf-bo3Uhj8cbKYRPpZdsrBv3x3bAQ/edit?resourcekey#gid=1321652304"",""Prop!$CB$1:$CL""),11,0),iferror(vlookup(B61,importrange(""https://docs.google.com/spreadsheets/d/1p53T2AuvvIqhP7Nf-bo3Uhj8cbKYRPpZdsrBv"&amp;"3x3bAQ/edit?resourcekey#gid=1321652304"",""Prop!$CM$1:$CX""),11,0),iferror(vlookup(B61,importrange(""https://docs.google.com/spreadsheets/d/1p53T2AuvvIqhP7Nf-bo3Uhj8cbKYRPpZdsrBv3x3bAQ/edit?resourcekey#gid=1321652304"",""Prop!$CY$1:$DI""),11,0)))))))))))"),"")</f>
        <v/>
      </c>
      <c r="R61" s="20" t="str">
        <f ca="1">IFERROR(__xludf.DUMMYFUNCTION("IFERROR(vlookup(A61,IMPORTRANGE(""https://docs.google.com/spreadsheets/d/1g_jfYYK_KeipEDNDUgqgrsxK94XiocfNQIcP-v1QVhI/edit?resourcekey#gid=233272945"",""Nilai!B:CT""),67,0),"" "")")," ")</f>
        <v xml:space="preserve"> </v>
      </c>
      <c r="S61" s="20" t="b">
        <v>0</v>
      </c>
      <c r="T61" s="20" t="str">
        <f ca="1">IFERROR(__xludf.DUMMYFUNCTION("IFERROR(vlookup(B61,IMPORTRANGE(""https://docs.google.com/spreadsheets/d/1g_jfYYK_KeipEDNDUgqgrsxK94XiocfNQIcP-v1QVhI/edit?resourcekey#gid=233272945"",""Nilai!B:BG""),13,0),"" "")")," ")</f>
        <v xml:space="preserve"> </v>
      </c>
      <c r="U61" s="1"/>
      <c r="V61" s="1"/>
      <c r="W61" s="1"/>
      <c r="X61" s="1"/>
    </row>
    <row r="62" spans="1:24">
      <c r="A62" s="15"/>
      <c r="B62" s="15"/>
      <c r="C62" s="16"/>
      <c r="D62" s="16"/>
      <c r="E62" s="16"/>
      <c r="F62" s="16"/>
      <c r="G62" s="16"/>
      <c r="H62" s="16"/>
      <c r="I62" s="16"/>
      <c r="J62" s="16"/>
      <c r="K62" s="16"/>
      <c r="L62" s="16"/>
      <c r="M62" s="25"/>
      <c r="N62" s="25"/>
      <c r="O62" s="16"/>
      <c r="P62" s="1" t="str">
        <f ca="1">IFERROR(__xludf.DUMMYFUNCTION("iferror(vlookup(B62,importrange(""https://docs.google.com/spreadsheets/d/1boHyJQ4e2FU0QG8MHwEi6qjX4hvZWVCHcFfXjq7bbMc/edit?resourcekey#gid=923248883"",""Prop!$C$1:$M""),12,0),IFERROR(vlookup(B62,importrange(""https://docs.google.com/spreadsheets/d/1boHyJQ"&amp;"4e2FU0QG8MHwEi6qjX4hvZWVCHcFfXjq7bbMc/edit?resourcekey#gid=923248883"",""Prop!$N$1:$X""),11,0),iferror(vlookup(B62,importrange(""https://docs.google.com/spreadsheets/d/1boHyJQ4e2FU0QG8MHwEi6qjX4hvZWVCHcFfXjq7bbMc/edit?resourcekey#gid=923248883"",""Prop!$Y"&amp;"$1:$AI""),11,0),iferror(vlookup(B62,importrange(""https://docs.google.com/spreadsheets/d/1boHyJQ4e2FU0QG8MHwEi6qjX4hvZWVCHcFfXjq7bbMc/edit?resourcekey#gid=923248883"",""Prop!$AJ$1:$AT""),11,0),iferror(vlookup(B62,importrange(""https://docs.google.com/spre"&amp;"adsheets/d/1boHyJQ4e2FU0QG8MHwEi6qjX4hvZWVCHcFfXjq7bbMc/edit?resourcekey#gid=923248883"",""Prop!$AU$1:$BE""),11,0),iferror(vlookup(B62,importrange(""https://docs.google.com/spreadsheets/d/1boHyJQ4e2FU0QG8MHwEi6qjX4hvZWVCHcFfXjq7bbMc/edit?resourcekey#gid=9"&amp;"23248883"",""Prop!$BF$1:$BP""),11,0),iferror(vlookup(B62,importrange(""https://docs.google.com/spreadsheets/d/1boHyJQ4e2FU0QG8MHwEi6qjX4hvZWVCHcFfXjq7bbMc/edit?resourcekey#gid=923248883"",""Prop!$BQ$1:$CA""),11,0),iferror(vlookup(B62,importrange(""https:/"&amp;"/docs.google.com/spreadsheets/d/1boHyJQ4e2FU0QG8MHwEi6qjX4hvZWVCHcFfXjq7bbMc/edit?resourcekey#gid=923248883"",""Prop!$CB$1:$CL""),11,0),iferror(vlookup(B62,importrange(""https://docs.google.com/spreadsheets/d/1boHyJQ4e2FU0QG8MHwEi6qjX4hvZWVCHcFfXjq7bbMc/e"&amp;"dit?resourcekey#gid=923248883"",""Prop!$CM$1:$CX""),12,0),iferror(vlookup(B62,importrange(""https://docs.google.com/spreadsheets/d/1boHyJQ4e2FU0QG8MHwEi6qjX4hvZWVCHcFfXjq7bbMc/edit?resourcekey#gid=923248883"",""Prop!$CV$1:$DI""),11,0)))))))))))"),"")</f>
        <v/>
      </c>
      <c r="Q62" s="1" t="str">
        <f ca="1">IFERROR(__xludf.DUMMYFUNCTION("iferror(vlookup(B62,importrange(""https://docs.google.com/spreadsheets/d/1p53T2AuvvIqhP7Nf-bo3Uhj8cbKYRPpZdsrBv3x3bAQ/edit?resourcekey#gid=1321652304"",""Prop!$C$1:$M""),11,0),IFERROR(vlookup(B62,importrange(""https://docs.google.com/spreadsheets/d/1p53T2"&amp;"AuvvIqhP7Nf-bo3Uhj8cbKYRPpZdsrBv3x3bAQ/edit?resourcekey#gid=1321652304"",""Prop!$N$1:$X""),11,0),iferror(vlookup(B62,importrange(""https://docs.google.com/spreadsheets/d/1p53T2AuvvIqhP7Nf-bo3Uhj8cbKYRPpZdsrBv3x3bAQ/edit?resourcekey#gid=1321652304"",""Prop"&amp;"!$Y$1:$AI""),11,0),iferror(vlookup(B62,importrange(""https://docs.google.com/spreadsheets/d/1p53T2AuvvIqhP7Nf-bo3Uhj8cbKYRPpZdsrBv3x3bAQ/edit?resourcekey#gid=1321652304"",""Prop!$AJ$1:$AT""),11,0),iferror(vlookup(B62,importrange(""https://docs.google.com/"&amp;"spreadsheets/d/1p53T2AuvvIqhP7Nf-bo3Uhj8cbKYRPpZdsrBv3x3bAQ/edit?resourcekey#gid=1321652304"",""Prop!$AU$1:$BE""),11,0),iferror(vlookup(B62,importrange(""https://docs.google.com/spreadsheets/d/1p53T2AuvvIqhP7Nf-bo3Uhj8cbKYRPpZdsrBv3x3bAQ/edit?resourcekey#"&amp;"gid=1321652304"",""Prop!$BF$1:$BP""),11,0),iferror(vlookup(B62,importrange(""https://docs.google.com/spreadsheets/d/1p53T2AuvvIqhP7Nf-bo3Uhj8cbKYRPpZdsrBv3x3bAQ/edit?resourcekey#gid=1321652304"",""Prop!$BQ$1:$CA""),11,0),iferror(vlookup(B62,importrange("""&amp;"https://docs.google.com/spreadsheets/d/1p53T2AuvvIqhP7Nf-bo3Uhj8cbKYRPpZdsrBv3x3bAQ/edit?resourcekey#gid=1321652304"",""Prop!$CB$1:$CL""),11,0),iferror(vlookup(B62,importrange(""https://docs.google.com/spreadsheets/d/1p53T2AuvvIqhP7Nf-bo3Uhj8cbKYRPpZdsrBv"&amp;"3x3bAQ/edit?resourcekey#gid=1321652304"",""Prop!$CM$1:$CX""),11,0),iferror(vlookup(B62,importrange(""https://docs.google.com/spreadsheets/d/1p53T2AuvvIqhP7Nf-bo3Uhj8cbKYRPpZdsrBv3x3bAQ/edit?resourcekey#gid=1321652304"",""Prop!$CY$1:$DI""),11,0)))))))))))"),"")</f>
        <v/>
      </c>
      <c r="R62" s="20" t="str">
        <f ca="1">IFERROR(__xludf.DUMMYFUNCTION("IFERROR(vlookup(A62,IMPORTRANGE(""https://docs.google.com/spreadsheets/d/1g_jfYYK_KeipEDNDUgqgrsxK94XiocfNQIcP-v1QVhI/edit?resourcekey#gid=233272945"",""Nilai!B:CT""),67,0),"" "")")," ")</f>
        <v xml:space="preserve"> </v>
      </c>
      <c r="S62" s="20" t="b">
        <v>0</v>
      </c>
      <c r="T62" s="20" t="str">
        <f ca="1">IFERROR(__xludf.DUMMYFUNCTION("IFERROR(vlookup(B62,IMPORTRANGE(""https://docs.google.com/spreadsheets/d/1g_jfYYK_KeipEDNDUgqgrsxK94XiocfNQIcP-v1QVhI/edit?resourcekey#gid=233272945"",""Nilai!B:BG""),13,0),"" "")")," ")</f>
        <v xml:space="preserve"> </v>
      </c>
      <c r="U62" s="1"/>
      <c r="V62" s="1"/>
      <c r="W62" s="1"/>
      <c r="X62" s="1"/>
    </row>
    <row r="63" spans="1:24">
      <c r="A63" s="15"/>
      <c r="B63" s="15"/>
      <c r="C63" s="16"/>
      <c r="D63" s="16"/>
      <c r="E63" s="16"/>
      <c r="F63" s="16"/>
      <c r="G63" s="16"/>
      <c r="H63" s="16"/>
      <c r="I63" s="16"/>
      <c r="J63" s="16"/>
      <c r="K63" s="16"/>
      <c r="L63" s="16"/>
      <c r="M63" s="25"/>
      <c r="N63" s="25"/>
      <c r="O63" s="16"/>
      <c r="P63" s="1" t="str">
        <f ca="1">IFERROR(__xludf.DUMMYFUNCTION("iferror(vlookup(B63,importrange(""https://docs.google.com/spreadsheets/d/1boHyJQ4e2FU0QG8MHwEi6qjX4hvZWVCHcFfXjq7bbMc/edit?resourcekey#gid=923248883"",""Prop!$C$1:$M""),12,0),IFERROR(vlookup(B63,importrange(""https://docs.google.com/spreadsheets/d/1boHyJQ"&amp;"4e2FU0QG8MHwEi6qjX4hvZWVCHcFfXjq7bbMc/edit?resourcekey#gid=923248883"",""Prop!$N$1:$X""),11,0),iferror(vlookup(B63,importrange(""https://docs.google.com/spreadsheets/d/1boHyJQ4e2FU0QG8MHwEi6qjX4hvZWVCHcFfXjq7bbMc/edit?resourcekey#gid=923248883"",""Prop!$Y"&amp;"$1:$AI""),11,0),iferror(vlookup(B63,importrange(""https://docs.google.com/spreadsheets/d/1boHyJQ4e2FU0QG8MHwEi6qjX4hvZWVCHcFfXjq7bbMc/edit?resourcekey#gid=923248883"",""Prop!$AJ$1:$AT""),11,0),iferror(vlookup(B63,importrange(""https://docs.google.com/spre"&amp;"adsheets/d/1boHyJQ4e2FU0QG8MHwEi6qjX4hvZWVCHcFfXjq7bbMc/edit?resourcekey#gid=923248883"",""Prop!$AU$1:$BE""),11,0),iferror(vlookup(B63,importrange(""https://docs.google.com/spreadsheets/d/1boHyJQ4e2FU0QG8MHwEi6qjX4hvZWVCHcFfXjq7bbMc/edit?resourcekey#gid=9"&amp;"23248883"",""Prop!$BF$1:$BP""),11,0),iferror(vlookup(B63,importrange(""https://docs.google.com/spreadsheets/d/1boHyJQ4e2FU0QG8MHwEi6qjX4hvZWVCHcFfXjq7bbMc/edit?resourcekey#gid=923248883"",""Prop!$BQ$1:$CA""),11,0),iferror(vlookup(B63,importrange(""https:/"&amp;"/docs.google.com/spreadsheets/d/1boHyJQ4e2FU0QG8MHwEi6qjX4hvZWVCHcFfXjq7bbMc/edit?resourcekey#gid=923248883"",""Prop!$CB$1:$CL""),11,0),iferror(vlookup(B63,importrange(""https://docs.google.com/spreadsheets/d/1boHyJQ4e2FU0QG8MHwEi6qjX4hvZWVCHcFfXjq7bbMc/e"&amp;"dit?resourcekey#gid=923248883"",""Prop!$CM$1:$CX""),12,0),iferror(vlookup(B63,importrange(""https://docs.google.com/spreadsheets/d/1boHyJQ4e2FU0QG8MHwEi6qjX4hvZWVCHcFfXjq7bbMc/edit?resourcekey#gid=923248883"",""Prop!$CV$1:$DI""),11,0)))))))))))"),"")</f>
        <v/>
      </c>
      <c r="Q63" s="1" t="str">
        <f ca="1">IFERROR(__xludf.DUMMYFUNCTION("iferror(vlookup(B63,importrange(""https://docs.google.com/spreadsheets/d/1p53T2AuvvIqhP7Nf-bo3Uhj8cbKYRPpZdsrBv3x3bAQ/edit?resourcekey#gid=1321652304"",""Prop!$C$1:$M""),11,0),IFERROR(vlookup(B63,importrange(""https://docs.google.com/spreadsheets/d/1p53T2"&amp;"AuvvIqhP7Nf-bo3Uhj8cbKYRPpZdsrBv3x3bAQ/edit?resourcekey#gid=1321652304"",""Prop!$N$1:$X""),11,0),iferror(vlookup(B63,importrange(""https://docs.google.com/spreadsheets/d/1p53T2AuvvIqhP7Nf-bo3Uhj8cbKYRPpZdsrBv3x3bAQ/edit?resourcekey#gid=1321652304"",""Prop"&amp;"!$Y$1:$AI""),11,0),iferror(vlookup(B63,importrange(""https://docs.google.com/spreadsheets/d/1p53T2AuvvIqhP7Nf-bo3Uhj8cbKYRPpZdsrBv3x3bAQ/edit?resourcekey#gid=1321652304"",""Prop!$AJ$1:$AT""),11,0),iferror(vlookup(B63,importrange(""https://docs.google.com/"&amp;"spreadsheets/d/1p53T2AuvvIqhP7Nf-bo3Uhj8cbKYRPpZdsrBv3x3bAQ/edit?resourcekey#gid=1321652304"",""Prop!$AU$1:$BE""),11,0),iferror(vlookup(B63,importrange(""https://docs.google.com/spreadsheets/d/1p53T2AuvvIqhP7Nf-bo3Uhj8cbKYRPpZdsrBv3x3bAQ/edit?resourcekey#"&amp;"gid=1321652304"",""Prop!$BF$1:$BP""),11,0),iferror(vlookup(B63,importrange(""https://docs.google.com/spreadsheets/d/1p53T2AuvvIqhP7Nf-bo3Uhj8cbKYRPpZdsrBv3x3bAQ/edit?resourcekey#gid=1321652304"",""Prop!$BQ$1:$CA""),11,0),iferror(vlookup(B63,importrange("""&amp;"https://docs.google.com/spreadsheets/d/1p53T2AuvvIqhP7Nf-bo3Uhj8cbKYRPpZdsrBv3x3bAQ/edit?resourcekey#gid=1321652304"",""Prop!$CB$1:$CL""),11,0),iferror(vlookup(B63,importrange(""https://docs.google.com/spreadsheets/d/1p53T2AuvvIqhP7Nf-bo3Uhj8cbKYRPpZdsrBv"&amp;"3x3bAQ/edit?resourcekey#gid=1321652304"",""Prop!$CM$1:$CX""),11,0),iferror(vlookup(B63,importrange(""https://docs.google.com/spreadsheets/d/1p53T2AuvvIqhP7Nf-bo3Uhj8cbKYRPpZdsrBv3x3bAQ/edit?resourcekey#gid=1321652304"",""Prop!$CY$1:$DI""),11,0)))))))))))"),"")</f>
        <v/>
      </c>
      <c r="R63" s="20" t="str">
        <f ca="1">IFERROR(__xludf.DUMMYFUNCTION("IFERROR(vlookup(A63,IMPORTRANGE(""https://docs.google.com/spreadsheets/d/1g_jfYYK_KeipEDNDUgqgrsxK94XiocfNQIcP-v1QVhI/edit?resourcekey#gid=233272945"",""Nilai!B:CT""),67,0),"" "")")," ")</f>
        <v xml:space="preserve"> </v>
      </c>
      <c r="S63" s="20" t="b">
        <v>0</v>
      </c>
      <c r="T63" s="20" t="str">
        <f ca="1">IFERROR(__xludf.DUMMYFUNCTION("IFERROR(vlookup(B63,IMPORTRANGE(""https://docs.google.com/spreadsheets/d/1g_jfYYK_KeipEDNDUgqgrsxK94XiocfNQIcP-v1QVhI/edit?resourcekey#gid=233272945"",""Nilai!B:BG""),13,0),"" "")")," ")</f>
        <v xml:space="preserve"> </v>
      </c>
      <c r="U63" s="1"/>
      <c r="V63" s="1"/>
      <c r="W63" s="1"/>
      <c r="X63" s="1"/>
    </row>
    <row r="64" spans="1:24">
      <c r="A64" s="15"/>
      <c r="B64" s="15"/>
      <c r="C64" s="16"/>
      <c r="D64" s="16"/>
      <c r="E64" s="16"/>
      <c r="F64" s="16"/>
      <c r="G64" s="16"/>
      <c r="H64" s="16"/>
      <c r="I64" s="16"/>
      <c r="J64" s="16"/>
      <c r="K64" s="16"/>
      <c r="L64" s="16"/>
      <c r="M64" s="25"/>
      <c r="N64" s="25"/>
      <c r="O64" s="16"/>
      <c r="P64" s="1"/>
      <c r="Q64" s="1"/>
      <c r="R64" s="20" t="str">
        <f ca="1">IFERROR(__xludf.DUMMYFUNCTION("IFERROR(vlookup(A64,IMPORTRANGE(""https://docs.google.com/spreadsheets/d/1g_jfYYK_KeipEDNDUgqgrsxK94XiocfNQIcP-v1QVhI/edit?resourcekey#gid=233272945"",""Nilai!B:CT""),67,0),"" "")")," ")</f>
        <v xml:space="preserve"> </v>
      </c>
      <c r="S64" s="1"/>
      <c r="T64" s="1"/>
      <c r="U64" s="1"/>
      <c r="V64" s="1"/>
      <c r="W64" s="1"/>
      <c r="X64" s="1"/>
    </row>
    <row r="65" spans="1:24">
      <c r="A65" s="15"/>
      <c r="B65" s="15"/>
      <c r="C65" s="16"/>
      <c r="D65" s="16"/>
      <c r="E65" s="16"/>
      <c r="F65" s="16"/>
      <c r="G65" s="16"/>
      <c r="H65" s="16"/>
      <c r="I65" s="16"/>
      <c r="J65" s="16"/>
      <c r="K65" s="16"/>
      <c r="L65" s="16"/>
      <c r="M65" s="25"/>
      <c r="N65" s="25"/>
      <c r="O65" s="16"/>
      <c r="P65" s="1"/>
      <c r="Q65" s="1"/>
      <c r="R65" s="1"/>
      <c r="S65" s="1"/>
      <c r="T65" s="1"/>
      <c r="U65" s="1"/>
      <c r="V65" s="1"/>
      <c r="W65" s="1"/>
      <c r="X65" s="1"/>
    </row>
    <row r="66" spans="1:24">
      <c r="A66" s="15"/>
      <c r="B66" s="15"/>
      <c r="C66" s="16"/>
      <c r="D66" s="16"/>
      <c r="E66" s="16"/>
      <c r="F66" s="16"/>
      <c r="G66" s="16"/>
      <c r="H66" s="16"/>
      <c r="I66" s="16"/>
      <c r="J66" s="16"/>
      <c r="K66" s="16"/>
      <c r="L66" s="16"/>
      <c r="M66" s="25"/>
      <c r="N66" s="25"/>
      <c r="O66" s="16"/>
      <c r="P66" s="1"/>
      <c r="Q66" s="1"/>
      <c r="R66" s="1"/>
      <c r="S66" s="1"/>
      <c r="T66" s="1"/>
      <c r="U66" s="1"/>
      <c r="V66" s="1"/>
      <c r="W66" s="1"/>
      <c r="X66" s="1"/>
    </row>
    <row r="67" spans="1:24">
      <c r="A67" s="15"/>
      <c r="B67" s="15"/>
      <c r="C67" s="16"/>
      <c r="D67" s="16"/>
      <c r="E67" s="16"/>
      <c r="F67" s="16"/>
      <c r="G67" s="16"/>
      <c r="H67" s="16"/>
      <c r="I67" s="16"/>
      <c r="J67" s="16"/>
      <c r="K67" s="16"/>
      <c r="L67" s="16"/>
      <c r="M67" s="25"/>
      <c r="N67" s="25"/>
      <c r="O67" s="16"/>
      <c r="P67" s="1"/>
      <c r="Q67" s="1"/>
      <c r="R67" s="1"/>
      <c r="S67" s="1"/>
      <c r="T67" s="1"/>
      <c r="U67" s="1"/>
      <c r="V67" s="1"/>
      <c r="W67" s="1"/>
      <c r="X67" s="1"/>
    </row>
    <row r="68" spans="1:24">
      <c r="A68" s="15"/>
      <c r="B68" s="15"/>
      <c r="C68" s="16"/>
      <c r="D68" s="16"/>
      <c r="E68" s="16"/>
      <c r="F68" s="16"/>
      <c r="G68" s="16"/>
      <c r="H68" s="16"/>
      <c r="I68" s="16"/>
      <c r="J68" s="16"/>
      <c r="K68" s="16"/>
      <c r="L68" s="16"/>
      <c r="M68" s="25"/>
      <c r="N68" s="25"/>
      <c r="O68" s="16"/>
      <c r="P68" s="1"/>
      <c r="Q68" s="1"/>
      <c r="R68" s="1"/>
      <c r="S68" s="1"/>
      <c r="T68" s="1"/>
      <c r="U68" s="1"/>
      <c r="V68" s="1"/>
      <c r="W68" s="1"/>
      <c r="X68" s="1"/>
    </row>
    <row r="69" spans="1:24">
      <c r="A69" s="15"/>
      <c r="B69" s="15"/>
      <c r="C69" s="16"/>
      <c r="D69" s="16"/>
      <c r="E69" s="16"/>
      <c r="F69" s="16"/>
      <c r="G69" s="16"/>
      <c r="H69" s="16"/>
      <c r="I69" s="16"/>
      <c r="J69" s="16"/>
      <c r="K69" s="16"/>
      <c r="L69" s="16"/>
      <c r="M69" s="25"/>
      <c r="N69" s="25"/>
      <c r="O69" s="16"/>
      <c r="P69" s="1"/>
      <c r="Q69" s="1"/>
      <c r="R69" s="1"/>
      <c r="S69" s="1"/>
      <c r="T69" s="1"/>
      <c r="U69" s="1"/>
      <c r="V69" s="1"/>
      <c r="W69" s="1"/>
      <c r="X69" s="1"/>
    </row>
    <row r="70" spans="1:24">
      <c r="A70" s="15"/>
      <c r="B70" s="15"/>
      <c r="C70" s="16"/>
      <c r="D70" s="16"/>
      <c r="E70" s="16"/>
      <c r="F70" s="16"/>
      <c r="G70" s="16"/>
      <c r="H70" s="16"/>
      <c r="I70" s="16"/>
      <c r="J70" s="16"/>
      <c r="K70" s="16"/>
      <c r="L70" s="16"/>
      <c r="M70" s="25"/>
      <c r="N70" s="25"/>
      <c r="O70" s="16"/>
      <c r="P70" s="1"/>
      <c r="Q70" s="1"/>
      <c r="R70" s="1"/>
      <c r="S70" s="1"/>
      <c r="T70" s="1"/>
      <c r="U70" s="1"/>
      <c r="V70" s="1"/>
      <c r="W70" s="1"/>
      <c r="X70" s="1"/>
    </row>
    <row r="71" spans="1:24">
      <c r="A71" s="15"/>
      <c r="B71" s="15"/>
      <c r="C71" s="16"/>
      <c r="D71" s="16"/>
      <c r="E71" s="16"/>
      <c r="F71" s="16"/>
      <c r="G71" s="16"/>
      <c r="H71" s="16"/>
      <c r="I71" s="16"/>
      <c r="J71" s="16"/>
      <c r="K71" s="16"/>
      <c r="L71" s="16"/>
      <c r="M71" s="25"/>
      <c r="N71" s="25"/>
      <c r="O71" s="16"/>
      <c r="P71" s="1"/>
      <c r="Q71" s="1"/>
      <c r="R71" s="1"/>
      <c r="S71" s="1"/>
      <c r="T71" s="1"/>
      <c r="U71" s="1"/>
      <c r="V71" s="1"/>
      <c r="W71" s="1"/>
      <c r="X71" s="1"/>
    </row>
    <row r="72" spans="1:24">
      <c r="A72" s="15"/>
      <c r="B72" s="15"/>
      <c r="C72" s="16"/>
      <c r="D72" s="16"/>
      <c r="E72" s="16"/>
      <c r="F72" s="16"/>
      <c r="G72" s="16"/>
      <c r="H72" s="16"/>
      <c r="I72" s="16"/>
      <c r="J72" s="16"/>
      <c r="K72" s="16"/>
      <c r="L72" s="16"/>
      <c r="M72" s="25"/>
      <c r="N72" s="25"/>
      <c r="O72" s="16"/>
      <c r="P72" s="1"/>
      <c r="Q72" s="1"/>
      <c r="R72" s="1"/>
      <c r="S72" s="1"/>
      <c r="T72" s="1"/>
      <c r="U72" s="1"/>
      <c r="V72" s="1"/>
      <c r="W72" s="1"/>
      <c r="X72" s="1"/>
    </row>
    <row r="73" spans="1:24">
      <c r="A73" s="15"/>
      <c r="B73" s="15"/>
      <c r="C73" s="16"/>
      <c r="D73" s="16"/>
      <c r="E73" s="16"/>
      <c r="F73" s="16"/>
      <c r="G73" s="16"/>
      <c r="H73" s="16"/>
      <c r="I73" s="16"/>
      <c r="J73" s="16"/>
      <c r="K73" s="16"/>
      <c r="L73" s="16"/>
      <c r="M73" s="25"/>
      <c r="N73" s="25"/>
      <c r="O73" s="16"/>
      <c r="P73" s="1"/>
      <c r="Q73" s="1"/>
      <c r="R73" s="1"/>
      <c r="S73" s="1"/>
      <c r="T73" s="1"/>
      <c r="U73" s="1"/>
      <c r="V73" s="1"/>
      <c r="W73" s="1"/>
      <c r="X73" s="1"/>
    </row>
    <row r="74" spans="1:24">
      <c r="A74" s="15"/>
      <c r="B74" s="15"/>
      <c r="C74" s="16"/>
      <c r="D74" s="16"/>
      <c r="E74" s="16"/>
      <c r="F74" s="16"/>
      <c r="G74" s="16"/>
      <c r="H74" s="16"/>
      <c r="I74" s="16"/>
      <c r="J74" s="16"/>
      <c r="K74" s="16"/>
      <c r="L74" s="16"/>
      <c r="M74" s="25"/>
      <c r="N74" s="25"/>
      <c r="O74" s="16"/>
      <c r="P74" s="1"/>
      <c r="Q74" s="1"/>
      <c r="R74" s="1"/>
      <c r="S74" s="1"/>
      <c r="T74" s="1"/>
      <c r="U74" s="1"/>
      <c r="V74" s="1"/>
      <c r="W74" s="1"/>
      <c r="X74" s="1"/>
    </row>
    <row r="75" spans="1:24">
      <c r="A75" s="15"/>
      <c r="B75" s="15"/>
      <c r="C75" s="16"/>
      <c r="D75" s="16"/>
      <c r="E75" s="16"/>
      <c r="F75" s="16"/>
      <c r="G75" s="16"/>
      <c r="H75" s="16"/>
      <c r="I75" s="16"/>
      <c r="J75" s="16"/>
      <c r="K75" s="16"/>
      <c r="L75" s="16"/>
      <c r="M75" s="25"/>
      <c r="N75" s="25"/>
      <c r="O75" s="16"/>
      <c r="P75" s="1"/>
      <c r="Q75" s="1"/>
      <c r="R75" s="1"/>
      <c r="S75" s="1"/>
      <c r="T75" s="1"/>
      <c r="U75" s="1"/>
      <c r="V75" s="1"/>
      <c r="W75" s="1"/>
      <c r="X75" s="1"/>
    </row>
    <row r="76" spans="1:24">
      <c r="A76" s="15"/>
      <c r="B76" s="15"/>
      <c r="C76" s="16"/>
      <c r="D76" s="16"/>
      <c r="E76" s="16"/>
      <c r="F76" s="16"/>
      <c r="G76" s="16"/>
      <c r="H76" s="16"/>
      <c r="I76" s="16"/>
      <c r="J76" s="16"/>
      <c r="K76" s="16"/>
      <c r="L76" s="16"/>
      <c r="M76" s="25"/>
      <c r="N76" s="25"/>
      <c r="O76" s="16"/>
      <c r="P76" s="1"/>
      <c r="Q76" s="1"/>
      <c r="R76" s="1"/>
      <c r="S76" s="1"/>
      <c r="T76" s="1"/>
      <c r="U76" s="1"/>
      <c r="V76" s="1"/>
      <c r="W76" s="1"/>
      <c r="X76" s="1"/>
    </row>
    <row r="77" spans="1:24">
      <c r="A77" s="15"/>
      <c r="B77" s="15"/>
      <c r="C77" s="16"/>
      <c r="D77" s="16"/>
      <c r="E77" s="16"/>
      <c r="F77" s="16"/>
      <c r="G77" s="16"/>
      <c r="H77" s="16"/>
      <c r="I77" s="16"/>
      <c r="J77" s="16"/>
      <c r="K77" s="16"/>
      <c r="L77" s="16"/>
      <c r="M77" s="25"/>
      <c r="N77" s="25"/>
      <c r="O77" s="16"/>
      <c r="P77" s="1"/>
      <c r="Q77" s="1"/>
      <c r="R77" s="1"/>
      <c r="S77" s="1"/>
      <c r="T77" s="1"/>
      <c r="U77" s="1"/>
      <c r="V77" s="1"/>
      <c r="W77" s="1"/>
      <c r="X77" s="1"/>
    </row>
    <row r="78" spans="1:24">
      <c r="A78" s="15"/>
      <c r="B78" s="15"/>
      <c r="C78" s="16"/>
      <c r="D78" s="16"/>
      <c r="E78" s="16"/>
      <c r="F78" s="16"/>
      <c r="G78" s="16"/>
      <c r="H78" s="16"/>
      <c r="I78" s="16"/>
      <c r="J78" s="16"/>
      <c r="K78" s="16"/>
      <c r="L78" s="16"/>
      <c r="M78" s="25"/>
      <c r="N78" s="25"/>
      <c r="O78" s="16"/>
      <c r="P78" s="1"/>
      <c r="Q78" s="1"/>
      <c r="R78" s="1"/>
      <c r="S78" s="1"/>
      <c r="T78" s="1"/>
      <c r="U78" s="1"/>
      <c r="V78" s="1"/>
      <c r="W78" s="1"/>
      <c r="X78" s="1"/>
    </row>
    <row r="79" spans="1:24">
      <c r="A79" s="15"/>
      <c r="B79" s="15"/>
      <c r="C79" s="16"/>
      <c r="D79" s="16"/>
      <c r="E79" s="16"/>
      <c r="F79" s="16"/>
      <c r="G79" s="16"/>
      <c r="H79" s="16"/>
      <c r="I79" s="16"/>
      <c r="J79" s="16"/>
      <c r="K79" s="16"/>
      <c r="L79" s="16"/>
      <c r="M79" s="25"/>
      <c r="N79" s="25"/>
      <c r="O79" s="16"/>
      <c r="P79" s="1"/>
      <c r="Q79" s="1"/>
      <c r="R79" s="1"/>
      <c r="S79" s="1"/>
      <c r="T79" s="1"/>
      <c r="U79" s="1"/>
      <c r="V79" s="1"/>
      <c r="W79" s="1"/>
      <c r="X79" s="1"/>
    </row>
    <row r="80" spans="1:24">
      <c r="A80" s="15"/>
      <c r="B80" s="15"/>
      <c r="C80" s="16"/>
      <c r="D80" s="16"/>
      <c r="E80" s="16"/>
      <c r="F80" s="16"/>
      <c r="G80" s="16"/>
      <c r="H80" s="16"/>
      <c r="I80" s="16"/>
      <c r="J80" s="16"/>
      <c r="K80" s="16"/>
      <c r="L80" s="16"/>
      <c r="M80" s="25"/>
      <c r="N80" s="25"/>
      <c r="O80" s="16"/>
      <c r="P80" s="1"/>
      <c r="Q80" s="1"/>
      <c r="R80" s="1"/>
      <c r="S80" s="1"/>
      <c r="T80" s="1"/>
      <c r="U80" s="1"/>
      <c r="V80" s="1"/>
      <c r="W80" s="1"/>
      <c r="X80" s="1"/>
    </row>
    <row r="81" spans="1:24">
      <c r="A81" s="15"/>
      <c r="B81" s="15"/>
      <c r="C81" s="16"/>
      <c r="D81" s="16"/>
      <c r="E81" s="16"/>
      <c r="F81" s="16"/>
      <c r="G81" s="16"/>
      <c r="H81" s="16"/>
      <c r="I81" s="16"/>
      <c r="J81" s="16"/>
      <c r="K81" s="16"/>
      <c r="L81" s="16"/>
      <c r="M81" s="25"/>
      <c r="N81" s="25"/>
      <c r="O81" s="16"/>
      <c r="P81" s="1"/>
      <c r="Q81" s="1"/>
      <c r="R81" s="1"/>
      <c r="S81" s="1"/>
      <c r="T81" s="1"/>
      <c r="U81" s="1"/>
      <c r="V81" s="1"/>
      <c r="W81" s="1"/>
      <c r="X81" s="1"/>
    </row>
    <row r="82" spans="1:24">
      <c r="A82" s="15"/>
      <c r="B82" s="15"/>
      <c r="C82" s="16"/>
      <c r="D82" s="16"/>
      <c r="E82" s="16"/>
      <c r="F82" s="16"/>
      <c r="G82" s="16"/>
      <c r="H82" s="16"/>
      <c r="I82" s="16"/>
      <c r="J82" s="16"/>
      <c r="K82" s="16"/>
      <c r="L82" s="16"/>
      <c r="M82" s="25"/>
      <c r="N82" s="25"/>
      <c r="O82" s="16"/>
      <c r="P82" s="1"/>
      <c r="Q82" s="1"/>
      <c r="R82" s="1"/>
      <c r="S82" s="1"/>
      <c r="T82" s="1"/>
      <c r="U82" s="1"/>
      <c r="V82" s="1"/>
      <c r="W82" s="1"/>
      <c r="X82" s="1"/>
    </row>
    <row r="83" spans="1:24">
      <c r="A83" s="15"/>
      <c r="B83" s="15"/>
      <c r="C83" s="16"/>
      <c r="D83" s="16"/>
      <c r="E83" s="16"/>
      <c r="F83" s="16"/>
      <c r="G83" s="16"/>
      <c r="H83" s="16"/>
      <c r="I83" s="16"/>
      <c r="J83" s="16"/>
      <c r="K83" s="16"/>
      <c r="L83" s="16"/>
      <c r="M83" s="25"/>
      <c r="N83" s="25"/>
      <c r="O83" s="16"/>
      <c r="P83" s="1"/>
      <c r="Q83" s="1"/>
      <c r="R83" s="1"/>
      <c r="S83" s="1"/>
      <c r="T83" s="1"/>
      <c r="U83" s="1"/>
      <c r="V83" s="1"/>
      <c r="W83" s="1"/>
      <c r="X83" s="1"/>
    </row>
    <row r="84" spans="1:24">
      <c r="A84" s="15"/>
      <c r="B84" s="15"/>
      <c r="C84" s="16"/>
      <c r="D84" s="16"/>
      <c r="E84" s="16"/>
      <c r="F84" s="16"/>
      <c r="G84" s="16"/>
      <c r="H84" s="16"/>
      <c r="I84" s="16"/>
      <c r="J84" s="16"/>
      <c r="K84" s="16"/>
      <c r="L84" s="16"/>
      <c r="M84" s="25"/>
      <c r="N84" s="25"/>
      <c r="O84" s="16"/>
      <c r="P84" s="1"/>
      <c r="Q84" s="1"/>
      <c r="R84" s="1"/>
      <c r="S84" s="1"/>
      <c r="T84" s="1"/>
      <c r="U84" s="1"/>
      <c r="V84" s="1"/>
      <c r="W84" s="1"/>
      <c r="X84" s="1"/>
    </row>
    <row r="85" spans="1:24">
      <c r="A85" s="15"/>
      <c r="B85" s="15"/>
      <c r="C85" s="16"/>
      <c r="D85" s="16"/>
      <c r="E85" s="16"/>
      <c r="F85" s="16"/>
      <c r="G85" s="16"/>
      <c r="H85" s="16"/>
      <c r="I85" s="16"/>
      <c r="J85" s="16"/>
      <c r="K85" s="16"/>
      <c r="L85" s="16"/>
      <c r="M85" s="25"/>
      <c r="N85" s="25"/>
      <c r="O85" s="16"/>
      <c r="P85" s="1"/>
      <c r="Q85" s="1"/>
      <c r="R85" s="1"/>
      <c r="S85" s="1"/>
      <c r="T85" s="1"/>
      <c r="U85" s="1"/>
      <c r="V85" s="1"/>
      <c r="W85" s="1"/>
      <c r="X85" s="1"/>
    </row>
    <row r="86" spans="1:24">
      <c r="A86" s="15"/>
      <c r="B86" s="15"/>
      <c r="C86" s="16"/>
      <c r="D86" s="16"/>
      <c r="E86" s="16"/>
      <c r="F86" s="16"/>
      <c r="G86" s="16"/>
      <c r="H86" s="16"/>
      <c r="I86" s="16"/>
      <c r="J86" s="16"/>
      <c r="K86" s="16"/>
      <c r="L86" s="16"/>
      <c r="M86" s="25"/>
      <c r="N86" s="25"/>
      <c r="O86" s="16"/>
      <c r="P86" s="1"/>
      <c r="Q86" s="1"/>
      <c r="R86" s="1"/>
      <c r="S86" s="1"/>
      <c r="T86" s="1"/>
      <c r="U86" s="1"/>
      <c r="V86" s="1"/>
      <c r="W86" s="1"/>
      <c r="X86" s="1"/>
    </row>
    <row r="87" spans="1:24">
      <c r="A87" s="15"/>
      <c r="B87" s="15"/>
      <c r="C87" s="16"/>
      <c r="D87" s="16"/>
      <c r="E87" s="16"/>
      <c r="F87" s="16"/>
      <c r="G87" s="16"/>
      <c r="H87" s="16"/>
      <c r="I87" s="16"/>
      <c r="J87" s="16"/>
      <c r="K87" s="16"/>
      <c r="L87" s="16"/>
      <c r="M87" s="25"/>
      <c r="N87" s="25"/>
      <c r="O87" s="16"/>
      <c r="P87" s="1"/>
      <c r="Q87" s="1"/>
      <c r="R87" s="1"/>
      <c r="S87" s="1"/>
      <c r="T87" s="1"/>
      <c r="U87" s="1"/>
      <c r="V87" s="1"/>
      <c r="W87" s="1"/>
      <c r="X87" s="1"/>
    </row>
    <row r="88" spans="1:24">
      <c r="A88" s="15"/>
      <c r="B88" s="15"/>
      <c r="C88" s="16"/>
      <c r="D88" s="16"/>
      <c r="E88" s="16"/>
      <c r="F88" s="16"/>
      <c r="G88" s="16"/>
      <c r="H88" s="16"/>
      <c r="I88" s="16"/>
      <c r="J88" s="16"/>
      <c r="K88" s="16"/>
      <c r="L88" s="16"/>
      <c r="M88" s="25"/>
      <c r="N88" s="25"/>
      <c r="O88" s="16"/>
      <c r="P88" s="1"/>
      <c r="Q88" s="1"/>
      <c r="R88" s="1"/>
      <c r="S88" s="1"/>
      <c r="T88" s="1"/>
      <c r="U88" s="1"/>
      <c r="V88" s="1"/>
      <c r="W88" s="1"/>
      <c r="X88" s="1"/>
    </row>
    <row r="89" spans="1:24">
      <c r="A89" s="15"/>
      <c r="B89" s="15"/>
      <c r="C89" s="16"/>
      <c r="D89" s="16"/>
      <c r="E89" s="16"/>
      <c r="F89" s="16"/>
      <c r="G89" s="16"/>
      <c r="H89" s="16"/>
      <c r="I89" s="16"/>
      <c r="J89" s="16"/>
      <c r="K89" s="16"/>
      <c r="L89" s="16"/>
      <c r="M89" s="25"/>
      <c r="N89" s="25"/>
      <c r="O89" s="16"/>
      <c r="P89" s="1"/>
      <c r="Q89" s="1"/>
      <c r="R89" s="1"/>
      <c r="S89" s="1"/>
      <c r="T89" s="1"/>
      <c r="U89" s="1"/>
      <c r="V89" s="1"/>
      <c r="W89" s="1"/>
      <c r="X89" s="1"/>
    </row>
    <row r="90" spans="1:24">
      <c r="A90" s="15"/>
      <c r="B90" s="15"/>
      <c r="C90" s="16"/>
      <c r="D90" s="16"/>
      <c r="E90" s="16"/>
      <c r="F90" s="16"/>
      <c r="G90" s="16"/>
      <c r="H90" s="16"/>
      <c r="I90" s="16"/>
      <c r="J90" s="16"/>
      <c r="K90" s="16"/>
      <c r="L90" s="16"/>
      <c r="M90" s="25"/>
      <c r="N90" s="25"/>
      <c r="O90" s="16"/>
      <c r="P90" s="1"/>
      <c r="Q90" s="1"/>
      <c r="R90" s="1"/>
      <c r="S90" s="1"/>
      <c r="T90" s="1"/>
      <c r="U90" s="1"/>
      <c r="V90" s="1"/>
      <c r="W90" s="1"/>
      <c r="X90" s="1"/>
    </row>
    <row r="91" spans="1:24">
      <c r="A91" s="15"/>
      <c r="B91" s="15"/>
      <c r="C91" s="16"/>
      <c r="D91" s="16"/>
      <c r="E91" s="16"/>
      <c r="F91" s="16"/>
      <c r="G91" s="16"/>
      <c r="H91" s="16"/>
      <c r="I91" s="16"/>
      <c r="J91" s="16"/>
      <c r="K91" s="16"/>
      <c r="L91" s="16"/>
      <c r="M91" s="25"/>
      <c r="N91" s="25"/>
      <c r="O91" s="16"/>
      <c r="P91" s="1"/>
      <c r="Q91" s="1"/>
      <c r="R91" s="1"/>
      <c r="S91" s="1"/>
      <c r="T91" s="1"/>
      <c r="U91" s="1"/>
      <c r="V91" s="1"/>
      <c r="W91" s="1"/>
      <c r="X91" s="1"/>
    </row>
    <row r="92" spans="1:24">
      <c r="A92" s="15"/>
      <c r="B92" s="15"/>
      <c r="C92" s="16"/>
      <c r="D92" s="16"/>
      <c r="E92" s="16"/>
      <c r="F92" s="16"/>
      <c r="G92" s="16"/>
      <c r="H92" s="16"/>
      <c r="I92" s="16"/>
      <c r="J92" s="16"/>
      <c r="K92" s="16"/>
      <c r="L92" s="16"/>
      <c r="M92" s="25"/>
      <c r="N92" s="25"/>
      <c r="O92" s="16"/>
      <c r="P92" s="1"/>
      <c r="Q92" s="1"/>
      <c r="R92" s="1"/>
      <c r="S92" s="1"/>
      <c r="T92" s="1"/>
      <c r="U92" s="1"/>
      <c r="V92" s="1"/>
      <c r="W92" s="1"/>
      <c r="X92" s="1"/>
    </row>
    <row r="93" spans="1:24">
      <c r="A93" s="15"/>
      <c r="B93" s="15"/>
      <c r="C93" s="16"/>
      <c r="D93" s="16"/>
      <c r="E93" s="16"/>
      <c r="F93" s="16"/>
      <c r="G93" s="16"/>
      <c r="H93" s="16"/>
      <c r="I93" s="16"/>
      <c r="J93" s="16"/>
      <c r="K93" s="16"/>
      <c r="L93" s="16"/>
      <c r="M93" s="25"/>
      <c r="N93" s="25"/>
      <c r="O93" s="16"/>
      <c r="P93" s="1"/>
      <c r="Q93" s="1"/>
      <c r="R93" s="1"/>
      <c r="S93" s="1"/>
      <c r="T93" s="1"/>
      <c r="U93" s="1"/>
      <c r="V93" s="1"/>
      <c r="W93" s="1"/>
      <c r="X93" s="1"/>
    </row>
    <row r="94" spans="1:24">
      <c r="A94" s="15"/>
      <c r="B94" s="15"/>
      <c r="C94" s="16"/>
      <c r="D94" s="16"/>
      <c r="E94" s="16"/>
      <c r="F94" s="16"/>
      <c r="G94" s="16"/>
      <c r="H94" s="16"/>
      <c r="I94" s="16"/>
      <c r="J94" s="16"/>
      <c r="K94" s="16"/>
      <c r="L94" s="16"/>
      <c r="M94" s="25"/>
      <c r="N94" s="25"/>
      <c r="O94" s="16"/>
      <c r="P94" s="1"/>
      <c r="Q94" s="1"/>
      <c r="R94" s="1"/>
      <c r="S94" s="1"/>
      <c r="T94" s="1"/>
      <c r="U94" s="1"/>
      <c r="V94" s="1"/>
      <c r="W94" s="1"/>
      <c r="X94" s="1"/>
    </row>
    <row r="95" spans="1:24">
      <c r="A95" s="15"/>
      <c r="B95" s="15"/>
      <c r="C95" s="16"/>
      <c r="D95" s="16"/>
      <c r="E95" s="16"/>
      <c r="F95" s="16"/>
      <c r="G95" s="16"/>
      <c r="H95" s="16"/>
      <c r="I95" s="16"/>
      <c r="J95" s="16"/>
      <c r="K95" s="16"/>
      <c r="L95" s="16"/>
      <c r="M95" s="25"/>
      <c r="N95" s="25"/>
      <c r="O95" s="16"/>
      <c r="P95" s="1"/>
      <c r="Q95" s="1"/>
      <c r="R95" s="1"/>
      <c r="S95" s="1"/>
      <c r="T95" s="1"/>
      <c r="U95" s="1"/>
      <c r="V95" s="1"/>
      <c r="W95" s="1"/>
      <c r="X95" s="1"/>
    </row>
    <row r="96" spans="1:24">
      <c r="A96" s="15"/>
      <c r="B96" s="15"/>
      <c r="C96" s="16"/>
      <c r="D96" s="16"/>
      <c r="E96" s="16"/>
      <c r="F96" s="16"/>
      <c r="G96" s="16"/>
      <c r="H96" s="16"/>
      <c r="I96" s="16"/>
      <c r="J96" s="16"/>
      <c r="K96" s="16"/>
      <c r="L96" s="16"/>
      <c r="M96" s="25"/>
      <c r="N96" s="25"/>
      <c r="O96" s="16"/>
      <c r="P96" s="1"/>
      <c r="Q96" s="1"/>
      <c r="R96" s="1"/>
      <c r="S96" s="1"/>
      <c r="T96" s="1"/>
      <c r="U96" s="1"/>
      <c r="V96" s="1"/>
      <c r="W96" s="1"/>
      <c r="X96" s="1"/>
    </row>
    <row r="97" spans="1:24">
      <c r="A97" s="15"/>
      <c r="B97" s="15"/>
      <c r="C97" s="16"/>
      <c r="D97" s="16"/>
      <c r="E97" s="16"/>
      <c r="F97" s="16"/>
      <c r="G97" s="16"/>
      <c r="H97" s="16"/>
      <c r="I97" s="16"/>
      <c r="J97" s="16"/>
      <c r="K97" s="16"/>
      <c r="L97" s="16"/>
      <c r="M97" s="25"/>
      <c r="N97" s="25"/>
      <c r="O97" s="16"/>
      <c r="P97" s="1"/>
      <c r="Q97" s="1"/>
      <c r="R97" s="1"/>
      <c r="S97" s="1"/>
      <c r="T97" s="1"/>
      <c r="U97" s="1"/>
      <c r="V97" s="1"/>
      <c r="W97" s="1"/>
      <c r="X97" s="1"/>
    </row>
    <row r="98" spans="1:24">
      <c r="A98" s="15"/>
      <c r="B98" s="15"/>
      <c r="C98" s="16"/>
      <c r="D98" s="16"/>
      <c r="E98" s="16"/>
      <c r="F98" s="16"/>
      <c r="G98" s="16"/>
      <c r="H98" s="16"/>
      <c r="I98" s="16"/>
      <c r="J98" s="16"/>
      <c r="K98" s="16"/>
      <c r="L98" s="16"/>
      <c r="M98" s="25"/>
      <c r="N98" s="25"/>
      <c r="O98" s="16"/>
      <c r="P98" s="1"/>
      <c r="Q98" s="1"/>
      <c r="R98" s="1"/>
      <c r="S98" s="1"/>
      <c r="T98" s="1"/>
      <c r="U98" s="1"/>
      <c r="V98" s="1"/>
      <c r="W98" s="1"/>
      <c r="X98" s="1"/>
    </row>
    <row r="99" spans="1:24">
      <c r="A99" s="15"/>
      <c r="B99" s="15"/>
      <c r="C99" s="16"/>
      <c r="D99" s="16"/>
      <c r="E99" s="16"/>
      <c r="F99" s="16"/>
      <c r="G99" s="16"/>
      <c r="H99" s="16"/>
      <c r="I99" s="16"/>
      <c r="J99" s="16"/>
      <c r="K99" s="16"/>
      <c r="L99" s="16"/>
      <c r="M99" s="25"/>
      <c r="N99" s="25"/>
      <c r="O99" s="16"/>
      <c r="P99" s="1"/>
      <c r="Q99" s="1"/>
      <c r="R99" s="1"/>
      <c r="S99" s="1"/>
      <c r="T99" s="1"/>
      <c r="U99" s="1"/>
      <c r="V99" s="1"/>
      <c r="W99" s="1"/>
      <c r="X99" s="1"/>
    </row>
    <row r="100" spans="1:24">
      <c r="A100" s="15"/>
      <c r="B100" s="15"/>
      <c r="C100" s="16"/>
      <c r="D100" s="16"/>
      <c r="E100" s="16"/>
      <c r="F100" s="16"/>
      <c r="G100" s="16"/>
      <c r="H100" s="16"/>
      <c r="I100" s="16"/>
      <c r="J100" s="16"/>
      <c r="K100" s="16"/>
      <c r="L100" s="16"/>
      <c r="M100" s="25"/>
      <c r="N100" s="25"/>
      <c r="O100" s="16"/>
      <c r="P100" s="1"/>
      <c r="Q100" s="1"/>
      <c r="R100" s="1"/>
      <c r="S100" s="1"/>
      <c r="T100" s="1"/>
      <c r="U100" s="1"/>
      <c r="V100" s="1"/>
      <c r="W100" s="1"/>
      <c r="X100" s="1"/>
    </row>
    <row r="101" spans="1:24">
      <c r="A101" s="15"/>
      <c r="B101" s="15"/>
      <c r="C101" s="16"/>
      <c r="D101" s="16"/>
      <c r="E101" s="16"/>
      <c r="F101" s="16"/>
      <c r="G101" s="16"/>
      <c r="H101" s="16"/>
      <c r="I101" s="16"/>
      <c r="J101" s="16"/>
      <c r="K101" s="16"/>
      <c r="L101" s="16"/>
      <c r="M101" s="25"/>
      <c r="N101" s="25"/>
      <c r="O101" s="16"/>
      <c r="P101" s="1"/>
      <c r="Q101" s="1"/>
      <c r="R101" s="1"/>
      <c r="S101" s="1"/>
      <c r="T101" s="1"/>
      <c r="U101" s="1"/>
      <c r="V101" s="1"/>
      <c r="W101" s="1"/>
      <c r="X101" s="1"/>
    </row>
    <row r="102" spans="1:24">
      <c r="A102" s="15"/>
      <c r="B102" s="15"/>
      <c r="C102" s="16"/>
      <c r="D102" s="16"/>
      <c r="E102" s="16"/>
      <c r="F102" s="16"/>
      <c r="G102" s="16"/>
      <c r="H102" s="16"/>
      <c r="I102" s="16"/>
      <c r="J102" s="16"/>
      <c r="K102" s="16"/>
      <c r="L102" s="16"/>
      <c r="M102" s="25"/>
      <c r="N102" s="25"/>
      <c r="O102" s="16"/>
      <c r="P102" s="1"/>
      <c r="Q102" s="1"/>
      <c r="R102" s="1"/>
      <c r="S102" s="1"/>
      <c r="T102" s="1"/>
      <c r="U102" s="1"/>
      <c r="V102" s="1"/>
      <c r="W102" s="1"/>
      <c r="X102" s="1"/>
    </row>
    <row r="103" spans="1:24">
      <c r="A103" s="15"/>
      <c r="B103" s="15"/>
      <c r="C103" s="16"/>
      <c r="D103" s="16"/>
      <c r="E103" s="16"/>
      <c r="F103" s="16"/>
      <c r="G103" s="16"/>
      <c r="H103" s="16"/>
      <c r="I103" s="16"/>
      <c r="J103" s="16"/>
      <c r="K103" s="16"/>
      <c r="L103" s="16"/>
      <c r="M103" s="25"/>
      <c r="N103" s="25"/>
      <c r="O103" s="16"/>
      <c r="P103" s="1"/>
      <c r="Q103" s="1"/>
      <c r="R103" s="1"/>
      <c r="S103" s="1"/>
      <c r="T103" s="1"/>
      <c r="U103" s="1"/>
      <c r="V103" s="1"/>
      <c r="W103" s="1"/>
      <c r="X103" s="1"/>
    </row>
    <row r="104" spans="1:24">
      <c r="A104" s="15"/>
      <c r="B104" s="15"/>
      <c r="C104" s="16"/>
      <c r="D104" s="16"/>
      <c r="E104" s="16"/>
      <c r="F104" s="16"/>
      <c r="G104" s="16"/>
      <c r="H104" s="16"/>
      <c r="I104" s="16"/>
      <c r="J104" s="16"/>
      <c r="K104" s="16"/>
      <c r="L104" s="16"/>
      <c r="M104" s="25"/>
      <c r="N104" s="25"/>
      <c r="O104" s="16"/>
      <c r="P104" s="1"/>
      <c r="Q104" s="1"/>
      <c r="R104" s="1"/>
      <c r="S104" s="1"/>
      <c r="T104" s="1"/>
      <c r="U104" s="1"/>
      <c r="V104" s="1"/>
      <c r="W104" s="1"/>
      <c r="X104" s="1"/>
    </row>
    <row r="105" spans="1:24">
      <c r="A105" s="15"/>
      <c r="B105" s="15"/>
      <c r="C105" s="16"/>
      <c r="D105" s="16"/>
      <c r="E105" s="16"/>
      <c r="F105" s="16"/>
      <c r="G105" s="16"/>
      <c r="H105" s="16"/>
      <c r="I105" s="16"/>
      <c r="J105" s="16"/>
      <c r="K105" s="16"/>
      <c r="L105" s="16"/>
      <c r="M105" s="25"/>
      <c r="N105" s="25"/>
      <c r="O105" s="16"/>
      <c r="P105" s="1"/>
      <c r="Q105" s="1"/>
      <c r="R105" s="1"/>
      <c r="S105" s="1"/>
      <c r="T105" s="1"/>
      <c r="U105" s="1"/>
      <c r="V105" s="1"/>
      <c r="W105" s="1"/>
      <c r="X105" s="1"/>
    </row>
    <row r="106" spans="1:24">
      <c r="A106" s="15"/>
      <c r="B106" s="15"/>
      <c r="C106" s="16"/>
      <c r="D106" s="16"/>
      <c r="E106" s="16"/>
      <c r="F106" s="16"/>
      <c r="G106" s="16"/>
      <c r="H106" s="16"/>
      <c r="I106" s="16"/>
      <c r="J106" s="16"/>
      <c r="K106" s="16"/>
      <c r="L106" s="16"/>
      <c r="M106" s="25"/>
      <c r="N106" s="25"/>
      <c r="O106" s="16"/>
      <c r="P106" s="1"/>
      <c r="Q106" s="1"/>
      <c r="R106" s="1"/>
      <c r="S106" s="1"/>
      <c r="T106" s="1"/>
      <c r="U106" s="1"/>
      <c r="V106" s="1"/>
      <c r="W106" s="1"/>
      <c r="X106" s="1"/>
    </row>
    <row r="107" spans="1:24">
      <c r="A107" s="15"/>
      <c r="B107" s="15"/>
      <c r="C107" s="16"/>
      <c r="D107" s="16"/>
      <c r="E107" s="16"/>
      <c r="F107" s="16"/>
      <c r="G107" s="16"/>
      <c r="H107" s="16"/>
      <c r="I107" s="16"/>
      <c r="J107" s="16"/>
      <c r="K107" s="16"/>
      <c r="L107" s="16"/>
      <c r="M107" s="25"/>
      <c r="N107" s="25"/>
      <c r="O107" s="16"/>
      <c r="P107" s="1"/>
      <c r="Q107" s="1"/>
      <c r="R107" s="1"/>
      <c r="S107" s="1"/>
      <c r="T107" s="1"/>
      <c r="U107" s="1"/>
      <c r="V107" s="1"/>
      <c r="W107" s="1"/>
      <c r="X107" s="1"/>
    </row>
    <row r="108" spans="1:24">
      <c r="A108" s="15"/>
      <c r="B108" s="15"/>
      <c r="C108" s="16"/>
      <c r="D108" s="16"/>
      <c r="E108" s="16"/>
      <c r="F108" s="16"/>
      <c r="G108" s="16"/>
      <c r="H108" s="16"/>
      <c r="I108" s="16"/>
      <c r="J108" s="16"/>
      <c r="K108" s="16"/>
      <c r="L108" s="16"/>
      <c r="M108" s="25"/>
      <c r="N108" s="25"/>
      <c r="O108" s="16"/>
      <c r="P108" s="1"/>
      <c r="Q108" s="1"/>
      <c r="R108" s="1"/>
      <c r="S108" s="1"/>
      <c r="T108" s="1"/>
      <c r="U108" s="1"/>
      <c r="V108" s="1"/>
      <c r="W108" s="1"/>
      <c r="X108" s="1"/>
    </row>
    <row r="109" spans="1:24">
      <c r="A109" s="15"/>
      <c r="B109" s="15"/>
      <c r="C109" s="16"/>
      <c r="D109" s="16"/>
      <c r="E109" s="16"/>
      <c r="F109" s="16"/>
      <c r="G109" s="16"/>
      <c r="H109" s="16"/>
      <c r="I109" s="16"/>
      <c r="J109" s="16"/>
      <c r="K109" s="16"/>
      <c r="L109" s="16"/>
      <c r="M109" s="25"/>
      <c r="N109" s="25"/>
      <c r="O109" s="16"/>
      <c r="P109" s="1"/>
      <c r="Q109" s="1"/>
      <c r="R109" s="1"/>
      <c r="S109" s="1"/>
      <c r="T109" s="1"/>
      <c r="U109" s="1"/>
      <c r="V109" s="1"/>
      <c r="W109" s="1"/>
      <c r="X109" s="1"/>
    </row>
    <row r="110" spans="1:24">
      <c r="A110" s="15"/>
      <c r="B110" s="15"/>
      <c r="C110" s="16"/>
      <c r="D110" s="16"/>
      <c r="E110" s="16"/>
      <c r="F110" s="16"/>
      <c r="G110" s="16"/>
      <c r="H110" s="16"/>
      <c r="I110" s="16"/>
      <c r="J110" s="16"/>
      <c r="K110" s="16"/>
      <c r="L110" s="16"/>
      <c r="M110" s="25"/>
      <c r="N110" s="25"/>
      <c r="O110" s="16"/>
      <c r="P110" s="1"/>
      <c r="Q110" s="1"/>
      <c r="R110" s="1"/>
      <c r="S110" s="1"/>
      <c r="T110" s="1"/>
      <c r="U110" s="1"/>
      <c r="V110" s="1"/>
      <c r="W110" s="1"/>
      <c r="X110" s="1"/>
    </row>
    <row r="111" spans="1:24">
      <c r="A111" s="15"/>
      <c r="B111" s="15"/>
      <c r="C111" s="16"/>
      <c r="D111" s="16"/>
      <c r="E111" s="16"/>
      <c r="F111" s="16"/>
      <c r="G111" s="16"/>
      <c r="H111" s="16"/>
      <c r="I111" s="16"/>
      <c r="J111" s="16"/>
      <c r="K111" s="16"/>
      <c r="L111" s="16"/>
      <c r="M111" s="25"/>
      <c r="N111" s="25"/>
      <c r="O111" s="16"/>
      <c r="P111" s="1"/>
      <c r="Q111" s="1"/>
      <c r="R111" s="1"/>
      <c r="S111" s="1"/>
      <c r="T111" s="1"/>
      <c r="U111" s="1"/>
      <c r="V111" s="1"/>
      <c r="W111" s="1"/>
      <c r="X111" s="1"/>
    </row>
    <row r="112" spans="1:24">
      <c r="A112" s="15"/>
      <c r="B112" s="15"/>
      <c r="C112" s="16"/>
      <c r="D112" s="16"/>
      <c r="E112" s="16"/>
      <c r="F112" s="16"/>
      <c r="G112" s="16"/>
      <c r="H112" s="16"/>
      <c r="I112" s="16"/>
      <c r="J112" s="16"/>
      <c r="K112" s="16"/>
      <c r="L112" s="16"/>
      <c r="M112" s="25"/>
      <c r="N112" s="25"/>
      <c r="O112" s="16"/>
      <c r="P112" s="1"/>
      <c r="Q112" s="1"/>
      <c r="R112" s="1"/>
      <c r="S112" s="1"/>
      <c r="T112" s="1"/>
      <c r="U112" s="1"/>
      <c r="V112" s="1"/>
      <c r="W112" s="1"/>
      <c r="X112" s="1"/>
    </row>
    <row r="113" spans="1:24">
      <c r="A113" s="15"/>
      <c r="B113" s="15"/>
      <c r="C113" s="16"/>
      <c r="D113" s="16"/>
      <c r="E113" s="16"/>
      <c r="F113" s="16"/>
      <c r="G113" s="16"/>
      <c r="H113" s="16"/>
      <c r="I113" s="16"/>
      <c r="J113" s="16"/>
      <c r="K113" s="16"/>
      <c r="L113" s="16"/>
      <c r="M113" s="25"/>
      <c r="N113" s="25"/>
      <c r="O113" s="16"/>
      <c r="P113" s="1"/>
      <c r="Q113" s="1"/>
      <c r="R113" s="1"/>
      <c r="S113" s="1"/>
      <c r="T113" s="1"/>
      <c r="U113" s="1"/>
      <c r="V113" s="1"/>
      <c r="W113" s="1"/>
      <c r="X113" s="1"/>
    </row>
    <row r="114" spans="1:24">
      <c r="A114" s="15"/>
      <c r="B114" s="15"/>
      <c r="C114" s="16"/>
      <c r="D114" s="16"/>
      <c r="E114" s="16"/>
      <c r="F114" s="16"/>
      <c r="G114" s="16"/>
      <c r="H114" s="16"/>
      <c r="I114" s="16"/>
      <c r="J114" s="16"/>
      <c r="K114" s="16"/>
      <c r="L114" s="16"/>
      <c r="M114" s="25"/>
      <c r="N114" s="25"/>
      <c r="O114" s="16"/>
      <c r="P114" s="1"/>
      <c r="Q114" s="1"/>
      <c r="R114" s="1"/>
      <c r="S114" s="1"/>
      <c r="T114" s="1"/>
      <c r="U114" s="1"/>
      <c r="V114" s="1"/>
      <c r="W114" s="1"/>
      <c r="X114" s="1"/>
    </row>
    <row r="115" spans="1:24">
      <c r="A115" s="15"/>
      <c r="B115" s="15"/>
      <c r="C115" s="16"/>
      <c r="D115" s="16"/>
      <c r="E115" s="16"/>
      <c r="F115" s="16"/>
      <c r="G115" s="16"/>
      <c r="H115" s="16"/>
      <c r="I115" s="16"/>
      <c r="J115" s="16"/>
      <c r="K115" s="16"/>
      <c r="L115" s="16"/>
      <c r="M115" s="25"/>
      <c r="N115" s="25"/>
      <c r="O115" s="16"/>
      <c r="P115" s="1"/>
      <c r="Q115" s="1"/>
      <c r="R115" s="1"/>
      <c r="S115" s="1"/>
      <c r="T115" s="1"/>
      <c r="U115" s="1"/>
      <c r="V115" s="1"/>
      <c r="W115" s="1"/>
      <c r="X115" s="1"/>
    </row>
    <row r="116" spans="1:24">
      <c r="A116" s="15"/>
      <c r="B116" s="15"/>
      <c r="C116" s="16"/>
      <c r="D116" s="16"/>
      <c r="E116" s="16"/>
      <c r="F116" s="16"/>
      <c r="G116" s="16"/>
      <c r="H116" s="16"/>
      <c r="I116" s="16"/>
      <c r="J116" s="16"/>
      <c r="K116" s="16"/>
      <c r="L116" s="16"/>
      <c r="M116" s="25"/>
      <c r="N116" s="25"/>
      <c r="O116" s="16"/>
      <c r="P116" s="1"/>
      <c r="Q116" s="1"/>
      <c r="R116" s="1"/>
      <c r="S116" s="1"/>
      <c r="T116" s="1"/>
      <c r="U116" s="1"/>
      <c r="V116" s="1"/>
      <c r="W116" s="1"/>
      <c r="X116" s="1"/>
    </row>
    <row r="117" spans="1:24">
      <c r="A117" s="15"/>
      <c r="B117" s="15"/>
      <c r="C117" s="16"/>
      <c r="D117" s="16"/>
      <c r="E117" s="16"/>
      <c r="F117" s="16"/>
      <c r="G117" s="16"/>
      <c r="H117" s="16"/>
      <c r="I117" s="16"/>
      <c r="J117" s="16"/>
      <c r="K117" s="16"/>
      <c r="L117" s="16"/>
      <c r="M117" s="25"/>
      <c r="N117" s="25"/>
      <c r="O117" s="16"/>
      <c r="P117" s="1"/>
      <c r="Q117" s="1"/>
      <c r="R117" s="1"/>
      <c r="S117" s="1"/>
      <c r="T117" s="1"/>
      <c r="U117" s="1"/>
      <c r="V117" s="1"/>
      <c r="W117" s="1"/>
      <c r="X117" s="1"/>
    </row>
    <row r="118" spans="1:24">
      <c r="A118" s="15"/>
      <c r="B118" s="15"/>
      <c r="C118" s="16"/>
      <c r="D118" s="16"/>
      <c r="E118" s="16"/>
      <c r="F118" s="16"/>
      <c r="G118" s="16"/>
      <c r="H118" s="16"/>
      <c r="I118" s="16"/>
      <c r="J118" s="16"/>
      <c r="K118" s="16"/>
      <c r="L118" s="16"/>
      <c r="M118" s="25"/>
      <c r="N118" s="25"/>
      <c r="O118" s="16"/>
      <c r="P118" s="1"/>
      <c r="Q118" s="1"/>
      <c r="R118" s="1"/>
      <c r="S118" s="1"/>
      <c r="T118" s="1"/>
      <c r="U118" s="1"/>
      <c r="V118" s="1"/>
      <c r="W118" s="1"/>
      <c r="X118" s="1"/>
    </row>
    <row r="119" spans="1:24">
      <c r="A119" s="15"/>
      <c r="B119" s="15"/>
      <c r="C119" s="16"/>
      <c r="D119" s="16"/>
      <c r="E119" s="16"/>
      <c r="F119" s="16"/>
      <c r="G119" s="16"/>
      <c r="H119" s="16"/>
      <c r="I119" s="16"/>
      <c r="J119" s="16"/>
      <c r="K119" s="16"/>
      <c r="L119" s="16"/>
      <c r="M119" s="25"/>
      <c r="N119" s="25"/>
      <c r="O119" s="16"/>
      <c r="P119" s="1"/>
      <c r="Q119" s="1"/>
      <c r="R119" s="1"/>
      <c r="S119" s="1"/>
      <c r="T119" s="1"/>
      <c r="U119" s="1"/>
      <c r="V119" s="1"/>
      <c r="W119" s="1"/>
      <c r="X119" s="1"/>
    </row>
    <row r="120" spans="1:24">
      <c r="A120" s="15"/>
      <c r="B120" s="15"/>
      <c r="C120" s="16"/>
      <c r="D120" s="16"/>
      <c r="E120" s="16"/>
      <c r="F120" s="16"/>
      <c r="G120" s="16"/>
      <c r="H120" s="16"/>
      <c r="I120" s="16"/>
      <c r="J120" s="16"/>
      <c r="K120" s="16"/>
      <c r="L120" s="16"/>
      <c r="M120" s="25"/>
      <c r="N120" s="25"/>
      <c r="O120" s="16"/>
      <c r="P120" s="1"/>
      <c r="Q120" s="1"/>
      <c r="R120" s="1"/>
      <c r="S120" s="1"/>
      <c r="T120" s="1"/>
      <c r="U120" s="1"/>
      <c r="V120" s="1"/>
      <c r="W120" s="1"/>
      <c r="X120" s="1"/>
    </row>
    <row r="121" spans="1:24">
      <c r="A121" s="15"/>
      <c r="B121" s="15"/>
      <c r="C121" s="16"/>
      <c r="D121" s="16"/>
      <c r="E121" s="16"/>
      <c r="F121" s="16"/>
      <c r="G121" s="16"/>
      <c r="H121" s="16"/>
      <c r="I121" s="16"/>
      <c r="J121" s="16"/>
      <c r="K121" s="16"/>
      <c r="L121" s="16"/>
      <c r="M121" s="25"/>
      <c r="N121" s="25"/>
      <c r="O121" s="16"/>
      <c r="P121" s="1"/>
      <c r="Q121" s="1"/>
      <c r="R121" s="1"/>
      <c r="S121" s="1"/>
      <c r="T121" s="1"/>
      <c r="U121" s="1"/>
      <c r="V121" s="1"/>
      <c r="W121" s="1"/>
      <c r="X121" s="1"/>
    </row>
    <row r="122" spans="1:24">
      <c r="A122" s="15"/>
      <c r="B122" s="15"/>
      <c r="C122" s="16"/>
      <c r="D122" s="16"/>
      <c r="E122" s="16"/>
      <c r="F122" s="16"/>
      <c r="G122" s="16"/>
      <c r="H122" s="16"/>
      <c r="I122" s="16"/>
      <c r="J122" s="16"/>
      <c r="K122" s="16"/>
      <c r="L122" s="16"/>
      <c r="M122" s="25"/>
      <c r="N122" s="25"/>
      <c r="O122" s="16"/>
      <c r="P122" s="1"/>
      <c r="Q122" s="1"/>
      <c r="R122" s="1"/>
      <c r="S122" s="1"/>
      <c r="T122" s="1"/>
      <c r="U122" s="1"/>
      <c r="V122" s="1"/>
      <c r="W122" s="1"/>
      <c r="X122" s="1"/>
    </row>
    <row r="123" spans="1:24">
      <c r="A123" s="15"/>
      <c r="B123" s="15"/>
      <c r="C123" s="16"/>
      <c r="D123" s="16"/>
      <c r="E123" s="16"/>
      <c r="F123" s="16"/>
      <c r="G123" s="16"/>
      <c r="H123" s="16"/>
      <c r="I123" s="16"/>
      <c r="J123" s="16"/>
      <c r="K123" s="16"/>
      <c r="L123" s="16"/>
      <c r="M123" s="25"/>
      <c r="N123" s="25"/>
      <c r="O123" s="16"/>
      <c r="P123" s="1"/>
      <c r="Q123" s="1"/>
      <c r="R123" s="1"/>
      <c r="S123" s="1"/>
      <c r="T123" s="1"/>
      <c r="U123" s="1"/>
      <c r="V123" s="1"/>
      <c r="W123" s="1"/>
      <c r="X123" s="1"/>
    </row>
    <row r="124" spans="1:24">
      <c r="A124" s="15"/>
      <c r="B124" s="15"/>
      <c r="C124" s="16"/>
      <c r="D124" s="16"/>
      <c r="E124" s="16"/>
      <c r="F124" s="16"/>
      <c r="G124" s="16"/>
      <c r="H124" s="16"/>
      <c r="I124" s="16"/>
      <c r="J124" s="16"/>
      <c r="K124" s="16"/>
      <c r="L124" s="16"/>
      <c r="M124" s="25"/>
      <c r="N124" s="25"/>
      <c r="O124" s="16"/>
      <c r="P124" s="1"/>
      <c r="Q124" s="1"/>
      <c r="R124" s="1"/>
      <c r="S124" s="1"/>
      <c r="T124" s="1"/>
      <c r="U124" s="1"/>
      <c r="V124" s="1"/>
      <c r="W124" s="1"/>
      <c r="X124" s="1"/>
    </row>
    <row r="125" spans="1:24">
      <c r="A125" s="15"/>
      <c r="B125" s="15"/>
      <c r="C125" s="16"/>
      <c r="D125" s="16"/>
      <c r="E125" s="16"/>
      <c r="F125" s="16"/>
      <c r="G125" s="16"/>
      <c r="H125" s="16"/>
      <c r="I125" s="16"/>
      <c r="J125" s="16"/>
      <c r="K125" s="16"/>
      <c r="L125" s="16"/>
      <c r="M125" s="25"/>
      <c r="N125" s="25"/>
      <c r="O125" s="16"/>
      <c r="P125" s="1"/>
      <c r="Q125" s="1"/>
      <c r="R125" s="1"/>
      <c r="S125" s="1"/>
      <c r="T125" s="1"/>
      <c r="U125" s="1"/>
      <c r="V125" s="1"/>
      <c r="W125" s="1"/>
      <c r="X125" s="1"/>
    </row>
    <row r="126" spans="1:24">
      <c r="A126" s="15"/>
      <c r="B126" s="15"/>
      <c r="C126" s="16"/>
      <c r="D126" s="16"/>
      <c r="E126" s="16"/>
      <c r="F126" s="16"/>
      <c r="G126" s="16"/>
      <c r="H126" s="16"/>
      <c r="I126" s="16"/>
      <c r="J126" s="16"/>
      <c r="K126" s="16"/>
      <c r="L126" s="16"/>
      <c r="M126" s="25"/>
      <c r="N126" s="25"/>
      <c r="O126" s="16"/>
      <c r="P126" s="1"/>
      <c r="Q126" s="1"/>
      <c r="R126" s="1"/>
      <c r="S126" s="1"/>
      <c r="T126" s="1"/>
      <c r="U126" s="1"/>
      <c r="V126" s="1"/>
      <c r="W126" s="1"/>
      <c r="X126" s="1"/>
    </row>
    <row r="127" spans="1:24">
      <c r="A127" s="15"/>
      <c r="B127" s="15"/>
      <c r="C127" s="16"/>
      <c r="D127" s="16"/>
      <c r="E127" s="16"/>
      <c r="F127" s="16"/>
      <c r="G127" s="16"/>
      <c r="H127" s="16"/>
      <c r="I127" s="16"/>
      <c r="J127" s="16"/>
      <c r="K127" s="16"/>
      <c r="L127" s="16"/>
      <c r="M127" s="25"/>
      <c r="N127" s="25"/>
      <c r="O127" s="16"/>
      <c r="P127" s="1"/>
      <c r="Q127" s="1"/>
      <c r="R127" s="1"/>
      <c r="S127" s="1"/>
      <c r="T127" s="1"/>
      <c r="U127" s="1"/>
      <c r="V127" s="1"/>
      <c r="W127" s="1"/>
      <c r="X127" s="1"/>
    </row>
    <row r="128" spans="1:24">
      <c r="A128" s="15"/>
      <c r="B128" s="15"/>
      <c r="C128" s="16"/>
      <c r="D128" s="16"/>
      <c r="E128" s="16"/>
      <c r="F128" s="16"/>
      <c r="G128" s="16"/>
      <c r="H128" s="16"/>
      <c r="I128" s="16"/>
      <c r="J128" s="16"/>
      <c r="K128" s="16"/>
      <c r="L128" s="16"/>
      <c r="M128" s="25"/>
      <c r="N128" s="25"/>
      <c r="O128" s="16"/>
      <c r="P128" s="1"/>
      <c r="Q128" s="1"/>
      <c r="R128" s="1"/>
      <c r="S128" s="1"/>
      <c r="T128" s="1"/>
      <c r="U128" s="1"/>
      <c r="V128" s="1"/>
      <c r="W128" s="1"/>
      <c r="X128" s="1"/>
    </row>
    <row r="129" spans="1:24">
      <c r="A129" s="15"/>
      <c r="B129" s="15"/>
      <c r="C129" s="16"/>
      <c r="D129" s="16"/>
      <c r="E129" s="16"/>
      <c r="F129" s="16"/>
      <c r="G129" s="16"/>
      <c r="H129" s="16"/>
      <c r="I129" s="16"/>
      <c r="J129" s="16"/>
      <c r="K129" s="16"/>
      <c r="L129" s="16"/>
      <c r="M129" s="25"/>
      <c r="N129" s="25"/>
      <c r="O129" s="16"/>
      <c r="P129" s="1"/>
      <c r="Q129" s="1"/>
      <c r="R129" s="1"/>
      <c r="S129" s="1"/>
      <c r="T129" s="1"/>
      <c r="U129" s="1"/>
      <c r="V129" s="1"/>
      <c r="W129" s="1"/>
      <c r="X129" s="1"/>
    </row>
    <row r="130" spans="1:24">
      <c r="A130" s="15"/>
      <c r="B130" s="15"/>
      <c r="C130" s="16"/>
      <c r="D130" s="16"/>
      <c r="E130" s="16"/>
      <c r="F130" s="16"/>
      <c r="G130" s="16"/>
      <c r="H130" s="16"/>
      <c r="I130" s="16"/>
      <c r="J130" s="16"/>
      <c r="K130" s="16"/>
      <c r="L130" s="16"/>
      <c r="M130" s="25"/>
      <c r="N130" s="25"/>
      <c r="O130" s="16"/>
      <c r="P130" s="1"/>
      <c r="Q130" s="1"/>
      <c r="R130" s="1"/>
      <c r="S130" s="1"/>
      <c r="T130" s="1"/>
      <c r="U130" s="1"/>
      <c r="V130" s="1"/>
      <c r="W130" s="1"/>
      <c r="X130" s="1"/>
    </row>
    <row r="131" spans="1:24">
      <c r="A131" s="15"/>
      <c r="B131" s="15"/>
      <c r="C131" s="16"/>
      <c r="D131" s="16"/>
      <c r="E131" s="16"/>
      <c r="F131" s="16"/>
      <c r="G131" s="16"/>
      <c r="H131" s="16"/>
      <c r="I131" s="16"/>
      <c r="J131" s="16"/>
      <c r="K131" s="16"/>
      <c r="L131" s="16"/>
      <c r="M131" s="25"/>
      <c r="N131" s="25"/>
      <c r="O131" s="16"/>
      <c r="P131" s="1"/>
      <c r="Q131" s="1"/>
      <c r="R131" s="1"/>
      <c r="S131" s="1"/>
      <c r="T131" s="1"/>
      <c r="U131" s="1"/>
      <c r="V131" s="1"/>
      <c r="W131" s="1"/>
      <c r="X131" s="1"/>
    </row>
    <row r="132" spans="1:24">
      <c r="A132" s="15"/>
      <c r="B132" s="15"/>
      <c r="C132" s="16"/>
      <c r="D132" s="16"/>
      <c r="E132" s="16"/>
      <c r="F132" s="16"/>
      <c r="G132" s="16"/>
      <c r="H132" s="16"/>
      <c r="I132" s="16"/>
      <c r="J132" s="16"/>
      <c r="K132" s="16"/>
      <c r="L132" s="16"/>
      <c r="M132" s="25"/>
      <c r="N132" s="25"/>
      <c r="O132" s="16"/>
      <c r="P132" s="1"/>
      <c r="Q132" s="1"/>
      <c r="R132" s="1"/>
      <c r="S132" s="1"/>
      <c r="T132" s="1"/>
      <c r="U132" s="1"/>
      <c r="V132" s="1"/>
      <c r="W132" s="1"/>
      <c r="X132" s="1"/>
    </row>
    <row r="133" spans="1:24">
      <c r="A133" s="15"/>
      <c r="B133" s="15"/>
      <c r="C133" s="16"/>
      <c r="D133" s="16"/>
      <c r="E133" s="16"/>
      <c r="F133" s="16"/>
      <c r="G133" s="16"/>
      <c r="H133" s="16"/>
      <c r="I133" s="16"/>
      <c r="J133" s="16"/>
      <c r="K133" s="16"/>
      <c r="L133" s="16"/>
      <c r="M133" s="25"/>
      <c r="N133" s="25"/>
      <c r="O133" s="16"/>
      <c r="P133" s="1"/>
      <c r="Q133" s="1"/>
      <c r="R133" s="1"/>
      <c r="S133" s="1"/>
      <c r="T133" s="1"/>
      <c r="U133" s="1"/>
      <c r="V133" s="1"/>
      <c r="W133" s="1"/>
      <c r="X133" s="1"/>
    </row>
    <row r="134" spans="1:24">
      <c r="A134" s="15"/>
      <c r="B134" s="15"/>
      <c r="C134" s="16"/>
      <c r="D134" s="16"/>
      <c r="E134" s="16"/>
      <c r="F134" s="16"/>
      <c r="G134" s="16"/>
      <c r="H134" s="16"/>
      <c r="I134" s="16"/>
      <c r="J134" s="16"/>
      <c r="K134" s="16"/>
      <c r="L134" s="16"/>
      <c r="M134" s="25"/>
      <c r="N134" s="25"/>
      <c r="O134" s="16"/>
      <c r="P134" s="1"/>
      <c r="Q134" s="1"/>
      <c r="R134" s="1"/>
      <c r="S134" s="1"/>
      <c r="T134" s="1"/>
      <c r="U134" s="1"/>
      <c r="V134" s="1"/>
      <c r="W134" s="1"/>
      <c r="X134" s="1"/>
    </row>
    <row r="135" spans="1:24">
      <c r="A135" s="15"/>
      <c r="B135" s="15"/>
      <c r="C135" s="16"/>
      <c r="D135" s="16"/>
      <c r="E135" s="16"/>
      <c r="F135" s="16"/>
      <c r="G135" s="16"/>
      <c r="H135" s="16"/>
      <c r="I135" s="16"/>
      <c r="J135" s="16"/>
      <c r="K135" s="16"/>
      <c r="L135" s="16"/>
      <c r="M135" s="25"/>
      <c r="N135" s="25"/>
      <c r="O135" s="16"/>
      <c r="P135" s="1"/>
      <c r="Q135" s="1"/>
      <c r="R135" s="1"/>
      <c r="S135" s="1"/>
      <c r="T135" s="1"/>
      <c r="U135" s="1"/>
      <c r="V135" s="1"/>
      <c r="W135" s="1"/>
      <c r="X135" s="1"/>
    </row>
    <row r="136" spans="1:24">
      <c r="A136" s="15"/>
      <c r="B136" s="15"/>
      <c r="C136" s="16"/>
      <c r="D136" s="16"/>
      <c r="E136" s="16"/>
      <c r="F136" s="16"/>
      <c r="G136" s="16"/>
      <c r="H136" s="16"/>
      <c r="I136" s="16"/>
      <c r="J136" s="16"/>
      <c r="K136" s="16"/>
      <c r="L136" s="16"/>
      <c r="M136" s="25"/>
      <c r="N136" s="25"/>
      <c r="O136" s="16"/>
      <c r="P136" s="1"/>
      <c r="Q136" s="1"/>
      <c r="R136" s="1"/>
      <c r="S136" s="1"/>
      <c r="T136" s="1"/>
      <c r="U136" s="1"/>
      <c r="V136" s="1"/>
      <c r="W136" s="1"/>
      <c r="X136" s="1"/>
    </row>
    <row r="137" spans="1:24">
      <c r="A137" s="15"/>
      <c r="B137" s="15"/>
      <c r="C137" s="16"/>
      <c r="D137" s="16"/>
      <c r="E137" s="16"/>
      <c r="F137" s="16"/>
      <c r="G137" s="16"/>
      <c r="H137" s="16"/>
      <c r="I137" s="16"/>
      <c r="J137" s="16"/>
      <c r="K137" s="16"/>
      <c r="L137" s="16"/>
      <c r="M137" s="25"/>
      <c r="N137" s="25"/>
      <c r="O137" s="16"/>
      <c r="P137" s="1"/>
      <c r="Q137" s="1"/>
      <c r="R137" s="1"/>
      <c r="S137" s="1"/>
      <c r="T137" s="1"/>
      <c r="U137" s="1"/>
      <c r="V137" s="1"/>
      <c r="W137" s="1"/>
      <c r="X137" s="1"/>
    </row>
    <row r="138" spans="1:24">
      <c r="A138" s="15"/>
      <c r="B138" s="15"/>
      <c r="C138" s="16"/>
      <c r="D138" s="16"/>
      <c r="E138" s="16"/>
      <c r="F138" s="16"/>
      <c r="G138" s="16"/>
      <c r="H138" s="16"/>
      <c r="I138" s="16"/>
      <c r="J138" s="16"/>
      <c r="K138" s="16"/>
      <c r="L138" s="16"/>
      <c r="M138" s="25"/>
      <c r="N138" s="25"/>
      <c r="O138" s="16"/>
      <c r="P138" s="1"/>
      <c r="Q138" s="1"/>
      <c r="R138" s="1"/>
      <c r="S138" s="1"/>
      <c r="T138" s="1"/>
      <c r="U138" s="1"/>
      <c r="V138" s="1"/>
      <c r="W138" s="1"/>
      <c r="X138" s="1"/>
    </row>
    <row r="139" spans="1:24">
      <c r="A139" s="15"/>
      <c r="B139" s="15"/>
      <c r="C139" s="16"/>
      <c r="D139" s="16"/>
      <c r="E139" s="16"/>
      <c r="F139" s="16"/>
      <c r="G139" s="16"/>
      <c r="H139" s="16"/>
      <c r="I139" s="16"/>
      <c r="J139" s="16"/>
      <c r="K139" s="16"/>
      <c r="L139" s="16"/>
      <c r="M139" s="25"/>
      <c r="N139" s="25"/>
      <c r="O139" s="16"/>
      <c r="P139" s="1"/>
      <c r="Q139" s="1"/>
      <c r="R139" s="1"/>
      <c r="S139" s="1"/>
      <c r="T139" s="1"/>
      <c r="U139" s="1"/>
      <c r="V139" s="1"/>
      <c r="W139" s="1"/>
      <c r="X139" s="1"/>
    </row>
    <row r="140" spans="1:24">
      <c r="A140" s="15"/>
      <c r="B140" s="15"/>
      <c r="C140" s="16"/>
      <c r="D140" s="16"/>
      <c r="E140" s="16"/>
      <c r="F140" s="16"/>
      <c r="G140" s="16"/>
      <c r="H140" s="16"/>
      <c r="I140" s="16"/>
      <c r="J140" s="16"/>
      <c r="K140" s="16"/>
      <c r="L140" s="16"/>
      <c r="M140" s="25"/>
      <c r="N140" s="25"/>
      <c r="O140" s="16"/>
      <c r="P140" s="1"/>
      <c r="Q140" s="1"/>
      <c r="R140" s="1"/>
      <c r="S140" s="1"/>
      <c r="T140" s="1"/>
      <c r="U140" s="1"/>
      <c r="V140" s="1"/>
      <c r="W140" s="1"/>
      <c r="X140" s="1"/>
    </row>
    <row r="141" spans="1:24">
      <c r="A141" s="15"/>
      <c r="B141" s="15"/>
      <c r="C141" s="16"/>
      <c r="D141" s="16"/>
      <c r="E141" s="16"/>
      <c r="F141" s="16"/>
      <c r="G141" s="16"/>
      <c r="H141" s="16"/>
      <c r="I141" s="16"/>
      <c r="J141" s="16"/>
      <c r="K141" s="16"/>
      <c r="L141" s="16"/>
      <c r="M141" s="25"/>
      <c r="N141" s="25"/>
      <c r="O141" s="16"/>
      <c r="P141" s="1"/>
      <c r="Q141" s="1"/>
      <c r="R141" s="1"/>
      <c r="S141" s="1"/>
      <c r="T141" s="1"/>
      <c r="U141" s="1"/>
      <c r="V141" s="1"/>
      <c r="W141" s="1"/>
      <c r="X141" s="1"/>
    </row>
    <row r="142" spans="1:24">
      <c r="A142" s="15"/>
      <c r="B142" s="15"/>
      <c r="C142" s="16"/>
      <c r="D142" s="16"/>
      <c r="E142" s="16"/>
      <c r="F142" s="16"/>
      <c r="G142" s="16"/>
      <c r="H142" s="16"/>
      <c r="I142" s="16"/>
      <c r="J142" s="16"/>
      <c r="K142" s="16"/>
      <c r="L142" s="16"/>
      <c r="M142" s="25"/>
      <c r="N142" s="25"/>
      <c r="O142" s="16"/>
      <c r="P142" s="1"/>
      <c r="Q142" s="1"/>
      <c r="R142" s="1"/>
      <c r="S142" s="1"/>
      <c r="T142" s="1"/>
      <c r="U142" s="1"/>
      <c r="V142" s="1"/>
      <c r="W142" s="1"/>
      <c r="X142" s="1"/>
    </row>
    <row r="143" spans="1:24">
      <c r="A143" s="15"/>
      <c r="B143" s="15"/>
      <c r="C143" s="16"/>
      <c r="D143" s="16"/>
      <c r="E143" s="16"/>
      <c r="F143" s="16"/>
      <c r="G143" s="16"/>
      <c r="H143" s="16"/>
      <c r="I143" s="16"/>
      <c r="J143" s="16"/>
      <c r="K143" s="16"/>
      <c r="L143" s="16"/>
      <c r="M143" s="25"/>
      <c r="N143" s="25"/>
      <c r="O143" s="16"/>
      <c r="P143" s="1"/>
      <c r="Q143" s="1"/>
      <c r="R143" s="1"/>
      <c r="S143" s="1"/>
      <c r="T143" s="1"/>
      <c r="U143" s="1"/>
      <c r="V143" s="1"/>
      <c r="W143" s="1"/>
      <c r="X143" s="1"/>
    </row>
    <row r="144" spans="1:24">
      <c r="A144" s="15"/>
      <c r="B144" s="15"/>
      <c r="C144" s="16"/>
      <c r="D144" s="16"/>
      <c r="E144" s="16"/>
      <c r="F144" s="16"/>
      <c r="G144" s="16"/>
      <c r="H144" s="16"/>
      <c r="I144" s="16"/>
      <c r="J144" s="16"/>
      <c r="K144" s="16"/>
      <c r="L144" s="16"/>
      <c r="M144" s="25"/>
      <c r="N144" s="25"/>
      <c r="O144" s="16"/>
      <c r="P144" s="1"/>
      <c r="Q144" s="1"/>
      <c r="R144" s="1"/>
      <c r="S144" s="1"/>
      <c r="T144" s="1"/>
      <c r="U144" s="1"/>
      <c r="V144" s="1"/>
      <c r="W144" s="1"/>
      <c r="X144" s="1"/>
    </row>
    <row r="145" spans="1:24">
      <c r="A145" s="15"/>
      <c r="B145" s="15"/>
      <c r="C145" s="16"/>
      <c r="D145" s="16"/>
      <c r="E145" s="16"/>
      <c r="F145" s="16"/>
      <c r="G145" s="16"/>
      <c r="H145" s="16"/>
      <c r="I145" s="16"/>
      <c r="J145" s="16"/>
      <c r="K145" s="16"/>
      <c r="L145" s="16"/>
      <c r="M145" s="25"/>
      <c r="N145" s="25"/>
      <c r="O145" s="16"/>
      <c r="P145" s="1"/>
      <c r="Q145" s="1"/>
      <c r="R145" s="1"/>
      <c r="S145" s="1"/>
      <c r="T145" s="1"/>
      <c r="U145" s="1"/>
      <c r="V145" s="1"/>
      <c r="W145" s="1"/>
      <c r="X145" s="1"/>
    </row>
    <row r="146" spans="1:24">
      <c r="A146" s="15"/>
      <c r="B146" s="15"/>
      <c r="C146" s="16"/>
      <c r="D146" s="16"/>
      <c r="E146" s="16"/>
      <c r="F146" s="16"/>
      <c r="G146" s="16"/>
      <c r="H146" s="16"/>
      <c r="I146" s="16"/>
      <c r="J146" s="16"/>
      <c r="K146" s="16"/>
      <c r="L146" s="16"/>
      <c r="M146" s="25"/>
      <c r="N146" s="25"/>
      <c r="O146" s="16"/>
      <c r="P146" s="1"/>
      <c r="Q146" s="1"/>
      <c r="R146" s="1"/>
      <c r="S146" s="1"/>
      <c r="T146" s="1"/>
      <c r="U146" s="1"/>
      <c r="V146" s="1"/>
      <c r="W146" s="1"/>
      <c r="X146" s="1"/>
    </row>
    <row r="147" spans="1:24">
      <c r="A147" s="15"/>
      <c r="B147" s="15"/>
      <c r="C147" s="16"/>
      <c r="D147" s="16"/>
      <c r="E147" s="16"/>
      <c r="F147" s="16"/>
      <c r="G147" s="16"/>
      <c r="H147" s="16"/>
      <c r="I147" s="16"/>
      <c r="J147" s="16"/>
      <c r="K147" s="16"/>
      <c r="L147" s="16"/>
      <c r="M147" s="25"/>
      <c r="N147" s="25"/>
      <c r="O147" s="16"/>
      <c r="P147" s="1"/>
      <c r="Q147" s="1"/>
      <c r="R147" s="1"/>
      <c r="S147" s="1"/>
      <c r="T147" s="1"/>
      <c r="U147" s="1"/>
      <c r="V147" s="1"/>
      <c r="W147" s="1"/>
      <c r="X147" s="1"/>
    </row>
    <row r="148" spans="1:24">
      <c r="A148" s="15"/>
      <c r="B148" s="15"/>
      <c r="C148" s="16"/>
      <c r="D148" s="16"/>
      <c r="E148" s="16"/>
      <c r="F148" s="16"/>
      <c r="G148" s="16"/>
      <c r="H148" s="16"/>
      <c r="I148" s="16"/>
      <c r="J148" s="16"/>
      <c r="K148" s="16"/>
      <c r="L148" s="16"/>
      <c r="M148" s="25"/>
      <c r="N148" s="25"/>
      <c r="O148" s="16"/>
      <c r="P148" s="1"/>
      <c r="Q148" s="1"/>
      <c r="R148" s="1"/>
      <c r="S148" s="1"/>
      <c r="T148" s="1"/>
      <c r="U148" s="1"/>
      <c r="V148" s="1"/>
      <c r="W148" s="1"/>
      <c r="X148" s="1"/>
    </row>
    <row r="149" spans="1:24">
      <c r="A149" s="15"/>
      <c r="B149" s="15"/>
      <c r="C149" s="16"/>
      <c r="D149" s="16"/>
      <c r="E149" s="16"/>
      <c r="F149" s="16"/>
      <c r="G149" s="16"/>
      <c r="H149" s="16"/>
      <c r="I149" s="16"/>
      <c r="J149" s="16"/>
      <c r="K149" s="16"/>
      <c r="L149" s="16"/>
      <c r="M149" s="25"/>
      <c r="N149" s="25"/>
      <c r="O149" s="16"/>
      <c r="P149" s="1"/>
      <c r="Q149" s="1"/>
      <c r="R149" s="1"/>
      <c r="S149" s="1"/>
      <c r="T149" s="1"/>
      <c r="U149" s="1"/>
      <c r="V149" s="1"/>
      <c r="W149" s="1"/>
      <c r="X149" s="1"/>
    </row>
    <row r="150" spans="1:24">
      <c r="A150" s="15"/>
      <c r="B150" s="15"/>
      <c r="C150" s="16"/>
      <c r="D150" s="16"/>
      <c r="E150" s="16"/>
      <c r="F150" s="16"/>
      <c r="G150" s="16"/>
      <c r="H150" s="16"/>
      <c r="I150" s="16"/>
      <c r="J150" s="16"/>
      <c r="K150" s="16"/>
      <c r="L150" s="16"/>
      <c r="M150" s="25"/>
      <c r="N150" s="25"/>
      <c r="O150" s="16"/>
      <c r="P150" s="1"/>
      <c r="Q150" s="1"/>
      <c r="R150" s="1"/>
      <c r="S150" s="1"/>
      <c r="T150" s="1"/>
      <c r="U150" s="1"/>
      <c r="V150" s="1"/>
      <c r="W150" s="1"/>
      <c r="X150" s="1"/>
    </row>
    <row r="151" spans="1:24">
      <c r="A151" s="15"/>
      <c r="B151" s="15"/>
      <c r="C151" s="16"/>
      <c r="D151" s="16"/>
      <c r="E151" s="16"/>
      <c r="F151" s="16"/>
      <c r="G151" s="16"/>
      <c r="H151" s="16"/>
      <c r="I151" s="16"/>
      <c r="J151" s="16"/>
      <c r="K151" s="16"/>
      <c r="L151" s="16"/>
      <c r="M151" s="25"/>
      <c r="N151" s="25"/>
      <c r="O151" s="16"/>
      <c r="P151" s="1"/>
      <c r="Q151" s="1"/>
      <c r="R151" s="1"/>
      <c r="S151" s="1"/>
      <c r="T151" s="1"/>
      <c r="U151" s="1"/>
      <c r="V151" s="1"/>
      <c r="W151" s="1"/>
      <c r="X151" s="1"/>
    </row>
    <row r="152" spans="1:24">
      <c r="A152" s="15"/>
      <c r="B152" s="15"/>
      <c r="C152" s="16"/>
      <c r="D152" s="16"/>
      <c r="E152" s="16"/>
      <c r="F152" s="16"/>
      <c r="G152" s="16"/>
      <c r="H152" s="16"/>
      <c r="I152" s="16"/>
      <c r="J152" s="16"/>
      <c r="K152" s="16"/>
      <c r="L152" s="16"/>
      <c r="M152" s="25"/>
      <c r="N152" s="25"/>
      <c r="O152" s="16"/>
      <c r="P152" s="1"/>
      <c r="Q152" s="1"/>
      <c r="R152" s="1"/>
      <c r="S152" s="1"/>
      <c r="T152" s="1"/>
      <c r="U152" s="1"/>
      <c r="V152" s="1"/>
      <c r="W152" s="1"/>
      <c r="X152" s="1"/>
    </row>
    <row r="153" spans="1:24">
      <c r="A153" s="15"/>
      <c r="B153" s="15"/>
      <c r="C153" s="16"/>
      <c r="D153" s="16"/>
      <c r="E153" s="16"/>
      <c r="F153" s="16"/>
      <c r="G153" s="16"/>
      <c r="H153" s="16"/>
      <c r="I153" s="16"/>
      <c r="J153" s="16"/>
      <c r="K153" s="16"/>
      <c r="L153" s="16"/>
      <c r="M153" s="25"/>
      <c r="N153" s="25"/>
      <c r="O153" s="16"/>
      <c r="P153" s="1"/>
      <c r="Q153" s="1"/>
      <c r="R153" s="1"/>
      <c r="S153" s="1"/>
      <c r="T153" s="1"/>
      <c r="U153" s="1"/>
      <c r="V153" s="1"/>
      <c r="W153" s="1"/>
      <c r="X153" s="1"/>
    </row>
    <row r="154" spans="1:24">
      <c r="A154" s="15"/>
      <c r="B154" s="15"/>
      <c r="C154" s="16"/>
      <c r="D154" s="16"/>
      <c r="E154" s="16"/>
      <c r="F154" s="16"/>
      <c r="G154" s="16"/>
      <c r="H154" s="16"/>
      <c r="I154" s="16"/>
      <c r="J154" s="16"/>
      <c r="K154" s="16"/>
      <c r="L154" s="16"/>
      <c r="M154" s="25"/>
      <c r="N154" s="25"/>
      <c r="O154" s="16"/>
      <c r="P154" s="1"/>
      <c r="Q154" s="1"/>
      <c r="R154" s="1"/>
      <c r="S154" s="1"/>
      <c r="T154" s="1"/>
      <c r="U154" s="1"/>
      <c r="V154" s="1"/>
      <c r="W154" s="1"/>
      <c r="X154" s="1"/>
    </row>
    <row r="155" spans="1:24">
      <c r="A155" s="15"/>
      <c r="B155" s="15"/>
      <c r="C155" s="16"/>
      <c r="D155" s="16"/>
      <c r="E155" s="16"/>
      <c r="F155" s="16"/>
      <c r="G155" s="16"/>
      <c r="H155" s="16"/>
      <c r="I155" s="16"/>
      <c r="J155" s="16"/>
      <c r="K155" s="16"/>
      <c r="L155" s="16"/>
      <c r="M155" s="25"/>
      <c r="N155" s="25"/>
      <c r="O155" s="16"/>
      <c r="P155" s="1"/>
      <c r="Q155" s="1"/>
      <c r="R155" s="1"/>
      <c r="S155" s="1"/>
      <c r="T155" s="1"/>
      <c r="U155" s="1"/>
      <c r="V155" s="1"/>
      <c r="W155" s="1"/>
      <c r="X155" s="1"/>
    </row>
    <row r="156" spans="1:24">
      <c r="A156" s="15"/>
      <c r="B156" s="15"/>
      <c r="C156" s="16"/>
      <c r="D156" s="16"/>
      <c r="E156" s="16"/>
      <c r="F156" s="16"/>
      <c r="G156" s="16"/>
      <c r="H156" s="16"/>
      <c r="I156" s="16"/>
      <c r="J156" s="16"/>
      <c r="K156" s="16"/>
      <c r="L156" s="16"/>
      <c r="M156" s="25"/>
      <c r="N156" s="25"/>
      <c r="O156" s="16"/>
      <c r="P156" s="1"/>
      <c r="Q156" s="1"/>
      <c r="R156" s="1"/>
      <c r="S156" s="1"/>
      <c r="T156" s="1"/>
      <c r="U156" s="1"/>
      <c r="V156" s="1"/>
      <c r="W156" s="1"/>
      <c r="X156" s="1"/>
    </row>
    <row r="157" spans="1:24">
      <c r="A157" s="15"/>
      <c r="B157" s="15"/>
      <c r="C157" s="16"/>
      <c r="D157" s="16"/>
      <c r="E157" s="16"/>
      <c r="F157" s="16"/>
      <c r="G157" s="16"/>
      <c r="H157" s="16"/>
      <c r="I157" s="16"/>
      <c r="J157" s="16"/>
      <c r="K157" s="16"/>
      <c r="L157" s="16"/>
      <c r="M157" s="25"/>
      <c r="N157" s="25"/>
      <c r="O157" s="16"/>
      <c r="P157" s="1"/>
      <c r="Q157" s="1"/>
      <c r="R157" s="1"/>
      <c r="S157" s="1"/>
      <c r="T157" s="1"/>
      <c r="U157" s="1"/>
      <c r="V157" s="1"/>
      <c r="W157" s="1"/>
      <c r="X157" s="1"/>
    </row>
    <row r="158" spans="1:24">
      <c r="A158" s="15"/>
      <c r="B158" s="15"/>
      <c r="C158" s="16"/>
      <c r="D158" s="16"/>
      <c r="E158" s="16"/>
      <c r="F158" s="16"/>
      <c r="G158" s="16"/>
      <c r="H158" s="16"/>
      <c r="I158" s="16"/>
      <c r="J158" s="16"/>
      <c r="K158" s="16"/>
      <c r="L158" s="16"/>
      <c r="M158" s="25"/>
      <c r="N158" s="25"/>
      <c r="O158" s="16"/>
      <c r="P158" s="1"/>
      <c r="Q158" s="1"/>
      <c r="R158" s="1"/>
      <c r="S158" s="1"/>
      <c r="T158" s="1"/>
      <c r="U158" s="1"/>
      <c r="V158" s="1"/>
      <c r="W158" s="1"/>
      <c r="X158" s="1"/>
    </row>
    <row r="159" spans="1:24">
      <c r="A159" s="15"/>
      <c r="B159" s="15"/>
      <c r="C159" s="16"/>
      <c r="D159" s="16"/>
      <c r="E159" s="16"/>
      <c r="F159" s="16"/>
      <c r="G159" s="16"/>
      <c r="H159" s="16"/>
      <c r="I159" s="16"/>
      <c r="J159" s="16"/>
      <c r="K159" s="16"/>
      <c r="L159" s="16"/>
      <c r="M159" s="25"/>
      <c r="N159" s="25"/>
      <c r="O159" s="16"/>
      <c r="P159" s="1"/>
      <c r="Q159" s="1"/>
      <c r="R159" s="1"/>
      <c r="S159" s="1"/>
      <c r="T159" s="1"/>
      <c r="U159" s="1"/>
      <c r="V159" s="1"/>
      <c r="W159" s="1"/>
      <c r="X159" s="1"/>
    </row>
    <row r="160" spans="1:24">
      <c r="A160" s="15"/>
      <c r="B160" s="15"/>
      <c r="C160" s="16"/>
      <c r="D160" s="16"/>
      <c r="E160" s="16"/>
      <c r="F160" s="16"/>
      <c r="G160" s="16"/>
      <c r="H160" s="16"/>
      <c r="I160" s="16"/>
      <c r="J160" s="16"/>
      <c r="K160" s="16"/>
      <c r="L160" s="16"/>
      <c r="M160" s="25"/>
      <c r="N160" s="25"/>
      <c r="O160" s="16"/>
      <c r="P160" s="1"/>
      <c r="Q160" s="1"/>
      <c r="R160" s="1"/>
      <c r="S160" s="1"/>
      <c r="T160" s="1"/>
      <c r="U160" s="1"/>
      <c r="V160" s="1"/>
      <c r="W160" s="1"/>
      <c r="X160" s="1"/>
    </row>
    <row r="161" spans="1:24">
      <c r="A161" s="15"/>
      <c r="B161" s="15"/>
      <c r="C161" s="16"/>
      <c r="D161" s="16"/>
      <c r="E161" s="16"/>
      <c r="F161" s="16"/>
      <c r="G161" s="16"/>
      <c r="H161" s="16"/>
      <c r="I161" s="16"/>
      <c r="J161" s="16"/>
      <c r="K161" s="16"/>
      <c r="L161" s="16"/>
      <c r="M161" s="25"/>
      <c r="N161" s="25"/>
      <c r="O161" s="16"/>
      <c r="P161" s="1"/>
      <c r="Q161" s="1"/>
      <c r="R161" s="1"/>
      <c r="S161" s="1"/>
      <c r="T161" s="1"/>
      <c r="U161" s="1"/>
      <c r="V161" s="1"/>
      <c r="W161" s="1"/>
      <c r="X161" s="1"/>
    </row>
    <row r="162" spans="1:24">
      <c r="A162" s="15"/>
      <c r="B162" s="15"/>
      <c r="C162" s="16"/>
      <c r="D162" s="16"/>
      <c r="E162" s="16"/>
      <c r="F162" s="16"/>
      <c r="G162" s="16"/>
      <c r="H162" s="16"/>
      <c r="I162" s="16"/>
      <c r="J162" s="16"/>
      <c r="K162" s="16"/>
      <c r="L162" s="16"/>
      <c r="M162" s="25"/>
      <c r="N162" s="25"/>
      <c r="O162" s="16"/>
      <c r="P162" s="1"/>
      <c r="Q162" s="1"/>
      <c r="R162" s="1"/>
      <c r="S162" s="1"/>
      <c r="T162" s="1"/>
      <c r="U162" s="1"/>
      <c r="V162" s="1"/>
      <c r="W162" s="1"/>
      <c r="X162" s="1"/>
    </row>
    <row r="163" spans="1:24">
      <c r="A163" s="15"/>
      <c r="B163" s="15"/>
      <c r="C163" s="16"/>
      <c r="D163" s="16"/>
      <c r="E163" s="16"/>
      <c r="F163" s="16"/>
      <c r="G163" s="16"/>
      <c r="H163" s="16"/>
      <c r="I163" s="16"/>
      <c r="J163" s="16"/>
      <c r="K163" s="16"/>
      <c r="L163" s="16"/>
      <c r="M163" s="25"/>
      <c r="N163" s="25"/>
      <c r="O163" s="16"/>
      <c r="P163" s="1"/>
      <c r="Q163" s="1"/>
      <c r="R163" s="1"/>
      <c r="S163" s="1"/>
      <c r="T163" s="1"/>
      <c r="U163" s="1"/>
      <c r="V163" s="1"/>
      <c r="W163" s="1"/>
      <c r="X163" s="1"/>
    </row>
    <row r="164" spans="1:24">
      <c r="A164" s="15"/>
      <c r="B164" s="15"/>
      <c r="C164" s="16"/>
      <c r="D164" s="16"/>
      <c r="E164" s="16"/>
      <c r="F164" s="16"/>
      <c r="G164" s="16"/>
      <c r="H164" s="16"/>
      <c r="I164" s="16"/>
      <c r="J164" s="16"/>
      <c r="K164" s="16"/>
      <c r="L164" s="16"/>
      <c r="M164" s="25"/>
      <c r="N164" s="25"/>
      <c r="O164" s="16"/>
      <c r="P164" s="1"/>
      <c r="Q164" s="1"/>
      <c r="R164" s="1"/>
      <c r="S164" s="1"/>
      <c r="T164" s="1"/>
      <c r="U164" s="1"/>
      <c r="V164" s="1"/>
      <c r="W164" s="1"/>
      <c r="X164" s="1"/>
    </row>
    <row r="165" spans="1:24">
      <c r="A165" s="15"/>
      <c r="B165" s="15"/>
      <c r="C165" s="16"/>
      <c r="D165" s="16"/>
      <c r="E165" s="16"/>
      <c r="F165" s="16"/>
      <c r="G165" s="16"/>
      <c r="H165" s="16"/>
      <c r="I165" s="16"/>
      <c r="J165" s="16"/>
      <c r="K165" s="16"/>
      <c r="L165" s="16"/>
      <c r="M165" s="25"/>
      <c r="N165" s="25"/>
      <c r="O165" s="16"/>
      <c r="P165" s="1"/>
      <c r="Q165" s="1"/>
      <c r="R165" s="1"/>
      <c r="S165" s="1"/>
      <c r="T165" s="1"/>
      <c r="U165" s="1"/>
      <c r="V165" s="1"/>
      <c r="W165" s="1"/>
      <c r="X165" s="1"/>
    </row>
    <row r="166" spans="1:24">
      <c r="A166" s="15"/>
      <c r="B166" s="15"/>
      <c r="C166" s="16"/>
      <c r="D166" s="16"/>
      <c r="E166" s="16"/>
      <c r="F166" s="16"/>
      <c r="G166" s="16"/>
      <c r="H166" s="16"/>
      <c r="I166" s="16"/>
      <c r="J166" s="16"/>
      <c r="K166" s="16"/>
      <c r="L166" s="16"/>
      <c r="M166" s="25"/>
      <c r="N166" s="25"/>
      <c r="O166" s="16"/>
      <c r="P166" s="1"/>
      <c r="Q166" s="1"/>
      <c r="R166" s="1"/>
      <c r="S166" s="1"/>
      <c r="T166" s="1"/>
      <c r="U166" s="1"/>
      <c r="V166" s="1"/>
      <c r="W166" s="1"/>
      <c r="X166" s="1"/>
    </row>
    <row r="167" spans="1:24">
      <c r="A167" s="15"/>
      <c r="B167" s="15"/>
      <c r="C167" s="16"/>
      <c r="D167" s="16"/>
      <c r="E167" s="16"/>
      <c r="F167" s="16"/>
      <c r="G167" s="16"/>
      <c r="H167" s="16"/>
      <c r="I167" s="16"/>
      <c r="J167" s="16"/>
      <c r="K167" s="16"/>
      <c r="L167" s="16"/>
      <c r="M167" s="25"/>
      <c r="N167" s="25"/>
      <c r="O167" s="16"/>
      <c r="P167" s="1"/>
      <c r="Q167" s="1"/>
      <c r="R167" s="1"/>
      <c r="S167" s="1"/>
      <c r="T167" s="1"/>
      <c r="U167" s="1"/>
      <c r="V167" s="1"/>
      <c r="W167" s="1"/>
      <c r="X167" s="1"/>
    </row>
    <row r="168" spans="1:24">
      <c r="A168" s="15"/>
      <c r="B168" s="15"/>
      <c r="C168" s="16"/>
      <c r="D168" s="16"/>
      <c r="E168" s="16"/>
      <c r="F168" s="16"/>
      <c r="G168" s="16"/>
      <c r="H168" s="16"/>
      <c r="I168" s="16"/>
      <c r="J168" s="16"/>
      <c r="K168" s="16"/>
      <c r="L168" s="16"/>
      <c r="M168" s="25"/>
      <c r="N168" s="25"/>
      <c r="O168" s="16"/>
      <c r="P168" s="1"/>
      <c r="Q168" s="1"/>
      <c r="R168" s="1"/>
      <c r="S168" s="1"/>
      <c r="T168" s="1"/>
      <c r="U168" s="1"/>
      <c r="V168" s="1"/>
      <c r="W168" s="1"/>
      <c r="X168" s="1"/>
    </row>
    <row r="169" spans="1:24">
      <c r="A169" s="15"/>
      <c r="B169" s="15"/>
      <c r="C169" s="16"/>
      <c r="D169" s="16"/>
      <c r="E169" s="16"/>
      <c r="F169" s="16"/>
      <c r="G169" s="16"/>
      <c r="H169" s="16"/>
      <c r="I169" s="16"/>
      <c r="J169" s="16"/>
      <c r="K169" s="16"/>
      <c r="L169" s="16"/>
      <c r="M169" s="25"/>
      <c r="N169" s="25"/>
      <c r="O169" s="16"/>
      <c r="P169" s="1"/>
      <c r="Q169" s="1"/>
      <c r="R169" s="1"/>
      <c r="S169" s="1"/>
      <c r="T169" s="1"/>
      <c r="U169" s="1"/>
      <c r="V169" s="1"/>
      <c r="W169" s="1"/>
      <c r="X169" s="1"/>
    </row>
    <row r="170" spans="1:24">
      <c r="A170" s="15"/>
      <c r="B170" s="15"/>
      <c r="C170" s="16"/>
      <c r="D170" s="16"/>
      <c r="E170" s="16"/>
      <c r="F170" s="16"/>
      <c r="G170" s="16"/>
      <c r="H170" s="16"/>
      <c r="I170" s="16"/>
      <c r="J170" s="16"/>
      <c r="K170" s="16"/>
      <c r="L170" s="16"/>
      <c r="M170" s="25"/>
      <c r="N170" s="25"/>
      <c r="O170" s="16"/>
      <c r="P170" s="1"/>
      <c r="Q170" s="1"/>
      <c r="R170" s="1"/>
      <c r="S170" s="1"/>
      <c r="T170" s="1"/>
      <c r="U170" s="1"/>
      <c r="V170" s="1"/>
      <c r="W170" s="1"/>
      <c r="X170" s="1"/>
    </row>
    <row r="171" spans="1:24">
      <c r="A171" s="15"/>
      <c r="B171" s="15"/>
      <c r="C171" s="16"/>
      <c r="D171" s="16"/>
      <c r="E171" s="16"/>
      <c r="F171" s="16"/>
      <c r="G171" s="16"/>
      <c r="H171" s="16"/>
      <c r="I171" s="16"/>
      <c r="J171" s="16"/>
      <c r="K171" s="16"/>
      <c r="L171" s="16"/>
      <c r="M171" s="25"/>
      <c r="N171" s="25"/>
      <c r="O171" s="16"/>
      <c r="P171" s="1"/>
      <c r="Q171" s="1"/>
      <c r="R171" s="1"/>
      <c r="S171" s="1"/>
      <c r="T171" s="1"/>
      <c r="U171" s="1"/>
      <c r="V171" s="1"/>
      <c r="W171" s="1"/>
      <c r="X171" s="1"/>
    </row>
    <row r="172" spans="1:24">
      <c r="A172" s="15"/>
      <c r="B172" s="15"/>
      <c r="C172" s="16"/>
      <c r="D172" s="16"/>
      <c r="E172" s="16"/>
      <c r="F172" s="16"/>
      <c r="G172" s="16"/>
      <c r="H172" s="16"/>
      <c r="I172" s="16"/>
      <c r="J172" s="16"/>
      <c r="K172" s="16"/>
      <c r="L172" s="16"/>
      <c r="M172" s="25"/>
      <c r="N172" s="25"/>
      <c r="O172" s="16"/>
      <c r="P172" s="1"/>
      <c r="Q172" s="1"/>
      <c r="R172" s="1"/>
      <c r="S172" s="1"/>
      <c r="T172" s="1"/>
      <c r="U172" s="1"/>
      <c r="V172" s="1"/>
      <c r="W172" s="1"/>
      <c r="X172" s="1"/>
    </row>
    <row r="173" spans="1:24">
      <c r="A173" s="15"/>
      <c r="B173" s="15"/>
      <c r="C173" s="16"/>
      <c r="D173" s="16"/>
      <c r="E173" s="16"/>
      <c r="F173" s="16"/>
      <c r="G173" s="16"/>
      <c r="H173" s="16"/>
      <c r="I173" s="16"/>
      <c r="J173" s="16"/>
      <c r="K173" s="16"/>
      <c r="L173" s="16"/>
      <c r="M173" s="25"/>
      <c r="N173" s="25"/>
      <c r="O173" s="16"/>
      <c r="P173" s="1"/>
      <c r="Q173" s="1"/>
      <c r="R173" s="1"/>
      <c r="S173" s="1"/>
      <c r="T173" s="1"/>
      <c r="U173" s="1"/>
      <c r="V173" s="1"/>
      <c r="W173" s="1"/>
      <c r="X173" s="1"/>
    </row>
    <row r="174" spans="1:24">
      <c r="A174" s="15"/>
      <c r="B174" s="15"/>
      <c r="C174" s="16"/>
      <c r="D174" s="16"/>
      <c r="E174" s="16"/>
      <c r="F174" s="16"/>
      <c r="G174" s="16"/>
      <c r="H174" s="16"/>
      <c r="I174" s="16"/>
      <c r="J174" s="16"/>
      <c r="K174" s="16"/>
      <c r="L174" s="16"/>
      <c r="M174" s="25"/>
      <c r="N174" s="25"/>
      <c r="O174" s="16"/>
      <c r="P174" s="1"/>
      <c r="Q174" s="1"/>
      <c r="R174" s="1"/>
      <c r="S174" s="1"/>
      <c r="T174" s="1"/>
      <c r="U174" s="1"/>
      <c r="V174" s="1"/>
      <c r="W174" s="1"/>
      <c r="X174" s="1"/>
    </row>
    <row r="175" spans="1:24">
      <c r="A175" s="15"/>
      <c r="B175" s="15"/>
      <c r="C175" s="16"/>
      <c r="D175" s="16"/>
      <c r="E175" s="16"/>
      <c r="F175" s="16"/>
      <c r="G175" s="16"/>
      <c r="H175" s="16"/>
      <c r="I175" s="16"/>
      <c r="J175" s="16"/>
      <c r="K175" s="16"/>
      <c r="L175" s="16"/>
      <c r="M175" s="25"/>
      <c r="N175" s="25"/>
      <c r="O175" s="16"/>
      <c r="P175" s="1"/>
      <c r="Q175" s="1"/>
      <c r="R175" s="1"/>
      <c r="S175" s="1"/>
      <c r="T175" s="1"/>
      <c r="U175" s="1"/>
      <c r="V175" s="1"/>
      <c r="W175" s="1"/>
      <c r="X175" s="1"/>
    </row>
    <row r="176" spans="1:24">
      <c r="A176" s="15"/>
      <c r="B176" s="15"/>
      <c r="C176" s="16"/>
      <c r="D176" s="16"/>
      <c r="E176" s="16"/>
      <c r="F176" s="16"/>
      <c r="G176" s="16"/>
      <c r="H176" s="16"/>
      <c r="I176" s="16"/>
      <c r="J176" s="16"/>
      <c r="K176" s="16"/>
      <c r="L176" s="16"/>
      <c r="M176" s="25"/>
      <c r="N176" s="25"/>
      <c r="O176" s="16"/>
      <c r="P176" s="1"/>
      <c r="Q176" s="1"/>
      <c r="R176" s="1"/>
      <c r="S176" s="1"/>
      <c r="T176" s="1"/>
      <c r="U176" s="1"/>
      <c r="V176" s="1"/>
      <c r="W176" s="1"/>
      <c r="X176" s="1"/>
    </row>
    <row r="177" spans="1:24">
      <c r="A177" s="15"/>
      <c r="B177" s="15"/>
      <c r="C177" s="16"/>
      <c r="D177" s="16"/>
      <c r="E177" s="16"/>
      <c r="F177" s="16"/>
      <c r="G177" s="16"/>
      <c r="H177" s="16"/>
      <c r="I177" s="16"/>
      <c r="J177" s="16"/>
      <c r="K177" s="16"/>
      <c r="L177" s="16"/>
      <c r="M177" s="25"/>
      <c r="N177" s="25"/>
      <c r="O177" s="16"/>
      <c r="P177" s="1"/>
      <c r="Q177" s="1"/>
      <c r="R177" s="1"/>
      <c r="S177" s="1"/>
      <c r="T177" s="1"/>
      <c r="U177" s="1"/>
      <c r="V177" s="1"/>
      <c r="W177" s="1"/>
      <c r="X177" s="1"/>
    </row>
    <row r="178" spans="1:24">
      <c r="A178" s="15"/>
      <c r="B178" s="15"/>
      <c r="C178" s="16"/>
      <c r="D178" s="16"/>
      <c r="E178" s="16"/>
      <c r="F178" s="16"/>
      <c r="G178" s="16"/>
      <c r="H178" s="16"/>
      <c r="I178" s="16"/>
      <c r="J178" s="16"/>
      <c r="K178" s="16"/>
      <c r="L178" s="16"/>
      <c r="M178" s="25"/>
      <c r="N178" s="25"/>
      <c r="O178" s="16"/>
      <c r="P178" s="1"/>
      <c r="Q178" s="1"/>
      <c r="R178" s="1"/>
      <c r="S178" s="1"/>
      <c r="T178" s="1"/>
      <c r="U178" s="1"/>
      <c r="V178" s="1"/>
      <c r="W178" s="1"/>
      <c r="X178" s="1"/>
    </row>
    <row r="179" spans="1:24">
      <c r="A179" s="15"/>
      <c r="B179" s="15"/>
      <c r="C179" s="16"/>
      <c r="D179" s="16"/>
      <c r="E179" s="16"/>
      <c r="F179" s="16"/>
      <c r="G179" s="16"/>
      <c r="H179" s="16"/>
      <c r="I179" s="16"/>
      <c r="J179" s="16"/>
      <c r="K179" s="16"/>
      <c r="L179" s="16"/>
      <c r="M179" s="25"/>
      <c r="N179" s="25"/>
      <c r="O179" s="16"/>
      <c r="P179" s="1"/>
      <c r="Q179" s="1"/>
      <c r="R179" s="1"/>
      <c r="S179" s="1"/>
      <c r="T179" s="1"/>
      <c r="U179" s="1"/>
      <c r="V179" s="1"/>
      <c r="W179" s="1"/>
      <c r="X179" s="1"/>
    </row>
    <row r="180" spans="1:24">
      <c r="A180" s="15"/>
      <c r="B180" s="15"/>
      <c r="C180" s="16"/>
      <c r="D180" s="16"/>
      <c r="E180" s="16"/>
      <c r="F180" s="16"/>
      <c r="G180" s="16"/>
      <c r="H180" s="16"/>
      <c r="I180" s="16"/>
      <c r="J180" s="16"/>
      <c r="K180" s="16"/>
      <c r="L180" s="16"/>
      <c r="M180" s="25"/>
      <c r="N180" s="25"/>
      <c r="O180" s="16"/>
      <c r="P180" s="1"/>
      <c r="Q180" s="1"/>
      <c r="R180" s="1"/>
      <c r="S180" s="1"/>
      <c r="T180" s="1"/>
      <c r="U180" s="1"/>
      <c r="V180" s="1"/>
      <c r="W180" s="1"/>
      <c r="X180" s="1"/>
    </row>
    <row r="181" spans="1:24">
      <c r="A181" s="15"/>
      <c r="B181" s="15"/>
      <c r="C181" s="16"/>
      <c r="D181" s="16"/>
      <c r="E181" s="16"/>
      <c r="F181" s="16"/>
      <c r="G181" s="16"/>
      <c r="H181" s="16"/>
      <c r="I181" s="16"/>
      <c r="J181" s="16"/>
      <c r="K181" s="16"/>
      <c r="L181" s="16"/>
      <c r="M181" s="25"/>
      <c r="N181" s="25"/>
      <c r="O181" s="16"/>
      <c r="P181" s="1"/>
      <c r="Q181" s="1"/>
      <c r="R181" s="1"/>
      <c r="S181" s="1"/>
      <c r="T181" s="1"/>
      <c r="U181" s="1"/>
      <c r="V181" s="1"/>
      <c r="W181" s="1"/>
      <c r="X181" s="1"/>
    </row>
    <row r="182" spans="1:24">
      <c r="A182" s="15"/>
      <c r="B182" s="15"/>
      <c r="C182" s="16"/>
      <c r="D182" s="16"/>
      <c r="E182" s="16"/>
      <c r="F182" s="16"/>
      <c r="G182" s="16"/>
      <c r="H182" s="16"/>
      <c r="I182" s="16"/>
      <c r="J182" s="16"/>
      <c r="K182" s="16"/>
      <c r="L182" s="16"/>
      <c r="M182" s="25"/>
      <c r="N182" s="25"/>
      <c r="O182" s="16"/>
      <c r="P182" s="1"/>
      <c r="Q182" s="1"/>
      <c r="R182" s="1"/>
      <c r="S182" s="1"/>
      <c r="T182" s="1"/>
      <c r="U182" s="1"/>
      <c r="V182" s="1"/>
      <c r="W182" s="1"/>
      <c r="X182" s="1"/>
    </row>
    <row r="183" spans="1:24">
      <c r="A183" s="15"/>
      <c r="B183" s="15"/>
      <c r="C183" s="16"/>
      <c r="D183" s="16"/>
      <c r="E183" s="16"/>
      <c r="F183" s="16"/>
      <c r="G183" s="16"/>
      <c r="H183" s="16"/>
      <c r="I183" s="16"/>
      <c r="J183" s="16"/>
      <c r="K183" s="16"/>
      <c r="L183" s="16"/>
      <c r="M183" s="25"/>
      <c r="N183" s="25"/>
      <c r="O183" s="16"/>
      <c r="P183" s="1"/>
      <c r="Q183" s="1"/>
      <c r="R183" s="1"/>
      <c r="S183" s="1"/>
      <c r="T183" s="1"/>
      <c r="U183" s="1"/>
      <c r="V183" s="1"/>
      <c r="W183" s="1"/>
      <c r="X183" s="1"/>
    </row>
    <row r="184" spans="1:24">
      <c r="A184" s="15"/>
      <c r="B184" s="15"/>
      <c r="C184" s="16"/>
      <c r="D184" s="16"/>
      <c r="E184" s="16"/>
      <c r="F184" s="16"/>
      <c r="G184" s="16"/>
      <c r="H184" s="16"/>
      <c r="I184" s="16"/>
      <c r="J184" s="16"/>
      <c r="K184" s="16"/>
      <c r="L184" s="16"/>
      <c r="M184" s="25"/>
      <c r="N184" s="25"/>
      <c r="O184" s="16"/>
      <c r="P184" s="1"/>
      <c r="Q184" s="1"/>
      <c r="R184" s="1"/>
      <c r="S184" s="1"/>
      <c r="T184" s="1"/>
      <c r="U184" s="1"/>
      <c r="V184" s="1"/>
      <c r="W184" s="1"/>
      <c r="X184" s="1"/>
    </row>
    <row r="185" spans="1:24">
      <c r="A185" s="15"/>
      <c r="B185" s="15"/>
      <c r="C185" s="16"/>
      <c r="D185" s="16"/>
      <c r="E185" s="16"/>
      <c r="F185" s="16"/>
      <c r="G185" s="16"/>
      <c r="H185" s="16"/>
      <c r="I185" s="16"/>
      <c r="J185" s="16"/>
      <c r="K185" s="16"/>
      <c r="L185" s="16"/>
      <c r="M185" s="25"/>
      <c r="N185" s="25"/>
      <c r="O185" s="16"/>
      <c r="P185" s="1"/>
      <c r="Q185" s="1"/>
      <c r="R185" s="1"/>
      <c r="S185" s="1"/>
      <c r="T185" s="1"/>
      <c r="U185" s="1"/>
      <c r="V185" s="1"/>
      <c r="W185" s="1"/>
      <c r="X185" s="1"/>
    </row>
    <row r="186" spans="1:24">
      <c r="A186" s="15"/>
      <c r="B186" s="15"/>
      <c r="C186" s="16"/>
      <c r="D186" s="16"/>
      <c r="E186" s="16"/>
      <c r="F186" s="16"/>
      <c r="G186" s="16"/>
      <c r="H186" s="16"/>
      <c r="I186" s="16"/>
      <c r="J186" s="16"/>
      <c r="K186" s="16"/>
      <c r="L186" s="16"/>
      <c r="M186" s="25"/>
      <c r="N186" s="25"/>
      <c r="O186" s="16"/>
      <c r="P186" s="1"/>
      <c r="Q186" s="1"/>
      <c r="R186" s="1"/>
      <c r="S186" s="1"/>
      <c r="T186" s="1"/>
      <c r="U186" s="1"/>
      <c r="V186" s="1"/>
      <c r="W186" s="1"/>
      <c r="X186" s="1"/>
    </row>
    <row r="187" spans="1:24">
      <c r="A187" s="15"/>
      <c r="B187" s="15"/>
      <c r="C187" s="16"/>
      <c r="D187" s="16"/>
      <c r="E187" s="16"/>
      <c r="F187" s="16"/>
      <c r="G187" s="16"/>
      <c r="H187" s="16"/>
      <c r="I187" s="16"/>
      <c r="J187" s="16"/>
      <c r="K187" s="16"/>
      <c r="L187" s="16"/>
      <c r="M187" s="25"/>
      <c r="N187" s="25"/>
      <c r="O187" s="16"/>
      <c r="P187" s="1"/>
      <c r="Q187" s="1"/>
      <c r="R187" s="1"/>
      <c r="S187" s="1"/>
      <c r="T187" s="1"/>
      <c r="U187" s="1"/>
      <c r="V187" s="1"/>
      <c r="W187" s="1"/>
      <c r="X187" s="1"/>
    </row>
    <row r="188" spans="1:24">
      <c r="A188" s="15"/>
      <c r="B188" s="15"/>
      <c r="C188" s="16"/>
      <c r="D188" s="16"/>
      <c r="E188" s="16"/>
      <c r="F188" s="16"/>
      <c r="G188" s="16"/>
      <c r="H188" s="16"/>
      <c r="I188" s="16"/>
      <c r="J188" s="16"/>
      <c r="K188" s="16"/>
      <c r="L188" s="16"/>
      <c r="M188" s="25"/>
      <c r="N188" s="25"/>
      <c r="O188" s="16"/>
      <c r="P188" s="1"/>
      <c r="Q188" s="1"/>
      <c r="R188" s="1"/>
      <c r="S188" s="1"/>
      <c r="T188" s="1"/>
      <c r="U188" s="1"/>
      <c r="V188" s="1"/>
      <c r="W188" s="1"/>
      <c r="X188" s="1"/>
    </row>
    <row r="189" spans="1:24">
      <c r="A189" s="15"/>
      <c r="B189" s="15"/>
      <c r="C189" s="16"/>
      <c r="D189" s="16"/>
      <c r="E189" s="16"/>
      <c r="F189" s="16"/>
      <c r="G189" s="16"/>
      <c r="H189" s="16"/>
      <c r="I189" s="16"/>
      <c r="J189" s="16"/>
      <c r="K189" s="16"/>
      <c r="L189" s="16"/>
      <c r="M189" s="25"/>
      <c r="N189" s="25"/>
      <c r="O189" s="16"/>
      <c r="P189" s="1"/>
      <c r="Q189" s="1"/>
      <c r="R189" s="1"/>
      <c r="S189" s="1"/>
      <c r="T189" s="1"/>
      <c r="U189" s="1"/>
      <c r="V189" s="1"/>
      <c r="W189" s="1"/>
      <c r="X189" s="1"/>
    </row>
    <row r="190" spans="1:24">
      <c r="A190" s="15"/>
      <c r="B190" s="15"/>
      <c r="C190" s="16"/>
      <c r="D190" s="16"/>
      <c r="E190" s="16"/>
      <c r="F190" s="16"/>
      <c r="G190" s="16"/>
      <c r="H190" s="16"/>
      <c r="I190" s="16"/>
      <c r="J190" s="16"/>
      <c r="K190" s="16"/>
      <c r="L190" s="16"/>
      <c r="M190" s="25"/>
      <c r="N190" s="25"/>
      <c r="O190" s="16"/>
      <c r="P190" s="1"/>
      <c r="Q190" s="1"/>
      <c r="R190" s="1"/>
      <c r="S190" s="1"/>
      <c r="T190" s="1"/>
      <c r="U190" s="1"/>
      <c r="V190" s="1"/>
      <c r="W190" s="1"/>
      <c r="X190" s="1"/>
    </row>
    <row r="191" spans="1:24">
      <c r="A191" s="15"/>
      <c r="B191" s="15"/>
      <c r="C191" s="16"/>
      <c r="D191" s="16"/>
      <c r="E191" s="16"/>
      <c r="F191" s="16"/>
      <c r="G191" s="16"/>
      <c r="H191" s="16"/>
      <c r="I191" s="16"/>
      <c r="J191" s="16"/>
      <c r="K191" s="16"/>
      <c r="L191" s="16"/>
      <c r="M191" s="25"/>
      <c r="N191" s="25"/>
      <c r="O191" s="16"/>
      <c r="P191" s="1"/>
      <c r="Q191" s="1"/>
      <c r="R191" s="1"/>
      <c r="S191" s="1"/>
      <c r="T191" s="1"/>
      <c r="U191" s="1"/>
      <c r="V191" s="1"/>
      <c r="W191" s="1"/>
      <c r="X191" s="1"/>
    </row>
    <row r="192" spans="1:24">
      <c r="A192" s="15"/>
      <c r="B192" s="15"/>
      <c r="C192" s="16"/>
      <c r="D192" s="16"/>
      <c r="E192" s="16"/>
      <c r="F192" s="16"/>
      <c r="G192" s="16"/>
      <c r="H192" s="16"/>
      <c r="I192" s="16"/>
      <c r="J192" s="16"/>
      <c r="K192" s="16"/>
      <c r="L192" s="16"/>
      <c r="M192" s="25"/>
      <c r="N192" s="25"/>
      <c r="O192" s="16"/>
      <c r="P192" s="1"/>
      <c r="Q192" s="1"/>
      <c r="R192" s="1"/>
      <c r="S192" s="1"/>
      <c r="T192" s="1"/>
      <c r="U192" s="1"/>
      <c r="V192" s="1"/>
      <c r="W192" s="1"/>
      <c r="X192" s="1"/>
    </row>
    <row r="193" spans="1:24">
      <c r="A193" s="15"/>
      <c r="B193" s="15"/>
      <c r="C193" s="16"/>
      <c r="D193" s="16"/>
      <c r="E193" s="16"/>
      <c r="F193" s="16"/>
      <c r="G193" s="16"/>
      <c r="H193" s="16"/>
      <c r="I193" s="16"/>
      <c r="J193" s="16"/>
      <c r="K193" s="16"/>
      <c r="L193" s="16"/>
      <c r="M193" s="25"/>
      <c r="N193" s="25"/>
      <c r="O193" s="16"/>
      <c r="P193" s="1"/>
      <c r="Q193" s="1"/>
      <c r="R193" s="1"/>
      <c r="S193" s="1"/>
      <c r="T193" s="1"/>
      <c r="U193" s="1"/>
      <c r="V193" s="1"/>
      <c r="W193" s="1"/>
      <c r="X193" s="1"/>
    </row>
    <row r="194" spans="1:24">
      <c r="A194" s="15"/>
      <c r="B194" s="15"/>
      <c r="C194" s="16"/>
      <c r="D194" s="16"/>
      <c r="E194" s="16"/>
      <c r="F194" s="16"/>
      <c r="G194" s="16"/>
      <c r="H194" s="16"/>
      <c r="I194" s="16"/>
      <c r="J194" s="16"/>
      <c r="K194" s="16"/>
      <c r="L194" s="16"/>
      <c r="M194" s="25"/>
      <c r="N194" s="25"/>
      <c r="O194" s="16"/>
      <c r="P194" s="1"/>
      <c r="Q194" s="1"/>
      <c r="R194" s="1"/>
      <c r="S194" s="1"/>
      <c r="T194" s="1"/>
      <c r="U194" s="1"/>
      <c r="V194" s="1"/>
      <c r="W194" s="1"/>
      <c r="X194" s="1"/>
    </row>
    <row r="195" spans="1:24">
      <c r="A195" s="15"/>
      <c r="B195" s="15"/>
      <c r="C195" s="16"/>
      <c r="D195" s="16"/>
      <c r="E195" s="16"/>
      <c r="F195" s="16"/>
      <c r="G195" s="16"/>
      <c r="H195" s="16"/>
      <c r="I195" s="16"/>
      <c r="J195" s="16"/>
      <c r="K195" s="16"/>
      <c r="L195" s="16"/>
      <c r="M195" s="25"/>
      <c r="N195" s="25"/>
      <c r="O195" s="16"/>
      <c r="P195" s="1"/>
      <c r="Q195" s="1"/>
      <c r="R195" s="1"/>
      <c r="S195" s="1"/>
      <c r="T195" s="1"/>
      <c r="U195" s="1"/>
      <c r="V195" s="1"/>
      <c r="W195" s="1"/>
      <c r="X195" s="1"/>
    </row>
    <row r="196" spans="1:24">
      <c r="A196" s="15"/>
      <c r="B196" s="15"/>
      <c r="C196" s="16"/>
      <c r="D196" s="16"/>
      <c r="E196" s="16"/>
      <c r="F196" s="16"/>
      <c r="G196" s="16"/>
      <c r="H196" s="16"/>
      <c r="I196" s="16"/>
      <c r="J196" s="16"/>
      <c r="K196" s="16"/>
      <c r="L196" s="16"/>
      <c r="M196" s="25"/>
      <c r="N196" s="25"/>
      <c r="O196" s="16"/>
      <c r="P196" s="1"/>
      <c r="Q196" s="1"/>
      <c r="R196" s="1"/>
      <c r="S196" s="1"/>
      <c r="T196" s="1"/>
      <c r="U196" s="1"/>
      <c r="V196" s="1"/>
      <c r="W196" s="1"/>
      <c r="X196" s="1"/>
    </row>
    <row r="197" spans="1:24">
      <c r="A197" s="15"/>
      <c r="B197" s="15"/>
      <c r="C197" s="16"/>
      <c r="D197" s="16"/>
      <c r="E197" s="16"/>
      <c r="F197" s="16"/>
      <c r="G197" s="16"/>
      <c r="H197" s="16"/>
      <c r="I197" s="16"/>
      <c r="J197" s="16"/>
      <c r="K197" s="16"/>
      <c r="L197" s="16"/>
      <c r="M197" s="25"/>
      <c r="N197" s="25"/>
      <c r="O197" s="16"/>
      <c r="P197" s="1"/>
      <c r="Q197" s="1"/>
      <c r="R197" s="1"/>
      <c r="S197" s="1"/>
      <c r="T197" s="1"/>
      <c r="U197" s="1"/>
      <c r="V197" s="1"/>
      <c r="W197" s="1"/>
      <c r="X197" s="1"/>
    </row>
    <row r="198" spans="1:24">
      <c r="A198" s="15"/>
      <c r="B198" s="15"/>
      <c r="C198" s="16"/>
      <c r="D198" s="16"/>
      <c r="E198" s="16"/>
      <c r="F198" s="16"/>
      <c r="G198" s="16"/>
      <c r="H198" s="16"/>
      <c r="I198" s="16"/>
      <c r="J198" s="16"/>
      <c r="K198" s="16"/>
      <c r="L198" s="16"/>
      <c r="M198" s="25"/>
      <c r="N198" s="25"/>
      <c r="O198" s="16"/>
      <c r="P198" s="1"/>
      <c r="Q198" s="1"/>
      <c r="R198" s="1"/>
      <c r="S198" s="1"/>
      <c r="T198" s="1"/>
      <c r="U198" s="1"/>
      <c r="V198" s="1"/>
      <c r="W198" s="1"/>
      <c r="X198" s="1"/>
    </row>
    <row r="199" spans="1:24">
      <c r="A199" s="15"/>
      <c r="B199" s="15"/>
      <c r="C199" s="16"/>
      <c r="D199" s="16"/>
      <c r="E199" s="16"/>
      <c r="F199" s="16"/>
      <c r="G199" s="16"/>
      <c r="H199" s="16"/>
      <c r="I199" s="16"/>
      <c r="J199" s="16"/>
      <c r="K199" s="16"/>
      <c r="L199" s="16"/>
      <c r="M199" s="25"/>
      <c r="N199" s="25"/>
      <c r="O199" s="16"/>
      <c r="P199" s="1"/>
      <c r="Q199" s="1"/>
      <c r="R199" s="1"/>
      <c r="S199" s="1"/>
      <c r="T199" s="1"/>
      <c r="U199" s="1"/>
      <c r="V199" s="1"/>
      <c r="W199" s="1"/>
      <c r="X199" s="1"/>
    </row>
    <row r="200" spans="1:24">
      <c r="A200" s="15"/>
      <c r="B200" s="15"/>
      <c r="C200" s="16"/>
      <c r="D200" s="16"/>
      <c r="E200" s="16"/>
      <c r="F200" s="16"/>
      <c r="G200" s="16"/>
      <c r="H200" s="16"/>
      <c r="I200" s="16"/>
      <c r="J200" s="16"/>
      <c r="K200" s="16"/>
      <c r="L200" s="16"/>
      <c r="M200" s="25"/>
      <c r="N200" s="25"/>
      <c r="O200" s="16"/>
      <c r="P200" s="1"/>
      <c r="Q200" s="1"/>
      <c r="R200" s="1"/>
      <c r="S200" s="1"/>
      <c r="T200" s="1"/>
      <c r="U200" s="1"/>
      <c r="V200" s="1"/>
      <c r="W200" s="1"/>
      <c r="X200" s="1"/>
    </row>
    <row r="201" spans="1:24">
      <c r="A201" s="15"/>
      <c r="B201" s="15"/>
      <c r="C201" s="16"/>
      <c r="D201" s="16"/>
      <c r="E201" s="16"/>
      <c r="F201" s="16"/>
      <c r="G201" s="16"/>
      <c r="H201" s="16"/>
      <c r="I201" s="16"/>
      <c r="J201" s="16"/>
      <c r="K201" s="16"/>
      <c r="L201" s="16"/>
      <c r="M201" s="25"/>
      <c r="N201" s="25"/>
      <c r="O201" s="16"/>
      <c r="P201" s="1"/>
      <c r="Q201" s="1"/>
      <c r="R201" s="1"/>
      <c r="S201" s="1"/>
      <c r="T201" s="1"/>
      <c r="U201" s="1"/>
      <c r="V201" s="1"/>
      <c r="W201" s="1"/>
      <c r="X201" s="1"/>
    </row>
    <row r="202" spans="1:24">
      <c r="A202" s="15"/>
      <c r="B202" s="15"/>
      <c r="C202" s="16"/>
      <c r="D202" s="16"/>
      <c r="E202" s="16"/>
      <c r="F202" s="16"/>
      <c r="G202" s="16"/>
      <c r="H202" s="16"/>
      <c r="I202" s="16"/>
      <c r="J202" s="16"/>
      <c r="K202" s="16"/>
      <c r="L202" s="16"/>
      <c r="M202" s="25"/>
      <c r="N202" s="25"/>
      <c r="O202" s="16"/>
      <c r="P202" s="1"/>
      <c r="Q202" s="1"/>
      <c r="R202" s="1"/>
      <c r="S202" s="1"/>
      <c r="T202" s="1"/>
      <c r="U202" s="1"/>
      <c r="V202" s="1"/>
      <c r="W202" s="1"/>
      <c r="X202" s="1"/>
    </row>
    <row r="203" spans="1:24">
      <c r="A203" s="15"/>
      <c r="B203" s="15"/>
      <c r="C203" s="16"/>
      <c r="D203" s="16"/>
      <c r="E203" s="16"/>
      <c r="F203" s="16"/>
      <c r="G203" s="16"/>
      <c r="H203" s="16"/>
      <c r="I203" s="16"/>
      <c r="J203" s="16"/>
      <c r="K203" s="16"/>
      <c r="L203" s="16"/>
      <c r="M203" s="25"/>
      <c r="N203" s="25"/>
      <c r="O203" s="16"/>
      <c r="P203" s="1"/>
      <c r="Q203" s="1"/>
      <c r="R203" s="1"/>
      <c r="S203" s="1"/>
      <c r="T203" s="1"/>
      <c r="U203" s="1"/>
      <c r="V203" s="1"/>
      <c r="W203" s="1"/>
      <c r="X203" s="1"/>
    </row>
    <row r="204" spans="1:24">
      <c r="A204" s="15"/>
      <c r="B204" s="15"/>
      <c r="C204" s="16"/>
      <c r="D204" s="16"/>
      <c r="E204" s="16"/>
      <c r="F204" s="16"/>
      <c r="G204" s="16"/>
      <c r="H204" s="16"/>
      <c r="I204" s="16"/>
      <c r="J204" s="16"/>
      <c r="K204" s="16"/>
      <c r="L204" s="16"/>
      <c r="M204" s="25"/>
      <c r="N204" s="25"/>
      <c r="O204" s="16"/>
      <c r="P204" s="1"/>
      <c r="Q204" s="1"/>
      <c r="R204" s="1"/>
      <c r="S204" s="1"/>
      <c r="T204" s="1"/>
      <c r="U204" s="1"/>
      <c r="V204" s="1"/>
      <c r="W204" s="1"/>
      <c r="X204" s="1"/>
    </row>
    <row r="205" spans="1:24">
      <c r="A205" s="15"/>
      <c r="B205" s="15"/>
      <c r="C205" s="16"/>
      <c r="D205" s="16"/>
      <c r="E205" s="16"/>
      <c r="F205" s="16"/>
      <c r="G205" s="16"/>
      <c r="H205" s="16"/>
      <c r="I205" s="16"/>
      <c r="J205" s="16"/>
      <c r="K205" s="16"/>
      <c r="L205" s="16"/>
      <c r="M205" s="25"/>
      <c r="N205" s="25"/>
      <c r="O205" s="16"/>
      <c r="P205" s="1"/>
      <c r="Q205" s="1"/>
      <c r="R205" s="1"/>
      <c r="S205" s="1"/>
      <c r="T205" s="1"/>
      <c r="U205" s="1"/>
      <c r="V205" s="1"/>
      <c r="W205" s="1"/>
      <c r="X205" s="1"/>
    </row>
    <row r="206" spans="1:24">
      <c r="A206" s="15"/>
      <c r="B206" s="15"/>
      <c r="C206" s="16"/>
      <c r="D206" s="16"/>
      <c r="E206" s="16"/>
      <c r="F206" s="16"/>
      <c r="G206" s="16"/>
      <c r="H206" s="16"/>
      <c r="I206" s="16"/>
      <c r="J206" s="16"/>
      <c r="K206" s="16"/>
      <c r="L206" s="16"/>
      <c r="M206" s="25"/>
      <c r="N206" s="25"/>
      <c r="O206" s="16"/>
      <c r="P206" s="1"/>
      <c r="Q206" s="1"/>
      <c r="R206" s="1"/>
      <c r="S206" s="1"/>
      <c r="T206" s="1"/>
      <c r="U206" s="1"/>
      <c r="V206" s="1"/>
      <c r="W206" s="1"/>
      <c r="X206" s="1"/>
    </row>
    <row r="207" spans="1:24">
      <c r="A207" s="15"/>
      <c r="B207" s="15"/>
      <c r="C207" s="16"/>
      <c r="D207" s="16"/>
      <c r="E207" s="16"/>
      <c r="F207" s="16"/>
      <c r="G207" s="16"/>
      <c r="H207" s="16"/>
      <c r="I207" s="16"/>
      <c r="J207" s="16"/>
      <c r="K207" s="16"/>
      <c r="L207" s="16"/>
      <c r="M207" s="25"/>
      <c r="N207" s="25"/>
      <c r="O207" s="16"/>
      <c r="P207" s="1"/>
      <c r="Q207" s="1"/>
      <c r="R207" s="1"/>
      <c r="S207" s="1"/>
      <c r="T207" s="1"/>
      <c r="U207" s="1"/>
      <c r="V207" s="1"/>
      <c r="W207" s="1"/>
      <c r="X207" s="1"/>
    </row>
    <row r="208" spans="1:24">
      <c r="A208" s="15"/>
      <c r="B208" s="15"/>
      <c r="C208" s="16"/>
      <c r="D208" s="16"/>
      <c r="E208" s="16"/>
      <c r="F208" s="16"/>
      <c r="G208" s="16"/>
      <c r="H208" s="16"/>
      <c r="I208" s="16"/>
      <c r="J208" s="16"/>
      <c r="K208" s="16"/>
      <c r="L208" s="16"/>
      <c r="M208" s="25"/>
      <c r="N208" s="25"/>
      <c r="O208" s="16"/>
      <c r="P208" s="1"/>
      <c r="Q208" s="1"/>
      <c r="R208" s="1"/>
      <c r="S208" s="1"/>
      <c r="T208" s="1"/>
      <c r="U208" s="1"/>
      <c r="V208" s="1"/>
      <c r="W208" s="1"/>
      <c r="X208" s="1"/>
    </row>
    <row r="209" spans="1:24">
      <c r="A209" s="15"/>
      <c r="B209" s="15"/>
      <c r="C209" s="16"/>
      <c r="D209" s="16"/>
      <c r="E209" s="16"/>
      <c r="F209" s="16"/>
      <c r="G209" s="16"/>
      <c r="H209" s="16"/>
      <c r="I209" s="16"/>
      <c r="J209" s="16"/>
      <c r="K209" s="16"/>
      <c r="L209" s="16"/>
      <c r="M209" s="25"/>
      <c r="N209" s="25"/>
      <c r="O209" s="16"/>
      <c r="P209" s="1"/>
      <c r="Q209" s="1"/>
      <c r="R209" s="1"/>
      <c r="S209" s="1"/>
      <c r="T209" s="1"/>
      <c r="U209" s="1"/>
      <c r="V209" s="1"/>
      <c r="W209" s="1"/>
      <c r="X209" s="1"/>
    </row>
    <row r="210" spans="1:24">
      <c r="A210" s="15"/>
      <c r="B210" s="15"/>
      <c r="C210" s="16"/>
      <c r="D210" s="16"/>
      <c r="E210" s="16"/>
      <c r="F210" s="16"/>
      <c r="G210" s="16"/>
      <c r="H210" s="16"/>
      <c r="I210" s="16"/>
      <c r="J210" s="16"/>
      <c r="K210" s="16"/>
      <c r="L210" s="16"/>
      <c r="M210" s="25"/>
      <c r="N210" s="25"/>
      <c r="O210" s="16"/>
      <c r="P210" s="1"/>
      <c r="Q210" s="1"/>
      <c r="R210" s="1"/>
      <c r="S210" s="1"/>
      <c r="T210" s="1"/>
      <c r="U210" s="1"/>
      <c r="V210" s="1"/>
      <c r="W210" s="1"/>
      <c r="X210" s="1"/>
    </row>
    <row r="211" spans="1:24">
      <c r="A211" s="15"/>
      <c r="B211" s="15"/>
      <c r="C211" s="16"/>
      <c r="D211" s="16"/>
      <c r="E211" s="16"/>
      <c r="F211" s="16"/>
      <c r="G211" s="16"/>
      <c r="H211" s="16"/>
      <c r="I211" s="16"/>
      <c r="J211" s="16"/>
      <c r="K211" s="16"/>
      <c r="L211" s="16"/>
      <c r="M211" s="25"/>
      <c r="N211" s="25"/>
      <c r="O211" s="16"/>
      <c r="P211" s="1"/>
      <c r="Q211" s="1"/>
      <c r="R211" s="1"/>
      <c r="S211" s="1"/>
      <c r="T211" s="1"/>
      <c r="U211" s="1"/>
      <c r="V211" s="1"/>
      <c r="W211" s="1"/>
      <c r="X211" s="1"/>
    </row>
    <row r="212" spans="1:24">
      <c r="A212" s="15"/>
      <c r="B212" s="15"/>
      <c r="C212" s="16"/>
      <c r="D212" s="16"/>
      <c r="E212" s="16"/>
      <c r="F212" s="16"/>
      <c r="G212" s="16"/>
      <c r="H212" s="16"/>
      <c r="I212" s="16"/>
      <c r="J212" s="16"/>
      <c r="K212" s="16"/>
      <c r="L212" s="16"/>
      <c r="M212" s="25"/>
      <c r="N212" s="25"/>
      <c r="O212" s="16"/>
      <c r="P212" s="1"/>
      <c r="Q212" s="1"/>
      <c r="R212" s="1"/>
      <c r="S212" s="1"/>
      <c r="T212" s="1"/>
      <c r="U212" s="1"/>
      <c r="V212" s="1"/>
      <c r="W212" s="1"/>
      <c r="X212" s="1"/>
    </row>
    <row r="213" spans="1:24">
      <c r="A213" s="15"/>
      <c r="B213" s="15"/>
      <c r="C213" s="16"/>
      <c r="D213" s="16"/>
      <c r="E213" s="16"/>
      <c r="F213" s="16"/>
      <c r="G213" s="16"/>
      <c r="H213" s="16"/>
      <c r="I213" s="16"/>
      <c r="J213" s="16"/>
      <c r="K213" s="16"/>
      <c r="L213" s="16"/>
      <c r="M213" s="25"/>
      <c r="N213" s="25"/>
      <c r="O213" s="16"/>
      <c r="P213" s="1"/>
      <c r="Q213" s="1"/>
      <c r="R213" s="1"/>
      <c r="S213" s="1"/>
      <c r="T213" s="1"/>
      <c r="U213" s="1"/>
      <c r="V213" s="1"/>
      <c r="W213" s="1"/>
      <c r="X213" s="1"/>
    </row>
    <row r="214" spans="1:24">
      <c r="A214" s="15"/>
      <c r="B214" s="15"/>
      <c r="C214" s="16"/>
      <c r="D214" s="16"/>
      <c r="E214" s="16"/>
      <c r="F214" s="16"/>
      <c r="G214" s="16"/>
      <c r="H214" s="16"/>
      <c r="I214" s="16"/>
      <c r="J214" s="16"/>
      <c r="K214" s="16"/>
      <c r="L214" s="16"/>
      <c r="M214" s="25"/>
      <c r="N214" s="25"/>
      <c r="O214" s="16"/>
      <c r="P214" s="1"/>
      <c r="Q214" s="1"/>
      <c r="R214" s="1"/>
      <c r="S214" s="1"/>
      <c r="T214" s="1"/>
      <c r="U214" s="1"/>
      <c r="V214" s="1"/>
      <c r="W214" s="1"/>
      <c r="X214" s="1"/>
    </row>
    <row r="215" spans="1:24">
      <c r="A215" s="15"/>
      <c r="B215" s="15"/>
      <c r="C215" s="16"/>
      <c r="D215" s="16"/>
      <c r="E215" s="16"/>
      <c r="F215" s="16"/>
      <c r="G215" s="16"/>
      <c r="H215" s="16"/>
      <c r="I215" s="16"/>
      <c r="J215" s="16"/>
      <c r="K215" s="16"/>
      <c r="L215" s="16"/>
      <c r="M215" s="25"/>
      <c r="N215" s="25"/>
      <c r="O215" s="16"/>
      <c r="P215" s="1"/>
      <c r="Q215" s="1"/>
      <c r="R215" s="1"/>
      <c r="S215" s="1"/>
      <c r="T215" s="1"/>
      <c r="U215" s="1"/>
      <c r="V215" s="1"/>
      <c r="W215" s="1"/>
      <c r="X215" s="1"/>
    </row>
    <row r="216" spans="1:24">
      <c r="A216" s="15"/>
      <c r="B216" s="15"/>
      <c r="C216" s="16"/>
      <c r="D216" s="16"/>
      <c r="E216" s="16"/>
      <c r="F216" s="16"/>
      <c r="G216" s="16"/>
      <c r="H216" s="16"/>
      <c r="I216" s="16"/>
      <c r="J216" s="16"/>
      <c r="K216" s="16"/>
      <c r="L216" s="16"/>
      <c r="M216" s="25"/>
      <c r="N216" s="25"/>
      <c r="O216" s="16"/>
      <c r="P216" s="1"/>
      <c r="Q216" s="1"/>
      <c r="R216" s="1"/>
      <c r="S216" s="1"/>
      <c r="T216" s="1"/>
      <c r="U216" s="1"/>
      <c r="V216" s="1"/>
      <c r="W216" s="1"/>
      <c r="X216" s="1"/>
    </row>
    <row r="217" spans="1:24">
      <c r="A217" s="15"/>
      <c r="B217" s="15"/>
      <c r="C217" s="16"/>
      <c r="D217" s="16"/>
      <c r="E217" s="16"/>
      <c r="F217" s="16"/>
      <c r="G217" s="16"/>
      <c r="H217" s="16"/>
      <c r="I217" s="16"/>
      <c r="J217" s="16"/>
      <c r="K217" s="16"/>
      <c r="L217" s="16"/>
      <c r="M217" s="25"/>
      <c r="N217" s="25"/>
      <c r="O217" s="16"/>
      <c r="P217" s="1"/>
      <c r="Q217" s="1"/>
      <c r="R217" s="1"/>
      <c r="S217" s="1"/>
      <c r="T217" s="1"/>
      <c r="U217" s="1"/>
      <c r="V217" s="1"/>
      <c r="W217" s="1"/>
      <c r="X217" s="1"/>
    </row>
    <row r="218" spans="1:24">
      <c r="A218" s="15"/>
      <c r="B218" s="15"/>
      <c r="C218" s="16"/>
      <c r="D218" s="16"/>
      <c r="E218" s="16"/>
      <c r="F218" s="16"/>
      <c r="G218" s="16"/>
      <c r="H218" s="16"/>
      <c r="I218" s="16"/>
      <c r="J218" s="16"/>
      <c r="K218" s="16"/>
      <c r="L218" s="16"/>
      <c r="M218" s="25"/>
      <c r="N218" s="25"/>
      <c r="O218" s="16"/>
      <c r="P218" s="1"/>
      <c r="Q218" s="1"/>
      <c r="R218" s="1"/>
      <c r="S218" s="1"/>
      <c r="T218" s="1"/>
      <c r="U218" s="1"/>
      <c r="V218" s="1"/>
      <c r="W218" s="1"/>
      <c r="X218" s="1"/>
    </row>
    <row r="219" spans="1:24">
      <c r="A219" s="15"/>
      <c r="B219" s="15"/>
      <c r="C219" s="16"/>
      <c r="D219" s="16"/>
      <c r="E219" s="16"/>
      <c r="F219" s="16"/>
      <c r="G219" s="16"/>
      <c r="H219" s="16"/>
      <c r="I219" s="16"/>
      <c r="J219" s="16"/>
      <c r="K219" s="16"/>
      <c r="L219" s="16"/>
      <c r="M219" s="25"/>
      <c r="N219" s="25"/>
      <c r="O219" s="16"/>
      <c r="P219" s="1"/>
      <c r="Q219" s="1"/>
      <c r="R219" s="1"/>
      <c r="S219" s="1"/>
      <c r="T219" s="1"/>
      <c r="U219" s="1"/>
      <c r="V219" s="1"/>
      <c r="W219" s="1"/>
      <c r="X219" s="1"/>
    </row>
    <row r="220" spans="1:24">
      <c r="A220" s="15"/>
      <c r="B220" s="15"/>
      <c r="C220" s="16"/>
      <c r="D220" s="16"/>
      <c r="E220" s="16"/>
      <c r="F220" s="16"/>
      <c r="G220" s="16"/>
      <c r="H220" s="16"/>
      <c r="I220" s="16"/>
      <c r="J220" s="16"/>
      <c r="K220" s="16"/>
      <c r="L220" s="16"/>
      <c r="M220" s="25"/>
      <c r="N220" s="25"/>
      <c r="O220" s="16"/>
      <c r="P220" s="1"/>
      <c r="Q220" s="1"/>
      <c r="R220" s="1"/>
      <c r="S220" s="1"/>
      <c r="T220" s="1"/>
      <c r="U220" s="1"/>
      <c r="V220" s="1"/>
      <c r="W220" s="1"/>
      <c r="X220" s="1"/>
    </row>
    <row r="221" spans="1:24">
      <c r="A221" s="15"/>
      <c r="B221" s="15"/>
      <c r="C221" s="16"/>
      <c r="D221" s="16"/>
      <c r="E221" s="16"/>
      <c r="F221" s="16"/>
      <c r="G221" s="16"/>
      <c r="H221" s="16"/>
      <c r="I221" s="16"/>
      <c r="J221" s="16"/>
      <c r="K221" s="16"/>
      <c r="L221" s="16"/>
      <c r="M221" s="25"/>
      <c r="N221" s="25"/>
      <c r="O221" s="16"/>
      <c r="P221" s="1"/>
      <c r="Q221" s="1"/>
      <c r="R221" s="1"/>
      <c r="S221" s="1"/>
      <c r="T221" s="1"/>
      <c r="U221" s="1"/>
      <c r="V221" s="1"/>
      <c r="W221" s="1"/>
      <c r="X221" s="1"/>
    </row>
    <row r="222" spans="1:24">
      <c r="A222" s="15"/>
      <c r="B222" s="15"/>
      <c r="C222" s="16"/>
      <c r="D222" s="16"/>
      <c r="E222" s="16"/>
      <c r="F222" s="16"/>
      <c r="G222" s="16"/>
      <c r="H222" s="16"/>
      <c r="I222" s="16"/>
      <c r="J222" s="16"/>
      <c r="K222" s="16"/>
      <c r="L222" s="16"/>
      <c r="M222" s="25"/>
      <c r="N222" s="25"/>
      <c r="O222" s="16"/>
      <c r="P222" s="1"/>
      <c r="Q222" s="1"/>
      <c r="R222" s="1"/>
      <c r="S222" s="1"/>
      <c r="T222" s="1"/>
      <c r="U222" s="1"/>
      <c r="V222" s="1"/>
      <c r="W222" s="1"/>
      <c r="X222" s="1"/>
    </row>
    <row r="223" spans="1:24">
      <c r="A223" s="15"/>
      <c r="B223" s="15"/>
      <c r="C223" s="16"/>
      <c r="D223" s="16"/>
      <c r="E223" s="16"/>
      <c r="F223" s="16"/>
      <c r="G223" s="16"/>
      <c r="H223" s="16"/>
      <c r="I223" s="16"/>
      <c r="J223" s="16"/>
      <c r="K223" s="16"/>
      <c r="L223" s="16"/>
      <c r="M223" s="25"/>
      <c r="N223" s="25"/>
      <c r="O223" s="16"/>
      <c r="P223" s="1"/>
      <c r="Q223" s="1"/>
      <c r="R223" s="1"/>
      <c r="S223" s="1"/>
      <c r="T223" s="1"/>
      <c r="U223" s="1"/>
      <c r="V223" s="1"/>
      <c r="W223" s="1"/>
      <c r="X223" s="1"/>
    </row>
    <row r="224" spans="1:24">
      <c r="A224" s="15"/>
      <c r="B224" s="15"/>
      <c r="C224" s="16"/>
      <c r="D224" s="16"/>
      <c r="E224" s="16"/>
      <c r="F224" s="16"/>
      <c r="G224" s="16"/>
      <c r="H224" s="16"/>
      <c r="I224" s="16"/>
      <c r="J224" s="16"/>
      <c r="K224" s="16"/>
      <c r="L224" s="16"/>
      <c r="M224" s="25"/>
      <c r="N224" s="25"/>
      <c r="O224" s="16"/>
      <c r="P224" s="1"/>
      <c r="Q224" s="1"/>
      <c r="R224" s="1"/>
      <c r="S224" s="1"/>
      <c r="T224" s="1"/>
      <c r="U224" s="1"/>
      <c r="V224" s="1"/>
      <c r="W224" s="1"/>
      <c r="X224" s="1"/>
    </row>
    <row r="225" spans="1:24">
      <c r="A225" s="15"/>
      <c r="B225" s="15"/>
      <c r="C225" s="16"/>
      <c r="D225" s="16"/>
      <c r="E225" s="16"/>
      <c r="F225" s="16"/>
      <c r="G225" s="16"/>
      <c r="H225" s="16"/>
      <c r="I225" s="16"/>
      <c r="J225" s="16"/>
      <c r="K225" s="16"/>
      <c r="L225" s="16"/>
      <c r="M225" s="25"/>
      <c r="N225" s="25"/>
      <c r="O225" s="16"/>
      <c r="P225" s="1"/>
      <c r="Q225" s="1"/>
      <c r="R225" s="1"/>
      <c r="S225" s="1"/>
      <c r="T225" s="1"/>
      <c r="U225" s="1"/>
      <c r="V225" s="1"/>
      <c r="W225" s="1"/>
      <c r="X225" s="1"/>
    </row>
    <row r="226" spans="1:24">
      <c r="A226" s="15"/>
      <c r="B226" s="15"/>
      <c r="C226" s="16"/>
      <c r="D226" s="16"/>
      <c r="E226" s="16"/>
      <c r="F226" s="16"/>
      <c r="G226" s="16"/>
      <c r="H226" s="16"/>
      <c r="I226" s="16"/>
      <c r="J226" s="16"/>
      <c r="K226" s="16"/>
      <c r="L226" s="16"/>
      <c r="M226" s="25"/>
      <c r="N226" s="25"/>
      <c r="O226" s="16"/>
      <c r="P226" s="1"/>
      <c r="Q226" s="1"/>
      <c r="R226" s="1"/>
      <c r="S226" s="1"/>
      <c r="T226" s="1"/>
      <c r="U226" s="1"/>
      <c r="V226" s="1"/>
      <c r="W226" s="1"/>
      <c r="X226" s="1"/>
    </row>
    <row r="227" spans="1:24">
      <c r="A227" s="15"/>
      <c r="B227" s="15"/>
      <c r="C227" s="16"/>
      <c r="D227" s="16"/>
      <c r="E227" s="16"/>
      <c r="F227" s="16"/>
      <c r="G227" s="16"/>
      <c r="H227" s="16"/>
      <c r="I227" s="16"/>
      <c r="J227" s="16"/>
      <c r="K227" s="16"/>
      <c r="L227" s="16"/>
      <c r="M227" s="25"/>
      <c r="N227" s="25"/>
      <c r="O227" s="16"/>
      <c r="P227" s="1"/>
      <c r="Q227" s="1"/>
      <c r="R227" s="1"/>
      <c r="S227" s="1"/>
      <c r="T227" s="1"/>
      <c r="U227" s="1"/>
      <c r="V227" s="1"/>
      <c r="W227" s="1"/>
      <c r="X227" s="1"/>
    </row>
    <row r="228" spans="1:24">
      <c r="A228" s="15"/>
      <c r="B228" s="15"/>
      <c r="C228" s="16"/>
      <c r="D228" s="16"/>
      <c r="E228" s="16"/>
      <c r="F228" s="16"/>
      <c r="G228" s="16"/>
      <c r="H228" s="16"/>
      <c r="I228" s="16"/>
      <c r="J228" s="16"/>
      <c r="K228" s="16"/>
      <c r="L228" s="16"/>
      <c r="M228" s="25"/>
      <c r="N228" s="25"/>
      <c r="O228" s="16"/>
      <c r="P228" s="1"/>
      <c r="Q228" s="1"/>
      <c r="R228" s="1"/>
      <c r="S228" s="1"/>
      <c r="T228" s="1"/>
      <c r="U228" s="1"/>
      <c r="V228" s="1"/>
      <c r="W228" s="1"/>
      <c r="X228" s="1"/>
    </row>
    <row r="229" spans="1:24">
      <c r="A229" s="15"/>
      <c r="B229" s="15"/>
      <c r="C229" s="16"/>
      <c r="D229" s="16"/>
      <c r="E229" s="16"/>
      <c r="F229" s="16"/>
      <c r="G229" s="16"/>
      <c r="H229" s="16"/>
      <c r="I229" s="16"/>
      <c r="J229" s="16"/>
      <c r="K229" s="16"/>
      <c r="L229" s="16"/>
      <c r="M229" s="25"/>
      <c r="N229" s="25"/>
      <c r="O229" s="16"/>
      <c r="P229" s="1"/>
      <c r="Q229" s="1"/>
      <c r="R229" s="1"/>
      <c r="S229" s="1"/>
      <c r="T229" s="1"/>
      <c r="U229" s="1"/>
      <c r="V229" s="1"/>
      <c r="W229" s="1"/>
      <c r="X229" s="1"/>
    </row>
    <row r="230" spans="1:24">
      <c r="A230" s="15"/>
      <c r="B230" s="15"/>
      <c r="C230" s="16"/>
      <c r="D230" s="16"/>
      <c r="E230" s="16"/>
      <c r="F230" s="16"/>
      <c r="G230" s="16"/>
      <c r="H230" s="16"/>
      <c r="I230" s="16"/>
      <c r="J230" s="16"/>
      <c r="K230" s="16"/>
      <c r="L230" s="16"/>
      <c r="M230" s="25"/>
      <c r="N230" s="25"/>
      <c r="O230" s="16"/>
      <c r="P230" s="1"/>
      <c r="Q230" s="1"/>
      <c r="R230" s="1"/>
      <c r="S230" s="1"/>
      <c r="T230" s="1"/>
      <c r="U230" s="1"/>
      <c r="V230" s="1"/>
      <c r="W230" s="1"/>
      <c r="X230" s="1"/>
    </row>
    <row r="231" spans="1:24">
      <c r="A231" s="15"/>
      <c r="B231" s="15"/>
      <c r="C231" s="16"/>
      <c r="D231" s="16"/>
      <c r="E231" s="16"/>
      <c r="F231" s="16"/>
      <c r="G231" s="16"/>
      <c r="H231" s="16"/>
      <c r="I231" s="16"/>
      <c r="J231" s="16"/>
      <c r="K231" s="16"/>
      <c r="L231" s="16"/>
      <c r="M231" s="25"/>
      <c r="N231" s="25"/>
      <c r="O231" s="16"/>
      <c r="P231" s="1"/>
      <c r="Q231" s="1"/>
      <c r="R231" s="1"/>
      <c r="S231" s="1"/>
      <c r="T231" s="1"/>
      <c r="U231" s="1"/>
      <c r="V231" s="1"/>
      <c r="W231" s="1"/>
      <c r="X231" s="1"/>
    </row>
    <row r="232" spans="1:24">
      <c r="A232" s="15"/>
      <c r="B232" s="15"/>
      <c r="C232" s="16"/>
      <c r="D232" s="16"/>
      <c r="E232" s="16"/>
      <c r="F232" s="16"/>
      <c r="G232" s="16"/>
      <c r="H232" s="16"/>
      <c r="I232" s="16"/>
      <c r="J232" s="16"/>
      <c r="K232" s="16"/>
      <c r="L232" s="16"/>
      <c r="M232" s="25"/>
      <c r="N232" s="25"/>
      <c r="O232" s="16"/>
      <c r="P232" s="1"/>
      <c r="Q232" s="1"/>
      <c r="R232" s="1"/>
      <c r="S232" s="1"/>
      <c r="T232" s="1"/>
      <c r="U232" s="1"/>
      <c r="V232" s="1"/>
      <c r="W232" s="1"/>
      <c r="X232" s="1"/>
    </row>
    <row r="233" spans="1:24">
      <c r="A233" s="15"/>
      <c r="B233" s="15"/>
      <c r="C233" s="16"/>
      <c r="D233" s="16"/>
      <c r="E233" s="16"/>
      <c r="F233" s="16"/>
      <c r="G233" s="16"/>
      <c r="H233" s="16"/>
      <c r="I233" s="16"/>
      <c r="J233" s="16"/>
      <c r="K233" s="16"/>
      <c r="L233" s="16"/>
      <c r="M233" s="25"/>
      <c r="N233" s="25"/>
      <c r="O233" s="16"/>
      <c r="P233" s="1"/>
      <c r="Q233" s="1"/>
      <c r="R233" s="1"/>
      <c r="S233" s="1"/>
      <c r="T233" s="1"/>
      <c r="U233" s="1"/>
      <c r="V233" s="1"/>
      <c r="W233" s="1"/>
      <c r="X233" s="1"/>
    </row>
    <row r="234" spans="1:24">
      <c r="A234" s="15"/>
      <c r="B234" s="15"/>
      <c r="C234" s="16"/>
      <c r="D234" s="16"/>
      <c r="E234" s="16"/>
      <c r="F234" s="16"/>
      <c r="G234" s="16"/>
      <c r="H234" s="16"/>
      <c r="I234" s="16"/>
      <c r="J234" s="16"/>
      <c r="K234" s="16"/>
      <c r="L234" s="16"/>
      <c r="M234" s="25"/>
      <c r="N234" s="25"/>
      <c r="O234" s="16"/>
      <c r="P234" s="1"/>
      <c r="Q234" s="1"/>
      <c r="R234" s="1"/>
      <c r="S234" s="1"/>
      <c r="T234" s="1"/>
      <c r="U234" s="1"/>
      <c r="V234" s="1"/>
      <c r="W234" s="1"/>
      <c r="X234" s="1"/>
    </row>
    <row r="235" spans="1:24">
      <c r="A235" s="15"/>
      <c r="B235" s="15"/>
      <c r="C235" s="16"/>
      <c r="D235" s="16"/>
      <c r="E235" s="16"/>
      <c r="F235" s="16"/>
      <c r="G235" s="16"/>
      <c r="H235" s="16"/>
      <c r="I235" s="16"/>
      <c r="J235" s="16"/>
      <c r="K235" s="16"/>
      <c r="L235" s="16"/>
      <c r="M235" s="25"/>
      <c r="N235" s="25"/>
      <c r="O235" s="16"/>
      <c r="P235" s="1"/>
      <c r="Q235" s="1"/>
      <c r="R235" s="1"/>
      <c r="S235" s="1"/>
      <c r="T235" s="1"/>
      <c r="U235" s="1"/>
      <c r="V235" s="1"/>
      <c r="W235" s="1"/>
      <c r="X235" s="1"/>
    </row>
    <row r="236" spans="1:24">
      <c r="A236" s="15"/>
      <c r="B236" s="15"/>
      <c r="C236" s="16"/>
      <c r="D236" s="16"/>
      <c r="E236" s="16"/>
      <c r="F236" s="16"/>
      <c r="G236" s="16"/>
      <c r="H236" s="16"/>
      <c r="I236" s="16"/>
      <c r="J236" s="16"/>
      <c r="K236" s="16"/>
      <c r="L236" s="16"/>
      <c r="M236" s="25"/>
      <c r="N236" s="25"/>
      <c r="O236" s="16"/>
      <c r="P236" s="1"/>
      <c r="Q236" s="1"/>
      <c r="R236" s="1"/>
      <c r="S236" s="1"/>
      <c r="T236" s="1"/>
      <c r="U236" s="1"/>
      <c r="V236" s="1"/>
      <c r="W236" s="1"/>
      <c r="X236" s="1"/>
    </row>
    <row r="237" spans="1:24">
      <c r="A237" s="15"/>
      <c r="B237" s="15"/>
      <c r="C237" s="16"/>
      <c r="D237" s="16"/>
      <c r="E237" s="16"/>
      <c r="F237" s="16"/>
      <c r="G237" s="16"/>
      <c r="H237" s="16"/>
      <c r="I237" s="16"/>
      <c r="J237" s="16"/>
      <c r="K237" s="16"/>
      <c r="L237" s="16"/>
      <c r="M237" s="25"/>
      <c r="N237" s="25"/>
      <c r="O237" s="16"/>
      <c r="P237" s="1"/>
      <c r="Q237" s="1"/>
      <c r="R237" s="1"/>
      <c r="S237" s="1"/>
      <c r="T237" s="1"/>
      <c r="U237" s="1"/>
      <c r="V237" s="1"/>
      <c r="W237" s="1"/>
      <c r="X237" s="1"/>
    </row>
    <row r="238" spans="1:24">
      <c r="A238" s="15"/>
      <c r="B238" s="15"/>
      <c r="C238" s="16"/>
      <c r="D238" s="16"/>
      <c r="E238" s="16"/>
      <c r="F238" s="16"/>
      <c r="G238" s="16"/>
      <c r="H238" s="16"/>
      <c r="I238" s="16"/>
      <c r="J238" s="16"/>
      <c r="K238" s="16"/>
      <c r="L238" s="16"/>
      <c r="M238" s="25"/>
      <c r="N238" s="25"/>
      <c r="O238" s="16"/>
      <c r="P238" s="1"/>
      <c r="Q238" s="1"/>
      <c r="R238" s="1"/>
      <c r="S238" s="1"/>
      <c r="T238" s="1"/>
      <c r="U238" s="1"/>
      <c r="V238" s="1"/>
      <c r="W238" s="1"/>
      <c r="X238" s="1"/>
    </row>
    <row r="239" spans="1:24">
      <c r="A239" s="15"/>
      <c r="B239" s="15"/>
      <c r="C239" s="16"/>
      <c r="D239" s="16"/>
      <c r="E239" s="16"/>
      <c r="F239" s="16"/>
      <c r="G239" s="16"/>
      <c r="H239" s="16"/>
      <c r="I239" s="16"/>
      <c r="J239" s="16"/>
      <c r="K239" s="16"/>
      <c r="L239" s="16"/>
      <c r="M239" s="25"/>
      <c r="N239" s="25"/>
      <c r="O239" s="16"/>
      <c r="P239" s="1"/>
      <c r="Q239" s="1"/>
      <c r="R239" s="1"/>
      <c r="S239" s="1"/>
      <c r="T239" s="1"/>
      <c r="U239" s="1"/>
      <c r="V239" s="1"/>
      <c r="W239" s="1"/>
      <c r="X239" s="1"/>
    </row>
    <row r="240" spans="1:24">
      <c r="A240" s="15"/>
      <c r="B240" s="15"/>
      <c r="C240" s="16"/>
      <c r="D240" s="16"/>
      <c r="E240" s="16"/>
      <c r="F240" s="16"/>
      <c r="G240" s="16"/>
      <c r="H240" s="16"/>
      <c r="I240" s="16"/>
      <c r="J240" s="16"/>
      <c r="K240" s="16"/>
      <c r="L240" s="16"/>
      <c r="M240" s="25"/>
      <c r="N240" s="25"/>
      <c r="O240" s="16"/>
      <c r="P240" s="1"/>
      <c r="Q240" s="1"/>
      <c r="R240" s="1"/>
      <c r="S240" s="1"/>
      <c r="T240" s="1"/>
      <c r="U240" s="1"/>
      <c r="V240" s="1"/>
      <c r="W240" s="1"/>
      <c r="X240" s="1"/>
    </row>
    <row r="241" spans="1:24">
      <c r="A241" s="15"/>
      <c r="B241" s="15"/>
      <c r="C241" s="16"/>
      <c r="D241" s="16"/>
      <c r="E241" s="16"/>
      <c r="F241" s="16"/>
      <c r="G241" s="16"/>
      <c r="H241" s="16"/>
      <c r="I241" s="16"/>
      <c r="J241" s="16"/>
      <c r="K241" s="16"/>
      <c r="L241" s="16"/>
      <c r="M241" s="25"/>
      <c r="N241" s="25"/>
      <c r="O241" s="16"/>
      <c r="P241" s="1"/>
      <c r="Q241" s="1"/>
      <c r="R241" s="1"/>
      <c r="S241" s="1"/>
      <c r="T241" s="1"/>
      <c r="U241" s="1"/>
      <c r="V241" s="1"/>
      <c r="W241" s="1"/>
      <c r="X241" s="1"/>
    </row>
    <row r="242" spans="1:24">
      <c r="A242" s="15"/>
      <c r="B242" s="15"/>
      <c r="C242" s="16"/>
      <c r="D242" s="16"/>
      <c r="E242" s="16"/>
      <c r="F242" s="16"/>
      <c r="G242" s="16"/>
      <c r="H242" s="16"/>
      <c r="I242" s="16"/>
      <c r="J242" s="16"/>
      <c r="K242" s="16"/>
      <c r="L242" s="16"/>
      <c r="M242" s="25"/>
      <c r="N242" s="25"/>
      <c r="O242" s="16"/>
      <c r="P242" s="1"/>
      <c r="Q242" s="1"/>
      <c r="R242" s="1"/>
      <c r="S242" s="1"/>
      <c r="T242" s="1"/>
      <c r="U242" s="1"/>
      <c r="V242" s="1"/>
      <c r="W242" s="1"/>
      <c r="X242" s="1"/>
    </row>
    <row r="243" spans="1:24">
      <c r="A243" s="15"/>
      <c r="B243" s="15"/>
      <c r="C243" s="16"/>
      <c r="D243" s="16"/>
      <c r="E243" s="16"/>
      <c r="F243" s="16"/>
      <c r="G243" s="16"/>
      <c r="H243" s="16"/>
      <c r="I243" s="16"/>
      <c r="J243" s="16"/>
      <c r="K243" s="16"/>
      <c r="L243" s="16"/>
      <c r="M243" s="25"/>
      <c r="N243" s="25"/>
      <c r="O243" s="16"/>
      <c r="P243" s="1"/>
      <c r="Q243" s="1"/>
      <c r="R243" s="1"/>
      <c r="S243" s="1"/>
      <c r="T243" s="1"/>
      <c r="U243" s="1"/>
      <c r="V243" s="1"/>
      <c r="W243" s="1"/>
      <c r="X243" s="1"/>
    </row>
    <row r="244" spans="1:24">
      <c r="A244" s="15"/>
      <c r="B244" s="15"/>
      <c r="C244" s="16"/>
      <c r="D244" s="16"/>
      <c r="E244" s="16"/>
      <c r="F244" s="16"/>
      <c r="G244" s="16"/>
      <c r="H244" s="16"/>
      <c r="I244" s="16"/>
      <c r="J244" s="16"/>
      <c r="K244" s="16"/>
      <c r="L244" s="16"/>
      <c r="M244" s="25"/>
      <c r="N244" s="25"/>
      <c r="O244" s="16"/>
      <c r="P244" s="1"/>
      <c r="Q244" s="1"/>
      <c r="R244" s="1"/>
      <c r="S244" s="1"/>
      <c r="T244" s="1"/>
      <c r="U244" s="1"/>
      <c r="V244" s="1"/>
      <c r="W244" s="1"/>
      <c r="X244" s="1"/>
    </row>
    <row r="245" spans="1:24">
      <c r="A245" s="15"/>
      <c r="B245" s="15"/>
      <c r="C245" s="16"/>
      <c r="D245" s="16"/>
      <c r="E245" s="16"/>
      <c r="F245" s="16"/>
      <c r="G245" s="16"/>
      <c r="H245" s="16"/>
      <c r="I245" s="16"/>
      <c r="J245" s="16"/>
      <c r="K245" s="16"/>
      <c r="L245" s="16"/>
      <c r="M245" s="25"/>
      <c r="N245" s="25"/>
      <c r="O245" s="16"/>
      <c r="P245" s="1"/>
      <c r="Q245" s="1"/>
      <c r="R245" s="1"/>
      <c r="S245" s="1"/>
      <c r="T245" s="1"/>
      <c r="U245" s="1"/>
      <c r="V245" s="1"/>
      <c r="W245" s="1"/>
      <c r="X245" s="1"/>
    </row>
    <row r="246" spans="1:24">
      <c r="A246" s="15"/>
      <c r="B246" s="15"/>
      <c r="C246" s="16"/>
      <c r="D246" s="16"/>
      <c r="E246" s="16"/>
      <c r="F246" s="16"/>
      <c r="G246" s="16"/>
      <c r="H246" s="16"/>
      <c r="I246" s="16"/>
      <c r="J246" s="16"/>
      <c r="K246" s="16"/>
      <c r="L246" s="16"/>
      <c r="M246" s="25"/>
      <c r="N246" s="25"/>
      <c r="O246" s="16"/>
      <c r="P246" s="1"/>
      <c r="Q246" s="1"/>
      <c r="R246" s="1"/>
      <c r="S246" s="1"/>
      <c r="T246" s="1"/>
      <c r="U246" s="1"/>
      <c r="V246" s="1"/>
      <c r="W246" s="1"/>
      <c r="X246" s="1"/>
    </row>
    <row r="247" spans="1:24">
      <c r="A247" s="15"/>
      <c r="B247" s="15"/>
      <c r="C247" s="16"/>
      <c r="D247" s="16"/>
      <c r="E247" s="16"/>
      <c r="F247" s="16"/>
      <c r="G247" s="16"/>
      <c r="H247" s="16"/>
      <c r="I247" s="16"/>
      <c r="J247" s="16"/>
      <c r="K247" s="16"/>
      <c r="L247" s="16"/>
      <c r="M247" s="25"/>
      <c r="N247" s="25"/>
      <c r="O247" s="16"/>
      <c r="P247" s="1"/>
      <c r="Q247" s="1"/>
      <c r="R247" s="1"/>
      <c r="S247" s="1"/>
      <c r="T247" s="1"/>
      <c r="U247" s="1"/>
      <c r="V247" s="1"/>
      <c r="W247" s="1"/>
      <c r="X247" s="1"/>
    </row>
    <row r="248" spans="1:24">
      <c r="A248" s="15"/>
      <c r="B248" s="15"/>
      <c r="C248" s="16"/>
      <c r="D248" s="16"/>
      <c r="E248" s="16"/>
      <c r="F248" s="16"/>
      <c r="G248" s="16"/>
      <c r="H248" s="16"/>
      <c r="I248" s="16"/>
      <c r="J248" s="16"/>
      <c r="K248" s="16"/>
      <c r="L248" s="16"/>
      <c r="M248" s="25"/>
      <c r="N248" s="25"/>
      <c r="O248" s="16"/>
      <c r="P248" s="1"/>
      <c r="Q248" s="1"/>
      <c r="R248" s="1"/>
      <c r="S248" s="1"/>
      <c r="T248" s="1"/>
      <c r="U248" s="1"/>
      <c r="V248" s="1"/>
      <c r="W248" s="1"/>
      <c r="X248" s="1"/>
    </row>
    <row r="249" spans="1:24">
      <c r="A249" s="15"/>
      <c r="B249" s="15"/>
      <c r="C249" s="16"/>
      <c r="D249" s="16"/>
      <c r="E249" s="16"/>
      <c r="F249" s="16"/>
      <c r="G249" s="16"/>
      <c r="H249" s="16"/>
      <c r="I249" s="16"/>
      <c r="J249" s="16"/>
      <c r="K249" s="16"/>
      <c r="L249" s="16"/>
      <c r="M249" s="25"/>
      <c r="N249" s="25"/>
      <c r="O249" s="16"/>
      <c r="P249" s="1"/>
      <c r="Q249" s="1"/>
      <c r="R249" s="1"/>
      <c r="S249" s="1"/>
      <c r="T249" s="1"/>
      <c r="U249" s="1"/>
      <c r="V249" s="1"/>
      <c r="W249" s="1"/>
      <c r="X249" s="1"/>
    </row>
    <row r="250" spans="1:24">
      <c r="A250" s="15"/>
      <c r="B250" s="15"/>
      <c r="C250" s="16"/>
      <c r="D250" s="16"/>
      <c r="E250" s="16"/>
      <c r="F250" s="16"/>
      <c r="G250" s="16"/>
      <c r="H250" s="16"/>
      <c r="I250" s="16"/>
      <c r="J250" s="16"/>
      <c r="K250" s="16"/>
      <c r="L250" s="16"/>
      <c r="M250" s="25"/>
      <c r="N250" s="25"/>
      <c r="O250" s="16"/>
      <c r="P250" s="1"/>
      <c r="Q250" s="1"/>
      <c r="R250" s="1"/>
      <c r="S250" s="1"/>
      <c r="T250" s="1"/>
      <c r="U250" s="1"/>
      <c r="V250" s="1"/>
      <c r="W250" s="1"/>
      <c r="X250" s="1"/>
    </row>
    <row r="251" spans="1:24">
      <c r="A251" s="15"/>
      <c r="B251" s="15"/>
      <c r="C251" s="16"/>
      <c r="D251" s="16"/>
      <c r="E251" s="16"/>
      <c r="F251" s="16"/>
      <c r="G251" s="16"/>
      <c r="H251" s="16"/>
      <c r="I251" s="16"/>
      <c r="J251" s="16"/>
      <c r="K251" s="16"/>
      <c r="L251" s="16"/>
      <c r="M251" s="25"/>
      <c r="N251" s="25"/>
      <c r="O251" s="16"/>
      <c r="P251" s="1"/>
      <c r="Q251" s="1"/>
      <c r="R251" s="1"/>
      <c r="S251" s="1"/>
      <c r="T251" s="1"/>
      <c r="U251" s="1"/>
      <c r="V251" s="1"/>
      <c r="W251" s="1"/>
      <c r="X251" s="1"/>
    </row>
    <row r="252" spans="1:24">
      <c r="A252" s="15"/>
      <c r="B252" s="15"/>
      <c r="C252" s="16"/>
      <c r="D252" s="16"/>
      <c r="E252" s="16"/>
      <c r="F252" s="16"/>
      <c r="G252" s="16"/>
      <c r="H252" s="16"/>
      <c r="I252" s="16"/>
      <c r="J252" s="16"/>
      <c r="K252" s="16"/>
      <c r="L252" s="16"/>
      <c r="M252" s="25"/>
      <c r="N252" s="25"/>
      <c r="O252" s="16"/>
      <c r="P252" s="1"/>
      <c r="Q252" s="1"/>
      <c r="R252" s="1"/>
      <c r="S252" s="1"/>
      <c r="T252" s="1"/>
      <c r="U252" s="1"/>
      <c r="V252" s="1"/>
      <c r="W252" s="1"/>
      <c r="X252" s="1"/>
    </row>
    <row r="253" spans="1:24">
      <c r="A253" s="15"/>
      <c r="B253" s="15"/>
      <c r="C253" s="16"/>
      <c r="D253" s="16"/>
      <c r="E253" s="16"/>
      <c r="F253" s="16"/>
      <c r="G253" s="16"/>
      <c r="H253" s="16"/>
      <c r="I253" s="16"/>
      <c r="J253" s="16"/>
      <c r="K253" s="16"/>
      <c r="L253" s="16"/>
      <c r="M253" s="25"/>
      <c r="N253" s="25"/>
      <c r="O253" s="16"/>
      <c r="P253" s="1"/>
      <c r="Q253" s="1"/>
      <c r="R253" s="1"/>
      <c r="S253" s="1"/>
      <c r="T253" s="1"/>
      <c r="U253" s="1"/>
      <c r="V253" s="1"/>
      <c r="W253" s="1"/>
      <c r="X253" s="1"/>
    </row>
    <row r="254" spans="1:24">
      <c r="A254" s="15"/>
      <c r="B254" s="15"/>
      <c r="C254" s="16"/>
      <c r="D254" s="16"/>
      <c r="E254" s="16"/>
      <c r="F254" s="16"/>
      <c r="G254" s="16"/>
      <c r="H254" s="16"/>
      <c r="I254" s="16"/>
      <c r="J254" s="16"/>
      <c r="K254" s="16"/>
      <c r="L254" s="16"/>
      <c r="M254" s="25"/>
      <c r="N254" s="25"/>
      <c r="O254" s="16"/>
      <c r="P254" s="1"/>
      <c r="Q254" s="1"/>
      <c r="R254" s="1"/>
      <c r="S254" s="1"/>
      <c r="T254" s="1"/>
      <c r="U254" s="1"/>
      <c r="V254" s="1"/>
      <c r="W254" s="1"/>
      <c r="X254" s="1"/>
    </row>
    <row r="255" spans="1:24">
      <c r="A255" s="15"/>
      <c r="B255" s="15"/>
      <c r="C255" s="16"/>
      <c r="D255" s="16"/>
      <c r="E255" s="16"/>
      <c r="F255" s="16"/>
      <c r="G255" s="16"/>
      <c r="H255" s="16"/>
      <c r="I255" s="16"/>
      <c r="J255" s="16"/>
      <c r="K255" s="16"/>
      <c r="L255" s="16"/>
      <c r="M255" s="25"/>
      <c r="N255" s="25"/>
      <c r="O255" s="16"/>
      <c r="P255" s="1"/>
      <c r="Q255" s="1"/>
      <c r="R255" s="1"/>
      <c r="S255" s="1"/>
      <c r="T255" s="1"/>
      <c r="U255" s="1"/>
      <c r="V255" s="1"/>
      <c r="W255" s="1"/>
      <c r="X255" s="1"/>
    </row>
    <row r="256" spans="1:24">
      <c r="A256" s="15"/>
      <c r="B256" s="15"/>
      <c r="C256" s="16"/>
      <c r="D256" s="16"/>
      <c r="E256" s="16"/>
      <c r="F256" s="16"/>
      <c r="G256" s="16"/>
      <c r="H256" s="16"/>
      <c r="I256" s="16"/>
      <c r="J256" s="16"/>
      <c r="K256" s="16"/>
      <c r="L256" s="16"/>
      <c r="M256" s="25"/>
      <c r="N256" s="25"/>
      <c r="O256" s="16"/>
      <c r="P256" s="1"/>
      <c r="Q256" s="1"/>
      <c r="R256" s="1"/>
      <c r="S256" s="1"/>
      <c r="T256" s="1"/>
      <c r="U256" s="1"/>
      <c r="V256" s="1"/>
      <c r="W256" s="1"/>
      <c r="X256" s="1"/>
    </row>
    <row r="257" spans="1:24">
      <c r="A257" s="15"/>
      <c r="B257" s="15"/>
      <c r="C257" s="16"/>
      <c r="D257" s="16"/>
      <c r="E257" s="16"/>
      <c r="F257" s="16"/>
      <c r="G257" s="16"/>
      <c r="H257" s="16"/>
      <c r="I257" s="16"/>
      <c r="J257" s="16"/>
      <c r="K257" s="16"/>
      <c r="L257" s="16"/>
      <c r="M257" s="25"/>
      <c r="N257" s="25"/>
      <c r="O257" s="16"/>
      <c r="P257" s="1"/>
      <c r="Q257" s="1"/>
      <c r="R257" s="1"/>
      <c r="S257" s="1"/>
      <c r="T257" s="1"/>
      <c r="U257" s="1"/>
      <c r="V257" s="1"/>
      <c r="W257" s="1"/>
      <c r="X257" s="1"/>
    </row>
    <row r="258" spans="1:24">
      <c r="A258" s="15"/>
      <c r="B258" s="15"/>
      <c r="C258" s="16"/>
      <c r="D258" s="16"/>
      <c r="E258" s="16"/>
      <c r="F258" s="16"/>
      <c r="G258" s="16"/>
      <c r="H258" s="16"/>
      <c r="I258" s="16"/>
      <c r="J258" s="16"/>
      <c r="K258" s="16"/>
      <c r="L258" s="16"/>
      <c r="M258" s="25"/>
      <c r="N258" s="25"/>
      <c r="O258" s="16"/>
      <c r="P258" s="1"/>
      <c r="Q258" s="1"/>
      <c r="R258" s="1"/>
      <c r="S258" s="1"/>
      <c r="T258" s="1"/>
      <c r="U258" s="1"/>
      <c r="V258" s="1"/>
      <c r="W258" s="1"/>
      <c r="X258" s="1"/>
    </row>
    <row r="259" spans="1:24">
      <c r="A259" s="15"/>
      <c r="B259" s="15"/>
      <c r="C259" s="16"/>
      <c r="D259" s="16"/>
      <c r="E259" s="16"/>
      <c r="F259" s="16"/>
      <c r="G259" s="16"/>
      <c r="H259" s="16"/>
      <c r="I259" s="16"/>
      <c r="J259" s="16"/>
      <c r="K259" s="16"/>
      <c r="L259" s="16"/>
      <c r="M259" s="25"/>
      <c r="N259" s="25"/>
      <c r="O259" s="16"/>
      <c r="P259" s="1"/>
      <c r="Q259" s="1"/>
      <c r="R259" s="1"/>
      <c r="S259" s="1"/>
      <c r="T259" s="1"/>
      <c r="U259" s="1"/>
      <c r="V259" s="1"/>
      <c r="W259" s="1"/>
      <c r="X259" s="1"/>
    </row>
    <row r="260" spans="1:24">
      <c r="A260" s="15"/>
      <c r="B260" s="15"/>
      <c r="C260" s="16"/>
      <c r="D260" s="16"/>
      <c r="E260" s="16"/>
      <c r="F260" s="16"/>
      <c r="G260" s="16"/>
      <c r="H260" s="16"/>
      <c r="I260" s="16"/>
      <c r="J260" s="16"/>
      <c r="K260" s="16"/>
      <c r="L260" s="16"/>
      <c r="M260" s="25"/>
      <c r="N260" s="25"/>
      <c r="O260" s="16"/>
      <c r="P260" s="1"/>
      <c r="Q260" s="1"/>
      <c r="R260" s="1"/>
      <c r="S260" s="1"/>
      <c r="T260" s="1"/>
      <c r="U260" s="1"/>
      <c r="V260" s="1"/>
      <c r="W260" s="1"/>
      <c r="X260" s="1"/>
    </row>
    <row r="261" spans="1:24">
      <c r="A261" s="15"/>
      <c r="B261" s="15"/>
      <c r="C261" s="16"/>
      <c r="D261" s="16"/>
      <c r="E261" s="16"/>
      <c r="F261" s="16"/>
      <c r="G261" s="16"/>
      <c r="H261" s="16"/>
      <c r="I261" s="16"/>
      <c r="J261" s="16"/>
      <c r="K261" s="16"/>
      <c r="L261" s="16"/>
      <c r="M261" s="25"/>
      <c r="N261" s="25"/>
      <c r="O261" s="16"/>
      <c r="P261" s="1"/>
      <c r="Q261" s="1"/>
      <c r="R261" s="1"/>
      <c r="S261" s="1"/>
      <c r="T261" s="1"/>
      <c r="U261" s="1"/>
      <c r="V261" s="1"/>
      <c r="W261" s="1"/>
      <c r="X261" s="1"/>
    </row>
    <row r="262" spans="1:24">
      <c r="A262" s="15"/>
      <c r="B262" s="15"/>
      <c r="C262" s="16"/>
      <c r="D262" s="16"/>
      <c r="E262" s="16"/>
      <c r="F262" s="16"/>
      <c r="G262" s="16"/>
      <c r="H262" s="16"/>
      <c r="I262" s="16"/>
      <c r="J262" s="16"/>
      <c r="K262" s="16"/>
      <c r="L262" s="16"/>
      <c r="M262" s="25"/>
      <c r="N262" s="25"/>
      <c r="O262" s="16"/>
      <c r="P262" s="1"/>
      <c r="Q262" s="1"/>
      <c r="R262" s="1"/>
      <c r="S262" s="1"/>
      <c r="T262" s="1"/>
      <c r="U262" s="1"/>
      <c r="V262" s="1"/>
      <c r="W262" s="1"/>
      <c r="X262" s="1"/>
    </row>
    <row r="263" spans="1:24">
      <c r="A263" s="15"/>
      <c r="B263" s="15"/>
      <c r="C263" s="16"/>
      <c r="D263" s="16"/>
      <c r="E263" s="16"/>
      <c r="F263" s="16"/>
      <c r="G263" s="16"/>
      <c r="H263" s="16"/>
      <c r="I263" s="16"/>
      <c r="J263" s="16"/>
      <c r="K263" s="16"/>
      <c r="L263" s="16"/>
      <c r="M263" s="25"/>
      <c r="N263" s="25"/>
      <c r="O263" s="16"/>
      <c r="P263" s="1"/>
      <c r="Q263" s="1"/>
      <c r="R263" s="1"/>
      <c r="S263" s="1"/>
      <c r="T263" s="1"/>
      <c r="U263" s="1"/>
      <c r="V263" s="1"/>
      <c r="W263" s="1"/>
      <c r="X263" s="1"/>
    </row>
    <row r="264" spans="1:24">
      <c r="A264" s="15"/>
      <c r="B264" s="15"/>
      <c r="C264" s="16"/>
      <c r="D264" s="16"/>
      <c r="E264" s="16"/>
      <c r="F264" s="16"/>
      <c r="G264" s="16"/>
      <c r="H264" s="16"/>
      <c r="I264" s="16"/>
      <c r="J264" s="16"/>
      <c r="K264" s="16"/>
      <c r="L264" s="16"/>
      <c r="M264" s="25"/>
      <c r="N264" s="25"/>
      <c r="O264" s="16"/>
      <c r="P264" s="1"/>
      <c r="Q264" s="1"/>
      <c r="R264" s="1"/>
      <c r="S264" s="1"/>
      <c r="T264" s="1"/>
      <c r="U264" s="1"/>
      <c r="V264" s="1"/>
      <c r="W264" s="1"/>
      <c r="X264" s="1"/>
    </row>
    <row r="265" spans="1:24">
      <c r="A265" s="15"/>
      <c r="B265" s="15"/>
      <c r="C265" s="16"/>
      <c r="D265" s="16"/>
      <c r="E265" s="16"/>
      <c r="F265" s="16"/>
      <c r="G265" s="16"/>
      <c r="H265" s="16"/>
      <c r="I265" s="16"/>
      <c r="J265" s="16"/>
      <c r="K265" s="16"/>
      <c r="L265" s="16"/>
      <c r="M265" s="25"/>
      <c r="N265" s="25"/>
      <c r="O265" s="16"/>
      <c r="P265" s="1"/>
      <c r="Q265" s="1"/>
      <c r="R265" s="1"/>
      <c r="S265" s="1"/>
      <c r="T265" s="1"/>
      <c r="U265" s="1"/>
      <c r="V265" s="1"/>
      <c r="W265" s="1"/>
      <c r="X265" s="1"/>
    </row>
    <row r="266" spans="1:24">
      <c r="A266" s="15"/>
      <c r="B266" s="15"/>
      <c r="C266" s="16"/>
      <c r="D266" s="16"/>
      <c r="E266" s="16"/>
      <c r="F266" s="16"/>
      <c r="G266" s="16"/>
      <c r="H266" s="16"/>
      <c r="I266" s="16"/>
      <c r="J266" s="16"/>
      <c r="K266" s="16"/>
      <c r="L266" s="16"/>
      <c r="M266" s="25"/>
      <c r="N266" s="25"/>
      <c r="O266" s="16"/>
      <c r="P266" s="1"/>
      <c r="Q266" s="1"/>
      <c r="R266" s="1"/>
      <c r="S266" s="1"/>
      <c r="T266" s="1"/>
      <c r="U266" s="1"/>
      <c r="V266" s="1"/>
      <c r="W266" s="1"/>
      <c r="X266" s="1"/>
    </row>
    <row r="267" spans="1:24">
      <c r="A267" s="15"/>
      <c r="B267" s="15"/>
      <c r="C267" s="16"/>
      <c r="D267" s="16"/>
      <c r="E267" s="16"/>
      <c r="F267" s="16"/>
      <c r="G267" s="16"/>
      <c r="H267" s="16"/>
      <c r="I267" s="16"/>
      <c r="J267" s="16"/>
      <c r="K267" s="16"/>
      <c r="L267" s="16"/>
      <c r="M267" s="25"/>
      <c r="N267" s="25"/>
      <c r="O267" s="16"/>
      <c r="P267" s="1"/>
      <c r="Q267" s="1"/>
      <c r="R267" s="1"/>
      <c r="S267" s="1"/>
      <c r="T267" s="1"/>
      <c r="U267" s="1"/>
      <c r="V267" s="1"/>
      <c r="W267" s="1"/>
      <c r="X267" s="1"/>
    </row>
    <row r="268" spans="1:24">
      <c r="A268" s="15"/>
      <c r="B268" s="15"/>
      <c r="C268" s="16"/>
      <c r="D268" s="16"/>
      <c r="E268" s="16"/>
      <c r="F268" s="16"/>
      <c r="G268" s="16"/>
      <c r="H268" s="16"/>
      <c r="I268" s="16"/>
      <c r="J268" s="16"/>
      <c r="K268" s="16"/>
      <c r="L268" s="16"/>
      <c r="M268" s="25"/>
      <c r="N268" s="25"/>
      <c r="O268" s="16"/>
      <c r="P268" s="1"/>
      <c r="Q268" s="1"/>
      <c r="R268" s="1"/>
      <c r="S268" s="1"/>
      <c r="T268" s="1"/>
      <c r="U268" s="1"/>
      <c r="V268" s="1"/>
      <c r="W268" s="1"/>
      <c r="X268" s="1"/>
    </row>
    <row r="269" spans="1:24">
      <c r="A269" s="15"/>
      <c r="B269" s="15"/>
      <c r="C269" s="16"/>
      <c r="D269" s="16"/>
      <c r="E269" s="16"/>
      <c r="F269" s="16"/>
      <c r="G269" s="16"/>
      <c r="H269" s="16"/>
      <c r="I269" s="16"/>
      <c r="J269" s="16"/>
      <c r="K269" s="16"/>
      <c r="L269" s="16"/>
      <c r="M269" s="25"/>
      <c r="N269" s="25"/>
      <c r="O269" s="16"/>
      <c r="P269" s="1"/>
      <c r="Q269" s="1"/>
      <c r="R269" s="1"/>
      <c r="S269" s="1"/>
      <c r="T269" s="1"/>
      <c r="U269" s="1"/>
      <c r="V269" s="1"/>
      <c r="W269" s="1"/>
      <c r="X269" s="1"/>
    </row>
    <row r="270" spans="1:24">
      <c r="A270" s="15"/>
      <c r="B270" s="15"/>
      <c r="C270" s="16"/>
      <c r="D270" s="16"/>
      <c r="E270" s="16"/>
      <c r="F270" s="16"/>
      <c r="G270" s="16"/>
      <c r="H270" s="16"/>
      <c r="I270" s="16"/>
      <c r="J270" s="16"/>
      <c r="K270" s="16"/>
      <c r="L270" s="16"/>
      <c r="M270" s="25"/>
      <c r="N270" s="25"/>
      <c r="O270" s="16"/>
      <c r="P270" s="1"/>
      <c r="Q270" s="1"/>
      <c r="R270" s="1"/>
      <c r="S270" s="1"/>
      <c r="T270" s="1"/>
      <c r="U270" s="1"/>
      <c r="V270" s="1"/>
      <c r="W270" s="1"/>
      <c r="X270" s="1"/>
    </row>
    <row r="271" spans="1:24">
      <c r="A271" s="15"/>
      <c r="B271" s="15"/>
      <c r="C271" s="16"/>
      <c r="D271" s="16"/>
      <c r="E271" s="16"/>
      <c r="F271" s="16"/>
      <c r="G271" s="16"/>
      <c r="H271" s="16"/>
      <c r="I271" s="16"/>
      <c r="J271" s="16"/>
      <c r="K271" s="16"/>
      <c r="L271" s="16"/>
      <c r="M271" s="25"/>
      <c r="N271" s="25"/>
      <c r="O271" s="16"/>
      <c r="P271" s="1"/>
      <c r="Q271" s="1"/>
      <c r="R271" s="1"/>
      <c r="S271" s="1"/>
      <c r="T271" s="1"/>
      <c r="U271" s="1"/>
      <c r="V271" s="1"/>
      <c r="W271" s="1"/>
      <c r="X271" s="1"/>
    </row>
    <row r="272" spans="1:24">
      <c r="A272" s="15"/>
      <c r="B272" s="15"/>
      <c r="C272" s="16"/>
      <c r="D272" s="16"/>
      <c r="E272" s="16"/>
      <c r="F272" s="16"/>
      <c r="G272" s="16"/>
      <c r="H272" s="16"/>
      <c r="I272" s="16"/>
      <c r="J272" s="16"/>
      <c r="K272" s="16"/>
      <c r="L272" s="16"/>
      <c r="M272" s="25"/>
      <c r="N272" s="25"/>
      <c r="O272" s="16"/>
      <c r="P272" s="1"/>
      <c r="Q272" s="1"/>
      <c r="R272" s="1"/>
      <c r="S272" s="1"/>
      <c r="T272" s="1"/>
      <c r="U272" s="1"/>
      <c r="V272" s="1"/>
      <c r="W272" s="1"/>
      <c r="X272" s="1"/>
    </row>
    <row r="273" spans="1:24">
      <c r="A273" s="15"/>
      <c r="B273" s="15"/>
      <c r="C273" s="16"/>
      <c r="D273" s="16"/>
      <c r="E273" s="16"/>
      <c r="F273" s="16"/>
      <c r="G273" s="16"/>
      <c r="H273" s="16"/>
      <c r="I273" s="16"/>
      <c r="J273" s="16"/>
      <c r="K273" s="16"/>
      <c r="L273" s="16"/>
      <c r="M273" s="25"/>
      <c r="N273" s="25"/>
      <c r="O273" s="16"/>
      <c r="P273" s="1"/>
      <c r="Q273" s="1"/>
      <c r="R273" s="1"/>
      <c r="S273" s="1"/>
      <c r="T273" s="1"/>
      <c r="U273" s="1"/>
      <c r="V273" s="1"/>
      <c r="W273" s="1"/>
      <c r="X273" s="1"/>
    </row>
    <row r="274" spans="1:24">
      <c r="A274" s="15"/>
      <c r="B274" s="15"/>
      <c r="C274" s="16"/>
      <c r="D274" s="16"/>
      <c r="E274" s="16"/>
      <c r="F274" s="16"/>
      <c r="G274" s="16"/>
      <c r="H274" s="16"/>
      <c r="I274" s="16"/>
      <c r="J274" s="16"/>
      <c r="K274" s="16"/>
      <c r="L274" s="16"/>
      <c r="M274" s="25"/>
      <c r="N274" s="25"/>
      <c r="O274" s="16"/>
      <c r="P274" s="1"/>
      <c r="Q274" s="1"/>
      <c r="R274" s="1"/>
      <c r="S274" s="1"/>
      <c r="T274" s="1"/>
      <c r="U274" s="1"/>
      <c r="V274" s="1"/>
      <c r="W274" s="1"/>
      <c r="X274" s="1"/>
    </row>
    <row r="275" spans="1:24">
      <c r="A275" s="15"/>
      <c r="B275" s="15"/>
      <c r="C275" s="16"/>
      <c r="D275" s="16"/>
      <c r="E275" s="16"/>
      <c r="F275" s="16"/>
      <c r="G275" s="16"/>
      <c r="H275" s="16"/>
      <c r="I275" s="16"/>
      <c r="J275" s="16"/>
      <c r="K275" s="16"/>
      <c r="L275" s="16"/>
      <c r="M275" s="25"/>
      <c r="N275" s="25"/>
      <c r="O275" s="16"/>
      <c r="P275" s="1"/>
      <c r="Q275" s="1"/>
      <c r="R275" s="1"/>
      <c r="S275" s="1"/>
      <c r="T275" s="1"/>
      <c r="U275" s="1"/>
      <c r="V275" s="1"/>
      <c r="W275" s="1"/>
      <c r="X275" s="1"/>
    </row>
    <row r="276" spans="1:24">
      <c r="A276" s="15"/>
      <c r="B276" s="15"/>
      <c r="C276" s="16"/>
      <c r="D276" s="16"/>
      <c r="E276" s="16"/>
      <c r="F276" s="16"/>
      <c r="G276" s="16"/>
      <c r="H276" s="16"/>
      <c r="I276" s="16"/>
      <c r="J276" s="16"/>
      <c r="K276" s="16"/>
      <c r="L276" s="16"/>
      <c r="M276" s="25"/>
      <c r="N276" s="25"/>
      <c r="O276" s="16"/>
      <c r="P276" s="1"/>
      <c r="Q276" s="1"/>
      <c r="R276" s="1"/>
      <c r="S276" s="1"/>
      <c r="T276" s="1"/>
      <c r="U276" s="1"/>
      <c r="V276" s="1"/>
      <c r="W276" s="1"/>
      <c r="X276" s="1"/>
    </row>
    <row r="277" spans="1:24">
      <c r="A277" s="15"/>
      <c r="B277" s="15"/>
      <c r="C277" s="16"/>
      <c r="D277" s="16"/>
      <c r="E277" s="16"/>
      <c r="F277" s="16"/>
      <c r="G277" s="16"/>
      <c r="H277" s="16"/>
      <c r="I277" s="16"/>
      <c r="J277" s="16"/>
      <c r="K277" s="16"/>
      <c r="L277" s="16"/>
      <c r="M277" s="25"/>
      <c r="N277" s="25"/>
      <c r="O277" s="16"/>
      <c r="P277" s="1"/>
      <c r="Q277" s="1"/>
      <c r="R277" s="1"/>
      <c r="S277" s="1"/>
      <c r="T277" s="1"/>
      <c r="U277" s="1"/>
      <c r="V277" s="1"/>
      <c r="W277" s="1"/>
      <c r="X277" s="1"/>
    </row>
    <row r="278" spans="1:24">
      <c r="A278" s="15"/>
      <c r="B278" s="15"/>
      <c r="C278" s="16"/>
      <c r="D278" s="16"/>
      <c r="E278" s="16"/>
      <c r="F278" s="16"/>
      <c r="G278" s="16"/>
      <c r="H278" s="16"/>
      <c r="I278" s="16"/>
      <c r="J278" s="16"/>
      <c r="K278" s="16"/>
      <c r="L278" s="16"/>
      <c r="M278" s="25"/>
      <c r="N278" s="25"/>
      <c r="O278" s="16"/>
      <c r="P278" s="1"/>
      <c r="Q278" s="1"/>
      <c r="R278" s="1"/>
      <c r="S278" s="1"/>
      <c r="T278" s="1"/>
      <c r="U278" s="1"/>
      <c r="V278" s="1"/>
      <c r="W278" s="1"/>
      <c r="X278" s="1"/>
    </row>
    <row r="279" spans="1:24">
      <c r="A279" s="15"/>
      <c r="B279" s="15"/>
      <c r="C279" s="16"/>
      <c r="D279" s="16"/>
      <c r="E279" s="16"/>
      <c r="F279" s="16"/>
      <c r="G279" s="16"/>
      <c r="H279" s="16"/>
      <c r="I279" s="16"/>
      <c r="J279" s="16"/>
      <c r="K279" s="16"/>
      <c r="L279" s="16"/>
      <c r="M279" s="25"/>
      <c r="N279" s="25"/>
      <c r="O279" s="16"/>
      <c r="P279" s="1"/>
      <c r="Q279" s="1"/>
      <c r="R279" s="1"/>
      <c r="S279" s="1"/>
      <c r="T279" s="1"/>
      <c r="U279" s="1"/>
      <c r="V279" s="1"/>
      <c r="W279" s="1"/>
      <c r="X279" s="1"/>
    </row>
    <row r="280" spans="1:24">
      <c r="A280" s="15"/>
      <c r="B280" s="15"/>
      <c r="C280" s="16"/>
      <c r="D280" s="16"/>
      <c r="E280" s="16"/>
      <c r="F280" s="16"/>
      <c r="G280" s="16"/>
      <c r="H280" s="16"/>
      <c r="I280" s="16"/>
      <c r="J280" s="16"/>
      <c r="K280" s="16"/>
      <c r="L280" s="16"/>
      <c r="M280" s="25"/>
      <c r="N280" s="25"/>
      <c r="O280" s="16"/>
      <c r="P280" s="1"/>
      <c r="Q280" s="1"/>
      <c r="R280" s="1"/>
      <c r="S280" s="1"/>
      <c r="T280" s="1"/>
      <c r="U280" s="1"/>
      <c r="V280" s="1"/>
      <c r="W280" s="1"/>
      <c r="X280" s="1"/>
    </row>
    <row r="281" spans="1:24">
      <c r="A281" s="15"/>
      <c r="B281" s="15"/>
      <c r="C281" s="16"/>
      <c r="D281" s="16"/>
      <c r="E281" s="16"/>
      <c r="F281" s="16"/>
      <c r="G281" s="16"/>
      <c r="H281" s="16"/>
      <c r="I281" s="16"/>
      <c r="J281" s="16"/>
      <c r="K281" s="16"/>
      <c r="L281" s="16"/>
      <c r="M281" s="25"/>
      <c r="N281" s="25"/>
      <c r="O281" s="16"/>
      <c r="P281" s="1"/>
      <c r="Q281" s="1"/>
      <c r="R281" s="1"/>
      <c r="S281" s="1"/>
      <c r="T281" s="1"/>
      <c r="U281" s="1"/>
      <c r="V281" s="1"/>
      <c r="W281" s="1"/>
      <c r="X281" s="1"/>
    </row>
    <row r="282" spans="1:24">
      <c r="A282" s="15"/>
      <c r="B282" s="15"/>
      <c r="C282" s="16"/>
      <c r="D282" s="16"/>
      <c r="E282" s="16"/>
      <c r="F282" s="16"/>
      <c r="G282" s="16"/>
      <c r="H282" s="16"/>
      <c r="I282" s="16"/>
      <c r="J282" s="16"/>
      <c r="K282" s="16"/>
      <c r="L282" s="16"/>
      <c r="M282" s="25"/>
      <c r="N282" s="25"/>
      <c r="O282" s="16"/>
      <c r="P282" s="1"/>
      <c r="Q282" s="1"/>
      <c r="R282" s="1"/>
      <c r="S282" s="1"/>
      <c r="T282" s="1"/>
      <c r="U282" s="1"/>
      <c r="V282" s="1"/>
      <c r="W282" s="1"/>
      <c r="X282" s="1"/>
    </row>
    <row r="283" spans="1:24">
      <c r="A283" s="15"/>
      <c r="B283" s="15"/>
      <c r="C283" s="16"/>
      <c r="D283" s="16"/>
      <c r="E283" s="16"/>
      <c r="F283" s="16"/>
      <c r="G283" s="16"/>
      <c r="H283" s="16"/>
      <c r="I283" s="16"/>
      <c r="J283" s="16"/>
      <c r="K283" s="16"/>
      <c r="L283" s="16"/>
      <c r="M283" s="25"/>
      <c r="N283" s="25"/>
      <c r="O283" s="16"/>
      <c r="P283" s="1"/>
      <c r="Q283" s="1"/>
      <c r="R283" s="1"/>
      <c r="S283" s="1"/>
      <c r="T283" s="1"/>
      <c r="U283" s="1"/>
      <c r="V283" s="1"/>
      <c r="W283" s="1"/>
      <c r="X283" s="1"/>
    </row>
    <row r="284" spans="1:24">
      <c r="A284" s="15"/>
      <c r="B284" s="15"/>
      <c r="C284" s="16"/>
      <c r="D284" s="16"/>
      <c r="E284" s="16"/>
      <c r="F284" s="16"/>
      <c r="G284" s="16"/>
      <c r="H284" s="16"/>
      <c r="I284" s="16"/>
      <c r="J284" s="16"/>
      <c r="K284" s="16"/>
      <c r="L284" s="16"/>
      <c r="M284" s="25"/>
      <c r="N284" s="25"/>
      <c r="O284" s="16"/>
      <c r="P284" s="1"/>
      <c r="Q284" s="1"/>
      <c r="R284" s="1"/>
      <c r="S284" s="1"/>
      <c r="T284" s="1"/>
      <c r="U284" s="1"/>
      <c r="V284" s="1"/>
      <c r="W284" s="1"/>
      <c r="X284" s="1"/>
    </row>
    <row r="285" spans="1:24">
      <c r="A285" s="15"/>
      <c r="B285" s="15"/>
      <c r="C285" s="16"/>
      <c r="D285" s="16"/>
      <c r="E285" s="16"/>
      <c r="F285" s="16"/>
      <c r="G285" s="16"/>
      <c r="H285" s="16"/>
      <c r="I285" s="16"/>
      <c r="J285" s="16"/>
      <c r="K285" s="16"/>
      <c r="L285" s="16"/>
      <c r="M285" s="25"/>
      <c r="N285" s="25"/>
      <c r="O285" s="16"/>
      <c r="P285" s="1"/>
      <c r="Q285" s="1"/>
      <c r="R285" s="1"/>
      <c r="S285" s="1"/>
      <c r="T285" s="1"/>
      <c r="U285" s="1"/>
      <c r="V285" s="1"/>
      <c r="W285" s="1"/>
      <c r="X285" s="1"/>
    </row>
    <row r="286" spans="1:24">
      <c r="A286" s="15"/>
      <c r="B286" s="15"/>
      <c r="C286" s="16"/>
      <c r="D286" s="16"/>
      <c r="E286" s="16"/>
      <c r="F286" s="16"/>
      <c r="G286" s="16"/>
      <c r="H286" s="16"/>
      <c r="I286" s="16"/>
      <c r="J286" s="16"/>
      <c r="K286" s="16"/>
      <c r="L286" s="16"/>
      <c r="M286" s="25"/>
      <c r="N286" s="25"/>
      <c r="O286" s="16"/>
      <c r="P286" s="1"/>
      <c r="Q286" s="1"/>
      <c r="R286" s="1"/>
      <c r="S286" s="1"/>
      <c r="T286" s="1"/>
      <c r="U286" s="1"/>
      <c r="V286" s="1"/>
      <c r="W286" s="1"/>
      <c r="X286" s="1"/>
    </row>
    <row r="287" spans="1:24">
      <c r="A287" s="15"/>
      <c r="B287" s="15"/>
      <c r="C287" s="16"/>
      <c r="D287" s="16"/>
      <c r="E287" s="16"/>
      <c r="F287" s="16"/>
      <c r="G287" s="16"/>
      <c r="H287" s="16"/>
      <c r="I287" s="16"/>
      <c r="J287" s="16"/>
      <c r="K287" s="16"/>
      <c r="L287" s="16"/>
      <c r="M287" s="25"/>
      <c r="N287" s="25"/>
      <c r="O287" s="16"/>
      <c r="P287" s="1"/>
      <c r="Q287" s="1"/>
      <c r="R287" s="1"/>
      <c r="S287" s="1"/>
      <c r="T287" s="1"/>
      <c r="U287" s="1"/>
      <c r="V287" s="1"/>
      <c r="W287" s="1"/>
      <c r="X287" s="1"/>
    </row>
    <row r="288" spans="1:24">
      <c r="A288" s="15"/>
      <c r="B288" s="15"/>
      <c r="C288" s="16"/>
      <c r="D288" s="16"/>
      <c r="E288" s="16"/>
      <c r="F288" s="16"/>
      <c r="G288" s="16"/>
      <c r="H288" s="16"/>
      <c r="I288" s="16"/>
      <c r="J288" s="16"/>
      <c r="K288" s="16"/>
      <c r="L288" s="16"/>
      <c r="M288" s="25"/>
      <c r="N288" s="25"/>
      <c r="O288" s="16"/>
      <c r="P288" s="1"/>
      <c r="Q288" s="1"/>
      <c r="R288" s="1"/>
      <c r="S288" s="1"/>
      <c r="T288" s="1"/>
      <c r="U288" s="1"/>
      <c r="V288" s="1"/>
      <c r="W288" s="1"/>
      <c r="X288" s="1"/>
    </row>
    <row r="289" spans="1:24">
      <c r="A289" s="15"/>
      <c r="B289" s="15"/>
      <c r="C289" s="16"/>
      <c r="D289" s="16"/>
      <c r="E289" s="16"/>
      <c r="F289" s="16"/>
      <c r="G289" s="16"/>
      <c r="H289" s="16"/>
      <c r="I289" s="16"/>
      <c r="J289" s="16"/>
      <c r="K289" s="16"/>
      <c r="L289" s="16"/>
      <c r="M289" s="25"/>
      <c r="N289" s="25"/>
      <c r="O289" s="16"/>
      <c r="P289" s="1"/>
      <c r="Q289" s="1"/>
      <c r="R289" s="1"/>
      <c r="S289" s="1"/>
      <c r="T289" s="1"/>
      <c r="U289" s="1"/>
      <c r="V289" s="1"/>
      <c r="W289" s="1"/>
      <c r="X289" s="1"/>
    </row>
    <row r="290" spans="1:24">
      <c r="A290" s="15"/>
      <c r="B290" s="15"/>
      <c r="C290" s="16"/>
      <c r="D290" s="16"/>
      <c r="E290" s="16"/>
      <c r="F290" s="16"/>
      <c r="G290" s="16"/>
      <c r="H290" s="16"/>
      <c r="I290" s="16"/>
      <c r="J290" s="16"/>
      <c r="K290" s="16"/>
      <c r="L290" s="16"/>
      <c r="M290" s="25"/>
      <c r="N290" s="25"/>
      <c r="O290" s="16"/>
      <c r="P290" s="1"/>
      <c r="Q290" s="1"/>
      <c r="R290" s="1"/>
      <c r="S290" s="1"/>
      <c r="T290" s="1"/>
      <c r="U290" s="1"/>
      <c r="V290" s="1"/>
      <c r="W290" s="1"/>
      <c r="X290" s="1"/>
    </row>
    <row r="291" spans="1:24">
      <c r="A291" s="15"/>
      <c r="B291" s="15"/>
      <c r="C291" s="16"/>
      <c r="D291" s="16"/>
      <c r="E291" s="16"/>
      <c r="F291" s="16"/>
      <c r="G291" s="16"/>
      <c r="H291" s="16"/>
      <c r="I291" s="16"/>
      <c r="J291" s="16"/>
      <c r="K291" s="16"/>
      <c r="L291" s="16"/>
      <c r="M291" s="25"/>
      <c r="N291" s="25"/>
      <c r="O291" s="16"/>
      <c r="P291" s="1"/>
      <c r="Q291" s="1"/>
      <c r="R291" s="1"/>
      <c r="S291" s="1"/>
      <c r="T291" s="1"/>
      <c r="U291" s="1"/>
      <c r="V291" s="1"/>
      <c r="W291" s="1"/>
      <c r="X291" s="1"/>
    </row>
    <row r="292" spans="1:24">
      <c r="A292" s="15"/>
      <c r="B292" s="15"/>
      <c r="C292" s="16"/>
      <c r="D292" s="16"/>
      <c r="E292" s="16"/>
      <c r="F292" s="16"/>
      <c r="G292" s="16"/>
      <c r="H292" s="16"/>
      <c r="I292" s="16"/>
      <c r="J292" s="16"/>
      <c r="K292" s="16"/>
      <c r="L292" s="16"/>
      <c r="M292" s="25"/>
      <c r="N292" s="25"/>
      <c r="O292" s="16"/>
      <c r="P292" s="1"/>
      <c r="Q292" s="1"/>
      <c r="R292" s="1"/>
      <c r="S292" s="1"/>
      <c r="T292" s="1"/>
      <c r="U292" s="1"/>
      <c r="V292" s="1"/>
      <c r="W292" s="1"/>
      <c r="X292" s="1"/>
    </row>
    <row r="293" spans="1:24">
      <c r="A293" s="15"/>
      <c r="B293" s="15"/>
      <c r="C293" s="16"/>
      <c r="D293" s="16"/>
      <c r="E293" s="16"/>
      <c r="F293" s="16"/>
      <c r="G293" s="16"/>
      <c r="H293" s="16"/>
      <c r="I293" s="16"/>
      <c r="J293" s="16"/>
      <c r="K293" s="16"/>
      <c r="L293" s="16"/>
      <c r="M293" s="25"/>
      <c r="N293" s="25"/>
      <c r="O293" s="16"/>
      <c r="P293" s="1"/>
      <c r="Q293" s="1"/>
      <c r="R293" s="1"/>
      <c r="S293" s="1"/>
      <c r="T293" s="1"/>
      <c r="U293" s="1"/>
      <c r="V293" s="1"/>
      <c r="W293" s="1"/>
      <c r="X293" s="1"/>
    </row>
    <row r="294" spans="1:24">
      <c r="A294" s="15"/>
      <c r="B294" s="15"/>
      <c r="C294" s="16"/>
      <c r="D294" s="16"/>
      <c r="E294" s="16"/>
      <c r="F294" s="16"/>
      <c r="G294" s="16"/>
      <c r="H294" s="16"/>
      <c r="I294" s="16"/>
      <c r="J294" s="16"/>
      <c r="K294" s="16"/>
      <c r="L294" s="16"/>
      <c r="M294" s="25"/>
      <c r="N294" s="25"/>
      <c r="O294" s="16"/>
      <c r="P294" s="1"/>
      <c r="Q294" s="1"/>
      <c r="R294" s="1"/>
      <c r="S294" s="1"/>
      <c r="T294" s="1"/>
      <c r="U294" s="1"/>
      <c r="V294" s="1"/>
      <c r="W294" s="1"/>
      <c r="X294" s="1"/>
    </row>
    <row r="295" spans="1:24">
      <c r="A295" s="15"/>
      <c r="B295" s="15"/>
      <c r="C295" s="16"/>
      <c r="D295" s="16"/>
      <c r="E295" s="16"/>
      <c r="F295" s="16"/>
      <c r="G295" s="16"/>
      <c r="H295" s="16"/>
      <c r="I295" s="16"/>
      <c r="J295" s="16"/>
      <c r="K295" s="16"/>
      <c r="L295" s="16"/>
      <c r="M295" s="25"/>
      <c r="N295" s="25"/>
      <c r="O295" s="16"/>
      <c r="P295" s="1"/>
      <c r="Q295" s="1"/>
      <c r="R295" s="1"/>
      <c r="S295" s="1"/>
      <c r="T295" s="1"/>
      <c r="U295" s="1"/>
      <c r="V295" s="1"/>
      <c r="W295" s="1"/>
      <c r="X295" s="1"/>
    </row>
    <row r="296" spans="1:24">
      <c r="A296" s="15"/>
      <c r="B296" s="15"/>
      <c r="C296" s="16"/>
      <c r="D296" s="16"/>
      <c r="E296" s="16"/>
      <c r="F296" s="16"/>
      <c r="G296" s="16"/>
      <c r="H296" s="16"/>
      <c r="I296" s="16"/>
      <c r="J296" s="16"/>
      <c r="K296" s="16"/>
      <c r="L296" s="16"/>
      <c r="M296" s="25"/>
      <c r="N296" s="25"/>
      <c r="O296" s="16"/>
      <c r="P296" s="1"/>
      <c r="Q296" s="1"/>
      <c r="R296" s="1"/>
      <c r="S296" s="1"/>
      <c r="T296" s="1"/>
      <c r="U296" s="1"/>
      <c r="V296" s="1"/>
      <c r="W296" s="1"/>
      <c r="X296" s="1"/>
    </row>
    <row r="297" spans="1:24">
      <c r="A297" s="15"/>
      <c r="B297" s="15"/>
      <c r="C297" s="16"/>
      <c r="D297" s="16"/>
      <c r="E297" s="16"/>
      <c r="F297" s="16"/>
      <c r="G297" s="16"/>
      <c r="H297" s="16"/>
      <c r="I297" s="16"/>
      <c r="J297" s="16"/>
      <c r="K297" s="16"/>
      <c r="L297" s="16"/>
      <c r="M297" s="25"/>
      <c r="N297" s="25"/>
      <c r="O297" s="16"/>
      <c r="P297" s="1"/>
      <c r="Q297" s="1"/>
      <c r="R297" s="1"/>
      <c r="S297" s="1"/>
      <c r="T297" s="1"/>
      <c r="U297" s="1"/>
      <c r="V297" s="1"/>
      <c r="W297" s="1"/>
      <c r="X297" s="1"/>
    </row>
    <row r="298" spans="1:24">
      <c r="A298" s="15"/>
      <c r="B298" s="15"/>
      <c r="C298" s="16"/>
      <c r="D298" s="16"/>
      <c r="E298" s="16"/>
      <c r="F298" s="16"/>
      <c r="G298" s="16"/>
      <c r="H298" s="16"/>
      <c r="I298" s="16"/>
      <c r="J298" s="16"/>
      <c r="K298" s="16"/>
      <c r="L298" s="16"/>
      <c r="M298" s="25"/>
      <c r="N298" s="25"/>
      <c r="O298" s="16"/>
      <c r="P298" s="1"/>
      <c r="Q298" s="1"/>
      <c r="R298" s="1"/>
      <c r="S298" s="1"/>
      <c r="T298" s="1"/>
      <c r="U298" s="1"/>
      <c r="V298" s="1"/>
      <c r="W298" s="1"/>
      <c r="X298" s="1"/>
    </row>
    <row r="299" spans="1:24">
      <c r="A299" s="15"/>
      <c r="B299" s="15"/>
      <c r="C299" s="16"/>
      <c r="D299" s="16"/>
      <c r="E299" s="16"/>
      <c r="F299" s="16"/>
      <c r="G299" s="16"/>
      <c r="H299" s="16"/>
      <c r="I299" s="16"/>
      <c r="J299" s="16"/>
      <c r="K299" s="16"/>
      <c r="L299" s="16"/>
      <c r="M299" s="25"/>
      <c r="N299" s="25"/>
      <c r="O299" s="16"/>
      <c r="P299" s="1"/>
      <c r="Q299" s="1"/>
      <c r="R299" s="1"/>
      <c r="S299" s="1"/>
      <c r="T299" s="1"/>
      <c r="U299" s="1"/>
      <c r="V299" s="1"/>
      <c r="W299" s="1"/>
      <c r="X299" s="1"/>
    </row>
    <row r="300" spans="1:24">
      <c r="A300" s="15"/>
      <c r="B300" s="15"/>
      <c r="C300" s="16"/>
      <c r="D300" s="16"/>
      <c r="E300" s="16"/>
      <c r="F300" s="16"/>
      <c r="G300" s="16"/>
      <c r="H300" s="16"/>
      <c r="I300" s="16"/>
      <c r="J300" s="16"/>
      <c r="K300" s="16"/>
      <c r="L300" s="16"/>
      <c r="M300" s="25"/>
      <c r="N300" s="25"/>
      <c r="O300" s="16"/>
      <c r="P300" s="1"/>
      <c r="Q300" s="1"/>
      <c r="R300" s="1"/>
      <c r="S300" s="1"/>
      <c r="T300" s="1"/>
      <c r="U300" s="1"/>
      <c r="V300" s="1"/>
      <c r="W300" s="1"/>
      <c r="X300" s="1"/>
    </row>
    <row r="301" spans="1:24">
      <c r="A301" s="15"/>
      <c r="B301" s="15"/>
      <c r="C301" s="16"/>
      <c r="D301" s="16"/>
      <c r="E301" s="16"/>
      <c r="F301" s="16"/>
      <c r="G301" s="16"/>
      <c r="H301" s="16"/>
      <c r="I301" s="16"/>
      <c r="J301" s="16"/>
      <c r="K301" s="16"/>
      <c r="L301" s="16"/>
      <c r="M301" s="25"/>
      <c r="N301" s="25"/>
      <c r="O301" s="16"/>
      <c r="P301" s="1"/>
      <c r="Q301" s="1"/>
      <c r="R301" s="1"/>
      <c r="S301" s="1"/>
      <c r="T301" s="1"/>
      <c r="U301" s="1"/>
      <c r="V301" s="1"/>
      <c r="W301" s="1"/>
      <c r="X301" s="1"/>
    </row>
    <row r="302" spans="1:24">
      <c r="A302" s="15"/>
      <c r="B302" s="15"/>
      <c r="C302" s="16"/>
      <c r="D302" s="16"/>
      <c r="E302" s="16"/>
      <c r="F302" s="16"/>
      <c r="G302" s="16"/>
      <c r="H302" s="16"/>
      <c r="I302" s="16"/>
      <c r="J302" s="16"/>
      <c r="K302" s="16"/>
      <c r="L302" s="16"/>
      <c r="M302" s="25"/>
      <c r="N302" s="25"/>
      <c r="O302" s="16"/>
      <c r="P302" s="1"/>
      <c r="Q302" s="1"/>
      <c r="R302" s="1"/>
      <c r="S302" s="1"/>
      <c r="T302" s="1"/>
      <c r="U302" s="1"/>
      <c r="V302" s="1"/>
      <c r="W302" s="1"/>
      <c r="X302" s="1"/>
    </row>
    <row r="303" spans="1:24">
      <c r="A303" s="15"/>
      <c r="B303" s="15"/>
      <c r="C303" s="16"/>
      <c r="D303" s="16"/>
      <c r="E303" s="16"/>
      <c r="F303" s="16"/>
      <c r="G303" s="16"/>
      <c r="H303" s="16"/>
      <c r="I303" s="16"/>
      <c r="J303" s="16"/>
      <c r="K303" s="16"/>
      <c r="L303" s="16"/>
      <c r="M303" s="25"/>
      <c r="N303" s="25"/>
      <c r="O303" s="16"/>
      <c r="P303" s="1"/>
      <c r="Q303" s="1"/>
      <c r="R303" s="1"/>
      <c r="S303" s="1"/>
      <c r="T303" s="1"/>
      <c r="U303" s="1"/>
      <c r="V303" s="1"/>
      <c r="W303" s="1"/>
      <c r="X303" s="1"/>
    </row>
    <row r="304" spans="1:24">
      <c r="A304" s="15"/>
      <c r="B304" s="15"/>
      <c r="C304" s="16"/>
      <c r="D304" s="16"/>
      <c r="E304" s="16"/>
      <c r="F304" s="16"/>
      <c r="G304" s="16"/>
      <c r="H304" s="16"/>
      <c r="I304" s="16"/>
      <c r="J304" s="16"/>
      <c r="K304" s="16"/>
      <c r="L304" s="16"/>
      <c r="M304" s="25"/>
      <c r="N304" s="25"/>
      <c r="O304" s="16"/>
      <c r="P304" s="1"/>
      <c r="Q304" s="1"/>
      <c r="R304" s="1"/>
      <c r="S304" s="1"/>
      <c r="T304" s="1"/>
      <c r="U304" s="1"/>
      <c r="V304" s="1"/>
      <c r="W304" s="1"/>
      <c r="X304" s="1"/>
    </row>
    <row r="305" spans="1:24">
      <c r="A305" s="15"/>
      <c r="B305" s="15"/>
      <c r="C305" s="16"/>
      <c r="D305" s="16"/>
      <c r="E305" s="16"/>
      <c r="F305" s="16"/>
      <c r="G305" s="16"/>
      <c r="H305" s="16"/>
      <c r="I305" s="16"/>
      <c r="J305" s="16"/>
      <c r="K305" s="16"/>
      <c r="L305" s="16"/>
      <c r="M305" s="25"/>
      <c r="N305" s="25"/>
      <c r="O305" s="16"/>
      <c r="P305" s="1"/>
      <c r="Q305" s="1"/>
      <c r="R305" s="1"/>
      <c r="S305" s="1"/>
      <c r="T305" s="1"/>
      <c r="U305" s="1"/>
      <c r="V305" s="1"/>
      <c r="W305" s="1"/>
      <c r="X305" s="1"/>
    </row>
    <row r="306" spans="1:24">
      <c r="A306" s="15"/>
      <c r="B306" s="15"/>
      <c r="C306" s="16"/>
      <c r="D306" s="16"/>
      <c r="E306" s="16"/>
      <c r="F306" s="16"/>
      <c r="G306" s="16"/>
      <c r="H306" s="16"/>
      <c r="I306" s="16"/>
      <c r="J306" s="16"/>
      <c r="K306" s="16"/>
      <c r="L306" s="16"/>
      <c r="M306" s="25"/>
      <c r="N306" s="25"/>
      <c r="O306" s="16"/>
      <c r="P306" s="1"/>
      <c r="Q306" s="1"/>
      <c r="R306" s="1"/>
      <c r="S306" s="1"/>
      <c r="T306" s="1"/>
      <c r="U306" s="1"/>
      <c r="V306" s="1"/>
      <c r="W306" s="1"/>
      <c r="X306" s="1"/>
    </row>
    <row r="307" spans="1:24">
      <c r="A307" s="15"/>
      <c r="B307" s="15"/>
      <c r="C307" s="16"/>
      <c r="D307" s="16"/>
      <c r="E307" s="16"/>
      <c r="F307" s="16"/>
      <c r="G307" s="16"/>
      <c r="H307" s="16"/>
      <c r="I307" s="16"/>
      <c r="J307" s="16"/>
      <c r="K307" s="16"/>
      <c r="L307" s="16"/>
      <c r="M307" s="25"/>
      <c r="N307" s="25"/>
      <c r="O307" s="16"/>
      <c r="P307" s="1"/>
      <c r="Q307" s="1"/>
      <c r="R307" s="1"/>
      <c r="S307" s="1"/>
      <c r="T307" s="1"/>
      <c r="U307" s="1"/>
      <c r="V307" s="1"/>
      <c r="W307" s="1"/>
      <c r="X307" s="1"/>
    </row>
    <row r="308" spans="1:24">
      <c r="A308" s="15"/>
      <c r="B308" s="15"/>
      <c r="C308" s="16"/>
      <c r="D308" s="16"/>
      <c r="E308" s="16"/>
      <c r="F308" s="16"/>
      <c r="G308" s="16"/>
      <c r="H308" s="16"/>
      <c r="I308" s="16"/>
      <c r="J308" s="16"/>
      <c r="K308" s="16"/>
      <c r="L308" s="16"/>
      <c r="M308" s="25"/>
      <c r="N308" s="25"/>
      <c r="O308" s="16"/>
      <c r="P308" s="1"/>
      <c r="Q308" s="1"/>
      <c r="R308" s="1"/>
      <c r="S308" s="1"/>
      <c r="T308" s="1"/>
      <c r="U308" s="1"/>
      <c r="V308" s="1"/>
      <c r="W308" s="1"/>
      <c r="X308" s="1"/>
    </row>
    <row r="309" spans="1:24">
      <c r="A309" s="15"/>
      <c r="B309" s="15"/>
      <c r="C309" s="16"/>
      <c r="D309" s="16"/>
      <c r="E309" s="16"/>
      <c r="F309" s="16"/>
      <c r="G309" s="16"/>
      <c r="H309" s="16"/>
      <c r="I309" s="16"/>
      <c r="J309" s="16"/>
      <c r="K309" s="16"/>
      <c r="L309" s="16"/>
      <c r="M309" s="25"/>
      <c r="N309" s="25"/>
      <c r="O309" s="16"/>
      <c r="P309" s="1"/>
      <c r="Q309" s="1"/>
      <c r="R309" s="1"/>
      <c r="S309" s="1"/>
      <c r="T309" s="1"/>
      <c r="U309" s="1"/>
      <c r="V309" s="1"/>
      <c r="W309" s="1"/>
      <c r="X309" s="1"/>
    </row>
    <row r="310" spans="1:24">
      <c r="A310" s="15"/>
      <c r="B310" s="15"/>
      <c r="C310" s="16"/>
      <c r="D310" s="16"/>
      <c r="E310" s="16"/>
      <c r="F310" s="16"/>
      <c r="G310" s="16"/>
      <c r="H310" s="16"/>
      <c r="I310" s="16"/>
      <c r="J310" s="16"/>
      <c r="K310" s="16"/>
      <c r="L310" s="16"/>
      <c r="M310" s="25"/>
      <c r="N310" s="25"/>
      <c r="O310" s="16"/>
      <c r="P310" s="1"/>
      <c r="Q310" s="1"/>
      <c r="R310" s="1"/>
      <c r="S310" s="1"/>
      <c r="T310" s="1"/>
      <c r="U310" s="1"/>
      <c r="V310" s="1"/>
      <c r="W310" s="1"/>
      <c r="X310" s="1"/>
    </row>
    <row r="311" spans="1:24">
      <c r="A311" s="15"/>
      <c r="B311" s="15"/>
      <c r="C311" s="16"/>
      <c r="D311" s="16"/>
      <c r="E311" s="16"/>
      <c r="F311" s="16"/>
      <c r="G311" s="16"/>
      <c r="H311" s="16"/>
      <c r="I311" s="16"/>
      <c r="J311" s="16"/>
      <c r="K311" s="16"/>
      <c r="L311" s="16"/>
      <c r="M311" s="25"/>
      <c r="N311" s="25"/>
      <c r="O311" s="16"/>
      <c r="P311" s="1"/>
      <c r="Q311" s="1"/>
      <c r="R311" s="1"/>
      <c r="S311" s="1"/>
      <c r="T311" s="1"/>
      <c r="U311" s="1"/>
      <c r="V311" s="1"/>
      <c r="W311" s="1"/>
      <c r="X311" s="1"/>
    </row>
    <row r="312" spans="1:24">
      <c r="A312" s="15"/>
      <c r="B312" s="15"/>
      <c r="C312" s="16"/>
      <c r="D312" s="16"/>
      <c r="E312" s="16"/>
      <c r="F312" s="16"/>
      <c r="G312" s="16"/>
      <c r="H312" s="16"/>
      <c r="I312" s="16"/>
      <c r="J312" s="16"/>
      <c r="K312" s="16"/>
      <c r="L312" s="16"/>
      <c r="M312" s="25"/>
      <c r="N312" s="25"/>
      <c r="O312" s="16"/>
      <c r="P312" s="1"/>
      <c r="Q312" s="1"/>
      <c r="R312" s="1"/>
      <c r="S312" s="1"/>
      <c r="T312" s="1"/>
      <c r="U312" s="1"/>
      <c r="V312" s="1"/>
      <c r="W312" s="1"/>
      <c r="X312" s="1"/>
    </row>
    <row r="313" spans="1:24">
      <c r="A313" s="15"/>
      <c r="B313" s="15"/>
      <c r="C313" s="16"/>
      <c r="D313" s="16"/>
      <c r="E313" s="16"/>
      <c r="F313" s="16"/>
      <c r="G313" s="16"/>
      <c r="H313" s="16"/>
      <c r="I313" s="16"/>
      <c r="J313" s="16"/>
      <c r="K313" s="16"/>
      <c r="L313" s="16"/>
      <c r="M313" s="25"/>
      <c r="N313" s="25"/>
      <c r="O313" s="16"/>
      <c r="P313" s="1"/>
      <c r="Q313" s="1"/>
      <c r="R313" s="1"/>
      <c r="S313" s="1"/>
      <c r="T313" s="1"/>
      <c r="U313" s="1"/>
      <c r="V313" s="1"/>
      <c r="W313" s="1"/>
      <c r="X313" s="1"/>
    </row>
    <row r="314" spans="1:24">
      <c r="A314" s="15"/>
      <c r="B314" s="15"/>
      <c r="C314" s="16"/>
      <c r="D314" s="16"/>
      <c r="E314" s="16"/>
      <c r="F314" s="16"/>
      <c r="G314" s="16"/>
      <c r="H314" s="16"/>
      <c r="I314" s="16"/>
      <c r="J314" s="16"/>
      <c r="K314" s="16"/>
      <c r="L314" s="16"/>
      <c r="M314" s="25"/>
      <c r="N314" s="25"/>
      <c r="O314" s="16"/>
      <c r="P314" s="1"/>
      <c r="Q314" s="1"/>
      <c r="R314" s="1"/>
      <c r="S314" s="1"/>
      <c r="T314" s="1"/>
      <c r="U314" s="1"/>
      <c r="V314" s="1"/>
      <c r="W314" s="1"/>
      <c r="X314" s="1"/>
    </row>
    <row r="315" spans="1:24">
      <c r="A315" s="15"/>
      <c r="B315" s="15"/>
      <c r="C315" s="16"/>
      <c r="D315" s="16"/>
      <c r="E315" s="16"/>
      <c r="F315" s="16"/>
      <c r="G315" s="16"/>
      <c r="H315" s="16"/>
      <c r="I315" s="16"/>
      <c r="J315" s="16"/>
      <c r="K315" s="16"/>
      <c r="L315" s="16"/>
      <c r="M315" s="25"/>
      <c r="N315" s="25"/>
      <c r="O315" s="16"/>
      <c r="P315" s="1"/>
      <c r="Q315" s="1"/>
      <c r="R315" s="1"/>
      <c r="S315" s="1"/>
      <c r="T315" s="1"/>
      <c r="U315" s="1"/>
      <c r="V315" s="1"/>
      <c r="W315" s="1"/>
      <c r="X315" s="1"/>
    </row>
    <row r="316" spans="1:24">
      <c r="A316" s="15"/>
      <c r="B316" s="15"/>
      <c r="C316" s="16"/>
      <c r="D316" s="16"/>
      <c r="E316" s="16"/>
      <c r="F316" s="16"/>
      <c r="G316" s="16"/>
      <c r="H316" s="16"/>
      <c r="I316" s="16"/>
      <c r="J316" s="16"/>
      <c r="K316" s="16"/>
      <c r="L316" s="16"/>
      <c r="M316" s="25"/>
      <c r="N316" s="25"/>
      <c r="O316" s="16"/>
      <c r="P316" s="1"/>
      <c r="Q316" s="1"/>
      <c r="R316" s="1"/>
      <c r="S316" s="1"/>
      <c r="T316" s="1"/>
      <c r="U316" s="1"/>
      <c r="V316" s="1"/>
      <c r="W316" s="1"/>
      <c r="X316" s="1"/>
    </row>
    <row r="317" spans="1:24">
      <c r="A317" s="15"/>
      <c r="B317" s="15"/>
      <c r="C317" s="16"/>
      <c r="D317" s="16"/>
      <c r="E317" s="16"/>
      <c r="F317" s="16"/>
      <c r="G317" s="16"/>
      <c r="H317" s="16"/>
      <c r="I317" s="16"/>
      <c r="J317" s="16"/>
      <c r="K317" s="16"/>
      <c r="L317" s="16"/>
      <c r="M317" s="25"/>
      <c r="N317" s="25"/>
      <c r="O317" s="16"/>
      <c r="P317" s="1"/>
      <c r="Q317" s="1"/>
      <c r="R317" s="1"/>
      <c r="S317" s="1"/>
      <c r="T317" s="1"/>
      <c r="U317" s="1"/>
      <c r="V317" s="1"/>
      <c r="W317" s="1"/>
      <c r="X317" s="1"/>
    </row>
    <row r="318" spans="1:24">
      <c r="A318" s="15"/>
      <c r="B318" s="15"/>
      <c r="C318" s="16"/>
      <c r="D318" s="16"/>
      <c r="E318" s="16"/>
      <c r="F318" s="16"/>
      <c r="G318" s="16"/>
      <c r="H318" s="16"/>
      <c r="I318" s="16"/>
      <c r="J318" s="16"/>
      <c r="K318" s="16"/>
      <c r="L318" s="16"/>
      <c r="M318" s="25"/>
      <c r="N318" s="25"/>
      <c r="O318" s="16"/>
      <c r="P318" s="1"/>
      <c r="Q318" s="1"/>
      <c r="R318" s="1"/>
      <c r="S318" s="1"/>
      <c r="T318" s="1"/>
      <c r="U318" s="1"/>
      <c r="V318" s="1"/>
      <c r="W318" s="1"/>
      <c r="X318" s="1"/>
    </row>
    <row r="319" spans="1:24">
      <c r="A319" s="15"/>
      <c r="B319" s="15"/>
      <c r="C319" s="16"/>
      <c r="D319" s="16"/>
      <c r="E319" s="16"/>
      <c r="F319" s="16"/>
      <c r="G319" s="16"/>
      <c r="H319" s="16"/>
      <c r="I319" s="16"/>
      <c r="J319" s="16"/>
      <c r="K319" s="16"/>
      <c r="L319" s="16"/>
      <c r="M319" s="25"/>
      <c r="N319" s="25"/>
      <c r="O319" s="16"/>
      <c r="P319" s="1"/>
      <c r="Q319" s="1"/>
      <c r="R319" s="1"/>
      <c r="S319" s="1"/>
      <c r="T319" s="1"/>
      <c r="U319" s="1"/>
      <c r="V319" s="1"/>
      <c r="W319" s="1"/>
      <c r="X319" s="1"/>
    </row>
    <row r="320" spans="1:24">
      <c r="A320" s="15"/>
      <c r="B320" s="15"/>
      <c r="C320" s="16"/>
      <c r="D320" s="16"/>
      <c r="E320" s="16"/>
      <c r="F320" s="16"/>
      <c r="G320" s="16"/>
      <c r="H320" s="16"/>
      <c r="I320" s="16"/>
      <c r="J320" s="16"/>
      <c r="K320" s="16"/>
      <c r="L320" s="16"/>
      <c r="M320" s="25"/>
      <c r="N320" s="25"/>
      <c r="O320" s="16"/>
      <c r="P320" s="1"/>
      <c r="Q320" s="1"/>
      <c r="R320" s="1"/>
      <c r="S320" s="1"/>
      <c r="T320" s="1"/>
      <c r="U320" s="1"/>
      <c r="V320" s="1"/>
      <c r="W320" s="1"/>
      <c r="X320" s="1"/>
    </row>
    <row r="321" spans="1:24">
      <c r="A321" s="15"/>
      <c r="B321" s="15"/>
      <c r="C321" s="16"/>
      <c r="D321" s="16"/>
      <c r="E321" s="16"/>
      <c r="F321" s="16"/>
      <c r="G321" s="16"/>
      <c r="H321" s="16"/>
      <c r="I321" s="16"/>
      <c r="J321" s="16"/>
      <c r="K321" s="16"/>
      <c r="L321" s="16"/>
      <c r="M321" s="25"/>
      <c r="N321" s="25"/>
      <c r="O321" s="16"/>
      <c r="P321" s="1"/>
      <c r="Q321" s="1"/>
      <c r="R321" s="1"/>
      <c r="S321" s="1"/>
      <c r="T321" s="1"/>
      <c r="U321" s="1"/>
      <c r="V321" s="1"/>
      <c r="W321" s="1"/>
      <c r="X321" s="1"/>
    </row>
    <row r="322" spans="1:24">
      <c r="A322" s="15"/>
      <c r="B322" s="15"/>
      <c r="C322" s="16"/>
      <c r="D322" s="16"/>
      <c r="E322" s="16"/>
      <c r="F322" s="16"/>
      <c r="G322" s="16"/>
      <c r="H322" s="16"/>
      <c r="I322" s="16"/>
      <c r="J322" s="16"/>
      <c r="K322" s="16"/>
      <c r="L322" s="16"/>
      <c r="M322" s="25"/>
      <c r="N322" s="25"/>
      <c r="O322" s="16"/>
      <c r="P322" s="1"/>
      <c r="Q322" s="1"/>
      <c r="R322" s="1"/>
      <c r="S322" s="1"/>
      <c r="T322" s="1"/>
      <c r="U322" s="1"/>
      <c r="V322" s="1"/>
      <c r="W322" s="1"/>
      <c r="X322" s="1"/>
    </row>
    <row r="323" spans="1:24">
      <c r="A323" s="15"/>
      <c r="B323" s="15"/>
      <c r="C323" s="16"/>
      <c r="D323" s="16"/>
      <c r="E323" s="16"/>
      <c r="F323" s="16"/>
      <c r="G323" s="16"/>
      <c r="H323" s="16"/>
      <c r="I323" s="16"/>
      <c r="J323" s="16"/>
      <c r="K323" s="16"/>
      <c r="L323" s="16"/>
      <c r="M323" s="25"/>
      <c r="N323" s="25"/>
      <c r="O323" s="16"/>
      <c r="P323" s="1"/>
      <c r="Q323" s="1"/>
      <c r="R323" s="1"/>
      <c r="S323" s="1"/>
      <c r="T323" s="1"/>
      <c r="U323" s="1"/>
      <c r="V323" s="1"/>
      <c r="W323" s="1"/>
      <c r="X323" s="1"/>
    </row>
    <row r="324" spans="1:24">
      <c r="A324" s="15"/>
      <c r="B324" s="15"/>
      <c r="C324" s="16"/>
      <c r="D324" s="16"/>
      <c r="E324" s="16"/>
      <c r="F324" s="16"/>
      <c r="G324" s="16"/>
      <c r="H324" s="16"/>
      <c r="I324" s="16"/>
      <c r="J324" s="16"/>
      <c r="K324" s="16"/>
      <c r="L324" s="16"/>
      <c r="M324" s="25"/>
      <c r="N324" s="25"/>
      <c r="O324" s="16"/>
      <c r="P324" s="1"/>
      <c r="Q324" s="1"/>
      <c r="R324" s="1"/>
      <c r="S324" s="1"/>
      <c r="T324" s="1"/>
      <c r="U324" s="1"/>
      <c r="V324" s="1"/>
      <c r="W324" s="1"/>
      <c r="X324" s="1"/>
    </row>
    <row r="325" spans="1:24">
      <c r="A325" s="15"/>
      <c r="B325" s="15"/>
      <c r="C325" s="16"/>
      <c r="D325" s="16"/>
      <c r="E325" s="16"/>
      <c r="F325" s="16"/>
      <c r="G325" s="16"/>
      <c r="H325" s="16"/>
      <c r="I325" s="16"/>
      <c r="J325" s="16"/>
      <c r="K325" s="16"/>
      <c r="L325" s="16"/>
      <c r="M325" s="25"/>
      <c r="N325" s="25"/>
      <c r="O325" s="16"/>
      <c r="P325" s="1"/>
      <c r="Q325" s="1"/>
      <c r="R325" s="1"/>
      <c r="S325" s="1"/>
      <c r="T325" s="1"/>
      <c r="U325" s="1"/>
      <c r="V325" s="1"/>
      <c r="W325" s="1"/>
      <c r="X325" s="1"/>
    </row>
    <row r="326" spans="1:24">
      <c r="A326" s="15"/>
      <c r="B326" s="15"/>
      <c r="C326" s="16"/>
      <c r="D326" s="16"/>
      <c r="E326" s="16"/>
      <c r="F326" s="16"/>
      <c r="G326" s="16"/>
      <c r="H326" s="16"/>
      <c r="I326" s="16"/>
      <c r="J326" s="16"/>
      <c r="K326" s="16"/>
      <c r="L326" s="16"/>
      <c r="M326" s="25"/>
      <c r="N326" s="25"/>
      <c r="O326" s="16"/>
      <c r="P326" s="1"/>
      <c r="Q326" s="1"/>
      <c r="R326" s="1"/>
      <c r="S326" s="1"/>
      <c r="T326" s="1"/>
      <c r="U326" s="1"/>
      <c r="V326" s="1"/>
      <c r="W326" s="1"/>
      <c r="X326" s="1"/>
    </row>
    <row r="327" spans="1:24">
      <c r="A327" s="15"/>
      <c r="B327" s="15"/>
      <c r="C327" s="16"/>
      <c r="D327" s="16"/>
      <c r="E327" s="16"/>
      <c r="F327" s="16"/>
      <c r="G327" s="16"/>
      <c r="H327" s="16"/>
      <c r="I327" s="16"/>
      <c r="J327" s="16"/>
      <c r="K327" s="16"/>
      <c r="L327" s="16"/>
      <c r="M327" s="25"/>
      <c r="N327" s="25"/>
      <c r="O327" s="16"/>
      <c r="P327" s="1"/>
      <c r="Q327" s="1"/>
      <c r="R327" s="1"/>
      <c r="S327" s="1"/>
      <c r="T327" s="1"/>
      <c r="U327" s="1"/>
      <c r="V327" s="1"/>
      <c r="W327" s="1"/>
      <c r="X327" s="1"/>
    </row>
    <row r="328" spans="1:24">
      <c r="A328" s="15"/>
      <c r="B328" s="15"/>
      <c r="C328" s="16"/>
      <c r="D328" s="16"/>
      <c r="E328" s="16"/>
      <c r="F328" s="16"/>
      <c r="G328" s="16"/>
      <c r="H328" s="16"/>
      <c r="I328" s="16"/>
      <c r="J328" s="16"/>
      <c r="K328" s="16"/>
      <c r="L328" s="16"/>
      <c r="M328" s="25"/>
      <c r="N328" s="25"/>
      <c r="O328" s="16"/>
      <c r="P328" s="1"/>
      <c r="Q328" s="1"/>
      <c r="R328" s="1"/>
      <c r="S328" s="1"/>
      <c r="T328" s="1"/>
      <c r="U328" s="1"/>
      <c r="V328" s="1"/>
      <c r="W328" s="1"/>
      <c r="X328" s="1"/>
    </row>
    <row r="329" spans="1:24">
      <c r="A329" s="15"/>
      <c r="B329" s="15"/>
      <c r="C329" s="16"/>
      <c r="D329" s="16"/>
      <c r="E329" s="16"/>
      <c r="F329" s="16"/>
      <c r="G329" s="16"/>
      <c r="H329" s="16"/>
      <c r="I329" s="16"/>
      <c r="J329" s="16"/>
      <c r="K329" s="16"/>
      <c r="L329" s="16"/>
      <c r="M329" s="25"/>
      <c r="N329" s="25"/>
      <c r="O329" s="16"/>
      <c r="P329" s="1"/>
      <c r="Q329" s="1"/>
      <c r="R329" s="1"/>
      <c r="S329" s="1"/>
      <c r="T329" s="1"/>
      <c r="U329" s="1"/>
      <c r="V329" s="1"/>
      <c r="W329" s="1"/>
      <c r="X329" s="1"/>
    </row>
    <row r="330" spans="1:24">
      <c r="A330" s="15"/>
      <c r="B330" s="15"/>
      <c r="C330" s="16"/>
      <c r="D330" s="16"/>
      <c r="E330" s="16"/>
      <c r="F330" s="16"/>
      <c r="G330" s="16"/>
      <c r="H330" s="16"/>
      <c r="I330" s="16"/>
      <c r="J330" s="16"/>
      <c r="K330" s="16"/>
      <c r="L330" s="16"/>
      <c r="M330" s="25"/>
      <c r="N330" s="25"/>
      <c r="O330" s="16"/>
      <c r="P330" s="1"/>
      <c r="Q330" s="1"/>
      <c r="R330" s="1"/>
      <c r="S330" s="1"/>
      <c r="T330" s="1"/>
      <c r="U330" s="1"/>
      <c r="V330" s="1"/>
      <c r="W330" s="1"/>
      <c r="X330" s="1"/>
    </row>
    <row r="331" spans="1:24">
      <c r="A331" s="15"/>
      <c r="B331" s="15"/>
      <c r="C331" s="16"/>
      <c r="D331" s="16"/>
      <c r="E331" s="16"/>
      <c r="F331" s="16"/>
      <c r="G331" s="16"/>
      <c r="H331" s="16"/>
      <c r="I331" s="16"/>
      <c r="J331" s="16"/>
      <c r="K331" s="16"/>
      <c r="L331" s="16"/>
      <c r="M331" s="25"/>
      <c r="N331" s="25"/>
      <c r="O331" s="16"/>
      <c r="P331" s="1"/>
      <c r="Q331" s="1"/>
      <c r="R331" s="1"/>
      <c r="S331" s="1"/>
      <c r="T331" s="1"/>
      <c r="U331" s="1"/>
      <c r="V331" s="1"/>
      <c r="W331" s="1"/>
      <c r="X331" s="1"/>
    </row>
    <row r="332" spans="1:24">
      <c r="A332" s="15"/>
      <c r="B332" s="15"/>
      <c r="C332" s="16"/>
      <c r="D332" s="16"/>
      <c r="E332" s="16"/>
      <c r="F332" s="16"/>
      <c r="G332" s="16"/>
      <c r="H332" s="16"/>
      <c r="I332" s="16"/>
      <c r="J332" s="16"/>
      <c r="K332" s="16"/>
      <c r="L332" s="16"/>
      <c r="M332" s="25"/>
      <c r="N332" s="25"/>
      <c r="O332" s="16"/>
      <c r="P332" s="1"/>
      <c r="Q332" s="1"/>
      <c r="R332" s="1"/>
      <c r="S332" s="1"/>
      <c r="T332" s="1"/>
      <c r="U332" s="1"/>
      <c r="V332" s="1"/>
      <c r="W332" s="1"/>
      <c r="X332" s="1"/>
    </row>
    <row r="333" spans="1:24">
      <c r="A333" s="15"/>
      <c r="B333" s="15"/>
      <c r="C333" s="16"/>
      <c r="D333" s="16"/>
      <c r="E333" s="16"/>
      <c r="F333" s="16"/>
      <c r="G333" s="16"/>
      <c r="H333" s="16"/>
      <c r="I333" s="16"/>
      <c r="J333" s="16"/>
      <c r="K333" s="16"/>
      <c r="L333" s="16"/>
      <c r="M333" s="25"/>
      <c r="N333" s="25"/>
      <c r="O333" s="16"/>
      <c r="P333" s="1"/>
      <c r="Q333" s="1"/>
      <c r="R333" s="1"/>
      <c r="S333" s="1"/>
      <c r="T333" s="1"/>
      <c r="U333" s="1"/>
      <c r="V333" s="1"/>
      <c r="W333" s="1"/>
      <c r="X333" s="1"/>
    </row>
    <row r="334" spans="1:24">
      <c r="A334" s="15"/>
      <c r="B334" s="15"/>
      <c r="C334" s="16"/>
      <c r="D334" s="16"/>
      <c r="E334" s="16"/>
      <c r="F334" s="16"/>
      <c r="G334" s="16"/>
      <c r="H334" s="16"/>
      <c r="I334" s="16"/>
      <c r="J334" s="16"/>
      <c r="K334" s="16"/>
      <c r="L334" s="16"/>
      <c r="M334" s="25"/>
      <c r="N334" s="25"/>
      <c r="O334" s="16"/>
      <c r="P334" s="1"/>
      <c r="Q334" s="1"/>
      <c r="R334" s="1"/>
      <c r="S334" s="1"/>
      <c r="T334" s="1"/>
      <c r="U334" s="1"/>
      <c r="V334" s="1"/>
      <c r="W334" s="1"/>
      <c r="X334" s="1"/>
    </row>
    <row r="335" spans="1:24">
      <c r="A335" s="15"/>
      <c r="B335" s="15"/>
      <c r="C335" s="16"/>
      <c r="D335" s="16"/>
      <c r="E335" s="16"/>
      <c r="F335" s="16"/>
      <c r="G335" s="16"/>
      <c r="H335" s="16"/>
      <c r="I335" s="16"/>
      <c r="J335" s="16"/>
      <c r="K335" s="16"/>
      <c r="L335" s="16"/>
      <c r="M335" s="25"/>
      <c r="N335" s="25"/>
      <c r="O335" s="16"/>
      <c r="P335" s="1"/>
      <c r="Q335" s="1"/>
      <c r="R335" s="1"/>
      <c r="S335" s="1"/>
      <c r="T335" s="1"/>
      <c r="U335" s="1"/>
      <c r="V335" s="1"/>
      <c r="W335" s="1"/>
      <c r="X335" s="1"/>
    </row>
    <row r="336" spans="1:24">
      <c r="A336" s="15"/>
      <c r="B336" s="15"/>
      <c r="C336" s="16"/>
      <c r="D336" s="16"/>
      <c r="E336" s="16"/>
      <c r="F336" s="16"/>
      <c r="G336" s="16"/>
      <c r="H336" s="16"/>
      <c r="I336" s="16"/>
      <c r="J336" s="16"/>
      <c r="K336" s="16"/>
      <c r="L336" s="16"/>
      <c r="M336" s="25"/>
      <c r="N336" s="25"/>
      <c r="O336" s="16"/>
      <c r="P336" s="1"/>
      <c r="Q336" s="1"/>
      <c r="R336" s="1"/>
      <c r="S336" s="1"/>
      <c r="T336" s="1"/>
      <c r="U336" s="1"/>
      <c r="V336" s="1"/>
      <c r="W336" s="1"/>
      <c r="X336" s="1"/>
    </row>
    <row r="337" spans="1:24">
      <c r="A337" s="15"/>
      <c r="B337" s="15"/>
      <c r="C337" s="16"/>
      <c r="D337" s="16"/>
      <c r="E337" s="16"/>
      <c r="F337" s="16"/>
      <c r="G337" s="16"/>
      <c r="H337" s="16"/>
      <c r="I337" s="16"/>
      <c r="J337" s="16"/>
      <c r="K337" s="16"/>
      <c r="L337" s="16"/>
      <c r="M337" s="25"/>
      <c r="N337" s="25"/>
      <c r="O337" s="16"/>
      <c r="P337" s="1"/>
      <c r="Q337" s="1"/>
      <c r="R337" s="1"/>
      <c r="S337" s="1"/>
      <c r="T337" s="1"/>
      <c r="U337" s="1"/>
      <c r="V337" s="1"/>
      <c r="W337" s="1"/>
      <c r="X337" s="1"/>
    </row>
    <row r="338" spans="1:24">
      <c r="A338" s="15"/>
      <c r="B338" s="15"/>
      <c r="C338" s="16"/>
      <c r="D338" s="16"/>
      <c r="E338" s="16"/>
      <c r="F338" s="16"/>
      <c r="G338" s="16"/>
      <c r="H338" s="16"/>
      <c r="I338" s="16"/>
      <c r="J338" s="16"/>
      <c r="K338" s="16"/>
      <c r="L338" s="16"/>
      <c r="M338" s="25"/>
      <c r="N338" s="25"/>
      <c r="O338" s="16"/>
      <c r="P338" s="1"/>
      <c r="Q338" s="1"/>
      <c r="R338" s="1"/>
      <c r="S338" s="1"/>
      <c r="T338" s="1"/>
      <c r="U338" s="1"/>
      <c r="V338" s="1"/>
      <c r="W338" s="1"/>
      <c r="X338" s="1"/>
    </row>
    <row r="339" spans="1:24">
      <c r="A339" s="15"/>
      <c r="B339" s="15"/>
      <c r="C339" s="16"/>
      <c r="D339" s="16"/>
      <c r="E339" s="16"/>
      <c r="F339" s="16"/>
      <c r="G339" s="16"/>
      <c r="H339" s="16"/>
      <c r="I339" s="16"/>
      <c r="J339" s="16"/>
      <c r="K339" s="16"/>
      <c r="L339" s="16"/>
      <c r="M339" s="25"/>
      <c r="N339" s="25"/>
      <c r="O339" s="16"/>
      <c r="P339" s="1"/>
      <c r="Q339" s="1"/>
      <c r="R339" s="1"/>
      <c r="S339" s="1"/>
      <c r="T339" s="1"/>
      <c r="U339" s="1"/>
      <c r="V339" s="1"/>
      <c r="W339" s="1"/>
      <c r="X339" s="1"/>
    </row>
    <row r="340" spans="1:24">
      <c r="A340" s="15"/>
      <c r="B340" s="15"/>
      <c r="C340" s="16"/>
      <c r="D340" s="16"/>
      <c r="E340" s="16"/>
      <c r="F340" s="16"/>
      <c r="G340" s="16"/>
      <c r="H340" s="16"/>
      <c r="I340" s="16"/>
      <c r="J340" s="16"/>
      <c r="K340" s="16"/>
      <c r="L340" s="16"/>
      <c r="M340" s="25"/>
      <c r="N340" s="25"/>
      <c r="O340" s="16"/>
      <c r="P340" s="1"/>
      <c r="Q340" s="1"/>
      <c r="R340" s="1"/>
      <c r="S340" s="1"/>
      <c r="T340" s="1"/>
      <c r="U340" s="1"/>
      <c r="V340" s="1"/>
      <c r="W340" s="1"/>
      <c r="X340" s="1"/>
    </row>
    <row r="341" spans="1:24">
      <c r="A341" s="15"/>
      <c r="B341" s="15"/>
      <c r="C341" s="16"/>
      <c r="D341" s="16"/>
      <c r="E341" s="16"/>
      <c r="F341" s="16"/>
      <c r="G341" s="16"/>
      <c r="H341" s="16"/>
      <c r="I341" s="16"/>
      <c r="J341" s="16"/>
      <c r="K341" s="16"/>
      <c r="L341" s="16"/>
      <c r="M341" s="25"/>
      <c r="N341" s="25"/>
      <c r="O341" s="16"/>
      <c r="P341" s="1"/>
      <c r="Q341" s="1"/>
      <c r="R341" s="1"/>
      <c r="S341" s="1"/>
      <c r="T341" s="1"/>
      <c r="U341" s="1"/>
      <c r="V341" s="1"/>
      <c r="W341" s="1"/>
      <c r="X341" s="1"/>
    </row>
    <row r="342" spans="1:24">
      <c r="A342" s="15"/>
      <c r="B342" s="15"/>
      <c r="C342" s="16"/>
      <c r="D342" s="16"/>
      <c r="E342" s="16"/>
      <c r="F342" s="16"/>
      <c r="G342" s="16"/>
      <c r="H342" s="16"/>
      <c r="I342" s="16"/>
      <c r="J342" s="16"/>
      <c r="K342" s="16"/>
      <c r="L342" s="16"/>
      <c r="M342" s="25"/>
      <c r="N342" s="25"/>
      <c r="O342" s="16"/>
      <c r="P342" s="1"/>
      <c r="Q342" s="1"/>
      <c r="R342" s="1"/>
      <c r="S342" s="1"/>
      <c r="T342" s="1"/>
      <c r="U342" s="1"/>
      <c r="V342" s="1"/>
      <c r="W342" s="1"/>
      <c r="X342" s="1"/>
    </row>
    <row r="343" spans="1:24">
      <c r="A343" s="15"/>
      <c r="B343" s="15"/>
      <c r="C343" s="16"/>
      <c r="D343" s="16"/>
      <c r="E343" s="16"/>
      <c r="F343" s="16"/>
      <c r="G343" s="16"/>
      <c r="H343" s="16"/>
      <c r="I343" s="16"/>
      <c r="J343" s="16"/>
      <c r="K343" s="16"/>
      <c r="L343" s="16"/>
      <c r="M343" s="25"/>
      <c r="N343" s="25"/>
      <c r="O343" s="16"/>
      <c r="P343" s="1"/>
      <c r="Q343" s="1"/>
      <c r="R343" s="1"/>
      <c r="S343" s="1"/>
      <c r="T343" s="1"/>
      <c r="U343" s="1"/>
      <c r="V343" s="1"/>
      <c r="W343" s="1"/>
      <c r="X343" s="1"/>
    </row>
    <row r="344" spans="1:24">
      <c r="A344" s="15"/>
      <c r="B344" s="15"/>
      <c r="C344" s="16"/>
      <c r="D344" s="16"/>
      <c r="E344" s="16"/>
      <c r="F344" s="16"/>
      <c r="G344" s="16"/>
      <c r="H344" s="16"/>
      <c r="I344" s="16"/>
      <c r="J344" s="16"/>
      <c r="K344" s="16"/>
      <c r="L344" s="16"/>
      <c r="M344" s="25"/>
      <c r="N344" s="25"/>
      <c r="O344" s="16"/>
      <c r="P344" s="1"/>
      <c r="Q344" s="1"/>
      <c r="R344" s="1"/>
      <c r="S344" s="1"/>
      <c r="T344" s="1"/>
      <c r="U344" s="1"/>
      <c r="V344" s="1"/>
      <c r="W344" s="1"/>
      <c r="X344" s="1"/>
    </row>
    <row r="345" spans="1:24">
      <c r="A345" s="15"/>
      <c r="B345" s="15"/>
      <c r="C345" s="16"/>
      <c r="D345" s="16"/>
      <c r="E345" s="16"/>
      <c r="F345" s="16"/>
      <c r="G345" s="16"/>
      <c r="H345" s="16"/>
      <c r="I345" s="16"/>
      <c r="J345" s="16"/>
      <c r="K345" s="16"/>
      <c r="L345" s="16"/>
      <c r="M345" s="25"/>
      <c r="N345" s="25"/>
      <c r="O345" s="16"/>
      <c r="P345" s="1"/>
      <c r="Q345" s="1"/>
      <c r="R345" s="1"/>
      <c r="S345" s="1"/>
      <c r="T345" s="1"/>
      <c r="U345" s="1"/>
      <c r="V345" s="1"/>
      <c r="W345" s="1"/>
      <c r="X345" s="1"/>
    </row>
    <row r="346" spans="1:24">
      <c r="A346" s="15"/>
      <c r="B346" s="15"/>
      <c r="C346" s="16"/>
      <c r="D346" s="16"/>
      <c r="E346" s="16"/>
      <c r="F346" s="16"/>
      <c r="G346" s="16"/>
      <c r="H346" s="16"/>
      <c r="I346" s="16"/>
      <c r="J346" s="16"/>
      <c r="K346" s="16"/>
      <c r="L346" s="16"/>
      <c r="M346" s="25"/>
      <c r="N346" s="25"/>
      <c r="O346" s="16"/>
      <c r="P346" s="1"/>
      <c r="Q346" s="1"/>
      <c r="R346" s="1"/>
      <c r="S346" s="1"/>
      <c r="T346" s="1"/>
      <c r="U346" s="1"/>
      <c r="V346" s="1"/>
      <c r="W346" s="1"/>
      <c r="X346" s="1"/>
    </row>
    <row r="347" spans="1:24">
      <c r="A347" s="15"/>
      <c r="B347" s="15"/>
      <c r="C347" s="16"/>
      <c r="D347" s="16"/>
      <c r="E347" s="16"/>
      <c r="F347" s="16"/>
      <c r="G347" s="16"/>
      <c r="H347" s="16"/>
      <c r="I347" s="16"/>
      <c r="J347" s="16"/>
      <c r="K347" s="16"/>
      <c r="L347" s="16"/>
      <c r="M347" s="25"/>
      <c r="N347" s="25"/>
      <c r="O347" s="16"/>
      <c r="P347" s="1"/>
      <c r="Q347" s="1"/>
      <c r="R347" s="1"/>
      <c r="S347" s="1"/>
      <c r="T347" s="1"/>
      <c r="U347" s="1"/>
      <c r="V347" s="1"/>
      <c r="W347" s="1"/>
      <c r="X347" s="1"/>
    </row>
    <row r="348" spans="1:24">
      <c r="A348" s="15"/>
      <c r="B348" s="15"/>
      <c r="C348" s="16"/>
      <c r="D348" s="16"/>
      <c r="E348" s="16"/>
      <c r="F348" s="16"/>
      <c r="G348" s="16"/>
      <c r="H348" s="16"/>
      <c r="I348" s="16"/>
      <c r="J348" s="16"/>
      <c r="K348" s="16"/>
      <c r="L348" s="16"/>
      <c r="M348" s="25"/>
      <c r="N348" s="25"/>
      <c r="O348" s="16"/>
      <c r="P348" s="1"/>
      <c r="Q348" s="1"/>
      <c r="R348" s="1"/>
      <c r="S348" s="1"/>
      <c r="T348" s="1"/>
      <c r="U348" s="1"/>
      <c r="V348" s="1"/>
      <c r="W348" s="1"/>
      <c r="X348" s="1"/>
    </row>
    <row r="349" spans="1:24">
      <c r="A349" s="15"/>
      <c r="B349" s="15"/>
      <c r="C349" s="16"/>
      <c r="D349" s="16"/>
      <c r="E349" s="16"/>
      <c r="F349" s="16"/>
      <c r="G349" s="16"/>
      <c r="H349" s="16"/>
      <c r="I349" s="16"/>
      <c r="J349" s="16"/>
      <c r="K349" s="16"/>
      <c r="L349" s="16"/>
      <c r="M349" s="25"/>
      <c r="N349" s="25"/>
      <c r="O349" s="16"/>
      <c r="P349" s="1"/>
      <c r="Q349" s="1"/>
      <c r="R349" s="1"/>
      <c r="S349" s="1"/>
      <c r="T349" s="1"/>
      <c r="U349" s="1"/>
      <c r="V349" s="1"/>
      <c r="W349" s="1"/>
      <c r="X349" s="1"/>
    </row>
    <row r="350" spans="1:24">
      <c r="A350" s="15"/>
      <c r="B350" s="15"/>
      <c r="C350" s="16"/>
      <c r="D350" s="16"/>
      <c r="E350" s="16"/>
      <c r="F350" s="16"/>
      <c r="G350" s="16"/>
      <c r="H350" s="16"/>
      <c r="I350" s="16"/>
      <c r="J350" s="16"/>
      <c r="K350" s="16"/>
      <c r="L350" s="16"/>
      <c r="M350" s="25"/>
      <c r="N350" s="25"/>
      <c r="O350" s="16"/>
      <c r="P350" s="1"/>
      <c r="Q350" s="1"/>
      <c r="R350" s="1"/>
      <c r="S350" s="1"/>
      <c r="T350" s="1"/>
      <c r="U350" s="1"/>
      <c r="V350" s="1"/>
      <c r="W350" s="1"/>
      <c r="X350" s="1"/>
    </row>
    <row r="351" spans="1:24">
      <c r="A351" s="15"/>
      <c r="B351" s="15"/>
      <c r="C351" s="16"/>
      <c r="D351" s="16"/>
      <c r="E351" s="16"/>
      <c r="F351" s="16"/>
      <c r="G351" s="16"/>
      <c r="H351" s="16"/>
      <c r="I351" s="16"/>
      <c r="J351" s="16"/>
      <c r="K351" s="16"/>
      <c r="L351" s="16"/>
      <c r="M351" s="25"/>
      <c r="N351" s="25"/>
      <c r="O351" s="16"/>
      <c r="P351" s="1"/>
      <c r="Q351" s="1"/>
      <c r="R351" s="1"/>
      <c r="S351" s="1"/>
      <c r="T351" s="1"/>
      <c r="U351" s="1"/>
      <c r="V351" s="1"/>
      <c r="W351" s="1"/>
      <c r="X351" s="1"/>
    </row>
    <row r="352" spans="1:24">
      <c r="A352" s="15"/>
      <c r="B352" s="15"/>
      <c r="C352" s="16"/>
      <c r="D352" s="16"/>
      <c r="E352" s="16"/>
      <c r="F352" s="16"/>
      <c r="G352" s="16"/>
      <c r="H352" s="16"/>
      <c r="I352" s="16"/>
      <c r="J352" s="16"/>
      <c r="K352" s="16"/>
      <c r="L352" s="16"/>
      <c r="M352" s="25"/>
      <c r="N352" s="25"/>
      <c r="O352" s="16"/>
      <c r="P352" s="1"/>
      <c r="Q352" s="1"/>
      <c r="R352" s="1"/>
      <c r="S352" s="1"/>
      <c r="T352" s="1"/>
      <c r="U352" s="1"/>
      <c r="V352" s="1"/>
      <c r="W352" s="1"/>
      <c r="X352" s="1"/>
    </row>
    <row r="353" spans="1:24">
      <c r="A353" s="15"/>
      <c r="B353" s="15"/>
      <c r="C353" s="16"/>
      <c r="D353" s="16"/>
      <c r="E353" s="16"/>
      <c r="F353" s="16"/>
      <c r="G353" s="16"/>
      <c r="H353" s="16"/>
      <c r="I353" s="16"/>
      <c r="J353" s="16"/>
      <c r="K353" s="16"/>
      <c r="L353" s="16"/>
      <c r="M353" s="25"/>
      <c r="N353" s="25"/>
      <c r="O353" s="16"/>
      <c r="P353" s="1"/>
      <c r="Q353" s="1"/>
      <c r="R353" s="1"/>
      <c r="S353" s="1"/>
      <c r="T353" s="1"/>
      <c r="U353" s="1"/>
      <c r="V353" s="1"/>
      <c r="W353" s="1"/>
      <c r="X353" s="1"/>
    </row>
    <row r="354" spans="1:24">
      <c r="A354" s="15"/>
      <c r="B354" s="15"/>
      <c r="C354" s="16"/>
      <c r="D354" s="16"/>
      <c r="E354" s="16"/>
      <c r="F354" s="16"/>
      <c r="G354" s="16"/>
      <c r="H354" s="16"/>
      <c r="I354" s="16"/>
      <c r="J354" s="16"/>
      <c r="K354" s="16"/>
      <c r="L354" s="16"/>
      <c r="M354" s="25"/>
      <c r="N354" s="25"/>
      <c r="O354" s="16"/>
      <c r="P354" s="1"/>
      <c r="Q354" s="1"/>
      <c r="R354" s="1"/>
      <c r="S354" s="1"/>
      <c r="T354" s="1"/>
      <c r="U354" s="1"/>
      <c r="V354" s="1"/>
      <c r="W354" s="1"/>
      <c r="X354" s="1"/>
    </row>
    <row r="355" spans="1:24">
      <c r="A355" s="15"/>
      <c r="B355" s="15"/>
      <c r="C355" s="16"/>
      <c r="D355" s="16"/>
      <c r="E355" s="16"/>
      <c r="F355" s="16"/>
      <c r="G355" s="16"/>
      <c r="H355" s="16"/>
      <c r="I355" s="16"/>
      <c r="J355" s="16"/>
      <c r="K355" s="16"/>
      <c r="L355" s="16"/>
      <c r="M355" s="25"/>
      <c r="N355" s="25"/>
      <c r="O355" s="16"/>
      <c r="P355" s="1"/>
      <c r="Q355" s="1"/>
      <c r="R355" s="1"/>
      <c r="S355" s="1"/>
      <c r="T355" s="1"/>
      <c r="U355" s="1"/>
      <c r="V355" s="1"/>
      <c r="W355" s="1"/>
      <c r="X355" s="1"/>
    </row>
    <row r="356" spans="1:24">
      <c r="A356" s="15"/>
      <c r="B356" s="15"/>
      <c r="C356" s="16"/>
      <c r="D356" s="16"/>
      <c r="E356" s="16"/>
      <c r="F356" s="16"/>
      <c r="G356" s="16"/>
      <c r="H356" s="16"/>
      <c r="I356" s="16"/>
      <c r="J356" s="16"/>
      <c r="K356" s="16"/>
      <c r="L356" s="16"/>
      <c r="M356" s="25"/>
      <c r="N356" s="25"/>
      <c r="O356" s="16"/>
      <c r="P356" s="1"/>
      <c r="Q356" s="1"/>
      <c r="R356" s="1"/>
      <c r="S356" s="1"/>
      <c r="T356" s="1"/>
      <c r="U356" s="1"/>
      <c r="V356" s="1"/>
      <c r="W356" s="1"/>
      <c r="X356" s="1"/>
    </row>
    <row r="357" spans="1:24">
      <c r="A357" s="15"/>
      <c r="B357" s="15"/>
      <c r="C357" s="16"/>
      <c r="D357" s="16"/>
      <c r="E357" s="16"/>
      <c r="F357" s="16"/>
      <c r="G357" s="16"/>
      <c r="H357" s="16"/>
      <c r="I357" s="16"/>
      <c r="J357" s="16"/>
      <c r="K357" s="16"/>
      <c r="L357" s="16"/>
      <c r="M357" s="25"/>
      <c r="N357" s="25"/>
      <c r="O357" s="16"/>
      <c r="P357" s="1"/>
      <c r="Q357" s="1"/>
      <c r="R357" s="1"/>
      <c r="S357" s="1"/>
      <c r="T357" s="1"/>
      <c r="U357" s="1"/>
      <c r="V357" s="1"/>
      <c r="W357" s="1"/>
      <c r="X357" s="1"/>
    </row>
    <row r="358" spans="1:24">
      <c r="A358" s="15"/>
      <c r="B358" s="15"/>
      <c r="C358" s="16"/>
      <c r="D358" s="16"/>
      <c r="E358" s="16"/>
      <c r="F358" s="16"/>
      <c r="G358" s="16"/>
      <c r="H358" s="16"/>
      <c r="I358" s="16"/>
      <c r="J358" s="16"/>
      <c r="K358" s="16"/>
      <c r="L358" s="16"/>
      <c r="M358" s="25"/>
      <c r="N358" s="25"/>
      <c r="O358" s="16"/>
      <c r="P358" s="1"/>
      <c r="Q358" s="1"/>
      <c r="R358" s="1"/>
      <c r="S358" s="1"/>
      <c r="T358" s="1"/>
      <c r="U358" s="1"/>
      <c r="V358" s="1"/>
      <c r="W358" s="1"/>
      <c r="X358" s="1"/>
    </row>
    <row r="359" spans="1:24">
      <c r="A359" s="15"/>
      <c r="B359" s="15"/>
      <c r="C359" s="16"/>
      <c r="D359" s="16"/>
      <c r="E359" s="16"/>
      <c r="F359" s="16"/>
      <c r="G359" s="16"/>
      <c r="H359" s="16"/>
      <c r="I359" s="16"/>
      <c r="J359" s="16"/>
      <c r="K359" s="16"/>
      <c r="L359" s="16"/>
      <c r="M359" s="25"/>
      <c r="N359" s="25"/>
      <c r="O359" s="16"/>
      <c r="P359" s="1"/>
      <c r="Q359" s="1"/>
      <c r="R359" s="1"/>
      <c r="S359" s="1"/>
      <c r="T359" s="1"/>
      <c r="U359" s="1"/>
      <c r="V359" s="1"/>
      <c r="W359" s="1"/>
      <c r="X359" s="1"/>
    </row>
    <row r="360" spans="1:24">
      <c r="A360" s="15"/>
      <c r="B360" s="15"/>
      <c r="C360" s="16"/>
      <c r="D360" s="16"/>
      <c r="E360" s="16"/>
      <c r="F360" s="16"/>
      <c r="G360" s="16"/>
      <c r="H360" s="16"/>
      <c r="I360" s="16"/>
      <c r="J360" s="16"/>
      <c r="K360" s="16"/>
      <c r="L360" s="16"/>
      <c r="M360" s="25"/>
      <c r="N360" s="25"/>
      <c r="O360" s="16"/>
      <c r="P360" s="1"/>
      <c r="Q360" s="1"/>
      <c r="R360" s="1"/>
      <c r="S360" s="1"/>
      <c r="T360" s="1"/>
      <c r="U360" s="1"/>
      <c r="V360" s="1"/>
      <c r="W360" s="1"/>
      <c r="X360" s="1"/>
    </row>
    <row r="361" spans="1:24">
      <c r="A361" s="15"/>
      <c r="B361" s="15"/>
      <c r="C361" s="16"/>
      <c r="D361" s="16"/>
      <c r="E361" s="16"/>
      <c r="F361" s="16"/>
      <c r="G361" s="16"/>
      <c r="H361" s="16"/>
      <c r="I361" s="16"/>
      <c r="J361" s="16"/>
      <c r="K361" s="16"/>
      <c r="L361" s="16"/>
      <c r="M361" s="25"/>
      <c r="N361" s="25"/>
      <c r="O361" s="16"/>
      <c r="P361" s="1"/>
      <c r="Q361" s="1"/>
      <c r="R361" s="1"/>
      <c r="S361" s="1"/>
      <c r="T361" s="1"/>
      <c r="U361" s="1"/>
      <c r="V361" s="1"/>
      <c r="W361" s="1"/>
      <c r="X361" s="1"/>
    </row>
    <row r="362" spans="1:24">
      <c r="A362" s="15"/>
      <c r="B362" s="15"/>
      <c r="C362" s="16"/>
      <c r="D362" s="16"/>
      <c r="E362" s="16"/>
      <c r="F362" s="16"/>
      <c r="G362" s="16"/>
      <c r="H362" s="16"/>
      <c r="I362" s="16"/>
      <c r="J362" s="16"/>
      <c r="K362" s="16"/>
      <c r="L362" s="16"/>
      <c r="M362" s="25"/>
      <c r="N362" s="25"/>
      <c r="O362" s="16"/>
      <c r="P362" s="1"/>
      <c r="Q362" s="1"/>
      <c r="R362" s="1"/>
      <c r="S362" s="1"/>
      <c r="T362" s="1"/>
      <c r="U362" s="1"/>
      <c r="V362" s="1"/>
      <c r="W362" s="1"/>
      <c r="X362" s="1"/>
    </row>
    <row r="363" spans="1:24">
      <c r="A363" s="15"/>
      <c r="B363" s="15"/>
      <c r="C363" s="16"/>
      <c r="D363" s="16"/>
      <c r="E363" s="16"/>
      <c r="F363" s="16"/>
      <c r="G363" s="16"/>
      <c r="H363" s="16"/>
      <c r="I363" s="16"/>
      <c r="J363" s="16"/>
      <c r="K363" s="16"/>
      <c r="L363" s="16"/>
      <c r="M363" s="25"/>
      <c r="N363" s="25"/>
      <c r="O363" s="16"/>
      <c r="P363" s="1"/>
      <c r="Q363" s="1"/>
      <c r="R363" s="1"/>
      <c r="S363" s="1"/>
      <c r="T363" s="1"/>
      <c r="U363" s="1"/>
      <c r="V363" s="1"/>
      <c r="W363" s="1"/>
      <c r="X363" s="1"/>
    </row>
    <row r="364" spans="1:24">
      <c r="A364" s="15"/>
      <c r="B364" s="15"/>
      <c r="C364" s="16"/>
      <c r="D364" s="16"/>
      <c r="E364" s="16"/>
      <c r="F364" s="16"/>
      <c r="G364" s="16"/>
      <c r="H364" s="16"/>
      <c r="I364" s="16"/>
      <c r="J364" s="16"/>
      <c r="K364" s="16"/>
      <c r="L364" s="16"/>
      <c r="M364" s="25"/>
      <c r="N364" s="25"/>
      <c r="O364" s="16"/>
      <c r="P364" s="1"/>
      <c r="Q364" s="1"/>
      <c r="R364" s="1"/>
      <c r="S364" s="1"/>
      <c r="T364" s="1"/>
      <c r="U364" s="1"/>
      <c r="V364" s="1"/>
      <c r="W364" s="1"/>
      <c r="X364" s="1"/>
    </row>
    <row r="365" spans="1:24">
      <c r="A365" s="15"/>
      <c r="B365" s="15"/>
      <c r="C365" s="16"/>
      <c r="D365" s="16"/>
      <c r="E365" s="16"/>
      <c r="F365" s="16"/>
      <c r="G365" s="16"/>
      <c r="H365" s="16"/>
      <c r="I365" s="16"/>
      <c r="J365" s="16"/>
      <c r="K365" s="16"/>
      <c r="L365" s="16"/>
      <c r="M365" s="25"/>
      <c r="N365" s="25"/>
      <c r="O365" s="16"/>
      <c r="P365" s="1"/>
      <c r="Q365" s="1"/>
      <c r="R365" s="1"/>
      <c r="S365" s="1"/>
      <c r="T365" s="1"/>
      <c r="U365" s="1"/>
      <c r="V365" s="1"/>
      <c r="W365" s="1"/>
      <c r="X365" s="1"/>
    </row>
    <row r="366" spans="1:24">
      <c r="A366" s="15"/>
      <c r="B366" s="15"/>
      <c r="C366" s="16"/>
      <c r="D366" s="16"/>
      <c r="E366" s="16"/>
      <c r="F366" s="16"/>
      <c r="G366" s="16"/>
      <c r="H366" s="16"/>
      <c r="I366" s="16"/>
      <c r="J366" s="16"/>
      <c r="K366" s="16"/>
      <c r="L366" s="16"/>
      <c r="M366" s="25"/>
      <c r="N366" s="25"/>
      <c r="O366" s="16"/>
      <c r="P366" s="1"/>
      <c r="Q366" s="1"/>
      <c r="R366" s="1"/>
      <c r="S366" s="1"/>
      <c r="T366" s="1"/>
      <c r="U366" s="1"/>
      <c r="V366" s="1"/>
      <c r="W366" s="1"/>
      <c r="X366" s="1"/>
    </row>
    <row r="367" spans="1:24">
      <c r="A367" s="15"/>
      <c r="B367" s="15"/>
      <c r="C367" s="16"/>
      <c r="D367" s="16"/>
      <c r="E367" s="16"/>
      <c r="F367" s="16"/>
      <c r="G367" s="16"/>
      <c r="H367" s="16"/>
      <c r="I367" s="16"/>
      <c r="J367" s="16"/>
      <c r="K367" s="16"/>
      <c r="L367" s="16"/>
      <c r="M367" s="25"/>
      <c r="N367" s="25"/>
      <c r="O367" s="16"/>
      <c r="P367" s="1"/>
      <c r="Q367" s="1"/>
      <c r="R367" s="1"/>
      <c r="S367" s="1"/>
      <c r="T367" s="1"/>
      <c r="U367" s="1"/>
      <c r="V367" s="1"/>
      <c r="W367" s="1"/>
      <c r="X367" s="1"/>
    </row>
    <row r="368" spans="1:24">
      <c r="A368" s="15"/>
      <c r="B368" s="15"/>
      <c r="C368" s="16"/>
      <c r="D368" s="16"/>
      <c r="E368" s="16"/>
      <c r="F368" s="16"/>
      <c r="G368" s="16"/>
      <c r="H368" s="16"/>
      <c r="I368" s="16"/>
      <c r="J368" s="16"/>
      <c r="K368" s="16"/>
      <c r="L368" s="16"/>
      <c r="M368" s="25"/>
      <c r="N368" s="25"/>
      <c r="O368" s="16"/>
      <c r="P368" s="1"/>
      <c r="Q368" s="1"/>
      <c r="R368" s="1"/>
      <c r="S368" s="1"/>
      <c r="T368" s="1"/>
      <c r="U368" s="1"/>
      <c r="V368" s="1"/>
      <c r="W368" s="1"/>
      <c r="X368" s="1"/>
    </row>
    <row r="369" spans="1:24">
      <c r="A369" s="15"/>
      <c r="B369" s="15"/>
      <c r="C369" s="16"/>
      <c r="D369" s="16"/>
      <c r="E369" s="16"/>
      <c r="F369" s="16"/>
      <c r="G369" s="16"/>
      <c r="H369" s="16"/>
      <c r="I369" s="16"/>
      <c r="J369" s="16"/>
      <c r="K369" s="16"/>
      <c r="L369" s="16"/>
      <c r="M369" s="25"/>
      <c r="N369" s="25"/>
      <c r="O369" s="16"/>
      <c r="P369" s="1"/>
      <c r="Q369" s="1"/>
      <c r="R369" s="1"/>
      <c r="S369" s="1"/>
      <c r="T369" s="1"/>
      <c r="U369" s="1"/>
      <c r="V369" s="1"/>
      <c r="W369" s="1"/>
      <c r="X369" s="1"/>
    </row>
    <row r="370" spans="1:24">
      <c r="A370" s="15"/>
      <c r="B370" s="15"/>
      <c r="C370" s="16"/>
      <c r="D370" s="16"/>
      <c r="E370" s="16"/>
      <c r="F370" s="16"/>
      <c r="G370" s="16"/>
      <c r="H370" s="16"/>
      <c r="I370" s="16"/>
      <c r="J370" s="16"/>
      <c r="K370" s="16"/>
      <c r="L370" s="16"/>
      <c r="M370" s="25"/>
      <c r="N370" s="25"/>
      <c r="O370" s="16"/>
      <c r="P370" s="1"/>
      <c r="Q370" s="1"/>
      <c r="R370" s="1"/>
      <c r="S370" s="1"/>
      <c r="T370" s="1"/>
      <c r="U370" s="1"/>
      <c r="V370" s="1"/>
      <c r="W370" s="1"/>
      <c r="X370" s="1"/>
    </row>
    <row r="371" spans="1:24">
      <c r="A371" s="15"/>
      <c r="B371" s="15"/>
      <c r="C371" s="16"/>
      <c r="D371" s="16"/>
      <c r="E371" s="16"/>
      <c r="F371" s="16"/>
      <c r="G371" s="16"/>
      <c r="H371" s="16"/>
      <c r="I371" s="16"/>
      <c r="J371" s="16"/>
      <c r="K371" s="16"/>
      <c r="L371" s="16"/>
      <c r="M371" s="25"/>
      <c r="N371" s="25"/>
      <c r="O371" s="16"/>
      <c r="P371" s="1"/>
      <c r="Q371" s="1"/>
      <c r="R371" s="1"/>
      <c r="S371" s="1"/>
      <c r="T371" s="1"/>
      <c r="U371" s="1"/>
      <c r="V371" s="1"/>
      <c r="W371" s="1"/>
      <c r="X371" s="1"/>
    </row>
    <row r="372" spans="1:24">
      <c r="A372" s="15"/>
      <c r="B372" s="15"/>
      <c r="C372" s="16"/>
      <c r="D372" s="16"/>
      <c r="E372" s="16"/>
      <c r="F372" s="16"/>
      <c r="G372" s="16"/>
      <c r="H372" s="16"/>
      <c r="I372" s="16"/>
      <c r="J372" s="16"/>
      <c r="K372" s="16"/>
      <c r="L372" s="16"/>
      <c r="M372" s="25"/>
      <c r="N372" s="25"/>
      <c r="O372" s="16"/>
      <c r="P372" s="1"/>
      <c r="Q372" s="1"/>
      <c r="R372" s="1"/>
      <c r="S372" s="1"/>
      <c r="T372" s="1"/>
      <c r="U372" s="1"/>
      <c r="V372" s="1"/>
      <c r="W372" s="1"/>
      <c r="X372" s="1"/>
    </row>
    <row r="373" spans="1:24">
      <c r="A373" s="15"/>
      <c r="B373" s="15"/>
      <c r="C373" s="16"/>
      <c r="D373" s="16"/>
      <c r="E373" s="16"/>
      <c r="F373" s="16"/>
      <c r="G373" s="16"/>
      <c r="H373" s="16"/>
      <c r="I373" s="16"/>
      <c r="J373" s="16"/>
      <c r="K373" s="16"/>
      <c r="L373" s="16"/>
      <c r="M373" s="25"/>
      <c r="N373" s="25"/>
      <c r="O373" s="16"/>
      <c r="P373" s="1"/>
      <c r="Q373" s="1"/>
      <c r="R373" s="1"/>
      <c r="S373" s="1"/>
      <c r="T373" s="1"/>
      <c r="U373" s="1"/>
      <c r="V373" s="1"/>
      <c r="W373" s="1"/>
      <c r="X373" s="1"/>
    </row>
    <row r="374" spans="1:24">
      <c r="A374" s="15"/>
      <c r="B374" s="15"/>
      <c r="C374" s="16"/>
      <c r="D374" s="16"/>
      <c r="E374" s="16"/>
      <c r="F374" s="16"/>
      <c r="G374" s="16"/>
      <c r="H374" s="16"/>
      <c r="I374" s="16"/>
      <c r="J374" s="16"/>
      <c r="K374" s="16"/>
      <c r="L374" s="16"/>
      <c r="M374" s="26"/>
      <c r="N374" s="26"/>
      <c r="O374" s="16"/>
      <c r="P374" s="1"/>
      <c r="Q374" s="1"/>
      <c r="R374" s="1"/>
      <c r="S374" s="1"/>
      <c r="T374" s="1"/>
      <c r="U374" s="1"/>
      <c r="V374" s="1"/>
      <c r="W374" s="1"/>
      <c r="X374" s="1"/>
    </row>
    <row r="375" spans="1:24">
      <c r="A375" s="15"/>
      <c r="B375" s="1"/>
      <c r="C375" s="1"/>
      <c r="D375" s="1"/>
      <c r="E375" s="1"/>
      <c r="F375" s="1"/>
      <c r="G375" s="1"/>
      <c r="H375" s="1"/>
      <c r="I375" s="1"/>
      <c r="J375" s="1"/>
      <c r="K375" s="1"/>
      <c r="L375" s="1"/>
      <c r="M375" s="26"/>
      <c r="N375" s="26"/>
      <c r="O375" s="1"/>
      <c r="P375" s="1"/>
      <c r="Q375" s="1"/>
      <c r="R375" s="1"/>
      <c r="S375" s="1"/>
      <c r="T375" s="1"/>
      <c r="U375" s="1"/>
      <c r="V375" s="1"/>
      <c r="W375" s="1"/>
      <c r="X375" s="1"/>
    </row>
    <row r="376" spans="1:24">
      <c r="A376" s="15"/>
      <c r="B376" s="1"/>
      <c r="C376" s="1"/>
      <c r="D376" s="1"/>
      <c r="E376" s="1"/>
      <c r="F376" s="1"/>
      <c r="G376" s="1"/>
      <c r="H376" s="1"/>
      <c r="I376" s="1"/>
      <c r="J376" s="1"/>
      <c r="K376" s="1"/>
      <c r="L376" s="1"/>
      <c r="M376" s="26"/>
      <c r="N376" s="26"/>
      <c r="O376" s="1"/>
      <c r="P376" s="1"/>
      <c r="Q376" s="1"/>
      <c r="R376" s="1"/>
      <c r="S376" s="1"/>
      <c r="T376" s="1"/>
      <c r="U376" s="1"/>
      <c r="V376" s="1"/>
      <c r="W376" s="1"/>
      <c r="X376" s="1"/>
    </row>
    <row r="377" spans="1:24">
      <c r="A377" s="15"/>
      <c r="B377" s="1"/>
      <c r="C377" s="1"/>
      <c r="D377" s="1"/>
      <c r="E377" s="1"/>
      <c r="F377" s="1"/>
      <c r="G377" s="1"/>
      <c r="H377" s="1"/>
      <c r="I377" s="1"/>
      <c r="J377" s="1"/>
      <c r="K377" s="1"/>
      <c r="L377" s="1"/>
      <c r="M377" s="26"/>
      <c r="N377" s="26"/>
      <c r="O377" s="1"/>
      <c r="P377" s="1"/>
      <c r="Q377" s="1"/>
      <c r="R377" s="1"/>
      <c r="S377" s="1"/>
      <c r="T377" s="1"/>
      <c r="U377" s="1"/>
      <c r="V377" s="1"/>
      <c r="W377" s="1"/>
      <c r="X377" s="1"/>
    </row>
    <row r="378" spans="1:24">
      <c r="A378" s="1"/>
      <c r="B378" s="93"/>
      <c r="C378" s="1"/>
      <c r="D378" s="1"/>
      <c r="E378" s="1"/>
      <c r="F378" s="93"/>
      <c r="G378" s="93"/>
      <c r="H378" s="93"/>
      <c r="I378" s="93"/>
      <c r="J378" s="93"/>
      <c r="K378" s="93"/>
      <c r="L378" s="93"/>
      <c r="M378" s="26"/>
      <c r="N378" s="26"/>
      <c r="O378" s="1"/>
      <c r="P378" s="1"/>
      <c r="Q378" s="1"/>
      <c r="R378" s="1"/>
      <c r="S378" s="1"/>
      <c r="T378" s="1"/>
      <c r="U378" s="1"/>
      <c r="V378" s="1"/>
      <c r="W378" s="1"/>
      <c r="X378" s="1"/>
    </row>
    <row r="379" spans="1:24">
      <c r="A379" s="1"/>
      <c r="B379" s="94"/>
      <c r="C379" s="1"/>
      <c r="D379" s="1"/>
      <c r="E379" s="1"/>
      <c r="F379" s="94"/>
      <c r="G379" s="94"/>
      <c r="H379" s="94"/>
      <c r="I379" s="94"/>
      <c r="J379" s="94"/>
      <c r="K379" s="94"/>
      <c r="L379" s="94"/>
      <c r="M379" s="26"/>
      <c r="N379" s="26"/>
      <c r="O379" s="1"/>
      <c r="P379" s="1"/>
      <c r="Q379" s="1"/>
      <c r="R379" s="1"/>
      <c r="S379" s="1"/>
      <c r="T379" s="1"/>
      <c r="U379" s="1"/>
      <c r="V379" s="1"/>
      <c r="W379" s="1"/>
      <c r="X379" s="1"/>
    </row>
    <row r="380" spans="1:24">
      <c r="A380" s="1"/>
      <c r="B380" s="94"/>
      <c r="C380" s="1"/>
      <c r="D380" s="1"/>
      <c r="E380" s="1"/>
      <c r="F380" s="94"/>
      <c r="G380" s="94"/>
      <c r="H380" s="94"/>
      <c r="I380" s="94"/>
      <c r="J380" s="94"/>
      <c r="K380" s="94"/>
      <c r="L380" s="94"/>
      <c r="M380" s="26"/>
      <c r="N380" s="26"/>
      <c r="O380" s="1"/>
      <c r="P380" s="1"/>
      <c r="Q380" s="1"/>
      <c r="R380" s="1"/>
      <c r="S380" s="1"/>
      <c r="T380" s="1"/>
      <c r="U380" s="1"/>
      <c r="V380" s="1"/>
      <c r="W380" s="1"/>
      <c r="X380" s="1"/>
    </row>
    <row r="381" spans="1:24">
      <c r="A381" s="1"/>
      <c r="B381" s="94"/>
      <c r="C381" s="1"/>
      <c r="D381" s="1"/>
      <c r="E381" s="1"/>
      <c r="F381" s="94"/>
      <c r="G381" s="94"/>
      <c r="H381" s="94"/>
      <c r="I381" s="94"/>
      <c r="J381" s="94"/>
      <c r="K381" s="94"/>
      <c r="L381" s="94"/>
      <c r="M381" s="26"/>
      <c r="N381" s="26"/>
      <c r="O381" s="1"/>
      <c r="P381" s="1"/>
      <c r="Q381" s="1"/>
      <c r="R381" s="1"/>
      <c r="S381" s="1"/>
      <c r="T381" s="1"/>
      <c r="U381" s="1"/>
      <c r="V381" s="1"/>
      <c r="W381" s="1"/>
      <c r="X381" s="1"/>
    </row>
    <row r="382" spans="1:24">
      <c r="A382" s="1"/>
      <c r="B382" s="94"/>
      <c r="C382" s="1"/>
      <c r="D382" s="1"/>
      <c r="E382" s="1"/>
      <c r="F382" s="94"/>
      <c r="G382" s="94"/>
      <c r="H382" s="94"/>
      <c r="I382" s="94"/>
      <c r="J382" s="94"/>
      <c r="K382" s="94"/>
      <c r="L382" s="94"/>
      <c r="M382" s="26"/>
      <c r="N382" s="26"/>
      <c r="O382" s="1"/>
      <c r="P382" s="1"/>
      <c r="Q382" s="1"/>
      <c r="R382" s="1"/>
      <c r="S382" s="1"/>
      <c r="T382" s="1"/>
      <c r="U382" s="1"/>
      <c r="V382" s="1"/>
      <c r="W382" s="1"/>
      <c r="X382" s="1"/>
    </row>
    <row r="383" spans="1:24">
      <c r="A383" s="1"/>
      <c r="B383" s="93"/>
      <c r="C383" s="1"/>
      <c r="D383" s="1"/>
      <c r="E383" s="1"/>
      <c r="F383" s="93"/>
      <c r="G383" s="93"/>
      <c r="H383" s="93"/>
      <c r="I383" s="93"/>
      <c r="J383" s="93"/>
      <c r="K383" s="93"/>
      <c r="L383" s="93"/>
      <c r="M383" s="26"/>
      <c r="N383" s="26"/>
      <c r="O383" s="1"/>
      <c r="P383" s="1"/>
      <c r="Q383" s="1"/>
      <c r="R383" s="1"/>
      <c r="S383" s="1"/>
      <c r="T383" s="1"/>
      <c r="U383" s="1"/>
      <c r="V383" s="1"/>
      <c r="W383" s="1"/>
      <c r="X383" s="1"/>
    </row>
    <row r="384" spans="1:24">
      <c r="A384" s="1"/>
      <c r="B384" s="94"/>
      <c r="C384" s="1"/>
      <c r="D384" s="1"/>
      <c r="E384" s="1"/>
      <c r="F384" s="94"/>
      <c r="G384" s="94"/>
      <c r="H384" s="94"/>
      <c r="I384" s="94"/>
      <c r="J384" s="94"/>
      <c r="K384" s="94"/>
      <c r="L384" s="94"/>
      <c r="M384" s="26"/>
      <c r="N384" s="26"/>
      <c r="O384" s="1"/>
      <c r="P384" s="1"/>
      <c r="Q384" s="1"/>
      <c r="R384" s="1"/>
      <c r="S384" s="1"/>
      <c r="T384" s="1"/>
      <c r="U384" s="1"/>
      <c r="V384" s="1"/>
      <c r="W384" s="1"/>
      <c r="X384" s="1"/>
    </row>
    <row r="385" spans="1:24">
      <c r="A385" s="1"/>
      <c r="B385" s="94"/>
      <c r="C385" s="1"/>
      <c r="D385" s="1"/>
      <c r="E385" s="1"/>
      <c r="F385" s="94"/>
      <c r="G385" s="94"/>
      <c r="H385" s="94"/>
      <c r="I385" s="94"/>
      <c r="J385" s="94"/>
      <c r="K385" s="94"/>
      <c r="L385" s="94"/>
      <c r="M385" s="26"/>
      <c r="N385" s="26"/>
      <c r="O385" s="1"/>
      <c r="P385" s="1"/>
      <c r="Q385" s="1"/>
      <c r="R385" s="1"/>
      <c r="S385" s="1"/>
      <c r="T385" s="1"/>
      <c r="U385" s="1"/>
      <c r="V385" s="1"/>
      <c r="W385" s="1"/>
      <c r="X385" s="1"/>
    </row>
    <row r="386" spans="1:24">
      <c r="A386" s="1"/>
      <c r="B386" s="94"/>
      <c r="C386" s="1"/>
      <c r="D386" s="1"/>
      <c r="E386" s="1"/>
      <c r="F386" s="94"/>
      <c r="G386" s="94"/>
      <c r="H386" s="94"/>
      <c r="I386" s="94"/>
      <c r="J386" s="94"/>
      <c r="K386" s="94"/>
      <c r="L386" s="94"/>
      <c r="M386" s="26"/>
      <c r="N386" s="26"/>
      <c r="O386" s="1"/>
      <c r="P386" s="1"/>
      <c r="Q386" s="1"/>
      <c r="R386" s="1"/>
      <c r="S386" s="1"/>
      <c r="T386" s="1"/>
      <c r="U386" s="1"/>
      <c r="V386" s="1"/>
      <c r="W386" s="1"/>
      <c r="X386" s="1"/>
    </row>
    <row r="387" spans="1:24">
      <c r="A387" s="1"/>
      <c r="B387" s="94"/>
      <c r="C387" s="1"/>
      <c r="D387" s="1"/>
      <c r="E387" s="1"/>
      <c r="F387" s="94"/>
      <c r="G387" s="94"/>
      <c r="H387" s="94"/>
      <c r="I387" s="94"/>
      <c r="J387" s="94"/>
      <c r="K387" s="94"/>
      <c r="L387" s="94"/>
      <c r="M387" s="26"/>
      <c r="N387" s="26"/>
      <c r="O387" s="1"/>
      <c r="P387" s="1"/>
      <c r="Q387" s="1"/>
      <c r="R387" s="1"/>
      <c r="S387" s="1"/>
      <c r="T387" s="1"/>
      <c r="U387" s="1"/>
      <c r="V387" s="1"/>
      <c r="W387" s="1"/>
      <c r="X387" s="1"/>
    </row>
    <row r="388" spans="1:24">
      <c r="A388" s="1"/>
      <c r="B388" s="93"/>
      <c r="C388" s="1"/>
      <c r="D388" s="1"/>
      <c r="E388" s="1"/>
      <c r="F388" s="93"/>
      <c r="G388" s="93"/>
      <c r="H388" s="93"/>
      <c r="I388" s="93"/>
      <c r="J388" s="93"/>
      <c r="K388" s="93"/>
      <c r="L388" s="93"/>
      <c r="M388" s="26"/>
      <c r="N388" s="26"/>
      <c r="O388" s="1"/>
      <c r="P388" s="1"/>
      <c r="Q388" s="1"/>
      <c r="R388" s="1"/>
      <c r="S388" s="1"/>
      <c r="T388" s="1"/>
      <c r="U388" s="1"/>
      <c r="V388" s="1"/>
      <c r="W388" s="1"/>
      <c r="X388" s="1"/>
    </row>
    <row r="389" spans="1:24">
      <c r="A389" s="1"/>
      <c r="B389" s="94"/>
      <c r="C389" s="1"/>
      <c r="D389" s="1"/>
      <c r="E389" s="1"/>
      <c r="F389" s="94"/>
      <c r="G389" s="94"/>
      <c r="H389" s="94"/>
      <c r="I389" s="94"/>
      <c r="J389" s="94"/>
      <c r="K389" s="94"/>
      <c r="L389" s="94"/>
      <c r="M389" s="26"/>
      <c r="N389" s="26"/>
      <c r="O389" s="1"/>
      <c r="P389" s="1"/>
      <c r="Q389" s="1"/>
      <c r="R389" s="1"/>
      <c r="S389" s="1"/>
      <c r="T389" s="1"/>
      <c r="U389" s="1"/>
      <c r="V389" s="1"/>
      <c r="W389" s="1"/>
      <c r="X389" s="1"/>
    </row>
    <row r="390" spans="1:24">
      <c r="A390" s="1"/>
      <c r="B390" s="94"/>
      <c r="C390" s="1"/>
      <c r="D390" s="1"/>
      <c r="E390" s="1"/>
      <c r="F390" s="94"/>
      <c r="G390" s="94"/>
      <c r="H390" s="94"/>
      <c r="I390" s="94"/>
      <c r="J390" s="94"/>
      <c r="K390" s="94"/>
      <c r="L390" s="94"/>
      <c r="M390" s="26"/>
      <c r="N390" s="26"/>
      <c r="O390" s="1"/>
      <c r="P390" s="1"/>
      <c r="Q390" s="1"/>
      <c r="R390" s="1"/>
      <c r="S390" s="1"/>
      <c r="T390" s="1"/>
      <c r="U390" s="1"/>
      <c r="V390" s="1"/>
      <c r="W390" s="1"/>
      <c r="X390" s="1"/>
    </row>
    <row r="391" spans="1:24">
      <c r="A391" s="1"/>
      <c r="B391" s="94"/>
      <c r="C391" s="1"/>
      <c r="D391" s="1"/>
      <c r="E391" s="1"/>
      <c r="F391" s="94"/>
      <c r="G391" s="94"/>
      <c r="H391" s="94"/>
      <c r="I391" s="94"/>
      <c r="J391" s="94"/>
      <c r="K391" s="94"/>
      <c r="L391" s="94"/>
      <c r="M391" s="26"/>
      <c r="N391" s="26"/>
      <c r="O391" s="1"/>
      <c r="P391" s="1"/>
      <c r="Q391" s="1"/>
      <c r="R391" s="1"/>
      <c r="S391" s="1"/>
      <c r="T391" s="1"/>
      <c r="U391" s="1"/>
      <c r="V391" s="1"/>
      <c r="W391" s="1"/>
      <c r="X391" s="1"/>
    </row>
    <row r="392" spans="1:24">
      <c r="A392" s="1"/>
      <c r="B392" s="94"/>
      <c r="C392" s="1"/>
      <c r="D392" s="1"/>
      <c r="E392" s="1"/>
      <c r="F392" s="94"/>
      <c r="G392" s="94"/>
      <c r="H392" s="94"/>
      <c r="I392" s="94"/>
      <c r="J392" s="94"/>
      <c r="K392" s="94"/>
      <c r="L392" s="94"/>
      <c r="M392" s="26"/>
      <c r="N392" s="26"/>
      <c r="O392" s="1"/>
      <c r="P392" s="1"/>
      <c r="Q392" s="1"/>
      <c r="R392" s="1"/>
      <c r="S392" s="1"/>
      <c r="T392" s="1"/>
      <c r="U392" s="1"/>
      <c r="V392" s="1"/>
      <c r="W392" s="1"/>
      <c r="X392" s="1"/>
    </row>
    <row r="393" spans="1:24">
      <c r="A393" s="1"/>
      <c r="B393" s="93"/>
      <c r="C393" s="1"/>
      <c r="D393" s="1"/>
      <c r="E393" s="1"/>
      <c r="F393" s="93"/>
      <c r="G393" s="93"/>
      <c r="H393" s="93"/>
      <c r="I393" s="93"/>
      <c r="J393" s="93"/>
      <c r="K393" s="93"/>
      <c r="L393" s="93"/>
      <c r="M393" s="26"/>
      <c r="N393" s="26"/>
      <c r="O393" s="1"/>
      <c r="P393" s="1"/>
      <c r="Q393" s="1"/>
      <c r="R393" s="1"/>
      <c r="S393" s="1"/>
      <c r="T393" s="1"/>
      <c r="U393" s="1"/>
      <c r="V393" s="1"/>
      <c r="W393" s="1"/>
      <c r="X393" s="1"/>
    </row>
    <row r="394" spans="1:24">
      <c r="A394" s="1"/>
      <c r="B394" s="94"/>
      <c r="C394" s="1"/>
      <c r="D394" s="1"/>
      <c r="E394" s="1"/>
      <c r="F394" s="94"/>
      <c r="G394" s="94"/>
      <c r="H394" s="94"/>
      <c r="I394" s="94"/>
      <c r="J394" s="94"/>
      <c r="K394" s="94"/>
      <c r="L394" s="94"/>
      <c r="M394" s="26"/>
      <c r="N394" s="26"/>
      <c r="O394" s="1"/>
      <c r="P394" s="1"/>
      <c r="Q394" s="1"/>
      <c r="R394" s="1"/>
      <c r="S394" s="1"/>
      <c r="T394" s="1"/>
      <c r="U394" s="1"/>
      <c r="V394" s="1"/>
      <c r="W394" s="1"/>
      <c r="X394" s="1"/>
    </row>
    <row r="395" spans="1:24">
      <c r="A395" s="1"/>
      <c r="B395" s="94"/>
      <c r="C395" s="1"/>
      <c r="D395" s="1"/>
      <c r="E395" s="1"/>
      <c r="F395" s="94"/>
      <c r="G395" s="94"/>
      <c r="H395" s="94"/>
      <c r="I395" s="94"/>
      <c r="J395" s="94"/>
      <c r="K395" s="94"/>
      <c r="L395" s="94"/>
      <c r="M395" s="26"/>
      <c r="N395" s="26"/>
      <c r="O395" s="1"/>
      <c r="P395" s="1"/>
      <c r="Q395" s="1"/>
      <c r="R395" s="1"/>
      <c r="S395" s="1"/>
      <c r="T395" s="1"/>
      <c r="U395" s="1"/>
      <c r="V395" s="1"/>
      <c r="W395" s="1"/>
      <c r="X395" s="1"/>
    </row>
    <row r="396" spans="1:24">
      <c r="A396" s="1"/>
      <c r="B396" s="94"/>
      <c r="C396" s="1"/>
      <c r="D396" s="1"/>
      <c r="E396" s="1"/>
      <c r="F396" s="94"/>
      <c r="G396" s="94"/>
      <c r="H396" s="94"/>
      <c r="I396" s="94"/>
      <c r="J396" s="94"/>
      <c r="K396" s="94"/>
      <c r="L396" s="94"/>
      <c r="M396" s="26"/>
      <c r="N396" s="26"/>
      <c r="O396" s="1"/>
      <c r="P396" s="1"/>
      <c r="Q396" s="1"/>
      <c r="R396" s="1"/>
      <c r="S396" s="1"/>
      <c r="T396" s="1"/>
      <c r="U396" s="1"/>
      <c r="V396" s="1"/>
      <c r="W396" s="1"/>
      <c r="X396" s="1"/>
    </row>
    <row r="397" spans="1:24">
      <c r="A397" s="1"/>
      <c r="B397" s="94"/>
      <c r="C397" s="1"/>
      <c r="D397" s="1"/>
      <c r="E397" s="1"/>
      <c r="F397" s="94"/>
      <c r="G397" s="94"/>
      <c r="H397" s="94"/>
      <c r="I397" s="94"/>
      <c r="J397" s="94"/>
      <c r="K397" s="94"/>
      <c r="L397" s="94"/>
      <c r="M397" s="26"/>
      <c r="N397" s="26"/>
      <c r="O397" s="1"/>
      <c r="P397" s="1"/>
      <c r="Q397" s="1"/>
      <c r="R397" s="1"/>
      <c r="S397" s="1"/>
      <c r="T397" s="1"/>
      <c r="U397" s="1"/>
      <c r="V397" s="1"/>
      <c r="W397" s="1"/>
      <c r="X397" s="1"/>
    </row>
    <row r="398" spans="1:24">
      <c r="A398" s="1"/>
      <c r="B398" s="93"/>
      <c r="C398" s="1"/>
      <c r="D398" s="1"/>
      <c r="E398" s="1"/>
      <c r="F398" s="93"/>
      <c r="G398" s="93"/>
      <c r="H398" s="93"/>
      <c r="I398" s="93"/>
      <c r="J398" s="93"/>
      <c r="K398" s="93"/>
      <c r="L398" s="93"/>
      <c r="M398" s="26"/>
      <c r="N398" s="26"/>
      <c r="O398" s="1"/>
      <c r="P398" s="1"/>
      <c r="Q398" s="1"/>
      <c r="R398" s="1"/>
      <c r="S398" s="1"/>
      <c r="T398" s="1"/>
      <c r="U398" s="1"/>
      <c r="V398" s="1"/>
      <c r="W398" s="1"/>
      <c r="X398" s="1"/>
    </row>
    <row r="399" spans="1:24">
      <c r="A399" s="1"/>
      <c r="B399" s="94"/>
      <c r="C399" s="1"/>
      <c r="D399" s="1"/>
      <c r="E399" s="1"/>
      <c r="F399" s="94"/>
      <c r="G399" s="94"/>
      <c r="H399" s="94"/>
      <c r="I399" s="94"/>
      <c r="J399" s="94"/>
      <c r="K399" s="94"/>
      <c r="L399" s="94"/>
      <c r="M399" s="26"/>
      <c r="N399" s="26"/>
      <c r="O399" s="1"/>
      <c r="P399" s="1"/>
      <c r="Q399" s="1"/>
      <c r="R399" s="1"/>
      <c r="S399" s="1"/>
      <c r="T399" s="1"/>
      <c r="U399" s="1"/>
      <c r="V399" s="1"/>
      <c r="W399" s="1"/>
      <c r="X399" s="1"/>
    </row>
    <row r="400" spans="1:24">
      <c r="A400" s="1"/>
      <c r="B400" s="94"/>
      <c r="C400" s="1"/>
      <c r="D400" s="1"/>
      <c r="E400" s="1"/>
      <c r="F400" s="94"/>
      <c r="G400" s="94"/>
      <c r="H400" s="94"/>
      <c r="I400" s="94"/>
      <c r="J400" s="94"/>
      <c r="K400" s="94"/>
      <c r="L400" s="94"/>
      <c r="M400" s="26"/>
      <c r="N400" s="26"/>
      <c r="O400" s="1"/>
      <c r="P400" s="1"/>
      <c r="Q400" s="1"/>
      <c r="R400" s="1"/>
      <c r="S400" s="1"/>
      <c r="T400" s="1"/>
      <c r="U400" s="1"/>
      <c r="V400" s="1"/>
      <c r="W400" s="1"/>
      <c r="X400" s="1"/>
    </row>
    <row r="401" spans="1:24">
      <c r="A401" s="1"/>
      <c r="B401" s="94"/>
      <c r="C401" s="1"/>
      <c r="D401" s="1"/>
      <c r="E401" s="1"/>
      <c r="F401" s="94"/>
      <c r="G401" s="94"/>
      <c r="H401" s="94"/>
      <c r="I401" s="94"/>
      <c r="J401" s="94"/>
      <c r="K401" s="94"/>
      <c r="L401" s="94"/>
      <c r="M401" s="26"/>
      <c r="N401" s="26"/>
      <c r="O401" s="1"/>
      <c r="P401" s="1"/>
      <c r="Q401" s="1"/>
      <c r="R401" s="1"/>
      <c r="S401" s="1"/>
      <c r="T401" s="1"/>
      <c r="U401" s="1"/>
      <c r="V401" s="1"/>
      <c r="W401" s="1"/>
      <c r="X401" s="1"/>
    </row>
    <row r="402" spans="1:24">
      <c r="A402" s="1"/>
      <c r="B402" s="94"/>
      <c r="C402" s="1"/>
      <c r="D402" s="1"/>
      <c r="E402" s="1"/>
      <c r="F402" s="94"/>
      <c r="G402" s="94"/>
      <c r="H402" s="94"/>
      <c r="I402" s="94"/>
      <c r="J402" s="94"/>
      <c r="K402" s="94"/>
      <c r="L402" s="94"/>
      <c r="M402" s="26"/>
      <c r="N402" s="26"/>
      <c r="O402" s="1"/>
      <c r="P402" s="1"/>
      <c r="Q402" s="1"/>
      <c r="R402" s="1"/>
      <c r="S402" s="1"/>
      <c r="T402" s="1"/>
      <c r="U402" s="1"/>
      <c r="V402" s="1"/>
      <c r="W402" s="1"/>
      <c r="X402" s="1"/>
    </row>
    <row r="403" spans="1:24">
      <c r="A403" s="1"/>
      <c r="B403" s="93"/>
      <c r="C403" s="1"/>
      <c r="D403" s="1"/>
      <c r="E403" s="1"/>
      <c r="F403" s="93"/>
      <c r="G403" s="93"/>
      <c r="H403" s="93"/>
      <c r="I403" s="93"/>
      <c r="J403" s="93"/>
      <c r="K403" s="93"/>
      <c r="L403" s="93"/>
      <c r="M403" s="26"/>
      <c r="N403" s="26"/>
      <c r="O403" s="1"/>
      <c r="P403" s="1"/>
      <c r="Q403" s="1"/>
      <c r="R403" s="1"/>
      <c r="S403" s="1"/>
      <c r="T403" s="1"/>
      <c r="U403" s="1"/>
      <c r="V403" s="1"/>
      <c r="W403" s="1"/>
      <c r="X403" s="1"/>
    </row>
    <row r="404" spans="1:24">
      <c r="A404" s="1"/>
      <c r="B404" s="94"/>
      <c r="C404" s="1"/>
      <c r="D404" s="1"/>
      <c r="E404" s="1"/>
      <c r="F404" s="94"/>
      <c r="G404" s="94"/>
      <c r="H404" s="94"/>
      <c r="I404" s="94"/>
      <c r="J404" s="94"/>
      <c r="K404" s="94"/>
      <c r="L404" s="94"/>
      <c r="M404" s="26"/>
      <c r="N404" s="26"/>
      <c r="O404" s="1"/>
      <c r="P404" s="1"/>
      <c r="Q404" s="1"/>
      <c r="R404" s="1"/>
      <c r="S404" s="1"/>
      <c r="T404" s="1"/>
      <c r="U404" s="1"/>
      <c r="V404" s="1"/>
      <c r="W404" s="1"/>
      <c r="X404" s="1"/>
    </row>
    <row r="405" spans="1:24">
      <c r="A405" s="1"/>
      <c r="B405" s="94"/>
      <c r="C405" s="1"/>
      <c r="D405" s="1"/>
      <c r="E405" s="1"/>
      <c r="F405" s="94"/>
      <c r="G405" s="94"/>
      <c r="H405" s="94"/>
      <c r="I405" s="94"/>
      <c r="J405" s="94"/>
      <c r="K405" s="94"/>
      <c r="L405" s="94"/>
      <c r="M405" s="26"/>
      <c r="N405" s="26"/>
      <c r="O405" s="1"/>
      <c r="P405" s="1"/>
      <c r="Q405" s="1"/>
      <c r="R405" s="1"/>
      <c r="S405" s="1"/>
      <c r="T405" s="1"/>
      <c r="U405" s="1"/>
      <c r="V405" s="1"/>
      <c r="W405" s="1"/>
      <c r="X405" s="1"/>
    </row>
    <row r="406" spans="1:24">
      <c r="A406" s="1"/>
      <c r="B406" s="94"/>
      <c r="C406" s="1"/>
      <c r="D406" s="1"/>
      <c r="E406" s="1"/>
      <c r="F406" s="94"/>
      <c r="G406" s="94"/>
      <c r="H406" s="94"/>
      <c r="I406" s="94"/>
      <c r="J406" s="94"/>
      <c r="K406" s="94"/>
      <c r="L406" s="94"/>
      <c r="M406" s="26"/>
      <c r="N406" s="26"/>
      <c r="O406" s="1"/>
      <c r="P406" s="1"/>
      <c r="Q406" s="1"/>
      <c r="R406" s="1"/>
      <c r="S406" s="1"/>
      <c r="T406" s="1"/>
      <c r="U406" s="1"/>
      <c r="V406" s="1"/>
      <c r="W406" s="1"/>
      <c r="X406" s="1"/>
    </row>
    <row r="407" spans="1:24">
      <c r="A407" s="1"/>
      <c r="B407" s="94"/>
      <c r="C407" s="1"/>
      <c r="D407" s="1"/>
      <c r="E407" s="1"/>
      <c r="F407" s="94"/>
      <c r="G407" s="94"/>
      <c r="H407" s="94"/>
      <c r="I407" s="94"/>
      <c r="J407" s="94"/>
      <c r="K407" s="94"/>
      <c r="L407" s="94"/>
      <c r="M407" s="26"/>
      <c r="N407" s="26"/>
      <c r="O407" s="1"/>
      <c r="P407" s="1"/>
      <c r="Q407" s="1"/>
      <c r="R407" s="1"/>
      <c r="S407" s="1"/>
      <c r="T407" s="1"/>
      <c r="U407" s="1"/>
      <c r="V407" s="1"/>
      <c r="W407" s="1"/>
      <c r="X407" s="1"/>
    </row>
    <row r="408" spans="1:24">
      <c r="A408" s="1"/>
      <c r="B408" s="93"/>
      <c r="C408" s="1"/>
      <c r="D408" s="1"/>
      <c r="E408" s="1"/>
      <c r="F408" s="93"/>
      <c r="G408" s="93"/>
      <c r="H408" s="93"/>
      <c r="I408" s="93"/>
      <c r="J408" s="93"/>
      <c r="K408" s="93"/>
      <c r="L408" s="93"/>
      <c r="M408" s="26"/>
      <c r="N408" s="26"/>
      <c r="O408" s="1"/>
      <c r="P408" s="1"/>
      <c r="Q408" s="1"/>
      <c r="R408" s="1"/>
      <c r="S408" s="1"/>
      <c r="T408" s="1"/>
      <c r="U408" s="1"/>
      <c r="V408" s="1"/>
      <c r="W408" s="1"/>
      <c r="X408" s="1"/>
    </row>
    <row r="409" spans="1:24">
      <c r="A409" s="1"/>
      <c r="B409" s="94"/>
      <c r="C409" s="1"/>
      <c r="D409" s="1"/>
      <c r="E409" s="1"/>
      <c r="F409" s="94"/>
      <c r="G409" s="94"/>
      <c r="H409" s="94"/>
      <c r="I409" s="94"/>
      <c r="J409" s="94"/>
      <c r="K409" s="94"/>
      <c r="L409" s="94"/>
      <c r="M409" s="26"/>
      <c r="N409" s="26"/>
      <c r="O409" s="1"/>
      <c r="P409" s="1"/>
      <c r="Q409" s="1"/>
      <c r="R409" s="1"/>
      <c r="S409" s="1"/>
      <c r="T409" s="1"/>
      <c r="U409" s="1"/>
      <c r="V409" s="1"/>
      <c r="W409" s="1"/>
      <c r="X409" s="1"/>
    </row>
    <row r="410" spans="1:24">
      <c r="A410" s="1"/>
      <c r="B410" s="94"/>
      <c r="C410" s="1"/>
      <c r="D410" s="1"/>
      <c r="E410" s="1"/>
      <c r="F410" s="94"/>
      <c r="G410" s="94"/>
      <c r="H410" s="94"/>
      <c r="I410" s="94"/>
      <c r="J410" s="94"/>
      <c r="K410" s="94"/>
      <c r="L410" s="94"/>
      <c r="M410" s="26"/>
      <c r="N410" s="26"/>
      <c r="O410" s="1"/>
      <c r="P410" s="1"/>
      <c r="Q410" s="1"/>
      <c r="R410" s="1"/>
      <c r="S410" s="1"/>
      <c r="T410" s="1"/>
      <c r="U410" s="1"/>
      <c r="V410" s="1"/>
      <c r="W410" s="1"/>
      <c r="X410" s="1"/>
    </row>
    <row r="411" spans="1:24">
      <c r="A411" s="1"/>
      <c r="B411" s="94"/>
      <c r="C411" s="1"/>
      <c r="D411" s="1"/>
      <c r="E411" s="1"/>
      <c r="F411" s="94"/>
      <c r="G411" s="94"/>
      <c r="H411" s="94"/>
      <c r="I411" s="94"/>
      <c r="J411" s="94"/>
      <c r="K411" s="94"/>
      <c r="L411" s="94"/>
      <c r="M411" s="26"/>
      <c r="N411" s="26"/>
      <c r="O411" s="1"/>
      <c r="P411" s="1"/>
      <c r="Q411" s="1"/>
      <c r="R411" s="1"/>
      <c r="S411" s="1"/>
      <c r="T411" s="1"/>
      <c r="U411" s="1"/>
      <c r="V411" s="1"/>
      <c r="W411" s="1"/>
      <c r="X411" s="1"/>
    </row>
    <row r="412" spans="1:24">
      <c r="A412" s="1"/>
      <c r="B412" s="94"/>
      <c r="C412" s="1"/>
      <c r="D412" s="1"/>
      <c r="E412" s="1"/>
      <c r="F412" s="94"/>
      <c r="G412" s="94"/>
      <c r="H412" s="94"/>
      <c r="I412" s="94"/>
      <c r="J412" s="94"/>
      <c r="K412" s="94"/>
      <c r="L412" s="94"/>
      <c r="M412" s="26"/>
      <c r="N412" s="26"/>
      <c r="O412" s="1"/>
      <c r="P412" s="1"/>
      <c r="Q412" s="1"/>
      <c r="R412" s="1"/>
      <c r="S412" s="1"/>
      <c r="T412" s="1"/>
      <c r="U412" s="1"/>
      <c r="V412" s="1"/>
      <c r="W412" s="1"/>
      <c r="X412" s="1"/>
    </row>
    <row r="413" spans="1:24">
      <c r="A413" s="1"/>
      <c r="B413" s="93"/>
      <c r="C413" s="1"/>
      <c r="D413" s="1"/>
      <c r="E413" s="1"/>
      <c r="F413" s="93"/>
      <c r="G413" s="93"/>
      <c r="H413" s="93"/>
      <c r="I413" s="93"/>
      <c r="J413" s="93"/>
      <c r="K413" s="93"/>
      <c r="L413" s="93"/>
      <c r="M413" s="26"/>
      <c r="N413" s="26"/>
      <c r="O413" s="1"/>
      <c r="P413" s="1"/>
      <c r="Q413" s="1"/>
      <c r="R413" s="1"/>
      <c r="S413" s="1"/>
      <c r="T413" s="1"/>
      <c r="U413" s="1"/>
      <c r="V413" s="1"/>
      <c r="W413" s="1"/>
      <c r="X413" s="1"/>
    </row>
    <row r="414" spans="1:24">
      <c r="A414" s="1"/>
      <c r="B414" s="94"/>
      <c r="C414" s="1"/>
      <c r="D414" s="1"/>
      <c r="E414" s="1"/>
      <c r="F414" s="94"/>
      <c r="G414" s="94"/>
      <c r="H414" s="94"/>
      <c r="I414" s="94"/>
      <c r="J414" s="94"/>
      <c r="K414" s="94"/>
      <c r="L414" s="94"/>
      <c r="M414" s="26"/>
      <c r="N414" s="26"/>
      <c r="O414" s="1"/>
      <c r="P414" s="1"/>
      <c r="Q414" s="1"/>
      <c r="R414" s="1"/>
      <c r="S414" s="1"/>
      <c r="T414" s="1"/>
      <c r="U414" s="1"/>
      <c r="V414" s="1"/>
      <c r="W414" s="1"/>
      <c r="X414" s="1"/>
    </row>
    <row r="415" spans="1:24">
      <c r="A415" s="1"/>
      <c r="B415" s="94"/>
      <c r="C415" s="1"/>
      <c r="D415" s="1"/>
      <c r="E415" s="1"/>
      <c r="F415" s="94"/>
      <c r="G415" s="94"/>
      <c r="H415" s="94"/>
      <c r="I415" s="94"/>
      <c r="J415" s="94"/>
      <c r="K415" s="94"/>
      <c r="L415" s="94"/>
      <c r="M415" s="26"/>
      <c r="N415" s="26"/>
      <c r="O415" s="1"/>
      <c r="P415" s="1"/>
      <c r="Q415" s="1"/>
      <c r="R415" s="1"/>
      <c r="S415" s="1"/>
      <c r="T415" s="1"/>
      <c r="U415" s="1"/>
      <c r="V415" s="1"/>
      <c r="W415" s="1"/>
      <c r="X415" s="1"/>
    </row>
    <row r="416" spans="1:24">
      <c r="A416" s="1"/>
      <c r="B416" s="94"/>
      <c r="C416" s="1"/>
      <c r="D416" s="1"/>
      <c r="E416" s="1"/>
      <c r="F416" s="94"/>
      <c r="G416" s="94"/>
      <c r="H416" s="94"/>
      <c r="I416" s="94"/>
      <c r="J416" s="94"/>
      <c r="K416" s="94"/>
      <c r="L416" s="94"/>
      <c r="M416" s="26"/>
      <c r="N416" s="26"/>
      <c r="O416" s="1"/>
      <c r="P416" s="1"/>
      <c r="Q416" s="1"/>
      <c r="R416" s="1"/>
      <c r="S416" s="1"/>
      <c r="T416" s="1"/>
      <c r="U416" s="1"/>
      <c r="V416" s="1"/>
      <c r="W416" s="1"/>
      <c r="X416" s="1"/>
    </row>
    <row r="417" spans="1:24">
      <c r="A417" s="1"/>
      <c r="B417" s="94"/>
      <c r="C417" s="1"/>
      <c r="D417" s="1"/>
      <c r="E417" s="1"/>
      <c r="F417" s="94"/>
      <c r="G417" s="94"/>
      <c r="H417" s="94"/>
      <c r="I417" s="94"/>
      <c r="J417" s="94"/>
      <c r="K417" s="94"/>
      <c r="L417" s="94"/>
      <c r="M417" s="26"/>
      <c r="N417" s="26"/>
      <c r="O417" s="1"/>
      <c r="P417" s="1"/>
      <c r="Q417" s="1"/>
      <c r="R417" s="1"/>
      <c r="S417" s="1"/>
      <c r="T417" s="1"/>
      <c r="U417" s="1"/>
      <c r="V417" s="1"/>
      <c r="W417" s="1"/>
      <c r="X417" s="1"/>
    </row>
    <row r="418" spans="1:24">
      <c r="A418" s="1"/>
      <c r="B418" s="93"/>
      <c r="C418" s="1"/>
      <c r="D418" s="1"/>
      <c r="E418" s="1"/>
      <c r="F418" s="93"/>
      <c r="G418" s="93"/>
      <c r="H418" s="93"/>
      <c r="I418" s="93"/>
      <c r="J418" s="93"/>
      <c r="K418" s="93"/>
      <c r="L418" s="93"/>
      <c r="M418" s="26"/>
      <c r="N418" s="26"/>
      <c r="O418" s="1"/>
      <c r="P418" s="1"/>
      <c r="Q418" s="1"/>
      <c r="R418" s="1"/>
      <c r="S418" s="1"/>
      <c r="T418" s="1"/>
      <c r="U418" s="1"/>
      <c r="V418" s="1"/>
      <c r="W418" s="1"/>
      <c r="X418" s="1"/>
    </row>
    <row r="419" spans="1:24">
      <c r="A419" s="1"/>
      <c r="B419" s="94"/>
      <c r="C419" s="1"/>
      <c r="D419" s="1"/>
      <c r="E419" s="1"/>
      <c r="F419" s="94"/>
      <c r="G419" s="94"/>
      <c r="H419" s="94"/>
      <c r="I419" s="94"/>
      <c r="J419" s="94"/>
      <c r="K419" s="94"/>
      <c r="L419" s="94"/>
      <c r="M419" s="26"/>
      <c r="N419" s="26"/>
      <c r="O419" s="1"/>
      <c r="P419" s="1"/>
      <c r="Q419" s="1"/>
      <c r="R419" s="1"/>
      <c r="S419" s="1"/>
      <c r="T419" s="1"/>
      <c r="U419" s="1"/>
      <c r="V419" s="1"/>
      <c r="W419" s="1"/>
      <c r="X419" s="1"/>
    </row>
    <row r="420" spans="1:24">
      <c r="A420" s="1"/>
      <c r="B420" s="94"/>
      <c r="C420" s="1"/>
      <c r="D420" s="1"/>
      <c r="E420" s="1"/>
      <c r="F420" s="94"/>
      <c r="G420" s="94"/>
      <c r="H420" s="94"/>
      <c r="I420" s="94"/>
      <c r="J420" s="94"/>
      <c r="K420" s="94"/>
      <c r="L420" s="94"/>
      <c r="M420" s="26"/>
      <c r="N420" s="26"/>
      <c r="O420" s="1"/>
      <c r="P420" s="1"/>
      <c r="Q420" s="1"/>
      <c r="R420" s="1"/>
      <c r="S420" s="1"/>
      <c r="T420" s="1"/>
      <c r="U420" s="1"/>
      <c r="V420" s="1"/>
      <c r="W420" s="1"/>
      <c r="X420" s="1"/>
    </row>
    <row r="421" spans="1:24">
      <c r="A421" s="1"/>
      <c r="B421" s="94"/>
      <c r="C421" s="1"/>
      <c r="D421" s="1"/>
      <c r="E421" s="1"/>
      <c r="F421" s="94"/>
      <c r="G421" s="94"/>
      <c r="H421" s="94"/>
      <c r="I421" s="94"/>
      <c r="J421" s="94"/>
      <c r="K421" s="94"/>
      <c r="L421" s="94"/>
      <c r="M421" s="26"/>
      <c r="N421" s="26"/>
      <c r="O421" s="1"/>
      <c r="P421" s="1"/>
      <c r="Q421" s="1"/>
      <c r="R421" s="1"/>
      <c r="S421" s="1"/>
      <c r="T421" s="1"/>
      <c r="U421" s="1"/>
      <c r="V421" s="1"/>
      <c r="W421" s="1"/>
      <c r="X421" s="1"/>
    </row>
    <row r="422" spans="1:24">
      <c r="A422" s="1"/>
      <c r="B422" s="94"/>
      <c r="C422" s="1"/>
      <c r="D422" s="1"/>
      <c r="E422" s="1"/>
      <c r="F422" s="94"/>
      <c r="G422" s="94"/>
      <c r="H422" s="94"/>
      <c r="I422" s="94"/>
      <c r="J422" s="94"/>
      <c r="K422" s="94"/>
      <c r="L422" s="94"/>
      <c r="M422" s="26"/>
      <c r="N422" s="26"/>
      <c r="O422" s="1"/>
      <c r="P422" s="1"/>
      <c r="Q422" s="1"/>
      <c r="R422" s="1"/>
      <c r="S422" s="1"/>
      <c r="T422" s="1"/>
      <c r="U422" s="1"/>
      <c r="V422" s="1"/>
      <c r="W422" s="1"/>
      <c r="X422" s="1"/>
    </row>
    <row r="423" spans="1:24">
      <c r="A423" s="1"/>
      <c r="B423" s="93"/>
      <c r="C423" s="1"/>
      <c r="D423" s="1"/>
      <c r="E423" s="1"/>
      <c r="F423" s="93"/>
      <c r="G423" s="93"/>
      <c r="H423" s="93"/>
      <c r="I423" s="93"/>
      <c r="J423" s="93"/>
      <c r="K423" s="93"/>
      <c r="L423" s="93"/>
      <c r="M423" s="26"/>
      <c r="N423" s="26"/>
      <c r="O423" s="1"/>
      <c r="P423" s="1"/>
      <c r="Q423" s="1"/>
      <c r="R423" s="1"/>
      <c r="S423" s="1"/>
      <c r="T423" s="1"/>
      <c r="U423" s="1"/>
      <c r="V423" s="1"/>
      <c r="W423" s="1"/>
      <c r="X423" s="1"/>
    </row>
    <row r="424" spans="1:24">
      <c r="A424" s="1"/>
      <c r="B424" s="94"/>
      <c r="C424" s="1"/>
      <c r="D424" s="1"/>
      <c r="E424" s="1"/>
      <c r="F424" s="94"/>
      <c r="G424" s="94"/>
      <c r="H424" s="94"/>
      <c r="I424" s="94"/>
      <c r="J424" s="94"/>
      <c r="K424" s="94"/>
      <c r="L424" s="94"/>
      <c r="M424" s="26"/>
      <c r="N424" s="26"/>
      <c r="O424" s="1"/>
      <c r="P424" s="1"/>
      <c r="Q424" s="1"/>
      <c r="R424" s="1"/>
      <c r="S424" s="1"/>
      <c r="T424" s="1"/>
      <c r="U424" s="1"/>
      <c r="V424" s="1"/>
      <c r="W424" s="1"/>
      <c r="X424" s="1"/>
    </row>
    <row r="425" spans="1:24">
      <c r="A425" s="1"/>
      <c r="B425" s="94"/>
      <c r="C425" s="1"/>
      <c r="D425" s="1"/>
      <c r="E425" s="1"/>
      <c r="F425" s="94"/>
      <c r="G425" s="94"/>
      <c r="H425" s="94"/>
      <c r="I425" s="94"/>
      <c r="J425" s="94"/>
      <c r="K425" s="94"/>
      <c r="L425" s="94"/>
      <c r="M425" s="26"/>
      <c r="N425" s="26"/>
      <c r="O425" s="1"/>
      <c r="P425" s="1"/>
      <c r="Q425" s="1"/>
      <c r="R425" s="1"/>
      <c r="S425" s="1"/>
      <c r="T425" s="1"/>
      <c r="U425" s="1"/>
      <c r="V425" s="1"/>
      <c r="W425" s="1"/>
      <c r="X425" s="1"/>
    </row>
    <row r="426" spans="1:24">
      <c r="A426" s="1"/>
      <c r="B426" s="94"/>
      <c r="C426" s="1"/>
      <c r="D426" s="1"/>
      <c r="E426" s="1"/>
      <c r="F426" s="94"/>
      <c r="G426" s="94"/>
      <c r="H426" s="94"/>
      <c r="I426" s="94"/>
      <c r="J426" s="94"/>
      <c r="K426" s="94"/>
      <c r="L426" s="94"/>
      <c r="M426" s="26"/>
      <c r="N426" s="26"/>
      <c r="O426" s="1"/>
      <c r="P426" s="1"/>
      <c r="Q426" s="1"/>
      <c r="R426" s="1"/>
      <c r="S426" s="1"/>
      <c r="T426" s="1"/>
      <c r="U426" s="1"/>
      <c r="V426" s="1"/>
      <c r="W426" s="1"/>
      <c r="X426" s="1"/>
    </row>
    <row r="427" spans="1:24">
      <c r="A427" s="1"/>
      <c r="B427" s="94"/>
      <c r="C427" s="1"/>
      <c r="D427" s="1"/>
      <c r="E427" s="1"/>
      <c r="F427" s="94"/>
      <c r="G427" s="94"/>
      <c r="H427" s="94"/>
      <c r="I427" s="94"/>
      <c r="J427" s="94"/>
      <c r="K427" s="94"/>
      <c r="L427" s="94"/>
      <c r="M427" s="26"/>
      <c r="N427" s="26"/>
      <c r="O427" s="1"/>
      <c r="P427" s="1"/>
      <c r="Q427" s="1"/>
      <c r="R427" s="1"/>
      <c r="S427" s="1"/>
      <c r="T427" s="1"/>
      <c r="U427" s="1"/>
      <c r="V427" s="1"/>
      <c r="W427" s="1"/>
      <c r="X427" s="1"/>
    </row>
    <row r="428" spans="1:24">
      <c r="A428" s="1"/>
      <c r="B428" s="93"/>
      <c r="C428" s="1"/>
      <c r="D428" s="1"/>
      <c r="E428" s="1"/>
      <c r="F428" s="93"/>
      <c r="G428" s="93"/>
      <c r="H428" s="93"/>
      <c r="I428" s="93"/>
      <c r="J428" s="93"/>
      <c r="K428" s="93"/>
      <c r="L428" s="93"/>
      <c r="M428" s="26"/>
      <c r="N428" s="26"/>
      <c r="O428" s="1"/>
      <c r="P428" s="1"/>
      <c r="Q428" s="1"/>
      <c r="R428" s="1"/>
      <c r="S428" s="1"/>
      <c r="T428" s="1"/>
      <c r="U428" s="1"/>
      <c r="V428" s="1"/>
      <c r="W428" s="1"/>
      <c r="X428" s="1"/>
    </row>
    <row r="429" spans="1:24">
      <c r="A429" s="1"/>
      <c r="B429" s="94"/>
      <c r="C429" s="1"/>
      <c r="D429" s="1"/>
      <c r="E429" s="1"/>
      <c r="F429" s="94"/>
      <c r="G429" s="94"/>
      <c r="H429" s="94"/>
      <c r="I429" s="94"/>
      <c r="J429" s="94"/>
      <c r="K429" s="94"/>
      <c r="L429" s="94"/>
      <c r="M429" s="26"/>
      <c r="N429" s="26"/>
      <c r="O429" s="1"/>
      <c r="P429" s="1"/>
      <c r="Q429" s="1"/>
      <c r="R429" s="1"/>
      <c r="S429" s="1"/>
      <c r="T429" s="1"/>
      <c r="U429" s="1"/>
      <c r="V429" s="1"/>
      <c r="W429" s="1"/>
      <c r="X429" s="1"/>
    </row>
    <row r="430" spans="1:24">
      <c r="A430" s="1"/>
      <c r="B430" s="94"/>
      <c r="C430" s="1"/>
      <c r="D430" s="1"/>
      <c r="E430" s="1"/>
      <c r="F430" s="94"/>
      <c r="G430" s="94"/>
      <c r="H430" s="94"/>
      <c r="I430" s="94"/>
      <c r="J430" s="94"/>
      <c r="K430" s="94"/>
      <c r="L430" s="94"/>
      <c r="M430" s="26"/>
      <c r="N430" s="26"/>
      <c r="O430" s="1"/>
      <c r="P430" s="1"/>
      <c r="Q430" s="1"/>
      <c r="R430" s="1"/>
      <c r="S430" s="1"/>
      <c r="T430" s="1"/>
      <c r="U430" s="1"/>
      <c r="V430" s="1"/>
      <c r="W430" s="1"/>
      <c r="X430" s="1"/>
    </row>
    <row r="431" spans="1:24">
      <c r="A431" s="1"/>
      <c r="B431" s="94"/>
      <c r="C431" s="1"/>
      <c r="D431" s="1"/>
      <c r="E431" s="1"/>
      <c r="F431" s="94"/>
      <c r="G431" s="94"/>
      <c r="H431" s="94"/>
      <c r="I431" s="94"/>
      <c r="J431" s="94"/>
      <c r="K431" s="94"/>
      <c r="L431" s="94"/>
      <c r="M431" s="26"/>
      <c r="N431" s="26"/>
      <c r="O431" s="1"/>
      <c r="P431" s="1"/>
      <c r="Q431" s="1"/>
      <c r="R431" s="1"/>
      <c r="S431" s="1"/>
      <c r="T431" s="1"/>
      <c r="U431" s="1"/>
      <c r="V431" s="1"/>
      <c r="W431" s="1"/>
      <c r="X431" s="1"/>
    </row>
    <row r="432" spans="1:24">
      <c r="A432" s="1"/>
      <c r="B432" s="94"/>
      <c r="C432" s="1"/>
      <c r="D432" s="1"/>
      <c r="E432" s="1"/>
      <c r="F432" s="94"/>
      <c r="G432" s="94"/>
      <c r="H432" s="94"/>
      <c r="I432" s="94"/>
      <c r="J432" s="94"/>
      <c r="K432" s="94"/>
      <c r="L432" s="94"/>
      <c r="M432" s="26"/>
      <c r="N432" s="26"/>
      <c r="O432" s="1"/>
      <c r="P432" s="1"/>
      <c r="Q432" s="1"/>
      <c r="R432" s="1"/>
      <c r="S432" s="1"/>
      <c r="T432" s="1"/>
      <c r="U432" s="1"/>
      <c r="V432" s="1"/>
      <c r="W432" s="1"/>
      <c r="X432" s="1"/>
    </row>
    <row r="433" spans="1:24">
      <c r="A433" s="1"/>
      <c r="B433" s="93"/>
      <c r="C433" s="1"/>
      <c r="D433" s="1"/>
      <c r="E433" s="1"/>
      <c r="F433" s="93"/>
      <c r="G433" s="93"/>
      <c r="H433" s="93"/>
      <c r="I433" s="93"/>
      <c r="J433" s="93"/>
      <c r="K433" s="93"/>
      <c r="L433" s="93"/>
      <c r="M433" s="26"/>
      <c r="N433" s="26"/>
      <c r="O433" s="1"/>
      <c r="P433" s="1"/>
      <c r="Q433" s="1"/>
      <c r="R433" s="1"/>
      <c r="S433" s="1"/>
      <c r="T433" s="1"/>
      <c r="U433" s="1"/>
      <c r="V433" s="1"/>
      <c r="W433" s="1"/>
      <c r="X433" s="1"/>
    </row>
    <row r="434" spans="1:24">
      <c r="A434" s="1"/>
      <c r="B434" s="94"/>
      <c r="C434" s="1"/>
      <c r="D434" s="1"/>
      <c r="E434" s="1"/>
      <c r="F434" s="94"/>
      <c r="G434" s="94"/>
      <c r="H434" s="94"/>
      <c r="I434" s="94"/>
      <c r="J434" s="94"/>
      <c r="K434" s="94"/>
      <c r="L434" s="94"/>
      <c r="M434" s="26"/>
      <c r="N434" s="26"/>
      <c r="O434" s="1"/>
      <c r="P434" s="1"/>
      <c r="Q434" s="1"/>
      <c r="R434" s="1"/>
      <c r="S434" s="1"/>
      <c r="T434" s="1"/>
      <c r="U434" s="1"/>
      <c r="V434" s="1"/>
      <c r="W434" s="1"/>
      <c r="X434" s="1"/>
    </row>
    <row r="435" spans="1:24">
      <c r="A435" s="1"/>
      <c r="B435" s="94"/>
      <c r="C435" s="1"/>
      <c r="D435" s="1"/>
      <c r="E435" s="1"/>
      <c r="F435" s="94"/>
      <c r="G435" s="94"/>
      <c r="H435" s="94"/>
      <c r="I435" s="94"/>
      <c r="J435" s="94"/>
      <c r="K435" s="94"/>
      <c r="L435" s="94"/>
      <c r="M435" s="26"/>
      <c r="N435" s="26"/>
      <c r="O435" s="1"/>
      <c r="P435" s="1"/>
      <c r="Q435" s="1"/>
      <c r="R435" s="1"/>
      <c r="S435" s="1"/>
      <c r="T435" s="1"/>
      <c r="U435" s="1"/>
      <c r="V435" s="1"/>
      <c r="W435" s="1"/>
      <c r="X435" s="1"/>
    </row>
    <row r="436" spans="1:24">
      <c r="A436" s="1"/>
      <c r="B436" s="94"/>
      <c r="C436" s="1"/>
      <c r="D436" s="1"/>
      <c r="E436" s="1"/>
      <c r="F436" s="94"/>
      <c r="G436" s="94"/>
      <c r="H436" s="94"/>
      <c r="I436" s="94"/>
      <c r="J436" s="94"/>
      <c r="K436" s="94"/>
      <c r="L436" s="94"/>
      <c r="M436" s="26"/>
      <c r="N436" s="26"/>
      <c r="O436" s="1"/>
      <c r="P436" s="1"/>
      <c r="Q436" s="1"/>
      <c r="R436" s="1"/>
      <c r="S436" s="1"/>
      <c r="T436" s="1"/>
      <c r="U436" s="1"/>
      <c r="V436" s="1"/>
      <c r="W436" s="1"/>
      <c r="X436" s="1"/>
    </row>
    <row r="437" spans="1:24">
      <c r="A437" s="1"/>
      <c r="B437" s="94"/>
      <c r="C437" s="1"/>
      <c r="D437" s="1"/>
      <c r="E437" s="1"/>
      <c r="F437" s="94"/>
      <c r="G437" s="94"/>
      <c r="H437" s="94"/>
      <c r="I437" s="94"/>
      <c r="J437" s="94"/>
      <c r="K437" s="94"/>
      <c r="L437" s="94"/>
      <c r="M437" s="26"/>
      <c r="N437" s="26"/>
      <c r="O437" s="1"/>
      <c r="P437" s="1"/>
      <c r="Q437" s="1"/>
      <c r="R437" s="1"/>
      <c r="S437" s="1"/>
      <c r="T437" s="1"/>
      <c r="U437" s="1"/>
      <c r="V437" s="1"/>
      <c r="W437" s="1"/>
      <c r="X437" s="1"/>
    </row>
    <row r="438" spans="1:24">
      <c r="A438" s="1"/>
      <c r="B438" s="93"/>
      <c r="C438" s="1"/>
      <c r="D438" s="1"/>
      <c r="E438" s="1"/>
      <c r="F438" s="93"/>
      <c r="G438" s="93"/>
      <c r="H438" s="93"/>
      <c r="I438" s="93"/>
      <c r="J438" s="93"/>
      <c r="K438" s="93"/>
      <c r="L438" s="93"/>
      <c r="M438" s="26"/>
      <c r="N438" s="26"/>
      <c r="O438" s="1"/>
      <c r="P438" s="1"/>
      <c r="Q438" s="1"/>
      <c r="R438" s="1"/>
      <c r="S438" s="1"/>
      <c r="T438" s="1"/>
      <c r="U438" s="1"/>
      <c r="V438" s="1"/>
      <c r="W438" s="1"/>
      <c r="X438" s="1"/>
    </row>
    <row r="439" spans="1:24">
      <c r="A439" s="1"/>
      <c r="B439" s="94"/>
      <c r="C439" s="1"/>
      <c r="D439" s="1"/>
      <c r="E439" s="1"/>
      <c r="F439" s="94"/>
      <c r="G439" s="94"/>
      <c r="H439" s="94"/>
      <c r="I439" s="94"/>
      <c r="J439" s="94"/>
      <c r="K439" s="94"/>
      <c r="L439" s="94"/>
      <c r="M439" s="26"/>
      <c r="N439" s="26"/>
      <c r="O439" s="1"/>
      <c r="P439" s="1"/>
      <c r="Q439" s="1"/>
      <c r="R439" s="1"/>
      <c r="S439" s="1"/>
      <c r="T439" s="1"/>
      <c r="U439" s="1"/>
      <c r="V439" s="1"/>
      <c r="W439" s="1"/>
      <c r="X439" s="1"/>
    </row>
    <row r="440" spans="1:24">
      <c r="A440" s="1"/>
      <c r="B440" s="94"/>
      <c r="C440" s="1"/>
      <c r="D440" s="1"/>
      <c r="E440" s="1"/>
      <c r="F440" s="94"/>
      <c r="G440" s="94"/>
      <c r="H440" s="94"/>
      <c r="I440" s="94"/>
      <c r="J440" s="94"/>
      <c r="K440" s="94"/>
      <c r="L440" s="94"/>
      <c r="M440" s="26"/>
      <c r="N440" s="26"/>
      <c r="O440" s="1"/>
      <c r="P440" s="1"/>
      <c r="Q440" s="1"/>
      <c r="R440" s="1"/>
      <c r="S440" s="1"/>
      <c r="T440" s="1"/>
      <c r="U440" s="1"/>
      <c r="V440" s="1"/>
      <c r="W440" s="1"/>
      <c r="X440" s="1"/>
    </row>
    <row r="441" spans="1:24">
      <c r="A441" s="1"/>
      <c r="B441" s="94"/>
      <c r="C441" s="1"/>
      <c r="D441" s="1"/>
      <c r="E441" s="1"/>
      <c r="F441" s="94"/>
      <c r="G441" s="94"/>
      <c r="H441" s="94"/>
      <c r="I441" s="94"/>
      <c r="J441" s="94"/>
      <c r="K441" s="94"/>
      <c r="L441" s="94"/>
      <c r="M441" s="26"/>
      <c r="N441" s="26"/>
      <c r="O441" s="1"/>
      <c r="P441" s="1"/>
      <c r="Q441" s="1"/>
      <c r="R441" s="1"/>
      <c r="S441" s="1"/>
      <c r="T441" s="1"/>
      <c r="U441" s="1"/>
      <c r="V441" s="1"/>
      <c r="W441" s="1"/>
      <c r="X441" s="1"/>
    </row>
    <row r="442" spans="1:24">
      <c r="A442" s="1"/>
      <c r="B442" s="94"/>
      <c r="C442" s="1"/>
      <c r="D442" s="1"/>
      <c r="E442" s="1"/>
      <c r="F442" s="94"/>
      <c r="G442" s="94"/>
      <c r="H442" s="94"/>
      <c r="I442" s="94"/>
      <c r="J442" s="94"/>
      <c r="K442" s="94"/>
      <c r="L442" s="94"/>
      <c r="M442" s="26"/>
      <c r="N442" s="26"/>
      <c r="O442" s="1"/>
      <c r="P442" s="1"/>
      <c r="Q442" s="1"/>
      <c r="R442" s="1"/>
      <c r="S442" s="1"/>
      <c r="T442" s="1"/>
      <c r="U442" s="1"/>
      <c r="V442" s="1"/>
      <c r="W442" s="1"/>
      <c r="X442" s="1"/>
    </row>
    <row r="443" spans="1:24">
      <c r="A443" s="1"/>
      <c r="B443" s="93"/>
      <c r="C443" s="1"/>
      <c r="D443" s="1"/>
      <c r="E443" s="1"/>
      <c r="F443" s="93"/>
      <c r="G443" s="93"/>
      <c r="H443" s="93"/>
      <c r="I443" s="93"/>
      <c r="J443" s="93"/>
      <c r="K443" s="93"/>
      <c r="L443" s="93"/>
      <c r="M443" s="26"/>
      <c r="N443" s="26"/>
      <c r="O443" s="1"/>
      <c r="P443" s="1"/>
      <c r="Q443" s="1"/>
      <c r="R443" s="1"/>
      <c r="S443" s="1"/>
      <c r="T443" s="1"/>
      <c r="U443" s="1"/>
      <c r="V443" s="1"/>
      <c r="W443" s="1"/>
      <c r="X443" s="1"/>
    </row>
    <row r="444" spans="1:24">
      <c r="A444" s="1"/>
      <c r="B444" s="94"/>
      <c r="C444" s="1"/>
      <c r="D444" s="1"/>
      <c r="E444" s="1"/>
      <c r="F444" s="94"/>
      <c r="G444" s="94"/>
      <c r="H444" s="94"/>
      <c r="I444" s="94"/>
      <c r="J444" s="94"/>
      <c r="K444" s="94"/>
      <c r="L444" s="94"/>
      <c r="M444" s="26"/>
      <c r="N444" s="26"/>
      <c r="O444" s="1"/>
      <c r="P444" s="1"/>
      <c r="Q444" s="1"/>
      <c r="R444" s="1"/>
      <c r="S444" s="1"/>
      <c r="T444" s="1"/>
      <c r="U444" s="1"/>
      <c r="V444" s="1"/>
      <c r="W444" s="1"/>
      <c r="X444" s="1"/>
    </row>
    <row r="445" spans="1:24">
      <c r="A445" s="1"/>
      <c r="B445" s="94"/>
      <c r="C445" s="1"/>
      <c r="D445" s="1"/>
      <c r="E445" s="1"/>
      <c r="F445" s="94"/>
      <c r="G445" s="94"/>
      <c r="H445" s="94"/>
      <c r="I445" s="94"/>
      <c r="J445" s="94"/>
      <c r="K445" s="94"/>
      <c r="L445" s="94"/>
      <c r="M445" s="26"/>
      <c r="N445" s="26"/>
      <c r="O445" s="1"/>
      <c r="P445" s="1"/>
      <c r="Q445" s="1"/>
      <c r="R445" s="1"/>
      <c r="S445" s="1"/>
      <c r="T445" s="1"/>
      <c r="U445" s="1"/>
      <c r="V445" s="1"/>
      <c r="W445" s="1"/>
      <c r="X445" s="1"/>
    </row>
    <row r="446" spans="1:24">
      <c r="A446" s="1"/>
      <c r="B446" s="94"/>
      <c r="C446" s="1"/>
      <c r="D446" s="1"/>
      <c r="E446" s="1"/>
      <c r="F446" s="94"/>
      <c r="G446" s="94"/>
      <c r="H446" s="94"/>
      <c r="I446" s="94"/>
      <c r="J446" s="94"/>
      <c r="K446" s="94"/>
      <c r="L446" s="94"/>
      <c r="M446" s="26"/>
      <c r="N446" s="26"/>
      <c r="O446" s="1"/>
      <c r="P446" s="1"/>
      <c r="Q446" s="1"/>
      <c r="R446" s="1"/>
      <c r="S446" s="1"/>
      <c r="T446" s="1"/>
      <c r="U446" s="1"/>
      <c r="V446" s="1"/>
      <c r="W446" s="1"/>
      <c r="X446" s="1"/>
    </row>
    <row r="447" spans="1:24">
      <c r="A447" s="1"/>
      <c r="B447" s="94"/>
      <c r="C447" s="1"/>
      <c r="D447" s="1"/>
      <c r="E447" s="1"/>
      <c r="F447" s="94"/>
      <c r="G447" s="94"/>
      <c r="H447" s="94"/>
      <c r="I447" s="94"/>
      <c r="J447" s="94"/>
      <c r="K447" s="94"/>
      <c r="L447" s="94"/>
      <c r="M447" s="26"/>
      <c r="N447" s="26"/>
      <c r="O447" s="1"/>
      <c r="P447" s="1"/>
      <c r="Q447" s="1"/>
      <c r="R447" s="1"/>
      <c r="S447" s="1"/>
      <c r="T447" s="1"/>
      <c r="U447" s="1"/>
      <c r="V447" s="1"/>
      <c r="W447" s="1"/>
      <c r="X447" s="1"/>
    </row>
    <row r="448" spans="1:24">
      <c r="A448" s="1"/>
      <c r="B448" s="93"/>
      <c r="C448" s="1"/>
      <c r="D448" s="1"/>
      <c r="E448" s="1"/>
      <c r="F448" s="93"/>
      <c r="G448" s="93"/>
      <c r="H448" s="93"/>
      <c r="I448" s="93"/>
      <c r="J448" s="93"/>
      <c r="K448" s="93"/>
      <c r="L448" s="93"/>
      <c r="M448" s="26"/>
      <c r="N448" s="26"/>
      <c r="O448" s="1"/>
      <c r="P448" s="1"/>
      <c r="Q448" s="1"/>
      <c r="R448" s="1"/>
      <c r="S448" s="1"/>
      <c r="T448" s="1"/>
      <c r="U448" s="1"/>
      <c r="V448" s="1"/>
      <c r="W448" s="1"/>
      <c r="X448" s="1"/>
    </row>
    <row r="449" spans="1:24">
      <c r="A449" s="1"/>
      <c r="B449" s="94"/>
      <c r="C449" s="1"/>
      <c r="D449" s="1"/>
      <c r="E449" s="1"/>
      <c r="F449" s="94"/>
      <c r="G449" s="94"/>
      <c r="H449" s="94"/>
      <c r="I449" s="94"/>
      <c r="J449" s="94"/>
      <c r="K449" s="94"/>
      <c r="L449" s="94"/>
      <c r="M449" s="26"/>
      <c r="N449" s="26"/>
      <c r="O449" s="1"/>
      <c r="P449" s="1"/>
      <c r="Q449" s="1"/>
      <c r="R449" s="1"/>
      <c r="S449" s="1"/>
      <c r="T449" s="1"/>
      <c r="U449" s="1"/>
      <c r="V449" s="1"/>
      <c r="W449" s="1"/>
      <c r="X449" s="1"/>
    </row>
    <row r="450" spans="1:24">
      <c r="A450" s="1"/>
      <c r="B450" s="94"/>
      <c r="C450" s="1"/>
      <c r="D450" s="1"/>
      <c r="E450" s="1"/>
      <c r="F450" s="94"/>
      <c r="G450" s="94"/>
      <c r="H450" s="94"/>
      <c r="I450" s="94"/>
      <c r="J450" s="94"/>
      <c r="K450" s="94"/>
      <c r="L450" s="94"/>
      <c r="M450" s="26"/>
      <c r="N450" s="26"/>
      <c r="O450" s="1"/>
      <c r="P450" s="1"/>
      <c r="Q450" s="1"/>
      <c r="R450" s="1"/>
      <c r="S450" s="1"/>
      <c r="T450" s="1"/>
      <c r="U450" s="1"/>
      <c r="V450" s="1"/>
      <c r="W450" s="1"/>
      <c r="X450" s="1"/>
    </row>
    <row r="451" spans="1:24">
      <c r="A451" s="1"/>
      <c r="B451" s="94"/>
      <c r="C451" s="1"/>
      <c r="D451" s="1"/>
      <c r="E451" s="1"/>
      <c r="F451" s="94"/>
      <c r="G451" s="94"/>
      <c r="H451" s="94"/>
      <c r="I451" s="94"/>
      <c r="J451" s="94"/>
      <c r="K451" s="94"/>
      <c r="L451" s="94"/>
      <c r="M451" s="26"/>
      <c r="N451" s="26"/>
      <c r="O451" s="1"/>
      <c r="P451" s="1"/>
      <c r="Q451" s="1"/>
      <c r="R451" s="1"/>
      <c r="S451" s="1"/>
      <c r="T451" s="1"/>
      <c r="U451" s="1"/>
      <c r="V451" s="1"/>
      <c r="W451" s="1"/>
      <c r="X451" s="1"/>
    </row>
    <row r="452" spans="1:24">
      <c r="A452" s="1"/>
      <c r="B452" s="94"/>
      <c r="C452" s="1"/>
      <c r="D452" s="1"/>
      <c r="E452" s="1"/>
      <c r="F452" s="94"/>
      <c r="G452" s="94"/>
      <c r="H452" s="94"/>
      <c r="I452" s="94"/>
      <c r="J452" s="94"/>
      <c r="K452" s="94"/>
      <c r="L452" s="94"/>
      <c r="M452" s="26"/>
      <c r="N452" s="26"/>
      <c r="O452" s="1"/>
      <c r="P452" s="1"/>
      <c r="Q452" s="1"/>
      <c r="R452" s="1"/>
      <c r="S452" s="1"/>
      <c r="T452" s="1"/>
      <c r="U452" s="1"/>
      <c r="V452" s="1"/>
      <c r="W452" s="1"/>
      <c r="X452" s="1"/>
    </row>
    <row r="453" spans="1:24">
      <c r="A453" s="1"/>
      <c r="B453" s="93"/>
      <c r="C453" s="1"/>
      <c r="D453" s="1"/>
      <c r="E453" s="1"/>
      <c r="F453" s="93"/>
      <c r="G453" s="93"/>
      <c r="H453" s="93"/>
      <c r="I453" s="93"/>
      <c r="J453" s="93"/>
      <c r="K453" s="93"/>
      <c r="L453" s="93"/>
      <c r="M453" s="26"/>
      <c r="N453" s="26"/>
      <c r="O453" s="1"/>
      <c r="P453" s="1"/>
      <c r="Q453" s="1"/>
      <c r="R453" s="1"/>
      <c r="S453" s="1"/>
      <c r="T453" s="1"/>
      <c r="U453" s="1"/>
      <c r="V453" s="1"/>
      <c r="W453" s="1"/>
      <c r="X453" s="1"/>
    </row>
    <row r="454" spans="1:24">
      <c r="A454" s="1"/>
      <c r="B454" s="94"/>
      <c r="C454" s="1"/>
      <c r="D454" s="1"/>
      <c r="E454" s="1"/>
      <c r="F454" s="94"/>
      <c r="G454" s="94"/>
      <c r="H454" s="94"/>
      <c r="I454" s="94"/>
      <c r="J454" s="94"/>
      <c r="K454" s="94"/>
      <c r="L454" s="94"/>
      <c r="M454" s="26"/>
      <c r="N454" s="26"/>
      <c r="O454" s="1"/>
      <c r="P454" s="1"/>
      <c r="Q454" s="1"/>
      <c r="R454" s="1"/>
      <c r="S454" s="1"/>
      <c r="T454" s="1"/>
      <c r="U454" s="1"/>
      <c r="V454" s="1"/>
      <c r="W454" s="1"/>
      <c r="X454" s="1"/>
    </row>
    <row r="455" spans="1:24">
      <c r="A455" s="1"/>
      <c r="B455" s="94"/>
      <c r="C455" s="1"/>
      <c r="D455" s="1"/>
      <c r="E455" s="1"/>
      <c r="F455" s="94"/>
      <c r="G455" s="94"/>
      <c r="H455" s="94"/>
      <c r="I455" s="94"/>
      <c r="J455" s="94"/>
      <c r="K455" s="94"/>
      <c r="L455" s="94"/>
      <c r="M455" s="26"/>
      <c r="N455" s="26"/>
      <c r="O455" s="1"/>
      <c r="P455" s="1"/>
      <c r="Q455" s="1"/>
      <c r="R455" s="1"/>
      <c r="S455" s="1"/>
      <c r="T455" s="1"/>
      <c r="U455" s="1"/>
      <c r="V455" s="1"/>
      <c r="W455" s="1"/>
      <c r="X455" s="1"/>
    </row>
    <row r="456" spans="1:24">
      <c r="A456" s="1"/>
      <c r="B456" s="94"/>
      <c r="C456" s="1"/>
      <c r="D456" s="1"/>
      <c r="E456" s="1"/>
      <c r="F456" s="94"/>
      <c r="G456" s="94"/>
      <c r="H456" s="94"/>
      <c r="I456" s="94"/>
      <c r="J456" s="94"/>
      <c r="K456" s="94"/>
      <c r="L456" s="94"/>
      <c r="M456" s="26"/>
      <c r="N456" s="26"/>
      <c r="O456" s="1"/>
      <c r="P456" s="1"/>
      <c r="Q456" s="1"/>
      <c r="R456" s="1"/>
      <c r="S456" s="1"/>
      <c r="T456" s="1"/>
      <c r="U456" s="1"/>
      <c r="V456" s="1"/>
      <c r="W456" s="1"/>
      <c r="X456" s="1"/>
    </row>
    <row r="457" spans="1:24">
      <c r="A457" s="1"/>
      <c r="B457" s="94"/>
      <c r="C457" s="1"/>
      <c r="D457" s="1"/>
      <c r="E457" s="1"/>
      <c r="F457" s="94"/>
      <c r="G457" s="94"/>
      <c r="H457" s="94"/>
      <c r="I457" s="94"/>
      <c r="J457" s="94"/>
      <c r="K457" s="94"/>
      <c r="L457" s="94"/>
      <c r="M457" s="26"/>
      <c r="N457" s="26"/>
      <c r="O457" s="1"/>
      <c r="P457" s="1"/>
      <c r="Q457" s="1"/>
      <c r="R457" s="1"/>
      <c r="S457" s="1"/>
      <c r="T457" s="1"/>
      <c r="U457" s="1"/>
      <c r="V457" s="1"/>
      <c r="W457" s="1"/>
      <c r="X457" s="1"/>
    </row>
    <row r="458" spans="1:24">
      <c r="A458" s="1"/>
      <c r="B458" s="93"/>
      <c r="C458" s="1"/>
      <c r="D458" s="1"/>
      <c r="E458" s="1"/>
      <c r="F458" s="93"/>
      <c r="G458" s="93"/>
      <c r="H458" s="93"/>
      <c r="I458" s="93"/>
      <c r="J458" s="93"/>
      <c r="K458" s="93"/>
      <c r="L458" s="93"/>
      <c r="M458" s="26"/>
      <c r="N458" s="26"/>
      <c r="O458" s="1"/>
      <c r="P458" s="1"/>
      <c r="Q458" s="1"/>
      <c r="R458" s="1"/>
      <c r="S458" s="1"/>
      <c r="T458" s="1"/>
      <c r="U458" s="1"/>
      <c r="V458" s="1"/>
      <c r="W458" s="1"/>
      <c r="X458" s="1"/>
    </row>
    <row r="459" spans="1:24">
      <c r="A459" s="1"/>
      <c r="B459" s="94"/>
      <c r="C459" s="1"/>
      <c r="D459" s="1"/>
      <c r="E459" s="1"/>
      <c r="F459" s="94"/>
      <c r="G459" s="94"/>
      <c r="H459" s="94"/>
      <c r="I459" s="94"/>
      <c r="J459" s="94"/>
      <c r="K459" s="94"/>
      <c r="L459" s="94"/>
      <c r="M459" s="26"/>
      <c r="N459" s="26"/>
      <c r="O459" s="1"/>
      <c r="P459" s="1"/>
      <c r="Q459" s="1"/>
      <c r="R459" s="1"/>
      <c r="S459" s="1"/>
      <c r="T459" s="1"/>
      <c r="U459" s="1"/>
      <c r="V459" s="1"/>
      <c r="W459" s="1"/>
      <c r="X459" s="1"/>
    </row>
    <row r="460" spans="1:24">
      <c r="A460" s="1"/>
      <c r="B460" s="94"/>
      <c r="C460" s="1"/>
      <c r="D460" s="1"/>
      <c r="E460" s="1"/>
      <c r="F460" s="94"/>
      <c r="G460" s="94"/>
      <c r="H460" s="94"/>
      <c r="I460" s="94"/>
      <c r="J460" s="94"/>
      <c r="K460" s="94"/>
      <c r="L460" s="94"/>
      <c r="M460" s="26"/>
      <c r="N460" s="26"/>
      <c r="O460" s="1"/>
      <c r="P460" s="1"/>
      <c r="Q460" s="1"/>
      <c r="R460" s="1"/>
      <c r="S460" s="1"/>
      <c r="T460" s="1"/>
      <c r="U460" s="1"/>
      <c r="V460" s="1"/>
      <c r="W460" s="1"/>
      <c r="X460" s="1"/>
    </row>
    <row r="461" spans="1:24">
      <c r="A461" s="1"/>
      <c r="B461" s="94"/>
      <c r="C461" s="1"/>
      <c r="D461" s="1"/>
      <c r="E461" s="1"/>
      <c r="F461" s="94"/>
      <c r="G461" s="94"/>
      <c r="H461" s="94"/>
      <c r="I461" s="94"/>
      <c r="J461" s="94"/>
      <c r="K461" s="94"/>
      <c r="L461" s="94"/>
      <c r="M461" s="26"/>
      <c r="N461" s="26"/>
      <c r="O461" s="1"/>
      <c r="P461" s="1"/>
      <c r="Q461" s="1"/>
      <c r="R461" s="1"/>
      <c r="S461" s="1"/>
      <c r="T461" s="1"/>
      <c r="U461" s="1"/>
      <c r="V461" s="1"/>
      <c r="W461" s="1"/>
      <c r="X461" s="1"/>
    </row>
    <row r="462" spans="1:24">
      <c r="A462" s="1"/>
      <c r="B462" s="94"/>
      <c r="C462" s="1"/>
      <c r="D462" s="1"/>
      <c r="E462" s="1"/>
      <c r="F462" s="94"/>
      <c r="G462" s="94"/>
      <c r="H462" s="94"/>
      <c r="I462" s="94"/>
      <c r="J462" s="94"/>
      <c r="K462" s="94"/>
      <c r="L462" s="94"/>
      <c r="M462" s="26"/>
      <c r="N462" s="26"/>
      <c r="O462" s="1"/>
      <c r="P462" s="1"/>
      <c r="Q462" s="1"/>
      <c r="R462" s="1"/>
      <c r="S462" s="1"/>
      <c r="T462" s="1"/>
      <c r="U462" s="1"/>
      <c r="V462" s="1"/>
      <c r="W462" s="1"/>
      <c r="X462" s="1"/>
    </row>
    <row r="463" spans="1:24">
      <c r="A463" s="1"/>
      <c r="B463" s="93"/>
      <c r="C463" s="1"/>
      <c r="D463" s="1"/>
      <c r="E463" s="1"/>
      <c r="F463" s="93"/>
      <c r="G463" s="93"/>
      <c r="H463" s="93"/>
      <c r="I463" s="93"/>
      <c r="J463" s="93"/>
      <c r="K463" s="93"/>
      <c r="L463" s="93"/>
      <c r="M463" s="26"/>
      <c r="N463" s="26"/>
      <c r="O463" s="1"/>
      <c r="P463" s="1"/>
      <c r="Q463" s="1"/>
      <c r="R463" s="1"/>
      <c r="S463" s="1"/>
      <c r="T463" s="1"/>
      <c r="U463" s="1"/>
      <c r="V463" s="1"/>
      <c r="W463" s="1"/>
      <c r="X463" s="1"/>
    </row>
    <row r="464" spans="1:24">
      <c r="A464" s="1"/>
      <c r="B464" s="94"/>
      <c r="C464" s="1"/>
      <c r="D464" s="1"/>
      <c r="E464" s="1"/>
      <c r="F464" s="94"/>
      <c r="G464" s="94"/>
      <c r="H464" s="94"/>
      <c r="I464" s="94"/>
      <c r="J464" s="94"/>
      <c r="K464" s="94"/>
      <c r="L464" s="94"/>
      <c r="M464" s="26"/>
      <c r="N464" s="26"/>
      <c r="O464" s="1"/>
      <c r="P464" s="1"/>
      <c r="Q464" s="1"/>
      <c r="R464" s="1"/>
      <c r="S464" s="1"/>
      <c r="T464" s="1"/>
      <c r="U464" s="1"/>
      <c r="V464" s="1"/>
      <c r="W464" s="1"/>
      <c r="X464" s="1"/>
    </row>
    <row r="465" spans="1:24">
      <c r="A465" s="1"/>
      <c r="B465" s="94"/>
      <c r="C465" s="1"/>
      <c r="D465" s="1"/>
      <c r="E465" s="1"/>
      <c r="F465" s="94"/>
      <c r="G465" s="94"/>
      <c r="H465" s="94"/>
      <c r="I465" s="94"/>
      <c r="J465" s="94"/>
      <c r="K465" s="94"/>
      <c r="L465" s="94"/>
      <c r="M465" s="26"/>
      <c r="N465" s="26"/>
      <c r="O465" s="1"/>
      <c r="P465" s="1"/>
      <c r="Q465" s="1"/>
      <c r="R465" s="1"/>
      <c r="S465" s="1"/>
      <c r="T465" s="1"/>
      <c r="U465" s="1"/>
      <c r="V465" s="1"/>
      <c r="W465" s="1"/>
      <c r="X465" s="1"/>
    </row>
    <row r="466" spans="1:24">
      <c r="A466" s="1"/>
      <c r="B466" s="94"/>
      <c r="C466" s="1"/>
      <c r="D466" s="1"/>
      <c r="E466" s="1"/>
      <c r="F466" s="94"/>
      <c r="G466" s="94"/>
      <c r="H466" s="94"/>
      <c r="I466" s="94"/>
      <c r="J466" s="94"/>
      <c r="K466" s="94"/>
      <c r="L466" s="94"/>
      <c r="M466" s="26"/>
      <c r="N466" s="26"/>
      <c r="O466" s="1"/>
      <c r="P466" s="1"/>
      <c r="Q466" s="1"/>
      <c r="R466" s="1"/>
      <c r="S466" s="1"/>
      <c r="T466" s="1"/>
      <c r="U466" s="1"/>
      <c r="V466" s="1"/>
      <c r="W466" s="1"/>
      <c r="X466" s="1"/>
    </row>
    <row r="467" spans="1:24">
      <c r="A467" s="1"/>
      <c r="B467" s="94"/>
      <c r="C467" s="1"/>
      <c r="D467" s="1"/>
      <c r="E467" s="1"/>
      <c r="F467" s="94"/>
      <c r="G467" s="94"/>
      <c r="H467" s="94"/>
      <c r="I467" s="94"/>
      <c r="J467" s="94"/>
      <c r="K467" s="94"/>
      <c r="L467" s="94"/>
      <c r="M467" s="26"/>
      <c r="N467" s="26"/>
      <c r="O467" s="1"/>
      <c r="P467" s="1"/>
      <c r="Q467" s="1"/>
      <c r="R467" s="1"/>
      <c r="S467" s="1"/>
      <c r="T467" s="1"/>
      <c r="U467" s="1"/>
      <c r="V467" s="1"/>
      <c r="W467" s="1"/>
      <c r="X467" s="1"/>
    </row>
    <row r="468" spans="1:24">
      <c r="A468" s="1"/>
      <c r="B468" s="93"/>
      <c r="C468" s="1"/>
      <c r="D468" s="1"/>
      <c r="E468" s="1"/>
      <c r="F468" s="93"/>
      <c r="G468" s="93"/>
      <c r="H468" s="93"/>
      <c r="I468" s="93"/>
      <c r="J468" s="93"/>
      <c r="K468" s="93"/>
      <c r="L468" s="93"/>
      <c r="M468" s="26"/>
      <c r="N468" s="26"/>
      <c r="O468" s="1"/>
      <c r="P468" s="1"/>
      <c r="Q468" s="1"/>
      <c r="R468" s="1"/>
      <c r="S468" s="1"/>
      <c r="T468" s="1"/>
      <c r="U468" s="1"/>
      <c r="V468" s="1"/>
      <c r="W468" s="1"/>
      <c r="X468" s="1"/>
    </row>
    <row r="469" spans="1:24">
      <c r="A469" s="1"/>
      <c r="B469" s="94"/>
      <c r="C469" s="1"/>
      <c r="D469" s="1"/>
      <c r="E469" s="1"/>
      <c r="F469" s="94"/>
      <c r="G469" s="94"/>
      <c r="H469" s="94"/>
      <c r="I469" s="94"/>
      <c r="J469" s="94"/>
      <c r="K469" s="94"/>
      <c r="L469" s="94"/>
      <c r="M469" s="26"/>
      <c r="N469" s="26"/>
      <c r="O469" s="1"/>
      <c r="P469" s="1"/>
      <c r="Q469" s="1"/>
      <c r="R469" s="1"/>
      <c r="S469" s="1"/>
      <c r="T469" s="1"/>
      <c r="U469" s="1"/>
      <c r="V469" s="1"/>
      <c r="W469" s="1"/>
      <c r="X469" s="1"/>
    </row>
    <row r="470" spans="1:24">
      <c r="A470" s="1"/>
      <c r="B470" s="94"/>
      <c r="C470" s="1"/>
      <c r="D470" s="1"/>
      <c r="E470" s="1"/>
      <c r="F470" s="94"/>
      <c r="G470" s="94"/>
      <c r="H470" s="94"/>
      <c r="I470" s="94"/>
      <c r="J470" s="94"/>
      <c r="K470" s="94"/>
      <c r="L470" s="94"/>
      <c r="M470" s="26"/>
      <c r="N470" s="26"/>
      <c r="O470" s="1"/>
      <c r="P470" s="1"/>
      <c r="Q470" s="1"/>
      <c r="R470" s="1"/>
      <c r="S470" s="1"/>
      <c r="T470" s="1"/>
      <c r="U470" s="1"/>
      <c r="V470" s="1"/>
      <c r="W470" s="1"/>
      <c r="X470" s="1"/>
    </row>
    <row r="471" spans="1:24">
      <c r="A471" s="1"/>
      <c r="B471" s="94"/>
      <c r="C471" s="1"/>
      <c r="D471" s="1"/>
      <c r="E471" s="1"/>
      <c r="F471" s="94"/>
      <c r="G471" s="94"/>
      <c r="H471" s="94"/>
      <c r="I471" s="94"/>
      <c r="J471" s="94"/>
      <c r="K471" s="94"/>
      <c r="L471" s="94"/>
      <c r="M471" s="26"/>
      <c r="N471" s="26"/>
      <c r="O471" s="1"/>
      <c r="P471" s="1"/>
      <c r="Q471" s="1"/>
      <c r="R471" s="1"/>
      <c r="S471" s="1"/>
      <c r="T471" s="1"/>
      <c r="U471" s="1"/>
      <c r="V471" s="1"/>
      <c r="W471" s="1"/>
      <c r="X471" s="1"/>
    </row>
    <row r="472" spans="1:24">
      <c r="A472" s="1"/>
      <c r="B472" s="94"/>
      <c r="C472" s="1"/>
      <c r="D472" s="1"/>
      <c r="E472" s="1"/>
      <c r="F472" s="94"/>
      <c r="G472" s="94"/>
      <c r="H472" s="94"/>
      <c r="I472" s="94"/>
      <c r="J472" s="94"/>
      <c r="K472" s="94"/>
      <c r="L472" s="94"/>
      <c r="M472" s="26"/>
      <c r="N472" s="26"/>
      <c r="O472" s="1"/>
      <c r="P472" s="1"/>
      <c r="Q472" s="1"/>
      <c r="R472" s="1"/>
      <c r="S472" s="1"/>
      <c r="T472" s="1"/>
      <c r="U472" s="1"/>
      <c r="V472" s="1"/>
      <c r="W472" s="1"/>
      <c r="X472" s="1"/>
    </row>
    <row r="473" spans="1:24">
      <c r="A473" s="1"/>
      <c r="B473" s="93"/>
      <c r="C473" s="1"/>
      <c r="D473" s="1"/>
      <c r="E473" s="1"/>
      <c r="F473" s="93"/>
      <c r="G473" s="93"/>
      <c r="H473" s="93"/>
      <c r="I473" s="93"/>
      <c r="J473" s="93"/>
      <c r="K473" s="93"/>
      <c r="L473" s="93"/>
      <c r="M473" s="26"/>
      <c r="N473" s="26"/>
      <c r="O473" s="1"/>
      <c r="P473" s="1"/>
      <c r="Q473" s="1"/>
      <c r="R473" s="1"/>
      <c r="S473" s="1"/>
      <c r="T473" s="1"/>
      <c r="U473" s="1"/>
      <c r="V473" s="1"/>
      <c r="W473" s="1"/>
      <c r="X473" s="1"/>
    </row>
    <row r="474" spans="1:24">
      <c r="A474" s="1"/>
      <c r="B474" s="94"/>
      <c r="C474" s="1"/>
      <c r="D474" s="1"/>
      <c r="E474" s="1"/>
      <c r="F474" s="94"/>
      <c r="G474" s="94"/>
      <c r="H474" s="94"/>
      <c r="I474" s="94"/>
      <c r="J474" s="94"/>
      <c r="K474" s="94"/>
      <c r="L474" s="94"/>
      <c r="M474" s="26"/>
      <c r="N474" s="26"/>
      <c r="O474" s="1"/>
      <c r="P474" s="1"/>
      <c r="Q474" s="1"/>
      <c r="R474" s="1"/>
      <c r="S474" s="1"/>
      <c r="T474" s="1"/>
      <c r="U474" s="1"/>
      <c r="V474" s="1"/>
      <c r="W474" s="1"/>
      <c r="X474" s="1"/>
    </row>
    <row r="475" spans="1:24">
      <c r="A475" s="1"/>
      <c r="B475" s="94"/>
      <c r="C475" s="1"/>
      <c r="D475" s="1"/>
      <c r="E475" s="1"/>
      <c r="F475" s="94"/>
      <c r="G475" s="94"/>
      <c r="H475" s="94"/>
      <c r="I475" s="94"/>
      <c r="J475" s="94"/>
      <c r="K475" s="94"/>
      <c r="L475" s="94"/>
      <c r="M475" s="26"/>
      <c r="N475" s="26"/>
      <c r="O475" s="1"/>
      <c r="P475" s="1"/>
      <c r="Q475" s="1"/>
      <c r="R475" s="1"/>
      <c r="S475" s="1"/>
      <c r="T475" s="1"/>
      <c r="U475" s="1"/>
      <c r="V475" s="1"/>
      <c r="W475" s="1"/>
      <c r="X475" s="1"/>
    </row>
    <row r="476" spans="1:24">
      <c r="A476" s="1"/>
      <c r="B476" s="94"/>
      <c r="C476" s="1"/>
      <c r="D476" s="1"/>
      <c r="E476" s="1"/>
      <c r="F476" s="94"/>
      <c r="G476" s="94"/>
      <c r="H476" s="94"/>
      <c r="I476" s="94"/>
      <c r="J476" s="94"/>
      <c r="K476" s="94"/>
      <c r="L476" s="94"/>
      <c r="M476" s="26"/>
      <c r="N476" s="26"/>
      <c r="O476" s="1"/>
      <c r="P476" s="1"/>
      <c r="Q476" s="1"/>
      <c r="R476" s="1"/>
      <c r="S476" s="1"/>
      <c r="T476" s="1"/>
      <c r="U476" s="1"/>
      <c r="V476" s="1"/>
      <c r="W476" s="1"/>
      <c r="X476" s="1"/>
    </row>
    <row r="477" spans="1:24">
      <c r="A477" s="1"/>
      <c r="B477" s="94"/>
      <c r="C477" s="1"/>
      <c r="D477" s="1"/>
      <c r="E477" s="1"/>
      <c r="F477" s="94"/>
      <c r="G477" s="94"/>
      <c r="H477" s="94"/>
      <c r="I477" s="94"/>
      <c r="J477" s="94"/>
      <c r="K477" s="94"/>
      <c r="L477" s="94"/>
      <c r="M477" s="26"/>
      <c r="N477" s="26"/>
      <c r="O477" s="1"/>
      <c r="P477" s="1"/>
      <c r="Q477" s="1"/>
      <c r="R477" s="1"/>
      <c r="S477" s="1"/>
      <c r="T477" s="1"/>
      <c r="U477" s="1"/>
      <c r="V477" s="1"/>
      <c r="W477" s="1"/>
      <c r="X477" s="1"/>
    </row>
    <row r="478" spans="1:24">
      <c r="A478" s="1"/>
      <c r="B478" s="93"/>
      <c r="C478" s="1"/>
      <c r="D478" s="1"/>
      <c r="E478" s="1"/>
      <c r="F478" s="93"/>
      <c r="G478" s="93"/>
      <c r="H478" s="93"/>
      <c r="I478" s="93"/>
      <c r="J478" s="93"/>
      <c r="K478" s="93"/>
      <c r="L478" s="93"/>
      <c r="M478" s="26"/>
      <c r="N478" s="26"/>
      <c r="O478" s="1"/>
      <c r="P478" s="1"/>
      <c r="Q478" s="1"/>
      <c r="R478" s="1"/>
      <c r="S478" s="1"/>
      <c r="T478" s="1"/>
      <c r="U478" s="1"/>
      <c r="V478" s="1"/>
      <c r="W478" s="1"/>
      <c r="X478" s="1"/>
    </row>
    <row r="479" spans="1:24">
      <c r="A479" s="1"/>
      <c r="B479" s="94"/>
      <c r="C479" s="1"/>
      <c r="D479" s="1"/>
      <c r="E479" s="1"/>
      <c r="F479" s="94"/>
      <c r="G479" s="94"/>
      <c r="H479" s="94"/>
      <c r="I479" s="94"/>
      <c r="J479" s="94"/>
      <c r="K479" s="94"/>
      <c r="L479" s="94"/>
      <c r="M479" s="26"/>
      <c r="N479" s="26"/>
      <c r="O479" s="1"/>
      <c r="P479" s="1"/>
      <c r="Q479" s="1"/>
      <c r="R479" s="1"/>
      <c r="S479" s="1"/>
      <c r="T479" s="1"/>
      <c r="U479" s="1"/>
      <c r="V479" s="1"/>
      <c r="W479" s="1"/>
      <c r="X479" s="1"/>
    </row>
    <row r="480" spans="1:24">
      <c r="A480" s="1"/>
      <c r="B480" s="94"/>
      <c r="C480" s="1"/>
      <c r="D480" s="1"/>
      <c r="E480" s="1"/>
      <c r="F480" s="94"/>
      <c r="G480" s="94"/>
      <c r="H480" s="94"/>
      <c r="I480" s="94"/>
      <c r="J480" s="94"/>
      <c r="K480" s="94"/>
      <c r="L480" s="94"/>
      <c r="M480" s="26"/>
      <c r="N480" s="26"/>
      <c r="O480" s="1"/>
      <c r="P480" s="1"/>
      <c r="Q480" s="1"/>
      <c r="R480" s="1"/>
      <c r="S480" s="1"/>
      <c r="T480" s="1"/>
      <c r="U480" s="1"/>
      <c r="V480" s="1"/>
      <c r="W480" s="1"/>
      <c r="X480" s="1"/>
    </row>
    <row r="481" spans="1:24">
      <c r="A481" s="1"/>
      <c r="B481" s="94"/>
      <c r="C481" s="1"/>
      <c r="D481" s="1"/>
      <c r="E481" s="1"/>
      <c r="F481" s="94"/>
      <c r="G481" s="94"/>
      <c r="H481" s="94"/>
      <c r="I481" s="94"/>
      <c r="J481" s="94"/>
      <c r="K481" s="94"/>
      <c r="L481" s="94"/>
      <c r="M481" s="26"/>
      <c r="N481" s="26"/>
      <c r="O481" s="1"/>
      <c r="P481" s="1"/>
      <c r="Q481" s="1"/>
      <c r="R481" s="1"/>
      <c r="S481" s="1"/>
      <c r="T481" s="1"/>
      <c r="U481" s="1"/>
      <c r="V481" s="1"/>
      <c r="W481" s="1"/>
      <c r="X481" s="1"/>
    </row>
    <row r="482" spans="1:24">
      <c r="A482" s="1"/>
      <c r="B482" s="94"/>
      <c r="C482" s="1"/>
      <c r="D482" s="1"/>
      <c r="E482" s="1"/>
      <c r="F482" s="94"/>
      <c r="G482" s="94"/>
      <c r="H482" s="94"/>
      <c r="I482" s="94"/>
      <c r="J482" s="94"/>
      <c r="K482" s="94"/>
      <c r="L482" s="94"/>
      <c r="M482" s="26"/>
      <c r="N482" s="26"/>
      <c r="O482" s="1"/>
      <c r="P482" s="1"/>
      <c r="Q482" s="1"/>
      <c r="R482" s="1"/>
      <c r="S482" s="1"/>
      <c r="T482" s="1"/>
      <c r="U482" s="1"/>
      <c r="V482" s="1"/>
      <c r="W482" s="1"/>
      <c r="X482" s="1"/>
    </row>
    <row r="483" spans="1:24">
      <c r="A483" s="1"/>
      <c r="B483" s="93"/>
      <c r="C483" s="1"/>
      <c r="D483" s="1"/>
      <c r="E483" s="1"/>
      <c r="F483" s="93"/>
      <c r="G483" s="93"/>
      <c r="H483" s="93"/>
      <c r="I483" s="93"/>
      <c r="J483" s="93"/>
      <c r="K483" s="93"/>
      <c r="L483" s="93"/>
      <c r="M483" s="26"/>
      <c r="N483" s="26"/>
      <c r="O483" s="1"/>
      <c r="P483" s="1"/>
      <c r="Q483" s="1"/>
      <c r="R483" s="1"/>
      <c r="S483" s="1"/>
      <c r="T483" s="1"/>
      <c r="U483" s="1"/>
      <c r="V483" s="1"/>
      <c r="W483" s="1"/>
      <c r="X483" s="1"/>
    </row>
    <row r="484" spans="1:24">
      <c r="A484" s="1"/>
      <c r="B484" s="94"/>
      <c r="C484" s="1"/>
      <c r="D484" s="1"/>
      <c r="E484" s="1"/>
      <c r="F484" s="94"/>
      <c r="G484" s="94"/>
      <c r="H484" s="94"/>
      <c r="I484" s="94"/>
      <c r="J484" s="94"/>
      <c r="K484" s="94"/>
      <c r="L484" s="94"/>
      <c r="M484" s="26"/>
      <c r="N484" s="26"/>
      <c r="O484" s="1"/>
      <c r="P484" s="1"/>
      <c r="Q484" s="1"/>
      <c r="R484" s="1"/>
      <c r="S484" s="1"/>
      <c r="T484" s="1"/>
      <c r="U484" s="1"/>
      <c r="V484" s="1"/>
      <c r="W484" s="1"/>
      <c r="X484" s="1"/>
    </row>
    <row r="485" spans="1:24">
      <c r="A485" s="1"/>
      <c r="B485" s="94"/>
      <c r="C485" s="1"/>
      <c r="D485" s="1"/>
      <c r="E485" s="1"/>
      <c r="F485" s="94"/>
      <c r="G485" s="94"/>
      <c r="H485" s="94"/>
      <c r="I485" s="94"/>
      <c r="J485" s="94"/>
      <c r="K485" s="94"/>
      <c r="L485" s="94"/>
      <c r="M485" s="26"/>
      <c r="N485" s="26"/>
      <c r="O485" s="1"/>
      <c r="P485" s="1"/>
      <c r="Q485" s="1"/>
      <c r="R485" s="1"/>
      <c r="S485" s="1"/>
      <c r="T485" s="1"/>
      <c r="U485" s="1"/>
      <c r="V485" s="1"/>
      <c r="W485" s="1"/>
      <c r="X485" s="1"/>
    </row>
    <row r="486" spans="1:24">
      <c r="A486" s="1"/>
      <c r="B486" s="94"/>
      <c r="C486" s="1"/>
      <c r="D486" s="1"/>
      <c r="E486" s="1"/>
      <c r="F486" s="94"/>
      <c r="G486" s="94"/>
      <c r="H486" s="94"/>
      <c r="I486" s="94"/>
      <c r="J486" s="94"/>
      <c r="K486" s="94"/>
      <c r="L486" s="94"/>
      <c r="M486" s="26"/>
      <c r="N486" s="26"/>
      <c r="O486" s="1"/>
      <c r="P486" s="1"/>
      <c r="Q486" s="1"/>
      <c r="R486" s="1"/>
      <c r="S486" s="1"/>
      <c r="T486" s="1"/>
      <c r="U486" s="1"/>
      <c r="V486" s="1"/>
      <c r="W486" s="1"/>
      <c r="X486" s="1"/>
    </row>
    <row r="487" spans="1:24">
      <c r="A487" s="1"/>
      <c r="B487" s="94"/>
      <c r="C487" s="1"/>
      <c r="D487" s="1"/>
      <c r="E487" s="1"/>
      <c r="F487" s="94"/>
      <c r="G487" s="94"/>
      <c r="H487" s="94"/>
      <c r="I487" s="94"/>
      <c r="J487" s="94"/>
      <c r="K487" s="94"/>
      <c r="L487" s="94"/>
      <c r="M487" s="26"/>
      <c r="N487" s="26"/>
      <c r="O487" s="1"/>
      <c r="P487" s="1"/>
      <c r="Q487" s="1"/>
      <c r="R487" s="1"/>
      <c r="S487" s="1"/>
      <c r="T487" s="1"/>
      <c r="U487" s="1"/>
      <c r="V487" s="1"/>
      <c r="W487" s="1"/>
      <c r="X487" s="1"/>
    </row>
    <row r="488" spans="1:24">
      <c r="A488" s="1"/>
      <c r="B488" s="93"/>
      <c r="C488" s="1"/>
      <c r="D488" s="1"/>
      <c r="E488" s="1"/>
      <c r="F488" s="93"/>
      <c r="G488" s="93"/>
      <c r="H488" s="93"/>
      <c r="I488" s="93"/>
      <c r="J488" s="93"/>
      <c r="K488" s="93"/>
      <c r="L488" s="93"/>
      <c r="M488" s="26"/>
      <c r="N488" s="26"/>
      <c r="O488" s="1"/>
      <c r="P488" s="1"/>
      <c r="Q488" s="1"/>
      <c r="R488" s="1"/>
      <c r="S488" s="1"/>
      <c r="T488" s="1"/>
      <c r="U488" s="1"/>
      <c r="V488" s="1"/>
      <c r="W488" s="1"/>
      <c r="X488" s="1"/>
    </row>
    <row r="489" spans="1:24">
      <c r="A489" s="1"/>
      <c r="B489" s="94"/>
      <c r="C489" s="1"/>
      <c r="D489" s="1"/>
      <c r="E489" s="1"/>
      <c r="F489" s="94"/>
      <c r="G489" s="94"/>
      <c r="H489" s="94"/>
      <c r="I489" s="94"/>
      <c r="J489" s="94"/>
      <c r="K489" s="94"/>
      <c r="L489" s="94"/>
      <c r="M489" s="26"/>
      <c r="N489" s="26"/>
      <c r="O489" s="1"/>
      <c r="P489" s="1"/>
      <c r="Q489" s="1"/>
      <c r="R489" s="1"/>
      <c r="S489" s="1"/>
      <c r="T489" s="1"/>
      <c r="U489" s="1"/>
      <c r="V489" s="1"/>
      <c r="W489" s="1"/>
      <c r="X489" s="1"/>
    </row>
    <row r="490" spans="1:24">
      <c r="A490" s="1"/>
      <c r="B490" s="94"/>
      <c r="C490" s="1"/>
      <c r="D490" s="1"/>
      <c r="E490" s="1"/>
      <c r="F490" s="94"/>
      <c r="G490" s="94"/>
      <c r="H490" s="94"/>
      <c r="I490" s="94"/>
      <c r="J490" s="94"/>
      <c r="K490" s="94"/>
      <c r="L490" s="94"/>
      <c r="M490" s="26"/>
      <c r="N490" s="26"/>
      <c r="O490" s="1"/>
      <c r="P490" s="1"/>
      <c r="Q490" s="1"/>
      <c r="R490" s="1"/>
      <c r="S490" s="1"/>
      <c r="T490" s="1"/>
      <c r="U490" s="1"/>
      <c r="V490" s="1"/>
      <c r="W490" s="1"/>
      <c r="X490" s="1"/>
    </row>
    <row r="491" spans="1:24">
      <c r="A491" s="1"/>
      <c r="B491" s="94"/>
      <c r="C491" s="1"/>
      <c r="D491" s="1"/>
      <c r="E491" s="1"/>
      <c r="F491" s="94"/>
      <c r="G491" s="94"/>
      <c r="H491" s="94"/>
      <c r="I491" s="94"/>
      <c r="J491" s="94"/>
      <c r="K491" s="94"/>
      <c r="L491" s="94"/>
      <c r="M491" s="26"/>
      <c r="N491" s="26"/>
      <c r="O491" s="1"/>
      <c r="P491" s="1"/>
      <c r="Q491" s="1"/>
      <c r="R491" s="1"/>
      <c r="S491" s="1"/>
      <c r="T491" s="1"/>
      <c r="U491" s="1"/>
      <c r="V491" s="1"/>
      <c r="W491" s="1"/>
      <c r="X491" s="1"/>
    </row>
    <row r="492" spans="1:24">
      <c r="A492" s="1"/>
      <c r="B492" s="94"/>
      <c r="C492" s="1"/>
      <c r="D492" s="1"/>
      <c r="E492" s="1"/>
      <c r="F492" s="94"/>
      <c r="G492" s="94"/>
      <c r="H492" s="94"/>
      <c r="I492" s="94"/>
      <c r="J492" s="94"/>
      <c r="K492" s="94"/>
      <c r="L492" s="94"/>
      <c r="M492" s="26"/>
      <c r="N492" s="26"/>
      <c r="O492" s="1"/>
      <c r="P492" s="1"/>
      <c r="Q492" s="1"/>
      <c r="R492" s="1"/>
      <c r="S492" s="1"/>
      <c r="T492" s="1"/>
      <c r="U492" s="1"/>
      <c r="V492" s="1"/>
      <c r="W492" s="1"/>
      <c r="X492" s="1"/>
    </row>
    <row r="493" spans="1:24">
      <c r="A493" s="1"/>
      <c r="B493" s="93"/>
      <c r="C493" s="1"/>
      <c r="D493" s="1"/>
      <c r="E493" s="1"/>
      <c r="F493" s="93"/>
      <c r="G493" s="93"/>
      <c r="H493" s="93"/>
      <c r="I493" s="93"/>
      <c r="J493" s="93"/>
      <c r="K493" s="93"/>
      <c r="L493" s="93"/>
      <c r="M493" s="26"/>
      <c r="N493" s="26"/>
      <c r="O493" s="1"/>
      <c r="P493" s="1"/>
      <c r="Q493" s="1"/>
      <c r="R493" s="1"/>
      <c r="S493" s="1"/>
      <c r="T493" s="1"/>
      <c r="U493" s="1"/>
      <c r="V493" s="1"/>
      <c r="W493" s="1"/>
      <c r="X493" s="1"/>
    </row>
    <row r="494" spans="1:24">
      <c r="A494" s="1"/>
      <c r="B494" s="94"/>
      <c r="C494" s="1"/>
      <c r="D494" s="1"/>
      <c r="E494" s="1"/>
      <c r="F494" s="94"/>
      <c r="G494" s="94"/>
      <c r="H494" s="94"/>
      <c r="I494" s="94"/>
      <c r="J494" s="94"/>
      <c r="K494" s="94"/>
      <c r="L494" s="94"/>
      <c r="M494" s="26"/>
      <c r="N494" s="26"/>
      <c r="O494" s="1"/>
      <c r="P494" s="1"/>
      <c r="Q494" s="1"/>
      <c r="R494" s="1"/>
      <c r="S494" s="1"/>
      <c r="T494" s="1"/>
      <c r="U494" s="1"/>
      <c r="V494" s="1"/>
      <c r="W494" s="1"/>
      <c r="X494" s="1"/>
    </row>
    <row r="495" spans="1:24">
      <c r="A495" s="1"/>
      <c r="B495" s="94"/>
      <c r="C495" s="1"/>
      <c r="D495" s="1"/>
      <c r="E495" s="1"/>
      <c r="F495" s="94"/>
      <c r="G495" s="94"/>
      <c r="H495" s="94"/>
      <c r="I495" s="94"/>
      <c r="J495" s="94"/>
      <c r="K495" s="94"/>
      <c r="L495" s="94"/>
      <c r="M495" s="26"/>
      <c r="N495" s="26"/>
      <c r="O495" s="1"/>
      <c r="P495" s="1"/>
      <c r="Q495" s="1"/>
      <c r="R495" s="1"/>
      <c r="S495" s="1"/>
      <c r="T495" s="1"/>
      <c r="U495" s="1"/>
      <c r="V495" s="1"/>
      <c r="W495" s="1"/>
      <c r="X495" s="1"/>
    </row>
    <row r="496" spans="1:24">
      <c r="A496" s="1"/>
      <c r="B496" s="94"/>
      <c r="C496" s="1"/>
      <c r="D496" s="1"/>
      <c r="E496" s="1"/>
      <c r="F496" s="94"/>
      <c r="G496" s="94"/>
      <c r="H496" s="94"/>
      <c r="I496" s="94"/>
      <c r="J496" s="94"/>
      <c r="K496" s="94"/>
      <c r="L496" s="94"/>
      <c r="M496" s="26"/>
      <c r="N496" s="26"/>
      <c r="O496" s="1"/>
      <c r="P496" s="1"/>
      <c r="Q496" s="1"/>
      <c r="R496" s="1"/>
      <c r="S496" s="1"/>
      <c r="T496" s="1"/>
      <c r="U496" s="1"/>
      <c r="V496" s="1"/>
      <c r="W496" s="1"/>
      <c r="X496" s="1"/>
    </row>
    <row r="497" spans="1:24">
      <c r="A497" s="1"/>
      <c r="B497" s="94"/>
      <c r="C497" s="1"/>
      <c r="D497" s="1"/>
      <c r="E497" s="1"/>
      <c r="F497" s="94"/>
      <c r="G497" s="94"/>
      <c r="H497" s="94"/>
      <c r="I497" s="94"/>
      <c r="J497" s="94"/>
      <c r="K497" s="94"/>
      <c r="L497" s="94"/>
      <c r="M497" s="26"/>
      <c r="N497" s="26"/>
      <c r="O497" s="1"/>
      <c r="P497" s="1"/>
      <c r="Q497" s="1"/>
      <c r="R497" s="1"/>
      <c r="S497" s="1"/>
      <c r="T497" s="1"/>
      <c r="U497" s="1"/>
      <c r="V497" s="1"/>
      <c r="W497" s="1"/>
      <c r="X497" s="1"/>
    </row>
    <row r="498" spans="1:24">
      <c r="A498" s="1"/>
      <c r="B498" s="93"/>
      <c r="C498" s="1"/>
      <c r="D498" s="1"/>
      <c r="E498" s="1"/>
      <c r="F498" s="93"/>
      <c r="G498" s="93"/>
      <c r="H498" s="93"/>
      <c r="I498" s="93"/>
      <c r="J498" s="93"/>
      <c r="K498" s="93"/>
      <c r="L498" s="93"/>
      <c r="M498" s="26"/>
      <c r="N498" s="26"/>
      <c r="O498" s="1"/>
      <c r="P498" s="1"/>
      <c r="Q498" s="1"/>
      <c r="R498" s="1"/>
      <c r="S498" s="1"/>
      <c r="T498" s="1"/>
      <c r="U498" s="1"/>
      <c r="V498" s="1"/>
      <c r="W498" s="1"/>
      <c r="X498" s="1"/>
    </row>
    <row r="499" spans="1:24">
      <c r="A499" s="1"/>
      <c r="B499" s="94"/>
      <c r="C499" s="1"/>
      <c r="D499" s="1"/>
      <c r="E499" s="1"/>
      <c r="F499" s="94"/>
      <c r="G499" s="94"/>
      <c r="H499" s="94"/>
      <c r="I499" s="94"/>
      <c r="J499" s="94"/>
      <c r="K499" s="94"/>
      <c r="L499" s="94"/>
      <c r="M499" s="26"/>
      <c r="N499" s="26"/>
      <c r="O499" s="1"/>
      <c r="P499" s="1"/>
      <c r="Q499" s="1"/>
      <c r="R499" s="1"/>
      <c r="S499" s="1"/>
      <c r="T499" s="1"/>
      <c r="U499" s="1"/>
      <c r="V499" s="1"/>
      <c r="W499" s="1"/>
      <c r="X499" s="1"/>
    </row>
    <row r="500" spans="1:24">
      <c r="A500" s="1"/>
      <c r="B500" s="94"/>
      <c r="C500" s="1"/>
      <c r="D500" s="1"/>
      <c r="E500" s="1"/>
      <c r="F500" s="94"/>
      <c r="G500" s="94"/>
      <c r="H500" s="94"/>
      <c r="I500" s="94"/>
      <c r="J500" s="94"/>
      <c r="K500" s="94"/>
      <c r="L500" s="94"/>
      <c r="M500" s="26"/>
      <c r="N500" s="26"/>
      <c r="O500" s="1"/>
      <c r="P500" s="1"/>
      <c r="Q500" s="1"/>
      <c r="R500" s="1"/>
      <c r="S500" s="1"/>
      <c r="T500" s="1"/>
      <c r="U500" s="1"/>
      <c r="V500" s="1"/>
      <c r="W500" s="1"/>
      <c r="X500" s="1"/>
    </row>
    <row r="501" spans="1:24">
      <c r="A501" s="1"/>
      <c r="B501" s="94"/>
      <c r="C501" s="1"/>
      <c r="D501" s="1"/>
      <c r="E501" s="1"/>
      <c r="F501" s="94"/>
      <c r="G501" s="94"/>
      <c r="H501" s="94"/>
      <c r="I501" s="94"/>
      <c r="J501" s="94"/>
      <c r="K501" s="94"/>
      <c r="L501" s="94"/>
      <c r="M501" s="26"/>
      <c r="N501" s="26"/>
      <c r="O501" s="1"/>
      <c r="P501" s="1"/>
      <c r="Q501" s="1"/>
      <c r="R501" s="1"/>
      <c r="S501" s="1"/>
      <c r="T501" s="1"/>
      <c r="U501" s="1"/>
      <c r="V501" s="1"/>
      <c r="W501" s="1"/>
      <c r="X501" s="1"/>
    </row>
    <row r="502" spans="1:24">
      <c r="A502" s="1"/>
      <c r="B502" s="94"/>
      <c r="C502" s="1"/>
      <c r="D502" s="1"/>
      <c r="E502" s="1"/>
      <c r="F502" s="94"/>
      <c r="G502" s="94"/>
      <c r="H502" s="94"/>
      <c r="I502" s="94"/>
      <c r="J502" s="94"/>
      <c r="K502" s="94"/>
      <c r="L502" s="94"/>
      <c r="M502" s="26"/>
      <c r="N502" s="26"/>
      <c r="O502" s="1"/>
      <c r="P502" s="1"/>
      <c r="Q502" s="1"/>
      <c r="R502" s="1"/>
      <c r="S502" s="1"/>
      <c r="T502" s="1"/>
      <c r="U502" s="1"/>
      <c r="V502" s="1"/>
      <c r="W502" s="1"/>
      <c r="X502" s="1"/>
    </row>
    <row r="503" spans="1:24">
      <c r="A503" s="1"/>
      <c r="B503" s="93"/>
      <c r="C503" s="1"/>
      <c r="D503" s="1"/>
      <c r="E503" s="1"/>
      <c r="F503" s="93"/>
      <c r="G503" s="93"/>
      <c r="H503" s="93"/>
      <c r="I503" s="93"/>
      <c r="J503" s="93"/>
      <c r="K503" s="93"/>
      <c r="L503" s="93"/>
      <c r="M503" s="26"/>
      <c r="N503" s="26"/>
      <c r="O503" s="1"/>
      <c r="P503" s="1"/>
      <c r="Q503" s="1"/>
      <c r="R503" s="1"/>
      <c r="S503" s="1"/>
      <c r="T503" s="1"/>
      <c r="U503" s="1"/>
      <c r="V503" s="1"/>
      <c r="W503" s="1"/>
      <c r="X503" s="1"/>
    </row>
    <row r="504" spans="1:24">
      <c r="A504" s="1"/>
      <c r="B504" s="94"/>
      <c r="C504" s="1"/>
      <c r="D504" s="1"/>
      <c r="E504" s="1"/>
      <c r="F504" s="94"/>
      <c r="G504" s="94"/>
      <c r="H504" s="94"/>
      <c r="I504" s="94"/>
      <c r="J504" s="94"/>
      <c r="K504" s="94"/>
      <c r="L504" s="94"/>
      <c r="M504" s="26"/>
      <c r="N504" s="26"/>
      <c r="O504" s="1"/>
      <c r="P504" s="1"/>
      <c r="Q504" s="1"/>
      <c r="R504" s="1"/>
      <c r="S504" s="1"/>
      <c r="T504" s="1"/>
      <c r="U504" s="1"/>
      <c r="V504" s="1"/>
      <c r="W504" s="1"/>
      <c r="X504" s="1"/>
    </row>
    <row r="505" spans="1:24">
      <c r="A505" s="1"/>
      <c r="B505" s="94"/>
      <c r="C505" s="1"/>
      <c r="D505" s="1"/>
      <c r="E505" s="1"/>
      <c r="F505" s="94"/>
      <c r="G505" s="94"/>
      <c r="H505" s="94"/>
      <c r="I505" s="94"/>
      <c r="J505" s="94"/>
      <c r="K505" s="94"/>
      <c r="L505" s="94"/>
      <c r="M505" s="26"/>
      <c r="N505" s="26"/>
      <c r="O505" s="1"/>
      <c r="P505" s="1"/>
      <c r="Q505" s="1"/>
      <c r="R505" s="1"/>
      <c r="S505" s="1"/>
      <c r="T505" s="1"/>
      <c r="U505" s="1"/>
      <c r="V505" s="1"/>
      <c r="W505" s="1"/>
      <c r="X505" s="1"/>
    </row>
    <row r="506" spans="1:24">
      <c r="A506" s="1"/>
      <c r="B506" s="94"/>
      <c r="C506" s="1"/>
      <c r="D506" s="1"/>
      <c r="E506" s="1"/>
      <c r="F506" s="94"/>
      <c r="G506" s="94"/>
      <c r="H506" s="94"/>
      <c r="I506" s="94"/>
      <c r="J506" s="94"/>
      <c r="K506" s="94"/>
      <c r="L506" s="94"/>
      <c r="M506" s="26"/>
      <c r="N506" s="26"/>
      <c r="O506" s="1"/>
      <c r="P506" s="1"/>
      <c r="Q506" s="1"/>
      <c r="R506" s="1"/>
      <c r="S506" s="1"/>
      <c r="T506" s="1"/>
      <c r="U506" s="1"/>
      <c r="V506" s="1"/>
      <c r="W506" s="1"/>
      <c r="X506" s="1"/>
    </row>
    <row r="507" spans="1:24">
      <c r="A507" s="1"/>
      <c r="B507" s="94"/>
      <c r="C507" s="1"/>
      <c r="D507" s="1"/>
      <c r="E507" s="1"/>
      <c r="F507" s="94"/>
      <c r="G507" s="94"/>
      <c r="H507" s="94"/>
      <c r="I507" s="94"/>
      <c r="J507" s="94"/>
      <c r="K507" s="94"/>
      <c r="L507" s="94"/>
      <c r="M507" s="26"/>
      <c r="N507" s="26"/>
      <c r="O507" s="1"/>
      <c r="P507" s="1"/>
      <c r="Q507" s="1"/>
      <c r="R507" s="1"/>
      <c r="S507" s="1"/>
      <c r="T507" s="1"/>
      <c r="U507" s="1"/>
      <c r="V507" s="1"/>
      <c r="W507" s="1"/>
      <c r="X507" s="1"/>
    </row>
    <row r="508" spans="1:24">
      <c r="A508" s="1"/>
      <c r="B508" s="93"/>
      <c r="C508" s="1"/>
      <c r="D508" s="1"/>
      <c r="E508" s="1"/>
      <c r="F508" s="93"/>
      <c r="G508" s="93"/>
      <c r="H508" s="93"/>
      <c r="I508" s="93"/>
      <c r="J508" s="93"/>
      <c r="K508" s="93"/>
      <c r="L508" s="93"/>
      <c r="M508" s="26"/>
      <c r="N508" s="26"/>
      <c r="O508" s="1"/>
      <c r="P508" s="1"/>
      <c r="Q508" s="1"/>
      <c r="R508" s="1"/>
      <c r="S508" s="1"/>
      <c r="T508" s="1"/>
      <c r="U508" s="1"/>
      <c r="V508" s="1"/>
      <c r="W508" s="1"/>
      <c r="X508" s="1"/>
    </row>
    <row r="509" spans="1:24">
      <c r="A509" s="1"/>
      <c r="B509" s="94"/>
      <c r="C509" s="1"/>
      <c r="D509" s="1"/>
      <c r="E509" s="1"/>
      <c r="F509" s="94"/>
      <c r="G509" s="94"/>
      <c r="H509" s="94"/>
      <c r="I509" s="94"/>
      <c r="J509" s="94"/>
      <c r="K509" s="94"/>
      <c r="L509" s="94"/>
      <c r="M509" s="26"/>
      <c r="N509" s="26"/>
      <c r="O509" s="1"/>
      <c r="P509" s="1"/>
      <c r="Q509" s="1"/>
      <c r="R509" s="1"/>
      <c r="S509" s="1"/>
      <c r="T509" s="1"/>
      <c r="U509" s="1"/>
      <c r="V509" s="1"/>
      <c r="W509" s="1"/>
      <c r="X509" s="1"/>
    </row>
    <row r="510" spans="1:24">
      <c r="A510" s="1"/>
      <c r="B510" s="94"/>
      <c r="C510" s="1"/>
      <c r="D510" s="1"/>
      <c r="E510" s="1"/>
      <c r="F510" s="94"/>
      <c r="G510" s="94"/>
      <c r="H510" s="94"/>
      <c r="I510" s="94"/>
      <c r="J510" s="94"/>
      <c r="K510" s="94"/>
      <c r="L510" s="94"/>
      <c r="M510" s="26"/>
      <c r="N510" s="26"/>
      <c r="O510" s="1"/>
      <c r="P510" s="1"/>
      <c r="Q510" s="1"/>
      <c r="R510" s="1"/>
      <c r="S510" s="1"/>
      <c r="T510" s="1"/>
      <c r="U510" s="1"/>
      <c r="V510" s="1"/>
      <c r="W510" s="1"/>
      <c r="X510" s="1"/>
    </row>
    <row r="511" spans="1:24">
      <c r="A511" s="1"/>
      <c r="B511" s="94"/>
      <c r="C511" s="1"/>
      <c r="D511" s="1"/>
      <c r="E511" s="1"/>
      <c r="F511" s="94"/>
      <c r="G511" s="94"/>
      <c r="H511" s="94"/>
      <c r="I511" s="94"/>
      <c r="J511" s="94"/>
      <c r="K511" s="94"/>
      <c r="L511" s="94"/>
      <c r="M511" s="26"/>
      <c r="N511" s="26"/>
      <c r="O511" s="1"/>
      <c r="P511" s="1"/>
      <c r="Q511" s="1"/>
      <c r="R511" s="1"/>
      <c r="S511" s="1"/>
      <c r="T511" s="1"/>
      <c r="U511" s="1"/>
      <c r="V511" s="1"/>
      <c r="W511" s="1"/>
      <c r="X511" s="1"/>
    </row>
    <row r="512" spans="1:24">
      <c r="A512" s="1"/>
      <c r="B512" s="94"/>
      <c r="C512" s="1"/>
      <c r="D512" s="1"/>
      <c r="E512" s="1"/>
      <c r="F512" s="94"/>
      <c r="G512" s="94"/>
      <c r="H512" s="94"/>
      <c r="I512" s="94"/>
      <c r="J512" s="94"/>
      <c r="K512" s="94"/>
      <c r="L512" s="94"/>
      <c r="M512" s="26"/>
      <c r="N512" s="26"/>
      <c r="O512" s="1"/>
      <c r="P512" s="1"/>
      <c r="Q512" s="1"/>
      <c r="R512" s="1"/>
      <c r="S512" s="1"/>
      <c r="T512" s="1"/>
      <c r="U512" s="1"/>
      <c r="V512" s="1"/>
      <c r="W512" s="1"/>
      <c r="X512" s="1"/>
    </row>
    <row r="513" spans="1:24">
      <c r="A513" s="1"/>
      <c r="B513" s="93"/>
      <c r="C513" s="1"/>
      <c r="D513" s="1"/>
      <c r="E513" s="1"/>
      <c r="F513" s="93"/>
      <c r="G513" s="93"/>
      <c r="H513" s="93"/>
      <c r="I513" s="93"/>
      <c r="J513" s="93"/>
      <c r="K513" s="93"/>
      <c r="L513" s="93"/>
      <c r="M513" s="26"/>
      <c r="N513" s="26"/>
      <c r="O513" s="1"/>
      <c r="P513" s="1"/>
      <c r="Q513" s="1"/>
      <c r="R513" s="1"/>
      <c r="S513" s="1"/>
      <c r="T513" s="1"/>
      <c r="U513" s="1"/>
      <c r="V513" s="1"/>
      <c r="W513" s="1"/>
      <c r="X513" s="1"/>
    </row>
    <row r="514" spans="1:24">
      <c r="A514" s="1"/>
      <c r="B514" s="94"/>
      <c r="C514" s="1"/>
      <c r="D514" s="1"/>
      <c r="E514" s="1"/>
      <c r="F514" s="94"/>
      <c r="G514" s="94"/>
      <c r="H514" s="94"/>
      <c r="I514" s="94"/>
      <c r="J514" s="94"/>
      <c r="K514" s="94"/>
      <c r="L514" s="94"/>
      <c r="M514" s="26"/>
      <c r="N514" s="26"/>
      <c r="O514" s="1"/>
      <c r="P514" s="1"/>
      <c r="Q514" s="1"/>
      <c r="R514" s="1"/>
      <c r="S514" s="1"/>
      <c r="T514" s="1"/>
      <c r="U514" s="1"/>
      <c r="V514" s="1"/>
      <c r="W514" s="1"/>
      <c r="X514" s="1"/>
    </row>
    <row r="515" spans="1:24">
      <c r="A515" s="1"/>
      <c r="B515" s="94"/>
      <c r="C515" s="1"/>
      <c r="D515" s="1"/>
      <c r="E515" s="1"/>
      <c r="F515" s="94"/>
      <c r="G515" s="94"/>
      <c r="H515" s="94"/>
      <c r="I515" s="94"/>
      <c r="J515" s="94"/>
      <c r="K515" s="94"/>
      <c r="L515" s="94"/>
      <c r="M515" s="26"/>
      <c r="N515" s="26"/>
      <c r="O515" s="1"/>
      <c r="P515" s="1"/>
      <c r="Q515" s="1"/>
      <c r="R515" s="1"/>
      <c r="S515" s="1"/>
      <c r="T515" s="1"/>
      <c r="U515" s="1"/>
      <c r="V515" s="1"/>
      <c r="W515" s="1"/>
      <c r="X515" s="1"/>
    </row>
    <row r="516" spans="1:24">
      <c r="A516" s="1"/>
      <c r="B516" s="94"/>
      <c r="C516" s="1"/>
      <c r="D516" s="1"/>
      <c r="E516" s="1"/>
      <c r="F516" s="94"/>
      <c r="G516" s="94"/>
      <c r="H516" s="94"/>
      <c r="I516" s="94"/>
      <c r="J516" s="94"/>
      <c r="K516" s="94"/>
      <c r="L516" s="94"/>
      <c r="M516" s="26"/>
      <c r="N516" s="26"/>
      <c r="O516" s="1"/>
      <c r="P516" s="1"/>
      <c r="Q516" s="1"/>
      <c r="R516" s="1"/>
      <c r="S516" s="1"/>
      <c r="T516" s="1"/>
      <c r="U516" s="1"/>
      <c r="V516" s="1"/>
      <c r="W516" s="1"/>
      <c r="X516" s="1"/>
    </row>
    <row r="517" spans="1:24">
      <c r="A517" s="1"/>
      <c r="B517" s="94"/>
      <c r="C517" s="1"/>
      <c r="D517" s="1"/>
      <c r="E517" s="1"/>
      <c r="F517" s="94"/>
      <c r="G517" s="94"/>
      <c r="H517" s="94"/>
      <c r="I517" s="94"/>
      <c r="J517" s="94"/>
      <c r="K517" s="94"/>
      <c r="L517" s="94"/>
      <c r="M517" s="26"/>
      <c r="N517" s="26"/>
      <c r="O517" s="1"/>
      <c r="P517" s="1"/>
      <c r="Q517" s="1"/>
      <c r="R517" s="1"/>
      <c r="S517" s="1"/>
      <c r="T517" s="1"/>
      <c r="U517" s="1"/>
      <c r="V517" s="1"/>
      <c r="W517" s="1"/>
      <c r="X517" s="1"/>
    </row>
    <row r="518" spans="1:24">
      <c r="A518" s="1"/>
      <c r="B518" s="93"/>
      <c r="C518" s="1"/>
      <c r="D518" s="1"/>
      <c r="E518" s="1"/>
      <c r="F518" s="93"/>
      <c r="G518" s="93"/>
      <c r="H518" s="93"/>
      <c r="I518" s="93"/>
      <c r="J518" s="93"/>
      <c r="K518" s="93"/>
      <c r="L518" s="93"/>
      <c r="M518" s="26"/>
      <c r="N518" s="26"/>
      <c r="O518" s="1"/>
      <c r="P518" s="1"/>
      <c r="Q518" s="1"/>
      <c r="R518" s="1"/>
      <c r="S518" s="1"/>
      <c r="T518" s="1"/>
      <c r="U518" s="1"/>
      <c r="V518" s="1"/>
      <c r="W518" s="1"/>
      <c r="X518" s="1"/>
    </row>
    <row r="519" spans="1:24">
      <c r="A519" s="1"/>
      <c r="B519" s="94"/>
      <c r="C519" s="1"/>
      <c r="D519" s="1"/>
      <c r="E519" s="1"/>
      <c r="F519" s="94"/>
      <c r="G519" s="94"/>
      <c r="H519" s="94"/>
      <c r="I519" s="94"/>
      <c r="J519" s="94"/>
      <c r="K519" s="94"/>
      <c r="L519" s="94"/>
      <c r="M519" s="26"/>
      <c r="N519" s="26"/>
      <c r="O519" s="1"/>
      <c r="P519" s="1"/>
      <c r="Q519" s="1"/>
      <c r="R519" s="1"/>
      <c r="S519" s="1"/>
      <c r="T519" s="1"/>
      <c r="U519" s="1"/>
      <c r="V519" s="1"/>
      <c r="W519" s="1"/>
      <c r="X519" s="1"/>
    </row>
    <row r="520" spans="1:24">
      <c r="A520" s="1"/>
      <c r="B520" s="94"/>
      <c r="C520" s="1"/>
      <c r="D520" s="1"/>
      <c r="E520" s="1"/>
      <c r="F520" s="94"/>
      <c r="G520" s="94"/>
      <c r="H520" s="94"/>
      <c r="I520" s="94"/>
      <c r="J520" s="94"/>
      <c r="K520" s="94"/>
      <c r="L520" s="94"/>
      <c r="M520" s="26"/>
      <c r="N520" s="26"/>
      <c r="O520" s="1"/>
      <c r="P520" s="1"/>
      <c r="Q520" s="1"/>
      <c r="R520" s="1"/>
      <c r="S520" s="1"/>
      <c r="T520" s="1"/>
      <c r="U520" s="1"/>
      <c r="V520" s="1"/>
      <c r="W520" s="1"/>
      <c r="X520" s="1"/>
    </row>
    <row r="521" spans="1:24">
      <c r="A521" s="1"/>
      <c r="B521" s="94"/>
      <c r="C521" s="1"/>
      <c r="D521" s="1"/>
      <c r="E521" s="1"/>
      <c r="F521" s="94"/>
      <c r="G521" s="94"/>
      <c r="H521" s="94"/>
      <c r="I521" s="94"/>
      <c r="J521" s="94"/>
      <c r="K521" s="94"/>
      <c r="L521" s="94"/>
      <c r="M521" s="26"/>
      <c r="N521" s="26"/>
      <c r="O521" s="1"/>
      <c r="P521" s="1"/>
      <c r="Q521" s="1"/>
      <c r="R521" s="1"/>
      <c r="S521" s="1"/>
      <c r="T521" s="1"/>
      <c r="U521" s="1"/>
      <c r="V521" s="1"/>
      <c r="W521" s="1"/>
      <c r="X521" s="1"/>
    </row>
    <row r="522" spans="1:24">
      <c r="A522" s="1"/>
      <c r="B522" s="94"/>
      <c r="C522" s="1"/>
      <c r="D522" s="1"/>
      <c r="E522" s="1"/>
      <c r="F522" s="94"/>
      <c r="G522" s="94"/>
      <c r="H522" s="94"/>
      <c r="I522" s="94"/>
      <c r="J522" s="94"/>
      <c r="K522" s="94"/>
      <c r="L522" s="94"/>
      <c r="M522" s="26"/>
      <c r="N522" s="26"/>
      <c r="O522" s="1"/>
      <c r="P522" s="1"/>
      <c r="Q522" s="1"/>
      <c r="R522" s="1"/>
      <c r="S522" s="1"/>
      <c r="T522" s="1"/>
      <c r="U522" s="1"/>
      <c r="V522" s="1"/>
      <c r="W522" s="1"/>
      <c r="X522" s="1"/>
    </row>
    <row r="523" spans="1:24">
      <c r="A523" s="1"/>
      <c r="B523" s="93"/>
      <c r="C523" s="1"/>
      <c r="D523" s="1"/>
      <c r="E523" s="1"/>
      <c r="F523" s="93"/>
      <c r="G523" s="93"/>
      <c r="H523" s="93"/>
      <c r="I523" s="93"/>
      <c r="J523" s="93"/>
      <c r="K523" s="93"/>
      <c r="L523" s="93"/>
      <c r="M523" s="26"/>
      <c r="N523" s="26"/>
      <c r="O523" s="1"/>
      <c r="P523" s="1"/>
      <c r="Q523" s="1"/>
      <c r="R523" s="1"/>
      <c r="S523" s="1"/>
      <c r="T523" s="1"/>
      <c r="U523" s="1"/>
      <c r="V523" s="1"/>
      <c r="W523" s="1"/>
      <c r="X523" s="1"/>
    </row>
    <row r="524" spans="1:24">
      <c r="A524" s="1"/>
      <c r="B524" s="94"/>
      <c r="C524" s="1"/>
      <c r="D524" s="1"/>
      <c r="E524" s="1"/>
      <c r="F524" s="94"/>
      <c r="G524" s="94"/>
      <c r="H524" s="94"/>
      <c r="I524" s="94"/>
      <c r="J524" s="94"/>
      <c r="K524" s="94"/>
      <c r="L524" s="94"/>
      <c r="M524" s="26"/>
      <c r="N524" s="26"/>
      <c r="O524" s="1"/>
      <c r="P524" s="1"/>
      <c r="Q524" s="1"/>
      <c r="R524" s="1"/>
      <c r="S524" s="1"/>
      <c r="T524" s="1"/>
      <c r="U524" s="1"/>
      <c r="V524" s="1"/>
      <c r="W524" s="1"/>
      <c r="X524" s="1"/>
    </row>
    <row r="525" spans="1:24">
      <c r="A525" s="1"/>
      <c r="B525" s="94"/>
      <c r="C525" s="1"/>
      <c r="D525" s="1"/>
      <c r="E525" s="1"/>
      <c r="F525" s="94"/>
      <c r="G525" s="94"/>
      <c r="H525" s="94"/>
      <c r="I525" s="94"/>
      <c r="J525" s="94"/>
      <c r="K525" s="94"/>
      <c r="L525" s="94"/>
      <c r="M525" s="26"/>
      <c r="N525" s="26"/>
      <c r="O525" s="1"/>
      <c r="P525" s="1"/>
      <c r="Q525" s="1"/>
      <c r="R525" s="1"/>
      <c r="S525" s="1"/>
      <c r="T525" s="1"/>
      <c r="U525" s="1"/>
      <c r="V525" s="1"/>
      <c r="W525" s="1"/>
      <c r="X525" s="1"/>
    </row>
    <row r="526" spans="1:24">
      <c r="A526" s="1"/>
      <c r="B526" s="94"/>
      <c r="C526" s="1"/>
      <c r="D526" s="1"/>
      <c r="E526" s="1"/>
      <c r="F526" s="94"/>
      <c r="G526" s="94"/>
      <c r="H526" s="94"/>
      <c r="I526" s="94"/>
      <c r="J526" s="94"/>
      <c r="K526" s="94"/>
      <c r="L526" s="94"/>
      <c r="M526" s="26"/>
      <c r="N526" s="26"/>
      <c r="O526" s="1"/>
      <c r="P526" s="1"/>
      <c r="Q526" s="1"/>
      <c r="R526" s="1"/>
      <c r="S526" s="1"/>
      <c r="T526" s="1"/>
      <c r="U526" s="1"/>
      <c r="V526" s="1"/>
      <c r="W526" s="1"/>
      <c r="X526" s="1"/>
    </row>
    <row r="527" spans="1:24">
      <c r="A527" s="1"/>
      <c r="B527" s="94"/>
      <c r="C527" s="1"/>
      <c r="D527" s="1"/>
      <c r="E527" s="1"/>
      <c r="F527" s="94"/>
      <c r="G527" s="94"/>
      <c r="H527" s="94"/>
      <c r="I527" s="94"/>
      <c r="J527" s="94"/>
      <c r="K527" s="94"/>
      <c r="L527" s="94"/>
      <c r="M527" s="26"/>
      <c r="N527" s="26"/>
      <c r="O527" s="1"/>
      <c r="P527" s="1"/>
      <c r="Q527" s="1"/>
      <c r="R527" s="1"/>
      <c r="S527" s="1"/>
      <c r="T527" s="1"/>
      <c r="U527" s="1"/>
      <c r="V527" s="1"/>
      <c r="W527" s="1"/>
      <c r="X527" s="1"/>
    </row>
    <row r="528" spans="1:24">
      <c r="A528" s="1"/>
      <c r="B528" s="93"/>
      <c r="C528" s="1"/>
      <c r="D528" s="1"/>
      <c r="E528" s="1"/>
      <c r="F528" s="93"/>
      <c r="G528" s="93"/>
      <c r="H528" s="93"/>
      <c r="I528" s="93"/>
      <c r="J528" s="93"/>
      <c r="K528" s="93"/>
      <c r="L528" s="93"/>
      <c r="M528" s="26"/>
      <c r="N528" s="26"/>
      <c r="O528" s="1"/>
      <c r="P528" s="1"/>
      <c r="Q528" s="1"/>
      <c r="R528" s="1"/>
      <c r="S528" s="1"/>
      <c r="T528" s="1"/>
      <c r="U528" s="1"/>
      <c r="V528" s="1"/>
      <c r="W528" s="1"/>
      <c r="X528" s="1"/>
    </row>
    <row r="529" spans="1:24">
      <c r="A529" s="1"/>
      <c r="B529" s="94"/>
      <c r="C529" s="1"/>
      <c r="D529" s="1"/>
      <c r="E529" s="1"/>
      <c r="F529" s="94"/>
      <c r="G529" s="94"/>
      <c r="H529" s="94"/>
      <c r="I529" s="94"/>
      <c r="J529" s="94"/>
      <c r="K529" s="94"/>
      <c r="L529" s="94"/>
      <c r="M529" s="26"/>
      <c r="N529" s="26"/>
      <c r="O529" s="1"/>
      <c r="P529" s="1"/>
      <c r="Q529" s="1"/>
      <c r="R529" s="1"/>
      <c r="S529" s="1"/>
      <c r="T529" s="1"/>
      <c r="U529" s="1"/>
      <c r="V529" s="1"/>
      <c r="W529" s="1"/>
      <c r="X529" s="1"/>
    </row>
    <row r="530" spans="1:24">
      <c r="A530" s="1"/>
      <c r="B530" s="94"/>
      <c r="C530" s="1"/>
      <c r="D530" s="1"/>
      <c r="E530" s="1"/>
      <c r="F530" s="94"/>
      <c r="G530" s="94"/>
      <c r="H530" s="94"/>
      <c r="I530" s="94"/>
      <c r="J530" s="94"/>
      <c r="K530" s="94"/>
      <c r="L530" s="94"/>
      <c r="M530" s="26"/>
      <c r="N530" s="26"/>
      <c r="O530" s="1"/>
      <c r="P530" s="1"/>
      <c r="Q530" s="1"/>
      <c r="R530" s="1"/>
      <c r="S530" s="1"/>
      <c r="T530" s="1"/>
      <c r="U530" s="1"/>
      <c r="V530" s="1"/>
      <c r="W530" s="1"/>
      <c r="X530" s="1"/>
    </row>
    <row r="531" spans="1:24">
      <c r="A531" s="1"/>
      <c r="B531" s="94"/>
      <c r="C531" s="1"/>
      <c r="D531" s="1"/>
      <c r="E531" s="1"/>
      <c r="F531" s="94"/>
      <c r="G531" s="94"/>
      <c r="H531" s="94"/>
      <c r="I531" s="94"/>
      <c r="J531" s="94"/>
      <c r="K531" s="94"/>
      <c r="L531" s="94"/>
      <c r="M531" s="26"/>
      <c r="N531" s="26"/>
      <c r="O531" s="1"/>
      <c r="P531" s="1"/>
      <c r="Q531" s="1"/>
      <c r="R531" s="1"/>
      <c r="S531" s="1"/>
      <c r="T531" s="1"/>
      <c r="U531" s="1"/>
      <c r="V531" s="1"/>
      <c r="W531" s="1"/>
      <c r="X531" s="1"/>
    </row>
    <row r="532" spans="1:24">
      <c r="A532" s="1"/>
      <c r="B532" s="94"/>
      <c r="C532" s="1"/>
      <c r="D532" s="1"/>
      <c r="E532" s="1"/>
      <c r="F532" s="94"/>
      <c r="G532" s="94"/>
      <c r="H532" s="94"/>
      <c r="I532" s="94"/>
      <c r="J532" s="94"/>
      <c r="K532" s="94"/>
      <c r="L532" s="94"/>
      <c r="M532" s="26"/>
      <c r="N532" s="26"/>
      <c r="O532" s="1"/>
      <c r="P532" s="1"/>
      <c r="Q532" s="1"/>
      <c r="R532" s="1"/>
      <c r="S532" s="1"/>
      <c r="T532" s="1"/>
      <c r="U532" s="1"/>
      <c r="V532" s="1"/>
      <c r="W532" s="1"/>
      <c r="X532" s="1"/>
    </row>
    <row r="533" spans="1:24">
      <c r="A533" s="1"/>
      <c r="B533" s="93"/>
      <c r="C533" s="1"/>
      <c r="D533" s="1"/>
      <c r="E533" s="1"/>
      <c r="F533" s="93"/>
      <c r="G533" s="93"/>
      <c r="H533" s="93"/>
      <c r="I533" s="93"/>
      <c r="J533" s="93"/>
      <c r="K533" s="93"/>
      <c r="L533" s="93"/>
      <c r="M533" s="26"/>
      <c r="N533" s="26"/>
      <c r="O533" s="1"/>
      <c r="P533" s="1"/>
      <c r="Q533" s="1"/>
      <c r="R533" s="1"/>
      <c r="S533" s="1"/>
      <c r="T533" s="1"/>
      <c r="U533" s="1"/>
      <c r="V533" s="1"/>
      <c r="W533" s="1"/>
      <c r="X533" s="1"/>
    </row>
    <row r="534" spans="1:24">
      <c r="A534" s="1"/>
      <c r="B534" s="94"/>
      <c r="C534" s="1"/>
      <c r="D534" s="1"/>
      <c r="E534" s="1"/>
      <c r="F534" s="94"/>
      <c r="G534" s="94"/>
      <c r="H534" s="94"/>
      <c r="I534" s="94"/>
      <c r="J534" s="94"/>
      <c r="K534" s="94"/>
      <c r="L534" s="94"/>
      <c r="M534" s="26"/>
      <c r="N534" s="26"/>
      <c r="O534" s="1"/>
      <c r="P534" s="1"/>
      <c r="Q534" s="1"/>
      <c r="R534" s="1"/>
      <c r="S534" s="1"/>
      <c r="T534" s="1"/>
      <c r="U534" s="1"/>
      <c r="V534" s="1"/>
      <c r="W534" s="1"/>
      <c r="X534" s="1"/>
    </row>
    <row r="535" spans="1:24">
      <c r="A535" s="1"/>
      <c r="B535" s="94"/>
      <c r="C535" s="1"/>
      <c r="D535" s="1"/>
      <c r="E535" s="1"/>
      <c r="F535" s="94"/>
      <c r="G535" s="94"/>
      <c r="H535" s="94"/>
      <c r="I535" s="94"/>
      <c r="J535" s="94"/>
      <c r="K535" s="94"/>
      <c r="L535" s="94"/>
      <c r="M535" s="26"/>
      <c r="N535" s="26"/>
      <c r="O535" s="1"/>
      <c r="P535" s="1"/>
      <c r="Q535" s="1"/>
      <c r="R535" s="1"/>
      <c r="S535" s="1"/>
      <c r="T535" s="1"/>
      <c r="U535" s="1"/>
      <c r="V535" s="1"/>
      <c r="W535" s="1"/>
      <c r="X535" s="1"/>
    </row>
    <row r="536" spans="1:24">
      <c r="A536" s="1"/>
      <c r="B536" s="94"/>
      <c r="C536" s="1"/>
      <c r="D536" s="1"/>
      <c r="E536" s="1"/>
      <c r="F536" s="94"/>
      <c r="G536" s="94"/>
      <c r="H536" s="94"/>
      <c r="I536" s="94"/>
      <c r="J536" s="94"/>
      <c r="K536" s="94"/>
      <c r="L536" s="94"/>
      <c r="M536" s="26"/>
      <c r="N536" s="26"/>
      <c r="O536" s="1"/>
      <c r="P536" s="1"/>
      <c r="Q536" s="1"/>
      <c r="R536" s="1"/>
      <c r="S536" s="1"/>
      <c r="T536" s="1"/>
      <c r="U536" s="1"/>
      <c r="V536" s="1"/>
      <c r="W536" s="1"/>
      <c r="X536" s="1"/>
    </row>
    <row r="537" spans="1:24">
      <c r="A537" s="1"/>
      <c r="B537" s="94"/>
      <c r="C537" s="1"/>
      <c r="D537" s="1"/>
      <c r="E537" s="1"/>
      <c r="F537" s="94"/>
      <c r="G537" s="94"/>
      <c r="H537" s="94"/>
      <c r="I537" s="94"/>
      <c r="J537" s="94"/>
      <c r="K537" s="94"/>
      <c r="L537" s="94"/>
      <c r="M537" s="26"/>
      <c r="N537" s="26"/>
      <c r="O537" s="1"/>
      <c r="P537" s="1"/>
      <c r="Q537" s="1"/>
      <c r="R537" s="1"/>
      <c r="S537" s="1"/>
      <c r="T537" s="1"/>
      <c r="U537" s="1"/>
      <c r="V537" s="1"/>
      <c r="W537" s="1"/>
      <c r="X537" s="1"/>
    </row>
    <row r="538" spans="1:24">
      <c r="A538" s="1"/>
      <c r="B538" s="93"/>
      <c r="C538" s="1"/>
      <c r="D538" s="1"/>
      <c r="E538" s="1"/>
      <c r="F538" s="93"/>
      <c r="G538" s="93"/>
      <c r="H538" s="93"/>
      <c r="I538" s="93"/>
      <c r="J538" s="93"/>
      <c r="K538" s="93"/>
      <c r="L538" s="93"/>
      <c r="M538" s="26"/>
      <c r="N538" s="26"/>
      <c r="O538" s="1"/>
      <c r="P538" s="1"/>
      <c r="Q538" s="1"/>
      <c r="R538" s="1"/>
      <c r="S538" s="1"/>
      <c r="T538" s="1"/>
      <c r="U538" s="1"/>
      <c r="V538" s="1"/>
      <c r="W538" s="1"/>
      <c r="X538" s="1"/>
    </row>
    <row r="539" spans="1:24">
      <c r="A539" s="1"/>
      <c r="B539" s="94"/>
      <c r="C539" s="1"/>
      <c r="D539" s="1"/>
      <c r="E539" s="1"/>
      <c r="F539" s="94"/>
      <c r="G539" s="94"/>
      <c r="H539" s="94"/>
      <c r="I539" s="94"/>
      <c r="J539" s="94"/>
      <c r="K539" s="94"/>
      <c r="L539" s="94"/>
      <c r="M539" s="26"/>
      <c r="N539" s="26"/>
      <c r="O539" s="1"/>
      <c r="P539" s="1"/>
      <c r="Q539" s="1"/>
      <c r="R539" s="1"/>
      <c r="S539" s="1"/>
      <c r="T539" s="1"/>
      <c r="U539" s="1"/>
      <c r="V539" s="1"/>
      <c r="W539" s="1"/>
      <c r="X539" s="1"/>
    </row>
    <row r="540" spans="1:24">
      <c r="A540" s="1"/>
      <c r="B540" s="94"/>
      <c r="C540" s="1"/>
      <c r="D540" s="1"/>
      <c r="E540" s="1"/>
      <c r="F540" s="94"/>
      <c r="G540" s="94"/>
      <c r="H540" s="94"/>
      <c r="I540" s="94"/>
      <c r="J540" s="94"/>
      <c r="K540" s="94"/>
      <c r="L540" s="94"/>
      <c r="M540" s="26"/>
      <c r="N540" s="26"/>
      <c r="O540" s="1"/>
      <c r="P540" s="1"/>
      <c r="Q540" s="1"/>
      <c r="R540" s="1"/>
      <c r="S540" s="1"/>
      <c r="T540" s="1"/>
      <c r="U540" s="1"/>
      <c r="V540" s="1"/>
      <c r="W540" s="1"/>
      <c r="X540" s="1"/>
    </row>
    <row r="541" spans="1:24">
      <c r="A541" s="1"/>
      <c r="B541" s="94"/>
      <c r="C541" s="1"/>
      <c r="D541" s="1"/>
      <c r="E541" s="1"/>
      <c r="F541" s="94"/>
      <c r="G541" s="94"/>
      <c r="H541" s="94"/>
      <c r="I541" s="94"/>
      <c r="J541" s="94"/>
      <c r="K541" s="94"/>
      <c r="L541" s="94"/>
      <c r="M541" s="26"/>
      <c r="N541" s="26"/>
      <c r="O541" s="1"/>
      <c r="P541" s="1"/>
      <c r="Q541" s="1"/>
      <c r="R541" s="1"/>
      <c r="S541" s="1"/>
      <c r="T541" s="1"/>
      <c r="U541" s="1"/>
      <c r="V541" s="1"/>
      <c r="W541" s="1"/>
      <c r="X541" s="1"/>
    </row>
    <row r="542" spans="1:24">
      <c r="A542" s="1"/>
      <c r="B542" s="94"/>
      <c r="C542" s="1"/>
      <c r="D542" s="1"/>
      <c r="E542" s="1"/>
      <c r="F542" s="94"/>
      <c r="G542" s="94"/>
      <c r="H542" s="94"/>
      <c r="I542" s="94"/>
      <c r="J542" s="94"/>
      <c r="K542" s="94"/>
      <c r="L542" s="94"/>
      <c r="M542" s="26"/>
      <c r="N542" s="26"/>
      <c r="O542" s="1"/>
      <c r="P542" s="1"/>
      <c r="Q542" s="1"/>
      <c r="R542" s="1"/>
      <c r="S542" s="1"/>
      <c r="T542" s="1"/>
      <c r="U542" s="1"/>
      <c r="V542" s="1"/>
      <c r="W542" s="1"/>
      <c r="X542" s="1"/>
    </row>
    <row r="543" spans="1:24">
      <c r="A543" s="1"/>
      <c r="B543" s="93"/>
      <c r="C543" s="1"/>
      <c r="D543" s="1"/>
      <c r="E543" s="1"/>
      <c r="F543" s="93"/>
      <c r="G543" s="93"/>
      <c r="H543" s="93"/>
      <c r="I543" s="93"/>
      <c r="J543" s="93"/>
      <c r="K543" s="93"/>
      <c r="L543" s="93"/>
      <c r="M543" s="26"/>
      <c r="N543" s="26"/>
      <c r="O543" s="1"/>
      <c r="P543" s="1"/>
      <c r="Q543" s="1"/>
      <c r="R543" s="1"/>
      <c r="S543" s="1"/>
      <c r="T543" s="1"/>
      <c r="U543" s="1"/>
      <c r="V543" s="1"/>
      <c r="W543" s="1"/>
      <c r="X543" s="1"/>
    </row>
    <row r="544" spans="1:24">
      <c r="A544" s="1"/>
      <c r="B544" s="94"/>
      <c r="C544" s="1"/>
      <c r="D544" s="1"/>
      <c r="E544" s="1"/>
      <c r="F544" s="94"/>
      <c r="G544" s="94"/>
      <c r="H544" s="94"/>
      <c r="I544" s="94"/>
      <c r="J544" s="94"/>
      <c r="K544" s="94"/>
      <c r="L544" s="94"/>
      <c r="M544" s="26"/>
      <c r="N544" s="26"/>
      <c r="O544" s="1"/>
      <c r="P544" s="1"/>
      <c r="Q544" s="1"/>
      <c r="R544" s="1"/>
      <c r="S544" s="1"/>
      <c r="T544" s="1"/>
      <c r="U544" s="1"/>
      <c r="V544" s="1"/>
      <c r="W544" s="1"/>
      <c r="X544" s="1"/>
    </row>
    <row r="545" spans="1:24">
      <c r="A545" s="1"/>
      <c r="B545" s="94"/>
      <c r="C545" s="1"/>
      <c r="D545" s="1"/>
      <c r="E545" s="1"/>
      <c r="F545" s="94"/>
      <c r="G545" s="94"/>
      <c r="H545" s="94"/>
      <c r="I545" s="94"/>
      <c r="J545" s="94"/>
      <c r="K545" s="94"/>
      <c r="L545" s="94"/>
      <c r="M545" s="26"/>
      <c r="N545" s="26"/>
      <c r="O545" s="1"/>
      <c r="P545" s="1"/>
      <c r="Q545" s="1"/>
      <c r="R545" s="1"/>
      <c r="S545" s="1"/>
      <c r="T545" s="1"/>
      <c r="U545" s="1"/>
      <c r="V545" s="1"/>
      <c r="W545" s="1"/>
      <c r="X545" s="1"/>
    </row>
    <row r="546" spans="1:24">
      <c r="A546" s="1"/>
      <c r="B546" s="94"/>
      <c r="C546" s="1"/>
      <c r="D546" s="1"/>
      <c r="E546" s="1"/>
      <c r="F546" s="94"/>
      <c r="G546" s="94"/>
      <c r="H546" s="94"/>
      <c r="I546" s="94"/>
      <c r="J546" s="94"/>
      <c r="K546" s="94"/>
      <c r="L546" s="94"/>
      <c r="M546" s="26"/>
      <c r="N546" s="26"/>
      <c r="O546" s="1"/>
      <c r="P546" s="1"/>
      <c r="Q546" s="1"/>
      <c r="R546" s="1"/>
      <c r="S546" s="1"/>
      <c r="T546" s="1"/>
      <c r="U546" s="1"/>
      <c r="V546" s="1"/>
      <c r="W546" s="1"/>
      <c r="X546" s="1"/>
    </row>
    <row r="547" spans="1:24">
      <c r="A547" s="1"/>
      <c r="B547" s="94"/>
      <c r="C547" s="1"/>
      <c r="D547" s="1"/>
      <c r="E547" s="1"/>
      <c r="F547" s="94"/>
      <c r="G547" s="94"/>
      <c r="H547" s="94"/>
      <c r="I547" s="94"/>
      <c r="J547" s="94"/>
      <c r="K547" s="94"/>
      <c r="L547" s="94"/>
      <c r="M547" s="26"/>
      <c r="N547" s="26"/>
      <c r="O547" s="1"/>
      <c r="P547" s="1"/>
      <c r="Q547" s="1"/>
      <c r="R547" s="1"/>
      <c r="S547" s="1"/>
      <c r="T547" s="1"/>
      <c r="U547" s="1"/>
      <c r="V547" s="1"/>
      <c r="W547" s="1"/>
      <c r="X547" s="1"/>
    </row>
    <row r="548" spans="1:24">
      <c r="A548" s="1"/>
      <c r="M548" s="26"/>
      <c r="N548" s="26"/>
      <c r="P548" s="1"/>
      <c r="Q548" s="1"/>
      <c r="R548" s="1"/>
      <c r="S548" s="1"/>
      <c r="T548" s="1"/>
      <c r="U548" s="1"/>
      <c r="V548" s="1"/>
      <c r="W548" s="1"/>
      <c r="X548" s="1"/>
    </row>
    <row r="549" spans="1:24">
      <c r="A549" s="1"/>
      <c r="M549" s="26"/>
      <c r="N549" s="26"/>
      <c r="P549" s="1"/>
      <c r="Q549" s="1"/>
      <c r="R549" s="1"/>
      <c r="S549" s="1"/>
      <c r="T549" s="1"/>
      <c r="U549" s="1"/>
      <c r="V549" s="1"/>
      <c r="W549" s="1"/>
      <c r="X549" s="1"/>
    </row>
    <row r="550" spans="1:24">
      <c r="A550" s="1"/>
      <c r="M550" s="26"/>
      <c r="N550" s="26"/>
      <c r="P550" s="1"/>
      <c r="Q550" s="1"/>
      <c r="R550" s="1"/>
      <c r="S550" s="1"/>
      <c r="T550" s="1"/>
      <c r="U550" s="1"/>
      <c r="V550" s="1"/>
      <c r="W550" s="1"/>
      <c r="X550" s="1"/>
    </row>
    <row r="551" spans="1:24">
      <c r="A551" s="1"/>
      <c r="M551" s="26"/>
      <c r="N551" s="26"/>
      <c r="P551" s="1"/>
      <c r="Q551" s="1"/>
      <c r="R551" s="1"/>
      <c r="S551" s="1"/>
      <c r="T551" s="1"/>
      <c r="U551" s="1"/>
      <c r="V551" s="1"/>
      <c r="W551" s="1"/>
      <c r="X551" s="1"/>
    </row>
    <row r="552" spans="1:24">
      <c r="A552" s="1"/>
      <c r="M552" s="26"/>
      <c r="N552" s="26"/>
      <c r="P552" s="1"/>
      <c r="Q552" s="1"/>
      <c r="R552" s="1"/>
      <c r="S552" s="1"/>
      <c r="T552" s="1"/>
      <c r="U552" s="1"/>
      <c r="V552" s="1"/>
      <c r="W552" s="1"/>
      <c r="X552" s="1"/>
    </row>
    <row r="553" spans="1:24">
      <c r="A553" s="1"/>
      <c r="M553" s="26"/>
      <c r="N553" s="26"/>
      <c r="P553" s="1"/>
      <c r="Q553" s="1"/>
      <c r="R553" s="1"/>
      <c r="S553" s="1"/>
      <c r="T553" s="1"/>
      <c r="U553" s="1"/>
      <c r="V553" s="1"/>
      <c r="W553" s="1"/>
      <c r="X553" s="1"/>
    </row>
    <row r="554" spans="1:24">
      <c r="A554" s="1"/>
      <c r="M554" s="26"/>
      <c r="N554" s="26"/>
      <c r="P554" s="1"/>
      <c r="Q554" s="1"/>
      <c r="R554" s="1"/>
      <c r="S554" s="1"/>
      <c r="T554" s="1"/>
      <c r="U554" s="1"/>
      <c r="V554" s="1"/>
      <c r="W554" s="1"/>
      <c r="X554" s="1"/>
    </row>
    <row r="555" spans="1:24">
      <c r="A555" s="1"/>
      <c r="M555" s="26"/>
      <c r="N555" s="26"/>
      <c r="P555" s="1"/>
      <c r="Q555" s="1"/>
      <c r="R555" s="1"/>
      <c r="S555" s="1"/>
      <c r="T555" s="1"/>
      <c r="U555" s="1"/>
      <c r="V555" s="1"/>
      <c r="W555" s="1"/>
      <c r="X555" s="1"/>
    </row>
    <row r="556" spans="1:24">
      <c r="A556" s="1"/>
      <c r="M556" s="26"/>
      <c r="N556" s="26"/>
      <c r="P556" s="1"/>
      <c r="Q556" s="1"/>
      <c r="R556" s="1"/>
      <c r="S556" s="1"/>
      <c r="T556" s="1"/>
      <c r="U556" s="1"/>
      <c r="V556" s="1"/>
      <c r="W556" s="1"/>
      <c r="X556" s="1"/>
    </row>
    <row r="557" spans="1:24">
      <c r="A557" s="1"/>
      <c r="M557" s="26"/>
      <c r="N557" s="26"/>
      <c r="P557" s="1"/>
      <c r="Q557" s="1"/>
      <c r="R557" s="1"/>
      <c r="S557" s="1"/>
      <c r="T557" s="1"/>
      <c r="U557" s="1"/>
      <c r="V557" s="1"/>
      <c r="W557" s="1"/>
      <c r="X557" s="1"/>
    </row>
    <row r="558" spans="1:24">
      <c r="A558" s="1"/>
      <c r="M558" s="26"/>
      <c r="N558" s="26"/>
      <c r="P558" s="1"/>
      <c r="Q558" s="1"/>
      <c r="R558" s="1"/>
      <c r="S558" s="1"/>
      <c r="T558" s="1"/>
      <c r="U558" s="1"/>
      <c r="V558" s="1"/>
      <c r="W558" s="1"/>
      <c r="X558" s="1"/>
    </row>
    <row r="559" spans="1:24">
      <c r="A559" s="1"/>
      <c r="M559" s="26"/>
      <c r="N559" s="26"/>
      <c r="P559" s="1"/>
      <c r="Q559" s="1"/>
      <c r="R559" s="1"/>
      <c r="S559" s="1"/>
      <c r="T559" s="1"/>
      <c r="U559" s="1"/>
      <c r="V559" s="1"/>
      <c r="W559" s="1"/>
      <c r="X559" s="1"/>
    </row>
    <row r="560" spans="1:24">
      <c r="A560" s="1"/>
      <c r="M560" s="26"/>
      <c r="N560" s="26"/>
      <c r="P560" s="1"/>
      <c r="Q560" s="1"/>
      <c r="R560" s="1"/>
      <c r="S560" s="1"/>
      <c r="T560" s="1"/>
      <c r="U560" s="1"/>
      <c r="V560" s="1"/>
      <c r="W560" s="1"/>
      <c r="X560" s="1"/>
    </row>
    <row r="561" spans="1:24">
      <c r="A561" s="1"/>
      <c r="M561" s="26"/>
      <c r="N561" s="26"/>
      <c r="P561" s="1"/>
      <c r="Q561" s="1"/>
      <c r="R561" s="1"/>
      <c r="S561" s="1"/>
      <c r="T561" s="1"/>
      <c r="U561" s="1"/>
      <c r="V561" s="1"/>
      <c r="W561" s="1"/>
      <c r="X561" s="1"/>
    </row>
    <row r="562" spans="1:24">
      <c r="A562" s="1"/>
      <c r="M562" s="26"/>
      <c r="N562" s="26"/>
      <c r="P562" s="1"/>
      <c r="Q562" s="1"/>
      <c r="R562" s="1"/>
      <c r="S562" s="1"/>
      <c r="T562" s="1"/>
      <c r="U562" s="1"/>
      <c r="V562" s="1"/>
      <c r="W562" s="1"/>
      <c r="X562" s="1"/>
    </row>
    <row r="563" spans="1:24">
      <c r="A563" s="1"/>
      <c r="M563" s="26"/>
      <c r="N563" s="26"/>
      <c r="P563" s="1"/>
      <c r="Q563" s="1"/>
      <c r="R563" s="1"/>
      <c r="S563" s="1"/>
      <c r="T563" s="1"/>
      <c r="U563" s="1"/>
      <c r="V563" s="1"/>
      <c r="W563" s="1"/>
      <c r="X563" s="1"/>
    </row>
    <row r="564" spans="1:24">
      <c r="A564" s="1"/>
      <c r="M564" s="26"/>
      <c r="N564" s="26"/>
      <c r="P564" s="1"/>
      <c r="Q564" s="1"/>
      <c r="R564" s="1"/>
      <c r="S564" s="1"/>
      <c r="T564" s="1"/>
      <c r="U564" s="1"/>
      <c r="V564" s="1"/>
      <c r="W564" s="1"/>
      <c r="X564" s="1"/>
    </row>
    <row r="565" spans="1:24">
      <c r="A565" s="1"/>
      <c r="M565" s="26"/>
      <c r="N565" s="26"/>
      <c r="P565" s="1"/>
      <c r="Q565" s="1"/>
      <c r="R565" s="1"/>
      <c r="S565" s="1"/>
      <c r="T565" s="1"/>
      <c r="U565" s="1"/>
      <c r="V565" s="1"/>
      <c r="W565" s="1"/>
      <c r="X565" s="1"/>
    </row>
    <row r="566" spans="1:24">
      <c r="A566" s="1"/>
      <c r="M566" s="26"/>
      <c r="N566" s="26"/>
      <c r="P566" s="1"/>
      <c r="Q566" s="1"/>
      <c r="R566" s="1"/>
      <c r="S566" s="1"/>
      <c r="T566" s="1"/>
      <c r="U566" s="1"/>
      <c r="V566" s="1"/>
      <c r="W566" s="1"/>
      <c r="X566" s="1"/>
    </row>
    <row r="567" spans="1:24">
      <c r="A567" s="1"/>
      <c r="M567" s="26"/>
      <c r="N567" s="26"/>
      <c r="P567" s="1"/>
      <c r="Q567" s="1"/>
      <c r="R567" s="1"/>
      <c r="S567" s="1"/>
      <c r="T567" s="1"/>
      <c r="U567" s="1"/>
      <c r="V567" s="1"/>
      <c r="W567" s="1"/>
      <c r="X567" s="1"/>
    </row>
    <row r="568" spans="1:24">
      <c r="A568" s="1"/>
      <c r="M568" s="26"/>
      <c r="N568" s="26"/>
      <c r="P568" s="1"/>
      <c r="Q568" s="1"/>
      <c r="R568" s="1"/>
      <c r="S568" s="1"/>
      <c r="T568" s="1"/>
      <c r="U568" s="1"/>
      <c r="V568" s="1"/>
      <c r="W568" s="1"/>
      <c r="X568" s="1"/>
    </row>
    <row r="569" spans="1:24">
      <c r="A569" s="1"/>
      <c r="M569" s="26"/>
      <c r="N569" s="26"/>
      <c r="P569" s="1"/>
      <c r="Q569" s="1"/>
      <c r="R569" s="1"/>
      <c r="S569" s="1"/>
      <c r="T569" s="1"/>
      <c r="U569" s="1"/>
      <c r="V569" s="1"/>
      <c r="W569" s="1"/>
      <c r="X569" s="1"/>
    </row>
    <row r="570" spans="1:24">
      <c r="A570" s="1"/>
      <c r="M570" s="26"/>
      <c r="N570" s="26"/>
      <c r="P570" s="1"/>
      <c r="Q570" s="1"/>
      <c r="R570" s="1"/>
      <c r="S570" s="1"/>
      <c r="T570" s="1"/>
      <c r="U570" s="1"/>
      <c r="V570" s="1"/>
      <c r="W570" s="1"/>
      <c r="X570" s="1"/>
    </row>
    <row r="571" spans="1:24">
      <c r="A571" s="1"/>
      <c r="M571" s="26"/>
      <c r="N571" s="26"/>
      <c r="P571" s="1"/>
      <c r="Q571" s="1"/>
      <c r="R571" s="1"/>
      <c r="S571" s="1"/>
      <c r="T571" s="1"/>
      <c r="U571" s="1"/>
      <c r="V571" s="1"/>
      <c r="W571" s="1"/>
      <c r="X571" s="1"/>
    </row>
    <row r="572" spans="1:24">
      <c r="A572" s="1"/>
      <c r="M572" s="26"/>
      <c r="N572" s="26"/>
      <c r="P572" s="1"/>
      <c r="Q572" s="1"/>
      <c r="R572" s="1"/>
      <c r="S572" s="1"/>
      <c r="T572" s="1"/>
      <c r="U572" s="1"/>
      <c r="V572" s="1"/>
      <c r="W572" s="1"/>
      <c r="X572" s="1"/>
    </row>
    <row r="573" spans="1:24">
      <c r="A573" s="1"/>
      <c r="M573" s="26"/>
      <c r="N573" s="26"/>
      <c r="P573" s="1"/>
      <c r="Q573" s="1"/>
      <c r="R573" s="1"/>
      <c r="S573" s="1"/>
      <c r="T573" s="1"/>
      <c r="U573" s="1"/>
      <c r="V573" s="1"/>
      <c r="W573" s="1"/>
      <c r="X573" s="1"/>
    </row>
    <row r="574" spans="1:24">
      <c r="A574" s="1"/>
      <c r="M574" s="26"/>
      <c r="N574" s="26"/>
      <c r="P574" s="1"/>
      <c r="Q574" s="1"/>
      <c r="R574" s="1"/>
      <c r="S574" s="1"/>
      <c r="T574" s="1"/>
      <c r="U574" s="1"/>
      <c r="V574" s="1"/>
      <c r="W574" s="1"/>
      <c r="X574" s="1"/>
    </row>
    <row r="575" spans="1:24">
      <c r="A575" s="1"/>
      <c r="M575" s="26"/>
      <c r="N575" s="26"/>
      <c r="P575" s="1"/>
      <c r="Q575" s="1"/>
      <c r="R575" s="1"/>
      <c r="S575" s="1"/>
      <c r="T575" s="1"/>
      <c r="U575" s="1"/>
      <c r="V575" s="1"/>
      <c r="W575" s="1"/>
      <c r="X575" s="1"/>
    </row>
    <row r="576" spans="1:24">
      <c r="A576" s="1"/>
      <c r="M576" s="26"/>
      <c r="N576" s="26"/>
      <c r="P576" s="1"/>
      <c r="Q576" s="1"/>
      <c r="R576" s="1"/>
      <c r="S576" s="1"/>
      <c r="T576" s="1"/>
      <c r="U576" s="1"/>
      <c r="V576" s="1"/>
      <c r="W576" s="1"/>
      <c r="X576" s="1"/>
    </row>
    <row r="577" spans="1:24">
      <c r="A577" s="1"/>
      <c r="M577" s="26"/>
      <c r="N577" s="26"/>
      <c r="P577" s="1"/>
      <c r="Q577" s="1"/>
      <c r="R577" s="1"/>
      <c r="S577" s="1"/>
      <c r="T577" s="1"/>
      <c r="U577" s="1"/>
      <c r="V577" s="1"/>
      <c r="W577" s="1"/>
      <c r="X577" s="1"/>
    </row>
    <row r="578" spans="1:24">
      <c r="A578" s="1"/>
      <c r="M578" s="26"/>
      <c r="N578" s="26"/>
      <c r="P578" s="1"/>
      <c r="Q578" s="1"/>
      <c r="R578" s="1"/>
      <c r="S578" s="1"/>
      <c r="T578" s="1"/>
      <c r="U578" s="1"/>
      <c r="V578" s="1"/>
      <c r="W578" s="1"/>
      <c r="X578" s="1"/>
    </row>
    <row r="579" spans="1:24">
      <c r="A579" s="1"/>
      <c r="M579" s="26"/>
      <c r="N579" s="26"/>
      <c r="P579" s="1"/>
      <c r="Q579" s="1"/>
      <c r="R579" s="1"/>
      <c r="S579" s="1"/>
      <c r="T579" s="1"/>
      <c r="U579" s="1"/>
      <c r="V579" s="1"/>
      <c r="W579" s="1"/>
      <c r="X579" s="1"/>
    </row>
    <row r="580" spans="1:24">
      <c r="A580" s="1"/>
      <c r="M580" s="26"/>
      <c r="N580" s="26"/>
      <c r="P580" s="1"/>
      <c r="Q580" s="1"/>
      <c r="R580" s="1"/>
      <c r="S580" s="1"/>
      <c r="T580" s="1"/>
      <c r="U580" s="1"/>
      <c r="V580" s="1"/>
      <c r="W580" s="1"/>
      <c r="X580" s="1"/>
    </row>
    <row r="581" spans="1:24">
      <c r="A581" s="1"/>
      <c r="M581" s="26"/>
      <c r="N581" s="26"/>
      <c r="P581" s="1"/>
      <c r="Q581" s="1"/>
      <c r="R581" s="1"/>
      <c r="S581" s="1"/>
      <c r="T581" s="1"/>
      <c r="U581" s="1"/>
      <c r="V581" s="1"/>
      <c r="W581" s="1"/>
      <c r="X581" s="1"/>
    </row>
    <row r="582" spans="1:24">
      <c r="A582" s="1"/>
      <c r="M582" s="26"/>
      <c r="N582" s="26"/>
      <c r="P582" s="1"/>
      <c r="Q582" s="1"/>
      <c r="R582" s="1"/>
      <c r="S582" s="1"/>
      <c r="T582" s="1"/>
      <c r="U582" s="1"/>
      <c r="V582" s="1"/>
      <c r="W582" s="1"/>
      <c r="X582" s="1"/>
    </row>
    <row r="583" spans="1:24">
      <c r="A583" s="1"/>
      <c r="M583" s="26"/>
      <c r="N583" s="26"/>
      <c r="P583" s="1"/>
      <c r="Q583" s="1"/>
      <c r="R583" s="1"/>
      <c r="S583" s="1"/>
      <c r="T583" s="1"/>
      <c r="U583" s="1"/>
      <c r="V583" s="1"/>
      <c r="W583" s="1"/>
      <c r="X583" s="1"/>
    </row>
    <row r="584" spans="1:24">
      <c r="A584" s="1"/>
      <c r="M584" s="26"/>
      <c r="N584" s="26"/>
      <c r="P584" s="1"/>
      <c r="Q584" s="1"/>
      <c r="R584" s="1"/>
      <c r="S584" s="1"/>
      <c r="T584" s="1"/>
      <c r="U584" s="1"/>
      <c r="V584" s="1"/>
      <c r="W584" s="1"/>
      <c r="X584" s="1"/>
    </row>
    <row r="585" spans="1:24">
      <c r="A585" s="1"/>
      <c r="M585" s="26"/>
      <c r="N585" s="26"/>
      <c r="P585" s="1"/>
      <c r="Q585" s="1"/>
      <c r="R585" s="1"/>
      <c r="S585" s="1"/>
      <c r="T585" s="1"/>
      <c r="U585" s="1"/>
      <c r="V585" s="1"/>
      <c r="W585" s="1"/>
      <c r="X585" s="1"/>
    </row>
    <row r="586" spans="1:24">
      <c r="A586" s="1"/>
      <c r="M586" s="26"/>
      <c r="N586" s="26"/>
      <c r="P586" s="1"/>
      <c r="Q586" s="1"/>
      <c r="R586" s="1"/>
      <c r="S586" s="1"/>
      <c r="T586" s="1"/>
      <c r="U586" s="1"/>
      <c r="V586" s="1"/>
      <c r="W586" s="1"/>
      <c r="X586" s="1"/>
    </row>
    <row r="587" spans="1:24">
      <c r="A587" s="1"/>
      <c r="M587" s="26"/>
      <c r="N587" s="26"/>
      <c r="P587" s="1"/>
      <c r="Q587" s="1"/>
      <c r="R587" s="1"/>
      <c r="S587" s="1"/>
      <c r="T587" s="1"/>
      <c r="U587" s="1"/>
      <c r="V587" s="1"/>
      <c r="W587" s="1"/>
      <c r="X587" s="1"/>
    </row>
    <row r="588" spans="1:24">
      <c r="A588" s="1"/>
      <c r="M588" s="26"/>
      <c r="N588" s="26"/>
      <c r="P588" s="1"/>
      <c r="Q588" s="1"/>
      <c r="R588" s="1"/>
      <c r="S588" s="1"/>
      <c r="T588" s="1"/>
      <c r="U588" s="1"/>
      <c r="V588" s="1"/>
      <c r="W588" s="1"/>
      <c r="X588" s="1"/>
    </row>
    <row r="589" spans="1:24">
      <c r="A589" s="1"/>
      <c r="M589" s="26"/>
      <c r="N589" s="26"/>
      <c r="P589" s="1"/>
      <c r="Q589" s="1"/>
      <c r="R589" s="1"/>
      <c r="S589" s="1"/>
      <c r="T589" s="1"/>
      <c r="U589" s="1"/>
      <c r="V589" s="1"/>
      <c r="W589" s="1"/>
      <c r="X589" s="1"/>
    </row>
    <row r="590" spans="1:24">
      <c r="A590" s="1"/>
      <c r="M590" s="26"/>
      <c r="N590" s="26"/>
      <c r="P590" s="1"/>
      <c r="Q590" s="1"/>
      <c r="R590" s="1"/>
      <c r="S590" s="1"/>
      <c r="T590" s="1"/>
      <c r="U590" s="1"/>
      <c r="V590" s="1"/>
      <c r="W590" s="1"/>
      <c r="X590" s="1"/>
    </row>
    <row r="591" spans="1:24">
      <c r="A591" s="1"/>
      <c r="M591" s="26"/>
      <c r="N591" s="26"/>
      <c r="P591" s="1"/>
      <c r="Q591" s="1"/>
      <c r="R591" s="1"/>
      <c r="S591" s="1"/>
      <c r="T591" s="1"/>
      <c r="U591" s="1"/>
      <c r="V591" s="1"/>
      <c r="W591" s="1"/>
      <c r="X591" s="1"/>
    </row>
    <row r="592" spans="1:24">
      <c r="A592" s="1"/>
      <c r="M592" s="26"/>
      <c r="N592" s="26"/>
      <c r="P592" s="1"/>
      <c r="Q592" s="1"/>
      <c r="R592" s="1"/>
      <c r="S592" s="1"/>
      <c r="T592" s="1"/>
      <c r="U592" s="1"/>
      <c r="V592" s="1"/>
      <c r="W592" s="1"/>
      <c r="X592" s="1"/>
    </row>
    <row r="593" spans="1:24">
      <c r="A593" s="1"/>
      <c r="M593" s="26"/>
      <c r="N593" s="26"/>
      <c r="P593" s="1"/>
      <c r="Q593" s="1"/>
      <c r="R593" s="1"/>
      <c r="S593" s="1"/>
      <c r="T593" s="1"/>
      <c r="U593" s="1"/>
      <c r="V593" s="1"/>
      <c r="W593" s="1"/>
      <c r="X593" s="1"/>
    </row>
    <row r="594" spans="1:24">
      <c r="A594" s="1"/>
      <c r="M594" s="26"/>
      <c r="N594" s="26"/>
      <c r="P594" s="1"/>
      <c r="Q594" s="1"/>
      <c r="R594" s="1"/>
      <c r="S594" s="1"/>
      <c r="T594" s="1"/>
      <c r="U594" s="1"/>
      <c r="V594" s="1"/>
      <c r="W594" s="1"/>
      <c r="X594" s="1"/>
    </row>
    <row r="595" spans="1:24">
      <c r="A595" s="1"/>
      <c r="M595" s="26"/>
      <c r="N595" s="26"/>
      <c r="P595" s="1"/>
      <c r="Q595" s="1"/>
      <c r="R595" s="1"/>
      <c r="S595" s="1"/>
      <c r="T595" s="1"/>
      <c r="U595" s="1"/>
      <c r="V595" s="1"/>
      <c r="W595" s="1"/>
      <c r="X595" s="1"/>
    </row>
    <row r="596" spans="1:24">
      <c r="A596" s="1"/>
      <c r="M596" s="26"/>
      <c r="N596" s="26"/>
      <c r="P596" s="1"/>
      <c r="Q596" s="1"/>
      <c r="R596" s="1"/>
      <c r="S596" s="1"/>
      <c r="T596" s="1"/>
      <c r="U596" s="1"/>
      <c r="V596" s="1"/>
      <c r="W596" s="1"/>
      <c r="X596" s="1"/>
    </row>
    <row r="597" spans="1:24">
      <c r="A597" s="1"/>
      <c r="M597" s="26"/>
      <c r="N597" s="26"/>
      <c r="P597" s="1"/>
      <c r="Q597" s="1"/>
      <c r="R597" s="1"/>
      <c r="S597" s="1"/>
      <c r="T597" s="1"/>
      <c r="U597" s="1"/>
      <c r="V597" s="1"/>
      <c r="W597" s="1"/>
      <c r="X597" s="1"/>
    </row>
    <row r="598" spans="1:24">
      <c r="A598" s="1"/>
      <c r="M598" s="26"/>
      <c r="N598" s="26"/>
      <c r="P598" s="1"/>
      <c r="Q598" s="1"/>
      <c r="R598" s="1"/>
      <c r="S598" s="1"/>
      <c r="T598" s="1"/>
      <c r="U598" s="1"/>
      <c r="V598" s="1"/>
      <c r="W598" s="1"/>
      <c r="X598" s="1"/>
    </row>
    <row r="599" spans="1:24">
      <c r="A599" s="1"/>
      <c r="M599" s="26"/>
      <c r="N599" s="26"/>
      <c r="P599" s="1"/>
      <c r="Q599" s="1"/>
      <c r="R599" s="1"/>
      <c r="S599" s="1"/>
      <c r="T599" s="1"/>
      <c r="U599" s="1"/>
      <c r="V599" s="1"/>
      <c r="W599" s="1"/>
      <c r="X599" s="1"/>
    </row>
    <row r="600" spans="1:24">
      <c r="A600" s="1"/>
      <c r="M600" s="26"/>
      <c r="N600" s="26"/>
      <c r="P600" s="1"/>
      <c r="Q600" s="1"/>
      <c r="R600" s="1"/>
      <c r="S600" s="1"/>
      <c r="T600" s="1"/>
      <c r="U600" s="1"/>
      <c r="V600" s="1"/>
      <c r="W600" s="1"/>
      <c r="X600" s="1"/>
    </row>
    <row r="601" spans="1:24">
      <c r="A601" s="1"/>
      <c r="M601" s="26"/>
      <c r="N601" s="26"/>
      <c r="P601" s="1"/>
      <c r="Q601" s="1"/>
      <c r="R601" s="1"/>
      <c r="S601" s="1"/>
      <c r="T601" s="1"/>
      <c r="U601" s="1"/>
      <c r="V601" s="1"/>
      <c r="W601" s="1"/>
      <c r="X601" s="1"/>
    </row>
    <row r="602" spans="1:24">
      <c r="A602" s="1"/>
      <c r="M602" s="26"/>
      <c r="N602" s="26"/>
      <c r="P602" s="1"/>
      <c r="Q602" s="1"/>
      <c r="R602" s="1"/>
      <c r="S602" s="1"/>
      <c r="T602" s="1"/>
      <c r="U602" s="1"/>
      <c r="V602" s="1"/>
      <c r="W602" s="1"/>
      <c r="X602" s="1"/>
    </row>
    <row r="603" spans="1:24">
      <c r="A603" s="1"/>
      <c r="M603" s="26"/>
      <c r="N603" s="26"/>
      <c r="P603" s="1"/>
      <c r="Q603" s="1"/>
      <c r="R603" s="1"/>
      <c r="S603" s="1"/>
      <c r="T603" s="1"/>
      <c r="U603" s="1"/>
      <c r="V603" s="1"/>
      <c r="W603" s="1"/>
      <c r="X603" s="1"/>
    </row>
    <row r="604" spans="1:24">
      <c r="A604" s="1"/>
      <c r="M604" s="26"/>
      <c r="N604" s="26"/>
      <c r="P604" s="1"/>
      <c r="Q604" s="1"/>
      <c r="R604" s="1"/>
      <c r="S604" s="1"/>
      <c r="T604" s="1"/>
      <c r="U604" s="1"/>
      <c r="V604" s="1"/>
      <c r="W604" s="1"/>
      <c r="X604" s="1"/>
    </row>
    <row r="605" spans="1:24">
      <c r="A605" s="1"/>
      <c r="M605" s="26"/>
      <c r="N605" s="26"/>
      <c r="P605" s="1"/>
      <c r="Q605" s="1"/>
      <c r="R605" s="1"/>
      <c r="S605" s="1"/>
      <c r="T605" s="1"/>
      <c r="U605" s="1"/>
      <c r="V605" s="1"/>
      <c r="W605" s="1"/>
      <c r="X605" s="1"/>
    </row>
    <row r="606" spans="1:24">
      <c r="A606" s="1"/>
      <c r="M606" s="26"/>
      <c r="N606" s="26"/>
      <c r="P606" s="1"/>
      <c r="Q606" s="1"/>
      <c r="R606" s="1"/>
      <c r="S606" s="1"/>
      <c r="T606" s="1"/>
      <c r="U606" s="1"/>
      <c r="V606" s="1"/>
      <c r="W606" s="1"/>
      <c r="X606" s="1"/>
    </row>
    <row r="607" spans="1:24">
      <c r="A607" s="1"/>
      <c r="M607" s="26"/>
      <c r="N607" s="26"/>
      <c r="P607" s="1"/>
      <c r="Q607" s="1"/>
      <c r="R607" s="1"/>
      <c r="S607" s="1"/>
      <c r="T607" s="1"/>
      <c r="U607" s="1"/>
      <c r="V607" s="1"/>
      <c r="W607" s="1"/>
      <c r="X607" s="1"/>
    </row>
    <row r="608" spans="1:24">
      <c r="A608" s="1"/>
      <c r="M608" s="26"/>
      <c r="N608" s="26"/>
      <c r="P608" s="1"/>
      <c r="Q608" s="1"/>
      <c r="R608" s="1"/>
      <c r="S608" s="1"/>
      <c r="T608" s="1"/>
      <c r="U608" s="1"/>
      <c r="V608" s="1"/>
      <c r="W608" s="1"/>
      <c r="X608" s="1"/>
    </row>
    <row r="609" spans="1:24">
      <c r="A609" s="1"/>
      <c r="M609" s="26"/>
      <c r="N609" s="26"/>
      <c r="P609" s="1"/>
      <c r="Q609" s="1"/>
      <c r="R609" s="1"/>
      <c r="S609" s="1"/>
      <c r="T609" s="1"/>
      <c r="U609" s="1"/>
      <c r="V609" s="1"/>
      <c r="W609" s="1"/>
      <c r="X609" s="1"/>
    </row>
    <row r="610" spans="1:24">
      <c r="A610" s="1"/>
      <c r="M610" s="26"/>
      <c r="N610" s="26"/>
      <c r="P610" s="1"/>
      <c r="Q610" s="1"/>
      <c r="R610" s="1"/>
      <c r="S610" s="1"/>
      <c r="T610" s="1"/>
      <c r="U610" s="1"/>
      <c r="V610" s="1"/>
      <c r="W610" s="1"/>
      <c r="X610" s="1"/>
    </row>
    <row r="611" spans="1:24">
      <c r="A611" s="1"/>
      <c r="M611" s="26"/>
      <c r="N611" s="26"/>
      <c r="P611" s="1"/>
      <c r="Q611" s="1"/>
      <c r="R611" s="1"/>
      <c r="S611" s="1"/>
      <c r="T611" s="1"/>
      <c r="U611" s="1"/>
      <c r="V611" s="1"/>
      <c r="W611" s="1"/>
      <c r="X611" s="1"/>
    </row>
    <row r="612" spans="1:24">
      <c r="A612" s="1"/>
      <c r="M612" s="26"/>
      <c r="N612" s="26"/>
      <c r="P612" s="1"/>
      <c r="Q612" s="1"/>
      <c r="R612" s="1"/>
      <c r="S612" s="1"/>
      <c r="T612" s="1"/>
      <c r="U612" s="1"/>
      <c r="V612" s="1"/>
      <c r="W612" s="1"/>
      <c r="X612" s="1"/>
    </row>
    <row r="613" spans="1:24">
      <c r="A613" s="1"/>
      <c r="M613" s="26"/>
      <c r="N613" s="26"/>
      <c r="P613" s="1"/>
      <c r="Q613" s="1"/>
      <c r="R613" s="1"/>
      <c r="S613" s="1"/>
      <c r="T613" s="1"/>
      <c r="U613" s="1"/>
      <c r="V613" s="1"/>
      <c r="W613" s="1"/>
      <c r="X613" s="1"/>
    </row>
    <row r="614" spans="1:24">
      <c r="A614" s="1"/>
      <c r="M614" s="26"/>
      <c r="N614" s="26"/>
      <c r="P614" s="1"/>
      <c r="Q614" s="1"/>
      <c r="R614" s="1"/>
      <c r="S614" s="1"/>
      <c r="T614" s="1"/>
      <c r="U614" s="1"/>
      <c r="V614" s="1"/>
      <c r="W614" s="1"/>
      <c r="X614" s="1"/>
    </row>
    <row r="615" spans="1:24">
      <c r="A615" s="1"/>
      <c r="M615" s="26"/>
      <c r="N615" s="26"/>
      <c r="P615" s="1"/>
      <c r="Q615" s="1"/>
      <c r="R615" s="1"/>
      <c r="S615" s="1"/>
      <c r="T615" s="1"/>
      <c r="U615" s="1"/>
      <c r="V615" s="1"/>
      <c r="W615" s="1"/>
      <c r="X615" s="1"/>
    </row>
    <row r="616" spans="1:24">
      <c r="A616" s="1"/>
      <c r="M616" s="26"/>
      <c r="N616" s="26"/>
      <c r="P616" s="1"/>
      <c r="Q616" s="1"/>
      <c r="R616" s="1"/>
      <c r="S616" s="1"/>
      <c r="T616" s="1"/>
      <c r="U616" s="1"/>
      <c r="V616" s="1"/>
      <c r="W616" s="1"/>
      <c r="X616" s="1"/>
    </row>
    <row r="617" spans="1:24">
      <c r="A617" s="1"/>
      <c r="M617" s="26"/>
      <c r="N617" s="26"/>
      <c r="P617" s="1"/>
      <c r="Q617" s="1"/>
      <c r="R617" s="1"/>
      <c r="S617" s="1"/>
      <c r="T617" s="1"/>
      <c r="U617" s="1"/>
      <c r="V617" s="1"/>
      <c r="W617" s="1"/>
      <c r="X617" s="1"/>
    </row>
    <row r="618" spans="1:24">
      <c r="A618" s="1"/>
      <c r="M618" s="26"/>
      <c r="N618" s="26"/>
      <c r="P618" s="1"/>
      <c r="Q618" s="1"/>
      <c r="R618" s="1"/>
      <c r="S618" s="1"/>
      <c r="T618" s="1"/>
      <c r="U618" s="1"/>
      <c r="V618" s="1"/>
      <c r="W618" s="1"/>
      <c r="X618" s="1"/>
    </row>
    <row r="619" spans="1:24">
      <c r="A619" s="1"/>
      <c r="M619" s="26"/>
      <c r="N619" s="26"/>
      <c r="P619" s="1"/>
      <c r="Q619" s="1"/>
      <c r="R619" s="1"/>
      <c r="S619" s="1"/>
      <c r="T619" s="1"/>
      <c r="U619" s="1"/>
      <c r="V619" s="1"/>
      <c r="W619" s="1"/>
      <c r="X619" s="1"/>
    </row>
    <row r="620" spans="1:24">
      <c r="A620" s="1"/>
      <c r="M620" s="26"/>
      <c r="N620" s="26"/>
      <c r="P620" s="1"/>
      <c r="Q620" s="1"/>
      <c r="R620" s="1"/>
      <c r="S620" s="1"/>
      <c r="T620" s="1"/>
      <c r="U620" s="1"/>
      <c r="V620" s="1"/>
      <c r="W620" s="1"/>
      <c r="X620" s="1"/>
    </row>
    <row r="621" spans="1:24">
      <c r="A621" s="1"/>
      <c r="M621" s="26"/>
      <c r="N621" s="26"/>
      <c r="P621" s="1"/>
      <c r="Q621" s="1"/>
      <c r="R621" s="1"/>
      <c r="S621" s="1"/>
      <c r="T621" s="1"/>
      <c r="U621" s="1"/>
      <c r="V621" s="1"/>
      <c r="W621" s="1"/>
      <c r="X621" s="1"/>
    </row>
    <row r="622" spans="1:24">
      <c r="A622" s="1"/>
      <c r="M622" s="26"/>
      <c r="N622" s="26"/>
      <c r="P622" s="1"/>
      <c r="Q622" s="1"/>
      <c r="R622" s="1"/>
      <c r="S622" s="1"/>
      <c r="T622" s="1"/>
      <c r="U622" s="1"/>
      <c r="V622" s="1"/>
      <c r="W622" s="1"/>
      <c r="X622" s="1"/>
    </row>
    <row r="623" spans="1:24">
      <c r="A623" s="1"/>
      <c r="M623" s="26"/>
      <c r="N623" s="26"/>
      <c r="P623" s="1"/>
      <c r="Q623" s="1"/>
      <c r="R623" s="1"/>
      <c r="S623" s="1"/>
      <c r="T623" s="1"/>
      <c r="U623" s="1"/>
      <c r="V623" s="1"/>
      <c r="W623" s="1"/>
      <c r="X623" s="1"/>
    </row>
    <row r="624" spans="1:24">
      <c r="A624" s="1"/>
      <c r="M624" s="26"/>
      <c r="N624" s="26"/>
      <c r="P624" s="1"/>
      <c r="Q624" s="1"/>
      <c r="R624" s="1"/>
      <c r="S624" s="1"/>
      <c r="T624" s="1"/>
      <c r="U624" s="1"/>
      <c r="V624" s="1"/>
      <c r="W624" s="1"/>
      <c r="X624" s="1"/>
    </row>
    <row r="625" spans="1:24">
      <c r="A625" s="1"/>
      <c r="M625" s="26"/>
      <c r="N625" s="26"/>
      <c r="P625" s="1"/>
      <c r="Q625" s="1"/>
      <c r="R625" s="1"/>
      <c r="S625" s="1"/>
      <c r="T625" s="1"/>
      <c r="U625" s="1"/>
      <c r="V625" s="1"/>
      <c r="W625" s="1"/>
      <c r="X625" s="1"/>
    </row>
    <row r="626" spans="1:24">
      <c r="A626" s="1"/>
      <c r="M626" s="26"/>
      <c r="N626" s="26"/>
      <c r="P626" s="1"/>
      <c r="Q626" s="1"/>
      <c r="R626" s="1"/>
      <c r="S626" s="1"/>
      <c r="T626" s="1"/>
      <c r="U626" s="1"/>
      <c r="V626" s="1"/>
      <c r="W626" s="1"/>
      <c r="X626" s="1"/>
    </row>
    <row r="627" spans="1:24">
      <c r="A627" s="1"/>
      <c r="M627" s="26"/>
      <c r="N627" s="26"/>
      <c r="P627" s="1"/>
      <c r="Q627" s="1"/>
      <c r="R627" s="1"/>
      <c r="S627" s="1"/>
      <c r="T627" s="1"/>
      <c r="U627" s="1"/>
      <c r="V627" s="1"/>
      <c r="W627" s="1"/>
      <c r="X627" s="1"/>
    </row>
    <row r="628" spans="1:24">
      <c r="A628" s="1"/>
      <c r="M628" s="26"/>
      <c r="N628" s="26"/>
      <c r="P628" s="1"/>
      <c r="Q628" s="1"/>
      <c r="R628" s="1"/>
      <c r="S628" s="1"/>
      <c r="T628" s="1"/>
      <c r="U628" s="1"/>
      <c r="V628" s="1"/>
      <c r="W628" s="1"/>
      <c r="X628" s="1"/>
    </row>
    <row r="629" spans="1:24">
      <c r="A629" s="1"/>
      <c r="M629" s="26"/>
      <c r="N629" s="26"/>
      <c r="P629" s="1"/>
      <c r="Q629" s="1"/>
      <c r="R629" s="1"/>
      <c r="S629" s="1"/>
      <c r="T629" s="1"/>
      <c r="U629" s="1"/>
      <c r="V629" s="1"/>
      <c r="W629" s="1"/>
      <c r="X629" s="1"/>
    </row>
    <row r="630" spans="1:24">
      <c r="A630" s="1"/>
      <c r="M630" s="26"/>
      <c r="N630" s="26"/>
      <c r="P630" s="1"/>
      <c r="Q630" s="1"/>
      <c r="R630" s="1"/>
      <c r="S630" s="1"/>
      <c r="T630" s="1"/>
      <c r="U630" s="1"/>
      <c r="V630" s="1"/>
      <c r="W630" s="1"/>
      <c r="X630" s="1"/>
    </row>
    <row r="631" spans="1:24">
      <c r="A631" s="1"/>
      <c r="M631" s="26"/>
      <c r="N631" s="26"/>
      <c r="P631" s="1"/>
      <c r="Q631" s="1"/>
      <c r="R631" s="1"/>
      <c r="S631" s="1"/>
      <c r="T631" s="1"/>
      <c r="U631" s="1"/>
      <c r="V631" s="1"/>
      <c r="W631" s="1"/>
      <c r="X631" s="1"/>
    </row>
    <row r="632" spans="1:24">
      <c r="A632" s="1"/>
      <c r="M632" s="26"/>
      <c r="N632" s="26"/>
      <c r="P632" s="1"/>
      <c r="Q632" s="1"/>
      <c r="R632" s="1"/>
      <c r="S632" s="1"/>
      <c r="T632" s="1"/>
      <c r="U632" s="1"/>
      <c r="V632" s="1"/>
      <c r="W632" s="1"/>
      <c r="X632" s="1"/>
    </row>
    <row r="633" spans="1:24">
      <c r="A633" s="1"/>
      <c r="M633" s="26"/>
      <c r="N633" s="26"/>
      <c r="P633" s="1"/>
      <c r="Q633" s="1"/>
      <c r="R633" s="1"/>
      <c r="S633" s="1"/>
      <c r="T633" s="1"/>
      <c r="U633" s="1"/>
      <c r="V633" s="1"/>
      <c r="W633" s="1"/>
      <c r="X633" s="1"/>
    </row>
    <row r="634" spans="1:24">
      <c r="A634" s="1"/>
      <c r="M634" s="26"/>
      <c r="N634" s="26"/>
      <c r="P634" s="1"/>
      <c r="Q634" s="1"/>
      <c r="R634" s="1"/>
      <c r="S634" s="1"/>
      <c r="T634" s="1"/>
      <c r="U634" s="1"/>
      <c r="V634" s="1"/>
      <c r="W634" s="1"/>
      <c r="X634" s="1"/>
    </row>
    <row r="635" spans="1:24">
      <c r="A635" s="1"/>
      <c r="M635" s="26"/>
      <c r="N635" s="26"/>
      <c r="P635" s="1"/>
      <c r="Q635" s="1"/>
      <c r="R635" s="1"/>
      <c r="S635" s="1"/>
      <c r="T635" s="1"/>
      <c r="U635" s="1"/>
      <c r="V635" s="1"/>
      <c r="W635" s="1"/>
      <c r="X635" s="1"/>
    </row>
    <row r="636" spans="1:24">
      <c r="A636" s="1"/>
      <c r="M636" s="26"/>
      <c r="N636" s="26"/>
      <c r="P636" s="1"/>
      <c r="Q636" s="1"/>
      <c r="R636" s="1"/>
      <c r="S636" s="1"/>
      <c r="T636" s="1"/>
      <c r="U636" s="1"/>
      <c r="V636" s="1"/>
      <c r="W636" s="1"/>
      <c r="X636" s="1"/>
    </row>
    <row r="637" spans="1:24">
      <c r="A637" s="1"/>
      <c r="M637" s="26"/>
      <c r="N637" s="26"/>
      <c r="P637" s="1"/>
      <c r="Q637" s="1"/>
      <c r="R637" s="1"/>
      <c r="S637" s="1"/>
      <c r="T637" s="1"/>
      <c r="U637" s="1"/>
      <c r="V637" s="1"/>
      <c r="W637" s="1"/>
      <c r="X637" s="1"/>
    </row>
    <row r="638" spans="1:24">
      <c r="A638" s="1"/>
      <c r="M638" s="26"/>
      <c r="N638" s="26"/>
      <c r="P638" s="1"/>
      <c r="Q638" s="1"/>
      <c r="R638" s="1"/>
      <c r="S638" s="1"/>
      <c r="T638" s="1"/>
      <c r="U638" s="1"/>
      <c r="V638" s="1"/>
      <c r="W638" s="1"/>
      <c r="X638" s="1"/>
    </row>
    <row r="639" spans="1:24">
      <c r="A639" s="1"/>
      <c r="M639" s="26"/>
      <c r="N639" s="26"/>
      <c r="P639" s="1"/>
      <c r="Q639" s="1"/>
      <c r="R639" s="1"/>
      <c r="S639" s="1"/>
      <c r="T639" s="1"/>
      <c r="U639" s="1"/>
      <c r="V639" s="1"/>
      <c r="W639" s="1"/>
      <c r="X639" s="1"/>
    </row>
    <row r="640" spans="1:24">
      <c r="A640" s="1"/>
      <c r="M640" s="26"/>
      <c r="N640" s="26"/>
      <c r="P640" s="1"/>
      <c r="Q640" s="1"/>
      <c r="R640" s="1"/>
      <c r="S640" s="1"/>
      <c r="T640" s="1"/>
      <c r="U640" s="1"/>
      <c r="V640" s="1"/>
      <c r="W640" s="1"/>
      <c r="X640" s="1"/>
    </row>
    <row r="641" spans="1:24">
      <c r="A641" s="1"/>
      <c r="M641" s="26"/>
      <c r="N641" s="26"/>
      <c r="P641" s="1"/>
      <c r="Q641" s="1"/>
      <c r="R641" s="1"/>
      <c r="S641" s="1"/>
      <c r="T641" s="1"/>
      <c r="U641" s="1"/>
      <c r="V641" s="1"/>
      <c r="W641" s="1"/>
      <c r="X641" s="1"/>
    </row>
    <row r="642" spans="1:24">
      <c r="A642" s="1"/>
      <c r="M642" s="26"/>
      <c r="N642" s="26"/>
      <c r="P642" s="1"/>
      <c r="Q642" s="1"/>
      <c r="R642" s="1"/>
      <c r="S642" s="1"/>
      <c r="T642" s="1"/>
      <c r="U642" s="1"/>
      <c r="V642" s="1"/>
      <c r="W642" s="1"/>
      <c r="X642" s="1"/>
    </row>
    <row r="643" spans="1:24">
      <c r="A643" s="1"/>
      <c r="M643" s="26"/>
      <c r="N643" s="26"/>
      <c r="P643" s="1"/>
      <c r="Q643" s="1"/>
      <c r="R643" s="1"/>
      <c r="S643" s="1"/>
      <c r="T643" s="1"/>
      <c r="U643" s="1"/>
      <c r="V643" s="1"/>
      <c r="W643" s="1"/>
      <c r="X643" s="1"/>
    </row>
    <row r="644" spans="1:24">
      <c r="A644" s="1"/>
      <c r="M644" s="26"/>
      <c r="N644" s="26"/>
      <c r="P644" s="1"/>
      <c r="Q644" s="1"/>
      <c r="R644" s="1"/>
      <c r="S644" s="1"/>
      <c r="T644" s="1"/>
      <c r="U644" s="1"/>
      <c r="V644" s="1"/>
      <c r="W644" s="1"/>
      <c r="X644" s="1"/>
    </row>
    <row r="645" spans="1:24">
      <c r="A645" s="1"/>
      <c r="M645" s="26"/>
      <c r="N645" s="26"/>
      <c r="P645" s="1"/>
      <c r="Q645" s="1"/>
      <c r="R645" s="1"/>
      <c r="S645" s="1"/>
      <c r="T645" s="1"/>
      <c r="U645" s="1"/>
      <c r="V645" s="1"/>
      <c r="W645" s="1"/>
      <c r="X645" s="1"/>
    </row>
    <row r="646" spans="1:24">
      <c r="A646" s="1"/>
      <c r="M646" s="26"/>
      <c r="N646" s="26"/>
      <c r="P646" s="1"/>
      <c r="Q646" s="1"/>
      <c r="R646" s="1"/>
      <c r="S646" s="1"/>
      <c r="T646" s="1"/>
      <c r="U646" s="1"/>
      <c r="V646" s="1"/>
      <c r="W646" s="1"/>
      <c r="X646" s="1"/>
    </row>
    <row r="647" spans="1:24">
      <c r="A647" s="1"/>
      <c r="M647" s="26"/>
      <c r="N647" s="26"/>
      <c r="P647" s="1"/>
      <c r="Q647" s="1"/>
      <c r="R647" s="1"/>
      <c r="S647" s="1"/>
      <c r="T647" s="1"/>
      <c r="U647" s="1"/>
      <c r="V647" s="1"/>
      <c r="W647" s="1"/>
      <c r="X647" s="1"/>
    </row>
    <row r="648" spans="1:24">
      <c r="A648" s="1"/>
      <c r="M648" s="26"/>
      <c r="N648" s="26"/>
      <c r="P648" s="1"/>
      <c r="Q648" s="1"/>
      <c r="R648" s="1"/>
      <c r="S648" s="1"/>
      <c r="T648" s="1"/>
      <c r="U648" s="1"/>
      <c r="V648" s="1"/>
      <c r="W648" s="1"/>
      <c r="X648" s="1"/>
    </row>
    <row r="649" spans="1:24">
      <c r="A649" s="1"/>
      <c r="M649" s="26"/>
      <c r="N649" s="26"/>
      <c r="P649" s="1"/>
      <c r="Q649" s="1"/>
      <c r="R649" s="1"/>
      <c r="S649" s="1"/>
      <c r="T649" s="1"/>
      <c r="U649" s="1"/>
      <c r="V649" s="1"/>
      <c r="W649" s="1"/>
      <c r="X649" s="1"/>
    </row>
    <row r="650" spans="1:24">
      <c r="A650" s="1"/>
      <c r="M650" s="26"/>
      <c r="N650" s="26"/>
      <c r="P650" s="1"/>
      <c r="Q650" s="1"/>
      <c r="R650" s="1"/>
      <c r="S650" s="1"/>
      <c r="T650" s="1"/>
      <c r="U650" s="1"/>
      <c r="V650" s="1"/>
      <c r="W650" s="1"/>
      <c r="X650" s="1"/>
    </row>
    <row r="651" spans="1:24">
      <c r="A651" s="1"/>
      <c r="M651" s="26"/>
      <c r="N651" s="26"/>
      <c r="P651" s="1"/>
      <c r="Q651" s="1"/>
      <c r="R651" s="1"/>
      <c r="S651" s="1"/>
      <c r="T651" s="1"/>
      <c r="U651" s="1"/>
      <c r="V651" s="1"/>
      <c r="W651" s="1"/>
      <c r="X651" s="1"/>
    </row>
    <row r="652" spans="1:24">
      <c r="A652" s="1"/>
      <c r="M652" s="26"/>
      <c r="N652" s="26"/>
      <c r="P652" s="1"/>
      <c r="Q652" s="1"/>
      <c r="R652" s="1"/>
      <c r="S652" s="1"/>
      <c r="T652" s="1"/>
      <c r="U652" s="1"/>
      <c r="V652" s="1"/>
      <c r="W652" s="1"/>
      <c r="X652" s="1"/>
    </row>
    <row r="653" spans="1:24">
      <c r="A653" s="1"/>
      <c r="M653" s="26"/>
      <c r="N653" s="26"/>
      <c r="P653" s="1"/>
      <c r="Q653" s="1"/>
      <c r="R653" s="1"/>
      <c r="S653" s="1"/>
      <c r="T653" s="1"/>
      <c r="U653" s="1"/>
      <c r="V653" s="1"/>
      <c r="W653" s="1"/>
      <c r="X653" s="1"/>
    </row>
    <row r="654" spans="1:24">
      <c r="A654" s="1"/>
      <c r="M654" s="26"/>
      <c r="N654" s="26"/>
      <c r="P654" s="1"/>
      <c r="Q654" s="1"/>
      <c r="R654" s="1"/>
      <c r="S654" s="1"/>
      <c r="T654" s="1"/>
      <c r="U654" s="1"/>
      <c r="V654" s="1"/>
      <c r="W654" s="1"/>
      <c r="X654" s="1"/>
    </row>
    <row r="655" spans="1:24">
      <c r="A655" s="1"/>
      <c r="M655" s="26"/>
      <c r="N655" s="26"/>
      <c r="P655" s="1"/>
      <c r="Q655" s="1"/>
      <c r="R655" s="1"/>
      <c r="S655" s="1"/>
      <c r="T655" s="1"/>
      <c r="U655" s="1"/>
      <c r="V655" s="1"/>
      <c r="W655" s="1"/>
      <c r="X655" s="1"/>
    </row>
    <row r="656" spans="1:24">
      <c r="A656" s="1"/>
      <c r="M656" s="26"/>
      <c r="N656" s="26"/>
      <c r="P656" s="1"/>
      <c r="Q656" s="1"/>
      <c r="R656" s="1"/>
      <c r="S656" s="1"/>
      <c r="T656" s="1"/>
      <c r="U656" s="1"/>
      <c r="V656" s="1"/>
      <c r="W656" s="1"/>
      <c r="X656" s="1"/>
    </row>
    <row r="657" spans="1:24">
      <c r="A657" s="1"/>
      <c r="M657" s="26"/>
      <c r="N657" s="26"/>
      <c r="P657" s="1"/>
      <c r="Q657" s="1"/>
      <c r="R657" s="1"/>
      <c r="S657" s="1"/>
      <c r="T657" s="1"/>
      <c r="U657" s="1"/>
      <c r="V657" s="1"/>
      <c r="W657" s="1"/>
      <c r="X657" s="1"/>
    </row>
    <row r="658" spans="1:24">
      <c r="A658" s="1"/>
      <c r="M658" s="26"/>
      <c r="N658" s="26"/>
      <c r="P658" s="1"/>
      <c r="Q658" s="1"/>
      <c r="R658" s="1"/>
      <c r="S658" s="1"/>
      <c r="T658" s="1"/>
      <c r="U658" s="1"/>
      <c r="V658" s="1"/>
      <c r="W658" s="1"/>
      <c r="X658" s="1"/>
    </row>
    <row r="659" spans="1:24">
      <c r="A659" s="1"/>
      <c r="M659" s="26"/>
      <c r="N659" s="26"/>
      <c r="P659" s="1"/>
      <c r="Q659" s="1"/>
      <c r="R659" s="1"/>
      <c r="S659" s="1"/>
      <c r="T659" s="1"/>
      <c r="U659" s="1"/>
      <c r="V659" s="1"/>
      <c r="W659" s="1"/>
      <c r="X659" s="1"/>
    </row>
    <row r="660" spans="1:24">
      <c r="A660" s="1"/>
      <c r="M660" s="26"/>
      <c r="N660" s="26"/>
      <c r="P660" s="1"/>
      <c r="Q660" s="1"/>
      <c r="R660" s="1"/>
      <c r="S660" s="1"/>
      <c r="T660" s="1"/>
      <c r="U660" s="1"/>
      <c r="V660" s="1"/>
      <c r="W660" s="1"/>
      <c r="X660" s="1"/>
    </row>
    <row r="661" spans="1:24">
      <c r="A661" s="1"/>
      <c r="M661" s="26"/>
      <c r="N661" s="26"/>
      <c r="P661" s="1"/>
      <c r="Q661" s="1"/>
      <c r="R661" s="1"/>
      <c r="S661" s="1"/>
      <c r="T661" s="1"/>
      <c r="U661" s="1"/>
      <c r="V661" s="1"/>
      <c r="W661" s="1"/>
      <c r="X661" s="1"/>
    </row>
    <row r="662" spans="1:24">
      <c r="A662" s="1"/>
      <c r="M662" s="26"/>
      <c r="N662" s="26"/>
      <c r="P662" s="1"/>
      <c r="Q662" s="1"/>
      <c r="R662" s="1"/>
      <c r="S662" s="1"/>
      <c r="T662" s="1"/>
      <c r="U662" s="1"/>
      <c r="V662" s="1"/>
      <c r="W662" s="1"/>
      <c r="X662" s="1"/>
    </row>
    <row r="663" spans="1:24">
      <c r="A663" s="1"/>
      <c r="M663" s="26"/>
      <c r="N663" s="26"/>
      <c r="P663" s="1"/>
      <c r="Q663" s="1"/>
      <c r="R663" s="1"/>
      <c r="S663" s="1"/>
      <c r="T663" s="1"/>
      <c r="U663" s="1"/>
      <c r="V663" s="1"/>
      <c r="W663" s="1"/>
      <c r="X663" s="1"/>
    </row>
    <row r="664" spans="1:24">
      <c r="A664" s="1"/>
      <c r="M664" s="26"/>
      <c r="N664" s="26"/>
      <c r="P664" s="1"/>
      <c r="Q664" s="1"/>
      <c r="R664" s="1"/>
      <c r="S664" s="1"/>
      <c r="T664" s="1"/>
      <c r="U664" s="1"/>
      <c r="V664" s="1"/>
      <c r="W664" s="1"/>
      <c r="X664" s="1"/>
    </row>
    <row r="665" spans="1:24">
      <c r="A665" s="1"/>
      <c r="M665" s="26"/>
      <c r="N665" s="26"/>
      <c r="P665" s="1"/>
      <c r="Q665" s="1"/>
      <c r="R665" s="1"/>
      <c r="S665" s="1"/>
      <c r="T665" s="1"/>
      <c r="U665" s="1"/>
      <c r="V665" s="1"/>
      <c r="W665" s="1"/>
      <c r="X665" s="1"/>
    </row>
    <row r="666" spans="1:24">
      <c r="A666" s="1"/>
      <c r="M666" s="26"/>
      <c r="N666" s="26"/>
      <c r="P666" s="1"/>
      <c r="Q666" s="1"/>
      <c r="R666" s="1"/>
      <c r="S666" s="1"/>
      <c r="T666" s="1"/>
      <c r="U666" s="1"/>
      <c r="V666" s="1"/>
      <c r="W666" s="1"/>
      <c r="X666" s="1"/>
    </row>
    <row r="667" spans="1:24">
      <c r="A667" s="1"/>
      <c r="M667" s="26"/>
      <c r="N667" s="26"/>
      <c r="P667" s="1"/>
      <c r="Q667" s="1"/>
      <c r="R667" s="1"/>
      <c r="S667" s="1"/>
      <c r="T667" s="1"/>
      <c r="U667" s="1"/>
      <c r="V667" s="1"/>
      <c r="W667" s="1"/>
      <c r="X667" s="1"/>
    </row>
    <row r="668" spans="1:24">
      <c r="A668" s="1"/>
      <c r="M668" s="26"/>
      <c r="N668" s="26"/>
      <c r="P668" s="1"/>
      <c r="Q668" s="1"/>
      <c r="R668" s="1"/>
      <c r="S668" s="1"/>
      <c r="T668" s="1"/>
      <c r="U668" s="1"/>
      <c r="V668" s="1"/>
      <c r="W668" s="1"/>
      <c r="X668" s="1"/>
    </row>
    <row r="669" spans="1:24">
      <c r="A669" s="1"/>
      <c r="M669" s="26"/>
      <c r="N669" s="26"/>
      <c r="P669" s="1"/>
      <c r="Q669" s="1"/>
      <c r="R669" s="1"/>
      <c r="S669" s="1"/>
      <c r="T669" s="1"/>
      <c r="U669" s="1"/>
      <c r="V669" s="1"/>
      <c r="W669" s="1"/>
      <c r="X669" s="1"/>
    </row>
    <row r="670" spans="1:24">
      <c r="A670" s="1"/>
      <c r="M670" s="26"/>
      <c r="N670" s="26"/>
      <c r="P670" s="1"/>
      <c r="Q670" s="1"/>
      <c r="R670" s="1"/>
      <c r="S670" s="1"/>
      <c r="T670" s="1"/>
      <c r="U670" s="1"/>
      <c r="V670" s="1"/>
      <c r="W670" s="1"/>
      <c r="X670" s="1"/>
    </row>
    <row r="671" spans="1:24">
      <c r="A671" s="1"/>
      <c r="M671" s="26"/>
      <c r="N671" s="26"/>
      <c r="P671" s="1"/>
      <c r="Q671" s="1"/>
      <c r="R671" s="1"/>
      <c r="S671" s="1"/>
      <c r="T671" s="1"/>
      <c r="U671" s="1"/>
      <c r="V671" s="1"/>
      <c r="W671" s="1"/>
      <c r="X671" s="1"/>
    </row>
    <row r="672" spans="1:24">
      <c r="A672" s="1"/>
      <c r="M672" s="26"/>
      <c r="N672" s="26"/>
      <c r="P672" s="1"/>
      <c r="Q672" s="1"/>
      <c r="R672" s="1"/>
      <c r="S672" s="1"/>
      <c r="T672" s="1"/>
      <c r="U672" s="1"/>
      <c r="V672" s="1"/>
      <c r="W672" s="1"/>
      <c r="X672" s="1"/>
    </row>
    <row r="673" spans="1:24">
      <c r="A673" s="1"/>
      <c r="M673" s="26"/>
      <c r="N673" s="26"/>
      <c r="P673" s="1"/>
      <c r="Q673" s="1"/>
      <c r="R673" s="1"/>
      <c r="S673" s="1"/>
      <c r="T673" s="1"/>
      <c r="U673" s="1"/>
      <c r="V673" s="1"/>
      <c r="W673" s="1"/>
      <c r="X673" s="1"/>
    </row>
    <row r="674" spans="1:24">
      <c r="A674" s="1"/>
      <c r="M674" s="26"/>
      <c r="N674" s="26"/>
      <c r="P674" s="1"/>
      <c r="Q674" s="1"/>
      <c r="R674" s="1"/>
      <c r="S674" s="1"/>
      <c r="T674" s="1"/>
      <c r="U674" s="1"/>
      <c r="V674" s="1"/>
      <c r="W674" s="1"/>
      <c r="X674" s="1"/>
    </row>
    <row r="675" spans="1:24">
      <c r="A675" s="1"/>
      <c r="M675" s="26"/>
      <c r="N675" s="26"/>
      <c r="P675" s="1"/>
      <c r="Q675" s="1"/>
      <c r="R675" s="1"/>
      <c r="S675" s="1"/>
      <c r="T675" s="1"/>
      <c r="U675" s="1"/>
      <c r="V675" s="1"/>
      <c r="W675" s="1"/>
      <c r="X675" s="1"/>
    </row>
    <row r="676" spans="1:24">
      <c r="A676" s="1"/>
      <c r="M676" s="26"/>
      <c r="N676" s="26"/>
      <c r="P676" s="1"/>
      <c r="Q676" s="1"/>
      <c r="R676" s="1"/>
      <c r="S676" s="1"/>
      <c r="T676" s="1"/>
      <c r="U676" s="1"/>
      <c r="V676" s="1"/>
      <c r="W676" s="1"/>
      <c r="X676" s="1"/>
    </row>
    <row r="677" spans="1:24">
      <c r="A677" s="1"/>
      <c r="M677" s="26"/>
      <c r="N677" s="26"/>
      <c r="P677" s="1"/>
      <c r="Q677" s="1"/>
      <c r="R677" s="1"/>
      <c r="S677" s="1"/>
      <c r="T677" s="1"/>
      <c r="U677" s="1"/>
      <c r="V677" s="1"/>
      <c r="W677" s="1"/>
      <c r="X677" s="1"/>
    </row>
    <row r="678" spans="1:24">
      <c r="A678" s="1"/>
      <c r="M678" s="26"/>
      <c r="N678" s="26"/>
      <c r="P678" s="1"/>
      <c r="Q678" s="1"/>
      <c r="R678" s="1"/>
      <c r="S678" s="1"/>
      <c r="T678" s="1"/>
      <c r="U678" s="1"/>
      <c r="V678" s="1"/>
      <c r="W678" s="1"/>
      <c r="X678" s="1"/>
    </row>
    <row r="679" spans="1:24">
      <c r="A679" s="1"/>
      <c r="M679" s="26"/>
      <c r="N679" s="26"/>
      <c r="P679" s="1"/>
      <c r="Q679" s="1"/>
      <c r="R679" s="1"/>
      <c r="S679" s="1"/>
      <c r="T679" s="1"/>
      <c r="U679" s="1"/>
      <c r="V679" s="1"/>
      <c r="W679" s="1"/>
      <c r="X679" s="1"/>
    </row>
    <row r="680" spans="1:24">
      <c r="A680" s="1"/>
      <c r="M680" s="26"/>
      <c r="N680" s="26"/>
      <c r="P680" s="1"/>
      <c r="Q680" s="1"/>
      <c r="R680" s="1"/>
      <c r="S680" s="1"/>
      <c r="T680" s="1"/>
      <c r="U680" s="1"/>
      <c r="V680" s="1"/>
      <c r="W680" s="1"/>
      <c r="X680" s="1"/>
    </row>
    <row r="681" spans="1:24">
      <c r="A681" s="1"/>
      <c r="M681" s="26"/>
      <c r="N681" s="26"/>
      <c r="P681" s="1"/>
      <c r="Q681" s="1"/>
      <c r="R681" s="1"/>
      <c r="S681" s="1"/>
      <c r="T681" s="1"/>
      <c r="U681" s="1"/>
      <c r="V681" s="1"/>
      <c r="W681" s="1"/>
      <c r="X681" s="1"/>
    </row>
    <row r="682" spans="1:24">
      <c r="A682" s="1"/>
      <c r="M682" s="26"/>
      <c r="N682" s="26"/>
      <c r="P682" s="1"/>
      <c r="Q682" s="1"/>
      <c r="R682" s="1"/>
      <c r="S682" s="1"/>
      <c r="T682" s="1"/>
      <c r="U682" s="1"/>
      <c r="V682" s="1"/>
      <c r="W682" s="1"/>
      <c r="X682" s="1"/>
    </row>
    <row r="683" spans="1:24">
      <c r="A683" s="1"/>
      <c r="M683" s="26"/>
      <c r="N683" s="26"/>
      <c r="P683" s="1"/>
      <c r="Q683" s="1"/>
      <c r="R683" s="1"/>
      <c r="S683" s="1"/>
      <c r="T683" s="1"/>
      <c r="U683" s="1"/>
      <c r="V683" s="1"/>
      <c r="W683" s="1"/>
      <c r="X683" s="1"/>
    </row>
    <row r="684" spans="1:24">
      <c r="A684" s="1"/>
      <c r="M684" s="26"/>
      <c r="N684" s="26"/>
      <c r="P684" s="1"/>
      <c r="Q684" s="1"/>
      <c r="R684" s="1"/>
      <c r="S684" s="1"/>
      <c r="T684" s="1"/>
      <c r="U684" s="1"/>
      <c r="V684" s="1"/>
      <c r="W684" s="1"/>
      <c r="X684" s="1"/>
    </row>
    <row r="685" spans="1:24">
      <c r="A685" s="1"/>
      <c r="M685" s="26"/>
      <c r="N685" s="26"/>
      <c r="P685" s="1"/>
      <c r="Q685" s="1"/>
      <c r="R685" s="1"/>
      <c r="S685" s="1"/>
      <c r="T685" s="1"/>
      <c r="U685" s="1"/>
      <c r="V685" s="1"/>
      <c r="W685" s="1"/>
      <c r="X685" s="1"/>
    </row>
    <row r="686" spans="1:24">
      <c r="A686" s="1"/>
      <c r="M686" s="26"/>
      <c r="N686" s="26"/>
      <c r="P686" s="1"/>
      <c r="Q686" s="1"/>
      <c r="R686" s="1"/>
      <c r="S686" s="1"/>
      <c r="T686" s="1"/>
      <c r="U686" s="1"/>
      <c r="V686" s="1"/>
      <c r="W686" s="1"/>
      <c r="X686" s="1"/>
    </row>
    <row r="687" spans="1:24">
      <c r="A687" s="1"/>
      <c r="M687" s="26"/>
      <c r="N687" s="26"/>
      <c r="P687" s="1"/>
      <c r="Q687" s="1"/>
      <c r="R687" s="1"/>
      <c r="S687" s="1"/>
      <c r="T687" s="1"/>
      <c r="U687" s="1"/>
      <c r="V687" s="1"/>
      <c r="W687" s="1"/>
      <c r="X687" s="1"/>
    </row>
    <row r="688" spans="1:24">
      <c r="A688" s="1"/>
      <c r="M688" s="26"/>
      <c r="N688" s="26"/>
      <c r="P688" s="1"/>
      <c r="Q688" s="1"/>
      <c r="R688" s="1"/>
      <c r="S688" s="1"/>
      <c r="T688" s="1"/>
      <c r="U688" s="1"/>
      <c r="V688" s="1"/>
      <c r="W688" s="1"/>
      <c r="X688" s="1"/>
    </row>
    <row r="689" spans="1:24">
      <c r="A689" s="1"/>
      <c r="M689" s="26"/>
      <c r="N689" s="26"/>
      <c r="P689" s="1"/>
      <c r="Q689" s="1"/>
      <c r="R689" s="1"/>
      <c r="S689" s="1"/>
      <c r="T689" s="1"/>
      <c r="U689" s="1"/>
      <c r="V689" s="1"/>
      <c r="W689" s="1"/>
      <c r="X689" s="1"/>
    </row>
    <row r="690" spans="1:24">
      <c r="A690" s="1"/>
      <c r="M690" s="26"/>
      <c r="N690" s="26"/>
      <c r="P690" s="1"/>
      <c r="Q690" s="1"/>
      <c r="R690" s="1"/>
      <c r="S690" s="1"/>
      <c r="T690" s="1"/>
      <c r="U690" s="1"/>
      <c r="V690" s="1"/>
      <c r="W690" s="1"/>
      <c r="X690" s="1"/>
    </row>
    <row r="691" spans="1:24">
      <c r="A691" s="1"/>
      <c r="M691" s="26"/>
      <c r="N691" s="26"/>
      <c r="P691" s="1"/>
      <c r="Q691" s="1"/>
      <c r="R691" s="1"/>
      <c r="S691" s="1"/>
      <c r="T691" s="1"/>
      <c r="U691" s="1"/>
      <c r="V691" s="1"/>
      <c r="W691" s="1"/>
      <c r="X691" s="1"/>
    </row>
    <row r="692" spans="1:24">
      <c r="A692" s="1"/>
      <c r="M692" s="26"/>
      <c r="N692" s="26"/>
      <c r="P692" s="1"/>
      <c r="Q692" s="1"/>
      <c r="R692" s="1"/>
      <c r="S692" s="1"/>
      <c r="T692" s="1"/>
      <c r="U692" s="1"/>
      <c r="V692" s="1"/>
      <c r="W692" s="1"/>
      <c r="X692" s="1"/>
    </row>
    <row r="693" spans="1:24">
      <c r="A693" s="1"/>
      <c r="M693" s="26"/>
      <c r="N693" s="26"/>
      <c r="P693" s="1"/>
      <c r="Q693" s="1"/>
      <c r="R693" s="1"/>
      <c r="S693" s="1"/>
      <c r="T693" s="1"/>
      <c r="U693" s="1"/>
      <c r="V693" s="1"/>
      <c r="W693" s="1"/>
      <c r="X693" s="1"/>
    </row>
    <row r="694" spans="1:24">
      <c r="A694" s="1"/>
      <c r="M694" s="26"/>
      <c r="N694" s="26"/>
      <c r="P694" s="1"/>
      <c r="Q694" s="1"/>
      <c r="R694" s="1"/>
      <c r="S694" s="1"/>
      <c r="T694" s="1"/>
      <c r="U694" s="1"/>
      <c r="V694" s="1"/>
      <c r="W694" s="1"/>
      <c r="X694" s="1"/>
    </row>
    <row r="695" spans="1:24">
      <c r="A695" s="1"/>
      <c r="M695" s="26"/>
      <c r="N695" s="26"/>
      <c r="P695" s="1"/>
      <c r="Q695" s="1"/>
      <c r="R695" s="1"/>
      <c r="S695" s="1"/>
      <c r="T695" s="1"/>
      <c r="U695" s="1"/>
      <c r="V695" s="1"/>
      <c r="W695" s="1"/>
      <c r="X695" s="1"/>
    </row>
    <row r="696" spans="1:24">
      <c r="A696" s="1"/>
      <c r="M696" s="26"/>
      <c r="N696" s="26"/>
      <c r="P696" s="1"/>
      <c r="Q696" s="1"/>
      <c r="R696" s="1"/>
      <c r="S696" s="1"/>
      <c r="T696" s="1"/>
      <c r="U696" s="1"/>
      <c r="V696" s="1"/>
      <c r="W696" s="1"/>
      <c r="X696" s="1"/>
    </row>
    <row r="697" spans="1:24">
      <c r="A697" s="1"/>
      <c r="M697" s="26"/>
      <c r="N697" s="26"/>
      <c r="P697" s="1"/>
      <c r="Q697" s="1"/>
      <c r="R697" s="1"/>
      <c r="S697" s="1"/>
      <c r="T697" s="1"/>
      <c r="U697" s="1"/>
      <c r="V697" s="1"/>
      <c r="W697" s="1"/>
      <c r="X697" s="1"/>
    </row>
    <row r="698" spans="1:24">
      <c r="A698" s="1"/>
      <c r="M698" s="26"/>
      <c r="N698" s="26"/>
      <c r="P698" s="1"/>
      <c r="Q698" s="1"/>
      <c r="R698" s="1"/>
      <c r="S698" s="1"/>
      <c r="T698" s="1"/>
      <c r="U698" s="1"/>
      <c r="V698" s="1"/>
      <c r="W698" s="1"/>
      <c r="X698" s="1"/>
    </row>
    <row r="699" spans="1:24">
      <c r="A699" s="1"/>
      <c r="M699" s="26"/>
      <c r="N699" s="26"/>
      <c r="P699" s="1"/>
      <c r="Q699" s="1"/>
      <c r="R699" s="1"/>
      <c r="S699" s="1"/>
      <c r="T699" s="1"/>
      <c r="U699" s="1"/>
      <c r="V699" s="1"/>
      <c r="W699" s="1"/>
      <c r="X699" s="1"/>
    </row>
    <row r="700" spans="1:24">
      <c r="A700" s="1"/>
      <c r="M700" s="26"/>
      <c r="N700" s="26"/>
      <c r="P700" s="1"/>
      <c r="Q700" s="1"/>
      <c r="R700" s="1"/>
      <c r="S700" s="1"/>
      <c r="T700" s="1"/>
      <c r="U700" s="1"/>
      <c r="V700" s="1"/>
      <c r="W700" s="1"/>
      <c r="X700" s="1"/>
    </row>
    <row r="701" spans="1:24">
      <c r="A701" s="1"/>
      <c r="M701" s="26"/>
      <c r="N701" s="26"/>
      <c r="P701" s="1"/>
      <c r="Q701" s="1"/>
      <c r="R701" s="1"/>
      <c r="S701" s="1"/>
      <c r="T701" s="1"/>
      <c r="U701" s="1"/>
      <c r="V701" s="1"/>
      <c r="W701" s="1"/>
      <c r="X701" s="1"/>
    </row>
    <row r="702" spans="1:24">
      <c r="A702" s="1"/>
      <c r="M702" s="26"/>
      <c r="N702" s="26"/>
      <c r="P702" s="1"/>
      <c r="Q702" s="1"/>
      <c r="R702" s="1"/>
      <c r="S702" s="1"/>
      <c r="T702" s="1"/>
      <c r="U702" s="1"/>
      <c r="V702" s="1"/>
      <c r="W702" s="1"/>
      <c r="X702" s="1"/>
    </row>
    <row r="703" spans="1:24">
      <c r="A703" s="1"/>
      <c r="M703" s="26"/>
      <c r="N703" s="26"/>
      <c r="P703" s="1"/>
      <c r="Q703" s="1"/>
      <c r="R703" s="1"/>
      <c r="S703" s="1"/>
      <c r="T703" s="1"/>
      <c r="U703" s="1"/>
      <c r="V703" s="1"/>
      <c r="W703" s="1"/>
      <c r="X703" s="1"/>
    </row>
    <row r="704" spans="1:24">
      <c r="A704" s="1"/>
      <c r="M704" s="26"/>
      <c r="N704" s="26"/>
      <c r="P704" s="1"/>
      <c r="Q704" s="1"/>
      <c r="R704" s="1"/>
      <c r="S704" s="1"/>
      <c r="T704" s="1"/>
      <c r="U704" s="1"/>
      <c r="V704" s="1"/>
      <c r="W704" s="1"/>
      <c r="X704" s="1"/>
    </row>
    <row r="705" spans="1:24">
      <c r="A705" s="1"/>
      <c r="M705" s="26"/>
      <c r="N705" s="26"/>
      <c r="P705" s="1"/>
      <c r="Q705" s="1"/>
      <c r="R705" s="1"/>
      <c r="S705" s="1"/>
      <c r="T705" s="1"/>
      <c r="U705" s="1"/>
      <c r="V705" s="1"/>
      <c r="W705" s="1"/>
      <c r="X705" s="1"/>
    </row>
    <row r="706" spans="1:24">
      <c r="A706" s="1"/>
      <c r="M706" s="26"/>
      <c r="N706" s="26"/>
      <c r="P706" s="1"/>
      <c r="Q706" s="1"/>
      <c r="R706" s="1"/>
      <c r="S706" s="1"/>
      <c r="T706" s="1"/>
      <c r="U706" s="1"/>
      <c r="V706" s="1"/>
      <c r="W706" s="1"/>
      <c r="X706" s="1"/>
    </row>
    <row r="707" spans="1:24">
      <c r="A707" s="1"/>
      <c r="M707" s="26"/>
      <c r="N707" s="26"/>
      <c r="P707" s="1"/>
      <c r="Q707" s="1"/>
      <c r="R707" s="1"/>
      <c r="S707" s="1"/>
      <c r="T707" s="1"/>
      <c r="U707" s="1"/>
      <c r="V707" s="1"/>
      <c r="W707" s="1"/>
      <c r="X707" s="1"/>
    </row>
    <row r="708" spans="1:24">
      <c r="A708" s="1"/>
      <c r="M708" s="26"/>
      <c r="N708" s="26"/>
      <c r="P708" s="1"/>
      <c r="Q708" s="1"/>
      <c r="R708" s="1"/>
      <c r="S708" s="1"/>
      <c r="T708" s="1"/>
      <c r="U708" s="1"/>
      <c r="V708" s="1"/>
      <c r="W708" s="1"/>
      <c r="X708" s="1"/>
    </row>
    <row r="709" spans="1:24">
      <c r="A709" s="1"/>
      <c r="M709" s="26"/>
      <c r="N709" s="26"/>
      <c r="P709" s="1"/>
      <c r="Q709" s="1"/>
      <c r="R709" s="1"/>
      <c r="S709" s="1"/>
      <c r="T709" s="1"/>
      <c r="U709" s="1"/>
      <c r="V709" s="1"/>
      <c r="W709" s="1"/>
      <c r="X709" s="1"/>
    </row>
    <row r="710" spans="1:24">
      <c r="A710" s="1"/>
      <c r="M710" s="26"/>
      <c r="N710" s="26"/>
      <c r="P710" s="1"/>
      <c r="Q710" s="1"/>
      <c r="R710" s="1"/>
      <c r="S710" s="1"/>
      <c r="T710" s="1"/>
      <c r="U710" s="1"/>
      <c r="V710" s="1"/>
      <c r="W710" s="1"/>
      <c r="X710" s="1"/>
    </row>
    <row r="711" spans="1:24">
      <c r="A711" s="1"/>
      <c r="M711" s="26"/>
      <c r="N711" s="26"/>
      <c r="P711" s="1"/>
      <c r="Q711" s="1"/>
      <c r="R711" s="1"/>
      <c r="S711" s="1"/>
      <c r="T711" s="1"/>
      <c r="U711" s="1"/>
      <c r="V711" s="1"/>
      <c r="W711" s="1"/>
      <c r="X711" s="1"/>
    </row>
    <row r="712" spans="1:24">
      <c r="A712" s="1"/>
      <c r="M712" s="26"/>
      <c r="N712" s="26"/>
      <c r="P712" s="1"/>
      <c r="Q712" s="1"/>
      <c r="R712" s="1"/>
      <c r="S712" s="1"/>
      <c r="T712" s="1"/>
      <c r="U712" s="1"/>
      <c r="V712" s="1"/>
      <c r="W712" s="1"/>
      <c r="X712" s="1"/>
    </row>
    <row r="713" spans="1:24">
      <c r="A713" s="1"/>
      <c r="M713" s="26"/>
      <c r="N713" s="26"/>
      <c r="P713" s="1"/>
      <c r="Q713" s="1"/>
      <c r="R713" s="1"/>
      <c r="S713" s="1"/>
      <c r="T713" s="1"/>
      <c r="U713" s="1"/>
      <c r="V713" s="1"/>
      <c r="W713" s="1"/>
      <c r="X713" s="1"/>
    </row>
    <row r="714" spans="1:24">
      <c r="A714" s="1"/>
      <c r="M714" s="26"/>
      <c r="N714" s="26"/>
      <c r="P714" s="1"/>
      <c r="Q714" s="1"/>
      <c r="R714" s="1"/>
      <c r="S714" s="1"/>
      <c r="T714" s="1"/>
      <c r="U714" s="1"/>
      <c r="V714" s="1"/>
      <c r="W714" s="1"/>
      <c r="X714" s="1"/>
    </row>
    <row r="715" spans="1:24">
      <c r="A715" s="1"/>
      <c r="M715" s="26"/>
      <c r="N715" s="26"/>
      <c r="P715" s="1"/>
      <c r="Q715" s="1"/>
      <c r="R715" s="1"/>
      <c r="S715" s="1"/>
      <c r="T715" s="1"/>
      <c r="U715" s="1"/>
      <c r="V715" s="1"/>
      <c r="W715" s="1"/>
      <c r="X715" s="1"/>
    </row>
    <row r="716" spans="1:24">
      <c r="A716" s="1"/>
      <c r="M716" s="26"/>
      <c r="N716" s="26"/>
      <c r="P716" s="1"/>
      <c r="Q716" s="1"/>
      <c r="R716" s="1"/>
      <c r="S716" s="1"/>
      <c r="T716" s="1"/>
      <c r="U716" s="1"/>
      <c r="V716" s="1"/>
      <c r="W716" s="1"/>
      <c r="X716" s="1"/>
    </row>
    <row r="717" spans="1:24">
      <c r="A717" s="1"/>
      <c r="M717" s="26"/>
      <c r="N717" s="26"/>
      <c r="P717" s="1"/>
      <c r="Q717" s="1"/>
      <c r="R717" s="1"/>
      <c r="S717" s="1"/>
      <c r="T717" s="1"/>
      <c r="U717" s="1"/>
      <c r="V717" s="1"/>
      <c r="W717" s="1"/>
      <c r="X717" s="1"/>
    </row>
    <row r="718" spans="1:24">
      <c r="A718" s="1"/>
      <c r="M718" s="26"/>
      <c r="N718" s="26"/>
      <c r="P718" s="1"/>
      <c r="Q718" s="1"/>
      <c r="R718" s="1"/>
      <c r="S718" s="1"/>
      <c r="T718" s="1"/>
      <c r="U718" s="1"/>
      <c r="V718" s="1"/>
      <c r="W718" s="1"/>
      <c r="X718" s="1"/>
    </row>
    <row r="719" spans="1:24">
      <c r="A719" s="1"/>
      <c r="M719" s="26"/>
      <c r="N719" s="26"/>
      <c r="P719" s="1"/>
      <c r="Q719" s="1"/>
      <c r="R719" s="1"/>
      <c r="S719" s="1"/>
      <c r="T719" s="1"/>
      <c r="U719" s="1"/>
      <c r="V719" s="1"/>
      <c r="W719" s="1"/>
      <c r="X719" s="1"/>
    </row>
    <row r="720" spans="1:24">
      <c r="A720" s="1"/>
      <c r="M720" s="26"/>
      <c r="N720" s="26"/>
      <c r="P720" s="1"/>
      <c r="Q720" s="1"/>
      <c r="R720" s="1"/>
      <c r="S720" s="1"/>
      <c r="T720" s="1"/>
      <c r="U720" s="1"/>
      <c r="V720" s="1"/>
      <c r="W720" s="1"/>
      <c r="X720" s="1"/>
    </row>
    <row r="721" spans="1:24">
      <c r="A721" s="1"/>
      <c r="M721" s="26"/>
      <c r="N721" s="26"/>
      <c r="P721" s="1"/>
      <c r="Q721" s="1"/>
      <c r="R721" s="1"/>
      <c r="S721" s="1"/>
      <c r="T721" s="1"/>
      <c r="U721" s="1"/>
      <c r="V721" s="1"/>
      <c r="W721" s="1"/>
      <c r="X721" s="1"/>
    </row>
    <row r="722" spans="1:24">
      <c r="A722" s="1"/>
      <c r="M722" s="26"/>
      <c r="N722" s="26"/>
      <c r="P722" s="1"/>
      <c r="Q722" s="1"/>
      <c r="R722" s="1"/>
      <c r="S722" s="1"/>
      <c r="T722" s="1"/>
      <c r="U722" s="1"/>
      <c r="V722" s="1"/>
      <c r="W722" s="1"/>
      <c r="X722" s="1"/>
    </row>
    <row r="723" spans="1:24">
      <c r="A723" s="1"/>
      <c r="M723" s="26"/>
      <c r="N723" s="26"/>
      <c r="P723" s="1"/>
      <c r="Q723" s="1"/>
      <c r="R723" s="1"/>
      <c r="S723" s="1"/>
      <c r="T723" s="1"/>
      <c r="U723" s="1"/>
      <c r="V723" s="1"/>
      <c r="W723" s="1"/>
      <c r="X723" s="1"/>
    </row>
    <row r="724" spans="1:24">
      <c r="A724" s="1"/>
      <c r="M724" s="26"/>
      <c r="N724" s="26"/>
      <c r="P724" s="1"/>
      <c r="Q724" s="1"/>
      <c r="R724" s="1"/>
      <c r="S724" s="1"/>
      <c r="T724" s="1"/>
      <c r="U724" s="1"/>
      <c r="V724" s="1"/>
      <c r="W724" s="1"/>
      <c r="X724" s="1"/>
    </row>
    <row r="725" spans="1:24">
      <c r="A725" s="1"/>
      <c r="M725" s="26"/>
      <c r="N725" s="26"/>
      <c r="P725" s="1"/>
      <c r="Q725" s="1"/>
      <c r="R725" s="1"/>
      <c r="S725" s="1"/>
      <c r="T725" s="1"/>
      <c r="U725" s="1"/>
      <c r="V725" s="1"/>
      <c r="W725" s="1"/>
      <c r="X725" s="1"/>
    </row>
    <row r="726" spans="1:24">
      <c r="A726" s="1"/>
      <c r="M726" s="26"/>
      <c r="N726" s="26"/>
      <c r="P726" s="1"/>
      <c r="Q726" s="1"/>
      <c r="R726" s="1"/>
      <c r="S726" s="1"/>
      <c r="T726" s="1"/>
      <c r="U726" s="1"/>
      <c r="V726" s="1"/>
      <c r="W726" s="1"/>
      <c r="X726" s="1"/>
    </row>
    <row r="727" spans="1:24">
      <c r="A727" s="1"/>
      <c r="M727" s="26"/>
      <c r="N727" s="26"/>
      <c r="P727" s="1"/>
      <c r="Q727" s="1"/>
      <c r="R727" s="1"/>
      <c r="S727" s="1"/>
      <c r="T727" s="1"/>
      <c r="U727" s="1"/>
      <c r="V727" s="1"/>
      <c r="W727" s="1"/>
      <c r="X727" s="1"/>
    </row>
    <row r="728" spans="1:24">
      <c r="A728" s="1"/>
      <c r="M728" s="26"/>
      <c r="N728" s="26"/>
      <c r="P728" s="1"/>
      <c r="Q728" s="1"/>
      <c r="R728" s="1"/>
      <c r="S728" s="1"/>
      <c r="T728" s="1"/>
      <c r="U728" s="1"/>
      <c r="V728" s="1"/>
      <c r="W728" s="1"/>
      <c r="X728" s="1"/>
    </row>
    <row r="729" spans="1:24">
      <c r="A729" s="1"/>
      <c r="M729" s="26"/>
      <c r="N729" s="26"/>
      <c r="P729" s="1"/>
      <c r="Q729" s="1"/>
      <c r="R729" s="1"/>
      <c r="S729" s="1"/>
      <c r="T729" s="1"/>
      <c r="U729" s="1"/>
      <c r="V729" s="1"/>
      <c r="W729" s="1"/>
      <c r="X729" s="1"/>
    </row>
    <row r="730" spans="1:24">
      <c r="A730" s="1"/>
      <c r="M730" s="26"/>
      <c r="N730" s="26"/>
      <c r="P730" s="1"/>
      <c r="Q730" s="1"/>
      <c r="R730" s="1"/>
      <c r="S730" s="1"/>
      <c r="T730" s="1"/>
      <c r="U730" s="1"/>
      <c r="V730" s="1"/>
      <c r="W730" s="1"/>
      <c r="X730" s="1"/>
    </row>
    <row r="731" spans="1:24">
      <c r="A731" s="1"/>
      <c r="M731" s="26"/>
      <c r="N731" s="26"/>
      <c r="P731" s="1"/>
      <c r="Q731" s="1"/>
      <c r="R731" s="1"/>
      <c r="S731" s="1"/>
      <c r="T731" s="1"/>
      <c r="U731" s="1"/>
      <c r="V731" s="1"/>
      <c r="W731" s="1"/>
      <c r="X731" s="1"/>
    </row>
    <row r="732" spans="1:24">
      <c r="A732" s="1"/>
      <c r="M732" s="26"/>
      <c r="N732" s="26"/>
      <c r="P732" s="1"/>
      <c r="Q732" s="1"/>
      <c r="R732" s="1"/>
      <c r="S732" s="1"/>
      <c r="T732" s="1"/>
      <c r="U732" s="1"/>
      <c r="V732" s="1"/>
      <c r="W732" s="1"/>
      <c r="X732" s="1"/>
    </row>
    <row r="733" spans="1:24">
      <c r="A733" s="1"/>
      <c r="M733" s="26"/>
      <c r="N733" s="26"/>
      <c r="P733" s="1"/>
      <c r="Q733" s="1"/>
      <c r="R733" s="1"/>
      <c r="S733" s="1"/>
      <c r="T733" s="1"/>
      <c r="U733" s="1"/>
      <c r="V733" s="1"/>
      <c r="W733" s="1"/>
      <c r="X733" s="1"/>
    </row>
    <row r="734" spans="1:24">
      <c r="A734" s="1"/>
      <c r="M734" s="26"/>
      <c r="N734" s="26"/>
      <c r="P734" s="1"/>
      <c r="Q734" s="1"/>
      <c r="R734" s="1"/>
      <c r="S734" s="1"/>
      <c r="T734" s="1"/>
      <c r="U734" s="1"/>
      <c r="V734" s="1"/>
      <c r="W734" s="1"/>
      <c r="X734" s="1"/>
    </row>
    <row r="735" spans="1:24">
      <c r="A735" s="1"/>
      <c r="M735" s="26"/>
      <c r="N735" s="26"/>
      <c r="P735" s="1"/>
      <c r="Q735" s="1"/>
      <c r="R735" s="1"/>
      <c r="S735" s="1"/>
      <c r="T735" s="1"/>
      <c r="U735" s="1"/>
      <c r="V735" s="1"/>
      <c r="W735" s="1"/>
      <c r="X735" s="1"/>
    </row>
    <row r="736" spans="1:24">
      <c r="A736" s="1"/>
      <c r="M736" s="26"/>
      <c r="N736" s="26"/>
      <c r="P736" s="1"/>
      <c r="Q736" s="1"/>
      <c r="R736" s="1"/>
      <c r="S736" s="1"/>
      <c r="T736" s="1"/>
      <c r="U736" s="1"/>
      <c r="V736" s="1"/>
      <c r="W736" s="1"/>
      <c r="X736" s="1"/>
    </row>
    <row r="737" spans="1:24">
      <c r="A737" s="1"/>
      <c r="M737" s="26"/>
      <c r="N737" s="26"/>
      <c r="P737" s="1"/>
      <c r="Q737" s="1"/>
      <c r="R737" s="1"/>
      <c r="S737" s="1"/>
      <c r="T737" s="1"/>
      <c r="U737" s="1"/>
      <c r="V737" s="1"/>
      <c r="W737" s="1"/>
      <c r="X737" s="1"/>
    </row>
    <row r="738" spans="1:24">
      <c r="A738" s="1"/>
      <c r="M738" s="26"/>
      <c r="N738" s="26"/>
      <c r="P738" s="1"/>
      <c r="Q738" s="1"/>
      <c r="R738" s="1"/>
      <c r="S738" s="1"/>
      <c r="T738" s="1"/>
      <c r="U738" s="1"/>
      <c r="V738" s="1"/>
      <c r="W738" s="1"/>
      <c r="X738" s="1"/>
    </row>
    <row r="739" spans="1:24">
      <c r="A739" s="1"/>
      <c r="M739" s="26"/>
      <c r="N739" s="26"/>
      <c r="P739" s="1"/>
      <c r="Q739" s="1"/>
      <c r="R739" s="1"/>
      <c r="S739" s="1"/>
      <c r="T739" s="1"/>
      <c r="U739" s="1"/>
      <c r="V739" s="1"/>
      <c r="W739" s="1"/>
      <c r="X739" s="1"/>
    </row>
    <row r="740" spans="1:24">
      <c r="A740" s="1"/>
      <c r="M740" s="26"/>
      <c r="N740" s="26"/>
      <c r="P740" s="1"/>
      <c r="Q740" s="1"/>
      <c r="R740" s="1"/>
      <c r="S740" s="1"/>
      <c r="T740" s="1"/>
      <c r="U740" s="1"/>
      <c r="V740" s="1"/>
      <c r="W740" s="1"/>
      <c r="X740" s="1"/>
    </row>
    <row r="741" spans="1:24">
      <c r="A741" s="1"/>
      <c r="M741" s="26"/>
      <c r="N741" s="26"/>
      <c r="P741" s="1"/>
      <c r="Q741" s="1"/>
      <c r="R741" s="1"/>
      <c r="S741" s="1"/>
      <c r="T741" s="1"/>
      <c r="U741" s="1"/>
      <c r="V741" s="1"/>
      <c r="W741" s="1"/>
      <c r="X741" s="1"/>
    </row>
    <row r="742" spans="1:24">
      <c r="A742" s="1"/>
      <c r="M742" s="26"/>
      <c r="N742" s="26"/>
      <c r="P742" s="1"/>
      <c r="Q742" s="1"/>
      <c r="R742" s="1"/>
      <c r="S742" s="1"/>
      <c r="T742" s="1"/>
      <c r="U742" s="1"/>
      <c r="V742" s="1"/>
      <c r="W742" s="1"/>
      <c r="X742" s="1"/>
    </row>
    <row r="743" spans="1:24">
      <c r="A743" s="1"/>
      <c r="M743" s="26"/>
      <c r="N743" s="26"/>
      <c r="P743" s="1"/>
      <c r="Q743" s="1"/>
      <c r="R743" s="1"/>
      <c r="S743" s="1"/>
      <c r="T743" s="1"/>
      <c r="U743" s="1"/>
      <c r="V743" s="1"/>
      <c r="W743" s="1"/>
      <c r="X743" s="1"/>
    </row>
    <row r="744" spans="1:24">
      <c r="A744" s="1"/>
      <c r="M744" s="26"/>
      <c r="N744" s="26"/>
      <c r="P744" s="1"/>
      <c r="Q744" s="1"/>
      <c r="R744" s="1"/>
      <c r="S744" s="1"/>
      <c r="T744" s="1"/>
      <c r="U744" s="1"/>
      <c r="V744" s="1"/>
      <c r="W744" s="1"/>
      <c r="X744" s="1"/>
    </row>
    <row r="745" spans="1:24">
      <c r="A745" s="1"/>
      <c r="M745" s="26"/>
      <c r="N745" s="26"/>
      <c r="P745" s="1"/>
      <c r="Q745" s="1"/>
      <c r="R745" s="1"/>
      <c r="S745" s="1"/>
      <c r="T745" s="1"/>
      <c r="U745" s="1"/>
      <c r="V745" s="1"/>
      <c r="W745" s="1"/>
      <c r="X745" s="1"/>
    </row>
    <row r="746" spans="1:24">
      <c r="A746" s="1"/>
      <c r="M746" s="26"/>
      <c r="N746" s="26"/>
      <c r="P746" s="1"/>
      <c r="Q746" s="1"/>
      <c r="R746" s="1"/>
      <c r="S746" s="1"/>
      <c r="T746" s="1"/>
      <c r="U746" s="1"/>
      <c r="V746" s="1"/>
      <c r="W746" s="1"/>
      <c r="X746" s="1"/>
    </row>
    <row r="747" spans="1:24">
      <c r="A747" s="1"/>
      <c r="M747" s="26"/>
      <c r="N747" s="26"/>
      <c r="P747" s="1"/>
      <c r="Q747" s="1"/>
      <c r="R747" s="1"/>
      <c r="S747" s="1"/>
      <c r="T747" s="1"/>
      <c r="U747" s="1"/>
      <c r="V747" s="1"/>
      <c r="W747" s="1"/>
      <c r="X747" s="1"/>
    </row>
    <row r="748" spans="1:24">
      <c r="A748" s="1"/>
      <c r="M748" s="26"/>
      <c r="N748" s="26"/>
      <c r="P748" s="1"/>
      <c r="Q748" s="1"/>
      <c r="R748" s="1"/>
      <c r="S748" s="1"/>
      <c r="T748" s="1"/>
      <c r="U748" s="1"/>
      <c r="V748" s="1"/>
      <c r="W748" s="1"/>
      <c r="X748" s="1"/>
    </row>
    <row r="749" spans="1:24">
      <c r="A749" s="1"/>
      <c r="M749" s="26"/>
      <c r="N749" s="26"/>
      <c r="P749" s="1"/>
      <c r="Q749" s="1"/>
      <c r="R749" s="1"/>
      <c r="S749" s="1"/>
      <c r="T749" s="1"/>
      <c r="U749" s="1"/>
      <c r="V749" s="1"/>
      <c r="W749" s="1"/>
      <c r="X749" s="1"/>
    </row>
    <row r="750" spans="1:24">
      <c r="A750" s="1"/>
      <c r="M750" s="26"/>
      <c r="N750" s="26"/>
      <c r="P750" s="1"/>
      <c r="Q750" s="1"/>
      <c r="R750" s="1"/>
      <c r="S750" s="1"/>
      <c r="T750" s="1"/>
      <c r="U750" s="1"/>
      <c r="V750" s="1"/>
      <c r="W750" s="1"/>
      <c r="X750" s="1"/>
    </row>
    <row r="751" spans="1:24">
      <c r="A751" s="1"/>
      <c r="M751" s="26"/>
      <c r="N751" s="26"/>
      <c r="P751" s="1"/>
      <c r="Q751" s="1"/>
      <c r="R751" s="1"/>
      <c r="S751" s="1"/>
      <c r="T751" s="1"/>
      <c r="U751" s="1"/>
      <c r="V751" s="1"/>
      <c r="W751" s="1"/>
      <c r="X751" s="1"/>
    </row>
    <row r="752" spans="1:24">
      <c r="A752" s="1"/>
      <c r="M752" s="26"/>
      <c r="N752" s="26"/>
      <c r="P752" s="1"/>
      <c r="Q752" s="1"/>
      <c r="R752" s="1"/>
      <c r="S752" s="1"/>
      <c r="T752" s="1"/>
      <c r="U752" s="1"/>
      <c r="V752" s="1"/>
      <c r="W752" s="1"/>
      <c r="X752" s="1"/>
    </row>
    <row r="753" spans="1:24">
      <c r="A753" s="1"/>
      <c r="M753" s="26"/>
      <c r="N753" s="26"/>
      <c r="P753" s="1"/>
      <c r="Q753" s="1"/>
      <c r="R753" s="1"/>
      <c r="S753" s="1"/>
      <c r="T753" s="1"/>
      <c r="U753" s="1"/>
      <c r="V753" s="1"/>
      <c r="W753" s="1"/>
      <c r="X753" s="1"/>
    </row>
    <row r="754" spans="1:24">
      <c r="A754" s="1"/>
      <c r="M754" s="26"/>
      <c r="N754" s="26"/>
      <c r="P754" s="1"/>
      <c r="Q754" s="1"/>
      <c r="R754" s="1"/>
      <c r="S754" s="1"/>
      <c r="T754" s="1"/>
      <c r="U754" s="1"/>
      <c r="V754" s="1"/>
      <c r="W754" s="1"/>
      <c r="X754" s="1"/>
    </row>
    <row r="755" spans="1:24">
      <c r="A755" s="1"/>
      <c r="M755" s="26"/>
      <c r="N755" s="26"/>
      <c r="P755" s="1"/>
      <c r="Q755" s="1"/>
      <c r="R755" s="1"/>
      <c r="S755" s="1"/>
      <c r="T755" s="1"/>
      <c r="U755" s="1"/>
      <c r="V755" s="1"/>
      <c r="W755" s="1"/>
      <c r="X755" s="1"/>
    </row>
    <row r="756" spans="1:24">
      <c r="A756" s="1"/>
      <c r="M756" s="26"/>
      <c r="N756" s="26"/>
      <c r="P756" s="1"/>
      <c r="Q756" s="1"/>
      <c r="R756" s="1"/>
      <c r="S756" s="1"/>
      <c r="T756" s="1"/>
      <c r="U756" s="1"/>
      <c r="V756" s="1"/>
      <c r="W756" s="1"/>
      <c r="X756" s="1"/>
    </row>
    <row r="757" spans="1:24">
      <c r="A757" s="1"/>
      <c r="M757" s="26"/>
      <c r="N757" s="26"/>
      <c r="P757" s="1"/>
      <c r="Q757" s="1"/>
      <c r="R757" s="1"/>
      <c r="S757" s="1"/>
      <c r="T757" s="1"/>
      <c r="U757" s="1"/>
      <c r="V757" s="1"/>
      <c r="W757" s="1"/>
      <c r="X757" s="1"/>
    </row>
    <row r="758" spans="1:24">
      <c r="A758" s="1"/>
      <c r="M758" s="26"/>
      <c r="N758" s="26"/>
      <c r="P758" s="1"/>
      <c r="Q758" s="1"/>
      <c r="R758" s="1"/>
      <c r="S758" s="1"/>
      <c r="T758" s="1"/>
      <c r="U758" s="1"/>
      <c r="V758" s="1"/>
      <c r="W758" s="1"/>
      <c r="X758" s="1"/>
    </row>
    <row r="759" spans="1:24">
      <c r="A759" s="1"/>
      <c r="M759" s="26"/>
      <c r="N759" s="26"/>
      <c r="P759" s="1"/>
      <c r="Q759" s="1"/>
      <c r="R759" s="1"/>
      <c r="S759" s="1"/>
      <c r="T759" s="1"/>
      <c r="U759" s="1"/>
      <c r="V759" s="1"/>
      <c r="W759" s="1"/>
      <c r="X759" s="1"/>
    </row>
    <row r="760" spans="1:24">
      <c r="A760" s="1"/>
      <c r="M760" s="26"/>
      <c r="N760" s="26"/>
      <c r="P760" s="1"/>
      <c r="Q760" s="1"/>
      <c r="R760" s="1"/>
      <c r="S760" s="1"/>
      <c r="T760" s="1"/>
      <c r="U760" s="1"/>
      <c r="V760" s="1"/>
      <c r="W760" s="1"/>
      <c r="X760" s="1"/>
    </row>
    <row r="761" spans="1:24">
      <c r="A761" s="1"/>
      <c r="M761" s="26"/>
      <c r="N761" s="26"/>
      <c r="P761" s="1"/>
      <c r="Q761" s="1"/>
      <c r="R761" s="1"/>
      <c r="S761" s="1"/>
      <c r="T761" s="1"/>
      <c r="U761" s="1"/>
      <c r="V761" s="1"/>
      <c r="W761" s="1"/>
      <c r="X761" s="1"/>
    </row>
    <row r="762" spans="1:24">
      <c r="A762" s="1"/>
      <c r="M762" s="26"/>
      <c r="N762" s="26"/>
      <c r="P762" s="1"/>
      <c r="Q762" s="1"/>
      <c r="R762" s="1"/>
      <c r="S762" s="1"/>
      <c r="T762" s="1"/>
      <c r="U762" s="1"/>
      <c r="V762" s="1"/>
      <c r="W762" s="1"/>
      <c r="X762" s="1"/>
    </row>
    <row r="763" spans="1:24">
      <c r="A763" s="1"/>
      <c r="M763" s="26"/>
      <c r="N763" s="26"/>
      <c r="P763" s="1"/>
      <c r="Q763" s="1"/>
      <c r="R763" s="1"/>
      <c r="S763" s="1"/>
      <c r="T763" s="1"/>
      <c r="U763" s="1"/>
      <c r="V763" s="1"/>
      <c r="W763" s="1"/>
      <c r="X763" s="1"/>
    </row>
    <row r="764" spans="1:24">
      <c r="A764" s="1"/>
      <c r="M764" s="26"/>
      <c r="N764" s="26"/>
      <c r="P764" s="1"/>
      <c r="Q764" s="1"/>
      <c r="R764" s="1"/>
      <c r="S764" s="1"/>
      <c r="T764" s="1"/>
      <c r="U764" s="1"/>
      <c r="V764" s="1"/>
      <c r="W764" s="1"/>
      <c r="X764" s="1"/>
    </row>
    <row r="765" spans="1:24">
      <c r="A765" s="1"/>
      <c r="M765" s="26"/>
      <c r="N765" s="26"/>
      <c r="P765" s="1"/>
      <c r="Q765" s="1"/>
      <c r="R765" s="1"/>
      <c r="S765" s="1"/>
      <c r="T765" s="1"/>
      <c r="U765" s="1"/>
      <c r="V765" s="1"/>
      <c r="W765" s="1"/>
      <c r="X765" s="1"/>
    </row>
    <row r="766" spans="1:24">
      <c r="A766" s="1"/>
      <c r="M766" s="26"/>
      <c r="N766" s="26"/>
      <c r="P766" s="1"/>
      <c r="Q766" s="1"/>
      <c r="R766" s="1"/>
      <c r="S766" s="1"/>
      <c r="T766" s="1"/>
      <c r="U766" s="1"/>
      <c r="V766" s="1"/>
      <c r="W766" s="1"/>
      <c r="X766" s="1"/>
    </row>
    <row r="767" spans="1:24">
      <c r="A767" s="1"/>
      <c r="M767" s="26"/>
      <c r="N767" s="26"/>
      <c r="P767" s="1"/>
      <c r="Q767" s="1"/>
      <c r="R767" s="1"/>
      <c r="S767" s="1"/>
      <c r="T767" s="1"/>
      <c r="U767" s="1"/>
      <c r="V767" s="1"/>
      <c r="W767" s="1"/>
      <c r="X767" s="1"/>
    </row>
    <row r="768" spans="1:24">
      <c r="A768" s="1"/>
      <c r="M768" s="26"/>
      <c r="N768" s="26"/>
      <c r="P768" s="1"/>
      <c r="Q768" s="1"/>
      <c r="R768" s="1"/>
      <c r="S768" s="1"/>
      <c r="T768" s="1"/>
      <c r="U768" s="1"/>
      <c r="V768" s="1"/>
      <c r="W768" s="1"/>
      <c r="X768" s="1"/>
    </row>
    <row r="769" spans="1:24">
      <c r="A769" s="1"/>
      <c r="M769" s="26"/>
      <c r="N769" s="26"/>
      <c r="P769" s="1"/>
      <c r="Q769" s="1"/>
      <c r="R769" s="1"/>
      <c r="S769" s="1"/>
      <c r="T769" s="1"/>
      <c r="U769" s="1"/>
      <c r="V769" s="1"/>
      <c r="W769" s="1"/>
      <c r="X769" s="1"/>
    </row>
    <row r="770" spans="1:24">
      <c r="A770" s="1"/>
      <c r="M770" s="26"/>
      <c r="N770" s="26"/>
      <c r="P770" s="1"/>
      <c r="Q770" s="1"/>
      <c r="R770" s="1"/>
      <c r="S770" s="1"/>
      <c r="T770" s="1"/>
      <c r="U770" s="1"/>
      <c r="V770" s="1"/>
      <c r="W770" s="1"/>
      <c r="X770" s="1"/>
    </row>
    <row r="771" spans="1:24">
      <c r="A771" s="1"/>
      <c r="M771" s="26"/>
      <c r="N771" s="26"/>
      <c r="P771" s="1"/>
      <c r="Q771" s="1"/>
      <c r="R771" s="1"/>
      <c r="S771" s="1"/>
      <c r="T771" s="1"/>
      <c r="U771" s="1"/>
      <c r="V771" s="1"/>
      <c r="W771" s="1"/>
      <c r="X771" s="1"/>
    </row>
    <row r="772" spans="1:24">
      <c r="A772" s="1"/>
      <c r="M772" s="26"/>
      <c r="N772" s="26"/>
      <c r="P772" s="1"/>
      <c r="Q772" s="1"/>
      <c r="R772" s="1"/>
      <c r="S772" s="1"/>
      <c r="T772" s="1"/>
      <c r="U772" s="1"/>
      <c r="V772" s="1"/>
      <c r="W772" s="1"/>
      <c r="X772" s="1"/>
    </row>
    <row r="773" spans="1:24">
      <c r="A773" s="1"/>
      <c r="M773" s="26"/>
      <c r="N773" s="26"/>
      <c r="P773" s="1"/>
      <c r="Q773" s="1"/>
      <c r="R773" s="1"/>
      <c r="S773" s="1"/>
      <c r="T773" s="1"/>
      <c r="U773" s="1"/>
      <c r="V773" s="1"/>
      <c r="W773" s="1"/>
      <c r="X773" s="1"/>
    </row>
    <row r="774" spans="1:24">
      <c r="A774" s="1"/>
      <c r="M774" s="26"/>
      <c r="N774" s="26"/>
      <c r="P774" s="1"/>
      <c r="Q774" s="1"/>
      <c r="R774" s="1"/>
      <c r="S774" s="1"/>
      <c r="T774" s="1"/>
      <c r="U774" s="1"/>
      <c r="V774" s="1"/>
      <c r="W774" s="1"/>
      <c r="X774" s="1"/>
    </row>
    <row r="775" spans="1:24">
      <c r="A775" s="1"/>
      <c r="M775" s="26"/>
      <c r="N775" s="26"/>
      <c r="P775" s="1"/>
      <c r="Q775" s="1"/>
      <c r="R775" s="1"/>
      <c r="S775" s="1"/>
      <c r="T775" s="1"/>
      <c r="U775" s="1"/>
      <c r="V775" s="1"/>
      <c r="W775" s="1"/>
      <c r="X775" s="1"/>
    </row>
    <row r="776" spans="1:24">
      <c r="A776" s="1"/>
      <c r="M776" s="26"/>
      <c r="N776" s="26"/>
      <c r="P776" s="1"/>
      <c r="Q776" s="1"/>
      <c r="R776" s="1"/>
      <c r="S776" s="1"/>
      <c r="T776" s="1"/>
      <c r="U776" s="1"/>
      <c r="V776" s="1"/>
      <c r="W776" s="1"/>
      <c r="X776" s="1"/>
    </row>
    <row r="777" spans="1:24">
      <c r="A777" s="1"/>
      <c r="M777" s="26"/>
      <c r="N777" s="26"/>
      <c r="P777" s="1"/>
      <c r="Q777" s="1"/>
      <c r="R777" s="1"/>
      <c r="S777" s="1"/>
      <c r="T777" s="1"/>
      <c r="U777" s="1"/>
      <c r="V777" s="1"/>
      <c r="W777" s="1"/>
      <c r="X777" s="1"/>
    </row>
    <row r="778" spans="1:24">
      <c r="A778" s="1"/>
      <c r="M778" s="26"/>
      <c r="N778" s="26"/>
      <c r="P778" s="1"/>
      <c r="Q778" s="1"/>
      <c r="R778" s="1"/>
      <c r="S778" s="1"/>
      <c r="T778" s="1"/>
      <c r="U778" s="1"/>
      <c r="V778" s="1"/>
      <c r="W778" s="1"/>
      <c r="X778" s="1"/>
    </row>
    <row r="779" spans="1:24">
      <c r="A779" s="1"/>
      <c r="M779" s="26"/>
      <c r="N779" s="26"/>
      <c r="P779" s="1"/>
      <c r="Q779" s="1"/>
      <c r="R779" s="1"/>
      <c r="S779" s="1"/>
      <c r="T779" s="1"/>
      <c r="U779" s="1"/>
      <c r="V779" s="1"/>
      <c r="W779" s="1"/>
      <c r="X779" s="1"/>
    </row>
    <row r="780" spans="1:24">
      <c r="A780" s="1"/>
      <c r="M780" s="26"/>
      <c r="N780" s="26"/>
      <c r="P780" s="1"/>
      <c r="Q780" s="1"/>
      <c r="R780" s="1"/>
      <c r="S780" s="1"/>
      <c r="T780" s="1"/>
      <c r="U780" s="1"/>
      <c r="V780" s="1"/>
      <c r="W780" s="1"/>
      <c r="X780" s="1"/>
    </row>
    <row r="781" spans="1:24">
      <c r="A781" s="1"/>
      <c r="M781" s="26"/>
      <c r="N781" s="26"/>
      <c r="P781" s="1"/>
      <c r="Q781" s="1"/>
      <c r="R781" s="1"/>
      <c r="S781" s="1"/>
      <c r="T781" s="1"/>
      <c r="U781" s="1"/>
      <c r="V781" s="1"/>
      <c r="W781" s="1"/>
      <c r="X781" s="1"/>
    </row>
    <row r="782" spans="1:24">
      <c r="A782" s="1"/>
      <c r="M782" s="26"/>
      <c r="N782" s="26"/>
      <c r="P782" s="1"/>
      <c r="Q782" s="1"/>
      <c r="R782" s="1"/>
      <c r="S782" s="1"/>
      <c r="T782" s="1"/>
      <c r="U782" s="1"/>
      <c r="V782" s="1"/>
      <c r="W782" s="1"/>
      <c r="X782" s="1"/>
    </row>
    <row r="783" spans="1:24">
      <c r="A783" s="1"/>
      <c r="M783" s="26"/>
      <c r="N783" s="26"/>
      <c r="P783" s="1"/>
      <c r="Q783" s="1"/>
      <c r="R783" s="1"/>
      <c r="S783" s="1"/>
      <c r="T783" s="1"/>
      <c r="U783" s="1"/>
      <c r="V783" s="1"/>
      <c r="W783" s="1"/>
      <c r="X783" s="1"/>
    </row>
    <row r="784" spans="1:24">
      <c r="A784" s="1"/>
      <c r="M784" s="26"/>
      <c r="N784" s="26"/>
      <c r="P784" s="1"/>
      <c r="Q784" s="1"/>
      <c r="R784" s="1"/>
      <c r="S784" s="1"/>
      <c r="T784" s="1"/>
      <c r="U784" s="1"/>
      <c r="V784" s="1"/>
      <c r="W784" s="1"/>
      <c r="X784" s="1"/>
    </row>
    <row r="785" spans="1:24">
      <c r="A785" s="1"/>
      <c r="M785" s="26"/>
      <c r="N785" s="26"/>
      <c r="P785" s="1"/>
      <c r="Q785" s="1"/>
      <c r="R785" s="1"/>
      <c r="S785" s="1"/>
      <c r="T785" s="1"/>
      <c r="U785" s="1"/>
      <c r="V785" s="1"/>
      <c r="W785" s="1"/>
      <c r="X785" s="1"/>
    </row>
    <row r="786" spans="1:24">
      <c r="A786" s="1"/>
      <c r="M786" s="26"/>
      <c r="N786" s="26"/>
      <c r="P786" s="1"/>
      <c r="Q786" s="1"/>
      <c r="R786" s="1"/>
      <c r="S786" s="1"/>
      <c r="T786" s="1"/>
      <c r="U786" s="1"/>
      <c r="V786" s="1"/>
      <c r="W786" s="1"/>
      <c r="X786" s="1"/>
    </row>
    <row r="787" spans="1:24">
      <c r="A787" s="1"/>
      <c r="M787" s="26"/>
      <c r="N787" s="26"/>
      <c r="P787" s="1"/>
      <c r="Q787" s="1"/>
      <c r="R787" s="1"/>
      <c r="S787" s="1"/>
      <c r="T787" s="1"/>
      <c r="U787" s="1"/>
      <c r="V787" s="1"/>
      <c r="W787" s="1"/>
      <c r="X787" s="1"/>
    </row>
    <row r="788" spans="1:24">
      <c r="A788" s="1"/>
      <c r="M788" s="26"/>
      <c r="N788" s="26"/>
      <c r="P788" s="1"/>
      <c r="Q788" s="1"/>
      <c r="R788" s="1"/>
      <c r="S788" s="1"/>
      <c r="T788" s="1"/>
      <c r="U788" s="1"/>
      <c r="V788" s="1"/>
      <c r="W788" s="1"/>
      <c r="X788" s="1"/>
    </row>
    <row r="789" spans="1:24">
      <c r="A789" s="1"/>
      <c r="M789" s="26"/>
      <c r="N789" s="26"/>
      <c r="P789" s="1"/>
      <c r="Q789" s="1"/>
      <c r="R789" s="1"/>
      <c r="S789" s="1"/>
      <c r="T789" s="1"/>
      <c r="U789" s="1"/>
      <c r="V789" s="1"/>
      <c r="W789" s="1"/>
      <c r="X789" s="1"/>
    </row>
    <row r="790" spans="1:24">
      <c r="A790" s="1"/>
      <c r="M790" s="26"/>
      <c r="N790" s="26"/>
      <c r="P790" s="1"/>
      <c r="Q790" s="1"/>
      <c r="R790" s="1"/>
      <c r="S790" s="1"/>
      <c r="T790" s="1"/>
      <c r="U790" s="1"/>
      <c r="V790" s="1"/>
      <c r="W790" s="1"/>
      <c r="X790" s="1"/>
    </row>
    <row r="791" spans="1:24">
      <c r="A791" s="1"/>
      <c r="M791" s="26"/>
      <c r="N791" s="26"/>
      <c r="P791" s="1"/>
      <c r="Q791" s="1"/>
      <c r="R791" s="1"/>
      <c r="S791" s="1"/>
      <c r="T791" s="1"/>
      <c r="U791" s="1"/>
      <c r="V791" s="1"/>
      <c r="W791" s="1"/>
      <c r="X791" s="1"/>
    </row>
    <row r="792" spans="1:24">
      <c r="A792" s="1"/>
      <c r="M792" s="26"/>
      <c r="N792" s="26"/>
      <c r="P792" s="1"/>
      <c r="Q792" s="1"/>
      <c r="R792" s="1"/>
      <c r="S792" s="1"/>
      <c r="T792" s="1"/>
      <c r="U792" s="1"/>
      <c r="V792" s="1"/>
      <c r="W792" s="1"/>
      <c r="X792" s="1"/>
    </row>
    <row r="793" spans="1:24">
      <c r="A793" s="1"/>
      <c r="M793" s="26"/>
      <c r="N793" s="26"/>
      <c r="P793" s="1"/>
      <c r="Q793" s="1"/>
      <c r="R793" s="1"/>
      <c r="S793" s="1"/>
      <c r="T793" s="1"/>
      <c r="U793" s="1"/>
      <c r="V793" s="1"/>
      <c r="W793" s="1"/>
      <c r="X793" s="1"/>
    </row>
    <row r="794" spans="1:24">
      <c r="A794" s="1"/>
      <c r="M794" s="26"/>
      <c r="N794" s="26"/>
      <c r="P794" s="1"/>
      <c r="Q794" s="1"/>
      <c r="R794" s="1"/>
      <c r="S794" s="1"/>
      <c r="T794" s="1"/>
      <c r="U794" s="1"/>
      <c r="V794" s="1"/>
      <c r="W794" s="1"/>
      <c r="X794" s="1"/>
    </row>
    <row r="795" spans="1:24">
      <c r="A795" s="1"/>
      <c r="M795" s="26"/>
      <c r="N795" s="26"/>
      <c r="P795" s="1"/>
      <c r="Q795" s="1"/>
      <c r="R795" s="1"/>
      <c r="S795" s="1"/>
      <c r="T795" s="1"/>
      <c r="U795" s="1"/>
      <c r="V795" s="1"/>
      <c r="W795" s="1"/>
      <c r="X795" s="1"/>
    </row>
    <row r="796" spans="1:24">
      <c r="A796" s="1"/>
      <c r="M796" s="26"/>
      <c r="N796" s="26"/>
      <c r="P796" s="1"/>
      <c r="Q796" s="1"/>
      <c r="R796" s="1"/>
      <c r="S796" s="1"/>
      <c r="T796" s="1"/>
      <c r="U796" s="1"/>
      <c r="V796" s="1"/>
      <c r="W796" s="1"/>
      <c r="X796" s="1"/>
    </row>
    <row r="797" spans="1:24">
      <c r="A797" s="1"/>
      <c r="M797" s="26"/>
      <c r="N797" s="26"/>
      <c r="P797" s="1"/>
      <c r="Q797" s="1"/>
      <c r="R797" s="1"/>
      <c r="S797" s="1"/>
      <c r="T797" s="1"/>
      <c r="U797" s="1"/>
      <c r="V797" s="1"/>
      <c r="W797" s="1"/>
      <c r="X797" s="1"/>
    </row>
    <row r="798" spans="1:24">
      <c r="A798" s="1"/>
      <c r="M798" s="26"/>
      <c r="N798" s="26"/>
      <c r="P798" s="1"/>
      <c r="Q798" s="1"/>
      <c r="R798" s="1"/>
      <c r="S798" s="1"/>
      <c r="T798" s="1"/>
      <c r="U798" s="1"/>
      <c r="V798" s="1"/>
      <c r="W798" s="1"/>
      <c r="X798" s="1"/>
    </row>
    <row r="799" spans="1:24">
      <c r="A799" s="1"/>
      <c r="M799" s="26"/>
      <c r="N799" s="26"/>
      <c r="P799" s="1"/>
      <c r="Q799" s="1"/>
      <c r="R799" s="1"/>
      <c r="S799" s="1"/>
      <c r="T799" s="1"/>
      <c r="U799" s="1"/>
      <c r="V799" s="1"/>
      <c r="W799" s="1"/>
      <c r="X799" s="1"/>
    </row>
    <row r="800" spans="1:24">
      <c r="A800" s="1"/>
      <c r="M800" s="26"/>
      <c r="N800" s="26"/>
      <c r="P800" s="1"/>
      <c r="Q800" s="1"/>
      <c r="R800" s="1"/>
      <c r="S800" s="1"/>
      <c r="T800" s="1"/>
      <c r="U800" s="1"/>
      <c r="V800" s="1"/>
      <c r="W800" s="1"/>
      <c r="X800" s="1"/>
    </row>
    <row r="801" spans="1:24">
      <c r="A801" s="1"/>
      <c r="M801" s="26"/>
      <c r="N801" s="26"/>
      <c r="P801" s="1"/>
      <c r="Q801" s="1"/>
      <c r="R801" s="1"/>
      <c r="S801" s="1"/>
      <c r="T801" s="1"/>
      <c r="U801" s="1"/>
      <c r="V801" s="1"/>
      <c r="W801" s="1"/>
      <c r="X801" s="1"/>
    </row>
    <row r="802" spans="1:24">
      <c r="A802" s="1"/>
      <c r="M802" s="26"/>
      <c r="N802" s="26"/>
      <c r="P802" s="1"/>
      <c r="Q802" s="1"/>
      <c r="R802" s="1"/>
      <c r="S802" s="1"/>
      <c r="T802" s="1"/>
      <c r="U802" s="1"/>
      <c r="V802" s="1"/>
      <c r="W802" s="1"/>
      <c r="X802" s="1"/>
    </row>
    <row r="803" spans="1:24">
      <c r="A803" s="1"/>
      <c r="M803" s="26"/>
      <c r="N803" s="26"/>
      <c r="P803" s="1"/>
      <c r="Q803" s="1"/>
      <c r="R803" s="1"/>
      <c r="S803" s="1"/>
      <c r="T803" s="1"/>
      <c r="U803" s="1"/>
      <c r="V803" s="1"/>
      <c r="W803" s="1"/>
      <c r="X803" s="1"/>
    </row>
    <row r="804" spans="1:24">
      <c r="A804" s="1"/>
      <c r="M804" s="26"/>
      <c r="N804" s="26"/>
      <c r="P804" s="1"/>
      <c r="Q804" s="1"/>
      <c r="R804" s="1"/>
      <c r="S804" s="1"/>
      <c r="T804" s="1"/>
      <c r="U804" s="1"/>
      <c r="V804" s="1"/>
      <c r="W804" s="1"/>
      <c r="X804" s="1"/>
    </row>
    <row r="805" spans="1:24">
      <c r="A805" s="1"/>
      <c r="M805" s="26"/>
      <c r="N805" s="26"/>
      <c r="P805" s="1"/>
      <c r="Q805" s="1"/>
      <c r="R805" s="1"/>
      <c r="S805" s="1"/>
      <c r="T805" s="1"/>
      <c r="U805" s="1"/>
      <c r="V805" s="1"/>
      <c r="W805" s="1"/>
      <c r="X805" s="1"/>
    </row>
    <row r="806" spans="1:24">
      <c r="A806" s="1"/>
      <c r="M806" s="26"/>
      <c r="N806" s="26"/>
      <c r="P806" s="1"/>
      <c r="Q806" s="1"/>
      <c r="R806" s="1"/>
      <c r="S806" s="1"/>
      <c r="T806" s="1"/>
      <c r="U806" s="1"/>
      <c r="V806" s="1"/>
      <c r="W806" s="1"/>
      <c r="X806" s="1"/>
    </row>
    <row r="807" spans="1:24">
      <c r="A807" s="1"/>
      <c r="M807" s="26"/>
      <c r="N807" s="26"/>
      <c r="P807" s="1"/>
      <c r="Q807" s="1"/>
      <c r="R807" s="1"/>
      <c r="S807" s="1"/>
      <c r="T807" s="1"/>
      <c r="U807" s="1"/>
      <c r="V807" s="1"/>
      <c r="W807" s="1"/>
      <c r="X807" s="1"/>
    </row>
    <row r="808" spans="1:24">
      <c r="A808" s="1"/>
      <c r="M808" s="26"/>
      <c r="N808" s="26"/>
      <c r="P808" s="1"/>
      <c r="Q808" s="1"/>
      <c r="R808" s="1"/>
      <c r="S808" s="1"/>
      <c r="T808" s="1"/>
      <c r="U808" s="1"/>
      <c r="V808" s="1"/>
      <c r="W808" s="1"/>
      <c r="X808" s="1"/>
    </row>
    <row r="809" spans="1:24">
      <c r="A809" s="1"/>
      <c r="M809" s="26"/>
      <c r="N809" s="26"/>
      <c r="P809" s="1"/>
      <c r="Q809" s="1"/>
      <c r="R809" s="1"/>
      <c r="S809" s="1"/>
      <c r="T809" s="1"/>
      <c r="U809" s="1"/>
      <c r="V809" s="1"/>
      <c r="W809" s="1"/>
      <c r="X809" s="1"/>
    </row>
    <row r="810" spans="1:24">
      <c r="A810" s="1"/>
      <c r="M810" s="26"/>
      <c r="N810" s="26"/>
      <c r="P810" s="1"/>
      <c r="Q810" s="1"/>
      <c r="R810" s="1"/>
      <c r="S810" s="1"/>
      <c r="T810" s="1"/>
      <c r="U810" s="1"/>
      <c r="V810" s="1"/>
      <c r="W810" s="1"/>
      <c r="X810" s="1"/>
    </row>
    <row r="811" spans="1:24">
      <c r="A811" s="1"/>
      <c r="M811" s="26"/>
      <c r="N811" s="26"/>
      <c r="P811" s="1"/>
      <c r="Q811" s="1"/>
      <c r="R811" s="1"/>
      <c r="S811" s="1"/>
      <c r="T811" s="1"/>
      <c r="U811" s="1"/>
      <c r="V811" s="1"/>
      <c r="W811" s="1"/>
      <c r="X811" s="1"/>
    </row>
    <row r="812" spans="1:24">
      <c r="A812" s="1"/>
      <c r="M812" s="26"/>
      <c r="N812" s="26"/>
      <c r="P812" s="1"/>
      <c r="Q812" s="1"/>
      <c r="R812" s="1"/>
      <c r="S812" s="1"/>
      <c r="T812" s="1"/>
      <c r="U812" s="1"/>
      <c r="V812" s="1"/>
      <c r="W812" s="1"/>
      <c r="X812" s="1"/>
    </row>
    <row r="813" spans="1:24">
      <c r="A813" s="1"/>
      <c r="M813" s="26"/>
      <c r="N813" s="26"/>
      <c r="P813" s="1"/>
      <c r="Q813" s="1"/>
      <c r="R813" s="1"/>
      <c r="S813" s="1"/>
      <c r="T813" s="1"/>
      <c r="U813" s="1"/>
      <c r="V813" s="1"/>
      <c r="W813" s="1"/>
      <c r="X813" s="1"/>
    </row>
    <row r="814" spans="1:24">
      <c r="A814" s="1"/>
      <c r="M814" s="26"/>
      <c r="N814" s="26"/>
      <c r="P814" s="1"/>
      <c r="Q814" s="1"/>
      <c r="R814" s="1"/>
      <c r="S814" s="1"/>
      <c r="T814" s="1"/>
      <c r="U814" s="1"/>
      <c r="V814" s="1"/>
      <c r="W814" s="1"/>
      <c r="X814" s="1"/>
    </row>
    <row r="815" spans="1:24">
      <c r="A815" s="1"/>
      <c r="M815" s="26"/>
      <c r="N815" s="26"/>
      <c r="P815" s="1"/>
      <c r="Q815" s="1"/>
      <c r="R815" s="1"/>
      <c r="S815" s="1"/>
      <c r="T815" s="1"/>
      <c r="U815" s="1"/>
      <c r="V815" s="1"/>
      <c r="W815" s="1"/>
      <c r="X815" s="1"/>
    </row>
    <row r="816" spans="1:24">
      <c r="A816" s="1"/>
      <c r="M816" s="26"/>
      <c r="N816" s="26"/>
      <c r="P816" s="1"/>
      <c r="Q816" s="1"/>
      <c r="R816" s="1"/>
      <c r="S816" s="1"/>
      <c r="T816" s="1"/>
      <c r="U816" s="1"/>
      <c r="V816" s="1"/>
      <c r="W816" s="1"/>
      <c r="X816" s="1"/>
    </row>
    <row r="817" spans="1:24">
      <c r="A817" s="1"/>
      <c r="M817" s="26"/>
      <c r="N817" s="26"/>
      <c r="P817" s="1"/>
      <c r="Q817" s="1"/>
      <c r="R817" s="1"/>
      <c r="S817" s="1"/>
      <c r="T817" s="1"/>
      <c r="U817" s="1"/>
      <c r="V817" s="1"/>
      <c r="W817" s="1"/>
      <c r="X817" s="1"/>
    </row>
    <row r="818" spans="1:24">
      <c r="A818" s="1"/>
      <c r="M818" s="26"/>
      <c r="N818" s="26"/>
      <c r="P818" s="1"/>
      <c r="Q818" s="1"/>
      <c r="R818" s="1"/>
      <c r="S818" s="1"/>
      <c r="T818" s="1"/>
      <c r="U818" s="1"/>
      <c r="V818" s="1"/>
      <c r="W818" s="1"/>
      <c r="X818" s="1"/>
    </row>
    <row r="819" spans="1:24">
      <c r="A819" s="1"/>
      <c r="M819" s="26"/>
      <c r="N819" s="26"/>
      <c r="P819" s="1"/>
      <c r="Q819" s="1"/>
      <c r="R819" s="1"/>
      <c r="S819" s="1"/>
      <c r="T819" s="1"/>
      <c r="U819" s="1"/>
      <c r="V819" s="1"/>
      <c r="W819" s="1"/>
      <c r="X819" s="1"/>
    </row>
    <row r="820" spans="1:24">
      <c r="A820" s="1"/>
      <c r="M820" s="26"/>
      <c r="N820" s="26"/>
      <c r="P820" s="1"/>
      <c r="Q820" s="1"/>
      <c r="R820" s="1"/>
      <c r="S820" s="1"/>
      <c r="T820" s="1"/>
      <c r="U820" s="1"/>
      <c r="V820" s="1"/>
      <c r="W820" s="1"/>
      <c r="X820" s="1"/>
    </row>
    <row r="821" spans="1:24">
      <c r="A821" s="1"/>
      <c r="M821" s="26"/>
      <c r="N821" s="26"/>
      <c r="P821" s="1"/>
      <c r="Q821" s="1"/>
      <c r="R821" s="1"/>
      <c r="S821" s="1"/>
      <c r="T821" s="1"/>
      <c r="U821" s="1"/>
      <c r="V821" s="1"/>
      <c r="W821" s="1"/>
      <c r="X821" s="1"/>
    </row>
    <row r="822" spans="1:24">
      <c r="A822" s="1"/>
      <c r="M822" s="26"/>
      <c r="N822" s="26"/>
      <c r="P822" s="1"/>
      <c r="Q822" s="1"/>
      <c r="R822" s="1"/>
      <c r="S822" s="1"/>
      <c r="T822" s="1"/>
      <c r="U822" s="1"/>
      <c r="V822" s="1"/>
      <c r="W822" s="1"/>
      <c r="X822" s="1"/>
    </row>
    <row r="823" spans="1:24">
      <c r="A823" s="1"/>
      <c r="M823" s="26"/>
      <c r="N823" s="26"/>
      <c r="P823" s="1"/>
      <c r="Q823" s="1"/>
      <c r="R823" s="1"/>
      <c r="S823" s="1"/>
      <c r="T823" s="1"/>
      <c r="U823" s="1"/>
      <c r="V823" s="1"/>
      <c r="W823" s="1"/>
      <c r="X823" s="1"/>
    </row>
    <row r="824" spans="1:24">
      <c r="A824" s="1"/>
      <c r="M824" s="26"/>
      <c r="N824" s="26"/>
      <c r="P824" s="1"/>
      <c r="Q824" s="1"/>
      <c r="R824" s="1"/>
      <c r="S824" s="1"/>
      <c r="T824" s="1"/>
      <c r="U824" s="1"/>
      <c r="V824" s="1"/>
      <c r="W824" s="1"/>
      <c r="X824" s="1"/>
    </row>
    <row r="825" spans="1:24">
      <c r="A825" s="1"/>
      <c r="M825" s="26"/>
      <c r="N825" s="26"/>
      <c r="P825" s="1"/>
      <c r="Q825" s="1"/>
      <c r="R825" s="1"/>
      <c r="S825" s="1"/>
      <c r="T825" s="1"/>
      <c r="U825" s="1"/>
      <c r="V825" s="1"/>
      <c r="W825" s="1"/>
      <c r="X825" s="1"/>
    </row>
    <row r="826" spans="1:24">
      <c r="A826" s="1"/>
      <c r="M826" s="26"/>
      <c r="N826" s="26"/>
      <c r="P826" s="1"/>
      <c r="Q826" s="1"/>
      <c r="R826" s="1"/>
      <c r="S826" s="1"/>
      <c r="T826" s="1"/>
      <c r="U826" s="1"/>
      <c r="V826" s="1"/>
      <c r="W826" s="1"/>
      <c r="X826" s="1"/>
    </row>
    <row r="827" spans="1:24">
      <c r="A827" s="1"/>
      <c r="M827" s="26"/>
      <c r="N827" s="26"/>
      <c r="P827" s="1"/>
      <c r="Q827" s="1"/>
      <c r="R827" s="1"/>
      <c r="S827" s="1"/>
      <c r="T827" s="1"/>
      <c r="U827" s="1"/>
      <c r="V827" s="1"/>
      <c r="W827" s="1"/>
      <c r="X827" s="1"/>
    </row>
    <row r="828" spans="1:24">
      <c r="A828" s="1"/>
      <c r="M828" s="26"/>
      <c r="N828" s="26"/>
      <c r="P828" s="1"/>
      <c r="Q828" s="1"/>
      <c r="R828" s="1"/>
      <c r="S828" s="1"/>
      <c r="T828" s="1"/>
      <c r="U828" s="1"/>
      <c r="V828" s="1"/>
      <c r="W828" s="1"/>
      <c r="X828" s="1"/>
    </row>
    <row r="829" spans="1:24">
      <c r="A829" s="1"/>
      <c r="M829" s="26"/>
      <c r="N829" s="26"/>
      <c r="P829" s="1"/>
      <c r="Q829" s="1"/>
      <c r="R829" s="1"/>
      <c r="S829" s="1"/>
      <c r="T829" s="1"/>
      <c r="U829" s="1"/>
      <c r="V829" s="1"/>
      <c r="W829" s="1"/>
      <c r="X829" s="1"/>
    </row>
    <row r="830" spans="1:24">
      <c r="A830" s="1"/>
      <c r="M830" s="26"/>
      <c r="N830" s="26"/>
      <c r="P830" s="1"/>
      <c r="Q830" s="1"/>
      <c r="R830" s="1"/>
      <c r="S830" s="1"/>
      <c r="T830" s="1"/>
      <c r="U830" s="1"/>
      <c r="V830" s="1"/>
      <c r="W830" s="1"/>
      <c r="X830" s="1"/>
    </row>
    <row r="831" spans="1:24">
      <c r="A831" s="1"/>
      <c r="M831" s="26"/>
      <c r="N831" s="26"/>
      <c r="P831" s="1"/>
      <c r="Q831" s="1"/>
      <c r="R831" s="1"/>
      <c r="S831" s="1"/>
      <c r="T831" s="1"/>
      <c r="U831" s="1"/>
      <c r="V831" s="1"/>
      <c r="W831" s="1"/>
      <c r="X831" s="1"/>
    </row>
    <row r="832" spans="1:24">
      <c r="A832" s="1"/>
      <c r="M832" s="26"/>
      <c r="N832" s="26"/>
      <c r="P832" s="1"/>
      <c r="Q832" s="1"/>
      <c r="R832" s="1"/>
      <c r="S832" s="1"/>
      <c r="T832" s="1"/>
      <c r="U832" s="1"/>
      <c r="V832" s="1"/>
      <c r="W832" s="1"/>
      <c r="X832" s="1"/>
    </row>
    <row r="833" spans="1:24">
      <c r="A833" s="1"/>
      <c r="M833" s="26"/>
      <c r="N833" s="26"/>
      <c r="P833" s="1"/>
      <c r="Q833" s="1"/>
      <c r="R833" s="1"/>
      <c r="S833" s="1"/>
      <c r="T833" s="1"/>
      <c r="U833" s="1"/>
      <c r="V833" s="1"/>
      <c r="W833" s="1"/>
      <c r="X833" s="1"/>
    </row>
    <row r="834" spans="1:24">
      <c r="A834" s="1"/>
      <c r="M834" s="26"/>
      <c r="N834" s="26"/>
      <c r="P834" s="1"/>
      <c r="Q834" s="1"/>
      <c r="R834" s="1"/>
      <c r="S834" s="1"/>
      <c r="T834" s="1"/>
      <c r="U834" s="1"/>
      <c r="V834" s="1"/>
      <c r="W834" s="1"/>
      <c r="X834" s="1"/>
    </row>
    <row r="835" spans="1:24">
      <c r="A835" s="1"/>
      <c r="M835" s="26"/>
      <c r="N835" s="26"/>
      <c r="P835" s="1"/>
      <c r="Q835" s="1"/>
      <c r="R835" s="1"/>
      <c r="S835" s="1"/>
      <c r="T835" s="1"/>
      <c r="U835" s="1"/>
      <c r="V835" s="1"/>
      <c r="W835" s="1"/>
      <c r="X835" s="1"/>
    </row>
    <row r="836" spans="1:24">
      <c r="A836" s="1"/>
      <c r="M836" s="26"/>
      <c r="N836" s="26"/>
      <c r="P836" s="1"/>
      <c r="Q836" s="1"/>
      <c r="R836" s="1"/>
      <c r="S836" s="1"/>
      <c r="T836" s="1"/>
      <c r="U836" s="1"/>
      <c r="V836" s="1"/>
      <c r="W836" s="1"/>
      <c r="X836" s="1"/>
    </row>
    <row r="837" spans="1:24">
      <c r="A837" s="1"/>
      <c r="M837" s="26"/>
      <c r="N837" s="26"/>
      <c r="P837" s="1"/>
      <c r="Q837" s="1"/>
      <c r="R837" s="1"/>
      <c r="S837" s="1"/>
      <c r="T837" s="1"/>
      <c r="U837" s="1"/>
      <c r="V837" s="1"/>
      <c r="W837" s="1"/>
      <c r="X837" s="1"/>
    </row>
    <row r="838" spans="1:24">
      <c r="A838" s="1"/>
      <c r="M838" s="26"/>
      <c r="N838" s="26"/>
      <c r="P838" s="1"/>
      <c r="Q838" s="1"/>
      <c r="R838" s="1"/>
      <c r="S838" s="1"/>
      <c r="T838" s="1"/>
      <c r="U838" s="1"/>
      <c r="V838" s="1"/>
      <c r="W838" s="1"/>
      <c r="X838" s="1"/>
    </row>
    <row r="839" spans="1:24">
      <c r="A839" s="1"/>
      <c r="M839" s="26"/>
      <c r="N839" s="26"/>
      <c r="P839" s="1"/>
      <c r="Q839" s="1"/>
      <c r="R839" s="1"/>
      <c r="S839" s="1"/>
      <c r="T839" s="1"/>
      <c r="U839" s="1"/>
      <c r="V839" s="1"/>
      <c r="W839" s="1"/>
      <c r="X839" s="1"/>
    </row>
    <row r="840" spans="1:24">
      <c r="A840" s="1"/>
      <c r="M840" s="26"/>
      <c r="N840" s="26"/>
      <c r="P840" s="1"/>
      <c r="Q840" s="1"/>
      <c r="R840" s="1"/>
      <c r="S840" s="1"/>
      <c r="T840" s="1"/>
      <c r="U840" s="1"/>
      <c r="V840" s="1"/>
      <c r="W840" s="1"/>
      <c r="X840" s="1"/>
    </row>
    <row r="841" spans="1:24">
      <c r="A841" s="1"/>
      <c r="M841" s="26"/>
      <c r="N841" s="26"/>
      <c r="P841" s="1"/>
      <c r="Q841" s="1"/>
      <c r="R841" s="1"/>
      <c r="S841" s="1"/>
      <c r="T841" s="1"/>
      <c r="U841" s="1"/>
      <c r="V841" s="1"/>
      <c r="W841" s="1"/>
      <c r="X841" s="1"/>
    </row>
    <row r="842" spans="1:24">
      <c r="A842" s="1"/>
      <c r="M842" s="26"/>
      <c r="N842" s="26"/>
      <c r="P842" s="1"/>
      <c r="Q842" s="1"/>
      <c r="R842" s="1"/>
      <c r="S842" s="1"/>
      <c r="T842" s="1"/>
      <c r="U842" s="1"/>
      <c r="V842" s="1"/>
      <c r="W842" s="1"/>
      <c r="X842" s="1"/>
    </row>
    <row r="843" spans="1:24">
      <c r="A843" s="1"/>
      <c r="M843" s="26"/>
      <c r="N843" s="26"/>
      <c r="P843" s="1"/>
      <c r="Q843" s="1"/>
      <c r="R843" s="1"/>
      <c r="S843" s="1"/>
      <c r="T843" s="1"/>
      <c r="U843" s="1"/>
      <c r="V843" s="1"/>
      <c r="W843" s="1"/>
      <c r="X843" s="1"/>
    </row>
    <row r="844" spans="1:24">
      <c r="A844" s="1"/>
      <c r="M844" s="26"/>
      <c r="N844" s="26"/>
      <c r="P844" s="1"/>
      <c r="Q844" s="1"/>
      <c r="R844" s="1"/>
      <c r="S844" s="1"/>
      <c r="T844" s="1"/>
      <c r="U844" s="1"/>
      <c r="V844" s="1"/>
      <c r="W844" s="1"/>
      <c r="X844" s="1"/>
    </row>
    <row r="845" spans="1:24">
      <c r="A845" s="1"/>
      <c r="M845" s="26"/>
      <c r="N845" s="26"/>
      <c r="P845" s="1"/>
      <c r="Q845" s="1"/>
      <c r="R845" s="1"/>
      <c r="S845" s="1"/>
      <c r="T845" s="1"/>
      <c r="U845" s="1"/>
      <c r="V845" s="1"/>
      <c r="W845" s="1"/>
      <c r="X845" s="1"/>
    </row>
    <row r="846" spans="1:24">
      <c r="A846" s="1"/>
      <c r="M846" s="26"/>
      <c r="N846" s="26"/>
      <c r="P846" s="1"/>
      <c r="Q846" s="1"/>
      <c r="R846" s="1"/>
      <c r="S846" s="1"/>
      <c r="T846" s="1"/>
      <c r="U846" s="1"/>
      <c r="V846" s="1"/>
      <c r="W846" s="1"/>
      <c r="X846" s="1"/>
    </row>
    <row r="847" spans="1:24">
      <c r="A847" s="1"/>
      <c r="M847" s="26"/>
      <c r="N847" s="26"/>
      <c r="P847" s="1"/>
      <c r="Q847" s="1"/>
      <c r="R847" s="1"/>
      <c r="S847" s="1"/>
      <c r="T847" s="1"/>
      <c r="U847" s="1"/>
      <c r="V847" s="1"/>
      <c r="W847" s="1"/>
      <c r="X847" s="1"/>
    </row>
    <row r="848" spans="1:24">
      <c r="A848" s="1"/>
      <c r="M848" s="26"/>
      <c r="N848" s="26"/>
      <c r="P848" s="1"/>
      <c r="Q848" s="1"/>
      <c r="R848" s="1"/>
      <c r="S848" s="1"/>
      <c r="T848" s="1"/>
      <c r="U848" s="1"/>
      <c r="V848" s="1"/>
      <c r="W848" s="1"/>
      <c r="X848" s="1"/>
    </row>
    <row r="849" spans="1:24">
      <c r="A849" s="1"/>
      <c r="M849" s="26"/>
      <c r="N849" s="26"/>
      <c r="P849" s="1"/>
      <c r="Q849" s="1"/>
      <c r="R849" s="1"/>
      <c r="S849" s="1"/>
      <c r="T849" s="1"/>
      <c r="U849" s="1"/>
      <c r="V849" s="1"/>
      <c r="W849" s="1"/>
      <c r="X849" s="1"/>
    </row>
    <row r="850" spans="1:24">
      <c r="A850" s="1"/>
      <c r="M850" s="26"/>
      <c r="N850" s="26"/>
      <c r="P850" s="1"/>
      <c r="Q850" s="1"/>
      <c r="R850" s="1"/>
      <c r="S850" s="1"/>
      <c r="T850" s="1"/>
      <c r="U850" s="1"/>
      <c r="V850" s="1"/>
      <c r="W850" s="1"/>
      <c r="X850" s="1"/>
    </row>
    <row r="851" spans="1:24">
      <c r="A851" s="1"/>
      <c r="M851" s="26"/>
      <c r="N851" s="26"/>
      <c r="P851" s="1"/>
      <c r="Q851" s="1"/>
      <c r="R851" s="1"/>
      <c r="S851" s="1"/>
      <c r="T851" s="1"/>
      <c r="U851" s="1"/>
      <c r="V851" s="1"/>
      <c r="W851" s="1"/>
      <c r="X851" s="1"/>
    </row>
    <row r="852" spans="1:24">
      <c r="A852" s="1"/>
      <c r="M852" s="26"/>
      <c r="N852" s="26"/>
      <c r="P852" s="1"/>
      <c r="Q852" s="1"/>
      <c r="R852" s="1"/>
      <c r="S852" s="1"/>
      <c r="T852" s="1"/>
      <c r="U852" s="1"/>
      <c r="V852" s="1"/>
      <c r="W852" s="1"/>
      <c r="X852" s="1"/>
    </row>
    <row r="853" spans="1:24">
      <c r="A853" s="1"/>
      <c r="M853" s="26"/>
      <c r="N853" s="26"/>
      <c r="P853" s="1"/>
      <c r="Q853" s="1"/>
      <c r="R853" s="1"/>
      <c r="S853" s="1"/>
      <c r="T853" s="1"/>
      <c r="U853" s="1"/>
      <c r="V853" s="1"/>
      <c r="W853" s="1"/>
      <c r="X853" s="1"/>
    </row>
    <row r="854" spans="1:24">
      <c r="A854" s="1"/>
      <c r="M854" s="26"/>
      <c r="N854" s="26"/>
      <c r="P854" s="1"/>
      <c r="Q854" s="1"/>
      <c r="R854" s="1"/>
      <c r="S854" s="1"/>
      <c r="T854" s="1"/>
      <c r="U854" s="1"/>
      <c r="V854" s="1"/>
      <c r="W854" s="1"/>
      <c r="X854" s="1"/>
    </row>
    <row r="855" spans="1:24">
      <c r="A855" s="1"/>
      <c r="M855" s="26"/>
      <c r="N855" s="26"/>
      <c r="P855" s="1"/>
      <c r="Q855" s="1"/>
      <c r="R855" s="1"/>
      <c r="S855" s="1"/>
      <c r="T855" s="1"/>
      <c r="U855" s="1"/>
      <c r="V855" s="1"/>
      <c r="W855" s="1"/>
      <c r="X855" s="1"/>
    </row>
    <row r="856" spans="1:24">
      <c r="A856" s="1"/>
      <c r="M856" s="26"/>
      <c r="N856" s="26"/>
      <c r="P856" s="1"/>
      <c r="Q856" s="1"/>
      <c r="R856" s="1"/>
      <c r="S856" s="1"/>
      <c r="T856" s="1"/>
      <c r="U856" s="1"/>
      <c r="V856" s="1"/>
      <c r="W856" s="1"/>
      <c r="X856" s="1"/>
    </row>
    <row r="857" spans="1:24">
      <c r="A857" s="1"/>
      <c r="M857" s="26"/>
      <c r="N857" s="26"/>
      <c r="P857" s="1"/>
      <c r="Q857" s="1"/>
      <c r="R857" s="1"/>
      <c r="S857" s="1"/>
      <c r="T857" s="1"/>
      <c r="U857" s="1"/>
      <c r="V857" s="1"/>
      <c r="W857" s="1"/>
      <c r="X857" s="1"/>
    </row>
    <row r="858" spans="1:24">
      <c r="A858" s="1"/>
      <c r="M858" s="26"/>
      <c r="N858" s="26"/>
      <c r="P858" s="1"/>
      <c r="Q858" s="1"/>
      <c r="R858" s="1"/>
      <c r="S858" s="1"/>
      <c r="T858" s="1"/>
      <c r="U858" s="1"/>
      <c r="V858" s="1"/>
      <c r="W858" s="1"/>
      <c r="X858" s="1"/>
    </row>
    <row r="859" spans="1:24">
      <c r="A859" s="1"/>
      <c r="M859" s="26"/>
      <c r="N859" s="26"/>
      <c r="P859" s="1"/>
      <c r="Q859" s="1"/>
      <c r="R859" s="1"/>
      <c r="S859" s="1"/>
      <c r="T859" s="1"/>
      <c r="U859" s="1"/>
      <c r="V859" s="1"/>
      <c r="W859" s="1"/>
      <c r="X859" s="1"/>
    </row>
    <row r="860" spans="1:24">
      <c r="A860" s="1"/>
      <c r="M860" s="26"/>
      <c r="N860" s="26"/>
      <c r="P860" s="1"/>
      <c r="Q860" s="1"/>
      <c r="R860" s="1"/>
      <c r="S860" s="1"/>
      <c r="T860" s="1"/>
      <c r="U860" s="1"/>
      <c r="V860" s="1"/>
      <c r="W860" s="1"/>
      <c r="X860" s="1"/>
    </row>
    <row r="861" spans="1:24">
      <c r="A861" s="1"/>
      <c r="M861" s="26"/>
      <c r="N861" s="26"/>
      <c r="P861" s="1"/>
      <c r="Q861" s="1"/>
      <c r="R861" s="1"/>
      <c r="S861" s="1"/>
      <c r="T861" s="1"/>
      <c r="U861" s="1"/>
      <c r="V861" s="1"/>
      <c r="W861" s="1"/>
      <c r="X861" s="1"/>
    </row>
    <row r="862" spans="1:24">
      <c r="A862" s="1"/>
      <c r="M862" s="26"/>
      <c r="N862" s="26"/>
      <c r="P862" s="1"/>
      <c r="Q862" s="1"/>
      <c r="R862" s="1"/>
      <c r="S862" s="1"/>
      <c r="T862" s="1"/>
      <c r="U862" s="1"/>
      <c r="V862" s="1"/>
      <c r="W862" s="1"/>
      <c r="X862" s="1"/>
    </row>
    <row r="863" spans="1:24">
      <c r="A863" s="1"/>
      <c r="M863" s="26"/>
      <c r="N863" s="26"/>
      <c r="P863" s="1"/>
      <c r="Q863" s="1"/>
      <c r="R863" s="1"/>
      <c r="S863" s="1"/>
      <c r="T863" s="1"/>
      <c r="U863" s="1"/>
      <c r="V863" s="1"/>
      <c r="W863" s="1"/>
      <c r="X863" s="1"/>
    </row>
    <row r="864" spans="1:24">
      <c r="A864" s="1"/>
      <c r="M864" s="26"/>
      <c r="N864" s="26"/>
      <c r="P864" s="1"/>
      <c r="Q864" s="1"/>
      <c r="R864" s="1"/>
      <c r="S864" s="1"/>
      <c r="T864" s="1"/>
      <c r="U864" s="1"/>
      <c r="V864" s="1"/>
      <c r="W864" s="1"/>
      <c r="X864" s="1"/>
    </row>
    <row r="865" spans="1:24">
      <c r="A865" s="1"/>
      <c r="M865" s="26"/>
      <c r="N865" s="26"/>
      <c r="P865" s="1"/>
      <c r="Q865" s="1"/>
      <c r="R865" s="1"/>
      <c r="S865" s="1"/>
      <c r="T865" s="1"/>
      <c r="U865" s="1"/>
      <c r="V865" s="1"/>
      <c r="W865" s="1"/>
      <c r="X865" s="1"/>
    </row>
    <row r="866" spans="1:24">
      <c r="A866" s="1"/>
      <c r="M866" s="26"/>
      <c r="N866" s="26"/>
      <c r="P866" s="1"/>
      <c r="Q866" s="1"/>
      <c r="R866" s="1"/>
      <c r="S866" s="1"/>
      <c r="T866" s="1"/>
      <c r="U866" s="1"/>
      <c r="V866" s="1"/>
      <c r="W866" s="1"/>
      <c r="X866" s="1"/>
    </row>
    <row r="867" spans="1:24">
      <c r="A867" s="1"/>
      <c r="M867" s="26"/>
      <c r="N867" s="26"/>
      <c r="P867" s="1"/>
      <c r="Q867" s="1"/>
      <c r="R867" s="1"/>
      <c r="S867" s="1"/>
      <c r="T867" s="1"/>
      <c r="U867" s="1"/>
      <c r="V867" s="1"/>
      <c r="W867" s="1"/>
      <c r="X867" s="1"/>
    </row>
    <row r="868" spans="1:24">
      <c r="A868" s="1"/>
      <c r="M868" s="26"/>
      <c r="N868" s="26"/>
      <c r="P868" s="1"/>
      <c r="Q868" s="1"/>
      <c r="R868" s="1"/>
      <c r="S868" s="1"/>
      <c r="T868" s="1"/>
      <c r="U868" s="1"/>
      <c r="V868" s="1"/>
      <c r="W868" s="1"/>
      <c r="X868" s="1"/>
    </row>
    <row r="869" spans="1:24">
      <c r="A869" s="1"/>
      <c r="M869" s="26"/>
      <c r="N869" s="26"/>
      <c r="P869" s="1"/>
      <c r="Q869" s="1"/>
      <c r="R869" s="1"/>
      <c r="S869" s="1"/>
      <c r="T869" s="1"/>
      <c r="U869" s="1"/>
      <c r="V869" s="1"/>
      <c r="W869" s="1"/>
      <c r="X869" s="1"/>
    </row>
    <row r="870" spans="1:24">
      <c r="A870" s="1"/>
      <c r="M870" s="26"/>
      <c r="N870" s="26"/>
      <c r="P870" s="1"/>
      <c r="Q870" s="1"/>
      <c r="R870" s="1"/>
      <c r="S870" s="1"/>
      <c r="T870" s="1"/>
      <c r="U870" s="1"/>
      <c r="V870" s="1"/>
      <c r="W870" s="1"/>
      <c r="X870" s="1"/>
    </row>
    <row r="871" spans="1:24">
      <c r="A871" s="1"/>
      <c r="M871" s="26"/>
      <c r="N871" s="26"/>
      <c r="P871" s="1"/>
      <c r="Q871" s="1"/>
      <c r="R871" s="1"/>
      <c r="S871" s="1"/>
      <c r="T871" s="1"/>
      <c r="U871" s="1"/>
      <c r="V871" s="1"/>
      <c r="W871" s="1"/>
      <c r="X871" s="1"/>
    </row>
    <row r="872" spans="1:24">
      <c r="A872" s="1"/>
      <c r="M872" s="26"/>
      <c r="N872" s="26"/>
      <c r="P872" s="1"/>
      <c r="Q872" s="1"/>
      <c r="R872" s="1"/>
      <c r="S872" s="1"/>
      <c r="T872" s="1"/>
      <c r="U872" s="1"/>
      <c r="V872" s="1"/>
      <c r="W872" s="1"/>
      <c r="X872" s="1"/>
    </row>
    <row r="873" spans="1:24">
      <c r="A873" s="1"/>
      <c r="M873" s="26"/>
      <c r="N873" s="26"/>
      <c r="P873" s="1"/>
      <c r="Q873" s="1"/>
      <c r="R873" s="1"/>
      <c r="S873" s="1"/>
      <c r="T873" s="1"/>
      <c r="U873" s="1"/>
      <c r="V873" s="1"/>
      <c r="W873" s="1"/>
      <c r="X873" s="1"/>
    </row>
    <row r="874" spans="1:24">
      <c r="A874" s="1"/>
      <c r="M874" s="26"/>
      <c r="N874" s="26"/>
      <c r="P874" s="1"/>
      <c r="Q874" s="1"/>
      <c r="R874" s="1"/>
      <c r="S874" s="1"/>
      <c r="T874" s="1"/>
      <c r="U874" s="1"/>
      <c r="V874" s="1"/>
      <c r="W874" s="1"/>
      <c r="X874" s="1"/>
    </row>
    <row r="875" spans="1:24">
      <c r="A875" s="1"/>
      <c r="M875" s="26"/>
      <c r="N875" s="26"/>
      <c r="P875" s="1"/>
      <c r="Q875" s="1"/>
      <c r="R875" s="1"/>
      <c r="S875" s="1"/>
      <c r="T875" s="1"/>
      <c r="U875" s="1"/>
      <c r="V875" s="1"/>
      <c r="W875" s="1"/>
      <c r="X875" s="1"/>
    </row>
    <row r="876" spans="1:24">
      <c r="A876" s="1"/>
      <c r="M876" s="26"/>
      <c r="N876" s="26"/>
      <c r="P876" s="1"/>
      <c r="Q876" s="1"/>
      <c r="R876" s="1"/>
      <c r="S876" s="1"/>
      <c r="T876" s="1"/>
      <c r="U876" s="1"/>
      <c r="V876" s="1"/>
      <c r="W876" s="1"/>
      <c r="X876" s="1"/>
    </row>
    <row r="877" spans="1:24">
      <c r="A877" s="1"/>
      <c r="M877" s="26"/>
      <c r="N877" s="26"/>
      <c r="P877" s="1"/>
      <c r="Q877" s="1"/>
      <c r="R877" s="1"/>
      <c r="S877" s="1"/>
      <c r="T877" s="1"/>
      <c r="U877" s="1"/>
      <c r="V877" s="1"/>
      <c r="W877" s="1"/>
      <c r="X877" s="1"/>
    </row>
    <row r="878" spans="1:24">
      <c r="A878" s="1"/>
      <c r="M878" s="26"/>
      <c r="N878" s="26"/>
      <c r="P878" s="1"/>
      <c r="Q878" s="1"/>
      <c r="R878" s="1"/>
      <c r="S878" s="1"/>
      <c r="T878" s="1"/>
      <c r="U878" s="1"/>
      <c r="V878" s="1"/>
      <c r="W878" s="1"/>
      <c r="X878" s="1"/>
    </row>
    <row r="879" spans="1:24">
      <c r="A879" s="1"/>
      <c r="M879" s="26"/>
      <c r="N879" s="26"/>
      <c r="P879" s="1"/>
      <c r="Q879" s="1"/>
      <c r="R879" s="1"/>
      <c r="S879" s="1"/>
      <c r="T879" s="1"/>
      <c r="U879" s="1"/>
      <c r="V879" s="1"/>
      <c r="W879" s="1"/>
      <c r="X879" s="1"/>
    </row>
    <row r="880" spans="1:24">
      <c r="A880" s="1"/>
      <c r="M880" s="26"/>
      <c r="N880" s="26"/>
      <c r="P880" s="1"/>
      <c r="Q880" s="1"/>
      <c r="R880" s="1"/>
      <c r="S880" s="1"/>
      <c r="T880" s="1"/>
      <c r="U880" s="1"/>
      <c r="V880" s="1"/>
      <c r="W880" s="1"/>
      <c r="X880" s="1"/>
    </row>
    <row r="881" spans="1:24">
      <c r="A881" s="1"/>
      <c r="M881" s="26"/>
      <c r="N881" s="26"/>
      <c r="P881" s="1"/>
      <c r="Q881" s="1"/>
      <c r="R881" s="1"/>
      <c r="S881" s="1"/>
      <c r="T881" s="1"/>
      <c r="U881" s="1"/>
      <c r="V881" s="1"/>
      <c r="W881" s="1"/>
      <c r="X881" s="1"/>
    </row>
    <row r="882" spans="1:24">
      <c r="A882" s="1"/>
      <c r="M882" s="26"/>
      <c r="N882" s="26"/>
      <c r="P882" s="1"/>
      <c r="Q882" s="1"/>
      <c r="R882" s="1"/>
      <c r="S882" s="1"/>
      <c r="T882" s="1"/>
      <c r="U882" s="1"/>
      <c r="V882" s="1"/>
      <c r="W882" s="1"/>
      <c r="X882" s="1"/>
    </row>
    <row r="883" spans="1:24">
      <c r="A883" s="1"/>
      <c r="M883" s="26"/>
      <c r="N883" s="26"/>
      <c r="P883" s="1"/>
      <c r="Q883" s="1"/>
      <c r="R883" s="1"/>
      <c r="S883" s="1"/>
      <c r="T883" s="1"/>
      <c r="U883" s="1"/>
      <c r="V883" s="1"/>
      <c r="W883" s="1"/>
      <c r="X883" s="1"/>
    </row>
    <row r="884" spans="1:24">
      <c r="A884" s="1"/>
      <c r="M884" s="26"/>
      <c r="N884" s="26"/>
      <c r="P884" s="1"/>
      <c r="Q884" s="1"/>
      <c r="R884" s="1"/>
      <c r="S884" s="1"/>
      <c r="T884" s="1"/>
      <c r="U884" s="1"/>
      <c r="V884" s="1"/>
      <c r="W884" s="1"/>
      <c r="X884" s="1"/>
    </row>
    <row r="885" spans="1:24">
      <c r="A885" s="1"/>
      <c r="M885" s="26"/>
      <c r="N885" s="26"/>
      <c r="P885" s="1"/>
      <c r="Q885" s="1"/>
      <c r="R885" s="1"/>
      <c r="S885" s="1"/>
      <c r="T885" s="1"/>
      <c r="U885" s="1"/>
      <c r="V885" s="1"/>
      <c r="W885" s="1"/>
      <c r="X885" s="1"/>
    </row>
    <row r="886" spans="1:24">
      <c r="A886" s="1"/>
      <c r="M886" s="26"/>
      <c r="N886" s="26"/>
      <c r="P886" s="1"/>
      <c r="Q886" s="1"/>
      <c r="R886" s="1"/>
      <c r="S886" s="1"/>
      <c r="T886" s="1"/>
      <c r="U886" s="1"/>
      <c r="V886" s="1"/>
      <c r="W886" s="1"/>
      <c r="X886" s="1"/>
    </row>
    <row r="887" spans="1:24">
      <c r="A887" s="1"/>
      <c r="M887" s="26"/>
      <c r="N887" s="26"/>
      <c r="P887" s="1"/>
      <c r="Q887" s="1"/>
      <c r="R887" s="1"/>
      <c r="S887" s="1"/>
      <c r="T887" s="1"/>
      <c r="U887" s="1"/>
      <c r="V887" s="1"/>
      <c r="W887" s="1"/>
      <c r="X887" s="1"/>
    </row>
    <row r="888" spans="1:24">
      <c r="A888" s="1"/>
      <c r="M888" s="26"/>
      <c r="N888" s="26"/>
      <c r="P888" s="1"/>
      <c r="Q888" s="1"/>
      <c r="R888" s="1"/>
      <c r="S888" s="1"/>
      <c r="T888" s="1"/>
      <c r="U888" s="1"/>
      <c r="V888" s="1"/>
      <c r="W888" s="1"/>
      <c r="X888" s="1"/>
    </row>
    <row r="889" spans="1:24">
      <c r="A889" s="1"/>
      <c r="M889" s="26"/>
      <c r="N889" s="26"/>
      <c r="P889" s="1"/>
      <c r="Q889" s="1"/>
      <c r="R889" s="1"/>
      <c r="S889" s="1"/>
      <c r="T889" s="1"/>
      <c r="U889" s="1"/>
      <c r="V889" s="1"/>
      <c r="W889" s="1"/>
      <c r="X889" s="1"/>
    </row>
    <row r="890" spans="1:24">
      <c r="A890" s="1"/>
      <c r="M890" s="26"/>
      <c r="N890" s="26"/>
      <c r="P890" s="1"/>
      <c r="Q890" s="1"/>
      <c r="R890" s="1"/>
      <c r="S890" s="1"/>
      <c r="T890" s="1"/>
      <c r="U890" s="1"/>
      <c r="V890" s="1"/>
      <c r="W890" s="1"/>
      <c r="X890" s="1"/>
    </row>
    <row r="891" spans="1:24">
      <c r="A891" s="1"/>
      <c r="M891" s="26"/>
      <c r="N891" s="26"/>
      <c r="P891" s="1"/>
      <c r="Q891" s="1"/>
      <c r="R891" s="1"/>
      <c r="S891" s="1"/>
      <c r="T891" s="1"/>
      <c r="U891" s="1"/>
      <c r="V891" s="1"/>
      <c r="W891" s="1"/>
      <c r="X891" s="1"/>
    </row>
    <row r="892" spans="1:24">
      <c r="A892" s="1"/>
      <c r="M892" s="26"/>
      <c r="N892" s="26"/>
      <c r="P892" s="1"/>
      <c r="Q892" s="1"/>
      <c r="R892" s="1"/>
      <c r="S892" s="1"/>
      <c r="T892" s="1"/>
      <c r="U892" s="1"/>
      <c r="V892" s="1"/>
      <c r="W892" s="1"/>
      <c r="X892" s="1"/>
    </row>
    <row r="893" spans="1:24">
      <c r="A893" s="1"/>
      <c r="M893" s="26"/>
      <c r="N893" s="26"/>
      <c r="P893" s="1"/>
      <c r="Q893" s="1"/>
      <c r="R893" s="1"/>
      <c r="S893" s="1"/>
      <c r="T893" s="1"/>
      <c r="U893" s="1"/>
      <c r="V893" s="1"/>
      <c r="W893" s="1"/>
      <c r="X893" s="1"/>
    </row>
    <row r="894" spans="1:24">
      <c r="A894" s="1"/>
      <c r="M894" s="26"/>
      <c r="N894" s="26"/>
      <c r="P894" s="1"/>
      <c r="Q894" s="1"/>
      <c r="R894" s="1"/>
      <c r="S894" s="1"/>
      <c r="T894" s="1"/>
      <c r="U894" s="1"/>
      <c r="V894" s="1"/>
      <c r="W894" s="1"/>
      <c r="X894" s="1"/>
    </row>
    <row r="895" spans="1:24">
      <c r="A895" s="1"/>
      <c r="M895" s="26"/>
      <c r="N895" s="26"/>
      <c r="P895" s="1"/>
      <c r="Q895" s="1"/>
      <c r="R895" s="1"/>
      <c r="S895" s="1"/>
      <c r="T895" s="1"/>
      <c r="U895" s="1"/>
      <c r="V895" s="1"/>
      <c r="W895" s="1"/>
      <c r="X895" s="1"/>
    </row>
    <row r="896" spans="1:24">
      <c r="A896" s="1"/>
      <c r="M896" s="26"/>
      <c r="N896" s="26"/>
      <c r="P896" s="1"/>
      <c r="Q896" s="1"/>
      <c r="R896" s="1"/>
      <c r="S896" s="1"/>
      <c r="T896" s="1"/>
      <c r="U896" s="1"/>
      <c r="V896" s="1"/>
      <c r="W896" s="1"/>
      <c r="X896" s="1"/>
    </row>
    <row r="897" spans="1:24">
      <c r="A897" s="1"/>
      <c r="M897" s="26"/>
      <c r="N897" s="26"/>
      <c r="P897" s="1"/>
      <c r="Q897" s="1"/>
      <c r="R897" s="1"/>
      <c r="S897" s="1"/>
      <c r="T897" s="1"/>
      <c r="U897" s="1"/>
      <c r="V897" s="1"/>
      <c r="W897" s="1"/>
      <c r="X897" s="1"/>
    </row>
    <row r="898" spans="1:24">
      <c r="A898" s="1"/>
      <c r="M898" s="26"/>
      <c r="N898" s="26"/>
      <c r="P898" s="1"/>
      <c r="Q898" s="1"/>
      <c r="R898" s="1"/>
      <c r="S898" s="1"/>
      <c r="T898" s="1"/>
      <c r="U898" s="1"/>
      <c r="V898" s="1"/>
      <c r="W898" s="1"/>
      <c r="X898" s="1"/>
    </row>
    <row r="899" spans="1:24">
      <c r="A899" s="1"/>
      <c r="M899" s="26"/>
      <c r="N899" s="26"/>
      <c r="P899" s="1"/>
      <c r="Q899" s="1"/>
      <c r="R899" s="1"/>
      <c r="S899" s="1"/>
      <c r="T899" s="1"/>
      <c r="U899" s="1"/>
      <c r="V899" s="1"/>
      <c r="W899" s="1"/>
      <c r="X899" s="1"/>
    </row>
    <row r="900" spans="1:24">
      <c r="A900" s="1"/>
      <c r="M900" s="26"/>
      <c r="N900" s="26"/>
      <c r="P900" s="1"/>
      <c r="Q900" s="1"/>
      <c r="R900" s="1"/>
      <c r="S900" s="1"/>
      <c r="T900" s="1"/>
      <c r="U900" s="1"/>
      <c r="V900" s="1"/>
      <c r="W900" s="1"/>
      <c r="X900" s="1"/>
    </row>
    <row r="901" spans="1:24">
      <c r="A901" s="1"/>
      <c r="M901" s="26"/>
      <c r="N901" s="26"/>
      <c r="P901" s="1"/>
      <c r="Q901" s="1"/>
      <c r="R901" s="1"/>
      <c r="S901" s="1"/>
      <c r="T901" s="1"/>
      <c r="U901" s="1"/>
      <c r="V901" s="1"/>
      <c r="W901" s="1"/>
      <c r="X901" s="1"/>
    </row>
    <row r="902" spans="1:24">
      <c r="A902" s="1"/>
      <c r="M902" s="26"/>
      <c r="N902" s="26"/>
      <c r="P902" s="1"/>
      <c r="Q902" s="1"/>
      <c r="R902" s="1"/>
      <c r="S902" s="1"/>
      <c r="T902" s="1"/>
      <c r="U902" s="1"/>
      <c r="V902" s="1"/>
      <c r="W902" s="1"/>
      <c r="X902" s="1"/>
    </row>
    <row r="903" spans="1:24">
      <c r="A903" s="1"/>
      <c r="M903" s="26"/>
      <c r="N903" s="26"/>
      <c r="P903" s="1"/>
      <c r="Q903" s="1"/>
      <c r="R903" s="1"/>
      <c r="S903" s="1"/>
      <c r="T903" s="1"/>
      <c r="U903" s="1"/>
      <c r="V903" s="1"/>
      <c r="W903" s="1"/>
      <c r="X903" s="1"/>
    </row>
    <row r="904" spans="1:24">
      <c r="A904" s="1"/>
      <c r="M904" s="26"/>
      <c r="N904" s="26"/>
      <c r="P904" s="1"/>
      <c r="Q904" s="1"/>
      <c r="R904" s="1"/>
      <c r="S904" s="1"/>
      <c r="T904" s="1"/>
      <c r="U904" s="1"/>
      <c r="V904" s="1"/>
      <c r="W904" s="1"/>
      <c r="X904" s="1"/>
    </row>
    <row r="905" spans="1:24">
      <c r="A905" s="1"/>
      <c r="M905" s="26"/>
      <c r="N905" s="26"/>
      <c r="P905" s="1"/>
      <c r="Q905" s="1"/>
      <c r="R905" s="1"/>
      <c r="S905" s="1"/>
      <c r="T905" s="1"/>
      <c r="U905" s="1"/>
      <c r="V905" s="1"/>
      <c r="W905" s="1"/>
      <c r="X905" s="1"/>
    </row>
    <row r="906" spans="1:24">
      <c r="A906" s="1"/>
      <c r="M906" s="26"/>
      <c r="N906" s="26"/>
      <c r="P906" s="1"/>
      <c r="Q906" s="1"/>
      <c r="R906" s="1"/>
      <c r="S906" s="1"/>
      <c r="T906" s="1"/>
      <c r="U906" s="1"/>
      <c r="V906" s="1"/>
      <c r="W906" s="1"/>
      <c r="X906" s="1"/>
    </row>
    <row r="907" spans="1:24">
      <c r="A907" s="1"/>
      <c r="M907" s="26"/>
      <c r="N907" s="26"/>
      <c r="P907" s="1"/>
      <c r="Q907" s="1"/>
      <c r="R907" s="1"/>
      <c r="S907" s="1"/>
      <c r="T907" s="1"/>
      <c r="U907" s="1"/>
      <c r="V907" s="1"/>
      <c r="W907" s="1"/>
      <c r="X907" s="1"/>
    </row>
    <row r="908" spans="1:24">
      <c r="A908" s="1"/>
      <c r="M908" s="26"/>
      <c r="N908" s="26"/>
      <c r="P908" s="1"/>
      <c r="Q908" s="1"/>
      <c r="R908" s="1"/>
      <c r="S908" s="1"/>
      <c r="T908" s="1"/>
      <c r="U908" s="1"/>
      <c r="V908" s="1"/>
      <c r="W908" s="1"/>
      <c r="X908" s="1"/>
    </row>
    <row r="909" spans="1:24">
      <c r="A909" s="1"/>
      <c r="M909" s="26"/>
      <c r="N909" s="26"/>
      <c r="P909" s="1"/>
      <c r="Q909" s="1"/>
      <c r="R909" s="1"/>
      <c r="S909" s="1"/>
      <c r="T909" s="1"/>
      <c r="U909" s="1"/>
      <c r="V909" s="1"/>
      <c r="W909" s="1"/>
      <c r="X909" s="1"/>
    </row>
    <row r="910" spans="1:24">
      <c r="A910" s="1"/>
      <c r="M910" s="26"/>
      <c r="N910" s="26"/>
      <c r="P910" s="1"/>
      <c r="Q910" s="1"/>
      <c r="R910" s="1"/>
      <c r="S910" s="1"/>
      <c r="T910" s="1"/>
      <c r="U910" s="1"/>
      <c r="V910" s="1"/>
      <c r="W910" s="1"/>
      <c r="X910" s="1"/>
    </row>
    <row r="911" spans="1:24">
      <c r="A911" s="1"/>
      <c r="M911" s="26"/>
      <c r="N911" s="26"/>
      <c r="P911" s="1"/>
      <c r="Q911" s="1"/>
      <c r="R911" s="1"/>
      <c r="S911" s="1"/>
      <c r="T911" s="1"/>
      <c r="U911" s="1"/>
      <c r="V911" s="1"/>
      <c r="W911" s="1"/>
      <c r="X911" s="1"/>
    </row>
    <row r="912" spans="1:24">
      <c r="A912" s="1"/>
      <c r="M912" s="26"/>
      <c r="N912" s="26"/>
      <c r="P912" s="1"/>
      <c r="Q912" s="1"/>
      <c r="R912" s="1"/>
      <c r="S912" s="1"/>
      <c r="T912" s="1"/>
      <c r="U912" s="1"/>
      <c r="V912" s="1"/>
      <c r="W912" s="1"/>
      <c r="X912" s="1"/>
    </row>
    <row r="913" spans="1:24">
      <c r="A913" s="1"/>
      <c r="M913" s="26"/>
      <c r="N913" s="26"/>
      <c r="P913" s="1"/>
      <c r="Q913" s="1"/>
      <c r="R913" s="1"/>
      <c r="S913" s="1"/>
      <c r="T913" s="1"/>
      <c r="U913" s="1"/>
      <c r="V913" s="1"/>
      <c r="W913" s="1"/>
      <c r="X913" s="1"/>
    </row>
    <row r="914" spans="1:24">
      <c r="A914" s="1"/>
      <c r="M914" s="26"/>
      <c r="N914" s="26"/>
      <c r="P914" s="1"/>
      <c r="Q914" s="1"/>
      <c r="R914" s="1"/>
      <c r="S914" s="1"/>
      <c r="T914" s="1"/>
      <c r="U914" s="1"/>
      <c r="V914" s="1"/>
      <c r="W914" s="1"/>
      <c r="X914" s="1"/>
    </row>
    <row r="915" spans="1:24">
      <c r="A915" s="1"/>
      <c r="M915" s="26"/>
      <c r="N915" s="26"/>
      <c r="P915" s="1"/>
      <c r="Q915" s="1"/>
      <c r="R915" s="1"/>
      <c r="S915" s="1"/>
      <c r="T915" s="1"/>
      <c r="U915" s="1"/>
      <c r="V915" s="1"/>
      <c r="W915" s="1"/>
      <c r="X915" s="1"/>
    </row>
    <row r="916" spans="1:24">
      <c r="A916" s="1"/>
      <c r="M916" s="26"/>
      <c r="N916" s="26"/>
      <c r="P916" s="1"/>
      <c r="Q916" s="1"/>
      <c r="R916" s="1"/>
      <c r="S916" s="1"/>
      <c r="T916" s="1"/>
      <c r="U916" s="1"/>
      <c r="V916" s="1"/>
      <c r="W916" s="1"/>
      <c r="X916" s="1"/>
    </row>
    <row r="917" spans="1:24">
      <c r="A917" s="1"/>
      <c r="M917" s="26"/>
      <c r="N917" s="26"/>
      <c r="P917" s="1"/>
      <c r="Q917" s="1"/>
      <c r="R917" s="1"/>
      <c r="S917" s="1"/>
      <c r="T917" s="1"/>
      <c r="U917" s="1"/>
      <c r="V917" s="1"/>
      <c r="W917" s="1"/>
      <c r="X917" s="1"/>
    </row>
    <row r="918" spans="1:24">
      <c r="A918" s="1"/>
      <c r="M918" s="26"/>
      <c r="N918" s="26"/>
      <c r="P918" s="1"/>
      <c r="Q918" s="1"/>
      <c r="R918" s="1"/>
      <c r="S918" s="1"/>
      <c r="T918" s="1"/>
      <c r="U918" s="1"/>
      <c r="V918" s="1"/>
      <c r="W918" s="1"/>
      <c r="X918" s="1"/>
    </row>
    <row r="919" spans="1:24">
      <c r="A919" s="1"/>
      <c r="M919" s="26"/>
      <c r="N919" s="26"/>
      <c r="P919" s="1"/>
      <c r="Q919" s="1"/>
      <c r="R919" s="1"/>
      <c r="S919" s="1"/>
      <c r="T919" s="1"/>
      <c r="U919" s="1"/>
      <c r="V919" s="1"/>
      <c r="W919" s="1"/>
      <c r="X919" s="1"/>
    </row>
    <row r="920" spans="1:24">
      <c r="A920" s="1"/>
      <c r="M920" s="26"/>
      <c r="N920" s="26"/>
      <c r="P920" s="1"/>
      <c r="Q920" s="1"/>
      <c r="R920" s="1"/>
      <c r="S920" s="1"/>
      <c r="T920" s="1"/>
      <c r="U920" s="1"/>
      <c r="V920" s="1"/>
      <c r="W920" s="1"/>
      <c r="X920" s="1"/>
    </row>
    <row r="921" spans="1:24">
      <c r="A921" s="1"/>
      <c r="M921" s="26"/>
      <c r="N921" s="26"/>
      <c r="P921" s="1"/>
      <c r="Q921" s="1"/>
      <c r="R921" s="1"/>
      <c r="S921" s="1"/>
      <c r="T921" s="1"/>
      <c r="U921" s="1"/>
      <c r="V921" s="1"/>
      <c r="W921" s="1"/>
      <c r="X921" s="1"/>
    </row>
    <row r="922" spans="1:24">
      <c r="A922" s="1"/>
      <c r="M922" s="26"/>
      <c r="N922" s="26"/>
      <c r="P922" s="1"/>
      <c r="Q922" s="1"/>
      <c r="R922" s="1"/>
      <c r="S922" s="1"/>
      <c r="T922" s="1"/>
      <c r="U922" s="1"/>
      <c r="V922" s="1"/>
      <c r="W922" s="1"/>
      <c r="X922" s="1"/>
    </row>
    <row r="923" spans="1:24">
      <c r="A923" s="1"/>
      <c r="M923" s="26"/>
      <c r="N923" s="26"/>
      <c r="P923" s="1"/>
      <c r="Q923" s="1"/>
      <c r="R923" s="1"/>
      <c r="S923" s="1"/>
      <c r="T923" s="1"/>
      <c r="U923" s="1"/>
      <c r="V923" s="1"/>
      <c r="W923" s="1"/>
      <c r="X923" s="1"/>
    </row>
    <row r="924" spans="1:24">
      <c r="A924" s="1"/>
      <c r="M924" s="26"/>
      <c r="N924" s="26"/>
      <c r="P924" s="1"/>
      <c r="Q924" s="1"/>
      <c r="R924" s="1"/>
      <c r="S924" s="1"/>
      <c r="T924" s="1"/>
      <c r="U924" s="1"/>
      <c r="V924" s="1"/>
      <c r="W924" s="1"/>
      <c r="X924" s="1"/>
    </row>
    <row r="925" spans="1:24">
      <c r="A925" s="1"/>
      <c r="M925" s="26"/>
      <c r="N925" s="26"/>
      <c r="P925" s="1"/>
      <c r="Q925" s="1"/>
      <c r="R925" s="1"/>
      <c r="S925" s="1"/>
      <c r="T925" s="1"/>
      <c r="U925" s="1"/>
      <c r="V925" s="1"/>
      <c r="W925" s="1"/>
      <c r="X925" s="1"/>
    </row>
    <row r="926" spans="1:24">
      <c r="A926" s="1"/>
      <c r="M926" s="26"/>
      <c r="N926" s="26"/>
      <c r="P926" s="1"/>
      <c r="Q926" s="1"/>
      <c r="R926" s="1"/>
      <c r="S926" s="1"/>
      <c r="T926" s="1"/>
      <c r="U926" s="1"/>
      <c r="V926" s="1"/>
      <c r="W926" s="1"/>
      <c r="X926" s="1"/>
    </row>
    <row r="927" spans="1:24">
      <c r="A927" s="1"/>
      <c r="M927" s="26"/>
      <c r="N927" s="26"/>
      <c r="P927" s="1"/>
      <c r="Q927" s="1"/>
      <c r="R927" s="1"/>
      <c r="S927" s="1"/>
      <c r="T927" s="1"/>
      <c r="U927" s="1"/>
      <c r="V927" s="1"/>
      <c r="W927" s="1"/>
      <c r="X927" s="1"/>
    </row>
    <row r="928" spans="1:24">
      <c r="A928" s="1"/>
      <c r="M928" s="26"/>
      <c r="N928" s="26"/>
      <c r="P928" s="1"/>
      <c r="Q928" s="1"/>
      <c r="R928" s="1"/>
      <c r="S928" s="1"/>
      <c r="T928" s="1"/>
      <c r="U928" s="1"/>
      <c r="V928" s="1"/>
      <c r="W928" s="1"/>
      <c r="X928" s="1"/>
    </row>
    <row r="929" spans="1:24">
      <c r="A929" s="1"/>
      <c r="M929" s="26"/>
      <c r="N929" s="26"/>
      <c r="P929" s="1"/>
      <c r="Q929" s="1"/>
      <c r="R929" s="1"/>
      <c r="S929" s="1"/>
      <c r="T929" s="1"/>
      <c r="U929" s="1"/>
      <c r="V929" s="1"/>
      <c r="W929" s="1"/>
      <c r="X929" s="1"/>
    </row>
    <row r="930" spans="1:24">
      <c r="A930" s="1"/>
      <c r="M930" s="26"/>
      <c r="N930" s="26"/>
      <c r="P930" s="1"/>
      <c r="Q930" s="1"/>
      <c r="R930" s="1"/>
      <c r="S930" s="1"/>
      <c r="T930" s="1"/>
      <c r="U930" s="1"/>
      <c r="V930" s="1"/>
      <c r="W930" s="1"/>
      <c r="X930" s="1"/>
    </row>
    <row r="931" spans="1:24">
      <c r="A931" s="1"/>
      <c r="M931" s="26"/>
      <c r="N931" s="26"/>
      <c r="P931" s="1"/>
      <c r="Q931" s="1"/>
      <c r="R931" s="1"/>
      <c r="S931" s="1"/>
      <c r="T931" s="1"/>
      <c r="U931" s="1"/>
      <c r="V931" s="1"/>
      <c r="W931" s="1"/>
      <c r="X931" s="1"/>
    </row>
    <row r="932" spans="1:24">
      <c r="A932" s="1"/>
      <c r="M932" s="26"/>
      <c r="N932" s="26"/>
      <c r="P932" s="1"/>
      <c r="Q932" s="1"/>
      <c r="R932" s="1"/>
      <c r="S932" s="1"/>
      <c r="T932" s="1"/>
      <c r="U932" s="1"/>
      <c r="V932" s="1"/>
      <c r="W932" s="1"/>
      <c r="X932" s="1"/>
    </row>
    <row r="933" spans="1:24">
      <c r="A933" s="1"/>
      <c r="M933" s="26"/>
      <c r="N933" s="26"/>
      <c r="P933" s="1"/>
      <c r="Q933" s="1"/>
      <c r="R933" s="1"/>
      <c r="S933" s="1"/>
      <c r="T933" s="1"/>
      <c r="U933" s="1"/>
      <c r="V933" s="1"/>
      <c r="W933" s="1"/>
      <c r="X933" s="1"/>
    </row>
    <row r="934" spans="1:24">
      <c r="A934" s="1"/>
      <c r="M934" s="26"/>
      <c r="N934" s="26"/>
      <c r="P934" s="1"/>
      <c r="Q934" s="1"/>
      <c r="R934" s="1"/>
      <c r="S934" s="1"/>
      <c r="T934" s="1"/>
      <c r="U934" s="1"/>
      <c r="V934" s="1"/>
      <c r="W934" s="1"/>
      <c r="X934" s="1"/>
    </row>
    <row r="935" spans="1:24">
      <c r="A935" s="1"/>
      <c r="M935" s="26"/>
      <c r="N935" s="26"/>
      <c r="P935" s="1"/>
      <c r="Q935" s="1"/>
      <c r="R935" s="1"/>
      <c r="S935" s="1"/>
      <c r="T935" s="1"/>
      <c r="U935" s="1"/>
      <c r="V935" s="1"/>
      <c r="W935" s="1"/>
      <c r="X935" s="1"/>
    </row>
    <row r="936" spans="1:24">
      <c r="A936" s="1"/>
      <c r="M936" s="26"/>
      <c r="N936" s="26"/>
      <c r="P936" s="1"/>
      <c r="Q936" s="1"/>
      <c r="R936" s="1"/>
      <c r="S936" s="1"/>
      <c r="T936" s="1"/>
      <c r="U936" s="1"/>
      <c r="V936" s="1"/>
      <c r="W936" s="1"/>
      <c r="X936" s="1"/>
    </row>
    <row r="937" spans="1:24">
      <c r="A937" s="1"/>
      <c r="M937" s="26"/>
      <c r="N937" s="26"/>
      <c r="P937" s="1"/>
      <c r="Q937" s="1"/>
      <c r="R937" s="1"/>
      <c r="S937" s="1"/>
      <c r="T937" s="1"/>
      <c r="U937" s="1"/>
      <c r="V937" s="1"/>
      <c r="W937" s="1"/>
      <c r="X937" s="1"/>
    </row>
    <row r="938" spans="1:24">
      <c r="A938" s="1"/>
      <c r="M938" s="26"/>
      <c r="N938" s="26"/>
      <c r="P938" s="1"/>
      <c r="Q938" s="1"/>
      <c r="R938" s="1"/>
      <c r="S938" s="1"/>
      <c r="T938" s="1"/>
      <c r="U938" s="1"/>
      <c r="V938" s="1"/>
      <c r="W938" s="1"/>
      <c r="X938" s="1"/>
    </row>
    <row r="939" spans="1:24">
      <c r="A939" s="1"/>
      <c r="M939" s="26"/>
      <c r="N939" s="26"/>
      <c r="P939" s="1"/>
      <c r="Q939" s="1"/>
      <c r="R939" s="1"/>
      <c r="S939" s="1"/>
      <c r="T939" s="1"/>
      <c r="U939" s="1"/>
      <c r="V939" s="1"/>
      <c r="W939" s="1"/>
      <c r="X939" s="1"/>
    </row>
    <row r="940" spans="1:24">
      <c r="A940" s="1"/>
      <c r="M940" s="26"/>
      <c r="N940" s="26"/>
      <c r="P940" s="1"/>
      <c r="Q940" s="1"/>
      <c r="R940" s="1"/>
      <c r="S940" s="1"/>
      <c r="T940" s="1"/>
      <c r="U940" s="1"/>
      <c r="V940" s="1"/>
      <c r="W940" s="1"/>
      <c r="X940" s="1"/>
    </row>
    <row r="941" spans="1:24">
      <c r="A941" s="1"/>
      <c r="M941" s="26"/>
      <c r="N941" s="26"/>
      <c r="P941" s="1"/>
      <c r="Q941" s="1"/>
      <c r="R941" s="1"/>
      <c r="S941" s="1"/>
      <c r="T941" s="1"/>
      <c r="U941" s="1"/>
      <c r="V941" s="1"/>
      <c r="W941" s="1"/>
      <c r="X941" s="1"/>
    </row>
    <row r="942" spans="1:24">
      <c r="A942" s="1"/>
      <c r="M942" s="26"/>
      <c r="N942" s="26"/>
      <c r="P942" s="1"/>
      <c r="Q942" s="1"/>
      <c r="R942" s="1"/>
      <c r="S942" s="1"/>
      <c r="T942" s="1"/>
      <c r="U942" s="1"/>
      <c r="V942" s="1"/>
      <c r="W942" s="1"/>
      <c r="X942" s="1"/>
    </row>
    <row r="943" spans="1:24">
      <c r="A943" s="1"/>
      <c r="M943" s="26"/>
      <c r="N943" s="26"/>
      <c r="P943" s="1"/>
      <c r="Q943" s="1"/>
      <c r="R943" s="1"/>
      <c r="S943" s="1"/>
      <c r="T943" s="1"/>
      <c r="U943" s="1"/>
      <c r="V943" s="1"/>
      <c r="W943" s="1"/>
      <c r="X943" s="1"/>
    </row>
    <row r="944" spans="1:24">
      <c r="A944" s="1"/>
      <c r="M944" s="26"/>
      <c r="N944" s="26"/>
      <c r="P944" s="1"/>
      <c r="Q944" s="1"/>
      <c r="R944" s="1"/>
      <c r="S944" s="1"/>
      <c r="T944" s="1"/>
      <c r="U944" s="1"/>
      <c r="V944" s="1"/>
      <c r="W944" s="1"/>
      <c r="X944" s="1"/>
    </row>
    <row r="945" spans="1:24">
      <c r="A945" s="1"/>
      <c r="M945" s="26"/>
      <c r="N945" s="26"/>
      <c r="P945" s="1"/>
      <c r="Q945" s="1"/>
      <c r="R945" s="1"/>
      <c r="S945" s="1"/>
      <c r="T945" s="1"/>
      <c r="U945" s="1"/>
      <c r="V945" s="1"/>
      <c r="W945" s="1"/>
      <c r="X945" s="1"/>
    </row>
    <row r="946" spans="1:24">
      <c r="A946" s="1"/>
      <c r="M946" s="26"/>
      <c r="N946" s="26"/>
      <c r="P946" s="1"/>
      <c r="Q946" s="1"/>
      <c r="R946" s="1"/>
      <c r="S946" s="1"/>
      <c r="T946" s="1"/>
      <c r="U946" s="1"/>
      <c r="V946" s="1"/>
      <c r="W946" s="1"/>
      <c r="X946" s="1"/>
    </row>
    <row r="947" spans="1:24">
      <c r="A947" s="1"/>
      <c r="M947" s="26"/>
      <c r="N947" s="26"/>
      <c r="P947" s="1"/>
      <c r="Q947" s="1"/>
      <c r="R947" s="1"/>
      <c r="S947" s="1"/>
      <c r="T947" s="1"/>
      <c r="U947" s="1"/>
      <c r="V947" s="1"/>
      <c r="W947" s="1"/>
      <c r="X947" s="1"/>
    </row>
    <row r="948" spans="1:24">
      <c r="A948" s="1"/>
      <c r="M948" s="26"/>
      <c r="N948" s="26"/>
      <c r="P948" s="1"/>
      <c r="Q948" s="1"/>
      <c r="R948" s="1"/>
      <c r="S948" s="1"/>
      <c r="T948" s="1"/>
      <c r="U948" s="1"/>
      <c r="V948" s="1"/>
      <c r="W948" s="1"/>
      <c r="X948" s="1"/>
    </row>
    <row r="949" spans="1:24">
      <c r="A949" s="1"/>
      <c r="M949" s="26"/>
      <c r="N949" s="26"/>
      <c r="P949" s="1"/>
      <c r="Q949" s="1"/>
      <c r="R949" s="1"/>
      <c r="S949" s="1"/>
      <c r="T949" s="1"/>
      <c r="U949" s="1"/>
      <c r="V949" s="1"/>
      <c r="W949" s="1"/>
      <c r="X949" s="1"/>
    </row>
    <row r="950" spans="1:24">
      <c r="A950" s="1"/>
      <c r="M950" s="26"/>
      <c r="N950" s="26"/>
      <c r="P950" s="1"/>
      <c r="Q950" s="1"/>
      <c r="R950" s="1"/>
      <c r="S950" s="1"/>
      <c r="T950" s="1"/>
      <c r="U950" s="1"/>
      <c r="V950" s="1"/>
      <c r="W950" s="1"/>
      <c r="X950" s="1"/>
    </row>
    <row r="951" spans="1:24">
      <c r="A951" s="1"/>
      <c r="M951" s="26"/>
      <c r="N951" s="26"/>
      <c r="P951" s="1"/>
      <c r="Q951" s="1"/>
      <c r="R951" s="1"/>
      <c r="S951" s="1"/>
      <c r="T951" s="1"/>
      <c r="U951" s="1"/>
      <c r="V951" s="1"/>
      <c r="W951" s="1"/>
      <c r="X951" s="1"/>
    </row>
    <row r="952" spans="1:24">
      <c r="A952" s="1"/>
      <c r="M952" s="26"/>
      <c r="N952" s="26"/>
      <c r="P952" s="1"/>
      <c r="Q952" s="1"/>
      <c r="R952" s="1"/>
      <c r="S952" s="1"/>
      <c r="T952" s="1"/>
      <c r="U952" s="1"/>
      <c r="V952" s="1"/>
      <c r="W952" s="1"/>
      <c r="X952" s="1"/>
    </row>
    <row r="953" spans="1:24">
      <c r="A953" s="1"/>
      <c r="M953" s="26"/>
      <c r="N953" s="26"/>
      <c r="P953" s="1"/>
      <c r="Q953" s="1"/>
      <c r="R953" s="1"/>
      <c r="S953" s="1"/>
      <c r="T953" s="1"/>
      <c r="U953" s="1"/>
      <c r="V953" s="1"/>
      <c r="W953" s="1"/>
      <c r="X953" s="1"/>
    </row>
    <row r="954" spans="1:24">
      <c r="A954" s="1"/>
      <c r="M954" s="26"/>
      <c r="N954" s="26"/>
      <c r="P954" s="1"/>
      <c r="Q954" s="1"/>
      <c r="R954" s="1"/>
      <c r="S954" s="1"/>
      <c r="T954" s="1"/>
      <c r="U954" s="1"/>
      <c r="V954" s="1"/>
      <c r="W954" s="1"/>
      <c r="X954" s="1"/>
    </row>
    <row r="955" spans="1:24">
      <c r="A955" s="1"/>
      <c r="M955" s="26"/>
      <c r="N955" s="26"/>
      <c r="P955" s="1"/>
      <c r="Q955" s="1"/>
      <c r="R955" s="1"/>
      <c r="S955" s="1"/>
      <c r="T955" s="1"/>
      <c r="U955" s="1"/>
      <c r="V955" s="1"/>
      <c r="W955" s="1"/>
      <c r="X955" s="1"/>
    </row>
    <row r="956" spans="1:24">
      <c r="A956" s="1"/>
      <c r="M956" s="26"/>
      <c r="N956" s="26"/>
      <c r="P956" s="1"/>
      <c r="Q956" s="1"/>
      <c r="R956" s="1"/>
      <c r="S956" s="1"/>
      <c r="T956" s="1"/>
      <c r="U956" s="1"/>
      <c r="V956" s="1"/>
      <c r="W956" s="1"/>
      <c r="X956" s="1"/>
    </row>
    <row r="957" spans="1:24">
      <c r="A957" s="1"/>
      <c r="M957" s="26"/>
      <c r="N957" s="26"/>
      <c r="P957" s="1"/>
      <c r="Q957" s="1"/>
      <c r="R957" s="1"/>
      <c r="S957" s="1"/>
      <c r="T957" s="1"/>
      <c r="U957" s="1"/>
      <c r="V957" s="1"/>
      <c r="W957" s="1"/>
      <c r="X957" s="1"/>
    </row>
    <row r="958" spans="1:24">
      <c r="A958" s="1"/>
      <c r="M958" s="26"/>
      <c r="N958" s="26"/>
      <c r="P958" s="1"/>
      <c r="Q958" s="1"/>
      <c r="R958" s="1"/>
      <c r="S958" s="1"/>
      <c r="T958" s="1"/>
      <c r="U958" s="1"/>
      <c r="V958" s="1"/>
      <c r="W958" s="1"/>
      <c r="X958" s="1"/>
    </row>
    <row r="959" spans="1:24">
      <c r="A959" s="1"/>
      <c r="M959" s="26"/>
      <c r="N959" s="26"/>
      <c r="P959" s="1"/>
      <c r="Q959" s="1"/>
      <c r="R959" s="1"/>
      <c r="S959" s="1"/>
      <c r="T959" s="1"/>
      <c r="U959" s="1"/>
      <c r="V959" s="1"/>
      <c r="W959" s="1"/>
      <c r="X959" s="1"/>
    </row>
    <row r="960" spans="1:24">
      <c r="A960" s="1"/>
      <c r="M960" s="26"/>
      <c r="N960" s="26"/>
      <c r="P960" s="1"/>
      <c r="Q960" s="1"/>
      <c r="R960" s="1"/>
      <c r="S960" s="1"/>
      <c r="T960" s="1"/>
      <c r="U960" s="1"/>
      <c r="V960" s="1"/>
      <c r="W960" s="1"/>
      <c r="X960" s="1"/>
    </row>
    <row r="961" spans="1:24">
      <c r="A961" s="1"/>
      <c r="M961" s="26"/>
      <c r="N961" s="26"/>
      <c r="P961" s="1"/>
      <c r="Q961" s="1"/>
      <c r="R961" s="1"/>
      <c r="S961" s="1"/>
      <c r="T961" s="1"/>
      <c r="U961" s="1"/>
      <c r="V961" s="1"/>
      <c r="W961" s="1"/>
      <c r="X961" s="1"/>
    </row>
    <row r="962" spans="1:24">
      <c r="A962" s="1"/>
      <c r="M962" s="26"/>
      <c r="N962" s="26"/>
      <c r="P962" s="1"/>
      <c r="Q962" s="1"/>
      <c r="R962" s="1"/>
      <c r="S962" s="1"/>
      <c r="T962" s="1"/>
      <c r="U962" s="1"/>
      <c r="V962" s="1"/>
      <c r="W962" s="1"/>
      <c r="X962" s="1"/>
    </row>
    <row r="963" spans="1:24">
      <c r="A963" s="1"/>
      <c r="M963" s="26"/>
      <c r="N963" s="26"/>
      <c r="P963" s="1"/>
      <c r="Q963" s="1"/>
      <c r="R963" s="1"/>
      <c r="S963" s="1"/>
      <c r="T963" s="1"/>
      <c r="U963" s="1"/>
      <c r="V963" s="1"/>
      <c r="W963" s="1"/>
      <c r="X963" s="1"/>
    </row>
    <row r="964" spans="1:24">
      <c r="A964" s="1"/>
      <c r="M964" s="26"/>
      <c r="N964" s="26"/>
      <c r="P964" s="1"/>
      <c r="Q964" s="1"/>
      <c r="R964" s="1"/>
      <c r="S964" s="1"/>
      <c r="T964" s="1"/>
      <c r="U964" s="1"/>
      <c r="V964" s="1"/>
      <c r="W964" s="1"/>
      <c r="X964" s="1"/>
    </row>
    <row r="965" spans="1:24">
      <c r="A965" s="1"/>
      <c r="M965" s="26"/>
      <c r="N965" s="26"/>
      <c r="P965" s="1"/>
      <c r="Q965" s="1"/>
      <c r="R965" s="1"/>
      <c r="S965" s="1"/>
      <c r="T965" s="1"/>
      <c r="U965" s="1"/>
      <c r="V965" s="1"/>
      <c r="W965" s="1"/>
      <c r="X965" s="1"/>
    </row>
    <row r="966" spans="1:24">
      <c r="A966" s="1"/>
      <c r="M966" s="26"/>
      <c r="N966" s="26"/>
      <c r="P966" s="1"/>
      <c r="Q966" s="1"/>
      <c r="R966" s="1"/>
      <c r="S966" s="1"/>
      <c r="T966" s="1"/>
      <c r="U966" s="1"/>
      <c r="V966" s="1"/>
      <c r="W966" s="1"/>
      <c r="X966" s="1"/>
    </row>
    <row r="967" spans="1:24">
      <c r="A967" s="1"/>
      <c r="M967" s="26"/>
      <c r="N967" s="26"/>
      <c r="P967" s="1"/>
      <c r="Q967" s="1"/>
      <c r="R967" s="1"/>
      <c r="S967" s="1"/>
      <c r="T967" s="1"/>
      <c r="U967" s="1"/>
      <c r="V967" s="1"/>
      <c r="W967" s="1"/>
      <c r="X967" s="1"/>
    </row>
    <row r="968" spans="1:24">
      <c r="A968" s="1"/>
      <c r="M968" s="26"/>
      <c r="N968" s="26"/>
      <c r="P968" s="1"/>
      <c r="Q968" s="1"/>
      <c r="R968" s="1"/>
      <c r="S968" s="1"/>
      <c r="T968" s="1"/>
      <c r="U968" s="1"/>
      <c r="V968" s="1"/>
      <c r="W968" s="1"/>
      <c r="X968" s="1"/>
    </row>
    <row r="969" spans="1:24">
      <c r="A969" s="1"/>
      <c r="M969" s="26"/>
      <c r="N969" s="26"/>
      <c r="P969" s="1"/>
      <c r="Q969" s="1"/>
      <c r="R969" s="1"/>
      <c r="S969" s="1"/>
      <c r="T969" s="1"/>
      <c r="U969" s="1"/>
      <c r="V969" s="1"/>
      <c r="W969" s="1"/>
      <c r="X969" s="1"/>
    </row>
    <row r="970" spans="1:24">
      <c r="A970" s="1"/>
      <c r="M970" s="26"/>
      <c r="N970" s="26"/>
      <c r="P970" s="1"/>
      <c r="Q970" s="1"/>
      <c r="R970" s="1"/>
      <c r="S970" s="1"/>
      <c r="T970" s="1"/>
      <c r="U970" s="1"/>
      <c r="V970" s="1"/>
      <c r="W970" s="1"/>
      <c r="X970" s="1"/>
    </row>
    <row r="971" spans="1:24">
      <c r="A971" s="1"/>
      <c r="M971" s="26"/>
      <c r="N971" s="26"/>
      <c r="P971" s="1"/>
      <c r="Q971" s="1"/>
      <c r="R971" s="1"/>
      <c r="S971" s="1"/>
      <c r="T971" s="1"/>
      <c r="U971" s="1"/>
      <c r="V971" s="1"/>
      <c r="W971" s="1"/>
      <c r="X971" s="1"/>
    </row>
    <row r="972" spans="1:24">
      <c r="A972" s="1"/>
      <c r="M972" s="26"/>
      <c r="N972" s="26"/>
      <c r="P972" s="1"/>
      <c r="Q972" s="1"/>
      <c r="R972" s="1"/>
      <c r="S972" s="1"/>
      <c r="T972" s="1"/>
      <c r="U972" s="1"/>
      <c r="V972" s="1"/>
      <c r="W972" s="1"/>
      <c r="X972" s="1"/>
    </row>
    <row r="973" spans="1:24">
      <c r="A973" s="1"/>
      <c r="M973" s="26"/>
      <c r="N973" s="26"/>
      <c r="P973" s="1"/>
      <c r="Q973" s="1"/>
      <c r="R973" s="1"/>
      <c r="S973" s="1"/>
      <c r="T973" s="1"/>
      <c r="U973" s="1"/>
      <c r="V973" s="1"/>
      <c r="W973" s="1"/>
      <c r="X973" s="1"/>
    </row>
    <row r="974" spans="1:24">
      <c r="A974" s="1"/>
      <c r="M974" s="26"/>
      <c r="N974" s="26"/>
      <c r="P974" s="1"/>
      <c r="Q974" s="1"/>
      <c r="R974" s="1"/>
      <c r="S974" s="1"/>
      <c r="T974" s="1"/>
      <c r="U974" s="1"/>
      <c r="V974" s="1"/>
      <c r="W974" s="1"/>
      <c r="X974" s="1"/>
    </row>
    <row r="975" spans="1:24">
      <c r="A975" s="1"/>
      <c r="M975" s="26"/>
      <c r="N975" s="26"/>
      <c r="P975" s="1"/>
      <c r="Q975" s="1"/>
      <c r="R975" s="1"/>
      <c r="S975" s="1"/>
      <c r="T975" s="1"/>
      <c r="U975" s="1"/>
      <c r="V975" s="1"/>
      <c r="W975" s="1"/>
      <c r="X975" s="1"/>
    </row>
    <row r="976" spans="1:24">
      <c r="A976" s="1"/>
      <c r="M976" s="26"/>
      <c r="N976" s="26"/>
      <c r="P976" s="1"/>
      <c r="Q976" s="1"/>
      <c r="R976" s="1"/>
      <c r="S976" s="1"/>
      <c r="T976" s="1"/>
      <c r="U976" s="1"/>
      <c r="V976" s="1"/>
      <c r="W976" s="1"/>
      <c r="X976" s="1"/>
    </row>
    <row r="977" spans="1:24">
      <c r="A977" s="1"/>
      <c r="M977" s="26"/>
      <c r="N977" s="26"/>
      <c r="P977" s="1"/>
      <c r="Q977" s="1"/>
      <c r="R977" s="1"/>
      <c r="S977" s="1"/>
      <c r="T977" s="1"/>
      <c r="U977" s="1"/>
      <c r="V977" s="1"/>
      <c r="W977" s="1"/>
      <c r="X977" s="1"/>
    </row>
    <row r="978" spans="1:24">
      <c r="A978" s="1"/>
      <c r="M978" s="26"/>
      <c r="N978" s="26"/>
      <c r="P978" s="1"/>
      <c r="Q978" s="1"/>
      <c r="R978" s="1"/>
      <c r="S978" s="1"/>
      <c r="T978" s="1"/>
      <c r="U978" s="1"/>
      <c r="V978" s="1"/>
      <c r="W978" s="1"/>
      <c r="X978" s="1"/>
    </row>
    <row r="979" spans="1:24">
      <c r="A979" s="1"/>
      <c r="M979" s="26"/>
      <c r="N979" s="26"/>
      <c r="P979" s="1"/>
      <c r="Q979" s="1"/>
      <c r="R979" s="1"/>
      <c r="S979" s="1"/>
      <c r="T979" s="1"/>
      <c r="U979" s="1"/>
      <c r="V979" s="1"/>
      <c r="W979" s="1"/>
      <c r="X979" s="1"/>
    </row>
    <row r="980" spans="1:24">
      <c r="A980" s="1"/>
      <c r="M980" s="26"/>
      <c r="N980" s="26"/>
      <c r="P980" s="1"/>
      <c r="Q980" s="1"/>
      <c r="R980" s="1"/>
      <c r="S980" s="1"/>
      <c r="T980" s="1"/>
      <c r="U980" s="1"/>
      <c r="V980" s="1"/>
      <c r="W980" s="1"/>
      <c r="X980" s="1"/>
    </row>
    <row r="981" spans="1:24">
      <c r="A981" s="1"/>
      <c r="M981" s="26"/>
      <c r="N981" s="26"/>
      <c r="P981" s="1"/>
      <c r="Q981" s="1"/>
      <c r="R981" s="1"/>
      <c r="S981" s="1"/>
      <c r="T981" s="1"/>
      <c r="U981" s="1"/>
      <c r="V981" s="1"/>
      <c r="W981" s="1"/>
      <c r="X981" s="1"/>
    </row>
    <row r="982" spans="1:24">
      <c r="A982" s="1"/>
      <c r="M982" s="26"/>
      <c r="N982" s="26"/>
      <c r="P982" s="1"/>
      <c r="Q982" s="1"/>
      <c r="R982" s="1"/>
      <c r="S982" s="1"/>
      <c r="T982" s="1"/>
      <c r="U982" s="1"/>
      <c r="V982" s="1"/>
      <c r="W982" s="1"/>
      <c r="X982" s="1"/>
    </row>
    <row r="983" spans="1:24">
      <c r="A983" s="1"/>
      <c r="M983" s="26"/>
      <c r="N983" s="26"/>
      <c r="P983" s="1"/>
      <c r="Q983" s="1"/>
      <c r="R983" s="1"/>
      <c r="S983" s="1"/>
      <c r="T983" s="1"/>
      <c r="U983" s="1"/>
      <c r="V983" s="1"/>
      <c r="W983" s="1"/>
      <c r="X983" s="1"/>
    </row>
    <row r="984" spans="1:24">
      <c r="A984" s="1"/>
      <c r="M984" s="26"/>
      <c r="N984" s="26"/>
      <c r="P984" s="1"/>
      <c r="Q984" s="1"/>
      <c r="R984" s="1"/>
      <c r="S984" s="1"/>
      <c r="T984" s="1"/>
      <c r="U984" s="1"/>
      <c r="V984" s="1"/>
      <c r="W984" s="1"/>
      <c r="X984" s="1"/>
    </row>
    <row r="985" spans="1:24">
      <c r="A985" s="1"/>
      <c r="M985" s="26"/>
      <c r="N985" s="26"/>
      <c r="P985" s="1"/>
      <c r="Q985" s="1"/>
      <c r="R985" s="1"/>
      <c r="S985" s="1"/>
      <c r="T985" s="1"/>
      <c r="U985" s="1"/>
      <c r="V985" s="1"/>
      <c r="W985" s="1"/>
      <c r="X985" s="1"/>
    </row>
    <row r="986" spans="1:24">
      <c r="A986" s="1"/>
      <c r="M986" s="26"/>
      <c r="N986" s="26"/>
      <c r="P986" s="1"/>
      <c r="Q986" s="1"/>
      <c r="R986" s="1"/>
      <c r="S986" s="1"/>
      <c r="T986" s="1"/>
      <c r="U986" s="1"/>
      <c r="V986" s="1"/>
      <c r="W986" s="1"/>
      <c r="X986" s="1"/>
    </row>
    <row r="987" spans="1:24">
      <c r="A987" s="1"/>
      <c r="M987" s="26"/>
      <c r="N987" s="26"/>
      <c r="P987" s="1"/>
      <c r="Q987" s="1"/>
      <c r="R987" s="1"/>
      <c r="S987" s="1"/>
      <c r="T987" s="1"/>
      <c r="U987" s="1"/>
      <c r="V987" s="1"/>
      <c r="W987" s="1"/>
      <c r="X987" s="1"/>
    </row>
    <row r="988" spans="1:24">
      <c r="A988" s="1"/>
      <c r="M988" s="26"/>
      <c r="N988" s="26"/>
      <c r="P988" s="1"/>
      <c r="Q988" s="1"/>
      <c r="R988" s="1"/>
      <c r="S988" s="1"/>
      <c r="T988" s="1"/>
      <c r="U988" s="1"/>
      <c r="V988" s="1"/>
      <c r="W988" s="1"/>
      <c r="X988" s="1"/>
    </row>
    <row r="989" spans="1:24">
      <c r="A989" s="1"/>
      <c r="M989" s="26"/>
      <c r="N989" s="26"/>
      <c r="P989" s="1"/>
      <c r="Q989" s="1"/>
      <c r="R989" s="1"/>
      <c r="S989" s="1"/>
      <c r="T989" s="1"/>
      <c r="U989" s="1"/>
      <c r="V989" s="1"/>
      <c r="W989" s="1"/>
      <c r="X989" s="1"/>
    </row>
    <row r="990" spans="1:24">
      <c r="A990" s="1"/>
      <c r="M990" s="26"/>
      <c r="N990" s="26"/>
      <c r="P990" s="1"/>
      <c r="Q990" s="1"/>
      <c r="R990" s="1"/>
      <c r="S990" s="1"/>
      <c r="T990" s="1"/>
      <c r="U990" s="1"/>
      <c r="V990" s="1"/>
      <c r="W990" s="1"/>
      <c r="X990" s="1"/>
    </row>
    <row r="991" spans="1:24">
      <c r="A991" s="1"/>
      <c r="M991" s="26"/>
      <c r="N991" s="26"/>
      <c r="P991" s="1"/>
      <c r="Q991" s="1"/>
      <c r="R991" s="1"/>
      <c r="S991" s="1"/>
      <c r="T991" s="1"/>
      <c r="U991" s="1"/>
      <c r="V991" s="1"/>
      <c r="W991" s="1"/>
      <c r="X991" s="1"/>
    </row>
    <row r="992" spans="1:24">
      <c r="A992" s="1"/>
      <c r="M992" s="26"/>
      <c r="N992" s="26"/>
      <c r="P992" s="1"/>
      <c r="Q992" s="1"/>
      <c r="R992" s="1"/>
      <c r="S992" s="1"/>
      <c r="T992" s="1"/>
      <c r="U992" s="1"/>
      <c r="V992" s="1"/>
      <c r="W992" s="1"/>
      <c r="X992" s="1"/>
    </row>
    <row r="993" spans="1:24">
      <c r="A993" s="1"/>
      <c r="M993" s="26"/>
      <c r="N993" s="26"/>
      <c r="P993" s="1"/>
      <c r="Q993" s="1"/>
      <c r="R993" s="1"/>
      <c r="S993" s="1"/>
      <c r="T993" s="1"/>
      <c r="U993" s="1"/>
      <c r="V993" s="1"/>
      <c r="W993" s="1"/>
      <c r="X993" s="1"/>
    </row>
    <row r="994" spans="1:24">
      <c r="A994" s="1"/>
      <c r="M994" s="26"/>
      <c r="N994" s="26"/>
      <c r="P994" s="1"/>
      <c r="Q994" s="1"/>
      <c r="R994" s="1"/>
      <c r="S994" s="1"/>
      <c r="T994" s="1"/>
      <c r="U994" s="1"/>
      <c r="V994" s="1"/>
      <c r="W994" s="1"/>
      <c r="X994" s="1"/>
    </row>
    <row r="995" spans="1:24">
      <c r="A995" s="1"/>
      <c r="M995" s="26"/>
      <c r="N995" s="26"/>
      <c r="P995" s="1"/>
      <c r="Q995" s="1"/>
      <c r="R995" s="1"/>
      <c r="S995" s="1"/>
      <c r="T995" s="1"/>
      <c r="U995" s="1"/>
      <c r="V995" s="1"/>
      <c r="W995" s="1"/>
      <c r="X995" s="1"/>
    </row>
    <row r="996" spans="1:24">
      <c r="A996" s="1"/>
      <c r="M996" s="26"/>
      <c r="N996" s="26"/>
      <c r="P996" s="1"/>
      <c r="Q996" s="1"/>
      <c r="R996" s="1"/>
      <c r="S996" s="1"/>
      <c r="T996" s="1"/>
      <c r="U996" s="1"/>
      <c r="V996" s="1"/>
      <c r="W996" s="1"/>
      <c r="X996" s="1"/>
    </row>
    <row r="997" spans="1:24">
      <c r="A997" s="1"/>
      <c r="M997" s="26"/>
      <c r="N997" s="26"/>
      <c r="P997" s="1"/>
      <c r="Q997" s="1"/>
      <c r="R997" s="1"/>
      <c r="S997" s="1"/>
      <c r="T997" s="1"/>
      <c r="U997" s="1"/>
      <c r="V997" s="1"/>
      <c r="W997" s="1"/>
      <c r="X997" s="1"/>
    </row>
    <row r="998" spans="1:24">
      <c r="A998" s="1"/>
      <c r="M998" s="26"/>
      <c r="N998" s="26"/>
      <c r="P998" s="1"/>
      <c r="Q998" s="1"/>
      <c r="R998" s="1"/>
      <c r="S998" s="1"/>
      <c r="T998" s="1"/>
      <c r="U998" s="1"/>
      <c r="V998" s="1"/>
      <c r="W998" s="1"/>
      <c r="X998" s="1"/>
    </row>
    <row r="999" spans="1:24">
      <c r="A999" s="1"/>
      <c r="M999" s="26"/>
      <c r="N999" s="26"/>
      <c r="P999" s="1"/>
      <c r="Q999" s="1"/>
      <c r="R999" s="1"/>
      <c r="S999" s="1"/>
      <c r="T999" s="1"/>
      <c r="U999" s="1"/>
      <c r="V999" s="1"/>
      <c r="W999" s="1"/>
      <c r="X999" s="1"/>
    </row>
    <row r="1000" spans="1:24">
      <c r="A1000" s="1"/>
      <c r="M1000" s="26"/>
      <c r="N1000" s="26"/>
      <c r="P1000" s="1"/>
      <c r="Q1000" s="1"/>
      <c r="R1000" s="1"/>
      <c r="S1000" s="1"/>
      <c r="T1000" s="1"/>
      <c r="U1000" s="1"/>
      <c r="V1000" s="1"/>
      <c r="W1000" s="1"/>
      <c r="X1000" s="1"/>
    </row>
    <row r="1001" spans="1:24">
      <c r="A1001" s="1"/>
      <c r="M1001" s="26"/>
      <c r="N1001" s="26"/>
      <c r="P1001" s="1"/>
      <c r="Q1001" s="1"/>
      <c r="R1001" s="1"/>
      <c r="S1001" s="1"/>
      <c r="T1001" s="1"/>
      <c r="U1001" s="1"/>
      <c r="V1001" s="1"/>
      <c r="W1001" s="1"/>
      <c r="X1001" s="1"/>
    </row>
    <row r="1002" spans="1:24">
      <c r="A1002" s="1"/>
      <c r="M1002" s="26"/>
      <c r="N1002" s="26"/>
      <c r="P1002" s="1"/>
      <c r="Q1002" s="1"/>
      <c r="R1002" s="1"/>
      <c r="S1002" s="1"/>
      <c r="T1002" s="1"/>
      <c r="U1002" s="1"/>
      <c r="V1002" s="1"/>
      <c r="W1002" s="1"/>
      <c r="X1002" s="1"/>
    </row>
    <row r="1003" spans="1:24">
      <c r="A1003" s="1"/>
      <c r="M1003" s="26"/>
      <c r="N1003" s="26"/>
      <c r="P1003" s="1"/>
      <c r="Q1003" s="1"/>
      <c r="R1003" s="1"/>
      <c r="S1003" s="1"/>
      <c r="T1003" s="1"/>
      <c r="U1003" s="1"/>
      <c r="V1003" s="1"/>
      <c r="W1003" s="1"/>
      <c r="X1003" s="1"/>
    </row>
    <row r="1004" spans="1:24">
      <c r="A1004" s="1"/>
      <c r="M1004" s="26"/>
      <c r="N1004" s="26"/>
      <c r="P1004" s="1"/>
      <c r="Q1004" s="1"/>
      <c r="R1004" s="1"/>
      <c r="S1004" s="1"/>
      <c r="T1004" s="1"/>
      <c r="U1004" s="1"/>
      <c r="V1004" s="1"/>
      <c r="W1004" s="1"/>
      <c r="X1004" s="1"/>
    </row>
    <row r="1005" spans="1:24">
      <c r="A1005" s="1"/>
      <c r="M1005" s="26"/>
      <c r="N1005" s="26"/>
      <c r="P1005" s="1"/>
      <c r="Q1005" s="1"/>
      <c r="R1005" s="1"/>
      <c r="S1005" s="1"/>
      <c r="T1005" s="1"/>
      <c r="U1005" s="1"/>
      <c r="V1005" s="1"/>
      <c r="W1005" s="1"/>
      <c r="X1005" s="1"/>
    </row>
    <row r="1006" spans="1:24">
      <c r="A1006" s="1"/>
      <c r="M1006" s="26"/>
      <c r="N1006" s="26"/>
      <c r="P1006" s="1"/>
      <c r="Q1006" s="1"/>
      <c r="R1006" s="1"/>
      <c r="S1006" s="1"/>
      <c r="T1006" s="1"/>
      <c r="U1006" s="1"/>
      <c r="V1006" s="1"/>
      <c r="W1006" s="1"/>
      <c r="X1006" s="1"/>
    </row>
    <row r="1007" spans="1:24">
      <c r="A1007" s="1"/>
      <c r="M1007" s="26"/>
      <c r="N1007" s="26"/>
      <c r="P1007" s="1"/>
      <c r="Q1007" s="1"/>
      <c r="R1007" s="1"/>
      <c r="S1007" s="1"/>
      <c r="T1007" s="1"/>
      <c r="U1007" s="1"/>
      <c r="V1007" s="1"/>
      <c r="W1007" s="1"/>
      <c r="X1007" s="1"/>
    </row>
    <row r="1008" spans="1:24">
      <c r="A1008" s="1"/>
      <c r="M1008" s="26"/>
      <c r="N1008" s="26"/>
      <c r="P1008" s="1"/>
      <c r="Q1008" s="1"/>
      <c r="R1008" s="1"/>
      <c r="S1008" s="1"/>
      <c r="T1008" s="1"/>
      <c r="U1008" s="1"/>
      <c r="V1008" s="1"/>
      <c r="W1008" s="1"/>
      <c r="X1008" s="1"/>
    </row>
    <row r="1009" spans="1:24">
      <c r="A1009" s="1"/>
      <c r="M1009" s="26"/>
      <c r="N1009" s="26"/>
      <c r="P1009" s="1"/>
      <c r="Q1009" s="1"/>
      <c r="R1009" s="1"/>
      <c r="S1009" s="1"/>
      <c r="T1009" s="1"/>
      <c r="U1009" s="1"/>
      <c r="V1009" s="1"/>
      <c r="W1009" s="1"/>
      <c r="X1009" s="1"/>
    </row>
    <row r="1010" spans="1:24">
      <c r="A1010" s="1"/>
      <c r="M1010" s="26"/>
      <c r="N1010" s="26"/>
      <c r="P1010" s="1"/>
      <c r="Q1010" s="1"/>
      <c r="R1010" s="1"/>
      <c r="S1010" s="1"/>
      <c r="T1010" s="1"/>
      <c r="U1010" s="1"/>
      <c r="V1010" s="1"/>
      <c r="W1010" s="1"/>
      <c r="X1010" s="1"/>
    </row>
    <row r="1011" spans="1:24">
      <c r="A1011" s="1"/>
      <c r="M1011" s="26"/>
      <c r="N1011" s="26"/>
      <c r="P1011" s="1"/>
      <c r="Q1011" s="1"/>
      <c r="R1011" s="1"/>
      <c r="S1011" s="1"/>
      <c r="T1011" s="1"/>
      <c r="U1011" s="1"/>
      <c r="V1011" s="1"/>
      <c r="W1011" s="1"/>
      <c r="X1011" s="1"/>
    </row>
    <row r="1012" spans="1:24">
      <c r="A1012" s="1"/>
      <c r="M1012" s="26"/>
      <c r="N1012" s="26"/>
      <c r="P1012" s="1"/>
      <c r="Q1012" s="1"/>
      <c r="R1012" s="1"/>
      <c r="S1012" s="1"/>
      <c r="T1012" s="1"/>
      <c r="U1012" s="1"/>
      <c r="V1012" s="1"/>
      <c r="W1012" s="1"/>
      <c r="X1012" s="1"/>
    </row>
    <row r="1013" spans="1:24">
      <c r="A1013" s="1"/>
      <c r="M1013" s="26"/>
      <c r="N1013" s="26"/>
      <c r="P1013" s="1"/>
      <c r="Q1013" s="1"/>
      <c r="R1013" s="1"/>
      <c r="S1013" s="1"/>
      <c r="T1013" s="1"/>
      <c r="U1013" s="1"/>
      <c r="V1013" s="1"/>
      <c r="W1013" s="1"/>
      <c r="X1013" s="1"/>
    </row>
    <row r="1014" spans="1:24">
      <c r="A1014" s="1"/>
      <c r="M1014" s="26"/>
      <c r="N1014" s="26"/>
      <c r="P1014" s="1"/>
      <c r="Q1014" s="1"/>
      <c r="R1014" s="1"/>
      <c r="S1014" s="1"/>
      <c r="T1014" s="1"/>
      <c r="U1014" s="1"/>
      <c r="V1014" s="1"/>
      <c r="W1014" s="1"/>
      <c r="X1014" s="1"/>
    </row>
    <row r="1015" spans="1:24">
      <c r="A1015" s="1"/>
      <c r="M1015" s="26"/>
      <c r="N1015" s="26"/>
      <c r="P1015" s="1"/>
      <c r="Q1015" s="1"/>
      <c r="R1015" s="1"/>
      <c r="S1015" s="1"/>
      <c r="T1015" s="1"/>
      <c r="U1015" s="1"/>
      <c r="V1015" s="1"/>
      <c r="W1015" s="1"/>
      <c r="X1015" s="1"/>
    </row>
    <row r="1016" spans="1:24">
      <c r="A1016" s="1"/>
      <c r="M1016" s="26"/>
      <c r="N1016" s="26"/>
      <c r="P1016" s="1"/>
      <c r="Q1016" s="1"/>
      <c r="R1016" s="1"/>
      <c r="S1016" s="1"/>
      <c r="T1016" s="1"/>
      <c r="U1016" s="1"/>
      <c r="V1016" s="1"/>
      <c r="W1016" s="1"/>
      <c r="X1016" s="1"/>
    </row>
    <row r="1017" spans="1:24">
      <c r="A1017" s="1"/>
      <c r="M1017" s="26"/>
      <c r="N1017" s="26"/>
      <c r="P1017" s="1"/>
      <c r="Q1017" s="1"/>
      <c r="R1017" s="1"/>
      <c r="S1017" s="1"/>
      <c r="T1017" s="1"/>
      <c r="U1017" s="1"/>
      <c r="V1017" s="1"/>
      <c r="W1017" s="1"/>
      <c r="X1017" s="1"/>
    </row>
    <row r="1018" spans="1:24">
      <c r="A1018" s="1"/>
      <c r="M1018" s="26"/>
      <c r="N1018" s="26"/>
      <c r="P1018" s="1"/>
      <c r="Q1018" s="1"/>
      <c r="R1018" s="1"/>
      <c r="S1018" s="1"/>
      <c r="T1018" s="1"/>
      <c r="U1018" s="1"/>
      <c r="V1018" s="1"/>
      <c r="W1018" s="1"/>
      <c r="X1018" s="1"/>
    </row>
    <row r="1019" spans="1:24">
      <c r="A1019" s="1"/>
      <c r="M1019" s="26"/>
      <c r="N1019" s="26"/>
      <c r="P1019" s="1"/>
      <c r="Q1019" s="1"/>
      <c r="R1019" s="1"/>
      <c r="S1019" s="1"/>
      <c r="T1019" s="1"/>
      <c r="U1019" s="1"/>
      <c r="V1019" s="1"/>
      <c r="W1019" s="1"/>
      <c r="X1019" s="1"/>
    </row>
    <row r="1020" spans="1:24">
      <c r="A1020" s="1"/>
      <c r="M1020" s="26"/>
      <c r="N1020" s="26"/>
      <c r="P1020" s="1"/>
      <c r="Q1020" s="1"/>
      <c r="R1020" s="1"/>
      <c r="S1020" s="1"/>
      <c r="T1020" s="1"/>
      <c r="U1020" s="1"/>
      <c r="V1020" s="1"/>
      <c r="W1020" s="1"/>
      <c r="X1020" s="1"/>
    </row>
    <row r="1021" spans="1:24">
      <c r="A1021" s="1"/>
      <c r="M1021" s="26"/>
      <c r="N1021" s="26"/>
      <c r="P1021" s="1"/>
      <c r="Q1021" s="1"/>
      <c r="R1021" s="1"/>
      <c r="S1021" s="1"/>
      <c r="T1021" s="1"/>
      <c r="U1021" s="1"/>
      <c r="V1021" s="1"/>
      <c r="W1021" s="1"/>
      <c r="X1021" s="1"/>
    </row>
    <row r="1022" spans="1:24">
      <c r="A1022" s="1"/>
      <c r="M1022" s="26"/>
      <c r="N1022" s="26"/>
      <c r="P1022" s="1"/>
      <c r="Q1022" s="1"/>
      <c r="R1022" s="1"/>
      <c r="S1022" s="1"/>
      <c r="T1022" s="1"/>
      <c r="U1022" s="1"/>
      <c r="V1022" s="1"/>
      <c r="W1022" s="1"/>
      <c r="X1022" s="1"/>
    </row>
    <row r="1023" spans="1:24">
      <c r="A1023" s="1"/>
      <c r="M1023" s="26"/>
      <c r="N1023" s="26"/>
      <c r="P1023" s="1"/>
      <c r="Q1023" s="1"/>
      <c r="R1023" s="1"/>
      <c r="S1023" s="1"/>
      <c r="T1023" s="1"/>
      <c r="U1023" s="1"/>
      <c r="V1023" s="1"/>
      <c r="W1023" s="1"/>
      <c r="X1023" s="1"/>
    </row>
    <row r="1024" spans="1:24">
      <c r="A1024" s="1"/>
      <c r="M1024" s="26"/>
      <c r="N1024" s="26"/>
      <c r="P1024" s="1"/>
      <c r="Q1024" s="1"/>
      <c r="R1024" s="1"/>
      <c r="S1024" s="1"/>
      <c r="T1024" s="1"/>
      <c r="U1024" s="1"/>
      <c r="V1024" s="1"/>
      <c r="W1024" s="1"/>
      <c r="X1024" s="1"/>
    </row>
    <row r="1025" spans="1:24">
      <c r="A1025" s="1"/>
      <c r="M1025" s="26"/>
      <c r="N1025" s="26"/>
      <c r="P1025" s="1"/>
      <c r="Q1025" s="1"/>
      <c r="R1025" s="1"/>
      <c r="S1025" s="1"/>
      <c r="T1025" s="1"/>
      <c r="U1025" s="1"/>
      <c r="V1025" s="1"/>
      <c r="W1025" s="1"/>
      <c r="X1025" s="1"/>
    </row>
    <row r="1026" spans="1:24">
      <c r="A1026" s="1"/>
      <c r="M1026" s="26"/>
      <c r="N1026" s="26"/>
      <c r="P1026" s="1"/>
      <c r="Q1026" s="1"/>
      <c r="R1026" s="1"/>
      <c r="S1026" s="1"/>
      <c r="T1026" s="1"/>
      <c r="U1026" s="1"/>
      <c r="V1026" s="1"/>
      <c r="W1026" s="1"/>
      <c r="X1026" s="1"/>
    </row>
    <row r="1027" spans="1:24">
      <c r="A1027" s="1"/>
      <c r="M1027" s="26"/>
      <c r="N1027" s="26"/>
      <c r="P1027" s="1"/>
      <c r="Q1027" s="1"/>
      <c r="R1027" s="1"/>
      <c r="S1027" s="1"/>
      <c r="T1027" s="1"/>
      <c r="U1027" s="1"/>
      <c r="V1027" s="1"/>
      <c r="W1027" s="1"/>
      <c r="X1027" s="1"/>
    </row>
    <row r="1028" spans="1:24">
      <c r="A1028" s="1"/>
      <c r="M1028" s="26"/>
      <c r="N1028" s="26"/>
      <c r="P1028" s="1"/>
      <c r="Q1028" s="1"/>
      <c r="R1028" s="1"/>
      <c r="S1028" s="1"/>
      <c r="T1028" s="1"/>
      <c r="U1028" s="1"/>
      <c r="V1028" s="1"/>
      <c r="W1028" s="1"/>
      <c r="X1028" s="1"/>
    </row>
    <row r="1029" spans="1:24">
      <c r="A1029" s="1"/>
      <c r="M1029" s="26"/>
      <c r="N1029" s="26"/>
      <c r="P1029" s="1"/>
      <c r="Q1029" s="1"/>
      <c r="R1029" s="1"/>
      <c r="S1029" s="1"/>
      <c r="T1029" s="1"/>
      <c r="U1029" s="1"/>
      <c r="V1029" s="1"/>
      <c r="W1029" s="1"/>
      <c r="X1029" s="1"/>
    </row>
    <row r="1030" spans="1:24">
      <c r="A1030" s="1"/>
      <c r="M1030" s="26"/>
      <c r="N1030" s="26"/>
      <c r="P1030" s="1"/>
      <c r="Q1030" s="1"/>
      <c r="R1030" s="1"/>
      <c r="S1030" s="1"/>
      <c r="T1030" s="1"/>
      <c r="U1030" s="1"/>
      <c r="V1030" s="1"/>
      <c r="W1030" s="1"/>
      <c r="X1030" s="1"/>
    </row>
    <row r="1031" spans="1:24">
      <c r="A1031" s="1"/>
      <c r="M1031" s="26"/>
      <c r="N1031" s="26"/>
      <c r="P1031" s="1"/>
      <c r="Q1031" s="1"/>
      <c r="R1031" s="1"/>
      <c r="S1031" s="1"/>
      <c r="T1031" s="1"/>
      <c r="U1031" s="1"/>
      <c r="V1031" s="1"/>
      <c r="W1031" s="1"/>
      <c r="X1031" s="1"/>
    </row>
    <row r="1032" spans="1:24">
      <c r="A1032" s="1"/>
      <c r="M1032" s="26"/>
      <c r="N1032" s="26"/>
      <c r="P1032" s="1"/>
      <c r="Q1032" s="1"/>
      <c r="R1032" s="1"/>
      <c r="S1032" s="1"/>
      <c r="T1032" s="1"/>
      <c r="U1032" s="1"/>
      <c r="V1032" s="1"/>
      <c r="W1032" s="1"/>
      <c r="X1032" s="1"/>
    </row>
    <row r="1033" spans="1:24">
      <c r="A1033" s="1"/>
      <c r="M1033" s="26"/>
      <c r="N1033" s="26"/>
      <c r="P1033" s="1"/>
      <c r="Q1033" s="1"/>
      <c r="R1033" s="1"/>
      <c r="S1033" s="1"/>
      <c r="T1033" s="1"/>
      <c r="U1033" s="1"/>
      <c r="V1033" s="1"/>
      <c r="W1033" s="1"/>
      <c r="X1033" s="1"/>
    </row>
    <row r="1034" spans="1:24">
      <c r="A1034" s="1"/>
      <c r="M1034" s="26"/>
      <c r="N1034" s="26"/>
      <c r="P1034" s="1"/>
      <c r="Q1034" s="1"/>
      <c r="R1034" s="1"/>
      <c r="S1034" s="1"/>
      <c r="T1034" s="1"/>
      <c r="U1034" s="1"/>
      <c r="V1034" s="1"/>
      <c r="W1034" s="1"/>
      <c r="X1034" s="1"/>
    </row>
    <row r="1035" spans="1:24">
      <c r="A1035" s="1"/>
      <c r="M1035" s="26"/>
      <c r="N1035" s="26"/>
      <c r="P1035" s="1"/>
      <c r="Q1035" s="1"/>
      <c r="R1035" s="1"/>
      <c r="S1035" s="1"/>
      <c r="T1035" s="1"/>
      <c r="U1035" s="1"/>
      <c r="V1035" s="1"/>
      <c r="W1035" s="1"/>
      <c r="X1035" s="1"/>
    </row>
    <row r="1036" spans="1:24">
      <c r="A1036" s="1"/>
      <c r="M1036" s="26"/>
      <c r="N1036" s="26"/>
      <c r="P1036" s="1"/>
      <c r="Q1036" s="1"/>
      <c r="R1036" s="1"/>
      <c r="S1036" s="1"/>
      <c r="T1036" s="1"/>
      <c r="U1036" s="1"/>
      <c r="V1036" s="1"/>
      <c r="W1036" s="1"/>
      <c r="X1036" s="1"/>
    </row>
    <row r="1037" spans="1:24">
      <c r="A1037" s="1"/>
      <c r="M1037" s="26"/>
      <c r="N1037" s="26"/>
      <c r="P1037" s="1"/>
      <c r="Q1037" s="1"/>
      <c r="R1037" s="1"/>
      <c r="S1037" s="1"/>
      <c r="T1037" s="1"/>
      <c r="U1037" s="1"/>
      <c r="V1037" s="1"/>
      <c r="W1037" s="1"/>
      <c r="X1037" s="1"/>
    </row>
    <row r="1038" spans="1:24">
      <c r="A1038" s="1"/>
      <c r="M1038" s="26"/>
      <c r="N1038" s="26"/>
      <c r="P1038" s="1"/>
      <c r="Q1038" s="1"/>
      <c r="R1038" s="1"/>
      <c r="S1038" s="1"/>
      <c r="T1038" s="1"/>
      <c r="U1038" s="1"/>
      <c r="V1038" s="1"/>
      <c r="W1038" s="1"/>
      <c r="X1038" s="1"/>
    </row>
    <row r="1039" spans="1:24">
      <c r="A1039" s="1"/>
      <c r="M1039" s="26"/>
      <c r="N1039" s="26"/>
      <c r="P1039" s="1"/>
      <c r="Q1039" s="1"/>
      <c r="R1039" s="1"/>
      <c r="S1039" s="1"/>
      <c r="T1039" s="1"/>
      <c r="U1039" s="1"/>
      <c r="V1039" s="1"/>
      <c r="W1039" s="1"/>
      <c r="X1039" s="1"/>
    </row>
    <row r="1040" spans="1:24">
      <c r="A1040" s="1"/>
      <c r="M1040" s="26"/>
      <c r="N1040" s="26"/>
      <c r="P1040" s="1"/>
      <c r="Q1040" s="1"/>
      <c r="R1040" s="1"/>
      <c r="S1040" s="1"/>
      <c r="T1040" s="1"/>
      <c r="U1040" s="1"/>
      <c r="V1040" s="1"/>
      <c r="W1040" s="1"/>
      <c r="X1040" s="1"/>
    </row>
    <row r="1041" spans="1:24">
      <c r="A1041" s="1"/>
      <c r="M1041" s="26"/>
      <c r="N1041" s="26"/>
      <c r="P1041" s="1"/>
      <c r="Q1041" s="1"/>
      <c r="R1041" s="1"/>
      <c r="S1041" s="1"/>
      <c r="T1041" s="1"/>
      <c r="U1041" s="1"/>
      <c r="V1041" s="1"/>
      <c r="W1041" s="1"/>
      <c r="X1041" s="1"/>
    </row>
    <row r="1042" spans="1:24">
      <c r="A1042" s="1"/>
      <c r="M1042" s="26"/>
      <c r="N1042" s="26"/>
      <c r="P1042" s="1"/>
      <c r="Q1042" s="1"/>
      <c r="R1042" s="1"/>
      <c r="S1042" s="1"/>
      <c r="T1042" s="1"/>
      <c r="U1042" s="1"/>
      <c r="V1042" s="1"/>
      <c r="W1042" s="1"/>
      <c r="X1042" s="1"/>
    </row>
    <row r="1043" spans="1:24">
      <c r="A1043" s="1"/>
      <c r="M1043" s="26"/>
      <c r="N1043" s="26"/>
      <c r="P1043" s="1"/>
      <c r="Q1043" s="1"/>
      <c r="R1043" s="1"/>
      <c r="S1043" s="1"/>
      <c r="T1043" s="1"/>
      <c r="U1043" s="1"/>
      <c r="V1043" s="1"/>
      <c r="W1043" s="1"/>
      <c r="X1043" s="1"/>
    </row>
    <row r="1044" spans="1:24">
      <c r="A1044" s="1"/>
      <c r="M1044" s="26"/>
      <c r="N1044" s="26"/>
      <c r="P1044" s="1"/>
      <c r="Q1044" s="1"/>
      <c r="R1044" s="1"/>
      <c r="S1044" s="1"/>
      <c r="T1044" s="1"/>
      <c r="U1044" s="1"/>
      <c r="V1044" s="1"/>
      <c r="W1044" s="1"/>
      <c r="X1044" s="1"/>
    </row>
    <row r="1045" spans="1:24">
      <c r="A1045" s="1"/>
      <c r="M1045" s="26"/>
      <c r="N1045" s="26"/>
      <c r="P1045" s="1"/>
      <c r="Q1045" s="1"/>
      <c r="R1045" s="1"/>
      <c r="S1045" s="1"/>
      <c r="T1045" s="1"/>
      <c r="U1045" s="1"/>
      <c r="V1045" s="1"/>
      <c r="W1045" s="1"/>
      <c r="X1045" s="1"/>
    </row>
    <row r="1046" spans="1:24">
      <c r="A1046" s="1"/>
      <c r="M1046" s="26"/>
      <c r="N1046" s="26"/>
      <c r="P1046" s="1"/>
      <c r="Q1046" s="1"/>
      <c r="R1046" s="1"/>
      <c r="S1046" s="1"/>
      <c r="T1046" s="1"/>
      <c r="U1046" s="1"/>
      <c r="V1046" s="1"/>
      <c r="W1046" s="1"/>
      <c r="X1046" s="1"/>
    </row>
    <row r="1047" spans="1:24">
      <c r="A1047" s="1"/>
      <c r="M1047" s="26"/>
      <c r="N1047" s="26"/>
      <c r="P1047" s="1"/>
      <c r="Q1047" s="1"/>
      <c r="R1047" s="1"/>
      <c r="S1047" s="1"/>
      <c r="T1047" s="1"/>
      <c r="U1047" s="1"/>
      <c r="V1047" s="1"/>
      <c r="W1047" s="1"/>
      <c r="X1047" s="1"/>
    </row>
    <row r="1048" spans="1:24">
      <c r="A1048" s="1"/>
      <c r="M1048" s="26"/>
      <c r="N1048" s="26"/>
      <c r="P1048" s="1"/>
      <c r="Q1048" s="1"/>
      <c r="R1048" s="1"/>
      <c r="S1048" s="1"/>
      <c r="T1048" s="1"/>
      <c r="U1048" s="1"/>
      <c r="V1048" s="1"/>
      <c r="W1048" s="1"/>
      <c r="X1048" s="1"/>
    </row>
    <row r="1049" spans="1:24">
      <c r="A1049" s="1"/>
      <c r="M1049" s="26"/>
      <c r="N1049" s="26"/>
      <c r="P1049" s="1"/>
      <c r="Q1049" s="1"/>
      <c r="R1049" s="1"/>
      <c r="S1049" s="1"/>
      <c r="T1049" s="1"/>
      <c r="U1049" s="1"/>
      <c r="V1049" s="1"/>
      <c r="W1049" s="1"/>
      <c r="X1049" s="1"/>
    </row>
    <row r="1050" spans="1:24">
      <c r="A1050" s="1"/>
      <c r="M1050" s="26"/>
      <c r="N1050" s="26"/>
      <c r="P1050" s="1"/>
      <c r="Q1050" s="1"/>
      <c r="R1050" s="1"/>
      <c r="S1050" s="1"/>
      <c r="T1050" s="1"/>
      <c r="U1050" s="1"/>
      <c r="V1050" s="1"/>
      <c r="W1050" s="1"/>
      <c r="X1050" s="1"/>
    </row>
    <row r="1051" spans="1:24">
      <c r="A1051" s="1"/>
      <c r="M1051" s="26"/>
      <c r="N1051" s="26"/>
      <c r="P1051" s="1"/>
      <c r="Q1051" s="1"/>
      <c r="R1051" s="1"/>
      <c r="S1051" s="1"/>
      <c r="T1051" s="1"/>
      <c r="U1051" s="1"/>
      <c r="V1051" s="1"/>
      <c r="W1051" s="1"/>
      <c r="X1051" s="1"/>
    </row>
    <row r="1052" spans="1:24">
      <c r="A1052" s="1"/>
      <c r="M1052" s="26"/>
      <c r="N1052" s="26"/>
      <c r="P1052" s="1"/>
      <c r="Q1052" s="1"/>
      <c r="R1052" s="1"/>
      <c r="S1052" s="1"/>
      <c r="T1052" s="1"/>
      <c r="U1052" s="1"/>
      <c r="V1052" s="1"/>
      <c r="W1052" s="1"/>
      <c r="X1052" s="1"/>
    </row>
    <row r="1053" spans="1:24">
      <c r="A1053" s="1"/>
      <c r="M1053" s="26"/>
      <c r="N1053" s="26"/>
      <c r="P1053" s="1"/>
      <c r="Q1053" s="1"/>
      <c r="R1053" s="1"/>
      <c r="S1053" s="1"/>
      <c r="T1053" s="1"/>
      <c r="U1053" s="1"/>
      <c r="V1053" s="1"/>
      <c r="W1053" s="1"/>
      <c r="X1053" s="1"/>
    </row>
    <row r="1054" spans="1:24">
      <c r="A1054" s="1"/>
      <c r="M1054" s="26"/>
      <c r="N1054" s="26"/>
      <c r="P1054" s="1"/>
      <c r="Q1054" s="1"/>
      <c r="R1054" s="1"/>
      <c r="S1054" s="1"/>
      <c r="T1054" s="1"/>
      <c r="U1054" s="1"/>
      <c r="V1054" s="1"/>
      <c r="W1054" s="1"/>
      <c r="X1054" s="1"/>
    </row>
    <row r="1055" spans="1:24">
      <c r="A1055" s="1"/>
      <c r="M1055" s="26"/>
      <c r="N1055" s="26"/>
      <c r="P1055" s="1"/>
      <c r="Q1055" s="1"/>
      <c r="R1055" s="1"/>
      <c r="S1055" s="1"/>
      <c r="T1055" s="1"/>
      <c r="U1055" s="1"/>
      <c r="V1055" s="1"/>
      <c r="W1055" s="1"/>
      <c r="X1055" s="1"/>
    </row>
    <row r="1056" spans="1:24">
      <c r="A1056" s="1"/>
      <c r="M1056" s="26"/>
      <c r="N1056" s="26"/>
      <c r="P1056" s="1"/>
      <c r="Q1056" s="1"/>
      <c r="R1056" s="1"/>
      <c r="S1056" s="1"/>
      <c r="T1056" s="1"/>
      <c r="U1056" s="1"/>
      <c r="V1056" s="1"/>
      <c r="W1056" s="1"/>
      <c r="X1056" s="1"/>
    </row>
    <row r="1057" spans="1:24">
      <c r="A1057" s="1"/>
      <c r="M1057" s="26"/>
      <c r="N1057" s="26"/>
      <c r="P1057" s="1"/>
      <c r="Q1057" s="1"/>
      <c r="R1057" s="1"/>
      <c r="S1057" s="1"/>
      <c r="T1057" s="1"/>
      <c r="U1057" s="1"/>
      <c r="V1057" s="1"/>
      <c r="W1057" s="1"/>
      <c r="X1057" s="1"/>
    </row>
    <row r="1058" spans="1:24">
      <c r="A1058" s="1"/>
      <c r="M1058" s="26"/>
      <c r="N1058" s="26"/>
      <c r="P1058" s="1"/>
      <c r="Q1058" s="1"/>
      <c r="R1058" s="1"/>
      <c r="S1058" s="1"/>
      <c r="T1058" s="1"/>
      <c r="U1058" s="1"/>
      <c r="V1058" s="1"/>
      <c r="W1058" s="1"/>
      <c r="X1058" s="1"/>
    </row>
    <row r="1059" spans="1:24">
      <c r="A1059" s="1"/>
      <c r="M1059" s="26"/>
      <c r="N1059" s="26"/>
      <c r="P1059" s="1"/>
      <c r="Q1059" s="1"/>
      <c r="R1059" s="1"/>
      <c r="S1059" s="1"/>
      <c r="T1059" s="1"/>
      <c r="U1059" s="1"/>
      <c r="V1059" s="1"/>
      <c r="W1059" s="1"/>
      <c r="X1059" s="1"/>
    </row>
    <row r="1060" spans="1:24">
      <c r="A1060" s="1"/>
      <c r="M1060" s="26"/>
      <c r="N1060" s="26"/>
      <c r="P1060" s="1"/>
      <c r="Q1060" s="1"/>
      <c r="R1060" s="1"/>
      <c r="S1060" s="1"/>
      <c r="T1060" s="1"/>
      <c r="U1060" s="1"/>
      <c r="V1060" s="1"/>
      <c r="W1060" s="1"/>
      <c r="X1060" s="1"/>
    </row>
    <row r="1061" spans="1:24">
      <c r="A1061" s="1"/>
      <c r="M1061" s="26"/>
      <c r="N1061" s="26"/>
      <c r="P1061" s="1"/>
      <c r="Q1061" s="1"/>
      <c r="R1061" s="1"/>
      <c r="S1061" s="1"/>
      <c r="T1061" s="1"/>
      <c r="U1061" s="1"/>
      <c r="V1061" s="1"/>
      <c r="W1061" s="1"/>
      <c r="X1061" s="1"/>
    </row>
    <row r="1062" spans="1:24">
      <c r="A1062" s="1"/>
      <c r="M1062" s="26"/>
      <c r="N1062" s="26"/>
      <c r="P1062" s="1"/>
      <c r="Q1062" s="1"/>
      <c r="R1062" s="1"/>
      <c r="S1062" s="1"/>
      <c r="T1062" s="1"/>
      <c r="U1062" s="1"/>
      <c r="V1062" s="1"/>
      <c r="W1062" s="1"/>
      <c r="X1062" s="1"/>
    </row>
    <row r="1063" spans="1:24">
      <c r="A1063" s="1"/>
      <c r="M1063" s="26"/>
      <c r="N1063" s="26"/>
      <c r="P1063" s="1"/>
      <c r="Q1063" s="1"/>
      <c r="R1063" s="1"/>
      <c r="S1063" s="1"/>
      <c r="T1063" s="1"/>
      <c r="U1063" s="1"/>
      <c r="V1063" s="1"/>
      <c r="W1063" s="1"/>
      <c r="X1063" s="1"/>
    </row>
    <row r="1064" spans="1:24">
      <c r="A1064" s="1"/>
      <c r="M1064" s="26"/>
      <c r="N1064" s="26"/>
      <c r="P1064" s="1"/>
      <c r="Q1064" s="1"/>
      <c r="R1064" s="1"/>
      <c r="S1064" s="1"/>
      <c r="T1064" s="1"/>
      <c r="U1064" s="1"/>
      <c r="V1064" s="1"/>
      <c r="W1064" s="1"/>
      <c r="X1064" s="1"/>
    </row>
    <row r="1065" spans="1:24">
      <c r="A1065" s="1"/>
      <c r="M1065" s="26"/>
      <c r="N1065" s="26"/>
      <c r="P1065" s="1"/>
      <c r="Q1065" s="1"/>
      <c r="R1065" s="1"/>
      <c r="S1065" s="1"/>
      <c r="T1065" s="1"/>
      <c r="U1065" s="1"/>
      <c r="V1065" s="1"/>
      <c r="W1065" s="1"/>
      <c r="X1065" s="1"/>
    </row>
    <row r="1066" spans="1:24">
      <c r="A1066" s="1"/>
      <c r="M1066" s="26"/>
      <c r="N1066" s="26"/>
      <c r="P1066" s="1"/>
      <c r="Q1066" s="1"/>
      <c r="R1066" s="1"/>
      <c r="S1066" s="1"/>
      <c r="T1066" s="1"/>
      <c r="U1066" s="1"/>
      <c r="V1066" s="1"/>
      <c r="W1066" s="1"/>
      <c r="X1066" s="1"/>
    </row>
    <row r="1067" spans="1:24">
      <c r="A1067" s="1"/>
      <c r="M1067" s="26"/>
      <c r="N1067" s="26"/>
      <c r="P1067" s="1"/>
      <c r="Q1067" s="1"/>
      <c r="R1067" s="1"/>
      <c r="S1067" s="1"/>
      <c r="T1067" s="1"/>
      <c r="U1067" s="1"/>
      <c r="V1067" s="1"/>
      <c r="W1067" s="1"/>
      <c r="X1067" s="1"/>
    </row>
    <row r="1068" spans="1:24">
      <c r="A1068" s="1"/>
      <c r="M1068" s="26"/>
      <c r="N1068" s="26"/>
      <c r="P1068" s="1"/>
      <c r="Q1068" s="1"/>
      <c r="R1068" s="1"/>
      <c r="S1068" s="1"/>
      <c r="T1068" s="1"/>
      <c r="U1068" s="1"/>
      <c r="V1068" s="1"/>
      <c r="W1068" s="1"/>
      <c r="X1068" s="1"/>
    </row>
    <row r="1069" spans="1:24">
      <c r="A1069" s="1"/>
      <c r="M1069" s="26"/>
      <c r="N1069" s="26"/>
      <c r="P1069" s="1"/>
      <c r="Q1069" s="1"/>
      <c r="R1069" s="1"/>
      <c r="S1069" s="1"/>
      <c r="T1069" s="1"/>
      <c r="U1069" s="1"/>
      <c r="V1069" s="1"/>
      <c r="W1069" s="1"/>
      <c r="X1069" s="1"/>
    </row>
    <row r="1070" spans="1:24">
      <c r="A1070" s="1"/>
      <c r="M1070" s="26"/>
      <c r="N1070" s="26"/>
      <c r="P1070" s="1"/>
      <c r="Q1070" s="1"/>
      <c r="R1070" s="1"/>
      <c r="S1070" s="1"/>
      <c r="T1070" s="1"/>
      <c r="U1070" s="1"/>
      <c r="V1070" s="1"/>
      <c r="W1070" s="1"/>
      <c r="X1070" s="1"/>
    </row>
    <row r="1071" spans="1:24">
      <c r="A1071" s="1"/>
      <c r="M1071" s="26"/>
      <c r="N1071" s="26"/>
      <c r="P1071" s="1"/>
      <c r="Q1071" s="1"/>
      <c r="R1071" s="1"/>
      <c r="S1071" s="1"/>
      <c r="T1071" s="1"/>
      <c r="U1071" s="1"/>
      <c r="V1071" s="1"/>
      <c r="W1071" s="1"/>
      <c r="X1071" s="1"/>
    </row>
    <row r="1072" spans="1:24">
      <c r="A1072" s="1"/>
      <c r="M1072" s="26"/>
      <c r="N1072" s="26"/>
      <c r="P1072" s="1"/>
      <c r="Q1072" s="1"/>
      <c r="R1072" s="1"/>
      <c r="S1072" s="1"/>
      <c r="T1072" s="1"/>
      <c r="U1072" s="1"/>
      <c r="V1072" s="1"/>
      <c r="W1072" s="1"/>
      <c r="X1072" s="1"/>
    </row>
    <row r="1073" spans="1:24">
      <c r="A1073" s="1"/>
      <c r="M1073" s="26"/>
      <c r="N1073" s="26"/>
      <c r="P1073" s="1"/>
      <c r="Q1073" s="1"/>
      <c r="R1073" s="1"/>
      <c r="S1073" s="1"/>
      <c r="T1073" s="1"/>
      <c r="U1073" s="1"/>
      <c r="V1073" s="1"/>
      <c r="W1073" s="1"/>
      <c r="X1073" s="1"/>
    </row>
    <row r="1074" spans="1:24">
      <c r="A1074" s="1"/>
      <c r="M1074" s="26"/>
      <c r="N1074" s="26"/>
      <c r="P1074" s="1"/>
      <c r="Q1074" s="1"/>
      <c r="R1074" s="1"/>
      <c r="S1074" s="1"/>
      <c r="T1074" s="1"/>
      <c r="U1074" s="1"/>
      <c r="V1074" s="1"/>
      <c r="W1074" s="1"/>
      <c r="X1074" s="1"/>
    </row>
    <row r="1075" spans="1:24">
      <c r="A1075" s="1"/>
      <c r="M1075" s="26"/>
      <c r="N1075" s="26"/>
      <c r="P1075" s="1"/>
      <c r="Q1075" s="1"/>
      <c r="R1075" s="1"/>
      <c r="S1075" s="1"/>
      <c r="T1075" s="1"/>
      <c r="U1075" s="1"/>
      <c r="V1075" s="1"/>
      <c r="W1075" s="1"/>
      <c r="X1075" s="1"/>
    </row>
    <row r="1076" spans="1:24">
      <c r="A1076" s="1"/>
      <c r="M1076" s="26"/>
      <c r="N1076" s="26"/>
      <c r="P1076" s="1"/>
      <c r="Q1076" s="1"/>
      <c r="R1076" s="1"/>
      <c r="S1076" s="1"/>
      <c r="T1076" s="1"/>
      <c r="U1076" s="1"/>
      <c r="V1076" s="1"/>
      <c r="W1076" s="1"/>
      <c r="X1076" s="1"/>
    </row>
    <row r="1077" spans="1:24">
      <c r="A1077" s="1"/>
      <c r="M1077" s="26"/>
      <c r="N1077" s="26"/>
      <c r="P1077" s="1"/>
      <c r="Q1077" s="1"/>
      <c r="R1077" s="1"/>
      <c r="S1077" s="1"/>
      <c r="T1077" s="1"/>
      <c r="U1077" s="1"/>
      <c r="V1077" s="1"/>
      <c r="W1077" s="1"/>
      <c r="X1077" s="1"/>
    </row>
    <row r="1078" spans="1:24">
      <c r="A1078" s="1"/>
      <c r="M1078" s="26"/>
      <c r="N1078" s="26"/>
      <c r="P1078" s="1"/>
      <c r="Q1078" s="1"/>
      <c r="R1078" s="1"/>
      <c r="S1078" s="1"/>
      <c r="T1078" s="1"/>
      <c r="U1078" s="1"/>
      <c r="V1078" s="1"/>
      <c r="W1078" s="1"/>
      <c r="X1078" s="1"/>
    </row>
    <row r="1079" spans="1:24">
      <c r="A1079" s="1"/>
      <c r="M1079" s="26"/>
      <c r="N1079" s="26"/>
      <c r="P1079" s="1"/>
      <c r="Q1079" s="1"/>
      <c r="R1079" s="1"/>
      <c r="S1079" s="1"/>
      <c r="T1079" s="1"/>
      <c r="U1079" s="1"/>
      <c r="V1079" s="1"/>
      <c r="W1079" s="1"/>
      <c r="X1079" s="1"/>
    </row>
    <row r="1080" spans="1:24">
      <c r="A1080" s="1"/>
      <c r="M1080" s="26"/>
      <c r="N1080" s="26"/>
      <c r="P1080" s="1"/>
      <c r="Q1080" s="1"/>
      <c r="R1080" s="1"/>
      <c r="S1080" s="1"/>
      <c r="T1080" s="1"/>
      <c r="U1080" s="1"/>
      <c r="V1080" s="1"/>
      <c r="W1080" s="1"/>
      <c r="X1080" s="1"/>
    </row>
    <row r="1081" spans="1:24">
      <c r="A1081" s="1"/>
      <c r="M1081" s="26"/>
      <c r="N1081" s="26"/>
      <c r="P1081" s="1"/>
      <c r="Q1081" s="1"/>
      <c r="R1081" s="1"/>
      <c r="S1081" s="1"/>
      <c r="T1081" s="1"/>
      <c r="U1081" s="1"/>
      <c r="V1081" s="1"/>
      <c r="W1081" s="1"/>
      <c r="X1081" s="1"/>
    </row>
    <row r="1082" spans="1:24">
      <c r="A1082" s="1"/>
      <c r="M1082" s="26"/>
      <c r="N1082" s="26"/>
      <c r="P1082" s="1"/>
      <c r="Q1082" s="1"/>
      <c r="R1082" s="1"/>
      <c r="S1082" s="1"/>
      <c r="T1082" s="1"/>
      <c r="U1082" s="1"/>
      <c r="V1082" s="1"/>
      <c r="W1082" s="1"/>
      <c r="X1082" s="1"/>
    </row>
    <row r="1083" spans="1:24">
      <c r="A1083" s="1"/>
      <c r="M1083" s="26"/>
      <c r="N1083" s="26"/>
      <c r="P1083" s="1"/>
      <c r="Q1083" s="1"/>
      <c r="R1083" s="1"/>
      <c r="S1083" s="1"/>
      <c r="T1083" s="1"/>
      <c r="U1083" s="1"/>
      <c r="V1083" s="1"/>
      <c r="W1083" s="1"/>
      <c r="X1083" s="1"/>
    </row>
    <row r="1084" spans="1:24">
      <c r="A1084" s="1"/>
      <c r="M1084" s="26"/>
      <c r="N1084" s="26"/>
      <c r="P1084" s="1"/>
      <c r="Q1084" s="1"/>
      <c r="R1084" s="1"/>
      <c r="S1084" s="1"/>
      <c r="T1084" s="1"/>
      <c r="U1084" s="1"/>
      <c r="V1084" s="1"/>
      <c r="W1084" s="1"/>
      <c r="X1084" s="1"/>
    </row>
    <row r="1085" spans="1:24">
      <c r="A1085" s="1"/>
      <c r="M1085" s="26"/>
      <c r="N1085" s="26"/>
      <c r="P1085" s="1"/>
      <c r="Q1085" s="1"/>
      <c r="R1085" s="1"/>
      <c r="S1085" s="1"/>
      <c r="T1085" s="1"/>
      <c r="U1085" s="1"/>
      <c r="V1085" s="1"/>
      <c r="W1085" s="1"/>
      <c r="X1085" s="1"/>
    </row>
    <row r="1086" spans="1:24">
      <c r="A1086" s="1"/>
      <c r="M1086" s="26"/>
      <c r="N1086" s="26"/>
      <c r="P1086" s="1"/>
      <c r="Q1086" s="1"/>
      <c r="R1086" s="1"/>
      <c r="S1086" s="1"/>
      <c r="T1086" s="1"/>
      <c r="U1086" s="1"/>
      <c r="V1086" s="1"/>
      <c r="W1086" s="1"/>
      <c r="X1086" s="1"/>
    </row>
    <row r="1087" spans="1:24">
      <c r="A1087" s="1"/>
      <c r="M1087" s="26"/>
      <c r="N1087" s="26"/>
      <c r="P1087" s="1"/>
      <c r="Q1087" s="1"/>
      <c r="R1087" s="1"/>
      <c r="S1087" s="1"/>
      <c r="T1087" s="1"/>
      <c r="U1087" s="1"/>
      <c r="V1087" s="1"/>
      <c r="W1087" s="1"/>
      <c r="X1087" s="1"/>
    </row>
    <row r="1088" spans="1:24">
      <c r="A1088" s="1"/>
      <c r="M1088" s="26"/>
      <c r="N1088" s="26"/>
      <c r="P1088" s="1"/>
      <c r="Q1088" s="1"/>
      <c r="R1088" s="1"/>
      <c r="S1088" s="1"/>
      <c r="T1088" s="1"/>
      <c r="U1088" s="1"/>
      <c r="V1088" s="1"/>
      <c r="W1088" s="1"/>
      <c r="X1088" s="1"/>
    </row>
    <row r="1089" spans="1:24">
      <c r="A1089" s="1"/>
      <c r="M1089" s="26"/>
      <c r="N1089" s="26"/>
      <c r="P1089" s="1"/>
      <c r="Q1089" s="1"/>
      <c r="R1089" s="1"/>
      <c r="S1089" s="1"/>
      <c r="T1089" s="1"/>
      <c r="U1089" s="1"/>
      <c r="V1089" s="1"/>
      <c r="W1089" s="1"/>
      <c r="X1089" s="1"/>
    </row>
    <row r="1090" spans="1:24">
      <c r="A1090" s="1"/>
      <c r="M1090" s="26"/>
      <c r="N1090" s="26"/>
      <c r="P1090" s="1"/>
      <c r="Q1090" s="1"/>
      <c r="R1090" s="1"/>
      <c r="S1090" s="1"/>
      <c r="T1090" s="1"/>
      <c r="U1090" s="1"/>
      <c r="V1090" s="1"/>
      <c r="W1090" s="1"/>
      <c r="X1090" s="1"/>
    </row>
    <row r="1091" spans="1:24">
      <c r="A1091" s="1"/>
      <c r="M1091" s="26"/>
      <c r="N1091" s="26"/>
      <c r="P1091" s="1"/>
      <c r="Q1091" s="1"/>
      <c r="R1091" s="1"/>
      <c r="S1091" s="1"/>
      <c r="T1091" s="1"/>
      <c r="U1091" s="1"/>
      <c r="V1091" s="1"/>
      <c r="W1091" s="1"/>
      <c r="X1091" s="1"/>
    </row>
    <row r="1092" spans="1:24">
      <c r="A1092" s="1"/>
      <c r="M1092" s="26"/>
      <c r="N1092" s="26"/>
      <c r="P1092" s="1"/>
      <c r="Q1092" s="1"/>
      <c r="R1092" s="1"/>
      <c r="S1092" s="1"/>
      <c r="T1092" s="1"/>
      <c r="U1092" s="1"/>
      <c r="V1092" s="1"/>
      <c r="W1092" s="1"/>
      <c r="X1092" s="1"/>
    </row>
    <row r="1093" spans="1:24">
      <c r="A1093" s="1"/>
      <c r="M1093" s="26"/>
      <c r="N1093" s="26"/>
      <c r="P1093" s="1"/>
      <c r="Q1093" s="1"/>
      <c r="R1093" s="1"/>
      <c r="S1093" s="1"/>
      <c r="T1093" s="1"/>
      <c r="U1093" s="1"/>
      <c r="V1093" s="1"/>
      <c r="W1093" s="1"/>
      <c r="X1093" s="1"/>
    </row>
    <row r="1094" spans="1:24">
      <c r="A1094" s="1"/>
      <c r="M1094" s="26"/>
      <c r="N1094" s="26"/>
      <c r="P1094" s="1"/>
      <c r="Q1094" s="1"/>
      <c r="R1094" s="1"/>
      <c r="S1094" s="1"/>
      <c r="T1094" s="1"/>
      <c r="U1094" s="1"/>
      <c r="V1094" s="1"/>
      <c r="W1094" s="1"/>
      <c r="X1094" s="1"/>
    </row>
    <row r="1095" spans="1:24">
      <c r="A1095" s="1"/>
      <c r="M1095" s="26"/>
      <c r="N1095" s="26"/>
      <c r="P1095" s="1"/>
      <c r="Q1095" s="1"/>
      <c r="R1095" s="1"/>
      <c r="S1095" s="1"/>
      <c r="T1095" s="1"/>
      <c r="U1095" s="1"/>
      <c r="V1095" s="1"/>
      <c r="W1095" s="1"/>
      <c r="X1095" s="1"/>
    </row>
    <row r="1096" spans="1:24">
      <c r="A1096" s="1"/>
      <c r="M1096" s="26"/>
      <c r="N1096" s="26"/>
      <c r="P1096" s="1"/>
      <c r="Q1096" s="1"/>
      <c r="R1096" s="1"/>
      <c r="S1096" s="1"/>
      <c r="T1096" s="1"/>
      <c r="U1096" s="1"/>
      <c r="V1096" s="1"/>
      <c r="W1096" s="1"/>
      <c r="X1096" s="1"/>
    </row>
    <row r="1097" spans="1:24">
      <c r="A1097" s="1"/>
      <c r="M1097" s="26"/>
      <c r="N1097" s="26"/>
      <c r="P1097" s="1"/>
      <c r="Q1097" s="1"/>
      <c r="R1097" s="1"/>
      <c r="S1097" s="1"/>
      <c r="T1097" s="1"/>
      <c r="U1097" s="1"/>
      <c r="V1097" s="1"/>
      <c r="W1097" s="1"/>
      <c r="X1097" s="1"/>
    </row>
    <row r="1098" spans="1:24">
      <c r="A1098" s="1"/>
      <c r="M1098" s="26"/>
      <c r="N1098" s="26"/>
      <c r="P1098" s="1"/>
      <c r="Q1098" s="1"/>
      <c r="R1098" s="1"/>
      <c r="S1098" s="1"/>
      <c r="T1098" s="1"/>
      <c r="U1098" s="1"/>
      <c r="V1098" s="1"/>
      <c r="W1098" s="1"/>
      <c r="X1098" s="1"/>
    </row>
    <row r="1099" spans="1:24">
      <c r="A1099" s="1"/>
      <c r="M1099" s="26"/>
      <c r="N1099" s="26"/>
      <c r="P1099" s="1"/>
      <c r="Q1099" s="1"/>
      <c r="R1099" s="1"/>
      <c r="S1099" s="1"/>
      <c r="T1099" s="1"/>
      <c r="U1099" s="1"/>
      <c r="V1099" s="1"/>
      <c r="W1099" s="1"/>
      <c r="X1099" s="1"/>
    </row>
    <row r="1100" spans="1:24">
      <c r="A1100" s="1"/>
      <c r="M1100" s="26"/>
      <c r="N1100" s="26"/>
      <c r="P1100" s="1"/>
      <c r="Q1100" s="1"/>
      <c r="R1100" s="1"/>
      <c r="S1100" s="1"/>
      <c r="T1100" s="1"/>
      <c r="U1100" s="1"/>
      <c r="V1100" s="1"/>
      <c r="W1100" s="1"/>
      <c r="X1100" s="1"/>
    </row>
    <row r="1101" spans="1:24">
      <c r="A1101" s="1"/>
      <c r="M1101" s="26"/>
      <c r="N1101" s="26"/>
      <c r="P1101" s="1"/>
      <c r="Q1101" s="1"/>
      <c r="R1101" s="1"/>
      <c r="S1101" s="1"/>
      <c r="T1101" s="1"/>
      <c r="U1101" s="1"/>
      <c r="V1101" s="1"/>
      <c r="W1101" s="1"/>
      <c r="X1101" s="1"/>
    </row>
    <row r="1102" spans="1:24">
      <c r="A1102" s="1"/>
      <c r="M1102" s="26"/>
      <c r="N1102" s="26"/>
      <c r="P1102" s="1"/>
      <c r="Q1102" s="1"/>
      <c r="R1102" s="1"/>
      <c r="S1102" s="1"/>
      <c r="T1102" s="1"/>
      <c r="U1102" s="1"/>
      <c r="V1102" s="1"/>
      <c r="W1102" s="1"/>
      <c r="X1102" s="1"/>
    </row>
    <row r="1103" spans="1:24">
      <c r="A1103" s="1"/>
      <c r="M1103" s="26"/>
      <c r="N1103" s="26"/>
      <c r="P1103" s="1"/>
      <c r="Q1103" s="1"/>
      <c r="R1103" s="1"/>
      <c r="S1103" s="1"/>
      <c r="T1103" s="1"/>
      <c r="U1103" s="1"/>
      <c r="V1103" s="1"/>
      <c r="W1103" s="1"/>
      <c r="X1103" s="1"/>
    </row>
    <row r="1104" spans="1:24">
      <c r="A1104" s="1"/>
      <c r="M1104" s="26"/>
      <c r="N1104" s="26"/>
      <c r="P1104" s="1"/>
      <c r="Q1104" s="1"/>
      <c r="R1104" s="1"/>
      <c r="S1104" s="1"/>
      <c r="T1104" s="1"/>
      <c r="U1104" s="1"/>
      <c r="V1104" s="1"/>
      <c r="W1104" s="1"/>
      <c r="X1104" s="1"/>
    </row>
    <row r="1105" spans="1:24">
      <c r="A1105" s="1"/>
      <c r="M1105" s="26"/>
      <c r="N1105" s="26"/>
      <c r="P1105" s="1"/>
      <c r="Q1105" s="1"/>
      <c r="R1105" s="1"/>
      <c r="S1105" s="1"/>
      <c r="T1105" s="1"/>
      <c r="U1105" s="1"/>
      <c r="V1105" s="1"/>
      <c r="W1105" s="1"/>
      <c r="X1105" s="1"/>
    </row>
    <row r="1106" spans="1:24">
      <c r="A1106" s="1"/>
      <c r="M1106" s="26"/>
      <c r="N1106" s="26"/>
      <c r="P1106" s="1"/>
      <c r="Q1106" s="1"/>
      <c r="R1106" s="1"/>
      <c r="S1106" s="1"/>
      <c r="T1106" s="1"/>
      <c r="U1106" s="1"/>
      <c r="V1106" s="1"/>
      <c r="W1106" s="1"/>
      <c r="X1106" s="1"/>
    </row>
    <row r="1107" spans="1:24">
      <c r="A1107" s="1"/>
      <c r="M1107" s="26"/>
      <c r="N1107" s="26"/>
      <c r="P1107" s="1"/>
      <c r="Q1107" s="1"/>
      <c r="R1107" s="1"/>
      <c r="S1107" s="1"/>
      <c r="T1107" s="1"/>
      <c r="U1107" s="1"/>
      <c r="V1107" s="1"/>
      <c r="W1107" s="1"/>
      <c r="X1107" s="1"/>
    </row>
    <row r="1108" spans="1:24">
      <c r="A1108" s="1"/>
      <c r="M1108" s="26"/>
      <c r="N1108" s="26"/>
      <c r="P1108" s="1"/>
      <c r="Q1108" s="1"/>
      <c r="R1108" s="1"/>
      <c r="S1108" s="1"/>
      <c r="T1108" s="1"/>
      <c r="U1108" s="1"/>
      <c r="V1108" s="1"/>
      <c r="W1108" s="1"/>
      <c r="X1108" s="1"/>
    </row>
    <row r="1109" spans="1:24">
      <c r="A1109" s="1"/>
      <c r="M1109" s="26"/>
      <c r="N1109" s="26"/>
      <c r="P1109" s="1"/>
      <c r="Q1109" s="1"/>
      <c r="R1109" s="1"/>
      <c r="S1109" s="1"/>
      <c r="T1109" s="1"/>
      <c r="U1109" s="1"/>
      <c r="V1109" s="1"/>
      <c r="W1109" s="1"/>
      <c r="X1109" s="1"/>
    </row>
    <row r="1110" spans="1:24">
      <c r="A1110" s="1"/>
      <c r="M1110" s="26"/>
      <c r="N1110" s="26"/>
      <c r="P1110" s="1"/>
      <c r="Q1110" s="1"/>
      <c r="R1110" s="1"/>
      <c r="S1110" s="1"/>
      <c r="T1110" s="1"/>
      <c r="U1110" s="1"/>
      <c r="V1110" s="1"/>
      <c r="W1110" s="1"/>
      <c r="X1110" s="1"/>
    </row>
    <row r="1111" spans="1:24">
      <c r="A1111" s="1"/>
      <c r="M1111" s="26"/>
      <c r="N1111" s="26"/>
      <c r="P1111" s="1"/>
      <c r="Q1111" s="1"/>
      <c r="R1111" s="1"/>
      <c r="S1111" s="1"/>
      <c r="T1111" s="1"/>
      <c r="U1111" s="1"/>
      <c r="V1111" s="1"/>
      <c r="W1111" s="1"/>
      <c r="X1111" s="1"/>
    </row>
    <row r="1112" spans="1:24">
      <c r="A1112" s="1"/>
      <c r="M1112" s="26"/>
      <c r="N1112" s="26"/>
      <c r="P1112" s="1"/>
      <c r="Q1112" s="1"/>
      <c r="R1112" s="1"/>
      <c r="S1112" s="1"/>
      <c r="T1112" s="1"/>
      <c r="U1112" s="1"/>
      <c r="V1112" s="1"/>
      <c r="W1112" s="1"/>
      <c r="X1112" s="1"/>
    </row>
    <row r="1113" spans="1:24">
      <c r="A1113" s="1"/>
      <c r="M1113" s="26"/>
      <c r="N1113" s="26"/>
      <c r="P1113" s="1"/>
      <c r="Q1113" s="1"/>
      <c r="R1113" s="1"/>
      <c r="S1113" s="1"/>
      <c r="T1113" s="1"/>
      <c r="U1113" s="1"/>
      <c r="V1113" s="1"/>
      <c r="W1113" s="1"/>
      <c r="X1113" s="1"/>
    </row>
    <row r="1114" spans="1:24">
      <c r="A1114" s="1"/>
      <c r="M1114" s="26"/>
      <c r="N1114" s="26"/>
      <c r="P1114" s="1"/>
      <c r="Q1114" s="1"/>
      <c r="R1114" s="1"/>
      <c r="S1114" s="1"/>
      <c r="T1114" s="1"/>
      <c r="U1114" s="1"/>
      <c r="V1114" s="1"/>
      <c r="W1114" s="1"/>
      <c r="X1114" s="1"/>
    </row>
    <row r="1115" spans="1:24">
      <c r="A1115" s="1"/>
      <c r="M1115" s="26"/>
      <c r="N1115" s="26"/>
      <c r="P1115" s="1"/>
      <c r="Q1115" s="1"/>
      <c r="R1115" s="1"/>
      <c r="S1115" s="1"/>
      <c r="T1115" s="1"/>
      <c r="U1115" s="1"/>
      <c r="V1115" s="1"/>
      <c r="W1115" s="1"/>
      <c r="X1115" s="1"/>
    </row>
    <row r="1116" spans="1:24">
      <c r="A1116" s="1"/>
      <c r="M1116" s="26"/>
      <c r="N1116" s="26"/>
      <c r="P1116" s="1"/>
      <c r="Q1116" s="1"/>
      <c r="R1116" s="1"/>
      <c r="S1116" s="1"/>
      <c r="T1116" s="1"/>
      <c r="U1116" s="1"/>
      <c r="V1116" s="1"/>
      <c r="W1116" s="1"/>
      <c r="X1116" s="1"/>
    </row>
    <row r="1117" spans="1:24">
      <c r="A1117" s="1"/>
      <c r="M1117" s="26"/>
      <c r="N1117" s="26"/>
      <c r="P1117" s="1"/>
      <c r="Q1117" s="1"/>
      <c r="R1117" s="1"/>
      <c r="S1117" s="1"/>
      <c r="T1117" s="1"/>
      <c r="U1117" s="1"/>
      <c r="V1117" s="1"/>
      <c r="W1117" s="1"/>
      <c r="X1117" s="1"/>
    </row>
    <row r="1118" spans="1:24">
      <c r="A1118" s="1"/>
      <c r="M1118" s="26"/>
      <c r="N1118" s="26"/>
      <c r="P1118" s="1"/>
      <c r="Q1118" s="1"/>
      <c r="R1118" s="1"/>
      <c r="S1118" s="1"/>
      <c r="T1118" s="1"/>
      <c r="U1118" s="1"/>
      <c r="V1118" s="1"/>
      <c r="W1118" s="1"/>
      <c r="X1118" s="1"/>
    </row>
    <row r="1119" spans="1:24">
      <c r="A1119" s="1"/>
      <c r="M1119" s="26"/>
      <c r="N1119" s="26"/>
      <c r="P1119" s="1"/>
      <c r="Q1119" s="1"/>
      <c r="R1119" s="1"/>
      <c r="S1119" s="1"/>
      <c r="T1119" s="1"/>
      <c r="U1119" s="1"/>
      <c r="V1119" s="1"/>
      <c r="W1119" s="1"/>
      <c r="X1119" s="1"/>
    </row>
    <row r="1120" spans="1:24">
      <c r="A1120" s="1"/>
      <c r="M1120" s="26"/>
      <c r="N1120" s="26"/>
      <c r="P1120" s="1"/>
      <c r="Q1120" s="1"/>
      <c r="R1120" s="1"/>
      <c r="S1120" s="1"/>
      <c r="T1120" s="1"/>
      <c r="U1120" s="1"/>
      <c r="V1120" s="1"/>
      <c r="W1120" s="1"/>
      <c r="X1120" s="1"/>
    </row>
    <row r="1121" spans="1:24">
      <c r="A1121" s="1"/>
      <c r="M1121" s="26"/>
      <c r="N1121" s="26"/>
      <c r="P1121" s="1"/>
      <c r="Q1121" s="1"/>
      <c r="R1121" s="1"/>
      <c r="S1121" s="1"/>
      <c r="T1121" s="1"/>
      <c r="U1121" s="1"/>
      <c r="V1121" s="1"/>
      <c r="W1121" s="1"/>
      <c r="X1121" s="1"/>
    </row>
    <row r="1122" spans="1:24">
      <c r="A1122" s="1"/>
      <c r="M1122" s="26"/>
      <c r="N1122" s="26"/>
      <c r="P1122" s="1"/>
      <c r="Q1122" s="1"/>
      <c r="R1122" s="1"/>
      <c r="S1122" s="1"/>
      <c r="T1122" s="1"/>
      <c r="U1122" s="1"/>
      <c r="V1122" s="1"/>
      <c r="W1122" s="1"/>
      <c r="X1122" s="1"/>
    </row>
    <row r="1123" spans="1:24">
      <c r="A1123" s="1"/>
      <c r="M1123" s="26"/>
      <c r="N1123" s="26"/>
      <c r="P1123" s="1"/>
      <c r="Q1123" s="1"/>
      <c r="R1123" s="1"/>
      <c r="S1123" s="1"/>
      <c r="T1123" s="1"/>
      <c r="U1123" s="1"/>
      <c r="V1123" s="1"/>
      <c r="W1123" s="1"/>
      <c r="X1123" s="1"/>
    </row>
    <row r="1124" spans="1:24">
      <c r="A1124" s="1"/>
      <c r="M1124" s="26"/>
      <c r="N1124" s="26"/>
      <c r="P1124" s="1"/>
      <c r="Q1124" s="1"/>
      <c r="R1124" s="1"/>
      <c r="S1124" s="1"/>
      <c r="T1124" s="1"/>
      <c r="U1124" s="1"/>
      <c r="V1124" s="1"/>
      <c r="W1124" s="1"/>
      <c r="X1124" s="1"/>
    </row>
    <row r="1125" spans="1:24">
      <c r="A1125" s="1"/>
      <c r="M1125" s="26"/>
      <c r="N1125" s="26"/>
      <c r="P1125" s="1"/>
      <c r="Q1125" s="1"/>
      <c r="R1125" s="1"/>
      <c r="S1125" s="1"/>
      <c r="T1125" s="1"/>
      <c r="U1125" s="1"/>
      <c r="V1125" s="1"/>
      <c r="W1125" s="1"/>
      <c r="X1125" s="1"/>
    </row>
    <row r="1126" spans="1:24">
      <c r="A1126" s="1"/>
      <c r="M1126" s="26"/>
      <c r="N1126" s="26"/>
      <c r="P1126" s="1"/>
      <c r="Q1126" s="1"/>
      <c r="R1126" s="1"/>
      <c r="S1126" s="1"/>
      <c r="T1126" s="1"/>
      <c r="U1126" s="1"/>
      <c r="V1126" s="1"/>
      <c r="W1126" s="1"/>
      <c r="X1126" s="1"/>
    </row>
    <row r="1127" spans="1:24">
      <c r="A1127" s="1"/>
      <c r="M1127" s="26"/>
      <c r="N1127" s="26"/>
      <c r="P1127" s="1"/>
      <c r="Q1127" s="1"/>
      <c r="R1127" s="1"/>
      <c r="S1127" s="1"/>
      <c r="T1127" s="1"/>
      <c r="U1127" s="1"/>
      <c r="V1127" s="1"/>
      <c r="W1127" s="1"/>
      <c r="X1127" s="1"/>
    </row>
    <row r="1128" spans="1:24">
      <c r="A1128" s="1"/>
      <c r="M1128" s="26"/>
      <c r="N1128" s="26"/>
      <c r="P1128" s="1"/>
      <c r="Q1128" s="1"/>
      <c r="R1128" s="1"/>
      <c r="S1128" s="1"/>
      <c r="T1128" s="1"/>
      <c r="U1128" s="1"/>
      <c r="V1128" s="1"/>
      <c r="W1128" s="1"/>
      <c r="X1128" s="1"/>
    </row>
    <row r="1129" spans="1:24">
      <c r="A1129" s="1"/>
      <c r="M1129" s="26"/>
      <c r="N1129" s="26"/>
      <c r="P1129" s="1"/>
      <c r="Q1129" s="1"/>
      <c r="R1129" s="1"/>
      <c r="S1129" s="1"/>
      <c r="T1129" s="1"/>
      <c r="U1129" s="1"/>
      <c r="V1129" s="1"/>
      <c r="W1129" s="1"/>
      <c r="X1129" s="1"/>
    </row>
    <row r="1130" spans="1:24">
      <c r="A1130" s="1"/>
      <c r="M1130" s="26"/>
      <c r="N1130" s="26"/>
      <c r="P1130" s="1"/>
      <c r="Q1130" s="1"/>
      <c r="R1130" s="1"/>
      <c r="S1130" s="1"/>
      <c r="T1130" s="1"/>
      <c r="U1130" s="1"/>
      <c r="V1130" s="1"/>
      <c r="W1130" s="1"/>
      <c r="X1130" s="1"/>
    </row>
    <row r="1131" spans="1:24">
      <c r="A1131" s="1"/>
      <c r="M1131" s="26"/>
      <c r="N1131" s="26"/>
      <c r="P1131" s="1"/>
      <c r="Q1131" s="1"/>
      <c r="R1131" s="1"/>
      <c r="S1131" s="1"/>
      <c r="T1131" s="1"/>
      <c r="U1131" s="1"/>
      <c r="V1131" s="1"/>
      <c r="W1131" s="1"/>
      <c r="X1131" s="1"/>
    </row>
    <row r="1132" spans="1:24">
      <c r="A1132" s="1"/>
      <c r="M1132" s="26"/>
      <c r="N1132" s="26"/>
      <c r="P1132" s="1"/>
      <c r="Q1132" s="1"/>
      <c r="R1132" s="1"/>
      <c r="S1132" s="1"/>
      <c r="T1132" s="1"/>
      <c r="U1132" s="1"/>
      <c r="V1132" s="1"/>
      <c r="W1132" s="1"/>
      <c r="X1132" s="1"/>
    </row>
    <row r="1133" spans="1:24">
      <c r="A1133" s="1"/>
      <c r="M1133" s="26"/>
      <c r="N1133" s="26"/>
      <c r="P1133" s="1"/>
      <c r="Q1133" s="1"/>
      <c r="R1133" s="1"/>
      <c r="S1133" s="1"/>
      <c r="T1133" s="1"/>
      <c r="U1133" s="1"/>
      <c r="V1133" s="1"/>
      <c r="W1133" s="1"/>
      <c r="X1133" s="1"/>
    </row>
    <row r="1134" spans="1:24">
      <c r="A1134" s="1"/>
      <c r="M1134" s="26"/>
      <c r="N1134" s="26"/>
      <c r="P1134" s="1"/>
      <c r="Q1134" s="1"/>
      <c r="R1134" s="1"/>
      <c r="S1134" s="1"/>
      <c r="T1134" s="1"/>
      <c r="U1134" s="1"/>
      <c r="V1134" s="1"/>
      <c r="W1134" s="1"/>
      <c r="X1134" s="1"/>
    </row>
    <row r="1135" spans="1:24">
      <c r="A1135" s="1"/>
      <c r="M1135" s="26"/>
      <c r="N1135" s="26"/>
      <c r="P1135" s="1"/>
      <c r="Q1135" s="1"/>
      <c r="R1135" s="1"/>
      <c r="S1135" s="1"/>
      <c r="T1135" s="1"/>
      <c r="U1135" s="1"/>
      <c r="V1135" s="1"/>
      <c r="W1135" s="1"/>
      <c r="X1135" s="1"/>
    </row>
    <row r="1136" spans="1:24">
      <c r="A1136" s="1"/>
      <c r="M1136" s="26"/>
      <c r="N1136" s="26"/>
      <c r="P1136" s="1"/>
      <c r="Q1136" s="1"/>
      <c r="R1136" s="1"/>
      <c r="S1136" s="1"/>
      <c r="T1136" s="1"/>
      <c r="U1136" s="1"/>
      <c r="V1136" s="1"/>
      <c r="W1136" s="1"/>
      <c r="X1136" s="1"/>
    </row>
    <row r="1137" spans="1:24">
      <c r="A1137" s="1"/>
      <c r="M1137" s="26"/>
      <c r="N1137" s="26"/>
      <c r="P1137" s="1"/>
      <c r="Q1137" s="1"/>
      <c r="R1137" s="1"/>
      <c r="S1137" s="1"/>
      <c r="T1137" s="1"/>
      <c r="U1137" s="1"/>
      <c r="V1137" s="1"/>
      <c r="W1137" s="1"/>
      <c r="X1137" s="1"/>
    </row>
    <row r="1138" spans="1:24">
      <c r="A1138" s="1"/>
      <c r="M1138" s="26"/>
      <c r="N1138" s="26"/>
      <c r="P1138" s="1"/>
      <c r="Q1138" s="1"/>
      <c r="R1138" s="1"/>
      <c r="S1138" s="1"/>
      <c r="T1138" s="1"/>
      <c r="U1138" s="1"/>
      <c r="V1138" s="1"/>
      <c r="W1138" s="1"/>
      <c r="X1138" s="1"/>
    </row>
    <row r="1139" spans="1:24">
      <c r="A1139" s="1"/>
      <c r="M1139" s="26"/>
      <c r="N1139" s="26"/>
      <c r="P1139" s="1"/>
      <c r="Q1139" s="1"/>
      <c r="R1139" s="1"/>
      <c r="S1139" s="1"/>
      <c r="T1139" s="1"/>
      <c r="U1139" s="1"/>
      <c r="V1139" s="1"/>
      <c r="W1139" s="1"/>
      <c r="X1139" s="1"/>
    </row>
    <row r="1140" spans="1:24">
      <c r="A1140" s="1"/>
      <c r="M1140" s="26"/>
      <c r="N1140" s="26"/>
      <c r="P1140" s="1"/>
      <c r="Q1140" s="1"/>
      <c r="R1140" s="1"/>
      <c r="S1140" s="1"/>
      <c r="T1140" s="1"/>
      <c r="U1140" s="1"/>
      <c r="V1140" s="1"/>
      <c r="W1140" s="1"/>
      <c r="X1140" s="1"/>
    </row>
    <row r="1141" spans="1:24">
      <c r="A1141" s="1"/>
      <c r="M1141" s="26"/>
      <c r="N1141" s="26"/>
      <c r="P1141" s="1"/>
      <c r="Q1141" s="1"/>
      <c r="R1141" s="1"/>
      <c r="S1141" s="1"/>
      <c r="T1141" s="1"/>
      <c r="U1141" s="1"/>
      <c r="V1141" s="1"/>
      <c r="W1141" s="1"/>
      <c r="X1141" s="1"/>
    </row>
    <row r="1142" spans="1:24">
      <c r="A1142" s="1"/>
      <c r="M1142" s="26"/>
      <c r="N1142" s="26"/>
      <c r="P1142" s="1"/>
      <c r="Q1142" s="1"/>
      <c r="R1142" s="1"/>
      <c r="S1142" s="1"/>
      <c r="T1142" s="1"/>
      <c r="U1142" s="1"/>
      <c r="V1142" s="1"/>
      <c r="W1142" s="1"/>
      <c r="X1142" s="1"/>
    </row>
    <row r="1143" spans="1:24">
      <c r="A1143" s="1"/>
      <c r="M1143" s="26"/>
      <c r="N1143" s="26"/>
      <c r="P1143" s="1"/>
      <c r="Q1143" s="1"/>
      <c r="R1143" s="1"/>
      <c r="S1143" s="1"/>
      <c r="T1143" s="1"/>
      <c r="U1143" s="1"/>
      <c r="V1143" s="1"/>
      <c r="W1143" s="1"/>
      <c r="X1143" s="1"/>
    </row>
    <row r="1144" spans="1:24">
      <c r="A1144" s="1"/>
      <c r="M1144" s="26"/>
      <c r="N1144" s="26"/>
      <c r="P1144" s="1"/>
      <c r="Q1144" s="1"/>
      <c r="R1144" s="1"/>
      <c r="S1144" s="1"/>
      <c r="T1144" s="1"/>
      <c r="U1144" s="1"/>
      <c r="V1144" s="1"/>
      <c r="W1144" s="1"/>
      <c r="X1144" s="1"/>
    </row>
    <row r="1145" spans="1:24">
      <c r="A1145" s="1"/>
      <c r="M1145" s="26"/>
      <c r="N1145" s="26"/>
      <c r="P1145" s="1"/>
      <c r="Q1145" s="1"/>
      <c r="R1145" s="1"/>
      <c r="S1145" s="1"/>
      <c r="T1145" s="1"/>
      <c r="U1145" s="1"/>
      <c r="V1145" s="1"/>
      <c r="W1145" s="1"/>
      <c r="X1145" s="1"/>
    </row>
    <row r="1146" spans="1:24">
      <c r="A1146" s="1"/>
      <c r="M1146" s="26"/>
      <c r="N1146" s="26"/>
      <c r="P1146" s="1"/>
      <c r="Q1146" s="1"/>
      <c r="R1146" s="1"/>
      <c r="S1146" s="1"/>
      <c r="T1146" s="1"/>
      <c r="U1146" s="1"/>
      <c r="V1146" s="1"/>
      <c r="W1146" s="1"/>
      <c r="X1146" s="1"/>
    </row>
    <row r="1147" spans="1:24">
      <c r="A1147" s="1"/>
      <c r="M1147" s="26"/>
      <c r="N1147" s="26"/>
      <c r="P1147" s="1"/>
      <c r="Q1147" s="1"/>
      <c r="R1147" s="1"/>
      <c r="S1147" s="1"/>
      <c r="T1147" s="1"/>
      <c r="U1147" s="1"/>
      <c r="V1147" s="1"/>
      <c r="W1147" s="1"/>
      <c r="X1147" s="1"/>
    </row>
    <row r="1148" spans="1:24">
      <c r="A1148" s="1"/>
      <c r="M1148" s="26"/>
      <c r="N1148" s="26"/>
      <c r="P1148" s="1"/>
      <c r="Q1148" s="1"/>
      <c r="R1148" s="1"/>
      <c r="S1148" s="1"/>
      <c r="T1148" s="1"/>
      <c r="U1148" s="1"/>
      <c r="V1148" s="1"/>
      <c r="W1148" s="1"/>
      <c r="X1148" s="1"/>
    </row>
    <row r="1149" spans="1:24">
      <c r="A1149" s="1"/>
      <c r="M1149" s="26"/>
      <c r="N1149" s="26"/>
      <c r="P1149" s="1"/>
      <c r="Q1149" s="1"/>
      <c r="R1149" s="1"/>
      <c r="S1149" s="1"/>
      <c r="T1149" s="1"/>
      <c r="U1149" s="1"/>
      <c r="V1149" s="1"/>
      <c r="W1149" s="1"/>
      <c r="X1149" s="1"/>
    </row>
    <row r="1150" spans="1:24">
      <c r="A1150" s="1"/>
      <c r="M1150" s="26"/>
      <c r="N1150" s="26"/>
      <c r="P1150" s="1"/>
      <c r="Q1150" s="1"/>
      <c r="R1150" s="1"/>
      <c r="S1150" s="1"/>
      <c r="T1150" s="1"/>
      <c r="U1150" s="1"/>
      <c r="V1150" s="1"/>
      <c r="W1150" s="1"/>
      <c r="X1150" s="1"/>
    </row>
    <row r="1151" spans="1:24">
      <c r="A1151" s="1"/>
      <c r="M1151" s="26"/>
      <c r="N1151" s="26"/>
      <c r="P1151" s="1"/>
      <c r="Q1151" s="1"/>
      <c r="R1151" s="1"/>
      <c r="S1151" s="1"/>
      <c r="T1151" s="1"/>
      <c r="U1151" s="1"/>
      <c r="V1151" s="1"/>
      <c r="W1151" s="1"/>
      <c r="X1151" s="1"/>
    </row>
    <row r="1152" spans="1:24">
      <c r="A1152" s="1"/>
      <c r="M1152" s="26"/>
      <c r="N1152" s="26"/>
      <c r="P1152" s="1"/>
      <c r="Q1152" s="1"/>
      <c r="R1152" s="1"/>
      <c r="S1152" s="1"/>
      <c r="T1152" s="1"/>
      <c r="U1152" s="1"/>
      <c r="V1152" s="1"/>
      <c r="W1152" s="1"/>
      <c r="X1152" s="1"/>
    </row>
    <row r="1153" spans="1:24">
      <c r="A1153" s="1"/>
      <c r="M1153" s="26"/>
      <c r="N1153" s="26"/>
      <c r="P1153" s="1"/>
      <c r="Q1153" s="1"/>
      <c r="R1153" s="1"/>
      <c r="S1153" s="1"/>
      <c r="T1153" s="1"/>
      <c r="U1153" s="1"/>
      <c r="V1153" s="1"/>
      <c r="W1153" s="1"/>
      <c r="X1153" s="1"/>
    </row>
    <row r="1154" spans="1:24">
      <c r="A1154" s="1"/>
      <c r="M1154" s="26"/>
      <c r="N1154" s="26"/>
      <c r="P1154" s="1"/>
      <c r="Q1154" s="1"/>
      <c r="R1154" s="1"/>
      <c r="S1154" s="1"/>
      <c r="T1154" s="1"/>
      <c r="U1154" s="1"/>
      <c r="V1154" s="1"/>
      <c r="W1154" s="1"/>
      <c r="X1154" s="1"/>
    </row>
    <row r="1155" spans="1:24">
      <c r="A1155" s="1"/>
      <c r="M1155" s="26"/>
      <c r="N1155" s="26"/>
      <c r="P1155" s="1"/>
      <c r="Q1155" s="1"/>
      <c r="R1155" s="1"/>
      <c r="S1155" s="1"/>
      <c r="T1155" s="1"/>
      <c r="U1155" s="1"/>
      <c r="V1155" s="1"/>
      <c r="W1155" s="1"/>
      <c r="X1155" s="1"/>
    </row>
    <row r="1156" spans="1:24">
      <c r="A1156" s="1"/>
      <c r="M1156" s="26"/>
      <c r="N1156" s="26"/>
      <c r="P1156" s="1"/>
      <c r="Q1156" s="1"/>
      <c r="R1156" s="1"/>
      <c r="S1156" s="1"/>
      <c r="T1156" s="1"/>
      <c r="U1156" s="1"/>
      <c r="V1156" s="1"/>
      <c r="W1156" s="1"/>
      <c r="X1156" s="1"/>
    </row>
    <row r="1157" spans="1:24">
      <c r="A1157" s="1"/>
      <c r="M1157" s="26"/>
      <c r="N1157" s="26"/>
      <c r="P1157" s="1"/>
      <c r="Q1157" s="1"/>
      <c r="R1157" s="1"/>
      <c r="S1157" s="1"/>
      <c r="T1157" s="1"/>
      <c r="U1157" s="1"/>
      <c r="V1157" s="1"/>
      <c r="W1157" s="1"/>
      <c r="X1157" s="1"/>
    </row>
    <row r="1158" spans="1:24">
      <c r="A1158" s="1"/>
      <c r="M1158" s="26"/>
      <c r="N1158" s="26"/>
      <c r="P1158" s="1"/>
      <c r="Q1158" s="1"/>
      <c r="R1158" s="1"/>
      <c r="S1158" s="1"/>
      <c r="T1158" s="1"/>
      <c r="U1158" s="1"/>
      <c r="V1158" s="1"/>
      <c r="W1158" s="1"/>
      <c r="X1158" s="1"/>
    </row>
    <row r="1159" spans="1:24">
      <c r="A1159" s="1"/>
      <c r="M1159" s="26"/>
      <c r="N1159" s="26"/>
      <c r="P1159" s="1"/>
      <c r="Q1159" s="1"/>
      <c r="R1159" s="1"/>
      <c r="S1159" s="1"/>
      <c r="T1159" s="1"/>
      <c r="U1159" s="1"/>
      <c r="V1159" s="1"/>
      <c r="W1159" s="1"/>
      <c r="X1159" s="1"/>
    </row>
    <row r="1160" spans="1:24">
      <c r="A1160" s="1"/>
      <c r="M1160" s="26"/>
      <c r="N1160" s="26"/>
      <c r="P1160" s="1"/>
      <c r="Q1160" s="1"/>
      <c r="R1160" s="1"/>
      <c r="S1160" s="1"/>
      <c r="T1160" s="1"/>
      <c r="U1160" s="1"/>
      <c r="V1160" s="1"/>
      <c r="W1160" s="1"/>
      <c r="X1160" s="1"/>
    </row>
    <row r="1161" spans="1:24">
      <c r="A1161" s="1"/>
      <c r="M1161" s="26"/>
      <c r="N1161" s="26"/>
      <c r="P1161" s="1"/>
      <c r="Q1161" s="1"/>
      <c r="R1161" s="1"/>
      <c r="S1161" s="1"/>
      <c r="T1161" s="1"/>
      <c r="U1161" s="1"/>
      <c r="V1161" s="1"/>
      <c r="W1161" s="1"/>
      <c r="X1161" s="1"/>
    </row>
    <row r="1162" spans="1:24">
      <c r="A1162" s="1"/>
      <c r="M1162" s="26"/>
      <c r="N1162" s="26"/>
      <c r="P1162" s="1"/>
      <c r="Q1162" s="1"/>
      <c r="R1162" s="1"/>
      <c r="S1162" s="1"/>
      <c r="T1162" s="1"/>
      <c r="U1162" s="1"/>
      <c r="V1162" s="1"/>
      <c r="W1162" s="1"/>
      <c r="X1162" s="1"/>
    </row>
    <row r="1163" spans="1:24">
      <c r="A1163" s="1"/>
      <c r="M1163" s="26"/>
      <c r="N1163" s="26"/>
      <c r="P1163" s="1"/>
      <c r="Q1163" s="1"/>
      <c r="R1163" s="1"/>
      <c r="S1163" s="1"/>
      <c r="T1163" s="1"/>
      <c r="U1163" s="1"/>
      <c r="V1163" s="1"/>
      <c r="W1163" s="1"/>
      <c r="X1163" s="1"/>
    </row>
    <row r="1164" spans="1:24">
      <c r="A1164" s="1"/>
      <c r="M1164" s="26"/>
      <c r="N1164" s="26"/>
      <c r="P1164" s="1"/>
      <c r="Q1164" s="1"/>
      <c r="R1164" s="1"/>
      <c r="S1164" s="1"/>
      <c r="T1164" s="1"/>
      <c r="U1164" s="1"/>
      <c r="V1164" s="1"/>
      <c r="W1164" s="1"/>
      <c r="X1164" s="1"/>
    </row>
    <row r="1165" spans="1:24">
      <c r="A1165" s="1"/>
      <c r="M1165" s="26"/>
      <c r="N1165" s="26"/>
      <c r="P1165" s="1"/>
      <c r="Q1165" s="1"/>
      <c r="R1165" s="1"/>
      <c r="S1165" s="1"/>
      <c r="T1165" s="1"/>
      <c r="U1165" s="1"/>
      <c r="V1165" s="1"/>
      <c r="W1165" s="1"/>
      <c r="X1165" s="1"/>
    </row>
    <row r="1166" spans="1:24">
      <c r="A1166" s="1"/>
      <c r="M1166" s="26"/>
      <c r="N1166" s="26"/>
      <c r="P1166" s="1"/>
      <c r="Q1166" s="1"/>
      <c r="R1166" s="1"/>
      <c r="S1166" s="1"/>
      <c r="T1166" s="1"/>
      <c r="U1166" s="1"/>
      <c r="V1166" s="1"/>
      <c r="W1166" s="1"/>
      <c r="X1166" s="1"/>
    </row>
    <row r="1167" spans="1:24">
      <c r="A1167" s="1"/>
      <c r="M1167" s="26"/>
      <c r="N1167" s="26"/>
      <c r="P1167" s="1"/>
      <c r="Q1167" s="1"/>
      <c r="R1167" s="1"/>
      <c r="S1167" s="1"/>
      <c r="T1167" s="1"/>
      <c r="U1167" s="1"/>
      <c r="V1167" s="1"/>
      <c r="W1167" s="1"/>
      <c r="X1167" s="1"/>
    </row>
    <row r="1168" spans="1:24">
      <c r="A1168" s="1"/>
      <c r="M1168" s="26"/>
      <c r="N1168" s="26"/>
      <c r="P1168" s="1"/>
      <c r="Q1168" s="1"/>
      <c r="R1168" s="1"/>
      <c r="S1168" s="1"/>
      <c r="T1168" s="1"/>
      <c r="U1168" s="1"/>
      <c r="V1168" s="1"/>
      <c r="W1168" s="1"/>
      <c r="X1168" s="1"/>
    </row>
    <row r="1169" spans="1:24">
      <c r="A1169" s="1"/>
      <c r="M1169" s="26"/>
      <c r="N1169" s="26"/>
      <c r="P1169" s="1"/>
      <c r="Q1169" s="1"/>
      <c r="R1169" s="1"/>
      <c r="S1169" s="1"/>
      <c r="T1169" s="1"/>
      <c r="U1169" s="1"/>
      <c r="V1169" s="1"/>
      <c r="W1169" s="1"/>
      <c r="X1169" s="1"/>
    </row>
    <row r="1170" spans="1:24">
      <c r="A1170" s="1"/>
      <c r="M1170" s="26"/>
      <c r="N1170" s="26"/>
      <c r="P1170" s="1"/>
      <c r="Q1170" s="1"/>
      <c r="R1170" s="1"/>
      <c r="S1170" s="1"/>
      <c r="T1170" s="1"/>
      <c r="U1170" s="1"/>
      <c r="V1170" s="1"/>
      <c r="W1170" s="1"/>
      <c r="X1170" s="1"/>
    </row>
    <row r="1171" spans="1:24">
      <c r="A1171" s="1"/>
      <c r="M1171" s="26"/>
      <c r="N1171" s="26"/>
      <c r="P1171" s="1"/>
      <c r="Q1171" s="1"/>
      <c r="R1171" s="1"/>
      <c r="S1171" s="1"/>
      <c r="T1171" s="1"/>
      <c r="U1171" s="1"/>
      <c r="V1171" s="1"/>
      <c r="W1171" s="1"/>
      <c r="X1171" s="1"/>
    </row>
    <row r="1172" spans="1:24">
      <c r="A1172" s="1"/>
      <c r="M1172" s="26"/>
      <c r="N1172" s="26"/>
      <c r="P1172" s="1"/>
      <c r="Q1172" s="1"/>
      <c r="R1172" s="1"/>
      <c r="S1172" s="1"/>
      <c r="T1172" s="1"/>
      <c r="U1172" s="1"/>
      <c r="V1172" s="1"/>
      <c r="W1172" s="1"/>
      <c r="X1172" s="1"/>
    </row>
    <row r="1173" spans="1:24">
      <c r="A1173" s="1"/>
      <c r="M1173" s="26"/>
      <c r="N1173" s="26"/>
      <c r="P1173" s="1"/>
      <c r="Q1173" s="1"/>
      <c r="R1173" s="1"/>
      <c r="S1173" s="1"/>
      <c r="T1173" s="1"/>
      <c r="U1173" s="1"/>
      <c r="V1173" s="1"/>
      <c r="W1173" s="1"/>
      <c r="X1173" s="1"/>
    </row>
    <row r="1174" spans="1:24">
      <c r="A1174" s="1"/>
      <c r="M1174" s="26"/>
      <c r="N1174" s="26"/>
      <c r="P1174" s="1"/>
      <c r="Q1174" s="1"/>
      <c r="R1174" s="1"/>
      <c r="S1174" s="1"/>
      <c r="T1174" s="1"/>
      <c r="U1174" s="1"/>
      <c r="V1174" s="1"/>
      <c r="W1174" s="1"/>
      <c r="X1174" s="1"/>
    </row>
    <row r="1175" spans="1:24">
      <c r="A1175" s="1"/>
      <c r="M1175" s="26"/>
      <c r="N1175" s="26"/>
      <c r="P1175" s="1"/>
      <c r="Q1175" s="1"/>
      <c r="R1175" s="1"/>
      <c r="S1175" s="1"/>
      <c r="T1175" s="1"/>
      <c r="U1175" s="1"/>
      <c r="V1175" s="1"/>
      <c r="W1175" s="1"/>
      <c r="X1175" s="1"/>
    </row>
    <row r="1176" spans="1:24">
      <c r="A1176" s="1"/>
      <c r="M1176" s="26"/>
      <c r="N1176" s="26"/>
      <c r="P1176" s="1"/>
      <c r="Q1176" s="1"/>
      <c r="R1176" s="1"/>
      <c r="S1176" s="1"/>
      <c r="T1176" s="1"/>
      <c r="U1176" s="1"/>
      <c r="V1176" s="1"/>
      <c r="W1176" s="1"/>
      <c r="X1176" s="1"/>
    </row>
    <row r="1177" spans="1:24">
      <c r="A1177" s="1"/>
      <c r="M1177" s="26"/>
      <c r="N1177" s="26"/>
      <c r="P1177" s="1"/>
      <c r="Q1177" s="1"/>
      <c r="R1177" s="1"/>
      <c r="S1177" s="1"/>
      <c r="T1177" s="1"/>
      <c r="U1177" s="1"/>
      <c r="V1177" s="1"/>
      <c r="W1177" s="1"/>
      <c r="X1177" s="1"/>
    </row>
    <row r="1178" spans="1:24">
      <c r="A1178" s="1"/>
      <c r="M1178" s="26"/>
      <c r="N1178" s="26"/>
      <c r="P1178" s="1"/>
      <c r="Q1178" s="1"/>
      <c r="R1178" s="1"/>
      <c r="S1178" s="1"/>
      <c r="T1178" s="1"/>
      <c r="U1178" s="1"/>
      <c r="V1178" s="1"/>
      <c r="W1178" s="1"/>
      <c r="X1178" s="1"/>
    </row>
    <row r="1179" spans="1:24">
      <c r="A1179" s="1"/>
      <c r="M1179" s="26"/>
      <c r="N1179" s="26"/>
      <c r="P1179" s="1"/>
      <c r="Q1179" s="1"/>
      <c r="R1179" s="1"/>
      <c r="S1179" s="1"/>
      <c r="T1179" s="1"/>
      <c r="U1179" s="1"/>
      <c r="V1179" s="1"/>
      <c r="W1179" s="1"/>
      <c r="X1179" s="1"/>
    </row>
    <row r="1180" spans="1:24">
      <c r="A1180" s="1"/>
      <c r="M1180" s="26"/>
      <c r="N1180" s="26"/>
      <c r="P1180" s="1"/>
      <c r="Q1180" s="1"/>
      <c r="R1180" s="1"/>
      <c r="S1180" s="1"/>
      <c r="T1180" s="1"/>
      <c r="U1180" s="1"/>
      <c r="V1180" s="1"/>
      <c r="W1180" s="1"/>
      <c r="X1180" s="1"/>
    </row>
    <row r="1181" spans="1:24">
      <c r="A1181" s="1"/>
      <c r="M1181" s="26"/>
      <c r="N1181" s="26"/>
      <c r="P1181" s="1"/>
      <c r="Q1181" s="1"/>
      <c r="R1181" s="1"/>
      <c r="S1181" s="1"/>
      <c r="T1181" s="1"/>
      <c r="U1181" s="1"/>
      <c r="V1181" s="1"/>
      <c r="W1181" s="1"/>
      <c r="X1181" s="1"/>
    </row>
    <row r="1182" spans="1:24">
      <c r="A1182" s="1"/>
      <c r="M1182" s="26"/>
      <c r="N1182" s="26"/>
      <c r="P1182" s="1"/>
      <c r="Q1182" s="1"/>
      <c r="R1182" s="1"/>
      <c r="S1182" s="1"/>
      <c r="T1182" s="1"/>
      <c r="U1182" s="1"/>
      <c r="V1182" s="1"/>
      <c r="W1182" s="1"/>
      <c r="X1182" s="1"/>
    </row>
    <row r="1183" spans="1:24">
      <c r="A1183" s="1"/>
      <c r="M1183" s="26"/>
      <c r="N1183" s="26"/>
      <c r="P1183" s="1"/>
      <c r="Q1183" s="1"/>
      <c r="R1183" s="1"/>
      <c r="S1183" s="1"/>
      <c r="T1183" s="1"/>
      <c r="U1183" s="1"/>
      <c r="V1183" s="1"/>
      <c r="W1183" s="1"/>
      <c r="X1183" s="1"/>
    </row>
    <row r="1184" spans="1:24">
      <c r="A1184" s="1"/>
      <c r="M1184" s="26"/>
      <c r="N1184" s="26"/>
      <c r="P1184" s="1"/>
      <c r="Q1184" s="1"/>
      <c r="R1184" s="1"/>
      <c r="S1184" s="1"/>
      <c r="T1184" s="1"/>
      <c r="U1184" s="1"/>
      <c r="V1184" s="1"/>
      <c r="W1184" s="1"/>
      <c r="X1184" s="1"/>
    </row>
    <row r="1185" spans="1:24">
      <c r="A1185" s="1"/>
      <c r="M1185" s="26"/>
      <c r="N1185" s="26"/>
      <c r="P1185" s="1"/>
      <c r="Q1185" s="1"/>
      <c r="R1185" s="1"/>
      <c r="S1185" s="1"/>
      <c r="T1185" s="1"/>
      <c r="U1185" s="1"/>
      <c r="V1185" s="1"/>
      <c r="W1185" s="1"/>
      <c r="X1185" s="1"/>
    </row>
    <row r="1186" spans="1:24">
      <c r="A1186" s="1"/>
      <c r="M1186" s="26"/>
      <c r="N1186" s="26"/>
      <c r="P1186" s="1"/>
      <c r="Q1186" s="1"/>
      <c r="R1186" s="1"/>
      <c r="S1186" s="1"/>
      <c r="T1186" s="1"/>
      <c r="U1186" s="1"/>
      <c r="V1186" s="1"/>
      <c r="W1186" s="1"/>
      <c r="X1186" s="1"/>
    </row>
    <row r="1187" spans="1:24">
      <c r="A1187" s="1"/>
      <c r="M1187" s="26"/>
      <c r="N1187" s="26"/>
      <c r="P1187" s="1"/>
      <c r="Q1187" s="1"/>
      <c r="R1187" s="1"/>
      <c r="S1187" s="1"/>
      <c r="T1187" s="1"/>
      <c r="U1187" s="1"/>
      <c r="V1187" s="1"/>
      <c r="W1187" s="1"/>
      <c r="X1187" s="1"/>
    </row>
    <row r="1188" spans="1:24">
      <c r="A1188" s="1"/>
      <c r="M1188" s="26"/>
      <c r="N1188" s="26"/>
      <c r="P1188" s="1"/>
      <c r="Q1188" s="1"/>
      <c r="R1188" s="1"/>
      <c r="S1188" s="1"/>
      <c r="T1188" s="1"/>
      <c r="U1188" s="1"/>
      <c r="V1188" s="1"/>
      <c r="W1188" s="1"/>
      <c r="X1188" s="1"/>
    </row>
    <row r="1189" spans="1:24">
      <c r="A1189" s="1"/>
      <c r="M1189" s="26"/>
      <c r="N1189" s="26"/>
      <c r="P1189" s="1"/>
      <c r="Q1189" s="1"/>
      <c r="R1189" s="1"/>
      <c r="S1189" s="1"/>
      <c r="T1189" s="1"/>
      <c r="U1189" s="1"/>
      <c r="V1189" s="1"/>
      <c r="W1189" s="1"/>
      <c r="X1189" s="1"/>
    </row>
    <row r="1190" spans="1:24">
      <c r="A1190" s="1"/>
      <c r="M1190" s="26"/>
      <c r="N1190" s="26"/>
      <c r="P1190" s="1"/>
      <c r="Q1190" s="1"/>
      <c r="R1190" s="1"/>
      <c r="S1190" s="1"/>
      <c r="T1190" s="1"/>
      <c r="U1190" s="1"/>
      <c r="V1190" s="1"/>
      <c r="W1190" s="1"/>
      <c r="X1190" s="1"/>
    </row>
    <row r="1191" spans="1:24">
      <c r="A1191" s="1"/>
      <c r="M1191" s="26"/>
      <c r="N1191" s="26"/>
      <c r="P1191" s="1"/>
      <c r="Q1191" s="1"/>
      <c r="R1191" s="1"/>
      <c r="S1191" s="1"/>
      <c r="T1191" s="1"/>
      <c r="U1191" s="1"/>
      <c r="V1191" s="1"/>
      <c r="W1191" s="1"/>
      <c r="X1191" s="1"/>
    </row>
    <row r="1192" spans="1:24">
      <c r="A1192" s="1"/>
      <c r="M1192" s="26"/>
      <c r="N1192" s="26"/>
      <c r="P1192" s="1"/>
      <c r="Q1192" s="1"/>
      <c r="R1192" s="1"/>
      <c r="S1192" s="1"/>
      <c r="T1192" s="1"/>
      <c r="U1192" s="1"/>
      <c r="V1192" s="1"/>
      <c r="W1192" s="1"/>
      <c r="X1192" s="1"/>
    </row>
    <row r="1193" spans="1:24">
      <c r="A1193" s="1"/>
      <c r="M1193" s="26"/>
      <c r="N1193" s="26"/>
      <c r="P1193" s="1"/>
      <c r="Q1193" s="1"/>
      <c r="R1193" s="1"/>
      <c r="S1193" s="1"/>
      <c r="T1193" s="1"/>
      <c r="U1193" s="1"/>
      <c r="V1193" s="1"/>
      <c r="W1193" s="1"/>
      <c r="X1193" s="1"/>
    </row>
    <row r="1194" spans="1:24">
      <c r="A1194" s="1"/>
      <c r="M1194" s="26"/>
      <c r="N1194" s="26"/>
      <c r="P1194" s="1"/>
      <c r="Q1194" s="1"/>
      <c r="R1194" s="1"/>
      <c r="S1194" s="1"/>
      <c r="T1194" s="1"/>
      <c r="U1194" s="1"/>
      <c r="V1194" s="1"/>
      <c r="W1194" s="1"/>
      <c r="X1194" s="1"/>
    </row>
    <row r="1195" spans="1:24">
      <c r="A1195" s="1"/>
      <c r="M1195" s="26"/>
      <c r="N1195" s="26"/>
      <c r="P1195" s="1"/>
      <c r="Q1195" s="1"/>
      <c r="R1195" s="1"/>
      <c r="S1195" s="1"/>
      <c r="T1195" s="1"/>
      <c r="U1195" s="1"/>
      <c r="V1195" s="1"/>
      <c r="W1195" s="1"/>
      <c r="X1195" s="1"/>
    </row>
    <row r="1196" spans="1:24">
      <c r="A1196" s="1"/>
      <c r="M1196" s="26"/>
      <c r="N1196" s="26"/>
      <c r="P1196" s="1"/>
      <c r="Q1196" s="1"/>
      <c r="R1196" s="1"/>
      <c r="S1196" s="1"/>
      <c r="T1196" s="1"/>
      <c r="U1196" s="1"/>
      <c r="V1196" s="1"/>
      <c r="W1196" s="1"/>
      <c r="X1196" s="1"/>
    </row>
    <row r="1197" spans="1:24">
      <c r="A1197" s="1"/>
      <c r="M1197" s="26"/>
      <c r="N1197" s="26"/>
      <c r="P1197" s="1"/>
      <c r="Q1197" s="1"/>
      <c r="R1197" s="1"/>
      <c r="S1197" s="1"/>
      <c r="T1197" s="1"/>
      <c r="U1197" s="1"/>
      <c r="V1197" s="1"/>
      <c r="W1197" s="1"/>
      <c r="X1197" s="1"/>
    </row>
    <row r="1198" spans="1:24">
      <c r="A1198" s="1"/>
      <c r="M1198" s="26"/>
      <c r="N1198" s="26"/>
      <c r="P1198" s="1"/>
      <c r="Q1198" s="1"/>
      <c r="R1198" s="1"/>
      <c r="S1198" s="1"/>
      <c r="T1198" s="1"/>
      <c r="U1198" s="1"/>
      <c r="V1198" s="1"/>
      <c r="W1198" s="1"/>
      <c r="X1198" s="1"/>
    </row>
    <row r="1199" spans="1:24">
      <c r="A1199" s="1"/>
      <c r="M1199" s="26"/>
      <c r="N1199" s="26"/>
      <c r="P1199" s="1"/>
      <c r="Q1199" s="1"/>
      <c r="R1199" s="1"/>
      <c r="S1199" s="1"/>
      <c r="T1199" s="1"/>
      <c r="U1199" s="1"/>
      <c r="V1199" s="1"/>
      <c r="W1199" s="1"/>
      <c r="X1199" s="1"/>
    </row>
    <row r="1200" spans="1:24">
      <c r="A1200" s="1"/>
      <c r="M1200" s="26"/>
      <c r="N1200" s="26"/>
      <c r="P1200" s="1"/>
      <c r="Q1200" s="1"/>
      <c r="R1200" s="1"/>
      <c r="S1200" s="1"/>
      <c r="T1200" s="1"/>
      <c r="U1200" s="1"/>
      <c r="V1200" s="1"/>
      <c r="W1200" s="1"/>
      <c r="X1200" s="1"/>
    </row>
    <row r="1201" spans="1:24">
      <c r="A1201" s="1"/>
      <c r="M1201" s="26"/>
      <c r="N1201" s="26"/>
      <c r="P1201" s="1"/>
      <c r="Q1201" s="1"/>
      <c r="R1201" s="1"/>
      <c r="S1201" s="1"/>
      <c r="T1201" s="1"/>
      <c r="U1201" s="1"/>
      <c r="V1201" s="1"/>
      <c r="W1201" s="1"/>
      <c r="X1201" s="1"/>
    </row>
    <row r="1202" spans="1:24">
      <c r="A1202" s="1"/>
      <c r="M1202" s="26"/>
      <c r="N1202" s="26"/>
      <c r="P1202" s="1"/>
      <c r="Q1202" s="1"/>
      <c r="R1202" s="1"/>
      <c r="S1202" s="1"/>
      <c r="T1202" s="1"/>
      <c r="U1202" s="1"/>
      <c r="V1202" s="1"/>
      <c r="W1202" s="1"/>
      <c r="X1202" s="1"/>
    </row>
    <row r="1203" spans="1:24">
      <c r="A1203" s="1"/>
      <c r="M1203" s="26"/>
      <c r="N1203" s="26"/>
      <c r="P1203" s="1"/>
      <c r="Q1203" s="1"/>
      <c r="R1203" s="1"/>
      <c r="S1203" s="1"/>
      <c r="T1203" s="1"/>
      <c r="U1203" s="1"/>
      <c r="V1203" s="1"/>
      <c r="W1203" s="1"/>
      <c r="X1203" s="1"/>
    </row>
    <row r="1204" spans="1:24">
      <c r="A1204" s="1"/>
      <c r="M1204" s="26"/>
      <c r="N1204" s="26"/>
      <c r="P1204" s="1"/>
      <c r="Q1204" s="1"/>
      <c r="R1204" s="1"/>
      <c r="S1204" s="1"/>
      <c r="T1204" s="1"/>
      <c r="U1204" s="1"/>
      <c r="V1204" s="1"/>
      <c r="W1204" s="1"/>
      <c r="X1204" s="1"/>
    </row>
    <row r="1205" spans="1:24">
      <c r="A1205" s="1"/>
      <c r="M1205" s="26"/>
      <c r="N1205" s="26"/>
      <c r="P1205" s="1"/>
      <c r="Q1205" s="1"/>
      <c r="R1205" s="1"/>
      <c r="S1205" s="1"/>
      <c r="T1205" s="1"/>
      <c r="U1205" s="1"/>
      <c r="V1205" s="1"/>
      <c r="W1205" s="1"/>
      <c r="X1205" s="1"/>
    </row>
    <row r="1206" spans="1:24">
      <c r="A1206" s="1"/>
      <c r="M1206" s="26"/>
      <c r="N1206" s="26"/>
      <c r="P1206" s="1"/>
      <c r="Q1206" s="1"/>
      <c r="R1206" s="1"/>
      <c r="S1206" s="1"/>
      <c r="T1206" s="1"/>
      <c r="U1206" s="1"/>
      <c r="V1206" s="1"/>
      <c r="W1206" s="1"/>
      <c r="X1206" s="1"/>
    </row>
    <row r="1207" spans="1:24">
      <c r="A1207" s="1"/>
      <c r="M1207" s="26"/>
      <c r="N1207" s="26"/>
      <c r="P1207" s="1"/>
      <c r="Q1207" s="1"/>
      <c r="R1207" s="1"/>
      <c r="S1207" s="1"/>
      <c r="T1207" s="1"/>
      <c r="U1207" s="1"/>
      <c r="V1207" s="1"/>
      <c r="W1207" s="1"/>
      <c r="X1207" s="1"/>
    </row>
    <row r="1208" spans="1:24">
      <c r="A1208" s="1"/>
      <c r="M1208" s="26"/>
      <c r="N1208" s="26"/>
      <c r="P1208" s="1"/>
      <c r="Q1208" s="1"/>
      <c r="R1208" s="1"/>
      <c r="S1208" s="1"/>
      <c r="T1208" s="1"/>
      <c r="U1208" s="1"/>
      <c r="V1208" s="1"/>
      <c r="W1208" s="1"/>
      <c r="X1208" s="1"/>
    </row>
    <row r="1209" spans="1:24">
      <c r="A1209" s="1"/>
      <c r="M1209" s="26"/>
      <c r="N1209" s="26"/>
      <c r="P1209" s="1"/>
      <c r="Q1209" s="1"/>
      <c r="R1209" s="1"/>
      <c r="S1209" s="1"/>
      <c r="T1209" s="1"/>
      <c r="U1209" s="1"/>
      <c r="V1209" s="1"/>
      <c r="W1209" s="1"/>
      <c r="X1209" s="1"/>
    </row>
    <row r="1210" spans="1:24">
      <c r="A1210" s="1"/>
      <c r="M1210" s="26"/>
      <c r="N1210" s="26"/>
      <c r="P1210" s="1"/>
      <c r="Q1210" s="1"/>
      <c r="R1210" s="1"/>
      <c r="S1210" s="1"/>
      <c r="T1210" s="1"/>
      <c r="U1210" s="1"/>
      <c r="V1210" s="1"/>
      <c r="W1210" s="1"/>
      <c r="X1210" s="1"/>
    </row>
    <row r="1211" spans="1:24">
      <c r="A1211" s="1"/>
      <c r="M1211" s="26"/>
      <c r="N1211" s="26"/>
      <c r="P1211" s="1"/>
      <c r="Q1211" s="1"/>
      <c r="R1211" s="1"/>
      <c r="S1211" s="1"/>
      <c r="T1211" s="1"/>
      <c r="U1211" s="1"/>
      <c r="V1211" s="1"/>
      <c r="W1211" s="1"/>
      <c r="X1211" s="1"/>
    </row>
    <row r="1212" spans="1:24">
      <c r="A1212" s="1"/>
      <c r="M1212" s="26"/>
      <c r="N1212" s="26"/>
      <c r="P1212" s="1"/>
      <c r="Q1212" s="1"/>
      <c r="R1212" s="1"/>
      <c r="S1212" s="1"/>
      <c r="T1212" s="1"/>
      <c r="U1212" s="1"/>
      <c r="V1212" s="1"/>
      <c r="W1212" s="1"/>
      <c r="X1212" s="1"/>
    </row>
    <row r="1213" spans="1:24">
      <c r="A1213" s="1"/>
      <c r="M1213" s="26"/>
      <c r="N1213" s="26"/>
      <c r="P1213" s="1"/>
      <c r="Q1213" s="1"/>
      <c r="R1213" s="1"/>
      <c r="S1213" s="1"/>
      <c r="T1213" s="1"/>
      <c r="U1213" s="1"/>
      <c r="V1213" s="1"/>
      <c r="W1213" s="1"/>
      <c r="X1213" s="1"/>
    </row>
    <row r="1214" spans="1:24">
      <c r="A1214" s="1"/>
      <c r="M1214" s="26"/>
      <c r="N1214" s="26"/>
      <c r="P1214" s="1"/>
      <c r="Q1214" s="1"/>
      <c r="R1214" s="1"/>
      <c r="S1214" s="1"/>
      <c r="T1214" s="1"/>
      <c r="U1214" s="1"/>
      <c r="V1214" s="1"/>
      <c r="W1214" s="1"/>
      <c r="X1214" s="1"/>
    </row>
    <row r="1215" spans="1:24">
      <c r="A1215" s="1"/>
      <c r="M1215" s="26"/>
      <c r="N1215" s="26"/>
      <c r="P1215" s="1"/>
      <c r="Q1215" s="1"/>
      <c r="R1215" s="1"/>
      <c r="S1215" s="1"/>
      <c r="T1215" s="1"/>
      <c r="U1215" s="1"/>
      <c r="V1215" s="1"/>
      <c r="W1215" s="1"/>
      <c r="X1215" s="1"/>
    </row>
    <row r="1216" spans="1:24">
      <c r="A1216" s="1"/>
      <c r="M1216" s="26"/>
      <c r="N1216" s="26"/>
      <c r="P1216" s="1"/>
      <c r="Q1216" s="1"/>
      <c r="R1216" s="1"/>
      <c r="S1216" s="1"/>
      <c r="T1216" s="1"/>
      <c r="U1216" s="1"/>
      <c r="V1216" s="1"/>
      <c r="W1216" s="1"/>
      <c r="X1216" s="1"/>
    </row>
    <row r="1217" spans="1:24">
      <c r="A1217" s="1"/>
      <c r="M1217" s="26"/>
      <c r="N1217" s="26"/>
      <c r="P1217" s="1"/>
      <c r="Q1217" s="1"/>
      <c r="R1217" s="1"/>
      <c r="S1217" s="1"/>
      <c r="T1217" s="1"/>
      <c r="U1217" s="1"/>
      <c r="V1217" s="1"/>
      <c r="W1217" s="1"/>
      <c r="X1217" s="1"/>
    </row>
    <row r="1218" spans="1:24">
      <c r="A1218" s="1"/>
      <c r="M1218" s="26"/>
      <c r="N1218" s="26"/>
      <c r="P1218" s="1"/>
      <c r="Q1218" s="1"/>
      <c r="R1218" s="1"/>
      <c r="S1218" s="1"/>
      <c r="T1218" s="1"/>
      <c r="U1218" s="1"/>
      <c r="V1218" s="1"/>
      <c r="W1218" s="1"/>
      <c r="X1218" s="1"/>
    </row>
    <row r="1219" spans="1:24">
      <c r="A1219" s="1"/>
      <c r="M1219" s="26"/>
      <c r="N1219" s="26"/>
      <c r="P1219" s="1"/>
      <c r="Q1219" s="1"/>
      <c r="R1219" s="1"/>
      <c r="S1219" s="1"/>
      <c r="T1219" s="1"/>
      <c r="U1219" s="1"/>
      <c r="V1219" s="1"/>
      <c r="W1219" s="1"/>
      <c r="X1219" s="1"/>
    </row>
    <row r="1220" spans="1:24">
      <c r="A1220" s="1"/>
      <c r="M1220" s="26"/>
      <c r="N1220" s="26"/>
      <c r="P1220" s="1"/>
      <c r="Q1220" s="1"/>
      <c r="R1220" s="1"/>
      <c r="S1220" s="1"/>
      <c r="T1220" s="1"/>
      <c r="U1220" s="1"/>
      <c r="V1220" s="1"/>
      <c r="W1220" s="1"/>
      <c r="X1220" s="1"/>
    </row>
    <row r="1221" spans="1:24">
      <c r="A1221" s="1"/>
      <c r="M1221" s="26"/>
      <c r="N1221" s="26"/>
      <c r="P1221" s="1"/>
      <c r="Q1221" s="1"/>
      <c r="R1221" s="1"/>
      <c r="S1221" s="1"/>
      <c r="T1221" s="1"/>
      <c r="U1221" s="1"/>
      <c r="V1221" s="1"/>
      <c r="W1221" s="1"/>
      <c r="X1221" s="1"/>
    </row>
    <row r="1222" spans="1:24">
      <c r="A1222" s="1"/>
      <c r="M1222" s="26"/>
      <c r="N1222" s="26"/>
      <c r="P1222" s="1"/>
      <c r="Q1222" s="1"/>
      <c r="R1222" s="1"/>
      <c r="S1222" s="1"/>
      <c r="T1222" s="1"/>
      <c r="U1222" s="1"/>
      <c r="V1222" s="1"/>
      <c r="W1222" s="1"/>
      <c r="X1222" s="1"/>
    </row>
    <row r="1223" spans="1:24">
      <c r="A1223" s="1"/>
      <c r="M1223" s="26"/>
      <c r="N1223" s="26"/>
      <c r="P1223" s="1"/>
      <c r="Q1223" s="1"/>
      <c r="R1223" s="1"/>
      <c r="S1223" s="1"/>
      <c r="T1223" s="1"/>
      <c r="U1223" s="1"/>
      <c r="V1223" s="1"/>
      <c r="W1223" s="1"/>
      <c r="X1223" s="1"/>
    </row>
    <row r="1224" spans="1:24">
      <c r="A1224" s="1"/>
      <c r="M1224" s="26"/>
      <c r="N1224" s="26"/>
      <c r="P1224" s="1"/>
      <c r="Q1224" s="1"/>
      <c r="R1224" s="1"/>
      <c r="S1224" s="1"/>
      <c r="T1224" s="1"/>
      <c r="U1224" s="1"/>
      <c r="V1224" s="1"/>
      <c r="W1224" s="1"/>
      <c r="X1224" s="1"/>
    </row>
    <row r="1225" spans="1:24">
      <c r="A1225" s="1"/>
      <c r="M1225" s="26"/>
      <c r="N1225" s="26"/>
      <c r="P1225" s="1"/>
      <c r="Q1225" s="1"/>
      <c r="R1225" s="1"/>
      <c r="S1225" s="1"/>
      <c r="T1225" s="1"/>
      <c r="U1225" s="1"/>
      <c r="V1225" s="1"/>
      <c r="W1225" s="1"/>
      <c r="X1225" s="1"/>
    </row>
    <row r="1226" spans="1:24">
      <c r="A1226" s="1"/>
      <c r="M1226" s="26"/>
      <c r="N1226" s="26"/>
      <c r="P1226" s="1"/>
      <c r="Q1226" s="1"/>
      <c r="R1226" s="1"/>
      <c r="S1226" s="1"/>
      <c r="T1226" s="1"/>
      <c r="U1226" s="1"/>
      <c r="V1226" s="1"/>
      <c r="W1226" s="1"/>
      <c r="X1226" s="1"/>
    </row>
    <row r="1227" spans="1:24">
      <c r="A1227" s="1"/>
      <c r="M1227" s="26"/>
      <c r="N1227" s="26"/>
      <c r="P1227" s="1"/>
      <c r="Q1227" s="1"/>
      <c r="R1227" s="1"/>
      <c r="S1227" s="1"/>
      <c r="T1227" s="1"/>
      <c r="U1227" s="1"/>
      <c r="V1227" s="1"/>
      <c r="W1227" s="1"/>
      <c r="X1227" s="1"/>
    </row>
    <row r="1228" spans="1:24">
      <c r="A1228" s="1"/>
      <c r="M1228" s="26"/>
      <c r="N1228" s="26"/>
      <c r="P1228" s="1"/>
      <c r="Q1228" s="1"/>
      <c r="R1228" s="1"/>
      <c r="S1228" s="1"/>
      <c r="T1228" s="1"/>
      <c r="U1228" s="1"/>
      <c r="V1228" s="1"/>
      <c r="W1228" s="1"/>
      <c r="X1228" s="1"/>
    </row>
    <row r="1229" spans="1:24">
      <c r="A1229" s="1"/>
      <c r="M1229" s="26"/>
      <c r="N1229" s="26"/>
      <c r="P1229" s="1"/>
      <c r="Q1229" s="1"/>
      <c r="R1229" s="1"/>
      <c r="S1229" s="1"/>
      <c r="T1229" s="1"/>
      <c r="U1229" s="1"/>
      <c r="V1229" s="1"/>
      <c r="W1229" s="1"/>
      <c r="X1229" s="1"/>
    </row>
    <row r="1230" spans="1:24">
      <c r="A1230" s="1"/>
      <c r="M1230" s="26"/>
      <c r="N1230" s="26"/>
      <c r="P1230" s="1"/>
      <c r="Q1230" s="1"/>
      <c r="R1230" s="1"/>
      <c r="S1230" s="1"/>
      <c r="T1230" s="1"/>
      <c r="U1230" s="1"/>
      <c r="V1230" s="1"/>
      <c r="W1230" s="1"/>
      <c r="X1230" s="1"/>
    </row>
    <row r="1231" spans="1:24">
      <c r="A1231" s="1"/>
      <c r="M1231" s="26"/>
      <c r="N1231" s="26"/>
      <c r="P1231" s="1"/>
      <c r="Q1231" s="1"/>
      <c r="R1231" s="1"/>
      <c r="S1231" s="1"/>
      <c r="T1231" s="1"/>
      <c r="U1231" s="1"/>
      <c r="V1231" s="1"/>
      <c r="W1231" s="1"/>
      <c r="X1231" s="1"/>
    </row>
    <row r="1232" spans="1:24">
      <c r="A1232" s="1"/>
      <c r="M1232" s="26"/>
      <c r="N1232" s="26"/>
      <c r="P1232" s="1"/>
      <c r="Q1232" s="1"/>
      <c r="R1232" s="1"/>
      <c r="S1232" s="1"/>
      <c r="T1232" s="1"/>
      <c r="U1232" s="1"/>
      <c r="V1232" s="1"/>
      <c r="W1232" s="1"/>
      <c r="X1232" s="1"/>
    </row>
    <row r="1233" spans="1:24">
      <c r="A1233" s="1"/>
      <c r="M1233" s="26"/>
      <c r="N1233" s="26"/>
      <c r="P1233" s="1"/>
      <c r="Q1233" s="1"/>
      <c r="R1233" s="1"/>
      <c r="S1233" s="1"/>
      <c r="T1233" s="1"/>
      <c r="U1233" s="1"/>
      <c r="V1233" s="1"/>
      <c r="W1233" s="1"/>
      <c r="X1233" s="1"/>
    </row>
    <row r="1234" spans="1:24">
      <c r="A1234" s="1"/>
      <c r="M1234" s="26"/>
      <c r="N1234" s="26"/>
      <c r="P1234" s="1"/>
      <c r="Q1234" s="1"/>
      <c r="R1234" s="1"/>
      <c r="S1234" s="1"/>
      <c r="T1234" s="1"/>
      <c r="U1234" s="1"/>
      <c r="V1234" s="1"/>
      <c r="W1234" s="1"/>
      <c r="X1234" s="1"/>
    </row>
    <row r="1235" spans="1:24">
      <c r="A1235" s="1"/>
      <c r="M1235" s="26"/>
      <c r="N1235" s="26"/>
      <c r="P1235" s="1"/>
      <c r="Q1235" s="1"/>
      <c r="R1235" s="1"/>
      <c r="S1235" s="1"/>
      <c r="T1235" s="1"/>
      <c r="U1235" s="1"/>
      <c r="V1235" s="1"/>
      <c r="W1235" s="1"/>
      <c r="X1235" s="1"/>
    </row>
    <row r="1236" spans="1:24">
      <c r="A1236" s="1"/>
      <c r="M1236" s="26"/>
      <c r="N1236" s="26"/>
      <c r="P1236" s="1"/>
      <c r="Q1236" s="1"/>
      <c r="R1236" s="1"/>
      <c r="S1236" s="1"/>
      <c r="T1236" s="1"/>
      <c r="U1236" s="1"/>
      <c r="V1236" s="1"/>
      <c r="W1236" s="1"/>
      <c r="X1236" s="1"/>
    </row>
    <row r="1237" spans="1:24">
      <c r="A1237" s="1"/>
      <c r="M1237" s="26"/>
      <c r="N1237" s="26"/>
      <c r="P1237" s="1"/>
      <c r="Q1237" s="1"/>
      <c r="R1237" s="1"/>
      <c r="S1237" s="1"/>
      <c r="T1237" s="1"/>
      <c r="U1237" s="1"/>
      <c r="V1237" s="1"/>
      <c r="W1237" s="1"/>
      <c r="X1237" s="1"/>
    </row>
    <row r="1238" spans="1:24">
      <c r="A1238" s="1"/>
      <c r="M1238" s="26"/>
      <c r="N1238" s="26"/>
      <c r="P1238" s="1"/>
      <c r="Q1238" s="1"/>
      <c r="R1238" s="1"/>
      <c r="S1238" s="1"/>
      <c r="T1238" s="1"/>
      <c r="U1238" s="1"/>
      <c r="V1238" s="1"/>
      <c r="W1238" s="1"/>
      <c r="X1238" s="1"/>
    </row>
    <row r="1239" spans="1:24">
      <c r="A1239" s="1"/>
      <c r="M1239" s="26"/>
      <c r="N1239" s="26"/>
      <c r="P1239" s="1"/>
      <c r="Q1239" s="1"/>
      <c r="R1239" s="1"/>
      <c r="S1239" s="1"/>
      <c r="T1239" s="1"/>
      <c r="U1239" s="1"/>
      <c r="V1239" s="1"/>
      <c r="W1239" s="1"/>
      <c r="X1239" s="1"/>
    </row>
    <row r="1240" spans="1:24">
      <c r="A1240" s="1"/>
      <c r="M1240" s="26"/>
      <c r="N1240" s="26"/>
      <c r="P1240" s="1"/>
      <c r="Q1240" s="1"/>
      <c r="R1240" s="1"/>
      <c r="S1240" s="1"/>
      <c r="T1240" s="1"/>
      <c r="U1240" s="1"/>
      <c r="V1240" s="1"/>
      <c r="W1240" s="1"/>
      <c r="X1240" s="1"/>
    </row>
    <row r="1241" spans="1:24">
      <c r="A1241" s="1"/>
      <c r="M1241" s="26"/>
      <c r="N1241" s="26"/>
      <c r="P1241" s="1"/>
      <c r="Q1241" s="1"/>
      <c r="R1241" s="1"/>
      <c r="S1241" s="1"/>
      <c r="T1241" s="1"/>
      <c r="U1241" s="1"/>
      <c r="V1241" s="1"/>
      <c r="W1241" s="1"/>
      <c r="X1241" s="1"/>
    </row>
    <row r="1242" spans="1:24">
      <c r="A1242" s="1"/>
      <c r="M1242" s="26"/>
      <c r="N1242" s="26"/>
      <c r="P1242" s="1"/>
      <c r="Q1242" s="1"/>
      <c r="R1242" s="1"/>
      <c r="S1242" s="1"/>
      <c r="T1242" s="1"/>
      <c r="U1242" s="1"/>
      <c r="V1242" s="1"/>
      <c r="W1242" s="1"/>
      <c r="X1242" s="1"/>
    </row>
    <row r="1243" spans="1:24">
      <c r="A1243" s="1"/>
      <c r="M1243" s="26"/>
      <c r="N1243" s="26"/>
      <c r="P1243" s="1"/>
      <c r="Q1243" s="1"/>
      <c r="R1243" s="1"/>
      <c r="S1243" s="1"/>
      <c r="T1243" s="1"/>
      <c r="U1243" s="1"/>
      <c r="V1243" s="1"/>
      <c r="W1243" s="1"/>
      <c r="X1243" s="1"/>
    </row>
    <row r="1244" spans="1:24">
      <c r="A1244" s="1"/>
      <c r="M1244" s="26"/>
      <c r="N1244" s="26"/>
      <c r="P1244" s="1"/>
      <c r="Q1244" s="1"/>
      <c r="R1244" s="1"/>
      <c r="S1244" s="1"/>
      <c r="T1244" s="1"/>
      <c r="U1244" s="1"/>
      <c r="V1244" s="1"/>
      <c r="W1244" s="1"/>
      <c r="X1244" s="1"/>
    </row>
    <row r="1245" spans="1:24">
      <c r="A1245" s="1"/>
      <c r="M1245" s="26"/>
      <c r="N1245" s="26"/>
      <c r="P1245" s="1"/>
      <c r="Q1245" s="1"/>
      <c r="R1245" s="1"/>
      <c r="S1245" s="1"/>
      <c r="T1245" s="1"/>
      <c r="U1245" s="1"/>
      <c r="V1245" s="1"/>
      <c r="W1245" s="1"/>
      <c r="X1245" s="1"/>
    </row>
    <row r="1246" spans="1:24">
      <c r="A1246" s="1"/>
      <c r="M1246" s="26"/>
      <c r="N1246" s="26"/>
      <c r="P1246" s="1"/>
      <c r="Q1246" s="1"/>
      <c r="R1246" s="1"/>
      <c r="S1246" s="1"/>
      <c r="T1246" s="1"/>
      <c r="U1246" s="1"/>
      <c r="V1246" s="1"/>
      <c r="W1246" s="1"/>
      <c r="X1246" s="1"/>
    </row>
    <row r="1247" spans="1:24">
      <c r="A1247" s="1"/>
      <c r="M1247" s="26"/>
      <c r="N1247" s="26"/>
      <c r="P1247" s="1"/>
      <c r="Q1247" s="1"/>
      <c r="R1247" s="1"/>
      <c r="S1247" s="1"/>
      <c r="T1247" s="1"/>
      <c r="U1247" s="1"/>
      <c r="V1247" s="1"/>
      <c r="W1247" s="1"/>
      <c r="X1247" s="1"/>
    </row>
    <row r="1248" spans="1:24">
      <c r="A1248" s="1"/>
      <c r="M1248" s="26"/>
      <c r="N1248" s="26"/>
      <c r="P1248" s="1"/>
      <c r="Q1248" s="1"/>
      <c r="R1248" s="1"/>
      <c r="S1248" s="1"/>
      <c r="T1248" s="1"/>
      <c r="U1248" s="1"/>
      <c r="V1248" s="1"/>
      <c r="W1248" s="1"/>
      <c r="X1248" s="1"/>
    </row>
    <row r="1249" spans="1:24">
      <c r="A1249" s="1"/>
      <c r="M1249" s="26"/>
      <c r="N1249" s="26"/>
      <c r="P1249" s="1"/>
      <c r="Q1249" s="1"/>
      <c r="R1249" s="1"/>
      <c r="S1249" s="1"/>
      <c r="T1249" s="1"/>
      <c r="U1249" s="1"/>
      <c r="V1249" s="1"/>
      <c r="W1249" s="1"/>
      <c r="X1249" s="1"/>
    </row>
    <row r="1250" spans="1:24">
      <c r="A1250" s="1"/>
      <c r="M1250" s="26"/>
      <c r="N1250" s="26"/>
      <c r="P1250" s="1"/>
      <c r="Q1250" s="1"/>
      <c r="R1250" s="1"/>
      <c r="S1250" s="1"/>
      <c r="T1250" s="1"/>
      <c r="U1250" s="1"/>
      <c r="V1250" s="1"/>
      <c r="W1250" s="1"/>
      <c r="X1250" s="1"/>
    </row>
    <row r="1251" spans="1:24">
      <c r="A1251" s="1"/>
      <c r="M1251" s="26"/>
      <c r="N1251" s="26"/>
      <c r="P1251" s="1"/>
      <c r="Q1251" s="1"/>
      <c r="R1251" s="1"/>
      <c r="S1251" s="1"/>
      <c r="T1251" s="1"/>
      <c r="U1251" s="1"/>
      <c r="V1251" s="1"/>
      <c r="W1251" s="1"/>
      <c r="X1251" s="1"/>
    </row>
    <row r="1252" spans="1:24">
      <c r="A1252" s="1"/>
      <c r="M1252" s="26"/>
      <c r="N1252" s="26"/>
      <c r="P1252" s="1"/>
      <c r="Q1252" s="1"/>
      <c r="R1252" s="1"/>
      <c r="S1252" s="1"/>
      <c r="T1252" s="1"/>
      <c r="U1252" s="1"/>
      <c r="V1252" s="1"/>
      <c r="W1252" s="1"/>
      <c r="X1252" s="1"/>
    </row>
    <row r="1253" spans="1:24">
      <c r="A1253" s="1"/>
      <c r="M1253" s="26"/>
      <c r="N1253" s="26"/>
      <c r="P1253" s="1"/>
      <c r="Q1253" s="1"/>
      <c r="R1253" s="1"/>
      <c r="S1253" s="1"/>
      <c r="T1253" s="1"/>
      <c r="U1253" s="1"/>
      <c r="V1253" s="1"/>
      <c r="W1253" s="1"/>
      <c r="X1253" s="1"/>
    </row>
    <row r="1254" spans="1:24">
      <c r="A1254" s="1"/>
      <c r="M1254" s="26"/>
      <c r="N1254" s="26"/>
      <c r="P1254" s="1"/>
      <c r="Q1254" s="1"/>
      <c r="R1254" s="1"/>
      <c r="S1254" s="1"/>
      <c r="T1254" s="1"/>
      <c r="U1254" s="1"/>
      <c r="V1254" s="1"/>
      <c r="W1254" s="1"/>
      <c r="X1254" s="1"/>
    </row>
    <row r="1255" spans="1:24">
      <c r="A1255" s="1"/>
      <c r="M1255" s="26"/>
      <c r="N1255" s="26"/>
      <c r="P1255" s="1"/>
      <c r="Q1255" s="1"/>
      <c r="R1255" s="1"/>
      <c r="S1255" s="1"/>
      <c r="T1255" s="1"/>
      <c r="U1255" s="1"/>
      <c r="V1255" s="1"/>
      <c r="W1255" s="1"/>
      <c r="X1255" s="1"/>
    </row>
    <row r="1256" spans="1:24">
      <c r="A1256" s="1"/>
      <c r="M1256" s="26"/>
      <c r="N1256" s="26"/>
      <c r="P1256" s="1"/>
      <c r="Q1256" s="1"/>
      <c r="R1256" s="1"/>
      <c r="S1256" s="1"/>
      <c r="T1256" s="1"/>
      <c r="U1256" s="1"/>
      <c r="V1256" s="1"/>
      <c r="W1256" s="1"/>
      <c r="X1256" s="1"/>
    </row>
    <row r="1257" spans="1:24">
      <c r="A1257" s="1"/>
      <c r="M1257" s="26"/>
      <c r="N1257" s="26"/>
      <c r="P1257" s="1"/>
      <c r="Q1257" s="1"/>
      <c r="R1257" s="1"/>
      <c r="S1257" s="1"/>
      <c r="T1257" s="1"/>
      <c r="U1257" s="1"/>
      <c r="V1257" s="1"/>
      <c r="W1257" s="1"/>
      <c r="X1257" s="1"/>
    </row>
    <row r="1258" spans="1:24">
      <c r="A1258" s="1"/>
      <c r="M1258" s="26"/>
      <c r="N1258" s="26"/>
      <c r="P1258" s="1"/>
      <c r="Q1258" s="1"/>
      <c r="R1258" s="1"/>
      <c r="S1258" s="1"/>
      <c r="T1258" s="1"/>
      <c r="U1258" s="1"/>
      <c r="V1258" s="1"/>
      <c r="W1258" s="1"/>
      <c r="X1258" s="1"/>
    </row>
    <row r="1259" spans="1:24">
      <c r="A1259" s="1"/>
      <c r="M1259" s="26"/>
      <c r="N1259" s="26"/>
      <c r="P1259" s="1"/>
      <c r="Q1259" s="1"/>
      <c r="R1259" s="1"/>
      <c r="S1259" s="1"/>
      <c r="T1259" s="1"/>
      <c r="U1259" s="1"/>
      <c r="V1259" s="1"/>
      <c r="W1259" s="1"/>
      <c r="X1259" s="1"/>
    </row>
    <row r="1260" spans="1:24">
      <c r="A1260" s="1"/>
      <c r="M1260" s="26"/>
      <c r="N1260" s="26"/>
      <c r="P1260" s="1"/>
      <c r="Q1260" s="1"/>
      <c r="R1260" s="1"/>
      <c r="S1260" s="1"/>
      <c r="T1260" s="1"/>
      <c r="U1260" s="1"/>
      <c r="V1260" s="1"/>
      <c r="W1260" s="1"/>
      <c r="X1260" s="1"/>
    </row>
    <row r="1261" spans="1:24">
      <c r="A1261" s="1"/>
      <c r="M1261" s="26"/>
      <c r="N1261" s="26"/>
      <c r="P1261" s="1"/>
      <c r="Q1261" s="1"/>
      <c r="R1261" s="1"/>
      <c r="S1261" s="1"/>
      <c r="T1261" s="1"/>
      <c r="U1261" s="1"/>
      <c r="V1261" s="1"/>
      <c r="W1261" s="1"/>
      <c r="X1261" s="1"/>
    </row>
    <row r="1262" spans="1:24">
      <c r="A1262" s="1"/>
      <c r="M1262" s="26"/>
      <c r="N1262" s="26"/>
      <c r="P1262" s="1"/>
      <c r="Q1262" s="1"/>
      <c r="R1262" s="1"/>
      <c r="S1262" s="1"/>
      <c r="T1262" s="1"/>
      <c r="U1262" s="1"/>
      <c r="V1262" s="1"/>
      <c r="W1262" s="1"/>
      <c r="X1262" s="1"/>
    </row>
    <row r="1263" spans="1:24">
      <c r="A1263" s="1"/>
      <c r="M1263" s="26"/>
      <c r="N1263" s="26"/>
      <c r="P1263" s="1"/>
      <c r="Q1263" s="1"/>
      <c r="R1263" s="1"/>
      <c r="S1263" s="1"/>
      <c r="T1263" s="1"/>
      <c r="U1263" s="1"/>
      <c r="V1263" s="1"/>
      <c r="W1263" s="1"/>
      <c r="X1263" s="1"/>
    </row>
    <row r="1264" spans="1:24">
      <c r="A1264" s="1"/>
      <c r="M1264" s="26"/>
      <c r="N1264" s="26"/>
      <c r="P1264" s="1"/>
      <c r="Q1264" s="1"/>
      <c r="R1264" s="1"/>
      <c r="S1264" s="1"/>
      <c r="T1264" s="1"/>
      <c r="U1264" s="1"/>
      <c r="V1264" s="1"/>
      <c r="W1264" s="1"/>
      <c r="X1264" s="1"/>
    </row>
    <row r="1265" spans="1:24">
      <c r="A1265" s="1"/>
      <c r="M1265" s="26"/>
      <c r="N1265" s="26"/>
      <c r="P1265" s="1"/>
      <c r="Q1265" s="1"/>
      <c r="R1265" s="1"/>
      <c r="S1265" s="1"/>
      <c r="T1265" s="1"/>
      <c r="U1265" s="1"/>
      <c r="V1265" s="1"/>
      <c r="W1265" s="1"/>
      <c r="X1265" s="1"/>
    </row>
    <row r="1266" spans="1:24">
      <c r="A1266" s="1"/>
      <c r="M1266" s="26"/>
      <c r="N1266" s="26"/>
      <c r="P1266" s="1"/>
      <c r="Q1266" s="1"/>
      <c r="R1266" s="1"/>
      <c r="S1266" s="1"/>
      <c r="T1266" s="1"/>
      <c r="U1266" s="1"/>
      <c r="V1266" s="1"/>
      <c r="W1266" s="1"/>
      <c r="X1266" s="1"/>
    </row>
    <row r="1267" spans="1:24">
      <c r="A1267" s="1"/>
      <c r="M1267" s="26"/>
      <c r="N1267" s="26"/>
      <c r="P1267" s="1"/>
      <c r="Q1267" s="1"/>
      <c r="R1267" s="1"/>
      <c r="S1267" s="1"/>
      <c r="T1267" s="1"/>
      <c r="U1267" s="1"/>
      <c r="V1267" s="1"/>
      <c r="W1267" s="1"/>
      <c r="X1267" s="1"/>
    </row>
    <row r="1268" spans="1:24">
      <c r="A1268" s="1"/>
      <c r="M1268" s="26"/>
      <c r="N1268" s="26"/>
      <c r="P1268" s="1"/>
      <c r="Q1268" s="1"/>
      <c r="R1268" s="1"/>
      <c r="S1268" s="1"/>
      <c r="T1268" s="1"/>
      <c r="U1268" s="1"/>
      <c r="V1268" s="1"/>
      <c r="W1268" s="1"/>
      <c r="X1268" s="1"/>
    </row>
    <row r="1269" spans="1:24">
      <c r="A1269" s="1"/>
      <c r="M1269" s="26"/>
      <c r="N1269" s="26"/>
      <c r="P1269" s="1"/>
      <c r="Q1269" s="1"/>
      <c r="R1269" s="1"/>
      <c r="S1269" s="1"/>
      <c r="T1269" s="1"/>
      <c r="U1269" s="1"/>
      <c r="V1269" s="1"/>
      <c r="W1269" s="1"/>
      <c r="X1269" s="1"/>
    </row>
    <row r="1270" spans="1:24">
      <c r="A1270" s="1"/>
      <c r="M1270" s="26"/>
      <c r="N1270" s="26"/>
      <c r="P1270" s="1"/>
      <c r="Q1270" s="1"/>
      <c r="R1270" s="1"/>
      <c r="S1270" s="1"/>
      <c r="T1270" s="1"/>
      <c r="U1270" s="1"/>
      <c r="V1270" s="1"/>
      <c r="W1270" s="1"/>
      <c r="X1270" s="1"/>
    </row>
    <row r="1271" spans="1:24">
      <c r="A1271" s="1"/>
      <c r="M1271" s="26"/>
      <c r="N1271" s="26"/>
      <c r="P1271" s="1"/>
      <c r="Q1271" s="1"/>
      <c r="R1271" s="1"/>
      <c r="S1271" s="1"/>
      <c r="T1271" s="1"/>
      <c r="U1271" s="1"/>
      <c r="V1271" s="1"/>
      <c r="W1271" s="1"/>
      <c r="X1271" s="1"/>
    </row>
    <row r="1272" spans="1:24">
      <c r="A1272" s="1"/>
      <c r="M1272" s="26"/>
      <c r="N1272" s="26"/>
      <c r="P1272" s="1"/>
      <c r="Q1272" s="1"/>
      <c r="R1272" s="1"/>
      <c r="S1272" s="1"/>
      <c r="T1272" s="1"/>
      <c r="U1272" s="1"/>
      <c r="V1272" s="1"/>
      <c r="W1272" s="1"/>
      <c r="X1272" s="1"/>
    </row>
    <row r="1273" spans="1:24">
      <c r="A1273" s="1"/>
      <c r="M1273" s="26"/>
      <c r="N1273" s="26"/>
      <c r="P1273" s="1"/>
      <c r="Q1273" s="1"/>
      <c r="R1273" s="1"/>
      <c r="S1273" s="1"/>
      <c r="T1273" s="1"/>
      <c r="U1273" s="1"/>
      <c r="V1273" s="1"/>
      <c r="W1273" s="1"/>
      <c r="X1273" s="1"/>
    </row>
    <row r="1274" spans="1:24">
      <c r="A1274" s="1"/>
      <c r="M1274" s="26"/>
      <c r="N1274" s="26"/>
      <c r="P1274" s="1"/>
      <c r="Q1274" s="1"/>
      <c r="R1274" s="1"/>
      <c r="S1274" s="1"/>
      <c r="T1274" s="1"/>
      <c r="U1274" s="1"/>
      <c r="V1274" s="1"/>
      <c r="W1274" s="1"/>
      <c r="X1274" s="1"/>
    </row>
    <row r="1275" spans="1:24">
      <c r="A1275" s="1"/>
      <c r="M1275" s="26"/>
      <c r="N1275" s="26"/>
      <c r="P1275" s="1"/>
      <c r="Q1275" s="1"/>
      <c r="R1275" s="1"/>
      <c r="S1275" s="1"/>
      <c r="T1275" s="1"/>
      <c r="U1275" s="1"/>
      <c r="V1275" s="1"/>
      <c r="W1275" s="1"/>
      <c r="X1275" s="1"/>
    </row>
    <row r="1276" spans="1:24">
      <c r="A1276" s="1"/>
      <c r="M1276" s="26"/>
      <c r="N1276" s="26"/>
      <c r="P1276" s="1"/>
      <c r="Q1276" s="1"/>
      <c r="R1276" s="1"/>
      <c r="S1276" s="1"/>
      <c r="T1276" s="1"/>
      <c r="U1276" s="1"/>
      <c r="V1276" s="1"/>
      <c r="W1276" s="1"/>
      <c r="X1276" s="1"/>
    </row>
    <row r="1277" spans="1:24">
      <c r="A1277" s="1"/>
      <c r="M1277" s="26"/>
      <c r="N1277" s="26"/>
      <c r="P1277" s="1"/>
      <c r="Q1277" s="1"/>
      <c r="R1277" s="1"/>
      <c r="S1277" s="1"/>
      <c r="T1277" s="1"/>
      <c r="U1277" s="1"/>
      <c r="V1277" s="1"/>
      <c r="W1277" s="1"/>
      <c r="X1277" s="1"/>
    </row>
    <row r="1278" spans="1:24">
      <c r="A1278" s="1"/>
      <c r="M1278" s="26"/>
      <c r="N1278" s="26"/>
      <c r="P1278" s="1"/>
      <c r="Q1278" s="1"/>
      <c r="R1278" s="1"/>
      <c r="S1278" s="1"/>
      <c r="T1278" s="1"/>
      <c r="U1278" s="1"/>
      <c r="V1278" s="1"/>
      <c r="W1278" s="1"/>
      <c r="X1278" s="1"/>
    </row>
    <row r="1279" spans="1:24">
      <c r="A1279" s="1"/>
      <c r="M1279" s="26"/>
      <c r="N1279" s="26"/>
      <c r="P1279" s="1"/>
      <c r="Q1279" s="1"/>
      <c r="R1279" s="1"/>
      <c r="S1279" s="1"/>
      <c r="T1279" s="1"/>
      <c r="U1279" s="1"/>
      <c r="V1279" s="1"/>
      <c r="W1279" s="1"/>
      <c r="X1279" s="1"/>
    </row>
    <row r="1280" spans="1:24">
      <c r="A1280" s="1"/>
      <c r="M1280" s="26"/>
      <c r="N1280" s="26"/>
      <c r="P1280" s="1"/>
      <c r="Q1280" s="1"/>
      <c r="R1280" s="1"/>
      <c r="S1280" s="1"/>
      <c r="T1280" s="1"/>
      <c r="U1280" s="1"/>
      <c r="V1280" s="1"/>
      <c r="W1280" s="1"/>
      <c r="X1280" s="1"/>
    </row>
    <row r="1281" spans="1:24">
      <c r="A1281" s="1"/>
      <c r="M1281" s="26"/>
      <c r="N1281" s="26"/>
      <c r="P1281" s="1"/>
      <c r="Q1281" s="1"/>
      <c r="R1281" s="1"/>
      <c r="S1281" s="1"/>
      <c r="T1281" s="1"/>
      <c r="U1281" s="1"/>
      <c r="V1281" s="1"/>
      <c r="W1281" s="1"/>
      <c r="X1281" s="1"/>
    </row>
    <row r="1282" spans="1:24">
      <c r="A1282" s="1"/>
      <c r="M1282" s="26"/>
      <c r="N1282" s="26"/>
      <c r="P1282" s="1"/>
      <c r="Q1282" s="1"/>
      <c r="R1282" s="1"/>
      <c r="S1282" s="1"/>
      <c r="T1282" s="1"/>
      <c r="U1282" s="1"/>
      <c r="V1282" s="1"/>
      <c r="W1282" s="1"/>
      <c r="X1282" s="1"/>
    </row>
    <row r="1283" spans="1:24">
      <c r="A1283" s="1"/>
      <c r="M1283" s="26"/>
      <c r="N1283" s="26"/>
      <c r="P1283" s="1"/>
      <c r="Q1283" s="1"/>
      <c r="R1283" s="1"/>
      <c r="S1283" s="1"/>
      <c r="T1283" s="1"/>
      <c r="U1283" s="1"/>
      <c r="V1283" s="1"/>
      <c r="W1283" s="1"/>
      <c r="X1283" s="1"/>
    </row>
    <row r="1284" spans="1:24">
      <c r="A1284" s="1"/>
      <c r="M1284" s="26"/>
      <c r="N1284" s="26"/>
      <c r="P1284" s="1"/>
      <c r="Q1284" s="1"/>
      <c r="R1284" s="1"/>
      <c r="S1284" s="1"/>
      <c r="T1284" s="1"/>
      <c r="U1284" s="1"/>
      <c r="V1284" s="1"/>
      <c r="W1284" s="1"/>
      <c r="X1284" s="1"/>
    </row>
    <row r="1285" spans="1:24">
      <c r="A1285" s="1"/>
      <c r="M1285" s="26"/>
      <c r="N1285" s="26"/>
      <c r="P1285" s="1"/>
      <c r="Q1285" s="1"/>
      <c r="R1285" s="1"/>
      <c r="S1285" s="1"/>
      <c r="T1285" s="1"/>
      <c r="U1285" s="1"/>
      <c r="V1285" s="1"/>
      <c r="W1285" s="1"/>
      <c r="X1285" s="1"/>
    </row>
    <row r="1286" spans="1:24">
      <c r="A1286" s="1"/>
      <c r="M1286" s="26"/>
      <c r="N1286" s="26"/>
      <c r="P1286" s="1"/>
      <c r="Q1286" s="1"/>
      <c r="R1286" s="1"/>
      <c r="S1286" s="1"/>
      <c r="T1286" s="1"/>
      <c r="U1286" s="1"/>
      <c r="V1286" s="1"/>
      <c r="W1286" s="1"/>
      <c r="X1286" s="1"/>
    </row>
    <row r="1287" spans="1:24">
      <c r="A1287" s="1"/>
      <c r="M1287" s="26"/>
      <c r="N1287" s="26"/>
      <c r="P1287" s="1"/>
      <c r="Q1287" s="1"/>
      <c r="R1287" s="1"/>
      <c r="S1287" s="1"/>
      <c r="T1287" s="1"/>
      <c r="U1287" s="1"/>
      <c r="V1287" s="1"/>
      <c r="W1287" s="1"/>
      <c r="X1287" s="1"/>
    </row>
    <row r="1288" spans="1:24">
      <c r="A1288" s="1"/>
      <c r="M1288" s="26"/>
      <c r="N1288" s="26"/>
      <c r="P1288" s="1"/>
      <c r="Q1288" s="1"/>
      <c r="R1288" s="1"/>
      <c r="S1288" s="1"/>
      <c r="T1288" s="1"/>
      <c r="U1288" s="1"/>
      <c r="V1288" s="1"/>
      <c r="W1288" s="1"/>
      <c r="X1288" s="1"/>
    </row>
    <row r="1289" spans="1:24">
      <c r="A1289" s="1"/>
      <c r="M1289" s="26"/>
      <c r="N1289" s="26"/>
      <c r="P1289" s="1"/>
      <c r="Q1289" s="1"/>
      <c r="R1289" s="1"/>
      <c r="S1289" s="1"/>
      <c r="T1289" s="1"/>
      <c r="U1289" s="1"/>
      <c r="V1289" s="1"/>
      <c r="W1289" s="1"/>
      <c r="X1289" s="1"/>
    </row>
    <row r="1290" spans="1:24">
      <c r="A1290" s="1"/>
      <c r="M1290" s="26"/>
      <c r="N1290" s="26"/>
      <c r="P1290" s="1"/>
      <c r="Q1290" s="1"/>
      <c r="R1290" s="1"/>
      <c r="S1290" s="1"/>
      <c r="T1290" s="1"/>
      <c r="U1290" s="1"/>
      <c r="V1290" s="1"/>
      <c r="W1290" s="1"/>
      <c r="X1290" s="1"/>
    </row>
    <row r="1291" spans="1:24">
      <c r="A1291" s="1"/>
      <c r="M1291" s="26"/>
      <c r="N1291" s="26"/>
      <c r="P1291" s="1"/>
      <c r="Q1291" s="1"/>
      <c r="R1291" s="1"/>
      <c r="S1291" s="1"/>
      <c r="T1291" s="1"/>
      <c r="U1291" s="1"/>
      <c r="V1291" s="1"/>
      <c r="W1291" s="1"/>
      <c r="X1291" s="1"/>
    </row>
    <row r="1292" spans="1:24">
      <c r="A1292" s="1"/>
      <c r="M1292" s="26"/>
      <c r="N1292" s="26"/>
      <c r="P1292" s="1"/>
      <c r="Q1292" s="1"/>
      <c r="R1292" s="1"/>
      <c r="S1292" s="1"/>
      <c r="T1292" s="1"/>
      <c r="U1292" s="1"/>
      <c r="V1292" s="1"/>
      <c r="W1292" s="1"/>
      <c r="X1292" s="1"/>
    </row>
    <row r="1293" spans="1:24">
      <c r="A1293" s="1"/>
      <c r="M1293" s="26"/>
      <c r="N1293" s="26"/>
      <c r="P1293" s="1"/>
      <c r="Q1293" s="1"/>
      <c r="R1293" s="1"/>
      <c r="S1293" s="1"/>
      <c r="T1293" s="1"/>
      <c r="U1293" s="1"/>
      <c r="V1293" s="1"/>
      <c r="W1293" s="1"/>
      <c r="X1293" s="1"/>
    </row>
    <row r="1294" spans="1:24">
      <c r="A1294" s="1"/>
      <c r="M1294" s="26"/>
      <c r="N1294" s="26"/>
      <c r="P1294" s="1"/>
      <c r="Q1294" s="1"/>
      <c r="R1294" s="1"/>
      <c r="S1294" s="1"/>
      <c r="T1294" s="1"/>
      <c r="U1294" s="1"/>
      <c r="V1294" s="1"/>
      <c r="W1294" s="1"/>
      <c r="X1294" s="1"/>
    </row>
    <row r="1295" spans="1:24">
      <c r="A1295" s="1"/>
      <c r="M1295" s="26"/>
      <c r="N1295" s="26"/>
      <c r="P1295" s="1"/>
      <c r="Q1295" s="1"/>
      <c r="R1295" s="1"/>
      <c r="S1295" s="1"/>
      <c r="T1295" s="1"/>
      <c r="U1295" s="1"/>
      <c r="V1295" s="1"/>
      <c r="W1295" s="1"/>
      <c r="X1295" s="1"/>
    </row>
    <row r="1296" spans="1:24">
      <c r="A1296" s="1"/>
      <c r="M1296" s="26"/>
      <c r="N1296" s="26"/>
      <c r="P1296" s="1"/>
      <c r="Q1296" s="1"/>
      <c r="R1296" s="1"/>
      <c r="S1296" s="1"/>
      <c r="T1296" s="1"/>
      <c r="U1296" s="1"/>
      <c r="V1296" s="1"/>
      <c r="W1296" s="1"/>
      <c r="X1296" s="1"/>
    </row>
    <row r="1297" spans="1:24">
      <c r="A1297" s="1"/>
      <c r="M1297" s="26"/>
      <c r="N1297" s="26"/>
      <c r="P1297" s="1"/>
      <c r="Q1297" s="1"/>
      <c r="R1297" s="1"/>
      <c r="S1297" s="1"/>
      <c r="T1297" s="1"/>
      <c r="U1297" s="1"/>
      <c r="V1297" s="1"/>
      <c r="W1297" s="1"/>
      <c r="X1297" s="1"/>
    </row>
    <row r="1298" spans="1:24">
      <c r="A1298" s="1"/>
      <c r="M1298" s="26"/>
      <c r="N1298" s="26"/>
      <c r="P1298" s="1"/>
      <c r="Q1298" s="1"/>
      <c r="R1298" s="1"/>
      <c r="S1298" s="1"/>
      <c r="T1298" s="1"/>
      <c r="U1298" s="1"/>
      <c r="V1298" s="1"/>
      <c r="W1298" s="1"/>
      <c r="X1298" s="1"/>
    </row>
    <row r="1299" spans="1:24">
      <c r="A1299" s="1"/>
      <c r="M1299" s="26"/>
      <c r="N1299" s="26"/>
      <c r="P1299" s="1"/>
      <c r="Q1299" s="1"/>
      <c r="R1299" s="1"/>
      <c r="S1299" s="1"/>
      <c r="T1299" s="1"/>
      <c r="U1299" s="1"/>
      <c r="V1299" s="1"/>
      <c r="W1299" s="1"/>
      <c r="X1299" s="1"/>
    </row>
    <row r="1300" spans="1:24">
      <c r="A1300" s="1"/>
      <c r="M1300" s="26"/>
      <c r="N1300" s="26"/>
      <c r="P1300" s="1"/>
      <c r="Q1300" s="1"/>
      <c r="R1300" s="1"/>
      <c r="S1300" s="1"/>
      <c r="T1300" s="1"/>
      <c r="U1300" s="1"/>
      <c r="V1300" s="1"/>
      <c r="W1300" s="1"/>
      <c r="X1300" s="1"/>
    </row>
    <row r="1301" spans="1:24">
      <c r="A1301" s="1"/>
      <c r="M1301" s="26"/>
      <c r="N1301" s="26"/>
      <c r="P1301" s="1"/>
      <c r="Q1301" s="1"/>
      <c r="R1301" s="1"/>
      <c r="S1301" s="1"/>
      <c r="T1301" s="1"/>
      <c r="U1301" s="1"/>
      <c r="V1301" s="1"/>
      <c r="W1301" s="1"/>
      <c r="X1301" s="1"/>
    </row>
    <row r="1302" spans="1:24">
      <c r="A1302" s="1"/>
      <c r="M1302" s="26"/>
      <c r="N1302" s="26"/>
      <c r="P1302" s="1"/>
      <c r="Q1302" s="1"/>
      <c r="R1302" s="1"/>
      <c r="S1302" s="1"/>
      <c r="T1302" s="1"/>
      <c r="U1302" s="1"/>
      <c r="V1302" s="1"/>
      <c r="W1302" s="1"/>
      <c r="X1302" s="1"/>
    </row>
    <row r="1303" spans="1:24">
      <c r="A1303" s="1"/>
      <c r="M1303" s="26"/>
      <c r="N1303" s="26"/>
      <c r="P1303" s="1"/>
      <c r="Q1303" s="1"/>
      <c r="R1303" s="1"/>
      <c r="S1303" s="1"/>
      <c r="T1303" s="1"/>
      <c r="U1303" s="1"/>
      <c r="V1303" s="1"/>
      <c r="W1303" s="1"/>
      <c r="X1303" s="1"/>
    </row>
    <row r="1304" spans="1:24">
      <c r="A1304" s="1"/>
      <c r="M1304" s="26"/>
      <c r="N1304" s="26"/>
      <c r="P1304" s="1"/>
      <c r="Q1304" s="1"/>
      <c r="R1304" s="1"/>
      <c r="S1304" s="1"/>
      <c r="T1304" s="1"/>
      <c r="U1304" s="1"/>
      <c r="V1304" s="1"/>
      <c r="W1304" s="1"/>
      <c r="X1304" s="1"/>
    </row>
    <row r="1305" spans="1:24">
      <c r="A1305" s="1"/>
      <c r="M1305" s="26"/>
      <c r="N1305" s="26"/>
      <c r="P1305" s="1"/>
      <c r="Q1305" s="1"/>
      <c r="R1305" s="1"/>
      <c r="S1305" s="1"/>
      <c r="T1305" s="1"/>
      <c r="U1305" s="1"/>
      <c r="V1305" s="1"/>
      <c r="W1305" s="1"/>
      <c r="X1305" s="1"/>
    </row>
    <row r="1306" spans="1:24">
      <c r="A1306" s="1"/>
      <c r="M1306" s="26"/>
      <c r="N1306" s="26"/>
      <c r="P1306" s="1"/>
      <c r="Q1306" s="1"/>
      <c r="R1306" s="1"/>
      <c r="S1306" s="1"/>
      <c r="T1306" s="1"/>
      <c r="U1306" s="1"/>
      <c r="V1306" s="1"/>
      <c r="W1306" s="1"/>
      <c r="X1306" s="1"/>
    </row>
    <row r="1307" spans="1:24">
      <c r="A1307" s="1"/>
      <c r="M1307" s="26"/>
      <c r="N1307" s="26"/>
      <c r="P1307" s="1"/>
      <c r="Q1307" s="1"/>
      <c r="R1307" s="1"/>
      <c r="S1307" s="1"/>
      <c r="T1307" s="1"/>
      <c r="U1307" s="1"/>
      <c r="V1307" s="1"/>
      <c r="W1307" s="1"/>
      <c r="X1307" s="1"/>
    </row>
    <row r="1308" spans="1:24">
      <c r="A1308" s="1"/>
      <c r="M1308" s="26"/>
      <c r="N1308" s="26"/>
      <c r="P1308" s="1"/>
      <c r="Q1308" s="1"/>
      <c r="R1308" s="1"/>
      <c r="S1308" s="1"/>
      <c r="T1308" s="1"/>
      <c r="U1308" s="1"/>
      <c r="V1308" s="1"/>
      <c r="W1308" s="1"/>
      <c r="X1308" s="1"/>
    </row>
    <row r="1309" spans="1:24">
      <c r="A1309" s="1"/>
      <c r="M1309" s="26"/>
      <c r="N1309" s="26"/>
      <c r="P1309" s="1"/>
      <c r="Q1309" s="1"/>
      <c r="R1309" s="1"/>
      <c r="S1309" s="1"/>
      <c r="T1309" s="1"/>
      <c r="U1309" s="1"/>
      <c r="V1309" s="1"/>
      <c r="W1309" s="1"/>
      <c r="X1309" s="1"/>
    </row>
    <row r="1310" spans="1:24">
      <c r="A1310" s="1"/>
      <c r="M1310" s="26"/>
      <c r="N1310" s="26"/>
      <c r="P1310" s="1"/>
      <c r="Q1310" s="1"/>
      <c r="R1310" s="1"/>
      <c r="S1310" s="1"/>
      <c r="T1310" s="1"/>
      <c r="U1310" s="1"/>
      <c r="V1310" s="1"/>
      <c r="W1310" s="1"/>
      <c r="X1310" s="1"/>
    </row>
    <row r="1311" spans="1:24">
      <c r="A1311" s="1"/>
      <c r="M1311" s="26"/>
      <c r="N1311" s="26"/>
      <c r="P1311" s="1"/>
      <c r="Q1311" s="1"/>
      <c r="R1311" s="1"/>
      <c r="S1311" s="1"/>
      <c r="T1311" s="1"/>
      <c r="U1311" s="1"/>
      <c r="V1311" s="1"/>
      <c r="W1311" s="1"/>
      <c r="X1311" s="1"/>
    </row>
    <row r="1312" spans="1:24">
      <c r="A1312" s="1"/>
      <c r="M1312" s="26"/>
      <c r="N1312" s="26"/>
      <c r="P1312" s="1"/>
      <c r="Q1312" s="1"/>
      <c r="R1312" s="1"/>
      <c r="S1312" s="1"/>
      <c r="T1312" s="1"/>
      <c r="U1312" s="1"/>
      <c r="V1312" s="1"/>
      <c r="W1312" s="1"/>
      <c r="X1312" s="1"/>
    </row>
    <row r="1313" spans="1:24">
      <c r="A1313" s="1"/>
      <c r="M1313" s="26"/>
      <c r="N1313" s="26"/>
      <c r="P1313" s="1"/>
      <c r="Q1313" s="1"/>
      <c r="R1313" s="1"/>
      <c r="S1313" s="1"/>
      <c r="T1313" s="1"/>
      <c r="U1313" s="1"/>
      <c r="V1313" s="1"/>
      <c r="W1313" s="1"/>
      <c r="X1313" s="1"/>
    </row>
    <row r="1314" spans="1:24">
      <c r="A1314" s="1"/>
      <c r="M1314" s="26"/>
      <c r="N1314" s="26"/>
      <c r="P1314" s="1"/>
      <c r="Q1314" s="1"/>
      <c r="R1314" s="1"/>
      <c r="S1314" s="1"/>
      <c r="T1314" s="1"/>
      <c r="U1314" s="1"/>
      <c r="V1314" s="1"/>
      <c r="W1314" s="1"/>
      <c r="X1314" s="1"/>
    </row>
    <row r="1315" spans="1:24">
      <c r="A1315" s="1"/>
      <c r="M1315" s="26"/>
      <c r="N1315" s="26"/>
      <c r="P1315" s="1"/>
      <c r="Q1315" s="1"/>
      <c r="R1315" s="1"/>
      <c r="S1315" s="1"/>
      <c r="T1315" s="1"/>
      <c r="U1315" s="1"/>
      <c r="V1315" s="1"/>
      <c r="W1315" s="1"/>
      <c r="X1315" s="1"/>
    </row>
    <row r="1316" spans="1:24">
      <c r="A1316" s="1"/>
      <c r="M1316" s="26"/>
      <c r="N1316" s="26"/>
      <c r="P1316" s="1"/>
      <c r="Q1316" s="1"/>
      <c r="R1316" s="1"/>
      <c r="S1316" s="1"/>
      <c r="T1316" s="1"/>
      <c r="U1316" s="1"/>
      <c r="V1316" s="1"/>
      <c r="W1316" s="1"/>
      <c r="X1316" s="1"/>
    </row>
    <row r="1317" spans="1:24">
      <c r="A1317" s="1"/>
      <c r="M1317" s="26"/>
      <c r="N1317" s="26"/>
      <c r="P1317" s="1"/>
      <c r="Q1317" s="1"/>
      <c r="R1317" s="1"/>
      <c r="S1317" s="1"/>
      <c r="T1317" s="1"/>
      <c r="U1317" s="1"/>
      <c r="V1317" s="1"/>
      <c r="W1317" s="1"/>
      <c r="X1317" s="1"/>
    </row>
    <row r="1318" spans="1:24">
      <c r="A1318" s="1"/>
      <c r="M1318" s="26"/>
      <c r="N1318" s="26"/>
      <c r="P1318" s="1"/>
      <c r="Q1318" s="1"/>
      <c r="R1318" s="1"/>
      <c r="S1318" s="1"/>
      <c r="T1318" s="1"/>
      <c r="U1318" s="1"/>
      <c r="V1318" s="1"/>
      <c r="W1318" s="1"/>
      <c r="X1318" s="1"/>
    </row>
    <row r="1319" spans="1:24">
      <c r="A1319" s="1"/>
      <c r="M1319" s="26"/>
      <c r="N1319" s="26"/>
      <c r="P1319" s="1"/>
      <c r="Q1319" s="1"/>
      <c r="R1319" s="1"/>
      <c r="S1319" s="1"/>
      <c r="T1319" s="1"/>
      <c r="U1319" s="1"/>
      <c r="V1319" s="1"/>
      <c r="W1319" s="1"/>
      <c r="X1319" s="1"/>
    </row>
    <row r="1320" spans="1:24">
      <c r="A1320" s="1"/>
      <c r="M1320" s="26"/>
      <c r="N1320" s="26"/>
      <c r="P1320" s="1"/>
      <c r="Q1320" s="1"/>
      <c r="R1320" s="1"/>
      <c r="S1320" s="1"/>
      <c r="T1320" s="1"/>
      <c r="U1320" s="1"/>
      <c r="V1320" s="1"/>
      <c r="W1320" s="1"/>
      <c r="X1320" s="1"/>
    </row>
    <row r="1321" spans="1:24">
      <c r="A1321" s="1"/>
      <c r="M1321" s="26"/>
      <c r="N1321" s="26"/>
      <c r="P1321" s="1"/>
      <c r="Q1321" s="1"/>
      <c r="R1321" s="1"/>
      <c r="S1321" s="1"/>
      <c r="T1321" s="1"/>
      <c r="U1321" s="1"/>
      <c r="V1321" s="1"/>
      <c r="W1321" s="1"/>
      <c r="X1321" s="1"/>
    </row>
    <row r="1322" spans="1:24">
      <c r="A1322" s="1"/>
      <c r="M1322" s="26"/>
      <c r="N1322" s="26"/>
      <c r="P1322" s="1"/>
      <c r="Q1322" s="1"/>
      <c r="R1322" s="1"/>
      <c r="S1322" s="1"/>
      <c r="T1322" s="1"/>
      <c r="U1322" s="1"/>
      <c r="V1322" s="1"/>
      <c r="W1322" s="1"/>
      <c r="X1322" s="1"/>
    </row>
    <row r="1323" spans="1:24">
      <c r="A1323" s="1"/>
      <c r="M1323" s="26"/>
      <c r="N1323" s="26"/>
      <c r="P1323" s="1"/>
      <c r="Q1323" s="1"/>
      <c r="R1323" s="1"/>
      <c r="S1323" s="1"/>
      <c r="T1323" s="1"/>
      <c r="U1323" s="1"/>
      <c r="V1323" s="1"/>
      <c r="W1323" s="1"/>
      <c r="X1323" s="1"/>
    </row>
    <row r="1324" spans="1:24">
      <c r="A1324" s="1"/>
      <c r="M1324" s="26"/>
      <c r="N1324" s="26"/>
      <c r="P1324" s="1"/>
      <c r="Q1324" s="1"/>
      <c r="R1324" s="1"/>
      <c r="S1324" s="1"/>
      <c r="T1324" s="1"/>
      <c r="U1324" s="1"/>
      <c r="V1324" s="1"/>
      <c r="W1324" s="1"/>
      <c r="X1324" s="1"/>
    </row>
    <row r="1325" spans="1:24">
      <c r="A1325" s="1"/>
      <c r="M1325" s="26"/>
      <c r="N1325" s="26"/>
      <c r="P1325" s="1"/>
      <c r="Q1325" s="1"/>
      <c r="R1325" s="1"/>
      <c r="S1325" s="1"/>
      <c r="T1325" s="1"/>
      <c r="U1325" s="1"/>
      <c r="V1325" s="1"/>
      <c r="W1325" s="1"/>
      <c r="X1325" s="1"/>
    </row>
    <row r="1326" spans="1:24">
      <c r="A1326" s="1"/>
      <c r="M1326" s="26"/>
      <c r="N1326" s="26"/>
      <c r="P1326" s="1"/>
      <c r="Q1326" s="1"/>
      <c r="R1326" s="1"/>
      <c r="S1326" s="1"/>
      <c r="T1326" s="1"/>
      <c r="U1326" s="1"/>
      <c r="V1326" s="1"/>
      <c r="W1326" s="1"/>
      <c r="X1326" s="1"/>
    </row>
    <row r="1327" spans="1:24">
      <c r="A1327" s="1"/>
      <c r="M1327" s="26"/>
      <c r="N1327" s="26"/>
      <c r="P1327" s="1"/>
      <c r="Q1327" s="1"/>
      <c r="R1327" s="1"/>
      <c r="S1327" s="1"/>
      <c r="T1327" s="1"/>
      <c r="U1327" s="1"/>
      <c r="V1327" s="1"/>
      <c r="W1327" s="1"/>
      <c r="X1327" s="1"/>
    </row>
    <row r="1328" spans="1:24">
      <c r="A1328" s="1"/>
      <c r="M1328" s="26"/>
      <c r="N1328" s="26"/>
      <c r="P1328" s="1"/>
      <c r="Q1328" s="1"/>
      <c r="R1328" s="1"/>
      <c r="S1328" s="1"/>
      <c r="T1328" s="1"/>
      <c r="U1328" s="1"/>
      <c r="V1328" s="1"/>
      <c r="W1328" s="1"/>
      <c r="X1328" s="1"/>
    </row>
    <row r="1329" spans="1:24">
      <c r="A1329" s="1"/>
      <c r="M1329" s="26"/>
      <c r="N1329" s="26"/>
      <c r="P1329" s="1"/>
      <c r="Q1329" s="1"/>
      <c r="R1329" s="1"/>
      <c r="S1329" s="1"/>
      <c r="T1329" s="1"/>
      <c r="U1329" s="1"/>
      <c r="V1329" s="1"/>
      <c r="W1329" s="1"/>
      <c r="X1329" s="1"/>
    </row>
    <row r="1330" spans="1:24">
      <c r="A1330" s="1"/>
      <c r="M1330" s="26"/>
      <c r="N1330" s="26"/>
      <c r="P1330" s="1"/>
      <c r="Q1330" s="1"/>
      <c r="R1330" s="1"/>
      <c r="S1330" s="1"/>
      <c r="T1330" s="1"/>
      <c r="U1330" s="1"/>
      <c r="V1330" s="1"/>
      <c r="W1330" s="1"/>
      <c r="X1330" s="1"/>
    </row>
    <row r="1331" spans="1:24">
      <c r="A1331" s="1"/>
      <c r="M1331" s="26"/>
      <c r="N1331" s="26"/>
      <c r="P1331" s="1"/>
      <c r="Q1331" s="1"/>
      <c r="R1331" s="1"/>
      <c r="S1331" s="1"/>
      <c r="T1331" s="1"/>
      <c r="U1331" s="1"/>
      <c r="V1331" s="1"/>
      <c r="W1331" s="1"/>
      <c r="X1331" s="1"/>
    </row>
    <row r="1332" spans="1:24">
      <c r="A1332" s="1"/>
      <c r="M1332" s="26"/>
      <c r="N1332" s="26"/>
      <c r="P1332" s="1"/>
      <c r="Q1332" s="1"/>
      <c r="R1332" s="1"/>
      <c r="S1332" s="1"/>
      <c r="T1332" s="1"/>
      <c r="U1332" s="1"/>
      <c r="V1332" s="1"/>
      <c r="W1332" s="1"/>
      <c r="X1332" s="1"/>
    </row>
    <row r="1333" spans="1:24">
      <c r="A1333" s="1"/>
      <c r="M1333" s="26"/>
      <c r="N1333" s="26"/>
      <c r="P1333" s="1"/>
      <c r="Q1333" s="1"/>
      <c r="R1333" s="1"/>
      <c r="S1333" s="1"/>
      <c r="T1333" s="1"/>
      <c r="U1333" s="1"/>
      <c r="V1333" s="1"/>
      <c r="W1333" s="1"/>
      <c r="X1333" s="1"/>
    </row>
    <row r="1334" spans="1:24">
      <c r="A1334" s="1"/>
      <c r="M1334" s="26"/>
      <c r="N1334" s="26"/>
      <c r="P1334" s="1"/>
      <c r="Q1334" s="1"/>
      <c r="R1334" s="1"/>
      <c r="S1334" s="1"/>
      <c r="T1334" s="1"/>
      <c r="U1334" s="1"/>
      <c r="V1334" s="1"/>
      <c r="W1334" s="1"/>
      <c r="X1334" s="1"/>
    </row>
    <row r="1335" spans="1:24">
      <c r="A1335" s="1"/>
      <c r="M1335" s="26"/>
      <c r="N1335" s="26"/>
      <c r="P1335" s="1"/>
      <c r="Q1335" s="1"/>
      <c r="R1335" s="1"/>
      <c r="S1335" s="1"/>
      <c r="T1335" s="1"/>
      <c r="U1335" s="1"/>
      <c r="V1335" s="1"/>
      <c r="W1335" s="1"/>
      <c r="X1335" s="1"/>
    </row>
    <row r="1336" spans="1:24">
      <c r="A1336" s="1"/>
      <c r="M1336" s="26"/>
      <c r="N1336" s="26"/>
      <c r="P1336" s="1"/>
      <c r="Q1336" s="1"/>
      <c r="R1336" s="1"/>
      <c r="S1336" s="1"/>
      <c r="T1336" s="1"/>
      <c r="U1336" s="1"/>
      <c r="V1336" s="1"/>
      <c r="W1336" s="1"/>
      <c r="X1336" s="1"/>
    </row>
    <row r="1337" spans="1:24">
      <c r="A1337" s="1"/>
      <c r="M1337" s="26"/>
      <c r="N1337" s="26"/>
      <c r="P1337" s="1"/>
      <c r="Q1337" s="1"/>
      <c r="R1337" s="1"/>
      <c r="S1337" s="1"/>
      <c r="T1337" s="1"/>
      <c r="U1337" s="1"/>
      <c r="V1337" s="1"/>
      <c r="W1337" s="1"/>
      <c r="X1337" s="1"/>
    </row>
    <row r="1338" spans="1:24">
      <c r="A1338" s="1"/>
      <c r="M1338" s="26"/>
      <c r="N1338" s="26"/>
      <c r="P1338" s="1"/>
      <c r="Q1338" s="1"/>
      <c r="R1338" s="1"/>
      <c r="S1338" s="1"/>
      <c r="T1338" s="1"/>
      <c r="U1338" s="1"/>
      <c r="V1338" s="1"/>
      <c r="W1338" s="1"/>
      <c r="X1338" s="1"/>
    </row>
    <row r="1339" spans="1:24">
      <c r="A1339" s="1"/>
      <c r="M1339" s="26"/>
      <c r="N1339" s="26"/>
      <c r="P1339" s="1"/>
      <c r="Q1339" s="1"/>
      <c r="R1339" s="1"/>
      <c r="S1339" s="1"/>
      <c r="T1339" s="1"/>
      <c r="U1339" s="1"/>
      <c r="V1339" s="1"/>
      <c r="W1339" s="1"/>
      <c r="X1339" s="1"/>
    </row>
    <row r="1340" spans="1:24">
      <c r="A1340" s="1"/>
      <c r="M1340" s="26"/>
      <c r="N1340" s="26"/>
      <c r="P1340" s="1"/>
      <c r="Q1340" s="1"/>
      <c r="R1340" s="1"/>
      <c r="S1340" s="1"/>
      <c r="T1340" s="1"/>
      <c r="U1340" s="1"/>
      <c r="V1340" s="1"/>
      <c r="W1340" s="1"/>
      <c r="X1340" s="1"/>
    </row>
    <row r="1341" spans="1:24">
      <c r="A1341" s="1"/>
      <c r="M1341" s="26"/>
      <c r="N1341" s="26"/>
      <c r="P1341" s="1"/>
      <c r="Q1341" s="1"/>
      <c r="R1341" s="1"/>
      <c r="S1341" s="1"/>
      <c r="T1341" s="1"/>
      <c r="U1341" s="1"/>
      <c r="V1341" s="1"/>
      <c r="W1341" s="1"/>
      <c r="X1341" s="1"/>
    </row>
    <row r="1342" spans="1:24">
      <c r="A1342" s="1"/>
      <c r="M1342" s="26"/>
      <c r="N1342" s="26"/>
      <c r="P1342" s="1"/>
      <c r="Q1342" s="1"/>
      <c r="R1342" s="1"/>
      <c r="S1342" s="1"/>
      <c r="T1342" s="1"/>
      <c r="U1342" s="1"/>
      <c r="V1342" s="1"/>
      <c r="W1342" s="1"/>
      <c r="X1342" s="1"/>
    </row>
    <row r="1343" spans="1:24">
      <c r="A1343" s="1"/>
      <c r="M1343" s="26"/>
      <c r="N1343" s="26"/>
      <c r="P1343" s="1"/>
      <c r="Q1343" s="1"/>
      <c r="R1343" s="1"/>
      <c r="S1343" s="1"/>
      <c r="T1343" s="1"/>
      <c r="U1343" s="1"/>
      <c r="V1343" s="1"/>
      <c r="W1343" s="1"/>
      <c r="X1343" s="1"/>
    </row>
    <row r="1344" spans="1:24">
      <c r="A1344" s="1"/>
      <c r="M1344" s="26"/>
      <c r="N1344" s="26"/>
      <c r="P1344" s="1"/>
      <c r="Q1344" s="1"/>
      <c r="R1344" s="1"/>
      <c r="S1344" s="1"/>
      <c r="T1344" s="1"/>
      <c r="U1344" s="1"/>
      <c r="V1344" s="1"/>
      <c r="W1344" s="1"/>
      <c r="X1344" s="1"/>
    </row>
    <row r="1345" spans="1:24">
      <c r="A1345" s="1"/>
      <c r="M1345" s="26"/>
      <c r="N1345" s="26"/>
      <c r="P1345" s="1"/>
      <c r="Q1345" s="1"/>
      <c r="R1345" s="1"/>
      <c r="S1345" s="1"/>
      <c r="T1345" s="1"/>
      <c r="U1345" s="1"/>
      <c r="V1345" s="1"/>
      <c r="W1345" s="1"/>
      <c r="X1345" s="1"/>
    </row>
    <row r="1346" spans="1:24">
      <c r="A1346" s="1"/>
      <c r="M1346" s="26"/>
      <c r="N1346" s="26"/>
      <c r="P1346" s="1"/>
      <c r="Q1346" s="1"/>
      <c r="R1346" s="1"/>
      <c r="S1346" s="1"/>
      <c r="T1346" s="1"/>
      <c r="U1346" s="1"/>
      <c r="V1346" s="1"/>
      <c r="W1346" s="1"/>
      <c r="X1346" s="1"/>
    </row>
    <row r="1347" spans="1:24">
      <c r="A1347" s="1"/>
      <c r="M1347" s="26"/>
      <c r="N1347" s="26"/>
      <c r="P1347" s="1"/>
      <c r="Q1347" s="1"/>
      <c r="R1347" s="1"/>
      <c r="S1347" s="1"/>
      <c r="T1347" s="1"/>
      <c r="U1347" s="1"/>
      <c r="V1347" s="1"/>
      <c r="W1347" s="1"/>
      <c r="X1347" s="1"/>
    </row>
    <row r="1348" spans="1:24">
      <c r="A1348" s="1"/>
      <c r="M1348" s="26"/>
      <c r="N1348" s="26"/>
      <c r="P1348" s="1"/>
      <c r="Q1348" s="1"/>
      <c r="R1348" s="1"/>
      <c r="S1348" s="1"/>
      <c r="T1348" s="1"/>
      <c r="U1348" s="1"/>
      <c r="V1348" s="1"/>
      <c r="W1348" s="1"/>
      <c r="X1348" s="1"/>
    </row>
    <row r="1349" spans="1:24">
      <c r="A1349" s="1"/>
      <c r="M1349" s="26"/>
      <c r="N1349" s="26"/>
      <c r="P1349" s="1"/>
      <c r="Q1349" s="1"/>
      <c r="R1349" s="1"/>
      <c r="S1349" s="1"/>
      <c r="T1349" s="1"/>
      <c r="U1349" s="1"/>
      <c r="V1349" s="1"/>
      <c r="W1349" s="1"/>
      <c r="X1349" s="1"/>
    </row>
    <row r="1350" spans="1:24">
      <c r="A1350" s="1"/>
      <c r="M1350" s="26"/>
      <c r="N1350" s="26"/>
      <c r="P1350" s="1"/>
      <c r="Q1350" s="1"/>
      <c r="R1350" s="1"/>
      <c r="S1350" s="1"/>
      <c r="T1350" s="1"/>
      <c r="U1350" s="1"/>
      <c r="V1350" s="1"/>
      <c r="W1350" s="1"/>
      <c r="X1350" s="1"/>
    </row>
    <row r="1351" spans="1:24">
      <c r="A1351" s="1"/>
      <c r="M1351" s="26"/>
      <c r="N1351" s="26"/>
      <c r="P1351" s="1"/>
      <c r="Q1351" s="1"/>
      <c r="R1351" s="1"/>
      <c r="S1351" s="1"/>
      <c r="T1351" s="1"/>
      <c r="U1351" s="1"/>
      <c r="V1351" s="1"/>
      <c r="W1351" s="1"/>
      <c r="X1351" s="1"/>
    </row>
    <row r="1352" spans="1:24">
      <c r="A1352" s="1"/>
      <c r="M1352" s="26"/>
      <c r="N1352" s="26"/>
      <c r="P1352" s="1"/>
      <c r="Q1352" s="1"/>
      <c r="R1352" s="1"/>
      <c r="S1352" s="1"/>
      <c r="T1352" s="1"/>
      <c r="U1352" s="1"/>
      <c r="V1352" s="1"/>
      <c r="W1352" s="1"/>
      <c r="X1352" s="1"/>
    </row>
    <row r="1353" spans="1:24">
      <c r="A1353" s="1"/>
      <c r="M1353" s="26"/>
      <c r="N1353" s="26"/>
      <c r="P1353" s="1"/>
      <c r="Q1353" s="1"/>
      <c r="R1353" s="1"/>
      <c r="S1353" s="1"/>
      <c r="T1353" s="1"/>
      <c r="U1353" s="1"/>
      <c r="V1353" s="1"/>
      <c r="W1353" s="1"/>
      <c r="X1353" s="1"/>
    </row>
    <row r="1354" spans="1:24">
      <c r="A1354" s="1"/>
      <c r="M1354" s="26"/>
      <c r="N1354" s="26"/>
      <c r="P1354" s="1"/>
      <c r="Q1354" s="1"/>
      <c r="R1354" s="1"/>
      <c r="S1354" s="1"/>
      <c r="T1354" s="1"/>
      <c r="U1354" s="1"/>
      <c r="V1354" s="1"/>
      <c r="W1354" s="1"/>
      <c r="X1354" s="1"/>
    </row>
    <row r="1355" spans="1:24">
      <c r="A1355" s="1"/>
      <c r="M1355" s="26"/>
      <c r="N1355" s="26"/>
      <c r="P1355" s="1"/>
      <c r="Q1355" s="1"/>
      <c r="R1355" s="1"/>
      <c r="S1355" s="1"/>
      <c r="T1355" s="1"/>
      <c r="U1355" s="1"/>
      <c r="V1355" s="1"/>
      <c r="W1355" s="1"/>
      <c r="X1355" s="1"/>
    </row>
    <row r="1356" spans="1:24">
      <c r="A1356" s="1"/>
      <c r="M1356" s="26"/>
      <c r="N1356" s="26"/>
      <c r="P1356" s="1"/>
      <c r="Q1356" s="1"/>
      <c r="R1356" s="1"/>
      <c r="S1356" s="1"/>
      <c r="T1356" s="1"/>
      <c r="U1356" s="1"/>
      <c r="V1356" s="1"/>
      <c r="W1356" s="1"/>
      <c r="X1356" s="1"/>
    </row>
    <row r="1357" spans="1:24">
      <c r="A1357" s="1"/>
      <c r="M1357" s="26"/>
      <c r="N1357" s="26"/>
      <c r="P1357" s="1"/>
      <c r="Q1357" s="1"/>
      <c r="R1357" s="1"/>
      <c r="S1357" s="1"/>
      <c r="T1357" s="1"/>
      <c r="U1357" s="1"/>
      <c r="V1357" s="1"/>
      <c r="W1357" s="1"/>
      <c r="X1357" s="1"/>
    </row>
    <row r="1358" spans="1:24">
      <c r="A1358" s="1"/>
      <c r="M1358" s="26"/>
      <c r="N1358" s="26"/>
      <c r="P1358" s="1"/>
      <c r="Q1358" s="1"/>
      <c r="R1358" s="1"/>
      <c r="S1358" s="1"/>
      <c r="T1358" s="1"/>
      <c r="U1358" s="1"/>
      <c r="V1358" s="1"/>
      <c r="W1358" s="1"/>
      <c r="X1358" s="1"/>
    </row>
    <row r="1359" spans="1:24">
      <c r="A1359" s="1"/>
      <c r="M1359" s="26"/>
      <c r="N1359" s="26"/>
      <c r="P1359" s="1"/>
      <c r="Q1359" s="1"/>
      <c r="R1359" s="1"/>
      <c r="S1359" s="1"/>
      <c r="T1359" s="1"/>
      <c r="U1359" s="1"/>
      <c r="V1359" s="1"/>
      <c r="W1359" s="1"/>
      <c r="X1359" s="1"/>
    </row>
    <row r="1360" spans="1:24">
      <c r="A1360" s="1"/>
      <c r="M1360" s="26"/>
      <c r="N1360" s="26"/>
      <c r="P1360" s="1"/>
      <c r="Q1360" s="1"/>
      <c r="R1360" s="1"/>
      <c r="S1360" s="1"/>
      <c r="T1360" s="1"/>
      <c r="U1360" s="1"/>
      <c r="V1360" s="1"/>
      <c r="W1360" s="1"/>
      <c r="X1360" s="1"/>
    </row>
    <row r="1361" spans="1:24">
      <c r="A1361" s="1"/>
      <c r="M1361" s="26"/>
      <c r="N1361" s="26"/>
      <c r="P1361" s="1"/>
      <c r="Q1361" s="1"/>
      <c r="R1361" s="1"/>
      <c r="S1361" s="1"/>
      <c r="T1361" s="1"/>
      <c r="U1361" s="1"/>
      <c r="V1361" s="1"/>
      <c r="W1361" s="1"/>
      <c r="X1361" s="1"/>
    </row>
    <row r="1362" spans="1:24">
      <c r="A1362" s="1"/>
      <c r="M1362" s="26"/>
      <c r="N1362" s="26"/>
      <c r="P1362" s="1"/>
      <c r="Q1362" s="1"/>
      <c r="R1362" s="1"/>
      <c r="S1362" s="1"/>
      <c r="T1362" s="1"/>
      <c r="U1362" s="1"/>
      <c r="V1362" s="1"/>
      <c r="W1362" s="1"/>
      <c r="X1362" s="1"/>
    </row>
    <row r="1363" spans="1:24">
      <c r="A1363" s="1"/>
      <c r="M1363" s="26"/>
      <c r="N1363" s="26"/>
      <c r="P1363" s="1"/>
      <c r="Q1363" s="1"/>
      <c r="R1363" s="1"/>
      <c r="S1363" s="1"/>
      <c r="T1363" s="1"/>
      <c r="U1363" s="1"/>
      <c r="V1363" s="1"/>
      <c r="W1363" s="1"/>
      <c r="X1363" s="1"/>
    </row>
    <row r="1364" spans="1:24">
      <c r="A1364" s="1"/>
      <c r="M1364" s="26"/>
      <c r="N1364" s="26"/>
      <c r="P1364" s="1"/>
      <c r="Q1364" s="1"/>
      <c r="R1364" s="1"/>
      <c r="S1364" s="1"/>
      <c r="T1364" s="1"/>
      <c r="U1364" s="1"/>
      <c r="V1364" s="1"/>
      <c r="W1364" s="1"/>
      <c r="X1364" s="1"/>
    </row>
    <row r="1365" spans="1:24">
      <c r="A1365" s="1"/>
      <c r="M1365" s="26"/>
      <c r="N1365" s="26"/>
      <c r="P1365" s="1"/>
      <c r="Q1365" s="1"/>
      <c r="R1365" s="1"/>
      <c r="S1365" s="1"/>
      <c r="T1365" s="1"/>
      <c r="U1365" s="1"/>
      <c r="V1365" s="1"/>
      <c r="W1365" s="1"/>
      <c r="X1365" s="1"/>
    </row>
    <row r="1366" spans="1:24">
      <c r="A1366" s="1"/>
      <c r="M1366" s="26"/>
      <c r="N1366" s="26"/>
      <c r="P1366" s="1"/>
      <c r="Q1366" s="1"/>
      <c r="R1366" s="1"/>
      <c r="S1366" s="1"/>
      <c r="T1366" s="1"/>
      <c r="U1366" s="1"/>
      <c r="V1366" s="1"/>
      <c r="W1366" s="1"/>
      <c r="X1366" s="1"/>
    </row>
    <row r="1367" spans="1:24">
      <c r="A1367" s="1"/>
      <c r="M1367" s="26"/>
      <c r="N1367" s="26"/>
      <c r="P1367" s="1"/>
      <c r="Q1367" s="1"/>
      <c r="R1367" s="1"/>
      <c r="S1367" s="1"/>
      <c r="T1367" s="1"/>
      <c r="U1367" s="1"/>
      <c r="V1367" s="1"/>
      <c r="W1367" s="1"/>
      <c r="X1367" s="1"/>
    </row>
    <row r="1368" spans="1:24">
      <c r="A1368" s="1"/>
      <c r="M1368" s="26"/>
      <c r="N1368" s="26"/>
      <c r="P1368" s="1"/>
      <c r="Q1368" s="1"/>
      <c r="R1368" s="1"/>
      <c r="S1368" s="1"/>
      <c r="T1368" s="1"/>
      <c r="U1368" s="1"/>
      <c r="V1368" s="1"/>
      <c r="W1368" s="1"/>
      <c r="X1368" s="1"/>
    </row>
    <row r="1369" spans="1:24">
      <c r="A1369" s="1"/>
      <c r="M1369" s="26"/>
      <c r="N1369" s="26"/>
      <c r="P1369" s="1"/>
      <c r="Q1369" s="1"/>
      <c r="R1369" s="1"/>
      <c r="S1369" s="1"/>
      <c r="T1369" s="1"/>
      <c r="U1369" s="1"/>
      <c r="V1369" s="1"/>
      <c r="W1369" s="1"/>
      <c r="X1369" s="1"/>
    </row>
    <row r="1370" spans="1:24">
      <c r="A1370" s="1"/>
      <c r="M1370" s="26"/>
      <c r="N1370" s="26"/>
      <c r="P1370" s="1"/>
      <c r="Q1370" s="1"/>
      <c r="R1370" s="1"/>
      <c r="S1370" s="1"/>
      <c r="T1370" s="1"/>
      <c r="U1370" s="1"/>
      <c r="V1370" s="1"/>
      <c r="W1370" s="1"/>
      <c r="X1370" s="1"/>
    </row>
    <row r="1371" spans="1:24">
      <c r="A1371" s="1"/>
      <c r="M1371" s="26"/>
      <c r="N1371" s="26"/>
      <c r="P1371" s="1"/>
      <c r="Q1371" s="1"/>
      <c r="R1371" s="1"/>
      <c r="S1371" s="1"/>
      <c r="T1371" s="1"/>
      <c r="U1371" s="1"/>
      <c r="V1371" s="1"/>
      <c r="W1371" s="1"/>
      <c r="X1371" s="1"/>
    </row>
    <row r="1372" spans="1:24">
      <c r="A1372" s="1"/>
      <c r="M1372" s="26"/>
      <c r="N1372" s="26"/>
      <c r="P1372" s="1"/>
      <c r="Q1372" s="1"/>
      <c r="R1372" s="1"/>
      <c r="S1372" s="1"/>
      <c r="T1372" s="1"/>
      <c r="U1372" s="1"/>
      <c r="V1372" s="1"/>
      <c r="W1372" s="1"/>
      <c r="X1372" s="1"/>
    </row>
    <row r="1373" spans="1:24">
      <c r="A1373" s="1"/>
      <c r="M1373" s="26"/>
      <c r="N1373" s="26"/>
      <c r="P1373" s="1"/>
      <c r="Q1373" s="1"/>
      <c r="R1373" s="1"/>
      <c r="S1373" s="1"/>
      <c r="T1373" s="1"/>
      <c r="U1373" s="1"/>
      <c r="V1373" s="1"/>
      <c r="W1373" s="1"/>
      <c r="X1373" s="1"/>
    </row>
    <row r="1374" spans="1:24">
      <c r="A1374" s="1"/>
      <c r="M1374" s="26"/>
      <c r="N1374" s="26"/>
      <c r="P1374" s="1"/>
      <c r="Q1374" s="1"/>
      <c r="R1374" s="1"/>
      <c r="S1374" s="1"/>
      <c r="T1374" s="1"/>
      <c r="U1374" s="1"/>
      <c r="V1374" s="1"/>
      <c r="W1374" s="1"/>
      <c r="X1374" s="1"/>
    </row>
    <row r="1375" spans="1:24">
      <c r="A1375" s="1"/>
      <c r="M1375" s="26"/>
      <c r="N1375" s="26"/>
      <c r="P1375" s="1"/>
      <c r="Q1375" s="1"/>
      <c r="R1375" s="1"/>
      <c r="S1375" s="1"/>
      <c r="T1375" s="1"/>
      <c r="U1375" s="1"/>
      <c r="V1375" s="1"/>
      <c r="W1375" s="1"/>
      <c r="X1375" s="1"/>
    </row>
    <row r="1376" spans="1:24">
      <c r="A1376" s="1"/>
      <c r="M1376" s="26"/>
      <c r="N1376" s="26"/>
      <c r="P1376" s="1"/>
      <c r="Q1376" s="1"/>
      <c r="R1376" s="1"/>
      <c r="S1376" s="1"/>
      <c r="T1376" s="1"/>
      <c r="U1376" s="1"/>
      <c r="V1376" s="1"/>
      <c r="W1376" s="1"/>
      <c r="X1376" s="1"/>
    </row>
    <row r="1377" spans="1:24">
      <c r="A1377" s="1"/>
      <c r="M1377" s="26"/>
      <c r="N1377" s="26"/>
      <c r="P1377" s="1"/>
      <c r="Q1377" s="1"/>
      <c r="R1377" s="1"/>
      <c r="S1377" s="1"/>
      <c r="T1377" s="1"/>
      <c r="U1377" s="1"/>
      <c r="V1377" s="1"/>
      <c r="W1377" s="1"/>
      <c r="X1377" s="1"/>
    </row>
    <row r="1378" spans="1:24">
      <c r="A1378" s="1"/>
      <c r="M1378" s="26"/>
      <c r="N1378" s="26"/>
      <c r="P1378" s="1"/>
      <c r="Q1378" s="1"/>
      <c r="R1378" s="1"/>
      <c r="S1378" s="1"/>
      <c r="T1378" s="1"/>
      <c r="U1378" s="1"/>
      <c r="V1378" s="1"/>
      <c r="W1378" s="1"/>
      <c r="X1378" s="1"/>
    </row>
    <row r="1379" spans="1:24">
      <c r="A1379" s="1"/>
      <c r="M1379" s="26"/>
      <c r="N1379" s="26"/>
      <c r="P1379" s="1"/>
      <c r="Q1379" s="1"/>
      <c r="R1379" s="1"/>
      <c r="S1379" s="1"/>
      <c r="T1379" s="1"/>
      <c r="U1379" s="1"/>
      <c r="V1379" s="1"/>
      <c r="W1379" s="1"/>
      <c r="X1379" s="1"/>
    </row>
    <row r="1380" spans="1:24">
      <c r="A1380" s="1"/>
      <c r="M1380" s="26"/>
      <c r="N1380" s="26"/>
      <c r="P1380" s="1"/>
      <c r="Q1380" s="1"/>
      <c r="R1380" s="1"/>
      <c r="S1380" s="1"/>
      <c r="T1380" s="1"/>
      <c r="U1380" s="1"/>
      <c r="V1380" s="1"/>
      <c r="W1380" s="1"/>
      <c r="X1380" s="1"/>
    </row>
    <row r="1381" spans="1:24">
      <c r="A1381" s="1"/>
      <c r="M1381" s="26"/>
      <c r="N1381" s="26"/>
      <c r="P1381" s="1"/>
      <c r="Q1381" s="1"/>
      <c r="R1381" s="1"/>
      <c r="S1381" s="1"/>
      <c r="T1381" s="1"/>
      <c r="U1381" s="1"/>
      <c r="V1381" s="1"/>
      <c r="W1381" s="1"/>
      <c r="X1381" s="1"/>
    </row>
    <row r="1382" spans="1:24">
      <c r="A1382" s="1"/>
      <c r="M1382" s="26"/>
      <c r="N1382" s="26"/>
      <c r="P1382" s="1"/>
      <c r="Q1382" s="1"/>
      <c r="R1382" s="1"/>
      <c r="S1382" s="1"/>
      <c r="T1382" s="1"/>
      <c r="U1382" s="1"/>
      <c r="V1382" s="1"/>
      <c r="W1382" s="1"/>
      <c r="X1382" s="1"/>
    </row>
    <row r="1383" spans="1:24">
      <c r="A1383" s="1"/>
      <c r="M1383" s="26"/>
      <c r="N1383" s="26"/>
      <c r="P1383" s="1"/>
      <c r="Q1383" s="1"/>
      <c r="R1383" s="1"/>
      <c r="S1383" s="1"/>
      <c r="T1383" s="1"/>
      <c r="U1383" s="1"/>
      <c r="V1383" s="1"/>
      <c r="W1383" s="1"/>
      <c r="X1383" s="1"/>
    </row>
    <row r="1384" spans="1:24">
      <c r="A1384" s="1"/>
      <c r="M1384" s="26"/>
      <c r="N1384" s="26"/>
      <c r="P1384" s="1"/>
      <c r="Q1384" s="1"/>
      <c r="R1384" s="1"/>
      <c r="S1384" s="1"/>
      <c r="T1384" s="1"/>
      <c r="U1384" s="1"/>
      <c r="V1384" s="1"/>
      <c r="W1384" s="1"/>
      <c r="X1384" s="1"/>
    </row>
    <row r="1385" spans="1:24">
      <c r="A1385" s="1"/>
      <c r="M1385" s="26"/>
      <c r="N1385" s="26"/>
      <c r="P1385" s="1"/>
      <c r="Q1385" s="1"/>
      <c r="R1385" s="1"/>
      <c r="S1385" s="1"/>
      <c r="T1385" s="1"/>
      <c r="U1385" s="1"/>
      <c r="V1385" s="1"/>
      <c r="W1385" s="1"/>
      <c r="X1385" s="1"/>
    </row>
    <row r="1386" spans="1:24">
      <c r="A1386" s="1"/>
      <c r="M1386" s="26"/>
      <c r="N1386" s="26"/>
      <c r="P1386" s="1"/>
      <c r="Q1386" s="1"/>
      <c r="R1386" s="1"/>
      <c r="S1386" s="1"/>
      <c r="T1386" s="1"/>
      <c r="U1386" s="1"/>
      <c r="V1386" s="1"/>
      <c r="W1386" s="1"/>
      <c r="X1386" s="1"/>
    </row>
    <row r="1387" spans="1:24">
      <c r="A1387" s="1"/>
      <c r="M1387" s="26"/>
      <c r="N1387" s="26"/>
      <c r="P1387" s="1"/>
      <c r="Q1387" s="1"/>
      <c r="R1387" s="1"/>
      <c r="S1387" s="1"/>
      <c r="T1387" s="1"/>
      <c r="U1387" s="1"/>
      <c r="V1387" s="1"/>
      <c r="W1387" s="1"/>
      <c r="X1387" s="1"/>
    </row>
    <row r="1388" spans="1:24">
      <c r="A1388" s="1"/>
      <c r="M1388" s="26"/>
      <c r="N1388" s="26"/>
      <c r="P1388" s="1"/>
      <c r="Q1388" s="1"/>
      <c r="R1388" s="1"/>
      <c r="S1388" s="1"/>
      <c r="T1388" s="1"/>
      <c r="U1388" s="1"/>
      <c r="V1388" s="1"/>
      <c r="W1388" s="1"/>
      <c r="X1388" s="1"/>
    </row>
    <row r="1389" spans="1:24">
      <c r="A1389" s="1"/>
      <c r="M1389" s="26"/>
      <c r="N1389" s="26"/>
      <c r="P1389" s="1"/>
      <c r="Q1389" s="1"/>
      <c r="R1389" s="1"/>
      <c r="S1389" s="1"/>
      <c r="T1389" s="1"/>
      <c r="U1389" s="1"/>
      <c r="V1389" s="1"/>
      <c r="W1389" s="1"/>
      <c r="X1389" s="1"/>
    </row>
    <row r="1390" spans="1:24">
      <c r="A1390" s="1"/>
      <c r="M1390" s="26"/>
      <c r="N1390" s="26"/>
      <c r="P1390" s="1"/>
      <c r="Q1390" s="1"/>
      <c r="R1390" s="1"/>
      <c r="S1390" s="1"/>
      <c r="T1390" s="1"/>
      <c r="U1390" s="1"/>
      <c r="V1390" s="1"/>
      <c r="W1390" s="1"/>
      <c r="X1390" s="1"/>
    </row>
    <row r="1391" spans="1:24">
      <c r="A1391" s="1"/>
      <c r="M1391" s="26"/>
      <c r="N1391" s="26"/>
      <c r="P1391" s="1"/>
      <c r="Q1391" s="1"/>
      <c r="R1391" s="1"/>
      <c r="S1391" s="1"/>
      <c r="T1391" s="1"/>
      <c r="U1391" s="1"/>
      <c r="V1391" s="1"/>
      <c r="W1391" s="1"/>
      <c r="X1391" s="1"/>
    </row>
    <row r="1392" spans="1:24">
      <c r="A1392" s="1"/>
      <c r="M1392" s="26"/>
      <c r="N1392" s="26"/>
      <c r="P1392" s="1"/>
      <c r="Q1392" s="1"/>
      <c r="R1392" s="1"/>
      <c r="S1392" s="1"/>
      <c r="T1392" s="1"/>
      <c r="U1392" s="1"/>
      <c r="V1392" s="1"/>
      <c r="W1392" s="1"/>
      <c r="X1392" s="1"/>
    </row>
    <row r="1393" spans="1:24">
      <c r="A1393" s="1"/>
      <c r="M1393" s="26"/>
      <c r="N1393" s="26"/>
      <c r="P1393" s="1"/>
      <c r="Q1393" s="1"/>
      <c r="R1393" s="1"/>
      <c r="S1393" s="1"/>
      <c r="T1393" s="1"/>
      <c r="U1393" s="1"/>
      <c r="V1393" s="1"/>
      <c r="W1393" s="1"/>
      <c r="X1393" s="1"/>
    </row>
    <row r="1394" spans="1:24">
      <c r="A1394" s="1"/>
      <c r="M1394" s="26"/>
      <c r="N1394" s="26"/>
      <c r="P1394" s="1"/>
      <c r="Q1394" s="1"/>
      <c r="R1394" s="1"/>
      <c r="S1394" s="1"/>
      <c r="T1394" s="1"/>
      <c r="U1394" s="1"/>
      <c r="V1394" s="1"/>
      <c r="W1394" s="1"/>
      <c r="X1394" s="1"/>
    </row>
    <row r="1395" spans="1:24">
      <c r="A1395" s="1"/>
      <c r="M1395" s="26"/>
      <c r="N1395" s="26"/>
      <c r="P1395" s="1"/>
      <c r="Q1395" s="1"/>
      <c r="R1395" s="1"/>
      <c r="S1395" s="1"/>
      <c r="T1395" s="1"/>
      <c r="U1395" s="1"/>
      <c r="V1395" s="1"/>
      <c r="W1395" s="1"/>
      <c r="X1395" s="1"/>
    </row>
    <row r="1396" spans="1:24">
      <c r="A1396" s="1"/>
      <c r="M1396" s="26"/>
      <c r="N1396" s="26"/>
      <c r="P1396" s="1"/>
      <c r="Q1396" s="1"/>
      <c r="R1396" s="1"/>
      <c r="S1396" s="1"/>
      <c r="T1396" s="1"/>
      <c r="U1396" s="1"/>
      <c r="V1396" s="1"/>
      <c r="W1396" s="1"/>
      <c r="X1396" s="1"/>
    </row>
    <row r="1397" spans="1:24">
      <c r="A1397" s="1"/>
      <c r="M1397" s="26"/>
      <c r="N1397" s="26"/>
      <c r="P1397" s="1"/>
      <c r="Q1397" s="1"/>
      <c r="R1397" s="1"/>
      <c r="S1397" s="1"/>
      <c r="T1397" s="1"/>
      <c r="U1397" s="1"/>
      <c r="V1397" s="1"/>
      <c r="W1397" s="1"/>
      <c r="X1397" s="1"/>
    </row>
    <row r="1398" spans="1:24">
      <c r="A1398" s="1"/>
      <c r="M1398" s="26"/>
      <c r="N1398" s="26"/>
      <c r="P1398" s="1"/>
      <c r="Q1398" s="1"/>
      <c r="R1398" s="1"/>
      <c r="S1398" s="1"/>
      <c r="T1398" s="1"/>
      <c r="U1398" s="1"/>
      <c r="V1398" s="1"/>
      <c r="W1398" s="1"/>
      <c r="X1398" s="1"/>
    </row>
    <row r="1399" spans="1:24">
      <c r="A1399" s="1"/>
      <c r="M1399" s="26"/>
      <c r="N1399" s="26"/>
      <c r="P1399" s="1"/>
      <c r="Q1399" s="1"/>
      <c r="R1399" s="1"/>
      <c r="S1399" s="1"/>
      <c r="T1399" s="1"/>
      <c r="U1399" s="1"/>
      <c r="V1399" s="1"/>
      <c r="W1399" s="1"/>
      <c r="X1399" s="1"/>
    </row>
    <row r="1400" spans="1:24">
      <c r="A1400" s="1"/>
      <c r="M1400" s="26"/>
      <c r="N1400" s="26"/>
      <c r="P1400" s="1"/>
      <c r="Q1400" s="1"/>
      <c r="R1400" s="1"/>
      <c r="S1400" s="1"/>
      <c r="T1400" s="1"/>
      <c r="U1400" s="1"/>
      <c r="V1400" s="1"/>
      <c r="W1400" s="1"/>
      <c r="X1400" s="1"/>
    </row>
    <row r="1401" spans="1:24">
      <c r="A1401" s="1"/>
      <c r="M1401" s="26"/>
      <c r="N1401" s="26"/>
      <c r="P1401" s="1"/>
      <c r="Q1401" s="1"/>
      <c r="R1401" s="1"/>
      <c r="S1401" s="1"/>
      <c r="T1401" s="1"/>
      <c r="U1401" s="1"/>
      <c r="V1401" s="1"/>
      <c r="W1401" s="1"/>
      <c r="X1401" s="1"/>
    </row>
    <row r="1402" spans="1:24">
      <c r="A1402" s="1"/>
      <c r="M1402" s="26"/>
      <c r="N1402" s="26"/>
      <c r="P1402" s="1"/>
      <c r="Q1402" s="1"/>
      <c r="R1402" s="1"/>
      <c r="S1402" s="1"/>
      <c r="T1402" s="1"/>
      <c r="U1402" s="1"/>
      <c r="V1402" s="1"/>
      <c r="W1402" s="1"/>
      <c r="X1402" s="1"/>
    </row>
    <row r="1403" spans="1:24">
      <c r="A1403" s="1"/>
      <c r="M1403" s="26"/>
      <c r="N1403" s="26"/>
      <c r="P1403" s="1"/>
      <c r="Q1403" s="1"/>
      <c r="R1403" s="1"/>
      <c r="S1403" s="1"/>
      <c r="T1403" s="1"/>
      <c r="U1403" s="1"/>
      <c r="V1403" s="1"/>
      <c r="W1403" s="1"/>
      <c r="X1403" s="1"/>
    </row>
    <row r="1404" spans="1:24">
      <c r="A1404" s="1"/>
      <c r="M1404" s="26"/>
      <c r="N1404" s="26"/>
      <c r="P1404" s="1"/>
      <c r="Q1404" s="1"/>
      <c r="R1404" s="1"/>
      <c r="S1404" s="1"/>
      <c r="T1404" s="1"/>
      <c r="U1404" s="1"/>
      <c r="V1404" s="1"/>
      <c r="W1404" s="1"/>
      <c r="X1404" s="1"/>
    </row>
    <row r="1405" spans="1:24">
      <c r="A1405" s="1"/>
      <c r="M1405" s="26"/>
      <c r="N1405" s="26"/>
      <c r="P1405" s="1"/>
      <c r="Q1405" s="1"/>
      <c r="R1405" s="1"/>
      <c r="S1405" s="1"/>
      <c r="T1405" s="1"/>
      <c r="U1405" s="1"/>
      <c r="V1405" s="1"/>
      <c r="W1405" s="1"/>
      <c r="X1405" s="1"/>
    </row>
    <row r="1406" spans="1:24">
      <c r="A1406" s="1"/>
      <c r="M1406" s="26"/>
      <c r="N1406" s="26"/>
      <c r="P1406" s="1"/>
      <c r="Q1406" s="1"/>
      <c r="R1406" s="1"/>
      <c r="S1406" s="1"/>
      <c r="T1406" s="1"/>
      <c r="U1406" s="1"/>
      <c r="V1406" s="1"/>
      <c r="W1406" s="1"/>
      <c r="X1406" s="1"/>
    </row>
    <row r="1407" spans="1:24">
      <c r="A1407" s="1"/>
      <c r="M1407" s="26"/>
      <c r="N1407" s="26"/>
      <c r="P1407" s="1"/>
      <c r="Q1407" s="1"/>
      <c r="R1407" s="1"/>
      <c r="S1407" s="1"/>
      <c r="T1407" s="1"/>
      <c r="U1407" s="1"/>
      <c r="V1407" s="1"/>
      <c r="W1407" s="1"/>
      <c r="X1407" s="1"/>
    </row>
    <row r="1408" spans="1:24">
      <c r="A1408" s="1"/>
      <c r="M1408" s="26"/>
      <c r="N1408" s="26"/>
      <c r="P1408" s="1"/>
      <c r="Q1408" s="1"/>
      <c r="R1408" s="1"/>
      <c r="S1408" s="1"/>
      <c r="T1408" s="1"/>
      <c r="U1408" s="1"/>
      <c r="V1408" s="1"/>
      <c r="W1408" s="1"/>
      <c r="X1408" s="1"/>
    </row>
    <row r="1409" spans="1:24">
      <c r="A1409" s="1"/>
      <c r="M1409" s="26"/>
      <c r="N1409" s="26"/>
      <c r="P1409" s="1"/>
      <c r="Q1409" s="1"/>
      <c r="R1409" s="1"/>
      <c r="S1409" s="1"/>
      <c r="T1409" s="1"/>
      <c r="U1409" s="1"/>
      <c r="V1409" s="1"/>
      <c r="W1409" s="1"/>
      <c r="X1409" s="1"/>
    </row>
    <row r="1410" spans="1:24">
      <c r="A1410" s="1"/>
      <c r="M1410" s="26"/>
      <c r="N1410" s="26"/>
      <c r="P1410" s="1"/>
      <c r="Q1410" s="1"/>
      <c r="R1410" s="1"/>
      <c r="S1410" s="1"/>
      <c r="T1410" s="1"/>
      <c r="U1410" s="1"/>
      <c r="V1410" s="1"/>
      <c r="W1410" s="1"/>
      <c r="X1410" s="1"/>
    </row>
    <row r="1411" spans="1:24">
      <c r="A1411" s="1"/>
      <c r="M1411" s="26"/>
      <c r="N1411" s="26"/>
      <c r="P1411" s="1"/>
      <c r="Q1411" s="1"/>
      <c r="R1411" s="1"/>
      <c r="S1411" s="1"/>
      <c r="T1411" s="1"/>
      <c r="U1411" s="1"/>
      <c r="V1411" s="1"/>
      <c r="W1411" s="1"/>
      <c r="X1411" s="1"/>
    </row>
    <row r="1412" spans="1:24">
      <c r="A1412" s="1"/>
      <c r="M1412" s="26"/>
      <c r="N1412" s="26"/>
      <c r="P1412" s="1"/>
      <c r="Q1412" s="1"/>
      <c r="R1412" s="1"/>
      <c r="S1412" s="1"/>
      <c r="T1412" s="1"/>
      <c r="U1412" s="1"/>
      <c r="V1412" s="1"/>
      <c r="W1412" s="1"/>
      <c r="X1412" s="1"/>
    </row>
    <row r="1413" spans="1:24">
      <c r="A1413" s="1"/>
      <c r="M1413" s="26"/>
      <c r="N1413" s="26"/>
      <c r="P1413" s="1"/>
      <c r="Q1413" s="1"/>
      <c r="R1413" s="1"/>
      <c r="S1413" s="1"/>
      <c r="T1413" s="1"/>
      <c r="U1413" s="1"/>
      <c r="V1413" s="1"/>
      <c r="W1413" s="1"/>
      <c r="X1413" s="1"/>
    </row>
    <row r="1414" spans="1:24">
      <c r="A1414" s="1"/>
      <c r="M1414" s="26"/>
      <c r="N1414" s="26"/>
      <c r="P1414" s="1"/>
      <c r="Q1414" s="1"/>
      <c r="R1414" s="1"/>
      <c r="S1414" s="1"/>
      <c r="T1414" s="1"/>
      <c r="U1414" s="1"/>
      <c r="V1414" s="1"/>
      <c r="W1414" s="1"/>
      <c r="X1414" s="1"/>
    </row>
    <row r="1415" spans="1:24">
      <c r="A1415" s="1"/>
      <c r="M1415" s="26"/>
      <c r="N1415" s="26"/>
      <c r="P1415" s="1"/>
      <c r="Q1415" s="1"/>
      <c r="R1415" s="1"/>
      <c r="S1415" s="1"/>
      <c r="T1415" s="1"/>
      <c r="U1415" s="1"/>
      <c r="V1415" s="1"/>
      <c r="W1415" s="1"/>
      <c r="X1415" s="1"/>
    </row>
    <row r="1416" spans="1:24">
      <c r="A1416" s="1"/>
      <c r="M1416" s="26"/>
      <c r="N1416" s="26"/>
      <c r="P1416" s="1"/>
      <c r="Q1416" s="1"/>
      <c r="R1416" s="1"/>
      <c r="S1416" s="1"/>
      <c r="T1416" s="1"/>
      <c r="U1416" s="1"/>
      <c r="V1416" s="1"/>
      <c r="W1416" s="1"/>
      <c r="X1416" s="1"/>
    </row>
    <row r="1417" spans="1:24">
      <c r="A1417" s="1"/>
      <c r="M1417" s="26"/>
      <c r="N1417" s="26"/>
      <c r="P1417" s="1"/>
      <c r="Q1417" s="1"/>
      <c r="R1417" s="1"/>
      <c r="S1417" s="1"/>
      <c r="T1417" s="1"/>
      <c r="U1417" s="1"/>
      <c r="V1417" s="1"/>
      <c r="W1417" s="1"/>
      <c r="X1417" s="1"/>
    </row>
    <row r="1418" spans="1:24">
      <c r="A1418" s="1"/>
      <c r="M1418" s="26"/>
      <c r="N1418" s="26"/>
      <c r="P1418" s="1"/>
      <c r="Q1418" s="1"/>
      <c r="R1418" s="1"/>
      <c r="S1418" s="1"/>
      <c r="T1418" s="1"/>
      <c r="U1418" s="1"/>
      <c r="V1418" s="1"/>
      <c r="W1418" s="1"/>
      <c r="X1418" s="1"/>
    </row>
    <row r="1419" spans="1:24">
      <c r="A1419" s="1"/>
      <c r="M1419" s="26"/>
      <c r="N1419" s="26"/>
      <c r="P1419" s="1"/>
      <c r="Q1419" s="1"/>
      <c r="R1419" s="1"/>
      <c r="S1419" s="1"/>
      <c r="T1419" s="1"/>
      <c r="U1419" s="1"/>
      <c r="V1419" s="1"/>
      <c r="W1419" s="1"/>
      <c r="X1419" s="1"/>
    </row>
    <row r="1420" spans="1:24">
      <c r="A1420" s="1"/>
      <c r="M1420" s="26"/>
      <c r="N1420" s="26"/>
      <c r="P1420" s="1"/>
      <c r="Q1420" s="1"/>
      <c r="R1420" s="1"/>
      <c r="S1420" s="1"/>
      <c r="T1420" s="1"/>
      <c r="U1420" s="1"/>
      <c r="V1420" s="1"/>
      <c r="W1420" s="1"/>
      <c r="X1420" s="1"/>
    </row>
    <row r="1421" spans="1:24">
      <c r="A1421" s="1"/>
      <c r="M1421" s="26"/>
      <c r="N1421" s="26"/>
      <c r="P1421" s="1"/>
      <c r="Q1421" s="1"/>
      <c r="R1421" s="1"/>
      <c r="S1421" s="1"/>
      <c r="T1421" s="1"/>
      <c r="U1421" s="1"/>
      <c r="V1421" s="1"/>
      <c r="W1421" s="1"/>
      <c r="X1421" s="1"/>
    </row>
    <row r="1422" spans="1:24">
      <c r="A1422" s="1"/>
      <c r="M1422" s="26"/>
      <c r="N1422" s="26"/>
      <c r="P1422" s="1"/>
      <c r="Q1422" s="1"/>
      <c r="R1422" s="1"/>
      <c r="S1422" s="1"/>
      <c r="T1422" s="1"/>
      <c r="U1422" s="1"/>
      <c r="V1422" s="1"/>
      <c r="W1422" s="1"/>
      <c r="X1422" s="1"/>
    </row>
    <row r="1423" spans="1:24">
      <c r="A1423" s="1"/>
      <c r="M1423" s="26"/>
      <c r="N1423" s="26"/>
      <c r="P1423" s="1"/>
      <c r="Q1423" s="1"/>
      <c r="R1423" s="1"/>
      <c r="S1423" s="1"/>
      <c r="T1423" s="1"/>
      <c r="U1423" s="1"/>
      <c r="V1423" s="1"/>
      <c r="W1423" s="1"/>
      <c r="X1423" s="1"/>
    </row>
    <row r="1424" spans="1:24">
      <c r="A1424" s="1"/>
      <c r="M1424" s="26"/>
      <c r="N1424" s="26"/>
      <c r="P1424" s="1"/>
      <c r="Q1424" s="1"/>
      <c r="R1424" s="1"/>
      <c r="S1424" s="1"/>
      <c r="T1424" s="1"/>
      <c r="U1424" s="1"/>
      <c r="V1424" s="1"/>
      <c r="W1424" s="1"/>
      <c r="X1424" s="1"/>
    </row>
    <row r="1425" spans="1:24">
      <c r="A1425" s="1"/>
      <c r="M1425" s="26"/>
      <c r="N1425" s="26"/>
      <c r="P1425" s="1"/>
      <c r="Q1425" s="1"/>
      <c r="R1425" s="1"/>
      <c r="S1425" s="1"/>
      <c r="T1425" s="1"/>
      <c r="U1425" s="1"/>
      <c r="V1425" s="1"/>
      <c r="W1425" s="1"/>
      <c r="X1425" s="1"/>
    </row>
    <row r="1426" spans="1:24">
      <c r="A1426" s="1"/>
      <c r="M1426" s="26"/>
      <c r="N1426" s="26"/>
      <c r="P1426" s="1"/>
      <c r="Q1426" s="1"/>
      <c r="R1426" s="1"/>
      <c r="S1426" s="1"/>
      <c r="T1426" s="1"/>
      <c r="U1426" s="1"/>
      <c r="V1426" s="1"/>
      <c r="W1426" s="1"/>
      <c r="X1426" s="1"/>
    </row>
    <row r="1427" spans="1:24">
      <c r="A1427" s="1"/>
      <c r="M1427" s="26"/>
      <c r="N1427" s="26"/>
      <c r="P1427" s="1"/>
      <c r="Q1427" s="1"/>
      <c r="R1427" s="1"/>
      <c r="S1427" s="1"/>
      <c r="T1427" s="1"/>
      <c r="U1427" s="1"/>
      <c r="V1427" s="1"/>
      <c r="W1427" s="1"/>
      <c r="X1427" s="1"/>
    </row>
    <row r="1428" spans="1:24">
      <c r="A1428" s="1"/>
      <c r="M1428" s="26"/>
      <c r="N1428" s="26"/>
      <c r="P1428" s="1"/>
      <c r="Q1428" s="1"/>
      <c r="R1428" s="1"/>
      <c r="S1428" s="1"/>
      <c r="T1428" s="1"/>
      <c r="U1428" s="1"/>
      <c r="V1428" s="1"/>
      <c r="W1428" s="1"/>
      <c r="X1428" s="1"/>
    </row>
    <row r="1429" spans="1:24">
      <c r="A1429" s="1"/>
      <c r="M1429" s="26"/>
      <c r="N1429" s="26"/>
      <c r="P1429" s="1"/>
      <c r="Q1429" s="1"/>
      <c r="R1429" s="1"/>
      <c r="S1429" s="1"/>
      <c r="T1429" s="1"/>
      <c r="U1429" s="1"/>
      <c r="V1429" s="1"/>
      <c r="W1429" s="1"/>
      <c r="X1429" s="1"/>
    </row>
    <row r="1430" spans="1:24">
      <c r="A1430" s="1"/>
      <c r="M1430" s="26"/>
      <c r="N1430" s="26"/>
      <c r="P1430" s="1"/>
      <c r="Q1430" s="1"/>
      <c r="R1430" s="1"/>
      <c r="S1430" s="1"/>
      <c r="T1430" s="1"/>
      <c r="U1430" s="1"/>
      <c r="V1430" s="1"/>
      <c r="W1430" s="1"/>
      <c r="X1430" s="1"/>
    </row>
    <row r="1431" spans="1:24">
      <c r="A1431" s="1"/>
      <c r="M1431" s="26"/>
      <c r="N1431" s="26"/>
      <c r="P1431" s="1"/>
      <c r="Q1431" s="1"/>
      <c r="R1431" s="1"/>
      <c r="S1431" s="1"/>
      <c r="T1431" s="1"/>
      <c r="U1431" s="1"/>
      <c r="V1431" s="1"/>
      <c r="W1431" s="1"/>
      <c r="X1431" s="1"/>
    </row>
    <row r="1432" spans="1:24">
      <c r="A1432" s="1"/>
      <c r="M1432" s="26"/>
      <c r="N1432" s="26"/>
      <c r="P1432" s="1"/>
      <c r="Q1432" s="1"/>
      <c r="R1432" s="1"/>
      <c r="S1432" s="1"/>
      <c r="T1432" s="1"/>
      <c r="U1432" s="1"/>
      <c r="V1432" s="1"/>
      <c r="W1432" s="1"/>
      <c r="X1432" s="1"/>
    </row>
    <row r="1433" spans="1:24">
      <c r="A1433" s="1"/>
      <c r="M1433" s="26"/>
      <c r="N1433" s="26"/>
      <c r="P1433" s="1"/>
      <c r="Q1433" s="1"/>
      <c r="R1433" s="1"/>
      <c r="S1433" s="1"/>
      <c r="T1433" s="1"/>
      <c r="U1433" s="1"/>
      <c r="V1433" s="1"/>
      <c r="W1433" s="1"/>
      <c r="X1433" s="1"/>
    </row>
    <row r="1434" spans="1:24">
      <c r="A1434" s="1"/>
      <c r="M1434" s="26"/>
      <c r="N1434" s="26"/>
      <c r="P1434" s="1"/>
      <c r="Q1434" s="1"/>
      <c r="R1434" s="1"/>
      <c r="S1434" s="1"/>
      <c r="T1434" s="1"/>
      <c r="U1434" s="1"/>
      <c r="V1434" s="1"/>
      <c r="W1434" s="1"/>
      <c r="X1434" s="1"/>
    </row>
    <row r="1435" spans="1:24">
      <c r="A1435" s="1"/>
      <c r="M1435" s="26"/>
      <c r="N1435" s="26"/>
      <c r="P1435" s="1"/>
      <c r="Q1435" s="1"/>
      <c r="R1435" s="1"/>
      <c r="S1435" s="1"/>
      <c r="T1435" s="1"/>
      <c r="U1435" s="1"/>
      <c r="V1435" s="1"/>
      <c r="W1435" s="1"/>
      <c r="X1435" s="1"/>
    </row>
    <row r="1436" spans="1:24">
      <c r="A1436" s="1"/>
      <c r="M1436" s="26"/>
      <c r="N1436" s="26"/>
      <c r="P1436" s="1"/>
      <c r="Q1436" s="1"/>
      <c r="R1436" s="1"/>
      <c r="S1436" s="1"/>
      <c r="T1436" s="1"/>
      <c r="U1436" s="1"/>
      <c r="V1436" s="1"/>
      <c r="W1436" s="1"/>
      <c r="X1436" s="1"/>
    </row>
    <row r="1437" spans="1:24">
      <c r="A1437" s="1"/>
      <c r="M1437" s="26"/>
      <c r="N1437" s="26"/>
      <c r="P1437" s="1"/>
      <c r="Q1437" s="1"/>
      <c r="R1437" s="1"/>
      <c r="S1437" s="1"/>
      <c r="T1437" s="1"/>
      <c r="U1437" s="1"/>
      <c r="V1437" s="1"/>
      <c r="W1437" s="1"/>
      <c r="X1437" s="1"/>
    </row>
    <row r="1438" spans="1:24">
      <c r="A1438" s="1"/>
      <c r="M1438" s="26"/>
      <c r="N1438" s="26"/>
      <c r="P1438" s="1"/>
      <c r="Q1438" s="1"/>
      <c r="R1438" s="1"/>
      <c r="S1438" s="1"/>
      <c r="T1438" s="1"/>
      <c r="U1438" s="1"/>
      <c r="V1438" s="1"/>
      <c r="W1438" s="1"/>
      <c r="X1438" s="1"/>
    </row>
    <row r="1439" spans="1:24">
      <c r="A1439" s="1"/>
      <c r="M1439" s="26"/>
      <c r="N1439" s="26"/>
      <c r="P1439" s="1"/>
      <c r="Q1439" s="1"/>
      <c r="R1439" s="1"/>
      <c r="S1439" s="1"/>
      <c r="T1439" s="1"/>
      <c r="U1439" s="1"/>
      <c r="V1439" s="1"/>
      <c r="W1439" s="1"/>
      <c r="X1439" s="1"/>
    </row>
    <row r="1440" spans="1:24">
      <c r="A1440" s="1"/>
      <c r="M1440" s="26"/>
      <c r="N1440" s="26"/>
      <c r="P1440" s="1"/>
      <c r="Q1440" s="1"/>
      <c r="R1440" s="1"/>
      <c r="S1440" s="1"/>
      <c r="T1440" s="1"/>
      <c r="U1440" s="1"/>
      <c r="V1440" s="1"/>
      <c r="W1440" s="1"/>
      <c r="X1440" s="1"/>
    </row>
    <row r="1441" spans="1:24">
      <c r="A1441" s="1"/>
      <c r="M1441" s="26"/>
      <c r="N1441" s="26"/>
      <c r="P1441" s="1"/>
      <c r="Q1441" s="1"/>
      <c r="R1441" s="1"/>
      <c r="S1441" s="1"/>
      <c r="T1441" s="1"/>
      <c r="U1441" s="1"/>
      <c r="V1441" s="1"/>
      <c r="W1441" s="1"/>
      <c r="X1441" s="1"/>
    </row>
    <row r="1442" spans="1:24">
      <c r="A1442" s="1"/>
      <c r="M1442" s="26"/>
      <c r="N1442" s="26"/>
      <c r="P1442" s="1"/>
      <c r="Q1442" s="1"/>
      <c r="R1442" s="1"/>
      <c r="S1442" s="1"/>
      <c r="T1442" s="1"/>
      <c r="U1442" s="1"/>
      <c r="V1442" s="1"/>
      <c r="W1442" s="1"/>
      <c r="X1442" s="1"/>
    </row>
    <row r="1443" spans="1:24">
      <c r="A1443" s="1"/>
      <c r="M1443" s="26"/>
      <c r="N1443" s="26"/>
      <c r="P1443" s="1"/>
      <c r="Q1443" s="1"/>
      <c r="R1443" s="1"/>
      <c r="S1443" s="1"/>
      <c r="T1443" s="1"/>
      <c r="U1443" s="1"/>
      <c r="V1443" s="1"/>
      <c r="W1443" s="1"/>
      <c r="X1443" s="1"/>
    </row>
    <row r="1444" spans="1:24">
      <c r="A1444" s="1"/>
      <c r="M1444" s="26"/>
      <c r="N1444" s="26"/>
      <c r="P1444" s="1"/>
      <c r="Q1444" s="1"/>
      <c r="R1444" s="1"/>
      <c r="S1444" s="1"/>
      <c r="T1444" s="1"/>
      <c r="U1444" s="1"/>
      <c r="V1444" s="1"/>
      <c r="W1444" s="1"/>
      <c r="X1444" s="1"/>
    </row>
    <row r="1445" spans="1:24">
      <c r="A1445" s="1"/>
      <c r="M1445" s="26"/>
      <c r="N1445" s="26"/>
      <c r="P1445" s="1"/>
      <c r="Q1445" s="1"/>
      <c r="R1445" s="1"/>
      <c r="S1445" s="1"/>
      <c r="T1445" s="1"/>
      <c r="U1445" s="1"/>
      <c r="V1445" s="1"/>
      <c r="W1445" s="1"/>
      <c r="X1445" s="1"/>
    </row>
    <row r="1446" spans="1:24">
      <c r="A1446" s="1"/>
      <c r="M1446" s="26"/>
      <c r="N1446" s="26"/>
      <c r="P1446" s="1"/>
      <c r="Q1446" s="1"/>
      <c r="R1446" s="1"/>
      <c r="S1446" s="1"/>
      <c r="T1446" s="1"/>
      <c r="U1446" s="1"/>
      <c r="V1446" s="1"/>
      <c r="W1446" s="1"/>
      <c r="X1446" s="1"/>
    </row>
    <row r="1447" spans="1:24">
      <c r="A1447" s="1"/>
      <c r="M1447" s="26"/>
      <c r="N1447" s="26"/>
      <c r="P1447" s="1"/>
      <c r="Q1447" s="1"/>
      <c r="R1447" s="1"/>
      <c r="S1447" s="1"/>
      <c r="T1447" s="1"/>
      <c r="U1447" s="1"/>
      <c r="V1447" s="1"/>
      <c r="W1447" s="1"/>
      <c r="X1447" s="1"/>
    </row>
    <row r="1448" spans="1:24">
      <c r="A1448" s="1"/>
      <c r="M1448" s="26"/>
      <c r="N1448" s="26"/>
      <c r="P1448" s="1"/>
      <c r="Q1448" s="1"/>
      <c r="R1448" s="1"/>
      <c r="S1448" s="1"/>
      <c r="T1448" s="1"/>
      <c r="U1448" s="1"/>
      <c r="V1448" s="1"/>
      <c r="W1448" s="1"/>
      <c r="X1448" s="1"/>
    </row>
    <row r="1449" spans="1:24">
      <c r="A1449" s="1"/>
      <c r="M1449" s="26"/>
      <c r="N1449" s="26"/>
      <c r="P1449" s="1"/>
      <c r="Q1449" s="1"/>
      <c r="R1449" s="1"/>
      <c r="S1449" s="1"/>
      <c r="T1449" s="1"/>
      <c r="U1449" s="1"/>
      <c r="V1449" s="1"/>
      <c r="W1449" s="1"/>
      <c r="X1449" s="1"/>
    </row>
    <row r="1450" spans="1:24">
      <c r="A1450" s="1"/>
      <c r="M1450" s="26"/>
      <c r="N1450" s="26"/>
      <c r="P1450" s="1"/>
      <c r="Q1450" s="1"/>
      <c r="R1450" s="1"/>
      <c r="S1450" s="1"/>
      <c r="T1450" s="1"/>
      <c r="U1450" s="1"/>
      <c r="V1450" s="1"/>
      <c r="W1450" s="1"/>
      <c r="X1450" s="1"/>
    </row>
    <row r="1451" spans="1:24">
      <c r="A1451" s="1"/>
      <c r="M1451" s="26"/>
      <c r="N1451" s="26"/>
      <c r="P1451" s="1"/>
      <c r="Q1451" s="1"/>
      <c r="R1451" s="1"/>
      <c r="S1451" s="1"/>
      <c r="T1451" s="1"/>
      <c r="U1451" s="1"/>
      <c r="V1451" s="1"/>
      <c r="W1451" s="1"/>
      <c r="X1451" s="1"/>
    </row>
    <row r="1452" spans="1:24">
      <c r="A1452" s="1"/>
      <c r="M1452" s="26"/>
      <c r="N1452" s="26"/>
      <c r="P1452" s="1"/>
      <c r="Q1452" s="1"/>
      <c r="R1452" s="1"/>
      <c r="S1452" s="1"/>
      <c r="T1452" s="1"/>
      <c r="U1452" s="1"/>
      <c r="V1452" s="1"/>
      <c r="W1452" s="1"/>
      <c r="X1452" s="1"/>
    </row>
    <row r="1453" spans="1:24">
      <c r="A1453" s="1"/>
      <c r="M1453" s="26"/>
      <c r="N1453" s="26"/>
      <c r="P1453" s="1"/>
      <c r="Q1453" s="1"/>
      <c r="R1453" s="1"/>
      <c r="S1453" s="1"/>
      <c r="T1453" s="1"/>
      <c r="U1453" s="1"/>
      <c r="V1453" s="1"/>
      <c r="W1453" s="1"/>
      <c r="X1453" s="1"/>
    </row>
    <row r="1454" spans="1:24">
      <c r="A1454" s="1"/>
      <c r="M1454" s="26"/>
      <c r="N1454" s="26"/>
      <c r="P1454" s="1"/>
      <c r="Q1454" s="1"/>
      <c r="R1454" s="1"/>
      <c r="S1454" s="1"/>
      <c r="T1454" s="1"/>
      <c r="U1454" s="1"/>
      <c r="V1454" s="1"/>
      <c r="W1454" s="1"/>
      <c r="X1454" s="1"/>
    </row>
    <row r="1455" spans="1:24">
      <c r="A1455" s="1"/>
      <c r="M1455" s="26"/>
      <c r="N1455" s="26"/>
      <c r="P1455" s="1"/>
      <c r="Q1455" s="1"/>
      <c r="R1455" s="1"/>
      <c r="S1455" s="1"/>
      <c r="T1455" s="1"/>
      <c r="U1455" s="1"/>
      <c r="V1455" s="1"/>
      <c r="W1455" s="1"/>
      <c r="X1455" s="1"/>
    </row>
    <row r="1456" spans="1:24">
      <c r="A1456" s="1"/>
      <c r="M1456" s="26"/>
      <c r="N1456" s="26"/>
      <c r="P1456" s="1"/>
      <c r="Q1456" s="1"/>
      <c r="R1456" s="1"/>
      <c r="S1456" s="1"/>
      <c r="T1456" s="1"/>
      <c r="U1456" s="1"/>
      <c r="V1456" s="1"/>
      <c r="W1456" s="1"/>
      <c r="X1456" s="1"/>
    </row>
    <row r="1457" spans="1:24">
      <c r="A1457" s="1"/>
      <c r="M1457" s="26"/>
      <c r="N1457" s="26"/>
      <c r="P1457" s="1"/>
      <c r="Q1457" s="1"/>
      <c r="R1457" s="1"/>
      <c r="S1457" s="1"/>
      <c r="T1457" s="1"/>
      <c r="U1457" s="1"/>
      <c r="V1457" s="1"/>
      <c r="W1457" s="1"/>
      <c r="X1457" s="1"/>
    </row>
    <row r="1458" spans="1:24">
      <c r="A1458" s="1"/>
      <c r="M1458" s="26"/>
      <c r="N1458" s="26"/>
      <c r="P1458" s="1"/>
      <c r="Q1458" s="1"/>
      <c r="R1458" s="1"/>
      <c r="S1458" s="1"/>
      <c r="T1458" s="1"/>
      <c r="U1458" s="1"/>
      <c r="V1458" s="1"/>
      <c r="W1458" s="1"/>
      <c r="X1458" s="1"/>
    </row>
    <row r="1459" spans="1:24">
      <c r="A1459" s="1"/>
      <c r="M1459" s="26"/>
      <c r="N1459" s="26"/>
      <c r="P1459" s="1"/>
      <c r="Q1459" s="1"/>
      <c r="R1459" s="1"/>
      <c r="S1459" s="1"/>
      <c r="T1459" s="1"/>
      <c r="U1459" s="1"/>
      <c r="V1459" s="1"/>
      <c r="W1459" s="1"/>
      <c r="X1459" s="1"/>
    </row>
    <row r="1460" spans="1:24">
      <c r="A1460" s="1"/>
      <c r="M1460" s="26"/>
      <c r="N1460" s="26"/>
      <c r="P1460" s="1"/>
      <c r="Q1460" s="1"/>
      <c r="R1460" s="1"/>
      <c r="S1460" s="1"/>
      <c r="T1460" s="1"/>
      <c r="U1460" s="1"/>
      <c r="V1460" s="1"/>
      <c r="W1460" s="1"/>
      <c r="X1460" s="1"/>
    </row>
    <row r="1461" spans="1:24">
      <c r="A1461" s="1"/>
      <c r="M1461" s="26"/>
      <c r="N1461" s="26"/>
      <c r="P1461" s="1"/>
      <c r="Q1461" s="1"/>
      <c r="R1461" s="1"/>
      <c r="S1461" s="1"/>
      <c r="T1461" s="1"/>
      <c r="U1461" s="1"/>
      <c r="V1461" s="1"/>
      <c r="W1461" s="1"/>
      <c r="X1461" s="1"/>
    </row>
    <row r="1462" spans="1:24">
      <c r="A1462" s="1"/>
      <c r="M1462" s="26"/>
      <c r="N1462" s="26"/>
      <c r="P1462" s="1"/>
      <c r="Q1462" s="1"/>
      <c r="R1462" s="1"/>
      <c r="S1462" s="1"/>
      <c r="T1462" s="1"/>
      <c r="U1462" s="1"/>
      <c r="V1462" s="1"/>
      <c r="W1462" s="1"/>
      <c r="X1462" s="1"/>
    </row>
    <row r="1463" spans="1:24">
      <c r="A1463" s="1"/>
      <c r="M1463" s="26"/>
      <c r="N1463" s="26"/>
      <c r="P1463" s="1"/>
      <c r="Q1463" s="1"/>
      <c r="R1463" s="1"/>
      <c r="S1463" s="1"/>
      <c r="T1463" s="1"/>
      <c r="U1463" s="1"/>
      <c r="V1463" s="1"/>
      <c r="W1463" s="1"/>
      <c r="X1463" s="1"/>
    </row>
    <row r="1464" spans="1:24">
      <c r="A1464" s="1"/>
      <c r="M1464" s="26"/>
      <c r="N1464" s="26"/>
      <c r="P1464" s="1"/>
      <c r="Q1464" s="1"/>
      <c r="R1464" s="1"/>
      <c r="S1464" s="1"/>
      <c r="T1464" s="1"/>
      <c r="U1464" s="1"/>
      <c r="V1464" s="1"/>
      <c r="W1464" s="1"/>
      <c r="X1464" s="1"/>
    </row>
    <row r="1465" spans="1:24">
      <c r="A1465" s="1"/>
      <c r="M1465" s="26"/>
      <c r="N1465" s="26"/>
      <c r="P1465" s="1"/>
      <c r="Q1465" s="1"/>
      <c r="R1465" s="1"/>
      <c r="S1465" s="1"/>
      <c r="T1465" s="1"/>
      <c r="U1465" s="1"/>
      <c r="V1465" s="1"/>
      <c r="W1465" s="1"/>
      <c r="X1465" s="1"/>
    </row>
    <row r="1466" spans="1:24">
      <c r="A1466" s="1"/>
      <c r="M1466" s="26"/>
      <c r="N1466" s="26"/>
      <c r="P1466" s="1"/>
      <c r="Q1466" s="1"/>
      <c r="R1466" s="1"/>
      <c r="S1466" s="1"/>
      <c r="T1466" s="1"/>
      <c r="U1466" s="1"/>
      <c r="V1466" s="1"/>
      <c r="W1466" s="1"/>
      <c r="X1466" s="1"/>
    </row>
    <row r="1467" spans="1:24">
      <c r="A1467" s="1"/>
      <c r="M1467" s="26"/>
      <c r="N1467" s="26"/>
      <c r="P1467" s="1"/>
      <c r="Q1467" s="1"/>
      <c r="R1467" s="1"/>
      <c r="S1467" s="1"/>
      <c r="T1467" s="1"/>
      <c r="U1467" s="1"/>
      <c r="V1467" s="1"/>
      <c r="W1467" s="1"/>
      <c r="X1467" s="1"/>
    </row>
    <row r="1468" spans="1:24">
      <c r="A1468" s="1"/>
      <c r="M1468" s="26"/>
      <c r="N1468" s="26"/>
      <c r="P1468" s="1"/>
      <c r="Q1468" s="1"/>
      <c r="R1468" s="1"/>
      <c r="S1468" s="1"/>
      <c r="T1468" s="1"/>
      <c r="U1468" s="1"/>
      <c r="V1468" s="1"/>
      <c r="W1468" s="1"/>
      <c r="X1468" s="1"/>
    </row>
    <row r="1469" spans="1:24">
      <c r="A1469" s="1"/>
      <c r="M1469" s="26"/>
      <c r="N1469" s="26"/>
      <c r="P1469" s="1"/>
      <c r="Q1469" s="1"/>
      <c r="R1469" s="1"/>
      <c r="S1469" s="1"/>
      <c r="T1469" s="1"/>
      <c r="U1469" s="1"/>
      <c r="V1469" s="1"/>
      <c r="W1469" s="1"/>
      <c r="X1469" s="1"/>
    </row>
    <row r="1470" spans="1:24">
      <c r="A1470" s="1"/>
      <c r="M1470" s="26"/>
      <c r="N1470" s="26"/>
      <c r="P1470" s="1"/>
      <c r="Q1470" s="1"/>
      <c r="R1470" s="1"/>
      <c r="S1470" s="1"/>
      <c r="T1470" s="1"/>
      <c r="U1470" s="1"/>
      <c r="V1470" s="1"/>
      <c r="W1470" s="1"/>
      <c r="X1470" s="1"/>
    </row>
    <row r="1471" spans="1:24">
      <c r="A1471" s="1"/>
      <c r="M1471" s="26"/>
      <c r="N1471" s="26"/>
      <c r="P1471" s="1"/>
      <c r="Q1471" s="1"/>
      <c r="R1471" s="1"/>
      <c r="S1471" s="1"/>
      <c r="T1471" s="1"/>
      <c r="U1471" s="1"/>
      <c r="V1471" s="1"/>
      <c r="W1471" s="1"/>
      <c r="X1471" s="1"/>
    </row>
    <row r="1472" spans="1:24">
      <c r="A1472" s="1"/>
      <c r="M1472" s="26"/>
      <c r="N1472" s="26"/>
      <c r="P1472" s="1"/>
      <c r="Q1472" s="1"/>
      <c r="R1472" s="1"/>
      <c r="S1472" s="1"/>
      <c r="T1472" s="1"/>
      <c r="U1472" s="1"/>
      <c r="V1472" s="1"/>
      <c r="W1472" s="1"/>
      <c r="X1472" s="1"/>
    </row>
    <row r="1473" spans="1:24">
      <c r="A1473" s="1"/>
      <c r="M1473" s="26"/>
      <c r="N1473" s="26"/>
      <c r="P1473" s="1"/>
      <c r="Q1473" s="1"/>
      <c r="R1473" s="1"/>
      <c r="S1473" s="1"/>
      <c r="T1473" s="1"/>
      <c r="U1473" s="1"/>
      <c r="V1473" s="1"/>
      <c r="W1473" s="1"/>
      <c r="X1473" s="1"/>
    </row>
    <row r="1474" spans="1:24">
      <c r="A1474" s="1"/>
      <c r="M1474" s="26"/>
      <c r="N1474" s="26"/>
      <c r="P1474" s="1"/>
      <c r="Q1474" s="1"/>
      <c r="R1474" s="1"/>
      <c r="S1474" s="1"/>
      <c r="T1474" s="1"/>
      <c r="U1474" s="1"/>
      <c r="V1474" s="1"/>
      <c r="W1474" s="1"/>
      <c r="X1474" s="1"/>
    </row>
    <row r="1475" spans="1:24">
      <c r="A1475" s="1"/>
      <c r="M1475" s="26"/>
      <c r="N1475" s="26"/>
      <c r="P1475" s="1"/>
      <c r="Q1475" s="1"/>
      <c r="R1475" s="1"/>
      <c r="S1475" s="1"/>
      <c r="T1475" s="1"/>
      <c r="U1475" s="1"/>
      <c r="V1475" s="1"/>
      <c r="W1475" s="1"/>
      <c r="X1475" s="1"/>
    </row>
    <row r="1476" spans="1:24">
      <c r="A1476" s="1"/>
      <c r="M1476" s="26"/>
      <c r="N1476" s="26"/>
      <c r="P1476" s="1"/>
      <c r="Q1476" s="1"/>
      <c r="R1476" s="1"/>
      <c r="S1476" s="1"/>
      <c r="T1476" s="1"/>
      <c r="U1476" s="1"/>
      <c r="V1476" s="1"/>
      <c r="W1476" s="1"/>
      <c r="X1476" s="1"/>
    </row>
    <row r="1477" spans="1:24">
      <c r="A1477" s="1"/>
      <c r="M1477" s="26"/>
      <c r="N1477" s="26"/>
      <c r="P1477" s="1"/>
      <c r="Q1477" s="1"/>
      <c r="R1477" s="1"/>
      <c r="S1477" s="1"/>
      <c r="T1477" s="1"/>
      <c r="U1477" s="1"/>
      <c r="V1477" s="1"/>
      <c r="W1477" s="1"/>
      <c r="X1477" s="1"/>
    </row>
    <row r="1478" spans="1:24">
      <c r="A1478" s="1"/>
      <c r="M1478" s="26"/>
      <c r="N1478" s="26"/>
      <c r="P1478" s="1"/>
      <c r="Q1478" s="1"/>
      <c r="R1478" s="1"/>
      <c r="S1478" s="1"/>
      <c r="T1478" s="1"/>
      <c r="U1478" s="1"/>
      <c r="V1478" s="1"/>
      <c r="W1478" s="1"/>
      <c r="X1478" s="1"/>
    </row>
    <row r="1479" spans="1:24">
      <c r="A1479" s="1"/>
      <c r="M1479" s="26"/>
      <c r="N1479" s="26"/>
      <c r="P1479" s="1"/>
      <c r="Q1479" s="1"/>
      <c r="R1479" s="1"/>
      <c r="S1479" s="1"/>
      <c r="T1479" s="1"/>
      <c r="U1479" s="1"/>
      <c r="V1479" s="1"/>
      <c r="W1479" s="1"/>
      <c r="X1479" s="1"/>
    </row>
    <row r="1480" spans="1:24">
      <c r="A1480" s="1"/>
      <c r="M1480" s="26"/>
      <c r="N1480" s="26"/>
      <c r="P1480" s="1"/>
      <c r="Q1480" s="1"/>
      <c r="R1480" s="1"/>
      <c r="S1480" s="1"/>
      <c r="T1480" s="1"/>
      <c r="U1480" s="1"/>
      <c r="V1480" s="1"/>
      <c r="W1480" s="1"/>
      <c r="X1480" s="1"/>
    </row>
    <row r="1481" spans="1:24">
      <c r="A1481" s="1"/>
      <c r="M1481" s="26"/>
      <c r="N1481" s="26"/>
      <c r="P1481" s="1"/>
      <c r="Q1481" s="1"/>
      <c r="R1481" s="1"/>
      <c r="S1481" s="1"/>
      <c r="T1481" s="1"/>
      <c r="U1481" s="1"/>
      <c r="V1481" s="1"/>
      <c r="W1481" s="1"/>
      <c r="X1481" s="1"/>
    </row>
    <row r="1482" spans="1:24">
      <c r="A1482" s="1"/>
      <c r="M1482" s="26"/>
      <c r="N1482" s="26"/>
      <c r="P1482" s="1"/>
      <c r="Q1482" s="1"/>
      <c r="R1482" s="1"/>
      <c r="S1482" s="1"/>
      <c r="T1482" s="1"/>
      <c r="U1482" s="1"/>
      <c r="V1482" s="1"/>
      <c r="W1482" s="1"/>
      <c r="X1482" s="1"/>
    </row>
    <row r="1483" spans="1:24">
      <c r="A1483" s="1"/>
      <c r="M1483" s="26"/>
      <c r="N1483" s="26"/>
      <c r="P1483" s="1"/>
      <c r="Q1483" s="1"/>
      <c r="R1483" s="1"/>
      <c r="S1483" s="1"/>
      <c r="T1483" s="1"/>
      <c r="U1483" s="1"/>
      <c r="V1483" s="1"/>
      <c r="W1483" s="1"/>
      <c r="X1483" s="1"/>
    </row>
    <row r="1484" spans="1:24">
      <c r="A1484" s="1"/>
      <c r="M1484" s="26"/>
      <c r="N1484" s="26"/>
      <c r="P1484" s="1"/>
      <c r="Q1484" s="1"/>
      <c r="R1484" s="1"/>
      <c r="S1484" s="1"/>
      <c r="T1484" s="1"/>
      <c r="U1484" s="1"/>
      <c r="V1484" s="1"/>
      <c r="W1484" s="1"/>
      <c r="X1484" s="1"/>
    </row>
    <row r="1485" spans="1:24">
      <c r="A1485" s="1"/>
      <c r="M1485" s="26"/>
      <c r="N1485" s="26"/>
      <c r="P1485" s="1"/>
      <c r="Q1485" s="1"/>
      <c r="R1485" s="1"/>
      <c r="S1485" s="1"/>
      <c r="T1485" s="1"/>
      <c r="U1485" s="1"/>
      <c r="V1485" s="1"/>
      <c r="W1485" s="1"/>
      <c r="X1485" s="1"/>
    </row>
    <row r="1486" spans="1:24">
      <c r="A1486" s="1"/>
      <c r="M1486" s="26"/>
      <c r="N1486" s="26"/>
      <c r="P1486" s="1"/>
      <c r="Q1486" s="1"/>
      <c r="R1486" s="1"/>
      <c r="S1486" s="1"/>
      <c r="T1486" s="1"/>
      <c r="U1486" s="1"/>
      <c r="V1486" s="1"/>
      <c r="W1486" s="1"/>
      <c r="X1486" s="1"/>
    </row>
    <row r="1487" spans="1:24">
      <c r="A1487" s="1"/>
      <c r="M1487" s="26"/>
      <c r="N1487" s="26"/>
      <c r="P1487" s="1"/>
      <c r="Q1487" s="1"/>
      <c r="R1487" s="1"/>
      <c r="S1487" s="1"/>
      <c r="T1487" s="1"/>
      <c r="U1487" s="1"/>
      <c r="V1487" s="1"/>
      <c r="W1487" s="1"/>
      <c r="X1487" s="1"/>
    </row>
    <row r="1488" spans="1:24">
      <c r="A1488" s="1"/>
      <c r="M1488" s="26"/>
      <c r="N1488" s="26"/>
      <c r="P1488" s="1"/>
      <c r="Q1488" s="1"/>
      <c r="R1488" s="1"/>
      <c r="S1488" s="1"/>
      <c r="T1488" s="1"/>
      <c r="U1488" s="1"/>
      <c r="V1488" s="1"/>
      <c r="W1488" s="1"/>
      <c r="X1488" s="1"/>
    </row>
    <row r="1489" spans="1:24">
      <c r="A1489" s="1"/>
      <c r="M1489" s="26"/>
      <c r="N1489" s="26"/>
      <c r="P1489" s="1"/>
      <c r="Q1489" s="1"/>
      <c r="R1489" s="1"/>
      <c r="S1489" s="1"/>
      <c r="T1489" s="1"/>
      <c r="U1489" s="1"/>
      <c r="V1489" s="1"/>
      <c r="W1489" s="1"/>
      <c r="X1489" s="1"/>
    </row>
    <row r="1490" spans="1:24">
      <c r="A1490" s="1"/>
      <c r="M1490" s="26"/>
      <c r="N1490" s="26"/>
      <c r="P1490" s="1"/>
      <c r="Q1490" s="1"/>
      <c r="R1490" s="1"/>
      <c r="S1490" s="1"/>
      <c r="T1490" s="1"/>
      <c r="U1490" s="1"/>
      <c r="V1490" s="1"/>
      <c r="W1490" s="1"/>
      <c r="X1490" s="1"/>
    </row>
    <row r="1491" spans="1:24">
      <c r="A1491" s="1"/>
      <c r="M1491" s="26"/>
      <c r="N1491" s="26"/>
      <c r="P1491" s="1"/>
      <c r="Q1491" s="1"/>
      <c r="R1491" s="1"/>
      <c r="S1491" s="1"/>
      <c r="T1491" s="1"/>
      <c r="U1491" s="1"/>
      <c r="V1491" s="1"/>
      <c r="W1491" s="1"/>
      <c r="X1491" s="1"/>
    </row>
    <row r="1492" spans="1:24">
      <c r="A1492" s="1"/>
      <c r="M1492" s="26"/>
      <c r="N1492" s="26"/>
      <c r="P1492" s="1"/>
      <c r="Q1492" s="1"/>
      <c r="R1492" s="1"/>
      <c r="S1492" s="1"/>
      <c r="T1492" s="1"/>
      <c r="U1492" s="1"/>
      <c r="V1492" s="1"/>
      <c r="W1492" s="1"/>
      <c r="X1492" s="1"/>
    </row>
    <row r="1493" spans="1:24">
      <c r="A1493" s="1"/>
      <c r="M1493" s="26"/>
      <c r="N1493" s="26"/>
      <c r="P1493" s="1"/>
      <c r="Q1493" s="1"/>
      <c r="R1493" s="1"/>
      <c r="S1493" s="1"/>
      <c r="T1493" s="1"/>
      <c r="U1493" s="1"/>
      <c r="V1493" s="1"/>
      <c r="W1493" s="1"/>
      <c r="X1493" s="1"/>
    </row>
    <row r="1494" spans="1:24">
      <c r="A1494" s="1"/>
      <c r="M1494" s="26"/>
      <c r="N1494" s="26"/>
      <c r="P1494" s="1"/>
      <c r="Q1494" s="1"/>
      <c r="R1494" s="1"/>
      <c r="S1494" s="1"/>
      <c r="T1494" s="1"/>
      <c r="U1494" s="1"/>
      <c r="V1494" s="1"/>
      <c r="W1494" s="1"/>
      <c r="X1494" s="1"/>
    </row>
    <row r="1495" spans="1:24">
      <c r="A1495" s="1"/>
      <c r="M1495" s="26"/>
      <c r="N1495" s="26"/>
      <c r="P1495" s="1"/>
      <c r="Q1495" s="1"/>
      <c r="R1495" s="1"/>
      <c r="S1495" s="1"/>
      <c r="T1495" s="1"/>
      <c r="U1495" s="1"/>
      <c r="V1495" s="1"/>
      <c r="W1495" s="1"/>
      <c r="X1495" s="1"/>
    </row>
    <row r="1496" spans="1:24">
      <c r="A1496" s="1"/>
      <c r="M1496" s="26"/>
      <c r="N1496" s="26"/>
      <c r="P1496" s="1"/>
      <c r="Q1496" s="1"/>
      <c r="R1496" s="1"/>
      <c r="S1496" s="1"/>
      <c r="T1496" s="1"/>
      <c r="U1496" s="1"/>
      <c r="V1496" s="1"/>
      <c r="W1496" s="1"/>
      <c r="X1496" s="1"/>
    </row>
    <row r="1497" spans="1:24">
      <c r="A1497" s="1"/>
      <c r="M1497" s="26"/>
      <c r="N1497" s="26"/>
      <c r="P1497" s="1"/>
      <c r="Q1497" s="1"/>
      <c r="R1497" s="1"/>
      <c r="S1497" s="1"/>
      <c r="T1497" s="1"/>
      <c r="U1497" s="1"/>
      <c r="V1497" s="1"/>
      <c r="W1497" s="1"/>
      <c r="X1497" s="1"/>
    </row>
    <row r="1498" spans="1:24">
      <c r="A1498" s="1"/>
      <c r="M1498" s="26"/>
      <c r="N1498" s="26"/>
      <c r="P1498" s="1"/>
      <c r="Q1498" s="1"/>
      <c r="R1498" s="1"/>
      <c r="S1498" s="1"/>
      <c r="T1498" s="1"/>
      <c r="U1498" s="1"/>
      <c r="V1498" s="1"/>
      <c r="W1498" s="1"/>
      <c r="X1498" s="1"/>
    </row>
    <row r="1499" spans="1:24">
      <c r="A1499" s="1"/>
      <c r="M1499" s="26"/>
      <c r="N1499" s="26"/>
      <c r="P1499" s="1"/>
      <c r="Q1499" s="1"/>
      <c r="R1499" s="1"/>
      <c r="S1499" s="1"/>
      <c r="T1499" s="1"/>
      <c r="U1499" s="1"/>
      <c r="V1499" s="1"/>
      <c r="W1499" s="1"/>
      <c r="X1499" s="1"/>
    </row>
    <row r="1500" spans="1:24">
      <c r="A1500" s="1"/>
      <c r="M1500" s="26"/>
      <c r="N1500" s="26"/>
      <c r="P1500" s="1"/>
      <c r="Q1500" s="1"/>
      <c r="R1500" s="1"/>
      <c r="S1500" s="1"/>
      <c r="T1500" s="1"/>
      <c r="U1500" s="1"/>
      <c r="V1500" s="1"/>
      <c r="W1500" s="1"/>
      <c r="X1500" s="1"/>
    </row>
    <row r="1501" spans="1:24">
      <c r="A1501" s="1"/>
      <c r="M1501" s="26"/>
      <c r="N1501" s="26"/>
      <c r="P1501" s="1"/>
      <c r="Q1501" s="1"/>
      <c r="R1501" s="1"/>
      <c r="S1501" s="1"/>
      <c r="T1501" s="1"/>
      <c r="U1501" s="1"/>
      <c r="V1501" s="1"/>
      <c r="W1501" s="1"/>
      <c r="X1501" s="1"/>
    </row>
    <row r="1502" spans="1:24">
      <c r="A1502" s="1"/>
      <c r="M1502" s="26"/>
      <c r="N1502" s="26"/>
      <c r="P1502" s="1"/>
      <c r="Q1502" s="1"/>
      <c r="R1502" s="1"/>
      <c r="S1502" s="1"/>
      <c r="T1502" s="1"/>
      <c r="U1502" s="1"/>
      <c r="V1502" s="1"/>
      <c r="W1502" s="1"/>
      <c r="X1502" s="1"/>
    </row>
    <row r="1503" spans="1:24">
      <c r="A1503" s="1"/>
      <c r="M1503" s="26"/>
      <c r="N1503" s="26"/>
      <c r="P1503" s="1"/>
      <c r="Q1503" s="1"/>
      <c r="R1503" s="1"/>
      <c r="S1503" s="1"/>
      <c r="T1503" s="1"/>
      <c r="U1503" s="1"/>
      <c r="V1503" s="1"/>
      <c r="W1503" s="1"/>
      <c r="X1503" s="1"/>
    </row>
    <row r="1504" spans="1:24">
      <c r="A1504" s="1"/>
      <c r="M1504" s="26"/>
      <c r="N1504" s="26"/>
      <c r="P1504" s="1"/>
      <c r="Q1504" s="1"/>
      <c r="R1504" s="1"/>
      <c r="S1504" s="1"/>
      <c r="T1504" s="1"/>
      <c r="U1504" s="1"/>
      <c r="V1504" s="1"/>
      <c r="W1504" s="1"/>
      <c r="X1504" s="1"/>
    </row>
    <row r="1505" spans="1:24">
      <c r="A1505" s="1"/>
      <c r="M1505" s="26"/>
      <c r="N1505" s="26"/>
      <c r="P1505" s="1"/>
      <c r="Q1505" s="1"/>
      <c r="R1505" s="1"/>
      <c r="S1505" s="1"/>
      <c r="T1505" s="1"/>
      <c r="U1505" s="1"/>
      <c r="V1505" s="1"/>
      <c r="W1505" s="1"/>
      <c r="X1505" s="1"/>
    </row>
    <row r="1506" spans="1:24">
      <c r="A1506" s="1"/>
      <c r="M1506" s="26"/>
      <c r="N1506" s="26"/>
      <c r="P1506" s="1"/>
      <c r="Q1506" s="1"/>
      <c r="R1506" s="1"/>
      <c r="S1506" s="1"/>
      <c r="T1506" s="1"/>
      <c r="U1506" s="1"/>
      <c r="V1506" s="1"/>
      <c r="W1506" s="1"/>
      <c r="X1506" s="1"/>
    </row>
    <row r="1507" spans="1:24">
      <c r="A1507" s="1"/>
      <c r="M1507" s="26"/>
      <c r="N1507" s="26"/>
      <c r="P1507" s="1"/>
      <c r="Q1507" s="1"/>
      <c r="R1507" s="1"/>
      <c r="S1507" s="1"/>
      <c r="T1507" s="1"/>
      <c r="U1507" s="1"/>
      <c r="V1507" s="1"/>
      <c r="W1507" s="1"/>
      <c r="X1507" s="1"/>
    </row>
    <row r="1508" spans="1:24">
      <c r="A1508" s="1"/>
      <c r="M1508" s="26"/>
      <c r="N1508" s="26"/>
      <c r="P1508" s="1"/>
      <c r="Q1508" s="1"/>
      <c r="R1508" s="1"/>
      <c r="S1508" s="1"/>
      <c r="T1508" s="1"/>
      <c r="U1508" s="1"/>
      <c r="V1508" s="1"/>
      <c r="W1508" s="1"/>
      <c r="X1508" s="1"/>
    </row>
    <row r="1509" spans="1:24">
      <c r="A1509" s="1"/>
      <c r="M1509" s="26"/>
      <c r="N1509" s="26"/>
      <c r="P1509" s="1"/>
      <c r="Q1509" s="1"/>
      <c r="R1509" s="1"/>
      <c r="S1509" s="1"/>
      <c r="T1509" s="1"/>
      <c r="U1509" s="1"/>
      <c r="V1509" s="1"/>
      <c r="W1509" s="1"/>
      <c r="X1509" s="1"/>
    </row>
    <row r="1510" spans="1:24">
      <c r="A1510" s="1"/>
      <c r="M1510" s="26"/>
      <c r="N1510" s="26"/>
      <c r="P1510" s="1"/>
      <c r="Q1510" s="1"/>
      <c r="R1510" s="1"/>
      <c r="S1510" s="1"/>
      <c r="T1510" s="1"/>
      <c r="U1510" s="1"/>
      <c r="V1510" s="1"/>
      <c r="W1510" s="1"/>
      <c r="X1510" s="1"/>
    </row>
    <row r="1511" spans="1:24">
      <c r="A1511" s="1"/>
      <c r="M1511" s="26"/>
      <c r="N1511" s="26"/>
      <c r="P1511" s="1"/>
      <c r="Q1511" s="1"/>
      <c r="R1511" s="1"/>
      <c r="S1511" s="1"/>
      <c r="T1511" s="1"/>
      <c r="U1511" s="1"/>
      <c r="V1511" s="1"/>
      <c r="W1511" s="1"/>
      <c r="X1511" s="1"/>
    </row>
    <row r="1512" spans="1:24">
      <c r="A1512" s="1"/>
      <c r="M1512" s="26"/>
      <c r="N1512" s="26"/>
      <c r="P1512" s="1"/>
      <c r="Q1512" s="1"/>
      <c r="R1512" s="1"/>
      <c r="S1512" s="1"/>
      <c r="T1512" s="1"/>
      <c r="U1512" s="1"/>
      <c r="V1512" s="1"/>
      <c r="W1512" s="1"/>
      <c r="X1512" s="1"/>
    </row>
    <row r="1513" spans="1:24">
      <c r="A1513" s="1"/>
      <c r="M1513" s="26"/>
      <c r="N1513" s="26"/>
      <c r="P1513" s="1"/>
      <c r="Q1513" s="1"/>
      <c r="R1513" s="1"/>
      <c r="S1513" s="1"/>
      <c r="T1513" s="1"/>
      <c r="U1513" s="1"/>
      <c r="V1513" s="1"/>
      <c r="W1513" s="1"/>
      <c r="X1513" s="1"/>
    </row>
    <row r="1514" spans="1:24">
      <c r="A1514" s="1"/>
      <c r="M1514" s="26"/>
      <c r="N1514" s="26"/>
      <c r="P1514" s="1"/>
      <c r="Q1514" s="1"/>
      <c r="R1514" s="1"/>
      <c r="S1514" s="1"/>
      <c r="T1514" s="1"/>
      <c r="U1514" s="1"/>
      <c r="V1514" s="1"/>
      <c r="W1514" s="1"/>
      <c r="X1514" s="1"/>
    </row>
    <row r="1515" spans="1:24">
      <c r="A1515" s="1"/>
      <c r="M1515" s="26"/>
      <c r="N1515" s="26"/>
      <c r="P1515" s="1"/>
      <c r="Q1515" s="1"/>
      <c r="R1515" s="1"/>
      <c r="S1515" s="1"/>
      <c r="T1515" s="1"/>
      <c r="U1515" s="1"/>
      <c r="V1515" s="1"/>
      <c r="W1515" s="1"/>
      <c r="X1515" s="1"/>
    </row>
    <row r="1516" spans="1:24">
      <c r="A1516" s="1"/>
      <c r="M1516" s="26"/>
      <c r="N1516" s="26"/>
      <c r="P1516" s="1"/>
      <c r="Q1516" s="1"/>
      <c r="R1516" s="1"/>
      <c r="S1516" s="1"/>
      <c r="T1516" s="1"/>
      <c r="U1516" s="1"/>
      <c r="V1516" s="1"/>
      <c r="W1516" s="1"/>
      <c r="X1516" s="1"/>
    </row>
    <row r="1517" spans="1:24">
      <c r="A1517" s="1"/>
      <c r="M1517" s="26"/>
      <c r="N1517" s="26"/>
      <c r="P1517" s="1"/>
      <c r="Q1517" s="1"/>
      <c r="R1517" s="1"/>
      <c r="S1517" s="1"/>
      <c r="T1517" s="1"/>
      <c r="U1517" s="1"/>
      <c r="V1517" s="1"/>
      <c r="W1517" s="1"/>
      <c r="X1517" s="1"/>
    </row>
    <row r="1518" spans="1:24">
      <c r="A1518" s="1"/>
      <c r="M1518" s="26"/>
      <c r="N1518" s="26"/>
      <c r="P1518" s="1"/>
      <c r="Q1518" s="1"/>
      <c r="R1518" s="1"/>
      <c r="S1518" s="1"/>
      <c r="T1518" s="1"/>
      <c r="U1518" s="1"/>
      <c r="V1518" s="1"/>
      <c r="W1518" s="1"/>
      <c r="X1518" s="1"/>
    </row>
    <row r="1519" spans="1:24">
      <c r="A1519" s="1"/>
      <c r="M1519" s="26"/>
      <c r="N1519" s="26"/>
      <c r="P1519" s="1"/>
      <c r="Q1519" s="1"/>
      <c r="R1519" s="1"/>
      <c r="S1519" s="1"/>
      <c r="T1519" s="1"/>
      <c r="U1519" s="1"/>
      <c r="V1519" s="1"/>
      <c r="W1519" s="1"/>
      <c r="X1519" s="1"/>
    </row>
    <row r="1520" spans="1:24">
      <c r="A1520" s="1"/>
      <c r="M1520" s="26"/>
      <c r="N1520" s="26"/>
      <c r="P1520" s="1"/>
      <c r="Q1520" s="1"/>
      <c r="R1520" s="1"/>
      <c r="S1520" s="1"/>
      <c r="T1520" s="1"/>
      <c r="U1520" s="1"/>
      <c r="V1520" s="1"/>
      <c r="W1520" s="1"/>
      <c r="X1520" s="1"/>
    </row>
    <row r="1521" spans="1:24">
      <c r="A1521" s="1"/>
      <c r="M1521" s="26"/>
      <c r="N1521" s="26"/>
      <c r="P1521" s="1"/>
      <c r="Q1521" s="1"/>
      <c r="R1521" s="1"/>
      <c r="S1521" s="1"/>
      <c r="T1521" s="1"/>
      <c r="U1521" s="1"/>
      <c r="V1521" s="1"/>
      <c r="W1521" s="1"/>
      <c r="X1521" s="1"/>
    </row>
    <row r="1522" spans="1:24">
      <c r="A1522" s="1"/>
      <c r="M1522" s="26"/>
      <c r="N1522" s="26"/>
      <c r="P1522" s="1"/>
      <c r="Q1522" s="1"/>
      <c r="R1522" s="1"/>
      <c r="S1522" s="1"/>
      <c r="T1522" s="1"/>
      <c r="U1522" s="1"/>
      <c r="V1522" s="1"/>
      <c r="W1522" s="1"/>
      <c r="X1522" s="1"/>
    </row>
    <row r="1523" spans="1:24">
      <c r="A1523" s="1"/>
      <c r="M1523" s="26"/>
      <c r="N1523" s="26"/>
      <c r="P1523" s="1"/>
      <c r="Q1523" s="1"/>
      <c r="R1523" s="1"/>
      <c r="S1523" s="1"/>
      <c r="T1523" s="1"/>
      <c r="U1523" s="1"/>
      <c r="V1523" s="1"/>
      <c r="W1523" s="1"/>
      <c r="X1523" s="1"/>
    </row>
    <row r="1524" spans="1:24">
      <c r="A1524" s="1"/>
      <c r="M1524" s="26"/>
      <c r="N1524" s="26"/>
      <c r="P1524" s="1"/>
      <c r="Q1524" s="1"/>
      <c r="R1524" s="1"/>
      <c r="S1524" s="1"/>
      <c r="T1524" s="1"/>
      <c r="U1524" s="1"/>
      <c r="V1524" s="1"/>
      <c r="W1524" s="1"/>
      <c r="X1524" s="1"/>
    </row>
    <row r="1525" spans="1:24">
      <c r="A1525" s="1"/>
      <c r="M1525" s="26"/>
      <c r="N1525" s="26"/>
      <c r="P1525" s="1"/>
      <c r="Q1525" s="1"/>
      <c r="R1525" s="1"/>
      <c r="S1525" s="1"/>
      <c r="T1525" s="1"/>
      <c r="U1525" s="1"/>
      <c r="V1525" s="1"/>
      <c r="W1525" s="1"/>
      <c r="X1525" s="1"/>
    </row>
    <row r="1526" spans="1:24">
      <c r="A1526" s="1"/>
      <c r="M1526" s="26"/>
      <c r="N1526" s="26"/>
      <c r="P1526" s="1"/>
      <c r="Q1526" s="1"/>
      <c r="R1526" s="1"/>
      <c r="S1526" s="1"/>
      <c r="T1526" s="1"/>
      <c r="U1526" s="1"/>
      <c r="V1526" s="1"/>
      <c r="W1526" s="1"/>
      <c r="X1526" s="1"/>
    </row>
    <row r="1527" spans="1:24">
      <c r="A1527" s="1"/>
      <c r="M1527" s="26"/>
      <c r="N1527" s="26"/>
      <c r="P1527" s="1"/>
      <c r="Q1527" s="1"/>
      <c r="R1527" s="1"/>
      <c r="S1527" s="1"/>
      <c r="T1527" s="1"/>
      <c r="U1527" s="1"/>
      <c r="V1527" s="1"/>
      <c r="W1527" s="1"/>
      <c r="X1527" s="1"/>
    </row>
    <row r="1528" spans="1:24">
      <c r="A1528" s="1"/>
      <c r="M1528" s="26"/>
      <c r="N1528" s="26"/>
      <c r="P1528" s="1"/>
      <c r="Q1528" s="1"/>
      <c r="R1528" s="1"/>
      <c r="S1528" s="1"/>
      <c r="T1528" s="1"/>
      <c r="U1528" s="1"/>
      <c r="V1528" s="1"/>
      <c r="W1528" s="1"/>
      <c r="X1528" s="1"/>
    </row>
    <row r="1529" spans="1:24">
      <c r="A1529" s="1"/>
      <c r="M1529" s="26"/>
      <c r="N1529" s="26"/>
      <c r="P1529" s="1"/>
      <c r="Q1529" s="1"/>
      <c r="R1529" s="1"/>
      <c r="S1529" s="1"/>
      <c r="T1529" s="1"/>
      <c r="U1529" s="1"/>
      <c r="V1529" s="1"/>
      <c r="W1529" s="1"/>
      <c r="X1529" s="1"/>
    </row>
    <row r="1530" spans="1:24">
      <c r="A1530" s="1"/>
      <c r="M1530" s="26"/>
      <c r="N1530" s="26"/>
      <c r="P1530" s="1"/>
      <c r="Q1530" s="1"/>
      <c r="R1530" s="1"/>
      <c r="S1530" s="1"/>
      <c r="T1530" s="1"/>
      <c r="U1530" s="1"/>
      <c r="V1530" s="1"/>
      <c r="W1530" s="1"/>
      <c r="X1530" s="1"/>
    </row>
    <row r="1531" spans="1:24">
      <c r="A1531" s="1"/>
      <c r="M1531" s="26"/>
      <c r="N1531" s="26"/>
      <c r="P1531" s="1"/>
      <c r="Q1531" s="1"/>
      <c r="R1531" s="1"/>
      <c r="S1531" s="1"/>
      <c r="T1531" s="1"/>
      <c r="U1531" s="1"/>
      <c r="V1531" s="1"/>
      <c r="W1531" s="1"/>
      <c r="X1531" s="1"/>
    </row>
    <row r="1532" spans="1:24">
      <c r="A1532" s="1"/>
      <c r="M1532" s="26"/>
      <c r="N1532" s="26"/>
      <c r="P1532" s="1"/>
      <c r="Q1532" s="1"/>
      <c r="R1532" s="1"/>
      <c r="S1532" s="1"/>
      <c r="T1532" s="1"/>
      <c r="U1532" s="1"/>
      <c r="V1532" s="1"/>
      <c r="W1532" s="1"/>
      <c r="X1532" s="1"/>
    </row>
    <row r="1533" spans="1:24">
      <c r="A1533" s="1"/>
      <c r="M1533" s="26"/>
      <c r="N1533" s="26"/>
      <c r="P1533" s="1"/>
      <c r="Q1533" s="1"/>
      <c r="R1533" s="1"/>
      <c r="S1533" s="1"/>
      <c r="T1533" s="1"/>
      <c r="U1533" s="1"/>
      <c r="V1533" s="1"/>
      <c r="W1533" s="1"/>
      <c r="X1533" s="1"/>
    </row>
    <row r="1534" spans="1:24">
      <c r="A1534" s="1"/>
      <c r="M1534" s="26"/>
      <c r="N1534" s="26"/>
      <c r="P1534" s="1"/>
      <c r="Q1534" s="1"/>
      <c r="R1534" s="1"/>
      <c r="S1534" s="1"/>
      <c r="T1534" s="1"/>
      <c r="U1534" s="1"/>
      <c r="V1534" s="1"/>
      <c r="W1534" s="1"/>
      <c r="X1534" s="1"/>
    </row>
    <row r="1535" spans="1:24">
      <c r="A1535" s="1"/>
      <c r="M1535" s="26"/>
      <c r="N1535" s="26"/>
      <c r="P1535" s="1"/>
      <c r="Q1535" s="1"/>
      <c r="R1535" s="1"/>
      <c r="S1535" s="1"/>
      <c r="T1535" s="1"/>
      <c r="U1535" s="1"/>
      <c r="V1535" s="1"/>
      <c r="W1535" s="1"/>
      <c r="X1535" s="1"/>
    </row>
    <row r="1536" spans="1:24">
      <c r="A1536" s="1"/>
      <c r="M1536" s="26"/>
      <c r="N1536" s="26"/>
      <c r="P1536" s="1"/>
      <c r="Q1536" s="1"/>
      <c r="R1536" s="1"/>
      <c r="S1536" s="1"/>
      <c r="T1536" s="1"/>
      <c r="U1536" s="1"/>
      <c r="V1536" s="1"/>
      <c r="W1536" s="1"/>
      <c r="X1536" s="1"/>
    </row>
    <row r="1537" spans="1:24">
      <c r="A1537" s="1"/>
      <c r="M1537" s="26"/>
      <c r="N1537" s="26"/>
      <c r="P1537" s="1"/>
      <c r="Q1537" s="1"/>
      <c r="R1537" s="1"/>
      <c r="S1537" s="1"/>
      <c r="T1537" s="1"/>
      <c r="U1537" s="1"/>
      <c r="V1537" s="1"/>
      <c r="W1537" s="1"/>
      <c r="X1537" s="1"/>
    </row>
    <row r="1538" spans="1:24">
      <c r="A1538" s="1"/>
      <c r="M1538" s="26"/>
      <c r="N1538" s="26"/>
      <c r="P1538" s="1"/>
      <c r="Q1538" s="1"/>
      <c r="R1538" s="1"/>
      <c r="S1538" s="1"/>
      <c r="T1538" s="1"/>
      <c r="U1538" s="1"/>
      <c r="V1538" s="1"/>
      <c r="W1538" s="1"/>
      <c r="X1538" s="1"/>
    </row>
    <row r="1539" spans="1:24">
      <c r="A1539" s="1"/>
      <c r="M1539" s="26"/>
      <c r="N1539" s="26"/>
      <c r="P1539" s="1"/>
      <c r="Q1539" s="1"/>
      <c r="R1539" s="1"/>
      <c r="S1539" s="1"/>
      <c r="T1539" s="1"/>
      <c r="U1539" s="1"/>
      <c r="V1539" s="1"/>
      <c r="W1539" s="1"/>
      <c r="X1539" s="1"/>
    </row>
    <row r="1540" spans="1:24">
      <c r="A1540" s="1"/>
      <c r="M1540" s="26"/>
      <c r="N1540" s="26"/>
      <c r="P1540" s="1"/>
      <c r="Q1540" s="1"/>
      <c r="R1540" s="1"/>
      <c r="S1540" s="1"/>
      <c r="T1540" s="1"/>
      <c r="U1540" s="1"/>
      <c r="V1540" s="1"/>
      <c r="W1540" s="1"/>
      <c r="X1540" s="1"/>
    </row>
    <row r="1541" spans="1:24">
      <c r="A1541" s="1"/>
      <c r="M1541" s="26"/>
      <c r="N1541" s="26"/>
      <c r="P1541" s="1"/>
      <c r="Q1541" s="1"/>
      <c r="R1541" s="1"/>
      <c r="S1541" s="1"/>
      <c r="T1541" s="1"/>
      <c r="U1541" s="1"/>
      <c r="V1541" s="1"/>
      <c r="W1541" s="1"/>
      <c r="X1541" s="1"/>
    </row>
    <row r="1542" spans="1:24">
      <c r="A1542" s="1"/>
      <c r="M1542" s="26"/>
      <c r="N1542" s="26"/>
      <c r="P1542" s="1"/>
      <c r="Q1542" s="1"/>
      <c r="R1542" s="1"/>
      <c r="S1542" s="1"/>
      <c r="T1542" s="1"/>
      <c r="U1542" s="1"/>
      <c r="V1542" s="1"/>
      <c r="W1542" s="1"/>
      <c r="X1542" s="1"/>
    </row>
    <row r="1543" spans="1:24">
      <c r="A1543" s="1"/>
      <c r="M1543" s="26"/>
      <c r="N1543" s="26"/>
      <c r="P1543" s="1"/>
      <c r="Q1543" s="1"/>
      <c r="R1543" s="1"/>
      <c r="S1543" s="1"/>
      <c r="T1543" s="1"/>
      <c r="U1543" s="1"/>
      <c r="V1543" s="1"/>
      <c r="W1543" s="1"/>
      <c r="X1543" s="1"/>
    </row>
    <row r="1544" spans="1:24">
      <c r="A1544" s="1"/>
      <c r="M1544" s="26"/>
      <c r="N1544" s="26"/>
      <c r="P1544" s="1"/>
      <c r="Q1544" s="1"/>
      <c r="R1544" s="1"/>
      <c r="S1544" s="1"/>
      <c r="T1544" s="1"/>
      <c r="U1544" s="1"/>
      <c r="V1544" s="1"/>
      <c r="W1544" s="1"/>
      <c r="X1544" s="1"/>
    </row>
    <row r="1545" spans="1:24">
      <c r="A1545" s="1"/>
      <c r="M1545" s="26"/>
      <c r="N1545" s="26"/>
      <c r="P1545" s="1"/>
      <c r="Q1545" s="1"/>
      <c r="R1545" s="1"/>
      <c r="S1545" s="1"/>
      <c r="T1545" s="1"/>
      <c r="U1545" s="1"/>
      <c r="V1545" s="1"/>
      <c r="W1545" s="1"/>
      <c r="X1545" s="1"/>
    </row>
    <row r="1546" spans="1:24">
      <c r="A1546" s="1"/>
      <c r="M1546" s="26"/>
      <c r="N1546" s="26"/>
      <c r="P1546" s="1"/>
      <c r="Q1546" s="1"/>
      <c r="R1546" s="1"/>
      <c r="S1546" s="1"/>
      <c r="T1546" s="1"/>
      <c r="U1546" s="1"/>
      <c r="V1546" s="1"/>
      <c r="W1546" s="1"/>
      <c r="X1546" s="1"/>
    </row>
    <row r="1547" spans="1:24">
      <c r="A1547" s="1"/>
      <c r="M1547" s="26"/>
      <c r="N1547" s="26"/>
      <c r="P1547" s="1"/>
      <c r="Q1547" s="1"/>
      <c r="R1547" s="1"/>
      <c r="S1547" s="1"/>
      <c r="T1547" s="1"/>
      <c r="U1547" s="1"/>
      <c r="V1547" s="1"/>
      <c r="W1547" s="1"/>
      <c r="X1547" s="1"/>
    </row>
    <row r="1548" spans="1:24">
      <c r="A1548" s="1"/>
      <c r="M1548" s="26"/>
      <c r="N1548" s="26"/>
      <c r="P1548" s="1"/>
      <c r="Q1548" s="1"/>
      <c r="R1548" s="1"/>
      <c r="S1548" s="1"/>
      <c r="T1548" s="1"/>
      <c r="U1548" s="1"/>
      <c r="V1548" s="1"/>
      <c r="W1548" s="1"/>
      <c r="X1548" s="1"/>
    </row>
    <row r="1549" spans="1:24">
      <c r="A1549" s="1"/>
      <c r="M1549" s="26"/>
      <c r="N1549" s="26"/>
      <c r="P1549" s="1"/>
      <c r="Q1549" s="1"/>
      <c r="R1549" s="1"/>
      <c r="S1549" s="1"/>
      <c r="T1549" s="1"/>
      <c r="U1549" s="1"/>
      <c r="V1549" s="1"/>
      <c r="W1549" s="1"/>
      <c r="X1549" s="1"/>
    </row>
    <row r="1550" spans="1:24">
      <c r="A1550" s="1"/>
      <c r="M1550" s="26"/>
      <c r="N1550" s="26"/>
      <c r="P1550" s="1"/>
      <c r="Q1550" s="1"/>
      <c r="R1550" s="1"/>
      <c r="S1550" s="1"/>
      <c r="T1550" s="1"/>
      <c r="U1550" s="1"/>
      <c r="V1550" s="1"/>
      <c r="W1550" s="1"/>
      <c r="X1550" s="1"/>
    </row>
    <row r="1551" spans="1:24">
      <c r="A1551" s="1"/>
      <c r="M1551" s="26"/>
      <c r="N1551" s="26"/>
      <c r="P1551" s="1"/>
      <c r="Q1551" s="1"/>
      <c r="R1551" s="1"/>
      <c r="S1551" s="1"/>
      <c r="T1551" s="1"/>
      <c r="U1551" s="1"/>
      <c r="V1551" s="1"/>
      <c r="W1551" s="1"/>
      <c r="X1551" s="1"/>
    </row>
    <row r="1552" spans="1:24">
      <c r="A1552" s="1"/>
      <c r="M1552" s="26"/>
      <c r="N1552" s="26"/>
      <c r="P1552" s="1"/>
      <c r="Q1552" s="1"/>
      <c r="R1552" s="1"/>
      <c r="S1552" s="1"/>
      <c r="T1552" s="1"/>
      <c r="U1552" s="1"/>
      <c r="V1552" s="1"/>
      <c r="W1552" s="1"/>
      <c r="X1552" s="1"/>
    </row>
    <row r="1553" spans="1:24">
      <c r="A1553" s="1"/>
      <c r="M1553" s="26"/>
      <c r="N1553" s="26"/>
      <c r="P1553" s="1"/>
      <c r="Q1553" s="1"/>
      <c r="R1553" s="1"/>
      <c r="S1553" s="1"/>
      <c r="T1553" s="1"/>
      <c r="U1553" s="1"/>
      <c r="V1553" s="1"/>
      <c r="W1553" s="1"/>
      <c r="X1553" s="1"/>
    </row>
    <row r="1554" spans="1:24">
      <c r="A1554" s="1"/>
      <c r="M1554" s="26"/>
      <c r="N1554" s="26"/>
      <c r="P1554" s="1"/>
      <c r="Q1554" s="1"/>
      <c r="R1554" s="1"/>
      <c r="S1554" s="1"/>
      <c r="T1554" s="1"/>
      <c r="U1554" s="1"/>
      <c r="V1554" s="1"/>
      <c r="W1554" s="1"/>
      <c r="X1554" s="1"/>
    </row>
    <row r="1555" spans="1:24">
      <c r="A1555" s="1"/>
      <c r="M1555" s="26"/>
      <c r="N1555" s="26"/>
      <c r="P1555" s="1"/>
      <c r="Q1555" s="1"/>
      <c r="R1555" s="1"/>
      <c r="S1555" s="1"/>
      <c r="T1555" s="1"/>
      <c r="U1555" s="1"/>
      <c r="V1555" s="1"/>
      <c r="W1555" s="1"/>
      <c r="X1555" s="1"/>
    </row>
    <row r="1556" spans="1:24">
      <c r="A1556" s="1"/>
      <c r="M1556" s="26"/>
      <c r="N1556" s="26"/>
      <c r="P1556" s="1"/>
      <c r="Q1556" s="1"/>
      <c r="R1556" s="1"/>
      <c r="S1556" s="1"/>
      <c r="T1556" s="1"/>
      <c r="U1556" s="1"/>
      <c r="V1556" s="1"/>
      <c r="W1556" s="1"/>
      <c r="X1556" s="1"/>
    </row>
    <row r="1557" spans="1:24">
      <c r="A1557" s="1"/>
      <c r="M1557" s="26"/>
      <c r="N1557" s="26"/>
      <c r="P1557" s="1"/>
      <c r="Q1557" s="1"/>
      <c r="R1557" s="1"/>
      <c r="S1557" s="1"/>
      <c r="T1557" s="1"/>
      <c r="U1557" s="1"/>
      <c r="V1557" s="1"/>
      <c r="W1557" s="1"/>
      <c r="X1557" s="1"/>
    </row>
    <row r="1558" spans="1:24">
      <c r="A1558" s="1"/>
      <c r="M1558" s="26"/>
      <c r="N1558" s="26"/>
      <c r="P1558" s="1"/>
      <c r="Q1558" s="1"/>
      <c r="R1558" s="1"/>
      <c r="S1558" s="1"/>
      <c r="T1558" s="1"/>
      <c r="U1558" s="1"/>
      <c r="V1558" s="1"/>
      <c r="W1558" s="1"/>
      <c r="X1558" s="1"/>
    </row>
    <row r="1559" spans="1:24">
      <c r="A1559" s="1"/>
      <c r="M1559" s="26"/>
      <c r="N1559" s="26"/>
      <c r="P1559" s="1"/>
      <c r="Q1559" s="1"/>
      <c r="R1559" s="1"/>
      <c r="S1559" s="1"/>
      <c r="T1559" s="1"/>
      <c r="U1559" s="1"/>
      <c r="V1559" s="1"/>
      <c r="W1559" s="1"/>
      <c r="X1559" s="1"/>
    </row>
    <row r="1560" spans="1:24">
      <c r="A1560" s="1"/>
      <c r="M1560" s="26"/>
      <c r="N1560" s="26"/>
      <c r="P1560" s="1"/>
      <c r="Q1560" s="1"/>
      <c r="R1560" s="1"/>
      <c r="S1560" s="1"/>
      <c r="T1560" s="1"/>
      <c r="U1560" s="1"/>
      <c r="V1560" s="1"/>
      <c r="W1560" s="1"/>
      <c r="X1560" s="1"/>
    </row>
    <row r="1561" spans="1:24">
      <c r="A1561" s="1"/>
      <c r="M1561" s="26"/>
      <c r="N1561" s="26"/>
      <c r="P1561" s="1"/>
      <c r="Q1561" s="1"/>
      <c r="R1561" s="1"/>
      <c r="S1561" s="1"/>
      <c r="T1561" s="1"/>
      <c r="U1561" s="1"/>
      <c r="V1561" s="1"/>
      <c r="W1561" s="1"/>
      <c r="X1561" s="1"/>
    </row>
    <row r="1562" spans="1:24">
      <c r="A1562" s="1"/>
      <c r="M1562" s="26"/>
      <c r="N1562" s="26"/>
      <c r="P1562" s="1"/>
      <c r="Q1562" s="1"/>
      <c r="R1562" s="1"/>
      <c r="S1562" s="1"/>
      <c r="T1562" s="1"/>
      <c r="U1562" s="1"/>
      <c r="V1562" s="1"/>
      <c r="W1562" s="1"/>
      <c r="X1562" s="1"/>
    </row>
    <row r="1563" spans="1:24">
      <c r="A1563" s="1"/>
      <c r="M1563" s="26"/>
      <c r="N1563" s="26"/>
      <c r="P1563" s="1"/>
      <c r="Q1563" s="1"/>
      <c r="R1563" s="1"/>
      <c r="S1563" s="1"/>
      <c r="T1563" s="1"/>
      <c r="U1563" s="1"/>
      <c r="V1563" s="1"/>
      <c r="W1563" s="1"/>
      <c r="X1563" s="1"/>
    </row>
    <row r="1564" spans="1:24">
      <c r="A1564" s="1"/>
      <c r="M1564" s="26"/>
      <c r="N1564" s="26"/>
      <c r="P1564" s="1"/>
      <c r="Q1564" s="1"/>
      <c r="R1564" s="1"/>
      <c r="S1564" s="1"/>
      <c r="T1564" s="1"/>
      <c r="U1564" s="1"/>
      <c r="V1564" s="1"/>
      <c r="W1564" s="1"/>
      <c r="X1564" s="1"/>
    </row>
    <row r="1565" spans="1:24">
      <c r="A1565" s="1"/>
      <c r="M1565" s="26"/>
      <c r="N1565" s="26"/>
      <c r="P1565" s="1"/>
      <c r="Q1565" s="1"/>
      <c r="R1565" s="1"/>
      <c r="S1565" s="1"/>
      <c r="T1565" s="1"/>
      <c r="U1565" s="1"/>
      <c r="V1565" s="1"/>
      <c r="W1565" s="1"/>
      <c r="X1565" s="1"/>
    </row>
    <row r="1566" spans="1:24">
      <c r="A1566" s="1"/>
      <c r="M1566" s="26"/>
      <c r="N1566" s="26"/>
      <c r="P1566" s="1"/>
      <c r="Q1566" s="1"/>
      <c r="R1566" s="1"/>
      <c r="S1566" s="1"/>
      <c r="T1566" s="1"/>
      <c r="U1566" s="1"/>
      <c r="V1566" s="1"/>
      <c r="W1566" s="1"/>
      <c r="X1566" s="1"/>
    </row>
    <row r="1567" spans="1:24">
      <c r="A1567" s="1"/>
      <c r="M1567" s="26"/>
      <c r="N1567" s="26"/>
      <c r="P1567" s="1"/>
      <c r="Q1567" s="1"/>
      <c r="R1567" s="1"/>
      <c r="S1567" s="1"/>
      <c r="T1567" s="1"/>
      <c r="U1567" s="1"/>
      <c r="V1567" s="1"/>
      <c r="W1567" s="1"/>
      <c r="X1567" s="1"/>
    </row>
    <row r="1568" spans="1:24">
      <c r="A1568" s="1"/>
      <c r="M1568" s="26"/>
      <c r="N1568" s="26"/>
      <c r="P1568" s="1"/>
      <c r="Q1568" s="1"/>
      <c r="R1568" s="1"/>
      <c r="S1568" s="1"/>
      <c r="T1568" s="1"/>
      <c r="U1568" s="1"/>
      <c r="V1568" s="1"/>
      <c r="W1568" s="1"/>
      <c r="X1568" s="1"/>
    </row>
    <row r="1569" spans="1:24">
      <c r="A1569" s="1"/>
      <c r="M1569" s="26"/>
      <c r="N1569" s="26"/>
      <c r="P1569" s="1"/>
      <c r="Q1569" s="1"/>
      <c r="R1569" s="1"/>
      <c r="S1569" s="1"/>
      <c r="T1569" s="1"/>
      <c r="U1569" s="1"/>
      <c r="V1569" s="1"/>
      <c r="W1569" s="1"/>
      <c r="X1569" s="1"/>
    </row>
    <row r="1570" spans="1:24">
      <c r="A1570" s="1"/>
      <c r="M1570" s="26"/>
      <c r="N1570" s="26"/>
      <c r="P1570" s="1"/>
      <c r="Q1570" s="1"/>
      <c r="R1570" s="1"/>
      <c r="S1570" s="1"/>
      <c r="T1570" s="1"/>
      <c r="U1570" s="1"/>
      <c r="V1570" s="1"/>
      <c r="W1570" s="1"/>
      <c r="X1570" s="1"/>
    </row>
    <row r="1571" spans="1:24">
      <c r="A1571" s="1"/>
      <c r="M1571" s="26"/>
      <c r="N1571" s="26"/>
      <c r="P1571" s="1"/>
      <c r="Q1571" s="1"/>
      <c r="R1571" s="1"/>
      <c r="S1571" s="1"/>
      <c r="T1571" s="1"/>
      <c r="U1571" s="1"/>
      <c r="V1571" s="1"/>
      <c r="W1571" s="1"/>
      <c r="X1571" s="1"/>
    </row>
    <row r="1572" spans="1:24">
      <c r="A1572" s="1"/>
      <c r="M1572" s="26"/>
      <c r="N1572" s="26"/>
      <c r="P1572" s="1"/>
      <c r="Q1572" s="1"/>
      <c r="R1572" s="1"/>
      <c r="S1572" s="1"/>
      <c r="T1572" s="1"/>
      <c r="U1572" s="1"/>
      <c r="V1572" s="1"/>
      <c r="W1572" s="1"/>
      <c r="X1572" s="1"/>
    </row>
    <row r="1573" spans="1:24">
      <c r="A1573" s="1"/>
      <c r="M1573" s="26"/>
      <c r="N1573" s="26"/>
      <c r="P1573" s="1"/>
      <c r="Q1573" s="1"/>
      <c r="R1573" s="1"/>
      <c r="S1573" s="1"/>
      <c r="T1573" s="1"/>
      <c r="U1573" s="1"/>
      <c r="V1573" s="1"/>
      <c r="W1573" s="1"/>
      <c r="X1573" s="1"/>
    </row>
    <row r="1574" spans="1:24">
      <c r="A1574" s="1"/>
      <c r="M1574" s="26"/>
      <c r="N1574" s="26"/>
      <c r="P1574" s="1"/>
      <c r="Q1574" s="1"/>
      <c r="R1574" s="1"/>
      <c r="S1574" s="1"/>
      <c r="T1574" s="1"/>
      <c r="U1574" s="1"/>
      <c r="V1574" s="1"/>
      <c r="W1574" s="1"/>
      <c r="X1574" s="1"/>
    </row>
    <row r="1575" spans="1:24">
      <c r="A1575" s="1"/>
      <c r="M1575" s="26"/>
      <c r="N1575" s="26"/>
      <c r="P1575" s="1"/>
      <c r="Q1575" s="1"/>
      <c r="R1575" s="1"/>
      <c r="S1575" s="1"/>
      <c r="T1575" s="1"/>
      <c r="U1575" s="1"/>
      <c r="V1575" s="1"/>
      <c r="W1575" s="1"/>
      <c r="X1575" s="1"/>
    </row>
    <row r="1576" spans="1:24">
      <c r="A1576" s="1"/>
      <c r="M1576" s="26"/>
      <c r="N1576" s="26"/>
      <c r="P1576" s="1"/>
      <c r="Q1576" s="1"/>
      <c r="R1576" s="1"/>
      <c r="S1576" s="1"/>
      <c r="T1576" s="1"/>
      <c r="U1576" s="1"/>
      <c r="V1576" s="1"/>
      <c r="W1576" s="1"/>
      <c r="X1576" s="1"/>
    </row>
    <row r="1577" spans="1:24">
      <c r="A1577" s="1"/>
      <c r="M1577" s="26"/>
      <c r="N1577" s="26"/>
      <c r="P1577" s="1"/>
      <c r="Q1577" s="1"/>
      <c r="R1577" s="1"/>
      <c r="S1577" s="1"/>
      <c r="T1577" s="1"/>
      <c r="U1577" s="1"/>
      <c r="V1577" s="1"/>
      <c r="W1577" s="1"/>
      <c r="X1577" s="1"/>
    </row>
    <row r="1578" spans="1:24">
      <c r="A1578" s="1"/>
      <c r="M1578" s="26"/>
      <c r="N1578" s="26"/>
      <c r="P1578" s="1"/>
      <c r="Q1578" s="1"/>
      <c r="R1578" s="1"/>
      <c r="S1578" s="1"/>
      <c r="T1578" s="1"/>
      <c r="U1578" s="1"/>
      <c r="V1578" s="1"/>
      <c r="W1578" s="1"/>
      <c r="X1578" s="1"/>
    </row>
    <row r="1579" spans="1:24">
      <c r="A1579" s="1"/>
      <c r="M1579" s="26"/>
      <c r="N1579" s="26"/>
      <c r="P1579" s="1"/>
      <c r="Q1579" s="1"/>
      <c r="R1579" s="1"/>
      <c r="S1579" s="1"/>
      <c r="T1579" s="1"/>
      <c r="U1579" s="1"/>
      <c r="V1579" s="1"/>
      <c r="W1579" s="1"/>
      <c r="X1579" s="1"/>
    </row>
    <row r="1580" spans="1:24">
      <c r="A1580" s="1"/>
      <c r="M1580" s="26"/>
      <c r="N1580" s="26"/>
      <c r="P1580" s="1"/>
      <c r="Q1580" s="1"/>
      <c r="R1580" s="1"/>
      <c r="S1580" s="1"/>
      <c r="T1580" s="1"/>
      <c r="U1580" s="1"/>
      <c r="V1580" s="1"/>
      <c r="W1580" s="1"/>
      <c r="X1580" s="1"/>
    </row>
    <row r="1581" spans="1:24">
      <c r="A1581" s="1"/>
      <c r="M1581" s="26"/>
      <c r="N1581" s="26"/>
      <c r="P1581" s="1"/>
      <c r="Q1581" s="1"/>
      <c r="R1581" s="1"/>
      <c r="S1581" s="1"/>
      <c r="T1581" s="1"/>
      <c r="U1581" s="1"/>
      <c r="V1581" s="1"/>
      <c r="W1581" s="1"/>
      <c r="X1581" s="1"/>
    </row>
    <row r="1582" spans="1:24">
      <c r="A1582" s="1"/>
      <c r="M1582" s="26"/>
      <c r="N1582" s="26"/>
      <c r="P1582" s="1"/>
      <c r="Q1582" s="1"/>
      <c r="R1582" s="1"/>
      <c r="S1582" s="1"/>
      <c r="T1582" s="1"/>
      <c r="U1582" s="1"/>
      <c r="V1582" s="1"/>
      <c r="W1582" s="1"/>
      <c r="X1582" s="1"/>
    </row>
    <row r="1583" spans="1:24">
      <c r="A1583" s="1"/>
      <c r="M1583" s="26"/>
      <c r="N1583" s="26"/>
      <c r="P1583" s="1"/>
      <c r="Q1583" s="1"/>
      <c r="R1583" s="1"/>
      <c r="S1583" s="1"/>
      <c r="T1583" s="1"/>
      <c r="U1583" s="1"/>
      <c r="V1583" s="1"/>
      <c r="W1583" s="1"/>
      <c r="X1583" s="1"/>
    </row>
    <row r="1584" spans="1:24">
      <c r="A1584" s="1"/>
      <c r="M1584" s="26"/>
      <c r="N1584" s="26"/>
      <c r="P1584" s="1"/>
      <c r="Q1584" s="1"/>
      <c r="R1584" s="1"/>
      <c r="S1584" s="1"/>
      <c r="T1584" s="1"/>
      <c r="U1584" s="1"/>
      <c r="V1584" s="1"/>
      <c r="W1584" s="1"/>
      <c r="X1584" s="1"/>
    </row>
    <row r="1585" spans="1:24">
      <c r="A1585" s="1"/>
      <c r="M1585" s="26"/>
      <c r="N1585" s="26"/>
      <c r="P1585" s="1"/>
      <c r="Q1585" s="1"/>
      <c r="R1585" s="1"/>
      <c r="S1585" s="1"/>
      <c r="T1585" s="1"/>
      <c r="U1585" s="1"/>
      <c r="V1585" s="1"/>
      <c r="W1585" s="1"/>
      <c r="X1585" s="1"/>
    </row>
    <row r="1586" spans="1:24">
      <c r="A1586" s="1"/>
      <c r="M1586" s="26"/>
      <c r="N1586" s="26"/>
      <c r="P1586" s="1"/>
      <c r="Q1586" s="1"/>
      <c r="R1586" s="1"/>
      <c r="S1586" s="1"/>
      <c r="T1586" s="1"/>
      <c r="U1586" s="1"/>
      <c r="V1586" s="1"/>
      <c r="W1586" s="1"/>
      <c r="X1586" s="1"/>
    </row>
    <row r="1587" spans="1:24">
      <c r="A1587" s="1"/>
      <c r="M1587" s="26"/>
      <c r="N1587" s="26"/>
      <c r="P1587" s="1"/>
      <c r="Q1587" s="1"/>
      <c r="R1587" s="1"/>
      <c r="S1587" s="1"/>
      <c r="T1587" s="1"/>
      <c r="U1587" s="1"/>
      <c r="V1587" s="1"/>
      <c r="W1587" s="1"/>
      <c r="X1587" s="1"/>
    </row>
    <row r="1588" spans="1:24">
      <c r="A1588" s="1"/>
      <c r="M1588" s="26"/>
      <c r="N1588" s="26"/>
      <c r="P1588" s="1"/>
      <c r="Q1588" s="1"/>
      <c r="R1588" s="1"/>
      <c r="S1588" s="1"/>
      <c r="T1588" s="1"/>
      <c r="U1588" s="1"/>
      <c r="V1588" s="1"/>
      <c r="W1588" s="1"/>
      <c r="X1588" s="1"/>
    </row>
    <row r="1589" spans="1:24">
      <c r="A1589" s="1"/>
      <c r="M1589" s="26"/>
      <c r="N1589" s="26"/>
      <c r="P1589" s="1"/>
      <c r="Q1589" s="1"/>
      <c r="R1589" s="1"/>
      <c r="S1589" s="1"/>
      <c r="T1589" s="1"/>
      <c r="U1589" s="1"/>
      <c r="V1589" s="1"/>
      <c r="W1589" s="1"/>
      <c r="X1589" s="1"/>
    </row>
    <row r="1590" spans="1:24">
      <c r="A1590" s="1"/>
      <c r="M1590" s="26"/>
      <c r="N1590" s="26"/>
      <c r="P1590" s="1"/>
      <c r="Q1590" s="1"/>
      <c r="R1590" s="1"/>
      <c r="S1590" s="1"/>
      <c r="T1590" s="1"/>
      <c r="U1590" s="1"/>
      <c r="V1590" s="1"/>
      <c r="W1590" s="1"/>
      <c r="X1590" s="1"/>
    </row>
    <row r="1591" spans="1:24">
      <c r="A1591" s="1"/>
      <c r="M1591" s="26"/>
      <c r="N1591" s="26"/>
      <c r="P1591" s="1"/>
      <c r="Q1591" s="1"/>
      <c r="R1591" s="1"/>
      <c r="S1591" s="1"/>
      <c r="T1591" s="1"/>
      <c r="U1591" s="1"/>
      <c r="V1591" s="1"/>
      <c r="W1591" s="1"/>
      <c r="X1591" s="1"/>
    </row>
    <row r="1592" spans="1:24">
      <c r="A1592" s="1"/>
      <c r="M1592" s="26"/>
      <c r="N1592" s="26"/>
      <c r="P1592" s="1"/>
      <c r="Q1592" s="1"/>
      <c r="R1592" s="1"/>
      <c r="S1592" s="1"/>
      <c r="T1592" s="1"/>
      <c r="U1592" s="1"/>
      <c r="V1592" s="1"/>
      <c r="W1592" s="1"/>
      <c r="X1592" s="1"/>
    </row>
    <row r="1593" spans="1:24">
      <c r="A1593" s="1"/>
      <c r="M1593" s="26"/>
      <c r="N1593" s="26"/>
      <c r="P1593" s="1"/>
      <c r="Q1593" s="1"/>
      <c r="R1593" s="1"/>
      <c r="S1593" s="1"/>
      <c r="T1593" s="1"/>
      <c r="U1593" s="1"/>
      <c r="V1593" s="1"/>
      <c r="W1593" s="1"/>
      <c r="X1593" s="1"/>
    </row>
    <row r="1594" spans="1:24">
      <c r="A1594" s="1"/>
      <c r="M1594" s="26"/>
      <c r="N1594" s="26"/>
      <c r="P1594" s="1"/>
      <c r="Q1594" s="1"/>
      <c r="R1594" s="1"/>
      <c r="S1594" s="1"/>
      <c r="T1594" s="1"/>
      <c r="U1594" s="1"/>
      <c r="V1594" s="1"/>
      <c r="W1594" s="1"/>
      <c r="X1594" s="1"/>
    </row>
    <row r="1595" spans="1:24">
      <c r="A1595" s="1"/>
      <c r="M1595" s="26"/>
      <c r="N1595" s="26"/>
      <c r="P1595" s="1"/>
      <c r="Q1595" s="1"/>
      <c r="R1595" s="1"/>
      <c r="S1595" s="1"/>
      <c r="T1595" s="1"/>
      <c r="U1595" s="1"/>
      <c r="V1595" s="1"/>
      <c r="W1595" s="1"/>
      <c r="X1595" s="1"/>
    </row>
    <row r="1596" spans="1:24">
      <c r="A1596" s="1"/>
      <c r="M1596" s="26"/>
      <c r="N1596" s="26"/>
      <c r="P1596" s="1"/>
      <c r="Q1596" s="1"/>
      <c r="R1596" s="1"/>
      <c r="S1596" s="1"/>
      <c r="T1596" s="1"/>
      <c r="U1596" s="1"/>
      <c r="V1596" s="1"/>
      <c r="W1596" s="1"/>
      <c r="X1596" s="1"/>
    </row>
    <row r="1597" spans="1:24">
      <c r="A1597" s="1"/>
      <c r="M1597" s="26"/>
      <c r="N1597" s="26"/>
      <c r="P1597" s="1"/>
      <c r="Q1597" s="1"/>
      <c r="R1597" s="1"/>
      <c r="S1597" s="1"/>
      <c r="T1597" s="1"/>
      <c r="U1597" s="1"/>
      <c r="V1597" s="1"/>
      <c r="W1597" s="1"/>
      <c r="X1597" s="1"/>
    </row>
    <row r="1598" spans="1:24">
      <c r="A1598" s="1"/>
      <c r="M1598" s="26"/>
      <c r="N1598" s="26"/>
      <c r="P1598" s="1"/>
      <c r="Q1598" s="1"/>
      <c r="R1598" s="1"/>
      <c r="S1598" s="1"/>
      <c r="T1598" s="1"/>
      <c r="U1598" s="1"/>
      <c r="V1598" s="1"/>
      <c r="W1598" s="1"/>
      <c r="X1598" s="1"/>
    </row>
    <row r="1599" spans="1:24">
      <c r="A1599" s="1"/>
      <c r="M1599" s="26"/>
      <c r="N1599" s="26"/>
      <c r="P1599" s="1"/>
      <c r="Q1599" s="1"/>
      <c r="R1599" s="1"/>
      <c r="S1599" s="1"/>
      <c r="T1599" s="1"/>
      <c r="U1599" s="1"/>
      <c r="V1599" s="1"/>
      <c r="W1599" s="1"/>
      <c r="X1599" s="1"/>
    </row>
    <row r="1600" spans="1:24">
      <c r="A1600" s="1"/>
      <c r="M1600" s="26"/>
      <c r="N1600" s="26"/>
      <c r="P1600" s="1"/>
      <c r="Q1600" s="1"/>
      <c r="R1600" s="1"/>
      <c r="S1600" s="1"/>
      <c r="T1600" s="1"/>
      <c r="U1600" s="1"/>
      <c r="V1600" s="1"/>
      <c r="W1600" s="1"/>
      <c r="X1600" s="1"/>
    </row>
    <row r="1601" spans="1:24">
      <c r="A1601" s="1"/>
      <c r="M1601" s="26"/>
      <c r="N1601" s="26"/>
      <c r="P1601" s="1"/>
      <c r="Q1601" s="1"/>
      <c r="R1601" s="1"/>
      <c r="S1601" s="1"/>
      <c r="T1601" s="1"/>
      <c r="U1601" s="1"/>
      <c r="V1601" s="1"/>
      <c r="W1601" s="1"/>
      <c r="X1601" s="1"/>
    </row>
    <row r="1602" spans="1:24">
      <c r="A1602" s="1"/>
      <c r="M1602" s="26"/>
      <c r="N1602" s="26"/>
      <c r="P1602" s="1"/>
      <c r="Q1602" s="1"/>
      <c r="R1602" s="1"/>
      <c r="S1602" s="1"/>
      <c r="T1602" s="1"/>
      <c r="U1602" s="1"/>
      <c r="V1602" s="1"/>
      <c r="W1602" s="1"/>
      <c r="X1602" s="1"/>
    </row>
    <row r="1603" spans="1:24">
      <c r="A1603" s="1"/>
      <c r="M1603" s="26"/>
      <c r="N1603" s="26"/>
      <c r="P1603" s="1"/>
      <c r="Q1603" s="1"/>
      <c r="R1603" s="1"/>
      <c r="S1603" s="1"/>
      <c r="T1603" s="1"/>
      <c r="U1603" s="1"/>
      <c r="V1603" s="1"/>
      <c r="W1603" s="1"/>
      <c r="X1603" s="1"/>
    </row>
    <row r="1604" spans="1:24">
      <c r="A1604" s="1"/>
      <c r="M1604" s="26"/>
      <c r="N1604" s="26"/>
      <c r="P1604" s="1"/>
      <c r="Q1604" s="1"/>
      <c r="R1604" s="1"/>
      <c r="S1604" s="1"/>
      <c r="T1604" s="1"/>
      <c r="U1604" s="1"/>
      <c r="V1604" s="1"/>
      <c r="W1604" s="1"/>
      <c r="X1604" s="1"/>
    </row>
    <row r="1605" spans="1:24">
      <c r="A1605" s="1"/>
      <c r="M1605" s="26"/>
      <c r="N1605" s="26"/>
      <c r="P1605" s="1"/>
      <c r="Q1605" s="1"/>
      <c r="R1605" s="1"/>
      <c r="S1605" s="1"/>
      <c r="T1605" s="1"/>
      <c r="U1605" s="1"/>
      <c r="V1605" s="1"/>
      <c r="W1605" s="1"/>
      <c r="X1605" s="1"/>
    </row>
    <row r="1606" spans="1:24">
      <c r="A1606" s="1"/>
      <c r="M1606" s="26"/>
      <c r="N1606" s="26"/>
      <c r="P1606" s="1"/>
      <c r="Q1606" s="1"/>
      <c r="R1606" s="1"/>
      <c r="S1606" s="1"/>
      <c r="T1606" s="1"/>
      <c r="U1606" s="1"/>
      <c r="V1606" s="1"/>
      <c r="W1606" s="1"/>
      <c r="X1606" s="1"/>
    </row>
    <row r="1607" spans="1:24">
      <c r="A1607" s="1"/>
      <c r="M1607" s="26"/>
      <c r="N1607" s="26"/>
      <c r="P1607" s="1"/>
      <c r="Q1607" s="1"/>
      <c r="R1607" s="1"/>
      <c r="S1607" s="1"/>
      <c r="T1607" s="1"/>
      <c r="U1607" s="1"/>
      <c r="V1607" s="1"/>
      <c r="W1607" s="1"/>
      <c r="X1607" s="1"/>
    </row>
    <row r="1608" spans="1:24">
      <c r="A1608" s="1"/>
      <c r="M1608" s="26"/>
      <c r="N1608" s="26"/>
      <c r="P1608" s="1"/>
      <c r="Q1608" s="1"/>
      <c r="R1608" s="1"/>
      <c r="S1608" s="1"/>
      <c r="T1608" s="1"/>
      <c r="U1608" s="1"/>
      <c r="V1608" s="1"/>
      <c r="W1608" s="1"/>
      <c r="X1608" s="1"/>
    </row>
    <row r="1609" spans="1:24">
      <c r="A1609" s="1"/>
      <c r="M1609" s="26"/>
      <c r="N1609" s="26"/>
      <c r="P1609" s="1"/>
      <c r="Q1609" s="1"/>
      <c r="R1609" s="1"/>
      <c r="S1609" s="1"/>
      <c r="T1609" s="1"/>
      <c r="U1609" s="1"/>
      <c r="V1609" s="1"/>
      <c r="W1609" s="1"/>
      <c r="X1609" s="1"/>
    </row>
    <row r="1610" spans="1:24">
      <c r="A1610" s="1"/>
      <c r="M1610" s="26"/>
      <c r="N1610" s="26"/>
      <c r="P1610" s="1"/>
      <c r="Q1610" s="1"/>
      <c r="R1610" s="1"/>
      <c r="S1610" s="1"/>
      <c r="T1610" s="1"/>
      <c r="U1610" s="1"/>
      <c r="V1610" s="1"/>
      <c r="W1610" s="1"/>
      <c r="X1610" s="1"/>
    </row>
    <row r="1611" spans="1:24">
      <c r="A1611" s="1"/>
      <c r="M1611" s="26"/>
      <c r="N1611" s="26"/>
      <c r="P1611" s="1"/>
      <c r="Q1611" s="1"/>
      <c r="R1611" s="1"/>
      <c r="S1611" s="1"/>
      <c r="T1611" s="1"/>
      <c r="U1611" s="1"/>
      <c r="V1611" s="1"/>
      <c r="W1611" s="1"/>
      <c r="X1611" s="1"/>
    </row>
    <row r="1612" spans="1:24">
      <c r="A1612" s="1"/>
      <c r="M1612" s="26"/>
      <c r="N1612" s="26"/>
      <c r="P1612" s="1"/>
      <c r="Q1612" s="1"/>
      <c r="R1612" s="1"/>
      <c r="S1612" s="1"/>
      <c r="T1612" s="1"/>
      <c r="U1612" s="1"/>
      <c r="V1612" s="1"/>
      <c r="W1612" s="1"/>
      <c r="X1612" s="1"/>
    </row>
    <row r="1613" spans="1:24">
      <c r="A1613" s="1"/>
      <c r="M1613" s="26"/>
      <c r="N1613" s="26"/>
      <c r="P1613" s="1"/>
      <c r="Q1613" s="1"/>
      <c r="R1613" s="1"/>
      <c r="S1613" s="1"/>
      <c r="T1613" s="1"/>
      <c r="U1613" s="1"/>
      <c r="V1613" s="1"/>
      <c r="W1613" s="1"/>
      <c r="X1613" s="1"/>
    </row>
    <row r="1614" spans="1:24">
      <c r="A1614" s="1"/>
      <c r="M1614" s="26"/>
      <c r="N1614" s="26"/>
      <c r="P1614" s="1"/>
      <c r="Q1614" s="1"/>
      <c r="R1614" s="1"/>
      <c r="S1614" s="1"/>
      <c r="T1614" s="1"/>
      <c r="U1614" s="1"/>
      <c r="V1614" s="1"/>
      <c r="W1614" s="1"/>
      <c r="X1614" s="1"/>
    </row>
    <row r="1615" spans="1:24">
      <c r="A1615" s="1"/>
      <c r="M1615" s="26"/>
      <c r="N1615" s="26"/>
      <c r="P1615" s="1"/>
      <c r="Q1615" s="1"/>
      <c r="R1615" s="1"/>
      <c r="S1615" s="1"/>
      <c r="T1615" s="1"/>
      <c r="U1615" s="1"/>
      <c r="V1615" s="1"/>
      <c r="W1615" s="1"/>
      <c r="X1615" s="1"/>
    </row>
    <row r="1616" spans="1:24">
      <c r="A1616" s="1"/>
      <c r="M1616" s="26"/>
      <c r="N1616" s="26"/>
      <c r="P1616" s="1"/>
      <c r="Q1616" s="1"/>
      <c r="R1616" s="1"/>
      <c r="S1616" s="1"/>
      <c r="T1616" s="1"/>
      <c r="U1616" s="1"/>
      <c r="V1616" s="1"/>
      <c r="W1616" s="1"/>
      <c r="X1616" s="1"/>
    </row>
    <row r="1617" spans="1:24">
      <c r="A1617" s="1"/>
      <c r="M1617" s="26"/>
      <c r="N1617" s="26"/>
      <c r="P1617" s="1"/>
      <c r="Q1617" s="1"/>
      <c r="R1617" s="1"/>
      <c r="S1617" s="1"/>
      <c r="T1617" s="1"/>
      <c r="U1617" s="1"/>
      <c r="V1617" s="1"/>
      <c r="W1617" s="1"/>
      <c r="X1617" s="1"/>
    </row>
    <row r="1618" spans="1:24">
      <c r="A1618" s="1"/>
      <c r="M1618" s="26"/>
      <c r="N1618" s="26"/>
      <c r="P1618" s="1"/>
      <c r="Q1618" s="1"/>
      <c r="R1618" s="1"/>
      <c r="S1618" s="1"/>
      <c r="T1618" s="1"/>
      <c r="U1618" s="1"/>
      <c r="V1618" s="1"/>
      <c r="W1618" s="1"/>
      <c r="X1618" s="1"/>
    </row>
    <row r="1619" spans="1:24">
      <c r="A1619" s="1"/>
      <c r="M1619" s="26"/>
      <c r="N1619" s="26"/>
      <c r="P1619" s="1"/>
      <c r="Q1619" s="1"/>
      <c r="R1619" s="1"/>
      <c r="S1619" s="1"/>
      <c r="T1619" s="1"/>
      <c r="U1619" s="1"/>
      <c r="V1619" s="1"/>
      <c r="W1619" s="1"/>
      <c r="X1619" s="1"/>
    </row>
    <row r="1620" spans="1:24">
      <c r="A1620" s="1"/>
      <c r="M1620" s="26"/>
      <c r="N1620" s="26"/>
      <c r="P1620" s="1"/>
      <c r="Q1620" s="1"/>
      <c r="R1620" s="1"/>
      <c r="S1620" s="1"/>
      <c r="T1620" s="1"/>
      <c r="U1620" s="1"/>
      <c r="V1620" s="1"/>
      <c r="W1620" s="1"/>
      <c r="X1620" s="1"/>
    </row>
    <row r="1621" spans="1:24">
      <c r="A1621" s="1"/>
      <c r="M1621" s="26"/>
      <c r="N1621" s="26"/>
      <c r="P1621" s="1"/>
      <c r="Q1621" s="1"/>
      <c r="R1621" s="1"/>
      <c r="S1621" s="1"/>
      <c r="T1621" s="1"/>
      <c r="U1621" s="1"/>
      <c r="V1621" s="1"/>
      <c r="W1621" s="1"/>
      <c r="X1621" s="1"/>
    </row>
    <row r="1622" spans="1:24">
      <c r="A1622" s="1"/>
      <c r="M1622" s="26"/>
      <c r="N1622" s="26"/>
      <c r="P1622" s="1"/>
      <c r="Q1622" s="1"/>
      <c r="R1622" s="1"/>
      <c r="S1622" s="1"/>
      <c r="T1622" s="1"/>
      <c r="U1622" s="1"/>
      <c r="V1622" s="1"/>
      <c r="W1622" s="1"/>
      <c r="X1622" s="1"/>
    </row>
    <row r="1623" spans="1:24">
      <c r="A1623" s="1"/>
      <c r="M1623" s="26"/>
      <c r="N1623" s="26"/>
      <c r="P1623" s="1"/>
      <c r="Q1623" s="1"/>
      <c r="R1623" s="1"/>
      <c r="S1623" s="1"/>
      <c r="T1623" s="1"/>
      <c r="U1623" s="1"/>
      <c r="V1623" s="1"/>
      <c r="W1623" s="1"/>
      <c r="X1623" s="1"/>
    </row>
    <row r="1624" spans="1:24">
      <c r="A1624" s="1"/>
      <c r="M1624" s="26"/>
      <c r="N1624" s="26"/>
      <c r="P1624" s="1"/>
      <c r="Q1624" s="1"/>
      <c r="R1624" s="1"/>
      <c r="S1624" s="1"/>
      <c r="T1624" s="1"/>
      <c r="U1624" s="1"/>
      <c r="V1624" s="1"/>
      <c r="W1624" s="1"/>
      <c r="X1624" s="1"/>
    </row>
    <row r="1625" spans="1:24">
      <c r="A1625" s="1"/>
      <c r="M1625" s="26"/>
      <c r="N1625" s="26"/>
      <c r="P1625" s="1"/>
      <c r="Q1625" s="1"/>
      <c r="R1625" s="1"/>
      <c r="S1625" s="1"/>
      <c r="T1625" s="1"/>
      <c r="U1625" s="1"/>
      <c r="V1625" s="1"/>
      <c r="W1625" s="1"/>
      <c r="X1625" s="1"/>
    </row>
    <row r="1626" spans="1:24">
      <c r="A1626" s="1"/>
      <c r="M1626" s="26"/>
      <c r="N1626" s="26"/>
      <c r="P1626" s="1"/>
      <c r="Q1626" s="1"/>
      <c r="R1626" s="1"/>
      <c r="S1626" s="1"/>
      <c r="T1626" s="1"/>
      <c r="U1626" s="1"/>
      <c r="V1626" s="1"/>
      <c r="W1626" s="1"/>
      <c r="X1626" s="1"/>
    </row>
    <row r="1627" spans="1:24">
      <c r="A1627" s="1"/>
      <c r="M1627" s="26"/>
      <c r="N1627" s="26"/>
      <c r="P1627" s="1"/>
      <c r="Q1627" s="1"/>
      <c r="R1627" s="1"/>
      <c r="S1627" s="1"/>
      <c r="T1627" s="1"/>
      <c r="U1627" s="1"/>
      <c r="V1627" s="1"/>
      <c r="W1627" s="1"/>
      <c r="X1627" s="1"/>
    </row>
    <row r="1628" spans="1:24">
      <c r="A1628" s="1"/>
      <c r="M1628" s="26"/>
      <c r="N1628" s="26"/>
      <c r="P1628" s="1"/>
      <c r="Q1628" s="1"/>
      <c r="R1628" s="1"/>
      <c r="S1628" s="1"/>
      <c r="T1628" s="1"/>
      <c r="U1628" s="1"/>
      <c r="V1628" s="1"/>
      <c r="W1628" s="1"/>
      <c r="X1628" s="1"/>
    </row>
    <row r="1629" spans="1:24">
      <c r="A1629" s="1"/>
      <c r="M1629" s="26"/>
      <c r="N1629" s="26"/>
      <c r="P1629" s="1"/>
      <c r="Q1629" s="1"/>
      <c r="R1629" s="1"/>
      <c r="S1629" s="1"/>
      <c r="T1629" s="1"/>
      <c r="U1629" s="1"/>
      <c r="V1629" s="1"/>
      <c r="W1629" s="1"/>
      <c r="X1629" s="1"/>
    </row>
    <row r="1630" spans="1:24">
      <c r="A1630" s="1"/>
      <c r="M1630" s="26"/>
      <c r="N1630" s="26"/>
      <c r="P1630" s="1"/>
      <c r="Q1630" s="1"/>
      <c r="R1630" s="1"/>
      <c r="S1630" s="1"/>
      <c r="T1630" s="1"/>
      <c r="U1630" s="1"/>
      <c r="V1630" s="1"/>
      <c r="W1630" s="1"/>
      <c r="X1630" s="1"/>
    </row>
    <row r="1631" spans="1:24">
      <c r="A1631" s="1"/>
      <c r="M1631" s="26"/>
      <c r="N1631" s="26"/>
      <c r="P1631" s="1"/>
      <c r="Q1631" s="1"/>
      <c r="R1631" s="1"/>
      <c r="S1631" s="1"/>
      <c r="T1631" s="1"/>
      <c r="U1631" s="1"/>
      <c r="V1631" s="1"/>
      <c r="W1631" s="1"/>
      <c r="X1631" s="1"/>
    </row>
    <row r="1632" spans="1:24">
      <c r="A1632" s="1"/>
      <c r="M1632" s="26"/>
      <c r="N1632" s="26"/>
      <c r="P1632" s="1"/>
      <c r="Q1632" s="1"/>
      <c r="R1632" s="1"/>
      <c r="S1632" s="1"/>
      <c r="T1632" s="1"/>
      <c r="U1632" s="1"/>
      <c r="V1632" s="1"/>
      <c r="W1632" s="1"/>
      <c r="X1632" s="1"/>
    </row>
    <row r="1633" spans="1:24">
      <c r="A1633" s="1"/>
      <c r="M1633" s="26"/>
      <c r="N1633" s="26"/>
      <c r="P1633" s="1"/>
      <c r="Q1633" s="1"/>
      <c r="R1633" s="1"/>
      <c r="S1633" s="1"/>
      <c r="T1633" s="1"/>
      <c r="U1633" s="1"/>
      <c r="V1633" s="1"/>
      <c r="W1633" s="1"/>
      <c r="X1633" s="1"/>
    </row>
    <row r="1634" spans="1:24">
      <c r="A1634" s="1"/>
      <c r="M1634" s="26"/>
      <c r="N1634" s="26"/>
      <c r="P1634" s="1"/>
      <c r="Q1634" s="1"/>
      <c r="R1634" s="1"/>
      <c r="S1634" s="1"/>
      <c r="T1634" s="1"/>
      <c r="U1634" s="1"/>
      <c r="V1634" s="1"/>
      <c r="W1634" s="1"/>
      <c r="X1634" s="1"/>
    </row>
    <row r="1635" spans="1:24">
      <c r="A1635" s="1"/>
      <c r="M1635" s="26"/>
      <c r="N1635" s="26"/>
      <c r="P1635" s="1"/>
      <c r="Q1635" s="1"/>
      <c r="R1635" s="1"/>
      <c r="S1635" s="1"/>
      <c r="T1635" s="1"/>
      <c r="U1635" s="1"/>
      <c r="V1635" s="1"/>
      <c r="W1635" s="1"/>
      <c r="X1635" s="1"/>
    </row>
    <row r="1636" spans="1:24">
      <c r="A1636" s="1"/>
      <c r="M1636" s="26"/>
      <c r="N1636" s="26"/>
      <c r="P1636" s="1"/>
      <c r="Q1636" s="1"/>
      <c r="R1636" s="1"/>
      <c r="S1636" s="1"/>
      <c r="T1636" s="1"/>
      <c r="U1636" s="1"/>
      <c r="V1636" s="1"/>
      <c r="W1636" s="1"/>
      <c r="X1636" s="1"/>
    </row>
    <row r="1637" spans="1:24">
      <c r="A1637" s="1"/>
      <c r="M1637" s="26"/>
      <c r="N1637" s="26"/>
      <c r="P1637" s="1"/>
      <c r="Q1637" s="1"/>
      <c r="R1637" s="1"/>
      <c r="S1637" s="1"/>
      <c r="T1637" s="1"/>
      <c r="U1637" s="1"/>
      <c r="V1637" s="1"/>
      <c r="W1637" s="1"/>
      <c r="X1637" s="1"/>
    </row>
    <row r="1638" spans="1:24">
      <c r="A1638" s="1"/>
      <c r="M1638" s="26"/>
      <c r="N1638" s="26"/>
      <c r="P1638" s="1"/>
      <c r="Q1638" s="1"/>
      <c r="R1638" s="1"/>
      <c r="S1638" s="1"/>
      <c r="T1638" s="1"/>
      <c r="U1638" s="1"/>
      <c r="V1638" s="1"/>
      <c r="W1638" s="1"/>
      <c r="X1638" s="1"/>
    </row>
    <row r="1639" spans="1:24">
      <c r="A1639" s="1"/>
      <c r="M1639" s="26"/>
      <c r="N1639" s="26"/>
      <c r="P1639" s="1"/>
      <c r="Q1639" s="1"/>
      <c r="R1639" s="1"/>
      <c r="S1639" s="1"/>
      <c r="T1639" s="1"/>
      <c r="U1639" s="1"/>
      <c r="V1639" s="1"/>
      <c r="W1639" s="1"/>
      <c r="X1639" s="1"/>
    </row>
    <row r="1640" spans="1:24">
      <c r="A1640" s="1"/>
      <c r="M1640" s="26"/>
      <c r="N1640" s="26"/>
      <c r="P1640" s="1"/>
      <c r="Q1640" s="1"/>
      <c r="R1640" s="1"/>
      <c r="S1640" s="1"/>
      <c r="T1640" s="1"/>
      <c r="U1640" s="1"/>
      <c r="V1640" s="1"/>
      <c r="W1640" s="1"/>
      <c r="X1640" s="1"/>
    </row>
    <row r="1641" spans="1:24">
      <c r="A1641" s="1"/>
      <c r="M1641" s="26"/>
      <c r="N1641" s="26"/>
      <c r="P1641" s="1"/>
      <c r="Q1641" s="1"/>
      <c r="R1641" s="1"/>
      <c r="S1641" s="1"/>
      <c r="T1641" s="1"/>
      <c r="U1641" s="1"/>
      <c r="V1641" s="1"/>
      <c r="W1641" s="1"/>
      <c r="X1641" s="1"/>
    </row>
    <row r="1642" spans="1:24">
      <c r="A1642" s="1"/>
      <c r="M1642" s="26"/>
      <c r="N1642" s="26"/>
      <c r="P1642" s="1"/>
      <c r="Q1642" s="1"/>
      <c r="R1642" s="1"/>
      <c r="S1642" s="1"/>
      <c r="T1642" s="1"/>
      <c r="U1642" s="1"/>
      <c r="V1642" s="1"/>
      <c r="W1642" s="1"/>
      <c r="X1642" s="1"/>
    </row>
    <row r="1643" spans="1:24">
      <c r="A1643" s="1"/>
      <c r="M1643" s="26"/>
      <c r="N1643" s="26"/>
      <c r="P1643" s="1"/>
      <c r="Q1643" s="1"/>
      <c r="R1643" s="1"/>
      <c r="S1643" s="1"/>
      <c r="T1643" s="1"/>
      <c r="U1643" s="1"/>
      <c r="V1643" s="1"/>
      <c r="W1643" s="1"/>
      <c r="X1643" s="1"/>
    </row>
    <row r="1644" spans="1:24">
      <c r="A1644" s="1"/>
      <c r="M1644" s="26"/>
      <c r="N1644" s="26"/>
      <c r="P1644" s="1"/>
      <c r="Q1644" s="1"/>
      <c r="R1644" s="1"/>
      <c r="S1644" s="1"/>
      <c r="T1644" s="1"/>
      <c r="U1644" s="1"/>
      <c r="V1644" s="1"/>
      <c r="W1644" s="1"/>
      <c r="X1644" s="1"/>
    </row>
    <row r="1645" spans="1:24">
      <c r="A1645" s="1"/>
      <c r="M1645" s="26"/>
      <c r="N1645" s="26"/>
      <c r="P1645" s="1"/>
      <c r="Q1645" s="1"/>
      <c r="R1645" s="1"/>
      <c r="S1645" s="1"/>
      <c r="T1645" s="1"/>
      <c r="U1645" s="1"/>
      <c r="V1645" s="1"/>
      <c r="W1645" s="1"/>
      <c r="X1645" s="1"/>
    </row>
    <row r="1646" spans="1:24">
      <c r="A1646" s="1"/>
      <c r="M1646" s="26"/>
      <c r="N1646" s="26"/>
      <c r="P1646" s="1"/>
      <c r="Q1646" s="1"/>
      <c r="R1646" s="1"/>
      <c r="S1646" s="1"/>
      <c r="T1646" s="1"/>
      <c r="U1646" s="1"/>
      <c r="V1646" s="1"/>
      <c r="W1646" s="1"/>
      <c r="X1646" s="1"/>
    </row>
    <row r="1647" spans="1:24">
      <c r="A1647" s="1"/>
      <c r="M1647" s="26"/>
      <c r="N1647" s="26"/>
      <c r="P1647" s="1"/>
      <c r="Q1647" s="1"/>
      <c r="R1647" s="1"/>
      <c r="S1647" s="1"/>
      <c r="T1647" s="1"/>
      <c r="U1647" s="1"/>
      <c r="V1647" s="1"/>
      <c r="W1647" s="1"/>
      <c r="X1647" s="1"/>
    </row>
    <row r="1648" spans="1:24">
      <c r="A1648" s="1"/>
      <c r="M1648" s="26"/>
      <c r="N1648" s="26"/>
      <c r="P1648" s="1"/>
      <c r="Q1648" s="1"/>
      <c r="R1648" s="1"/>
      <c r="S1648" s="1"/>
      <c r="T1648" s="1"/>
      <c r="U1648" s="1"/>
      <c r="V1648" s="1"/>
      <c r="W1648" s="1"/>
      <c r="X1648" s="1"/>
    </row>
    <row r="1649" spans="1:24">
      <c r="A1649" s="1"/>
      <c r="M1649" s="26"/>
      <c r="N1649" s="26"/>
      <c r="P1649" s="1"/>
      <c r="Q1649" s="1"/>
      <c r="R1649" s="1"/>
      <c r="S1649" s="1"/>
      <c r="T1649" s="1"/>
      <c r="U1649" s="1"/>
      <c r="V1649" s="1"/>
      <c r="W1649" s="1"/>
      <c r="X1649" s="1"/>
    </row>
    <row r="1650" spans="1:24">
      <c r="A1650" s="1"/>
      <c r="M1650" s="26"/>
      <c r="N1650" s="26"/>
      <c r="P1650" s="1"/>
      <c r="Q1650" s="1"/>
      <c r="R1650" s="1"/>
      <c r="S1650" s="1"/>
      <c r="T1650" s="1"/>
      <c r="U1650" s="1"/>
      <c r="V1650" s="1"/>
      <c r="W1650" s="1"/>
      <c r="X1650" s="1"/>
    </row>
    <row r="1651" spans="1:24">
      <c r="A1651" s="1"/>
      <c r="M1651" s="26"/>
      <c r="N1651" s="26"/>
      <c r="P1651" s="1"/>
      <c r="Q1651" s="1"/>
      <c r="R1651" s="1"/>
      <c r="S1651" s="1"/>
      <c r="T1651" s="1"/>
      <c r="U1651" s="1"/>
      <c r="V1651" s="1"/>
      <c r="W1651" s="1"/>
      <c r="X1651" s="1"/>
    </row>
    <row r="1652" spans="1:24">
      <c r="A1652" s="1"/>
      <c r="M1652" s="26"/>
      <c r="N1652" s="26"/>
      <c r="P1652" s="1"/>
      <c r="Q1652" s="1"/>
      <c r="R1652" s="1"/>
      <c r="S1652" s="1"/>
      <c r="T1652" s="1"/>
      <c r="U1652" s="1"/>
      <c r="V1652" s="1"/>
      <c r="W1652" s="1"/>
      <c r="X1652" s="1"/>
    </row>
    <row r="1653" spans="1:24">
      <c r="A1653" s="1"/>
      <c r="M1653" s="26"/>
      <c r="N1653" s="26"/>
      <c r="P1653" s="1"/>
      <c r="Q1653" s="1"/>
      <c r="R1653" s="1"/>
      <c r="S1653" s="1"/>
      <c r="T1653" s="1"/>
      <c r="U1653" s="1"/>
      <c r="V1653" s="1"/>
      <c r="W1653" s="1"/>
      <c r="X1653" s="1"/>
    </row>
    <row r="1654" spans="1:24">
      <c r="A1654" s="1"/>
      <c r="M1654" s="26"/>
      <c r="N1654" s="26"/>
      <c r="P1654" s="1"/>
      <c r="Q1654" s="1"/>
      <c r="R1654" s="1"/>
      <c r="S1654" s="1"/>
      <c r="T1654" s="1"/>
      <c r="U1654" s="1"/>
      <c r="V1654" s="1"/>
      <c r="W1654" s="1"/>
      <c r="X1654" s="1"/>
    </row>
    <row r="1655" spans="1:24">
      <c r="A1655" s="1"/>
      <c r="M1655" s="26"/>
      <c r="N1655" s="26"/>
      <c r="P1655" s="1"/>
      <c r="Q1655" s="1"/>
      <c r="R1655" s="1"/>
      <c r="S1655" s="1"/>
      <c r="T1655" s="1"/>
      <c r="U1655" s="1"/>
      <c r="V1655" s="1"/>
      <c r="W1655" s="1"/>
      <c r="X1655" s="1"/>
    </row>
    <row r="1656" spans="1:24">
      <c r="A1656" s="1"/>
      <c r="M1656" s="26"/>
      <c r="N1656" s="26"/>
      <c r="P1656" s="1"/>
      <c r="Q1656" s="1"/>
      <c r="R1656" s="1"/>
      <c r="S1656" s="1"/>
      <c r="T1656" s="1"/>
      <c r="U1656" s="1"/>
      <c r="V1656" s="1"/>
      <c r="W1656" s="1"/>
      <c r="X1656" s="1"/>
    </row>
    <row r="1657" spans="1:24">
      <c r="A1657" s="1"/>
      <c r="M1657" s="26"/>
      <c r="N1657" s="26"/>
      <c r="P1657" s="1"/>
      <c r="Q1657" s="1"/>
      <c r="R1657" s="1"/>
      <c r="S1657" s="1"/>
      <c r="T1657" s="1"/>
      <c r="U1657" s="1"/>
      <c r="V1657" s="1"/>
      <c r="W1657" s="1"/>
      <c r="X1657" s="1"/>
    </row>
    <row r="1658" spans="1:24">
      <c r="A1658" s="1"/>
      <c r="M1658" s="26"/>
      <c r="N1658" s="26"/>
      <c r="P1658" s="1"/>
      <c r="Q1658" s="1"/>
      <c r="R1658" s="1"/>
      <c r="S1658" s="1"/>
      <c r="T1658" s="1"/>
      <c r="U1658" s="1"/>
      <c r="V1658" s="1"/>
      <c r="W1658" s="1"/>
      <c r="X1658" s="1"/>
    </row>
    <row r="1659" spans="1:24">
      <c r="A1659" s="1"/>
      <c r="M1659" s="26"/>
      <c r="N1659" s="26"/>
      <c r="P1659" s="1"/>
      <c r="Q1659" s="1"/>
      <c r="R1659" s="1"/>
      <c r="S1659" s="1"/>
      <c r="T1659" s="1"/>
      <c r="U1659" s="1"/>
      <c r="V1659" s="1"/>
      <c r="W1659" s="1"/>
      <c r="X1659" s="1"/>
    </row>
    <row r="1660" spans="1:24">
      <c r="A1660" s="1"/>
      <c r="M1660" s="26"/>
      <c r="N1660" s="26"/>
      <c r="P1660" s="1"/>
      <c r="Q1660" s="1"/>
      <c r="R1660" s="1"/>
      <c r="S1660" s="1"/>
      <c r="T1660" s="1"/>
      <c r="U1660" s="1"/>
      <c r="V1660" s="1"/>
      <c r="W1660" s="1"/>
      <c r="X1660" s="1"/>
    </row>
    <row r="1661" spans="1:24">
      <c r="A1661" s="1"/>
      <c r="M1661" s="26"/>
      <c r="N1661" s="26"/>
      <c r="P1661" s="1"/>
      <c r="Q1661" s="1"/>
      <c r="R1661" s="1"/>
      <c r="S1661" s="1"/>
      <c r="T1661" s="1"/>
      <c r="U1661" s="1"/>
      <c r="V1661" s="1"/>
      <c r="W1661" s="1"/>
      <c r="X1661" s="1"/>
    </row>
    <row r="1662" spans="1:24">
      <c r="A1662" s="1"/>
      <c r="M1662" s="26"/>
      <c r="N1662" s="26"/>
      <c r="P1662" s="1"/>
      <c r="Q1662" s="1"/>
      <c r="R1662" s="1"/>
      <c r="S1662" s="1"/>
      <c r="T1662" s="1"/>
      <c r="U1662" s="1"/>
      <c r="V1662" s="1"/>
      <c r="W1662" s="1"/>
      <c r="X1662" s="1"/>
    </row>
    <row r="1663" spans="1:24">
      <c r="A1663" s="1"/>
      <c r="M1663" s="26"/>
      <c r="N1663" s="26"/>
      <c r="P1663" s="1"/>
      <c r="Q1663" s="1"/>
      <c r="R1663" s="1"/>
      <c r="S1663" s="1"/>
      <c r="T1663" s="1"/>
      <c r="U1663" s="1"/>
      <c r="V1663" s="1"/>
      <c r="W1663" s="1"/>
      <c r="X1663" s="1"/>
    </row>
    <row r="1664" spans="1:24">
      <c r="A1664" s="1"/>
      <c r="M1664" s="26"/>
      <c r="N1664" s="26"/>
      <c r="P1664" s="1"/>
      <c r="Q1664" s="1"/>
      <c r="R1664" s="1"/>
      <c r="S1664" s="1"/>
      <c r="T1664" s="1"/>
      <c r="U1664" s="1"/>
      <c r="V1664" s="1"/>
      <c r="W1664" s="1"/>
      <c r="X1664" s="1"/>
    </row>
    <row r="1665" spans="1:24">
      <c r="A1665" s="1"/>
      <c r="M1665" s="26"/>
      <c r="N1665" s="26"/>
      <c r="P1665" s="1"/>
      <c r="Q1665" s="1"/>
      <c r="R1665" s="1"/>
      <c r="S1665" s="1"/>
      <c r="T1665" s="1"/>
      <c r="U1665" s="1"/>
      <c r="V1665" s="1"/>
      <c r="W1665" s="1"/>
      <c r="X1665" s="1"/>
    </row>
    <row r="1666" spans="1:24">
      <c r="A1666" s="1"/>
      <c r="M1666" s="26"/>
      <c r="N1666" s="26"/>
      <c r="P1666" s="1"/>
      <c r="Q1666" s="1"/>
      <c r="R1666" s="1"/>
      <c r="S1666" s="1"/>
      <c r="T1666" s="1"/>
      <c r="U1666" s="1"/>
      <c r="V1666" s="1"/>
      <c r="W1666" s="1"/>
      <c r="X1666" s="1"/>
    </row>
    <row r="1667" spans="1:24">
      <c r="A1667" s="1"/>
      <c r="M1667" s="26"/>
      <c r="N1667" s="26"/>
      <c r="P1667" s="1"/>
      <c r="Q1667" s="1"/>
      <c r="R1667" s="1"/>
      <c r="S1667" s="1"/>
      <c r="T1667" s="1"/>
      <c r="U1667" s="1"/>
      <c r="V1667" s="1"/>
      <c r="W1667" s="1"/>
      <c r="X1667" s="1"/>
    </row>
    <row r="1668" spans="1:24">
      <c r="A1668" s="1"/>
      <c r="M1668" s="26"/>
      <c r="N1668" s="26"/>
      <c r="P1668" s="1"/>
      <c r="Q1668" s="1"/>
      <c r="R1668" s="1"/>
      <c r="S1668" s="1"/>
      <c r="T1668" s="1"/>
      <c r="U1668" s="1"/>
      <c r="V1668" s="1"/>
      <c r="W1668" s="1"/>
      <c r="X1668" s="1"/>
    </row>
    <row r="1669" spans="1:24">
      <c r="A1669" s="1"/>
      <c r="M1669" s="26"/>
      <c r="N1669" s="26"/>
      <c r="P1669" s="1"/>
      <c r="Q1669" s="1"/>
      <c r="R1669" s="1"/>
      <c r="S1669" s="1"/>
      <c r="T1669" s="1"/>
      <c r="U1669" s="1"/>
      <c r="V1669" s="1"/>
      <c r="W1669" s="1"/>
      <c r="X1669" s="1"/>
    </row>
    <row r="1670" spans="1:24">
      <c r="A1670" s="1"/>
      <c r="M1670" s="26"/>
      <c r="N1670" s="26"/>
      <c r="P1670" s="1"/>
      <c r="Q1670" s="1"/>
      <c r="R1670" s="1"/>
      <c r="S1670" s="1"/>
      <c r="T1670" s="1"/>
      <c r="U1670" s="1"/>
      <c r="V1670" s="1"/>
      <c r="W1670" s="1"/>
      <c r="X1670" s="1"/>
    </row>
    <row r="1671" spans="1:24">
      <c r="A1671" s="1"/>
      <c r="M1671" s="26"/>
      <c r="N1671" s="26"/>
      <c r="P1671" s="1"/>
      <c r="Q1671" s="1"/>
      <c r="R1671" s="1"/>
      <c r="S1671" s="1"/>
      <c r="T1671" s="1"/>
      <c r="U1671" s="1"/>
      <c r="V1671" s="1"/>
      <c r="W1671" s="1"/>
      <c r="X1671" s="1"/>
    </row>
    <row r="1672" spans="1:24">
      <c r="A1672" s="1"/>
      <c r="M1672" s="26"/>
      <c r="N1672" s="26"/>
      <c r="P1672" s="1"/>
      <c r="Q1672" s="1"/>
      <c r="R1672" s="1"/>
      <c r="S1672" s="1"/>
      <c r="T1672" s="1"/>
      <c r="U1672" s="1"/>
      <c r="V1672" s="1"/>
      <c r="W1672" s="1"/>
      <c r="X1672" s="1"/>
    </row>
    <row r="1673" spans="1:24">
      <c r="A1673" s="1"/>
      <c r="M1673" s="26"/>
      <c r="N1673" s="26"/>
      <c r="P1673" s="1"/>
      <c r="Q1673" s="1"/>
      <c r="R1673" s="1"/>
      <c r="S1673" s="1"/>
      <c r="T1673" s="1"/>
      <c r="U1673" s="1"/>
      <c r="V1673" s="1"/>
      <c r="W1673" s="1"/>
      <c r="X1673" s="1"/>
    </row>
    <row r="1674" spans="1:24">
      <c r="A1674" s="1"/>
      <c r="M1674" s="26"/>
      <c r="N1674" s="26"/>
      <c r="P1674" s="1"/>
      <c r="Q1674" s="1"/>
      <c r="R1674" s="1"/>
      <c r="S1674" s="1"/>
      <c r="T1674" s="1"/>
      <c r="U1674" s="1"/>
      <c r="V1674" s="1"/>
      <c r="W1674" s="1"/>
      <c r="X1674" s="1"/>
    </row>
    <row r="1675" spans="1:24">
      <c r="A1675" s="1"/>
      <c r="M1675" s="26"/>
      <c r="N1675" s="26"/>
      <c r="P1675" s="1"/>
      <c r="Q1675" s="1"/>
      <c r="R1675" s="1"/>
      <c r="S1675" s="1"/>
      <c r="T1675" s="1"/>
      <c r="U1675" s="1"/>
      <c r="V1675" s="1"/>
      <c r="W1675" s="1"/>
      <c r="X1675" s="1"/>
    </row>
    <row r="1676" spans="1:24">
      <c r="A1676" s="1"/>
      <c r="M1676" s="26"/>
      <c r="N1676" s="26"/>
      <c r="P1676" s="1"/>
      <c r="Q1676" s="1"/>
      <c r="R1676" s="1"/>
      <c r="S1676" s="1"/>
      <c r="T1676" s="1"/>
      <c r="U1676" s="1"/>
      <c r="V1676" s="1"/>
      <c r="W1676" s="1"/>
      <c r="X1676" s="1"/>
    </row>
    <row r="1677" spans="1:24">
      <c r="A1677" s="1"/>
      <c r="M1677" s="26"/>
      <c r="N1677" s="26"/>
      <c r="P1677" s="1"/>
      <c r="Q1677" s="1"/>
      <c r="R1677" s="1"/>
      <c r="S1677" s="1"/>
      <c r="T1677" s="1"/>
      <c r="U1677" s="1"/>
      <c r="V1677" s="1"/>
      <c r="W1677" s="1"/>
      <c r="X1677" s="1"/>
    </row>
    <row r="1678" spans="1:24">
      <c r="A1678" s="1"/>
      <c r="M1678" s="26"/>
      <c r="N1678" s="26"/>
      <c r="P1678" s="1"/>
      <c r="Q1678" s="1"/>
      <c r="R1678" s="1"/>
      <c r="S1678" s="1"/>
      <c r="T1678" s="1"/>
      <c r="U1678" s="1"/>
      <c r="V1678" s="1"/>
      <c r="W1678" s="1"/>
      <c r="X1678" s="1"/>
    </row>
    <row r="1679" spans="1:24">
      <c r="A1679" s="1"/>
      <c r="M1679" s="26"/>
      <c r="N1679" s="26"/>
      <c r="P1679" s="1"/>
      <c r="Q1679" s="1"/>
      <c r="R1679" s="1"/>
      <c r="S1679" s="1"/>
      <c r="T1679" s="1"/>
      <c r="U1679" s="1"/>
      <c r="V1679" s="1"/>
      <c r="W1679" s="1"/>
      <c r="X1679" s="1"/>
    </row>
    <row r="1680" spans="1:24">
      <c r="A1680" s="1"/>
      <c r="M1680" s="26"/>
      <c r="N1680" s="26"/>
      <c r="P1680" s="1"/>
      <c r="Q1680" s="1"/>
      <c r="R1680" s="1"/>
      <c r="S1680" s="1"/>
      <c r="T1680" s="1"/>
      <c r="U1680" s="1"/>
      <c r="V1680" s="1"/>
      <c r="W1680" s="1"/>
      <c r="X1680" s="1"/>
    </row>
    <row r="1681" spans="1:24">
      <c r="A1681" s="1"/>
      <c r="M1681" s="26"/>
      <c r="N1681" s="26"/>
      <c r="P1681" s="1"/>
      <c r="Q1681" s="1"/>
      <c r="R1681" s="1"/>
      <c r="S1681" s="1"/>
      <c r="T1681" s="1"/>
      <c r="U1681" s="1"/>
      <c r="V1681" s="1"/>
      <c r="W1681" s="1"/>
      <c r="X1681" s="1"/>
    </row>
    <row r="1682" spans="1:24">
      <c r="A1682" s="1"/>
      <c r="M1682" s="26"/>
      <c r="N1682" s="26"/>
      <c r="P1682" s="1"/>
      <c r="Q1682" s="1"/>
      <c r="R1682" s="1"/>
      <c r="S1682" s="1"/>
      <c r="T1682" s="1"/>
      <c r="U1682" s="1"/>
      <c r="V1682" s="1"/>
      <c r="W1682" s="1"/>
      <c r="X1682" s="1"/>
    </row>
    <row r="1683" spans="1:24">
      <c r="A1683" s="1"/>
      <c r="M1683" s="26"/>
      <c r="N1683" s="26"/>
      <c r="P1683" s="1"/>
      <c r="Q1683" s="1"/>
      <c r="R1683" s="1"/>
      <c r="S1683" s="1"/>
      <c r="T1683" s="1"/>
      <c r="U1683" s="1"/>
      <c r="V1683" s="1"/>
      <c r="W1683" s="1"/>
      <c r="X1683" s="1"/>
    </row>
    <row r="1684" spans="1:24">
      <c r="A1684" s="1"/>
      <c r="M1684" s="26"/>
      <c r="N1684" s="26"/>
      <c r="P1684" s="1"/>
      <c r="Q1684" s="1"/>
      <c r="R1684" s="1"/>
      <c r="S1684" s="1"/>
      <c r="T1684" s="1"/>
      <c r="U1684" s="1"/>
      <c r="V1684" s="1"/>
      <c r="W1684" s="1"/>
      <c r="X1684" s="1"/>
    </row>
    <row r="1685" spans="1:24">
      <c r="A1685" s="1"/>
      <c r="M1685" s="26"/>
      <c r="N1685" s="26"/>
      <c r="P1685" s="1"/>
      <c r="Q1685" s="1"/>
      <c r="R1685" s="1"/>
      <c r="S1685" s="1"/>
      <c r="T1685" s="1"/>
      <c r="U1685" s="1"/>
      <c r="V1685" s="1"/>
      <c r="W1685" s="1"/>
      <c r="X1685" s="1"/>
    </row>
    <row r="1686" spans="1:24">
      <c r="A1686" s="1"/>
      <c r="M1686" s="26"/>
      <c r="N1686" s="26"/>
      <c r="P1686" s="1"/>
      <c r="Q1686" s="1"/>
      <c r="R1686" s="1"/>
      <c r="S1686" s="1"/>
      <c r="T1686" s="1"/>
      <c r="U1686" s="1"/>
      <c r="V1686" s="1"/>
      <c r="W1686" s="1"/>
      <c r="X1686" s="1"/>
    </row>
    <row r="1687" spans="1:24">
      <c r="A1687" s="1"/>
      <c r="M1687" s="26"/>
      <c r="N1687" s="26"/>
      <c r="P1687" s="1"/>
      <c r="Q1687" s="1"/>
      <c r="R1687" s="1"/>
      <c r="S1687" s="1"/>
      <c r="T1687" s="1"/>
      <c r="U1687" s="1"/>
      <c r="V1687" s="1"/>
      <c r="W1687" s="1"/>
      <c r="X1687" s="1"/>
    </row>
    <row r="1688" spans="1:24">
      <c r="A1688" s="1"/>
      <c r="M1688" s="26"/>
      <c r="N1688" s="26"/>
      <c r="P1688" s="1"/>
      <c r="Q1688" s="1"/>
      <c r="R1688" s="1"/>
      <c r="S1688" s="1"/>
      <c r="T1688" s="1"/>
      <c r="U1688" s="1"/>
      <c r="V1688" s="1"/>
      <c r="W1688" s="1"/>
      <c r="X1688" s="1"/>
    </row>
    <row r="1689" spans="1:24">
      <c r="A1689" s="1"/>
      <c r="M1689" s="26"/>
      <c r="N1689" s="26"/>
      <c r="P1689" s="1"/>
      <c r="Q1689" s="1"/>
      <c r="R1689" s="1"/>
      <c r="S1689" s="1"/>
      <c r="T1689" s="1"/>
      <c r="U1689" s="1"/>
      <c r="V1689" s="1"/>
      <c r="W1689" s="1"/>
      <c r="X1689" s="1"/>
    </row>
    <row r="1690" spans="1:24">
      <c r="A1690" s="1"/>
      <c r="M1690" s="26"/>
      <c r="N1690" s="26"/>
      <c r="P1690" s="1"/>
      <c r="Q1690" s="1"/>
      <c r="R1690" s="1"/>
      <c r="S1690" s="1"/>
      <c r="T1690" s="1"/>
      <c r="U1690" s="1"/>
      <c r="V1690" s="1"/>
      <c r="W1690" s="1"/>
      <c r="X1690" s="1"/>
    </row>
    <row r="1691" spans="1:24">
      <c r="A1691" s="1"/>
      <c r="M1691" s="26"/>
      <c r="N1691" s="26"/>
      <c r="P1691" s="1"/>
      <c r="Q1691" s="1"/>
      <c r="R1691" s="1"/>
      <c r="S1691" s="1"/>
      <c r="T1691" s="1"/>
      <c r="U1691" s="1"/>
      <c r="V1691" s="1"/>
      <c r="W1691" s="1"/>
      <c r="X1691" s="1"/>
    </row>
    <row r="1692" spans="1:24">
      <c r="A1692" s="1"/>
      <c r="M1692" s="26"/>
      <c r="N1692" s="26"/>
      <c r="P1692" s="1"/>
      <c r="Q1692" s="1"/>
      <c r="R1692" s="1"/>
      <c r="S1692" s="1"/>
      <c r="T1692" s="1"/>
      <c r="U1692" s="1"/>
      <c r="V1692" s="1"/>
      <c r="W1692" s="1"/>
      <c r="X1692" s="1"/>
    </row>
    <row r="1693" spans="1:24">
      <c r="A1693" s="1"/>
      <c r="M1693" s="26"/>
      <c r="N1693" s="26"/>
      <c r="P1693" s="1"/>
      <c r="Q1693" s="1"/>
      <c r="R1693" s="1"/>
      <c r="S1693" s="1"/>
      <c r="T1693" s="1"/>
      <c r="U1693" s="1"/>
      <c r="V1693" s="1"/>
      <c r="W1693" s="1"/>
      <c r="X1693" s="1"/>
    </row>
    <row r="1694" spans="1:24">
      <c r="A1694" s="1"/>
      <c r="M1694" s="26"/>
      <c r="N1694" s="26"/>
      <c r="P1694" s="1"/>
      <c r="Q1694" s="1"/>
      <c r="R1694" s="1"/>
      <c r="S1694" s="1"/>
      <c r="T1694" s="1"/>
      <c r="U1694" s="1"/>
      <c r="V1694" s="1"/>
      <c r="W1694" s="1"/>
      <c r="X1694" s="1"/>
    </row>
    <row r="1695" spans="1:24">
      <c r="A1695" s="1"/>
      <c r="M1695" s="26"/>
      <c r="N1695" s="26"/>
      <c r="P1695" s="1"/>
      <c r="Q1695" s="1"/>
      <c r="R1695" s="1"/>
      <c r="S1695" s="1"/>
      <c r="T1695" s="1"/>
      <c r="U1695" s="1"/>
      <c r="V1695" s="1"/>
      <c r="W1695" s="1"/>
      <c r="X1695" s="1"/>
    </row>
    <row r="1696" spans="1:24">
      <c r="A1696" s="1"/>
      <c r="M1696" s="26"/>
      <c r="N1696" s="26"/>
      <c r="P1696" s="1"/>
      <c r="Q1696" s="1"/>
      <c r="R1696" s="1"/>
      <c r="S1696" s="1"/>
      <c r="T1696" s="1"/>
      <c r="U1696" s="1"/>
      <c r="V1696" s="1"/>
      <c r="W1696" s="1"/>
      <c r="X1696" s="1"/>
    </row>
    <row r="1697" spans="1:24">
      <c r="A1697" s="1"/>
      <c r="M1697" s="26"/>
      <c r="N1697" s="26"/>
      <c r="P1697" s="1"/>
      <c r="Q1697" s="1"/>
      <c r="R1697" s="1"/>
      <c r="S1697" s="1"/>
      <c r="T1697" s="1"/>
      <c r="U1697" s="1"/>
      <c r="V1697" s="1"/>
      <c r="W1697" s="1"/>
      <c r="X1697" s="1"/>
    </row>
    <row r="1698" spans="1:24">
      <c r="A1698" s="1"/>
      <c r="M1698" s="26"/>
      <c r="N1698" s="26"/>
      <c r="P1698" s="1"/>
      <c r="Q1698" s="1"/>
      <c r="R1698" s="1"/>
      <c r="S1698" s="1"/>
      <c r="T1698" s="1"/>
      <c r="U1698" s="1"/>
      <c r="V1698" s="1"/>
      <c r="W1698" s="1"/>
      <c r="X1698" s="1"/>
    </row>
    <row r="1699" spans="1:24">
      <c r="A1699" s="1"/>
      <c r="M1699" s="26"/>
      <c r="N1699" s="26"/>
      <c r="P1699" s="1"/>
      <c r="Q1699" s="1"/>
      <c r="R1699" s="1"/>
      <c r="S1699" s="1"/>
      <c r="T1699" s="1"/>
      <c r="U1699" s="1"/>
      <c r="V1699" s="1"/>
      <c r="W1699" s="1"/>
      <c r="X1699" s="1"/>
    </row>
    <row r="1700" spans="1:24">
      <c r="A1700" s="1"/>
      <c r="M1700" s="26"/>
      <c r="N1700" s="26"/>
      <c r="P1700" s="1"/>
      <c r="Q1700" s="1"/>
      <c r="R1700" s="1"/>
      <c r="S1700" s="1"/>
      <c r="T1700" s="1"/>
      <c r="U1700" s="1"/>
      <c r="V1700" s="1"/>
      <c r="W1700" s="1"/>
      <c r="X1700" s="1"/>
    </row>
    <row r="1701" spans="1:24">
      <c r="A1701" s="1"/>
      <c r="M1701" s="26"/>
      <c r="N1701" s="26"/>
      <c r="P1701" s="1"/>
      <c r="Q1701" s="1"/>
      <c r="R1701" s="1"/>
      <c r="S1701" s="1"/>
      <c r="T1701" s="1"/>
      <c r="U1701" s="1"/>
      <c r="V1701" s="1"/>
      <c r="W1701" s="1"/>
      <c r="X1701" s="1"/>
    </row>
    <row r="1702" spans="1:24">
      <c r="A1702" s="1"/>
      <c r="M1702" s="26"/>
      <c r="N1702" s="26"/>
      <c r="P1702" s="1"/>
      <c r="Q1702" s="1"/>
      <c r="R1702" s="1"/>
      <c r="S1702" s="1"/>
      <c r="T1702" s="1"/>
      <c r="U1702" s="1"/>
      <c r="V1702" s="1"/>
      <c r="W1702" s="1"/>
      <c r="X1702" s="1"/>
    </row>
    <row r="1703" spans="1:24">
      <c r="A1703" s="1"/>
      <c r="M1703" s="26"/>
      <c r="N1703" s="26"/>
      <c r="P1703" s="1"/>
      <c r="Q1703" s="1"/>
      <c r="R1703" s="1"/>
      <c r="S1703" s="1"/>
      <c r="T1703" s="1"/>
      <c r="U1703" s="1"/>
      <c r="V1703" s="1"/>
      <c r="W1703" s="1"/>
      <c r="X1703" s="1"/>
    </row>
    <row r="1704" spans="1:24">
      <c r="A1704" s="1"/>
      <c r="M1704" s="26"/>
      <c r="N1704" s="26"/>
      <c r="P1704" s="1"/>
      <c r="Q1704" s="1"/>
      <c r="R1704" s="1"/>
      <c r="S1704" s="1"/>
      <c r="T1704" s="1"/>
      <c r="U1704" s="1"/>
      <c r="V1704" s="1"/>
      <c r="W1704" s="1"/>
      <c r="X1704" s="1"/>
    </row>
    <row r="1705" spans="1:24">
      <c r="A1705" s="1"/>
      <c r="M1705" s="26"/>
      <c r="N1705" s="26"/>
      <c r="P1705" s="1"/>
      <c r="Q1705" s="1"/>
      <c r="R1705" s="1"/>
      <c r="S1705" s="1"/>
      <c r="T1705" s="1"/>
      <c r="U1705" s="1"/>
      <c r="V1705" s="1"/>
      <c r="W1705" s="1"/>
      <c r="X1705" s="1"/>
    </row>
    <row r="1706" spans="1:24">
      <c r="A1706" s="1"/>
      <c r="M1706" s="26"/>
      <c r="N1706" s="26"/>
      <c r="P1706" s="1"/>
      <c r="Q1706" s="1"/>
      <c r="R1706" s="1"/>
      <c r="S1706" s="1"/>
      <c r="T1706" s="1"/>
      <c r="U1706" s="1"/>
      <c r="V1706" s="1"/>
      <c r="W1706" s="1"/>
      <c r="X1706" s="1"/>
    </row>
    <row r="1707" spans="1:24">
      <c r="A1707" s="1"/>
      <c r="M1707" s="26"/>
      <c r="N1707" s="26"/>
      <c r="P1707" s="1"/>
      <c r="Q1707" s="1"/>
      <c r="R1707" s="1"/>
      <c r="S1707" s="1"/>
      <c r="T1707" s="1"/>
      <c r="U1707" s="1"/>
      <c r="V1707" s="1"/>
      <c r="W1707" s="1"/>
      <c r="X1707" s="1"/>
    </row>
    <row r="1708" spans="1:24">
      <c r="A1708" s="1"/>
      <c r="M1708" s="26"/>
      <c r="N1708" s="26"/>
      <c r="P1708" s="1"/>
      <c r="Q1708" s="1"/>
      <c r="R1708" s="1"/>
      <c r="S1708" s="1"/>
      <c r="T1708" s="1"/>
      <c r="U1708" s="1"/>
      <c r="V1708" s="1"/>
      <c r="W1708" s="1"/>
      <c r="X1708" s="1"/>
    </row>
    <row r="1709" spans="1:24">
      <c r="A1709" s="1"/>
      <c r="M1709" s="26"/>
      <c r="N1709" s="26"/>
      <c r="P1709" s="1"/>
      <c r="Q1709" s="1"/>
      <c r="R1709" s="1"/>
      <c r="S1709" s="1"/>
      <c r="T1709" s="1"/>
      <c r="U1709" s="1"/>
      <c r="V1709" s="1"/>
      <c r="W1709" s="1"/>
      <c r="X1709" s="1"/>
    </row>
    <row r="1710" spans="1:24">
      <c r="A1710" s="1"/>
      <c r="M1710" s="26"/>
      <c r="N1710" s="26"/>
      <c r="P1710" s="1"/>
      <c r="Q1710" s="1"/>
      <c r="R1710" s="1"/>
      <c r="S1710" s="1"/>
      <c r="T1710" s="1"/>
      <c r="U1710" s="1"/>
      <c r="V1710" s="1"/>
      <c r="W1710" s="1"/>
      <c r="X1710" s="1"/>
    </row>
    <row r="1711" spans="1:24">
      <c r="A1711" s="1"/>
      <c r="M1711" s="26"/>
      <c r="N1711" s="26"/>
      <c r="P1711" s="1"/>
      <c r="Q1711" s="1"/>
      <c r="R1711" s="1"/>
      <c r="S1711" s="1"/>
      <c r="T1711" s="1"/>
      <c r="U1711" s="1"/>
      <c r="V1711" s="1"/>
      <c r="W1711" s="1"/>
      <c r="X1711" s="1"/>
    </row>
    <row r="1712" spans="1:24">
      <c r="A1712" s="1"/>
      <c r="M1712" s="26"/>
      <c r="N1712" s="26"/>
      <c r="P1712" s="1"/>
      <c r="Q1712" s="1"/>
      <c r="R1712" s="1"/>
      <c r="S1712" s="1"/>
      <c r="T1712" s="1"/>
      <c r="U1712" s="1"/>
      <c r="V1712" s="1"/>
      <c r="W1712" s="1"/>
      <c r="X1712" s="1"/>
    </row>
    <row r="1713" spans="1:24">
      <c r="A1713" s="1"/>
      <c r="M1713" s="26"/>
      <c r="N1713" s="26"/>
      <c r="P1713" s="1"/>
      <c r="Q1713" s="1"/>
      <c r="R1713" s="1"/>
      <c r="S1713" s="1"/>
      <c r="T1713" s="1"/>
      <c r="U1713" s="1"/>
      <c r="V1713" s="1"/>
      <c r="W1713" s="1"/>
      <c r="X1713" s="1"/>
    </row>
    <row r="1714" spans="1:24">
      <c r="A1714" s="1"/>
      <c r="M1714" s="26"/>
      <c r="N1714" s="26"/>
      <c r="P1714" s="1"/>
      <c r="Q1714" s="1"/>
      <c r="R1714" s="1"/>
      <c r="S1714" s="1"/>
      <c r="T1714" s="1"/>
      <c r="U1714" s="1"/>
      <c r="V1714" s="1"/>
      <c r="W1714" s="1"/>
      <c r="X1714" s="1"/>
    </row>
    <row r="1715" spans="1:24">
      <c r="A1715" s="1"/>
      <c r="M1715" s="26"/>
      <c r="N1715" s="26"/>
      <c r="P1715" s="1"/>
      <c r="Q1715" s="1"/>
      <c r="R1715" s="1"/>
      <c r="S1715" s="1"/>
      <c r="T1715" s="1"/>
      <c r="U1715" s="1"/>
      <c r="V1715" s="1"/>
      <c r="W1715" s="1"/>
      <c r="X1715" s="1"/>
    </row>
    <row r="1716" spans="1:24">
      <c r="A1716" s="1"/>
      <c r="M1716" s="26"/>
      <c r="N1716" s="26"/>
      <c r="P1716" s="1"/>
      <c r="Q1716" s="1"/>
      <c r="R1716" s="1"/>
      <c r="S1716" s="1"/>
      <c r="T1716" s="1"/>
      <c r="U1716" s="1"/>
      <c r="V1716" s="1"/>
      <c r="W1716" s="1"/>
      <c r="X1716" s="1"/>
    </row>
    <row r="1717" spans="1:24">
      <c r="A1717" s="1"/>
      <c r="M1717" s="26"/>
      <c r="N1717" s="26"/>
      <c r="P1717" s="1"/>
      <c r="Q1717" s="1"/>
      <c r="R1717" s="1"/>
      <c r="S1717" s="1"/>
      <c r="T1717" s="1"/>
      <c r="U1717" s="1"/>
      <c r="V1717" s="1"/>
      <c r="W1717" s="1"/>
      <c r="X1717" s="1"/>
    </row>
    <row r="1718" spans="1:24">
      <c r="A1718" s="1"/>
      <c r="M1718" s="26"/>
      <c r="N1718" s="26"/>
      <c r="P1718" s="1"/>
      <c r="Q1718" s="1"/>
      <c r="R1718" s="1"/>
      <c r="S1718" s="1"/>
      <c r="T1718" s="1"/>
      <c r="U1718" s="1"/>
      <c r="V1718" s="1"/>
      <c r="W1718" s="1"/>
      <c r="X1718" s="1"/>
    </row>
    <row r="1719" spans="1:24">
      <c r="A1719" s="1"/>
      <c r="M1719" s="26"/>
      <c r="N1719" s="26"/>
      <c r="P1719" s="1"/>
      <c r="Q1719" s="1"/>
      <c r="R1719" s="1"/>
      <c r="S1719" s="1"/>
      <c r="T1719" s="1"/>
      <c r="U1719" s="1"/>
      <c r="V1719" s="1"/>
      <c r="W1719" s="1"/>
      <c r="X1719" s="1"/>
    </row>
    <row r="1720" spans="1:24">
      <c r="A1720" s="1"/>
      <c r="M1720" s="26"/>
      <c r="N1720" s="26"/>
      <c r="P1720" s="1"/>
      <c r="Q1720" s="1"/>
      <c r="R1720" s="1"/>
      <c r="S1720" s="1"/>
      <c r="T1720" s="1"/>
      <c r="U1720" s="1"/>
      <c r="V1720" s="1"/>
      <c r="W1720" s="1"/>
      <c r="X1720" s="1"/>
    </row>
    <row r="1721" spans="1:24">
      <c r="A1721" s="1"/>
      <c r="M1721" s="26"/>
      <c r="N1721" s="26"/>
      <c r="P1721" s="1"/>
      <c r="Q1721" s="1"/>
      <c r="R1721" s="1"/>
      <c r="S1721" s="1"/>
      <c r="T1721" s="1"/>
      <c r="U1721" s="1"/>
      <c r="V1721" s="1"/>
      <c r="W1721" s="1"/>
      <c r="X1721" s="1"/>
    </row>
    <row r="1722" spans="1:24">
      <c r="A1722" s="1"/>
      <c r="M1722" s="26"/>
      <c r="N1722" s="26"/>
      <c r="P1722" s="1"/>
      <c r="Q1722" s="1"/>
      <c r="R1722" s="1"/>
      <c r="S1722" s="1"/>
      <c r="T1722" s="1"/>
      <c r="U1722" s="1"/>
      <c r="V1722" s="1"/>
      <c r="W1722" s="1"/>
      <c r="X1722" s="1"/>
    </row>
    <row r="1723" spans="1:24">
      <c r="A1723" s="1"/>
      <c r="M1723" s="26"/>
      <c r="N1723" s="26"/>
      <c r="P1723" s="1"/>
      <c r="Q1723" s="1"/>
      <c r="R1723" s="1"/>
      <c r="S1723" s="1"/>
      <c r="T1723" s="1"/>
      <c r="U1723" s="1"/>
      <c r="V1723" s="1"/>
      <c r="W1723" s="1"/>
      <c r="X1723" s="1"/>
    </row>
    <row r="1724" spans="1:24">
      <c r="A1724" s="1"/>
      <c r="M1724" s="26"/>
      <c r="N1724" s="26"/>
      <c r="P1724" s="1"/>
      <c r="Q1724" s="1"/>
      <c r="R1724" s="1"/>
      <c r="S1724" s="1"/>
      <c r="T1724" s="1"/>
      <c r="U1724" s="1"/>
      <c r="V1724" s="1"/>
      <c r="W1724" s="1"/>
      <c r="X1724" s="1"/>
    </row>
    <row r="1725" spans="1:24">
      <c r="A1725" s="1"/>
      <c r="M1725" s="26"/>
      <c r="N1725" s="26"/>
      <c r="P1725" s="1"/>
      <c r="Q1725" s="1"/>
      <c r="R1725" s="1"/>
      <c r="S1725" s="1"/>
      <c r="T1725" s="1"/>
      <c r="U1725" s="1"/>
      <c r="V1725" s="1"/>
      <c r="W1725" s="1"/>
      <c r="X1725" s="1"/>
    </row>
    <row r="1726" spans="1:24">
      <c r="A1726" s="1"/>
      <c r="M1726" s="26"/>
      <c r="N1726" s="26"/>
      <c r="P1726" s="1"/>
      <c r="Q1726" s="1"/>
      <c r="R1726" s="1"/>
      <c r="S1726" s="1"/>
      <c r="T1726" s="1"/>
      <c r="U1726" s="1"/>
      <c r="V1726" s="1"/>
      <c r="W1726" s="1"/>
      <c r="X1726" s="1"/>
    </row>
    <row r="1727" spans="1:24">
      <c r="A1727" s="1"/>
      <c r="M1727" s="26"/>
      <c r="N1727" s="26"/>
      <c r="P1727" s="1"/>
      <c r="Q1727" s="1"/>
      <c r="R1727" s="1"/>
      <c r="S1727" s="1"/>
      <c r="T1727" s="1"/>
      <c r="U1727" s="1"/>
      <c r="V1727" s="1"/>
      <c r="W1727" s="1"/>
      <c r="X1727" s="1"/>
    </row>
    <row r="1728" spans="1:24">
      <c r="A1728" s="1"/>
      <c r="M1728" s="26"/>
      <c r="N1728" s="26"/>
      <c r="P1728" s="1"/>
      <c r="Q1728" s="1"/>
      <c r="R1728" s="1"/>
      <c r="S1728" s="1"/>
      <c r="T1728" s="1"/>
      <c r="U1728" s="1"/>
      <c r="V1728" s="1"/>
      <c r="W1728" s="1"/>
      <c r="X1728" s="1"/>
    </row>
    <row r="1729" spans="1:24">
      <c r="A1729" s="1"/>
      <c r="M1729" s="26"/>
      <c r="N1729" s="26"/>
      <c r="P1729" s="1"/>
      <c r="Q1729" s="1"/>
      <c r="R1729" s="1"/>
      <c r="S1729" s="1"/>
      <c r="T1729" s="1"/>
      <c r="U1729" s="1"/>
      <c r="V1729" s="1"/>
      <c r="W1729" s="1"/>
      <c r="X1729" s="1"/>
    </row>
    <row r="1730" spans="1:24">
      <c r="A1730" s="1"/>
      <c r="M1730" s="26"/>
      <c r="N1730" s="26"/>
      <c r="P1730" s="1"/>
      <c r="Q1730" s="1"/>
      <c r="R1730" s="1"/>
      <c r="S1730" s="1"/>
      <c r="T1730" s="1"/>
      <c r="U1730" s="1"/>
      <c r="V1730" s="1"/>
      <c r="W1730" s="1"/>
      <c r="X1730" s="1"/>
    </row>
    <row r="1731" spans="1:24">
      <c r="A1731" s="1"/>
      <c r="M1731" s="26"/>
      <c r="N1731" s="26"/>
      <c r="P1731" s="1"/>
      <c r="Q1731" s="1"/>
      <c r="R1731" s="1"/>
      <c r="S1731" s="1"/>
      <c r="T1731" s="1"/>
      <c r="U1731" s="1"/>
      <c r="V1731" s="1"/>
      <c r="W1731" s="1"/>
      <c r="X1731" s="1"/>
    </row>
    <row r="1732" spans="1:24">
      <c r="A1732" s="1"/>
      <c r="M1732" s="26"/>
      <c r="N1732" s="26"/>
      <c r="P1732" s="1"/>
      <c r="Q1732" s="1"/>
      <c r="R1732" s="1"/>
      <c r="S1732" s="1"/>
      <c r="T1732" s="1"/>
      <c r="U1732" s="1"/>
      <c r="V1732" s="1"/>
      <c r="W1732" s="1"/>
      <c r="X1732" s="1"/>
    </row>
    <row r="1733" spans="1:24">
      <c r="A1733" s="1"/>
      <c r="M1733" s="26"/>
      <c r="N1733" s="26"/>
      <c r="P1733" s="1"/>
      <c r="Q1733" s="1"/>
      <c r="R1733" s="1"/>
      <c r="S1733" s="1"/>
      <c r="T1733" s="1"/>
      <c r="U1733" s="1"/>
      <c r="V1733" s="1"/>
      <c r="W1733" s="1"/>
      <c r="X1733" s="1"/>
    </row>
    <row r="1734" spans="1:24">
      <c r="A1734" s="1"/>
      <c r="M1734" s="26"/>
      <c r="N1734" s="26"/>
      <c r="P1734" s="1"/>
      <c r="Q1734" s="1"/>
      <c r="R1734" s="1"/>
      <c r="S1734" s="1"/>
      <c r="T1734" s="1"/>
      <c r="U1734" s="1"/>
      <c r="V1734" s="1"/>
      <c r="W1734" s="1"/>
      <c r="X1734" s="1"/>
    </row>
    <row r="1735" spans="1:24">
      <c r="A1735" s="1"/>
      <c r="M1735" s="26"/>
      <c r="N1735" s="26"/>
      <c r="P1735" s="1"/>
      <c r="Q1735" s="1"/>
      <c r="R1735" s="1"/>
      <c r="S1735" s="1"/>
      <c r="T1735" s="1"/>
      <c r="U1735" s="1"/>
      <c r="V1735" s="1"/>
      <c r="W1735" s="1"/>
      <c r="X1735" s="1"/>
    </row>
    <row r="1736" spans="1:24">
      <c r="A1736" s="1"/>
      <c r="M1736" s="26"/>
      <c r="N1736" s="26"/>
      <c r="P1736" s="1"/>
      <c r="Q1736" s="1"/>
      <c r="R1736" s="1"/>
      <c r="S1736" s="1"/>
      <c r="T1736" s="1"/>
      <c r="U1736" s="1"/>
      <c r="V1736" s="1"/>
      <c r="W1736" s="1"/>
      <c r="X1736" s="1"/>
    </row>
    <row r="1737" spans="1:24">
      <c r="A1737" s="1"/>
      <c r="M1737" s="26"/>
      <c r="N1737" s="26"/>
      <c r="P1737" s="1"/>
      <c r="Q1737" s="1"/>
      <c r="R1737" s="1"/>
      <c r="S1737" s="1"/>
      <c r="T1737" s="1"/>
      <c r="U1737" s="1"/>
      <c r="V1737" s="1"/>
      <c r="W1737" s="1"/>
      <c r="X1737" s="1"/>
    </row>
    <row r="1738" spans="1:24">
      <c r="A1738" s="1"/>
      <c r="M1738" s="26"/>
      <c r="N1738" s="26"/>
      <c r="P1738" s="1"/>
      <c r="Q1738" s="1"/>
      <c r="R1738" s="1"/>
      <c r="S1738" s="1"/>
      <c r="T1738" s="1"/>
      <c r="U1738" s="1"/>
      <c r="V1738" s="1"/>
      <c r="W1738" s="1"/>
      <c r="X1738" s="1"/>
    </row>
    <row r="1739" spans="1:24">
      <c r="A1739" s="1"/>
      <c r="M1739" s="26"/>
      <c r="N1739" s="26"/>
      <c r="P1739" s="1"/>
      <c r="Q1739" s="1"/>
      <c r="R1739" s="1"/>
      <c r="S1739" s="1"/>
      <c r="T1739" s="1"/>
      <c r="U1739" s="1"/>
      <c r="V1739" s="1"/>
      <c r="W1739" s="1"/>
      <c r="X1739" s="1"/>
    </row>
    <row r="1740" spans="1:24">
      <c r="A1740" s="1"/>
      <c r="M1740" s="26"/>
      <c r="N1740" s="26"/>
      <c r="P1740" s="1"/>
      <c r="Q1740" s="1"/>
      <c r="R1740" s="1"/>
      <c r="S1740" s="1"/>
      <c r="T1740" s="1"/>
      <c r="U1740" s="1"/>
      <c r="V1740" s="1"/>
      <c r="W1740" s="1"/>
      <c r="X1740" s="1"/>
    </row>
    <row r="1741" spans="1:24">
      <c r="A1741" s="1"/>
      <c r="M1741" s="26"/>
      <c r="N1741" s="26"/>
      <c r="P1741" s="1"/>
      <c r="Q1741" s="1"/>
      <c r="R1741" s="1"/>
      <c r="S1741" s="1"/>
      <c r="T1741" s="1"/>
      <c r="U1741" s="1"/>
      <c r="V1741" s="1"/>
      <c r="W1741" s="1"/>
      <c r="X1741" s="1"/>
    </row>
    <row r="1742" spans="1:24">
      <c r="A1742" s="1"/>
      <c r="M1742" s="26"/>
      <c r="N1742" s="26"/>
      <c r="P1742" s="1"/>
      <c r="Q1742" s="1"/>
      <c r="R1742" s="1"/>
      <c r="S1742" s="1"/>
      <c r="T1742" s="1"/>
      <c r="U1742" s="1"/>
      <c r="V1742" s="1"/>
      <c r="W1742" s="1"/>
      <c r="X1742" s="1"/>
    </row>
    <row r="1743" spans="1:24">
      <c r="A1743" s="1"/>
      <c r="M1743" s="26"/>
      <c r="N1743" s="26"/>
      <c r="P1743" s="1"/>
      <c r="Q1743" s="1"/>
      <c r="R1743" s="1"/>
      <c r="S1743" s="1"/>
      <c r="T1743" s="1"/>
      <c r="U1743" s="1"/>
      <c r="V1743" s="1"/>
      <c r="W1743" s="1"/>
      <c r="X1743" s="1"/>
    </row>
    <row r="1744" spans="1:24">
      <c r="A1744" s="1"/>
      <c r="M1744" s="26"/>
      <c r="N1744" s="26"/>
      <c r="P1744" s="1"/>
      <c r="Q1744" s="1"/>
      <c r="R1744" s="1"/>
      <c r="S1744" s="1"/>
      <c r="T1744" s="1"/>
      <c r="U1744" s="1"/>
      <c r="V1744" s="1"/>
      <c r="W1744" s="1"/>
      <c r="X1744" s="1"/>
    </row>
    <row r="1745" spans="1:24">
      <c r="A1745" s="1"/>
      <c r="M1745" s="26"/>
      <c r="N1745" s="26"/>
      <c r="P1745" s="1"/>
      <c r="Q1745" s="1"/>
      <c r="R1745" s="1"/>
      <c r="S1745" s="1"/>
      <c r="T1745" s="1"/>
      <c r="U1745" s="1"/>
      <c r="V1745" s="1"/>
      <c r="W1745" s="1"/>
      <c r="X1745" s="1"/>
    </row>
    <row r="1746" spans="1:24">
      <c r="A1746" s="1"/>
      <c r="M1746" s="26"/>
      <c r="N1746" s="26"/>
      <c r="P1746" s="1"/>
      <c r="Q1746" s="1"/>
      <c r="R1746" s="1"/>
      <c r="S1746" s="1"/>
      <c r="T1746" s="1"/>
      <c r="U1746" s="1"/>
      <c r="V1746" s="1"/>
      <c r="W1746" s="1"/>
      <c r="X1746" s="1"/>
    </row>
    <row r="1747" spans="1:24">
      <c r="A1747" s="1"/>
      <c r="M1747" s="26"/>
      <c r="N1747" s="26"/>
      <c r="P1747" s="1"/>
      <c r="Q1747" s="1"/>
      <c r="R1747" s="1"/>
      <c r="S1747" s="1"/>
      <c r="T1747" s="1"/>
      <c r="U1747" s="1"/>
      <c r="V1747" s="1"/>
      <c r="W1747" s="1"/>
      <c r="X1747" s="1"/>
    </row>
    <row r="1748" spans="1:24">
      <c r="A1748" s="1"/>
      <c r="M1748" s="26"/>
      <c r="N1748" s="26"/>
      <c r="P1748" s="1"/>
      <c r="Q1748" s="1"/>
      <c r="R1748" s="1"/>
      <c r="S1748" s="1"/>
      <c r="T1748" s="1"/>
      <c r="U1748" s="1"/>
      <c r="V1748" s="1"/>
      <c r="W1748" s="1"/>
      <c r="X1748" s="1"/>
    </row>
    <row r="1749" spans="1:24">
      <c r="A1749" s="1"/>
      <c r="M1749" s="26"/>
      <c r="N1749" s="26"/>
      <c r="P1749" s="1"/>
      <c r="Q1749" s="1"/>
      <c r="R1749" s="1"/>
      <c r="S1749" s="1"/>
      <c r="T1749" s="1"/>
      <c r="U1749" s="1"/>
      <c r="V1749" s="1"/>
      <c r="W1749" s="1"/>
      <c r="X1749" s="1"/>
    </row>
    <row r="1750" spans="1:24">
      <c r="A1750" s="1"/>
      <c r="M1750" s="26"/>
      <c r="N1750" s="26"/>
      <c r="P1750" s="1"/>
      <c r="Q1750" s="1"/>
      <c r="R1750" s="1"/>
      <c r="S1750" s="1"/>
      <c r="T1750" s="1"/>
      <c r="U1750" s="1"/>
      <c r="V1750" s="1"/>
      <c r="W1750" s="1"/>
      <c r="X1750" s="1"/>
    </row>
    <row r="1751" spans="1:24">
      <c r="A1751" s="1"/>
      <c r="M1751" s="26"/>
      <c r="N1751" s="26"/>
      <c r="P1751" s="1"/>
      <c r="Q1751" s="1"/>
      <c r="R1751" s="1"/>
      <c r="S1751" s="1"/>
      <c r="T1751" s="1"/>
      <c r="U1751" s="1"/>
      <c r="V1751" s="1"/>
      <c r="W1751" s="1"/>
      <c r="X1751" s="1"/>
    </row>
    <row r="1752" spans="1:24">
      <c r="A1752" s="1"/>
      <c r="M1752" s="26"/>
      <c r="N1752" s="26"/>
      <c r="P1752" s="1"/>
      <c r="Q1752" s="1"/>
      <c r="R1752" s="1"/>
      <c r="S1752" s="1"/>
      <c r="T1752" s="1"/>
      <c r="U1752" s="1"/>
      <c r="V1752" s="1"/>
      <c r="W1752" s="1"/>
      <c r="X1752" s="1"/>
    </row>
    <row r="1753" spans="1:24">
      <c r="A1753" s="1"/>
      <c r="M1753" s="26"/>
      <c r="N1753" s="26"/>
      <c r="P1753" s="1"/>
      <c r="Q1753" s="1"/>
      <c r="R1753" s="1"/>
      <c r="S1753" s="1"/>
      <c r="T1753" s="1"/>
      <c r="U1753" s="1"/>
      <c r="V1753" s="1"/>
      <c r="W1753" s="1"/>
      <c r="X1753" s="1"/>
    </row>
    <row r="1754" spans="1:24">
      <c r="A1754" s="1"/>
      <c r="M1754" s="26"/>
      <c r="N1754" s="26"/>
      <c r="P1754" s="1"/>
      <c r="Q1754" s="1"/>
      <c r="R1754" s="1"/>
      <c r="S1754" s="1"/>
      <c r="T1754" s="1"/>
      <c r="U1754" s="1"/>
      <c r="V1754" s="1"/>
      <c r="W1754" s="1"/>
      <c r="X1754" s="1"/>
    </row>
    <row r="1755" spans="1:24">
      <c r="A1755" s="1"/>
      <c r="M1755" s="26"/>
      <c r="N1755" s="26"/>
      <c r="P1755" s="1"/>
      <c r="Q1755" s="1"/>
      <c r="R1755" s="1"/>
      <c r="S1755" s="1"/>
      <c r="T1755" s="1"/>
      <c r="U1755" s="1"/>
      <c r="V1755" s="1"/>
      <c r="W1755" s="1"/>
      <c r="X1755" s="1"/>
    </row>
    <row r="1756" spans="1:24">
      <c r="A1756" s="1"/>
      <c r="M1756" s="26"/>
      <c r="N1756" s="26"/>
      <c r="P1756" s="1"/>
      <c r="Q1756" s="1"/>
      <c r="R1756" s="1"/>
      <c r="S1756" s="1"/>
      <c r="T1756" s="1"/>
      <c r="U1756" s="1"/>
      <c r="V1756" s="1"/>
      <c r="W1756" s="1"/>
      <c r="X1756" s="1"/>
    </row>
    <row r="1757" spans="1:24">
      <c r="A1757" s="1"/>
      <c r="M1757" s="26"/>
      <c r="N1757" s="26"/>
      <c r="P1757" s="1"/>
      <c r="Q1757" s="1"/>
      <c r="R1757" s="1"/>
      <c r="S1757" s="1"/>
      <c r="T1757" s="1"/>
      <c r="U1757" s="1"/>
      <c r="V1757" s="1"/>
      <c r="W1757" s="1"/>
      <c r="X1757" s="1"/>
    </row>
    <row r="1758" spans="1:24">
      <c r="A1758" s="1"/>
      <c r="M1758" s="26"/>
      <c r="N1758" s="26"/>
      <c r="P1758" s="1"/>
      <c r="Q1758" s="1"/>
      <c r="R1758" s="1"/>
      <c r="S1758" s="1"/>
      <c r="T1758" s="1"/>
      <c r="U1758" s="1"/>
      <c r="V1758" s="1"/>
      <c r="W1758" s="1"/>
      <c r="X1758" s="1"/>
    </row>
    <row r="1759" spans="1:24">
      <c r="A1759" s="1"/>
      <c r="M1759" s="26"/>
      <c r="N1759" s="26"/>
      <c r="P1759" s="1"/>
      <c r="Q1759" s="1"/>
      <c r="R1759" s="1"/>
      <c r="S1759" s="1"/>
      <c r="T1759" s="1"/>
      <c r="U1759" s="1"/>
      <c r="V1759" s="1"/>
      <c r="W1759" s="1"/>
      <c r="X1759" s="1"/>
    </row>
    <row r="1760" spans="1:24">
      <c r="A1760" s="1"/>
      <c r="M1760" s="26"/>
      <c r="N1760" s="26"/>
      <c r="P1760" s="1"/>
      <c r="Q1760" s="1"/>
      <c r="R1760" s="1"/>
      <c r="S1760" s="1"/>
      <c r="T1760" s="1"/>
      <c r="U1760" s="1"/>
      <c r="V1760" s="1"/>
      <c r="W1760" s="1"/>
      <c r="X1760" s="1"/>
    </row>
    <row r="1761" spans="1:24">
      <c r="A1761" s="1"/>
      <c r="M1761" s="26"/>
      <c r="N1761" s="26"/>
      <c r="P1761" s="1"/>
      <c r="Q1761" s="1"/>
      <c r="R1761" s="1"/>
      <c r="S1761" s="1"/>
      <c r="T1761" s="1"/>
      <c r="U1761" s="1"/>
      <c r="V1761" s="1"/>
      <c r="W1761" s="1"/>
      <c r="X1761" s="1"/>
    </row>
    <row r="1762" spans="1:24">
      <c r="A1762" s="1"/>
      <c r="M1762" s="26"/>
      <c r="N1762" s="26"/>
      <c r="P1762" s="1"/>
      <c r="Q1762" s="1"/>
      <c r="R1762" s="1"/>
      <c r="S1762" s="1"/>
      <c r="T1762" s="1"/>
      <c r="U1762" s="1"/>
      <c r="V1762" s="1"/>
      <c r="W1762" s="1"/>
      <c r="X1762" s="1"/>
    </row>
    <row r="1763" spans="1:24">
      <c r="A1763" s="1"/>
      <c r="M1763" s="26"/>
      <c r="N1763" s="26"/>
      <c r="P1763" s="1"/>
      <c r="Q1763" s="1"/>
      <c r="R1763" s="1"/>
      <c r="S1763" s="1"/>
      <c r="T1763" s="1"/>
      <c r="U1763" s="1"/>
      <c r="V1763" s="1"/>
      <c r="W1763" s="1"/>
      <c r="X1763" s="1"/>
    </row>
    <row r="1764" spans="1:24">
      <c r="A1764" s="1"/>
      <c r="M1764" s="26"/>
      <c r="N1764" s="26"/>
      <c r="P1764" s="1"/>
      <c r="Q1764" s="1"/>
      <c r="R1764" s="1"/>
      <c r="S1764" s="1"/>
      <c r="T1764" s="1"/>
      <c r="U1764" s="1"/>
      <c r="V1764" s="1"/>
      <c r="W1764" s="1"/>
      <c r="X1764" s="1"/>
    </row>
    <row r="1765" spans="1:24">
      <c r="A1765" s="1"/>
      <c r="M1765" s="26"/>
      <c r="N1765" s="26"/>
      <c r="P1765" s="1"/>
      <c r="Q1765" s="1"/>
      <c r="R1765" s="1"/>
      <c r="S1765" s="1"/>
      <c r="T1765" s="1"/>
      <c r="U1765" s="1"/>
      <c r="V1765" s="1"/>
      <c r="W1765" s="1"/>
      <c r="X1765" s="1"/>
    </row>
    <row r="1766" spans="1:24">
      <c r="A1766" s="1"/>
      <c r="M1766" s="26"/>
      <c r="N1766" s="26"/>
      <c r="P1766" s="1"/>
      <c r="Q1766" s="1"/>
      <c r="R1766" s="1"/>
      <c r="S1766" s="1"/>
      <c r="T1766" s="1"/>
      <c r="U1766" s="1"/>
      <c r="V1766" s="1"/>
      <c r="W1766" s="1"/>
      <c r="X1766" s="1"/>
    </row>
    <row r="1767" spans="1:24">
      <c r="A1767" s="1"/>
      <c r="M1767" s="26"/>
      <c r="N1767" s="26"/>
      <c r="P1767" s="1"/>
      <c r="Q1767" s="1"/>
      <c r="R1767" s="1"/>
      <c r="S1767" s="1"/>
      <c r="T1767" s="1"/>
      <c r="U1767" s="1"/>
      <c r="V1767" s="1"/>
      <c r="W1767" s="1"/>
      <c r="X1767" s="1"/>
    </row>
    <row r="1768" spans="1:24">
      <c r="A1768" s="1"/>
      <c r="M1768" s="26"/>
      <c r="N1768" s="26"/>
      <c r="P1768" s="1"/>
      <c r="Q1768" s="1"/>
      <c r="R1768" s="1"/>
      <c r="S1768" s="1"/>
      <c r="T1768" s="1"/>
      <c r="U1768" s="1"/>
      <c r="V1768" s="1"/>
      <c r="W1768" s="1"/>
      <c r="X1768" s="1"/>
    </row>
    <row r="1769" spans="1:24">
      <c r="A1769" s="1"/>
      <c r="M1769" s="26"/>
      <c r="N1769" s="26"/>
      <c r="P1769" s="1"/>
      <c r="Q1769" s="1"/>
      <c r="R1769" s="1"/>
      <c r="S1769" s="1"/>
      <c r="T1769" s="1"/>
      <c r="U1769" s="1"/>
      <c r="V1769" s="1"/>
      <c r="W1769" s="1"/>
      <c r="X1769" s="1"/>
    </row>
    <row r="1770" spans="1:24">
      <c r="A1770" s="1"/>
      <c r="M1770" s="26"/>
      <c r="N1770" s="26"/>
      <c r="P1770" s="1"/>
      <c r="Q1770" s="1"/>
      <c r="R1770" s="1"/>
      <c r="S1770" s="1"/>
      <c r="T1770" s="1"/>
      <c r="U1770" s="1"/>
      <c r="V1770" s="1"/>
      <c r="W1770" s="1"/>
      <c r="X1770" s="1"/>
    </row>
    <row r="1771" spans="1:24">
      <c r="A1771" s="1"/>
      <c r="M1771" s="26"/>
      <c r="N1771" s="26"/>
      <c r="P1771" s="1"/>
      <c r="Q1771" s="1"/>
      <c r="R1771" s="1"/>
      <c r="S1771" s="1"/>
      <c r="T1771" s="1"/>
      <c r="U1771" s="1"/>
      <c r="V1771" s="1"/>
      <c r="W1771" s="1"/>
      <c r="X1771" s="1"/>
    </row>
    <row r="1772" spans="1:24">
      <c r="A1772" s="1"/>
      <c r="M1772" s="26"/>
      <c r="N1772" s="26"/>
      <c r="P1772" s="1"/>
      <c r="Q1772" s="1"/>
      <c r="R1772" s="1"/>
      <c r="S1772" s="1"/>
      <c r="T1772" s="1"/>
      <c r="U1772" s="1"/>
      <c r="V1772" s="1"/>
      <c r="W1772" s="1"/>
      <c r="X1772" s="1"/>
    </row>
    <row r="1773" spans="1:24">
      <c r="A1773" s="1"/>
      <c r="M1773" s="26"/>
      <c r="N1773" s="26"/>
      <c r="P1773" s="1"/>
      <c r="Q1773" s="1"/>
      <c r="R1773" s="1"/>
      <c r="S1773" s="1"/>
      <c r="T1773" s="1"/>
      <c r="U1773" s="1"/>
      <c r="V1773" s="1"/>
      <c r="W1773" s="1"/>
      <c r="X1773" s="1"/>
    </row>
    <row r="1774" spans="1:24">
      <c r="A1774" s="1"/>
      <c r="M1774" s="26"/>
      <c r="N1774" s="26"/>
      <c r="P1774" s="1"/>
      <c r="Q1774" s="1"/>
      <c r="R1774" s="1"/>
      <c r="S1774" s="1"/>
      <c r="T1774" s="1"/>
      <c r="U1774" s="1"/>
      <c r="V1774" s="1"/>
      <c r="W1774" s="1"/>
      <c r="X1774" s="1"/>
    </row>
    <row r="1775" spans="1:24">
      <c r="A1775" s="1"/>
      <c r="M1775" s="26"/>
      <c r="N1775" s="26"/>
      <c r="P1775" s="1"/>
      <c r="Q1775" s="1"/>
      <c r="R1775" s="1"/>
      <c r="S1775" s="1"/>
      <c r="T1775" s="1"/>
      <c r="U1775" s="1"/>
      <c r="V1775" s="1"/>
      <c r="W1775" s="1"/>
      <c r="X1775" s="1"/>
    </row>
    <row r="1776" spans="1:24">
      <c r="A1776" s="1"/>
      <c r="M1776" s="26"/>
      <c r="N1776" s="26"/>
      <c r="P1776" s="1"/>
      <c r="Q1776" s="1"/>
      <c r="R1776" s="1"/>
      <c r="S1776" s="1"/>
      <c r="T1776" s="1"/>
      <c r="U1776" s="1"/>
      <c r="V1776" s="1"/>
      <c r="W1776" s="1"/>
      <c r="X1776" s="1"/>
    </row>
    <row r="1777" spans="1:24">
      <c r="A1777" s="1"/>
      <c r="M1777" s="26"/>
      <c r="N1777" s="26"/>
      <c r="P1777" s="1"/>
      <c r="Q1777" s="1"/>
      <c r="R1777" s="1"/>
      <c r="S1777" s="1"/>
      <c r="T1777" s="1"/>
      <c r="U1777" s="1"/>
      <c r="V1777" s="1"/>
      <c r="W1777" s="1"/>
      <c r="X1777" s="1"/>
    </row>
    <row r="1778" spans="1:24">
      <c r="A1778" s="1"/>
      <c r="M1778" s="26"/>
      <c r="N1778" s="26"/>
      <c r="P1778" s="1"/>
      <c r="Q1778" s="1"/>
      <c r="R1778" s="1"/>
      <c r="S1778" s="1"/>
      <c r="T1778" s="1"/>
      <c r="U1778" s="1"/>
      <c r="V1778" s="1"/>
      <c r="W1778" s="1"/>
      <c r="X1778" s="1"/>
    </row>
    <row r="1779" spans="1:24">
      <c r="A1779" s="1"/>
      <c r="M1779" s="26"/>
      <c r="N1779" s="26"/>
      <c r="P1779" s="1"/>
      <c r="Q1779" s="1"/>
      <c r="R1779" s="1"/>
      <c r="S1779" s="1"/>
      <c r="T1779" s="1"/>
      <c r="U1779" s="1"/>
      <c r="V1779" s="1"/>
      <c r="W1779" s="1"/>
      <c r="X1779" s="1"/>
    </row>
    <row r="1780" spans="1:24">
      <c r="A1780" s="1"/>
      <c r="M1780" s="26"/>
      <c r="N1780" s="26"/>
      <c r="P1780" s="1"/>
      <c r="Q1780" s="1"/>
      <c r="R1780" s="1"/>
      <c r="S1780" s="1"/>
      <c r="T1780" s="1"/>
      <c r="U1780" s="1"/>
      <c r="V1780" s="1"/>
      <c r="W1780" s="1"/>
      <c r="X1780" s="1"/>
    </row>
    <row r="1781" spans="1:24">
      <c r="A1781" s="1"/>
      <c r="M1781" s="26"/>
      <c r="N1781" s="26"/>
      <c r="P1781" s="1"/>
      <c r="Q1781" s="1"/>
      <c r="R1781" s="1"/>
      <c r="S1781" s="1"/>
      <c r="T1781" s="1"/>
      <c r="U1781" s="1"/>
      <c r="V1781" s="1"/>
      <c r="W1781" s="1"/>
      <c r="X1781" s="1"/>
    </row>
    <row r="1782" spans="1:24">
      <c r="A1782" s="1"/>
      <c r="M1782" s="26"/>
      <c r="N1782" s="26"/>
      <c r="P1782" s="1"/>
      <c r="Q1782" s="1"/>
      <c r="R1782" s="1"/>
      <c r="S1782" s="1"/>
      <c r="T1782" s="1"/>
      <c r="U1782" s="1"/>
      <c r="V1782" s="1"/>
      <c r="W1782" s="1"/>
      <c r="X1782" s="1"/>
    </row>
    <row r="1783" spans="1:24">
      <c r="A1783" s="1"/>
      <c r="M1783" s="26"/>
      <c r="N1783" s="26"/>
      <c r="P1783" s="1"/>
      <c r="Q1783" s="1"/>
      <c r="R1783" s="1"/>
      <c r="S1783" s="1"/>
      <c r="T1783" s="1"/>
      <c r="U1783" s="1"/>
      <c r="V1783" s="1"/>
      <c r="W1783" s="1"/>
      <c r="X1783" s="1"/>
    </row>
    <row r="1784" spans="1:24">
      <c r="A1784" s="1"/>
      <c r="M1784" s="26"/>
      <c r="N1784" s="26"/>
      <c r="P1784" s="1"/>
      <c r="Q1784" s="1"/>
      <c r="R1784" s="1"/>
      <c r="S1784" s="1"/>
      <c r="T1784" s="1"/>
      <c r="U1784" s="1"/>
      <c r="V1784" s="1"/>
      <c r="W1784" s="1"/>
      <c r="X1784" s="1"/>
    </row>
    <row r="1785" spans="1:24">
      <c r="A1785" s="1"/>
      <c r="M1785" s="26"/>
      <c r="N1785" s="26"/>
      <c r="P1785" s="1"/>
      <c r="Q1785" s="1"/>
      <c r="R1785" s="1"/>
      <c r="S1785" s="1"/>
      <c r="T1785" s="1"/>
      <c r="U1785" s="1"/>
      <c r="V1785" s="1"/>
      <c r="W1785" s="1"/>
      <c r="X1785" s="1"/>
    </row>
    <row r="1786" spans="1:24">
      <c r="A1786" s="1"/>
      <c r="P1786" s="1"/>
      <c r="Q1786" s="1"/>
      <c r="R1786" s="1"/>
      <c r="S1786" s="1"/>
      <c r="T1786" s="1"/>
      <c r="U1786" s="1"/>
      <c r="V1786" s="1"/>
      <c r="W1786" s="1"/>
      <c r="X1786" s="1"/>
    </row>
  </sheetData>
  <mergeCells count="296">
    <mergeCell ref="L433:L437"/>
    <mergeCell ref="L438:L442"/>
    <mergeCell ref="G423:G427"/>
    <mergeCell ref="H423:H427"/>
    <mergeCell ref="G433:G437"/>
    <mergeCell ref="H433:H437"/>
    <mergeCell ref="I433:I437"/>
    <mergeCell ref="J433:J437"/>
    <mergeCell ref="K433:K437"/>
    <mergeCell ref="K428:K432"/>
    <mergeCell ref="L428:L432"/>
    <mergeCell ref="L418:L422"/>
    <mergeCell ref="B423:B427"/>
    <mergeCell ref="F428:F432"/>
    <mergeCell ref="G428:G432"/>
    <mergeCell ref="H428:H432"/>
    <mergeCell ref="I428:I432"/>
    <mergeCell ref="J428:J432"/>
    <mergeCell ref="F463:F467"/>
    <mergeCell ref="F473:F477"/>
    <mergeCell ref="I473:I477"/>
    <mergeCell ref="J473:J477"/>
    <mergeCell ref="K473:K477"/>
    <mergeCell ref="L473:L477"/>
    <mergeCell ref="G463:G467"/>
    <mergeCell ref="H463:H467"/>
    <mergeCell ref="I463:I467"/>
    <mergeCell ref="J463:J467"/>
    <mergeCell ref="K463:K467"/>
    <mergeCell ref="L463:L467"/>
    <mergeCell ref="F418:F422"/>
    <mergeCell ref="F423:F427"/>
    <mergeCell ref="F433:F437"/>
    <mergeCell ref="F438:F442"/>
    <mergeCell ref="G438:G442"/>
    <mergeCell ref="I458:I462"/>
    <mergeCell ref="J458:J462"/>
    <mergeCell ref="K458:K462"/>
    <mergeCell ref="L458:L462"/>
    <mergeCell ref="J478:J482"/>
    <mergeCell ref="K478:K482"/>
    <mergeCell ref="L478:L482"/>
    <mergeCell ref="B473:B477"/>
    <mergeCell ref="F413:F417"/>
    <mergeCell ref="G413:G417"/>
    <mergeCell ref="H413:H417"/>
    <mergeCell ref="I413:I417"/>
    <mergeCell ref="J413:J417"/>
    <mergeCell ref="K413:K417"/>
    <mergeCell ref="L413:L417"/>
    <mergeCell ref="I423:I427"/>
    <mergeCell ref="J423:J427"/>
    <mergeCell ref="K423:K427"/>
    <mergeCell ref="L423:L427"/>
    <mergeCell ref="G418:G422"/>
    <mergeCell ref="H418:H422"/>
    <mergeCell ref="I418:I422"/>
    <mergeCell ref="J418:J422"/>
    <mergeCell ref="K418:K422"/>
    <mergeCell ref="F498:F502"/>
    <mergeCell ref="G498:G502"/>
    <mergeCell ref="H498:H502"/>
    <mergeCell ref="I498:I502"/>
    <mergeCell ref="J498:J502"/>
    <mergeCell ref="K498:K502"/>
    <mergeCell ref="L498:L502"/>
    <mergeCell ref="F503:F507"/>
    <mergeCell ref="G503:G507"/>
    <mergeCell ref="H503:H507"/>
    <mergeCell ref="I503:I507"/>
    <mergeCell ref="J503:J507"/>
    <mergeCell ref="K503:K507"/>
    <mergeCell ref="L503:L507"/>
    <mergeCell ref="H508:H512"/>
    <mergeCell ref="I508:I512"/>
    <mergeCell ref="J508:J512"/>
    <mergeCell ref="K508:K512"/>
    <mergeCell ref="L508:L512"/>
    <mergeCell ref="F513:F517"/>
    <mergeCell ref="G513:G517"/>
    <mergeCell ref="H513:H517"/>
    <mergeCell ref="I513:I517"/>
    <mergeCell ref="J513:J517"/>
    <mergeCell ref="K513:K517"/>
    <mergeCell ref="L513:L517"/>
    <mergeCell ref="B538:B542"/>
    <mergeCell ref="F523:F527"/>
    <mergeCell ref="G523:G527"/>
    <mergeCell ref="H523:H527"/>
    <mergeCell ref="I523:I527"/>
    <mergeCell ref="J523:J527"/>
    <mergeCell ref="K523:K527"/>
    <mergeCell ref="L523:L527"/>
    <mergeCell ref="F518:F522"/>
    <mergeCell ref="G518:G522"/>
    <mergeCell ref="H518:H522"/>
    <mergeCell ref="I518:I522"/>
    <mergeCell ref="J518:J522"/>
    <mergeCell ref="K518:K522"/>
    <mergeCell ref="L518:L522"/>
    <mergeCell ref="J538:J542"/>
    <mergeCell ref="K538:K542"/>
    <mergeCell ref="L538:L542"/>
    <mergeCell ref="F538:F542"/>
    <mergeCell ref="F543:F547"/>
    <mergeCell ref="G543:G547"/>
    <mergeCell ref="H543:H547"/>
    <mergeCell ref="J543:J547"/>
    <mergeCell ref="K543:K547"/>
    <mergeCell ref="L543:L547"/>
    <mergeCell ref="G538:G542"/>
    <mergeCell ref="H538:H542"/>
    <mergeCell ref="I538:I542"/>
    <mergeCell ref="B543:B547"/>
    <mergeCell ref="I543:I547"/>
    <mergeCell ref="G483:G487"/>
    <mergeCell ref="H483:H487"/>
    <mergeCell ref="J483:J487"/>
    <mergeCell ref="K483:K487"/>
    <mergeCell ref="L483:L487"/>
    <mergeCell ref="G473:G477"/>
    <mergeCell ref="H473:H477"/>
    <mergeCell ref="B478:B482"/>
    <mergeCell ref="G478:G482"/>
    <mergeCell ref="H478:H482"/>
    <mergeCell ref="I478:I482"/>
    <mergeCell ref="I483:I487"/>
    <mergeCell ref="K488:K492"/>
    <mergeCell ref="L488:L492"/>
    <mergeCell ref="F478:F482"/>
    <mergeCell ref="F483:F487"/>
    <mergeCell ref="F488:F492"/>
    <mergeCell ref="G488:G492"/>
    <mergeCell ref="H488:H492"/>
    <mergeCell ref="I488:I492"/>
    <mergeCell ref="J488:J492"/>
    <mergeCell ref="F493:F497"/>
    <mergeCell ref="G493:G497"/>
    <mergeCell ref="H493:H497"/>
    <mergeCell ref="I493:I497"/>
    <mergeCell ref="J493:J497"/>
    <mergeCell ref="K493:K497"/>
    <mergeCell ref="L493:L497"/>
    <mergeCell ref="B483:B487"/>
    <mergeCell ref="B488:B492"/>
    <mergeCell ref="B493:B497"/>
    <mergeCell ref="B498:B502"/>
    <mergeCell ref="B503:B507"/>
    <mergeCell ref="B508:B512"/>
    <mergeCell ref="B513:B517"/>
    <mergeCell ref="B533:B537"/>
    <mergeCell ref="J528:J532"/>
    <mergeCell ref="K528:K532"/>
    <mergeCell ref="L528:L532"/>
    <mergeCell ref="J533:J537"/>
    <mergeCell ref="K533:K537"/>
    <mergeCell ref="L533:L537"/>
    <mergeCell ref="B518:B522"/>
    <mergeCell ref="B523:B527"/>
    <mergeCell ref="B528:B532"/>
    <mergeCell ref="F528:F532"/>
    <mergeCell ref="G528:G532"/>
    <mergeCell ref="H528:H532"/>
    <mergeCell ref="I528:I532"/>
    <mergeCell ref="F533:F537"/>
    <mergeCell ref="G533:G537"/>
    <mergeCell ref="H533:H537"/>
    <mergeCell ref="I533:I537"/>
    <mergeCell ref="F508:F512"/>
    <mergeCell ref="G508:G512"/>
    <mergeCell ref="F383:F387"/>
    <mergeCell ref="G383:G387"/>
    <mergeCell ref="H383:H387"/>
    <mergeCell ref="I383:I387"/>
    <mergeCell ref="J383:J387"/>
    <mergeCell ref="K383:K387"/>
    <mergeCell ref="L383:L387"/>
    <mergeCell ref="F388:F392"/>
    <mergeCell ref="G388:G392"/>
    <mergeCell ref="H388:H392"/>
    <mergeCell ref="I388:I392"/>
    <mergeCell ref="J388:J392"/>
    <mergeCell ref="K388:K392"/>
    <mergeCell ref="L388:L392"/>
    <mergeCell ref="G408:G412"/>
    <mergeCell ref="H408:H412"/>
    <mergeCell ref="I408:I412"/>
    <mergeCell ref="J408:J412"/>
    <mergeCell ref="K408:K412"/>
    <mergeCell ref="L408:L412"/>
    <mergeCell ref="F393:F397"/>
    <mergeCell ref="G393:G397"/>
    <mergeCell ref="H393:H397"/>
    <mergeCell ref="I393:I397"/>
    <mergeCell ref="J393:J397"/>
    <mergeCell ref="K393:K397"/>
    <mergeCell ref="L393:L397"/>
    <mergeCell ref="F398:F402"/>
    <mergeCell ref="G398:G402"/>
    <mergeCell ref="H398:H402"/>
    <mergeCell ref="I398:I402"/>
    <mergeCell ref="J398:J402"/>
    <mergeCell ref="K398:K402"/>
    <mergeCell ref="L398:L402"/>
    <mergeCell ref="X1:X2"/>
    <mergeCell ref="O1:O2"/>
    <mergeCell ref="P1:P2"/>
    <mergeCell ref="Q1:Q2"/>
    <mergeCell ref="R1:R2"/>
    <mergeCell ref="S1:S2"/>
    <mergeCell ref="T1:T2"/>
    <mergeCell ref="U1:U2"/>
    <mergeCell ref="A1:A2"/>
    <mergeCell ref="B1:B2"/>
    <mergeCell ref="C1:C2"/>
    <mergeCell ref="D1:D2"/>
    <mergeCell ref="E1:E2"/>
    <mergeCell ref="F1:F2"/>
    <mergeCell ref="G1:G2"/>
    <mergeCell ref="H1:H2"/>
    <mergeCell ref="I1:I2"/>
    <mergeCell ref="J1:J2"/>
    <mergeCell ref="K1:K2"/>
    <mergeCell ref="L1:L2"/>
    <mergeCell ref="M1:M2"/>
    <mergeCell ref="N1:N2"/>
    <mergeCell ref="V1:V2"/>
    <mergeCell ref="W1:W2"/>
    <mergeCell ref="F378:F382"/>
    <mergeCell ref="G378:G382"/>
    <mergeCell ref="H378:H382"/>
    <mergeCell ref="I378:I382"/>
    <mergeCell ref="J378:J382"/>
    <mergeCell ref="K378:K382"/>
    <mergeCell ref="L378:L382"/>
    <mergeCell ref="B413:B417"/>
    <mergeCell ref="B418:B422"/>
    <mergeCell ref="B378:B382"/>
    <mergeCell ref="B383:B387"/>
    <mergeCell ref="B388:B392"/>
    <mergeCell ref="B393:B397"/>
    <mergeCell ref="B398:B402"/>
    <mergeCell ref="B403:B407"/>
    <mergeCell ref="B408:B412"/>
    <mergeCell ref="F403:F407"/>
    <mergeCell ref="G403:G407"/>
    <mergeCell ref="H403:H407"/>
    <mergeCell ref="I403:I407"/>
    <mergeCell ref="J403:J407"/>
    <mergeCell ref="K403:K407"/>
    <mergeCell ref="L403:L407"/>
    <mergeCell ref="F408:F412"/>
    <mergeCell ref="K443:K447"/>
    <mergeCell ref="L443:L447"/>
    <mergeCell ref="J438:J442"/>
    <mergeCell ref="K438:K442"/>
    <mergeCell ref="F443:F447"/>
    <mergeCell ref="G443:G447"/>
    <mergeCell ref="H443:H447"/>
    <mergeCell ref="I443:I447"/>
    <mergeCell ref="J443:J447"/>
    <mergeCell ref="H438:H442"/>
    <mergeCell ref="I438:I442"/>
    <mergeCell ref="F448:F452"/>
    <mergeCell ref="G448:G452"/>
    <mergeCell ref="H448:H452"/>
    <mergeCell ref="I448:I452"/>
    <mergeCell ref="J448:J452"/>
    <mergeCell ref="K448:K452"/>
    <mergeCell ref="L448:L452"/>
    <mergeCell ref="F468:F472"/>
    <mergeCell ref="G468:G472"/>
    <mergeCell ref="H468:H472"/>
    <mergeCell ref="I468:I472"/>
    <mergeCell ref="J468:J472"/>
    <mergeCell ref="K468:K472"/>
    <mergeCell ref="L468:L472"/>
    <mergeCell ref="F453:F457"/>
    <mergeCell ref="G453:G457"/>
    <mergeCell ref="H453:H457"/>
    <mergeCell ref="I453:I457"/>
    <mergeCell ref="J453:J457"/>
    <mergeCell ref="K453:K457"/>
    <mergeCell ref="L453:L457"/>
    <mergeCell ref="F458:F462"/>
    <mergeCell ref="G458:G462"/>
    <mergeCell ref="H458:H462"/>
    <mergeCell ref="B463:B467"/>
    <mergeCell ref="B468:B472"/>
    <mergeCell ref="B428:B432"/>
    <mergeCell ref="B433:B437"/>
    <mergeCell ref="B438:B442"/>
    <mergeCell ref="B443:B447"/>
    <mergeCell ref="B448:B452"/>
    <mergeCell ref="B453:B457"/>
    <mergeCell ref="B458:B462"/>
  </mergeCells>
  <conditionalFormatting sqref="U1:U27 P3:Q27">
    <cfRule type="containsBlanks" dxfId="5" priority="1">
      <formula>LEN(TRIM(U1))=0</formula>
    </cfRule>
  </conditionalFormatting>
  <hyperlinks>
    <hyperlink ref="U22" r:id="rId1" xr:uid="{00000000-0004-0000-0700-000000000000}"/>
    <hyperlink ref="U23" r:id="rId2" xr:uid="{00000000-0004-0000-0700-000001000000}"/>
    <hyperlink ref="U24" r:id="rId3" xr:uid="{00000000-0004-0000-0700-000002000000}"/>
    <hyperlink ref="U25" r:id="rId4" xr:uid="{00000000-0004-0000-0700-000003000000}"/>
    <hyperlink ref="U26" r:id="rId5" xr:uid="{00000000-0004-0000-0700-000004000000}"/>
    <hyperlink ref="U27" r:id="rId6" xr:uid="{00000000-0004-0000-0700-000005000000}"/>
  </hyperlinks>
  <pageMargins left="0" right="0" top="0" bottom="0" header="0" footer="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I1787"/>
  <sheetViews>
    <sheetView workbookViewId="0">
      <pane xSplit="1" topLeftCell="B1" activePane="topRight" state="frozen"/>
      <selection pane="topRight" activeCell="C2" sqref="C2"/>
    </sheetView>
  </sheetViews>
  <sheetFormatPr defaultColWidth="14.44140625" defaultRowHeight="15" customHeight="1"/>
  <cols>
    <col min="1" max="1" width="5.44140625" customWidth="1"/>
    <col min="5" max="5" width="14.33203125" customWidth="1"/>
    <col min="6" max="6" width="43.88671875" customWidth="1"/>
    <col min="8" max="10" width="14.44140625" hidden="1"/>
    <col min="11" max="11" width="27.109375" hidden="1" customWidth="1"/>
    <col min="12" max="12" width="21.6640625" hidden="1" customWidth="1"/>
    <col min="13" max="14" width="17.44140625" customWidth="1"/>
    <col min="15" max="15" width="21.6640625" hidden="1" customWidth="1"/>
    <col min="19" max="19" width="69.6640625" customWidth="1"/>
    <col min="20" max="20" width="14.44140625" hidden="1"/>
    <col min="21" max="21" width="35.44140625" customWidth="1"/>
    <col min="22" max="22" width="19.88671875" customWidth="1"/>
    <col min="23" max="23" width="43.88671875" customWidth="1"/>
    <col min="24" max="24" width="15.44140625" customWidth="1"/>
  </cols>
  <sheetData>
    <row r="1" spans="1:35">
      <c r="A1" s="98" t="s">
        <v>893</v>
      </c>
      <c r="B1" s="96" t="s">
        <v>841</v>
      </c>
      <c r="C1" s="104" t="s">
        <v>842</v>
      </c>
      <c r="D1" s="104" t="s">
        <v>843</v>
      </c>
      <c r="E1" s="104" t="s">
        <v>844</v>
      </c>
      <c r="F1" s="104" t="s">
        <v>845</v>
      </c>
      <c r="G1" s="104" t="s">
        <v>846</v>
      </c>
      <c r="H1" s="104" t="s">
        <v>847</v>
      </c>
      <c r="I1" s="104" t="s">
        <v>848</v>
      </c>
      <c r="J1" s="104" t="s">
        <v>849</v>
      </c>
      <c r="K1" s="96" t="s">
        <v>850</v>
      </c>
      <c r="L1" s="96" t="s">
        <v>851</v>
      </c>
      <c r="M1" s="96" t="s">
        <v>852</v>
      </c>
      <c r="N1" s="96" t="s">
        <v>853</v>
      </c>
      <c r="O1" s="96" t="s">
        <v>854</v>
      </c>
      <c r="P1" s="95" t="s">
        <v>855</v>
      </c>
      <c r="Q1" s="106" t="s">
        <v>856</v>
      </c>
      <c r="R1" s="108" t="s">
        <v>857</v>
      </c>
      <c r="S1" s="95" t="s">
        <v>858</v>
      </c>
      <c r="T1" s="108" t="s">
        <v>859</v>
      </c>
      <c r="U1" s="95" t="s">
        <v>860</v>
      </c>
      <c r="V1" s="95" t="s">
        <v>1061</v>
      </c>
      <c r="W1" s="96" t="s">
        <v>861</v>
      </c>
      <c r="X1" s="96" t="s">
        <v>862</v>
      </c>
      <c r="Y1" s="95" t="s">
        <v>863</v>
      </c>
      <c r="Z1" s="14"/>
      <c r="AA1" s="14"/>
      <c r="AB1" s="14"/>
      <c r="AC1" s="14"/>
      <c r="AD1" s="14"/>
      <c r="AE1" s="14"/>
      <c r="AF1" s="14"/>
      <c r="AG1" s="14"/>
      <c r="AH1" s="14"/>
      <c r="AI1" s="14"/>
    </row>
    <row r="2" spans="1:35">
      <c r="A2" s="97"/>
      <c r="B2" s="97"/>
      <c r="C2" s="105"/>
      <c r="D2" s="105"/>
      <c r="E2" s="105"/>
      <c r="F2" s="105"/>
      <c r="G2" s="105"/>
      <c r="H2" s="105"/>
      <c r="I2" s="105"/>
      <c r="J2" s="105"/>
      <c r="K2" s="97"/>
      <c r="L2" s="97"/>
      <c r="M2" s="97"/>
      <c r="N2" s="97"/>
      <c r="O2" s="97"/>
      <c r="P2" s="94"/>
      <c r="Q2" s="107"/>
      <c r="R2" s="94"/>
      <c r="S2" s="94"/>
      <c r="T2" s="94"/>
      <c r="U2" s="94"/>
      <c r="V2" s="94"/>
      <c r="W2" s="97"/>
      <c r="X2" s="97"/>
      <c r="Y2" s="94"/>
      <c r="Z2" s="48"/>
      <c r="AA2" s="48"/>
      <c r="AB2" s="48"/>
      <c r="AC2" s="48"/>
      <c r="AD2" s="48"/>
      <c r="AE2" s="48"/>
      <c r="AF2" s="48"/>
      <c r="AG2" s="48"/>
      <c r="AH2" s="48"/>
      <c r="AI2" s="48"/>
    </row>
    <row r="3" spans="1:35">
      <c r="A3" s="15">
        <v>1</v>
      </c>
      <c r="B3" s="15">
        <f ca="1">IFERROR(__xludf.DUMMYFUNCTION("query(Rekap!A2:AD1787,""Select B,E,F,G,D,H,U,V,W where C='PKM Pengabdian Kepada Masyarakat'"")"),2256)</f>
        <v>2256</v>
      </c>
      <c r="C3" s="49" t="str">
        <f ca="1">IFERROR(__xludf.DUMMYFUNCTION("""COMPUTED_VALUE"""),"DZUROTUN NAFISAH")</f>
        <v>DZUROTUN NAFISAH</v>
      </c>
      <c r="D3" s="49" t="str">
        <f ca="1">IFERROR(__xludf.DUMMYFUNCTION("""COMPUTED_VALUE"""),"2035201088")</f>
        <v>2035201088</v>
      </c>
      <c r="E3" s="49" t="str">
        <f ca="1">IFERROR(__xludf.DUMMYFUNCTION("""COMPUTED_VALUE"""),"Departemen Teknik Infrastruktur Sipil")</f>
        <v>Departemen Teknik Infrastruktur Sipil</v>
      </c>
      <c r="F3" s="49" t="str">
        <f ca="1">IFERROR(__xludf.DUMMYFUNCTION("""COMPUTED_VALUE"""),"Instalasi Booster Pump dengan Sumber Tenaga Mikrohidro sebagai Pemenuhan Kebutuhan Air Bersih di Desa Telemung Kecamatan Kalipuro Kabupaten Banyuwangi")</f>
        <v>Instalasi Booster Pump dengan Sumber Tenaga Mikrohidro sebagai Pemenuhan Kebutuhan Air Bersih di Desa Telemung Kecamatan Kalipuro Kabupaten Banyuwangi</v>
      </c>
      <c r="G3" s="49" t="str">
        <f ca="1">IFERROR(__xludf.DUMMYFUNCTION("""COMPUTED_VALUE"""),"Ciptian Weried Priananda, S.ST., M.T.")</f>
        <v>Ciptian Weried Priananda, S.ST., M.T.</v>
      </c>
      <c r="H3" s="49" t="str">
        <f ca="1">IFERROR(__xludf.DUMMYFUNCTION("""COMPUTED_VALUE"""),"Hertiari Idajati, S.T., M.Sc.")</f>
        <v>Hertiari Idajati, S.T., M.Sc.</v>
      </c>
      <c r="I3" s="49" t="str">
        <f ca="1">IFERROR(__xludf.DUMMYFUNCTION("""COMPUTED_VALUE"""),"Ir. Muchammad Husni, M.Kom")</f>
        <v>Ir. Muchammad Husni, M.Kom</v>
      </c>
      <c r="J3" s="49"/>
      <c r="K3" s="34" t="s">
        <v>1062</v>
      </c>
      <c r="L3" s="23" t="s">
        <v>1063</v>
      </c>
      <c r="M3" s="19" t="b">
        <v>0</v>
      </c>
      <c r="N3" s="19" t="b">
        <v>0</v>
      </c>
      <c r="O3" s="16" t="s">
        <v>1064</v>
      </c>
      <c r="P3" s="7" t="str">
        <f ca="1">IFERROR(__xludf.DUMMYFUNCTION("iferror(vlookup(B3,importrange(""https://docs.google.com/spreadsheets/d/1boHyJQ4e2FU0QG8MHwEi6qjX4hvZWVCHcFfXjq7bbMc/edit?resourcekey#gid=923248883"",""Prop!$C$1:$M""),12,0),IFERROR(vlookup(B3,importrange(""https://docs.google.com/spreadsheets/d/1boHyJQ4e"&amp;"2FU0QG8MHwEi6qjX4hvZWVCHcFfXjq7bbMc/edit?resourcekey#gid=923248883"",""Prop!$N$1:$X""),11,0),iferror(vlookup(B3,importrange(""https://docs.google.com/spreadsheets/d/1boHyJQ4e2FU0QG8MHwEi6qjX4hvZWVCHcFfXjq7bbMc/edit?resourcekey#gid=923248883"",""Prop!$Y$1:"&amp;"$AI""),11,0),iferror(vlookup(B3,importrange(""https://docs.google.com/spreadsheets/d/1boHyJQ4e2FU0QG8MHwEi6qjX4hvZWVCHcFfXjq7bbMc/edit?resourcekey#gid=923248883"",""Prop!$AJ$1:$AT""),11,0),iferror(vlookup(B3,importrange(""https://docs.google.com/spreadshe"&amp;"ets/d/1boHyJQ4e2FU0QG8MHwEi6qjX4hvZWVCHcFfXjq7bbMc/edit?resourcekey#gid=923248883"",""Prop!$AU$1:$BE""),11,0),iferror(vlookup(B3,importrange(""https://docs.google.com/spreadsheets/d/1boHyJQ4e2FU0QG8MHwEi6qjX4hvZWVCHcFfXjq7bbMc/edit?resourcekey#gid=9232488"&amp;"83"",""Prop!$BF$1:$BP""),11,0),iferror(vlookup(B3,importrange(""https://docs.google.com/spreadsheets/d/1boHyJQ4e2FU0QG8MHwEi6qjX4hvZWVCHcFfXjq7bbMc/edit?resourcekey#gid=923248883"",""Prop!$BQ$1:$CA""),11,0),iferror(vlookup(B3,importrange(""https://docs.go"&amp;"ogle.com/spreadsheets/d/1boHyJQ4e2FU0QG8MHwEi6qjX4hvZWVCHcFfXjq7bbMc/edit?resourcekey#gid=923248883"",""Prop!$CB$1:$CL""),11,0),iferror(vlookup(B3,importrange(""https://docs.google.com/spreadsheets/d/1boHyJQ4e2FU0QG8MHwEi6qjX4hvZWVCHcFfXjq7bbMc/edit?resou"&amp;"rcekey#gid=923248883"",""Prop!$CM$1:$CX""),12,0),iferror(vlookup(B3,importrange(""https://docs.google.com/spreadsheets/d/1boHyJQ4e2FU0QG8MHwEi6qjX4hvZWVCHcFfXjq7bbMc/edit?resourcekey#gid=923248883"",""Prop!$CV$1:$DI""),11,0)))))))))))"),"https://drive.google.com/open?id=1g5F7zO8x857RNadCC1DWjSI6u_XbFLqS")</f>
        <v>https://drive.google.com/open?id=1g5F7zO8x857RNadCC1DWjSI6u_XbFLqS</v>
      </c>
      <c r="Q3" s="50" t="str">
        <f ca="1">IFERROR(__xludf.DUMMYFUNCTION("iferror(vlookup(B3,importrange(""https://docs.google.com/spreadsheets/d/1p53T2AuvvIqhP7Nf-bo3Uhj8cbKYRPpZdsrBv3x3bAQ/edit?resourcekey#gid=1321652304"",""Prop!$C$1:$M""),11,0),IFERROR(vlookup(B3,importrange(""https://docs.google.com/spreadsheets/d/1p53T2Au"&amp;"vvIqhP7Nf-bo3Uhj8cbKYRPpZdsrBv3x3bAQ/edit?resourcekey#gid=1321652304"",""Prop!$N$1:$X""),11,0),iferror(vlookup(B3,importrange(""https://docs.google.com/spreadsheets/d/1p53T2AuvvIqhP7Nf-bo3Uhj8cbKYRPpZdsrBv3x3bAQ/edit?resourcekey#gid=1321652304"",""Prop!$Y"&amp;"$1:$AI""),11,0),iferror(vlookup(B3,importrange(""https://docs.google.com/spreadsheets/d/1p53T2AuvvIqhP7Nf-bo3Uhj8cbKYRPpZdsrBv3x3bAQ/edit?resourcekey#gid=1321652304"",""Prop!$AJ$1:$AT""),11,0),iferror(vlookup(B3,importrange(""https://docs.google.com/sprea"&amp;"dsheets/d/1p53T2AuvvIqhP7Nf-bo3Uhj8cbKYRPpZdsrBv3x3bAQ/edit?resourcekey#gid=1321652304"",""Prop!$AU$1:$BE""),11,0),iferror(vlookup(B3,importrange(""https://docs.google.com/spreadsheets/d/1p53T2AuvvIqhP7Nf-bo3Uhj8cbKYRPpZdsrBv3x3bAQ/edit?resourcekey#gid=13"&amp;"21652304"",""Prop!$BF$1:$BP""),11,0),iferror(vlookup(B3,importrange(""https://docs.google.com/spreadsheets/d/1p53T2AuvvIqhP7Nf-bo3Uhj8cbKYRPpZdsrBv3x3bAQ/edit?resourcekey#gid=1321652304"",""Prop!$BQ$1:$CA""),11,0),iferror(vlookup(B3,importrange(""https://"&amp;"docs.google.com/spreadsheets/d/1p53T2AuvvIqhP7Nf-bo3Uhj8cbKYRPpZdsrBv3x3bAQ/edit?resourcekey#gid=1321652304"",""Prop!$CB$1:$CL""),11,0),iferror(vlookup(B3,importrange(""https://docs.google.com/spreadsheets/d/1p53T2AuvvIqhP7Nf-bo3Uhj8cbKYRPpZdsrBv3x3bAQ/ed"&amp;"it?resourcekey#gid=1321652304"",""Prop!$CM$1:$CX""),12,0),iferror(vlookup(B3,importrange(""https://docs.google.com/spreadsheets/d/1p53T2AuvvIqhP7Nf-bo3Uhj8cbKYRPpZdsrBv3x3bAQ/edit?resourcekey#gid=1321652304"",""Prop!$CY$1:$DI""),11,0)))))))))))"),"https://drive.google.com/open?id=1Pj7WFeSuyawnu4yGvsUEylrFQpBbdhMm")</f>
        <v>https://drive.google.com/open?id=1Pj7WFeSuyawnu4yGvsUEylrFQpBbdhMm</v>
      </c>
      <c r="R3" s="88" t="s">
        <v>1065</v>
      </c>
      <c r="S3" s="20" t="str">
        <f ca="1">IFERROR(__xludf.DUMMYFUNCTION("IFERROR(vlookup(B3,IMPORTRANGE(""https://docs.google.com/spreadsheets/d/1g_jfYYK_KeipEDNDUgqgrsxK94XiocfNQIcP-v1QVhI/edit?resourcekey#gid=233272945"",""Nilai!B:CT""),95,0),"" "")"),"Permasalahan Lokasi Mitra, ada kemungkinan dipindahkan di Mojokerto atau Pasuruan (tetapi kondisi eksisting berbeda). Perumusan masalah masih terlalu sederhana (belum tajam)")</f>
        <v>Permasalahan Lokasi Mitra, ada kemungkinan dipindahkan di Mojokerto atau Pasuruan (tetapi kondisi eksisting berbeda). Perumusan masalah masih terlalu sederhana (belum tajam)</v>
      </c>
      <c r="T3" s="20" t="str">
        <f ca="1">IFERROR(__xludf.DUMMYFUNCTION("IFERROR(vlookup(B3,IMPORTRANGE(""https://docs.google.com/spreadsheets/d/1g_jfYYK_KeipEDNDUgqgrsxK94XiocfNQIcP-v1QVhI/edit?resourcekey#gid=233272945"",""Nilai!B:CT""),97,0),"" "")"),"LAYAK UPLOAD KE SIMBELMAWA DENGAN REVISI")</f>
        <v>LAYAK UPLOAD KE SIMBELMAWA DENGAN REVISI</v>
      </c>
      <c r="U3" s="45" t="s">
        <v>1066</v>
      </c>
      <c r="V3" s="51">
        <f ca="1">IFERROR(__xludf.DUMMYFUNCTION("IFERROR(
        vlookup(B3,
                IMPORTRANGE(""https://docs.google.com/spreadsheets/d/1dN4XwmJdILpQh5cYONP2LyBh3ksWo6DCzMrUbN3lo_Q/edit#gid=1905254675"",
                        ""Form Responses 1!F2:I""),
                4,
                fa"&amp;"lse))"),311)</f>
        <v>311</v>
      </c>
      <c r="W3" s="52" t="s">
        <v>1067</v>
      </c>
      <c r="X3" s="23" t="s">
        <v>1068</v>
      </c>
      <c r="Y3" s="16" t="b">
        <v>0</v>
      </c>
      <c r="Z3" s="16"/>
      <c r="AA3" s="16"/>
      <c r="AB3" s="16"/>
      <c r="AC3" s="16"/>
      <c r="AD3" s="16"/>
      <c r="AE3" s="16"/>
      <c r="AF3" s="16"/>
      <c r="AG3" s="16"/>
      <c r="AH3" s="16"/>
      <c r="AI3" s="16"/>
    </row>
    <row r="4" spans="1:35">
      <c r="A4" s="15">
        <v>2</v>
      </c>
      <c r="B4" s="15">
        <f ca="1">IFERROR(__xludf.DUMMYFUNCTION("""COMPUTED_VALUE"""),3976)</f>
        <v>3976</v>
      </c>
      <c r="C4" s="49" t="str">
        <f ca="1">IFERROR(__xludf.DUMMYFUNCTION("""COMPUTED_VALUE"""),"Novia Dwi Cahyanti")</f>
        <v>Novia Dwi Cahyanti</v>
      </c>
      <c r="D4" s="49" t="str">
        <f ca="1">IFERROR(__xludf.DUMMYFUNCTION("""COMPUTED_VALUE"""),"03111940000039")</f>
        <v>03111940000039</v>
      </c>
      <c r="E4" s="49" t="str">
        <f ca="1">IFERROR(__xludf.DUMMYFUNCTION("""COMPUTED_VALUE"""),"Departemen Teknik Sipil")</f>
        <v>Departemen Teknik Sipil</v>
      </c>
      <c r="F4" s="49" t="str">
        <f ca="1">IFERROR(__xludf.DUMMYFUNCTION("""COMPUTED_VALUE"""),"Pendampingan Pengolahan Porang menjadi Mie Shirataki untuk Meningkatkan Produktivitas Ibu-Ibu PKK Desa Pule, Trenggalek")</f>
        <v>Pendampingan Pengolahan Porang menjadi Mie Shirataki untuk Meningkatkan Produktivitas Ibu-Ibu PKK Desa Pule, Trenggalek</v>
      </c>
      <c r="G4" s="49" t="str">
        <f ca="1">IFERROR(__xludf.DUMMYFUNCTION("""COMPUTED_VALUE"""),"Welly Herumurti, S.T., M.Sc.")</f>
        <v>Welly Herumurti, S.T., M.Sc.</v>
      </c>
      <c r="H4" s="49" t="str">
        <f ca="1">IFERROR(__xludf.DUMMYFUNCTION("""COMPUTED_VALUE"""),"Hertiari Idajati, S.T., M.Sc.")</f>
        <v>Hertiari Idajati, S.T., M.Sc.</v>
      </c>
      <c r="I4" s="49" t="str">
        <f ca="1">IFERROR(__xludf.DUMMYFUNCTION("""COMPUTED_VALUE"""),"Ir. Muchammad Husni, M.Kom")</f>
        <v>Ir. Muchammad Husni, M.Kom</v>
      </c>
      <c r="J4" s="49"/>
      <c r="K4" s="34" t="s">
        <v>1062</v>
      </c>
      <c r="L4" s="23" t="s">
        <v>1063</v>
      </c>
      <c r="M4" s="19" t="b">
        <v>1</v>
      </c>
      <c r="N4" s="19" t="b">
        <v>0</v>
      </c>
      <c r="O4" s="16" t="s">
        <v>1064</v>
      </c>
      <c r="P4" s="7" t="str">
        <f ca="1">IFERROR(__xludf.DUMMYFUNCTION("iferror(vlookup(B4,importrange(""https://docs.google.com/spreadsheets/d/1boHyJQ4e2FU0QG8MHwEi6qjX4hvZWVCHcFfXjq7bbMc/edit?resourcekey#gid=923248883"",""Prop!$C$1:$M""),12,0),IFERROR(vlookup(B4,importrange(""https://docs.google.com/spreadsheets/d/1boHyJQ4e"&amp;"2FU0QG8MHwEi6qjX4hvZWVCHcFfXjq7bbMc/edit?resourcekey#gid=923248883"",""Prop!$N$1:$X""),11,0),iferror(vlookup(B4,importrange(""https://docs.google.com/spreadsheets/d/1boHyJQ4e2FU0QG8MHwEi6qjX4hvZWVCHcFfXjq7bbMc/edit?resourcekey#gid=923248883"",""Prop!$Y$1:"&amp;"$AI""),11,0),iferror(vlookup(B4,importrange(""https://docs.google.com/spreadsheets/d/1boHyJQ4e2FU0QG8MHwEi6qjX4hvZWVCHcFfXjq7bbMc/edit?resourcekey#gid=923248883"",""Prop!$AJ$1:$AT""),11,0),iferror(vlookup(B4,importrange(""https://docs.google.com/spreadshe"&amp;"ets/d/1boHyJQ4e2FU0QG8MHwEi6qjX4hvZWVCHcFfXjq7bbMc/edit?resourcekey#gid=923248883"",""Prop!$AU$1:$BE""),11,0),iferror(vlookup(B4,importrange(""https://docs.google.com/spreadsheets/d/1boHyJQ4e2FU0QG8MHwEi6qjX4hvZWVCHcFfXjq7bbMc/edit?resourcekey#gid=9232488"&amp;"83"",""Prop!$BF$1:$BP""),11,0),iferror(vlookup(B4,importrange(""https://docs.google.com/spreadsheets/d/1boHyJQ4e2FU0QG8MHwEi6qjX4hvZWVCHcFfXjq7bbMc/edit?resourcekey#gid=923248883"",""Prop!$BQ$1:$CA""),11,0),iferror(vlookup(B4,importrange(""https://docs.go"&amp;"ogle.com/spreadsheets/d/1boHyJQ4e2FU0QG8MHwEi6qjX4hvZWVCHcFfXjq7bbMc/edit?resourcekey#gid=923248883"",""Prop!$CB$1:$CL""),11,0),iferror(vlookup(B4,importrange(""https://docs.google.com/spreadsheets/d/1boHyJQ4e2FU0QG8MHwEi6qjX4hvZWVCHcFfXjq7bbMc/edit?resou"&amp;"rcekey#gid=923248883"",""Prop!$CM$1:$CX""),12,0),iferror(vlookup(B4,importrange(""https://docs.google.com/spreadsheets/d/1boHyJQ4e2FU0QG8MHwEi6qjX4hvZWVCHcFfXjq7bbMc/edit?resourcekey#gid=923248883"",""Prop!$CV$1:$DI""),11,0)))))))))))"),"https://drive.google.com/open?id=1bIwrjj6VxzTro1GmsGzKNXl5UkcbvTt2")</f>
        <v>https://drive.google.com/open?id=1bIwrjj6VxzTro1GmsGzKNXl5UkcbvTt2</v>
      </c>
      <c r="Q4" s="50" t="str">
        <f ca="1">IFERROR(__xludf.DUMMYFUNCTION("iferror(vlookup(B4,importrange(""https://docs.google.com/spreadsheets/d/1p53T2AuvvIqhP7Nf-bo3Uhj8cbKYRPpZdsrBv3x3bAQ/edit?resourcekey#gid=1321652304"",""Prop!$C$1:$M""),11,0),IFERROR(vlookup(B4,importrange(""https://docs.google.com/spreadsheets/d/1p53T2Au"&amp;"vvIqhP7Nf-bo3Uhj8cbKYRPpZdsrBv3x3bAQ/edit?resourcekey#gid=1321652304"",""Prop!$N$1:$X""),11,0),iferror(vlookup(B4,importrange(""https://docs.google.com/spreadsheets/d/1p53T2AuvvIqhP7Nf-bo3Uhj8cbKYRPpZdsrBv3x3bAQ/edit?resourcekey#gid=1321652304"",""Prop!$Y"&amp;"$1:$AI""),11,0),iferror(vlookup(B4,importrange(""https://docs.google.com/spreadsheets/d/1p53T2AuvvIqhP7Nf-bo3Uhj8cbKYRPpZdsrBv3x3bAQ/edit?resourcekey#gid=1321652304"",""Prop!$AJ$1:$AT""),11,0),iferror(vlookup(B4,importrange(""https://docs.google.com/sprea"&amp;"dsheets/d/1p53T2AuvvIqhP7Nf-bo3Uhj8cbKYRPpZdsrBv3x3bAQ/edit?resourcekey#gid=1321652304"",""Prop!$AU$1:$BE""),11,0),iferror(vlookup(B4,importrange(""https://docs.google.com/spreadsheets/d/1p53T2AuvvIqhP7Nf-bo3Uhj8cbKYRPpZdsrBv3x3bAQ/edit?resourcekey#gid=13"&amp;"21652304"",""Prop!$BF$1:$BP""),11,0),iferror(vlookup(B4,importrange(""https://docs.google.com/spreadsheets/d/1p53T2AuvvIqhP7Nf-bo3Uhj8cbKYRPpZdsrBv3x3bAQ/edit?resourcekey#gid=1321652304"",""Prop!$BQ$1:$CA""),11,0),iferror(vlookup(B4,importrange(""https://"&amp;"docs.google.com/spreadsheets/d/1p53T2AuvvIqhP7Nf-bo3Uhj8cbKYRPpZdsrBv3x3bAQ/edit?resourcekey#gid=1321652304"",""Prop!$CB$1:$CL""),11,0),iferror(vlookup(B4,importrange(""https://docs.google.com/spreadsheets/d/1p53T2AuvvIqhP7Nf-bo3Uhj8cbKYRPpZdsrBv3x3bAQ/ed"&amp;"it?resourcekey#gid=1321652304"",""Prop!$CM$1:$CX""),12,0),iferror(vlookup(B4,importrange(""https://docs.google.com/spreadsheets/d/1p53T2AuvvIqhP7Nf-bo3Uhj8cbKYRPpZdsrBv3x3bAQ/edit?resourcekey#gid=1321652304"",""Prop!$CY$1:$DI""),11,0)))))))))))"),"https://drive.google.com/open?id=1XVEQ6k2yolyM22BWoKwYTCJYGdSfshso")</f>
        <v>https://drive.google.com/open?id=1XVEQ6k2yolyM22BWoKwYTCJYGdSfshso</v>
      </c>
      <c r="R4" s="88" t="s">
        <v>1065</v>
      </c>
      <c r="S4" s="20" t="str">
        <f ca="1">IFERROR(__xludf.DUMMYFUNCTION("IFERROR(vlookup(B4,IMPORTRANGE(""https://docs.google.com/spreadsheets/d/1g_jfYYK_KeipEDNDUgqgrsxK94XiocfNQIcP-v1QVhI/edit?resourcekey#gid=233272945"",""Nilai!B:CT""),95,0),"" "")"),"Latar belakang paragraf 1 sangat panjang. Perlu ada perubahan mitra (Porang agak sulit di radius 100 km surabaya, atau perlu berganti tanaman lain). Istilah terciptanya modul --&gt; Tersusunnya modul. SUmber: Dokumentasi Penulis (tidak perlu dinyatakan, kecu"&amp;"ali didapat dari sumber lain). Referensi DPMPTSP perlu didampingi referensi dari DInas Lain yang relevan. Bila e-commerce adalah keberlanjutan, bagaimana mekanisme kontrolnya...atau bisa disampaikan hal lain (belum spesifik jelas tertangkap dalam proposal"&amp;")")</f>
        <v>Latar belakang paragraf 1 sangat panjang. Perlu ada perubahan mitra (Porang agak sulit di radius 100 km surabaya, atau perlu berganti tanaman lain). Istilah terciptanya modul --&gt; Tersusunnya modul. SUmber: Dokumentasi Penulis (tidak perlu dinyatakan, kecuali didapat dari sumber lain). Referensi DPMPTSP perlu didampingi referensi dari DInas Lain yang relevan. Bila e-commerce adalah keberlanjutan, bagaimana mekanisme kontrolnya...atau bisa disampaikan hal lain (belum spesifik jelas tertangkap dalam proposal)</v>
      </c>
      <c r="T4" s="20" t="str">
        <f ca="1">IFERROR(__xludf.DUMMYFUNCTION("IFERROR(vlookup(B4,IMPORTRANGE(""https://docs.google.com/spreadsheets/d/1g_jfYYK_KeipEDNDUgqgrsxK94XiocfNQIcP-v1QVhI/edit?resourcekey#gid=233272945"",""Nilai!B:CT""),97,0),"" "")"),"LAYAK UPLOAD KE SIMBELMAWA DENGAN REVISI")</f>
        <v>LAYAK UPLOAD KE SIMBELMAWA DENGAN REVISI</v>
      </c>
      <c r="U4" s="45" t="s">
        <v>1066</v>
      </c>
      <c r="V4" s="51" t="str">
        <f ca="1">IFERROR(__xludf.DUMMYFUNCTION("IFERROR(
        vlookup(B4,
                IMPORTRANGE(""https://docs.google.com/spreadsheets/d/1dN4XwmJdILpQh5cYONP2LyBh3ksWo6DCzMrUbN3lo_Q/edit#gid=1905254675"",
                        ""Form Responses 1!F2:I""),
                4,
                fa"&amp;"lse))"),"210 km")</f>
        <v>210 km</v>
      </c>
      <c r="W4" s="52" t="s">
        <v>1067</v>
      </c>
      <c r="X4" s="23" t="s">
        <v>1068</v>
      </c>
      <c r="Y4" s="16" t="b">
        <v>1</v>
      </c>
      <c r="Z4" s="16"/>
      <c r="AA4" s="16"/>
      <c r="AB4" s="16"/>
      <c r="AC4" s="16"/>
      <c r="AD4" s="16"/>
      <c r="AE4" s="16"/>
      <c r="AF4" s="16"/>
      <c r="AG4" s="16"/>
      <c r="AH4" s="16"/>
      <c r="AI4" s="16"/>
    </row>
    <row r="5" spans="1:35">
      <c r="A5" s="15">
        <v>3</v>
      </c>
      <c r="B5" s="15">
        <f ca="1">IFERROR(__xludf.DUMMYFUNCTION("""COMPUTED_VALUE"""),2445)</f>
        <v>2445</v>
      </c>
      <c r="C5" s="49" t="str">
        <f ca="1">IFERROR(__xludf.DUMMYFUNCTION("""COMPUTED_VALUE"""),"HYASINTUS SATRYA RANGGADEWA")</f>
        <v>HYASINTUS SATRYA RANGGADEWA</v>
      </c>
      <c r="D5" s="49" t="str">
        <f ca="1">IFERROR(__xludf.DUMMYFUNCTION("""COMPUTED_VALUE"""),"2041201040")</f>
        <v>2041201040</v>
      </c>
      <c r="E5" s="49" t="str">
        <f ca="1">IFERROR(__xludf.DUMMYFUNCTION("""COMPUTED_VALUE"""),"Departemen Teknik Kimia Industri")</f>
        <v>Departemen Teknik Kimia Industri</v>
      </c>
      <c r="F5" s="49" t="str">
        <f ca="1">IFERROR(__xludf.DUMMYFUNCTION("""COMPUTED_VALUE"""),"PEMBERDAYAAN KARANG TARUNA KAMPUNG DINOYO MELALUI PELATIHAN PEMBUATAN NATA DE SOYA DARI WHEY TOFU SEBAGAI UPAYA MENGURANGI PENCEMARAN LINGKUNGAN")</f>
        <v>PEMBERDAYAAN KARANG TARUNA KAMPUNG DINOYO MELALUI PELATIHAN PEMBUATAN NATA DE SOYA DARI WHEY TOFU SEBAGAI UPAYA MENGURANGI PENCEMARAN LINGKUNGAN</v>
      </c>
      <c r="G5" s="49" t="str">
        <f ca="1">IFERROR(__xludf.DUMMYFUNCTION("""COMPUTED_VALUE"""),"Dr. Afan Hamzah, S.T.")</f>
        <v>Dr. Afan Hamzah, S.T.</v>
      </c>
      <c r="H5" s="49" t="str">
        <f ca="1">IFERROR(__xludf.DUMMYFUNCTION("""COMPUTED_VALUE"""),"Hertiari Idajati, S.T., M.Sc.")</f>
        <v>Hertiari Idajati, S.T., M.Sc.</v>
      </c>
      <c r="I5" s="49" t="str">
        <f ca="1">IFERROR(__xludf.DUMMYFUNCTION("""COMPUTED_VALUE"""),"Ir. Muchammad Husni, M.Kom")</f>
        <v>Ir. Muchammad Husni, M.Kom</v>
      </c>
      <c r="J5" s="49"/>
      <c r="K5" s="34" t="s">
        <v>1062</v>
      </c>
      <c r="L5" s="23" t="s">
        <v>1063</v>
      </c>
      <c r="M5" s="19" t="b">
        <v>1</v>
      </c>
      <c r="N5" s="19" t="b">
        <v>1</v>
      </c>
      <c r="O5" s="16" t="s">
        <v>1064</v>
      </c>
      <c r="P5" s="7" t="str">
        <f ca="1">IFERROR(__xludf.DUMMYFUNCTION("iferror(vlookup(B5,importrange(""https://docs.google.com/spreadsheets/d/1boHyJQ4e2FU0QG8MHwEi6qjX4hvZWVCHcFfXjq7bbMc/edit?resourcekey#gid=923248883"",""Prop!$C$1:$M""),12,0),IFERROR(vlookup(B5,importrange(""https://docs.google.com/spreadsheets/d/1boHyJQ4e"&amp;"2FU0QG8MHwEi6qjX4hvZWVCHcFfXjq7bbMc/edit?resourcekey#gid=923248883"",""Prop!$N$1:$X""),11,0),iferror(vlookup(B5,importrange(""https://docs.google.com/spreadsheets/d/1boHyJQ4e2FU0QG8MHwEi6qjX4hvZWVCHcFfXjq7bbMc/edit?resourcekey#gid=923248883"",""Prop!$Y$1:"&amp;"$AI""),11,0),iferror(vlookup(B5,importrange(""https://docs.google.com/spreadsheets/d/1boHyJQ4e2FU0QG8MHwEi6qjX4hvZWVCHcFfXjq7bbMc/edit?resourcekey#gid=923248883"",""Prop!$AJ$1:$AT""),11,0),iferror(vlookup(B5,importrange(""https://docs.google.com/spreadshe"&amp;"ets/d/1boHyJQ4e2FU0QG8MHwEi6qjX4hvZWVCHcFfXjq7bbMc/edit?resourcekey#gid=923248883"",""Prop!$AU$1:$BE""),11,0),iferror(vlookup(B5,importrange(""https://docs.google.com/spreadsheets/d/1boHyJQ4e2FU0QG8MHwEi6qjX4hvZWVCHcFfXjq7bbMc/edit?resourcekey#gid=9232488"&amp;"83"",""Prop!$BF$1:$BP""),11,0),iferror(vlookup(B5,importrange(""https://docs.google.com/spreadsheets/d/1boHyJQ4e2FU0QG8MHwEi6qjX4hvZWVCHcFfXjq7bbMc/edit?resourcekey#gid=923248883"",""Prop!$BQ$1:$CA""),11,0),iferror(vlookup(B5,importrange(""https://docs.go"&amp;"ogle.com/spreadsheets/d/1boHyJQ4e2FU0QG8MHwEi6qjX4hvZWVCHcFfXjq7bbMc/edit?resourcekey#gid=923248883"",""Prop!$CB$1:$CL""),11,0),iferror(vlookup(B5,importrange(""https://docs.google.com/spreadsheets/d/1boHyJQ4e2FU0QG8MHwEi6qjX4hvZWVCHcFfXjq7bbMc/edit?resou"&amp;"rcekey#gid=923248883"",""Prop!$CM$1:$CX""),12,0),iferror(vlookup(B5,importrange(""https://docs.google.com/spreadsheets/d/1boHyJQ4e2FU0QG8MHwEi6qjX4hvZWVCHcFfXjq7bbMc/edit?resourcekey#gid=923248883"",""Prop!$CV$1:$DI""),11,0)))))))))))"),"https://drive.google.com/open?id=14KjLKiSoNksCgrHiQmKAU8koXScOn9wp")</f>
        <v>https://drive.google.com/open?id=14KjLKiSoNksCgrHiQmKAU8koXScOn9wp</v>
      </c>
      <c r="Q5" s="50" t="str">
        <f ca="1">IFERROR(__xludf.DUMMYFUNCTION("iferror(vlookup(B5,importrange(""https://docs.google.com/spreadsheets/d/1p53T2AuvvIqhP7Nf-bo3Uhj8cbKYRPpZdsrBv3x3bAQ/edit?resourcekey#gid=1321652304"",""Prop!$C$1:$M""),11,0),IFERROR(vlookup(B5,importrange(""https://docs.google.com/spreadsheets/d/1p53T2Au"&amp;"vvIqhP7Nf-bo3Uhj8cbKYRPpZdsrBv3x3bAQ/edit?resourcekey#gid=1321652304"",""Prop!$N$1:$X""),11,0),iferror(vlookup(B5,importrange(""https://docs.google.com/spreadsheets/d/1p53T2AuvvIqhP7Nf-bo3Uhj8cbKYRPpZdsrBv3x3bAQ/edit?resourcekey#gid=1321652304"",""Prop!$Y"&amp;"$1:$AI""),11,0),iferror(vlookup(B5,importrange(""https://docs.google.com/spreadsheets/d/1p53T2AuvvIqhP7Nf-bo3Uhj8cbKYRPpZdsrBv3x3bAQ/edit?resourcekey#gid=1321652304"",""Prop!$AJ$1:$AT""),11,0),iferror(vlookup(B5,importrange(""https://docs.google.com/sprea"&amp;"dsheets/d/1p53T2AuvvIqhP7Nf-bo3Uhj8cbKYRPpZdsrBv3x3bAQ/edit?resourcekey#gid=1321652304"",""Prop!$AU$1:$BE""),11,0),iferror(vlookup(B5,importrange(""https://docs.google.com/spreadsheets/d/1p53T2AuvvIqhP7Nf-bo3Uhj8cbKYRPpZdsrBv3x3bAQ/edit?resourcekey#gid=13"&amp;"21652304"",""Prop!$BF$1:$BP""),11,0),iferror(vlookup(B5,importrange(""https://docs.google.com/spreadsheets/d/1p53T2AuvvIqhP7Nf-bo3Uhj8cbKYRPpZdsrBv3x3bAQ/edit?resourcekey#gid=1321652304"",""Prop!$BQ$1:$CA""),11,0),iferror(vlookup(B5,importrange(""https://"&amp;"docs.google.com/spreadsheets/d/1p53T2AuvvIqhP7Nf-bo3Uhj8cbKYRPpZdsrBv3x3bAQ/edit?resourcekey#gid=1321652304"",""Prop!$CB$1:$CL""),11,0),iferror(vlookup(B5,importrange(""https://docs.google.com/spreadsheets/d/1p53T2AuvvIqhP7Nf-bo3Uhj8cbKYRPpZdsrBv3x3bAQ/ed"&amp;"it?resourcekey#gid=1321652304"",""Prop!$CM$1:$CX""),12,0),iferror(vlookup(B5,importrange(""https://docs.google.com/spreadsheets/d/1p53T2AuvvIqhP7Nf-bo3Uhj8cbKYRPpZdsrBv3x3bAQ/edit?resourcekey#gid=1321652304"",""Prop!$CY$1:$DI""),11,0)))))))))))"),"https://drive.google.com/open?id=1db4MeqLW7YX-fM1xGLZZZMnbED0tGOTc")</f>
        <v>https://drive.google.com/open?id=1db4MeqLW7YX-fM1xGLZZZMnbED0tGOTc</v>
      </c>
      <c r="R5" s="88" t="s">
        <v>1065</v>
      </c>
      <c r="S5" s="20" t="str">
        <f ca="1">IFERROR(__xludf.DUMMYFUNCTION("IFERROR(vlookup(B5,IMPORTRANGE(""https://docs.google.com/spreadsheets/d/1g_jfYYK_KeipEDNDUgqgrsxK94XiocfNQIcP-v1QVhI/edit?resourcekey#gid=233272945"",""Nilai!B:CT""),95,0),"" "")"),"Penulisan kalimat kurang tegas, beberapa terkesan bertele-tele, misal kalimat yang diawali Hal ini berdasarkan survei. Hubungan antara bau tidak sedap dengan potensi wilayah yang perlu diunggulkan (kurang pas). Beberapa hal lain sudah dihighligt Pak Bandu"&amp;"ng. Korelasi kondisi masyarakat dengan potensi unggulan belum nampak. Korelasi beberapa produk yang diusulkan dengan Kampung Dinoyo yang berada di pusat kota barangkali perlu dijelaskan")</f>
        <v>Penulisan kalimat kurang tegas, beberapa terkesan bertele-tele, misal kalimat yang diawali Hal ini berdasarkan survei. Hubungan antara bau tidak sedap dengan potensi wilayah yang perlu diunggulkan (kurang pas). Beberapa hal lain sudah dihighligt Pak Bandung. Korelasi kondisi masyarakat dengan potensi unggulan belum nampak. Korelasi beberapa produk yang diusulkan dengan Kampung Dinoyo yang berada di pusat kota barangkali perlu dijelaskan</v>
      </c>
      <c r="T5" s="20" t="str">
        <f ca="1">IFERROR(__xludf.DUMMYFUNCTION("IFERROR(vlookup(B5,IMPORTRANGE(""https://docs.google.com/spreadsheets/d/1g_jfYYK_KeipEDNDUgqgrsxK94XiocfNQIcP-v1QVhI/edit?resourcekey#gid=233272945"",""Nilai!B:CT""),97,0),"" "")"),"LAYAK UPLOAD KE SIMBELMAWA DENGAN REVISI")</f>
        <v>LAYAK UPLOAD KE SIMBELMAWA DENGAN REVISI</v>
      </c>
      <c r="U5" s="45" t="s">
        <v>1066</v>
      </c>
      <c r="V5" s="38" t="str">
        <f ca="1">IFERROR(__xludf.DUMMYFUNCTION("IFERROR(
        vlookup(B5,
                IMPORTRANGE(""https://docs.google.com/spreadsheets/d/1dN4XwmJdILpQh5cYONP2LyBh3ksWo6DCzMrUbN3lo_Q/edit#gid=1905254675"",
                        ""Form Responses 1!F2:I""),
                4,
                fa"&amp;"lse))"),"6.2 km")</f>
        <v>6.2 km</v>
      </c>
      <c r="W5" s="52" t="s">
        <v>1067</v>
      </c>
      <c r="X5" s="23" t="s">
        <v>1068</v>
      </c>
      <c r="Y5" s="16" t="b">
        <v>1</v>
      </c>
      <c r="Z5" s="16"/>
      <c r="AA5" s="16"/>
      <c r="AB5" s="16"/>
      <c r="AC5" s="16"/>
      <c r="AD5" s="16"/>
      <c r="AE5" s="16"/>
      <c r="AF5" s="16"/>
      <c r="AG5" s="16"/>
      <c r="AH5" s="16"/>
      <c r="AI5" s="16"/>
    </row>
    <row r="6" spans="1:35">
      <c r="A6" s="15">
        <v>4</v>
      </c>
      <c r="B6" s="15">
        <f ca="1">IFERROR(__xludf.DUMMYFUNCTION("""COMPUTED_VALUE"""),2214)</f>
        <v>2214</v>
      </c>
      <c r="C6" s="49" t="str">
        <f ca="1">IFERROR(__xludf.DUMMYFUNCTION("""COMPUTED_VALUE"""),"Ilma Linda Magfiroh")</f>
        <v>Ilma Linda Magfiroh</v>
      </c>
      <c r="D6" s="49" t="str">
        <f ca="1">IFERROR(__xludf.DUMMYFUNCTION("""COMPUTED_VALUE"""),"03211940000039")</f>
        <v>03211940000039</v>
      </c>
      <c r="E6" s="49" t="str">
        <f ca="1">IFERROR(__xludf.DUMMYFUNCTION("""COMPUTED_VALUE"""),"Departemen Teknik Lingkungan")</f>
        <v>Departemen Teknik Lingkungan</v>
      </c>
      <c r="F6" s="49" t="str">
        <f ca="1">IFERROR(__xludf.DUMMYFUNCTION("""COMPUTED_VALUE"""),"Pendampingan Vermicomposting sebagai Upaya Mereduksi Sampah Organik dan Meningkatkan Keterampilan Warga Binaan Rumah Tahanan Negara Kelas IIB Trenggalek")</f>
        <v>Pendampingan Vermicomposting sebagai Upaya Mereduksi Sampah Organik dan Meningkatkan Keterampilan Warga Binaan Rumah Tahanan Negara Kelas IIB Trenggalek</v>
      </c>
      <c r="G6" s="49" t="str">
        <f ca="1">IFERROR(__xludf.DUMMYFUNCTION("""COMPUTED_VALUE"""),"Welly Herumurti, S.T., M.Sc.")</f>
        <v>Welly Herumurti, S.T., M.Sc.</v>
      </c>
      <c r="H6" s="49" t="str">
        <f ca="1">IFERROR(__xludf.DUMMYFUNCTION("""COMPUTED_VALUE"""),"Welly Herumurti, S.T., M.Sc.")</f>
        <v>Welly Herumurti, S.T., M.Sc.</v>
      </c>
      <c r="I6" s="49" t="str">
        <f ca="1">IFERROR(__xludf.DUMMYFUNCTION("""COMPUTED_VALUE"""),"Naufan Noordyanto, S.Sn., M.Sn.")</f>
        <v>Naufan Noordyanto, S.Sn., M.Sn.</v>
      </c>
      <c r="J6" s="49"/>
      <c r="K6" s="34" t="s">
        <v>1062</v>
      </c>
      <c r="L6" s="23" t="s">
        <v>1063</v>
      </c>
      <c r="M6" s="19" t="b">
        <v>1</v>
      </c>
      <c r="N6" s="19" t="b">
        <v>1</v>
      </c>
      <c r="O6" s="16" t="s">
        <v>1064</v>
      </c>
      <c r="P6" s="7" t="str">
        <f ca="1">IFERROR(__xludf.DUMMYFUNCTION("iferror(vlookup(B6,importrange(""https://docs.google.com/spreadsheets/d/1boHyJQ4e2FU0QG8MHwEi6qjX4hvZWVCHcFfXjq7bbMc/edit?resourcekey#gid=923248883"",""Prop!$C$1:$M""),12,0),IFERROR(vlookup(B6,importrange(""https://docs.google.com/spreadsheets/d/1boHyJQ4e"&amp;"2FU0QG8MHwEi6qjX4hvZWVCHcFfXjq7bbMc/edit?resourcekey#gid=923248883"",""Prop!$N$1:$X""),11,0),iferror(vlookup(B6,importrange(""https://docs.google.com/spreadsheets/d/1boHyJQ4e2FU0QG8MHwEi6qjX4hvZWVCHcFfXjq7bbMc/edit?resourcekey#gid=923248883"",""Prop!$Y$1:"&amp;"$AI""),11,0),iferror(vlookup(B6,importrange(""https://docs.google.com/spreadsheets/d/1boHyJQ4e2FU0QG8MHwEi6qjX4hvZWVCHcFfXjq7bbMc/edit?resourcekey#gid=923248883"",""Prop!$AJ$1:$AT""),11,0),iferror(vlookup(B6,importrange(""https://docs.google.com/spreadshe"&amp;"ets/d/1boHyJQ4e2FU0QG8MHwEi6qjX4hvZWVCHcFfXjq7bbMc/edit?resourcekey#gid=923248883"",""Prop!$AU$1:$BE""),11,0),iferror(vlookup(B6,importrange(""https://docs.google.com/spreadsheets/d/1boHyJQ4e2FU0QG8MHwEi6qjX4hvZWVCHcFfXjq7bbMc/edit?resourcekey#gid=9232488"&amp;"83"",""Prop!$BF$1:$BP""),11,0),iferror(vlookup(B6,importrange(""https://docs.google.com/spreadsheets/d/1boHyJQ4e2FU0QG8MHwEi6qjX4hvZWVCHcFfXjq7bbMc/edit?resourcekey#gid=923248883"",""Prop!$BQ$1:$CA""),11,0),iferror(vlookup(B6,importrange(""https://docs.go"&amp;"ogle.com/spreadsheets/d/1boHyJQ4e2FU0QG8MHwEi6qjX4hvZWVCHcFfXjq7bbMc/edit?resourcekey#gid=923248883"",""Prop!$CB$1:$CL""),11,0),iferror(vlookup(B6,importrange(""https://docs.google.com/spreadsheets/d/1boHyJQ4e2FU0QG8MHwEi6qjX4hvZWVCHcFfXjq7bbMc/edit?resou"&amp;"rcekey#gid=923248883"",""Prop!$CM$1:$CX""),12,0),iferror(vlookup(B6,importrange(""https://docs.google.com/spreadsheets/d/1boHyJQ4e2FU0QG8MHwEi6qjX4hvZWVCHcFfXjq7bbMc/edit?resourcekey#gid=923248883"",""Prop!$CV$1:$DI""),11,0)))))))))))"),"https://drive.google.com/open?id=1qIEzahggCKmhIOTxTN9-2zWgfvHaihDS")</f>
        <v>https://drive.google.com/open?id=1qIEzahggCKmhIOTxTN9-2zWgfvHaihDS</v>
      </c>
      <c r="Q6" s="50" t="str">
        <f ca="1">IFERROR(__xludf.DUMMYFUNCTION("iferror(vlookup(B6,importrange(""https://docs.google.com/spreadsheets/d/1p53T2AuvvIqhP7Nf-bo3Uhj8cbKYRPpZdsrBv3x3bAQ/edit?resourcekey#gid=1321652304"",""Prop!$C$1:$M""),11,0),IFERROR(vlookup(B6,importrange(""https://docs.google.com/spreadsheets/d/1p53T2Au"&amp;"vvIqhP7Nf-bo3Uhj8cbKYRPpZdsrBv3x3bAQ/edit?resourcekey#gid=1321652304"",""Prop!$N$1:$X""),11,0),iferror(vlookup(B6,importrange(""https://docs.google.com/spreadsheets/d/1p53T2AuvvIqhP7Nf-bo3Uhj8cbKYRPpZdsrBv3x3bAQ/edit?resourcekey#gid=1321652304"",""Prop!$Y"&amp;"$1:$AI""),11,0),iferror(vlookup(B6,importrange(""https://docs.google.com/spreadsheets/d/1p53T2AuvvIqhP7Nf-bo3Uhj8cbKYRPpZdsrBv3x3bAQ/edit?resourcekey#gid=1321652304"",""Prop!$AJ$1:$AT""),11,0),iferror(vlookup(B6,importrange(""https://docs.google.com/sprea"&amp;"dsheets/d/1p53T2AuvvIqhP7Nf-bo3Uhj8cbKYRPpZdsrBv3x3bAQ/edit?resourcekey#gid=1321652304"",""Prop!$AU$1:$BE""),11,0),iferror(vlookup(B6,importrange(""https://docs.google.com/spreadsheets/d/1p53T2AuvvIqhP7Nf-bo3Uhj8cbKYRPpZdsrBv3x3bAQ/edit?resourcekey#gid=13"&amp;"21652304"",""Prop!$BF$1:$BP""),11,0),iferror(vlookup(B6,importrange(""https://docs.google.com/spreadsheets/d/1p53T2AuvvIqhP7Nf-bo3Uhj8cbKYRPpZdsrBv3x3bAQ/edit?resourcekey#gid=1321652304"",""Prop!$BQ$1:$CA""),11,0),iferror(vlookup(B6,importrange(""https://"&amp;"docs.google.com/spreadsheets/d/1p53T2AuvvIqhP7Nf-bo3Uhj8cbKYRPpZdsrBv3x3bAQ/edit?resourcekey#gid=1321652304"",""Prop!$CB$1:$CL""),11,0),iferror(vlookup(B6,importrange(""https://docs.google.com/spreadsheets/d/1p53T2AuvvIqhP7Nf-bo3Uhj8cbKYRPpZdsrBv3x3bAQ/ed"&amp;"it?resourcekey#gid=1321652304"",""Prop!$CM$1:$CX""),12,0),iferror(vlookup(B6,importrange(""https://docs.google.com/spreadsheets/d/1p53T2AuvvIqhP7Nf-bo3Uhj8cbKYRPpZdsrBv3x3bAQ/edit?resourcekey#gid=1321652304"",""Prop!$CY$1:$DI""),11,0)))))))))))"),"https://drive.google.com/open?id=1jMpsKh0L5YN_u6zJyAU27gsYIPPRfKX2")</f>
        <v>https://drive.google.com/open?id=1jMpsKh0L5YN_u6zJyAU27gsYIPPRfKX2</v>
      </c>
      <c r="R6" s="88" t="s">
        <v>1065</v>
      </c>
      <c r="S6" s="20" t="str">
        <f ca="1">IFERROR(__xludf.DUMMYFUNCTION("IFERROR(vlookup(B6,IMPORTRANGE(""https://docs.google.com/spreadsheets/d/1g_jfYYK_KeipEDNDUgqgrsxK94XiocfNQIcP-v1QVhI/edit?resourcekey#gid=233272945"",""Nilai!B:CT""),95,0),"" "")"),"Barangkali perlu ditambahkan potensi bahwa warga binaan akan dapat melanjutkan program ketika selesai menjalani masa hukuman (sebagai keberlanjutan) - kejelasan cara mencapai tujuan 1.")</f>
        <v>Barangkali perlu ditambahkan potensi bahwa warga binaan akan dapat melanjutkan program ketika selesai menjalani masa hukuman (sebagai keberlanjutan) - kejelasan cara mencapai tujuan 1.</v>
      </c>
      <c r="T6" s="20" t="str">
        <f ca="1">IFERROR(__xludf.DUMMYFUNCTION("IFERROR(vlookup(B6,IMPORTRANGE(""https://docs.google.com/spreadsheets/d/1g_jfYYK_KeipEDNDUgqgrsxK94XiocfNQIcP-v1QVhI/edit?resourcekey#gid=233272945"",""Nilai!B:CT""),97,0),"" "")"),"LAYAK UPLOAD KE SIMBELMAWA DENGAN REVISI")</f>
        <v>LAYAK UPLOAD KE SIMBELMAWA DENGAN REVISI</v>
      </c>
      <c r="U6" s="45" t="s">
        <v>1066</v>
      </c>
      <c r="V6" s="38" t="str">
        <f ca="1">IFERROR(__xludf.DUMMYFUNCTION("IFERROR(
        vlookup(B6,
                IMPORTRANGE(""https://docs.google.com/spreadsheets/d/1dN4XwmJdILpQh5cYONP2LyBh3ksWo6DCzMrUbN3lo_Q/edit#gid=1905254675"",
                        ""Form Responses 1!F2:I""),
                4,
                fa"&amp;"lse))"),"73,5 km")</f>
        <v>73,5 km</v>
      </c>
      <c r="W6" s="52" t="s">
        <v>1067</v>
      </c>
      <c r="X6" s="23" t="s">
        <v>1069</v>
      </c>
      <c r="Y6" s="16" t="b">
        <v>1</v>
      </c>
      <c r="Z6" s="16"/>
      <c r="AA6" s="16"/>
      <c r="AB6" s="16"/>
      <c r="AC6" s="16"/>
      <c r="AD6" s="16"/>
      <c r="AE6" s="16"/>
      <c r="AF6" s="16"/>
      <c r="AG6" s="16"/>
      <c r="AH6" s="16"/>
      <c r="AI6" s="16"/>
    </row>
    <row r="7" spans="1:35">
      <c r="A7" s="15">
        <v>5</v>
      </c>
      <c r="B7" s="15">
        <f ca="1">IFERROR(__xludf.DUMMYFUNCTION("""COMPUTED_VALUE"""),2932)</f>
        <v>2932</v>
      </c>
      <c r="C7" s="49" t="str">
        <f ca="1">IFERROR(__xludf.DUMMYFUNCTION("""COMPUTED_VALUE"""),"RATIH HANDAYANI")</f>
        <v>RATIH HANDAYANI</v>
      </c>
      <c r="D7" s="49" t="str">
        <f ca="1">IFERROR(__xludf.DUMMYFUNCTION("""COMPUTED_VALUE"""),"5004211068")</f>
        <v>5004211068</v>
      </c>
      <c r="E7" s="49" t="str">
        <f ca="1">IFERROR(__xludf.DUMMYFUNCTION("""COMPUTED_VALUE"""),"Departemen Kimia")</f>
        <v>Departemen Kimia</v>
      </c>
      <c r="F7" s="49" t="str">
        <f ca="1">IFERROR(__xludf.DUMMYFUNCTION("""COMPUTED_VALUE"""),"Pemberdayaan Kampung Eco Enzyme sebagai Sentra Ekonomi Melalui Pelatihan Ibu PKK di Eks Lokalisasi Jarak, Surabaya")</f>
        <v>Pemberdayaan Kampung Eco Enzyme sebagai Sentra Ekonomi Melalui Pelatihan Ibu PKK di Eks Lokalisasi Jarak, Surabaya</v>
      </c>
      <c r="G7" s="49" t="str">
        <f ca="1">IFERROR(__xludf.DUMMYFUNCTION("""COMPUTED_VALUE"""),"Deti Rahmawati, S.I.P., M.T.")</f>
        <v>Deti Rahmawati, S.I.P., M.T.</v>
      </c>
      <c r="H7" s="49" t="str">
        <f ca="1">IFERROR(__xludf.DUMMYFUNCTION("""COMPUTED_VALUE"""),"Welly Herumurti, S.T., M.Sc.")</f>
        <v>Welly Herumurti, S.T., M.Sc.</v>
      </c>
      <c r="I7" s="49" t="str">
        <f ca="1">IFERROR(__xludf.DUMMYFUNCTION("""COMPUTED_VALUE"""),"Naufan Noordyanto, S.Sn., M.Sn.")</f>
        <v>Naufan Noordyanto, S.Sn., M.Sn.</v>
      </c>
      <c r="J7" s="49"/>
      <c r="K7" s="34" t="s">
        <v>1062</v>
      </c>
      <c r="L7" s="23" t="s">
        <v>1063</v>
      </c>
      <c r="M7" s="19" t="b">
        <v>1</v>
      </c>
      <c r="N7" s="19" t="b">
        <v>1</v>
      </c>
      <c r="O7" s="16" t="s">
        <v>1064</v>
      </c>
      <c r="P7" s="7" t="str">
        <f ca="1">IFERROR(__xludf.DUMMYFUNCTION("iferror(vlookup(B7,importrange(""https://docs.google.com/spreadsheets/d/1boHyJQ4e2FU0QG8MHwEi6qjX4hvZWVCHcFfXjq7bbMc/edit?resourcekey#gid=923248883"",""Prop!$C$1:$M""),12,0),IFERROR(vlookup(B7,importrange(""https://docs.google.com/spreadsheets/d/1boHyJQ4e"&amp;"2FU0QG8MHwEi6qjX4hvZWVCHcFfXjq7bbMc/edit?resourcekey#gid=923248883"",""Prop!$N$1:$X""),11,0),iferror(vlookup(B7,importrange(""https://docs.google.com/spreadsheets/d/1boHyJQ4e2FU0QG8MHwEi6qjX4hvZWVCHcFfXjq7bbMc/edit?resourcekey#gid=923248883"",""Prop!$Y$1:"&amp;"$AI""),11,0),iferror(vlookup(B7,importrange(""https://docs.google.com/spreadsheets/d/1boHyJQ4e2FU0QG8MHwEi6qjX4hvZWVCHcFfXjq7bbMc/edit?resourcekey#gid=923248883"",""Prop!$AJ$1:$AT""),11,0),iferror(vlookup(B7,importrange(""https://docs.google.com/spreadshe"&amp;"ets/d/1boHyJQ4e2FU0QG8MHwEi6qjX4hvZWVCHcFfXjq7bbMc/edit?resourcekey#gid=923248883"",""Prop!$AU$1:$BE""),11,0),iferror(vlookup(B7,importrange(""https://docs.google.com/spreadsheets/d/1boHyJQ4e2FU0QG8MHwEi6qjX4hvZWVCHcFfXjq7bbMc/edit?resourcekey#gid=9232488"&amp;"83"",""Prop!$BF$1:$BP""),11,0),iferror(vlookup(B7,importrange(""https://docs.google.com/spreadsheets/d/1boHyJQ4e2FU0QG8MHwEi6qjX4hvZWVCHcFfXjq7bbMc/edit?resourcekey#gid=923248883"",""Prop!$BQ$1:$CA""),11,0),iferror(vlookup(B7,importrange(""https://docs.go"&amp;"ogle.com/spreadsheets/d/1boHyJQ4e2FU0QG8MHwEi6qjX4hvZWVCHcFfXjq7bbMc/edit?resourcekey#gid=923248883"",""Prop!$CB$1:$CL""),11,0),iferror(vlookup(B7,importrange(""https://docs.google.com/spreadsheets/d/1boHyJQ4e2FU0QG8MHwEi6qjX4hvZWVCHcFfXjq7bbMc/edit?resou"&amp;"rcekey#gid=923248883"",""Prop!$CM$1:$CX""),12,0),iferror(vlookup(B7,importrange(""https://docs.google.com/spreadsheets/d/1boHyJQ4e2FU0QG8MHwEi6qjX4hvZWVCHcFfXjq7bbMc/edit?resourcekey#gid=923248883"",""Prop!$CV$1:$DI""),11,0)))))))))))"),"https://drive.google.com/open?id=1E92CFquFctPK2fACNyM3sSkzlMty1IyX")</f>
        <v>https://drive.google.com/open?id=1E92CFquFctPK2fACNyM3sSkzlMty1IyX</v>
      </c>
      <c r="Q7" s="50" t="str">
        <f ca="1">IFERROR(__xludf.DUMMYFUNCTION("iferror(vlookup(B7,importrange(""https://docs.google.com/spreadsheets/d/1p53T2AuvvIqhP7Nf-bo3Uhj8cbKYRPpZdsrBv3x3bAQ/edit?resourcekey#gid=1321652304"",""Prop!$C$1:$M""),11,0),IFERROR(vlookup(B7,importrange(""https://docs.google.com/spreadsheets/d/1p53T2Au"&amp;"vvIqhP7Nf-bo3Uhj8cbKYRPpZdsrBv3x3bAQ/edit?resourcekey#gid=1321652304"",""Prop!$N$1:$X""),11,0),iferror(vlookup(B7,importrange(""https://docs.google.com/spreadsheets/d/1p53T2AuvvIqhP7Nf-bo3Uhj8cbKYRPpZdsrBv3x3bAQ/edit?resourcekey#gid=1321652304"",""Prop!$Y"&amp;"$1:$AI""),11,0),iferror(vlookup(B7,importrange(""https://docs.google.com/spreadsheets/d/1p53T2AuvvIqhP7Nf-bo3Uhj8cbKYRPpZdsrBv3x3bAQ/edit?resourcekey#gid=1321652304"",""Prop!$AJ$1:$AT""),11,0),iferror(vlookup(B7,importrange(""https://docs.google.com/sprea"&amp;"dsheets/d/1p53T2AuvvIqhP7Nf-bo3Uhj8cbKYRPpZdsrBv3x3bAQ/edit?resourcekey#gid=1321652304"",""Prop!$AU$1:$BE""),11,0),iferror(vlookup(B7,importrange(""https://docs.google.com/spreadsheets/d/1p53T2AuvvIqhP7Nf-bo3Uhj8cbKYRPpZdsrBv3x3bAQ/edit?resourcekey#gid=13"&amp;"21652304"",""Prop!$BF$1:$BP""),11,0),iferror(vlookup(B7,importrange(""https://docs.google.com/spreadsheets/d/1p53T2AuvvIqhP7Nf-bo3Uhj8cbKYRPpZdsrBv3x3bAQ/edit?resourcekey#gid=1321652304"",""Prop!$BQ$1:$CA""),11,0),iferror(vlookup(B7,importrange(""https://"&amp;"docs.google.com/spreadsheets/d/1p53T2AuvvIqhP7Nf-bo3Uhj8cbKYRPpZdsrBv3x3bAQ/edit?resourcekey#gid=1321652304"",""Prop!$CB$1:$CL""),11,0),iferror(vlookup(B7,importrange(""https://docs.google.com/spreadsheets/d/1p53T2AuvvIqhP7Nf-bo3Uhj8cbKYRPpZdsrBv3x3bAQ/ed"&amp;"it?resourcekey#gid=1321652304"",""Prop!$CM$1:$CX""),12,0),iferror(vlookup(B7,importrange(""https://docs.google.com/spreadsheets/d/1p53T2AuvvIqhP7Nf-bo3Uhj8cbKYRPpZdsrBv3x3bAQ/edit?resourcekey#gid=1321652304"",""Prop!$CY$1:$DI""),11,0)))))))))))"),"https://drive.google.com/open?id=1GswCjH9Foq4rMESiLKcCY-Thvr5CPE6J")</f>
        <v>https://drive.google.com/open?id=1GswCjH9Foq4rMESiLKcCY-Thvr5CPE6J</v>
      </c>
      <c r="R7" s="88" t="s">
        <v>1065</v>
      </c>
      <c r="S7" s="20" t="str">
        <f ca="1">IFERROR(__xludf.DUMMYFUNCTION("IFERROR(vlookup(B7,IMPORTRANGE(""https://docs.google.com/spreadsheets/d/1g_jfYYK_KeipEDNDUgqgrsxK94XiocfNQIcP-v1QVhI/edit?resourcekey#gid=233272945"",""Nilai!B:CT""),95,0),"" "")"),"Ketidakberhasilan program sebelumnya perlu ada sedikit telaah tentang sumber permasalahan/penyebab. Beberapa catatan lain telah diberikan di saat zoom. Luaran artikel ilmiah berupa jurnal, apakah tidak terlalu berat? Peran digital marketing mungkin bisa d"&amp;"iperhalus dipola sebagai daya atau nila jual produk. Diagram alir kurang menarik...perlu pengelompokan kegiatan dalam tahapan. Indikator keberhasilan belum nampak jelas angka yang menjadi target.")</f>
        <v>Ketidakberhasilan program sebelumnya perlu ada sedikit telaah tentang sumber permasalahan/penyebab. Beberapa catatan lain telah diberikan di saat zoom. Luaran artikel ilmiah berupa jurnal, apakah tidak terlalu berat? Peran digital marketing mungkin bisa diperhalus dipola sebagai daya atau nila jual produk. Diagram alir kurang menarik...perlu pengelompokan kegiatan dalam tahapan. Indikator keberhasilan belum nampak jelas angka yang menjadi target.</v>
      </c>
      <c r="T7" s="20" t="str">
        <f ca="1">IFERROR(__xludf.DUMMYFUNCTION("IFERROR(vlookup(B7,IMPORTRANGE(""https://docs.google.com/spreadsheets/d/1g_jfYYK_KeipEDNDUgqgrsxK94XiocfNQIcP-v1QVhI/edit?resourcekey#gid=233272945"",""Nilai!B:CT""),97,0),"" "")"),"LAYAK UPLOAD KE SIMBELMAWA DENGAN REVISI")</f>
        <v>LAYAK UPLOAD KE SIMBELMAWA DENGAN REVISI</v>
      </c>
      <c r="U7" s="45" t="s">
        <v>1066</v>
      </c>
      <c r="V7" s="38" t="str">
        <f ca="1">IFERROR(__xludf.DUMMYFUNCTION("IFERROR(
        vlookup(B7,
                IMPORTRANGE(""https://docs.google.com/spreadsheets/d/1dN4XwmJdILpQh5cYONP2LyBh3ksWo6DCzMrUbN3lo_Q/edit#gid=1905254675"",
                        ""Form Responses 1!F2:I""),
                4,
                fa"&amp;"lse))"),"8,6 km")</f>
        <v>8,6 km</v>
      </c>
      <c r="W7" s="52" t="s">
        <v>1067</v>
      </c>
      <c r="X7" s="23" t="s">
        <v>1069</v>
      </c>
      <c r="Y7" s="16" t="b">
        <v>1</v>
      </c>
      <c r="Z7" s="16"/>
      <c r="AA7" s="16"/>
      <c r="AB7" s="16"/>
      <c r="AC7" s="16"/>
      <c r="AD7" s="16"/>
      <c r="AE7" s="16"/>
      <c r="AF7" s="16"/>
      <c r="AG7" s="16"/>
      <c r="AH7" s="16"/>
      <c r="AI7" s="16"/>
    </row>
    <row r="8" spans="1:35">
      <c r="A8" s="15">
        <v>6</v>
      </c>
      <c r="B8" s="15">
        <f ca="1">IFERROR(__xludf.DUMMYFUNCTION("""COMPUTED_VALUE"""),2950)</f>
        <v>2950</v>
      </c>
      <c r="C8" s="49" t="str">
        <f ca="1">IFERROR(__xludf.DUMMYFUNCTION("""COMPUTED_VALUE"""),"Lucky Adjun")</f>
        <v>Lucky Adjun</v>
      </c>
      <c r="D8" s="49" t="str">
        <f ca="1">IFERROR(__xludf.DUMMYFUNCTION("""COMPUTED_VALUE"""),"5008211031")</f>
        <v>5008211031</v>
      </c>
      <c r="E8" s="49" t="str">
        <f ca="1">IFERROR(__xludf.DUMMYFUNCTION("""COMPUTED_VALUE"""),"Departemen Teknik Kimia")</f>
        <v>Departemen Teknik Kimia</v>
      </c>
      <c r="F8" s="49" t="str">
        <f ca="1">IFERROR(__xludf.DUMMYFUNCTION("""COMPUTED_VALUE"""),"Pengaplikasian Biopond Bertingkat sebagai Media Budidaya Maggot Mandiri untuk Memberdayakan Program Adiwiyata SMAN 1 Gresik Berbasis Kewirausahaan
")</f>
        <v xml:space="preserve">Pengaplikasian Biopond Bertingkat sebagai Media Budidaya Maggot Mandiri untuk Memberdayakan Program Adiwiyata SMAN 1 Gresik Berbasis Kewirausahaan
</v>
      </c>
      <c r="G8" s="49" t="str">
        <f ca="1">IFERROR(__xludf.DUMMYFUNCTION("""COMPUTED_VALUE"""),"Dr.Eng. Siti Machmudah, S.T., M.Eng.")</f>
        <v>Dr.Eng. Siti Machmudah, S.T., M.Eng.</v>
      </c>
      <c r="H8" s="49" t="str">
        <f ca="1">IFERROR(__xludf.DUMMYFUNCTION("""COMPUTED_VALUE"""),"Hertiari Idajati, S.T., M.Sc.")</f>
        <v>Hertiari Idajati, S.T., M.Sc.</v>
      </c>
      <c r="I8" s="49" t="str">
        <f ca="1">IFERROR(__xludf.DUMMYFUNCTION("""COMPUTED_VALUE"""),"Ir. Muchammad Husni, M.Kom")</f>
        <v>Ir. Muchammad Husni, M.Kom</v>
      </c>
      <c r="J8" s="49"/>
      <c r="K8" s="34" t="s">
        <v>1062</v>
      </c>
      <c r="L8" s="23" t="s">
        <v>1070</v>
      </c>
      <c r="M8" s="19" t="b">
        <v>1</v>
      </c>
      <c r="N8" s="19" t="b">
        <v>1</v>
      </c>
      <c r="O8" s="16" t="s">
        <v>1064</v>
      </c>
      <c r="P8" s="7" t="str">
        <f ca="1">IFERROR(__xludf.DUMMYFUNCTION("iferror(vlookup(B8,importrange(""https://docs.google.com/spreadsheets/d/1boHyJQ4e2FU0QG8MHwEi6qjX4hvZWVCHcFfXjq7bbMc/edit?resourcekey#gid=923248883"",""Prop!$C$1:$M""),12,0),IFERROR(vlookup(B8,importrange(""https://docs.google.com/spreadsheets/d/1boHyJQ4e"&amp;"2FU0QG8MHwEi6qjX4hvZWVCHcFfXjq7bbMc/edit?resourcekey#gid=923248883"",""Prop!$N$1:$X""),11,0),iferror(vlookup(B8,importrange(""https://docs.google.com/spreadsheets/d/1boHyJQ4e2FU0QG8MHwEi6qjX4hvZWVCHcFfXjq7bbMc/edit?resourcekey#gid=923248883"",""Prop!$Y$1:"&amp;"$AI""),11,0),iferror(vlookup(B8,importrange(""https://docs.google.com/spreadsheets/d/1boHyJQ4e2FU0QG8MHwEi6qjX4hvZWVCHcFfXjq7bbMc/edit?resourcekey#gid=923248883"",""Prop!$AJ$1:$AT""),11,0),iferror(vlookup(B8,importrange(""https://docs.google.com/spreadshe"&amp;"ets/d/1boHyJQ4e2FU0QG8MHwEi6qjX4hvZWVCHcFfXjq7bbMc/edit?resourcekey#gid=923248883"",""Prop!$AU$1:$BE""),11,0),iferror(vlookup(B8,importrange(""https://docs.google.com/spreadsheets/d/1boHyJQ4e2FU0QG8MHwEi6qjX4hvZWVCHcFfXjq7bbMc/edit?resourcekey#gid=9232488"&amp;"83"",""Prop!$BF$1:$BP""),11,0),iferror(vlookup(B8,importrange(""https://docs.google.com/spreadsheets/d/1boHyJQ4e2FU0QG8MHwEi6qjX4hvZWVCHcFfXjq7bbMc/edit?resourcekey#gid=923248883"",""Prop!$BQ$1:$CA""),11,0),iferror(vlookup(B8,importrange(""https://docs.go"&amp;"ogle.com/spreadsheets/d/1boHyJQ4e2FU0QG8MHwEi6qjX4hvZWVCHcFfXjq7bbMc/edit?resourcekey#gid=923248883"",""Prop!$CB$1:$CL""),11,0),iferror(vlookup(B8,importrange(""https://docs.google.com/spreadsheets/d/1boHyJQ4e2FU0QG8MHwEi6qjX4hvZWVCHcFfXjq7bbMc/edit?resou"&amp;"rcekey#gid=923248883"",""Prop!$CM$1:$CX""),12,0),iferror(vlookup(B8,importrange(""https://docs.google.com/spreadsheets/d/1boHyJQ4e2FU0QG8MHwEi6qjX4hvZWVCHcFfXjq7bbMc/edit?resourcekey#gid=923248883"",""Prop!$CV$1:$DI""),11,0)))))))))))"),"https://drive.google.com/open?id=1eQ8FRSxi_81igbBAl3RloLn6kWEmfmr8")</f>
        <v>https://drive.google.com/open?id=1eQ8FRSxi_81igbBAl3RloLn6kWEmfmr8</v>
      </c>
      <c r="Q8" s="7" t="str">
        <f ca="1">IFERROR(__xludf.DUMMYFUNCTION("iferror(vlookup(B8,importrange(""https://docs.google.com/spreadsheets/d/1p53T2AuvvIqhP7Nf-bo3Uhj8cbKYRPpZdsrBv3x3bAQ/edit?resourcekey#gid=1321652304"",""Prop!$C$1:$M""),11,0),IFERROR(vlookup(B8,importrange(""https://docs.google.com/spreadsheets/d/1p53T2Au"&amp;"vvIqhP7Nf-bo3Uhj8cbKYRPpZdsrBv3x3bAQ/edit?resourcekey#gid=1321652304"",""Prop!$N$1:$X""),11,0),iferror(vlookup(B8,importrange(""https://docs.google.com/spreadsheets/d/1p53T2AuvvIqhP7Nf-bo3Uhj8cbKYRPpZdsrBv3x3bAQ/edit?resourcekey#gid=1321652304"",""Prop!$Y"&amp;"$1:$AI""),11,0),iferror(vlookup(B8,importrange(""https://docs.google.com/spreadsheets/d/1p53T2AuvvIqhP7Nf-bo3Uhj8cbKYRPpZdsrBv3x3bAQ/edit?resourcekey#gid=1321652304"",""Prop!$AJ$1:$AT""),11,0),iferror(vlookup(B8,importrange(""https://docs.google.com/sprea"&amp;"dsheets/d/1p53T2AuvvIqhP7Nf-bo3Uhj8cbKYRPpZdsrBv3x3bAQ/edit?resourcekey#gid=1321652304"",""Prop!$AU$1:$BE""),11,0),iferror(vlookup(B8,importrange(""https://docs.google.com/spreadsheets/d/1p53T2AuvvIqhP7Nf-bo3Uhj8cbKYRPpZdsrBv3x3bAQ/edit?resourcekey#gid=13"&amp;"21652304"",""Prop!$BF$1:$BP""),11,0),iferror(vlookup(B8,importrange(""https://docs.google.com/spreadsheets/d/1p53T2AuvvIqhP7Nf-bo3Uhj8cbKYRPpZdsrBv3x3bAQ/edit?resourcekey#gid=1321652304"",""Prop!$BQ$1:$CA""),11,0),iferror(vlookup(B8,importrange(""https://"&amp;"docs.google.com/spreadsheets/d/1p53T2AuvvIqhP7Nf-bo3Uhj8cbKYRPpZdsrBv3x3bAQ/edit?resourcekey#gid=1321652304"",""Prop!$CB$1:$CL""),11,0),iferror(vlookup(B8,importrange(""https://docs.google.com/spreadsheets/d/1p53T2AuvvIqhP7Nf-bo3Uhj8cbKYRPpZdsrBv3x3bAQ/ed"&amp;"it?resourcekey#gid=1321652304"",""Prop!$CM$1:$CX""),12,0),iferror(vlookup(B8,importrange(""https://docs.google.com/spreadsheets/d/1p53T2AuvvIqhP7Nf-bo3Uhj8cbKYRPpZdsrBv3x3bAQ/edit?resourcekey#gid=1321652304"",""Prop!$CY$1:$DI""),11,0)))))))))))"),"https://drive.google.com/open?id=1UeRzqA37M1tOTMGTePBrC738hM1IRz6d")</f>
        <v>https://drive.google.com/open?id=1UeRzqA37M1tOTMGTePBrC738hM1IRz6d</v>
      </c>
      <c r="R8" s="88" t="s">
        <v>1065</v>
      </c>
      <c r="S8" s="20" t="str">
        <f ca="1">IFERROR(__xludf.DUMMYFUNCTION("IFERROR(vlookup(B8,IMPORTRANGE(""https://docs.google.com/spreadsheets/d/1g_jfYYK_KeipEDNDUgqgrsxK94XiocfNQIcP-v1QVhI/edit?resourcekey#gid=233272945"",""Nilai!B:CT""),95,0),"" "")"),"Indikator keberhasilan misal tingkat partisipasi perlu dinyatakan jelas. Tentang keberlanjutan, para penggiat atau guru bagaimana melakukan proses alih tanggung jawab (kaderisasi) yang jelas. Catatan tentang sebagian kegiatan ini yang sejenis (sebagian) p"&amp;"erlu dijelaskan faktor ketidakberhasilannya.")</f>
        <v>Indikator keberhasilan misal tingkat partisipasi perlu dinyatakan jelas. Tentang keberlanjutan, para penggiat atau guru bagaimana melakukan proses alih tanggung jawab (kaderisasi) yang jelas. Catatan tentang sebagian kegiatan ini yang sejenis (sebagian) perlu dijelaskan faktor ketidakberhasilannya.</v>
      </c>
      <c r="T8" s="20" t="str">
        <f ca="1">IFERROR(__xludf.DUMMYFUNCTION("IFERROR(vlookup(B8,IMPORTRANGE(""https://docs.google.com/spreadsheets/d/1g_jfYYK_KeipEDNDUgqgrsxK94XiocfNQIcP-v1QVhI/edit?resourcekey#gid=233272945"",""Nilai!B:CT""),97,0),"" "")"),"LAYAK UPLOAD KE SIMBELMAWA DENGAN REVISI")</f>
        <v>LAYAK UPLOAD KE SIMBELMAWA DENGAN REVISI</v>
      </c>
      <c r="U8" s="45" t="s">
        <v>1066</v>
      </c>
      <c r="V8" s="38" t="str">
        <f ca="1">IFERROR(__xludf.DUMMYFUNCTION("IFERROR(
        vlookup(B8,
                IMPORTRANGE(""https://docs.google.com/spreadsheets/d/1dN4XwmJdILpQh5cYONP2LyBh3ksWo6DCzMrUbN3lo_Q/edit#gid=1905254675"",
                        ""Form Responses 1!F2:I""),
                4,
                fa"&amp;"lse))"),"27 km")</f>
        <v>27 km</v>
      </c>
      <c r="W8" s="52" t="s">
        <v>1067</v>
      </c>
      <c r="X8" s="23" t="s">
        <v>1069</v>
      </c>
      <c r="Y8" s="16" t="b">
        <v>1</v>
      </c>
      <c r="Z8" s="2"/>
      <c r="AA8" s="2"/>
      <c r="AB8" s="2"/>
      <c r="AC8" s="2"/>
      <c r="AD8" s="2"/>
      <c r="AE8" s="2"/>
      <c r="AF8" s="2"/>
      <c r="AG8" s="2"/>
      <c r="AH8" s="2"/>
      <c r="AI8" s="2"/>
    </row>
    <row r="9" spans="1:35">
      <c r="A9" s="15">
        <v>7</v>
      </c>
      <c r="B9" s="15">
        <f ca="1">IFERROR(__xludf.DUMMYFUNCTION("""COMPUTED_VALUE"""),4133)</f>
        <v>4133</v>
      </c>
      <c r="C9" s="49" t="str">
        <f ca="1">IFERROR(__xludf.DUMMYFUNCTION("""COMPUTED_VALUE"""),"MOCH CHOIRUL AKBAR ")</f>
        <v xml:space="preserve">MOCH CHOIRUL AKBAR </v>
      </c>
      <c r="D9" s="49" t="str">
        <f ca="1">IFERROR(__xludf.DUMMYFUNCTION("""COMPUTED_VALUE"""),"5012211039")</f>
        <v>5012211039</v>
      </c>
      <c r="E9" s="49" t="str">
        <f ca="1">IFERROR(__xludf.DUMMYFUNCTION("""COMPUTED_VALUE"""),"Departemen Teknik Sipil")</f>
        <v>Departemen Teknik Sipil</v>
      </c>
      <c r="F9" s="49" t="str">
        <f ca="1">IFERROR(__xludf.DUMMYFUNCTION("""COMPUTED_VALUE"""),"Pemberdayaan Ibu-Ibu PKK Desa Jarak Melalui Pemanfaatan Limbah Tongkol Jagung Menjadi Media Tanam Jamur Tiram Untuk Meningkatkan Perekonomian Masyarakat")</f>
        <v>Pemberdayaan Ibu-Ibu PKK Desa Jarak Melalui Pemanfaatan Limbah Tongkol Jagung Menjadi Media Tanam Jamur Tiram Untuk Meningkatkan Perekonomian Masyarakat</v>
      </c>
      <c r="G9" s="49" t="str">
        <f ca="1">IFERROR(__xludf.DUMMYFUNCTION("""COMPUTED_VALUE"""),"Nur Hidayatul Alami, S.Si., M.Si.")</f>
        <v>Nur Hidayatul Alami, S.Si., M.Si.</v>
      </c>
      <c r="H9" s="49" t="str">
        <f ca="1">IFERROR(__xludf.DUMMYFUNCTION("""COMPUTED_VALUE"""),"Welly Herumurti, S.T., M.Sc.")</f>
        <v>Welly Herumurti, S.T., M.Sc.</v>
      </c>
      <c r="I9" s="49" t="str">
        <f ca="1">IFERROR(__xludf.DUMMYFUNCTION("""COMPUTED_VALUE"""),"Naufan Noordyanto, S.Sn., M.Sn.")</f>
        <v>Naufan Noordyanto, S.Sn., M.Sn.</v>
      </c>
      <c r="J9" s="49"/>
      <c r="K9" s="34" t="s">
        <v>1062</v>
      </c>
      <c r="L9" s="23" t="s">
        <v>1070</v>
      </c>
      <c r="M9" s="19" t="b">
        <v>1</v>
      </c>
      <c r="N9" s="19" t="b">
        <v>1</v>
      </c>
      <c r="O9" s="16" t="s">
        <v>1064</v>
      </c>
      <c r="P9" s="7" t="str">
        <f ca="1">IFERROR(__xludf.DUMMYFUNCTION("iferror(vlookup(B9,importrange(""https://docs.google.com/spreadsheets/d/1boHyJQ4e2FU0QG8MHwEi6qjX4hvZWVCHcFfXjq7bbMc/edit?resourcekey#gid=923248883"",""Prop!$C$1:$M""),12,0),IFERROR(vlookup(B9,importrange(""https://docs.google.com/spreadsheets/d/1boHyJQ4e"&amp;"2FU0QG8MHwEi6qjX4hvZWVCHcFfXjq7bbMc/edit?resourcekey#gid=923248883"",""Prop!$N$1:$X""),11,0),iferror(vlookup(B9,importrange(""https://docs.google.com/spreadsheets/d/1boHyJQ4e2FU0QG8MHwEi6qjX4hvZWVCHcFfXjq7bbMc/edit?resourcekey#gid=923248883"",""Prop!$Y$1:"&amp;"$AI""),11,0),iferror(vlookup(B9,importrange(""https://docs.google.com/spreadsheets/d/1boHyJQ4e2FU0QG8MHwEi6qjX4hvZWVCHcFfXjq7bbMc/edit?resourcekey#gid=923248883"",""Prop!$AJ$1:$AT""),11,0),iferror(vlookup(B9,importrange(""https://docs.google.com/spreadshe"&amp;"ets/d/1boHyJQ4e2FU0QG8MHwEi6qjX4hvZWVCHcFfXjq7bbMc/edit?resourcekey#gid=923248883"",""Prop!$AU$1:$BE""),11,0),iferror(vlookup(B9,importrange(""https://docs.google.com/spreadsheets/d/1boHyJQ4e2FU0QG8MHwEi6qjX4hvZWVCHcFfXjq7bbMc/edit?resourcekey#gid=9232488"&amp;"83"",""Prop!$BF$1:$BP""),11,0),iferror(vlookup(B9,importrange(""https://docs.google.com/spreadsheets/d/1boHyJQ4e2FU0QG8MHwEi6qjX4hvZWVCHcFfXjq7bbMc/edit?resourcekey#gid=923248883"",""Prop!$BQ$1:$CA""),11,0),iferror(vlookup(B9,importrange(""https://docs.go"&amp;"ogle.com/spreadsheets/d/1boHyJQ4e2FU0QG8MHwEi6qjX4hvZWVCHcFfXjq7bbMc/edit?resourcekey#gid=923248883"",""Prop!$CB$1:$CL""),11,0),iferror(vlookup(B9,importrange(""https://docs.google.com/spreadsheets/d/1boHyJQ4e2FU0QG8MHwEi6qjX4hvZWVCHcFfXjq7bbMc/edit?resou"&amp;"rcekey#gid=923248883"",""Prop!$CM$1:$CX""),12,0),iferror(vlookup(B9,importrange(""https://docs.google.com/spreadsheets/d/1boHyJQ4e2FU0QG8MHwEi6qjX4hvZWVCHcFfXjq7bbMc/edit?resourcekey#gid=923248883"",""Prop!$CV$1:$DI""),11,0)))))))))))"),"https://drive.google.com/open?id=1iXF8bIyFAreLwWMzNAa8uJL-BkJ6r1V5")</f>
        <v>https://drive.google.com/open?id=1iXF8bIyFAreLwWMzNAa8uJL-BkJ6r1V5</v>
      </c>
      <c r="Q9" s="50" t="str">
        <f ca="1">IFERROR(__xludf.DUMMYFUNCTION("iferror(vlookup(B9,importrange(""https://docs.google.com/spreadsheets/d/1p53T2AuvvIqhP7Nf-bo3Uhj8cbKYRPpZdsrBv3x3bAQ/edit?resourcekey#gid=1321652304"",""Prop!$C$1:$M""),11,0),IFERROR(vlookup(B9,importrange(""https://docs.google.com/spreadsheets/d/1p53T2Au"&amp;"vvIqhP7Nf-bo3Uhj8cbKYRPpZdsrBv3x3bAQ/edit?resourcekey#gid=1321652304"",""Prop!$N$1:$X""),11,0),iferror(vlookup(B9,importrange(""https://docs.google.com/spreadsheets/d/1p53T2AuvvIqhP7Nf-bo3Uhj8cbKYRPpZdsrBv3x3bAQ/edit?resourcekey#gid=1321652304"",""Prop!$Y"&amp;"$1:$AI""),11,0),iferror(vlookup(B9,importrange(""https://docs.google.com/spreadsheets/d/1p53T2AuvvIqhP7Nf-bo3Uhj8cbKYRPpZdsrBv3x3bAQ/edit?resourcekey#gid=1321652304"",""Prop!$AJ$1:$AT""),11,0),iferror(vlookup(B9,importrange(""https://docs.google.com/sprea"&amp;"dsheets/d/1p53T2AuvvIqhP7Nf-bo3Uhj8cbKYRPpZdsrBv3x3bAQ/edit?resourcekey#gid=1321652304"",""Prop!$AU$1:$BE""),11,0),iferror(vlookup(B9,importrange(""https://docs.google.com/spreadsheets/d/1p53T2AuvvIqhP7Nf-bo3Uhj8cbKYRPpZdsrBv3x3bAQ/edit?resourcekey#gid=13"&amp;"21652304"",""Prop!$BF$1:$BP""),11,0),iferror(vlookup(B9,importrange(""https://docs.google.com/spreadsheets/d/1p53T2AuvvIqhP7Nf-bo3Uhj8cbKYRPpZdsrBv3x3bAQ/edit?resourcekey#gid=1321652304"",""Prop!$BQ$1:$CA""),11,0),iferror(vlookup(B9,importrange(""https://"&amp;"docs.google.com/spreadsheets/d/1p53T2AuvvIqhP7Nf-bo3Uhj8cbKYRPpZdsrBv3x3bAQ/edit?resourcekey#gid=1321652304"",""Prop!$CB$1:$CL""),11,0),iferror(vlookup(B9,importrange(""https://docs.google.com/spreadsheets/d/1p53T2AuvvIqhP7Nf-bo3Uhj8cbKYRPpZdsrBv3x3bAQ/ed"&amp;"it?resourcekey#gid=1321652304"",""Prop!$CM$1:$CX""),12,0),iferror(vlookup(B9,importrange(""https://docs.google.com/spreadsheets/d/1p53T2AuvvIqhP7Nf-bo3Uhj8cbKYRPpZdsrBv3x3bAQ/edit?resourcekey#gid=1321652304"",""Prop!$CY$1:$DI""),11,0)))))))))))"),"https://drive.google.com/open?id=1d4hlu5IELrkHpLd_WTbNYILAVVnsqRoC")</f>
        <v>https://drive.google.com/open?id=1d4hlu5IELrkHpLd_WTbNYILAVVnsqRoC</v>
      </c>
      <c r="R9" s="88" t="s">
        <v>1065</v>
      </c>
      <c r="S9" s="20" t="str">
        <f ca="1">IFERROR(__xludf.DUMMYFUNCTION("IFERROR(vlookup(B9,IMPORTRANGE(""https://docs.google.com/spreadsheets/d/1g_jfYYK_KeipEDNDUgqgrsxK94XiocfNQIcP-v1QVhI/edit?resourcekey#gid=233272945"",""Nilai!B:CT""),95,0),"" "")"),"Apakah nama desa sudah konsisten, Jarak atau Jarak Kulon. Metode pelaksanaan yang diberi warna merah perlu diarahkan pada keberlanjutan program ini bagaimana rencananya. Indikator keberhasilan belum terlihat dalam proposal ini.")</f>
        <v>Apakah nama desa sudah konsisten, Jarak atau Jarak Kulon. Metode pelaksanaan yang diberi warna merah perlu diarahkan pada keberlanjutan program ini bagaimana rencananya. Indikator keberhasilan belum terlihat dalam proposal ini.</v>
      </c>
      <c r="T9" s="20" t="str">
        <f ca="1">IFERROR(__xludf.DUMMYFUNCTION("IFERROR(vlookup(B9,IMPORTRANGE(""https://docs.google.com/spreadsheets/d/1g_jfYYK_KeipEDNDUgqgrsxK94XiocfNQIcP-v1QVhI/edit?resourcekey#gid=233272945"",""Nilai!B:CT""),97,0),"" "")"),"LAYAK UPLOAD KE SIMBELMAWA DENGAN REVISI")</f>
        <v>LAYAK UPLOAD KE SIMBELMAWA DENGAN REVISI</v>
      </c>
      <c r="U9" s="45" t="s">
        <v>1066</v>
      </c>
      <c r="V9" s="38" t="str">
        <f ca="1">IFERROR(__xludf.DUMMYFUNCTION("IFERROR(
        vlookup(B9,
                IMPORTRANGE(""https://docs.google.com/spreadsheets/d/1dN4XwmJdILpQh5cYONP2LyBh3ksWo6DCzMrUbN3lo_Q/edit#gid=1905254675"",
                        ""Form Responses 1!F2:I""),
                4,
                fa"&amp;"lse))"),"79 KM")</f>
        <v>79 KM</v>
      </c>
      <c r="W9" s="52" t="s">
        <v>1067</v>
      </c>
      <c r="X9" s="23" t="s">
        <v>1071</v>
      </c>
      <c r="Y9" s="16" t="b">
        <v>1</v>
      </c>
      <c r="Z9" s="16"/>
      <c r="AA9" s="16"/>
      <c r="AB9" s="16"/>
      <c r="AC9" s="16"/>
      <c r="AD9" s="16"/>
      <c r="AE9" s="16"/>
      <c r="AF9" s="16"/>
      <c r="AG9" s="16"/>
      <c r="AH9" s="16"/>
      <c r="AI9" s="16"/>
    </row>
    <row r="10" spans="1:35">
      <c r="A10" s="15">
        <v>8</v>
      </c>
      <c r="B10" s="15">
        <f ca="1">IFERROR(__xludf.DUMMYFUNCTION("""COMPUTED_VALUE"""),3841)</f>
        <v>3841</v>
      </c>
      <c r="C10" s="49" t="str">
        <f ca="1">IFERROR(__xludf.DUMMYFUNCTION("""COMPUTED_VALUE"""),"REGETA SALSABILA PUTRI HANI")</f>
        <v>REGETA SALSABILA PUTRI HANI</v>
      </c>
      <c r="D10" s="49" t="str">
        <f ca="1">IFERROR(__xludf.DUMMYFUNCTION("""COMPUTED_VALUE"""),"2041201048")</f>
        <v>2041201048</v>
      </c>
      <c r="E10" s="49" t="str">
        <f ca="1">IFERROR(__xludf.DUMMYFUNCTION("""COMPUTED_VALUE"""),"Departemen Teknik Kimia Industri")</f>
        <v>Departemen Teknik Kimia Industri</v>
      </c>
      <c r="F10" s="49" t="str">
        <f ca="1">IFERROR(__xludf.DUMMYFUNCTION("""COMPUTED_VALUE"""),"Inovasi Pembuatan Nata De Soya (dari  Limbah Cair Tahu) sebagai Upaya Pengolahan Limbah pada Industri Tahu Bulusan")</f>
        <v>Inovasi Pembuatan Nata De Soya (dari  Limbah Cair Tahu) sebagai Upaya Pengolahan Limbah pada Industri Tahu Bulusan</v>
      </c>
      <c r="G10" s="49" t="str">
        <f ca="1">IFERROR(__xludf.DUMMYFUNCTION("""COMPUTED_VALUE"""),"Dr. Afan Hamzah, S.T.")</f>
        <v>Dr. Afan Hamzah, S.T.</v>
      </c>
      <c r="H10" s="49" t="str">
        <f ca="1">IFERROR(__xludf.DUMMYFUNCTION("""COMPUTED_VALUE"""),"Hertiari Idajati, S.T., M.Sc.")</f>
        <v>Hertiari Idajati, S.T., M.Sc.</v>
      </c>
      <c r="I10" s="49" t="str">
        <f ca="1">IFERROR(__xludf.DUMMYFUNCTION("""COMPUTED_VALUE"""),"Ir. Muchammad Husni, M.Kom")</f>
        <v>Ir. Muchammad Husni, M.Kom</v>
      </c>
      <c r="J10" s="49"/>
      <c r="K10" s="34" t="s">
        <v>1062</v>
      </c>
      <c r="L10" s="23" t="s">
        <v>1070</v>
      </c>
      <c r="M10" s="19" t="b">
        <v>1</v>
      </c>
      <c r="N10" s="19" t="b">
        <v>1</v>
      </c>
      <c r="O10" s="16" t="s">
        <v>1064</v>
      </c>
      <c r="P10" s="7" t="str">
        <f ca="1">IFERROR(__xludf.DUMMYFUNCTION("iferror(vlookup(B10,importrange(""https://docs.google.com/spreadsheets/d/1boHyJQ4e2FU0QG8MHwEi6qjX4hvZWVCHcFfXjq7bbMc/edit?resourcekey#gid=923248883"",""Prop!$C$1:$M""),12,0),IFERROR(vlookup(B10,importrange(""https://docs.google.com/spreadsheets/d/1boHyJQ"&amp;"4e2FU0QG8MHwEi6qjX4hvZWVCHcFfXjq7bbMc/edit?resourcekey#gid=923248883"",""Prop!$N$1:$X""),11,0),iferror(vlookup(B10,importrange(""https://docs.google.com/spreadsheets/d/1boHyJQ4e2FU0QG8MHwEi6qjX4hvZWVCHcFfXjq7bbMc/edit?resourcekey#gid=923248883"",""Prop!$Y"&amp;"$1:$AI""),11,0),iferror(vlookup(B10,importrange(""https://docs.google.com/spreadsheets/d/1boHyJQ4e2FU0QG8MHwEi6qjX4hvZWVCHcFfXjq7bbMc/edit?resourcekey#gid=923248883"",""Prop!$AJ$1:$AT""),11,0),iferror(vlookup(B10,importrange(""https://docs.google.com/spre"&amp;"adsheets/d/1boHyJQ4e2FU0QG8MHwEi6qjX4hvZWVCHcFfXjq7bbMc/edit?resourcekey#gid=923248883"",""Prop!$AU$1:$BE""),11,0),iferror(vlookup(B10,importrange(""https://docs.google.com/spreadsheets/d/1boHyJQ4e2FU0QG8MHwEi6qjX4hvZWVCHcFfXjq7bbMc/edit?resourcekey#gid=9"&amp;"23248883"",""Prop!$BF$1:$BP""),11,0),iferror(vlookup(B10,importrange(""https://docs.google.com/spreadsheets/d/1boHyJQ4e2FU0QG8MHwEi6qjX4hvZWVCHcFfXjq7bbMc/edit?resourcekey#gid=923248883"",""Prop!$BQ$1:$CA""),11,0),iferror(vlookup(B10,importrange(""https:/"&amp;"/docs.google.com/spreadsheets/d/1boHyJQ4e2FU0QG8MHwEi6qjX4hvZWVCHcFfXjq7bbMc/edit?resourcekey#gid=923248883"",""Prop!$CB$1:$CL""),11,0),iferror(vlookup(B10,importrange(""https://docs.google.com/spreadsheets/d/1boHyJQ4e2FU0QG8MHwEi6qjX4hvZWVCHcFfXjq7bbMc/e"&amp;"dit?resourcekey#gid=923248883"",""Prop!$CM$1:$CX""),12,0),iferror(vlookup(B10,importrange(""https://docs.google.com/spreadsheets/d/1boHyJQ4e2FU0QG8MHwEi6qjX4hvZWVCHcFfXjq7bbMc/edit?resourcekey#gid=923248883"",""Prop!$CV$1:$DI""),11,0)))))))))))"),"https://drive.google.com/open?id=1XCouAWMu9TrS0Sl1miL5dTFTFMRKhR7l")</f>
        <v>https://drive.google.com/open?id=1XCouAWMu9TrS0Sl1miL5dTFTFMRKhR7l</v>
      </c>
      <c r="Q10" s="50" t="str">
        <f ca="1">IFERROR(__xludf.DUMMYFUNCTION("iferror(vlookup(B10,importrange(""https://docs.google.com/spreadsheets/d/1p53T2AuvvIqhP7Nf-bo3Uhj8cbKYRPpZdsrBv3x3bAQ/edit?resourcekey#gid=1321652304"",""Prop!$C$1:$M""),11,0),IFERROR(vlookup(B10,importrange(""https://docs.google.com/spreadsheets/d/1p53T2"&amp;"AuvvIqhP7Nf-bo3Uhj8cbKYRPpZdsrBv3x3bAQ/edit?resourcekey#gid=1321652304"",""Prop!$N$1:$X""),11,0),iferror(vlookup(B10,importrange(""https://docs.google.com/spreadsheets/d/1p53T2AuvvIqhP7Nf-bo3Uhj8cbKYRPpZdsrBv3x3bAQ/edit?resourcekey#gid=1321652304"",""Prop"&amp;"!$Y$1:$AI""),11,0),iferror(vlookup(B10,importrange(""https://docs.google.com/spreadsheets/d/1p53T2AuvvIqhP7Nf-bo3Uhj8cbKYRPpZdsrBv3x3bAQ/edit?resourcekey#gid=1321652304"",""Prop!$AJ$1:$AT""),11,0),iferror(vlookup(B10,importrange(""https://docs.google.com/"&amp;"spreadsheets/d/1p53T2AuvvIqhP7Nf-bo3Uhj8cbKYRPpZdsrBv3x3bAQ/edit?resourcekey#gid=1321652304"",""Prop!$AU$1:$BE""),11,0),iferror(vlookup(B10,importrange(""https://docs.google.com/spreadsheets/d/1p53T2AuvvIqhP7Nf-bo3Uhj8cbKYRPpZdsrBv3x3bAQ/edit?resourcekey#"&amp;"gid=1321652304"",""Prop!$BF$1:$BP""),11,0),iferror(vlookup(B10,importrange(""https://docs.google.com/spreadsheets/d/1p53T2AuvvIqhP7Nf-bo3Uhj8cbKYRPpZdsrBv3x3bAQ/edit?resourcekey#gid=1321652304"",""Prop!$BQ$1:$CA""),11,0),iferror(vlookup(B10,importrange("""&amp;"https://docs.google.com/spreadsheets/d/1p53T2AuvvIqhP7Nf-bo3Uhj8cbKYRPpZdsrBv3x3bAQ/edit?resourcekey#gid=1321652304"",""Prop!$CB$1:$CL""),11,0),iferror(vlookup(B10,importrange(""https://docs.google.com/spreadsheets/d/1p53T2AuvvIqhP7Nf-bo3Uhj8cbKYRPpZdsrBv"&amp;"3x3bAQ/edit?resourcekey#gid=1321652304"",""Prop!$CM$1:$CX""),12,0),iferror(vlookup(B10,importrange(""https://docs.google.com/spreadsheets/d/1p53T2AuvvIqhP7Nf-bo3Uhj8cbKYRPpZdsrBv3x3bAQ/edit?resourcekey#gid=1321652304"",""Prop!$CY$1:$DI""),11,0)))))))))))"),"https://drive.google.com/open?id=1YO-EqRGTsKMI0nzQyAJV06g9Dp44cmv0")</f>
        <v>https://drive.google.com/open?id=1YO-EqRGTsKMI0nzQyAJV06g9Dp44cmv0</v>
      </c>
      <c r="R10" s="88" t="s">
        <v>1065</v>
      </c>
      <c r="S10" s="20" t="str">
        <f ca="1">IFERROR(__xludf.DUMMYFUNCTION("IFERROR(vlookup(B10,IMPORTRANGE(""https://docs.google.com/spreadsheets/d/1g_jfYYK_KeipEDNDUgqgrsxK94XiocfNQIcP-v1QVhI/edit?resourcekey#gid=233272945"",""Nilai!B:CT""),95,0),"" "")"),"Terdapat kesalahan penulisan nama Desa Domas (latar belakang). Di tujuan terdapat tujuan pembuatan karya tulis. Pengabdian masyarakat ke UMKM perlu dispesifikkan meningkatkan dalam hal apa, misal dampak ke masyarakat (menghilangkan hal yang kurang baik). "&amp;"Potensi keberlanjutan dalam metode pelaksanaan.")</f>
        <v>Terdapat kesalahan penulisan nama Desa Domas (latar belakang). Di tujuan terdapat tujuan pembuatan karya tulis. Pengabdian masyarakat ke UMKM perlu dispesifikkan meningkatkan dalam hal apa, misal dampak ke masyarakat (menghilangkan hal yang kurang baik). Potensi keberlanjutan dalam metode pelaksanaan.</v>
      </c>
      <c r="T10" s="20" t="str">
        <f ca="1">IFERROR(__xludf.DUMMYFUNCTION("IFERROR(vlookup(B10,IMPORTRANGE(""https://docs.google.com/spreadsheets/d/1g_jfYYK_KeipEDNDUgqgrsxK94XiocfNQIcP-v1QVhI/edit?resourcekey#gid=233272945"",""Nilai!B:CT""),97,0),"" "")"),"LAYAK UPLOAD KE SIMBELMAWA DENGAN REVISI")</f>
        <v>LAYAK UPLOAD KE SIMBELMAWA DENGAN REVISI</v>
      </c>
      <c r="U10" s="45" t="s">
        <v>1066</v>
      </c>
      <c r="V10" s="38" t="str">
        <f ca="1">IFERROR(__xludf.DUMMYFUNCTION("IFERROR(
        vlookup(B10,
                IMPORTRANGE(""https://docs.google.com/spreadsheets/d/1dN4XwmJdILpQh5cYONP2LyBh3ksWo6DCzMrUbN3lo_Q/edit#gid=1905254675"",
                        ""Form Responses 1!F2:I""),
                4,
                f"&amp;"alse))"),"30 km")</f>
        <v>30 km</v>
      </c>
      <c r="W10" s="52" t="s">
        <v>1067</v>
      </c>
      <c r="X10" s="23" t="s">
        <v>1071</v>
      </c>
      <c r="Y10" s="16" t="b">
        <v>1</v>
      </c>
      <c r="Z10" s="16"/>
      <c r="AA10" s="16"/>
      <c r="AB10" s="16"/>
      <c r="AC10" s="16"/>
      <c r="AD10" s="16"/>
      <c r="AE10" s="16"/>
      <c r="AF10" s="16"/>
      <c r="AG10" s="16"/>
      <c r="AH10" s="16"/>
      <c r="AI10" s="16"/>
    </row>
    <row r="11" spans="1:35">
      <c r="A11" s="15">
        <v>9</v>
      </c>
      <c r="B11" s="15">
        <f ca="1">IFERROR(__xludf.DUMMYFUNCTION("""COMPUTED_VALUE"""),4011)</f>
        <v>4011</v>
      </c>
      <c r="C11" s="49" t="str">
        <f ca="1">IFERROR(__xludf.DUMMYFUNCTION("""COMPUTED_VALUE"""),"SYANDA AZZAHRA")</f>
        <v>SYANDA AZZAHRA</v>
      </c>
      <c r="D11" s="49" t="str">
        <f ca="1">IFERROR(__xludf.DUMMYFUNCTION("""COMPUTED_VALUE"""),"5005211016")</f>
        <v>5005211016</v>
      </c>
      <c r="E11" s="49" t="str">
        <f ca="1">IFERROR(__xludf.DUMMYFUNCTION("""COMPUTED_VALUE"""),"Departemen Biologi")</f>
        <v>Departemen Biologi</v>
      </c>
      <c r="F11" s="49" t="str">
        <f ca="1">IFERROR(__xludf.DUMMYFUNCTION("""COMPUTED_VALUE"""),"Upaya Meningkatkan Kesejahteraan Lingkungan dan Perekonomian Ibu PKK Kampung Keputih Timur Jaya Melalui Pemanfaatan Limbah Botol Sebagai Media Tanam Hidroponik")</f>
        <v>Upaya Meningkatkan Kesejahteraan Lingkungan dan Perekonomian Ibu PKK Kampung Keputih Timur Jaya Melalui Pemanfaatan Limbah Botol Sebagai Media Tanam Hidroponik</v>
      </c>
      <c r="G11" s="49" t="str">
        <f ca="1">IFERROR(__xludf.DUMMYFUNCTION("""COMPUTED_VALUE"""),"Iska Desmawati, S.Si., M.Si.")</f>
        <v>Iska Desmawati, S.Si., M.Si.</v>
      </c>
      <c r="H11" s="49" t="str">
        <f ca="1">IFERROR(__xludf.DUMMYFUNCTION("""COMPUTED_VALUE"""),"Hertiari Idajati, S.T., M.Sc.")</f>
        <v>Hertiari Idajati, S.T., M.Sc.</v>
      </c>
      <c r="I11" s="49" t="str">
        <f ca="1">IFERROR(__xludf.DUMMYFUNCTION("""COMPUTED_VALUE"""),"Ir. Muchammad Husni, M.Kom")</f>
        <v>Ir. Muchammad Husni, M.Kom</v>
      </c>
      <c r="J11" s="49"/>
      <c r="K11" s="34" t="s">
        <v>1072</v>
      </c>
      <c r="L11" s="23" t="s">
        <v>1070</v>
      </c>
      <c r="M11" s="19" t="b">
        <v>1</v>
      </c>
      <c r="N11" s="19" t="b">
        <v>1</v>
      </c>
      <c r="O11" s="16" t="s">
        <v>1064</v>
      </c>
      <c r="P11" s="7" t="str">
        <f ca="1">IFERROR(__xludf.DUMMYFUNCTION("iferror(vlookup(B11,importrange(""https://docs.google.com/spreadsheets/d/1boHyJQ4e2FU0QG8MHwEi6qjX4hvZWVCHcFfXjq7bbMc/edit?resourcekey#gid=923248883"",""Prop!$C$1:$M""),12,0),IFERROR(vlookup(B11,importrange(""https://docs.google.com/spreadsheets/d/1boHyJQ"&amp;"4e2FU0QG8MHwEi6qjX4hvZWVCHcFfXjq7bbMc/edit?resourcekey#gid=923248883"",""Prop!$N$1:$X""),11,0),iferror(vlookup(B11,importrange(""https://docs.google.com/spreadsheets/d/1boHyJQ4e2FU0QG8MHwEi6qjX4hvZWVCHcFfXjq7bbMc/edit?resourcekey#gid=923248883"",""Prop!$Y"&amp;"$1:$AI""),11,0),iferror(vlookup(B11,importrange(""https://docs.google.com/spreadsheets/d/1boHyJQ4e2FU0QG8MHwEi6qjX4hvZWVCHcFfXjq7bbMc/edit?resourcekey#gid=923248883"",""Prop!$AJ$1:$AT""),11,0),iferror(vlookup(B11,importrange(""https://docs.google.com/spre"&amp;"adsheets/d/1boHyJQ4e2FU0QG8MHwEi6qjX4hvZWVCHcFfXjq7bbMc/edit?resourcekey#gid=923248883"",""Prop!$AU$1:$BE""),11,0),iferror(vlookup(B11,importrange(""https://docs.google.com/spreadsheets/d/1boHyJQ4e2FU0QG8MHwEi6qjX4hvZWVCHcFfXjq7bbMc/edit?resourcekey#gid=9"&amp;"23248883"",""Prop!$BF$1:$BP""),11,0),iferror(vlookup(B11,importrange(""https://docs.google.com/spreadsheets/d/1boHyJQ4e2FU0QG8MHwEi6qjX4hvZWVCHcFfXjq7bbMc/edit?resourcekey#gid=923248883"",""Prop!$BQ$1:$CA""),11,0),iferror(vlookup(B11,importrange(""https:/"&amp;"/docs.google.com/spreadsheets/d/1boHyJQ4e2FU0QG8MHwEi6qjX4hvZWVCHcFfXjq7bbMc/edit?resourcekey#gid=923248883"",""Prop!$CB$1:$CL""),11,0),iferror(vlookup(B11,importrange(""https://docs.google.com/spreadsheets/d/1boHyJQ4e2FU0QG8MHwEi6qjX4hvZWVCHcFfXjq7bbMc/e"&amp;"dit?resourcekey#gid=923248883"",""Prop!$CM$1:$CX""),12,0),iferror(vlookup(B11,importrange(""https://docs.google.com/spreadsheets/d/1boHyJQ4e2FU0QG8MHwEi6qjX4hvZWVCHcFfXjq7bbMc/edit?resourcekey#gid=923248883"",""Prop!$CV$1:$DI""),11,0)))))))))))"),"https://drive.google.com/open?id=1s7U1VXjex7UfMKdzoQmwouQc8EqN52uP")</f>
        <v>https://drive.google.com/open?id=1s7U1VXjex7UfMKdzoQmwouQc8EqN52uP</v>
      </c>
      <c r="Q11" s="50" t="str">
        <f ca="1">IFERROR(__xludf.DUMMYFUNCTION("iferror(vlookup(B11,importrange(""https://docs.google.com/spreadsheets/d/1p53T2AuvvIqhP7Nf-bo3Uhj8cbKYRPpZdsrBv3x3bAQ/edit?resourcekey#gid=1321652304"",""Prop!$C$1:$M""),11,0),IFERROR(vlookup(B11,importrange(""https://docs.google.com/spreadsheets/d/1p53T2"&amp;"AuvvIqhP7Nf-bo3Uhj8cbKYRPpZdsrBv3x3bAQ/edit?resourcekey#gid=1321652304"",""Prop!$N$1:$X""),11,0),iferror(vlookup(B11,importrange(""https://docs.google.com/spreadsheets/d/1p53T2AuvvIqhP7Nf-bo3Uhj8cbKYRPpZdsrBv3x3bAQ/edit?resourcekey#gid=1321652304"",""Prop"&amp;"!$Y$1:$AI""),11,0),iferror(vlookup(B11,importrange(""https://docs.google.com/spreadsheets/d/1p53T2AuvvIqhP7Nf-bo3Uhj8cbKYRPpZdsrBv3x3bAQ/edit?resourcekey#gid=1321652304"",""Prop!$AJ$1:$AT""),11,0),iferror(vlookup(B11,importrange(""https://docs.google.com/"&amp;"spreadsheets/d/1p53T2AuvvIqhP7Nf-bo3Uhj8cbKYRPpZdsrBv3x3bAQ/edit?resourcekey#gid=1321652304"",""Prop!$AU$1:$BE""),11,0),iferror(vlookup(B11,importrange(""https://docs.google.com/spreadsheets/d/1p53T2AuvvIqhP7Nf-bo3Uhj8cbKYRPpZdsrBv3x3bAQ/edit?resourcekey#"&amp;"gid=1321652304"",""Prop!$BF$1:$BP""),11,0),iferror(vlookup(B11,importrange(""https://docs.google.com/spreadsheets/d/1p53T2AuvvIqhP7Nf-bo3Uhj8cbKYRPpZdsrBv3x3bAQ/edit?resourcekey#gid=1321652304"",""Prop!$BQ$1:$CA""),11,0),iferror(vlookup(B11,importrange("""&amp;"https://docs.google.com/spreadsheets/d/1p53T2AuvvIqhP7Nf-bo3Uhj8cbKYRPpZdsrBv3x3bAQ/edit?resourcekey#gid=1321652304"",""Prop!$CB$1:$CL""),11,0),iferror(vlookup(B11,importrange(""https://docs.google.com/spreadsheets/d/1p53T2AuvvIqhP7Nf-bo3Uhj8cbKYRPpZdsrBv"&amp;"3x3bAQ/edit?resourcekey#gid=1321652304"",""Prop!$CM$1:$CX""),12,0),iferror(vlookup(B11,importrange(""https://docs.google.com/spreadsheets/d/1p53T2AuvvIqhP7Nf-bo3Uhj8cbKYRPpZdsrBv3x3bAQ/edit?resourcekey#gid=1321652304"",""Prop!$CY$1:$DI""),11,0)))))))))))"),"https://drive.google.com/open?id=17hyx0Rv8l_tNIprzCjLLSWAm8atUVCMP")</f>
        <v>https://drive.google.com/open?id=17hyx0Rv8l_tNIprzCjLLSWAm8atUVCMP</v>
      </c>
      <c r="R11" s="88" t="s">
        <v>1065</v>
      </c>
      <c r="S11" s="20" t="str">
        <f ca="1">IFERROR(__xludf.DUMMYFUNCTION("IFERROR(vlookup(B11,IMPORTRANGE(""https://docs.google.com/spreadsheets/d/1g_jfYYK_KeipEDNDUgqgrsxK94XiocfNQIcP-v1QVhI/edit?resourcekey#gid=233272945"",""Nilai!B:CT""),95,0),"" "")"),"Pada daftar isi masih terdapat error. Kalimat 'pengabdian kali ini"". Judul Gambar 4 mestinya bukan strategi. Belum terdapat gambara jelas tentang indikator keberhasilan dan bagaimana tindak lanjut (keberlanjutan program)")</f>
        <v>Pada daftar isi masih terdapat error. Kalimat 'pengabdian kali ini". Judul Gambar 4 mestinya bukan strategi. Belum terdapat gambara jelas tentang indikator keberhasilan dan bagaimana tindak lanjut (keberlanjutan program)</v>
      </c>
      <c r="T11" s="20" t="str">
        <f ca="1">IFERROR(__xludf.DUMMYFUNCTION("IFERROR(vlookup(B11,IMPORTRANGE(""https://docs.google.com/spreadsheets/d/1g_jfYYK_KeipEDNDUgqgrsxK94XiocfNQIcP-v1QVhI/edit?resourcekey#gid=233272945"",""Nilai!B:CT""),97,0),"" "")"),"LAYAK UPLOAD KE SIMBELMAWA DENGAN REVISI")</f>
        <v>LAYAK UPLOAD KE SIMBELMAWA DENGAN REVISI</v>
      </c>
      <c r="U11" s="45" t="s">
        <v>1066</v>
      </c>
      <c r="V11" s="38" t="str">
        <f ca="1">IFERROR(__xludf.DUMMYFUNCTION("IFERROR(
        vlookup(B11,
                IMPORTRANGE(""https://docs.google.com/spreadsheets/d/1dN4XwmJdILpQh5cYONP2LyBh3ksWo6DCzMrUbN3lo_Q/edit#gid=1905254675"",
                        ""Form Responses 1!F2:I""),
                4,
                f"&amp;"alse))"),"4,6 km")</f>
        <v>4,6 km</v>
      </c>
      <c r="W11" s="52" t="s">
        <v>1067</v>
      </c>
      <c r="X11" s="23" t="s">
        <v>1071</v>
      </c>
      <c r="Y11" s="16" t="b">
        <v>1</v>
      </c>
      <c r="Z11" s="16"/>
      <c r="AA11" s="16"/>
      <c r="AB11" s="16"/>
      <c r="AC11" s="16"/>
      <c r="AD11" s="16"/>
      <c r="AE11" s="16"/>
      <c r="AF11" s="16"/>
      <c r="AG11" s="16"/>
      <c r="AH11" s="16"/>
      <c r="AI11" s="16"/>
    </row>
    <row r="12" spans="1:35">
      <c r="A12" s="15">
        <v>10</v>
      </c>
      <c r="B12" s="15">
        <f ca="1">IFERROR(__xludf.DUMMYFUNCTION("""COMPUTED_VALUE"""),2247)</f>
        <v>2247</v>
      </c>
      <c r="C12" s="49" t="str">
        <f ca="1">IFERROR(__xludf.DUMMYFUNCTION("""COMPUTED_VALUE"""),"MUHAMAD RIZKI")</f>
        <v>MUHAMAD RIZKI</v>
      </c>
      <c r="D12" s="49" t="str">
        <f ca="1">IFERROR(__xludf.DUMMYFUNCTION("""COMPUTED_VALUE"""),"2036201072")</f>
        <v>2036201072</v>
      </c>
      <c r="E12" s="49" t="str">
        <f ca="1">IFERROR(__xludf.DUMMYFUNCTION("""COMPUTED_VALUE"""),"Departemen Teknik Infrastruktur Sipil")</f>
        <v>Departemen Teknik Infrastruktur Sipil</v>
      </c>
      <c r="F12" s="49" t="str">
        <f ca="1">IFERROR(__xludf.DUMMYFUNCTION("""COMPUTED_VALUE"""),"Program Pembinaan dan Pendampingan Sistem Peternakan Kambing  ""Ngingu Bareng Farm"" sebagai Upaya Pengembangan Ekonomi Masyarakat Desa Milangasri Kabupaten Magetan")</f>
        <v>Program Pembinaan dan Pendampingan Sistem Peternakan Kambing  "Ngingu Bareng Farm" sebagai Upaya Pengembangan Ekonomi Masyarakat Desa Milangasri Kabupaten Magetan</v>
      </c>
      <c r="G12" s="49" t="str">
        <f ca="1">IFERROR(__xludf.DUMMYFUNCTION("""COMPUTED_VALUE"""),"Muhammad Hafiizh Imaaduddiin, S.T., M.T.")</f>
        <v>Muhammad Hafiizh Imaaduddiin, S.T., M.T.</v>
      </c>
      <c r="H12" s="49" t="str">
        <f ca="1">IFERROR(__xludf.DUMMYFUNCTION("""COMPUTED_VALUE"""),"Hertiari Idajati, S.T., M.Sc.")</f>
        <v>Hertiari Idajati, S.T., M.Sc.</v>
      </c>
      <c r="I12" s="49" t="str">
        <f ca="1">IFERROR(__xludf.DUMMYFUNCTION("""COMPUTED_VALUE"""),"Ir. Muchammad Husni, M.Kom")</f>
        <v>Ir. Muchammad Husni, M.Kom</v>
      </c>
      <c r="J12" s="49"/>
      <c r="K12" s="34" t="s">
        <v>1072</v>
      </c>
      <c r="L12" s="23" t="s">
        <v>1070</v>
      </c>
      <c r="M12" s="19" t="b">
        <v>0</v>
      </c>
      <c r="N12" s="19" t="b">
        <v>0</v>
      </c>
      <c r="O12" s="16" t="s">
        <v>1064</v>
      </c>
      <c r="P12" s="7" t="str">
        <f ca="1">IFERROR(__xludf.DUMMYFUNCTION("iferror(vlookup(B12,importrange(""https://docs.google.com/spreadsheets/d/1boHyJQ4e2FU0QG8MHwEi6qjX4hvZWVCHcFfXjq7bbMc/edit?resourcekey#gid=923248883"",""Prop!$C$1:$M""),12,0),IFERROR(vlookup(B12,importrange(""https://docs.google.com/spreadsheets/d/1boHyJQ"&amp;"4e2FU0QG8MHwEi6qjX4hvZWVCHcFfXjq7bbMc/edit?resourcekey#gid=923248883"",""Prop!$N$1:$X""),11,0),iferror(vlookup(B12,importrange(""https://docs.google.com/spreadsheets/d/1boHyJQ4e2FU0QG8MHwEi6qjX4hvZWVCHcFfXjq7bbMc/edit?resourcekey#gid=923248883"",""Prop!$Y"&amp;"$1:$AI""),11,0),iferror(vlookup(B12,importrange(""https://docs.google.com/spreadsheets/d/1boHyJQ4e2FU0QG8MHwEi6qjX4hvZWVCHcFfXjq7bbMc/edit?resourcekey#gid=923248883"",""Prop!$AJ$1:$AT""),11,0),iferror(vlookup(B12,importrange(""https://docs.google.com/spre"&amp;"adsheets/d/1boHyJQ4e2FU0QG8MHwEi6qjX4hvZWVCHcFfXjq7bbMc/edit?resourcekey#gid=923248883"",""Prop!$AU$1:$BE""),11,0),iferror(vlookup(B12,importrange(""https://docs.google.com/spreadsheets/d/1boHyJQ4e2FU0QG8MHwEi6qjX4hvZWVCHcFfXjq7bbMc/edit?resourcekey#gid=9"&amp;"23248883"",""Prop!$BF$1:$BP""),11,0),iferror(vlookup(B12,importrange(""https://docs.google.com/spreadsheets/d/1boHyJQ4e2FU0QG8MHwEi6qjX4hvZWVCHcFfXjq7bbMc/edit?resourcekey#gid=923248883"",""Prop!$BQ$1:$CA""),11,0),iferror(vlookup(B12,importrange(""https:/"&amp;"/docs.google.com/spreadsheets/d/1boHyJQ4e2FU0QG8MHwEi6qjX4hvZWVCHcFfXjq7bbMc/edit?resourcekey#gid=923248883"",""Prop!$CB$1:$CL""),11,0),iferror(vlookup(B12,importrange(""https://docs.google.com/spreadsheets/d/1boHyJQ4e2FU0QG8MHwEi6qjX4hvZWVCHcFfXjq7bbMc/e"&amp;"dit?resourcekey#gid=923248883"",""Prop!$CM$1:$CX""),12,0),iferror(vlookup(B12,importrange(""https://docs.google.com/spreadsheets/d/1boHyJQ4e2FU0QG8MHwEi6qjX4hvZWVCHcFfXjq7bbMc/edit?resourcekey#gid=923248883"",""Prop!$CV$1:$DI""),11,0)))))))))))"),"https://drive.google.com/open?id=19je05glh0e-IIndjTpznORjQnxlOsuxF")</f>
        <v>https://drive.google.com/open?id=19je05glh0e-IIndjTpznORjQnxlOsuxF</v>
      </c>
      <c r="Q12" s="50" t="str">
        <f ca="1">IFERROR(__xludf.DUMMYFUNCTION("iferror(vlookup(B12,importrange(""https://docs.google.com/spreadsheets/d/1p53T2AuvvIqhP7Nf-bo3Uhj8cbKYRPpZdsrBv3x3bAQ/edit?resourcekey#gid=1321652304"",""Prop!$C$1:$M""),11,0),IFERROR(vlookup(B12,importrange(""https://docs.google.com/spreadsheets/d/1p53T2"&amp;"AuvvIqhP7Nf-bo3Uhj8cbKYRPpZdsrBv3x3bAQ/edit?resourcekey#gid=1321652304"",""Prop!$N$1:$X""),11,0),iferror(vlookup(B12,importrange(""https://docs.google.com/spreadsheets/d/1p53T2AuvvIqhP7Nf-bo3Uhj8cbKYRPpZdsrBv3x3bAQ/edit?resourcekey#gid=1321652304"",""Prop"&amp;"!$Y$1:$AI""),11,0),iferror(vlookup(B12,importrange(""https://docs.google.com/spreadsheets/d/1p53T2AuvvIqhP7Nf-bo3Uhj8cbKYRPpZdsrBv3x3bAQ/edit?resourcekey#gid=1321652304"",""Prop!$AJ$1:$AT""),11,0),iferror(vlookup(B12,importrange(""https://docs.google.com/"&amp;"spreadsheets/d/1p53T2AuvvIqhP7Nf-bo3Uhj8cbKYRPpZdsrBv3x3bAQ/edit?resourcekey#gid=1321652304"",""Prop!$AU$1:$BE""),11,0),iferror(vlookup(B12,importrange(""https://docs.google.com/spreadsheets/d/1p53T2AuvvIqhP7Nf-bo3Uhj8cbKYRPpZdsrBv3x3bAQ/edit?resourcekey#"&amp;"gid=1321652304"",""Prop!$BF$1:$BP""),11,0),iferror(vlookup(B12,importrange(""https://docs.google.com/spreadsheets/d/1p53T2AuvvIqhP7Nf-bo3Uhj8cbKYRPpZdsrBv3x3bAQ/edit?resourcekey#gid=1321652304"",""Prop!$BQ$1:$CA""),11,0),iferror(vlookup(B12,importrange("""&amp;"https://docs.google.com/spreadsheets/d/1p53T2AuvvIqhP7Nf-bo3Uhj8cbKYRPpZdsrBv3x3bAQ/edit?resourcekey#gid=1321652304"",""Prop!$CB$1:$CL""),11,0),iferror(vlookup(B12,importrange(""https://docs.google.com/spreadsheets/d/1p53T2AuvvIqhP7Nf-bo3Uhj8cbKYRPpZdsrBv"&amp;"3x3bAQ/edit?resourcekey#gid=1321652304"",""Prop!$CM$1:$CX""),12,0),iferror(vlookup(B12,importrange(""https://docs.google.com/spreadsheets/d/1p53T2AuvvIqhP7Nf-bo3Uhj8cbKYRPpZdsrBv3x3bAQ/edit?resourcekey#gid=1321652304"",""Prop!$CY$1:$DI""),11,0)))))))))))"),"https://drive.google.com/open?id=1IDtX4quMFeMByZPd7VzjTPSkjG_C2WAt")</f>
        <v>https://drive.google.com/open?id=1IDtX4quMFeMByZPd7VzjTPSkjG_C2WAt</v>
      </c>
      <c r="R12" s="88" t="s">
        <v>1065</v>
      </c>
      <c r="S12" s="20" t="str">
        <f ca="1">IFERROR(__xludf.DUMMYFUNCTION("IFERROR(vlookup(B12,IMPORTRANGE(""https://docs.google.com/spreadsheets/d/1g_jfYYK_KeipEDNDUgqgrsxK94XiocfNQIcP-v1QVhI/edit?resourcekey#gid=233272945"",""Nilai!B:CT""),95,0),"" "")"),"Bagaimana dengan kendala jarak obyek mitra dengan lokasi ITS. Indikator keberhasilan terutama per tahap pelaksanaan kegiatan dan juga tindak lanjut (keberlanjutan program) belum jelas")</f>
        <v>Bagaimana dengan kendala jarak obyek mitra dengan lokasi ITS. Indikator keberhasilan terutama per tahap pelaksanaan kegiatan dan juga tindak lanjut (keberlanjutan program) belum jelas</v>
      </c>
      <c r="T12" s="20" t="str">
        <f ca="1">IFERROR(__xludf.DUMMYFUNCTION("IFERROR(vlookup(B12,IMPORTRANGE(""https://docs.google.com/spreadsheets/d/1g_jfYYK_KeipEDNDUgqgrsxK94XiocfNQIcP-v1QVhI/edit?resourcekey#gid=233272945"",""Nilai!B:CT""),97,0),"" "")"),"LAYAK UPLOAD KE SIMBELMAWA DENGAN REVISI")</f>
        <v>LAYAK UPLOAD KE SIMBELMAWA DENGAN REVISI</v>
      </c>
      <c r="U12" s="45" t="s">
        <v>1066</v>
      </c>
      <c r="V12" s="51" t="str">
        <f ca="1">IFERROR(__xludf.DUMMYFUNCTION("IFERROR(
        vlookup(B12,
                IMPORTRANGE(""https://docs.google.com/spreadsheets/d/1dN4XwmJdILpQh5cYONP2LyBh3ksWo6DCzMrUbN3lo_Q/edit#gid=1905254675"",
                        ""Form Responses 1!F2:I""),
                4,
                f"&amp;"alse))"),"189 km (Kami tetep memilih mitra dengan jarak yang melebihi pedoman PKM 2022 dengan alasan PKM ini dibuat dilatarbelakangi dengan keadaan warga desa teman kami yang terletak lebih dari 100 km dari kampus ITS")</f>
        <v>189 km (Kami tetep memilih mitra dengan jarak yang melebihi pedoman PKM 2022 dengan alasan PKM ini dibuat dilatarbelakangi dengan keadaan warga desa teman kami yang terletak lebih dari 100 km dari kampus ITS</v>
      </c>
      <c r="W12" s="52" t="s">
        <v>1067</v>
      </c>
      <c r="X12" s="23" t="s">
        <v>1073</v>
      </c>
      <c r="Y12" s="16" t="b">
        <v>0</v>
      </c>
      <c r="Z12" s="16"/>
      <c r="AA12" s="16"/>
      <c r="AB12" s="16"/>
      <c r="AC12" s="16"/>
      <c r="AD12" s="16"/>
      <c r="AE12" s="16"/>
      <c r="AF12" s="16"/>
      <c r="AG12" s="16"/>
      <c r="AH12" s="16"/>
      <c r="AI12" s="16"/>
    </row>
    <row r="13" spans="1:35">
      <c r="A13" s="15">
        <v>11</v>
      </c>
      <c r="B13" s="15">
        <f ca="1">IFERROR(__xludf.DUMMYFUNCTION("""COMPUTED_VALUE"""),3953)</f>
        <v>3953</v>
      </c>
      <c r="C13" s="49" t="str">
        <f ca="1">IFERROR(__xludf.DUMMYFUNCTION("""COMPUTED_VALUE"""),"DIMAS AJI YUDISTIRA")</f>
        <v>DIMAS AJI YUDISTIRA</v>
      </c>
      <c r="D13" s="49" t="str">
        <f ca="1">IFERROR(__xludf.DUMMYFUNCTION("""COMPUTED_VALUE"""),"02111940000132")</f>
        <v>02111940000132</v>
      </c>
      <c r="E13" s="49" t="str">
        <f ca="1">IFERROR(__xludf.DUMMYFUNCTION("""COMPUTED_VALUE"""),"Departemen Teknik Mesin")</f>
        <v>Departemen Teknik Mesin</v>
      </c>
      <c r="F13" s="49" t="str">
        <f ca="1">IFERROR(__xludf.DUMMYFUNCTION("""COMPUTED_VALUE"""),"Rancang Bangun Connector Adjustable Scooter pada Kursi Roda Guna Meningkatkan Mobilitas Komunitas Disable Motorcycle Indonesia (DMI) Surabaya")</f>
        <v>Rancang Bangun Connector Adjustable Scooter pada Kursi Roda Guna Meningkatkan Mobilitas Komunitas Disable Motorcycle Indonesia (DMI) Surabaya</v>
      </c>
      <c r="G13" s="49" t="str">
        <f ca="1">IFERROR(__xludf.DUMMYFUNCTION("""COMPUTED_VALUE"""),"Alief Wikarta, ST., MSc.Eng. Ph.D")</f>
        <v>Alief Wikarta, ST., MSc.Eng. Ph.D</v>
      </c>
      <c r="H13" s="49" t="str">
        <f ca="1">IFERROR(__xludf.DUMMYFUNCTION("""COMPUTED_VALUE"""),"Hertiari Idajati, S.T., M.Sc.")</f>
        <v>Hertiari Idajati, S.T., M.Sc.</v>
      </c>
      <c r="I13" s="49" t="str">
        <f ca="1">IFERROR(__xludf.DUMMYFUNCTION("""COMPUTED_VALUE"""),"Dr. Afan Hamzah, S.T.")</f>
        <v>Dr. Afan Hamzah, S.T.</v>
      </c>
      <c r="J13" s="49"/>
      <c r="K13" s="34" t="s">
        <v>1072</v>
      </c>
      <c r="L13" s="23" t="s">
        <v>1074</v>
      </c>
      <c r="M13" s="19" t="b">
        <v>1</v>
      </c>
      <c r="N13" s="19" t="b">
        <v>1</v>
      </c>
      <c r="O13" s="16" t="s">
        <v>1075</v>
      </c>
      <c r="P13" s="7" t="str">
        <f ca="1">IFERROR(__xludf.DUMMYFUNCTION("iferror(vlookup(B13,importrange(""https://docs.google.com/spreadsheets/d/1boHyJQ4e2FU0QG8MHwEi6qjX4hvZWVCHcFfXjq7bbMc/edit?resourcekey#gid=923248883"",""Prop!$C$1:$M""),12,0),IFERROR(vlookup(B13,importrange(""https://docs.google.com/spreadsheets/d/1boHyJQ"&amp;"4e2FU0QG8MHwEi6qjX4hvZWVCHcFfXjq7bbMc/edit?resourcekey#gid=923248883"",""Prop!$N$1:$X""),11,0),iferror(vlookup(B13,importrange(""https://docs.google.com/spreadsheets/d/1boHyJQ4e2FU0QG8MHwEi6qjX4hvZWVCHcFfXjq7bbMc/edit?resourcekey#gid=923248883"",""Prop!$Y"&amp;"$1:$AI""),11,0),iferror(vlookup(B13,importrange(""https://docs.google.com/spreadsheets/d/1boHyJQ4e2FU0QG8MHwEi6qjX4hvZWVCHcFfXjq7bbMc/edit?resourcekey#gid=923248883"",""Prop!$AJ$1:$AT""),11,0),iferror(vlookup(B13,importrange(""https://docs.google.com/spre"&amp;"adsheets/d/1boHyJQ4e2FU0QG8MHwEi6qjX4hvZWVCHcFfXjq7bbMc/edit?resourcekey#gid=923248883"",""Prop!$AU$1:$BE""),11,0),iferror(vlookup(B13,importrange(""https://docs.google.com/spreadsheets/d/1boHyJQ4e2FU0QG8MHwEi6qjX4hvZWVCHcFfXjq7bbMc/edit?resourcekey#gid=9"&amp;"23248883"",""Prop!$BF$1:$BP""),11,0),iferror(vlookup(B13,importrange(""https://docs.google.com/spreadsheets/d/1boHyJQ4e2FU0QG8MHwEi6qjX4hvZWVCHcFfXjq7bbMc/edit?resourcekey#gid=923248883"",""Prop!$BQ$1:$CA""),11,0),iferror(vlookup(B13,importrange(""https:/"&amp;"/docs.google.com/spreadsheets/d/1boHyJQ4e2FU0QG8MHwEi6qjX4hvZWVCHcFfXjq7bbMc/edit?resourcekey#gid=923248883"",""Prop!$CB$1:$CL""),11,0),iferror(vlookup(B13,importrange(""https://docs.google.com/spreadsheets/d/1boHyJQ4e2FU0QG8MHwEi6qjX4hvZWVCHcFfXjq7bbMc/e"&amp;"dit?resourcekey#gid=923248883"",""Prop!$CM$1:$CX""),12,0),iferror(vlookup(B13,importrange(""https://docs.google.com/spreadsheets/d/1boHyJQ4e2FU0QG8MHwEi6qjX4hvZWVCHcFfXjq7bbMc/edit?resourcekey#gid=923248883"",""Prop!$CV$1:$DI""),11,0)))))))))))"),"https://drive.google.com/open?id=13IvNzhSWA_7KD1OfOeDT_lcfdbcRYeBN")</f>
        <v>https://drive.google.com/open?id=13IvNzhSWA_7KD1OfOeDT_lcfdbcRYeBN</v>
      </c>
      <c r="Q13" s="50" t="str">
        <f ca="1">IFERROR(__xludf.DUMMYFUNCTION("iferror(vlookup(B13,importrange(""https://docs.google.com/spreadsheets/d/1p53T2AuvvIqhP7Nf-bo3Uhj8cbKYRPpZdsrBv3x3bAQ/edit?resourcekey#gid=1321652304"",""Prop!$C$1:$M""),11,0),IFERROR(vlookup(B13,importrange(""https://docs.google.com/spreadsheets/d/1p53T2"&amp;"AuvvIqhP7Nf-bo3Uhj8cbKYRPpZdsrBv3x3bAQ/edit?resourcekey#gid=1321652304"",""Prop!$N$1:$X""),11,0),iferror(vlookup(B13,importrange(""https://docs.google.com/spreadsheets/d/1p53T2AuvvIqhP7Nf-bo3Uhj8cbKYRPpZdsrBv3x3bAQ/edit?resourcekey#gid=1321652304"",""Prop"&amp;"!$Y$1:$AI""),11,0),iferror(vlookup(B13,importrange(""https://docs.google.com/spreadsheets/d/1p53T2AuvvIqhP7Nf-bo3Uhj8cbKYRPpZdsrBv3x3bAQ/edit?resourcekey#gid=1321652304"",""Prop!$AJ$1:$AT""),11,0),iferror(vlookup(B13,importrange(""https://docs.google.com/"&amp;"spreadsheets/d/1p53T2AuvvIqhP7Nf-bo3Uhj8cbKYRPpZdsrBv3x3bAQ/edit?resourcekey#gid=1321652304"",""Prop!$AU$1:$BE""),11,0),iferror(vlookup(B13,importrange(""https://docs.google.com/spreadsheets/d/1p53T2AuvvIqhP7Nf-bo3Uhj8cbKYRPpZdsrBv3x3bAQ/edit?resourcekey#"&amp;"gid=1321652304"",""Prop!$BF$1:$BP""),11,0),iferror(vlookup(B13,importrange(""https://docs.google.com/spreadsheets/d/1p53T2AuvvIqhP7Nf-bo3Uhj8cbKYRPpZdsrBv3x3bAQ/edit?resourcekey#gid=1321652304"",""Prop!$BQ$1:$CA""),11,0),iferror(vlookup(B13,importrange("""&amp;"https://docs.google.com/spreadsheets/d/1p53T2AuvvIqhP7Nf-bo3Uhj8cbKYRPpZdsrBv3x3bAQ/edit?resourcekey#gid=1321652304"",""Prop!$CB$1:$CL""),11,0),iferror(vlookup(B13,importrange(""https://docs.google.com/spreadsheets/d/1p53T2AuvvIqhP7Nf-bo3Uhj8cbKYRPpZdsrBv"&amp;"3x3bAQ/edit?resourcekey#gid=1321652304"",""Prop!$CM$1:$CX""),12,0),iferror(vlookup(B13,importrange(""https://docs.google.com/spreadsheets/d/1p53T2AuvvIqhP7Nf-bo3Uhj8cbKYRPpZdsrBv3x3bAQ/edit?resourcekey#gid=1321652304"",""Prop!$CY$1:$DI""),11,0)))))))))))"),"https://drive.google.com/open?id=1mVigVh8PoSbe-HQZiOn69VwnnBOJDTT3")</f>
        <v>https://drive.google.com/open?id=1mVigVh8PoSbe-HQZiOn69VwnnBOJDTT3</v>
      </c>
      <c r="R13" s="88" t="s">
        <v>1065</v>
      </c>
      <c r="S13" s="20" t="str">
        <f ca="1">IFERROR(__xludf.DUMMYFUNCTION("IFERROR(vlookup(B13,IMPORTRANGE(""https://docs.google.com/spreadsheets/d/1g_jfYYK_KeipEDNDUgqgrsxK94XiocfNQIcP-v1QVhI/edit?resourcekey#gid=233272945"",""Nilai!B:CT""),95,0),"" "")"),"Barangkali lebih baik penggunan kata rancang bangun diganti pemanfaatan agar nuansa PM lebih terasa (bukan KC), semoga bisa dimunculkan juga di latar belakang kesan PM nya. Keberlanjutan dan indikator keberhasilan secara jelas/tegas belum nampak dalam ura"&amp;"ian proposal.")</f>
        <v>Barangkali lebih baik penggunan kata rancang bangun diganti pemanfaatan agar nuansa PM lebih terasa (bukan KC), semoga bisa dimunculkan juga di latar belakang kesan PM nya. Keberlanjutan dan indikator keberhasilan secara jelas/tegas belum nampak dalam uraian proposal.</v>
      </c>
      <c r="T13" s="20" t="str">
        <f ca="1">IFERROR(__xludf.DUMMYFUNCTION("IFERROR(vlookup(B13,IMPORTRANGE(""https://docs.google.com/spreadsheets/d/1g_jfYYK_KeipEDNDUgqgrsxK94XiocfNQIcP-v1QVhI/edit?resourcekey#gid=233272945"",""Nilai!B:CT""),97,0),"" "")"),"LAYAK UPLOAD KE SIMBELMAWA DENGAN REVISI")</f>
        <v>LAYAK UPLOAD KE SIMBELMAWA DENGAN REVISI</v>
      </c>
      <c r="U13" s="45" t="s">
        <v>1066</v>
      </c>
      <c r="V13" s="38">
        <f ca="1">IFERROR(__xludf.DUMMYFUNCTION("IFERROR(
        vlookup(B13,
                IMPORTRANGE(""https://docs.google.com/spreadsheets/d/1dN4XwmJdILpQh5cYONP2LyBh3ksWo6DCzMrUbN3lo_Q/edit#gid=1905254675"",
                        ""Form Responses 1!F2:I""),
                4,
                f"&amp;"alse))"),1)</f>
        <v>1</v>
      </c>
      <c r="W13" s="52" t="s">
        <v>1067</v>
      </c>
      <c r="X13" s="23" t="s">
        <v>1073</v>
      </c>
      <c r="Y13" s="16" t="b">
        <v>1</v>
      </c>
      <c r="Z13" s="16"/>
      <c r="AA13" s="16"/>
      <c r="AB13" s="16"/>
      <c r="AC13" s="16"/>
      <c r="AD13" s="16"/>
      <c r="AE13" s="16"/>
      <c r="AF13" s="16"/>
      <c r="AG13" s="16"/>
      <c r="AH13" s="16"/>
      <c r="AI13" s="16"/>
    </row>
    <row r="14" spans="1:35">
      <c r="A14" s="15">
        <v>12</v>
      </c>
      <c r="B14" s="15">
        <f ca="1">IFERROR(__xludf.DUMMYFUNCTION("""COMPUTED_VALUE"""),3343)</f>
        <v>3343</v>
      </c>
      <c r="C14" s="49" t="str">
        <f ca="1">IFERROR(__xludf.DUMMYFUNCTION("""COMPUTED_VALUE"""),"Khusnul Khotimah")</f>
        <v>Khusnul Khotimah</v>
      </c>
      <c r="D14" s="49" t="str">
        <f ca="1">IFERROR(__xludf.DUMMYFUNCTION("""COMPUTED_VALUE"""),"5010211043")</f>
        <v>5010211043</v>
      </c>
      <c r="E14" s="49" t="str">
        <f ca="1">IFERROR(__xludf.DUMMYFUNCTION("""COMPUTED_VALUE"""),"Departemen Teknik Sistem dan Industri")</f>
        <v>Departemen Teknik Sistem dan Industri</v>
      </c>
      <c r="F14" s="49" t="str">
        <f ca="1">IFERROR(__xludf.DUMMYFUNCTION("""COMPUTED_VALUE"""),"SWEEP-UP : 360-Degree Surround View Camera Room Cleaner untuk Meningkatkan Efisiensi Pembersihan Ruangan di SMP Negeri 1 Kalidawir, Tulungagung")</f>
        <v>SWEEP-UP : 360-Degree Surround View Camera Room Cleaner untuk Meningkatkan Efisiensi Pembersihan Ruangan di SMP Negeri 1 Kalidawir, Tulungagung</v>
      </c>
      <c r="G14" s="49" t="str">
        <f ca="1">IFERROR(__xludf.DUMMYFUNCTION("""COMPUTED_VALUE"""),"Ratna Sari Dewi, S.T., M.T., Ph.D.")</f>
        <v>Ratna Sari Dewi, S.T., M.T., Ph.D.</v>
      </c>
      <c r="H14" s="49" t="str">
        <f ca="1">IFERROR(__xludf.DUMMYFUNCTION("""COMPUTED_VALUE"""),"Hertiari Idajati, S.T., M.Sc.")</f>
        <v>Hertiari Idajati, S.T., M.Sc.</v>
      </c>
      <c r="I14" s="49" t="str">
        <f ca="1">IFERROR(__xludf.DUMMYFUNCTION("""COMPUTED_VALUE"""),"Ir. Muchammad Husni, M.Kom")</f>
        <v>Ir. Muchammad Husni, M.Kom</v>
      </c>
      <c r="J14" s="49"/>
      <c r="K14" s="34" t="s">
        <v>1072</v>
      </c>
      <c r="L14" s="23" t="s">
        <v>1074</v>
      </c>
      <c r="M14" s="19" t="b">
        <v>1</v>
      </c>
      <c r="N14" s="19" t="b">
        <v>0</v>
      </c>
      <c r="O14" s="16" t="s">
        <v>1075</v>
      </c>
      <c r="P14" s="7" t="str">
        <f ca="1">IFERROR(__xludf.DUMMYFUNCTION("iferror(vlookup(B14,importrange(""https://docs.google.com/spreadsheets/d/1boHyJQ4e2FU0QG8MHwEi6qjX4hvZWVCHcFfXjq7bbMc/edit?resourcekey#gid=923248883"",""Prop!$C$1:$M""),12,0),IFERROR(vlookup(B14,importrange(""https://docs.google.com/spreadsheets/d/1boHyJQ"&amp;"4e2FU0QG8MHwEi6qjX4hvZWVCHcFfXjq7bbMc/edit?resourcekey#gid=923248883"",""Prop!$N$1:$X""),11,0),iferror(vlookup(B14,importrange(""https://docs.google.com/spreadsheets/d/1boHyJQ4e2FU0QG8MHwEi6qjX4hvZWVCHcFfXjq7bbMc/edit?resourcekey#gid=923248883"",""Prop!$Y"&amp;"$1:$AI""),11,0),iferror(vlookup(B14,importrange(""https://docs.google.com/spreadsheets/d/1boHyJQ4e2FU0QG8MHwEi6qjX4hvZWVCHcFfXjq7bbMc/edit?resourcekey#gid=923248883"",""Prop!$AJ$1:$AT""),11,0),iferror(vlookup(B14,importrange(""https://docs.google.com/spre"&amp;"adsheets/d/1boHyJQ4e2FU0QG8MHwEi6qjX4hvZWVCHcFfXjq7bbMc/edit?resourcekey#gid=923248883"",""Prop!$AU$1:$BE""),11,0),iferror(vlookup(B14,importrange(""https://docs.google.com/spreadsheets/d/1boHyJQ4e2FU0QG8MHwEi6qjX4hvZWVCHcFfXjq7bbMc/edit?resourcekey#gid=9"&amp;"23248883"",""Prop!$BF$1:$BP""),11,0),iferror(vlookup(B14,importrange(""https://docs.google.com/spreadsheets/d/1boHyJQ4e2FU0QG8MHwEi6qjX4hvZWVCHcFfXjq7bbMc/edit?resourcekey#gid=923248883"",""Prop!$BQ$1:$CA""),11,0),iferror(vlookup(B14,importrange(""https:/"&amp;"/docs.google.com/spreadsheets/d/1boHyJQ4e2FU0QG8MHwEi6qjX4hvZWVCHcFfXjq7bbMc/edit?resourcekey#gid=923248883"",""Prop!$CB$1:$CL""),11,0),iferror(vlookup(B14,importrange(""https://docs.google.com/spreadsheets/d/1boHyJQ4e2FU0QG8MHwEi6qjX4hvZWVCHcFfXjq7bbMc/e"&amp;"dit?resourcekey#gid=923248883"",""Prop!$CM$1:$CX""),12,0),iferror(vlookup(B14,importrange(""https://docs.google.com/spreadsheets/d/1boHyJQ4e2FU0QG8MHwEi6qjX4hvZWVCHcFfXjq7bbMc/edit?resourcekey#gid=923248883"",""Prop!$CV$1:$DI""),11,0)))))))))))"),"https://drive.google.com/open?id=17V1fNuO415EyJEiJFtS6p7vwzg7UuwhM")</f>
        <v>https://drive.google.com/open?id=17V1fNuO415EyJEiJFtS6p7vwzg7UuwhM</v>
      </c>
      <c r="Q14" s="8" t="str">
        <f ca="1">IFERROR(__xludf.DUMMYFUNCTION("iferror(vlookup(B14,importrange(""https://docs.google.com/spreadsheets/d/1p53T2AuvvIqhP7Nf-bo3Uhj8cbKYRPpZdsrBv3x3bAQ/edit?resourcekey#gid=1321652304"",""Prop!$C$1:$M""),11,0),IFERROR(vlookup(B14,importrange(""https://docs.google.com/spreadsheets/d/1p53T2"&amp;"AuvvIqhP7Nf-bo3Uhj8cbKYRPpZdsrBv3x3bAQ/edit?resourcekey#gid=1321652304"",""Prop!$N$1:$X""),11,0),iferror(vlookup(B14,importrange(""https://docs.google.com/spreadsheets/d/1p53T2AuvvIqhP7Nf-bo3Uhj8cbKYRPpZdsrBv3x3bAQ/edit?resourcekey#gid=1321652304"",""Prop"&amp;"!$Y$1:$AI""),11,0),iferror(vlookup(B14,importrange(""https://docs.google.com/spreadsheets/d/1p53T2AuvvIqhP7Nf-bo3Uhj8cbKYRPpZdsrBv3x3bAQ/edit?resourcekey#gid=1321652304"",""Prop!$AJ$1:$AT""),11,0),iferror(vlookup(B14,importrange(""https://docs.google.com/"&amp;"spreadsheets/d/1p53T2AuvvIqhP7Nf-bo3Uhj8cbKYRPpZdsrBv3x3bAQ/edit?resourcekey#gid=1321652304"",""Prop!$AU$1:$BE""),11,0),iferror(vlookup(B14,importrange(""https://docs.google.com/spreadsheets/d/1p53T2AuvvIqhP7Nf-bo3Uhj8cbKYRPpZdsrBv3x3bAQ/edit?resourcekey#"&amp;"gid=1321652304"",""Prop!$BF$1:$BP""),11,0),iferror(vlookup(B14,importrange(""https://docs.google.com/spreadsheets/d/1p53T2AuvvIqhP7Nf-bo3Uhj8cbKYRPpZdsrBv3x3bAQ/edit?resourcekey#gid=1321652304"",""Prop!$BQ$1:$CA""),11,0),iferror(vlookup(B14,importrange("""&amp;"https://docs.google.com/spreadsheets/d/1p53T2AuvvIqhP7Nf-bo3Uhj8cbKYRPpZdsrBv3x3bAQ/edit?resourcekey#gid=1321652304"",""Prop!$CB$1:$CL""),11,0),iferror(vlookup(B14,importrange(""https://docs.google.com/spreadsheets/d/1p53T2AuvvIqhP7Nf-bo3Uhj8cbKYRPpZdsrBv"&amp;"3x3bAQ/edit?resourcekey#gid=1321652304"",""Prop!$CM$1:$CX""),12,0),iferror(vlookup(B14,importrange(""https://docs.google.com/spreadsheets/d/1p53T2AuvvIqhP7Nf-bo3Uhj8cbKYRPpZdsrBv3x3bAQ/edit?resourcekey#gid=1321652304"",""Prop!$CY$1:$DI""),11,0)))))))))))"),"")</f>
        <v/>
      </c>
      <c r="R14" s="88" t="s">
        <v>1065</v>
      </c>
      <c r="S14" s="20" t="str">
        <f ca="1">IFERROR(__xludf.DUMMYFUNCTION("IFERROR(vlookup(B14,IMPORTRANGE(""https://docs.google.com/spreadsheets/d/1g_jfYYK_KeipEDNDUgqgrsxK94XiocfNQIcP-v1QVhI/edit?resourcekey#gid=233272945"",""Nilai!B:CT""),95,0),"" "")"),"APakah sudah diganti mitranya (Tulungagung). Program kebersihan barangkali lebih tepat diganti program merawat kebersihan. Tujuan di proposal tertulis tujuan penulisan (PM adalah aktivitas). Desain alat barangkali bisa diganti implementasi dalam penggunaa"&amp;"n peralatan sistem perawatan kebersihan. Indikator keberhasilan dan keberlanjutan program belum nampak")</f>
        <v>APakah sudah diganti mitranya (Tulungagung). Program kebersihan barangkali lebih tepat diganti program merawat kebersihan. Tujuan di proposal tertulis tujuan penulisan (PM adalah aktivitas). Desain alat barangkali bisa diganti implementasi dalam penggunaan peralatan sistem perawatan kebersihan. Indikator keberhasilan dan keberlanjutan program belum nampak</v>
      </c>
      <c r="T14" s="20" t="str">
        <f ca="1">IFERROR(__xludf.DUMMYFUNCTION("IFERROR(vlookup(B14,IMPORTRANGE(""https://docs.google.com/spreadsheets/d/1g_jfYYK_KeipEDNDUgqgrsxK94XiocfNQIcP-v1QVhI/edit?resourcekey#gid=233272945"",""Nilai!B:CT""),97,0),"" "")"),"LAYAK UPLOAD KE SIMBELMAWA DENGAN REVISI")</f>
        <v>LAYAK UPLOAD KE SIMBELMAWA DENGAN REVISI</v>
      </c>
      <c r="U14" s="45" t="s">
        <v>1066</v>
      </c>
      <c r="V14" s="51" t="str">
        <f ca="1">IFERROR(__xludf.DUMMYFUNCTION("IFERROR(
        vlookup(B14,
                IMPORTRANGE(""https://docs.google.com/spreadsheets/d/1dN4XwmJdILpQh5cYONP2LyBh3ksWo6DCzMrUbN3lo_Q/edit#gid=1905254675"",
                        ""Form Responses 1!F2:I""),
                4,
                f"&amp;"alse))"),"134 km")</f>
        <v>134 km</v>
      </c>
      <c r="W14" s="52" t="s">
        <v>1067</v>
      </c>
      <c r="X14" s="23" t="s">
        <v>1073</v>
      </c>
      <c r="Y14" s="16" t="b">
        <v>0</v>
      </c>
      <c r="Z14" s="16"/>
      <c r="AA14" s="16"/>
      <c r="AB14" s="16"/>
      <c r="AC14" s="16"/>
      <c r="AD14" s="16"/>
      <c r="AE14" s="16"/>
      <c r="AF14" s="16"/>
      <c r="AG14" s="16"/>
      <c r="AH14" s="16"/>
      <c r="AI14" s="16"/>
    </row>
    <row r="15" spans="1:35">
      <c r="A15" s="15">
        <v>13</v>
      </c>
      <c r="B15" s="15">
        <f ca="1">IFERROR(__xludf.DUMMYFUNCTION("""COMPUTED_VALUE"""),3684)</f>
        <v>3684</v>
      </c>
      <c r="C15" s="49" t="str">
        <f ca="1">IFERROR(__xludf.DUMMYFUNCTION("""COMPUTED_VALUE"""),"VELLINSA AYUNI PUTRI")</f>
        <v>VELLINSA AYUNI PUTRI</v>
      </c>
      <c r="D15" s="49" t="str">
        <f ca="1">IFERROR(__xludf.DUMMYFUNCTION("""COMPUTED_VALUE"""),"5014201022")</f>
        <v>5014201022</v>
      </c>
      <c r="E15" s="49" t="str">
        <f ca="1">IFERROR(__xludf.DUMMYFUNCTION("""COMPUTED_VALUE"""),"Departemen Teknik Lingkungan")</f>
        <v>Departemen Teknik Lingkungan</v>
      </c>
      <c r="F15" s="49" t="str">
        <f ca="1">IFERROR(__xludf.DUMMYFUNCTION("""COMPUTED_VALUE"""),"Pemberdayaan Karang Taruna dalam Pengolahan Air Guna Mengatasi Kesadahan dan Kekeruhan Air Sumberjambe Desa Sumberkembar, Blitar")</f>
        <v>Pemberdayaan Karang Taruna dalam Pengolahan Air Guna Mengatasi Kesadahan dan Kekeruhan Air Sumberjambe Desa Sumberkembar, Blitar</v>
      </c>
      <c r="G15" s="49" t="str">
        <f ca="1">IFERROR(__xludf.DUMMYFUNCTION("""COMPUTED_VALUE"""),"Alfan Purnomo, S.T., M.T.")</f>
        <v>Alfan Purnomo, S.T., M.T.</v>
      </c>
      <c r="H15" s="49" t="str">
        <f ca="1">IFERROR(__xludf.DUMMYFUNCTION("""COMPUTED_VALUE"""),"Hertiari Idajati, S.T., M.Sc.")</f>
        <v>Hertiari Idajati, S.T., M.Sc.</v>
      </c>
      <c r="I15" s="49" t="str">
        <f ca="1">IFERROR(__xludf.DUMMYFUNCTION("""COMPUTED_VALUE"""),"Dr. Afan Hamzah, S.T.")</f>
        <v>Dr. Afan Hamzah, S.T.</v>
      </c>
      <c r="J15" s="49"/>
      <c r="K15" s="34" t="s">
        <v>1072</v>
      </c>
      <c r="L15" s="23" t="s">
        <v>1074</v>
      </c>
      <c r="M15" s="19" t="b">
        <v>0</v>
      </c>
      <c r="N15" s="19" t="b">
        <v>0</v>
      </c>
      <c r="O15" s="16" t="s">
        <v>1075</v>
      </c>
      <c r="P15" s="7" t="str">
        <f ca="1">IFERROR(__xludf.DUMMYFUNCTION("iferror(vlookup(B15,importrange(""https://docs.google.com/spreadsheets/d/1boHyJQ4e2FU0QG8MHwEi6qjX4hvZWVCHcFfXjq7bbMc/edit?resourcekey#gid=923248883"",""Prop!$C$1:$M""),12,0),IFERROR(vlookup(B15,importrange(""https://docs.google.com/spreadsheets/d/1boHyJQ"&amp;"4e2FU0QG8MHwEi6qjX4hvZWVCHcFfXjq7bbMc/edit?resourcekey#gid=923248883"",""Prop!$N$1:$X""),11,0),iferror(vlookup(B15,importrange(""https://docs.google.com/spreadsheets/d/1boHyJQ4e2FU0QG8MHwEi6qjX4hvZWVCHcFfXjq7bbMc/edit?resourcekey#gid=923248883"",""Prop!$Y"&amp;"$1:$AI""),11,0),iferror(vlookup(B15,importrange(""https://docs.google.com/spreadsheets/d/1boHyJQ4e2FU0QG8MHwEi6qjX4hvZWVCHcFfXjq7bbMc/edit?resourcekey#gid=923248883"",""Prop!$AJ$1:$AT""),11,0),iferror(vlookup(B15,importrange(""https://docs.google.com/spre"&amp;"adsheets/d/1boHyJQ4e2FU0QG8MHwEi6qjX4hvZWVCHcFfXjq7bbMc/edit?resourcekey#gid=923248883"",""Prop!$AU$1:$BE""),11,0),iferror(vlookup(B15,importrange(""https://docs.google.com/spreadsheets/d/1boHyJQ4e2FU0QG8MHwEi6qjX4hvZWVCHcFfXjq7bbMc/edit?resourcekey#gid=9"&amp;"23248883"",""Prop!$BF$1:$BP""),11,0),iferror(vlookup(B15,importrange(""https://docs.google.com/spreadsheets/d/1boHyJQ4e2FU0QG8MHwEi6qjX4hvZWVCHcFfXjq7bbMc/edit?resourcekey#gid=923248883"",""Prop!$BQ$1:$CA""),11,0),iferror(vlookup(B15,importrange(""https:/"&amp;"/docs.google.com/spreadsheets/d/1boHyJQ4e2FU0QG8MHwEi6qjX4hvZWVCHcFfXjq7bbMc/edit?resourcekey#gid=923248883"",""Prop!$CB$1:$CL""),11,0),iferror(vlookup(B15,importrange(""https://docs.google.com/spreadsheets/d/1boHyJQ4e2FU0QG8MHwEi6qjX4hvZWVCHcFfXjq7bbMc/e"&amp;"dit?resourcekey#gid=923248883"",""Prop!$CM$1:$CX""),12,0),iferror(vlookup(B15,importrange(""https://docs.google.com/spreadsheets/d/1boHyJQ4e2FU0QG8MHwEi6qjX4hvZWVCHcFfXjq7bbMc/edit?resourcekey#gid=923248883"",""Prop!$CV$1:$DI""),11,0)))))))))))"),"https://drive.google.com/open?id=1I4Dnp5c4jEHiBJpcaQyJbGNd6Bw4fmNH")</f>
        <v>https://drive.google.com/open?id=1I4Dnp5c4jEHiBJpcaQyJbGNd6Bw4fmNH</v>
      </c>
      <c r="Q15" s="50" t="str">
        <f ca="1">IFERROR(__xludf.DUMMYFUNCTION("iferror(vlookup(B15,importrange(""https://docs.google.com/spreadsheets/d/1p53T2AuvvIqhP7Nf-bo3Uhj8cbKYRPpZdsrBv3x3bAQ/edit?resourcekey#gid=1321652304"",""Prop!$C$1:$M""),11,0),IFERROR(vlookup(B15,importrange(""https://docs.google.com/spreadsheets/d/1p53T2"&amp;"AuvvIqhP7Nf-bo3Uhj8cbKYRPpZdsrBv3x3bAQ/edit?resourcekey#gid=1321652304"",""Prop!$N$1:$X""),11,0),iferror(vlookup(B15,importrange(""https://docs.google.com/spreadsheets/d/1p53T2AuvvIqhP7Nf-bo3Uhj8cbKYRPpZdsrBv3x3bAQ/edit?resourcekey#gid=1321652304"",""Prop"&amp;"!$Y$1:$AI""),11,0),iferror(vlookup(B15,importrange(""https://docs.google.com/spreadsheets/d/1p53T2AuvvIqhP7Nf-bo3Uhj8cbKYRPpZdsrBv3x3bAQ/edit?resourcekey#gid=1321652304"",""Prop!$AJ$1:$AT""),11,0),iferror(vlookup(B15,importrange(""https://docs.google.com/"&amp;"spreadsheets/d/1p53T2AuvvIqhP7Nf-bo3Uhj8cbKYRPpZdsrBv3x3bAQ/edit?resourcekey#gid=1321652304"",""Prop!$AU$1:$BE""),11,0),iferror(vlookup(B15,importrange(""https://docs.google.com/spreadsheets/d/1p53T2AuvvIqhP7Nf-bo3Uhj8cbKYRPpZdsrBv3x3bAQ/edit?resourcekey#"&amp;"gid=1321652304"",""Prop!$BF$1:$BP""),11,0),iferror(vlookup(B15,importrange(""https://docs.google.com/spreadsheets/d/1p53T2AuvvIqhP7Nf-bo3Uhj8cbKYRPpZdsrBv3x3bAQ/edit?resourcekey#gid=1321652304"",""Prop!$BQ$1:$CA""),11,0),iferror(vlookup(B15,importrange("""&amp;"https://docs.google.com/spreadsheets/d/1p53T2AuvvIqhP7Nf-bo3Uhj8cbKYRPpZdsrBv3x3bAQ/edit?resourcekey#gid=1321652304"",""Prop!$CB$1:$CL""),11,0),iferror(vlookup(B15,importrange(""https://docs.google.com/spreadsheets/d/1p53T2AuvvIqhP7Nf-bo3Uhj8cbKYRPpZdsrBv"&amp;"3x3bAQ/edit?resourcekey#gid=1321652304"",""Prop!$CM$1:$CX""),12,0),iferror(vlookup(B15,importrange(""https://docs.google.com/spreadsheets/d/1p53T2AuvvIqhP7Nf-bo3Uhj8cbKYRPpZdsrBv3x3bAQ/edit?resourcekey#gid=1321652304"",""Prop!$CY$1:$DI""),11,0)))))))))))"),"")</f>
        <v/>
      </c>
      <c r="R15" s="88" t="s">
        <v>1065</v>
      </c>
      <c r="S15" s="20" t="str">
        <f ca="1">IFERROR(__xludf.DUMMYFUNCTION("IFERROR(vlookup(B15,IMPORTRANGE(""https://docs.google.com/spreadsheets/d/1g_jfYYK_KeipEDNDUgqgrsxK94XiocfNQIcP-v1QVhI/edit?resourcekey#gid=233272945"",""Nilai!B:CT""),95,0),"" "")"),"Modul pendampingan berupa tahapan pengolahan kurang tepat, barangkali bisa diganti modul pendampingan cara perawatan dan pengolahan di titik wilayah baru. Obyek Mitra Blitar apa sudah diganti? Tentang keberlanjutan program dan indikator keberhasilan per t"&amp;"ahap kegiatan belum dituliskan dengan jelas pada proposal")</f>
        <v>Modul pendampingan berupa tahapan pengolahan kurang tepat, barangkali bisa diganti modul pendampingan cara perawatan dan pengolahan di titik wilayah baru. Obyek Mitra Blitar apa sudah diganti? Tentang keberlanjutan program dan indikator keberhasilan per tahap kegiatan belum dituliskan dengan jelas pada proposal</v>
      </c>
      <c r="T15" s="20" t="str">
        <f ca="1">IFERROR(__xludf.DUMMYFUNCTION("IFERROR(vlookup(B15,IMPORTRANGE(""https://docs.google.com/spreadsheets/d/1g_jfYYK_KeipEDNDUgqgrsxK94XiocfNQIcP-v1QVhI/edit?resourcekey#gid=233272945"",""Nilai!B:CT""),97,0),"" "")"),"LAYAK UPLOAD KE SIMBELMAWA DENGAN REVISI")</f>
        <v>LAYAK UPLOAD KE SIMBELMAWA DENGAN REVISI</v>
      </c>
      <c r="U15" s="45" t="s">
        <v>1066</v>
      </c>
      <c r="V15" s="51" t="str">
        <f ca="1">IFERROR(__xludf.DUMMYFUNCTION("IFERROR(
        vlookup(B15,
                IMPORTRANGE(""https://docs.google.com/spreadsheets/d/1dN4XwmJdILpQh5cYONP2LyBh3ksWo6DCzMrUbN3lo_Q/edit#gid=1905254675"",
                        ""Form Responses 1!F2:I""),
                4,
                f"&amp;"alse))"),"sekitar 161 KM lewat Tol")</f>
        <v>sekitar 161 KM lewat Tol</v>
      </c>
      <c r="W15" s="52" t="s">
        <v>1067</v>
      </c>
      <c r="X15" s="23" t="s">
        <v>1076</v>
      </c>
      <c r="Y15" s="16" t="b">
        <v>0</v>
      </c>
      <c r="Z15" s="16"/>
      <c r="AA15" s="16"/>
      <c r="AB15" s="16"/>
      <c r="AC15" s="16"/>
      <c r="AD15" s="16"/>
      <c r="AE15" s="16"/>
      <c r="AF15" s="16"/>
      <c r="AG15" s="16"/>
      <c r="AH15" s="16"/>
      <c r="AI15" s="16"/>
    </row>
    <row r="16" spans="1:35">
      <c r="A16" s="15">
        <v>14</v>
      </c>
      <c r="B16" s="15">
        <f ca="1">IFERROR(__xludf.DUMMYFUNCTION("""COMPUTED_VALUE"""),2575)</f>
        <v>2575</v>
      </c>
      <c r="C16" s="49" t="str">
        <f ca="1">IFERROR(__xludf.DUMMYFUNCTION("""COMPUTED_VALUE"""),"HAYKAL NUR FAJRI RAMADHAN")</f>
        <v>HAYKAL NUR FAJRI RAMADHAN</v>
      </c>
      <c r="D16" s="49" t="str">
        <f ca="1">IFERROR(__xludf.DUMMYFUNCTION("""COMPUTED_VALUE"""),"2041201050")</f>
        <v>2041201050</v>
      </c>
      <c r="E16" s="49" t="str">
        <f ca="1">IFERROR(__xludf.DUMMYFUNCTION("""COMPUTED_VALUE"""),"Departemen Teknik Kimia Industri")</f>
        <v>Departemen Teknik Kimia Industri</v>
      </c>
      <c r="F16" s="49" t="str">
        <f ca="1">IFERROR(__xludf.DUMMYFUNCTION("""COMPUTED_VALUE"""),"Pupuk Organik Cair Berbasis Air Cucian Beras dan Selulosa 
untuk Rehabilitasi tanah di Area Tinggi Polusi Perumahan Semen 
Gresik")</f>
        <v>Pupuk Organik Cair Berbasis Air Cucian Beras dan Selulosa 
untuk Rehabilitasi tanah di Area Tinggi Polusi Perumahan Semen 
Gresik</v>
      </c>
      <c r="G16" s="49" t="str">
        <f ca="1">IFERROR(__xludf.DUMMYFUNCTION("""COMPUTED_VALUE"""),"Prof. Dr. Ir. Soeprijanto, M.Sc.")</f>
        <v>Prof. Dr. Ir. Soeprijanto, M.Sc.</v>
      </c>
      <c r="H16" s="49" t="str">
        <f ca="1">IFERROR(__xludf.DUMMYFUNCTION("""COMPUTED_VALUE"""),"Hertiari Idajati, S.T., M.Sc.")</f>
        <v>Hertiari Idajati, S.T., M.Sc.</v>
      </c>
      <c r="I16" s="49" t="str">
        <f ca="1">IFERROR(__xludf.DUMMYFUNCTION("""COMPUTED_VALUE"""),"Ir. Muchammad Husni, M.Kom")</f>
        <v>Ir. Muchammad Husni, M.Kom</v>
      </c>
      <c r="J16" s="49"/>
      <c r="K16" s="34" t="s">
        <v>1072</v>
      </c>
      <c r="L16" s="23" t="s">
        <v>1074</v>
      </c>
      <c r="M16" s="19" t="b">
        <v>1</v>
      </c>
      <c r="N16" s="19" t="b">
        <v>1</v>
      </c>
      <c r="O16" s="16" t="s">
        <v>1075</v>
      </c>
      <c r="P16" s="7" t="str">
        <f ca="1">IFERROR(__xludf.DUMMYFUNCTION("iferror(vlookup(B16,importrange(""https://docs.google.com/spreadsheets/d/1boHyJQ4e2FU0QG8MHwEi6qjX4hvZWVCHcFfXjq7bbMc/edit?resourcekey#gid=923248883"",""Prop!$C$1:$M""),12,0),IFERROR(vlookup(B16,importrange(""https://docs.google.com/spreadsheets/d/1boHyJQ"&amp;"4e2FU0QG8MHwEi6qjX4hvZWVCHcFfXjq7bbMc/edit?resourcekey#gid=923248883"",""Prop!$N$1:$X""),11,0),iferror(vlookup(B16,importrange(""https://docs.google.com/spreadsheets/d/1boHyJQ4e2FU0QG8MHwEi6qjX4hvZWVCHcFfXjq7bbMc/edit?resourcekey#gid=923248883"",""Prop!$Y"&amp;"$1:$AI""),11,0),iferror(vlookup(B16,importrange(""https://docs.google.com/spreadsheets/d/1boHyJQ4e2FU0QG8MHwEi6qjX4hvZWVCHcFfXjq7bbMc/edit?resourcekey#gid=923248883"",""Prop!$AJ$1:$AT""),11,0),iferror(vlookup(B16,importrange(""https://docs.google.com/spre"&amp;"adsheets/d/1boHyJQ4e2FU0QG8MHwEi6qjX4hvZWVCHcFfXjq7bbMc/edit?resourcekey#gid=923248883"",""Prop!$AU$1:$BE""),11,0),iferror(vlookup(B16,importrange(""https://docs.google.com/spreadsheets/d/1boHyJQ4e2FU0QG8MHwEi6qjX4hvZWVCHcFfXjq7bbMc/edit?resourcekey#gid=9"&amp;"23248883"",""Prop!$BF$1:$BP""),11,0),iferror(vlookup(B16,importrange(""https://docs.google.com/spreadsheets/d/1boHyJQ4e2FU0QG8MHwEi6qjX4hvZWVCHcFfXjq7bbMc/edit?resourcekey#gid=923248883"",""Prop!$BQ$1:$CA""),11,0),iferror(vlookup(B16,importrange(""https:/"&amp;"/docs.google.com/spreadsheets/d/1boHyJQ4e2FU0QG8MHwEi6qjX4hvZWVCHcFfXjq7bbMc/edit?resourcekey#gid=923248883"",""Prop!$CB$1:$CL""),11,0),iferror(vlookup(B16,importrange(""https://docs.google.com/spreadsheets/d/1boHyJQ4e2FU0QG8MHwEi6qjX4hvZWVCHcFfXjq7bbMc/e"&amp;"dit?resourcekey#gid=923248883"",""Prop!$CM$1:$CX""),12,0),iferror(vlookup(B16,importrange(""https://docs.google.com/spreadsheets/d/1boHyJQ4e2FU0QG8MHwEi6qjX4hvZWVCHcFfXjq7bbMc/edit?resourcekey#gid=923248883"",""Prop!$CV$1:$DI""),11,0)))))))))))"),"https://drive.google.com/open?id=1cXefxIVYgOZFPFqEgNS7VSILgaNuaNpF")</f>
        <v>https://drive.google.com/open?id=1cXefxIVYgOZFPFqEgNS7VSILgaNuaNpF</v>
      </c>
      <c r="Q16" s="50" t="str">
        <f ca="1">IFERROR(__xludf.DUMMYFUNCTION("iferror(vlookup(B16,importrange(""https://docs.google.com/spreadsheets/d/1p53T2AuvvIqhP7Nf-bo3Uhj8cbKYRPpZdsrBv3x3bAQ/edit?resourcekey#gid=1321652304"",""Prop!$C$1:$M""),11,0),IFERROR(vlookup(B16,importrange(""https://docs.google.com/spreadsheets/d/1p53T2"&amp;"AuvvIqhP7Nf-bo3Uhj8cbKYRPpZdsrBv3x3bAQ/edit?resourcekey#gid=1321652304"",""Prop!$N$1:$X""),11,0),iferror(vlookup(B16,importrange(""https://docs.google.com/spreadsheets/d/1p53T2AuvvIqhP7Nf-bo3Uhj8cbKYRPpZdsrBv3x3bAQ/edit?resourcekey#gid=1321652304"",""Prop"&amp;"!$Y$1:$AI""),11,0),iferror(vlookup(B16,importrange(""https://docs.google.com/spreadsheets/d/1p53T2AuvvIqhP7Nf-bo3Uhj8cbKYRPpZdsrBv3x3bAQ/edit?resourcekey#gid=1321652304"",""Prop!$AJ$1:$AT""),11,0),iferror(vlookup(B16,importrange(""https://docs.google.com/"&amp;"spreadsheets/d/1p53T2AuvvIqhP7Nf-bo3Uhj8cbKYRPpZdsrBv3x3bAQ/edit?resourcekey#gid=1321652304"",""Prop!$AU$1:$BE""),11,0),iferror(vlookup(B16,importrange(""https://docs.google.com/spreadsheets/d/1p53T2AuvvIqhP7Nf-bo3Uhj8cbKYRPpZdsrBv3x3bAQ/edit?resourcekey#"&amp;"gid=1321652304"",""Prop!$BF$1:$BP""),11,0),iferror(vlookup(B16,importrange(""https://docs.google.com/spreadsheets/d/1p53T2AuvvIqhP7Nf-bo3Uhj8cbKYRPpZdsrBv3x3bAQ/edit?resourcekey#gid=1321652304"",""Prop!$BQ$1:$CA""),11,0),iferror(vlookup(B16,importrange("""&amp;"https://docs.google.com/spreadsheets/d/1p53T2AuvvIqhP7Nf-bo3Uhj8cbKYRPpZdsrBv3x3bAQ/edit?resourcekey#gid=1321652304"",""Prop!$CB$1:$CL""),11,0),iferror(vlookup(B16,importrange(""https://docs.google.com/spreadsheets/d/1p53T2AuvvIqhP7Nf-bo3Uhj8cbKYRPpZdsrBv"&amp;"3x3bAQ/edit?resourcekey#gid=1321652304"",""Prop!$CM$1:$CX""),12,0),iferror(vlookup(B16,importrange(""https://docs.google.com/spreadsheets/d/1p53T2AuvvIqhP7Nf-bo3Uhj8cbKYRPpZdsrBv3x3bAQ/edit?resourcekey#gid=1321652304"",""Prop!$CY$1:$DI""),11,0)))))))))))"),"https://drive.google.com/open?id=1T7Vt8hoGrPSXWs7pcPUMEeoA-JYUvfYJ")</f>
        <v>https://drive.google.com/open?id=1T7Vt8hoGrPSXWs7pcPUMEeoA-JYUvfYJ</v>
      </c>
      <c r="R16" s="88" t="s">
        <v>1065</v>
      </c>
      <c r="S16" s="20" t="str">
        <f ca="1">IFERROR(__xludf.DUMMYFUNCTION("IFERROR(vlookup(B16,IMPORTRANGE(""https://docs.google.com/spreadsheets/d/1g_jfYYK_KeipEDNDUgqgrsxK94XiocfNQIcP-v1QVhI/edit?resourcekey#gid=233272945"",""Nilai!B:CT""),95,0),"" "")"),"Di judul tertulis perumahan Semen Gresik saat Bikom ada nama desa disebut. Indikator keberhasilan dan keberlanjutan program belum tertulis. Tentang pentahapan pelaksanaan sebaiknya lebih ada kegiatan yang dikelompokkan dalam tahapan. Juga perlu dilakukan "&amp;"FGD/Pertemuan khusus dengan beberapa stakeholder lainnya")</f>
        <v>Di judul tertulis perumahan Semen Gresik saat Bikom ada nama desa disebut. Indikator keberhasilan dan keberlanjutan program belum tertulis. Tentang pentahapan pelaksanaan sebaiknya lebih ada kegiatan yang dikelompokkan dalam tahapan. Juga perlu dilakukan FGD/Pertemuan khusus dengan beberapa stakeholder lainnya</v>
      </c>
      <c r="T16" s="20" t="str">
        <f ca="1">IFERROR(__xludf.DUMMYFUNCTION("IFERROR(vlookup(B16,IMPORTRANGE(""https://docs.google.com/spreadsheets/d/1g_jfYYK_KeipEDNDUgqgrsxK94XiocfNQIcP-v1QVhI/edit?resourcekey#gid=233272945"",""Nilai!B:CT""),97,0),"" "")"),"LAYAK UPLOAD KE SIMBELMAWA DENGAN REVISI")</f>
        <v>LAYAK UPLOAD KE SIMBELMAWA DENGAN REVISI</v>
      </c>
      <c r="U16" s="45" t="s">
        <v>1066</v>
      </c>
      <c r="V16" s="38" t="str">
        <f ca="1">IFERROR(__xludf.DUMMYFUNCTION("IFERROR(
        vlookup(B16,
                IMPORTRANGE(""https://docs.google.com/spreadsheets/d/1dN4XwmJdILpQh5cYONP2LyBh3ksWo6DCzMrUbN3lo_Q/edit#gid=1905254675"",
                        ""Form Responses 1!F2:I""),
                4,
                f"&amp;"alse))"),"29 KM")</f>
        <v>29 KM</v>
      </c>
      <c r="W16" s="52" t="s">
        <v>1067</v>
      </c>
      <c r="X16" s="23" t="s">
        <v>1076</v>
      </c>
      <c r="Y16" s="16" t="b">
        <v>1</v>
      </c>
      <c r="Z16" s="16"/>
      <c r="AA16" s="16"/>
      <c r="AB16" s="16"/>
      <c r="AC16" s="16"/>
      <c r="AD16" s="16"/>
      <c r="AE16" s="16"/>
      <c r="AF16" s="16"/>
      <c r="AG16" s="16"/>
      <c r="AH16" s="16"/>
      <c r="AI16" s="16"/>
    </row>
    <row r="17" spans="1:35">
      <c r="A17" s="15">
        <v>15</v>
      </c>
      <c r="B17" s="15">
        <f ca="1">IFERROR(__xludf.DUMMYFUNCTION("""COMPUTED_VALUE"""),2432)</f>
        <v>2432</v>
      </c>
      <c r="C17" s="49" t="str">
        <f ca="1">IFERROR(__xludf.DUMMYFUNCTION("""COMPUTED_VALUE"""),"PUTRI SITTI NAIMA ")</f>
        <v xml:space="preserve">PUTRI SITTI NAIMA </v>
      </c>
      <c r="D17" s="49" t="str">
        <f ca="1">IFERROR(__xludf.DUMMYFUNCTION("""COMPUTED_VALUE"""),"2035201059")</f>
        <v>2035201059</v>
      </c>
      <c r="E17" s="49" t="str">
        <f ca="1">IFERROR(__xludf.DUMMYFUNCTION("""COMPUTED_VALUE"""),"Departemen Teknik Infrastruktur Sipil")</f>
        <v>Departemen Teknik Infrastruktur Sipil</v>
      </c>
      <c r="F17" s="49" t="str">
        <f ca="1">IFERROR(__xludf.DUMMYFUNCTION("""COMPUTED_VALUE"""),"Pemberdayaan Karang Taruna ERGAMOR Desa Roomo melalui Program Pelatihan Pengelasan guna Mengatasi Pengangguran")</f>
        <v>Pemberdayaan Karang Taruna ERGAMOR Desa Roomo melalui Program Pelatihan Pengelasan guna Mengatasi Pengangguran</v>
      </c>
      <c r="G17" s="49" t="str">
        <f ca="1">IFERROR(__xludf.DUMMYFUNCTION("""COMPUTED_VALUE"""),"Muhammad Hafiizh Imaaduddiin, S.T., M.T.")</f>
        <v>Muhammad Hafiizh Imaaduddiin, S.T., M.T.</v>
      </c>
      <c r="H17" s="49" t="str">
        <f ca="1">IFERROR(__xludf.DUMMYFUNCTION("""COMPUTED_VALUE"""),"Hertiari Idajati, S.T., M.Sc.")</f>
        <v>Hertiari Idajati, S.T., M.Sc.</v>
      </c>
      <c r="I17" s="49" t="str">
        <f ca="1">IFERROR(__xludf.DUMMYFUNCTION("""COMPUTED_VALUE"""),"Ir. Muchammad Husni, M.Kom")</f>
        <v>Ir. Muchammad Husni, M.Kom</v>
      </c>
      <c r="J17" s="49"/>
      <c r="K17" s="34" t="s">
        <v>1072</v>
      </c>
      <c r="L17" s="23" t="s">
        <v>1074</v>
      </c>
      <c r="M17" s="19" t="b">
        <v>0</v>
      </c>
      <c r="N17" s="19" t="b">
        <v>1</v>
      </c>
      <c r="O17" s="16" t="s">
        <v>1075</v>
      </c>
      <c r="P17" s="7" t="str">
        <f ca="1">IFERROR(__xludf.DUMMYFUNCTION("iferror(vlookup(B17,importrange(""https://docs.google.com/spreadsheets/d/1boHyJQ4e2FU0QG8MHwEi6qjX4hvZWVCHcFfXjq7bbMc/edit?resourcekey#gid=923248883"",""Prop!$C$1:$M""),12,0),IFERROR(vlookup(B17,importrange(""https://docs.google.com/spreadsheets/d/1boHyJQ"&amp;"4e2FU0QG8MHwEi6qjX4hvZWVCHcFfXjq7bbMc/edit?resourcekey#gid=923248883"",""Prop!$N$1:$X""),11,0),iferror(vlookup(B17,importrange(""https://docs.google.com/spreadsheets/d/1boHyJQ4e2FU0QG8MHwEi6qjX4hvZWVCHcFfXjq7bbMc/edit?resourcekey#gid=923248883"",""Prop!$Y"&amp;"$1:$AI""),11,0),iferror(vlookup(B17,importrange(""https://docs.google.com/spreadsheets/d/1boHyJQ4e2FU0QG8MHwEi6qjX4hvZWVCHcFfXjq7bbMc/edit?resourcekey#gid=923248883"",""Prop!$AJ$1:$AT""),11,0),iferror(vlookup(B17,importrange(""https://docs.google.com/spre"&amp;"adsheets/d/1boHyJQ4e2FU0QG8MHwEi6qjX4hvZWVCHcFfXjq7bbMc/edit?resourcekey#gid=923248883"",""Prop!$AU$1:$BE""),11,0),iferror(vlookup(B17,importrange(""https://docs.google.com/spreadsheets/d/1boHyJQ4e2FU0QG8MHwEi6qjX4hvZWVCHcFfXjq7bbMc/edit?resourcekey#gid=9"&amp;"23248883"",""Prop!$BF$1:$BP""),11,0),iferror(vlookup(B17,importrange(""https://docs.google.com/spreadsheets/d/1boHyJQ4e2FU0QG8MHwEi6qjX4hvZWVCHcFfXjq7bbMc/edit?resourcekey#gid=923248883"",""Prop!$BQ$1:$CA""),11,0),iferror(vlookup(B17,importrange(""https:/"&amp;"/docs.google.com/spreadsheets/d/1boHyJQ4e2FU0QG8MHwEi6qjX4hvZWVCHcFfXjq7bbMc/edit?resourcekey#gid=923248883"",""Prop!$CB$1:$CL""),11,0),iferror(vlookup(B17,importrange(""https://docs.google.com/spreadsheets/d/1boHyJQ4e2FU0QG8MHwEi6qjX4hvZWVCHcFfXjq7bbMc/e"&amp;"dit?resourcekey#gid=923248883"",""Prop!$CM$1:$CX""),12,0),iferror(vlookup(B17,importrange(""https://docs.google.com/spreadsheets/d/1boHyJQ4e2FU0QG8MHwEi6qjX4hvZWVCHcFfXjq7bbMc/edit?resourcekey#gid=923248883"",""Prop!$CV$1:$DI""),11,0)))))))))))"),"https://drive.google.com/open?id=1QnwlowUMggwR3H_6gL4zsFXhnhRchKXd")</f>
        <v>https://drive.google.com/open?id=1QnwlowUMggwR3H_6gL4zsFXhnhRchKXd</v>
      </c>
      <c r="Q17" s="7" t="str">
        <f ca="1">IFERROR(__xludf.DUMMYFUNCTION("iferror(vlookup(B17,importrange(""https://docs.google.com/spreadsheets/d/1p53T2AuvvIqhP7Nf-bo3Uhj8cbKYRPpZdsrBv3x3bAQ/edit?resourcekey#gid=1321652304"",""Prop!$C$1:$M""),11,0),IFERROR(vlookup(B17,importrange(""https://docs.google.com/spreadsheets/d/1p53T2"&amp;"AuvvIqhP7Nf-bo3Uhj8cbKYRPpZdsrBv3x3bAQ/edit?resourcekey#gid=1321652304"",""Prop!$N$1:$X""),11,0),iferror(vlookup(B17,importrange(""https://docs.google.com/spreadsheets/d/1p53T2AuvvIqhP7Nf-bo3Uhj8cbKYRPpZdsrBv3x3bAQ/edit?resourcekey#gid=1321652304"",""Prop"&amp;"!$Y$1:$AI""),11,0),iferror(vlookup(B17,importrange(""https://docs.google.com/spreadsheets/d/1p53T2AuvvIqhP7Nf-bo3Uhj8cbKYRPpZdsrBv3x3bAQ/edit?resourcekey#gid=1321652304"",""Prop!$AJ$1:$AT""),11,0),iferror(vlookup(B17,importrange(""https://docs.google.com/"&amp;"spreadsheets/d/1p53T2AuvvIqhP7Nf-bo3Uhj8cbKYRPpZdsrBv3x3bAQ/edit?resourcekey#gid=1321652304"",""Prop!$AU$1:$BE""),11,0),iferror(vlookup(B17,importrange(""https://docs.google.com/spreadsheets/d/1p53T2AuvvIqhP7Nf-bo3Uhj8cbKYRPpZdsrBv3x3bAQ/edit?resourcekey#"&amp;"gid=1321652304"",""Prop!$BF$1:$BP""),11,0),iferror(vlookup(B17,importrange(""https://docs.google.com/spreadsheets/d/1p53T2AuvvIqhP7Nf-bo3Uhj8cbKYRPpZdsrBv3x3bAQ/edit?resourcekey#gid=1321652304"",""Prop!$BQ$1:$CA""),11,0),iferror(vlookup(B17,importrange("""&amp;"https://docs.google.com/spreadsheets/d/1p53T2AuvvIqhP7Nf-bo3Uhj8cbKYRPpZdsrBv3x3bAQ/edit?resourcekey#gid=1321652304"",""Prop!$CB$1:$CL""),11,0),iferror(vlookup(B17,importrange(""https://docs.google.com/spreadsheets/d/1p53T2AuvvIqhP7Nf-bo3Uhj8cbKYRPpZdsrBv"&amp;"3x3bAQ/edit?resourcekey#gid=1321652304"",""Prop!$CM$1:$CX""),12,0),iferror(vlookup(B17,importrange(""https://docs.google.com/spreadsheets/d/1p53T2AuvvIqhP7Nf-bo3Uhj8cbKYRPpZdsrBv3x3bAQ/edit?resourcekey#gid=1321652304"",""Prop!$CY$1:$DI""),11,0)))))))))))"),"https://drive.google.com/open?id=188TmdRMzCgK0acl7CWcZLvlK5nyIH5td")</f>
        <v>https://drive.google.com/open?id=188TmdRMzCgK0acl7CWcZLvlK5nyIH5td</v>
      </c>
      <c r="R17" s="88" t="s">
        <v>1065</v>
      </c>
      <c r="S17" s="20" t="str">
        <f ca="1">IFERROR(__xludf.DUMMYFUNCTION("IFERROR(vlookup(B17,IMPORTRANGE(""https://docs.google.com/spreadsheets/d/1g_jfYYK_KeipEDNDUgqgrsxK94XiocfNQIcP-v1QVhI/edit?resourcekey#gid=233272945"",""Nilai!B:CT""),95,0),"" "")"),"Perlu diperjelas bahwa ini merupakan pelatihan peningkatan kemampuan/kompetensi pengelasan yang akan mengarah sertifikasi. Terutama nantinya dikaitkan dengan aktivitas CSR dari BUMN di Gresik. Selanjutnya indikator keberhasilan dan keberlanjutan program b"&amp;"elum dinyatakan jelas. Perlu ditambahkan tentang assesment awal terhadap calon peserta (karang taruna/elemen masyarakat lainnya).")</f>
        <v>Perlu diperjelas bahwa ini merupakan pelatihan peningkatan kemampuan/kompetensi pengelasan yang akan mengarah sertifikasi. Terutama nantinya dikaitkan dengan aktivitas CSR dari BUMN di Gresik. Selanjutnya indikator keberhasilan dan keberlanjutan program belum dinyatakan jelas. Perlu ditambahkan tentang assesment awal terhadap calon peserta (karang taruna/elemen masyarakat lainnya).</v>
      </c>
      <c r="T17" s="20" t="str">
        <f ca="1">IFERROR(__xludf.DUMMYFUNCTION("IFERROR(vlookup(B17,IMPORTRANGE(""https://docs.google.com/spreadsheets/d/1g_jfYYK_KeipEDNDUgqgrsxK94XiocfNQIcP-v1QVhI/edit?resourcekey#gid=233272945"",""Nilai!B:CT""),97,0),"" "")"),"LAYAK UPLOAD KE SIMBELMAWA DENGAN REVISI")</f>
        <v>LAYAK UPLOAD KE SIMBELMAWA DENGAN REVISI</v>
      </c>
      <c r="U17" s="45" t="s">
        <v>1066</v>
      </c>
      <c r="V17" s="38" t="str">
        <f ca="1">IFERROR(__xludf.DUMMYFUNCTION("IFERROR(
        vlookup(B17,
                IMPORTRANGE(""https://docs.google.com/spreadsheets/d/1dN4XwmJdILpQh5cYONP2LyBh3ksWo6DCzMrUbN3lo_Q/edit#gid=1905254675"",
                        ""Form Responses 1!F2:I""),
                4,
                f"&amp;"alse))"),"36,7 km")</f>
        <v>36,7 km</v>
      </c>
      <c r="W17" s="52" t="s">
        <v>1067</v>
      </c>
      <c r="X17" s="23" t="s">
        <v>1076</v>
      </c>
      <c r="Y17" s="16" t="b">
        <v>1</v>
      </c>
      <c r="Z17" s="16"/>
      <c r="AA17" s="16"/>
      <c r="AB17" s="16"/>
      <c r="AC17" s="16"/>
      <c r="AD17" s="16"/>
      <c r="AE17" s="16"/>
      <c r="AF17" s="16"/>
      <c r="AG17" s="16"/>
      <c r="AH17" s="16"/>
      <c r="AI17" s="16"/>
    </row>
    <row r="18" spans="1:35">
      <c r="A18" s="15">
        <v>16</v>
      </c>
      <c r="B18" s="15">
        <f ca="1">IFERROR(__xludf.DUMMYFUNCTION("""COMPUTED_VALUE"""),2150)</f>
        <v>2150</v>
      </c>
      <c r="C18" s="49" t="str">
        <f ca="1">IFERROR(__xludf.DUMMYFUNCTION("""COMPUTED_VALUE"""),"NURUL KHOLISAH")</f>
        <v>NURUL KHOLISAH</v>
      </c>
      <c r="D18" s="49" t="str">
        <f ca="1">IFERROR(__xludf.DUMMYFUNCTION("""COMPUTED_VALUE"""),"5008201036")</f>
        <v>5008201036</v>
      </c>
      <c r="E18" s="49" t="str">
        <f ca="1">IFERROR(__xludf.DUMMYFUNCTION("""COMPUTED_VALUE"""),"Departemen Teknik Kimia")</f>
        <v>Departemen Teknik Kimia</v>
      </c>
      <c r="F18" s="49" t="str">
        <f ca="1">IFERROR(__xludf.DUMMYFUNCTION("""COMPUTED_VALUE"""),"Game Edukasi dengan Pendekatan Etnomatematika sebagai Inovasi Media Pembelajaran Matematika dan Pengenalan Budaya pada Guru SD Negeri 1 Kampung Baru")</f>
        <v>Game Edukasi dengan Pendekatan Etnomatematika sebagai Inovasi Media Pembelajaran Matematika dan Pengenalan Budaya pada Guru SD Negeri 1 Kampung Baru</v>
      </c>
      <c r="G18" s="49" t="str">
        <f ca="1">IFERROR(__xludf.DUMMYFUNCTION("""COMPUTED_VALUE"""),"Annas Wiguno, S.T., M.T.")</f>
        <v>Annas Wiguno, S.T., M.T.</v>
      </c>
      <c r="H18" s="49" t="str">
        <f ca="1">IFERROR(__xludf.DUMMYFUNCTION("""COMPUTED_VALUE"""),"Welly Herumurti, S.T., M.Sc.")</f>
        <v>Welly Herumurti, S.T., M.Sc.</v>
      </c>
      <c r="I18" s="49" t="str">
        <f ca="1">IFERROR(__xludf.DUMMYFUNCTION("""COMPUTED_VALUE"""),"Naufan Noordyanto, S.Sn., M.Sn.")</f>
        <v>Naufan Noordyanto, S.Sn., M.Sn.</v>
      </c>
      <c r="J18" s="49"/>
      <c r="K18" s="34" t="s">
        <v>1077</v>
      </c>
      <c r="L18" s="23" t="s">
        <v>1078</v>
      </c>
      <c r="M18" s="19" t="b">
        <v>0</v>
      </c>
      <c r="N18" s="19" t="b">
        <v>1</v>
      </c>
      <c r="O18" s="16" t="s">
        <v>1075</v>
      </c>
      <c r="P18" s="7" t="str">
        <f ca="1">IFERROR(__xludf.DUMMYFUNCTION("iferror(vlookup(B18,importrange(""https://docs.google.com/spreadsheets/d/1boHyJQ4e2FU0QG8MHwEi6qjX4hvZWVCHcFfXjq7bbMc/edit?resourcekey#gid=923248883"",""Prop!$C$1:$M""),12,0),IFERROR(vlookup(B18,importrange(""https://docs.google.com/spreadsheets/d/1boHyJQ"&amp;"4e2FU0QG8MHwEi6qjX4hvZWVCHcFfXjq7bbMc/edit?resourcekey#gid=923248883"",""Prop!$N$1:$X""),11,0),iferror(vlookup(B18,importrange(""https://docs.google.com/spreadsheets/d/1boHyJQ4e2FU0QG8MHwEi6qjX4hvZWVCHcFfXjq7bbMc/edit?resourcekey#gid=923248883"",""Prop!$Y"&amp;"$1:$AI""),11,0),iferror(vlookup(B18,importrange(""https://docs.google.com/spreadsheets/d/1boHyJQ4e2FU0QG8MHwEi6qjX4hvZWVCHcFfXjq7bbMc/edit?resourcekey#gid=923248883"",""Prop!$AJ$1:$AT""),11,0),iferror(vlookup(B18,importrange(""https://docs.google.com/spre"&amp;"adsheets/d/1boHyJQ4e2FU0QG8MHwEi6qjX4hvZWVCHcFfXjq7bbMc/edit?resourcekey#gid=923248883"",""Prop!$AU$1:$BE""),11,0),iferror(vlookup(B18,importrange(""https://docs.google.com/spreadsheets/d/1boHyJQ4e2FU0QG8MHwEi6qjX4hvZWVCHcFfXjq7bbMc/edit?resourcekey#gid=9"&amp;"23248883"",""Prop!$BF$1:$BP""),11,0),iferror(vlookup(B18,importrange(""https://docs.google.com/spreadsheets/d/1boHyJQ4e2FU0QG8MHwEi6qjX4hvZWVCHcFfXjq7bbMc/edit?resourcekey#gid=923248883"",""Prop!$BQ$1:$CA""),11,0),iferror(vlookup(B18,importrange(""https:/"&amp;"/docs.google.com/spreadsheets/d/1boHyJQ4e2FU0QG8MHwEi6qjX4hvZWVCHcFfXjq7bbMc/edit?resourcekey#gid=923248883"",""Prop!$CB$1:$CL""),11,0),iferror(vlookup(B18,importrange(""https://docs.google.com/spreadsheets/d/1boHyJQ4e2FU0QG8MHwEi6qjX4hvZWVCHcFfXjq7bbMc/e"&amp;"dit?resourcekey#gid=923248883"",""Prop!$CM$1:$CX""),12,0),iferror(vlookup(B18,importrange(""https://docs.google.com/spreadsheets/d/1boHyJQ4e2FU0QG8MHwEi6qjX4hvZWVCHcFfXjq7bbMc/edit?resourcekey#gid=923248883"",""Prop!$CV$1:$DI""),11,0)))))))))))"),"https://drive.google.com/open?id=1rxPK6KQuX1xACQVOKBpxNbrdvzhBebpi")</f>
        <v>https://drive.google.com/open?id=1rxPK6KQuX1xACQVOKBpxNbrdvzhBebpi</v>
      </c>
      <c r="Q18" s="50" t="str">
        <f ca="1">IFERROR(__xludf.DUMMYFUNCTION("iferror(vlookup(B18,importrange(""https://docs.google.com/spreadsheets/d/1p53T2AuvvIqhP7Nf-bo3Uhj8cbKYRPpZdsrBv3x3bAQ/edit?resourcekey#gid=1321652304"",""Prop!$C$1:$M""),11,0),IFERROR(vlookup(B18,importrange(""https://docs.google.com/spreadsheets/d/1p53T2"&amp;"AuvvIqhP7Nf-bo3Uhj8cbKYRPpZdsrBv3x3bAQ/edit?resourcekey#gid=1321652304"",""Prop!$N$1:$X""),11,0),iferror(vlookup(B18,importrange(""https://docs.google.com/spreadsheets/d/1p53T2AuvvIqhP7Nf-bo3Uhj8cbKYRPpZdsrBv3x3bAQ/edit?resourcekey#gid=1321652304"",""Prop"&amp;"!$Y$1:$AI""),11,0),iferror(vlookup(B18,importrange(""https://docs.google.com/spreadsheets/d/1p53T2AuvvIqhP7Nf-bo3Uhj8cbKYRPpZdsrBv3x3bAQ/edit?resourcekey#gid=1321652304"",""Prop!$AJ$1:$AT""),11,0),iferror(vlookup(B18,importrange(""https://docs.google.com/"&amp;"spreadsheets/d/1p53T2AuvvIqhP7Nf-bo3Uhj8cbKYRPpZdsrBv3x3bAQ/edit?resourcekey#gid=1321652304"",""Prop!$AU$1:$BE""),11,0),iferror(vlookup(B18,importrange(""https://docs.google.com/spreadsheets/d/1p53T2AuvvIqhP7Nf-bo3Uhj8cbKYRPpZdsrBv3x3bAQ/edit?resourcekey#"&amp;"gid=1321652304"",""Prop!$BF$1:$BP""),11,0),iferror(vlookup(B18,importrange(""https://docs.google.com/spreadsheets/d/1p53T2AuvvIqhP7Nf-bo3Uhj8cbKYRPpZdsrBv3x3bAQ/edit?resourcekey#gid=1321652304"",""Prop!$BQ$1:$CA""),11,0),iferror(vlookup(B18,importrange("""&amp;"https://docs.google.com/spreadsheets/d/1p53T2AuvvIqhP7Nf-bo3Uhj8cbKYRPpZdsrBv3x3bAQ/edit?resourcekey#gid=1321652304"",""Prop!$CB$1:$CL""),11,0),iferror(vlookup(B18,importrange(""https://docs.google.com/spreadsheets/d/1p53T2AuvvIqhP7Nf-bo3Uhj8cbKYRPpZdsrBv"&amp;"3x3bAQ/edit?resourcekey#gid=1321652304"",""Prop!$CM$1:$CX""),12,0),iferror(vlookup(B18,importrange(""https://docs.google.com/spreadsheets/d/1p53T2AuvvIqhP7Nf-bo3Uhj8cbKYRPpZdsrBv3x3bAQ/edit?resourcekey#gid=1321652304"",""Prop!$CY$1:$DI""),11,0)))))))))))"),"https://drive.google.com/open?id=1QBusZD0rGMEyAZYhS8C4-h5VXz-bpSmI")</f>
        <v>https://drive.google.com/open?id=1QBusZD0rGMEyAZYhS8C4-h5VXz-bpSmI</v>
      </c>
      <c r="R18" s="88" t="s">
        <v>1065</v>
      </c>
      <c r="S18" s="20" t="str">
        <f ca="1">IFERROR(__xludf.DUMMYFUNCTION("IFERROR(vlookup(B18,IMPORTRANGE(""https://docs.google.com/spreadsheets/d/1g_jfYYK_KeipEDNDUgqgrsxK94XiocfNQIcP-v1QVhI/edit?resourcekey#gid=233272945"",""Nilai!B:CT""),95,0),"" "")"),"Apakah sudah ada mitra pengganti karena jarak obyek mitra &gt; 100 km. Indikator keberhasilan dan keberlanjutan program belum dinyatakan jelas. Kaitan kurangnya tenaga pengajar dengan efektivitas game pembelajaran perlu lebih didetailkan. Barangkali dalam pr"&amp;"e test post tes ada perkiraan serapan nilai....estimasi nilai,")</f>
        <v>Apakah sudah ada mitra pengganti karena jarak obyek mitra &gt; 100 km. Indikator keberhasilan dan keberlanjutan program belum dinyatakan jelas. Kaitan kurangnya tenaga pengajar dengan efektivitas game pembelajaran perlu lebih didetailkan. Barangkali dalam pre test post tes ada perkiraan serapan nilai....estimasi nilai,</v>
      </c>
      <c r="T18" s="20" t="str">
        <f ca="1">IFERROR(__xludf.DUMMYFUNCTION("IFERROR(vlookup(B18,IMPORTRANGE(""https://docs.google.com/spreadsheets/d/1g_jfYYK_KeipEDNDUgqgrsxK94XiocfNQIcP-v1QVhI/edit?resourcekey#gid=233272945"",""Nilai!B:CT""),97,0),"" "")"),"LAYAK UPLOAD KE SIMBELMAWA DENGAN REVISI")</f>
        <v>LAYAK UPLOAD KE SIMBELMAWA DENGAN REVISI</v>
      </c>
      <c r="U18" s="45" t="s">
        <v>1066</v>
      </c>
      <c r="V18" s="51">
        <f ca="1">IFERROR(__xludf.DUMMYFUNCTION("IFERROR(
        vlookup(B18,
                IMPORTRANGE(""https://docs.google.com/spreadsheets/d/1dN4XwmJdILpQh5cYONP2LyBh3ksWo6DCzMrUbN3lo_Q/edit#gid=1905254675"",
                        ""Form Responses 1!F2:I""),
                4,
                f"&amp;"alse))"),102)</f>
        <v>102</v>
      </c>
      <c r="W18" s="52" t="s">
        <v>1067</v>
      </c>
      <c r="X18" s="23" t="s">
        <v>1079</v>
      </c>
      <c r="Y18" s="16" t="b">
        <v>1</v>
      </c>
      <c r="Z18" s="16"/>
      <c r="AA18" s="16"/>
      <c r="AB18" s="16"/>
      <c r="AC18" s="16"/>
      <c r="AD18" s="16"/>
      <c r="AE18" s="16"/>
      <c r="AF18" s="16"/>
      <c r="AG18" s="16"/>
      <c r="AH18" s="16"/>
      <c r="AI18" s="16"/>
    </row>
    <row r="19" spans="1:35">
      <c r="A19" s="15">
        <v>17</v>
      </c>
      <c r="B19" s="15">
        <f ca="1">IFERROR(__xludf.DUMMYFUNCTION("""COMPUTED_VALUE"""),3042)</f>
        <v>3042</v>
      </c>
      <c r="C19" s="49" t="str">
        <f ca="1">IFERROR(__xludf.DUMMYFUNCTION("""COMPUTED_VALUE"""),"Arvina Anggie Kharizma")</f>
        <v>Arvina Anggie Kharizma</v>
      </c>
      <c r="D19" s="49" t="str">
        <f ca="1">IFERROR(__xludf.DUMMYFUNCTION("""COMPUTED_VALUE"""),"03211940000025")</f>
        <v>03211940000025</v>
      </c>
      <c r="E19" s="49" t="str">
        <f ca="1">IFERROR(__xludf.DUMMYFUNCTION("""COMPUTED_VALUE"""),"Departemen Teknik Lingkungan")</f>
        <v>Departemen Teknik Lingkungan</v>
      </c>
      <c r="F19" s="49" t="str">
        <f ca="1">IFERROR(__xludf.DUMMYFUNCTION("""COMPUTED_VALUE"""),"Pendampingan Penerapan Circular Economy dengan Memanfaatkan Limbah Cangkang Telur sebagai Pakan Ayam pada Usaha Kelompok PKH di Desa Tuwiri Kulon")</f>
        <v>Pendampingan Penerapan Circular Economy dengan Memanfaatkan Limbah Cangkang Telur sebagai Pakan Ayam pada Usaha Kelompok PKH di Desa Tuwiri Kulon</v>
      </c>
      <c r="G19" s="49" t="str">
        <f ca="1">IFERROR(__xludf.DUMMYFUNCTION("""COMPUTED_VALUE"""),"Welly Herumurti, S.T., M.Sc.")</f>
        <v>Welly Herumurti, S.T., M.Sc.</v>
      </c>
      <c r="H19" s="49" t="str">
        <f ca="1">IFERROR(__xludf.DUMMYFUNCTION("""COMPUTED_VALUE"""),"Welly Herumurti, S.T., M.Sc.")</f>
        <v>Welly Herumurti, S.T., M.Sc.</v>
      </c>
      <c r="I19" s="49" t="str">
        <f ca="1">IFERROR(__xludf.DUMMYFUNCTION("""COMPUTED_VALUE"""),"Dr. Gunawan Nugroho, S.T., M.T.")</f>
        <v>Dr. Gunawan Nugroho, S.T., M.T.</v>
      </c>
      <c r="J19" s="49"/>
      <c r="K19" s="34" t="s">
        <v>1077</v>
      </c>
      <c r="L19" s="23" t="s">
        <v>1078</v>
      </c>
      <c r="M19" s="19" t="b">
        <v>0</v>
      </c>
      <c r="N19" s="19" t="b">
        <v>0</v>
      </c>
      <c r="O19" s="16" t="s">
        <v>1075</v>
      </c>
      <c r="P19" s="7" t="str">
        <f ca="1">IFERROR(__xludf.DUMMYFUNCTION("iferror(vlookup(B19,importrange(""https://docs.google.com/spreadsheets/d/1boHyJQ4e2FU0QG8MHwEi6qjX4hvZWVCHcFfXjq7bbMc/edit?resourcekey#gid=923248883"",""Prop!$C$1:$M""),12,0),IFERROR(vlookup(B19,importrange(""https://docs.google.com/spreadsheets/d/1boHyJQ"&amp;"4e2FU0QG8MHwEi6qjX4hvZWVCHcFfXjq7bbMc/edit?resourcekey#gid=923248883"",""Prop!$N$1:$X""),11,0),iferror(vlookup(B19,importrange(""https://docs.google.com/spreadsheets/d/1boHyJQ4e2FU0QG8MHwEi6qjX4hvZWVCHcFfXjq7bbMc/edit?resourcekey#gid=923248883"",""Prop!$Y"&amp;"$1:$AI""),11,0),iferror(vlookup(B19,importrange(""https://docs.google.com/spreadsheets/d/1boHyJQ4e2FU0QG8MHwEi6qjX4hvZWVCHcFfXjq7bbMc/edit?resourcekey#gid=923248883"",""Prop!$AJ$1:$AT""),11,0),iferror(vlookup(B19,importrange(""https://docs.google.com/spre"&amp;"adsheets/d/1boHyJQ4e2FU0QG8MHwEi6qjX4hvZWVCHcFfXjq7bbMc/edit?resourcekey#gid=923248883"",""Prop!$AU$1:$BE""),11,0),iferror(vlookup(B19,importrange(""https://docs.google.com/spreadsheets/d/1boHyJQ4e2FU0QG8MHwEi6qjX4hvZWVCHcFfXjq7bbMc/edit?resourcekey#gid=9"&amp;"23248883"",""Prop!$BF$1:$BP""),11,0),iferror(vlookup(B19,importrange(""https://docs.google.com/spreadsheets/d/1boHyJQ4e2FU0QG8MHwEi6qjX4hvZWVCHcFfXjq7bbMc/edit?resourcekey#gid=923248883"",""Prop!$BQ$1:$CA""),11,0),iferror(vlookup(B19,importrange(""https:/"&amp;"/docs.google.com/spreadsheets/d/1boHyJQ4e2FU0QG8MHwEi6qjX4hvZWVCHcFfXjq7bbMc/edit?resourcekey#gid=923248883"",""Prop!$CB$1:$CL""),11,0),iferror(vlookup(B19,importrange(""https://docs.google.com/spreadsheets/d/1boHyJQ4e2FU0QG8MHwEi6qjX4hvZWVCHcFfXjq7bbMc/e"&amp;"dit?resourcekey#gid=923248883"",""Prop!$CM$1:$CX""),12,0),iferror(vlookup(B19,importrange(""https://docs.google.com/spreadsheets/d/1boHyJQ4e2FU0QG8MHwEi6qjX4hvZWVCHcFfXjq7bbMc/edit?resourcekey#gid=923248883"",""Prop!$CV$1:$DI""),11,0)))))))))))"),"https://drive.google.com/open?id=1KOG9v69J_b6eqw1ZNBkiJtMk_6yLoURq")</f>
        <v>https://drive.google.com/open?id=1KOG9v69J_b6eqw1ZNBkiJtMk_6yLoURq</v>
      </c>
      <c r="Q19" s="50" t="str">
        <f ca="1">IFERROR(__xludf.DUMMYFUNCTION("iferror(vlookup(B19,importrange(""https://docs.google.com/spreadsheets/d/1p53T2AuvvIqhP7Nf-bo3Uhj8cbKYRPpZdsrBv3x3bAQ/edit?resourcekey#gid=1321652304"",""Prop!$C$1:$M""),11,0),IFERROR(vlookup(B19,importrange(""https://docs.google.com/spreadsheets/d/1p53T2"&amp;"AuvvIqhP7Nf-bo3Uhj8cbKYRPpZdsrBv3x3bAQ/edit?resourcekey#gid=1321652304"",""Prop!$N$1:$X""),11,0),iferror(vlookup(B19,importrange(""https://docs.google.com/spreadsheets/d/1p53T2AuvvIqhP7Nf-bo3Uhj8cbKYRPpZdsrBv3x3bAQ/edit?resourcekey#gid=1321652304"",""Prop"&amp;"!$Y$1:$AI""),11,0),iferror(vlookup(B19,importrange(""https://docs.google.com/spreadsheets/d/1p53T2AuvvIqhP7Nf-bo3Uhj8cbKYRPpZdsrBv3x3bAQ/edit?resourcekey#gid=1321652304"",""Prop!$AJ$1:$AT""),11,0),iferror(vlookup(B19,importrange(""https://docs.google.com/"&amp;"spreadsheets/d/1p53T2AuvvIqhP7Nf-bo3Uhj8cbKYRPpZdsrBv3x3bAQ/edit?resourcekey#gid=1321652304"",""Prop!$AU$1:$BE""),11,0),iferror(vlookup(B19,importrange(""https://docs.google.com/spreadsheets/d/1p53T2AuvvIqhP7Nf-bo3Uhj8cbKYRPpZdsrBv3x3bAQ/edit?resourcekey#"&amp;"gid=1321652304"",""Prop!$BF$1:$BP""),11,0),iferror(vlookup(B19,importrange(""https://docs.google.com/spreadsheets/d/1p53T2AuvvIqhP7Nf-bo3Uhj8cbKYRPpZdsrBv3x3bAQ/edit?resourcekey#gid=1321652304"",""Prop!$BQ$1:$CA""),11,0),iferror(vlookup(B19,importrange("""&amp;"https://docs.google.com/spreadsheets/d/1p53T2AuvvIqhP7Nf-bo3Uhj8cbKYRPpZdsrBv3x3bAQ/edit?resourcekey#gid=1321652304"",""Prop!$CB$1:$CL""),11,0),iferror(vlookup(B19,importrange(""https://docs.google.com/spreadsheets/d/1p53T2AuvvIqhP7Nf-bo3Uhj8cbKYRPpZdsrBv"&amp;"3x3bAQ/edit?resourcekey#gid=1321652304"",""Prop!$CM$1:$CX""),12,0),iferror(vlookup(B19,importrange(""https://docs.google.com/spreadsheets/d/1p53T2AuvvIqhP7Nf-bo3Uhj8cbKYRPpZdsrBv3x3bAQ/edit?resourcekey#gid=1321652304"",""Prop!$CY$1:$DI""),11,0)))))))))))"),"https://drive.google.com/open?id=1BaQhgHRVkMAGLZA3HW06ZPzJohNeWWdn")</f>
        <v>https://drive.google.com/open?id=1BaQhgHRVkMAGLZA3HW06ZPzJohNeWWdn</v>
      </c>
      <c r="R19" s="88" t="s">
        <v>1065</v>
      </c>
      <c r="S19" s="20" t="str">
        <f ca="1">IFERROR(__xludf.DUMMYFUNCTION("IFERROR(vlookup(B19,IMPORTRANGE(""https://docs.google.com/spreadsheets/d/1g_jfYYK_KeipEDNDUgqgrsxK94XiocfNQIcP-v1QVhI/edit?resourcekey#gid=233272945"",""Nilai!B:CT""),95,0),"" "")"),"")</f>
        <v/>
      </c>
      <c r="T19" s="20" t="str">
        <f ca="1">IFERROR(__xludf.DUMMYFUNCTION("IFERROR(vlookup(B19,IMPORTRANGE(""https://docs.google.com/spreadsheets/d/1g_jfYYK_KeipEDNDUgqgrsxK94XiocfNQIcP-v1QVhI/edit?resourcekey#gid=233272945"",""Nilai!B:CT""),97,0),"" "")"),"LAYAK UPLOAD KE SIMBELMAWA DENGAN REVISI")</f>
        <v>LAYAK UPLOAD KE SIMBELMAWA DENGAN REVISI</v>
      </c>
      <c r="U19" s="45" t="s">
        <v>1066</v>
      </c>
      <c r="V19" s="38" t="str">
        <f ca="1">IFERROR(__xludf.DUMMYFUNCTION("IFERROR(
        vlookup(B19,
                IMPORTRANGE(""https://docs.google.com/spreadsheets/d/1dN4XwmJdILpQh5cYONP2LyBh3ksWo6DCzMrUbN3lo_Q/edit#gid=1905254675"",
                        ""Form Responses 1!F2:I""),
                4,
                f"&amp;"alse))"),"94 km")</f>
        <v>94 km</v>
      </c>
      <c r="W19" s="52" t="s">
        <v>1067</v>
      </c>
      <c r="X19" s="23" t="s">
        <v>1079</v>
      </c>
      <c r="Y19" s="16" t="b">
        <v>0</v>
      </c>
      <c r="Z19" s="16"/>
      <c r="AA19" s="16"/>
      <c r="AB19" s="16"/>
      <c r="AC19" s="16"/>
      <c r="AD19" s="16"/>
      <c r="AE19" s="16"/>
      <c r="AF19" s="16"/>
      <c r="AG19" s="16"/>
      <c r="AH19" s="16"/>
      <c r="AI19" s="16"/>
    </row>
    <row r="20" spans="1:35">
      <c r="A20" s="15">
        <v>18</v>
      </c>
      <c r="B20" s="15">
        <f ca="1">IFERROR(__xludf.DUMMYFUNCTION("""COMPUTED_VALUE"""),2123)</f>
        <v>2123</v>
      </c>
      <c r="C20" s="49" t="str">
        <f ca="1">IFERROR(__xludf.DUMMYFUNCTION("""COMPUTED_VALUE"""),"RAFLY ZAKA RULLOH")</f>
        <v>RAFLY ZAKA RULLOH</v>
      </c>
      <c r="D20" s="49" t="str">
        <f ca="1">IFERROR(__xludf.DUMMYFUNCTION("""COMPUTED_VALUE"""),"2042201087")</f>
        <v>2042201087</v>
      </c>
      <c r="E20" s="49" t="str">
        <f ca="1">IFERROR(__xludf.DUMMYFUNCTION("""COMPUTED_VALUE"""),"Departemen Teknik Instrumentasi")</f>
        <v>Departemen Teknik Instrumentasi</v>
      </c>
      <c r="F20" s="49" t="str">
        <f ca="1">IFERROR(__xludf.DUMMYFUNCTION("""COMPUTED_VALUE"""),"PEMBERDAYAAN KARANG TARUNA DESA LABANG PADA PEMANFAATAN BAHAN ALAM MENJADI PRODUK INOVASI ECOPRINT SEBAGAI USAHA KREATIF BERKELANJUTAN")</f>
        <v>PEMBERDAYAAN KARANG TARUNA DESA LABANG PADA PEMANFAATAN BAHAN ALAM MENJADI PRODUK INOVASI ECOPRINT SEBAGAI USAHA KREATIF BERKELANJUTAN</v>
      </c>
      <c r="G20" s="49" t="str">
        <f ca="1">IFERROR(__xludf.DUMMYFUNCTION("""COMPUTED_VALUE"""),"Ahmad Fauzan Adziimaa, S.T., M.Sc.")</f>
        <v>Ahmad Fauzan Adziimaa, S.T., M.Sc.</v>
      </c>
      <c r="H20" s="49" t="str">
        <f ca="1">IFERROR(__xludf.DUMMYFUNCTION("""COMPUTED_VALUE"""),"Hertiari Idajati, S.T., M.Sc.")</f>
        <v>Hertiari Idajati, S.T., M.Sc.</v>
      </c>
      <c r="I20" s="49" t="str">
        <f ca="1">IFERROR(__xludf.DUMMYFUNCTION("""COMPUTED_VALUE"""),"Dr.-Ing. Doty Dewi Risanti, S.T., M.T.")</f>
        <v>Dr.-Ing. Doty Dewi Risanti, S.T., M.T.</v>
      </c>
      <c r="J20" s="49"/>
      <c r="K20" s="34" t="s">
        <v>1077</v>
      </c>
      <c r="L20" s="23" t="s">
        <v>1078</v>
      </c>
      <c r="M20" s="19" t="b">
        <v>1</v>
      </c>
      <c r="N20" s="19" t="b">
        <v>1</v>
      </c>
      <c r="O20" s="16" t="s">
        <v>1075</v>
      </c>
      <c r="P20" s="7" t="str">
        <f ca="1">IFERROR(__xludf.DUMMYFUNCTION("iferror(vlookup(B20,importrange(""https://docs.google.com/spreadsheets/d/1boHyJQ4e2FU0QG8MHwEi6qjX4hvZWVCHcFfXjq7bbMc/edit?resourcekey#gid=923248883"",""Prop!$C$1:$M""),12,0),IFERROR(vlookup(B20,importrange(""https://docs.google.com/spreadsheets/d/1boHyJQ"&amp;"4e2FU0QG8MHwEi6qjX4hvZWVCHcFfXjq7bbMc/edit?resourcekey#gid=923248883"",""Prop!$N$1:$X""),11,0),iferror(vlookup(B20,importrange(""https://docs.google.com/spreadsheets/d/1boHyJQ4e2FU0QG8MHwEi6qjX4hvZWVCHcFfXjq7bbMc/edit?resourcekey#gid=923248883"",""Prop!$Y"&amp;"$1:$AI""),11,0),iferror(vlookup(B20,importrange(""https://docs.google.com/spreadsheets/d/1boHyJQ4e2FU0QG8MHwEi6qjX4hvZWVCHcFfXjq7bbMc/edit?resourcekey#gid=923248883"",""Prop!$AJ$1:$AT""),11,0),iferror(vlookup(B20,importrange(""https://docs.google.com/spre"&amp;"adsheets/d/1boHyJQ4e2FU0QG8MHwEi6qjX4hvZWVCHcFfXjq7bbMc/edit?resourcekey#gid=923248883"",""Prop!$AU$1:$BE""),11,0),iferror(vlookup(B20,importrange(""https://docs.google.com/spreadsheets/d/1boHyJQ4e2FU0QG8MHwEi6qjX4hvZWVCHcFfXjq7bbMc/edit?resourcekey#gid=9"&amp;"23248883"",""Prop!$BF$1:$BP""),11,0),iferror(vlookup(B20,importrange(""https://docs.google.com/spreadsheets/d/1boHyJQ4e2FU0QG8MHwEi6qjX4hvZWVCHcFfXjq7bbMc/edit?resourcekey#gid=923248883"",""Prop!$BQ$1:$CA""),11,0),iferror(vlookup(B20,importrange(""https:/"&amp;"/docs.google.com/spreadsheets/d/1boHyJQ4e2FU0QG8MHwEi6qjX4hvZWVCHcFfXjq7bbMc/edit?resourcekey#gid=923248883"",""Prop!$CB$1:$CL""),11,0),iferror(vlookup(B20,importrange(""https://docs.google.com/spreadsheets/d/1boHyJQ4e2FU0QG8MHwEi6qjX4hvZWVCHcFfXjq7bbMc/e"&amp;"dit?resourcekey#gid=923248883"",""Prop!$CM$1:$CX""),12,0),iferror(vlookup(B20,importrange(""https://docs.google.com/spreadsheets/d/1boHyJQ4e2FU0QG8MHwEi6qjX4hvZWVCHcFfXjq7bbMc/edit?resourcekey#gid=923248883"",""Prop!$CV$1:$DI""),11,0)))))))))))"),"https://drive.google.com/open?id=1KC3OGEVbRhCHf62HPS6zAXqcnU__Hu_I")</f>
        <v>https://drive.google.com/open?id=1KC3OGEVbRhCHf62HPS6zAXqcnU__Hu_I</v>
      </c>
      <c r="Q20" s="50" t="str">
        <f ca="1">IFERROR(__xludf.DUMMYFUNCTION("iferror(vlookup(B20,importrange(""https://docs.google.com/spreadsheets/d/1p53T2AuvvIqhP7Nf-bo3Uhj8cbKYRPpZdsrBv3x3bAQ/edit?resourcekey#gid=1321652304"",""Prop!$C$1:$M""),11,0),IFERROR(vlookup(B20,importrange(""https://docs.google.com/spreadsheets/d/1p53T2"&amp;"AuvvIqhP7Nf-bo3Uhj8cbKYRPpZdsrBv3x3bAQ/edit?resourcekey#gid=1321652304"",""Prop!$N$1:$X""),11,0),iferror(vlookup(B20,importrange(""https://docs.google.com/spreadsheets/d/1p53T2AuvvIqhP7Nf-bo3Uhj8cbKYRPpZdsrBv3x3bAQ/edit?resourcekey#gid=1321652304"",""Prop"&amp;"!$Y$1:$AI""),11,0),iferror(vlookup(B20,importrange(""https://docs.google.com/spreadsheets/d/1p53T2AuvvIqhP7Nf-bo3Uhj8cbKYRPpZdsrBv3x3bAQ/edit?resourcekey#gid=1321652304"",""Prop!$AJ$1:$AT""),11,0),iferror(vlookup(B20,importrange(""https://docs.google.com/"&amp;"spreadsheets/d/1p53T2AuvvIqhP7Nf-bo3Uhj8cbKYRPpZdsrBv3x3bAQ/edit?resourcekey#gid=1321652304"",""Prop!$AU$1:$BE""),11,0),iferror(vlookup(B20,importrange(""https://docs.google.com/spreadsheets/d/1p53T2AuvvIqhP7Nf-bo3Uhj8cbKYRPpZdsrBv3x3bAQ/edit?resourcekey#"&amp;"gid=1321652304"",""Prop!$BF$1:$BP""),11,0),iferror(vlookup(B20,importrange(""https://docs.google.com/spreadsheets/d/1p53T2AuvvIqhP7Nf-bo3Uhj8cbKYRPpZdsrBv3x3bAQ/edit?resourcekey#gid=1321652304"",""Prop!$BQ$1:$CA""),11,0),iferror(vlookup(B20,importrange("""&amp;"https://docs.google.com/spreadsheets/d/1p53T2AuvvIqhP7Nf-bo3Uhj8cbKYRPpZdsrBv3x3bAQ/edit?resourcekey#gid=1321652304"",""Prop!$CB$1:$CL""),11,0),iferror(vlookup(B20,importrange(""https://docs.google.com/spreadsheets/d/1p53T2AuvvIqhP7Nf-bo3Uhj8cbKYRPpZdsrBv"&amp;"3x3bAQ/edit?resourcekey#gid=1321652304"",""Prop!$CM$1:$CX""),12,0),iferror(vlookup(B20,importrange(""https://docs.google.com/spreadsheets/d/1p53T2AuvvIqhP7Nf-bo3Uhj8cbKYRPpZdsrBv3x3bAQ/edit?resourcekey#gid=1321652304"",""Prop!$CY$1:$DI""),11,0)))))))))))"),"https://drive.google.com/open?id=1KXi1sSv3hluMjQANddd_hyig23eN2gO8")</f>
        <v>https://drive.google.com/open?id=1KXi1sSv3hluMjQANddd_hyig23eN2gO8</v>
      </c>
      <c r="R20" s="88" t="s">
        <v>1065</v>
      </c>
      <c r="S20" s="20" t="str">
        <f ca="1">IFERROR(__xludf.DUMMYFUNCTION("IFERROR(vlookup(B20,IMPORTRANGE(""https://docs.google.com/spreadsheets/d/1g_jfYYK_KeipEDNDUgqgrsxK94XiocfNQIcP-v1QVhI/edit?resourcekey#gid=233272945"",""Nilai!B:CT""),95,0),"" "")"),"-")</f>
        <v>-</v>
      </c>
      <c r="T20" s="20" t="str">
        <f ca="1">IFERROR(__xludf.DUMMYFUNCTION("IFERROR(vlookup(B20,IMPORTRANGE(""https://docs.google.com/spreadsheets/d/1g_jfYYK_KeipEDNDUgqgrsxK94XiocfNQIcP-v1QVhI/edit?resourcekey#gid=233272945"",""Nilai!B:CT""),97,0),"" "")"),"LAYAK UPLOAD KE SIMBELMAWA")</f>
        <v>LAYAK UPLOAD KE SIMBELMAWA</v>
      </c>
      <c r="U20" s="45" t="s">
        <v>1066</v>
      </c>
      <c r="V20" s="38" t="str">
        <f ca="1">IFERROR(__xludf.DUMMYFUNCTION("IFERROR(
        vlookup(B20,
                IMPORTRANGE(""https://docs.google.com/spreadsheets/d/1dN4XwmJdILpQh5cYONP2LyBh3ksWo6DCzMrUbN3lo_Q/edit#gid=1905254675"",
                        ""Form Responses 1!F2:I""),
                4,
                f"&amp;"alse))"),"19,6Km")</f>
        <v>19,6Km</v>
      </c>
      <c r="W20" s="52" t="s">
        <v>1067</v>
      </c>
      <c r="X20" s="23" t="s">
        <v>1079</v>
      </c>
      <c r="Y20" s="16" t="b">
        <v>1</v>
      </c>
      <c r="Z20" s="16"/>
      <c r="AA20" s="16"/>
      <c r="AB20" s="16"/>
      <c r="AC20" s="16"/>
      <c r="AD20" s="16"/>
      <c r="AE20" s="16"/>
      <c r="AF20" s="16"/>
      <c r="AG20" s="16"/>
      <c r="AH20" s="16"/>
      <c r="AI20" s="16"/>
    </row>
    <row r="21" spans="1:35">
      <c r="A21" s="15">
        <v>19</v>
      </c>
      <c r="B21" s="15">
        <f ca="1">IFERROR(__xludf.DUMMYFUNCTION("""COMPUTED_VALUE"""),4163)</f>
        <v>4163</v>
      </c>
      <c r="C21" s="49" t="str">
        <f ca="1">IFERROR(__xludf.DUMMYFUNCTION("""COMPUTED_VALUE"""),"FAADHILLAH SYHAB AZZAHRA")</f>
        <v>FAADHILLAH SYHAB AZZAHRA</v>
      </c>
      <c r="D21" s="49" t="str">
        <f ca="1">IFERROR(__xludf.DUMMYFUNCTION("""COMPUTED_VALUE"""),"5003201102")</f>
        <v>5003201102</v>
      </c>
      <c r="E21" s="49" t="str">
        <f ca="1">IFERROR(__xludf.DUMMYFUNCTION("""COMPUTED_VALUE"""),"Departemen Statistika")</f>
        <v>Departemen Statistika</v>
      </c>
      <c r="F21" s="49" t="str">
        <f ca="1">IFERROR(__xludf.DUMMYFUNCTION("""COMPUTED_VALUE"""),"DIA (Disabilitas Berkarya) sebagai Program Optimalisasi Potensi secara Terstruktur melalui Visualisasi Cerita Rakyat bagi Disabilitas")</f>
        <v>DIA (Disabilitas Berkarya) sebagai Program Optimalisasi Potensi secara Terstruktur melalui Visualisasi Cerita Rakyat bagi Disabilitas</v>
      </c>
      <c r="G21" s="49" t="str">
        <f ca="1">IFERROR(__xludf.DUMMYFUNCTION("""COMPUTED_VALUE"""),"Dr. Dra. Ismaini Zain, M.Si")</f>
        <v>Dr. Dra. Ismaini Zain, M.Si</v>
      </c>
      <c r="H21" s="49" t="str">
        <f ca="1">IFERROR(__xludf.DUMMYFUNCTION("""COMPUTED_VALUE"""),"Dr.-Ing. Doty Dewi Risanti, S.T., M.T.")</f>
        <v>Dr.-Ing. Doty Dewi Risanti, S.T., M.T.</v>
      </c>
      <c r="I21" s="49" t="str">
        <f ca="1">IFERROR(__xludf.DUMMYFUNCTION("""COMPUTED_VALUE"""),"Dr. Gunawan Nugroho, S.T., M.T.")</f>
        <v>Dr. Gunawan Nugroho, S.T., M.T.</v>
      </c>
      <c r="J21" s="49"/>
      <c r="K21" s="34" t="s">
        <v>1077</v>
      </c>
      <c r="L21" s="23" t="s">
        <v>1078</v>
      </c>
      <c r="M21" s="19" t="b">
        <v>0</v>
      </c>
      <c r="N21" s="19" t="b">
        <v>1</v>
      </c>
      <c r="O21" s="16" t="s">
        <v>1080</v>
      </c>
      <c r="P21" s="7" t="str">
        <f ca="1">IFERROR(__xludf.DUMMYFUNCTION("iferror(vlookup(B21,importrange(""https://docs.google.com/spreadsheets/d/1boHyJQ4e2FU0QG8MHwEi6qjX4hvZWVCHcFfXjq7bbMc/edit?resourcekey#gid=923248883"",""Prop!$C$1:$M""),12,0),IFERROR(vlookup(B21,importrange(""https://docs.google.com/spreadsheets/d/1boHyJQ"&amp;"4e2FU0QG8MHwEi6qjX4hvZWVCHcFfXjq7bbMc/edit?resourcekey#gid=923248883"",""Prop!$N$1:$X""),11,0),iferror(vlookup(B21,importrange(""https://docs.google.com/spreadsheets/d/1boHyJQ4e2FU0QG8MHwEi6qjX4hvZWVCHcFfXjq7bbMc/edit?resourcekey#gid=923248883"",""Prop!$Y"&amp;"$1:$AI""),11,0),iferror(vlookup(B21,importrange(""https://docs.google.com/spreadsheets/d/1boHyJQ4e2FU0QG8MHwEi6qjX4hvZWVCHcFfXjq7bbMc/edit?resourcekey#gid=923248883"",""Prop!$AJ$1:$AT""),11,0),iferror(vlookup(B21,importrange(""https://docs.google.com/spre"&amp;"adsheets/d/1boHyJQ4e2FU0QG8MHwEi6qjX4hvZWVCHcFfXjq7bbMc/edit?resourcekey#gid=923248883"",""Prop!$AU$1:$BE""),11,0),iferror(vlookup(B21,importrange(""https://docs.google.com/spreadsheets/d/1boHyJQ4e2FU0QG8MHwEi6qjX4hvZWVCHcFfXjq7bbMc/edit?resourcekey#gid=9"&amp;"23248883"",""Prop!$BF$1:$BP""),11,0),iferror(vlookup(B21,importrange(""https://docs.google.com/spreadsheets/d/1boHyJQ4e2FU0QG8MHwEi6qjX4hvZWVCHcFfXjq7bbMc/edit?resourcekey#gid=923248883"",""Prop!$BQ$1:$CA""),11,0),iferror(vlookup(B21,importrange(""https:/"&amp;"/docs.google.com/spreadsheets/d/1boHyJQ4e2FU0QG8MHwEi6qjX4hvZWVCHcFfXjq7bbMc/edit?resourcekey#gid=923248883"",""Prop!$CB$1:$CL""),11,0),iferror(vlookup(B21,importrange(""https://docs.google.com/spreadsheets/d/1boHyJQ4e2FU0QG8MHwEi6qjX4hvZWVCHcFfXjq7bbMc/e"&amp;"dit?resourcekey#gid=923248883"",""Prop!$CM$1:$CX""),12,0),iferror(vlookup(B21,importrange(""https://docs.google.com/spreadsheets/d/1boHyJQ4e2FU0QG8MHwEi6qjX4hvZWVCHcFfXjq7bbMc/edit?resourcekey#gid=923248883"",""Prop!$CV$1:$DI""),11,0)))))))))))"),"https://drive.google.com/open?id=1TOIsU9943Kl8GNjF5vn9_VcCwp-81PnU")</f>
        <v>https://drive.google.com/open?id=1TOIsU9943Kl8GNjF5vn9_VcCwp-81PnU</v>
      </c>
      <c r="Q21" s="50" t="str">
        <f ca="1">IFERROR(__xludf.DUMMYFUNCTION("iferror(vlookup(B21,importrange(""https://docs.google.com/spreadsheets/d/1p53T2AuvvIqhP7Nf-bo3Uhj8cbKYRPpZdsrBv3x3bAQ/edit?resourcekey#gid=1321652304"",""Prop!$C$1:$M""),11,0),IFERROR(vlookup(B21,importrange(""https://docs.google.com/spreadsheets/d/1p53T2"&amp;"AuvvIqhP7Nf-bo3Uhj8cbKYRPpZdsrBv3x3bAQ/edit?resourcekey#gid=1321652304"",""Prop!$N$1:$X""),11,0),iferror(vlookup(B21,importrange(""https://docs.google.com/spreadsheets/d/1p53T2AuvvIqhP7Nf-bo3Uhj8cbKYRPpZdsrBv3x3bAQ/edit?resourcekey#gid=1321652304"",""Prop"&amp;"!$Y$1:$AI""),11,0),iferror(vlookup(B21,importrange(""https://docs.google.com/spreadsheets/d/1p53T2AuvvIqhP7Nf-bo3Uhj8cbKYRPpZdsrBv3x3bAQ/edit?resourcekey#gid=1321652304"",""Prop!$AJ$1:$AT""),11,0),iferror(vlookup(B21,importrange(""https://docs.google.com/"&amp;"spreadsheets/d/1p53T2AuvvIqhP7Nf-bo3Uhj8cbKYRPpZdsrBv3x3bAQ/edit?resourcekey#gid=1321652304"",""Prop!$AU$1:$BE""),11,0),iferror(vlookup(B21,importrange(""https://docs.google.com/spreadsheets/d/1p53T2AuvvIqhP7Nf-bo3Uhj8cbKYRPpZdsrBv3x3bAQ/edit?resourcekey#"&amp;"gid=1321652304"",""Prop!$BF$1:$BP""),11,0),iferror(vlookup(B21,importrange(""https://docs.google.com/spreadsheets/d/1p53T2AuvvIqhP7Nf-bo3Uhj8cbKYRPpZdsrBv3x3bAQ/edit?resourcekey#gid=1321652304"",""Prop!$BQ$1:$CA""),11,0),iferror(vlookup(B21,importrange("""&amp;"https://docs.google.com/spreadsheets/d/1p53T2AuvvIqhP7Nf-bo3Uhj8cbKYRPpZdsrBv3x3bAQ/edit?resourcekey#gid=1321652304"",""Prop!$CB$1:$CL""),11,0),iferror(vlookup(B21,importrange(""https://docs.google.com/spreadsheets/d/1p53T2AuvvIqhP7Nf-bo3Uhj8cbKYRPpZdsrBv"&amp;"3x3bAQ/edit?resourcekey#gid=1321652304"",""Prop!$CM$1:$CX""),12,0),iferror(vlookup(B21,importrange(""https://docs.google.com/spreadsheets/d/1p53T2AuvvIqhP7Nf-bo3Uhj8cbKYRPpZdsrBv3x3bAQ/edit?resourcekey#gid=1321652304"",""Prop!$CY$1:$DI""),11,0)))))))))))"),"https://drive.google.com/open?id=1_67Si2kris9_dnj-sMDrlOHiAsYJ5Nux")</f>
        <v>https://drive.google.com/open?id=1_67Si2kris9_dnj-sMDrlOHiAsYJ5Nux</v>
      </c>
      <c r="R21" s="88" t="s">
        <v>1065</v>
      </c>
      <c r="S21" s="20" t="str">
        <f ca="1">IFERROR(__xludf.DUMMYFUNCTION("IFERROR(vlookup(B21,IMPORTRANGE(""https://docs.google.com/spreadsheets/d/1g_jfYYK_KeipEDNDUgqgrsxK94XiocfNQIcP-v1QVhI/edit?resourcekey#gid=233272945"",""Nilai!B:CT""),95,0),"" "")"),"masih sangat tidak lengkap")</f>
        <v>masih sangat tidak lengkap</v>
      </c>
      <c r="T21" s="20" t="str">
        <f ca="1">IFERROR(__xludf.DUMMYFUNCTION("IFERROR(vlookup(B21,IMPORTRANGE(""https://docs.google.com/spreadsheets/d/1g_jfYYK_KeipEDNDUgqgrsxK94XiocfNQIcP-v1QVhI/edit?resourcekey#gid=233272945"",""Nilai!B:CT""),97,0),"" "")"),"TIDAK LAYAK UPLOAD KE SIMBELMAWA")</f>
        <v>TIDAK LAYAK UPLOAD KE SIMBELMAWA</v>
      </c>
      <c r="U21" s="45" t="s">
        <v>1066</v>
      </c>
      <c r="V21" s="38" t="str">
        <f ca="1">IFERROR(__xludf.DUMMYFUNCTION("IFERROR(
        vlookup(B21,
                IMPORTRANGE(""https://docs.google.com/spreadsheets/d/1dN4XwmJdILpQh5cYONP2LyBh3ksWo6DCzMrUbN3lo_Q/edit#gid=1905254675"",
                        ""Form Responses 1!F2:I""),
                4,
                f"&amp;"alse))"),"10,9 KM")</f>
        <v>10,9 KM</v>
      </c>
      <c r="W21" s="52" t="s">
        <v>1067</v>
      </c>
      <c r="X21" s="23" t="s">
        <v>1081</v>
      </c>
      <c r="Y21" s="16" t="b">
        <v>1</v>
      </c>
      <c r="Z21" s="16"/>
      <c r="AA21" s="16"/>
      <c r="AB21" s="16"/>
      <c r="AC21" s="16"/>
      <c r="AD21" s="16"/>
      <c r="AE21" s="16"/>
      <c r="AF21" s="16"/>
      <c r="AG21" s="16"/>
      <c r="AH21" s="16"/>
      <c r="AI21" s="16"/>
    </row>
    <row r="22" spans="1:35">
      <c r="A22" s="15">
        <v>20</v>
      </c>
      <c r="B22" s="15">
        <f ca="1">IFERROR(__xludf.DUMMYFUNCTION("""COMPUTED_VALUE"""),2621)</f>
        <v>2621</v>
      </c>
      <c r="C22" s="49" t="str">
        <f ca="1">IFERROR(__xludf.DUMMYFUNCTION("""COMPUTED_VALUE"""),"KIRAMIM BARARAH")</f>
        <v>KIRAMIM BARARAH</v>
      </c>
      <c r="D22" s="49" t="str">
        <f ca="1">IFERROR(__xludf.DUMMYFUNCTION("""COMPUTED_VALUE"""),"04111940000057")</f>
        <v>04111940000057</v>
      </c>
      <c r="E22" s="49" t="str">
        <f ca="1">IFERROR(__xludf.DUMMYFUNCTION("""COMPUTED_VALUE"""),"Departemen Teknik Perkapalan")</f>
        <v>Departemen Teknik Perkapalan</v>
      </c>
      <c r="F22" s="49" t="str">
        <f ca="1">IFERROR(__xludf.DUMMYFUNCTION("""COMPUTED_VALUE"""),"SIKAN, Toolkit dan Aplikasi Kalkulator Perikanan untuk Mengoptimalkan Peran Penyuluh Dinas Perikanan Kota Pasuruan, Studi Kasus Tambak Bandeng (Chanos Chanos)")</f>
        <v>SIKAN, Toolkit dan Aplikasi Kalkulator Perikanan untuk Mengoptimalkan Peran Penyuluh Dinas Perikanan Kota Pasuruan, Studi Kasus Tambak Bandeng (Chanos Chanos)</v>
      </c>
      <c r="G22" s="49" t="str">
        <f ca="1">IFERROR(__xludf.DUMMYFUNCTION("""COMPUTED_VALUE"""),"Nova Maulidina Ashuri, S.Si., M.Si.")</f>
        <v>Nova Maulidina Ashuri, S.Si., M.Si.</v>
      </c>
      <c r="H22" s="49" t="str">
        <f ca="1">IFERROR(__xludf.DUMMYFUNCTION("""COMPUTED_VALUE"""),"Dr.-Ing. Doty Dewi Risanti, S.T., M.T.")</f>
        <v>Dr.-Ing. Doty Dewi Risanti, S.T., M.T.</v>
      </c>
      <c r="I22" s="49" t="str">
        <f ca="1">IFERROR(__xludf.DUMMYFUNCTION("""COMPUTED_VALUE"""),"Naufan Noordyanto, S.Sn., M.Sn.")</f>
        <v>Naufan Noordyanto, S.Sn., M.Sn.</v>
      </c>
      <c r="J22" s="49"/>
      <c r="K22" s="34" t="s">
        <v>1077</v>
      </c>
      <c r="L22" s="23" t="s">
        <v>1078</v>
      </c>
      <c r="M22" s="19" t="b">
        <v>1</v>
      </c>
      <c r="N22" s="19" t="b">
        <v>1</v>
      </c>
      <c r="O22" s="16" t="s">
        <v>1080</v>
      </c>
      <c r="P22" s="7" t="str">
        <f ca="1">IFERROR(__xludf.DUMMYFUNCTION("iferror(vlookup(B22,importrange(""https://docs.google.com/spreadsheets/d/1boHyJQ4e2FU0QG8MHwEi6qjX4hvZWVCHcFfXjq7bbMc/edit?resourcekey#gid=923248883"",""Prop!$C$1:$M""),12,0),IFERROR(vlookup(B22,importrange(""https://docs.google.com/spreadsheets/d/1boHyJQ"&amp;"4e2FU0QG8MHwEi6qjX4hvZWVCHcFfXjq7bbMc/edit?resourcekey#gid=923248883"",""Prop!$N$1:$X""),11,0),iferror(vlookup(B22,importrange(""https://docs.google.com/spreadsheets/d/1boHyJQ4e2FU0QG8MHwEi6qjX4hvZWVCHcFfXjq7bbMc/edit?resourcekey#gid=923248883"",""Prop!$Y"&amp;"$1:$AI""),11,0),iferror(vlookup(B22,importrange(""https://docs.google.com/spreadsheets/d/1boHyJQ4e2FU0QG8MHwEi6qjX4hvZWVCHcFfXjq7bbMc/edit?resourcekey#gid=923248883"",""Prop!$AJ$1:$AT""),11,0),iferror(vlookup(B22,importrange(""https://docs.google.com/spre"&amp;"adsheets/d/1boHyJQ4e2FU0QG8MHwEi6qjX4hvZWVCHcFfXjq7bbMc/edit?resourcekey#gid=923248883"",""Prop!$AU$1:$BE""),11,0),iferror(vlookup(B22,importrange(""https://docs.google.com/spreadsheets/d/1boHyJQ4e2FU0QG8MHwEi6qjX4hvZWVCHcFfXjq7bbMc/edit?resourcekey#gid=9"&amp;"23248883"",""Prop!$BF$1:$BP""),11,0),iferror(vlookup(B22,importrange(""https://docs.google.com/spreadsheets/d/1boHyJQ4e2FU0QG8MHwEi6qjX4hvZWVCHcFfXjq7bbMc/edit?resourcekey#gid=923248883"",""Prop!$BQ$1:$CA""),11,0),iferror(vlookup(B22,importrange(""https:/"&amp;"/docs.google.com/spreadsheets/d/1boHyJQ4e2FU0QG8MHwEi6qjX4hvZWVCHcFfXjq7bbMc/edit?resourcekey#gid=923248883"",""Prop!$CB$1:$CL""),11,0),iferror(vlookup(B22,importrange(""https://docs.google.com/spreadsheets/d/1boHyJQ4e2FU0QG8MHwEi6qjX4hvZWVCHcFfXjq7bbMc/e"&amp;"dit?resourcekey#gid=923248883"",""Prop!$CM$1:$CX""),12,0),iferror(vlookup(B22,importrange(""https://docs.google.com/spreadsheets/d/1boHyJQ4e2FU0QG8MHwEi6qjX4hvZWVCHcFfXjq7bbMc/edit?resourcekey#gid=923248883"",""Prop!$CV$1:$DI""),11,0)))))))))))"),"https://drive.google.com/open?id=1wCqiF0C0rUCiLAMF_kwMrW3Wpa5lZMSb")</f>
        <v>https://drive.google.com/open?id=1wCqiF0C0rUCiLAMF_kwMrW3Wpa5lZMSb</v>
      </c>
      <c r="Q22" s="50" t="str">
        <f ca="1">IFERROR(__xludf.DUMMYFUNCTION("iferror(vlookup(B22,importrange(""https://docs.google.com/spreadsheets/d/1p53T2AuvvIqhP7Nf-bo3Uhj8cbKYRPpZdsrBv3x3bAQ/edit?resourcekey#gid=1321652304"",""Prop!$C$1:$M""),11,0),IFERROR(vlookup(B22,importrange(""https://docs.google.com/spreadsheets/d/1p53T2"&amp;"AuvvIqhP7Nf-bo3Uhj8cbKYRPpZdsrBv3x3bAQ/edit?resourcekey#gid=1321652304"",""Prop!$N$1:$X""),11,0),iferror(vlookup(B22,importrange(""https://docs.google.com/spreadsheets/d/1p53T2AuvvIqhP7Nf-bo3Uhj8cbKYRPpZdsrBv3x3bAQ/edit?resourcekey#gid=1321652304"",""Prop"&amp;"!$Y$1:$AI""),11,0),iferror(vlookup(B22,importrange(""https://docs.google.com/spreadsheets/d/1p53T2AuvvIqhP7Nf-bo3Uhj8cbKYRPpZdsrBv3x3bAQ/edit?resourcekey#gid=1321652304"",""Prop!$AJ$1:$AT""),11,0),iferror(vlookup(B22,importrange(""https://docs.google.com/"&amp;"spreadsheets/d/1p53T2AuvvIqhP7Nf-bo3Uhj8cbKYRPpZdsrBv3x3bAQ/edit?resourcekey#gid=1321652304"",""Prop!$AU$1:$BE""),11,0),iferror(vlookup(B22,importrange(""https://docs.google.com/spreadsheets/d/1p53T2AuvvIqhP7Nf-bo3Uhj8cbKYRPpZdsrBv3x3bAQ/edit?resourcekey#"&amp;"gid=1321652304"",""Prop!$BF$1:$BP""),11,0),iferror(vlookup(B22,importrange(""https://docs.google.com/spreadsheets/d/1p53T2AuvvIqhP7Nf-bo3Uhj8cbKYRPpZdsrBv3x3bAQ/edit?resourcekey#gid=1321652304"",""Prop!$BQ$1:$CA""),11,0),iferror(vlookup(B22,importrange("""&amp;"https://docs.google.com/spreadsheets/d/1p53T2AuvvIqhP7Nf-bo3Uhj8cbKYRPpZdsrBv3x3bAQ/edit?resourcekey#gid=1321652304"",""Prop!$CB$1:$CL""),11,0),iferror(vlookup(B22,importrange(""https://docs.google.com/spreadsheets/d/1p53T2AuvvIqhP7Nf-bo3Uhj8cbKYRPpZdsrBv"&amp;"3x3bAQ/edit?resourcekey#gid=1321652304"",""Prop!$CM$1:$CX""),12,0),iferror(vlookup(B22,importrange(""https://docs.google.com/spreadsheets/d/1p53T2AuvvIqhP7Nf-bo3Uhj8cbKYRPpZdsrBv3x3bAQ/edit?resourcekey#gid=1321652304"",""Prop!$CY$1:$DI""),11,0)))))))))))"),"https://drive.google.com/open?id=1qfpRyZI_QrMD3o2viVjUrTqNfS19UG05")</f>
        <v>https://drive.google.com/open?id=1qfpRyZI_QrMD3o2viVjUrTqNfS19UG05</v>
      </c>
      <c r="R22" s="88" t="s">
        <v>1065</v>
      </c>
      <c r="S22" s="20" t="str">
        <f ca="1">IFERROR(__xludf.DUMMYFUNCTION("IFERROR(vlookup(B22,IMPORTRANGE(""https://docs.google.com/spreadsheets/d/1g_jfYYK_KeipEDNDUgqgrsxK94XiocfNQIcP-v1QVhI/edit?resourcekey#gid=233272945"",""Nilai!B:CT""),95,0),"" "")"),"Survey mitra masih daring, metode PKM masih fokus hanya pada pembuatan dan penyampaian aplikasi")</f>
        <v>Survey mitra masih daring, metode PKM masih fokus hanya pada pembuatan dan penyampaian aplikasi</v>
      </c>
      <c r="T22" s="20" t="str">
        <f ca="1">IFERROR(__xludf.DUMMYFUNCTION("IFERROR(vlookup(B22,IMPORTRANGE(""https://docs.google.com/spreadsheets/d/1g_jfYYK_KeipEDNDUgqgrsxK94XiocfNQIcP-v1QVhI/edit?resourcekey#gid=233272945"",""Nilai!B:CT""),97,0),"" "")"),"LAYAK UPLOAD KE SIMBELMAWA DENGAN REVISI")</f>
        <v>LAYAK UPLOAD KE SIMBELMAWA DENGAN REVISI</v>
      </c>
      <c r="U22" s="36" t="s">
        <v>825</v>
      </c>
      <c r="V22" s="38" t="str">
        <f ca="1">IFERROR(__xludf.DUMMYFUNCTION("IFERROR(
        vlookup(B22,
                IMPORTRANGE(""https://docs.google.com/spreadsheets/d/1dN4XwmJdILpQh5cYONP2LyBh3ksWo6DCzMrUbN3lo_Q/edit#gid=1905254675"",
                        ""Form Responses 1!F2:I""),
                4,
                f"&amp;"alse))"),"77 km")</f>
        <v>77 km</v>
      </c>
      <c r="W22" s="52" t="s">
        <v>1067</v>
      </c>
      <c r="X22" s="23" t="s">
        <v>1081</v>
      </c>
      <c r="Y22" s="16" t="b">
        <v>1</v>
      </c>
      <c r="Z22" s="16"/>
      <c r="AA22" s="16"/>
      <c r="AB22" s="16"/>
      <c r="AC22" s="16"/>
      <c r="AD22" s="16"/>
      <c r="AE22" s="16"/>
      <c r="AF22" s="16"/>
      <c r="AG22" s="16"/>
      <c r="AH22" s="16"/>
      <c r="AI22" s="16"/>
    </row>
    <row r="23" spans="1:35">
      <c r="A23" s="15">
        <v>21</v>
      </c>
      <c r="B23" s="15">
        <f ca="1">IFERROR(__xludf.DUMMYFUNCTION("""COMPUTED_VALUE"""),2011)</f>
        <v>2011</v>
      </c>
      <c r="C23" s="49" t="str">
        <f ca="1">IFERROR(__xludf.DUMMYFUNCTION("""COMPUTED_VALUE"""),"TINA SEKAR AYUNING TYAS")</f>
        <v>TINA SEKAR AYUNING TYAS</v>
      </c>
      <c r="D23" s="49" t="str">
        <f ca="1">IFERROR(__xludf.DUMMYFUNCTION("""COMPUTED_VALUE"""),"09111940000039")</f>
        <v>09111940000039</v>
      </c>
      <c r="E23" s="49" t="str">
        <f ca="1">IFERROR(__xludf.DUMMYFUNCTION("""COMPUTED_VALUE"""),"Departemen Manajemen Bisnis")</f>
        <v>Departemen Manajemen Bisnis</v>
      </c>
      <c r="F23" s="49" t="str">
        <f ca="1">IFERROR(__xludf.DUMMYFUNCTION("""COMPUTED_VALUE"""),"Program Pemberdayaan Ibu-Ibu Penyintas Erupsi Gunung Semeru melalui Dapur Kreasi Semeru sebagai Upaya Mendukung Perekonomian Keluarga Pasca Bencana")</f>
        <v>Program Pemberdayaan Ibu-Ibu Penyintas Erupsi Gunung Semeru melalui Dapur Kreasi Semeru sebagai Upaya Mendukung Perekonomian Keluarga Pasca Bencana</v>
      </c>
      <c r="G23" s="49" t="str">
        <f ca="1">IFERROR(__xludf.DUMMYFUNCTION("""COMPUTED_VALUE"""),"Gita Widi Bhawika, S.ST., M.MT")</f>
        <v>Gita Widi Bhawika, S.ST., M.MT</v>
      </c>
      <c r="H23" s="49" t="str">
        <f ca="1">IFERROR(__xludf.DUMMYFUNCTION("""COMPUTED_VALUE"""),"Dr.-Ing. Doty Dewi Risanti, S.T., M.T.")</f>
        <v>Dr.-Ing. Doty Dewi Risanti, S.T., M.T.</v>
      </c>
      <c r="I23" s="49" t="str">
        <f ca="1">IFERROR(__xludf.DUMMYFUNCTION("""COMPUTED_VALUE"""),"Mahardika F. Rois, S.T, M.T")</f>
        <v>Mahardika F. Rois, S.T, M.T</v>
      </c>
      <c r="J23" s="49"/>
      <c r="K23" s="34" t="s">
        <v>1077</v>
      </c>
      <c r="L23" s="23" t="s">
        <v>1082</v>
      </c>
      <c r="M23" s="19" t="b">
        <v>0</v>
      </c>
      <c r="N23" s="19" t="b">
        <v>1</v>
      </c>
      <c r="O23" s="16" t="s">
        <v>1080</v>
      </c>
      <c r="P23" s="7" t="str">
        <f ca="1">IFERROR(__xludf.DUMMYFUNCTION("iferror(vlookup(B23,importrange(""https://docs.google.com/spreadsheets/d/1boHyJQ4e2FU0QG8MHwEi6qjX4hvZWVCHcFfXjq7bbMc/edit?resourcekey#gid=923248883"",""Prop!$C$1:$M""),12,0),IFERROR(vlookup(B23,importrange(""https://docs.google.com/spreadsheets/d/1boHyJQ"&amp;"4e2FU0QG8MHwEi6qjX4hvZWVCHcFfXjq7bbMc/edit?resourcekey#gid=923248883"",""Prop!$N$1:$X""),11,0),iferror(vlookup(B23,importrange(""https://docs.google.com/spreadsheets/d/1boHyJQ4e2FU0QG8MHwEi6qjX4hvZWVCHcFfXjq7bbMc/edit?resourcekey#gid=923248883"",""Prop!$Y"&amp;"$1:$AI""),11,0),iferror(vlookup(B23,importrange(""https://docs.google.com/spreadsheets/d/1boHyJQ4e2FU0QG8MHwEi6qjX4hvZWVCHcFfXjq7bbMc/edit?resourcekey#gid=923248883"",""Prop!$AJ$1:$AT""),11,0),iferror(vlookup(B23,importrange(""https://docs.google.com/spre"&amp;"adsheets/d/1boHyJQ4e2FU0QG8MHwEi6qjX4hvZWVCHcFfXjq7bbMc/edit?resourcekey#gid=923248883"",""Prop!$AU$1:$BE""),11,0),iferror(vlookup(B23,importrange(""https://docs.google.com/spreadsheets/d/1boHyJQ4e2FU0QG8MHwEi6qjX4hvZWVCHcFfXjq7bbMc/edit?resourcekey#gid=9"&amp;"23248883"",""Prop!$BF$1:$BP""),11,0),iferror(vlookup(B23,importrange(""https://docs.google.com/spreadsheets/d/1boHyJQ4e2FU0QG8MHwEi6qjX4hvZWVCHcFfXjq7bbMc/edit?resourcekey#gid=923248883"",""Prop!$BQ$1:$CA""),11,0),iferror(vlookup(B23,importrange(""https:/"&amp;"/docs.google.com/spreadsheets/d/1boHyJQ4e2FU0QG8MHwEi6qjX4hvZWVCHcFfXjq7bbMc/edit?resourcekey#gid=923248883"",""Prop!$CB$1:$CL""),11,0),iferror(vlookup(B23,importrange(""https://docs.google.com/spreadsheets/d/1boHyJQ4e2FU0QG8MHwEi6qjX4hvZWVCHcFfXjq7bbMc/e"&amp;"dit?resourcekey#gid=923248883"",""Prop!$CM$1:$CX""),12,0),iferror(vlookup(B23,importrange(""https://docs.google.com/spreadsheets/d/1boHyJQ4e2FU0QG8MHwEi6qjX4hvZWVCHcFfXjq7bbMc/edit?resourcekey#gid=923248883"",""Prop!$CV$1:$DI""),11,0)))))))))))"),"https://drive.google.com/open?id=1ywMp87ZGlkW0p1-VaowpYpNp6X3MTUy2")</f>
        <v>https://drive.google.com/open?id=1ywMp87ZGlkW0p1-VaowpYpNp6X3MTUy2</v>
      </c>
      <c r="Q23" s="50" t="str">
        <f ca="1">IFERROR(__xludf.DUMMYFUNCTION("iferror(vlookup(B23,importrange(""https://docs.google.com/spreadsheets/d/1p53T2AuvvIqhP7Nf-bo3Uhj8cbKYRPpZdsrBv3x3bAQ/edit?resourcekey#gid=1321652304"",""Prop!$C$1:$M""),11,0),IFERROR(vlookup(B23,importrange(""https://docs.google.com/spreadsheets/d/1p53T2"&amp;"AuvvIqhP7Nf-bo3Uhj8cbKYRPpZdsrBv3x3bAQ/edit?resourcekey#gid=1321652304"",""Prop!$N$1:$X""),11,0),iferror(vlookup(B23,importrange(""https://docs.google.com/spreadsheets/d/1p53T2AuvvIqhP7Nf-bo3Uhj8cbKYRPpZdsrBv3x3bAQ/edit?resourcekey#gid=1321652304"",""Prop"&amp;"!$Y$1:$AI""),11,0),iferror(vlookup(B23,importrange(""https://docs.google.com/spreadsheets/d/1p53T2AuvvIqhP7Nf-bo3Uhj8cbKYRPpZdsrBv3x3bAQ/edit?resourcekey#gid=1321652304"",""Prop!$AJ$1:$AT""),11,0),iferror(vlookup(B23,importrange(""https://docs.google.com/"&amp;"spreadsheets/d/1p53T2AuvvIqhP7Nf-bo3Uhj8cbKYRPpZdsrBv3x3bAQ/edit?resourcekey#gid=1321652304"",""Prop!$AU$1:$BE""),11,0),iferror(vlookup(B23,importrange(""https://docs.google.com/spreadsheets/d/1p53T2AuvvIqhP7Nf-bo3Uhj8cbKYRPpZdsrBv3x3bAQ/edit?resourcekey#"&amp;"gid=1321652304"",""Prop!$BF$1:$BP""),11,0),iferror(vlookup(B23,importrange(""https://docs.google.com/spreadsheets/d/1p53T2AuvvIqhP7Nf-bo3Uhj8cbKYRPpZdsrBv3x3bAQ/edit?resourcekey#gid=1321652304"",""Prop!$BQ$1:$CA""),11,0),iferror(vlookup(B23,importrange("""&amp;"https://docs.google.com/spreadsheets/d/1p53T2AuvvIqhP7Nf-bo3Uhj8cbKYRPpZdsrBv3x3bAQ/edit?resourcekey#gid=1321652304"",""Prop!$CB$1:$CL""),11,0),iferror(vlookup(B23,importrange(""https://docs.google.com/spreadsheets/d/1p53T2AuvvIqhP7Nf-bo3Uhj8cbKYRPpZdsrBv"&amp;"3x3bAQ/edit?resourcekey#gid=1321652304"",""Prop!$CM$1:$CX""),12,0),iferror(vlookup(B23,importrange(""https://docs.google.com/spreadsheets/d/1p53T2AuvvIqhP7Nf-bo3Uhj8cbKYRPpZdsrBv3x3bAQ/edit?resourcekey#gid=1321652304"",""Prop!$CY$1:$DI""),11,0)))))))))))"),"https://drive.google.com/open?id=1g4W_Viwnx1w16q1buHNVwyDCURGDyB72")</f>
        <v>https://drive.google.com/open?id=1g4W_Viwnx1w16q1buHNVwyDCURGDyB72</v>
      </c>
      <c r="R23" s="88" t="s">
        <v>1065</v>
      </c>
      <c r="S23" s="20" t="str">
        <f ca="1">IFERROR(__xludf.DUMMYFUNCTION("IFERROR(vlookup(B23,IMPORTRANGE(""https://docs.google.com/spreadsheets/d/1g_jfYYK_KeipEDNDUgqgrsxK94XiocfNQIcP-v1QVhI/edit?resourcekey#gid=233272945"",""Nilai!B:CT""),95,0),"" "")"),"Gambaran mitra perlu lebih diperkuat pada Tagana daripada Ibu penyintas bencana, termasuk pada metode pelaksanaan, format dicek kembali")</f>
        <v>Gambaran mitra perlu lebih diperkuat pada Tagana daripada Ibu penyintas bencana, termasuk pada metode pelaksanaan, format dicek kembali</v>
      </c>
      <c r="T23" s="20" t="str">
        <f ca="1">IFERROR(__xludf.DUMMYFUNCTION("IFERROR(vlookup(B23,IMPORTRANGE(""https://docs.google.com/spreadsheets/d/1g_jfYYK_KeipEDNDUgqgrsxK94XiocfNQIcP-v1QVhI/edit?resourcekey#gid=233272945"",""Nilai!B:CT""),97,0),"" "")"),"LAYAK UPLOAD KE SIMBELMAWA DENGAN REVISI")</f>
        <v>LAYAK UPLOAD KE SIMBELMAWA DENGAN REVISI</v>
      </c>
      <c r="U23" s="36" t="s">
        <v>825</v>
      </c>
      <c r="V23" s="38" t="str">
        <f ca="1">IFERROR(__xludf.DUMMYFUNCTION("IFERROR(
        vlookup(B23,
                IMPORTRANGE(""https://docs.google.com/spreadsheets/d/1dN4XwmJdILpQh5cYONP2LyBh3ksWo6DCzMrUbN3lo_Q/edit#gid=1905254675"",
                        ""Form Responses 1!F2:I""),
                4,
                f"&amp;"alse))"),"15 km")</f>
        <v>15 km</v>
      </c>
      <c r="W23" s="52" t="s">
        <v>1067</v>
      </c>
      <c r="X23" s="23" t="s">
        <v>1081</v>
      </c>
      <c r="Y23" s="16" t="b">
        <v>1</v>
      </c>
      <c r="Z23" s="16"/>
      <c r="AA23" s="16"/>
      <c r="AB23" s="16"/>
      <c r="AC23" s="16"/>
      <c r="AD23" s="16"/>
      <c r="AE23" s="16"/>
      <c r="AF23" s="16"/>
      <c r="AG23" s="16"/>
      <c r="AH23" s="16"/>
      <c r="AI23" s="16"/>
    </row>
    <row r="24" spans="1:35">
      <c r="A24" s="15">
        <v>22</v>
      </c>
      <c r="B24" s="15">
        <f ca="1">IFERROR(__xludf.DUMMYFUNCTION("""COMPUTED_VALUE"""),2477)</f>
        <v>2477</v>
      </c>
      <c r="C24" s="49" t="str">
        <f ca="1">IFERROR(__xludf.DUMMYFUNCTION("""COMPUTED_VALUE"""),"ADELIA YUSRINA F.")</f>
        <v>ADELIA YUSRINA F.</v>
      </c>
      <c r="D24" s="49" t="str">
        <f ca="1">IFERROR(__xludf.DUMMYFUNCTION("""COMPUTED_VALUE"""),"5006211006")</f>
        <v>5006211006</v>
      </c>
      <c r="E24" s="49" t="str">
        <f ca="1">IFERROR(__xludf.DUMMYFUNCTION("""COMPUTED_VALUE"""),"Departemen Aktuaria")</f>
        <v>Departemen Aktuaria</v>
      </c>
      <c r="F24" s="49" t="str">
        <f ca="1">IFERROR(__xludf.DUMMYFUNCTION("""COMPUTED_VALUE""")," Pembuatan Makanan Pendamping Air Susu Ibu Bernutrisi sebagai Upaya Pencegahan Permasalahan Stunting Balita di Desa Madiredo")</f>
        <v xml:space="preserve"> Pembuatan Makanan Pendamping Air Susu Ibu Bernutrisi sebagai Upaya Pencegahan Permasalahan Stunting Balita di Desa Madiredo</v>
      </c>
      <c r="G24" s="49" t="str">
        <f ca="1">IFERROR(__xludf.DUMMYFUNCTION("""COMPUTED_VALUE"""),"Ulil 'Azmi, S.Si., M.Si.")</f>
        <v>Ulil 'Azmi, S.Si., M.Si.</v>
      </c>
      <c r="H24" s="49" t="str">
        <f ca="1">IFERROR(__xludf.DUMMYFUNCTION("""COMPUTED_VALUE"""),"Hertiari Idajati, S.T., M.Sc.")</f>
        <v>Hertiari Idajati, S.T., M.Sc.</v>
      </c>
      <c r="I24" s="49" t="str">
        <f ca="1">IFERROR(__xludf.DUMMYFUNCTION("""COMPUTED_VALUE"""),"Ir. Muchammad Husni, M.Kom")</f>
        <v>Ir. Muchammad Husni, M.Kom</v>
      </c>
      <c r="J24" s="49"/>
      <c r="K24" s="34" t="s">
        <v>1083</v>
      </c>
      <c r="L24" s="23" t="s">
        <v>1082</v>
      </c>
      <c r="M24" s="19" t="b">
        <v>0</v>
      </c>
      <c r="N24" s="19" t="b">
        <v>0</v>
      </c>
      <c r="O24" s="16" t="s">
        <v>1080</v>
      </c>
      <c r="P24" s="1" t="str">
        <f ca="1">IFERROR(__xludf.DUMMYFUNCTION("iferror(vlookup(B24,importrange(""https://docs.google.com/spreadsheets/d/1boHyJQ4e2FU0QG8MHwEi6qjX4hvZWVCHcFfXjq7bbMc/edit?resourcekey#gid=923248883"",""Prop!$C$1:$M""),12,0),IFERROR(vlookup(B24,importrange(""https://docs.google.com/spreadsheets/d/1boHyJQ"&amp;"4e2FU0QG8MHwEi6qjX4hvZWVCHcFfXjq7bbMc/edit?resourcekey#gid=923248883"",""Prop!$N$1:$X""),11,0),iferror(vlookup(B24,importrange(""https://docs.google.com/spreadsheets/d/1boHyJQ4e2FU0QG8MHwEi6qjX4hvZWVCHcFfXjq7bbMc/edit?resourcekey#gid=923248883"",""Prop!$Y"&amp;"$1:$AI""),11,0),iferror(vlookup(B24,importrange(""https://docs.google.com/spreadsheets/d/1boHyJQ4e2FU0QG8MHwEi6qjX4hvZWVCHcFfXjq7bbMc/edit?resourcekey#gid=923248883"",""Prop!$AJ$1:$AT""),11,0),iferror(vlookup(B24,importrange(""https://docs.google.com/spre"&amp;"adsheets/d/1boHyJQ4e2FU0QG8MHwEi6qjX4hvZWVCHcFfXjq7bbMc/edit?resourcekey#gid=923248883"",""Prop!$AU$1:$BE""),11,0),iferror(vlookup(B24,importrange(""https://docs.google.com/spreadsheets/d/1boHyJQ4e2FU0QG8MHwEi6qjX4hvZWVCHcFfXjq7bbMc/edit?resourcekey#gid=9"&amp;"23248883"",""Prop!$BF$1:$BP""),11,0),iferror(vlookup(B24,importrange(""https://docs.google.com/spreadsheets/d/1boHyJQ4e2FU0QG8MHwEi6qjX4hvZWVCHcFfXjq7bbMc/edit?resourcekey#gid=923248883"",""Prop!$BQ$1:$CA""),11,0),iferror(vlookup(B24,importrange(""https:/"&amp;"/docs.google.com/spreadsheets/d/1boHyJQ4e2FU0QG8MHwEi6qjX4hvZWVCHcFfXjq7bbMc/edit?resourcekey#gid=923248883"",""Prop!$CB$1:$CL""),11,0),iferror(vlookup(B24,importrange(""https://docs.google.com/spreadsheets/d/1boHyJQ4e2FU0QG8MHwEi6qjX4hvZWVCHcFfXjq7bbMc/e"&amp;"dit?resourcekey#gid=923248883"",""Prop!$CM$1:$CX""),12,0),iferror(vlookup(B24,importrange(""https://docs.google.com/spreadsheets/d/1boHyJQ4e2FU0QG8MHwEi6qjX4hvZWVCHcFfXjq7bbMc/edit?resourcekey#gid=923248883"",""Prop!$CV$1:$DI""),11,0)))))))))))"),"")</f>
        <v/>
      </c>
      <c r="Q24" s="50" t="str">
        <f ca="1">IFERROR(__xludf.DUMMYFUNCTION("iferror(vlookup(B24,importrange(""https://docs.google.com/spreadsheets/d/1p53T2AuvvIqhP7Nf-bo3Uhj8cbKYRPpZdsrBv3x3bAQ/edit?resourcekey#gid=1321652304"",""Prop!$C$1:$M""),11,0),IFERROR(vlookup(B24,importrange(""https://docs.google.com/spreadsheets/d/1p53T2"&amp;"AuvvIqhP7Nf-bo3Uhj8cbKYRPpZdsrBv3x3bAQ/edit?resourcekey#gid=1321652304"",""Prop!$N$1:$X""),11,0),iferror(vlookup(B24,importrange(""https://docs.google.com/spreadsheets/d/1p53T2AuvvIqhP7Nf-bo3Uhj8cbKYRPpZdsrBv3x3bAQ/edit?resourcekey#gid=1321652304"",""Prop"&amp;"!$Y$1:$AI""),11,0),iferror(vlookup(B24,importrange(""https://docs.google.com/spreadsheets/d/1p53T2AuvvIqhP7Nf-bo3Uhj8cbKYRPpZdsrBv3x3bAQ/edit?resourcekey#gid=1321652304"",""Prop!$AJ$1:$AT""),11,0),iferror(vlookup(B24,importrange(""https://docs.google.com/"&amp;"spreadsheets/d/1p53T2AuvvIqhP7Nf-bo3Uhj8cbKYRPpZdsrBv3x3bAQ/edit?resourcekey#gid=1321652304"",""Prop!$AU$1:$BE""),11,0),iferror(vlookup(B24,importrange(""https://docs.google.com/spreadsheets/d/1p53T2AuvvIqhP7Nf-bo3Uhj8cbKYRPpZdsrBv3x3bAQ/edit?resourcekey#"&amp;"gid=1321652304"",""Prop!$BF$1:$BP""),11,0),iferror(vlookup(B24,importrange(""https://docs.google.com/spreadsheets/d/1p53T2AuvvIqhP7Nf-bo3Uhj8cbKYRPpZdsrBv3x3bAQ/edit?resourcekey#gid=1321652304"",""Prop!$BQ$1:$CA""),11,0),iferror(vlookup(B24,importrange("""&amp;"https://docs.google.com/spreadsheets/d/1p53T2AuvvIqhP7Nf-bo3Uhj8cbKYRPpZdsrBv3x3bAQ/edit?resourcekey#gid=1321652304"",""Prop!$CB$1:$CL""),11,0),iferror(vlookup(B24,importrange(""https://docs.google.com/spreadsheets/d/1p53T2AuvvIqhP7Nf-bo3Uhj8cbKYRPpZdsrBv"&amp;"3x3bAQ/edit?resourcekey#gid=1321652304"",""Prop!$CM$1:$CX""),12,0),iferror(vlookup(B24,importrange(""https://docs.google.com/spreadsheets/d/1p53T2AuvvIqhP7Nf-bo3Uhj8cbKYRPpZdsrBv3x3bAQ/edit?resourcekey#gid=1321652304"",""Prop!$CY$1:$DI""),11,0)))))))))))"),"https://drive.google.com/open?id=1p7vpsihWgS9Z52G9208oj3szeB0G6xhu")</f>
        <v>https://drive.google.com/open?id=1p7vpsihWgS9Z52G9208oj3szeB0G6xhu</v>
      </c>
      <c r="R24" s="88" t="s">
        <v>1065</v>
      </c>
      <c r="S24" s="20" t="str">
        <f ca="1">IFERROR(__xludf.DUMMYFUNCTION("IFERROR(vlookup(B24,IMPORTRANGE(""https://docs.google.com/spreadsheets/d/1g_jfYYK_KeipEDNDUgqgrsxK94XiocfNQIcP-v1QVhI/edit?resourcekey#gid=233272945"",""Nilai!B:CT""),95,0),"" "")"),"mitra jaraknya 123 km")</f>
        <v>mitra jaraknya 123 km</v>
      </c>
      <c r="T24" s="20" t="str">
        <f ca="1">IFERROR(__xludf.DUMMYFUNCTION("IFERROR(vlookup(B24,IMPORTRANGE(""https://docs.google.com/spreadsheets/d/1g_jfYYK_KeipEDNDUgqgrsxK94XiocfNQIcP-v1QVhI/edit?resourcekey#gid=233272945"",""Nilai!B:CT""),97,0),"" "")"),"TIDAK LAYAK UPLOAD KE SIMBELMAWA")</f>
        <v>TIDAK LAYAK UPLOAD KE SIMBELMAWA</v>
      </c>
      <c r="U24" s="36" t="s">
        <v>825</v>
      </c>
      <c r="V24" s="38" t="str">
        <f ca="1">IFERROR(__xludf.DUMMYFUNCTION("IFERROR(
        vlookup(B24,
                IMPORTRANGE(""https://docs.google.com/spreadsheets/d/1dN4XwmJdILpQh5cYONP2LyBh3ksWo6DCzMrUbN3lo_Q/edit#gid=1905254675"",
                        ""Form Responses 1!F2:I""),
                4,
                f"&amp;"alse))"),"")</f>
        <v/>
      </c>
      <c r="W24" s="52" t="s">
        <v>1067</v>
      </c>
      <c r="X24" s="23" t="s">
        <v>1084</v>
      </c>
      <c r="Y24" s="16" t="b">
        <v>0</v>
      </c>
      <c r="Z24" s="16"/>
      <c r="AA24" s="16"/>
      <c r="AB24" s="16"/>
      <c r="AC24" s="16"/>
      <c r="AD24" s="16"/>
      <c r="AE24" s="16"/>
      <c r="AF24" s="16"/>
      <c r="AG24" s="16"/>
      <c r="AH24" s="16"/>
      <c r="AI24" s="16"/>
    </row>
    <row r="25" spans="1:35">
      <c r="A25" s="15">
        <v>23</v>
      </c>
      <c r="B25" s="15">
        <f ca="1">IFERROR(__xludf.DUMMYFUNCTION("""COMPUTED_VALUE"""),2295)</f>
        <v>2295</v>
      </c>
      <c r="C25" s="49" t="str">
        <f ca="1">IFERROR(__xludf.DUMMYFUNCTION("""COMPUTED_VALUE"""),"AHMAD HAYIZ AZAIM")</f>
        <v>AHMAD HAYIZ AZAIM</v>
      </c>
      <c r="D25" s="49" t="str">
        <f ca="1">IFERROR(__xludf.DUMMYFUNCTION("""COMPUTED_VALUE"""),"2041201007")</f>
        <v>2041201007</v>
      </c>
      <c r="E25" s="49" t="str">
        <f ca="1">IFERROR(__xludf.DUMMYFUNCTION("""COMPUTED_VALUE"""),"Departemen Teknik Kimia Industri")</f>
        <v>Departemen Teknik Kimia Industri</v>
      </c>
      <c r="F25" s="49" t="str">
        <f ca="1">IFERROR(__xludf.DUMMYFUNCTION("""COMPUTED_VALUE"""),"Pembinaan Karang Taruna Desa Kauman dalam  Pengolahan Waste Cooking Oil sebagai Biodiesel dalam upaya mencegah potensi pencemaran lingkungan")</f>
        <v>Pembinaan Karang Taruna Desa Kauman dalam  Pengolahan Waste Cooking Oil sebagai Biodiesel dalam upaya mencegah potensi pencemaran lingkungan</v>
      </c>
      <c r="G25" s="49" t="str">
        <f ca="1">IFERROR(__xludf.DUMMYFUNCTION("""COMPUTED_VALUE"""),"Prof. Dr. Ir. Soeprijanto, M.Sc.")</f>
        <v>Prof. Dr. Ir. Soeprijanto, M.Sc.</v>
      </c>
      <c r="H25" s="49" t="str">
        <f ca="1">IFERROR(__xludf.DUMMYFUNCTION("""COMPUTED_VALUE"""),"Hertiari Idajati, S.T., M.Sc.")</f>
        <v>Hertiari Idajati, S.T., M.Sc.</v>
      </c>
      <c r="I25" s="49" t="str">
        <f ca="1">IFERROR(__xludf.DUMMYFUNCTION("""COMPUTED_VALUE"""),"Dr.-Ing. Doty Dewi Risanti, S.T., M.T.")</f>
        <v>Dr.-Ing. Doty Dewi Risanti, S.T., M.T.</v>
      </c>
      <c r="J25" s="49"/>
      <c r="K25" s="34" t="s">
        <v>1083</v>
      </c>
      <c r="L25" s="23" t="s">
        <v>1082</v>
      </c>
      <c r="M25" s="19" t="b">
        <v>1</v>
      </c>
      <c r="N25" s="19" t="b">
        <v>1</v>
      </c>
      <c r="O25" s="16" t="s">
        <v>1085</v>
      </c>
      <c r="P25" s="7" t="str">
        <f ca="1">IFERROR(__xludf.DUMMYFUNCTION("iferror(vlookup(B25,importrange(""https://docs.google.com/spreadsheets/d/1boHyJQ4e2FU0QG8MHwEi6qjX4hvZWVCHcFfXjq7bbMc/edit?resourcekey#gid=923248883"",""Prop!$C$1:$M""),12,0),IFERROR(vlookup(B25,importrange(""https://docs.google.com/spreadsheets/d/1boHyJQ"&amp;"4e2FU0QG8MHwEi6qjX4hvZWVCHcFfXjq7bbMc/edit?resourcekey#gid=923248883"",""Prop!$N$1:$X""),11,0),iferror(vlookup(B25,importrange(""https://docs.google.com/spreadsheets/d/1boHyJQ4e2FU0QG8MHwEi6qjX4hvZWVCHcFfXjq7bbMc/edit?resourcekey#gid=923248883"",""Prop!$Y"&amp;"$1:$AI""),11,0),iferror(vlookup(B25,importrange(""https://docs.google.com/spreadsheets/d/1boHyJQ4e2FU0QG8MHwEi6qjX4hvZWVCHcFfXjq7bbMc/edit?resourcekey#gid=923248883"",""Prop!$AJ$1:$AT""),11,0),iferror(vlookup(B25,importrange(""https://docs.google.com/spre"&amp;"adsheets/d/1boHyJQ4e2FU0QG8MHwEi6qjX4hvZWVCHcFfXjq7bbMc/edit?resourcekey#gid=923248883"",""Prop!$AU$1:$BE""),11,0),iferror(vlookup(B25,importrange(""https://docs.google.com/spreadsheets/d/1boHyJQ4e2FU0QG8MHwEi6qjX4hvZWVCHcFfXjq7bbMc/edit?resourcekey#gid=9"&amp;"23248883"",""Prop!$BF$1:$BP""),11,0),iferror(vlookup(B25,importrange(""https://docs.google.com/spreadsheets/d/1boHyJQ4e2FU0QG8MHwEi6qjX4hvZWVCHcFfXjq7bbMc/edit?resourcekey#gid=923248883"",""Prop!$BQ$1:$CA""),11,0),iferror(vlookup(B25,importrange(""https:/"&amp;"/docs.google.com/spreadsheets/d/1boHyJQ4e2FU0QG8MHwEi6qjX4hvZWVCHcFfXjq7bbMc/edit?resourcekey#gid=923248883"",""Prop!$CB$1:$CL""),11,0),iferror(vlookup(B25,importrange(""https://docs.google.com/spreadsheets/d/1boHyJQ4e2FU0QG8MHwEi6qjX4hvZWVCHcFfXjq7bbMc/e"&amp;"dit?resourcekey#gid=923248883"",""Prop!$CM$1:$CX""),12,0),iferror(vlookup(B25,importrange(""https://docs.google.com/spreadsheets/d/1boHyJQ4e2FU0QG8MHwEi6qjX4hvZWVCHcFfXjq7bbMc/edit?resourcekey#gid=923248883"",""Prop!$CV$1:$DI""),11,0)))))))))))"),"https://drive.google.com/open?id=1NnMcAmAGNJ0lJYZgByFLB6GcQ_eniGx7")</f>
        <v>https://drive.google.com/open?id=1NnMcAmAGNJ0lJYZgByFLB6GcQ_eniGx7</v>
      </c>
      <c r="Q25" s="50" t="str">
        <f ca="1">IFERROR(__xludf.DUMMYFUNCTION("iferror(vlookup(B25,importrange(""https://docs.google.com/spreadsheets/d/1p53T2AuvvIqhP7Nf-bo3Uhj8cbKYRPpZdsrBv3x3bAQ/edit?resourcekey#gid=1321652304"",""Prop!$C$1:$M""),11,0),IFERROR(vlookup(B25,importrange(""https://docs.google.com/spreadsheets/d/1p53T2"&amp;"AuvvIqhP7Nf-bo3Uhj8cbKYRPpZdsrBv3x3bAQ/edit?resourcekey#gid=1321652304"",""Prop!$N$1:$X""),11,0),iferror(vlookup(B25,importrange(""https://docs.google.com/spreadsheets/d/1p53T2AuvvIqhP7Nf-bo3Uhj8cbKYRPpZdsrBv3x3bAQ/edit?resourcekey#gid=1321652304"",""Prop"&amp;"!$Y$1:$AI""),11,0),iferror(vlookup(B25,importrange(""https://docs.google.com/spreadsheets/d/1p53T2AuvvIqhP7Nf-bo3Uhj8cbKYRPpZdsrBv3x3bAQ/edit?resourcekey#gid=1321652304"",""Prop!$AJ$1:$AT""),11,0),iferror(vlookup(B25,importrange(""https://docs.google.com/"&amp;"spreadsheets/d/1p53T2AuvvIqhP7Nf-bo3Uhj8cbKYRPpZdsrBv3x3bAQ/edit?resourcekey#gid=1321652304"",""Prop!$AU$1:$BE""),11,0),iferror(vlookup(B25,importrange(""https://docs.google.com/spreadsheets/d/1p53T2AuvvIqhP7Nf-bo3Uhj8cbKYRPpZdsrBv3x3bAQ/edit?resourcekey#"&amp;"gid=1321652304"",""Prop!$BF$1:$BP""),11,0),iferror(vlookup(B25,importrange(""https://docs.google.com/spreadsheets/d/1p53T2AuvvIqhP7Nf-bo3Uhj8cbKYRPpZdsrBv3x3bAQ/edit?resourcekey#gid=1321652304"",""Prop!$BQ$1:$CA""),11,0),iferror(vlookup(B25,importrange("""&amp;"https://docs.google.com/spreadsheets/d/1p53T2AuvvIqhP7Nf-bo3Uhj8cbKYRPpZdsrBv3x3bAQ/edit?resourcekey#gid=1321652304"",""Prop!$CB$1:$CL""),11,0),iferror(vlookup(B25,importrange(""https://docs.google.com/spreadsheets/d/1p53T2AuvvIqhP7Nf-bo3Uhj8cbKYRPpZdsrBv"&amp;"3x3bAQ/edit?resourcekey#gid=1321652304"",""Prop!$CM$1:$CX""),12,0),iferror(vlookup(B25,importrange(""https://docs.google.com/spreadsheets/d/1p53T2AuvvIqhP7Nf-bo3Uhj8cbKYRPpZdsrBv3x3bAQ/edit?resourcekey#gid=1321652304"",""Prop!$CY$1:$DI""),11,0)))))))))))"),"https://drive.google.com/open?id=1GUcyHXdkYqpo8o6qs4Nj4CRnk_hbU5R2")</f>
        <v>https://drive.google.com/open?id=1GUcyHXdkYqpo8o6qs4Nj4CRnk_hbU5R2</v>
      </c>
      <c r="R25" s="88" t="s">
        <v>1065</v>
      </c>
      <c r="S25" s="20" t="str">
        <f ca="1">IFERROR(__xludf.DUMMYFUNCTION("IFERROR(vlookup(B25,IMPORTRANGE(""https://docs.google.com/spreadsheets/d/1g_jfYYK_KeipEDNDUgqgrsxK94XiocfNQIcP-v1QVhI/edit?resourcekey#gid=233272945"",""Nilai!B:CT""),95,0),"" "")"),"Latar belakang lebih cenderung kepada masalah UMKM, bukan karang taruna sebagai mitra, solusi pembuatan biodisel dari minyak jelantah apa sesuai untuk karang taruna terutama dari segi reaktor dan tingkat kesulitan proses
")</f>
        <v xml:space="preserve">Latar belakang lebih cenderung kepada masalah UMKM, bukan karang taruna sebagai mitra, solusi pembuatan biodisel dari minyak jelantah apa sesuai untuk karang taruna terutama dari segi reaktor dan tingkat kesulitan proses
</v>
      </c>
      <c r="T25" s="20" t="str">
        <f ca="1">IFERROR(__xludf.DUMMYFUNCTION("IFERROR(vlookup(B25,IMPORTRANGE(""https://docs.google.com/spreadsheets/d/1g_jfYYK_KeipEDNDUgqgrsxK94XiocfNQIcP-v1QVhI/edit?resourcekey#gid=233272945"",""Nilai!B:CT""),97,0),"" "")"),"TIDAK LAYAK UPLOAD KE SIMBELMAWA")</f>
        <v>TIDAK LAYAK UPLOAD KE SIMBELMAWA</v>
      </c>
      <c r="U25" s="36" t="s">
        <v>825</v>
      </c>
      <c r="V25" s="38">
        <f ca="1">IFERROR(__xludf.DUMMYFUNCTION("IFERROR(
        vlookup(B25,
                IMPORTRANGE(""https://docs.google.com/spreadsheets/d/1dN4XwmJdILpQh5cYONP2LyBh3ksWo6DCzMrUbN3lo_Q/edit#gid=1905254675"",
                        ""Form Responses 1!F2:I""),
                4,
                f"&amp;"alse))"),62.8)</f>
        <v>62.8</v>
      </c>
      <c r="W25" s="52" t="s">
        <v>1067</v>
      </c>
      <c r="X25" s="23" t="s">
        <v>1084</v>
      </c>
      <c r="Y25" s="16" t="b">
        <v>1</v>
      </c>
      <c r="Z25" s="16"/>
      <c r="AA25" s="16"/>
      <c r="AB25" s="16"/>
      <c r="AC25" s="16"/>
      <c r="AD25" s="16"/>
      <c r="AE25" s="16"/>
      <c r="AF25" s="16"/>
      <c r="AG25" s="16"/>
      <c r="AH25" s="16"/>
      <c r="AI25" s="16"/>
    </row>
    <row r="26" spans="1:35">
      <c r="A26" s="15">
        <v>24</v>
      </c>
      <c r="B26" s="15">
        <f ca="1">IFERROR(__xludf.DUMMYFUNCTION("""COMPUTED_VALUE"""),4019)</f>
        <v>4019</v>
      </c>
      <c r="C26" s="49" t="str">
        <f ca="1">IFERROR(__xludf.DUMMYFUNCTION("""COMPUTED_VALUE"""),"Nabiilah Aliyyah Wahid")</f>
        <v>Nabiilah Aliyyah Wahid</v>
      </c>
      <c r="D26" s="49" t="str">
        <f ca="1">IFERROR(__xludf.DUMMYFUNCTION("""COMPUTED_VALUE"""),"01211940000002")</f>
        <v>01211940000002</v>
      </c>
      <c r="E26" s="49" t="str">
        <f ca="1">IFERROR(__xludf.DUMMYFUNCTION("""COMPUTED_VALUE"""),"Departemen Kimia")</f>
        <v>Departemen Kimia</v>
      </c>
      <c r="F26" s="49" t="str">
        <f ca="1">IFERROR(__xludf.DUMMYFUNCTION("""COMPUTED_VALUE"""),"Membangun Sinergi KOPASUS (Kelompok Pengolah Susu) Guna Memaksimalkan Potensi Desa dan Peningkatan Ekonomi Berbasis Produksi Olahan Susu Sapi Desa Galengdowo")</f>
        <v>Membangun Sinergi KOPASUS (Kelompok Pengolah Susu) Guna Memaksimalkan Potensi Desa dan Peningkatan Ekonomi Berbasis Produksi Olahan Susu Sapi Desa Galengdowo</v>
      </c>
      <c r="G26" s="49" t="str">
        <f ca="1">IFERROR(__xludf.DUMMYFUNCTION("""COMPUTED_VALUE"""),"Prof. Dr. Dra Fahimah Martak, M.Si")</f>
        <v>Prof. Dr. Dra Fahimah Martak, M.Si</v>
      </c>
      <c r="H26" s="49" t="str">
        <f ca="1">IFERROR(__xludf.DUMMYFUNCTION("""COMPUTED_VALUE"""),"Hertiari Idajati, S.T., M.Sc.")</f>
        <v>Hertiari Idajati, S.T., M.Sc.</v>
      </c>
      <c r="I26" s="49" t="str">
        <f ca="1">IFERROR(__xludf.DUMMYFUNCTION("""COMPUTED_VALUE"""),"Ir. Muchammad Husni, M.Kom")</f>
        <v>Ir. Muchammad Husni, M.Kom</v>
      </c>
      <c r="J26" s="49"/>
      <c r="K26" s="34" t="s">
        <v>1083</v>
      </c>
      <c r="L26" s="23" t="s">
        <v>1082</v>
      </c>
      <c r="M26" s="19" t="b">
        <v>0</v>
      </c>
      <c r="N26" s="19" t="b">
        <v>1</v>
      </c>
      <c r="O26" s="16" t="s">
        <v>1085</v>
      </c>
      <c r="P26" s="7" t="str">
        <f ca="1">IFERROR(__xludf.DUMMYFUNCTION("iferror(vlookup(B26,importrange(""https://docs.google.com/spreadsheets/d/1boHyJQ4e2FU0QG8MHwEi6qjX4hvZWVCHcFfXjq7bbMc/edit?resourcekey#gid=923248883"",""Prop!$C$1:$M""),12,0),IFERROR(vlookup(B26,importrange(""https://docs.google.com/spreadsheets/d/1boHyJQ"&amp;"4e2FU0QG8MHwEi6qjX4hvZWVCHcFfXjq7bbMc/edit?resourcekey#gid=923248883"",""Prop!$N$1:$X""),11,0),iferror(vlookup(B26,importrange(""https://docs.google.com/spreadsheets/d/1boHyJQ4e2FU0QG8MHwEi6qjX4hvZWVCHcFfXjq7bbMc/edit?resourcekey#gid=923248883"",""Prop!$Y"&amp;"$1:$AI""),11,0),iferror(vlookup(B26,importrange(""https://docs.google.com/spreadsheets/d/1boHyJQ4e2FU0QG8MHwEi6qjX4hvZWVCHcFfXjq7bbMc/edit?resourcekey#gid=923248883"",""Prop!$AJ$1:$AT""),11,0),iferror(vlookup(B26,importrange(""https://docs.google.com/spre"&amp;"adsheets/d/1boHyJQ4e2FU0QG8MHwEi6qjX4hvZWVCHcFfXjq7bbMc/edit?resourcekey#gid=923248883"",""Prop!$AU$1:$BE""),11,0),iferror(vlookup(B26,importrange(""https://docs.google.com/spreadsheets/d/1boHyJQ4e2FU0QG8MHwEi6qjX4hvZWVCHcFfXjq7bbMc/edit?resourcekey#gid=9"&amp;"23248883"",""Prop!$BF$1:$BP""),11,0),iferror(vlookup(B26,importrange(""https://docs.google.com/spreadsheets/d/1boHyJQ4e2FU0QG8MHwEi6qjX4hvZWVCHcFfXjq7bbMc/edit?resourcekey#gid=923248883"",""Prop!$BQ$1:$CA""),11,0),iferror(vlookup(B26,importrange(""https:/"&amp;"/docs.google.com/spreadsheets/d/1boHyJQ4e2FU0QG8MHwEi6qjX4hvZWVCHcFfXjq7bbMc/edit?resourcekey#gid=923248883"",""Prop!$CB$1:$CL""),11,0),iferror(vlookup(B26,importrange(""https://docs.google.com/spreadsheets/d/1boHyJQ4e2FU0QG8MHwEi6qjX4hvZWVCHcFfXjq7bbMc/e"&amp;"dit?resourcekey#gid=923248883"",""Prop!$CM$1:$CX""),12,0),iferror(vlookup(B26,importrange(""https://docs.google.com/spreadsheets/d/1boHyJQ4e2FU0QG8MHwEi6qjX4hvZWVCHcFfXjq7bbMc/edit?resourcekey#gid=923248883"",""Prop!$CV$1:$DI""),11,0)))))))))))"),"https://drive.google.com/open?id=1ZwDhfLIOE60dcOquFFN0nUNZMFfve9_i")</f>
        <v>https://drive.google.com/open?id=1ZwDhfLIOE60dcOquFFN0nUNZMFfve9_i</v>
      </c>
      <c r="Q26" s="50" t="str">
        <f ca="1">IFERROR(__xludf.DUMMYFUNCTION("iferror(vlookup(B26,importrange(""https://docs.google.com/spreadsheets/d/1p53T2AuvvIqhP7Nf-bo3Uhj8cbKYRPpZdsrBv3x3bAQ/edit?resourcekey#gid=1321652304"",""Prop!$C$1:$M""),11,0),IFERROR(vlookup(B26,importrange(""https://docs.google.com/spreadsheets/d/1p53T2"&amp;"AuvvIqhP7Nf-bo3Uhj8cbKYRPpZdsrBv3x3bAQ/edit?resourcekey#gid=1321652304"",""Prop!$N$1:$X""),11,0),iferror(vlookup(B26,importrange(""https://docs.google.com/spreadsheets/d/1p53T2AuvvIqhP7Nf-bo3Uhj8cbKYRPpZdsrBv3x3bAQ/edit?resourcekey#gid=1321652304"",""Prop"&amp;"!$Y$1:$AI""),11,0),iferror(vlookup(B26,importrange(""https://docs.google.com/spreadsheets/d/1p53T2AuvvIqhP7Nf-bo3Uhj8cbKYRPpZdsrBv3x3bAQ/edit?resourcekey#gid=1321652304"",""Prop!$AJ$1:$AT""),11,0),iferror(vlookup(B26,importrange(""https://docs.google.com/"&amp;"spreadsheets/d/1p53T2AuvvIqhP7Nf-bo3Uhj8cbKYRPpZdsrBv3x3bAQ/edit?resourcekey#gid=1321652304"",""Prop!$AU$1:$BE""),11,0),iferror(vlookup(B26,importrange(""https://docs.google.com/spreadsheets/d/1p53T2AuvvIqhP7Nf-bo3Uhj8cbKYRPpZdsrBv3x3bAQ/edit?resourcekey#"&amp;"gid=1321652304"",""Prop!$BF$1:$BP""),11,0),iferror(vlookup(B26,importrange(""https://docs.google.com/spreadsheets/d/1p53T2AuvvIqhP7Nf-bo3Uhj8cbKYRPpZdsrBv3x3bAQ/edit?resourcekey#gid=1321652304"",""Prop!$BQ$1:$CA""),11,0),iferror(vlookup(B26,importrange("""&amp;"https://docs.google.com/spreadsheets/d/1p53T2AuvvIqhP7Nf-bo3Uhj8cbKYRPpZdsrBv3x3bAQ/edit?resourcekey#gid=1321652304"",""Prop!$CB$1:$CL""),11,0),iferror(vlookup(B26,importrange(""https://docs.google.com/spreadsheets/d/1p53T2AuvvIqhP7Nf-bo3Uhj8cbKYRPpZdsrBv"&amp;"3x3bAQ/edit?resourcekey#gid=1321652304"",""Prop!$CM$1:$CX""),12,0),iferror(vlookup(B26,importrange(""https://docs.google.com/spreadsheets/d/1p53T2AuvvIqhP7Nf-bo3Uhj8cbKYRPpZdsrBv3x3bAQ/edit?resourcekey#gid=1321652304"",""Prop!$CY$1:$DI""),11,0)))))))))))"),"https://drive.google.com/open?id=1nZG7vHGM3aZE23eRdY1nHgZkjkSLpjIM")</f>
        <v>https://drive.google.com/open?id=1nZG7vHGM3aZE23eRdY1nHgZkjkSLpjIM</v>
      </c>
      <c r="R26" s="88" t="s">
        <v>1065</v>
      </c>
      <c r="S26" s="20" t="str">
        <f ca="1">IFERROR(__xludf.DUMMYFUNCTION("IFERROR(vlookup(B26,IMPORTRANGE(""https://docs.google.com/spreadsheets/d/1g_jfYYK_KeipEDNDUgqgrsxK94XiocfNQIcP-v1QVhI/edit?resourcekey#gid=233272945"",""Nilai!B:CT""),95,0),"" "")"),"Latar belakang tidak sesuai dengan solusi yang disampaikan, metode masih kurang membentuk alur pengabdian tetapi hanya pelatihan, format penulisan perlu diperbaiki")</f>
        <v>Latar belakang tidak sesuai dengan solusi yang disampaikan, metode masih kurang membentuk alur pengabdian tetapi hanya pelatihan, format penulisan perlu diperbaiki</v>
      </c>
      <c r="T26" s="20" t="str">
        <f ca="1">IFERROR(__xludf.DUMMYFUNCTION("IFERROR(vlookup(B26,IMPORTRANGE(""https://docs.google.com/spreadsheets/d/1g_jfYYK_KeipEDNDUgqgrsxK94XiocfNQIcP-v1QVhI/edit?resourcekey#gid=233272945"",""Nilai!B:CT""),97,0),"" "")"),"LAYAK UPLOAD KE SIMBELMAWA DENGAN REVISI")</f>
        <v>LAYAK UPLOAD KE SIMBELMAWA DENGAN REVISI</v>
      </c>
      <c r="U26" s="36" t="s">
        <v>825</v>
      </c>
      <c r="V26" s="38" t="str">
        <f ca="1">IFERROR(__xludf.DUMMYFUNCTION("IFERROR(
        vlookup(B26,
                IMPORTRANGE(""https://docs.google.com/spreadsheets/d/1dN4XwmJdILpQh5cYONP2LyBh3ksWo6DCzMrUbN3lo_Q/edit#gid=1905254675"",
                        ""Form Responses 1!F2:I""),
                4,
                f"&amp;"alse))"),"99.9")</f>
        <v>99.9</v>
      </c>
      <c r="W26" s="52" t="s">
        <v>1067</v>
      </c>
      <c r="X26" s="23" t="s">
        <v>1084</v>
      </c>
      <c r="Y26" s="16" t="b">
        <v>1</v>
      </c>
      <c r="Z26" s="16"/>
      <c r="AA26" s="16"/>
      <c r="AB26" s="16"/>
      <c r="AC26" s="16"/>
      <c r="AD26" s="16"/>
      <c r="AE26" s="16"/>
      <c r="AF26" s="16"/>
      <c r="AG26" s="16"/>
      <c r="AH26" s="16"/>
      <c r="AI26" s="16"/>
    </row>
    <row r="27" spans="1:35">
      <c r="A27" s="15">
        <v>25</v>
      </c>
      <c r="B27" s="15">
        <f ca="1">IFERROR(__xludf.DUMMYFUNCTION("""COMPUTED_VALUE"""),3586)</f>
        <v>3586</v>
      </c>
      <c r="C27" s="49" t="str">
        <f ca="1">IFERROR(__xludf.DUMMYFUNCTION("""COMPUTED_VALUE"""),"RIFDAH AZIZAH SALSABILA")</f>
        <v>RIFDAH AZIZAH SALSABILA</v>
      </c>
      <c r="D27" s="49" t="str">
        <f ca="1">IFERROR(__xludf.DUMMYFUNCTION("""COMPUTED_VALUE"""),"08411940000042")</f>
        <v>08411940000042</v>
      </c>
      <c r="E27" s="49" t="str">
        <f ca="1">IFERROR(__xludf.DUMMYFUNCTION("""COMPUTED_VALUE"""),"Departemen Desain Interior")</f>
        <v>Departemen Desain Interior</v>
      </c>
      <c r="F27" s="49" t="str">
        <f ca="1">IFERROR(__xludf.DUMMYFUNCTION("""COMPUTED_VALUE"""),"Pelatihan Pembuatan Runner Interior dengan Teknik Ecoprint Menggunakan Tanaman Pekarangan di Yayasan Peduli Kasih Anak Berkebutuhan Khusus")</f>
        <v>Pelatihan Pembuatan Runner Interior dengan Teknik Ecoprint Menggunakan Tanaman Pekarangan di Yayasan Peduli Kasih Anak Berkebutuhan Khusus</v>
      </c>
      <c r="G27" s="49" t="str">
        <f ca="1">IFERROR(__xludf.DUMMYFUNCTION("""COMPUTED_VALUE"""),"Lea Kristina Anggraeni, S.T., M.Ds.")</f>
        <v>Lea Kristina Anggraeni, S.T., M.Ds.</v>
      </c>
      <c r="H27" s="49" t="str">
        <f ca="1">IFERROR(__xludf.DUMMYFUNCTION("""COMPUTED_VALUE"""),"Dr.-Ing. Doty Dewi Risanti, S.T., M.T.")</f>
        <v>Dr.-Ing. Doty Dewi Risanti, S.T., M.T.</v>
      </c>
      <c r="I27" s="49" t="str">
        <f ca="1">IFERROR(__xludf.DUMMYFUNCTION("""COMPUTED_VALUE"""),"Naufan Noordyanto, S.Sn., M.Sn.")</f>
        <v>Naufan Noordyanto, S.Sn., M.Sn.</v>
      </c>
      <c r="J27" s="49"/>
      <c r="K27" s="34" t="s">
        <v>1083</v>
      </c>
      <c r="L27" s="23" t="s">
        <v>1082</v>
      </c>
      <c r="M27" s="19" t="b">
        <v>0</v>
      </c>
      <c r="N27" s="19" t="b">
        <v>0</v>
      </c>
      <c r="O27" s="16" t="s">
        <v>1085</v>
      </c>
      <c r="P27" s="7" t="str">
        <f ca="1">IFERROR(__xludf.DUMMYFUNCTION("iferror(vlookup(B27,importrange(""https://docs.google.com/spreadsheets/d/1boHyJQ4e2FU0QG8MHwEi6qjX4hvZWVCHcFfXjq7bbMc/edit?resourcekey#gid=923248883"",""Prop!$C$1:$M""),12,0),IFERROR(vlookup(B27,importrange(""https://docs.google.com/spreadsheets/d/1boHyJQ"&amp;"4e2FU0QG8MHwEi6qjX4hvZWVCHcFfXjq7bbMc/edit?resourcekey#gid=923248883"",""Prop!$N$1:$X""),11,0),iferror(vlookup(B27,importrange(""https://docs.google.com/spreadsheets/d/1boHyJQ4e2FU0QG8MHwEi6qjX4hvZWVCHcFfXjq7bbMc/edit?resourcekey#gid=923248883"",""Prop!$Y"&amp;"$1:$AI""),11,0),iferror(vlookup(B27,importrange(""https://docs.google.com/spreadsheets/d/1boHyJQ4e2FU0QG8MHwEi6qjX4hvZWVCHcFfXjq7bbMc/edit?resourcekey#gid=923248883"",""Prop!$AJ$1:$AT""),11,0),iferror(vlookup(B27,importrange(""https://docs.google.com/spre"&amp;"adsheets/d/1boHyJQ4e2FU0QG8MHwEi6qjX4hvZWVCHcFfXjq7bbMc/edit?resourcekey#gid=923248883"",""Prop!$AU$1:$BE""),11,0),iferror(vlookup(B27,importrange(""https://docs.google.com/spreadsheets/d/1boHyJQ4e2FU0QG8MHwEi6qjX4hvZWVCHcFfXjq7bbMc/edit?resourcekey#gid=9"&amp;"23248883"",""Prop!$BF$1:$BP""),11,0),iferror(vlookup(B27,importrange(""https://docs.google.com/spreadsheets/d/1boHyJQ4e2FU0QG8MHwEi6qjX4hvZWVCHcFfXjq7bbMc/edit?resourcekey#gid=923248883"",""Prop!$BQ$1:$CA""),11,0),iferror(vlookup(B27,importrange(""https:/"&amp;"/docs.google.com/spreadsheets/d/1boHyJQ4e2FU0QG8MHwEi6qjX4hvZWVCHcFfXjq7bbMc/edit?resourcekey#gid=923248883"",""Prop!$CB$1:$CL""),11,0),iferror(vlookup(B27,importrange(""https://docs.google.com/spreadsheets/d/1boHyJQ4e2FU0QG8MHwEi6qjX4hvZWVCHcFfXjq7bbMc/e"&amp;"dit?resourcekey#gid=923248883"",""Prop!$CM$1:$CX""),12,0),iferror(vlookup(B27,importrange(""https://docs.google.com/spreadsheets/d/1boHyJQ4e2FU0QG8MHwEi6qjX4hvZWVCHcFfXjq7bbMc/edit?resourcekey#gid=923248883"",""Prop!$CV$1:$DI""),11,0)))))))))))"),"https://drive.google.com/open?id=1hppah5lnVN9dyVU0vGoVEaXQBL96Kk76")</f>
        <v>https://drive.google.com/open?id=1hppah5lnVN9dyVU0vGoVEaXQBL96Kk76</v>
      </c>
      <c r="Q27" s="50" t="str">
        <f ca="1">IFERROR(__xludf.DUMMYFUNCTION("iferror(vlookup(B27,importrange(""https://docs.google.com/spreadsheets/d/1p53T2AuvvIqhP7Nf-bo3Uhj8cbKYRPpZdsrBv3x3bAQ/edit?resourcekey#gid=1321652304"",""Prop!$C$1:$M""),11,0),IFERROR(vlookup(B27,importrange(""https://docs.google.com/spreadsheets/d/1p53T2"&amp;"AuvvIqhP7Nf-bo3Uhj8cbKYRPpZdsrBv3x3bAQ/edit?resourcekey#gid=1321652304"",""Prop!$N$1:$X""),11,0),iferror(vlookup(B27,importrange(""https://docs.google.com/spreadsheets/d/1p53T2AuvvIqhP7Nf-bo3Uhj8cbKYRPpZdsrBv3x3bAQ/edit?resourcekey#gid=1321652304"",""Prop"&amp;"!$Y$1:$AI""),11,0),iferror(vlookup(B27,importrange(""https://docs.google.com/spreadsheets/d/1p53T2AuvvIqhP7Nf-bo3Uhj8cbKYRPpZdsrBv3x3bAQ/edit?resourcekey#gid=1321652304"",""Prop!$AJ$1:$AT""),11,0),iferror(vlookup(B27,importrange(""https://docs.google.com/"&amp;"spreadsheets/d/1p53T2AuvvIqhP7Nf-bo3Uhj8cbKYRPpZdsrBv3x3bAQ/edit?resourcekey#gid=1321652304"",""Prop!$AU$1:$BE""),11,0),iferror(vlookup(B27,importrange(""https://docs.google.com/spreadsheets/d/1p53T2AuvvIqhP7Nf-bo3Uhj8cbKYRPpZdsrBv3x3bAQ/edit?resourcekey#"&amp;"gid=1321652304"",""Prop!$BF$1:$BP""),11,0),iferror(vlookup(B27,importrange(""https://docs.google.com/spreadsheets/d/1p53T2AuvvIqhP7Nf-bo3Uhj8cbKYRPpZdsrBv3x3bAQ/edit?resourcekey#gid=1321652304"",""Prop!$BQ$1:$CA""),11,0),iferror(vlookup(B27,importrange("""&amp;"https://docs.google.com/spreadsheets/d/1p53T2AuvvIqhP7Nf-bo3Uhj8cbKYRPpZdsrBv3x3bAQ/edit?resourcekey#gid=1321652304"",""Prop!$CB$1:$CL""),11,0),iferror(vlookup(B27,importrange(""https://docs.google.com/spreadsheets/d/1p53T2AuvvIqhP7Nf-bo3Uhj8cbKYRPpZdsrBv"&amp;"3x3bAQ/edit?resourcekey#gid=1321652304"",""Prop!$CM$1:$CX""),12,0),iferror(vlookup(B27,importrange(""https://docs.google.com/spreadsheets/d/1p53T2AuvvIqhP7Nf-bo3Uhj8cbKYRPpZdsrBv3x3bAQ/edit?resourcekey#gid=1321652304"",""Prop!$CY$1:$DI""),11,0)))))))))))"),"")</f>
        <v/>
      </c>
      <c r="R27" s="88" t="s">
        <v>1065</v>
      </c>
      <c r="S27" s="20" t="str">
        <f ca="1">IFERROR(__xludf.DUMMYFUNCTION("IFERROR(vlookup(B27,IMPORTRANGE(""https://docs.google.com/spreadsheets/d/1g_jfYYK_KeipEDNDUgqgrsxK94XiocfNQIcP-v1QVhI/edit?resourcekey#gid=233272945"",""Nilai!B:CT""),95,0),"" "")"),"Latar belakang pelu diringkas, tujuan membingunkan, format belum sesuai, metode masih kurang detail")</f>
        <v>Latar belakang pelu diringkas, tujuan membingunkan, format belum sesuai, metode masih kurang detail</v>
      </c>
      <c r="T27" s="20" t="str">
        <f ca="1">IFERROR(__xludf.DUMMYFUNCTION("IFERROR(vlookup(B27,IMPORTRANGE(""https://docs.google.com/spreadsheets/d/1g_jfYYK_KeipEDNDUgqgrsxK94XiocfNQIcP-v1QVhI/edit?resourcekey#gid=233272945"",""Nilai!B:CT""),97,0),"" "")"),"LAYAK UPLOAD KE SIMBELMAWA DENGAN REVISI")</f>
        <v>LAYAK UPLOAD KE SIMBELMAWA DENGAN REVISI</v>
      </c>
      <c r="U27" s="36" t="s">
        <v>825</v>
      </c>
      <c r="V27" s="38">
        <f ca="1">IFERROR(__xludf.DUMMYFUNCTION("IFERROR(
        vlookup(B27,
                IMPORTRANGE(""https://docs.google.com/spreadsheets/d/1dN4XwmJdILpQh5cYONP2LyBh3ksWo6DCzMrUbN3lo_Q/edit#gid=1905254675"",
                        ""Form Responses 1!F2:I""),
                4,
                f"&amp;"alse))"),10)</f>
        <v>10</v>
      </c>
      <c r="W27" s="52" t="s">
        <v>1067</v>
      </c>
      <c r="X27" s="23" t="s">
        <v>1086</v>
      </c>
      <c r="Y27" s="16" t="b">
        <v>0</v>
      </c>
      <c r="Z27" s="16"/>
      <c r="AA27" s="16"/>
      <c r="AB27" s="16"/>
      <c r="AC27" s="16"/>
      <c r="AD27" s="16"/>
      <c r="AE27" s="16"/>
      <c r="AF27" s="16"/>
      <c r="AG27" s="16"/>
      <c r="AH27" s="16"/>
      <c r="AI27" s="16"/>
    </row>
    <row r="28" spans="1:35">
      <c r="A28" s="15">
        <v>26</v>
      </c>
      <c r="B28" s="15">
        <f ca="1">IFERROR(__xludf.DUMMYFUNCTION("""COMPUTED_VALUE"""),4082)</f>
        <v>4082</v>
      </c>
      <c r="C28" s="49" t="str">
        <f ca="1">IFERROR(__xludf.DUMMYFUNCTION("""COMPUTED_VALUE"""),"INDAH TRI CAHYANI")</f>
        <v>INDAH TRI CAHYANI</v>
      </c>
      <c r="D28" s="49" t="str">
        <f ca="1">IFERROR(__xludf.DUMMYFUNCTION("""COMPUTED_VALUE"""),"03211940000079")</f>
        <v>03211940000079</v>
      </c>
      <c r="E28" s="49" t="str">
        <f ca="1">IFERROR(__xludf.DUMMYFUNCTION("""COMPUTED_VALUE"""),"Departemen Teknik Lingkungan")</f>
        <v>Departemen Teknik Lingkungan</v>
      </c>
      <c r="F28" s="49" t="str">
        <f ca="1">IFERROR(__xludf.DUMMYFUNCTION("""COMPUTED_VALUE"""),"Pengolahan Air Limbah Tahu Menjadi Kulit Sintetis Sebagai Upaya Penanggulangan Pencemaran Sungai dan Peningkatan Potensi Ekonomi di Desa Sambiroto")</f>
        <v>Pengolahan Air Limbah Tahu Menjadi Kulit Sintetis Sebagai Upaya Penanggulangan Pencemaran Sungai dan Peningkatan Potensi Ekonomi di Desa Sambiroto</v>
      </c>
      <c r="G28" s="49" t="str">
        <f ca="1">IFERROR(__xludf.DUMMYFUNCTION("""COMPUTED_VALUE"""),"Ervin Nurhayati, S.T., M.T., Ph.D.")</f>
        <v>Ervin Nurhayati, S.T., M.T., Ph.D.</v>
      </c>
      <c r="H28" s="49" t="str">
        <f ca="1">IFERROR(__xludf.DUMMYFUNCTION("""COMPUTED_VALUE"""),"Hertiari Idajati, S.T., M.Sc.")</f>
        <v>Hertiari Idajati, S.T., M.Sc.</v>
      </c>
      <c r="I28" s="49" t="str">
        <f ca="1">IFERROR(__xludf.DUMMYFUNCTION("""COMPUTED_VALUE"""),"Dr. Afan Hamzah, S.T.")</f>
        <v>Dr. Afan Hamzah, S.T.</v>
      </c>
      <c r="J28" s="49"/>
      <c r="K28" s="34" t="s">
        <v>1083</v>
      </c>
      <c r="L28" s="23" t="s">
        <v>1087</v>
      </c>
      <c r="M28" s="19" t="b">
        <v>0</v>
      </c>
      <c r="N28" s="19" t="b">
        <v>1</v>
      </c>
      <c r="O28" s="16" t="s">
        <v>1085</v>
      </c>
      <c r="P28" s="7" t="str">
        <f ca="1">IFERROR(__xludf.DUMMYFUNCTION("iferror(vlookup(B28,importrange(""https://docs.google.com/spreadsheets/d/1boHyJQ4e2FU0QG8MHwEi6qjX4hvZWVCHcFfXjq7bbMc/edit?resourcekey#gid=923248883"",""Prop!$C$1:$M""),12,0),IFERROR(vlookup(B28,importrange(""https://docs.google.com/spreadsheets/d/1boHyJQ"&amp;"4e2FU0QG8MHwEi6qjX4hvZWVCHcFfXjq7bbMc/edit?resourcekey#gid=923248883"",""Prop!$N$1:$X""),11,0),iferror(vlookup(B28,importrange(""https://docs.google.com/spreadsheets/d/1boHyJQ4e2FU0QG8MHwEi6qjX4hvZWVCHcFfXjq7bbMc/edit?resourcekey#gid=923248883"",""Prop!$Y"&amp;"$1:$AI""),11,0),iferror(vlookup(B28,importrange(""https://docs.google.com/spreadsheets/d/1boHyJQ4e2FU0QG8MHwEi6qjX4hvZWVCHcFfXjq7bbMc/edit?resourcekey#gid=923248883"",""Prop!$AJ$1:$AT""),11,0),iferror(vlookup(B28,importrange(""https://docs.google.com/spre"&amp;"adsheets/d/1boHyJQ4e2FU0QG8MHwEi6qjX4hvZWVCHcFfXjq7bbMc/edit?resourcekey#gid=923248883"",""Prop!$AU$1:$BE""),11,0),iferror(vlookup(B28,importrange(""https://docs.google.com/spreadsheets/d/1boHyJQ4e2FU0QG8MHwEi6qjX4hvZWVCHcFfXjq7bbMc/edit?resourcekey#gid=9"&amp;"23248883"",""Prop!$BF$1:$BP""),11,0),iferror(vlookup(B28,importrange(""https://docs.google.com/spreadsheets/d/1boHyJQ4e2FU0QG8MHwEi6qjX4hvZWVCHcFfXjq7bbMc/edit?resourcekey#gid=923248883"",""Prop!$BQ$1:$CA""),11,0),iferror(vlookup(B28,importrange(""https:/"&amp;"/docs.google.com/spreadsheets/d/1boHyJQ4e2FU0QG8MHwEi6qjX4hvZWVCHcFfXjq7bbMc/edit?resourcekey#gid=923248883"",""Prop!$CB$1:$CL""),11,0),iferror(vlookup(B28,importrange(""https://docs.google.com/spreadsheets/d/1boHyJQ4e2FU0QG8MHwEi6qjX4hvZWVCHcFfXjq7bbMc/e"&amp;"dit?resourcekey#gid=923248883"",""Prop!$CM$1:$CX""),12,0),iferror(vlookup(B28,importrange(""https://docs.google.com/spreadsheets/d/1boHyJQ4e2FU0QG8MHwEi6qjX4hvZWVCHcFfXjq7bbMc/edit?resourcekey#gid=923248883"",""Prop!$CV$1:$DI""),11,0)))))))))))"),"https://drive.google.com/open?id=1dK_ioZyPo_jcZ6ELnPTgALYmLxbp-14L")</f>
        <v>https://drive.google.com/open?id=1dK_ioZyPo_jcZ6ELnPTgALYmLxbp-14L</v>
      </c>
      <c r="Q28" s="7" t="str">
        <f ca="1">IFERROR(__xludf.DUMMYFUNCTION("iferror(vlookup(B28,importrange(""https://docs.google.com/spreadsheets/d/1p53T2AuvvIqhP7Nf-bo3Uhj8cbKYRPpZdsrBv3x3bAQ/edit?resourcekey#gid=1321652304"",""Prop!$C$1:$M""),11,0),IFERROR(vlookup(B28,importrange(""https://docs.google.com/spreadsheets/d/1p53T2"&amp;"AuvvIqhP7Nf-bo3Uhj8cbKYRPpZdsrBv3x3bAQ/edit?resourcekey#gid=1321652304"",""Prop!$N$1:$X""),11,0),iferror(vlookup(B28,importrange(""https://docs.google.com/spreadsheets/d/1p53T2AuvvIqhP7Nf-bo3Uhj8cbKYRPpZdsrBv3x3bAQ/edit?resourcekey#gid=1321652304"",""Prop"&amp;"!$Y$1:$AI""),11,0),iferror(vlookup(B28,importrange(""https://docs.google.com/spreadsheets/d/1p53T2AuvvIqhP7Nf-bo3Uhj8cbKYRPpZdsrBv3x3bAQ/edit?resourcekey#gid=1321652304"",""Prop!$AJ$1:$AT""),11,0),iferror(vlookup(B28,importrange(""https://docs.google.com/"&amp;"spreadsheets/d/1p53T2AuvvIqhP7Nf-bo3Uhj8cbKYRPpZdsrBv3x3bAQ/edit?resourcekey#gid=1321652304"",""Prop!$AU$1:$BE""),11,0),iferror(vlookup(B28,importrange(""https://docs.google.com/spreadsheets/d/1p53T2AuvvIqhP7Nf-bo3Uhj8cbKYRPpZdsrBv3x3bAQ/edit?resourcekey#"&amp;"gid=1321652304"",""Prop!$BF$1:$BP""),11,0),iferror(vlookup(B28,importrange(""https://docs.google.com/spreadsheets/d/1p53T2AuvvIqhP7Nf-bo3Uhj8cbKYRPpZdsrBv3x3bAQ/edit?resourcekey#gid=1321652304"",""Prop!$BQ$1:$CA""),11,0),iferror(vlookup(B28,importrange("""&amp;"https://docs.google.com/spreadsheets/d/1p53T2AuvvIqhP7Nf-bo3Uhj8cbKYRPpZdsrBv3x3bAQ/edit?resourcekey#gid=1321652304"",""Prop!$CB$1:$CL""),11,0),iferror(vlookup(B28,importrange(""https://docs.google.com/spreadsheets/d/1p53T2AuvvIqhP7Nf-bo3Uhj8cbKYRPpZdsrBv"&amp;"3x3bAQ/edit?resourcekey#gid=1321652304"",""Prop!$CM$1:$CX""),12,0),iferror(vlookup(B28,importrange(""https://docs.google.com/spreadsheets/d/1p53T2AuvvIqhP7Nf-bo3Uhj8cbKYRPpZdsrBv3x3bAQ/edit?resourcekey#gid=1321652304"",""Prop!$CY$1:$DI""),11,0)))))))))))"),"https://drive.google.com/open?id=10LUsTTNfQUKuUfA1nlIEHvKR2RvF-67U")</f>
        <v>https://drive.google.com/open?id=10LUsTTNfQUKuUfA1nlIEHvKR2RvF-67U</v>
      </c>
      <c r="R28" s="88" t="s">
        <v>1065</v>
      </c>
      <c r="S28" s="20" t="str">
        <f ca="1">IFERROR(__xludf.DUMMYFUNCTION("IFERROR(vlookup(B28,IMPORTRANGE(""https://docs.google.com/spreadsheets/d/1g_jfYYK_KeipEDNDUgqgrsxK94XiocfNQIcP-v1QVhI/edit?resourcekey#gid=233272945"",""Nilai!B:CT""),95,0),"" "")"),"Spasi diperhatikan, metode pelaksanaan kurang detail, RAB masih kosong")</f>
        <v>Spasi diperhatikan, metode pelaksanaan kurang detail, RAB masih kosong</v>
      </c>
      <c r="T28" s="20" t="str">
        <f ca="1">IFERROR(__xludf.DUMMYFUNCTION("IFERROR(vlookup(B28,IMPORTRANGE(""https://docs.google.com/spreadsheets/d/1g_jfYYK_KeipEDNDUgqgrsxK94XiocfNQIcP-v1QVhI/edit?resourcekey#gid=233272945"",""Nilai!B:CT""),97,0),"" "")"),"LAYAK UPLOAD KE SIMBELMAWA DENGAN REVISI")</f>
        <v>LAYAK UPLOAD KE SIMBELMAWA DENGAN REVISI</v>
      </c>
      <c r="U28" s="36" t="s">
        <v>825</v>
      </c>
      <c r="V28" s="38" t="str">
        <f ca="1">IFERROR(__xludf.DUMMYFUNCTION("IFERROR(
        vlookup(B28,
                IMPORTRANGE(""https://docs.google.com/spreadsheets/d/1dN4XwmJdILpQh5cYONP2LyBh3ksWo6DCzMrUbN3lo_Q/edit#gid=1905254675"",
                        ""Form Responses 1!F2:I""),
                4,
                f"&amp;"alse))"),"58 km")</f>
        <v>58 km</v>
      </c>
      <c r="W28" s="52" t="s">
        <v>1067</v>
      </c>
      <c r="X28" s="23" t="s">
        <v>1086</v>
      </c>
      <c r="Y28" s="16" t="b">
        <v>1</v>
      </c>
      <c r="Z28" s="16"/>
      <c r="AA28" s="16"/>
      <c r="AB28" s="16"/>
      <c r="AC28" s="16"/>
      <c r="AD28" s="16"/>
      <c r="AE28" s="16"/>
      <c r="AF28" s="16"/>
      <c r="AG28" s="16"/>
      <c r="AH28" s="16"/>
      <c r="AI28" s="16"/>
    </row>
    <row r="29" spans="1:35">
      <c r="A29" s="15">
        <v>27</v>
      </c>
      <c r="B29" s="15">
        <f ca="1">IFERROR(__xludf.DUMMYFUNCTION("""COMPUTED_VALUE"""),3601)</f>
        <v>3601</v>
      </c>
      <c r="C29" s="49" t="str">
        <f ca="1">IFERROR(__xludf.DUMMYFUNCTION("""COMPUTED_VALUE"""),"FIRDHA CHAYLIA AYU RACHMANDIKA")</f>
        <v>FIRDHA CHAYLIA AYU RACHMANDIKA</v>
      </c>
      <c r="D29" s="49" t="str">
        <f ca="1">IFERROR(__xludf.DUMMYFUNCTION("""COMPUTED_VALUE"""),"5005201098")</f>
        <v>5005201098</v>
      </c>
      <c r="E29" s="49" t="str">
        <f ca="1">IFERROR(__xludf.DUMMYFUNCTION("""COMPUTED_VALUE"""),"Departemen Biologi")</f>
        <v>Departemen Biologi</v>
      </c>
      <c r="F29" s="49" t="str">
        <f ca="1">IFERROR(__xludf.DUMMYFUNCTION("""COMPUTED_VALUE"""),"Pemberdayaan Karang Taruna Desa Semare Melalui Pemanfaatan Limbah Kulit Kerang Dara Sebagai Pakan Ayam Kaya Kalsium Guna Meningkatkan Kesejahteraan Ekonomi")</f>
        <v>Pemberdayaan Karang Taruna Desa Semare Melalui Pemanfaatan Limbah Kulit Kerang Dara Sebagai Pakan Ayam Kaya Kalsium Guna Meningkatkan Kesejahteraan Ekonomi</v>
      </c>
      <c r="G29" s="49" t="str">
        <f ca="1">IFERROR(__xludf.DUMMYFUNCTION("""COMPUTED_VALUE"""),"Dr. Awik Puji Dyah Nurhayati, S.Si., M.Si.")</f>
        <v>Dr. Awik Puji Dyah Nurhayati, S.Si., M.Si.</v>
      </c>
      <c r="H29" s="49" t="str">
        <f ca="1">IFERROR(__xludf.DUMMYFUNCTION("""COMPUTED_VALUE"""),"Hertiari Idajati, S.T., M.Sc.")</f>
        <v>Hertiari Idajati, S.T., M.Sc.</v>
      </c>
      <c r="I29" s="49" t="str">
        <f ca="1">IFERROR(__xludf.DUMMYFUNCTION("""COMPUTED_VALUE"""),"Naufan Noordyanto, S.Sn., M.Sn.")</f>
        <v>Naufan Noordyanto, S.Sn., M.Sn.</v>
      </c>
      <c r="J29" s="49"/>
      <c r="K29" s="34" t="s">
        <v>1083</v>
      </c>
      <c r="L29" s="23" t="s">
        <v>1087</v>
      </c>
      <c r="M29" s="19" t="b">
        <v>0</v>
      </c>
      <c r="N29" s="19" t="b">
        <v>0</v>
      </c>
      <c r="O29" s="16" t="s">
        <v>1088</v>
      </c>
      <c r="P29" s="7" t="str">
        <f ca="1">IFERROR(__xludf.DUMMYFUNCTION("iferror(vlookup(B29,importrange(""https://docs.google.com/spreadsheets/d/1boHyJQ4e2FU0QG8MHwEi6qjX4hvZWVCHcFfXjq7bbMc/edit?resourcekey#gid=923248883"",""Prop!$C$1:$M""),12,0),IFERROR(vlookup(B29,importrange(""https://docs.google.com/spreadsheets/d/1boHyJQ"&amp;"4e2FU0QG8MHwEi6qjX4hvZWVCHcFfXjq7bbMc/edit?resourcekey#gid=923248883"",""Prop!$N$1:$X""),11,0),iferror(vlookup(B29,importrange(""https://docs.google.com/spreadsheets/d/1boHyJQ4e2FU0QG8MHwEi6qjX4hvZWVCHcFfXjq7bbMc/edit?resourcekey#gid=923248883"",""Prop!$Y"&amp;"$1:$AI""),11,0),iferror(vlookup(B29,importrange(""https://docs.google.com/spreadsheets/d/1boHyJQ4e2FU0QG8MHwEi6qjX4hvZWVCHcFfXjq7bbMc/edit?resourcekey#gid=923248883"",""Prop!$AJ$1:$AT""),11,0),iferror(vlookup(B29,importrange(""https://docs.google.com/spre"&amp;"adsheets/d/1boHyJQ4e2FU0QG8MHwEi6qjX4hvZWVCHcFfXjq7bbMc/edit?resourcekey#gid=923248883"",""Prop!$AU$1:$BE""),11,0),iferror(vlookup(B29,importrange(""https://docs.google.com/spreadsheets/d/1boHyJQ4e2FU0QG8MHwEi6qjX4hvZWVCHcFfXjq7bbMc/edit?resourcekey#gid=9"&amp;"23248883"",""Prop!$BF$1:$BP""),11,0),iferror(vlookup(B29,importrange(""https://docs.google.com/spreadsheets/d/1boHyJQ4e2FU0QG8MHwEi6qjX4hvZWVCHcFfXjq7bbMc/edit?resourcekey#gid=923248883"",""Prop!$BQ$1:$CA""),11,0),iferror(vlookup(B29,importrange(""https:/"&amp;"/docs.google.com/spreadsheets/d/1boHyJQ4e2FU0QG8MHwEi6qjX4hvZWVCHcFfXjq7bbMc/edit?resourcekey#gid=923248883"",""Prop!$CB$1:$CL""),11,0),iferror(vlookup(B29,importrange(""https://docs.google.com/spreadsheets/d/1boHyJQ4e2FU0QG8MHwEi6qjX4hvZWVCHcFfXjq7bbMc/e"&amp;"dit?resourcekey#gid=923248883"",""Prop!$CM$1:$CX""),12,0),iferror(vlookup(B29,importrange(""https://docs.google.com/spreadsheets/d/1boHyJQ4e2FU0QG8MHwEi6qjX4hvZWVCHcFfXjq7bbMc/edit?resourcekey#gid=923248883"",""Prop!$CV$1:$DI""),11,0)))))))))))"),"https://drive.google.com/open?id=1fNWksyHhjalNJApSHUFeo0qkkIRsbph8")</f>
        <v>https://drive.google.com/open?id=1fNWksyHhjalNJApSHUFeo0qkkIRsbph8</v>
      </c>
      <c r="Q29" s="50" t="str">
        <f ca="1">IFERROR(__xludf.DUMMYFUNCTION("iferror(vlookup(B29,importrange(""https://docs.google.com/spreadsheets/d/1p53T2AuvvIqhP7Nf-bo3Uhj8cbKYRPpZdsrBv3x3bAQ/edit?resourcekey#gid=1321652304"",""Prop!$C$1:$M""),11,0),IFERROR(vlookup(B29,importrange(""https://docs.google.com/spreadsheets/d/1p53T2"&amp;"AuvvIqhP7Nf-bo3Uhj8cbKYRPpZdsrBv3x3bAQ/edit?resourcekey#gid=1321652304"",""Prop!$N$1:$X""),11,0),iferror(vlookup(B29,importrange(""https://docs.google.com/spreadsheets/d/1p53T2AuvvIqhP7Nf-bo3Uhj8cbKYRPpZdsrBv3x3bAQ/edit?resourcekey#gid=1321652304"",""Prop"&amp;"!$Y$1:$AI""),11,0),iferror(vlookup(B29,importrange(""https://docs.google.com/spreadsheets/d/1p53T2AuvvIqhP7Nf-bo3Uhj8cbKYRPpZdsrBv3x3bAQ/edit?resourcekey#gid=1321652304"",""Prop!$AJ$1:$AT""),11,0),iferror(vlookup(B29,importrange(""https://docs.google.com/"&amp;"spreadsheets/d/1p53T2AuvvIqhP7Nf-bo3Uhj8cbKYRPpZdsrBv3x3bAQ/edit?resourcekey#gid=1321652304"",""Prop!$AU$1:$BE""),11,0),iferror(vlookup(B29,importrange(""https://docs.google.com/spreadsheets/d/1p53T2AuvvIqhP7Nf-bo3Uhj8cbKYRPpZdsrBv3x3bAQ/edit?resourcekey#"&amp;"gid=1321652304"",""Prop!$BF$1:$BP""),11,0),iferror(vlookup(B29,importrange(""https://docs.google.com/spreadsheets/d/1p53T2AuvvIqhP7Nf-bo3Uhj8cbKYRPpZdsrBv3x3bAQ/edit?resourcekey#gid=1321652304"",""Prop!$BQ$1:$CA""),11,0),iferror(vlookup(B29,importrange("""&amp;"https://docs.google.com/spreadsheets/d/1p53T2AuvvIqhP7Nf-bo3Uhj8cbKYRPpZdsrBv3x3bAQ/edit?resourcekey#gid=1321652304"",""Prop!$CB$1:$CL""),11,0),iferror(vlookup(B29,importrange(""https://docs.google.com/spreadsheets/d/1p53T2AuvvIqhP7Nf-bo3Uhj8cbKYRPpZdsrBv"&amp;"3x3bAQ/edit?resourcekey#gid=1321652304"",""Prop!$CM$1:$CX""),12,0),iferror(vlookup(B29,importrange(""https://docs.google.com/spreadsheets/d/1p53T2AuvvIqhP7Nf-bo3Uhj8cbKYRPpZdsrBv3x3bAQ/edit?resourcekey#gid=1321652304"",""Prop!$CY$1:$DI""),11,0)))))))))))"),"https://drive.google.com/open?id=1HieL5ATNtEV2e1xdTTFC_AbnqqJtpPoO")</f>
        <v>https://drive.google.com/open?id=1HieL5ATNtEV2e1xdTTFC_AbnqqJtpPoO</v>
      </c>
      <c r="R29" s="88" t="s">
        <v>1065</v>
      </c>
      <c r="S29" s="20" t="str">
        <f ca="1">IFERROR(__xludf.DUMMYFUNCTION("IFERROR(vlookup(B29,IMPORTRANGE(""https://docs.google.com/spreadsheets/d/1g_jfYYK_KeipEDNDUgqgrsxK94XiocfNQIcP-v1QVhI/edit?resourcekey#gid=233272945"",""Nilai!B:CT""),95,0),"" "")"),"Format belum sesuai, metode pelaksanaan tidak tampak PKMPM")</f>
        <v>Format belum sesuai, metode pelaksanaan tidak tampak PKMPM</v>
      </c>
      <c r="T29" s="20" t="str">
        <f ca="1">IFERROR(__xludf.DUMMYFUNCTION("IFERROR(vlookup(B29,IMPORTRANGE(""https://docs.google.com/spreadsheets/d/1g_jfYYK_KeipEDNDUgqgrsxK94XiocfNQIcP-v1QVhI/edit?resourcekey#gid=233272945"",""Nilai!B:CT""),97,0),"" "")"),"TIDAK LAYAK UPLOAD KE SIMBELMAWA")</f>
        <v>TIDAK LAYAK UPLOAD KE SIMBELMAWA</v>
      </c>
      <c r="U29" s="36" t="s">
        <v>825</v>
      </c>
      <c r="V29" s="38" t="str">
        <f ca="1">IFERROR(__xludf.DUMMYFUNCTION("IFERROR(
        vlookup(B29,
                IMPORTRANGE(""https://docs.google.com/spreadsheets/d/1dN4XwmJdILpQh5cYONP2LyBh3ksWo6DCzMrUbN3lo_Q/edit#gid=1905254675"",
                        ""Form Responses 1!F2:I""),
                4,
                f"&amp;"alse))"),"68,7 km")</f>
        <v>68,7 km</v>
      </c>
      <c r="W29" s="52" t="s">
        <v>1067</v>
      </c>
      <c r="X29" s="23" t="s">
        <v>1086</v>
      </c>
      <c r="Y29" s="16" t="b">
        <v>0</v>
      </c>
      <c r="Z29" s="16"/>
      <c r="AA29" s="16"/>
      <c r="AB29" s="16"/>
      <c r="AC29" s="16"/>
      <c r="AD29" s="16"/>
      <c r="AE29" s="16"/>
      <c r="AF29" s="16"/>
      <c r="AG29" s="16"/>
      <c r="AH29" s="16"/>
      <c r="AI29" s="16"/>
    </row>
    <row r="30" spans="1:35">
      <c r="A30" s="15">
        <v>28</v>
      </c>
      <c r="B30" s="15">
        <f ca="1">IFERROR(__xludf.DUMMYFUNCTION("""COMPUTED_VALUE"""),3178)</f>
        <v>3178</v>
      </c>
      <c r="C30" s="49" t="str">
        <f ca="1">IFERROR(__xludf.DUMMYFUNCTION("""COMPUTED_VALUE"""),"Arif Indyanto")</f>
        <v>Arif Indyanto</v>
      </c>
      <c r="D30" s="49" t="str">
        <f ca="1">IFERROR(__xludf.DUMMYFUNCTION("""COMPUTED_VALUE"""),"5021211012")</f>
        <v>5021211012</v>
      </c>
      <c r="E30" s="49" t="str">
        <f ca="1">IFERROR(__xludf.DUMMYFUNCTION("""COMPUTED_VALUE"""),"Departemen Teknik Transportasi Laut")</f>
        <v>Departemen Teknik Transportasi Laut</v>
      </c>
      <c r="F30" s="49" t="str">
        <f ca="1">IFERROR(__xludf.DUMMYFUNCTION("""COMPUTED_VALUE"""),"MENINGKATKAN KUALITAS PENDIDIKAN ANAK DI DAERAH PESISIR")</f>
        <v>MENINGKATKAN KUALITAS PENDIDIKAN ANAK DI DAERAH PESISIR</v>
      </c>
      <c r="G30" s="49" t="str">
        <f ca="1">IFERROR(__xludf.DUMMYFUNCTION("""COMPUTED_VALUE"""),"Oktaviani Turbaningsih, S.T., M.T.")</f>
        <v>Oktaviani Turbaningsih, S.T., M.T.</v>
      </c>
      <c r="H30" s="49" t="str">
        <f ca="1">IFERROR(__xludf.DUMMYFUNCTION("""COMPUTED_VALUE"""),"Hertiari Idajati, S.T., M.Sc.")</f>
        <v>Hertiari Idajati, S.T., M.Sc.</v>
      </c>
      <c r="I30" s="49" t="str">
        <f ca="1">IFERROR(__xludf.DUMMYFUNCTION("""COMPUTED_VALUE"""),"Ir. Muchammad Husni, M.Kom")</f>
        <v>Ir. Muchammad Husni, M.Kom</v>
      </c>
      <c r="J30" s="49"/>
      <c r="K30" s="34" t="s">
        <v>1083</v>
      </c>
      <c r="L30" s="23" t="s">
        <v>1087</v>
      </c>
      <c r="M30" s="19" t="b">
        <v>0</v>
      </c>
      <c r="N30" s="19" t="b">
        <v>0</v>
      </c>
      <c r="O30" s="16" t="s">
        <v>1088</v>
      </c>
      <c r="P30" s="7" t="str">
        <f ca="1">IFERROR(__xludf.DUMMYFUNCTION("iferror(vlookup(B30,importrange(""https://docs.google.com/spreadsheets/d/1boHyJQ4e2FU0QG8MHwEi6qjX4hvZWVCHcFfXjq7bbMc/edit?resourcekey#gid=923248883"",""Prop!$C$1:$M""),12,0),IFERROR(vlookup(B30,importrange(""https://docs.google.com/spreadsheets/d/1boHyJQ"&amp;"4e2FU0QG8MHwEi6qjX4hvZWVCHcFfXjq7bbMc/edit?resourcekey#gid=923248883"",""Prop!$N$1:$X""),11,0),iferror(vlookup(B30,importrange(""https://docs.google.com/spreadsheets/d/1boHyJQ4e2FU0QG8MHwEi6qjX4hvZWVCHcFfXjq7bbMc/edit?resourcekey#gid=923248883"",""Prop!$Y"&amp;"$1:$AI""),11,0),iferror(vlookup(B30,importrange(""https://docs.google.com/spreadsheets/d/1boHyJQ4e2FU0QG8MHwEi6qjX4hvZWVCHcFfXjq7bbMc/edit?resourcekey#gid=923248883"",""Prop!$AJ$1:$AT""),11,0),iferror(vlookup(B30,importrange(""https://docs.google.com/spre"&amp;"adsheets/d/1boHyJQ4e2FU0QG8MHwEi6qjX4hvZWVCHcFfXjq7bbMc/edit?resourcekey#gid=923248883"",""Prop!$AU$1:$BE""),11,0),iferror(vlookup(B30,importrange(""https://docs.google.com/spreadsheets/d/1boHyJQ4e2FU0QG8MHwEi6qjX4hvZWVCHcFfXjq7bbMc/edit?resourcekey#gid=9"&amp;"23248883"",""Prop!$BF$1:$BP""),11,0),iferror(vlookup(B30,importrange(""https://docs.google.com/spreadsheets/d/1boHyJQ4e2FU0QG8MHwEi6qjX4hvZWVCHcFfXjq7bbMc/edit?resourcekey#gid=923248883"",""Prop!$BQ$1:$CA""),11,0),iferror(vlookup(B30,importrange(""https:/"&amp;"/docs.google.com/spreadsheets/d/1boHyJQ4e2FU0QG8MHwEi6qjX4hvZWVCHcFfXjq7bbMc/edit?resourcekey#gid=923248883"",""Prop!$CB$1:$CL""),11,0),iferror(vlookup(B30,importrange(""https://docs.google.com/spreadsheets/d/1boHyJQ4e2FU0QG8MHwEi6qjX4hvZWVCHcFfXjq7bbMc/e"&amp;"dit?resourcekey#gid=923248883"",""Prop!$CM$1:$CX""),12,0),iferror(vlookup(B30,importrange(""https://docs.google.com/spreadsheets/d/1boHyJQ4e2FU0QG8MHwEi6qjX4hvZWVCHcFfXjq7bbMc/edit?resourcekey#gid=923248883"",""Prop!$CV$1:$DI""),11,0)))))))))))"),"https://drive.google.com/open?id=1RO3nVtHHSkOiY_WaO6UK93Fhy7-KLDRu")</f>
        <v>https://drive.google.com/open?id=1RO3nVtHHSkOiY_WaO6UK93Fhy7-KLDRu</v>
      </c>
      <c r="Q30" s="50" t="str">
        <f ca="1">IFERROR(__xludf.DUMMYFUNCTION("iferror(vlookup(B30,importrange(""https://docs.google.com/spreadsheets/d/1p53T2AuvvIqhP7Nf-bo3Uhj8cbKYRPpZdsrBv3x3bAQ/edit?resourcekey#gid=1321652304"",""Prop!$C$1:$M""),11,0),IFERROR(vlookup(B30,importrange(""https://docs.google.com/spreadsheets/d/1p53T2"&amp;"AuvvIqhP7Nf-bo3Uhj8cbKYRPpZdsrBv3x3bAQ/edit?resourcekey#gid=1321652304"",""Prop!$N$1:$X""),11,0),iferror(vlookup(B30,importrange(""https://docs.google.com/spreadsheets/d/1p53T2AuvvIqhP7Nf-bo3Uhj8cbKYRPpZdsrBv3x3bAQ/edit?resourcekey#gid=1321652304"",""Prop"&amp;"!$Y$1:$AI""),11,0),iferror(vlookup(B30,importrange(""https://docs.google.com/spreadsheets/d/1p53T2AuvvIqhP7Nf-bo3Uhj8cbKYRPpZdsrBv3x3bAQ/edit?resourcekey#gid=1321652304"",""Prop!$AJ$1:$AT""),11,0),iferror(vlookup(B30,importrange(""https://docs.google.com/"&amp;"spreadsheets/d/1p53T2AuvvIqhP7Nf-bo3Uhj8cbKYRPpZdsrBv3x3bAQ/edit?resourcekey#gid=1321652304"",""Prop!$AU$1:$BE""),11,0),iferror(vlookup(B30,importrange(""https://docs.google.com/spreadsheets/d/1p53T2AuvvIqhP7Nf-bo3Uhj8cbKYRPpZdsrBv3x3bAQ/edit?resourcekey#"&amp;"gid=1321652304"",""Prop!$BF$1:$BP""),11,0),iferror(vlookup(B30,importrange(""https://docs.google.com/spreadsheets/d/1p53T2AuvvIqhP7Nf-bo3Uhj8cbKYRPpZdsrBv3x3bAQ/edit?resourcekey#gid=1321652304"",""Prop!$BQ$1:$CA""),11,0),iferror(vlookup(B30,importrange("""&amp;"https://docs.google.com/spreadsheets/d/1p53T2AuvvIqhP7Nf-bo3Uhj8cbKYRPpZdsrBv3x3bAQ/edit?resourcekey#gid=1321652304"",""Prop!$CB$1:$CL""),11,0),iferror(vlookup(B30,importrange(""https://docs.google.com/spreadsheets/d/1p53T2AuvvIqhP7Nf-bo3Uhj8cbKYRPpZdsrBv"&amp;"3x3bAQ/edit?resourcekey#gid=1321652304"",""Prop!$CM$1:$CX""),12,0),iferror(vlookup(B30,importrange(""https://docs.google.com/spreadsheets/d/1p53T2AuvvIqhP7Nf-bo3Uhj8cbKYRPpZdsrBv3x3bAQ/edit?resourcekey#gid=1321652304"",""Prop!$CY$1:$DI""),11,0)))))))))))"),"https://drive.google.com/open?id=1ebhGODh2MLe9O1MSwhdJeTTdanFmGGAu")</f>
        <v>https://drive.google.com/open?id=1ebhGODh2MLe9O1MSwhdJeTTdanFmGGAu</v>
      </c>
      <c r="R30" s="88" t="s">
        <v>1065</v>
      </c>
      <c r="S30" s="20" t="str">
        <f ca="1">IFERROR(__xludf.DUMMYFUNCTION("IFERROR(vlookup(B30,IMPORTRANGE(""https://docs.google.com/spreadsheets/d/1g_jfYYK_KeipEDNDUgqgrsxK94XiocfNQIcP-v1QVhI/edit?resourcekey#gid=233272945"",""Nilai!B:CT""),95,0),"" "")"),"Proposal belum selesai bahkan untuk liga PKM")</f>
        <v>Proposal belum selesai bahkan untuk liga PKM</v>
      </c>
      <c r="T30" s="20" t="str">
        <f ca="1">IFERROR(__xludf.DUMMYFUNCTION("IFERROR(vlookup(B30,IMPORTRANGE(""https://docs.google.com/spreadsheets/d/1g_jfYYK_KeipEDNDUgqgrsxK94XiocfNQIcP-v1QVhI/edit?resourcekey#gid=233272945"",""Nilai!B:CT""),97,0),"" "")"),"TIDAK LAYAK UPLOAD KE SIMBELMAWA")</f>
        <v>TIDAK LAYAK UPLOAD KE SIMBELMAWA</v>
      </c>
      <c r="U30" s="36" t="s">
        <v>825</v>
      </c>
      <c r="V30" s="38" t="str">
        <f ca="1">IFERROR(__xludf.DUMMYFUNCTION("IFERROR(
        vlookup(B30,
                IMPORTRANGE(""https://docs.google.com/spreadsheets/d/1dN4XwmJdILpQh5cYONP2LyBh3ksWo6DCzMrUbN3lo_Q/edit#gid=1905254675"",
                        ""Form Responses 1!F2:I""),
                4,
                f"&amp;"alse))"),"72 KM")</f>
        <v>72 KM</v>
      </c>
      <c r="W30" s="52" t="s">
        <v>1067</v>
      </c>
      <c r="X30" s="23" t="s">
        <v>1089</v>
      </c>
      <c r="Y30" s="16" t="b">
        <v>0</v>
      </c>
      <c r="Z30" s="16"/>
      <c r="AA30" s="16"/>
      <c r="AB30" s="16"/>
      <c r="AC30" s="16"/>
      <c r="AD30" s="16"/>
      <c r="AE30" s="16"/>
      <c r="AF30" s="16"/>
      <c r="AG30" s="16"/>
      <c r="AH30" s="16"/>
      <c r="AI30" s="16"/>
    </row>
    <row r="31" spans="1:35">
      <c r="A31" s="15">
        <v>29</v>
      </c>
      <c r="B31" s="15">
        <f ca="1">IFERROR(__xludf.DUMMYFUNCTION("""COMPUTED_VALUE"""),2954)</f>
        <v>2954</v>
      </c>
      <c r="C31" s="49" t="str">
        <f ca="1">IFERROR(__xludf.DUMMYFUNCTION("""COMPUTED_VALUE"""),"SONIA R N N")</f>
        <v>SONIA R N N</v>
      </c>
      <c r="D31" s="49" t="str">
        <f ca="1">IFERROR(__xludf.DUMMYFUNCTION("""COMPUTED_VALUE"""),"5010211027")</f>
        <v>5010211027</v>
      </c>
      <c r="E31" s="49" t="str">
        <f ca="1">IFERROR(__xludf.DUMMYFUNCTION("""COMPUTED_VALUE"""),"Departemen Teknik Sistem dan Industri")</f>
        <v>Departemen Teknik Sistem dan Industri</v>
      </c>
      <c r="F31" s="49" t="str">
        <f ca="1">IFERROR(__xludf.DUMMYFUNCTION("""COMPUTED_VALUE"""),"Inovasi Program TATS (Tahan Amarah Tanpa Solusi ) dalam Pembentukan
Karakter Penerus Bangsa yang Gemilang di Kota Surabaya")</f>
        <v>Inovasi Program TATS (Tahan Amarah Tanpa Solusi ) dalam Pembentukan
Karakter Penerus Bangsa yang Gemilang di Kota Surabaya</v>
      </c>
      <c r="G31" s="49" t="str">
        <f ca="1">IFERROR(__xludf.DUMMYFUNCTION("""COMPUTED_VALUE"""),"Hafidz Ridho, S.T., M.T., MBA.")</f>
        <v>Hafidz Ridho, S.T., M.T., MBA.</v>
      </c>
      <c r="H31" s="49" t="str">
        <f ca="1">IFERROR(__xludf.DUMMYFUNCTION("""COMPUTED_VALUE"""),"Hertiari Idajati, S.T., M.Sc.")</f>
        <v>Hertiari Idajati, S.T., M.Sc.</v>
      </c>
      <c r="I31" s="49" t="str">
        <f ca="1">IFERROR(__xludf.DUMMYFUNCTION("""COMPUTED_VALUE"""),"Ir. Muchammad Husni, M.Kom")</f>
        <v>Ir. Muchammad Husni, M.Kom</v>
      </c>
      <c r="J31" s="49"/>
      <c r="K31" s="34" t="s">
        <v>1083</v>
      </c>
      <c r="L31" s="23" t="s">
        <v>1087</v>
      </c>
      <c r="M31" s="19" t="b">
        <v>1</v>
      </c>
      <c r="N31" s="19" t="b">
        <v>1</v>
      </c>
      <c r="O31" s="16" t="s">
        <v>1088</v>
      </c>
      <c r="P31" s="7" t="str">
        <f ca="1">IFERROR(__xludf.DUMMYFUNCTION("iferror(vlookup(B31,importrange(""https://docs.google.com/spreadsheets/d/1boHyJQ4e2FU0QG8MHwEi6qjX4hvZWVCHcFfXjq7bbMc/edit?resourcekey#gid=923248883"",""Prop!$C$1:$M""),12,0),IFERROR(vlookup(B31,importrange(""https://docs.google.com/spreadsheets/d/1boHyJQ"&amp;"4e2FU0QG8MHwEi6qjX4hvZWVCHcFfXjq7bbMc/edit?resourcekey#gid=923248883"",""Prop!$N$1:$X""),11,0),iferror(vlookup(B31,importrange(""https://docs.google.com/spreadsheets/d/1boHyJQ4e2FU0QG8MHwEi6qjX4hvZWVCHcFfXjq7bbMc/edit?resourcekey#gid=923248883"",""Prop!$Y"&amp;"$1:$AI""),11,0),iferror(vlookup(B31,importrange(""https://docs.google.com/spreadsheets/d/1boHyJQ4e2FU0QG8MHwEi6qjX4hvZWVCHcFfXjq7bbMc/edit?resourcekey#gid=923248883"",""Prop!$AJ$1:$AT""),11,0),iferror(vlookup(B31,importrange(""https://docs.google.com/spre"&amp;"adsheets/d/1boHyJQ4e2FU0QG8MHwEi6qjX4hvZWVCHcFfXjq7bbMc/edit?resourcekey#gid=923248883"",""Prop!$AU$1:$BE""),11,0),iferror(vlookup(B31,importrange(""https://docs.google.com/spreadsheets/d/1boHyJQ4e2FU0QG8MHwEi6qjX4hvZWVCHcFfXjq7bbMc/edit?resourcekey#gid=9"&amp;"23248883"",""Prop!$BF$1:$BP""),11,0),iferror(vlookup(B31,importrange(""https://docs.google.com/spreadsheets/d/1boHyJQ4e2FU0QG8MHwEi6qjX4hvZWVCHcFfXjq7bbMc/edit?resourcekey#gid=923248883"",""Prop!$BQ$1:$CA""),11,0),iferror(vlookup(B31,importrange(""https:/"&amp;"/docs.google.com/spreadsheets/d/1boHyJQ4e2FU0QG8MHwEi6qjX4hvZWVCHcFfXjq7bbMc/edit?resourcekey#gid=923248883"",""Prop!$CB$1:$CL""),11,0),iferror(vlookup(B31,importrange(""https://docs.google.com/spreadsheets/d/1boHyJQ4e2FU0QG8MHwEi6qjX4hvZWVCHcFfXjq7bbMc/e"&amp;"dit?resourcekey#gid=923248883"",""Prop!$CM$1:$CX""),12,0),iferror(vlookup(B31,importrange(""https://docs.google.com/spreadsheets/d/1boHyJQ4e2FU0QG8MHwEi6qjX4hvZWVCHcFfXjq7bbMc/edit?resourcekey#gid=923248883"",""Prop!$CV$1:$DI""),11,0)))))))))))"),"https://drive.google.com/open?id=1XCNam83Ix6x6FyB5St0ZzQpA3UeDR5pA")</f>
        <v>https://drive.google.com/open?id=1XCNam83Ix6x6FyB5St0ZzQpA3UeDR5pA</v>
      </c>
      <c r="Q31" s="50" t="str">
        <f ca="1">IFERROR(__xludf.DUMMYFUNCTION("iferror(vlookup(B31,importrange(""https://docs.google.com/spreadsheets/d/1p53T2AuvvIqhP7Nf-bo3Uhj8cbKYRPpZdsrBv3x3bAQ/edit?resourcekey#gid=1321652304"",""Prop!$C$1:$M""),11,0),IFERROR(vlookup(B31,importrange(""https://docs.google.com/spreadsheets/d/1p53T2"&amp;"AuvvIqhP7Nf-bo3Uhj8cbKYRPpZdsrBv3x3bAQ/edit?resourcekey#gid=1321652304"",""Prop!$N$1:$X""),11,0),iferror(vlookup(B31,importrange(""https://docs.google.com/spreadsheets/d/1p53T2AuvvIqhP7Nf-bo3Uhj8cbKYRPpZdsrBv3x3bAQ/edit?resourcekey#gid=1321652304"",""Prop"&amp;"!$Y$1:$AI""),11,0),iferror(vlookup(B31,importrange(""https://docs.google.com/spreadsheets/d/1p53T2AuvvIqhP7Nf-bo3Uhj8cbKYRPpZdsrBv3x3bAQ/edit?resourcekey#gid=1321652304"",""Prop!$AJ$1:$AT""),11,0),iferror(vlookup(B31,importrange(""https://docs.google.com/"&amp;"spreadsheets/d/1p53T2AuvvIqhP7Nf-bo3Uhj8cbKYRPpZdsrBv3x3bAQ/edit?resourcekey#gid=1321652304"",""Prop!$AU$1:$BE""),11,0),iferror(vlookup(B31,importrange(""https://docs.google.com/spreadsheets/d/1p53T2AuvvIqhP7Nf-bo3Uhj8cbKYRPpZdsrBv3x3bAQ/edit?resourcekey#"&amp;"gid=1321652304"",""Prop!$BF$1:$BP""),11,0),iferror(vlookup(B31,importrange(""https://docs.google.com/spreadsheets/d/1p53T2AuvvIqhP7Nf-bo3Uhj8cbKYRPpZdsrBv3x3bAQ/edit?resourcekey#gid=1321652304"",""Prop!$BQ$1:$CA""),11,0),iferror(vlookup(B31,importrange("""&amp;"https://docs.google.com/spreadsheets/d/1p53T2AuvvIqhP7Nf-bo3Uhj8cbKYRPpZdsrBv3x3bAQ/edit?resourcekey#gid=1321652304"",""Prop!$CB$1:$CL""),11,0),iferror(vlookup(B31,importrange(""https://docs.google.com/spreadsheets/d/1p53T2AuvvIqhP7Nf-bo3Uhj8cbKYRPpZdsrBv"&amp;"3x3bAQ/edit?resourcekey#gid=1321652304"",""Prop!$CM$1:$CX""),12,0),iferror(vlookup(B31,importrange(""https://docs.google.com/spreadsheets/d/1p53T2AuvvIqhP7Nf-bo3Uhj8cbKYRPpZdsrBv3x3bAQ/edit?resourcekey#gid=1321652304"",""Prop!$CY$1:$DI""),11,0)))))))))))"),"https://drive.google.com/open?id=1vmDslU-yECR_viFuS69y5dvfMJb-GCtd")</f>
        <v>https://drive.google.com/open?id=1vmDslU-yECR_viFuS69y5dvfMJb-GCtd</v>
      </c>
      <c r="R31" s="88" t="s">
        <v>1065</v>
      </c>
      <c r="S31" s="20" t="str">
        <f ca="1">IFERROR(__xludf.DUMMYFUNCTION("IFERROR(vlookup(B31,IMPORTRANGE(""https://docs.google.com/spreadsheets/d/1g_jfYYK_KeipEDNDUgqgrsxK94XiocfNQIcP-v1QVhI/edit?resourcekey#gid=233272945"",""Nilai!B:CT""),95,0),"" "")"),"Format belum sesuai, latara belakang masalah nasional, isi proposal lebih mirip PKMRSH")</f>
        <v>Format belum sesuai, latara belakang masalah nasional, isi proposal lebih mirip PKMRSH</v>
      </c>
      <c r="T31" s="20" t="str">
        <f ca="1">IFERROR(__xludf.DUMMYFUNCTION("IFERROR(vlookup(B31,IMPORTRANGE(""https://docs.google.com/spreadsheets/d/1g_jfYYK_KeipEDNDUgqgrsxK94XiocfNQIcP-v1QVhI/edit?resourcekey#gid=233272945"",""Nilai!B:CT""),97,0),"" "")"),"TIDAK LAYAK UPLOAD KE SIMBELMAWA")</f>
        <v>TIDAK LAYAK UPLOAD KE SIMBELMAWA</v>
      </c>
      <c r="U31" s="36" t="s">
        <v>825</v>
      </c>
      <c r="V31" s="38">
        <f ca="1">IFERROR(__xludf.DUMMYFUNCTION("IFERROR(
        vlookup(B31,
                IMPORTRANGE(""https://docs.google.com/spreadsheets/d/1dN4XwmJdILpQh5cYONP2LyBh3ksWo6DCzMrUbN3lo_Q/edit#gid=1905254675"",
                        ""Form Responses 1!F2:I""),
                4,
                f"&amp;"alse))"),7.9)</f>
        <v>7.9</v>
      </c>
      <c r="W31" s="52" t="s">
        <v>1067</v>
      </c>
      <c r="X31" s="23" t="s">
        <v>1089</v>
      </c>
      <c r="Y31" s="16" t="b">
        <v>1</v>
      </c>
      <c r="Z31" s="16"/>
      <c r="AA31" s="16"/>
      <c r="AB31" s="16"/>
      <c r="AC31" s="16"/>
      <c r="AD31" s="16"/>
      <c r="AE31" s="16"/>
      <c r="AF31" s="16"/>
      <c r="AG31" s="16"/>
      <c r="AH31" s="16"/>
      <c r="AI31" s="16"/>
    </row>
    <row r="32" spans="1:35">
      <c r="A32" s="15">
        <v>30</v>
      </c>
      <c r="B32" s="15">
        <f ca="1">IFERROR(__xludf.DUMMYFUNCTION("""COMPUTED_VALUE"""),2471)</f>
        <v>2471</v>
      </c>
      <c r="C32" s="49" t="str">
        <f ca="1">IFERROR(__xludf.DUMMYFUNCTION("""COMPUTED_VALUE"""),"Amara Sabhinaya K.")</f>
        <v>Amara Sabhinaya K.</v>
      </c>
      <c r="D32" s="49" t="str">
        <f ca="1">IFERROR(__xludf.DUMMYFUNCTION("""COMPUTED_VALUE"""),"5006211098")</f>
        <v>5006211098</v>
      </c>
      <c r="E32" s="49" t="str">
        <f ca="1">IFERROR(__xludf.DUMMYFUNCTION("""COMPUTED_VALUE"""),"Departemen Aktuaria")</f>
        <v>Departemen Aktuaria</v>
      </c>
      <c r="F32" s="49" t="str">
        <f ca="1">IFERROR(__xludf.DUMMYFUNCTION("""COMPUTED_VALUE"""),"Program Pemulihan Mental Berbasis Telemedicine sebagai Fasilitator Pelajar SMAN 2 Surabaya dalam Menghadapi Degradasi Kesehatan Mental di Era New Normal")</f>
        <v>Program Pemulihan Mental Berbasis Telemedicine sebagai Fasilitator Pelajar SMAN 2 Surabaya dalam Menghadapi Degradasi Kesehatan Mental di Era New Normal</v>
      </c>
      <c r="G32" s="49" t="str">
        <f ca="1">IFERROR(__xludf.DUMMYFUNCTION("""COMPUTED_VALUE"""),"R. Mohamad Atok, S.Si, M.Si, Ph.D")</f>
        <v>R. Mohamad Atok, S.Si, M.Si, Ph.D</v>
      </c>
      <c r="H32" s="49" t="str">
        <f ca="1">IFERROR(__xludf.DUMMYFUNCTION("""COMPUTED_VALUE"""),"Hertiari Idajati, S.T., M.Sc.")</f>
        <v>Hertiari Idajati, S.T., M.Sc.</v>
      </c>
      <c r="I32" s="49" t="str">
        <f ca="1">IFERROR(__xludf.DUMMYFUNCTION("""COMPUTED_VALUE"""),"Ir. Muchammad Husni, M.Kom")</f>
        <v>Ir. Muchammad Husni, M.Kom</v>
      </c>
      <c r="J32" s="49"/>
      <c r="K32" s="34" t="s">
        <v>1083</v>
      </c>
      <c r="L32" s="23" t="s">
        <v>1087</v>
      </c>
      <c r="M32" s="19" t="b">
        <v>0</v>
      </c>
      <c r="N32" s="19" t="b">
        <v>1</v>
      </c>
      <c r="O32" s="16" t="s">
        <v>1088</v>
      </c>
      <c r="P32" s="7" t="str">
        <f ca="1">IFERROR(__xludf.DUMMYFUNCTION("iferror(vlookup(B32,importrange(""https://docs.google.com/spreadsheets/d/1boHyJQ4e2FU0QG8MHwEi6qjX4hvZWVCHcFfXjq7bbMc/edit?resourcekey#gid=923248883"",""Prop!$C$1:$M""),12,0),IFERROR(vlookup(B32,importrange(""https://docs.google.com/spreadsheets/d/1boHyJQ"&amp;"4e2FU0QG8MHwEi6qjX4hvZWVCHcFfXjq7bbMc/edit?resourcekey#gid=923248883"",""Prop!$N$1:$X""),11,0),iferror(vlookup(B32,importrange(""https://docs.google.com/spreadsheets/d/1boHyJQ4e2FU0QG8MHwEi6qjX4hvZWVCHcFfXjq7bbMc/edit?resourcekey#gid=923248883"",""Prop!$Y"&amp;"$1:$AI""),11,0),iferror(vlookup(B32,importrange(""https://docs.google.com/spreadsheets/d/1boHyJQ4e2FU0QG8MHwEi6qjX4hvZWVCHcFfXjq7bbMc/edit?resourcekey#gid=923248883"",""Prop!$AJ$1:$AT""),11,0),iferror(vlookup(B32,importrange(""https://docs.google.com/spre"&amp;"adsheets/d/1boHyJQ4e2FU0QG8MHwEi6qjX4hvZWVCHcFfXjq7bbMc/edit?resourcekey#gid=923248883"",""Prop!$AU$1:$BE""),11,0),iferror(vlookup(B32,importrange(""https://docs.google.com/spreadsheets/d/1boHyJQ4e2FU0QG8MHwEi6qjX4hvZWVCHcFfXjq7bbMc/edit?resourcekey#gid=9"&amp;"23248883"",""Prop!$BF$1:$BP""),11,0),iferror(vlookup(B32,importrange(""https://docs.google.com/spreadsheets/d/1boHyJQ4e2FU0QG8MHwEi6qjX4hvZWVCHcFfXjq7bbMc/edit?resourcekey#gid=923248883"",""Prop!$BQ$1:$CA""),11,0),iferror(vlookup(B32,importrange(""https:/"&amp;"/docs.google.com/spreadsheets/d/1boHyJQ4e2FU0QG8MHwEi6qjX4hvZWVCHcFfXjq7bbMc/edit?resourcekey#gid=923248883"",""Prop!$CB$1:$CL""),11,0),iferror(vlookup(B32,importrange(""https://docs.google.com/spreadsheets/d/1boHyJQ4e2FU0QG8MHwEi6qjX4hvZWVCHcFfXjq7bbMc/e"&amp;"dit?resourcekey#gid=923248883"",""Prop!$CM$1:$CX""),12,0),iferror(vlookup(B32,importrange(""https://docs.google.com/spreadsheets/d/1boHyJQ4e2FU0QG8MHwEi6qjX4hvZWVCHcFfXjq7bbMc/edit?resourcekey#gid=923248883"",""Prop!$CV$1:$DI""),11,0)))))))))))"),"https://drive.google.com/open?id=1_OFUy5MC8NDAvNPFpRXTqLyzhTWQpd87")</f>
        <v>https://drive.google.com/open?id=1_OFUy5MC8NDAvNPFpRXTqLyzhTWQpd87</v>
      </c>
      <c r="Q32" s="50" t="str">
        <f ca="1">IFERROR(__xludf.DUMMYFUNCTION("iferror(vlookup(B32,importrange(""https://docs.google.com/spreadsheets/d/1p53T2AuvvIqhP7Nf-bo3Uhj8cbKYRPpZdsrBv3x3bAQ/edit?resourcekey#gid=1321652304"",""Prop!$C$1:$M""),11,0),IFERROR(vlookup(B32,importrange(""https://docs.google.com/spreadsheets/d/1p53T2"&amp;"AuvvIqhP7Nf-bo3Uhj8cbKYRPpZdsrBv3x3bAQ/edit?resourcekey#gid=1321652304"",""Prop!$N$1:$X""),11,0),iferror(vlookup(B32,importrange(""https://docs.google.com/spreadsheets/d/1p53T2AuvvIqhP7Nf-bo3Uhj8cbKYRPpZdsrBv3x3bAQ/edit?resourcekey#gid=1321652304"",""Prop"&amp;"!$Y$1:$AI""),11,0),iferror(vlookup(B32,importrange(""https://docs.google.com/spreadsheets/d/1p53T2AuvvIqhP7Nf-bo3Uhj8cbKYRPpZdsrBv3x3bAQ/edit?resourcekey#gid=1321652304"",""Prop!$AJ$1:$AT""),11,0),iferror(vlookup(B32,importrange(""https://docs.google.com/"&amp;"spreadsheets/d/1p53T2AuvvIqhP7Nf-bo3Uhj8cbKYRPpZdsrBv3x3bAQ/edit?resourcekey#gid=1321652304"",""Prop!$AU$1:$BE""),11,0),iferror(vlookup(B32,importrange(""https://docs.google.com/spreadsheets/d/1p53T2AuvvIqhP7Nf-bo3Uhj8cbKYRPpZdsrBv3x3bAQ/edit?resourcekey#"&amp;"gid=1321652304"",""Prop!$BF$1:$BP""),11,0),iferror(vlookup(B32,importrange(""https://docs.google.com/spreadsheets/d/1p53T2AuvvIqhP7Nf-bo3Uhj8cbKYRPpZdsrBv3x3bAQ/edit?resourcekey#gid=1321652304"",""Prop!$BQ$1:$CA""),11,0),iferror(vlookup(B32,importrange("""&amp;"https://docs.google.com/spreadsheets/d/1p53T2AuvvIqhP7Nf-bo3Uhj8cbKYRPpZdsrBv3x3bAQ/edit?resourcekey#gid=1321652304"",""Prop!$CB$1:$CL""),11,0),iferror(vlookup(B32,importrange(""https://docs.google.com/spreadsheets/d/1p53T2AuvvIqhP7Nf-bo3Uhj8cbKYRPpZdsrBv"&amp;"3x3bAQ/edit?resourcekey#gid=1321652304"",""Prop!$CM$1:$CX""),12,0),iferror(vlookup(B32,importrange(""https://docs.google.com/spreadsheets/d/1p53T2AuvvIqhP7Nf-bo3Uhj8cbKYRPpZdsrBv3x3bAQ/edit?resourcekey#gid=1321652304"",""Prop!$CY$1:$DI""),11,0)))))))))))"),"https://drive.google.com/open?id=1mSBVHuRDzYMFrvzjUA_Fd3VUVf3vu8cC")</f>
        <v>https://drive.google.com/open?id=1mSBVHuRDzYMFrvzjUA_Fd3VUVf3vu8cC</v>
      </c>
      <c r="R32" s="88" t="s">
        <v>1065</v>
      </c>
      <c r="S32" s="20" t="str">
        <f ca="1">IFERROR(__xludf.DUMMYFUNCTION("IFERROR(vlookup(B32,IMPORTRANGE(""https://docs.google.com/spreadsheets/d/1g_jfYYK_KeipEDNDUgqgrsxK94XiocfNQIcP-v1QVhI/edit?resourcekey#gid=233272945"",""Nilai!B:CT""),95,0),"" "")"),"Spasi diperhatikan, masalah yang disampaikan adalah masalah nasional bukan masalah mitra, solusi cenderung hanya telemedicine kurang sesuai, simulasi kelompok, pendampingan secara psikologis dan medis lebih sesuai
")</f>
        <v xml:space="preserve">Spasi diperhatikan, masalah yang disampaikan adalah masalah nasional bukan masalah mitra, solusi cenderung hanya telemedicine kurang sesuai, simulasi kelompok, pendampingan secara psikologis dan medis lebih sesuai
</v>
      </c>
      <c r="T32" s="20" t="str">
        <f ca="1">IFERROR(__xludf.DUMMYFUNCTION("IFERROR(vlookup(B32,IMPORTRANGE(""https://docs.google.com/spreadsheets/d/1g_jfYYK_KeipEDNDUgqgrsxK94XiocfNQIcP-v1QVhI/edit?resourcekey#gid=233272945"",""Nilai!B:CT""),97,0),"" "")"),"TIDAK LAYAK UPLOAD KE SIMBELMAWA")</f>
        <v>TIDAK LAYAK UPLOAD KE SIMBELMAWA</v>
      </c>
      <c r="U32" s="36" t="s">
        <v>825</v>
      </c>
      <c r="V32" s="38" t="str">
        <f ca="1">IFERROR(__xludf.DUMMYFUNCTION("IFERROR(
        vlookup(B32,
                IMPORTRANGE(""https://docs.google.com/spreadsheets/d/1dN4XwmJdILpQh5cYONP2LyBh3ksWo6DCzMrUbN3lo_Q/edit#gid=1905254675"",
                        ""Form Responses 1!F2:I""),
                4,
                f"&amp;"alse))"),"7.2")</f>
        <v>7.2</v>
      </c>
      <c r="W32" s="52" t="s">
        <v>1067</v>
      </c>
      <c r="X32" s="23" t="s">
        <v>1090</v>
      </c>
      <c r="Y32" s="16" t="b">
        <v>1</v>
      </c>
      <c r="Z32" s="16"/>
      <c r="AA32" s="16"/>
      <c r="AB32" s="16"/>
      <c r="AC32" s="16"/>
      <c r="AD32" s="16"/>
      <c r="AE32" s="16"/>
      <c r="AF32" s="16"/>
      <c r="AG32" s="16"/>
      <c r="AH32" s="16"/>
      <c r="AI32" s="16"/>
    </row>
    <row r="33" spans="1:35">
      <c r="A33" s="15">
        <v>31</v>
      </c>
      <c r="B33" s="15">
        <f ca="1">IFERROR(__xludf.DUMMYFUNCTION("""COMPUTED_VALUE"""),2511)</f>
        <v>2511</v>
      </c>
      <c r="C33" s="49" t="str">
        <f ca="1">IFERROR(__xludf.DUMMYFUNCTION("""COMPUTED_VALUE"""),"BAKTIAS FITRIANI")</f>
        <v>BAKTIAS FITRIANI</v>
      </c>
      <c r="D33" s="49" t="str">
        <f ca="1">IFERROR(__xludf.DUMMYFUNCTION("""COMPUTED_VALUE"""),"2041201081")</f>
        <v>2041201081</v>
      </c>
      <c r="E33" s="49" t="str">
        <f ca="1">IFERROR(__xludf.DUMMYFUNCTION("""COMPUTED_VALUE"""),"Departemen Teknik Kimia Industri")</f>
        <v>Departemen Teknik Kimia Industri</v>
      </c>
      <c r="F33" s="49" t="str">
        <f ca="1">IFERROR(__xludf.DUMMYFUNCTION("""COMPUTED_VALUE"""),"Pemberdayaan Ibu PKK Desa Ngebong melalui Pelatihan Pembuatan Tempe Berbahan Dasar Leucaena Leucocephala sebagai Usaha Skala Rumah Tangga")</f>
        <v>Pemberdayaan Ibu PKK Desa Ngebong melalui Pelatihan Pembuatan Tempe Berbahan Dasar Leucaena Leucocephala sebagai Usaha Skala Rumah Tangga</v>
      </c>
      <c r="G33" s="49" t="str">
        <f ca="1">IFERROR(__xludf.DUMMYFUNCTION("""COMPUTED_VALUE"""),"Prof. Dr. Ir. Soeprijanto, M.Sc.")</f>
        <v>Prof. Dr. Ir. Soeprijanto, M.Sc.</v>
      </c>
      <c r="H33" s="49" t="str">
        <f ca="1">IFERROR(__xludf.DUMMYFUNCTION("""COMPUTED_VALUE"""),"Dr.-Ing. Doty Dewi Risanti, S.T., M.T.")</f>
        <v>Dr.-Ing. Doty Dewi Risanti, S.T., M.T.</v>
      </c>
      <c r="I33" s="49" t="str">
        <f ca="1">IFERROR(__xludf.DUMMYFUNCTION("""COMPUTED_VALUE"""),"Mahardika F. Rois, S.T, M.T")</f>
        <v>Mahardika F. Rois, S.T, M.T</v>
      </c>
      <c r="J33" s="49"/>
      <c r="K33" s="34" t="s">
        <v>1083</v>
      </c>
      <c r="L33" s="23" t="s">
        <v>1091</v>
      </c>
      <c r="M33" s="19" t="b">
        <v>1</v>
      </c>
      <c r="N33" s="19" t="b">
        <v>1</v>
      </c>
      <c r="O33" s="16" t="s">
        <v>1088</v>
      </c>
      <c r="P33" s="7" t="str">
        <f ca="1">IFERROR(__xludf.DUMMYFUNCTION("iferror(vlookup(B33,importrange(""https://docs.google.com/spreadsheets/d/1boHyJQ4e2FU0QG8MHwEi6qjX4hvZWVCHcFfXjq7bbMc/edit?resourcekey#gid=923248883"",""Prop!$C$1:$M""),12,0),IFERROR(vlookup(B33,importrange(""https://docs.google.com/spreadsheets/d/1boHyJQ"&amp;"4e2FU0QG8MHwEi6qjX4hvZWVCHcFfXjq7bbMc/edit?resourcekey#gid=923248883"",""Prop!$N$1:$X""),11,0),iferror(vlookup(B33,importrange(""https://docs.google.com/spreadsheets/d/1boHyJQ4e2FU0QG8MHwEi6qjX4hvZWVCHcFfXjq7bbMc/edit?resourcekey#gid=923248883"",""Prop!$Y"&amp;"$1:$AI""),11,0),iferror(vlookup(B33,importrange(""https://docs.google.com/spreadsheets/d/1boHyJQ4e2FU0QG8MHwEi6qjX4hvZWVCHcFfXjq7bbMc/edit?resourcekey#gid=923248883"",""Prop!$AJ$1:$AT""),11,0),iferror(vlookup(B33,importrange(""https://docs.google.com/spre"&amp;"adsheets/d/1boHyJQ4e2FU0QG8MHwEi6qjX4hvZWVCHcFfXjq7bbMc/edit?resourcekey#gid=923248883"",""Prop!$AU$1:$BE""),11,0),iferror(vlookup(B33,importrange(""https://docs.google.com/spreadsheets/d/1boHyJQ4e2FU0QG8MHwEi6qjX4hvZWVCHcFfXjq7bbMc/edit?resourcekey#gid=9"&amp;"23248883"",""Prop!$BF$1:$BP""),11,0),iferror(vlookup(B33,importrange(""https://docs.google.com/spreadsheets/d/1boHyJQ4e2FU0QG8MHwEi6qjX4hvZWVCHcFfXjq7bbMc/edit?resourcekey#gid=923248883"",""Prop!$BQ$1:$CA""),11,0),iferror(vlookup(B33,importrange(""https:/"&amp;"/docs.google.com/spreadsheets/d/1boHyJQ4e2FU0QG8MHwEi6qjX4hvZWVCHcFfXjq7bbMc/edit?resourcekey#gid=923248883"",""Prop!$CB$1:$CL""),11,0),iferror(vlookup(B33,importrange(""https://docs.google.com/spreadsheets/d/1boHyJQ4e2FU0QG8MHwEi6qjX4hvZWVCHcFfXjq7bbMc/e"&amp;"dit?resourcekey#gid=923248883"",""Prop!$CM$1:$CX""),12,0),iferror(vlookup(B33,importrange(""https://docs.google.com/spreadsheets/d/1boHyJQ4e2FU0QG8MHwEi6qjX4hvZWVCHcFfXjq7bbMc/edit?resourcekey#gid=923248883"",""Prop!$CV$1:$DI""),11,0)))))))))))"),"https://drive.google.com/open?id=1w8cF7E-_4-M1-z7X3CrjKsWs7Gy8MLNG")</f>
        <v>https://drive.google.com/open?id=1w8cF7E-_4-M1-z7X3CrjKsWs7Gy8MLNG</v>
      </c>
      <c r="Q33" s="50" t="str">
        <f ca="1">IFERROR(__xludf.DUMMYFUNCTION("iferror(vlookup(B33,importrange(""https://docs.google.com/spreadsheets/d/1p53T2AuvvIqhP7Nf-bo3Uhj8cbKYRPpZdsrBv3x3bAQ/edit?resourcekey#gid=1321652304"",""Prop!$C$1:$M""),11,0),IFERROR(vlookup(B33,importrange(""https://docs.google.com/spreadsheets/d/1p53T2"&amp;"AuvvIqhP7Nf-bo3Uhj8cbKYRPpZdsrBv3x3bAQ/edit?resourcekey#gid=1321652304"",""Prop!$N$1:$X""),11,0),iferror(vlookup(B33,importrange(""https://docs.google.com/spreadsheets/d/1p53T2AuvvIqhP7Nf-bo3Uhj8cbKYRPpZdsrBv3x3bAQ/edit?resourcekey#gid=1321652304"",""Prop"&amp;"!$Y$1:$AI""),11,0),iferror(vlookup(B33,importrange(""https://docs.google.com/spreadsheets/d/1p53T2AuvvIqhP7Nf-bo3Uhj8cbKYRPpZdsrBv3x3bAQ/edit?resourcekey#gid=1321652304"",""Prop!$AJ$1:$AT""),11,0),iferror(vlookup(B33,importrange(""https://docs.google.com/"&amp;"spreadsheets/d/1p53T2AuvvIqhP7Nf-bo3Uhj8cbKYRPpZdsrBv3x3bAQ/edit?resourcekey#gid=1321652304"",""Prop!$AU$1:$BE""),11,0),iferror(vlookup(B33,importrange(""https://docs.google.com/spreadsheets/d/1p53T2AuvvIqhP7Nf-bo3Uhj8cbKYRPpZdsrBv3x3bAQ/edit?resourcekey#"&amp;"gid=1321652304"",""Prop!$BF$1:$BP""),11,0),iferror(vlookup(B33,importrange(""https://docs.google.com/spreadsheets/d/1p53T2AuvvIqhP7Nf-bo3Uhj8cbKYRPpZdsrBv3x3bAQ/edit?resourcekey#gid=1321652304"",""Prop!$BQ$1:$CA""),11,0),iferror(vlookup(B33,importrange("""&amp;"https://docs.google.com/spreadsheets/d/1p53T2AuvvIqhP7Nf-bo3Uhj8cbKYRPpZdsrBv3x3bAQ/edit?resourcekey#gid=1321652304"",""Prop!$CB$1:$CL""),11,0),iferror(vlookup(B33,importrange(""https://docs.google.com/spreadsheets/d/1p53T2AuvvIqhP7Nf-bo3Uhj8cbKYRPpZdsrBv"&amp;"3x3bAQ/edit?resourcekey#gid=1321652304"",""Prop!$CM$1:$CX""),12,0),iferror(vlookup(B33,importrange(""https://docs.google.com/spreadsheets/d/1p53T2AuvvIqhP7Nf-bo3Uhj8cbKYRPpZdsrBv3x3bAQ/edit?resourcekey#gid=1321652304"",""Prop!$CY$1:$DI""),11,0)))))))))))"),"https://drive.google.com/open?id=1yDAQGh9tL4yRhC7TCHYkeJUrRzOfBSrM")</f>
        <v>https://drive.google.com/open?id=1yDAQGh9tL4yRhC7TCHYkeJUrRzOfBSrM</v>
      </c>
      <c r="R33" s="88" t="s">
        <v>1065</v>
      </c>
      <c r="S33" s="20" t="str">
        <f ca="1">IFERROR(__xludf.DUMMYFUNCTION("IFERROR(vlookup(B33,IMPORTRANGE(""https://docs.google.com/spreadsheets/d/1g_jfYYK_KeipEDNDUgqgrsxK94XiocfNQIcP-v1QVhI/edit?resourcekey#gid=233272945"",""Nilai!B:CT""),95,0),"" "")"),"Latar belakang perlu lebih dijelaskan masalah mitra daripada masalah nasional, profil mitra sangat kurang, metode terlalu sederhana dan sangat kental dengan metode daring")</f>
        <v>Latar belakang perlu lebih dijelaskan masalah mitra daripada masalah nasional, profil mitra sangat kurang, metode terlalu sederhana dan sangat kental dengan metode daring</v>
      </c>
      <c r="T33" s="20" t="str">
        <f ca="1">IFERROR(__xludf.DUMMYFUNCTION("IFERROR(vlookup(B33,IMPORTRANGE(""https://docs.google.com/spreadsheets/d/1g_jfYYK_KeipEDNDUgqgrsxK94XiocfNQIcP-v1QVhI/edit?resourcekey#gid=233272945"",""Nilai!B:CT""),97,0),"" "")"),"LAYAK UPLOAD KE SIMBELMAWA DENGAN REVISI")</f>
        <v>LAYAK UPLOAD KE SIMBELMAWA DENGAN REVISI</v>
      </c>
      <c r="U33" s="36" t="s">
        <v>825</v>
      </c>
      <c r="V33" s="38" t="str">
        <f ca="1">IFERROR(__xludf.DUMMYFUNCTION("IFERROR(
        vlookup(B33,
                IMPORTRANGE(""https://docs.google.com/spreadsheets/d/1dN4XwmJdILpQh5cYONP2LyBh3ksWo6DCzMrUbN3lo_Q/edit#gid=1905254675"",
                        ""Form Responses 1!F2:I""),
                4,
                f"&amp;"alse))"),"84,1 km")</f>
        <v>84,1 km</v>
      </c>
      <c r="W33" s="52" t="s">
        <v>1067</v>
      </c>
      <c r="X33" s="23" t="s">
        <v>1090</v>
      </c>
      <c r="Y33" s="16" t="b">
        <v>1</v>
      </c>
      <c r="Z33" s="16"/>
      <c r="AA33" s="16"/>
      <c r="AB33" s="16"/>
      <c r="AC33" s="16"/>
      <c r="AD33" s="16"/>
      <c r="AE33" s="16"/>
      <c r="AF33" s="16"/>
      <c r="AG33" s="16"/>
      <c r="AH33" s="16"/>
      <c r="AI33" s="16"/>
    </row>
    <row r="34" spans="1:35">
      <c r="A34" s="15">
        <v>32</v>
      </c>
      <c r="B34" s="15">
        <f ca="1">IFERROR(__xludf.DUMMYFUNCTION("""COMPUTED_VALUE"""),3932)</f>
        <v>3932</v>
      </c>
      <c r="C34" s="49" t="str">
        <f ca="1">IFERROR(__xludf.DUMMYFUNCTION("""COMPUTED_VALUE"""),"SEMBAYU JATI PAMUNGKAS")</f>
        <v>SEMBAYU JATI PAMUNGKAS</v>
      </c>
      <c r="D34" s="49" t="str">
        <f ca="1">IFERROR(__xludf.DUMMYFUNCTION("""COMPUTED_VALUE"""),"2040201136")</f>
        <v>2040201136</v>
      </c>
      <c r="E34" s="49" t="str">
        <f ca="1">IFERROR(__xludf.DUMMYFUNCTION("""COMPUTED_VALUE"""),"Departemen Teknik Elektro Otomasi")</f>
        <v>Departemen Teknik Elektro Otomasi</v>
      </c>
      <c r="F34" s="49" t="str">
        <f ca="1">IFERROR(__xludf.DUMMYFUNCTION("""COMPUTED_VALUE"""),"Instalasi Mikro Hidro Power sebagai Sumber Tenaga Listrik Penggerak Pompa Air di Desa Telemung Kecamatan Kalipuro Kabupaten Banyuwangi")</f>
        <v>Instalasi Mikro Hidro Power sebagai Sumber Tenaga Listrik Penggerak Pompa Air di Desa Telemung Kecamatan Kalipuro Kabupaten Banyuwangi</v>
      </c>
      <c r="G34" s="49" t="str">
        <f ca="1">IFERROR(__xludf.DUMMYFUNCTION("""COMPUTED_VALUE"""),"Ciptian Weried Priananda, S.ST., M.T.")</f>
        <v>Ciptian Weried Priananda, S.ST., M.T.</v>
      </c>
      <c r="H34" s="49" t="str">
        <f ca="1">IFERROR(__xludf.DUMMYFUNCTION("""COMPUTED_VALUE"""),"Hertiari Idajati, S.T., M.Sc.")</f>
        <v>Hertiari Idajati, S.T., M.Sc.</v>
      </c>
      <c r="I34" s="49" t="str">
        <f ca="1">IFERROR(__xludf.DUMMYFUNCTION("""COMPUTED_VALUE"""),"Dr. Afan Hamzah, S.T.")</f>
        <v>Dr. Afan Hamzah, S.T.</v>
      </c>
      <c r="J34" s="49"/>
      <c r="K34" s="34" t="s">
        <v>1083</v>
      </c>
      <c r="L34" s="23" t="s">
        <v>1091</v>
      </c>
      <c r="M34" s="19" t="b">
        <v>0</v>
      </c>
      <c r="N34" s="19" t="b">
        <v>0</v>
      </c>
      <c r="O34" s="16" t="s">
        <v>1092</v>
      </c>
      <c r="P34" s="1" t="str">
        <f ca="1">IFERROR(__xludf.DUMMYFUNCTION("iferror(vlookup(B34,importrange(""https://docs.google.com/spreadsheets/d/1boHyJQ4e2FU0QG8MHwEi6qjX4hvZWVCHcFfXjq7bbMc/edit?resourcekey#gid=923248883"",""Prop!$C$1:$M""),12,0),IFERROR(vlookup(B34,importrange(""https://docs.google.com/spreadsheets/d/1boHyJQ"&amp;"4e2FU0QG8MHwEi6qjX4hvZWVCHcFfXjq7bbMc/edit?resourcekey#gid=923248883"",""Prop!$N$1:$X""),11,0),iferror(vlookup(B34,importrange(""https://docs.google.com/spreadsheets/d/1boHyJQ4e2FU0QG8MHwEi6qjX4hvZWVCHcFfXjq7bbMc/edit?resourcekey#gid=923248883"",""Prop!$Y"&amp;"$1:$AI""),11,0),iferror(vlookup(B34,importrange(""https://docs.google.com/spreadsheets/d/1boHyJQ4e2FU0QG8MHwEi6qjX4hvZWVCHcFfXjq7bbMc/edit?resourcekey#gid=923248883"",""Prop!$AJ$1:$AT""),11,0),iferror(vlookup(B34,importrange(""https://docs.google.com/spre"&amp;"adsheets/d/1boHyJQ4e2FU0QG8MHwEi6qjX4hvZWVCHcFfXjq7bbMc/edit?resourcekey#gid=923248883"",""Prop!$AU$1:$BE""),11,0),iferror(vlookup(B34,importrange(""https://docs.google.com/spreadsheets/d/1boHyJQ4e2FU0QG8MHwEi6qjX4hvZWVCHcFfXjq7bbMc/edit?resourcekey#gid=9"&amp;"23248883"",""Prop!$BF$1:$BP""),11,0),iferror(vlookup(B34,importrange(""https://docs.google.com/spreadsheets/d/1boHyJQ4e2FU0QG8MHwEi6qjX4hvZWVCHcFfXjq7bbMc/edit?resourcekey#gid=923248883"",""Prop!$BQ$1:$CA""),11,0),iferror(vlookup(B34,importrange(""https:/"&amp;"/docs.google.com/spreadsheets/d/1boHyJQ4e2FU0QG8MHwEi6qjX4hvZWVCHcFfXjq7bbMc/edit?resourcekey#gid=923248883"",""Prop!$CB$1:$CL""),11,0),iferror(vlookup(B34,importrange(""https://docs.google.com/spreadsheets/d/1boHyJQ4e2FU0QG8MHwEi6qjX4hvZWVCHcFfXjq7bbMc/e"&amp;"dit?resourcekey#gid=923248883"",""Prop!$CM$1:$CX""),12,0),iferror(vlookup(B34,importrange(""https://docs.google.com/spreadsheets/d/1boHyJQ4e2FU0QG8MHwEi6qjX4hvZWVCHcFfXjq7bbMc/edit?resourcekey#gid=923248883"",""Prop!$CV$1:$DI""),11,0)))))))))))"),"")</f>
        <v/>
      </c>
      <c r="Q34" s="50" t="str">
        <f ca="1">IFERROR(__xludf.DUMMYFUNCTION("iferror(vlookup(B34,importrange(""https://docs.google.com/spreadsheets/d/1p53T2AuvvIqhP7Nf-bo3Uhj8cbKYRPpZdsrBv3x3bAQ/edit?resourcekey#gid=1321652304"",""Prop!$C$1:$M""),11,0),IFERROR(vlookup(B34,importrange(""https://docs.google.com/spreadsheets/d/1p53T2"&amp;"AuvvIqhP7Nf-bo3Uhj8cbKYRPpZdsrBv3x3bAQ/edit?resourcekey#gid=1321652304"",""Prop!$N$1:$X""),11,0),iferror(vlookup(B34,importrange(""https://docs.google.com/spreadsheets/d/1p53T2AuvvIqhP7Nf-bo3Uhj8cbKYRPpZdsrBv3x3bAQ/edit?resourcekey#gid=1321652304"",""Prop"&amp;"!$Y$1:$AI""),11,0),iferror(vlookup(B34,importrange(""https://docs.google.com/spreadsheets/d/1p53T2AuvvIqhP7Nf-bo3Uhj8cbKYRPpZdsrBv3x3bAQ/edit?resourcekey#gid=1321652304"",""Prop!$AJ$1:$AT""),11,0),iferror(vlookup(B34,importrange(""https://docs.google.com/"&amp;"spreadsheets/d/1p53T2AuvvIqhP7Nf-bo3Uhj8cbKYRPpZdsrBv3x3bAQ/edit?resourcekey#gid=1321652304"",""Prop!$AU$1:$BE""),11,0),iferror(vlookup(B34,importrange(""https://docs.google.com/spreadsheets/d/1p53T2AuvvIqhP7Nf-bo3Uhj8cbKYRPpZdsrBv3x3bAQ/edit?resourcekey#"&amp;"gid=1321652304"",""Prop!$BF$1:$BP""),11,0),iferror(vlookup(B34,importrange(""https://docs.google.com/spreadsheets/d/1p53T2AuvvIqhP7Nf-bo3Uhj8cbKYRPpZdsrBv3x3bAQ/edit?resourcekey#gid=1321652304"",""Prop!$BQ$1:$CA""),11,0),iferror(vlookup(B34,importrange("""&amp;"https://docs.google.com/spreadsheets/d/1p53T2AuvvIqhP7Nf-bo3Uhj8cbKYRPpZdsrBv3x3bAQ/edit?resourcekey#gid=1321652304"",""Prop!$CB$1:$CL""),11,0),iferror(vlookup(B34,importrange(""https://docs.google.com/spreadsheets/d/1p53T2AuvvIqhP7Nf-bo3Uhj8cbKYRPpZdsrBv"&amp;"3x3bAQ/edit?resourcekey#gid=1321652304"",""Prop!$CM$1:$CX""),12,0),iferror(vlookup(B34,importrange(""https://docs.google.com/spreadsheets/d/1p53T2AuvvIqhP7Nf-bo3Uhj8cbKYRPpZdsrBv3x3bAQ/edit?resourcekey#gid=1321652304"",""Prop!$CY$1:$DI""),11,0)))))))))))"),"")</f>
        <v/>
      </c>
      <c r="R34" s="88" t="s">
        <v>1065</v>
      </c>
      <c r="S34" s="20" t="str">
        <f ca="1">IFERROR(__xludf.DUMMYFUNCTION("IFERROR(vlookup(B34,IMPORTRANGE(""https://docs.google.com/spreadsheets/d/1g_jfYYK_KeipEDNDUgqgrsxK94XiocfNQIcP-v1QVhI/edit?resourcekey#gid=233272945"",""Nilai!B:CT""),95,0),"" "")")," ")</f>
        <v xml:space="preserve"> </v>
      </c>
      <c r="T34" s="20" t="str">
        <f ca="1">IFERROR(__xludf.DUMMYFUNCTION("IFERROR(vlookup(B34,IMPORTRANGE(""https://docs.google.com/spreadsheets/d/1g_jfYYK_KeipEDNDUgqgrsxK94XiocfNQIcP-v1QVhI/edit?resourcekey#gid=233272945"",""Nilai!B:CT""),97,0),"" "")")," ")</f>
        <v xml:space="preserve"> </v>
      </c>
      <c r="U34" s="36" t="s">
        <v>825</v>
      </c>
      <c r="V34" s="38" t="str">
        <f ca="1">IFERROR(__xludf.DUMMYFUNCTION("IFERROR(
        vlookup(B34,
                IMPORTRANGE(""https://docs.google.com/spreadsheets/d/1dN4XwmJdILpQh5cYONP2LyBh3ksWo6DCzMrUbN3lo_Q/edit#gid=1905254675"",
                        ""Form Responses 1!F2:I""),
                4,
                f"&amp;"alse))"),"")</f>
        <v/>
      </c>
      <c r="W34" s="52" t="s">
        <v>1067</v>
      </c>
      <c r="X34" s="23" t="s">
        <v>1090</v>
      </c>
      <c r="Y34" s="16" t="b">
        <v>0</v>
      </c>
      <c r="Z34" s="16"/>
      <c r="AA34" s="16"/>
      <c r="AB34" s="16"/>
      <c r="AC34" s="16"/>
      <c r="AD34" s="16"/>
      <c r="AE34" s="16"/>
      <c r="AF34" s="16"/>
      <c r="AG34" s="16"/>
      <c r="AH34" s="16"/>
      <c r="AI34" s="16"/>
    </row>
    <row r="35" spans="1:35">
      <c r="A35" s="15">
        <v>33</v>
      </c>
      <c r="B35" s="15">
        <f ca="1">IFERROR(__xludf.DUMMYFUNCTION("""COMPUTED_VALUE"""),2527)</f>
        <v>2527</v>
      </c>
      <c r="C35" s="49" t="str">
        <f ca="1">IFERROR(__xludf.DUMMYFUNCTION("""COMPUTED_VALUE"""),"Mochammad Adri Satria Musti")</f>
        <v>Mochammad Adri Satria Musti</v>
      </c>
      <c r="D35" s="49" t="str">
        <f ca="1">IFERROR(__xludf.DUMMYFUNCTION("""COMPUTED_VALUE"""),"07111940000002")</f>
        <v>07111940000002</v>
      </c>
      <c r="E35" s="49" t="str">
        <f ca="1">IFERROR(__xludf.DUMMYFUNCTION("""COMPUTED_VALUE"""),"Departemen Teknik Elektro")</f>
        <v>Departemen Teknik Elektro</v>
      </c>
      <c r="F35" s="49" t="str">
        <f ca="1">IFERROR(__xludf.DUMMYFUNCTION("""COMPUTED_VALUE"""),"Media Pembelajaran Interaktif Coding 'Bahasa C' untuk Anak SDN Keputih Berbasis Aplikasi Augmented Reality
dalam Menyongsong Era Society 5.0")</f>
        <v>Media Pembelajaran Interaktif Coding 'Bahasa C' untuk Anak SDN Keputih Berbasis Aplikasi Augmented Reality
dalam Menyongsong Era Society 5.0</v>
      </c>
      <c r="G35" s="49" t="str">
        <f ca="1">IFERROR(__xludf.DUMMYFUNCTION("""COMPUTED_VALUE"""),"Dr. Dimas Fajar Uman Putra, S.T., M.T.")</f>
        <v>Dr. Dimas Fajar Uman Putra, S.T., M.T.</v>
      </c>
      <c r="H35" s="49" t="str">
        <f ca="1">IFERROR(__xludf.DUMMYFUNCTION("""COMPUTED_VALUE"""),"Hertiari Idajati, S.T., M.Sc.")</f>
        <v>Hertiari Idajati, S.T., M.Sc.</v>
      </c>
      <c r="I35" s="49" t="str">
        <f ca="1">IFERROR(__xludf.DUMMYFUNCTION("""COMPUTED_VALUE"""),"Ir. Muchammad Husni, M.Kom")</f>
        <v>Ir. Muchammad Husni, M.Kom</v>
      </c>
      <c r="J35" s="49"/>
      <c r="K35" s="34" t="s">
        <v>1083</v>
      </c>
      <c r="L35" s="23" t="s">
        <v>1091</v>
      </c>
      <c r="M35" s="19" t="b">
        <v>0</v>
      </c>
      <c r="N35" s="19" t="b">
        <v>0</v>
      </c>
      <c r="O35" s="16" t="s">
        <v>1092</v>
      </c>
      <c r="P35" s="7" t="str">
        <f ca="1">IFERROR(__xludf.DUMMYFUNCTION("iferror(vlookup(B35,importrange(""https://docs.google.com/spreadsheets/d/1boHyJQ4e2FU0QG8MHwEi6qjX4hvZWVCHcFfXjq7bbMc/edit?resourcekey#gid=923248883"",""Prop!$C$1:$M""),12,0),IFERROR(vlookup(B35,importrange(""https://docs.google.com/spreadsheets/d/1boHyJQ"&amp;"4e2FU0QG8MHwEi6qjX4hvZWVCHcFfXjq7bbMc/edit?resourcekey#gid=923248883"",""Prop!$N$1:$X""),11,0),iferror(vlookup(B35,importrange(""https://docs.google.com/spreadsheets/d/1boHyJQ4e2FU0QG8MHwEi6qjX4hvZWVCHcFfXjq7bbMc/edit?resourcekey#gid=923248883"",""Prop!$Y"&amp;"$1:$AI""),11,0),iferror(vlookup(B35,importrange(""https://docs.google.com/spreadsheets/d/1boHyJQ4e2FU0QG8MHwEi6qjX4hvZWVCHcFfXjq7bbMc/edit?resourcekey#gid=923248883"",""Prop!$AJ$1:$AT""),11,0),iferror(vlookup(B35,importrange(""https://docs.google.com/spre"&amp;"adsheets/d/1boHyJQ4e2FU0QG8MHwEi6qjX4hvZWVCHcFfXjq7bbMc/edit?resourcekey#gid=923248883"",""Prop!$AU$1:$BE""),11,0),iferror(vlookup(B35,importrange(""https://docs.google.com/spreadsheets/d/1boHyJQ4e2FU0QG8MHwEi6qjX4hvZWVCHcFfXjq7bbMc/edit?resourcekey#gid=9"&amp;"23248883"",""Prop!$BF$1:$BP""),11,0),iferror(vlookup(B35,importrange(""https://docs.google.com/spreadsheets/d/1boHyJQ4e2FU0QG8MHwEi6qjX4hvZWVCHcFfXjq7bbMc/edit?resourcekey#gid=923248883"",""Prop!$BQ$1:$CA""),11,0),iferror(vlookup(B35,importrange(""https:/"&amp;"/docs.google.com/spreadsheets/d/1boHyJQ4e2FU0QG8MHwEi6qjX4hvZWVCHcFfXjq7bbMc/edit?resourcekey#gid=923248883"",""Prop!$CB$1:$CL""),11,0),iferror(vlookup(B35,importrange(""https://docs.google.com/spreadsheets/d/1boHyJQ4e2FU0QG8MHwEi6qjX4hvZWVCHcFfXjq7bbMc/e"&amp;"dit?resourcekey#gid=923248883"",""Prop!$CM$1:$CX""),12,0),iferror(vlookup(B35,importrange(""https://docs.google.com/spreadsheets/d/1boHyJQ4e2FU0QG8MHwEi6qjX4hvZWVCHcFfXjq7bbMc/edit?resourcekey#gid=923248883"",""Prop!$CV$1:$DI""),11,0)))))))))))"),"https://drive.google.com/open?id=1gq2LZfVrNDxT4YdjIkWYjAMQbNa-JBG5")</f>
        <v>https://drive.google.com/open?id=1gq2LZfVrNDxT4YdjIkWYjAMQbNa-JBG5</v>
      </c>
      <c r="Q35" s="50" t="str">
        <f ca="1">IFERROR(__xludf.DUMMYFUNCTION("iferror(vlookup(B35,importrange(""https://docs.google.com/spreadsheets/d/1p53T2AuvvIqhP7Nf-bo3Uhj8cbKYRPpZdsrBv3x3bAQ/edit?resourcekey#gid=1321652304"",""Prop!$C$1:$M""),11,0),IFERROR(vlookup(B35,importrange(""https://docs.google.com/spreadsheets/d/1p53T2"&amp;"AuvvIqhP7Nf-bo3Uhj8cbKYRPpZdsrBv3x3bAQ/edit?resourcekey#gid=1321652304"",""Prop!$N$1:$X""),11,0),iferror(vlookup(B35,importrange(""https://docs.google.com/spreadsheets/d/1p53T2AuvvIqhP7Nf-bo3Uhj8cbKYRPpZdsrBv3x3bAQ/edit?resourcekey#gid=1321652304"",""Prop"&amp;"!$Y$1:$AI""),11,0),iferror(vlookup(B35,importrange(""https://docs.google.com/spreadsheets/d/1p53T2AuvvIqhP7Nf-bo3Uhj8cbKYRPpZdsrBv3x3bAQ/edit?resourcekey#gid=1321652304"",""Prop!$AJ$1:$AT""),11,0),iferror(vlookup(B35,importrange(""https://docs.google.com/"&amp;"spreadsheets/d/1p53T2AuvvIqhP7Nf-bo3Uhj8cbKYRPpZdsrBv3x3bAQ/edit?resourcekey#gid=1321652304"",""Prop!$AU$1:$BE""),11,0),iferror(vlookup(B35,importrange(""https://docs.google.com/spreadsheets/d/1p53T2AuvvIqhP7Nf-bo3Uhj8cbKYRPpZdsrBv3x3bAQ/edit?resourcekey#"&amp;"gid=1321652304"",""Prop!$BF$1:$BP""),11,0),iferror(vlookup(B35,importrange(""https://docs.google.com/spreadsheets/d/1p53T2AuvvIqhP7Nf-bo3Uhj8cbKYRPpZdsrBv3x3bAQ/edit?resourcekey#gid=1321652304"",""Prop!$BQ$1:$CA""),11,0),iferror(vlookup(B35,importrange("""&amp;"https://docs.google.com/spreadsheets/d/1p53T2AuvvIqhP7Nf-bo3Uhj8cbKYRPpZdsrBv3x3bAQ/edit?resourcekey#gid=1321652304"",""Prop!$CB$1:$CL""),11,0),iferror(vlookup(B35,importrange(""https://docs.google.com/spreadsheets/d/1p53T2AuvvIqhP7Nf-bo3Uhj8cbKYRPpZdsrBv"&amp;"3x3bAQ/edit?resourcekey#gid=1321652304"",""Prop!$CM$1:$CX""),12,0),iferror(vlookup(B35,importrange(""https://docs.google.com/spreadsheets/d/1p53T2AuvvIqhP7Nf-bo3Uhj8cbKYRPpZdsrBv3x3bAQ/edit?resourcekey#gid=1321652304"",""Prop!$CY$1:$DI""),11,0)))))))))))"),"https://drive.google.com/open?id=1oePYwq9QAqPeTVYIvQ8ZPzi4jJXncwXK")</f>
        <v>https://drive.google.com/open?id=1oePYwq9QAqPeTVYIvQ8ZPzi4jJXncwXK</v>
      </c>
      <c r="R35" s="88" t="s">
        <v>1065</v>
      </c>
      <c r="S35" s="20" t="str">
        <f ca="1">IFERROR(__xludf.DUMMYFUNCTION("IFERROR(vlookup(B35,IMPORTRANGE(""https://docs.google.com/spreadsheets/d/1g_jfYYK_KeipEDNDUgqgrsxK94XiocfNQIcP-v1QVhI/edit?resourcekey#gid=233272945"",""Nilai!B:CT""),95,0),"" "")"),"Permasalahan masih narasi, belum tampak sesuai dengan mitra terutama coding, mitra belum jelas guru atau siswa, proposal belum selesai format masih banyak kesalahan")</f>
        <v>Permasalahan masih narasi, belum tampak sesuai dengan mitra terutama coding, mitra belum jelas guru atau siswa, proposal belum selesai format masih banyak kesalahan</v>
      </c>
      <c r="T35" s="20" t="str">
        <f ca="1">IFERROR(__xludf.DUMMYFUNCTION("IFERROR(vlookup(B35,IMPORTRANGE(""https://docs.google.com/spreadsheets/d/1g_jfYYK_KeipEDNDUgqgrsxK94XiocfNQIcP-v1QVhI/edit?resourcekey#gid=233272945"",""Nilai!B:CT""),97,0),"" "")"),"TIDAK LAYAK UPLOAD KE SIMBELMAWA")</f>
        <v>TIDAK LAYAK UPLOAD KE SIMBELMAWA</v>
      </c>
      <c r="U35" s="36" t="s">
        <v>825</v>
      </c>
      <c r="V35" s="38">
        <f ca="1">IFERROR(__xludf.DUMMYFUNCTION("IFERROR(
        vlookup(B35,
                IMPORTRANGE(""https://docs.google.com/spreadsheets/d/1dN4XwmJdILpQh5cYONP2LyBh3ksWo6DCzMrUbN3lo_Q/edit#gid=1905254675"",
                        ""Form Responses 1!F2:I""),
                4,
                f"&amp;"alse))"),1.6)</f>
        <v>1.6</v>
      </c>
      <c r="W35" s="52" t="s">
        <v>1067</v>
      </c>
      <c r="X35" s="23" t="s">
        <v>1093</v>
      </c>
      <c r="Y35" s="16" t="b">
        <v>0</v>
      </c>
      <c r="Z35" s="16"/>
      <c r="AA35" s="16"/>
      <c r="AB35" s="16"/>
      <c r="AC35" s="16"/>
      <c r="AD35" s="16"/>
      <c r="AE35" s="16"/>
      <c r="AF35" s="16"/>
      <c r="AG35" s="16"/>
      <c r="AH35" s="16"/>
      <c r="AI35" s="16"/>
    </row>
    <row r="36" spans="1:35">
      <c r="A36" s="15">
        <v>34</v>
      </c>
      <c r="B36" s="15">
        <f ca="1">IFERROR(__xludf.DUMMYFUNCTION("""COMPUTED_VALUE"""),3979)</f>
        <v>3979</v>
      </c>
      <c r="C36" s="49" t="str">
        <f ca="1">IFERROR(__xludf.DUMMYFUNCTION("""COMPUTED_VALUE"""),"SEKAR KINANTHIANI")</f>
        <v>SEKAR KINANTHIANI</v>
      </c>
      <c r="D36" s="49" t="str">
        <f ca="1">IFERROR(__xludf.DUMMYFUNCTION("""COMPUTED_VALUE"""),"5029211019")</f>
        <v>5029211019</v>
      </c>
      <c r="E36" s="49" t="str">
        <f ca="1">IFERROR(__xludf.DUMMYFUNCTION("""COMPUTED_VALUE"""),"Departemen Desain Interior")</f>
        <v>Departemen Desain Interior</v>
      </c>
      <c r="F36" s="49" t="str">
        <f ca="1">IFERROR(__xludf.DUMMYFUNCTION("""COMPUTED_VALUE"""),"Daur Ulang Sampah Bekas Kemasan Menjadi Kerajinan Furnitur Sebagai Pengembangan Kecerdasan Spasial Anak-anak Panti Asuhan Yatim Cahaya Insani Surabaya")</f>
        <v>Daur Ulang Sampah Bekas Kemasan Menjadi Kerajinan Furnitur Sebagai Pengembangan Kecerdasan Spasial Anak-anak Panti Asuhan Yatim Cahaya Insani Surabaya</v>
      </c>
      <c r="G36" s="49" t="str">
        <f ca="1">IFERROR(__xludf.DUMMYFUNCTION("""COMPUTED_VALUE"""),"Aria Weny Anggraita, ST, MMT")</f>
        <v>Aria Weny Anggraita, ST, MMT</v>
      </c>
      <c r="H36" s="49" t="str">
        <f ca="1">IFERROR(__xludf.DUMMYFUNCTION("""COMPUTED_VALUE"""),"Hertiari Idajati, S.T., M.Sc.")</f>
        <v>Hertiari Idajati, S.T., M.Sc.</v>
      </c>
      <c r="I36" s="49" t="str">
        <f ca="1">IFERROR(__xludf.DUMMYFUNCTION("""COMPUTED_VALUE"""),"Ir. Muchammad Husni, M.Kom")</f>
        <v>Ir. Muchammad Husni, M.Kom</v>
      </c>
      <c r="J36" s="49"/>
      <c r="K36" s="34" t="s">
        <v>1083</v>
      </c>
      <c r="L36" s="23" t="s">
        <v>1091</v>
      </c>
      <c r="M36" s="19" t="b">
        <v>1</v>
      </c>
      <c r="N36" s="19" t="b">
        <v>1</v>
      </c>
      <c r="O36" s="16" t="s">
        <v>1092</v>
      </c>
      <c r="P36" s="7" t="str">
        <f ca="1">IFERROR(__xludf.DUMMYFUNCTION("iferror(vlookup(B36,importrange(""https://docs.google.com/spreadsheets/d/1boHyJQ4e2FU0QG8MHwEi6qjX4hvZWVCHcFfXjq7bbMc/edit?resourcekey#gid=923248883"",""Prop!$C$1:$M""),12,0),IFERROR(vlookup(B36,importrange(""https://docs.google.com/spreadsheets/d/1boHyJQ"&amp;"4e2FU0QG8MHwEi6qjX4hvZWVCHcFfXjq7bbMc/edit?resourcekey#gid=923248883"",""Prop!$N$1:$X""),11,0),iferror(vlookup(B36,importrange(""https://docs.google.com/spreadsheets/d/1boHyJQ4e2FU0QG8MHwEi6qjX4hvZWVCHcFfXjq7bbMc/edit?resourcekey#gid=923248883"",""Prop!$Y"&amp;"$1:$AI""),11,0),iferror(vlookup(B36,importrange(""https://docs.google.com/spreadsheets/d/1boHyJQ4e2FU0QG8MHwEi6qjX4hvZWVCHcFfXjq7bbMc/edit?resourcekey#gid=923248883"",""Prop!$AJ$1:$AT""),11,0),iferror(vlookup(B36,importrange(""https://docs.google.com/spre"&amp;"adsheets/d/1boHyJQ4e2FU0QG8MHwEi6qjX4hvZWVCHcFfXjq7bbMc/edit?resourcekey#gid=923248883"",""Prop!$AU$1:$BE""),11,0),iferror(vlookup(B36,importrange(""https://docs.google.com/spreadsheets/d/1boHyJQ4e2FU0QG8MHwEi6qjX4hvZWVCHcFfXjq7bbMc/edit?resourcekey#gid=9"&amp;"23248883"",""Prop!$BF$1:$BP""),11,0),iferror(vlookup(B36,importrange(""https://docs.google.com/spreadsheets/d/1boHyJQ4e2FU0QG8MHwEi6qjX4hvZWVCHcFfXjq7bbMc/edit?resourcekey#gid=923248883"",""Prop!$BQ$1:$CA""),11,0),iferror(vlookup(B36,importrange(""https:/"&amp;"/docs.google.com/spreadsheets/d/1boHyJQ4e2FU0QG8MHwEi6qjX4hvZWVCHcFfXjq7bbMc/edit?resourcekey#gid=923248883"",""Prop!$CB$1:$CL""),11,0),iferror(vlookup(B36,importrange(""https://docs.google.com/spreadsheets/d/1boHyJQ4e2FU0QG8MHwEi6qjX4hvZWVCHcFfXjq7bbMc/e"&amp;"dit?resourcekey#gid=923248883"",""Prop!$CM$1:$CX""),12,0),iferror(vlookup(B36,importrange(""https://docs.google.com/spreadsheets/d/1boHyJQ4e2FU0QG8MHwEi6qjX4hvZWVCHcFfXjq7bbMc/edit?resourcekey#gid=923248883"",""Prop!$CV$1:$DI""),11,0)))))))))))"),"https://drive.google.com/open?id=11p80lxZlwd20-ypoXHLxLSbk3HOegta5")</f>
        <v>https://drive.google.com/open?id=11p80lxZlwd20-ypoXHLxLSbk3HOegta5</v>
      </c>
      <c r="Q36" s="50" t="str">
        <f ca="1">IFERROR(__xludf.DUMMYFUNCTION("iferror(vlookup(B36,importrange(""https://docs.google.com/spreadsheets/d/1p53T2AuvvIqhP7Nf-bo3Uhj8cbKYRPpZdsrBv3x3bAQ/edit?resourcekey#gid=1321652304"",""Prop!$C$1:$M""),11,0),IFERROR(vlookup(B36,importrange(""https://docs.google.com/spreadsheets/d/1p53T2"&amp;"AuvvIqhP7Nf-bo3Uhj8cbKYRPpZdsrBv3x3bAQ/edit?resourcekey#gid=1321652304"",""Prop!$N$1:$X""),11,0),iferror(vlookup(B36,importrange(""https://docs.google.com/spreadsheets/d/1p53T2AuvvIqhP7Nf-bo3Uhj8cbKYRPpZdsrBv3x3bAQ/edit?resourcekey#gid=1321652304"",""Prop"&amp;"!$Y$1:$AI""),11,0),iferror(vlookup(B36,importrange(""https://docs.google.com/spreadsheets/d/1p53T2AuvvIqhP7Nf-bo3Uhj8cbKYRPpZdsrBv3x3bAQ/edit?resourcekey#gid=1321652304"",""Prop!$AJ$1:$AT""),11,0),iferror(vlookup(B36,importrange(""https://docs.google.com/"&amp;"spreadsheets/d/1p53T2AuvvIqhP7Nf-bo3Uhj8cbKYRPpZdsrBv3x3bAQ/edit?resourcekey#gid=1321652304"",""Prop!$AU$1:$BE""),11,0),iferror(vlookup(B36,importrange(""https://docs.google.com/spreadsheets/d/1p53T2AuvvIqhP7Nf-bo3Uhj8cbKYRPpZdsrBv3x3bAQ/edit?resourcekey#"&amp;"gid=1321652304"",""Prop!$BF$1:$BP""),11,0),iferror(vlookup(B36,importrange(""https://docs.google.com/spreadsheets/d/1p53T2AuvvIqhP7Nf-bo3Uhj8cbKYRPpZdsrBv3x3bAQ/edit?resourcekey#gid=1321652304"",""Prop!$BQ$1:$CA""),11,0),iferror(vlookup(B36,importrange("""&amp;"https://docs.google.com/spreadsheets/d/1p53T2AuvvIqhP7Nf-bo3Uhj8cbKYRPpZdsrBv3x3bAQ/edit?resourcekey#gid=1321652304"",""Prop!$CB$1:$CL""),11,0),iferror(vlookup(B36,importrange(""https://docs.google.com/spreadsheets/d/1p53T2AuvvIqhP7Nf-bo3Uhj8cbKYRPpZdsrBv"&amp;"3x3bAQ/edit?resourcekey#gid=1321652304"",""Prop!$CM$1:$CX""),12,0),iferror(vlookup(B36,importrange(""https://docs.google.com/spreadsheets/d/1p53T2AuvvIqhP7Nf-bo3Uhj8cbKYRPpZdsrBv3x3bAQ/edit?resourcekey#gid=1321652304"",""Prop!$CY$1:$DI""),11,0)))))))))))"),"https://drive.google.com/open?id=1ZtViZPe_OTexmW7o_fM-zdqIdnyVS9o7")</f>
        <v>https://drive.google.com/open?id=1ZtViZPe_OTexmW7o_fM-zdqIdnyVS9o7</v>
      </c>
      <c r="R36" s="88" t="s">
        <v>1065</v>
      </c>
      <c r="S36" s="20" t="str">
        <f ca="1">IFERROR(__xludf.DUMMYFUNCTION("IFERROR(vlookup(B36,IMPORTRANGE(""https://docs.google.com/spreadsheets/d/1g_jfYYK_KeipEDNDUgqgrsxK94XiocfNQIcP-v1QVhI/edit?resourcekey#gid=233272945"",""Nilai!B:CT""),95,0),"" "")"),"Mitra belum spesifik, pembuatan furnitur pada anak-anak panti asuhan usia berapa, apakah sesuai dengan permasalahan? Format belum sesuai")</f>
        <v>Mitra belum spesifik, pembuatan furnitur pada anak-anak panti asuhan usia berapa, apakah sesuai dengan permasalahan? Format belum sesuai</v>
      </c>
      <c r="T36" s="20" t="str">
        <f ca="1">IFERROR(__xludf.DUMMYFUNCTION("IFERROR(vlookup(B36,IMPORTRANGE(""https://docs.google.com/spreadsheets/d/1g_jfYYK_KeipEDNDUgqgrsxK94XiocfNQIcP-v1QVhI/edit?resourcekey#gid=233272945"",""Nilai!B:CT""),97,0),"" "")"),"LAYAK UPLOAD KE SIMBELMAWA DENGAN REVISI")</f>
        <v>LAYAK UPLOAD KE SIMBELMAWA DENGAN REVISI</v>
      </c>
      <c r="U36" s="36" t="s">
        <v>825</v>
      </c>
      <c r="V36" s="38">
        <f ca="1">IFERROR(__xludf.DUMMYFUNCTION("IFERROR(
        vlookup(B36,
                IMPORTRANGE(""https://docs.google.com/spreadsheets/d/1dN4XwmJdILpQh5cYONP2LyBh3ksWo6DCzMrUbN3lo_Q/edit#gid=1905254675"",
                        ""Form Responses 1!F2:I""),
                4,
                f"&amp;"alse))"),4.8)</f>
        <v>4.8</v>
      </c>
      <c r="W36" s="52" t="s">
        <v>1067</v>
      </c>
      <c r="X36" s="23" t="s">
        <v>1093</v>
      </c>
      <c r="Y36" s="16" t="b">
        <v>1</v>
      </c>
      <c r="Z36" s="16"/>
      <c r="AA36" s="16"/>
      <c r="AB36" s="16"/>
      <c r="AC36" s="16"/>
      <c r="AD36" s="16"/>
      <c r="AE36" s="16"/>
      <c r="AF36" s="16"/>
      <c r="AG36" s="16"/>
      <c r="AH36" s="16"/>
      <c r="AI36" s="16"/>
    </row>
    <row r="37" spans="1:35">
      <c r="A37" s="15">
        <v>35</v>
      </c>
      <c r="B37" s="15">
        <f ca="1">IFERROR(__xludf.DUMMYFUNCTION("""COMPUTED_VALUE"""),2749)</f>
        <v>2749</v>
      </c>
      <c r="C37" s="49" t="str">
        <f ca="1">IFERROR(__xludf.DUMMYFUNCTION("""COMPUTED_VALUE"""),"JESSLYN")</f>
        <v>JESSLYN</v>
      </c>
      <c r="D37" s="49" t="str">
        <f ca="1">IFERROR(__xludf.DUMMYFUNCTION("""COMPUTED_VALUE"""),"5006211028")</f>
        <v>5006211028</v>
      </c>
      <c r="E37" s="49" t="str">
        <f ca="1">IFERROR(__xludf.DUMMYFUNCTION("""COMPUTED_VALUE"""),"Departemen Aktuaria")</f>
        <v>Departemen Aktuaria</v>
      </c>
      <c r="F37" s="49" t="str">
        <f ca="1">IFERROR(__xludf.DUMMYFUNCTION("""COMPUTED_VALUE"""),"PENGENALAN SENI DAN KEBUDAYAAN LOKAL MELALUI PENGEMBANGAN WEBSITE BERKONSEP SHARING ONLINE DENGAN PENGUMPULAN DUTA BUDAYA DARI KAMPUNG LAWAS MASPATI, SURABAYA
")</f>
        <v xml:space="preserve">PENGENALAN SENI DAN KEBUDAYAAN LOKAL MELALUI PENGEMBANGAN WEBSITE BERKONSEP SHARING ONLINE DENGAN PENGUMPULAN DUTA BUDAYA DARI KAMPUNG LAWAS MASPATI, SURABAYA
</v>
      </c>
      <c r="G37" s="49" t="str">
        <f ca="1">IFERROR(__xludf.DUMMYFUNCTION("""COMPUTED_VALUE"""),"Dr. Drs. Soehardjoepri, M.Si.")</f>
        <v>Dr. Drs. Soehardjoepri, M.Si.</v>
      </c>
      <c r="H37" s="49" t="str">
        <f ca="1">IFERROR(__xludf.DUMMYFUNCTION("""COMPUTED_VALUE"""),"Welly Herumurti, S.T., M.Sc.")</f>
        <v>Welly Herumurti, S.T., M.Sc.</v>
      </c>
      <c r="I37" s="49" t="str">
        <f ca="1">IFERROR(__xludf.DUMMYFUNCTION("""COMPUTED_VALUE"""),"Dr. Gunawan Nugroho, S.T., M.T.")</f>
        <v>Dr. Gunawan Nugroho, S.T., M.T.</v>
      </c>
      <c r="J37" s="49"/>
      <c r="K37" s="34" t="s">
        <v>1083</v>
      </c>
      <c r="L37" s="23" t="s">
        <v>1091</v>
      </c>
      <c r="M37" s="19" t="b">
        <v>0</v>
      </c>
      <c r="N37" s="19" t="b">
        <v>0</v>
      </c>
      <c r="O37" s="16" t="s">
        <v>1092</v>
      </c>
      <c r="P37" s="7" t="str">
        <f ca="1">IFERROR(__xludf.DUMMYFUNCTION("iferror(vlookup(B37,importrange(""https://docs.google.com/spreadsheets/d/1boHyJQ4e2FU0QG8MHwEi6qjX4hvZWVCHcFfXjq7bbMc/edit?resourcekey#gid=923248883"",""Prop!$C$1:$M""),12,0),IFERROR(vlookup(B37,importrange(""https://docs.google.com/spreadsheets/d/1boHyJQ"&amp;"4e2FU0QG8MHwEi6qjX4hvZWVCHcFfXjq7bbMc/edit?resourcekey#gid=923248883"",""Prop!$N$1:$X""),11,0),iferror(vlookup(B37,importrange(""https://docs.google.com/spreadsheets/d/1boHyJQ4e2FU0QG8MHwEi6qjX4hvZWVCHcFfXjq7bbMc/edit?resourcekey#gid=923248883"",""Prop!$Y"&amp;"$1:$AI""),11,0),iferror(vlookup(B37,importrange(""https://docs.google.com/spreadsheets/d/1boHyJQ4e2FU0QG8MHwEi6qjX4hvZWVCHcFfXjq7bbMc/edit?resourcekey#gid=923248883"",""Prop!$AJ$1:$AT""),11,0),iferror(vlookup(B37,importrange(""https://docs.google.com/spre"&amp;"adsheets/d/1boHyJQ4e2FU0QG8MHwEi6qjX4hvZWVCHcFfXjq7bbMc/edit?resourcekey#gid=923248883"",""Prop!$AU$1:$BE""),11,0),iferror(vlookup(B37,importrange(""https://docs.google.com/spreadsheets/d/1boHyJQ4e2FU0QG8MHwEi6qjX4hvZWVCHcFfXjq7bbMc/edit?resourcekey#gid=9"&amp;"23248883"",""Prop!$BF$1:$BP""),11,0),iferror(vlookup(B37,importrange(""https://docs.google.com/spreadsheets/d/1boHyJQ4e2FU0QG8MHwEi6qjX4hvZWVCHcFfXjq7bbMc/edit?resourcekey#gid=923248883"",""Prop!$BQ$1:$CA""),11,0),iferror(vlookup(B37,importrange(""https:/"&amp;"/docs.google.com/spreadsheets/d/1boHyJQ4e2FU0QG8MHwEi6qjX4hvZWVCHcFfXjq7bbMc/edit?resourcekey#gid=923248883"",""Prop!$CB$1:$CL""),11,0),iferror(vlookup(B37,importrange(""https://docs.google.com/spreadsheets/d/1boHyJQ4e2FU0QG8MHwEi6qjX4hvZWVCHcFfXjq7bbMc/e"&amp;"dit?resourcekey#gid=923248883"",""Prop!$CM$1:$CX""),12,0),iferror(vlookup(B37,importrange(""https://docs.google.com/spreadsheets/d/1boHyJQ4e2FU0QG8MHwEi6qjX4hvZWVCHcFfXjq7bbMc/edit?resourcekey#gid=923248883"",""Prop!$CV$1:$DI""),11,0)))))))))))"),"https://drive.google.com/open?id=1bBD5LO-0bcTRUTpWt9KVFoapT9zd67i3")</f>
        <v>https://drive.google.com/open?id=1bBD5LO-0bcTRUTpWt9KVFoapT9zd67i3</v>
      </c>
      <c r="Q37" s="7" t="str">
        <f ca="1">IFERROR(__xludf.DUMMYFUNCTION("iferror(vlookup(B37,importrange(""https://docs.google.com/spreadsheets/d/1p53T2AuvvIqhP7Nf-bo3Uhj8cbKYRPpZdsrBv3x3bAQ/edit?resourcekey#gid=1321652304"",""Prop!$C$1:$M""),11,0),IFERROR(vlookup(B37,importrange(""https://docs.google.com/spreadsheets/d/1p53T2"&amp;"AuvvIqhP7Nf-bo3Uhj8cbKYRPpZdsrBv3x3bAQ/edit?resourcekey#gid=1321652304"",""Prop!$N$1:$X""),11,0),iferror(vlookup(B37,importrange(""https://docs.google.com/spreadsheets/d/1p53T2AuvvIqhP7Nf-bo3Uhj8cbKYRPpZdsrBv3x3bAQ/edit?resourcekey#gid=1321652304"",""Prop"&amp;"!$Y$1:$AI""),11,0),iferror(vlookup(B37,importrange(""https://docs.google.com/spreadsheets/d/1p53T2AuvvIqhP7Nf-bo3Uhj8cbKYRPpZdsrBv3x3bAQ/edit?resourcekey#gid=1321652304"",""Prop!$AJ$1:$AT""),11,0),iferror(vlookup(B37,importrange(""https://docs.google.com/"&amp;"spreadsheets/d/1p53T2AuvvIqhP7Nf-bo3Uhj8cbKYRPpZdsrBv3x3bAQ/edit?resourcekey#gid=1321652304"",""Prop!$AU$1:$BE""),11,0),iferror(vlookup(B37,importrange(""https://docs.google.com/spreadsheets/d/1p53T2AuvvIqhP7Nf-bo3Uhj8cbKYRPpZdsrBv3x3bAQ/edit?resourcekey#"&amp;"gid=1321652304"",""Prop!$BF$1:$BP""),11,0),iferror(vlookup(B37,importrange(""https://docs.google.com/spreadsheets/d/1p53T2AuvvIqhP7Nf-bo3Uhj8cbKYRPpZdsrBv3x3bAQ/edit?resourcekey#gid=1321652304"",""Prop!$BQ$1:$CA""),11,0),iferror(vlookup(B37,importrange("""&amp;"https://docs.google.com/spreadsheets/d/1p53T2AuvvIqhP7Nf-bo3Uhj8cbKYRPpZdsrBv3x3bAQ/edit?resourcekey#gid=1321652304"",""Prop!$CB$1:$CL""),11,0),iferror(vlookup(B37,importrange(""https://docs.google.com/spreadsheets/d/1p53T2AuvvIqhP7Nf-bo3Uhj8cbKYRPpZdsrBv"&amp;"3x3bAQ/edit?resourcekey#gid=1321652304"",""Prop!$CM$1:$CX""),12,0),iferror(vlookup(B37,importrange(""https://docs.google.com/spreadsheets/d/1p53T2AuvvIqhP7Nf-bo3Uhj8cbKYRPpZdsrBv3x3bAQ/edit?resourcekey#gid=1321652304"",""Prop!$CY$1:$DI""),11,0)))))))))))"),"https://drive.google.com/open?id=1M_S6DbX6-6etM-Gz73fzuY57jd_r-B0v")</f>
        <v>https://drive.google.com/open?id=1M_S6DbX6-6etM-Gz73fzuY57jd_r-B0v</v>
      </c>
      <c r="R37" s="88" t="s">
        <v>1065</v>
      </c>
      <c r="S37" s="20" t="str">
        <f ca="1">IFERROR(__xludf.DUMMYFUNCTION("IFERROR(vlookup(B37,IMPORTRANGE(""https://docs.google.com/spreadsheets/d/1g_jfYYK_KeipEDNDUgqgrsxK94XiocfNQIcP-v1QVhI/edit?resourcekey#gid=233272945"",""Nilai!B:CT""),95,0),"" "")"),"Latar bekalang belum menggambarkan masalah mitra dan siapa mitranya, sampai akhir tidak diketahui siapa mitra PKM, proposal belum selesai")</f>
        <v>Latar bekalang belum menggambarkan masalah mitra dan siapa mitranya, sampai akhir tidak diketahui siapa mitra PKM, proposal belum selesai</v>
      </c>
      <c r="T37" s="20" t="str">
        <f ca="1">IFERROR(__xludf.DUMMYFUNCTION("IFERROR(vlookup(B37,IMPORTRANGE(""https://docs.google.com/spreadsheets/d/1g_jfYYK_KeipEDNDUgqgrsxK94XiocfNQIcP-v1QVhI/edit?resourcekey#gid=233272945"",""Nilai!B:CT""),97,0),"" "")"),"TIDAK LAYAK UPLOAD KE SIMBELMAWA")</f>
        <v>TIDAK LAYAK UPLOAD KE SIMBELMAWA</v>
      </c>
      <c r="U37" s="36" t="s">
        <v>825</v>
      </c>
      <c r="V37" s="38" t="str">
        <f ca="1">IFERROR(__xludf.DUMMYFUNCTION("IFERROR(
        vlookup(B37,
                IMPORTRANGE(""https://docs.google.com/spreadsheets/d/1dN4XwmJdILpQh5cYONP2LyBh3ksWo6DCzMrUbN3lo_Q/edit#gid=1905254675"",
                        ""Form Responses 1!F2:I""),
                4,
                f"&amp;"alse))"),"10,7km")</f>
        <v>10,7km</v>
      </c>
      <c r="W37" s="52" t="s">
        <v>1067</v>
      </c>
      <c r="X37" s="23" t="s">
        <v>1093</v>
      </c>
      <c r="Y37" s="16" t="b">
        <v>0</v>
      </c>
      <c r="Z37" s="16"/>
      <c r="AA37" s="16"/>
      <c r="AB37" s="16"/>
      <c r="AC37" s="16"/>
      <c r="AD37" s="16"/>
      <c r="AE37" s="16"/>
      <c r="AF37" s="16"/>
      <c r="AG37" s="16"/>
      <c r="AH37" s="16"/>
      <c r="AI37" s="16"/>
    </row>
    <row r="38" spans="1:35">
      <c r="A38" s="15">
        <v>36</v>
      </c>
      <c r="B38" s="15">
        <f ca="1">IFERROR(__xludf.DUMMYFUNCTION("""COMPUTED_VALUE"""),2453)</f>
        <v>2453</v>
      </c>
      <c r="C38" s="49" t="str">
        <f ca="1">IFERROR(__xludf.DUMMYFUNCTION("""COMPUTED_VALUE"""),"AISYAH FARAH HASNA")</f>
        <v>AISYAH FARAH HASNA</v>
      </c>
      <c r="D38" s="49" t="str">
        <f ca="1">IFERROR(__xludf.DUMMYFUNCTION("""COMPUTED_VALUE"""),"5014201062")</f>
        <v>5014201062</v>
      </c>
      <c r="E38" s="49" t="str">
        <f ca="1">IFERROR(__xludf.DUMMYFUNCTION("""COMPUTED_VALUE"""),"Departemen Teknik Lingkungan")</f>
        <v>Departemen Teknik Lingkungan</v>
      </c>
      <c r="F38" s="49" t="str">
        <f ca="1">IFERROR(__xludf.DUMMYFUNCTION("""COMPUTED_VALUE"""),"Optimalisasi Filter Penjernihan Air Guna Mengatasi Krisis Kekurangan Air di Pondok Pesantren Adduriyah Pamekasan.")</f>
        <v>Optimalisasi Filter Penjernihan Air Guna Mengatasi Krisis Kekurangan Air di Pondok Pesantren Adduriyah Pamekasan.</v>
      </c>
      <c r="G38" s="49" t="str">
        <f ca="1">IFERROR(__xludf.DUMMYFUNCTION("""COMPUTED_VALUE"""),"Alfan Purnomo, S.T., M.T.")</f>
        <v>Alfan Purnomo, S.T., M.T.</v>
      </c>
      <c r="H38" s="49" t="str">
        <f ca="1">IFERROR(__xludf.DUMMYFUNCTION("""COMPUTED_VALUE"""),"Hertiari Idajati, S.T., M.Sc.")</f>
        <v>Hertiari Idajati, S.T., M.Sc.</v>
      </c>
      <c r="I38" s="49" t="str">
        <f ca="1">IFERROR(__xludf.DUMMYFUNCTION("""COMPUTED_VALUE"""),"Ir. Muchammad Husni, M.Kom")</f>
        <v>Ir. Muchammad Husni, M.Kom</v>
      </c>
      <c r="J38" s="49"/>
      <c r="K38" s="34" t="s">
        <v>1094</v>
      </c>
      <c r="L38" s="23" t="s">
        <v>1095</v>
      </c>
      <c r="M38" s="19" t="b">
        <v>0</v>
      </c>
      <c r="N38" s="19" t="b">
        <v>0</v>
      </c>
      <c r="O38" s="16" t="s">
        <v>1096</v>
      </c>
      <c r="P38" s="1" t="str">
        <f ca="1">IFERROR(__xludf.DUMMYFUNCTION("iferror(vlookup(B38,importrange(""https://docs.google.com/spreadsheets/d/1boHyJQ4e2FU0QG8MHwEi6qjX4hvZWVCHcFfXjq7bbMc/edit?resourcekey#gid=923248883"",""Prop!$C$1:$M""),12,0),IFERROR(vlookup(B38,importrange(""https://docs.google.com/spreadsheets/d/1boHyJQ"&amp;"4e2FU0QG8MHwEi6qjX4hvZWVCHcFfXjq7bbMc/edit?resourcekey#gid=923248883"",""Prop!$N$1:$X""),11,0),iferror(vlookup(B38,importrange(""https://docs.google.com/spreadsheets/d/1boHyJQ4e2FU0QG8MHwEi6qjX4hvZWVCHcFfXjq7bbMc/edit?resourcekey#gid=923248883"",""Prop!$Y"&amp;"$1:$AI""),11,0),iferror(vlookup(B38,importrange(""https://docs.google.com/spreadsheets/d/1boHyJQ4e2FU0QG8MHwEi6qjX4hvZWVCHcFfXjq7bbMc/edit?resourcekey#gid=923248883"",""Prop!$AJ$1:$AT""),11,0),iferror(vlookup(B38,importrange(""https://docs.google.com/spre"&amp;"adsheets/d/1boHyJQ4e2FU0QG8MHwEi6qjX4hvZWVCHcFfXjq7bbMc/edit?resourcekey#gid=923248883"",""Prop!$AU$1:$BE""),11,0),iferror(vlookup(B38,importrange(""https://docs.google.com/spreadsheets/d/1boHyJQ4e2FU0QG8MHwEi6qjX4hvZWVCHcFfXjq7bbMc/edit?resourcekey#gid=9"&amp;"23248883"",""Prop!$BF$1:$BP""),11,0),iferror(vlookup(B38,importrange(""https://docs.google.com/spreadsheets/d/1boHyJQ4e2FU0QG8MHwEi6qjX4hvZWVCHcFfXjq7bbMc/edit?resourcekey#gid=923248883"",""Prop!$BQ$1:$CA""),11,0),iferror(vlookup(B38,importrange(""https:/"&amp;"/docs.google.com/spreadsheets/d/1boHyJQ4e2FU0QG8MHwEi6qjX4hvZWVCHcFfXjq7bbMc/edit?resourcekey#gid=923248883"",""Prop!$CB$1:$CL""),11,0),iferror(vlookup(B38,importrange(""https://docs.google.com/spreadsheets/d/1boHyJQ4e2FU0QG8MHwEi6qjX4hvZWVCHcFfXjq7bbMc/e"&amp;"dit?resourcekey#gid=923248883"",""Prop!$CM$1:$CX""),12,0),iferror(vlookup(B38,importrange(""https://docs.google.com/spreadsheets/d/1boHyJQ4e2FU0QG8MHwEi6qjX4hvZWVCHcFfXjq7bbMc/edit?resourcekey#gid=923248883"",""Prop!$CV$1:$DI""),11,0)))))))))))"),"")</f>
        <v/>
      </c>
      <c r="Q38" s="50" t="str">
        <f ca="1">IFERROR(__xludf.DUMMYFUNCTION("iferror(vlookup(B38,importrange(""https://docs.google.com/spreadsheets/d/1p53T2AuvvIqhP7Nf-bo3Uhj8cbKYRPpZdsrBv3x3bAQ/edit?resourcekey#gid=1321652304"",""Prop!$C$1:$M""),11,0),IFERROR(vlookup(B38,importrange(""https://docs.google.com/spreadsheets/d/1p53T2"&amp;"AuvvIqhP7Nf-bo3Uhj8cbKYRPpZdsrBv3x3bAQ/edit?resourcekey#gid=1321652304"",""Prop!$N$1:$X""),11,0),iferror(vlookup(B38,importrange(""https://docs.google.com/spreadsheets/d/1p53T2AuvvIqhP7Nf-bo3Uhj8cbKYRPpZdsrBv3x3bAQ/edit?resourcekey#gid=1321652304"",""Prop"&amp;"!$Y$1:$AI""),11,0),iferror(vlookup(B38,importrange(""https://docs.google.com/spreadsheets/d/1p53T2AuvvIqhP7Nf-bo3Uhj8cbKYRPpZdsrBv3x3bAQ/edit?resourcekey#gid=1321652304"",""Prop!$AJ$1:$AT""),11,0),iferror(vlookup(B38,importrange(""https://docs.google.com/"&amp;"spreadsheets/d/1p53T2AuvvIqhP7Nf-bo3Uhj8cbKYRPpZdsrBv3x3bAQ/edit?resourcekey#gid=1321652304"",""Prop!$AU$1:$BE""),11,0),iferror(vlookup(B38,importrange(""https://docs.google.com/spreadsheets/d/1p53T2AuvvIqhP7Nf-bo3Uhj8cbKYRPpZdsrBv3x3bAQ/edit?resourcekey#"&amp;"gid=1321652304"",""Prop!$BF$1:$BP""),11,0),iferror(vlookup(B38,importrange(""https://docs.google.com/spreadsheets/d/1p53T2AuvvIqhP7Nf-bo3Uhj8cbKYRPpZdsrBv3x3bAQ/edit?resourcekey#gid=1321652304"",""Prop!$BQ$1:$CA""),11,0),iferror(vlookup(B38,importrange("""&amp;"https://docs.google.com/spreadsheets/d/1p53T2AuvvIqhP7Nf-bo3Uhj8cbKYRPpZdsrBv3x3bAQ/edit?resourcekey#gid=1321652304"",""Prop!$CB$1:$CL""),11,0),iferror(vlookup(B38,importrange(""https://docs.google.com/spreadsheets/d/1p53T2AuvvIqhP7Nf-bo3Uhj8cbKYRPpZdsrBv"&amp;"3x3bAQ/edit?resourcekey#gid=1321652304"",""Prop!$CM$1:$CX""),12,0),iferror(vlookup(B38,importrange(""https://docs.google.com/spreadsheets/d/1p53T2AuvvIqhP7Nf-bo3Uhj8cbKYRPpZdsrBv3x3bAQ/edit?resourcekey#gid=1321652304"",""Prop!$CY$1:$DI""),11,0)))))))))))"),"https://drive.google.com/open?id=1N36ruN0IHpNKY0jHaaGx-4b7FHOQ3t9_")</f>
        <v>https://drive.google.com/open?id=1N36ruN0IHpNKY0jHaaGx-4b7FHOQ3t9_</v>
      </c>
      <c r="R38" s="88" t="s">
        <v>1065</v>
      </c>
      <c r="S38" s="20" t="str">
        <f ca="1">IFERROR(__xludf.DUMMYFUNCTION("IFERROR(vlookup(B38,IMPORTRANGE(""https://docs.google.com/spreadsheets/d/1g_jfYYK_KeipEDNDUgqgrsxK94XiocfNQIcP-v1QVhI/edit?resourcekey#gid=233272945"",""Nilai!B:CT""),95,0),"" "")"),"jarak lebih dari 100 km (132 km)")</f>
        <v>jarak lebih dari 100 km (132 km)</v>
      </c>
      <c r="T38" s="20" t="str">
        <f ca="1">IFERROR(__xludf.DUMMYFUNCTION("IFERROR(vlookup(B38,IMPORTRANGE(""https://docs.google.com/spreadsheets/d/1g_jfYYK_KeipEDNDUgqgrsxK94XiocfNQIcP-v1QVhI/edit?resourcekey#gid=233272945"",""Nilai!B:CT""),97,0),"" "")"),"TIDAK LAYAK UPLOAD KE SIMBELMAWA")</f>
        <v>TIDAK LAYAK UPLOAD KE SIMBELMAWA</v>
      </c>
      <c r="U38" s="36" t="s">
        <v>825</v>
      </c>
      <c r="V38" s="38" t="str">
        <f ca="1">IFERROR(__xludf.DUMMYFUNCTION("IFERROR(
        vlookup(B38,
                IMPORTRANGE(""https://docs.google.com/spreadsheets/d/1dN4XwmJdILpQh5cYONP2LyBh3ksWo6DCzMrUbN3lo_Q/edit#gid=1905254675"",
                        ""Form Responses 1!F2:I""),
                4,
                f"&amp;"alse))"),"")</f>
        <v/>
      </c>
      <c r="W38" s="52" t="s">
        <v>1067</v>
      </c>
      <c r="X38" s="23" t="s">
        <v>1097</v>
      </c>
      <c r="Y38" s="16" t="b">
        <v>0</v>
      </c>
      <c r="Z38" s="16"/>
      <c r="AA38" s="16"/>
      <c r="AB38" s="16"/>
      <c r="AC38" s="16"/>
      <c r="AD38" s="16"/>
      <c r="AE38" s="16"/>
      <c r="AF38" s="16"/>
      <c r="AG38" s="16"/>
      <c r="AH38" s="16"/>
      <c r="AI38" s="16"/>
    </row>
    <row r="39" spans="1:35">
      <c r="A39" s="15">
        <v>37</v>
      </c>
      <c r="B39" s="15">
        <f ca="1">IFERROR(__xludf.DUMMYFUNCTION("""COMPUTED_VALUE"""),4045)</f>
        <v>4045</v>
      </c>
      <c r="C39" s="49" t="str">
        <f ca="1">IFERROR(__xludf.DUMMYFUNCTION("""COMPUTED_VALUE"""),"MOH TAUFIQURROUF")</f>
        <v>MOH TAUFIQURROUF</v>
      </c>
      <c r="D39" s="49" t="str">
        <f ca="1">IFERROR(__xludf.DUMMYFUNCTION("""COMPUTED_VALUE"""),"10511910000039")</f>
        <v>10511910000039</v>
      </c>
      <c r="E39" s="49" t="str">
        <f ca="1">IFERROR(__xludf.DUMMYFUNCTION("""COMPUTED_VALUE"""),"Departemen Teknik Instrumentasi")</f>
        <v>Departemen Teknik Instrumentasi</v>
      </c>
      <c r="F39" s="49" t="str">
        <f ca="1">IFERROR(__xludf.DUMMYFUNCTION("""COMPUTED_VALUE"""),"Rancang Bangun Early Warning System Sebagai Upaya Mitigasi Bencana Alam Gunung Semeru")</f>
        <v>Rancang Bangun Early Warning System Sebagai Upaya Mitigasi Bencana Alam Gunung Semeru</v>
      </c>
      <c r="G39" s="49" t="str">
        <f ca="1">IFERROR(__xludf.DUMMYFUNCTION("""COMPUTED_VALUE"""),"Murry Raditya, S.T., M.T.")</f>
        <v>Murry Raditya, S.T., M.T.</v>
      </c>
      <c r="H39" s="49"/>
      <c r="I39" s="49" t="str">
        <f ca="1">IFERROR(__xludf.DUMMYFUNCTION("""COMPUTED_VALUE"""),"Naufan Noordyanto, S.Sn., M.Sn.")</f>
        <v>Naufan Noordyanto, S.Sn., M.Sn.</v>
      </c>
      <c r="J39" s="49"/>
      <c r="K39" s="34" t="s">
        <v>1094</v>
      </c>
      <c r="L39" s="23" t="s">
        <v>1095</v>
      </c>
      <c r="M39" s="19" t="b">
        <v>0</v>
      </c>
      <c r="N39" s="19" t="b">
        <v>0</v>
      </c>
      <c r="O39" s="16" t="s">
        <v>1096</v>
      </c>
      <c r="P39" s="1" t="str">
        <f ca="1">IFERROR(__xludf.DUMMYFUNCTION("iferror(vlookup(B39,importrange(""https://docs.google.com/spreadsheets/d/1boHyJQ4e2FU0QG8MHwEi6qjX4hvZWVCHcFfXjq7bbMc/edit?resourcekey#gid=923248883"",""Prop!$C$1:$M""),12,0),IFERROR(vlookup(B39,importrange(""https://docs.google.com/spreadsheets/d/1boHyJQ"&amp;"4e2FU0QG8MHwEi6qjX4hvZWVCHcFfXjq7bbMc/edit?resourcekey#gid=923248883"",""Prop!$N$1:$X""),11,0),iferror(vlookup(B39,importrange(""https://docs.google.com/spreadsheets/d/1boHyJQ4e2FU0QG8MHwEi6qjX4hvZWVCHcFfXjq7bbMc/edit?resourcekey#gid=923248883"",""Prop!$Y"&amp;"$1:$AI""),11,0),iferror(vlookup(B39,importrange(""https://docs.google.com/spreadsheets/d/1boHyJQ4e2FU0QG8MHwEi6qjX4hvZWVCHcFfXjq7bbMc/edit?resourcekey#gid=923248883"",""Prop!$AJ$1:$AT""),11,0),iferror(vlookup(B39,importrange(""https://docs.google.com/spre"&amp;"adsheets/d/1boHyJQ4e2FU0QG8MHwEi6qjX4hvZWVCHcFfXjq7bbMc/edit?resourcekey#gid=923248883"",""Prop!$AU$1:$BE""),11,0),iferror(vlookup(B39,importrange(""https://docs.google.com/spreadsheets/d/1boHyJQ4e2FU0QG8MHwEi6qjX4hvZWVCHcFfXjq7bbMc/edit?resourcekey#gid=9"&amp;"23248883"",""Prop!$BF$1:$BP""),11,0),iferror(vlookup(B39,importrange(""https://docs.google.com/spreadsheets/d/1boHyJQ4e2FU0QG8MHwEi6qjX4hvZWVCHcFfXjq7bbMc/edit?resourcekey#gid=923248883"",""Prop!$BQ$1:$CA""),11,0),iferror(vlookup(B39,importrange(""https:/"&amp;"/docs.google.com/spreadsheets/d/1boHyJQ4e2FU0QG8MHwEi6qjX4hvZWVCHcFfXjq7bbMc/edit?resourcekey#gid=923248883"",""Prop!$CB$1:$CL""),11,0),iferror(vlookup(B39,importrange(""https://docs.google.com/spreadsheets/d/1boHyJQ4e2FU0QG8MHwEi6qjX4hvZWVCHcFfXjq7bbMc/e"&amp;"dit?resourcekey#gid=923248883"",""Prop!$CM$1:$CX""),12,0),iferror(vlookup(B39,importrange(""https://docs.google.com/spreadsheets/d/1boHyJQ4e2FU0QG8MHwEi6qjX4hvZWVCHcFfXjq7bbMc/edit?resourcekey#gid=923248883"",""Prop!$CV$1:$DI""),11,0)))))))))))"),"")</f>
        <v/>
      </c>
      <c r="Q39" s="50" t="str">
        <f ca="1">IFERROR(__xludf.DUMMYFUNCTION("iferror(vlookup(B39,importrange(""https://docs.google.com/spreadsheets/d/1p53T2AuvvIqhP7Nf-bo3Uhj8cbKYRPpZdsrBv3x3bAQ/edit?resourcekey#gid=1321652304"",""Prop!$C$1:$M""),11,0),IFERROR(vlookup(B39,importrange(""https://docs.google.com/spreadsheets/d/1p53T2"&amp;"AuvvIqhP7Nf-bo3Uhj8cbKYRPpZdsrBv3x3bAQ/edit?resourcekey#gid=1321652304"",""Prop!$N$1:$X""),11,0),iferror(vlookup(B39,importrange(""https://docs.google.com/spreadsheets/d/1p53T2AuvvIqhP7Nf-bo3Uhj8cbKYRPpZdsrBv3x3bAQ/edit?resourcekey#gid=1321652304"",""Prop"&amp;"!$Y$1:$AI""),11,0),iferror(vlookup(B39,importrange(""https://docs.google.com/spreadsheets/d/1p53T2AuvvIqhP7Nf-bo3Uhj8cbKYRPpZdsrBv3x3bAQ/edit?resourcekey#gid=1321652304"",""Prop!$AJ$1:$AT""),11,0),iferror(vlookup(B39,importrange(""https://docs.google.com/"&amp;"spreadsheets/d/1p53T2AuvvIqhP7Nf-bo3Uhj8cbKYRPpZdsrBv3x3bAQ/edit?resourcekey#gid=1321652304"",""Prop!$AU$1:$BE""),11,0),iferror(vlookup(B39,importrange(""https://docs.google.com/spreadsheets/d/1p53T2AuvvIqhP7Nf-bo3Uhj8cbKYRPpZdsrBv3x3bAQ/edit?resourcekey#"&amp;"gid=1321652304"",""Prop!$BF$1:$BP""),11,0),iferror(vlookup(B39,importrange(""https://docs.google.com/spreadsheets/d/1p53T2AuvvIqhP7Nf-bo3Uhj8cbKYRPpZdsrBv3x3bAQ/edit?resourcekey#gid=1321652304"",""Prop!$BQ$1:$CA""),11,0),iferror(vlookup(B39,importrange("""&amp;"https://docs.google.com/spreadsheets/d/1p53T2AuvvIqhP7Nf-bo3Uhj8cbKYRPpZdsrBv3x3bAQ/edit?resourcekey#gid=1321652304"",""Prop!$CB$1:$CL""),11,0),iferror(vlookup(B39,importrange(""https://docs.google.com/spreadsheets/d/1p53T2AuvvIqhP7Nf-bo3Uhj8cbKYRPpZdsrBv"&amp;"3x3bAQ/edit?resourcekey#gid=1321652304"",""Prop!$CM$1:$CX""),12,0),iferror(vlookup(B39,importrange(""https://docs.google.com/spreadsheets/d/1p53T2AuvvIqhP7Nf-bo3Uhj8cbKYRPpZdsrBv3x3bAQ/edit?resourcekey#gid=1321652304"",""Prop!$CY$1:$DI""),11,0)))))))))))"),"")</f>
        <v/>
      </c>
      <c r="R39" s="88" t="s">
        <v>1065</v>
      </c>
      <c r="S39" s="20" t="str">
        <f ca="1">IFERROR(__xludf.DUMMYFUNCTION("IFERROR(vlookup(B39,IMPORTRANGE(""https://docs.google.com/spreadsheets/d/1g_jfYYK_KeipEDNDUgqgrsxK94XiocfNQIcP-v1QVhI/edit?resourcekey#gid=233272945"",""Nilai!B:CT""),95,0),"" "")")," ")</f>
        <v xml:space="preserve"> </v>
      </c>
      <c r="T39" s="20" t="str">
        <f ca="1">IFERROR(__xludf.DUMMYFUNCTION("IFERROR(vlookup(B39,IMPORTRANGE(""https://docs.google.com/spreadsheets/d/1g_jfYYK_KeipEDNDUgqgrsxK94XiocfNQIcP-v1QVhI/edit?resourcekey#gid=233272945"",""Nilai!B:CT""),97,0),"" "")")," ")</f>
        <v xml:space="preserve"> </v>
      </c>
      <c r="U39" s="36" t="s">
        <v>825</v>
      </c>
      <c r="V39" s="38" t="str">
        <f ca="1">IFERROR(__xludf.DUMMYFUNCTION("IFERROR(
        vlookup(B39,
                IMPORTRANGE(""https://docs.google.com/spreadsheets/d/1dN4XwmJdILpQh5cYONP2LyBh3ksWo6DCzMrUbN3lo_Q/edit#gid=1905254675"",
                        ""Form Responses 1!F2:I""),
                4,
                f"&amp;"alse))"),"")</f>
        <v/>
      </c>
      <c r="W39" s="52" t="s">
        <v>1067</v>
      </c>
      <c r="X39" s="23" t="s">
        <v>1097</v>
      </c>
      <c r="Y39" s="16" t="b">
        <v>0</v>
      </c>
      <c r="Z39" s="16"/>
      <c r="AA39" s="16"/>
      <c r="AB39" s="16"/>
      <c r="AC39" s="16"/>
      <c r="AD39" s="16"/>
      <c r="AE39" s="16"/>
      <c r="AF39" s="16"/>
      <c r="AG39" s="16"/>
      <c r="AH39" s="16"/>
      <c r="AI39" s="16"/>
    </row>
    <row r="40" spans="1:35">
      <c r="A40" s="15">
        <v>38</v>
      </c>
      <c r="B40" s="15">
        <f ca="1">IFERROR(__xludf.DUMMYFUNCTION("""COMPUTED_VALUE"""),2343)</f>
        <v>2343</v>
      </c>
      <c r="C40" s="49" t="str">
        <f ca="1">IFERROR(__xludf.DUMMYFUNCTION("""COMPUTED_VALUE"""),"FADHIL ARYO NUGROHO")</f>
        <v>FADHIL ARYO NUGROHO</v>
      </c>
      <c r="D40" s="49" t="str">
        <f ca="1">IFERROR(__xludf.DUMMYFUNCTION("""COMPUTED_VALUE"""),"5003201068")</f>
        <v>5003201068</v>
      </c>
      <c r="E40" s="49" t="str">
        <f ca="1">IFERROR(__xludf.DUMMYFUNCTION("""COMPUTED_VALUE"""),"Departemen Statistika")</f>
        <v>Departemen Statistika</v>
      </c>
      <c r="F40" s="49" t="str">
        <f ca="1">IFERROR(__xludf.DUMMYFUNCTION("""COMPUTED_VALUE"""),"Peningkatan Kemampuan Keprofesian Pasca Sekolah Pada Siswa Program RPL SMK Negeri 2 Surabaya dengan Pembekalan Pemrograman Phyton")</f>
        <v>Peningkatan Kemampuan Keprofesian Pasca Sekolah Pada Siswa Program RPL SMK Negeri 2 Surabaya dengan Pembekalan Pemrograman Phyton</v>
      </c>
      <c r="G40" s="49" t="str">
        <f ca="1">IFERROR(__xludf.DUMMYFUNCTION("""COMPUTED_VALUE"""),"Dr. Dra. Kartika Fithriasari, M.Si.")</f>
        <v>Dr. Dra. Kartika Fithriasari, M.Si.</v>
      </c>
      <c r="H40" s="49" t="str">
        <f ca="1">IFERROR(__xludf.DUMMYFUNCTION("""COMPUTED_VALUE"""),"Hertiari Idajati, S.T., M.Sc.")</f>
        <v>Hertiari Idajati, S.T., M.Sc.</v>
      </c>
      <c r="I40" s="49" t="str">
        <f ca="1">IFERROR(__xludf.DUMMYFUNCTION("""COMPUTED_VALUE"""),"Dr. Afan Hamzah, S.T.")</f>
        <v>Dr. Afan Hamzah, S.T.</v>
      </c>
      <c r="J40" s="49"/>
      <c r="K40" s="34" t="s">
        <v>1094</v>
      </c>
      <c r="L40" s="23" t="s">
        <v>1095</v>
      </c>
      <c r="M40" s="19" t="b">
        <v>0</v>
      </c>
      <c r="N40" s="19" t="b">
        <v>0</v>
      </c>
      <c r="O40" s="16" t="s">
        <v>1096</v>
      </c>
      <c r="P40" s="7" t="str">
        <f ca="1">IFERROR(__xludf.DUMMYFUNCTION("iferror(vlookup(B40,importrange(""https://docs.google.com/spreadsheets/d/1boHyJQ4e2FU0QG8MHwEi6qjX4hvZWVCHcFfXjq7bbMc/edit?resourcekey#gid=923248883"",""Prop!$C$1:$M""),12,0),IFERROR(vlookup(B40,importrange(""https://docs.google.com/spreadsheets/d/1boHyJQ"&amp;"4e2FU0QG8MHwEi6qjX4hvZWVCHcFfXjq7bbMc/edit?resourcekey#gid=923248883"",""Prop!$N$1:$X""),11,0),iferror(vlookup(B40,importrange(""https://docs.google.com/spreadsheets/d/1boHyJQ4e2FU0QG8MHwEi6qjX4hvZWVCHcFfXjq7bbMc/edit?resourcekey#gid=923248883"",""Prop!$Y"&amp;"$1:$AI""),11,0),iferror(vlookup(B40,importrange(""https://docs.google.com/spreadsheets/d/1boHyJQ4e2FU0QG8MHwEi6qjX4hvZWVCHcFfXjq7bbMc/edit?resourcekey#gid=923248883"",""Prop!$AJ$1:$AT""),11,0),iferror(vlookup(B40,importrange(""https://docs.google.com/spre"&amp;"adsheets/d/1boHyJQ4e2FU0QG8MHwEi6qjX4hvZWVCHcFfXjq7bbMc/edit?resourcekey#gid=923248883"",""Prop!$AU$1:$BE""),11,0),iferror(vlookup(B40,importrange(""https://docs.google.com/spreadsheets/d/1boHyJQ4e2FU0QG8MHwEi6qjX4hvZWVCHcFfXjq7bbMc/edit?resourcekey#gid=9"&amp;"23248883"",""Prop!$BF$1:$BP""),11,0),iferror(vlookup(B40,importrange(""https://docs.google.com/spreadsheets/d/1boHyJQ4e2FU0QG8MHwEi6qjX4hvZWVCHcFfXjq7bbMc/edit?resourcekey#gid=923248883"",""Prop!$BQ$1:$CA""),11,0),iferror(vlookup(B40,importrange(""https:/"&amp;"/docs.google.com/spreadsheets/d/1boHyJQ4e2FU0QG8MHwEi6qjX4hvZWVCHcFfXjq7bbMc/edit?resourcekey#gid=923248883"",""Prop!$CB$1:$CL""),11,0),iferror(vlookup(B40,importrange(""https://docs.google.com/spreadsheets/d/1boHyJQ4e2FU0QG8MHwEi6qjX4hvZWVCHcFfXjq7bbMc/e"&amp;"dit?resourcekey#gid=923248883"",""Prop!$CM$1:$CX""),12,0),iferror(vlookup(B40,importrange(""https://docs.google.com/spreadsheets/d/1boHyJQ4e2FU0QG8MHwEi6qjX4hvZWVCHcFfXjq7bbMc/edit?resourcekey#gid=923248883"",""Prop!$CV$1:$DI""),11,0)))))))))))"),"https://drive.google.com/open?id=1he5HvhG8QIxdjWFh1sQvnkkcDXYHagMX")</f>
        <v>https://drive.google.com/open?id=1he5HvhG8QIxdjWFh1sQvnkkcDXYHagMX</v>
      </c>
      <c r="Q40" s="8" t="str">
        <f ca="1">IFERROR(__xludf.DUMMYFUNCTION("iferror(vlookup(B40,importrange(""https://docs.google.com/spreadsheets/d/1p53T2AuvvIqhP7Nf-bo3Uhj8cbKYRPpZdsrBv3x3bAQ/edit?resourcekey#gid=1321652304"",""Prop!$C$1:$M""),11,0),IFERROR(vlookup(B40,importrange(""https://docs.google.com/spreadsheets/d/1p53T2"&amp;"AuvvIqhP7Nf-bo3Uhj8cbKYRPpZdsrBv3x3bAQ/edit?resourcekey#gid=1321652304"",""Prop!$N$1:$X""),11,0),iferror(vlookup(B40,importrange(""https://docs.google.com/spreadsheets/d/1p53T2AuvvIqhP7Nf-bo3Uhj8cbKYRPpZdsrBv3x3bAQ/edit?resourcekey#gid=1321652304"",""Prop"&amp;"!$Y$1:$AI""),11,0),iferror(vlookup(B40,importrange(""https://docs.google.com/spreadsheets/d/1p53T2AuvvIqhP7Nf-bo3Uhj8cbKYRPpZdsrBv3x3bAQ/edit?resourcekey#gid=1321652304"",""Prop!$AJ$1:$AT""),11,0),iferror(vlookup(B40,importrange(""https://docs.google.com/"&amp;"spreadsheets/d/1p53T2AuvvIqhP7Nf-bo3Uhj8cbKYRPpZdsrBv3x3bAQ/edit?resourcekey#gid=1321652304"",""Prop!$AU$1:$BE""),11,0),iferror(vlookup(B40,importrange(""https://docs.google.com/spreadsheets/d/1p53T2AuvvIqhP7Nf-bo3Uhj8cbKYRPpZdsrBv3x3bAQ/edit?resourcekey#"&amp;"gid=1321652304"",""Prop!$BF$1:$BP""),11,0),iferror(vlookup(B40,importrange(""https://docs.google.com/spreadsheets/d/1p53T2AuvvIqhP7Nf-bo3Uhj8cbKYRPpZdsrBv3x3bAQ/edit?resourcekey#gid=1321652304"",""Prop!$BQ$1:$CA""),11,0),iferror(vlookup(B40,importrange("""&amp;"https://docs.google.com/spreadsheets/d/1p53T2AuvvIqhP7Nf-bo3Uhj8cbKYRPpZdsrBv3x3bAQ/edit?resourcekey#gid=1321652304"",""Prop!$CB$1:$CL""),11,0),iferror(vlookup(B40,importrange(""https://docs.google.com/spreadsheets/d/1p53T2AuvvIqhP7Nf-bo3Uhj8cbKYRPpZdsrBv"&amp;"3x3bAQ/edit?resourcekey#gid=1321652304"",""Prop!$CM$1:$CX""),12,0),iferror(vlookup(B40,importrange(""https://docs.google.com/spreadsheets/d/1p53T2AuvvIqhP7Nf-bo3Uhj8cbKYRPpZdsrBv3x3bAQ/edit?resourcekey#gid=1321652304"",""Prop!$CY$1:$DI""),11,0)))))))))))"),"")</f>
        <v/>
      </c>
      <c r="R40" s="88" t="s">
        <v>1065</v>
      </c>
      <c r="S40" s="20" t="str">
        <f ca="1">IFERROR(__xludf.DUMMYFUNCTION("IFERROR(vlookup(B40,IMPORTRANGE(""https://docs.google.com/spreadsheets/d/1g_jfYYK_KeipEDNDUgqgrsxK94XiocfNQIcP-v1QVhI/edit?resourcekey#gid=233272945"",""Nilai!B:CT""),95,0),"" "")"),"Metode hanya fokus pada pelatihan belum pada taraf pemberdayaan/pengabdian, proposal belum selesai
")</f>
        <v xml:space="preserve">Metode hanya fokus pada pelatihan belum pada taraf pemberdayaan/pengabdian, proposal belum selesai
</v>
      </c>
      <c r="T40" s="20" t="str">
        <f ca="1">IFERROR(__xludf.DUMMYFUNCTION("IFERROR(vlookup(B40,IMPORTRANGE(""https://docs.google.com/spreadsheets/d/1g_jfYYK_KeipEDNDUgqgrsxK94XiocfNQIcP-v1QVhI/edit?resourcekey#gid=233272945"",""Nilai!B:CT""),97,0),"" "")"),"LAYAK UPLOAD KE SIMBELMAWA DENGAN REVISI")</f>
        <v>LAYAK UPLOAD KE SIMBELMAWA DENGAN REVISI</v>
      </c>
      <c r="U40" s="36" t="s">
        <v>825</v>
      </c>
      <c r="V40" s="38" t="str">
        <f ca="1">IFERROR(__xludf.DUMMYFUNCTION("IFERROR(
        vlookup(B40,
                IMPORTRANGE(""https://docs.google.com/spreadsheets/d/1dN4XwmJdILpQh5cYONP2LyBh3ksWo6DCzMrUbN3lo_Q/edit#gid=1905254675"",
                        ""Form Responses 1!F2:I""),
                4,
                f"&amp;"alse))"),"8,1 km")</f>
        <v>8,1 km</v>
      </c>
      <c r="W40" s="52" t="s">
        <v>1067</v>
      </c>
      <c r="X40" s="23" t="s">
        <v>1097</v>
      </c>
      <c r="Y40" s="16" t="b">
        <v>0</v>
      </c>
      <c r="Z40" s="16"/>
      <c r="AA40" s="16"/>
      <c r="AB40" s="16"/>
      <c r="AC40" s="16"/>
      <c r="AD40" s="16"/>
      <c r="AE40" s="16"/>
      <c r="AF40" s="16"/>
      <c r="AG40" s="16"/>
      <c r="AH40" s="16"/>
      <c r="AI40" s="16"/>
    </row>
    <row r="41" spans="1:35">
      <c r="A41" s="15"/>
      <c r="B41" s="15"/>
      <c r="C41" s="49"/>
      <c r="D41" s="49"/>
      <c r="E41" s="49"/>
      <c r="F41" s="49"/>
      <c r="G41" s="49"/>
      <c r="H41" s="49"/>
      <c r="I41" s="49"/>
      <c r="J41" s="49"/>
      <c r="K41" s="34"/>
      <c r="L41" s="23"/>
      <c r="M41" s="19"/>
      <c r="N41" s="19"/>
      <c r="O41" s="16"/>
      <c r="P41" s="1"/>
      <c r="Q41" s="50"/>
      <c r="R41" s="88"/>
      <c r="S41" s="20" t="str">
        <f ca="1">IFERROR(__xludf.DUMMYFUNCTION("IFERROR(vlookup(B41,IMPORTRANGE(""https://docs.google.com/spreadsheets/d/1g_jfYYK_KeipEDNDUgqgrsxK94XiocfNQIcP-v1QVhI/edit?resourcekey#gid=233272945"",""Nilai!B:CT""),95,0),"" "")")," ")</f>
        <v xml:space="preserve"> </v>
      </c>
      <c r="T41" s="88"/>
      <c r="U41" s="50"/>
      <c r="V41" s="38"/>
      <c r="W41" s="39"/>
      <c r="X41" s="23"/>
      <c r="Y41" s="16"/>
      <c r="Z41" s="16"/>
      <c r="AA41" s="16"/>
      <c r="AB41" s="16"/>
      <c r="AC41" s="16"/>
      <c r="AD41" s="16"/>
      <c r="AE41" s="16"/>
      <c r="AF41" s="16"/>
      <c r="AG41" s="16"/>
      <c r="AH41" s="16"/>
      <c r="AI41" s="16"/>
    </row>
    <row r="42" spans="1:35">
      <c r="A42" s="15"/>
      <c r="B42" s="15"/>
      <c r="C42" s="49"/>
      <c r="D42" s="49"/>
      <c r="E42" s="49"/>
      <c r="F42" s="49"/>
      <c r="G42" s="49"/>
      <c r="H42" s="49"/>
      <c r="I42" s="49"/>
      <c r="J42" s="49"/>
      <c r="K42" s="53"/>
      <c r="L42" s="23"/>
      <c r="M42" s="19"/>
      <c r="N42" s="19"/>
      <c r="O42" s="16"/>
      <c r="P42" s="1"/>
      <c r="Q42" s="50"/>
      <c r="R42" s="88"/>
      <c r="S42" s="20" t="str">
        <f ca="1">IFERROR(__xludf.DUMMYFUNCTION("IFERROR(vlookup(B42,IMPORTRANGE(""https://docs.google.com/spreadsheets/d/1g_jfYYK_KeipEDNDUgqgrsxK94XiocfNQIcP-v1QVhI/edit?resourcekey#gid=233272945"",""Nilai!B:CT""),95,0),"" "")")," ")</f>
        <v xml:space="preserve"> </v>
      </c>
      <c r="T42" s="88"/>
      <c r="U42" s="50"/>
      <c r="V42" s="38"/>
      <c r="W42" s="39"/>
      <c r="X42" s="23"/>
      <c r="Y42" s="16"/>
      <c r="Z42" s="16"/>
      <c r="AA42" s="16"/>
      <c r="AB42" s="16"/>
      <c r="AC42" s="16"/>
      <c r="AD42" s="16"/>
      <c r="AE42" s="16"/>
      <c r="AF42" s="16"/>
      <c r="AG42" s="16"/>
      <c r="AH42" s="16"/>
      <c r="AI42" s="16"/>
    </row>
    <row r="43" spans="1:35">
      <c r="A43" s="15"/>
      <c r="B43" s="15"/>
      <c r="C43" s="16"/>
      <c r="D43" s="16"/>
      <c r="E43" s="16"/>
      <c r="F43" s="16"/>
      <c r="G43" s="16"/>
      <c r="H43" s="16"/>
      <c r="I43" s="16"/>
      <c r="J43" s="16"/>
      <c r="K43" s="16"/>
      <c r="L43" s="25"/>
      <c r="M43" s="25"/>
      <c r="N43" s="25"/>
      <c r="O43" s="16"/>
      <c r="P43" s="1"/>
      <c r="Q43" s="8"/>
      <c r="R43" s="88"/>
      <c r="S43" s="20" t="str">
        <f ca="1">IFERROR(__xludf.DUMMYFUNCTION("IFERROR(vlookup(B43,IMPORTRANGE(""https://docs.google.com/spreadsheets/d/1g_jfYYK_KeipEDNDUgqgrsxK94XiocfNQIcP-v1QVhI/edit?resourcekey#gid=233272945"",""Nilai!B:CT""),95,0),"" "")")," ")</f>
        <v xml:space="preserve"> </v>
      </c>
      <c r="T43" s="88"/>
      <c r="U43" s="8"/>
      <c r="V43" s="38"/>
      <c r="W43" s="1"/>
      <c r="X43" s="1"/>
      <c r="Y43" s="16"/>
      <c r="Z43" s="16"/>
      <c r="AA43" s="16"/>
      <c r="AB43" s="16"/>
      <c r="AC43" s="16"/>
      <c r="AD43" s="16"/>
      <c r="AE43" s="16"/>
      <c r="AF43" s="16"/>
      <c r="AG43" s="16"/>
      <c r="AH43" s="16"/>
      <c r="AI43" s="16"/>
    </row>
    <row r="44" spans="1:35">
      <c r="A44" s="15"/>
      <c r="B44" s="15"/>
      <c r="C44" s="16"/>
      <c r="D44" s="16"/>
      <c r="E44" s="16"/>
      <c r="F44" s="16"/>
      <c r="G44" s="16"/>
      <c r="H44" s="16"/>
      <c r="I44" s="16"/>
      <c r="J44" s="16"/>
      <c r="K44" s="16"/>
      <c r="L44" s="25"/>
      <c r="M44" s="25"/>
      <c r="N44" s="25"/>
      <c r="O44" s="16"/>
      <c r="P44" s="1"/>
      <c r="Q44" s="50"/>
      <c r="R44" s="88"/>
      <c r="S44" s="20" t="str">
        <f ca="1">IFERROR(__xludf.DUMMYFUNCTION("IFERROR(vlookup(B44,IMPORTRANGE(""https://docs.google.com/spreadsheets/d/1g_jfYYK_KeipEDNDUgqgrsxK94XiocfNQIcP-v1QVhI/edit?resourcekey#gid=233272945"",""Nilai!B:CT""),95,0),"" "")")," ")</f>
        <v xml:space="preserve"> </v>
      </c>
      <c r="T44" s="88"/>
      <c r="U44" s="50"/>
      <c r="V44" s="38"/>
      <c r="W44" s="1"/>
      <c r="X44" s="1"/>
      <c r="Y44" s="16"/>
      <c r="Z44" s="16"/>
      <c r="AA44" s="16"/>
      <c r="AB44" s="16"/>
      <c r="AC44" s="16"/>
      <c r="AD44" s="16"/>
      <c r="AE44" s="16"/>
      <c r="AF44" s="16"/>
      <c r="AG44" s="16"/>
      <c r="AH44" s="16"/>
      <c r="AI44" s="16"/>
    </row>
    <row r="45" spans="1:35">
      <c r="A45" s="15"/>
      <c r="B45" s="15"/>
      <c r="C45" s="16"/>
      <c r="D45" s="16"/>
      <c r="E45" s="16"/>
      <c r="F45" s="16"/>
      <c r="G45" s="16"/>
      <c r="H45" s="16"/>
      <c r="I45" s="16"/>
      <c r="J45" s="16"/>
      <c r="K45" s="16"/>
      <c r="L45" s="25"/>
      <c r="M45" s="25"/>
      <c r="N45" s="25"/>
      <c r="O45" s="16"/>
      <c r="P45" s="1"/>
      <c r="Q45" s="50"/>
      <c r="R45" s="88"/>
      <c r="S45" s="20" t="str">
        <f ca="1">IFERROR(__xludf.DUMMYFUNCTION("IFERROR(vlookup(B45,IMPORTRANGE(""https://docs.google.com/spreadsheets/d/1g_jfYYK_KeipEDNDUgqgrsxK94XiocfNQIcP-v1QVhI/edit?resourcekey#gid=233272945"",""Nilai!B:CT""),95,0),"" "")")," ")</f>
        <v xml:space="preserve"> </v>
      </c>
      <c r="T45" s="88"/>
      <c r="U45" s="50"/>
      <c r="V45" s="38"/>
      <c r="W45" s="1"/>
      <c r="X45" s="1"/>
      <c r="Y45" s="16"/>
      <c r="Z45" s="16"/>
      <c r="AA45" s="16"/>
      <c r="AB45" s="16"/>
      <c r="AC45" s="16"/>
      <c r="AD45" s="16"/>
      <c r="AE45" s="16"/>
      <c r="AF45" s="16"/>
      <c r="AG45" s="16"/>
      <c r="AH45" s="16"/>
      <c r="AI45" s="16"/>
    </row>
    <row r="46" spans="1:35">
      <c r="A46" s="15"/>
      <c r="B46" s="15"/>
      <c r="C46" s="16"/>
      <c r="D46" s="16"/>
      <c r="E46" s="16"/>
      <c r="F46" s="16"/>
      <c r="G46" s="16"/>
      <c r="H46" s="16"/>
      <c r="I46" s="16"/>
      <c r="J46" s="16"/>
      <c r="K46" s="16"/>
      <c r="L46" s="25"/>
      <c r="M46" s="25"/>
      <c r="N46" s="25"/>
      <c r="O46" s="16"/>
      <c r="P46" s="1"/>
      <c r="Q46" s="8"/>
      <c r="R46" s="88"/>
      <c r="S46" s="20" t="str">
        <f ca="1">IFERROR(__xludf.DUMMYFUNCTION("IFERROR(vlookup(B46,IMPORTRANGE(""https://docs.google.com/spreadsheets/d/1g_jfYYK_KeipEDNDUgqgrsxK94XiocfNQIcP-v1QVhI/edit?resourcekey#gid=233272945"",""Nilai!B:CT""),95,0),"" "")")," ")</f>
        <v xml:space="preserve"> </v>
      </c>
      <c r="T46" s="88"/>
      <c r="U46" s="8"/>
      <c r="V46" s="38"/>
      <c r="W46" s="1"/>
      <c r="X46" s="1"/>
      <c r="Y46" s="16"/>
      <c r="Z46" s="16"/>
      <c r="AA46" s="16"/>
      <c r="AB46" s="16"/>
      <c r="AC46" s="16"/>
      <c r="AD46" s="16"/>
      <c r="AE46" s="16"/>
      <c r="AF46" s="16"/>
      <c r="AG46" s="16"/>
      <c r="AH46" s="16"/>
      <c r="AI46" s="16"/>
    </row>
    <row r="47" spans="1:35">
      <c r="A47" s="15"/>
      <c r="B47" s="15"/>
      <c r="C47" s="16"/>
      <c r="D47" s="16"/>
      <c r="E47" s="16"/>
      <c r="F47" s="16"/>
      <c r="G47" s="16"/>
      <c r="H47" s="16"/>
      <c r="I47" s="16"/>
      <c r="J47" s="16"/>
      <c r="K47" s="16"/>
      <c r="L47" s="25"/>
      <c r="M47" s="25"/>
      <c r="N47" s="25"/>
      <c r="O47" s="16"/>
      <c r="P47" s="1"/>
      <c r="Q47" s="8"/>
      <c r="R47" s="88"/>
      <c r="S47" s="20" t="str">
        <f ca="1">IFERROR(__xludf.DUMMYFUNCTION("IFERROR(vlookup(B47,IMPORTRANGE(""https://docs.google.com/spreadsheets/d/1g_jfYYK_KeipEDNDUgqgrsxK94XiocfNQIcP-v1QVhI/edit?resourcekey#gid=233272945"",""Nilai!B:CT""),95,0),"" "")")," ")</f>
        <v xml:space="preserve"> </v>
      </c>
      <c r="T47" s="88"/>
      <c r="U47" s="8"/>
      <c r="V47" s="38"/>
      <c r="W47" s="1"/>
      <c r="X47" s="1"/>
      <c r="Y47" s="16"/>
      <c r="Z47" s="16"/>
      <c r="AA47" s="16"/>
      <c r="AB47" s="16"/>
      <c r="AC47" s="16"/>
      <c r="AD47" s="16"/>
      <c r="AE47" s="16"/>
      <c r="AF47" s="16"/>
      <c r="AG47" s="16"/>
      <c r="AH47" s="16"/>
      <c r="AI47" s="16"/>
    </row>
    <row r="48" spans="1:35">
      <c r="A48" s="15"/>
      <c r="B48" s="15"/>
      <c r="C48" s="16"/>
      <c r="D48" s="16"/>
      <c r="E48" s="16"/>
      <c r="F48" s="16"/>
      <c r="G48" s="16"/>
      <c r="H48" s="16"/>
      <c r="I48" s="16"/>
      <c r="J48" s="16"/>
      <c r="K48" s="16"/>
      <c r="L48" s="25"/>
      <c r="M48" s="25"/>
      <c r="N48" s="25"/>
      <c r="O48" s="16"/>
      <c r="P48" s="1"/>
      <c r="Q48" s="50"/>
      <c r="R48" s="88"/>
      <c r="S48" s="20" t="str">
        <f ca="1">IFERROR(__xludf.DUMMYFUNCTION("IFERROR(vlookup(B48,IMPORTRANGE(""https://docs.google.com/spreadsheets/d/1g_jfYYK_KeipEDNDUgqgrsxK94XiocfNQIcP-v1QVhI/edit?resourcekey#gid=233272945"",""Nilai!B:CT""),95,0),"" "")")," ")</f>
        <v xml:space="preserve"> </v>
      </c>
      <c r="T48" s="88"/>
      <c r="U48" s="50"/>
      <c r="V48" s="38"/>
      <c r="W48" s="1"/>
      <c r="X48" s="1"/>
      <c r="Y48" s="16"/>
      <c r="Z48" s="16"/>
      <c r="AA48" s="16"/>
      <c r="AB48" s="16"/>
      <c r="AC48" s="16"/>
      <c r="AD48" s="16"/>
      <c r="AE48" s="16"/>
      <c r="AF48" s="16"/>
      <c r="AG48" s="16"/>
      <c r="AH48" s="16"/>
      <c r="AI48" s="16"/>
    </row>
    <row r="49" spans="1:35">
      <c r="A49" s="15"/>
      <c r="B49" s="15"/>
      <c r="C49" s="16"/>
      <c r="D49" s="16"/>
      <c r="E49" s="16"/>
      <c r="F49" s="16"/>
      <c r="G49" s="16"/>
      <c r="H49" s="16"/>
      <c r="I49" s="16"/>
      <c r="J49" s="16"/>
      <c r="K49" s="16"/>
      <c r="L49" s="25"/>
      <c r="M49" s="25"/>
      <c r="N49" s="25"/>
      <c r="O49" s="16"/>
      <c r="P49" s="1"/>
      <c r="Q49" s="50"/>
      <c r="R49" s="88"/>
      <c r="S49" s="20" t="str">
        <f ca="1">IFERROR(__xludf.DUMMYFUNCTION("IFERROR(vlookup(B49,IMPORTRANGE(""https://docs.google.com/spreadsheets/d/1g_jfYYK_KeipEDNDUgqgrsxK94XiocfNQIcP-v1QVhI/edit?resourcekey#gid=233272945"",""Nilai!B:CT""),95,0),"" "")")," ")</f>
        <v xml:space="preserve"> </v>
      </c>
      <c r="T49" s="88"/>
      <c r="U49" s="50"/>
      <c r="V49" s="38"/>
      <c r="W49" s="1"/>
      <c r="X49" s="1"/>
      <c r="Y49" s="16"/>
      <c r="Z49" s="16"/>
      <c r="AA49" s="16"/>
      <c r="AB49" s="16"/>
      <c r="AC49" s="16"/>
      <c r="AD49" s="16"/>
      <c r="AE49" s="16"/>
      <c r="AF49" s="16"/>
      <c r="AG49" s="16"/>
      <c r="AH49" s="16"/>
      <c r="AI49" s="16"/>
    </row>
    <row r="50" spans="1:35">
      <c r="A50" s="15"/>
      <c r="B50" s="15"/>
      <c r="C50" s="16"/>
      <c r="D50" s="16"/>
      <c r="E50" s="16"/>
      <c r="F50" s="16"/>
      <c r="G50" s="16"/>
      <c r="H50" s="16"/>
      <c r="I50" s="16"/>
      <c r="J50" s="16"/>
      <c r="K50" s="16"/>
      <c r="L50" s="25"/>
      <c r="M50" s="25"/>
      <c r="N50" s="25"/>
      <c r="O50" s="16"/>
      <c r="P50" s="1"/>
      <c r="Q50" s="50"/>
      <c r="R50" s="88"/>
      <c r="S50" s="20" t="str">
        <f ca="1">IFERROR(__xludf.DUMMYFUNCTION("IFERROR(vlookup(B50,IMPORTRANGE(""https://docs.google.com/spreadsheets/d/1g_jfYYK_KeipEDNDUgqgrsxK94XiocfNQIcP-v1QVhI/edit?resourcekey#gid=233272945"",""Nilai!B:CT""),95,0),"" "")")," ")</f>
        <v xml:space="preserve"> </v>
      </c>
      <c r="T50" s="88"/>
      <c r="U50" s="50"/>
      <c r="V50" s="38"/>
      <c r="W50" s="1"/>
      <c r="X50" s="1"/>
      <c r="Y50" s="16"/>
      <c r="Z50" s="16"/>
      <c r="AA50" s="16"/>
      <c r="AB50" s="16"/>
      <c r="AC50" s="16"/>
      <c r="AD50" s="16"/>
      <c r="AE50" s="16"/>
      <c r="AF50" s="16"/>
      <c r="AG50" s="16"/>
      <c r="AH50" s="16"/>
      <c r="AI50" s="16"/>
    </row>
    <row r="51" spans="1:35">
      <c r="A51" s="15"/>
      <c r="B51" s="15"/>
      <c r="C51" s="16"/>
      <c r="D51" s="16"/>
      <c r="E51" s="16"/>
      <c r="F51" s="16"/>
      <c r="G51" s="16"/>
      <c r="H51" s="16"/>
      <c r="I51" s="16"/>
      <c r="J51" s="16"/>
      <c r="K51" s="16"/>
      <c r="L51" s="25"/>
      <c r="M51" s="25"/>
      <c r="N51" s="25"/>
      <c r="O51" s="16"/>
      <c r="P51" s="1"/>
      <c r="Q51" s="50"/>
      <c r="R51" s="88"/>
      <c r="S51" s="20" t="b">
        <v>0</v>
      </c>
      <c r="T51" s="88"/>
      <c r="U51" s="50"/>
      <c r="V51" s="38"/>
      <c r="W51" s="1"/>
      <c r="X51" s="1"/>
      <c r="Y51" s="16"/>
      <c r="Z51" s="16"/>
      <c r="AA51" s="16"/>
      <c r="AB51" s="16"/>
      <c r="AC51" s="16"/>
      <c r="AD51" s="16"/>
      <c r="AE51" s="16"/>
      <c r="AF51" s="16"/>
      <c r="AG51" s="16"/>
      <c r="AH51" s="16"/>
      <c r="AI51" s="16"/>
    </row>
    <row r="52" spans="1:35">
      <c r="A52" s="15"/>
      <c r="B52" s="15"/>
      <c r="C52" s="16"/>
      <c r="D52" s="16"/>
      <c r="E52" s="16"/>
      <c r="F52" s="16"/>
      <c r="G52" s="16"/>
      <c r="H52" s="16"/>
      <c r="I52" s="16"/>
      <c r="J52" s="16"/>
      <c r="K52" s="16"/>
      <c r="L52" s="25"/>
      <c r="M52" s="25"/>
      <c r="N52" s="25"/>
      <c r="O52" s="16"/>
      <c r="P52" s="1"/>
      <c r="Q52" s="50"/>
      <c r="R52" s="88"/>
      <c r="S52" s="20" t="b">
        <v>0</v>
      </c>
      <c r="T52" s="88"/>
      <c r="U52" s="50"/>
      <c r="V52" s="38"/>
      <c r="W52" s="1"/>
      <c r="X52" s="1"/>
      <c r="Y52" s="16"/>
      <c r="Z52" s="16"/>
      <c r="AA52" s="16"/>
      <c r="AB52" s="16"/>
      <c r="AC52" s="16"/>
      <c r="AD52" s="16"/>
      <c r="AE52" s="16"/>
      <c r="AF52" s="16"/>
      <c r="AG52" s="16"/>
      <c r="AH52" s="16"/>
      <c r="AI52" s="16"/>
    </row>
    <row r="53" spans="1:35">
      <c r="A53" s="15"/>
      <c r="B53" s="15"/>
      <c r="C53" s="16"/>
      <c r="D53" s="16"/>
      <c r="E53" s="16"/>
      <c r="F53" s="16"/>
      <c r="G53" s="16"/>
      <c r="H53" s="16"/>
      <c r="I53" s="16"/>
      <c r="J53" s="16"/>
      <c r="K53" s="16"/>
      <c r="L53" s="25"/>
      <c r="M53" s="25"/>
      <c r="N53" s="25"/>
      <c r="O53" s="16"/>
      <c r="P53" s="1"/>
      <c r="Q53" s="8"/>
      <c r="R53" s="88"/>
      <c r="S53" s="20" t="b">
        <v>0</v>
      </c>
      <c r="T53" s="88"/>
      <c r="U53" s="8"/>
      <c r="V53" s="38"/>
      <c r="W53" s="1"/>
      <c r="X53" s="1"/>
      <c r="Y53" s="16"/>
      <c r="Z53" s="16"/>
      <c r="AA53" s="16"/>
      <c r="AB53" s="16"/>
      <c r="AC53" s="16"/>
      <c r="AD53" s="16"/>
      <c r="AE53" s="16"/>
      <c r="AF53" s="16"/>
      <c r="AG53" s="16"/>
      <c r="AH53" s="16"/>
      <c r="AI53" s="16"/>
    </row>
    <row r="54" spans="1:35">
      <c r="A54" s="15"/>
      <c r="B54" s="15"/>
      <c r="C54" s="16"/>
      <c r="D54" s="16"/>
      <c r="E54" s="16"/>
      <c r="F54" s="16"/>
      <c r="G54" s="16"/>
      <c r="H54" s="16"/>
      <c r="I54" s="16"/>
      <c r="J54" s="16"/>
      <c r="K54" s="16"/>
      <c r="L54" s="25"/>
      <c r="M54" s="25"/>
      <c r="N54" s="25"/>
      <c r="O54" s="16"/>
      <c r="P54" s="1"/>
      <c r="Q54" s="50"/>
      <c r="R54" s="88"/>
      <c r="S54" s="20" t="b">
        <v>0</v>
      </c>
      <c r="T54" s="88"/>
      <c r="U54" s="50"/>
      <c r="V54" s="38"/>
      <c r="W54" s="1"/>
      <c r="X54" s="1"/>
      <c r="Y54" s="16"/>
      <c r="Z54" s="16"/>
      <c r="AA54" s="16"/>
      <c r="AB54" s="16"/>
      <c r="AC54" s="16"/>
      <c r="AD54" s="16"/>
      <c r="AE54" s="16"/>
      <c r="AF54" s="16"/>
      <c r="AG54" s="16"/>
      <c r="AH54" s="16"/>
      <c r="AI54" s="16"/>
    </row>
    <row r="55" spans="1:35">
      <c r="A55" s="15"/>
      <c r="B55" s="15"/>
      <c r="C55" s="16"/>
      <c r="D55" s="16"/>
      <c r="E55" s="16"/>
      <c r="F55" s="16"/>
      <c r="G55" s="16"/>
      <c r="H55" s="16"/>
      <c r="I55" s="16"/>
      <c r="J55" s="16"/>
      <c r="K55" s="16"/>
      <c r="L55" s="25"/>
      <c r="M55" s="25"/>
      <c r="N55" s="25"/>
      <c r="O55" s="16"/>
      <c r="P55" s="1"/>
      <c r="Q55" s="8"/>
      <c r="R55" s="88"/>
      <c r="S55" s="20" t="b">
        <v>0</v>
      </c>
      <c r="T55" s="88"/>
      <c r="U55" s="8"/>
      <c r="V55" s="38"/>
      <c r="W55" s="1"/>
      <c r="X55" s="1"/>
      <c r="Y55" s="16"/>
      <c r="Z55" s="16"/>
      <c r="AA55" s="16"/>
      <c r="AB55" s="16"/>
      <c r="AC55" s="16"/>
      <c r="AD55" s="16"/>
      <c r="AE55" s="16"/>
      <c r="AF55" s="16"/>
      <c r="AG55" s="16"/>
      <c r="AH55" s="16"/>
      <c r="AI55" s="16"/>
    </row>
    <row r="56" spans="1:35">
      <c r="A56" s="15"/>
      <c r="B56" s="15"/>
      <c r="C56" s="16"/>
      <c r="D56" s="16"/>
      <c r="E56" s="16"/>
      <c r="F56" s="16"/>
      <c r="G56" s="16"/>
      <c r="H56" s="16"/>
      <c r="I56" s="16"/>
      <c r="J56" s="16"/>
      <c r="K56" s="16"/>
      <c r="L56" s="25"/>
      <c r="M56" s="25"/>
      <c r="N56" s="25"/>
      <c r="O56" s="16"/>
      <c r="P56" s="1"/>
      <c r="Q56" s="50"/>
      <c r="R56" s="88"/>
      <c r="S56" s="20" t="b">
        <v>0</v>
      </c>
      <c r="T56" s="88"/>
      <c r="U56" s="50"/>
      <c r="V56" s="38"/>
      <c r="W56" s="1"/>
      <c r="X56" s="1"/>
      <c r="Y56" s="16"/>
      <c r="Z56" s="16"/>
      <c r="AA56" s="16"/>
      <c r="AB56" s="16"/>
      <c r="AC56" s="16"/>
      <c r="AD56" s="16"/>
      <c r="AE56" s="16"/>
      <c r="AF56" s="16"/>
      <c r="AG56" s="16"/>
      <c r="AH56" s="16"/>
      <c r="AI56" s="16"/>
    </row>
    <row r="57" spans="1:35">
      <c r="A57" s="15"/>
      <c r="B57" s="15"/>
      <c r="C57" s="16"/>
      <c r="D57" s="16"/>
      <c r="E57" s="16"/>
      <c r="F57" s="16"/>
      <c r="G57" s="16"/>
      <c r="H57" s="16"/>
      <c r="I57" s="16"/>
      <c r="J57" s="16"/>
      <c r="K57" s="16"/>
      <c r="L57" s="25"/>
      <c r="M57" s="25"/>
      <c r="N57" s="25"/>
      <c r="O57" s="16"/>
      <c r="P57" s="1"/>
      <c r="Q57" s="50"/>
      <c r="R57" s="88"/>
      <c r="S57" s="20" t="b">
        <v>0</v>
      </c>
      <c r="T57" s="88"/>
      <c r="U57" s="50"/>
      <c r="V57" s="38"/>
      <c r="W57" s="1"/>
      <c r="X57" s="1"/>
      <c r="Y57" s="16"/>
      <c r="Z57" s="16"/>
      <c r="AA57" s="16"/>
      <c r="AB57" s="16"/>
      <c r="AC57" s="16"/>
      <c r="AD57" s="16"/>
      <c r="AE57" s="16"/>
      <c r="AF57" s="16"/>
      <c r="AG57" s="16"/>
      <c r="AH57" s="16"/>
      <c r="AI57" s="16"/>
    </row>
    <row r="58" spans="1:35">
      <c r="A58" s="15"/>
      <c r="B58" s="15"/>
      <c r="C58" s="16"/>
      <c r="D58" s="16"/>
      <c r="E58" s="16"/>
      <c r="F58" s="16"/>
      <c r="G58" s="16"/>
      <c r="H58" s="16"/>
      <c r="I58" s="16"/>
      <c r="J58" s="16"/>
      <c r="K58" s="16"/>
      <c r="L58" s="25"/>
      <c r="M58" s="25"/>
      <c r="N58" s="25"/>
      <c r="O58" s="16"/>
      <c r="P58" s="1"/>
      <c r="Q58" s="8"/>
      <c r="R58" s="88"/>
      <c r="S58" s="20" t="b">
        <v>0</v>
      </c>
      <c r="T58" s="88"/>
      <c r="U58" s="8"/>
      <c r="V58" s="38"/>
      <c r="W58" s="1"/>
      <c r="X58" s="1"/>
      <c r="Y58" s="16"/>
      <c r="Z58" s="16"/>
      <c r="AA58" s="16"/>
      <c r="AB58" s="16"/>
      <c r="AC58" s="16"/>
      <c r="AD58" s="16"/>
      <c r="AE58" s="16"/>
      <c r="AF58" s="16"/>
      <c r="AG58" s="16"/>
      <c r="AH58" s="16"/>
      <c r="AI58" s="16"/>
    </row>
    <row r="59" spans="1:35">
      <c r="A59" s="15"/>
      <c r="B59" s="15"/>
      <c r="C59" s="16"/>
      <c r="D59" s="16"/>
      <c r="E59" s="16"/>
      <c r="F59" s="16"/>
      <c r="G59" s="16"/>
      <c r="H59" s="16"/>
      <c r="I59" s="16"/>
      <c r="J59" s="16"/>
      <c r="K59" s="16"/>
      <c r="L59" s="25"/>
      <c r="M59" s="25"/>
      <c r="N59" s="25"/>
      <c r="O59" s="16"/>
      <c r="P59" s="1"/>
      <c r="Q59" s="8"/>
      <c r="R59" s="88"/>
      <c r="S59" s="20" t="b">
        <v>0</v>
      </c>
      <c r="T59" s="88"/>
      <c r="U59" s="8"/>
      <c r="V59" s="38"/>
      <c r="W59" s="1"/>
      <c r="X59" s="1"/>
      <c r="Y59" s="16"/>
      <c r="Z59" s="16"/>
      <c r="AA59" s="16"/>
      <c r="AB59" s="16"/>
      <c r="AC59" s="16"/>
      <c r="AD59" s="16"/>
      <c r="AE59" s="16"/>
      <c r="AF59" s="16"/>
      <c r="AG59" s="16"/>
      <c r="AH59" s="16"/>
      <c r="AI59" s="16"/>
    </row>
    <row r="60" spans="1:35">
      <c r="A60" s="15"/>
      <c r="B60" s="15"/>
      <c r="C60" s="16"/>
      <c r="D60" s="16"/>
      <c r="E60" s="16"/>
      <c r="F60" s="16"/>
      <c r="G60" s="16"/>
      <c r="H60" s="16"/>
      <c r="I60" s="16"/>
      <c r="J60" s="16"/>
      <c r="K60" s="16"/>
      <c r="L60" s="25"/>
      <c r="M60" s="25"/>
      <c r="N60" s="25"/>
      <c r="O60" s="16"/>
      <c r="P60" s="1"/>
      <c r="Q60" s="8"/>
      <c r="R60" s="88"/>
      <c r="S60" s="20" t="b">
        <v>0</v>
      </c>
      <c r="T60" s="88"/>
      <c r="U60" s="8"/>
      <c r="V60" s="38"/>
      <c r="W60" s="1"/>
      <c r="X60" s="1"/>
      <c r="Y60" s="16"/>
      <c r="Z60" s="16"/>
      <c r="AA60" s="16"/>
      <c r="AB60" s="16"/>
      <c r="AC60" s="16"/>
      <c r="AD60" s="16"/>
      <c r="AE60" s="16"/>
      <c r="AF60" s="16"/>
      <c r="AG60" s="16"/>
      <c r="AH60" s="16"/>
      <c r="AI60" s="16"/>
    </row>
    <row r="61" spans="1:35">
      <c r="A61" s="15"/>
      <c r="B61" s="15"/>
      <c r="C61" s="16"/>
      <c r="D61" s="16"/>
      <c r="E61" s="16"/>
      <c r="F61" s="16"/>
      <c r="G61" s="16"/>
      <c r="H61" s="16"/>
      <c r="I61" s="16"/>
      <c r="J61" s="16"/>
      <c r="K61" s="16"/>
      <c r="L61" s="25"/>
      <c r="M61" s="25"/>
      <c r="N61" s="25"/>
      <c r="O61" s="16"/>
      <c r="P61" s="1"/>
      <c r="Q61" s="8"/>
      <c r="R61" s="88"/>
      <c r="S61" s="20" t="b">
        <v>0</v>
      </c>
      <c r="T61" s="88"/>
      <c r="U61" s="8"/>
      <c r="V61" s="38"/>
      <c r="W61" s="1"/>
      <c r="X61" s="1"/>
      <c r="Y61" s="16"/>
      <c r="Z61" s="16"/>
      <c r="AA61" s="16"/>
      <c r="AB61" s="16"/>
      <c r="AC61" s="16"/>
      <c r="AD61" s="16"/>
      <c r="AE61" s="16"/>
      <c r="AF61" s="16"/>
      <c r="AG61" s="16"/>
      <c r="AH61" s="16"/>
      <c r="AI61" s="16"/>
    </row>
    <row r="62" spans="1:35">
      <c r="A62" s="15"/>
      <c r="B62" s="15"/>
      <c r="C62" s="16"/>
      <c r="D62" s="16"/>
      <c r="E62" s="16"/>
      <c r="F62" s="16"/>
      <c r="G62" s="16"/>
      <c r="H62" s="16"/>
      <c r="I62" s="16"/>
      <c r="J62" s="16"/>
      <c r="K62" s="16"/>
      <c r="L62" s="25"/>
      <c r="M62" s="25"/>
      <c r="N62" s="25"/>
      <c r="O62" s="16"/>
      <c r="P62" s="1"/>
      <c r="Q62" s="8"/>
      <c r="R62" s="88"/>
      <c r="S62" s="20" t="b">
        <v>0</v>
      </c>
      <c r="T62" s="88"/>
      <c r="U62" s="8"/>
      <c r="V62" s="38"/>
      <c r="W62" s="1"/>
      <c r="X62" s="1"/>
      <c r="Y62" s="16"/>
      <c r="Z62" s="16"/>
      <c r="AA62" s="16"/>
      <c r="AB62" s="16"/>
      <c r="AC62" s="16"/>
      <c r="AD62" s="16"/>
      <c r="AE62" s="16"/>
      <c r="AF62" s="16"/>
      <c r="AG62" s="16"/>
      <c r="AH62" s="16"/>
      <c r="AI62" s="16"/>
    </row>
    <row r="63" spans="1:35">
      <c r="A63" s="15"/>
      <c r="B63" s="15"/>
      <c r="C63" s="16"/>
      <c r="D63" s="16"/>
      <c r="E63" s="16"/>
      <c r="F63" s="16"/>
      <c r="G63" s="16"/>
      <c r="H63" s="16"/>
      <c r="I63" s="16"/>
      <c r="J63" s="16"/>
      <c r="K63" s="16"/>
      <c r="L63" s="25"/>
      <c r="M63" s="25"/>
      <c r="N63" s="25"/>
      <c r="O63" s="16"/>
      <c r="P63" s="1"/>
      <c r="Q63" s="8"/>
      <c r="R63" s="88"/>
      <c r="S63" s="20" t="b">
        <v>0</v>
      </c>
      <c r="T63" s="88"/>
      <c r="U63" s="8"/>
      <c r="V63" s="38"/>
      <c r="W63" s="1"/>
      <c r="X63" s="1"/>
      <c r="Y63" s="16"/>
      <c r="Z63" s="16"/>
      <c r="AA63" s="16"/>
      <c r="AB63" s="16"/>
      <c r="AC63" s="16"/>
      <c r="AD63" s="16"/>
      <c r="AE63" s="16"/>
      <c r="AF63" s="16"/>
      <c r="AG63" s="16"/>
      <c r="AH63" s="16"/>
      <c r="AI63" s="16"/>
    </row>
    <row r="64" spans="1:35">
      <c r="A64" s="15"/>
      <c r="B64" s="15"/>
      <c r="C64" s="16"/>
      <c r="D64" s="16"/>
      <c r="E64" s="16"/>
      <c r="F64" s="16"/>
      <c r="G64" s="16"/>
      <c r="H64" s="16"/>
      <c r="I64" s="16"/>
      <c r="J64" s="16"/>
      <c r="K64" s="16"/>
      <c r="L64" s="25"/>
      <c r="M64" s="25"/>
      <c r="N64" s="25"/>
      <c r="O64" s="16"/>
      <c r="P64" s="1" t="str">
        <f ca="1">IFERROR(__xludf.DUMMYFUNCTION("iferror(vlookup(B64,importrange(""https://docs.google.com/spreadsheets/d/1boHyJQ4e2FU0QG8MHwEi6qjX4hvZWVCHcFfXjq7bbMc/edit?resourcekey#gid=923248883"",""Prop!$C$1:$M""),12,0),IFERROR(vlookup(B64,importrange(""https://docs.google.com/spreadsheets/d/1boHyJQ"&amp;"4e2FU0QG8MHwEi6qjX4hvZWVCHcFfXjq7bbMc/edit?resourcekey#gid=923248883"",""Prop!$N$1:$X""),11,0),iferror(vlookup(B64,importrange(""https://docs.google.com/spreadsheets/d/1boHyJQ4e2FU0QG8MHwEi6qjX4hvZWVCHcFfXjq7bbMc/edit?resourcekey#gid=923248883"",""Prop!$Y"&amp;"$1:$AI""),11,0),iferror(vlookup(B64,importrange(""https://docs.google.com/spreadsheets/d/1boHyJQ4e2FU0QG8MHwEi6qjX4hvZWVCHcFfXjq7bbMc/edit?resourcekey#gid=923248883"",""Prop!$AJ$1:$AT""),11,0),iferror(vlookup(B64,importrange(""https://docs.google.com/spre"&amp;"adsheets/d/1boHyJQ4e2FU0QG8MHwEi6qjX4hvZWVCHcFfXjq7bbMc/edit?resourcekey#gid=923248883"",""Prop!$AU$1:$BE""),11,0),iferror(vlookup(B64,importrange(""https://docs.google.com/spreadsheets/d/1boHyJQ4e2FU0QG8MHwEi6qjX4hvZWVCHcFfXjq7bbMc/edit?resourcekey#gid=9"&amp;"23248883"",""Prop!$BF$1:$BP""),11,0),iferror(vlookup(B64,importrange(""https://docs.google.com/spreadsheets/d/1boHyJQ4e2FU0QG8MHwEi6qjX4hvZWVCHcFfXjq7bbMc/edit?resourcekey#gid=923248883"",""Prop!$BQ$1:$CA""),11,0),iferror(vlookup(B64,importrange(""https:/"&amp;"/docs.google.com/spreadsheets/d/1boHyJQ4e2FU0QG8MHwEi6qjX4hvZWVCHcFfXjq7bbMc/edit?resourcekey#gid=923248883"",""Prop!$CB$1:$CL""),11,0),iferror(vlookup(B64,importrange(""https://docs.google.com/spreadsheets/d/1boHyJQ4e2FU0QG8MHwEi6qjX4hvZWVCHcFfXjq7bbMc/e"&amp;"dit?resourcekey#gid=923248883"",""Prop!$CM$1:$CX""),12,0),iferror(vlookup(B64,importrange(""https://docs.google.com/spreadsheets/d/1boHyJQ4e2FU0QG8MHwEi6qjX4hvZWVCHcFfXjq7bbMc/edit?resourcekey#gid=923248883"",""Prop!$CV$1:$DI""),11,0)))))))))))"),"")</f>
        <v/>
      </c>
      <c r="Q64" s="8"/>
      <c r="R64" s="8"/>
      <c r="S64" s="1"/>
      <c r="T64" s="8"/>
      <c r="U64" s="8"/>
      <c r="V64" s="38"/>
      <c r="W64" s="1"/>
      <c r="X64" s="1"/>
      <c r="Y64" s="16"/>
      <c r="Z64" s="16"/>
      <c r="AA64" s="16"/>
      <c r="AB64" s="16"/>
      <c r="AC64" s="16"/>
      <c r="AD64" s="16"/>
      <c r="AE64" s="16"/>
      <c r="AF64" s="16"/>
      <c r="AG64" s="16"/>
      <c r="AH64" s="16"/>
      <c r="AI64" s="16"/>
    </row>
    <row r="65" spans="1:35">
      <c r="A65" s="15"/>
      <c r="B65" s="15"/>
      <c r="C65" s="16"/>
      <c r="D65" s="16"/>
      <c r="E65" s="16"/>
      <c r="F65" s="16"/>
      <c r="G65" s="16"/>
      <c r="H65" s="16"/>
      <c r="I65" s="16"/>
      <c r="J65" s="16"/>
      <c r="K65" s="16"/>
      <c r="L65" s="25"/>
      <c r="M65" s="25"/>
      <c r="N65" s="25"/>
      <c r="O65" s="16"/>
      <c r="P65" s="1"/>
      <c r="Q65" s="8"/>
      <c r="R65" s="8"/>
      <c r="S65" s="1"/>
      <c r="T65" s="8"/>
      <c r="U65" s="8"/>
      <c r="V65" s="38"/>
      <c r="W65" s="1"/>
      <c r="X65" s="1"/>
      <c r="Y65" s="16"/>
      <c r="Z65" s="16"/>
      <c r="AA65" s="16"/>
      <c r="AB65" s="16"/>
      <c r="AC65" s="16"/>
      <c r="AD65" s="16"/>
      <c r="AE65" s="16"/>
      <c r="AF65" s="16"/>
      <c r="AG65" s="16"/>
      <c r="AH65" s="16"/>
      <c r="AI65" s="16"/>
    </row>
    <row r="66" spans="1:35">
      <c r="A66" s="15"/>
      <c r="B66" s="15"/>
      <c r="C66" s="16"/>
      <c r="D66" s="16"/>
      <c r="E66" s="16"/>
      <c r="F66" s="16"/>
      <c r="G66" s="16"/>
      <c r="H66" s="16"/>
      <c r="I66" s="16"/>
      <c r="J66" s="16"/>
      <c r="K66" s="16"/>
      <c r="L66" s="25"/>
      <c r="M66" s="25"/>
      <c r="N66" s="25"/>
      <c r="O66" s="16"/>
      <c r="P66" s="1"/>
      <c r="Q66" s="8"/>
      <c r="R66" s="8"/>
      <c r="S66" s="1"/>
      <c r="T66" s="8"/>
      <c r="U66" s="8"/>
      <c r="V66" s="38"/>
      <c r="W66" s="1"/>
      <c r="X66" s="1"/>
      <c r="Y66" s="16"/>
      <c r="Z66" s="16"/>
      <c r="AA66" s="16"/>
      <c r="AB66" s="16"/>
      <c r="AC66" s="16"/>
      <c r="AD66" s="16"/>
      <c r="AE66" s="16"/>
      <c r="AF66" s="16"/>
      <c r="AG66" s="16"/>
      <c r="AH66" s="16"/>
      <c r="AI66" s="16"/>
    </row>
    <row r="67" spans="1:35">
      <c r="A67" s="15"/>
      <c r="B67" s="15"/>
      <c r="C67" s="16"/>
      <c r="D67" s="16"/>
      <c r="E67" s="16"/>
      <c r="F67" s="16"/>
      <c r="G67" s="16"/>
      <c r="H67" s="16"/>
      <c r="I67" s="16"/>
      <c r="J67" s="16"/>
      <c r="K67" s="16"/>
      <c r="L67" s="25"/>
      <c r="M67" s="25"/>
      <c r="N67" s="25"/>
      <c r="O67" s="16"/>
      <c r="P67" s="1"/>
      <c r="Q67" s="8"/>
      <c r="R67" s="8"/>
      <c r="S67" s="1"/>
      <c r="T67" s="8"/>
      <c r="U67" s="8"/>
      <c r="V67" s="38"/>
      <c r="W67" s="1"/>
      <c r="X67" s="1"/>
      <c r="Y67" s="16"/>
      <c r="Z67" s="16"/>
      <c r="AA67" s="16"/>
      <c r="AB67" s="16"/>
      <c r="AC67" s="16"/>
      <c r="AD67" s="16"/>
      <c r="AE67" s="16"/>
      <c r="AF67" s="16"/>
      <c r="AG67" s="16"/>
      <c r="AH67" s="16"/>
      <c r="AI67" s="16"/>
    </row>
    <row r="68" spans="1:35">
      <c r="A68" s="15"/>
      <c r="B68" s="15"/>
      <c r="C68" s="16"/>
      <c r="D68" s="16"/>
      <c r="E68" s="16"/>
      <c r="F68" s="16"/>
      <c r="G68" s="16"/>
      <c r="H68" s="16"/>
      <c r="I68" s="16"/>
      <c r="J68" s="16"/>
      <c r="K68" s="16"/>
      <c r="L68" s="25"/>
      <c r="M68" s="25"/>
      <c r="N68" s="25"/>
      <c r="O68" s="16"/>
      <c r="P68" s="1"/>
      <c r="Q68" s="8"/>
      <c r="R68" s="8"/>
      <c r="S68" s="1"/>
      <c r="T68" s="8"/>
      <c r="U68" s="8"/>
      <c r="V68" s="38"/>
      <c r="W68" s="1"/>
      <c r="X68" s="1"/>
      <c r="Y68" s="16"/>
      <c r="Z68" s="16"/>
      <c r="AA68" s="16"/>
      <c r="AB68" s="16"/>
      <c r="AC68" s="16"/>
      <c r="AD68" s="16"/>
      <c r="AE68" s="16"/>
      <c r="AF68" s="16"/>
      <c r="AG68" s="16"/>
      <c r="AH68" s="16"/>
      <c r="AI68" s="16"/>
    </row>
    <row r="69" spans="1:35">
      <c r="A69" s="15"/>
      <c r="B69" s="15"/>
      <c r="C69" s="16"/>
      <c r="D69" s="16"/>
      <c r="E69" s="16"/>
      <c r="F69" s="16"/>
      <c r="G69" s="16"/>
      <c r="H69" s="16"/>
      <c r="I69" s="16"/>
      <c r="J69" s="16"/>
      <c r="K69" s="16"/>
      <c r="L69" s="25"/>
      <c r="M69" s="25"/>
      <c r="N69" s="25"/>
      <c r="O69" s="16"/>
      <c r="P69" s="1"/>
      <c r="Q69" s="8"/>
      <c r="R69" s="8"/>
      <c r="S69" s="1"/>
      <c r="T69" s="8"/>
      <c r="U69" s="8"/>
      <c r="V69" s="38"/>
      <c r="W69" s="1"/>
      <c r="X69" s="1"/>
      <c r="Y69" s="16"/>
      <c r="Z69" s="16"/>
      <c r="AA69" s="16"/>
      <c r="AB69" s="16"/>
      <c r="AC69" s="16"/>
      <c r="AD69" s="16"/>
      <c r="AE69" s="16"/>
      <c r="AF69" s="16"/>
      <c r="AG69" s="16"/>
      <c r="AH69" s="16"/>
      <c r="AI69" s="16"/>
    </row>
    <row r="70" spans="1:35">
      <c r="A70" s="15"/>
      <c r="B70" s="15"/>
      <c r="C70" s="16"/>
      <c r="D70" s="16"/>
      <c r="E70" s="16"/>
      <c r="F70" s="16"/>
      <c r="G70" s="16"/>
      <c r="H70" s="16"/>
      <c r="I70" s="16"/>
      <c r="J70" s="16"/>
      <c r="K70" s="16"/>
      <c r="L70" s="25"/>
      <c r="M70" s="25"/>
      <c r="N70" s="25"/>
      <c r="O70" s="16"/>
      <c r="P70" s="1"/>
      <c r="Q70" s="8"/>
      <c r="R70" s="8"/>
      <c r="S70" s="1"/>
      <c r="T70" s="8"/>
      <c r="U70" s="8"/>
      <c r="V70" s="38"/>
      <c r="W70" s="1"/>
      <c r="X70" s="1"/>
      <c r="Y70" s="16"/>
      <c r="Z70" s="16"/>
      <c r="AA70" s="16"/>
      <c r="AB70" s="16"/>
      <c r="AC70" s="16"/>
      <c r="AD70" s="16"/>
      <c r="AE70" s="16"/>
      <c r="AF70" s="16"/>
      <c r="AG70" s="16"/>
      <c r="AH70" s="16"/>
      <c r="AI70" s="16"/>
    </row>
    <row r="71" spans="1:35">
      <c r="A71" s="15"/>
      <c r="B71" s="15"/>
      <c r="C71" s="16"/>
      <c r="D71" s="16"/>
      <c r="E71" s="16"/>
      <c r="F71" s="16"/>
      <c r="G71" s="16"/>
      <c r="H71" s="16"/>
      <c r="I71" s="16"/>
      <c r="J71" s="16"/>
      <c r="K71" s="16"/>
      <c r="L71" s="25"/>
      <c r="M71" s="25"/>
      <c r="N71" s="25"/>
      <c r="O71" s="16"/>
      <c r="P71" s="1"/>
      <c r="Q71" s="8"/>
      <c r="R71" s="8"/>
      <c r="S71" s="1"/>
      <c r="T71" s="8"/>
      <c r="U71" s="8"/>
      <c r="V71" s="38"/>
      <c r="W71" s="1"/>
      <c r="X71" s="1"/>
      <c r="Y71" s="16"/>
      <c r="Z71" s="16"/>
      <c r="AA71" s="16"/>
      <c r="AB71" s="16"/>
      <c r="AC71" s="16"/>
      <c r="AD71" s="16"/>
      <c r="AE71" s="16"/>
      <c r="AF71" s="16"/>
      <c r="AG71" s="16"/>
      <c r="AH71" s="16"/>
      <c r="AI71" s="16"/>
    </row>
    <row r="72" spans="1:35">
      <c r="A72" s="15"/>
      <c r="B72" s="15"/>
      <c r="C72" s="16"/>
      <c r="D72" s="16"/>
      <c r="E72" s="16"/>
      <c r="F72" s="16"/>
      <c r="G72" s="16"/>
      <c r="H72" s="16"/>
      <c r="I72" s="16"/>
      <c r="J72" s="16"/>
      <c r="K72" s="16"/>
      <c r="L72" s="25"/>
      <c r="M72" s="25"/>
      <c r="N72" s="25"/>
      <c r="O72" s="16"/>
      <c r="P72" s="1"/>
      <c r="Q72" s="8"/>
      <c r="R72" s="8"/>
      <c r="S72" s="1"/>
      <c r="T72" s="8"/>
      <c r="U72" s="8"/>
      <c r="V72" s="38"/>
      <c r="W72" s="1"/>
      <c r="X72" s="1"/>
      <c r="Y72" s="16"/>
      <c r="Z72" s="16"/>
      <c r="AA72" s="16"/>
      <c r="AB72" s="16"/>
      <c r="AC72" s="16"/>
      <c r="AD72" s="16"/>
      <c r="AE72" s="16"/>
      <c r="AF72" s="16"/>
      <c r="AG72" s="16"/>
      <c r="AH72" s="16"/>
      <c r="AI72" s="16"/>
    </row>
    <row r="73" spans="1:35">
      <c r="A73" s="15"/>
      <c r="B73" s="15"/>
      <c r="C73" s="16"/>
      <c r="D73" s="16"/>
      <c r="E73" s="16"/>
      <c r="F73" s="16"/>
      <c r="G73" s="16"/>
      <c r="H73" s="16"/>
      <c r="I73" s="16"/>
      <c r="J73" s="16"/>
      <c r="K73" s="16"/>
      <c r="L73" s="25"/>
      <c r="M73" s="25"/>
      <c r="N73" s="25"/>
      <c r="O73" s="16"/>
      <c r="P73" s="1"/>
      <c r="Q73" s="8"/>
      <c r="R73" s="8"/>
      <c r="S73" s="1"/>
      <c r="T73" s="8"/>
      <c r="U73" s="8"/>
      <c r="V73" s="38"/>
      <c r="W73" s="1"/>
      <c r="X73" s="1"/>
      <c r="Y73" s="16"/>
      <c r="Z73" s="16"/>
      <c r="AA73" s="16"/>
      <c r="AB73" s="16"/>
      <c r="AC73" s="16"/>
      <c r="AD73" s="16"/>
      <c r="AE73" s="16"/>
      <c r="AF73" s="16"/>
      <c r="AG73" s="16"/>
      <c r="AH73" s="16"/>
      <c r="AI73" s="16"/>
    </row>
    <row r="74" spans="1:35">
      <c r="A74" s="15"/>
      <c r="B74" s="15"/>
      <c r="C74" s="16"/>
      <c r="D74" s="16"/>
      <c r="E74" s="16"/>
      <c r="F74" s="16"/>
      <c r="G74" s="16"/>
      <c r="H74" s="16"/>
      <c r="I74" s="16"/>
      <c r="J74" s="16"/>
      <c r="K74" s="16"/>
      <c r="L74" s="25"/>
      <c r="M74" s="25"/>
      <c r="N74" s="25"/>
      <c r="O74" s="16"/>
      <c r="P74" s="1"/>
      <c r="Q74" s="8"/>
      <c r="R74" s="8"/>
      <c r="S74" s="1"/>
      <c r="T74" s="8"/>
      <c r="U74" s="8"/>
      <c r="V74" s="38"/>
      <c r="W74" s="1"/>
      <c r="X74" s="1"/>
      <c r="Y74" s="16"/>
      <c r="Z74" s="16"/>
      <c r="AA74" s="16"/>
      <c r="AB74" s="16"/>
      <c r="AC74" s="16"/>
      <c r="AD74" s="16"/>
      <c r="AE74" s="16"/>
      <c r="AF74" s="16"/>
      <c r="AG74" s="16"/>
      <c r="AH74" s="16"/>
      <c r="AI74" s="16"/>
    </row>
    <row r="75" spans="1:35">
      <c r="A75" s="15"/>
      <c r="B75" s="15"/>
      <c r="C75" s="16"/>
      <c r="D75" s="16"/>
      <c r="E75" s="16"/>
      <c r="F75" s="16"/>
      <c r="G75" s="16"/>
      <c r="H75" s="16"/>
      <c r="I75" s="16"/>
      <c r="J75" s="16"/>
      <c r="K75" s="16"/>
      <c r="L75" s="25"/>
      <c r="M75" s="25"/>
      <c r="N75" s="25"/>
      <c r="O75" s="16"/>
      <c r="P75" s="1"/>
      <c r="Q75" s="8"/>
      <c r="R75" s="8"/>
      <c r="S75" s="1"/>
      <c r="T75" s="8"/>
      <c r="U75" s="8"/>
      <c r="V75" s="38"/>
      <c r="W75" s="1"/>
      <c r="X75" s="1"/>
      <c r="Y75" s="16"/>
      <c r="Z75" s="16"/>
      <c r="AA75" s="16"/>
      <c r="AB75" s="16"/>
      <c r="AC75" s="16"/>
      <c r="AD75" s="16"/>
      <c r="AE75" s="16"/>
      <c r="AF75" s="16"/>
      <c r="AG75" s="16"/>
      <c r="AH75" s="16"/>
      <c r="AI75" s="16"/>
    </row>
    <row r="76" spans="1:35">
      <c r="A76" s="15"/>
      <c r="B76" s="15"/>
      <c r="C76" s="16"/>
      <c r="D76" s="16"/>
      <c r="E76" s="16"/>
      <c r="F76" s="16"/>
      <c r="G76" s="16"/>
      <c r="H76" s="16"/>
      <c r="I76" s="16"/>
      <c r="J76" s="16"/>
      <c r="K76" s="16"/>
      <c r="L76" s="25"/>
      <c r="M76" s="25"/>
      <c r="N76" s="25"/>
      <c r="O76" s="16"/>
      <c r="P76" s="1"/>
      <c r="Q76" s="8"/>
      <c r="R76" s="8"/>
      <c r="S76" s="1"/>
      <c r="T76" s="8"/>
      <c r="U76" s="8"/>
      <c r="V76" s="38"/>
      <c r="W76" s="1"/>
      <c r="X76" s="1"/>
      <c r="Y76" s="16"/>
      <c r="Z76" s="16"/>
      <c r="AA76" s="16"/>
      <c r="AB76" s="16"/>
      <c r="AC76" s="16"/>
      <c r="AD76" s="16"/>
      <c r="AE76" s="16"/>
      <c r="AF76" s="16"/>
      <c r="AG76" s="16"/>
      <c r="AH76" s="16"/>
      <c r="AI76" s="16"/>
    </row>
    <row r="77" spans="1:35">
      <c r="A77" s="15"/>
      <c r="B77" s="15"/>
      <c r="C77" s="16"/>
      <c r="D77" s="16"/>
      <c r="E77" s="16"/>
      <c r="F77" s="16"/>
      <c r="G77" s="16"/>
      <c r="H77" s="16"/>
      <c r="I77" s="16"/>
      <c r="J77" s="16"/>
      <c r="K77" s="16"/>
      <c r="L77" s="25"/>
      <c r="M77" s="25"/>
      <c r="N77" s="25"/>
      <c r="O77" s="16"/>
      <c r="P77" s="1"/>
      <c r="Q77" s="8"/>
      <c r="R77" s="8"/>
      <c r="S77" s="1"/>
      <c r="T77" s="8"/>
      <c r="U77" s="8"/>
      <c r="V77" s="38"/>
      <c r="W77" s="1"/>
      <c r="X77" s="1"/>
      <c r="Y77" s="16"/>
      <c r="Z77" s="16"/>
      <c r="AA77" s="16"/>
      <c r="AB77" s="16"/>
      <c r="AC77" s="16"/>
      <c r="AD77" s="16"/>
      <c r="AE77" s="16"/>
      <c r="AF77" s="16"/>
      <c r="AG77" s="16"/>
      <c r="AH77" s="16"/>
      <c r="AI77" s="16"/>
    </row>
    <row r="78" spans="1:35">
      <c r="A78" s="15"/>
      <c r="B78" s="15"/>
      <c r="C78" s="16"/>
      <c r="D78" s="16"/>
      <c r="E78" s="16"/>
      <c r="F78" s="16"/>
      <c r="G78" s="16"/>
      <c r="H78" s="16"/>
      <c r="I78" s="16"/>
      <c r="J78" s="16"/>
      <c r="K78" s="16"/>
      <c r="L78" s="25"/>
      <c r="M78" s="25"/>
      <c r="N78" s="25"/>
      <c r="O78" s="16"/>
      <c r="P78" s="1"/>
      <c r="Q78" s="8"/>
      <c r="R78" s="8"/>
      <c r="S78" s="1"/>
      <c r="T78" s="8"/>
      <c r="U78" s="8"/>
      <c r="V78" s="38"/>
      <c r="W78" s="1"/>
      <c r="X78" s="1"/>
      <c r="Y78" s="16"/>
      <c r="Z78" s="16"/>
      <c r="AA78" s="16"/>
      <c r="AB78" s="16"/>
      <c r="AC78" s="16"/>
      <c r="AD78" s="16"/>
      <c r="AE78" s="16"/>
      <c r="AF78" s="16"/>
      <c r="AG78" s="16"/>
      <c r="AH78" s="16"/>
      <c r="AI78" s="16"/>
    </row>
    <row r="79" spans="1:35">
      <c r="A79" s="15"/>
      <c r="B79" s="15"/>
      <c r="C79" s="16"/>
      <c r="D79" s="16"/>
      <c r="E79" s="16"/>
      <c r="F79" s="16"/>
      <c r="G79" s="16"/>
      <c r="H79" s="16"/>
      <c r="I79" s="16"/>
      <c r="J79" s="16"/>
      <c r="K79" s="16"/>
      <c r="L79" s="25"/>
      <c r="M79" s="25"/>
      <c r="N79" s="25"/>
      <c r="O79" s="16"/>
      <c r="P79" s="1"/>
      <c r="Q79" s="8"/>
      <c r="R79" s="8"/>
      <c r="S79" s="1"/>
      <c r="T79" s="8"/>
      <c r="U79" s="8"/>
      <c r="V79" s="38"/>
      <c r="W79" s="1"/>
      <c r="X79" s="1"/>
      <c r="Y79" s="16"/>
      <c r="Z79" s="16"/>
      <c r="AA79" s="16"/>
      <c r="AB79" s="16"/>
      <c r="AC79" s="16"/>
      <c r="AD79" s="16"/>
      <c r="AE79" s="16"/>
      <c r="AF79" s="16"/>
      <c r="AG79" s="16"/>
      <c r="AH79" s="16"/>
      <c r="AI79" s="16"/>
    </row>
    <row r="80" spans="1:35">
      <c r="A80" s="15"/>
      <c r="B80" s="15"/>
      <c r="C80" s="16"/>
      <c r="D80" s="16"/>
      <c r="E80" s="16"/>
      <c r="F80" s="16"/>
      <c r="G80" s="16"/>
      <c r="H80" s="16"/>
      <c r="I80" s="16"/>
      <c r="J80" s="16"/>
      <c r="K80" s="16"/>
      <c r="L80" s="25"/>
      <c r="M80" s="25"/>
      <c r="N80" s="25"/>
      <c r="O80" s="16"/>
      <c r="P80" s="1"/>
      <c r="Q80" s="8"/>
      <c r="R80" s="8"/>
      <c r="S80" s="1"/>
      <c r="T80" s="8"/>
      <c r="U80" s="8"/>
      <c r="V80" s="38"/>
      <c r="W80" s="1"/>
      <c r="X80" s="1"/>
      <c r="Y80" s="16"/>
      <c r="Z80" s="16"/>
      <c r="AA80" s="16"/>
      <c r="AB80" s="16"/>
      <c r="AC80" s="16"/>
      <c r="AD80" s="16"/>
      <c r="AE80" s="16"/>
      <c r="AF80" s="16"/>
      <c r="AG80" s="16"/>
      <c r="AH80" s="16"/>
      <c r="AI80" s="16"/>
    </row>
    <row r="81" spans="1:35">
      <c r="A81" s="15"/>
      <c r="B81" s="15"/>
      <c r="C81" s="16"/>
      <c r="D81" s="16"/>
      <c r="E81" s="16"/>
      <c r="F81" s="16"/>
      <c r="G81" s="16"/>
      <c r="H81" s="16"/>
      <c r="I81" s="16"/>
      <c r="J81" s="16"/>
      <c r="K81" s="16"/>
      <c r="L81" s="25"/>
      <c r="M81" s="25"/>
      <c r="N81" s="25"/>
      <c r="O81" s="16"/>
      <c r="P81" s="1"/>
      <c r="Q81" s="8"/>
      <c r="R81" s="8"/>
      <c r="S81" s="1"/>
      <c r="T81" s="8"/>
      <c r="U81" s="8"/>
      <c r="V81" s="38"/>
      <c r="W81" s="1"/>
      <c r="X81" s="1"/>
      <c r="Y81" s="16"/>
      <c r="Z81" s="16"/>
      <c r="AA81" s="16"/>
      <c r="AB81" s="16"/>
      <c r="AC81" s="16"/>
      <c r="AD81" s="16"/>
      <c r="AE81" s="16"/>
      <c r="AF81" s="16"/>
      <c r="AG81" s="16"/>
      <c r="AH81" s="16"/>
      <c r="AI81" s="16"/>
    </row>
    <row r="82" spans="1:35">
      <c r="A82" s="15"/>
      <c r="B82" s="15"/>
      <c r="C82" s="16"/>
      <c r="D82" s="16"/>
      <c r="E82" s="16"/>
      <c r="F82" s="16"/>
      <c r="G82" s="16"/>
      <c r="H82" s="16"/>
      <c r="I82" s="16"/>
      <c r="J82" s="16"/>
      <c r="K82" s="16"/>
      <c r="L82" s="25"/>
      <c r="M82" s="25"/>
      <c r="N82" s="25"/>
      <c r="O82" s="16"/>
      <c r="P82" s="1"/>
      <c r="Q82" s="8"/>
      <c r="R82" s="8"/>
      <c r="S82" s="1"/>
      <c r="T82" s="8"/>
      <c r="U82" s="8"/>
      <c r="V82" s="38"/>
      <c r="W82" s="1"/>
      <c r="X82" s="1"/>
      <c r="Y82" s="16"/>
      <c r="Z82" s="16"/>
      <c r="AA82" s="16"/>
      <c r="AB82" s="16"/>
      <c r="AC82" s="16"/>
      <c r="AD82" s="16"/>
      <c r="AE82" s="16"/>
      <c r="AF82" s="16"/>
      <c r="AG82" s="16"/>
      <c r="AH82" s="16"/>
      <c r="AI82" s="16"/>
    </row>
    <row r="83" spans="1:35">
      <c r="A83" s="15"/>
      <c r="B83" s="15"/>
      <c r="C83" s="16"/>
      <c r="D83" s="16"/>
      <c r="E83" s="16"/>
      <c r="F83" s="16"/>
      <c r="G83" s="16"/>
      <c r="H83" s="16"/>
      <c r="I83" s="16"/>
      <c r="J83" s="16"/>
      <c r="K83" s="16"/>
      <c r="L83" s="25"/>
      <c r="M83" s="25"/>
      <c r="N83" s="25"/>
      <c r="O83" s="16"/>
      <c r="P83" s="1"/>
      <c r="Q83" s="8"/>
      <c r="R83" s="8"/>
      <c r="S83" s="1"/>
      <c r="T83" s="8"/>
      <c r="U83" s="8"/>
      <c r="V83" s="38"/>
      <c r="W83" s="1"/>
      <c r="X83" s="1"/>
      <c r="Y83" s="16"/>
      <c r="Z83" s="16"/>
      <c r="AA83" s="16"/>
      <c r="AB83" s="16"/>
      <c r="AC83" s="16"/>
      <c r="AD83" s="16"/>
      <c r="AE83" s="16"/>
      <c r="AF83" s="16"/>
      <c r="AG83" s="16"/>
      <c r="AH83" s="16"/>
      <c r="AI83" s="16"/>
    </row>
    <row r="84" spans="1:35">
      <c r="A84" s="15"/>
      <c r="B84" s="15"/>
      <c r="C84" s="16"/>
      <c r="D84" s="16"/>
      <c r="E84" s="16"/>
      <c r="F84" s="16"/>
      <c r="G84" s="16"/>
      <c r="H84" s="16"/>
      <c r="I84" s="16"/>
      <c r="J84" s="16"/>
      <c r="K84" s="16"/>
      <c r="L84" s="25"/>
      <c r="M84" s="25"/>
      <c r="N84" s="25"/>
      <c r="O84" s="16"/>
      <c r="P84" s="1"/>
      <c r="Q84" s="8"/>
      <c r="R84" s="8"/>
      <c r="S84" s="1"/>
      <c r="T84" s="8"/>
      <c r="U84" s="8"/>
      <c r="V84" s="38"/>
      <c r="W84" s="1"/>
      <c r="X84" s="1"/>
      <c r="Y84" s="16"/>
      <c r="Z84" s="16"/>
      <c r="AA84" s="16"/>
      <c r="AB84" s="16"/>
      <c r="AC84" s="16"/>
      <c r="AD84" s="16"/>
      <c r="AE84" s="16"/>
      <c r="AF84" s="16"/>
      <c r="AG84" s="16"/>
      <c r="AH84" s="16"/>
      <c r="AI84" s="16"/>
    </row>
    <row r="85" spans="1:35">
      <c r="A85" s="15"/>
      <c r="B85" s="15"/>
      <c r="C85" s="16"/>
      <c r="D85" s="16"/>
      <c r="E85" s="16"/>
      <c r="F85" s="16"/>
      <c r="G85" s="16"/>
      <c r="H85" s="16"/>
      <c r="I85" s="16"/>
      <c r="J85" s="16"/>
      <c r="K85" s="16"/>
      <c r="L85" s="25"/>
      <c r="M85" s="25"/>
      <c r="N85" s="25"/>
      <c r="O85" s="16"/>
      <c r="P85" s="1"/>
      <c r="Q85" s="8"/>
      <c r="R85" s="8"/>
      <c r="S85" s="1"/>
      <c r="T85" s="8"/>
      <c r="U85" s="8"/>
      <c r="V85" s="38"/>
      <c r="W85" s="1"/>
      <c r="X85" s="1"/>
      <c r="Y85" s="16"/>
      <c r="Z85" s="16"/>
      <c r="AA85" s="16"/>
      <c r="AB85" s="16"/>
      <c r="AC85" s="16"/>
      <c r="AD85" s="16"/>
      <c r="AE85" s="16"/>
      <c r="AF85" s="16"/>
      <c r="AG85" s="16"/>
      <c r="AH85" s="16"/>
      <c r="AI85" s="16"/>
    </row>
    <row r="86" spans="1:35">
      <c r="A86" s="15"/>
      <c r="B86" s="15"/>
      <c r="C86" s="16"/>
      <c r="D86" s="16"/>
      <c r="E86" s="16"/>
      <c r="F86" s="16"/>
      <c r="G86" s="16"/>
      <c r="H86" s="16"/>
      <c r="I86" s="16"/>
      <c r="J86" s="16"/>
      <c r="K86" s="16"/>
      <c r="L86" s="25"/>
      <c r="M86" s="25"/>
      <c r="N86" s="25"/>
      <c r="O86" s="16"/>
      <c r="P86" s="1"/>
      <c r="Q86" s="8"/>
      <c r="R86" s="8"/>
      <c r="S86" s="1"/>
      <c r="T86" s="8"/>
      <c r="U86" s="8"/>
      <c r="V86" s="38"/>
      <c r="W86" s="1"/>
      <c r="X86" s="1"/>
      <c r="Y86" s="16"/>
      <c r="Z86" s="16"/>
      <c r="AA86" s="16"/>
      <c r="AB86" s="16"/>
      <c r="AC86" s="16"/>
      <c r="AD86" s="16"/>
      <c r="AE86" s="16"/>
      <c r="AF86" s="16"/>
      <c r="AG86" s="16"/>
      <c r="AH86" s="16"/>
      <c r="AI86" s="16"/>
    </row>
    <row r="87" spans="1:35">
      <c r="A87" s="15"/>
      <c r="B87" s="15"/>
      <c r="C87" s="16"/>
      <c r="D87" s="16"/>
      <c r="E87" s="16"/>
      <c r="F87" s="16"/>
      <c r="G87" s="16"/>
      <c r="H87" s="16"/>
      <c r="I87" s="16"/>
      <c r="J87" s="16"/>
      <c r="K87" s="16"/>
      <c r="L87" s="25"/>
      <c r="M87" s="25"/>
      <c r="N87" s="25"/>
      <c r="O87" s="16"/>
      <c r="P87" s="1"/>
      <c r="Q87" s="8"/>
      <c r="R87" s="8"/>
      <c r="S87" s="1"/>
      <c r="T87" s="8"/>
      <c r="U87" s="8"/>
      <c r="V87" s="38"/>
      <c r="W87" s="1"/>
      <c r="X87" s="1"/>
      <c r="Y87" s="16"/>
      <c r="Z87" s="16"/>
      <c r="AA87" s="16"/>
      <c r="AB87" s="16"/>
      <c r="AC87" s="16"/>
      <c r="AD87" s="16"/>
      <c r="AE87" s="16"/>
      <c r="AF87" s="16"/>
      <c r="AG87" s="16"/>
      <c r="AH87" s="16"/>
      <c r="AI87" s="16"/>
    </row>
    <row r="88" spans="1:35">
      <c r="A88" s="15"/>
      <c r="B88" s="15"/>
      <c r="C88" s="16"/>
      <c r="D88" s="16"/>
      <c r="E88" s="16"/>
      <c r="F88" s="16"/>
      <c r="G88" s="16"/>
      <c r="H88" s="16"/>
      <c r="I88" s="16"/>
      <c r="J88" s="16"/>
      <c r="K88" s="16"/>
      <c r="L88" s="25"/>
      <c r="M88" s="25"/>
      <c r="N88" s="25"/>
      <c r="O88" s="16"/>
      <c r="P88" s="1"/>
      <c r="Q88" s="8"/>
      <c r="R88" s="8"/>
      <c r="S88" s="1"/>
      <c r="T88" s="8"/>
      <c r="U88" s="8"/>
      <c r="V88" s="38"/>
      <c r="W88" s="1"/>
      <c r="X88" s="1"/>
      <c r="Y88" s="16"/>
      <c r="Z88" s="16"/>
      <c r="AA88" s="16"/>
      <c r="AB88" s="16"/>
      <c r="AC88" s="16"/>
      <c r="AD88" s="16"/>
      <c r="AE88" s="16"/>
      <c r="AF88" s="16"/>
      <c r="AG88" s="16"/>
      <c r="AH88" s="16"/>
      <c r="AI88" s="16"/>
    </row>
    <row r="89" spans="1:35">
      <c r="A89" s="15"/>
      <c r="B89" s="15"/>
      <c r="C89" s="16"/>
      <c r="D89" s="16"/>
      <c r="E89" s="16"/>
      <c r="F89" s="16"/>
      <c r="G89" s="16"/>
      <c r="H89" s="16"/>
      <c r="I89" s="16"/>
      <c r="J89" s="16"/>
      <c r="K89" s="16"/>
      <c r="L89" s="25"/>
      <c r="M89" s="25"/>
      <c r="N89" s="25"/>
      <c r="O89" s="16"/>
      <c r="P89" s="1"/>
      <c r="Q89" s="8"/>
      <c r="R89" s="8"/>
      <c r="S89" s="1"/>
      <c r="T89" s="8"/>
      <c r="U89" s="8"/>
      <c r="V89" s="38"/>
      <c r="W89" s="1"/>
      <c r="X89" s="1"/>
      <c r="Y89" s="16"/>
      <c r="Z89" s="16"/>
      <c r="AA89" s="16"/>
      <c r="AB89" s="16"/>
      <c r="AC89" s="16"/>
      <c r="AD89" s="16"/>
      <c r="AE89" s="16"/>
      <c r="AF89" s="16"/>
      <c r="AG89" s="16"/>
      <c r="AH89" s="16"/>
      <c r="AI89" s="16"/>
    </row>
    <row r="90" spans="1:35">
      <c r="A90" s="15"/>
      <c r="B90" s="15"/>
      <c r="C90" s="16"/>
      <c r="D90" s="16"/>
      <c r="E90" s="16"/>
      <c r="F90" s="16"/>
      <c r="G90" s="16"/>
      <c r="H90" s="16"/>
      <c r="I90" s="16"/>
      <c r="J90" s="16"/>
      <c r="K90" s="16"/>
      <c r="L90" s="25"/>
      <c r="M90" s="25"/>
      <c r="N90" s="25"/>
      <c r="O90" s="16"/>
      <c r="P90" s="1"/>
      <c r="Q90" s="8"/>
      <c r="R90" s="8"/>
      <c r="S90" s="1"/>
      <c r="T90" s="8"/>
      <c r="U90" s="8"/>
      <c r="V90" s="38"/>
      <c r="W90" s="1"/>
      <c r="X90" s="1"/>
      <c r="Y90" s="16"/>
      <c r="Z90" s="16"/>
      <c r="AA90" s="16"/>
      <c r="AB90" s="16"/>
      <c r="AC90" s="16"/>
      <c r="AD90" s="16"/>
      <c r="AE90" s="16"/>
      <c r="AF90" s="16"/>
      <c r="AG90" s="16"/>
      <c r="AH90" s="16"/>
      <c r="AI90" s="16"/>
    </row>
    <row r="91" spans="1:35">
      <c r="A91" s="15"/>
      <c r="B91" s="15"/>
      <c r="C91" s="16"/>
      <c r="D91" s="16"/>
      <c r="E91" s="16"/>
      <c r="F91" s="16"/>
      <c r="G91" s="16"/>
      <c r="H91" s="16"/>
      <c r="I91" s="16"/>
      <c r="J91" s="16"/>
      <c r="K91" s="16"/>
      <c r="L91" s="25"/>
      <c r="M91" s="25"/>
      <c r="N91" s="25"/>
      <c r="O91" s="16"/>
      <c r="P91" s="1"/>
      <c r="Q91" s="8"/>
      <c r="R91" s="8"/>
      <c r="S91" s="1"/>
      <c r="T91" s="8"/>
      <c r="U91" s="8"/>
      <c r="V91" s="38"/>
      <c r="W91" s="1"/>
      <c r="X91" s="1"/>
      <c r="Y91" s="16"/>
      <c r="Z91" s="16"/>
      <c r="AA91" s="16"/>
      <c r="AB91" s="16"/>
      <c r="AC91" s="16"/>
      <c r="AD91" s="16"/>
      <c r="AE91" s="16"/>
      <c r="AF91" s="16"/>
      <c r="AG91" s="16"/>
      <c r="AH91" s="16"/>
      <c r="AI91" s="16"/>
    </row>
    <row r="92" spans="1:35">
      <c r="A92" s="15"/>
      <c r="B92" s="15"/>
      <c r="C92" s="16"/>
      <c r="D92" s="16"/>
      <c r="E92" s="16"/>
      <c r="F92" s="16"/>
      <c r="G92" s="16"/>
      <c r="H92" s="16"/>
      <c r="I92" s="16"/>
      <c r="J92" s="16"/>
      <c r="K92" s="16"/>
      <c r="L92" s="25"/>
      <c r="M92" s="25"/>
      <c r="N92" s="25"/>
      <c r="O92" s="16"/>
      <c r="P92" s="1"/>
      <c r="Q92" s="8"/>
      <c r="R92" s="8"/>
      <c r="S92" s="1"/>
      <c r="T92" s="8"/>
      <c r="U92" s="8"/>
      <c r="V92" s="38"/>
      <c r="W92" s="1"/>
      <c r="X92" s="1"/>
      <c r="Y92" s="16"/>
      <c r="Z92" s="16"/>
      <c r="AA92" s="16"/>
      <c r="AB92" s="16"/>
      <c r="AC92" s="16"/>
      <c r="AD92" s="16"/>
      <c r="AE92" s="16"/>
      <c r="AF92" s="16"/>
      <c r="AG92" s="16"/>
      <c r="AH92" s="16"/>
      <c r="AI92" s="16"/>
    </row>
    <row r="93" spans="1:35">
      <c r="A93" s="15"/>
      <c r="B93" s="15"/>
      <c r="C93" s="16"/>
      <c r="D93" s="16"/>
      <c r="E93" s="16"/>
      <c r="F93" s="16"/>
      <c r="G93" s="16"/>
      <c r="H93" s="16"/>
      <c r="I93" s="16"/>
      <c r="J93" s="16"/>
      <c r="K93" s="16"/>
      <c r="L93" s="25"/>
      <c r="M93" s="25"/>
      <c r="N93" s="25"/>
      <c r="O93" s="16"/>
      <c r="P93" s="1"/>
      <c r="Q93" s="8"/>
      <c r="R93" s="8"/>
      <c r="S93" s="1"/>
      <c r="T93" s="8"/>
      <c r="U93" s="8"/>
      <c r="V93" s="38"/>
      <c r="W93" s="1"/>
      <c r="X93" s="1"/>
      <c r="Y93" s="16"/>
      <c r="Z93" s="16"/>
      <c r="AA93" s="16"/>
      <c r="AB93" s="16"/>
      <c r="AC93" s="16"/>
      <c r="AD93" s="16"/>
      <c r="AE93" s="16"/>
      <c r="AF93" s="16"/>
      <c r="AG93" s="16"/>
      <c r="AH93" s="16"/>
      <c r="AI93" s="16"/>
    </row>
    <row r="94" spans="1:35">
      <c r="A94" s="15"/>
      <c r="B94" s="15"/>
      <c r="C94" s="16"/>
      <c r="D94" s="16"/>
      <c r="E94" s="16"/>
      <c r="F94" s="16"/>
      <c r="G94" s="16"/>
      <c r="H94" s="16"/>
      <c r="I94" s="16"/>
      <c r="J94" s="16"/>
      <c r="K94" s="16"/>
      <c r="L94" s="25"/>
      <c r="M94" s="25"/>
      <c r="N94" s="25"/>
      <c r="O94" s="16"/>
      <c r="P94" s="1"/>
      <c r="Q94" s="8"/>
      <c r="R94" s="8"/>
      <c r="S94" s="1"/>
      <c r="T94" s="8"/>
      <c r="U94" s="8"/>
      <c r="V94" s="38"/>
      <c r="W94" s="1"/>
      <c r="X94" s="1"/>
      <c r="Y94" s="16"/>
      <c r="Z94" s="16"/>
      <c r="AA94" s="16"/>
      <c r="AB94" s="16"/>
      <c r="AC94" s="16"/>
      <c r="AD94" s="16"/>
      <c r="AE94" s="16"/>
      <c r="AF94" s="16"/>
      <c r="AG94" s="16"/>
      <c r="AH94" s="16"/>
      <c r="AI94" s="16"/>
    </row>
    <row r="95" spans="1:35">
      <c r="A95" s="15"/>
      <c r="B95" s="15"/>
      <c r="C95" s="16"/>
      <c r="D95" s="16"/>
      <c r="E95" s="16"/>
      <c r="F95" s="16"/>
      <c r="G95" s="16"/>
      <c r="H95" s="16"/>
      <c r="I95" s="16"/>
      <c r="J95" s="16"/>
      <c r="K95" s="16"/>
      <c r="L95" s="25"/>
      <c r="M95" s="25"/>
      <c r="N95" s="25"/>
      <c r="O95" s="16"/>
      <c r="P95" s="1"/>
      <c r="Q95" s="8"/>
      <c r="R95" s="8"/>
      <c r="S95" s="1"/>
      <c r="T95" s="8"/>
      <c r="U95" s="8"/>
      <c r="V95" s="38"/>
      <c r="W95" s="1"/>
      <c r="X95" s="1"/>
      <c r="Y95" s="16"/>
      <c r="Z95" s="16"/>
      <c r="AA95" s="16"/>
      <c r="AB95" s="16"/>
      <c r="AC95" s="16"/>
      <c r="AD95" s="16"/>
      <c r="AE95" s="16"/>
      <c r="AF95" s="16"/>
      <c r="AG95" s="16"/>
      <c r="AH95" s="16"/>
      <c r="AI95" s="16"/>
    </row>
    <row r="96" spans="1:35">
      <c r="A96" s="15"/>
      <c r="B96" s="15"/>
      <c r="C96" s="16"/>
      <c r="D96" s="16"/>
      <c r="E96" s="16"/>
      <c r="F96" s="16"/>
      <c r="G96" s="16"/>
      <c r="H96" s="16"/>
      <c r="I96" s="16"/>
      <c r="J96" s="16"/>
      <c r="K96" s="16"/>
      <c r="L96" s="25"/>
      <c r="M96" s="25"/>
      <c r="N96" s="25"/>
      <c r="O96" s="16"/>
      <c r="P96" s="1"/>
      <c r="Q96" s="8"/>
      <c r="R96" s="8"/>
      <c r="S96" s="1"/>
      <c r="T96" s="8"/>
      <c r="U96" s="8"/>
      <c r="V96" s="38"/>
      <c r="W96" s="1"/>
      <c r="X96" s="1"/>
      <c r="Y96" s="16"/>
      <c r="Z96" s="16"/>
      <c r="AA96" s="16"/>
      <c r="AB96" s="16"/>
      <c r="AC96" s="16"/>
      <c r="AD96" s="16"/>
      <c r="AE96" s="16"/>
      <c r="AF96" s="16"/>
      <c r="AG96" s="16"/>
      <c r="AH96" s="16"/>
      <c r="AI96" s="16"/>
    </row>
    <row r="97" spans="1:35">
      <c r="A97" s="15"/>
      <c r="B97" s="15"/>
      <c r="C97" s="16"/>
      <c r="D97" s="16"/>
      <c r="E97" s="16"/>
      <c r="F97" s="16"/>
      <c r="G97" s="16"/>
      <c r="H97" s="16"/>
      <c r="I97" s="16"/>
      <c r="J97" s="16"/>
      <c r="K97" s="16"/>
      <c r="L97" s="25"/>
      <c r="M97" s="25"/>
      <c r="N97" s="25"/>
      <c r="O97" s="16"/>
      <c r="P97" s="1"/>
      <c r="Q97" s="8"/>
      <c r="R97" s="8"/>
      <c r="S97" s="1"/>
      <c r="T97" s="8"/>
      <c r="U97" s="8"/>
      <c r="V97" s="38"/>
      <c r="W97" s="1"/>
      <c r="X97" s="1"/>
      <c r="Y97" s="16"/>
      <c r="Z97" s="16"/>
      <c r="AA97" s="16"/>
      <c r="AB97" s="16"/>
      <c r="AC97" s="16"/>
      <c r="AD97" s="16"/>
      <c r="AE97" s="16"/>
      <c r="AF97" s="16"/>
      <c r="AG97" s="16"/>
      <c r="AH97" s="16"/>
      <c r="AI97" s="16"/>
    </row>
    <row r="98" spans="1:35">
      <c r="A98" s="15"/>
      <c r="B98" s="15"/>
      <c r="C98" s="16"/>
      <c r="D98" s="16"/>
      <c r="E98" s="16"/>
      <c r="F98" s="16"/>
      <c r="G98" s="16"/>
      <c r="H98" s="16"/>
      <c r="I98" s="16"/>
      <c r="J98" s="16"/>
      <c r="K98" s="16"/>
      <c r="L98" s="25"/>
      <c r="M98" s="25"/>
      <c r="N98" s="25"/>
      <c r="O98" s="16"/>
      <c r="P98" s="1"/>
      <c r="Q98" s="8"/>
      <c r="R98" s="8"/>
      <c r="S98" s="1"/>
      <c r="T98" s="8"/>
      <c r="U98" s="8"/>
      <c r="V98" s="38"/>
      <c r="W98" s="1"/>
      <c r="X98" s="1"/>
      <c r="Y98" s="16"/>
      <c r="Z98" s="16"/>
      <c r="AA98" s="16"/>
      <c r="AB98" s="16"/>
      <c r="AC98" s="16"/>
      <c r="AD98" s="16"/>
      <c r="AE98" s="16"/>
      <c r="AF98" s="16"/>
      <c r="AG98" s="16"/>
      <c r="AH98" s="16"/>
      <c r="AI98" s="16"/>
    </row>
    <row r="99" spans="1:35">
      <c r="A99" s="15"/>
      <c r="B99" s="15"/>
      <c r="C99" s="16"/>
      <c r="D99" s="16"/>
      <c r="E99" s="16"/>
      <c r="F99" s="16"/>
      <c r="G99" s="16"/>
      <c r="H99" s="16"/>
      <c r="I99" s="16"/>
      <c r="J99" s="16"/>
      <c r="K99" s="16"/>
      <c r="L99" s="25"/>
      <c r="M99" s="25"/>
      <c r="N99" s="25"/>
      <c r="O99" s="16"/>
      <c r="P99" s="1"/>
      <c r="Q99" s="8"/>
      <c r="R99" s="8"/>
      <c r="S99" s="1"/>
      <c r="T99" s="8"/>
      <c r="U99" s="8"/>
      <c r="V99" s="38"/>
      <c r="W99" s="1"/>
      <c r="X99" s="1"/>
      <c r="Y99" s="16"/>
      <c r="Z99" s="16"/>
      <c r="AA99" s="16"/>
      <c r="AB99" s="16"/>
      <c r="AC99" s="16"/>
      <c r="AD99" s="16"/>
      <c r="AE99" s="16"/>
      <c r="AF99" s="16"/>
      <c r="AG99" s="16"/>
      <c r="AH99" s="16"/>
      <c r="AI99" s="16"/>
    </row>
    <row r="100" spans="1:35">
      <c r="A100" s="15"/>
      <c r="B100" s="15"/>
      <c r="C100" s="16"/>
      <c r="D100" s="16"/>
      <c r="E100" s="16"/>
      <c r="F100" s="16"/>
      <c r="G100" s="16"/>
      <c r="H100" s="16"/>
      <c r="I100" s="16"/>
      <c r="J100" s="16"/>
      <c r="K100" s="16"/>
      <c r="L100" s="25"/>
      <c r="M100" s="25"/>
      <c r="N100" s="25"/>
      <c r="O100" s="16"/>
      <c r="P100" s="1"/>
      <c r="Q100" s="8"/>
      <c r="R100" s="8"/>
      <c r="S100" s="1"/>
      <c r="T100" s="8"/>
      <c r="U100" s="8"/>
      <c r="V100" s="38"/>
      <c r="W100" s="1"/>
      <c r="X100" s="1"/>
      <c r="Y100" s="16"/>
      <c r="Z100" s="16"/>
      <c r="AA100" s="16"/>
      <c r="AB100" s="16"/>
      <c r="AC100" s="16"/>
      <c r="AD100" s="16"/>
      <c r="AE100" s="16"/>
      <c r="AF100" s="16"/>
      <c r="AG100" s="16"/>
      <c r="AH100" s="16"/>
      <c r="AI100" s="16"/>
    </row>
    <row r="101" spans="1:35">
      <c r="A101" s="15"/>
      <c r="B101" s="15"/>
      <c r="C101" s="16"/>
      <c r="D101" s="16"/>
      <c r="E101" s="16"/>
      <c r="F101" s="16"/>
      <c r="G101" s="16"/>
      <c r="H101" s="16"/>
      <c r="I101" s="16"/>
      <c r="J101" s="16"/>
      <c r="K101" s="16"/>
      <c r="L101" s="25"/>
      <c r="M101" s="25"/>
      <c r="N101" s="25"/>
      <c r="O101" s="16"/>
      <c r="P101" s="1"/>
      <c r="Q101" s="8"/>
      <c r="R101" s="8"/>
      <c r="S101" s="1"/>
      <c r="T101" s="8"/>
      <c r="U101" s="8"/>
      <c r="V101" s="38"/>
      <c r="W101" s="1"/>
      <c r="X101" s="1"/>
      <c r="Y101" s="16"/>
      <c r="Z101" s="16"/>
      <c r="AA101" s="16"/>
      <c r="AB101" s="16"/>
      <c r="AC101" s="16"/>
      <c r="AD101" s="16"/>
      <c r="AE101" s="16"/>
      <c r="AF101" s="16"/>
      <c r="AG101" s="16"/>
      <c r="AH101" s="16"/>
      <c r="AI101" s="16"/>
    </row>
    <row r="102" spans="1:35">
      <c r="A102" s="15"/>
      <c r="B102" s="15"/>
      <c r="C102" s="16"/>
      <c r="D102" s="16"/>
      <c r="E102" s="16"/>
      <c r="F102" s="16"/>
      <c r="G102" s="16"/>
      <c r="H102" s="16"/>
      <c r="I102" s="16"/>
      <c r="J102" s="16"/>
      <c r="K102" s="16"/>
      <c r="L102" s="25"/>
      <c r="M102" s="25"/>
      <c r="N102" s="25"/>
      <c r="O102" s="16"/>
      <c r="P102" s="1"/>
      <c r="Q102" s="8"/>
      <c r="R102" s="8"/>
      <c r="S102" s="1"/>
      <c r="T102" s="8"/>
      <c r="U102" s="8"/>
      <c r="V102" s="38"/>
      <c r="W102" s="1"/>
      <c r="X102" s="1"/>
      <c r="Y102" s="16"/>
      <c r="Z102" s="16"/>
      <c r="AA102" s="16"/>
      <c r="AB102" s="16"/>
      <c r="AC102" s="16"/>
      <c r="AD102" s="16"/>
      <c r="AE102" s="16"/>
      <c r="AF102" s="16"/>
      <c r="AG102" s="16"/>
      <c r="AH102" s="16"/>
      <c r="AI102" s="16"/>
    </row>
    <row r="103" spans="1:35">
      <c r="A103" s="15"/>
      <c r="B103" s="15"/>
      <c r="C103" s="16"/>
      <c r="D103" s="16"/>
      <c r="E103" s="16"/>
      <c r="F103" s="16"/>
      <c r="G103" s="16"/>
      <c r="H103" s="16"/>
      <c r="I103" s="16"/>
      <c r="J103" s="16"/>
      <c r="K103" s="16"/>
      <c r="L103" s="25"/>
      <c r="M103" s="25"/>
      <c r="N103" s="25"/>
      <c r="O103" s="16"/>
      <c r="P103" s="1"/>
      <c r="Q103" s="8"/>
      <c r="R103" s="8"/>
      <c r="S103" s="1"/>
      <c r="T103" s="8"/>
      <c r="U103" s="8"/>
      <c r="V103" s="38"/>
      <c r="W103" s="1"/>
      <c r="X103" s="1"/>
      <c r="Y103" s="16"/>
      <c r="Z103" s="16"/>
      <c r="AA103" s="16"/>
      <c r="AB103" s="16"/>
      <c r="AC103" s="16"/>
      <c r="AD103" s="16"/>
      <c r="AE103" s="16"/>
      <c r="AF103" s="16"/>
      <c r="AG103" s="16"/>
      <c r="AH103" s="16"/>
      <c r="AI103" s="16"/>
    </row>
    <row r="104" spans="1:35">
      <c r="A104" s="15"/>
      <c r="B104" s="15"/>
      <c r="C104" s="16"/>
      <c r="D104" s="16"/>
      <c r="E104" s="16"/>
      <c r="F104" s="16"/>
      <c r="G104" s="16"/>
      <c r="H104" s="16"/>
      <c r="I104" s="16"/>
      <c r="J104" s="16"/>
      <c r="K104" s="16"/>
      <c r="L104" s="25"/>
      <c r="M104" s="25"/>
      <c r="N104" s="25"/>
      <c r="O104" s="16"/>
      <c r="P104" s="1"/>
      <c r="Q104" s="8"/>
      <c r="R104" s="8"/>
      <c r="S104" s="1"/>
      <c r="T104" s="8"/>
      <c r="U104" s="8"/>
      <c r="V104" s="38"/>
      <c r="W104" s="1"/>
      <c r="X104" s="1"/>
      <c r="Y104" s="16"/>
      <c r="Z104" s="16"/>
      <c r="AA104" s="16"/>
      <c r="AB104" s="16"/>
      <c r="AC104" s="16"/>
      <c r="AD104" s="16"/>
      <c r="AE104" s="16"/>
      <c r="AF104" s="16"/>
      <c r="AG104" s="16"/>
      <c r="AH104" s="16"/>
      <c r="AI104" s="16"/>
    </row>
    <row r="105" spans="1:35">
      <c r="A105" s="15"/>
      <c r="B105" s="15"/>
      <c r="C105" s="16"/>
      <c r="D105" s="16"/>
      <c r="E105" s="16"/>
      <c r="F105" s="16"/>
      <c r="G105" s="16"/>
      <c r="H105" s="16"/>
      <c r="I105" s="16"/>
      <c r="J105" s="16"/>
      <c r="K105" s="16"/>
      <c r="L105" s="25"/>
      <c r="M105" s="25"/>
      <c r="N105" s="25"/>
      <c r="O105" s="16"/>
      <c r="P105" s="1"/>
      <c r="Q105" s="8"/>
      <c r="R105" s="8"/>
      <c r="S105" s="1"/>
      <c r="T105" s="8"/>
      <c r="U105" s="8"/>
      <c r="V105" s="38"/>
      <c r="W105" s="1"/>
      <c r="X105" s="1"/>
      <c r="Y105" s="16"/>
      <c r="Z105" s="16"/>
      <c r="AA105" s="16"/>
      <c r="AB105" s="16"/>
      <c r="AC105" s="16"/>
      <c r="AD105" s="16"/>
      <c r="AE105" s="16"/>
      <c r="AF105" s="16"/>
      <c r="AG105" s="16"/>
      <c r="AH105" s="16"/>
      <c r="AI105" s="16"/>
    </row>
    <row r="106" spans="1:35">
      <c r="A106" s="15"/>
      <c r="B106" s="15"/>
      <c r="C106" s="16"/>
      <c r="D106" s="16"/>
      <c r="E106" s="16"/>
      <c r="F106" s="16"/>
      <c r="G106" s="16"/>
      <c r="H106" s="16"/>
      <c r="I106" s="16"/>
      <c r="J106" s="16"/>
      <c r="K106" s="16"/>
      <c r="L106" s="25"/>
      <c r="M106" s="25"/>
      <c r="N106" s="25"/>
      <c r="O106" s="16"/>
      <c r="P106" s="1"/>
      <c r="Q106" s="8"/>
      <c r="R106" s="8"/>
      <c r="S106" s="1"/>
      <c r="T106" s="8"/>
      <c r="U106" s="8"/>
      <c r="V106" s="38"/>
      <c r="W106" s="1"/>
      <c r="X106" s="1"/>
      <c r="Y106" s="16"/>
      <c r="Z106" s="16"/>
      <c r="AA106" s="16"/>
      <c r="AB106" s="16"/>
      <c r="AC106" s="16"/>
      <c r="AD106" s="16"/>
      <c r="AE106" s="16"/>
      <c r="AF106" s="16"/>
      <c r="AG106" s="16"/>
      <c r="AH106" s="16"/>
      <c r="AI106" s="16"/>
    </row>
    <row r="107" spans="1:35">
      <c r="A107" s="15"/>
      <c r="B107" s="15"/>
      <c r="C107" s="16"/>
      <c r="D107" s="16"/>
      <c r="E107" s="16"/>
      <c r="F107" s="16"/>
      <c r="G107" s="16"/>
      <c r="H107" s="16"/>
      <c r="I107" s="16"/>
      <c r="J107" s="16"/>
      <c r="K107" s="16"/>
      <c r="L107" s="25"/>
      <c r="M107" s="25"/>
      <c r="N107" s="25"/>
      <c r="O107" s="16"/>
      <c r="P107" s="1"/>
      <c r="Q107" s="8"/>
      <c r="R107" s="8"/>
      <c r="S107" s="1"/>
      <c r="T107" s="8"/>
      <c r="U107" s="8"/>
      <c r="V107" s="38"/>
      <c r="W107" s="1"/>
      <c r="X107" s="1"/>
      <c r="Y107" s="16"/>
      <c r="Z107" s="16"/>
      <c r="AA107" s="16"/>
      <c r="AB107" s="16"/>
      <c r="AC107" s="16"/>
      <c r="AD107" s="16"/>
      <c r="AE107" s="16"/>
      <c r="AF107" s="16"/>
      <c r="AG107" s="16"/>
      <c r="AH107" s="16"/>
      <c r="AI107" s="16"/>
    </row>
    <row r="108" spans="1:35">
      <c r="A108" s="15"/>
      <c r="B108" s="15"/>
      <c r="C108" s="16"/>
      <c r="D108" s="16"/>
      <c r="E108" s="16"/>
      <c r="F108" s="16"/>
      <c r="G108" s="16"/>
      <c r="H108" s="16"/>
      <c r="I108" s="16"/>
      <c r="J108" s="16"/>
      <c r="K108" s="16"/>
      <c r="L108" s="25"/>
      <c r="M108" s="25"/>
      <c r="N108" s="25"/>
      <c r="O108" s="16"/>
      <c r="P108" s="1"/>
      <c r="Q108" s="8"/>
      <c r="R108" s="8"/>
      <c r="S108" s="1"/>
      <c r="T108" s="8"/>
      <c r="U108" s="8"/>
      <c r="V108" s="38"/>
      <c r="W108" s="1"/>
      <c r="X108" s="1"/>
      <c r="Y108" s="16"/>
      <c r="Z108" s="16"/>
      <c r="AA108" s="16"/>
      <c r="AB108" s="16"/>
      <c r="AC108" s="16"/>
      <c r="AD108" s="16"/>
      <c r="AE108" s="16"/>
      <c r="AF108" s="16"/>
      <c r="AG108" s="16"/>
      <c r="AH108" s="16"/>
      <c r="AI108" s="16"/>
    </row>
    <row r="109" spans="1:35">
      <c r="A109" s="15"/>
      <c r="B109" s="15"/>
      <c r="C109" s="16"/>
      <c r="D109" s="16"/>
      <c r="E109" s="16"/>
      <c r="F109" s="16"/>
      <c r="G109" s="16"/>
      <c r="H109" s="16"/>
      <c r="I109" s="16"/>
      <c r="J109" s="16"/>
      <c r="K109" s="16"/>
      <c r="L109" s="25"/>
      <c r="M109" s="25"/>
      <c r="N109" s="25"/>
      <c r="O109" s="16"/>
      <c r="P109" s="1"/>
      <c r="Q109" s="8"/>
      <c r="R109" s="8"/>
      <c r="S109" s="1"/>
      <c r="T109" s="8"/>
      <c r="U109" s="8"/>
      <c r="V109" s="38"/>
      <c r="W109" s="1"/>
      <c r="X109" s="1"/>
      <c r="Y109" s="16"/>
      <c r="Z109" s="16"/>
      <c r="AA109" s="16"/>
      <c r="AB109" s="16"/>
      <c r="AC109" s="16"/>
      <c r="AD109" s="16"/>
      <c r="AE109" s="16"/>
      <c r="AF109" s="16"/>
      <c r="AG109" s="16"/>
      <c r="AH109" s="16"/>
      <c r="AI109" s="16"/>
    </row>
    <row r="110" spans="1:35">
      <c r="A110" s="15"/>
      <c r="B110" s="15"/>
      <c r="C110" s="16"/>
      <c r="D110" s="16"/>
      <c r="E110" s="16"/>
      <c r="F110" s="16"/>
      <c r="G110" s="16"/>
      <c r="H110" s="16"/>
      <c r="I110" s="16"/>
      <c r="J110" s="16"/>
      <c r="K110" s="16"/>
      <c r="L110" s="25"/>
      <c r="M110" s="25"/>
      <c r="N110" s="25"/>
      <c r="O110" s="16"/>
      <c r="P110" s="1"/>
      <c r="Q110" s="8"/>
      <c r="R110" s="8"/>
      <c r="S110" s="1"/>
      <c r="T110" s="8"/>
      <c r="U110" s="8"/>
      <c r="V110" s="38"/>
      <c r="W110" s="1"/>
      <c r="X110" s="1"/>
      <c r="Y110" s="16"/>
      <c r="Z110" s="16"/>
      <c r="AA110" s="16"/>
      <c r="AB110" s="16"/>
      <c r="AC110" s="16"/>
      <c r="AD110" s="16"/>
      <c r="AE110" s="16"/>
      <c r="AF110" s="16"/>
      <c r="AG110" s="16"/>
      <c r="AH110" s="16"/>
      <c r="AI110" s="16"/>
    </row>
    <row r="111" spans="1:35">
      <c r="A111" s="15"/>
      <c r="B111" s="15"/>
      <c r="C111" s="16"/>
      <c r="D111" s="16"/>
      <c r="E111" s="16"/>
      <c r="F111" s="16"/>
      <c r="G111" s="16"/>
      <c r="H111" s="16"/>
      <c r="I111" s="16"/>
      <c r="J111" s="16"/>
      <c r="K111" s="16"/>
      <c r="L111" s="25"/>
      <c r="M111" s="25"/>
      <c r="N111" s="25"/>
      <c r="O111" s="16"/>
      <c r="P111" s="1"/>
      <c r="Q111" s="8"/>
      <c r="R111" s="8"/>
      <c r="S111" s="1"/>
      <c r="T111" s="8"/>
      <c r="U111" s="8"/>
      <c r="V111" s="38"/>
      <c r="W111" s="1"/>
      <c r="X111" s="1"/>
      <c r="Y111" s="16"/>
      <c r="Z111" s="16"/>
      <c r="AA111" s="16"/>
      <c r="AB111" s="16"/>
      <c r="AC111" s="16"/>
      <c r="AD111" s="16"/>
      <c r="AE111" s="16"/>
      <c r="AF111" s="16"/>
      <c r="AG111" s="16"/>
      <c r="AH111" s="16"/>
      <c r="AI111" s="16"/>
    </row>
    <row r="112" spans="1:35">
      <c r="A112" s="15"/>
      <c r="B112" s="15"/>
      <c r="C112" s="16"/>
      <c r="D112" s="16"/>
      <c r="E112" s="16"/>
      <c r="F112" s="16"/>
      <c r="G112" s="16"/>
      <c r="H112" s="16"/>
      <c r="I112" s="16"/>
      <c r="J112" s="16"/>
      <c r="K112" s="16"/>
      <c r="L112" s="25"/>
      <c r="M112" s="25"/>
      <c r="N112" s="25"/>
      <c r="O112" s="16"/>
      <c r="P112" s="1"/>
      <c r="Q112" s="8"/>
      <c r="R112" s="8"/>
      <c r="S112" s="1"/>
      <c r="T112" s="8"/>
      <c r="U112" s="8"/>
      <c r="V112" s="38"/>
      <c r="W112" s="1"/>
      <c r="X112" s="1"/>
      <c r="Y112" s="16"/>
      <c r="Z112" s="16"/>
      <c r="AA112" s="16"/>
      <c r="AB112" s="16"/>
      <c r="AC112" s="16"/>
      <c r="AD112" s="16"/>
      <c r="AE112" s="16"/>
      <c r="AF112" s="16"/>
      <c r="AG112" s="16"/>
      <c r="AH112" s="16"/>
      <c r="AI112" s="16"/>
    </row>
    <row r="113" spans="1:35">
      <c r="A113" s="15"/>
      <c r="B113" s="15"/>
      <c r="C113" s="16"/>
      <c r="D113" s="16"/>
      <c r="E113" s="16"/>
      <c r="F113" s="16"/>
      <c r="G113" s="16"/>
      <c r="H113" s="16"/>
      <c r="I113" s="16"/>
      <c r="J113" s="16"/>
      <c r="K113" s="16"/>
      <c r="L113" s="25"/>
      <c r="M113" s="25"/>
      <c r="N113" s="25"/>
      <c r="O113" s="16"/>
      <c r="P113" s="1"/>
      <c r="Q113" s="8"/>
      <c r="R113" s="8"/>
      <c r="S113" s="1"/>
      <c r="T113" s="8"/>
      <c r="U113" s="8"/>
      <c r="V113" s="38"/>
      <c r="W113" s="1"/>
      <c r="X113" s="1"/>
      <c r="Y113" s="16"/>
      <c r="Z113" s="16"/>
      <c r="AA113" s="16"/>
      <c r="AB113" s="16"/>
      <c r="AC113" s="16"/>
      <c r="AD113" s="16"/>
      <c r="AE113" s="16"/>
      <c r="AF113" s="16"/>
      <c r="AG113" s="16"/>
      <c r="AH113" s="16"/>
      <c r="AI113" s="16"/>
    </row>
    <row r="114" spans="1:35">
      <c r="A114" s="15"/>
      <c r="B114" s="15"/>
      <c r="C114" s="16"/>
      <c r="D114" s="16"/>
      <c r="E114" s="16"/>
      <c r="F114" s="16"/>
      <c r="G114" s="16"/>
      <c r="H114" s="16"/>
      <c r="I114" s="16"/>
      <c r="J114" s="16"/>
      <c r="K114" s="16"/>
      <c r="L114" s="25"/>
      <c r="M114" s="25"/>
      <c r="N114" s="25"/>
      <c r="O114" s="16"/>
      <c r="P114" s="1"/>
      <c r="Q114" s="8"/>
      <c r="R114" s="8"/>
      <c r="S114" s="1"/>
      <c r="T114" s="8"/>
      <c r="U114" s="8"/>
      <c r="V114" s="38"/>
      <c r="W114" s="1"/>
      <c r="X114" s="1"/>
      <c r="Y114" s="16"/>
      <c r="Z114" s="16"/>
      <c r="AA114" s="16"/>
      <c r="AB114" s="16"/>
      <c r="AC114" s="16"/>
      <c r="AD114" s="16"/>
      <c r="AE114" s="16"/>
      <c r="AF114" s="16"/>
      <c r="AG114" s="16"/>
      <c r="AH114" s="16"/>
      <c r="AI114" s="16"/>
    </row>
    <row r="115" spans="1:35">
      <c r="A115" s="15"/>
      <c r="B115" s="15"/>
      <c r="C115" s="16"/>
      <c r="D115" s="16"/>
      <c r="E115" s="16"/>
      <c r="F115" s="16"/>
      <c r="G115" s="16"/>
      <c r="H115" s="16"/>
      <c r="I115" s="16"/>
      <c r="J115" s="16"/>
      <c r="K115" s="16"/>
      <c r="L115" s="25"/>
      <c r="M115" s="25"/>
      <c r="N115" s="25"/>
      <c r="O115" s="16"/>
      <c r="P115" s="1"/>
      <c r="Q115" s="8"/>
      <c r="R115" s="8"/>
      <c r="S115" s="1"/>
      <c r="T115" s="8"/>
      <c r="U115" s="8"/>
      <c r="V115" s="38"/>
      <c r="W115" s="1"/>
      <c r="X115" s="1"/>
      <c r="Y115" s="16"/>
      <c r="Z115" s="16"/>
      <c r="AA115" s="16"/>
      <c r="AB115" s="16"/>
      <c r="AC115" s="16"/>
      <c r="AD115" s="16"/>
      <c r="AE115" s="16"/>
      <c r="AF115" s="16"/>
      <c r="AG115" s="16"/>
      <c r="AH115" s="16"/>
      <c r="AI115" s="16"/>
    </row>
    <row r="116" spans="1:35">
      <c r="A116" s="15"/>
      <c r="B116" s="15"/>
      <c r="C116" s="16"/>
      <c r="D116" s="16"/>
      <c r="E116" s="16"/>
      <c r="F116" s="16"/>
      <c r="G116" s="16"/>
      <c r="H116" s="16"/>
      <c r="I116" s="16"/>
      <c r="J116" s="16"/>
      <c r="K116" s="16"/>
      <c r="L116" s="25"/>
      <c r="M116" s="25"/>
      <c r="N116" s="25"/>
      <c r="O116" s="16"/>
      <c r="P116" s="1"/>
      <c r="Q116" s="8"/>
      <c r="R116" s="8"/>
      <c r="S116" s="1"/>
      <c r="T116" s="8"/>
      <c r="U116" s="8"/>
      <c r="V116" s="38"/>
      <c r="W116" s="1"/>
      <c r="X116" s="1"/>
      <c r="Y116" s="16"/>
      <c r="Z116" s="16"/>
      <c r="AA116" s="16"/>
      <c r="AB116" s="16"/>
      <c r="AC116" s="16"/>
      <c r="AD116" s="16"/>
      <c r="AE116" s="16"/>
      <c r="AF116" s="16"/>
      <c r="AG116" s="16"/>
      <c r="AH116" s="16"/>
      <c r="AI116" s="16"/>
    </row>
    <row r="117" spans="1:35">
      <c r="A117" s="15"/>
      <c r="B117" s="15"/>
      <c r="C117" s="16"/>
      <c r="D117" s="16"/>
      <c r="E117" s="16"/>
      <c r="F117" s="16"/>
      <c r="G117" s="16"/>
      <c r="H117" s="16"/>
      <c r="I117" s="16"/>
      <c r="J117" s="16"/>
      <c r="K117" s="16"/>
      <c r="L117" s="25"/>
      <c r="M117" s="25"/>
      <c r="N117" s="25"/>
      <c r="O117" s="16"/>
      <c r="P117" s="1"/>
      <c r="Q117" s="8"/>
      <c r="R117" s="8"/>
      <c r="S117" s="1"/>
      <c r="T117" s="8"/>
      <c r="U117" s="8"/>
      <c r="V117" s="38"/>
      <c r="W117" s="1"/>
      <c r="X117" s="1"/>
      <c r="Y117" s="16"/>
      <c r="Z117" s="16"/>
      <c r="AA117" s="16"/>
      <c r="AB117" s="16"/>
      <c r="AC117" s="16"/>
      <c r="AD117" s="16"/>
      <c r="AE117" s="16"/>
      <c r="AF117" s="16"/>
      <c r="AG117" s="16"/>
      <c r="AH117" s="16"/>
      <c r="AI117" s="16"/>
    </row>
    <row r="118" spans="1:35">
      <c r="A118" s="15"/>
      <c r="B118" s="15"/>
      <c r="C118" s="16"/>
      <c r="D118" s="16"/>
      <c r="E118" s="16"/>
      <c r="F118" s="16"/>
      <c r="G118" s="16"/>
      <c r="H118" s="16"/>
      <c r="I118" s="16"/>
      <c r="J118" s="16"/>
      <c r="K118" s="16"/>
      <c r="L118" s="25"/>
      <c r="M118" s="25"/>
      <c r="N118" s="25"/>
      <c r="O118" s="16"/>
      <c r="P118" s="1"/>
      <c r="Q118" s="8"/>
      <c r="R118" s="8"/>
      <c r="S118" s="1"/>
      <c r="T118" s="8"/>
      <c r="U118" s="8"/>
      <c r="V118" s="38"/>
      <c r="W118" s="1"/>
      <c r="X118" s="1"/>
      <c r="Y118" s="16"/>
      <c r="Z118" s="16"/>
      <c r="AA118" s="16"/>
      <c r="AB118" s="16"/>
      <c r="AC118" s="16"/>
      <c r="AD118" s="16"/>
      <c r="AE118" s="16"/>
      <c r="AF118" s="16"/>
      <c r="AG118" s="16"/>
      <c r="AH118" s="16"/>
      <c r="AI118" s="16"/>
    </row>
    <row r="119" spans="1:35">
      <c r="A119" s="15"/>
      <c r="B119" s="15"/>
      <c r="C119" s="16"/>
      <c r="D119" s="16"/>
      <c r="E119" s="16"/>
      <c r="F119" s="16"/>
      <c r="G119" s="16"/>
      <c r="H119" s="16"/>
      <c r="I119" s="16"/>
      <c r="J119" s="16"/>
      <c r="K119" s="16"/>
      <c r="L119" s="25"/>
      <c r="M119" s="25"/>
      <c r="N119" s="25"/>
      <c r="O119" s="16"/>
      <c r="P119" s="1"/>
      <c r="Q119" s="8"/>
      <c r="R119" s="8"/>
      <c r="S119" s="1"/>
      <c r="T119" s="8"/>
      <c r="U119" s="8"/>
      <c r="V119" s="38"/>
      <c r="W119" s="1"/>
      <c r="X119" s="1"/>
      <c r="Y119" s="16"/>
      <c r="Z119" s="16"/>
      <c r="AA119" s="16"/>
      <c r="AB119" s="16"/>
      <c r="AC119" s="16"/>
      <c r="AD119" s="16"/>
      <c r="AE119" s="16"/>
      <c r="AF119" s="16"/>
      <c r="AG119" s="16"/>
      <c r="AH119" s="16"/>
      <c r="AI119" s="16"/>
    </row>
    <row r="120" spans="1:35">
      <c r="A120" s="15"/>
      <c r="B120" s="15"/>
      <c r="C120" s="16"/>
      <c r="D120" s="16"/>
      <c r="E120" s="16"/>
      <c r="F120" s="16"/>
      <c r="G120" s="16"/>
      <c r="H120" s="16"/>
      <c r="I120" s="16"/>
      <c r="J120" s="16"/>
      <c r="K120" s="16"/>
      <c r="L120" s="25"/>
      <c r="M120" s="25"/>
      <c r="N120" s="25"/>
      <c r="O120" s="16"/>
      <c r="P120" s="1"/>
      <c r="Q120" s="8"/>
      <c r="R120" s="8"/>
      <c r="S120" s="1"/>
      <c r="T120" s="8"/>
      <c r="U120" s="8"/>
      <c r="V120" s="38"/>
      <c r="W120" s="1"/>
      <c r="X120" s="1"/>
      <c r="Y120" s="16"/>
      <c r="Z120" s="16"/>
      <c r="AA120" s="16"/>
      <c r="AB120" s="16"/>
      <c r="AC120" s="16"/>
      <c r="AD120" s="16"/>
      <c r="AE120" s="16"/>
      <c r="AF120" s="16"/>
      <c r="AG120" s="16"/>
      <c r="AH120" s="16"/>
      <c r="AI120" s="16"/>
    </row>
    <row r="121" spans="1:35">
      <c r="A121" s="15"/>
      <c r="B121" s="15"/>
      <c r="C121" s="16"/>
      <c r="D121" s="16"/>
      <c r="E121" s="16"/>
      <c r="F121" s="16"/>
      <c r="G121" s="16"/>
      <c r="H121" s="16"/>
      <c r="I121" s="16"/>
      <c r="J121" s="16"/>
      <c r="K121" s="16"/>
      <c r="L121" s="25"/>
      <c r="M121" s="25"/>
      <c r="N121" s="25"/>
      <c r="O121" s="16"/>
      <c r="P121" s="1"/>
      <c r="Q121" s="8"/>
      <c r="R121" s="8"/>
      <c r="S121" s="1"/>
      <c r="T121" s="8"/>
      <c r="U121" s="8"/>
      <c r="V121" s="38"/>
      <c r="W121" s="1"/>
      <c r="X121" s="1"/>
      <c r="Y121" s="16"/>
      <c r="Z121" s="16"/>
      <c r="AA121" s="16"/>
      <c r="AB121" s="16"/>
      <c r="AC121" s="16"/>
      <c r="AD121" s="16"/>
      <c r="AE121" s="16"/>
      <c r="AF121" s="16"/>
      <c r="AG121" s="16"/>
      <c r="AH121" s="16"/>
      <c r="AI121" s="16"/>
    </row>
    <row r="122" spans="1:35">
      <c r="A122" s="15"/>
      <c r="B122" s="15"/>
      <c r="C122" s="16"/>
      <c r="D122" s="16"/>
      <c r="E122" s="16"/>
      <c r="F122" s="16"/>
      <c r="G122" s="16"/>
      <c r="H122" s="16"/>
      <c r="I122" s="16"/>
      <c r="J122" s="16"/>
      <c r="K122" s="16"/>
      <c r="L122" s="25"/>
      <c r="M122" s="25"/>
      <c r="N122" s="25"/>
      <c r="O122" s="16"/>
      <c r="P122" s="1"/>
      <c r="Q122" s="8"/>
      <c r="R122" s="8"/>
      <c r="S122" s="1"/>
      <c r="T122" s="8"/>
      <c r="U122" s="8"/>
      <c r="V122" s="38"/>
      <c r="W122" s="1"/>
      <c r="X122" s="1"/>
      <c r="Y122" s="16"/>
      <c r="Z122" s="16"/>
      <c r="AA122" s="16"/>
      <c r="AB122" s="16"/>
      <c r="AC122" s="16"/>
      <c r="AD122" s="16"/>
      <c r="AE122" s="16"/>
      <c r="AF122" s="16"/>
      <c r="AG122" s="16"/>
      <c r="AH122" s="16"/>
      <c r="AI122" s="16"/>
    </row>
    <row r="123" spans="1:35">
      <c r="A123" s="15"/>
      <c r="B123" s="15"/>
      <c r="C123" s="16"/>
      <c r="D123" s="16"/>
      <c r="E123" s="16"/>
      <c r="F123" s="16"/>
      <c r="G123" s="16"/>
      <c r="H123" s="16"/>
      <c r="I123" s="16"/>
      <c r="J123" s="16"/>
      <c r="K123" s="16"/>
      <c r="L123" s="25"/>
      <c r="M123" s="25"/>
      <c r="N123" s="25"/>
      <c r="O123" s="16"/>
      <c r="P123" s="1"/>
      <c r="Q123" s="8"/>
      <c r="R123" s="8"/>
      <c r="S123" s="1"/>
      <c r="T123" s="8"/>
      <c r="U123" s="8"/>
      <c r="V123" s="38"/>
      <c r="W123" s="1"/>
      <c r="X123" s="1"/>
      <c r="Y123" s="16"/>
      <c r="Z123" s="16"/>
      <c r="AA123" s="16"/>
      <c r="AB123" s="16"/>
      <c r="AC123" s="16"/>
      <c r="AD123" s="16"/>
      <c r="AE123" s="16"/>
      <c r="AF123" s="16"/>
      <c r="AG123" s="16"/>
      <c r="AH123" s="16"/>
      <c r="AI123" s="16"/>
    </row>
    <row r="124" spans="1:35">
      <c r="A124" s="15"/>
      <c r="B124" s="15"/>
      <c r="C124" s="16"/>
      <c r="D124" s="16"/>
      <c r="E124" s="16"/>
      <c r="F124" s="16"/>
      <c r="G124" s="16"/>
      <c r="H124" s="16"/>
      <c r="I124" s="16"/>
      <c r="J124" s="16"/>
      <c r="K124" s="16"/>
      <c r="L124" s="25"/>
      <c r="M124" s="25"/>
      <c r="N124" s="25"/>
      <c r="O124" s="16"/>
      <c r="P124" s="1"/>
      <c r="Q124" s="8"/>
      <c r="R124" s="8"/>
      <c r="S124" s="1"/>
      <c r="T124" s="8"/>
      <c r="U124" s="8"/>
      <c r="V124" s="38"/>
      <c r="W124" s="1"/>
      <c r="X124" s="1"/>
      <c r="Y124" s="16"/>
      <c r="Z124" s="16"/>
      <c r="AA124" s="16"/>
      <c r="AB124" s="16"/>
      <c r="AC124" s="16"/>
      <c r="AD124" s="16"/>
      <c r="AE124" s="16"/>
      <c r="AF124" s="16"/>
      <c r="AG124" s="16"/>
      <c r="AH124" s="16"/>
      <c r="AI124" s="16"/>
    </row>
    <row r="125" spans="1:35">
      <c r="A125" s="15"/>
      <c r="B125" s="15"/>
      <c r="C125" s="16"/>
      <c r="D125" s="16"/>
      <c r="E125" s="16"/>
      <c r="F125" s="16"/>
      <c r="G125" s="16"/>
      <c r="H125" s="16"/>
      <c r="I125" s="16"/>
      <c r="J125" s="16"/>
      <c r="K125" s="16"/>
      <c r="L125" s="25"/>
      <c r="M125" s="25"/>
      <c r="N125" s="25"/>
      <c r="O125" s="16"/>
      <c r="P125" s="1"/>
      <c r="Q125" s="8"/>
      <c r="R125" s="8"/>
      <c r="S125" s="1"/>
      <c r="T125" s="8"/>
      <c r="U125" s="8"/>
      <c r="V125" s="38"/>
      <c r="W125" s="1"/>
      <c r="X125" s="1"/>
      <c r="Y125" s="16"/>
      <c r="Z125" s="16"/>
      <c r="AA125" s="16"/>
      <c r="AB125" s="16"/>
      <c r="AC125" s="16"/>
      <c r="AD125" s="16"/>
      <c r="AE125" s="16"/>
      <c r="AF125" s="16"/>
      <c r="AG125" s="16"/>
      <c r="AH125" s="16"/>
      <c r="AI125" s="16"/>
    </row>
    <row r="126" spans="1:35">
      <c r="A126" s="15"/>
      <c r="B126" s="15"/>
      <c r="C126" s="16"/>
      <c r="D126" s="16"/>
      <c r="E126" s="16"/>
      <c r="F126" s="16"/>
      <c r="G126" s="16"/>
      <c r="H126" s="16"/>
      <c r="I126" s="16"/>
      <c r="J126" s="16"/>
      <c r="K126" s="16"/>
      <c r="L126" s="25"/>
      <c r="M126" s="25"/>
      <c r="N126" s="25"/>
      <c r="O126" s="16"/>
      <c r="P126" s="1"/>
      <c r="Q126" s="8"/>
      <c r="R126" s="8"/>
      <c r="S126" s="1"/>
      <c r="T126" s="8"/>
      <c r="U126" s="8"/>
      <c r="V126" s="38"/>
      <c r="W126" s="1"/>
      <c r="X126" s="1"/>
      <c r="Y126" s="16"/>
      <c r="Z126" s="16"/>
      <c r="AA126" s="16"/>
      <c r="AB126" s="16"/>
      <c r="AC126" s="16"/>
      <c r="AD126" s="16"/>
      <c r="AE126" s="16"/>
      <c r="AF126" s="16"/>
      <c r="AG126" s="16"/>
      <c r="AH126" s="16"/>
      <c r="AI126" s="16"/>
    </row>
    <row r="127" spans="1:35">
      <c r="A127" s="15"/>
      <c r="B127" s="15"/>
      <c r="C127" s="16"/>
      <c r="D127" s="16"/>
      <c r="E127" s="16"/>
      <c r="F127" s="16"/>
      <c r="G127" s="16"/>
      <c r="H127" s="16"/>
      <c r="I127" s="16"/>
      <c r="J127" s="16"/>
      <c r="K127" s="16"/>
      <c r="L127" s="25"/>
      <c r="M127" s="25"/>
      <c r="N127" s="25"/>
      <c r="O127" s="16"/>
      <c r="P127" s="1"/>
      <c r="Q127" s="8"/>
      <c r="R127" s="8"/>
      <c r="S127" s="1"/>
      <c r="T127" s="8"/>
      <c r="U127" s="8"/>
      <c r="V127" s="38"/>
      <c r="W127" s="1"/>
      <c r="X127" s="1"/>
      <c r="Y127" s="16"/>
      <c r="Z127" s="16"/>
      <c r="AA127" s="16"/>
      <c r="AB127" s="16"/>
      <c r="AC127" s="16"/>
      <c r="AD127" s="16"/>
      <c r="AE127" s="16"/>
      <c r="AF127" s="16"/>
      <c r="AG127" s="16"/>
      <c r="AH127" s="16"/>
      <c r="AI127" s="16"/>
    </row>
    <row r="128" spans="1:35">
      <c r="A128" s="15"/>
      <c r="B128" s="15"/>
      <c r="C128" s="16"/>
      <c r="D128" s="16"/>
      <c r="E128" s="16"/>
      <c r="F128" s="16"/>
      <c r="G128" s="16"/>
      <c r="H128" s="16"/>
      <c r="I128" s="16"/>
      <c r="J128" s="16"/>
      <c r="K128" s="16"/>
      <c r="L128" s="25"/>
      <c r="M128" s="25"/>
      <c r="N128" s="25"/>
      <c r="O128" s="16"/>
      <c r="P128" s="1"/>
      <c r="Q128" s="8"/>
      <c r="R128" s="8"/>
      <c r="S128" s="1"/>
      <c r="T128" s="8"/>
      <c r="U128" s="8"/>
      <c r="V128" s="38"/>
      <c r="W128" s="1"/>
      <c r="X128" s="1"/>
      <c r="Y128" s="16"/>
      <c r="Z128" s="16"/>
      <c r="AA128" s="16"/>
      <c r="AB128" s="16"/>
      <c r="AC128" s="16"/>
      <c r="AD128" s="16"/>
      <c r="AE128" s="16"/>
      <c r="AF128" s="16"/>
      <c r="AG128" s="16"/>
      <c r="AH128" s="16"/>
      <c r="AI128" s="16"/>
    </row>
    <row r="129" spans="1:35">
      <c r="A129" s="15"/>
      <c r="B129" s="15"/>
      <c r="C129" s="16"/>
      <c r="D129" s="16"/>
      <c r="E129" s="16"/>
      <c r="F129" s="16"/>
      <c r="G129" s="16"/>
      <c r="H129" s="16"/>
      <c r="I129" s="16"/>
      <c r="J129" s="16"/>
      <c r="K129" s="16"/>
      <c r="L129" s="25"/>
      <c r="M129" s="25"/>
      <c r="N129" s="25"/>
      <c r="O129" s="16"/>
      <c r="P129" s="1"/>
      <c r="Q129" s="8"/>
      <c r="R129" s="8"/>
      <c r="S129" s="1"/>
      <c r="T129" s="8"/>
      <c r="U129" s="8"/>
      <c r="V129" s="38"/>
      <c r="W129" s="1"/>
      <c r="X129" s="1"/>
      <c r="Y129" s="16"/>
      <c r="Z129" s="16"/>
      <c r="AA129" s="16"/>
      <c r="AB129" s="16"/>
      <c r="AC129" s="16"/>
      <c r="AD129" s="16"/>
      <c r="AE129" s="16"/>
      <c r="AF129" s="16"/>
      <c r="AG129" s="16"/>
      <c r="AH129" s="16"/>
      <c r="AI129" s="16"/>
    </row>
    <row r="130" spans="1:35">
      <c r="A130" s="15"/>
      <c r="B130" s="15"/>
      <c r="C130" s="16"/>
      <c r="D130" s="16"/>
      <c r="E130" s="16"/>
      <c r="F130" s="16"/>
      <c r="G130" s="16"/>
      <c r="H130" s="16"/>
      <c r="I130" s="16"/>
      <c r="J130" s="16"/>
      <c r="K130" s="16"/>
      <c r="L130" s="25"/>
      <c r="M130" s="25"/>
      <c r="N130" s="25"/>
      <c r="O130" s="16"/>
      <c r="P130" s="1"/>
      <c r="Q130" s="8"/>
      <c r="R130" s="8"/>
      <c r="S130" s="1"/>
      <c r="T130" s="8"/>
      <c r="U130" s="8"/>
      <c r="V130" s="38"/>
      <c r="W130" s="1"/>
      <c r="X130" s="1"/>
      <c r="Y130" s="16"/>
      <c r="Z130" s="16"/>
      <c r="AA130" s="16"/>
      <c r="AB130" s="16"/>
      <c r="AC130" s="16"/>
      <c r="AD130" s="16"/>
      <c r="AE130" s="16"/>
      <c r="AF130" s="16"/>
      <c r="AG130" s="16"/>
      <c r="AH130" s="16"/>
      <c r="AI130" s="16"/>
    </row>
    <row r="131" spans="1:35">
      <c r="A131" s="15"/>
      <c r="B131" s="15"/>
      <c r="C131" s="16"/>
      <c r="D131" s="16"/>
      <c r="E131" s="16"/>
      <c r="F131" s="16"/>
      <c r="G131" s="16"/>
      <c r="H131" s="16"/>
      <c r="I131" s="16"/>
      <c r="J131" s="16"/>
      <c r="K131" s="16"/>
      <c r="L131" s="25"/>
      <c r="M131" s="25"/>
      <c r="N131" s="25"/>
      <c r="O131" s="16"/>
      <c r="P131" s="1"/>
      <c r="Q131" s="8"/>
      <c r="R131" s="8"/>
      <c r="S131" s="1"/>
      <c r="T131" s="8"/>
      <c r="U131" s="8"/>
      <c r="V131" s="38"/>
      <c r="W131" s="1"/>
      <c r="X131" s="1"/>
      <c r="Y131" s="16"/>
      <c r="Z131" s="16"/>
      <c r="AA131" s="16"/>
      <c r="AB131" s="16"/>
      <c r="AC131" s="16"/>
      <c r="AD131" s="16"/>
      <c r="AE131" s="16"/>
      <c r="AF131" s="16"/>
      <c r="AG131" s="16"/>
      <c r="AH131" s="16"/>
      <c r="AI131" s="16"/>
    </row>
    <row r="132" spans="1:35">
      <c r="A132" s="15"/>
      <c r="B132" s="15"/>
      <c r="C132" s="16"/>
      <c r="D132" s="16"/>
      <c r="E132" s="16"/>
      <c r="F132" s="16"/>
      <c r="G132" s="16"/>
      <c r="H132" s="16"/>
      <c r="I132" s="16"/>
      <c r="J132" s="16"/>
      <c r="K132" s="16"/>
      <c r="L132" s="25"/>
      <c r="M132" s="25"/>
      <c r="N132" s="25"/>
      <c r="O132" s="16"/>
      <c r="P132" s="1"/>
      <c r="Q132" s="8"/>
      <c r="R132" s="8"/>
      <c r="S132" s="1"/>
      <c r="T132" s="8"/>
      <c r="U132" s="8"/>
      <c r="V132" s="38"/>
      <c r="W132" s="1"/>
      <c r="X132" s="1"/>
      <c r="Y132" s="16"/>
      <c r="Z132" s="16"/>
      <c r="AA132" s="16"/>
      <c r="AB132" s="16"/>
      <c r="AC132" s="16"/>
      <c r="AD132" s="16"/>
      <c r="AE132" s="16"/>
      <c r="AF132" s="16"/>
      <c r="AG132" s="16"/>
      <c r="AH132" s="16"/>
      <c r="AI132" s="16"/>
    </row>
    <row r="133" spans="1:35">
      <c r="A133" s="15"/>
      <c r="B133" s="15"/>
      <c r="C133" s="16"/>
      <c r="D133" s="16"/>
      <c r="E133" s="16"/>
      <c r="F133" s="16"/>
      <c r="G133" s="16"/>
      <c r="H133" s="16"/>
      <c r="I133" s="16"/>
      <c r="J133" s="16"/>
      <c r="K133" s="16"/>
      <c r="L133" s="25"/>
      <c r="M133" s="25"/>
      <c r="N133" s="25"/>
      <c r="O133" s="16"/>
      <c r="P133" s="1"/>
      <c r="Q133" s="8"/>
      <c r="R133" s="8"/>
      <c r="S133" s="1"/>
      <c r="T133" s="8"/>
      <c r="U133" s="8"/>
      <c r="V133" s="38"/>
      <c r="W133" s="1"/>
      <c r="X133" s="1"/>
      <c r="Y133" s="16"/>
      <c r="Z133" s="16"/>
      <c r="AA133" s="16"/>
      <c r="AB133" s="16"/>
      <c r="AC133" s="16"/>
      <c r="AD133" s="16"/>
      <c r="AE133" s="16"/>
      <c r="AF133" s="16"/>
      <c r="AG133" s="16"/>
      <c r="AH133" s="16"/>
      <c r="AI133" s="16"/>
    </row>
    <row r="134" spans="1:35">
      <c r="A134" s="15"/>
      <c r="B134" s="15"/>
      <c r="C134" s="16"/>
      <c r="D134" s="16"/>
      <c r="E134" s="16"/>
      <c r="F134" s="16"/>
      <c r="G134" s="16"/>
      <c r="H134" s="16"/>
      <c r="I134" s="16"/>
      <c r="J134" s="16"/>
      <c r="K134" s="16"/>
      <c r="L134" s="25"/>
      <c r="M134" s="25"/>
      <c r="N134" s="25"/>
      <c r="O134" s="16"/>
      <c r="P134" s="1"/>
      <c r="Q134" s="8"/>
      <c r="R134" s="8"/>
      <c r="S134" s="1"/>
      <c r="T134" s="8"/>
      <c r="U134" s="8"/>
      <c r="V134" s="38"/>
      <c r="W134" s="1"/>
      <c r="X134" s="1"/>
      <c r="Y134" s="16"/>
      <c r="Z134" s="16"/>
      <c r="AA134" s="16"/>
      <c r="AB134" s="16"/>
      <c r="AC134" s="16"/>
      <c r="AD134" s="16"/>
      <c r="AE134" s="16"/>
      <c r="AF134" s="16"/>
      <c r="AG134" s="16"/>
      <c r="AH134" s="16"/>
      <c r="AI134" s="16"/>
    </row>
    <row r="135" spans="1:35">
      <c r="A135" s="15"/>
      <c r="B135" s="15"/>
      <c r="C135" s="16"/>
      <c r="D135" s="16"/>
      <c r="E135" s="16"/>
      <c r="F135" s="16"/>
      <c r="G135" s="16"/>
      <c r="H135" s="16"/>
      <c r="I135" s="16"/>
      <c r="J135" s="16"/>
      <c r="K135" s="16"/>
      <c r="L135" s="25"/>
      <c r="M135" s="25"/>
      <c r="N135" s="25"/>
      <c r="O135" s="16"/>
      <c r="P135" s="1"/>
      <c r="Q135" s="8"/>
      <c r="R135" s="8"/>
      <c r="S135" s="1"/>
      <c r="T135" s="8"/>
      <c r="U135" s="8"/>
      <c r="V135" s="38"/>
      <c r="W135" s="1"/>
      <c r="X135" s="1"/>
      <c r="Y135" s="16"/>
      <c r="Z135" s="16"/>
      <c r="AA135" s="16"/>
      <c r="AB135" s="16"/>
      <c r="AC135" s="16"/>
      <c r="AD135" s="16"/>
      <c r="AE135" s="16"/>
      <c r="AF135" s="16"/>
      <c r="AG135" s="16"/>
      <c r="AH135" s="16"/>
      <c r="AI135" s="16"/>
    </row>
    <row r="136" spans="1:35">
      <c r="A136" s="15"/>
      <c r="B136" s="15"/>
      <c r="C136" s="16"/>
      <c r="D136" s="16"/>
      <c r="E136" s="16"/>
      <c r="F136" s="16"/>
      <c r="G136" s="16"/>
      <c r="H136" s="16"/>
      <c r="I136" s="16"/>
      <c r="J136" s="16"/>
      <c r="K136" s="16"/>
      <c r="L136" s="25"/>
      <c r="M136" s="25"/>
      <c r="N136" s="25"/>
      <c r="O136" s="16"/>
      <c r="P136" s="1"/>
      <c r="Q136" s="8"/>
      <c r="R136" s="8"/>
      <c r="S136" s="1"/>
      <c r="T136" s="8"/>
      <c r="U136" s="8"/>
      <c r="V136" s="38"/>
      <c r="W136" s="1"/>
      <c r="X136" s="1"/>
      <c r="Y136" s="16"/>
      <c r="Z136" s="16"/>
      <c r="AA136" s="16"/>
      <c r="AB136" s="16"/>
      <c r="AC136" s="16"/>
      <c r="AD136" s="16"/>
      <c r="AE136" s="16"/>
      <c r="AF136" s="16"/>
      <c r="AG136" s="16"/>
      <c r="AH136" s="16"/>
      <c r="AI136" s="16"/>
    </row>
    <row r="137" spans="1:35">
      <c r="A137" s="15"/>
      <c r="B137" s="15"/>
      <c r="C137" s="16"/>
      <c r="D137" s="16"/>
      <c r="E137" s="16"/>
      <c r="F137" s="16"/>
      <c r="G137" s="16"/>
      <c r="H137" s="16"/>
      <c r="I137" s="16"/>
      <c r="J137" s="16"/>
      <c r="K137" s="16"/>
      <c r="L137" s="25"/>
      <c r="M137" s="25"/>
      <c r="N137" s="25"/>
      <c r="O137" s="16"/>
      <c r="P137" s="1"/>
      <c r="Q137" s="8"/>
      <c r="R137" s="8"/>
      <c r="S137" s="1"/>
      <c r="T137" s="8"/>
      <c r="U137" s="8"/>
      <c r="V137" s="38"/>
      <c r="W137" s="1"/>
      <c r="X137" s="1"/>
      <c r="Y137" s="16"/>
      <c r="Z137" s="16"/>
      <c r="AA137" s="16"/>
      <c r="AB137" s="16"/>
      <c r="AC137" s="16"/>
      <c r="AD137" s="16"/>
      <c r="AE137" s="16"/>
      <c r="AF137" s="16"/>
      <c r="AG137" s="16"/>
      <c r="AH137" s="16"/>
      <c r="AI137" s="16"/>
    </row>
    <row r="138" spans="1:35">
      <c r="A138" s="15"/>
      <c r="B138" s="15"/>
      <c r="C138" s="16"/>
      <c r="D138" s="16"/>
      <c r="E138" s="16"/>
      <c r="F138" s="16"/>
      <c r="G138" s="16"/>
      <c r="H138" s="16"/>
      <c r="I138" s="16"/>
      <c r="J138" s="16"/>
      <c r="K138" s="16"/>
      <c r="L138" s="25"/>
      <c r="M138" s="25"/>
      <c r="N138" s="25"/>
      <c r="O138" s="16"/>
      <c r="P138" s="1"/>
      <c r="Q138" s="8"/>
      <c r="R138" s="8"/>
      <c r="S138" s="1"/>
      <c r="T138" s="8"/>
      <c r="U138" s="8"/>
      <c r="V138" s="38"/>
      <c r="W138" s="1"/>
      <c r="X138" s="1"/>
      <c r="Y138" s="16"/>
      <c r="Z138" s="16"/>
      <c r="AA138" s="16"/>
      <c r="AB138" s="16"/>
      <c r="AC138" s="16"/>
      <c r="AD138" s="16"/>
      <c r="AE138" s="16"/>
      <c r="AF138" s="16"/>
      <c r="AG138" s="16"/>
      <c r="AH138" s="16"/>
      <c r="AI138" s="16"/>
    </row>
    <row r="139" spans="1:35">
      <c r="A139" s="15"/>
      <c r="B139" s="15"/>
      <c r="C139" s="16"/>
      <c r="D139" s="16"/>
      <c r="E139" s="16"/>
      <c r="F139" s="16"/>
      <c r="G139" s="16"/>
      <c r="H139" s="16"/>
      <c r="I139" s="16"/>
      <c r="J139" s="16"/>
      <c r="K139" s="16"/>
      <c r="L139" s="25"/>
      <c r="M139" s="25"/>
      <c r="N139" s="25"/>
      <c r="O139" s="16"/>
      <c r="P139" s="1"/>
      <c r="Q139" s="8"/>
      <c r="R139" s="8"/>
      <c r="S139" s="1"/>
      <c r="T139" s="8"/>
      <c r="U139" s="8"/>
      <c r="V139" s="38"/>
      <c r="W139" s="1"/>
      <c r="X139" s="1"/>
      <c r="Y139" s="16"/>
      <c r="Z139" s="16"/>
      <c r="AA139" s="16"/>
      <c r="AB139" s="16"/>
      <c r="AC139" s="16"/>
      <c r="AD139" s="16"/>
      <c r="AE139" s="16"/>
      <c r="AF139" s="16"/>
      <c r="AG139" s="16"/>
      <c r="AH139" s="16"/>
      <c r="AI139" s="16"/>
    </row>
    <row r="140" spans="1:35">
      <c r="A140" s="15"/>
      <c r="B140" s="15"/>
      <c r="C140" s="16"/>
      <c r="D140" s="16"/>
      <c r="E140" s="16"/>
      <c r="F140" s="16"/>
      <c r="G140" s="16"/>
      <c r="H140" s="16"/>
      <c r="I140" s="16"/>
      <c r="J140" s="16"/>
      <c r="K140" s="16"/>
      <c r="L140" s="25"/>
      <c r="M140" s="25"/>
      <c r="N140" s="25"/>
      <c r="O140" s="16"/>
      <c r="P140" s="1"/>
      <c r="Q140" s="8"/>
      <c r="R140" s="8"/>
      <c r="S140" s="1"/>
      <c r="T140" s="8"/>
      <c r="U140" s="8"/>
      <c r="V140" s="38"/>
      <c r="W140" s="1"/>
      <c r="X140" s="1"/>
      <c r="Y140" s="16"/>
      <c r="Z140" s="16"/>
      <c r="AA140" s="16"/>
      <c r="AB140" s="16"/>
      <c r="AC140" s="16"/>
      <c r="AD140" s="16"/>
      <c r="AE140" s="16"/>
      <c r="AF140" s="16"/>
      <c r="AG140" s="16"/>
      <c r="AH140" s="16"/>
      <c r="AI140" s="16"/>
    </row>
    <row r="141" spans="1:35">
      <c r="A141" s="15"/>
      <c r="B141" s="15"/>
      <c r="C141" s="16"/>
      <c r="D141" s="16"/>
      <c r="E141" s="16"/>
      <c r="F141" s="16"/>
      <c r="G141" s="16"/>
      <c r="H141" s="16"/>
      <c r="I141" s="16"/>
      <c r="J141" s="16"/>
      <c r="K141" s="16"/>
      <c r="L141" s="25"/>
      <c r="M141" s="25"/>
      <c r="N141" s="25"/>
      <c r="O141" s="16"/>
      <c r="P141" s="1"/>
      <c r="Q141" s="8"/>
      <c r="R141" s="8"/>
      <c r="S141" s="1"/>
      <c r="T141" s="8"/>
      <c r="U141" s="8"/>
      <c r="V141" s="38"/>
      <c r="W141" s="1"/>
      <c r="X141" s="1"/>
      <c r="Y141" s="16"/>
      <c r="Z141" s="16"/>
      <c r="AA141" s="16"/>
      <c r="AB141" s="16"/>
      <c r="AC141" s="16"/>
      <c r="AD141" s="16"/>
      <c r="AE141" s="16"/>
      <c r="AF141" s="16"/>
      <c r="AG141" s="16"/>
      <c r="AH141" s="16"/>
      <c r="AI141" s="16"/>
    </row>
    <row r="142" spans="1:35">
      <c r="A142" s="15"/>
      <c r="B142" s="15"/>
      <c r="C142" s="16"/>
      <c r="D142" s="16"/>
      <c r="E142" s="16"/>
      <c r="F142" s="16"/>
      <c r="G142" s="16"/>
      <c r="H142" s="16"/>
      <c r="I142" s="16"/>
      <c r="J142" s="16"/>
      <c r="K142" s="16"/>
      <c r="L142" s="25"/>
      <c r="M142" s="25"/>
      <c r="N142" s="25"/>
      <c r="O142" s="16"/>
      <c r="P142" s="1"/>
      <c r="Q142" s="8"/>
      <c r="R142" s="8"/>
      <c r="S142" s="1"/>
      <c r="T142" s="8"/>
      <c r="U142" s="8"/>
      <c r="V142" s="38"/>
      <c r="W142" s="1"/>
      <c r="X142" s="1"/>
      <c r="Y142" s="16"/>
      <c r="Z142" s="16"/>
      <c r="AA142" s="16"/>
      <c r="AB142" s="16"/>
      <c r="AC142" s="16"/>
      <c r="AD142" s="16"/>
      <c r="AE142" s="16"/>
      <c r="AF142" s="16"/>
      <c r="AG142" s="16"/>
      <c r="AH142" s="16"/>
      <c r="AI142" s="16"/>
    </row>
    <row r="143" spans="1:35">
      <c r="A143" s="15"/>
      <c r="B143" s="15"/>
      <c r="C143" s="16"/>
      <c r="D143" s="16"/>
      <c r="E143" s="16"/>
      <c r="F143" s="16"/>
      <c r="G143" s="16"/>
      <c r="H143" s="16"/>
      <c r="I143" s="16"/>
      <c r="J143" s="16"/>
      <c r="K143" s="16"/>
      <c r="L143" s="25"/>
      <c r="M143" s="25"/>
      <c r="N143" s="25"/>
      <c r="O143" s="16"/>
      <c r="P143" s="1"/>
      <c r="Q143" s="8"/>
      <c r="R143" s="8"/>
      <c r="S143" s="1"/>
      <c r="T143" s="8"/>
      <c r="U143" s="8"/>
      <c r="V143" s="38"/>
      <c r="W143" s="1"/>
      <c r="X143" s="1"/>
      <c r="Y143" s="16"/>
      <c r="Z143" s="16"/>
      <c r="AA143" s="16"/>
      <c r="AB143" s="16"/>
      <c r="AC143" s="16"/>
      <c r="AD143" s="16"/>
      <c r="AE143" s="16"/>
      <c r="AF143" s="16"/>
      <c r="AG143" s="16"/>
      <c r="AH143" s="16"/>
      <c r="AI143" s="16"/>
    </row>
    <row r="144" spans="1:35">
      <c r="A144" s="15"/>
      <c r="B144" s="15"/>
      <c r="C144" s="16"/>
      <c r="D144" s="16"/>
      <c r="E144" s="16"/>
      <c r="F144" s="16"/>
      <c r="G144" s="16"/>
      <c r="H144" s="16"/>
      <c r="I144" s="16"/>
      <c r="J144" s="16"/>
      <c r="K144" s="16"/>
      <c r="L144" s="25"/>
      <c r="M144" s="25"/>
      <c r="N144" s="25"/>
      <c r="O144" s="16"/>
      <c r="P144" s="1"/>
      <c r="Q144" s="8"/>
      <c r="R144" s="8"/>
      <c r="S144" s="1"/>
      <c r="T144" s="8"/>
      <c r="U144" s="8"/>
      <c r="V144" s="38"/>
      <c r="W144" s="1"/>
      <c r="X144" s="1"/>
      <c r="Y144" s="16"/>
      <c r="Z144" s="16"/>
      <c r="AA144" s="16"/>
      <c r="AB144" s="16"/>
      <c r="AC144" s="16"/>
      <c r="AD144" s="16"/>
      <c r="AE144" s="16"/>
      <c r="AF144" s="16"/>
      <c r="AG144" s="16"/>
      <c r="AH144" s="16"/>
      <c r="AI144" s="16"/>
    </row>
    <row r="145" spans="1:35">
      <c r="A145" s="15"/>
      <c r="B145" s="15"/>
      <c r="C145" s="16"/>
      <c r="D145" s="16"/>
      <c r="E145" s="16"/>
      <c r="F145" s="16"/>
      <c r="G145" s="16"/>
      <c r="H145" s="16"/>
      <c r="I145" s="16"/>
      <c r="J145" s="16"/>
      <c r="K145" s="16"/>
      <c r="L145" s="25"/>
      <c r="M145" s="25"/>
      <c r="N145" s="25"/>
      <c r="O145" s="16"/>
      <c r="P145" s="1"/>
      <c r="Q145" s="8"/>
      <c r="R145" s="8"/>
      <c r="S145" s="1"/>
      <c r="T145" s="8"/>
      <c r="U145" s="8"/>
      <c r="V145" s="38"/>
      <c r="W145" s="1"/>
      <c r="X145" s="1"/>
      <c r="Y145" s="16"/>
      <c r="Z145" s="16"/>
      <c r="AA145" s="16"/>
      <c r="AB145" s="16"/>
      <c r="AC145" s="16"/>
      <c r="AD145" s="16"/>
      <c r="AE145" s="16"/>
      <c r="AF145" s="16"/>
      <c r="AG145" s="16"/>
      <c r="AH145" s="16"/>
      <c r="AI145" s="16"/>
    </row>
    <row r="146" spans="1:35">
      <c r="A146" s="15"/>
      <c r="B146" s="15"/>
      <c r="C146" s="16"/>
      <c r="D146" s="16"/>
      <c r="E146" s="16"/>
      <c r="F146" s="16"/>
      <c r="G146" s="16"/>
      <c r="H146" s="16"/>
      <c r="I146" s="16"/>
      <c r="J146" s="16"/>
      <c r="K146" s="16"/>
      <c r="L146" s="25"/>
      <c r="M146" s="25"/>
      <c r="N146" s="25"/>
      <c r="O146" s="16"/>
      <c r="P146" s="1"/>
      <c r="Q146" s="8"/>
      <c r="R146" s="8"/>
      <c r="S146" s="1"/>
      <c r="T146" s="8"/>
      <c r="U146" s="8"/>
      <c r="V146" s="38"/>
      <c r="W146" s="1"/>
      <c r="X146" s="1"/>
      <c r="Y146" s="16"/>
      <c r="Z146" s="16"/>
      <c r="AA146" s="16"/>
      <c r="AB146" s="16"/>
      <c r="AC146" s="16"/>
      <c r="AD146" s="16"/>
      <c r="AE146" s="16"/>
      <c r="AF146" s="16"/>
      <c r="AG146" s="16"/>
      <c r="AH146" s="16"/>
      <c r="AI146" s="16"/>
    </row>
    <row r="147" spans="1:35">
      <c r="A147" s="15"/>
      <c r="B147" s="15"/>
      <c r="C147" s="16"/>
      <c r="D147" s="16"/>
      <c r="E147" s="16"/>
      <c r="F147" s="16"/>
      <c r="G147" s="16"/>
      <c r="H147" s="16"/>
      <c r="I147" s="16"/>
      <c r="J147" s="16"/>
      <c r="K147" s="16"/>
      <c r="L147" s="25"/>
      <c r="M147" s="25"/>
      <c r="N147" s="25"/>
      <c r="O147" s="16"/>
      <c r="P147" s="1"/>
      <c r="Q147" s="8"/>
      <c r="R147" s="8"/>
      <c r="S147" s="1"/>
      <c r="T147" s="8"/>
      <c r="U147" s="8"/>
      <c r="V147" s="38"/>
      <c r="W147" s="1"/>
      <c r="X147" s="1"/>
      <c r="Y147" s="16"/>
      <c r="Z147" s="16"/>
      <c r="AA147" s="16"/>
      <c r="AB147" s="16"/>
      <c r="AC147" s="16"/>
      <c r="AD147" s="16"/>
      <c r="AE147" s="16"/>
      <c r="AF147" s="16"/>
      <c r="AG147" s="16"/>
      <c r="AH147" s="16"/>
      <c r="AI147" s="16"/>
    </row>
    <row r="148" spans="1:35">
      <c r="A148" s="15"/>
      <c r="B148" s="15"/>
      <c r="C148" s="16"/>
      <c r="D148" s="16"/>
      <c r="E148" s="16"/>
      <c r="F148" s="16"/>
      <c r="G148" s="16"/>
      <c r="H148" s="16"/>
      <c r="I148" s="16"/>
      <c r="J148" s="16"/>
      <c r="K148" s="16"/>
      <c r="L148" s="25"/>
      <c r="M148" s="25"/>
      <c r="N148" s="25"/>
      <c r="O148" s="16"/>
      <c r="P148" s="1"/>
      <c r="Q148" s="8"/>
      <c r="R148" s="8"/>
      <c r="S148" s="1"/>
      <c r="T148" s="8"/>
      <c r="U148" s="8"/>
      <c r="V148" s="38"/>
      <c r="W148" s="1"/>
      <c r="X148" s="1"/>
      <c r="Y148" s="16"/>
      <c r="Z148" s="16"/>
      <c r="AA148" s="16"/>
      <c r="AB148" s="16"/>
      <c r="AC148" s="16"/>
      <c r="AD148" s="16"/>
      <c r="AE148" s="16"/>
      <c r="AF148" s="16"/>
      <c r="AG148" s="16"/>
      <c r="AH148" s="16"/>
      <c r="AI148" s="16"/>
    </row>
    <row r="149" spans="1:35">
      <c r="A149" s="15"/>
      <c r="B149" s="15"/>
      <c r="C149" s="16"/>
      <c r="D149" s="16"/>
      <c r="E149" s="16"/>
      <c r="F149" s="16"/>
      <c r="G149" s="16"/>
      <c r="H149" s="16"/>
      <c r="I149" s="16"/>
      <c r="J149" s="16"/>
      <c r="K149" s="16"/>
      <c r="L149" s="25"/>
      <c r="M149" s="25"/>
      <c r="N149" s="25"/>
      <c r="O149" s="16"/>
      <c r="P149" s="1"/>
      <c r="Q149" s="8"/>
      <c r="R149" s="8"/>
      <c r="S149" s="1"/>
      <c r="T149" s="8"/>
      <c r="U149" s="8"/>
      <c r="V149" s="38"/>
      <c r="W149" s="1"/>
      <c r="X149" s="1"/>
      <c r="Y149" s="16"/>
      <c r="Z149" s="16"/>
      <c r="AA149" s="16"/>
      <c r="AB149" s="16"/>
      <c r="AC149" s="16"/>
      <c r="AD149" s="16"/>
      <c r="AE149" s="16"/>
      <c r="AF149" s="16"/>
      <c r="AG149" s="16"/>
      <c r="AH149" s="16"/>
      <c r="AI149" s="16"/>
    </row>
    <row r="150" spans="1:35">
      <c r="A150" s="15"/>
      <c r="B150" s="15"/>
      <c r="C150" s="16"/>
      <c r="D150" s="16"/>
      <c r="E150" s="16"/>
      <c r="F150" s="16"/>
      <c r="G150" s="16"/>
      <c r="H150" s="16"/>
      <c r="I150" s="16"/>
      <c r="J150" s="16"/>
      <c r="K150" s="16"/>
      <c r="L150" s="25"/>
      <c r="M150" s="25"/>
      <c r="N150" s="25"/>
      <c r="O150" s="16"/>
      <c r="P150" s="1"/>
      <c r="Q150" s="8"/>
      <c r="R150" s="8"/>
      <c r="S150" s="1"/>
      <c r="T150" s="8"/>
      <c r="U150" s="8"/>
      <c r="V150" s="38"/>
      <c r="W150" s="1"/>
      <c r="X150" s="1"/>
      <c r="Y150" s="16"/>
      <c r="Z150" s="16"/>
      <c r="AA150" s="16"/>
      <c r="AB150" s="16"/>
      <c r="AC150" s="16"/>
      <c r="AD150" s="16"/>
      <c r="AE150" s="16"/>
      <c r="AF150" s="16"/>
      <c r="AG150" s="16"/>
      <c r="AH150" s="16"/>
      <c r="AI150" s="16"/>
    </row>
    <row r="151" spans="1:35">
      <c r="A151" s="15"/>
      <c r="B151" s="15"/>
      <c r="C151" s="16"/>
      <c r="D151" s="16"/>
      <c r="E151" s="16"/>
      <c r="F151" s="16"/>
      <c r="G151" s="16"/>
      <c r="H151" s="16"/>
      <c r="I151" s="16"/>
      <c r="J151" s="16"/>
      <c r="K151" s="16"/>
      <c r="L151" s="25"/>
      <c r="M151" s="25"/>
      <c r="N151" s="25"/>
      <c r="O151" s="16"/>
      <c r="P151" s="1"/>
      <c r="Q151" s="8"/>
      <c r="R151" s="8"/>
      <c r="S151" s="1"/>
      <c r="T151" s="8"/>
      <c r="U151" s="8"/>
      <c r="V151" s="38"/>
      <c r="W151" s="1"/>
      <c r="X151" s="1"/>
      <c r="Y151" s="16"/>
      <c r="Z151" s="16"/>
      <c r="AA151" s="16"/>
      <c r="AB151" s="16"/>
      <c r="AC151" s="16"/>
      <c r="AD151" s="16"/>
      <c r="AE151" s="16"/>
      <c r="AF151" s="16"/>
      <c r="AG151" s="16"/>
      <c r="AH151" s="16"/>
      <c r="AI151" s="16"/>
    </row>
    <row r="152" spans="1:35">
      <c r="A152" s="15"/>
      <c r="B152" s="15"/>
      <c r="C152" s="16"/>
      <c r="D152" s="16"/>
      <c r="E152" s="16"/>
      <c r="F152" s="16"/>
      <c r="G152" s="16"/>
      <c r="H152" s="16"/>
      <c r="I152" s="16"/>
      <c r="J152" s="16"/>
      <c r="K152" s="16"/>
      <c r="L152" s="25"/>
      <c r="M152" s="25"/>
      <c r="N152" s="25"/>
      <c r="O152" s="16"/>
      <c r="P152" s="1"/>
      <c r="Q152" s="8"/>
      <c r="R152" s="8"/>
      <c r="S152" s="1"/>
      <c r="T152" s="8"/>
      <c r="U152" s="8"/>
      <c r="V152" s="38"/>
      <c r="W152" s="1"/>
      <c r="X152" s="1"/>
      <c r="Y152" s="16"/>
      <c r="Z152" s="16"/>
      <c r="AA152" s="16"/>
      <c r="AB152" s="16"/>
      <c r="AC152" s="16"/>
      <c r="AD152" s="16"/>
      <c r="AE152" s="16"/>
      <c r="AF152" s="16"/>
      <c r="AG152" s="16"/>
      <c r="AH152" s="16"/>
      <c r="AI152" s="16"/>
    </row>
    <row r="153" spans="1:35">
      <c r="A153" s="15"/>
      <c r="B153" s="15"/>
      <c r="C153" s="16"/>
      <c r="D153" s="16"/>
      <c r="E153" s="16"/>
      <c r="F153" s="16"/>
      <c r="G153" s="16"/>
      <c r="H153" s="16"/>
      <c r="I153" s="16"/>
      <c r="J153" s="16"/>
      <c r="K153" s="16"/>
      <c r="L153" s="25"/>
      <c r="M153" s="25"/>
      <c r="N153" s="25"/>
      <c r="O153" s="16"/>
      <c r="P153" s="1"/>
      <c r="Q153" s="8"/>
      <c r="R153" s="8"/>
      <c r="S153" s="1"/>
      <c r="T153" s="8"/>
      <c r="U153" s="8"/>
      <c r="V153" s="38"/>
      <c r="W153" s="1"/>
      <c r="X153" s="1"/>
      <c r="Y153" s="16"/>
      <c r="Z153" s="16"/>
      <c r="AA153" s="16"/>
      <c r="AB153" s="16"/>
      <c r="AC153" s="16"/>
      <c r="AD153" s="16"/>
      <c r="AE153" s="16"/>
      <c r="AF153" s="16"/>
      <c r="AG153" s="16"/>
      <c r="AH153" s="16"/>
      <c r="AI153" s="16"/>
    </row>
    <row r="154" spans="1:35">
      <c r="A154" s="15"/>
      <c r="B154" s="15"/>
      <c r="C154" s="16"/>
      <c r="D154" s="16"/>
      <c r="E154" s="16"/>
      <c r="F154" s="16"/>
      <c r="G154" s="16"/>
      <c r="H154" s="16"/>
      <c r="I154" s="16"/>
      <c r="J154" s="16"/>
      <c r="K154" s="16"/>
      <c r="L154" s="25"/>
      <c r="M154" s="25"/>
      <c r="N154" s="25"/>
      <c r="O154" s="16"/>
      <c r="P154" s="1"/>
      <c r="Q154" s="8"/>
      <c r="R154" s="8"/>
      <c r="S154" s="1"/>
      <c r="T154" s="8"/>
      <c r="U154" s="8"/>
      <c r="V154" s="38"/>
      <c r="W154" s="1"/>
      <c r="X154" s="1"/>
      <c r="Y154" s="16"/>
      <c r="Z154" s="16"/>
      <c r="AA154" s="16"/>
      <c r="AB154" s="16"/>
      <c r="AC154" s="16"/>
      <c r="AD154" s="16"/>
      <c r="AE154" s="16"/>
      <c r="AF154" s="16"/>
      <c r="AG154" s="16"/>
      <c r="AH154" s="16"/>
      <c r="AI154" s="16"/>
    </row>
    <row r="155" spans="1:35">
      <c r="A155" s="15"/>
      <c r="B155" s="15"/>
      <c r="C155" s="16"/>
      <c r="D155" s="16"/>
      <c r="E155" s="16"/>
      <c r="F155" s="16"/>
      <c r="G155" s="16"/>
      <c r="H155" s="16"/>
      <c r="I155" s="16"/>
      <c r="J155" s="16"/>
      <c r="K155" s="16"/>
      <c r="L155" s="25"/>
      <c r="M155" s="25"/>
      <c r="N155" s="25"/>
      <c r="O155" s="16"/>
      <c r="P155" s="1"/>
      <c r="Q155" s="8"/>
      <c r="R155" s="8"/>
      <c r="S155" s="1"/>
      <c r="T155" s="8"/>
      <c r="U155" s="8"/>
      <c r="V155" s="38"/>
      <c r="W155" s="1"/>
      <c r="X155" s="1"/>
      <c r="Y155" s="16"/>
      <c r="Z155" s="16"/>
      <c r="AA155" s="16"/>
      <c r="AB155" s="16"/>
      <c r="AC155" s="16"/>
      <c r="AD155" s="16"/>
      <c r="AE155" s="16"/>
      <c r="AF155" s="16"/>
      <c r="AG155" s="16"/>
      <c r="AH155" s="16"/>
      <c r="AI155" s="16"/>
    </row>
    <row r="156" spans="1:35">
      <c r="A156" s="15"/>
      <c r="B156" s="15"/>
      <c r="C156" s="16"/>
      <c r="D156" s="16"/>
      <c r="E156" s="16"/>
      <c r="F156" s="16"/>
      <c r="G156" s="16"/>
      <c r="H156" s="16"/>
      <c r="I156" s="16"/>
      <c r="J156" s="16"/>
      <c r="K156" s="16"/>
      <c r="L156" s="25"/>
      <c r="M156" s="25"/>
      <c r="N156" s="25"/>
      <c r="O156" s="16"/>
      <c r="P156" s="1"/>
      <c r="Q156" s="8"/>
      <c r="R156" s="8"/>
      <c r="S156" s="1"/>
      <c r="T156" s="8"/>
      <c r="U156" s="8"/>
      <c r="V156" s="38"/>
      <c r="W156" s="1"/>
      <c r="X156" s="1"/>
      <c r="Y156" s="16"/>
      <c r="Z156" s="16"/>
      <c r="AA156" s="16"/>
      <c r="AB156" s="16"/>
      <c r="AC156" s="16"/>
      <c r="AD156" s="16"/>
      <c r="AE156" s="16"/>
      <c r="AF156" s="16"/>
      <c r="AG156" s="16"/>
      <c r="AH156" s="16"/>
      <c r="AI156" s="16"/>
    </row>
    <row r="157" spans="1:35">
      <c r="A157" s="15"/>
      <c r="B157" s="15"/>
      <c r="C157" s="16"/>
      <c r="D157" s="16"/>
      <c r="E157" s="16"/>
      <c r="F157" s="16"/>
      <c r="G157" s="16"/>
      <c r="H157" s="16"/>
      <c r="I157" s="16"/>
      <c r="J157" s="16"/>
      <c r="K157" s="16"/>
      <c r="L157" s="25"/>
      <c r="M157" s="25"/>
      <c r="N157" s="25"/>
      <c r="O157" s="16"/>
      <c r="P157" s="1"/>
      <c r="Q157" s="8"/>
      <c r="R157" s="8"/>
      <c r="S157" s="1"/>
      <c r="T157" s="8"/>
      <c r="U157" s="8"/>
      <c r="V157" s="38"/>
      <c r="W157" s="1"/>
      <c r="X157" s="1"/>
      <c r="Y157" s="16"/>
      <c r="Z157" s="16"/>
      <c r="AA157" s="16"/>
      <c r="AB157" s="16"/>
      <c r="AC157" s="16"/>
      <c r="AD157" s="16"/>
      <c r="AE157" s="16"/>
      <c r="AF157" s="16"/>
      <c r="AG157" s="16"/>
      <c r="AH157" s="16"/>
      <c r="AI157" s="16"/>
    </row>
    <row r="158" spans="1:35">
      <c r="A158" s="15"/>
      <c r="B158" s="15"/>
      <c r="C158" s="16"/>
      <c r="D158" s="16"/>
      <c r="E158" s="16"/>
      <c r="F158" s="16"/>
      <c r="G158" s="16"/>
      <c r="H158" s="16"/>
      <c r="I158" s="16"/>
      <c r="J158" s="16"/>
      <c r="K158" s="16"/>
      <c r="L158" s="25"/>
      <c r="M158" s="25"/>
      <c r="N158" s="25"/>
      <c r="O158" s="16"/>
      <c r="P158" s="1"/>
      <c r="Q158" s="8"/>
      <c r="R158" s="8"/>
      <c r="S158" s="1"/>
      <c r="T158" s="8"/>
      <c r="U158" s="8"/>
      <c r="V158" s="38"/>
      <c r="W158" s="1"/>
      <c r="X158" s="1"/>
      <c r="Y158" s="16"/>
      <c r="Z158" s="16"/>
      <c r="AA158" s="16"/>
      <c r="AB158" s="16"/>
      <c r="AC158" s="16"/>
      <c r="AD158" s="16"/>
      <c r="AE158" s="16"/>
      <c r="AF158" s="16"/>
      <c r="AG158" s="16"/>
      <c r="AH158" s="16"/>
      <c r="AI158" s="16"/>
    </row>
    <row r="159" spans="1:35">
      <c r="A159" s="15"/>
      <c r="B159" s="15"/>
      <c r="C159" s="16"/>
      <c r="D159" s="16"/>
      <c r="E159" s="16"/>
      <c r="F159" s="16"/>
      <c r="G159" s="16"/>
      <c r="H159" s="16"/>
      <c r="I159" s="16"/>
      <c r="J159" s="16"/>
      <c r="K159" s="16"/>
      <c r="L159" s="25"/>
      <c r="M159" s="25"/>
      <c r="N159" s="25"/>
      <c r="O159" s="16"/>
      <c r="P159" s="1"/>
      <c r="Q159" s="8"/>
      <c r="R159" s="8"/>
      <c r="S159" s="1"/>
      <c r="T159" s="8"/>
      <c r="U159" s="8"/>
      <c r="V159" s="38"/>
      <c r="W159" s="1"/>
      <c r="X159" s="1"/>
      <c r="Y159" s="16"/>
      <c r="Z159" s="16"/>
      <c r="AA159" s="16"/>
      <c r="AB159" s="16"/>
      <c r="AC159" s="16"/>
      <c r="AD159" s="16"/>
      <c r="AE159" s="16"/>
      <c r="AF159" s="16"/>
      <c r="AG159" s="16"/>
      <c r="AH159" s="16"/>
      <c r="AI159" s="16"/>
    </row>
    <row r="160" spans="1:35">
      <c r="A160" s="15"/>
      <c r="B160" s="15"/>
      <c r="C160" s="16"/>
      <c r="D160" s="16"/>
      <c r="E160" s="16"/>
      <c r="F160" s="16"/>
      <c r="G160" s="16"/>
      <c r="H160" s="16"/>
      <c r="I160" s="16"/>
      <c r="J160" s="16"/>
      <c r="K160" s="16"/>
      <c r="L160" s="25"/>
      <c r="M160" s="25"/>
      <c r="N160" s="25"/>
      <c r="O160" s="16"/>
      <c r="P160" s="1"/>
      <c r="Q160" s="8"/>
      <c r="R160" s="8"/>
      <c r="S160" s="1"/>
      <c r="T160" s="8"/>
      <c r="U160" s="8"/>
      <c r="V160" s="38"/>
      <c r="W160" s="1"/>
      <c r="X160" s="1"/>
      <c r="Y160" s="16"/>
      <c r="Z160" s="16"/>
      <c r="AA160" s="16"/>
      <c r="AB160" s="16"/>
      <c r="AC160" s="16"/>
      <c r="AD160" s="16"/>
      <c r="AE160" s="16"/>
      <c r="AF160" s="16"/>
      <c r="AG160" s="16"/>
      <c r="AH160" s="16"/>
      <c r="AI160" s="16"/>
    </row>
    <row r="161" spans="1:35">
      <c r="A161" s="15"/>
      <c r="B161" s="15"/>
      <c r="C161" s="16"/>
      <c r="D161" s="16"/>
      <c r="E161" s="16"/>
      <c r="F161" s="16"/>
      <c r="G161" s="16"/>
      <c r="H161" s="16"/>
      <c r="I161" s="16"/>
      <c r="J161" s="16"/>
      <c r="K161" s="16"/>
      <c r="L161" s="25"/>
      <c r="M161" s="25"/>
      <c r="N161" s="25"/>
      <c r="O161" s="16"/>
      <c r="P161" s="1"/>
      <c r="Q161" s="8"/>
      <c r="R161" s="8"/>
      <c r="S161" s="1"/>
      <c r="T161" s="8"/>
      <c r="U161" s="8"/>
      <c r="V161" s="38"/>
      <c r="W161" s="1"/>
      <c r="X161" s="1"/>
      <c r="Y161" s="16"/>
      <c r="Z161" s="16"/>
      <c r="AA161" s="16"/>
      <c r="AB161" s="16"/>
      <c r="AC161" s="16"/>
      <c r="AD161" s="16"/>
      <c r="AE161" s="16"/>
      <c r="AF161" s="16"/>
      <c r="AG161" s="16"/>
      <c r="AH161" s="16"/>
      <c r="AI161" s="16"/>
    </row>
    <row r="162" spans="1:35">
      <c r="A162" s="15"/>
      <c r="B162" s="15"/>
      <c r="C162" s="16"/>
      <c r="D162" s="16"/>
      <c r="E162" s="16"/>
      <c r="F162" s="16"/>
      <c r="G162" s="16"/>
      <c r="H162" s="16"/>
      <c r="I162" s="16"/>
      <c r="J162" s="16"/>
      <c r="K162" s="16"/>
      <c r="L162" s="25"/>
      <c r="M162" s="25"/>
      <c r="N162" s="25"/>
      <c r="O162" s="16"/>
      <c r="P162" s="1"/>
      <c r="Q162" s="8"/>
      <c r="R162" s="8"/>
      <c r="S162" s="1"/>
      <c r="T162" s="8"/>
      <c r="U162" s="8"/>
      <c r="V162" s="38"/>
      <c r="W162" s="1"/>
      <c r="X162" s="1"/>
      <c r="Y162" s="16"/>
      <c r="Z162" s="16"/>
      <c r="AA162" s="16"/>
      <c r="AB162" s="16"/>
      <c r="AC162" s="16"/>
      <c r="AD162" s="16"/>
      <c r="AE162" s="16"/>
      <c r="AF162" s="16"/>
      <c r="AG162" s="16"/>
      <c r="AH162" s="16"/>
      <c r="AI162" s="16"/>
    </row>
    <row r="163" spans="1:35">
      <c r="A163" s="15"/>
      <c r="B163" s="15"/>
      <c r="C163" s="16"/>
      <c r="D163" s="16"/>
      <c r="E163" s="16"/>
      <c r="F163" s="16"/>
      <c r="G163" s="16"/>
      <c r="H163" s="16"/>
      <c r="I163" s="16"/>
      <c r="J163" s="16"/>
      <c r="K163" s="16"/>
      <c r="L163" s="25"/>
      <c r="M163" s="25"/>
      <c r="N163" s="25"/>
      <c r="O163" s="16"/>
      <c r="P163" s="1"/>
      <c r="Q163" s="8"/>
      <c r="R163" s="8"/>
      <c r="S163" s="1"/>
      <c r="T163" s="8"/>
      <c r="U163" s="8"/>
      <c r="V163" s="38"/>
      <c r="W163" s="1"/>
      <c r="X163" s="1"/>
      <c r="Y163" s="16"/>
      <c r="Z163" s="16"/>
      <c r="AA163" s="16"/>
      <c r="AB163" s="16"/>
      <c r="AC163" s="16"/>
      <c r="AD163" s="16"/>
      <c r="AE163" s="16"/>
      <c r="AF163" s="16"/>
      <c r="AG163" s="16"/>
      <c r="AH163" s="16"/>
      <c r="AI163" s="16"/>
    </row>
    <row r="164" spans="1:35">
      <c r="A164" s="15"/>
      <c r="B164" s="15"/>
      <c r="C164" s="16"/>
      <c r="D164" s="16"/>
      <c r="E164" s="16"/>
      <c r="F164" s="16"/>
      <c r="G164" s="16"/>
      <c r="H164" s="16"/>
      <c r="I164" s="16"/>
      <c r="J164" s="16"/>
      <c r="K164" s="16"/>
      <c r="L164" s="25"/>
      <c r="M164" s="25"/>
      <c r="N164" s="25"/>
      <c r="O164" s="16"/>
      <c r="P164" s="1"/>
      <c r="Q164" s="8"/>
      <c r="R164" s="8"/>
      <c r="S164" s="1"/>
      <c r="T164" s="8"/>
      <c r="U164" s="8"/>
      <c r="V164" s="38"/>
      <c r="W164" s="1"/>
      <c r="X164" s="1"/>
      <c r="Y164" s="16"/>
      <c r="Z164" s="16"/>
      <c r="AA164" s="16"/>
      <c r="AB164" s="16"/>
      <c r="AC164" s="16"/>
      <c r="AD164" s="16"/>
      <c r="AE164" s="16"/>
      <c r="AF164" s="16"/>
      <c r="AG164" s="16"/>
      <c r="AH164" s="16"/>
      <c r="AI164" s="16"/>
    </row>
    <row r="165" spans="1:35">
      <c r="A165" s="15"/>
      <c r="B165" s="15"/>
      <c r="C165" s="16"/>
      <c r="D165" s="16"/>
      <c r="E165" s="16"/>
      <c r="F165" s="16"/>
      <c r="G165" s="16"/>
      <c r="H165" s="16"/>
      <c r="I165" s="16"/>
      <c r="J165" s="16"/>
      <c r="K165" s="16"/>
      <c r="L165" s="25"/>
      <c r="M165" s="25"/>
      <c r="N165" s="25"/>
      <c r="O165" s="16"/>
      <c r="P165" s="1"/>
      <c r="Q165" s="8"/>
      <c r="R165" s="8"/>
      <c r="S165" s="1"/>
      <c r="T165" s="8"/>
      <c r="U165" s="8"/>
      <c r="V165" s="38"/>
      <c r="W165" s="1"/>
      <c r="X165" s="1"/>
      <c r="Y165" s="16"/>
      <c r="Z165" s="16"/>
      <c r="AA165" s="16"/>
      <c r="AB165" s="16"/>
      <c r="AC165" s="16"/>
      <c r="AD165" s="16"/>
      <c r="AE165" s="16"/>
      <c r="AF165" s="16"/>
      <c r="AG165" s="16"/>
      <c r="AH165" s="16"/>
      <c r="AI165" s="16"/>
    </row>
    <row r="166" spans="1:35">
      <c r="A166" s="15"/>
      <c r="B166" s="15"/>
      <c r="C166" s="16"/>
      <c r="D166" s="16"/>
      <c r="E166" s="16"/>
      <c r="F166" s="16"/>
      <c r="G166" s="16"/>
      <c r="H166" s="16"/>
      <c r="I166" s="16"/>
      <c r="J166" s="16"/>
      <c r="K166" s="16"/>
      <c r="L166" s="25"/>
      <c r="M166" s="25"/>
      <c r="N166" s="25"/>
      <c r="O166" s="16"/>
      <c r="P166" s="1"/>
      <c r="Q166" s="8"/>
      <c r="R166" s="8"/>
      <c r="S166" s="1"/>
      <c r="T166" s="8"/>
      <c r="U166" s="8"/>
      <c r="V166" s="38"/>
      <c r="W166" s="1"/>
      <c r="X166" s="1"/>
      <c r="Y166" s="16"/>
      <c r="Z166" s="16"/>
      <c r="AA166" s="16"/>
      <c r="AB166" s="16"/>
      <c r="AC166" s="16"/>
      <c r="AD166" s="16"/>
      <c r="AE166" s="16"/>
      <c r="AF166" s="16"/>
      <c r="AG166" s="16"/>
      <c r="AH166" s="16"/>
      <c r="AI166" s="16"/>
    </row>
    <row r="167" spans="1:35">
      <c r="A167" s="15"/>
      <c r="B167" s="15"/>
      <c r="C167" s="16"/>
      <c r="D167" s="16"/>
      <c r="E167" s="16"/>
      <c r="F167" s="16"/>
      <c r="G167" s="16"/>
      <c r="H167" s="16"/>
      <c r="I167" s="16"/>
      <c r="J167" s="16"/>
      <c r="K167" s="16"/>
      <c r="L167" s="25"/>
      <c r="M167" s="25"/>
      <c r="N167" s="25"/>
      <c r="O167" s="16"/>
      <c r="P167" s="1"/>
      <c r="Q167" s="8"/>
      <c r="R167" s="8"/>
      <c r="S167" s="1"/>
      <c r="T167" s="8"/>
      <c r="U167" s="8"/>
      <c r="V167" s="38"/>
      <c r="W167" s="1"/>
      <c r="X167" s="1"/>
      <c r="Y167" s="16"/>
      <c r="Z167" s="16"/>
      <c r="AA167" s="16"/>
      <c r="AB167" s="16"/>
      <c r="AC167" s="16"/>
      <c r="AD167" s="16"/>
      <c r="AE167" s="16"/>
      <c r="AF167" s="16"/>
      <c r="AG167" s="16"/>
      <c r="AH167" s="16"/>
      <c r="AI167" s="16"/>
    </row>
    <row r="168" spans="1:35">
      <c r="A168" s="15"/>
      <c r="B168" s="15"/>
      <c r="C168" s="16"/>
      <c r="D168" s="16"/>
      <c r="E168" s="16"/>
      <c r="F168" s="16"/>
      <c r="G168" s="16"/>
      <c r="H168" s="16"/>
      <c r="I168" s="16"/>
      <c r="J168" s="16"/>
      <c r="K168" s="16"/>
      <c r="L168" s="25"/>
      <c r="M168" s="25"/>
      <c r="N168" s="25"/>
      <c r="O168" s="16"/>
      <c r="P168" s="1"/>
      <c r="Q168" s="8"/>
      <c r="R168" s="8"/>
      <c r="S168" s="1"/>
      <c r="T168" s="8"/>
      <c r="U168" s="8"/>
      <c r="V168" s="38"/>
      <c r="W168" s="1"/>
      <c r="X168" s="1"/>
      <c r="Y168" s="16"/>
      <c r="Z168" s="16"/>
      <c r="AA168" s="16"/>
      <c r="AB168" s="16"/>
      <c r="AC168" s="16"/>
      <c r="AD168" s="16"/>
      <c r="AE168" s="16"/>
      <c r="AF168" s="16"/>
      <c r="AG168" s="16"/>
      <c r="AH168" s="16"/>
      <c r="AI168" s="16"/>
    </row>
    <row r="169" spans="1:35">
      <c r="A169" s="15"/>
      <c r="B169" s="15"/>
      <c r="C169" s="16"/>
      <c r="D169" s="16"/>
      <c r="E169" s="16"/>
      <c r="F169" s="16"/>
      <c r="G169" s="16"/>
      <c r="H169" s="16"/>
      <c r="I169" s="16"/>
      <c r="J169" s="16"/>
      <c r="K169" s="16"/>
      <c r="L169" s="25"/>
      <c r="M169" s="25"/>
      <c r="N169" s="25"/>
      <c r="O169" s="16"/>
      <c r="P169" s="1"/>
      <c r="Q169" s="8"/>
      <c r="R169" s="8"/>
      <c r="S169" s="1"/>
      <c r="T169" s="8"/>
      <c r="U169" s="8"/>
      <c r="V169" s="38"/>
      <c r="W169" s="1"/>
      <c r="X169" s="1"/>
      <c r="Y169" s="16"/>
      <c r="Z169" s="16"/>
      <c r="AA169" s="16"/>
      <c r="AB169" s="16"/>
      <c r="AC169" s="16"/>
      <c r="AD169" s="16"/>
      <c r="AE169" s="16"/>
      <c r="AF169" s="16"/>
      <c r="AG169" s="16"/>
      <c r="AH169" s="16"/>
      <c r="AI169" s="16"/>
    </row>
    <row r="170" spans="1:35">
      <c r="A170" s="15"/>
      <c r="B170" s="15"/>
      <c r="C170" s="16"/>
      <c r="D170" s="16"/>
      <c r="E170" s="16"/>
      <c r="F170" s="16"/>
      <c r="G170" s="16"/>
      <c r="H170" s="16"/>
      <c r="I170" s="16"/>
      <c r="J170" s="16"/>
      <c r="K170" s="16"/>
      <c r="L170" s="25"/>
      <c r="M170" s="25"/>
      <c r="N170" s="25"/>
      <c r="O170" s="16"/>
      <c r="P170" s="1"/>
      <c r="Q170" s="8"/>
      <c r="R170" s="8"/>
      <c r="S170" s="1"/>
      <c r="T170" s="8"/>
      <c r="U170" s="8"/>
      <c r="V170" s="38"/>
      <c r="W170" s="1"/>
      <c r="X170" s="1"/>
      <c r="Y170" s="16"/>
      <c r="Z170" s="16"/>
      <c r="AA170" s="16"/>
      <c r="AB170" s="16"/>
      <c r="AC170" s="16"/>
      <c r="AD170" s="16"/>
      <c r="AE170" s="16"/>
      <c r="AF170" s="16"/>
      <c r="AG170" s="16"/>
      <c r="AH170" s="16"/>
      <c r="AI170" s="16"/>
    </row>
    <row r="171" spans="1:35">
      <c r="A171" s="15"/>
      <c r="B171" s="15"/>
      <c r="C171" s="16"/>
      <c r="D171" s="16"/>
      <c r="E171" s="16"/>
      <c r="F171" s="16"/>
      <c r="G171" s="16"/>
      <c r="H171" s="16"/>
      <c r="I171" s="16"/>
      <c r="J171" s="16"/>
      <c r="K171" s="16"/>
      <c r="L171" s="25"/>
      <c r="M171" s="25"/>
      <c r="N171" s="25"/>
      <c r="O171" s="16"/>
      <c r="P171" s="1"/>
      <c r="Q171" s="8"/>
      <c r="R171" s="8"/>
      <c r="S171" s="1"/>
      <c r="T171" s="8"/>
      <c r="U171" s="8"/>
      <c r="V171" s="38"/>
      <c r="W171" s="1"/>
      <c r="X171" s="1"/>
      <c r="Y171" s="16"/>
      <c r="Z171" s="16"/>
      <c r="AA171" s="16"/>
      <c r="AB171" s="16"/>
      <c r="AC171" s="16"/>
      <c r="AD171" s="16"/>
      <c r="AE171" s="16"/>
      <c r="AF171" s="16"/>
      <c r="AG171" s="16"/>
      <c r="AH171" s="16"/>
      <c r="AI171" s="16"/>
    </row>
    <row r="172" spans="1:35">
      <c r="A172" s="15"/>
      <c r="B172" s="15"/>
      <c r="C172" s="16"/>
      <c r="D172" s="16"/>
      <c r="E172" s="16"/>
      <c r="F172" s="16"/>
      <c r="G172" s="16"/>
      <c r="H172" s="16"/>
      <c r="I172" s="16"/>
      <c r="J172" s="16"/>
      <c r="K172" s="16"/>
      <c r="L172" s="25"/>
      <c r="M172" s="25"/>
      <c r="N172" s="25"/>
      <c r="O172" s="16"/>
      <c r="P172" s="1"/>
      <c r="Q172" s="8"/>
      <c r="R172" s="8"/>
      <c r="S172" s="1"/>
      <c r="T172" s="8"/>
      <c r="U172" s="8"/>
      <c r="V172" s="38"/>
      <c r="W172" s="1"/>
      <c r="X172" s="1"/>
      <c r="Y172" s="16"/>
      <c r="Z172" s="16"/>
      <c r="AA172" s="16"/>
      <c r="AB172" s="16"/>
      <c r="AC172" s="16"/>
      <c r="AD172" s="16"/>
      <c r="AE172" s="16"/>
      <c r="AF172" s="16"/>
      <c r="AG172" s="16"/>
      <c r="AH172" s="16"/>
      <c r="AI172" s="16"/>
    </row>
    <row r="173" spans="1:35">
      <c r="A173" s="15"/>
      <c r="B173" s="15"/>
      <c r="C173" s="16"/>
      <c r="D173" s="16"/>
      <c r="E173" s="16"/>
      <c r="F173" s="16"/>
      <c r="G173" s="16"/>
      <c r="H173" s="16"/>
      <c r="I173" s="16"/>
      <c r="J173" s="16"/>
      <c r="K173" s="16"/>
      <c r="L173" s="25"/>
      <c r="M173" s="25"/>
      <c r="N173" s="25"/>
      <c r="O173" s="16"/>
      <c r="P173" s="1"/>
      <c r="Q173" s="8"/>
      <c r="R173" s="8"/>
      <c r="S173" s="1"/>
      <c r="T173" s="8"/>
      <c r="U173" s="8"/>
      <c r="V173" s="38"/>
      <c r="W173" s="1"/>
      <c r="X173" s="1"/>
      <c r="Y173" s="16"/>
      <c r="Z173" s="16"/>
      <c r="AA173" s="16"/>
      <c r="AB173" s="16"/>
      <c r="AC173" s="16"/>
      <c r="AD173" s="16"/>
      <c r="AE173" s="16"/>
      <c r="AF173" s="16"/>
      <c r="AG173" s="16"/>
      <c r="AH173" s="16"/>
      <c r="AI173" s="16"/>
    </row>
    <row r="174" spans="1:35">
      <c r="A174" s="15"/>
      <c r="B174" s="15"/>
      <c r="C174" s="16"/>
      <c r="D174" s="16"/>
      <c r="E174" s="16"/>
      <c r="F174" s="16"/>
      <c r="G174" s="16"/>
      <c r="H174" s="16"/>
      <c r="I174" s="16"/>
      <c r="J174" s="16"/>
      <c r="K174" s="16"/>
      <c r="L174" s="25"/>
      <c r="M174" s="25"/>
      <c r="N174" s="25"/>
      <c r="O174" s="16"/>
      <c r="P174" s="1"/>
      <c r="Q174" s="8"/>
      <c r="R174" s="8"/>
      <c r="S174" s="1"/>
      <c r="T174" s="8"/>
      <c r="U174" s="8"/>
      <c r="V174" s="38"/>
      <c r="W174" s="1"/>
      <c r="X174" s="1"/>
      <c r="Y174" s="16"/>
      <c r="Z174" s="16"/>
      <c r="AA174" s="16"/>
      <c r="AB174" s="16"/>
      <c r="AC174" s="16"/>
      <c r="AD174" s="16"/>
      <c r="AE174" s="16"/>
      <c r="AF174" s="16"/>
      <c r="AG174" s="16"/>
      <c r="AH174" s="16"/>
      <c r="AI174" s="16"/>
    </row>
    <row r="175" spans="1:35">
      <c r="A175" s="15"/>
      <c r="B175" s="15"/>
      <c r="C175" s="16"/>
      <c r="D175" s="16"/>
      <c r="E175" s="16"/>
      <c r="F175" s="16"/>
      <c r="G175" s="16"/>
      <c r="H175" s="16"/>
      <c r="I175" s="16"/>
      <c r="J175" s="16"/>
      <c r="K175" s="16"/>
      <c r="L175" s="25"/>
      <c r="M175" s="25"/>
      <c r="N175" s="25"/>
      <c r="O175" s="16"/>
      <c r="P175" s="1"/>
      <c r="Q175" s="8"/>
      <c r="R175" s="8"/>
      <c r="S175" s="1"/>
      <c r="T175" s="8"/>
      <c r="U175" s="8"/>
      <c r="V175" s="38"/>
      <c r="W175" s="1"/>
      <c r="X175" s="1"/>
      <c r="Y175" s="16"/>
      <c r="Z175" s="16"/>
      <c r="AA175" s="16"/>
      <c r="AB175" s="16"/>
      <c r="AC175" s="16"/>
      <c r="AD175" s="16"/>
      <c r="AE175" s="16"/>
      <c r="AF175" s="16"/>
      <c r="AG175" s="16"/>
      <c r="AH175" s="16"/>
      <c r="AI175" s="16"/>
    </row>
    <row r="176" spans="1:35">
      <c r="A176" s="15"/>
      <c r="B176" s="15"/>
      <c r="C176" s="16"/>
      <c r="D176" s="16"/>
      <c r="E176" s="16"/>
      <c r="F176" s="16"/>
      <c r="G176" s="16"/>
      <c r="H176" s="16"/>
      <c r="I176" s="16"/>
      <c r="J176" s="16"/>
      <c r="K176" s="16"/>
      <c r="L176" s="25"/>
      <c r="M176" s="25"/>
      <c r="N176" s="25"/>
      <c r="O176" s="16"/>
      <c r="P176" s="1"/>
      <c r="Q176" s="8"/>
      <c r="R176" s="8"/>
      <c r="S176" s="1"/>
      <c r="T176" s="8"/>
      <c r="U176" s="8"/>
      <c r="V176" s="38"/>
      <c r="W176" s="1"/>
      <c r="X176" s="1"/>
      <c r="Y176" s="16"/>
      <c r="Z176" s="16"/>
      <c r="AA176" s="16"/>
      <c r="AB176" s="16"/>
      <c r="AC176" s="16"/>
      <c r="AD176" s="16"/>
      <c r="AE176" s="16"/>
      <c r="AF176" s="16"/>
      <c r="AG176" s="16"/>
      <c r="AH176" s="16"/>
      <c r="AI176" s="16"/>
    </row>
    <row r="177" spans="1:35">
      <c r="A177" s="15"/>
      <c r="B177" s="15"/>
      <c r="C177" s="16"/>
      <c r="D177" s="16"/>
      <c r="E177" s="16"/>
      <c r="F177" s="16"/>
      <c r="G177" s="16"/>
      <c r="H177" s="16"/>
      <c r="I177" s="16"/>
      <c r="J177" s="16"/>
      <c r="K177" s="16"/>
      <c r="L177" s="25"/>
      <c r="M177" s="25"/>
      <c r="N177" s="25"/>
      <c r="O177" s="16"/>
      <c r="P177" s="1"/>
      <c r="Q177" s="8"/>
      <c r="R177" s="8"/>
      <c r="S177" s="1"/>
      <c r="T177" s="8"/>
      <c r="U177" s="8"/>
      <c r="V177" s="38"/>
      <c r="W177" s="1"/>
      <c r="X177" s="1"/>
      <c r="Y177" s="16"/>
      <c r="Z177" s="16"/>
      <c r="AA177" s="16"/>
      <c r="AB177" s="16"/>
      <c r="AC177" s="16"/>
      <c r="AD177" s="16"/>
      <c r="AE177" s="16"/>
      <c r="AF177" s="16"/>
      <c r="AG177" s="16"/>
      <c r="AH177" s="16"/>
      <c r="AI177" s="16"/>
    </row>
    <row r="178" spans="1:35">
      <c r="A178" s="15"/>
      <c r="B178" s="15"/>
      <c r="C178" s="16"/>
      <c r="D178" s="16"/>
      <c r="E178" s="16"/>
      <c r="F178" s="16"/>
      <c r="G178" s="16"/>
      <c r="H178" s="16"/>
      <c r="I178" s="16"/>
      <c r="J178" s="16"/>
      <c r="K178" s="16"/>
      <c r="L178" s="25"/>
      <c r="M178" s="25"/>
      <c r="N178" s="25"/>
      <c r="O178" s="16"/>
      <c r="P178" s="1"/>
      <c r="Q178" s="8"/>
      <c r="R178" s="8"/>
      <c r="S178" s="1"/>
      <c r="T178" s="8"/>
      <c r="U178" s="8"/>
      <c r="V178" s="38"/>
      <c r="W178" s="1"/>
      <c r="X178" s="1"/>
      <c r="Y178" s="16"/>
      <c r="Z178" s="16"/>
      <c r="AA178" s="16"/>
      <c r="AB178" s="16"/>
      <c r="AC178" s="16"/>
      <c r="AD178" s="16"/>
      <c r="AE178" s="16"/>
      <c r="AF178" s="16"/>
      <c r="AG178" s="16"/>
      <c r="AH178" s="16"/>
      <c r="AI178" s="16"/>
    </row>
    <row r="179" spans="1:35">
      <c r="A179" s="15"/>
      <c r="B179" s="15"/>
      <c r="C179" s="16"/>
      <c r="D179" s="16"/>
      <c r="E179" s="16"/>
      <c r="F179" s="16"/>
      <c r="G179" s="16"/>
      <c r="H179" s="16"/>
      <c r="I179" s="16"/>
      <c r="J179" s="16"/>
      <c r="K179" s="16"/>
      <c r="L179" s="25"/>
      <c r="M179" s="25"/>
      <c r="N179" s="25"/>
      <c r="O179" s="16"/>
      <c r="P179" s="1"/>
      <c r="Q179" s="8"/>
      <c r="R179" s="8"/>
      <c r="S179" s="1"/>
      <c r="T179" s="8"/>
      <c r="U179" s="8"/>
      <c r="V179" s="38"/>
      <c r="W179" s="1"/>
      <c r="X179" s="1"/>
      <c r="Y179" s="16"/>
      <c r="Z179" s="16"/>
      <c r="AA179" s="16"/>
      <c r="AB179" s="16"/>
      <c r="AC179" s="16"/>
      <c r="AD179" s="16"/>
      <c r="AE179" s="16"/>
      <c r="AF179" s="16"/>
      <c r="AG179" s="16"/>
      <c r="AH179" s="16"/>
      <c r="AI179" s="16"/>
    </row>
    <row r="180" spans="1:35">
      <c r="A180" s="15"/>
      <c r="B180" s="15"/>
      <c r="C180" s="16"/>
      <c r="D180" s="16"/>
      <c r="E180" s="16"/>
      <c r="F180" s="16"/>
      <c r="G180" s="16"/>
      <c r="H180" s="16"/>
      <c r="I180" s="16"/>
      <c r="J180" s="16"/>
      <c r="K180" s="16"/>
      <c r="L180" s="25"/>
      <c r="M180" s="25"/>
      <c r="N180" s="25"/>
      <c r="O180" s="16"/>
      <c r="P180" s="1"/>
      <c r="Q180" s="8"/>
      <c r="R180" s="8"/>
      <c r="S180" s="1"/>
      <c r="T180" s="8"/>
      <c r="U180" s="8"/>
      <c r="V180" s="38"/>
      <c r="W180" s="1"/>
      <c r="X180" s="1"/>
      <c r="Y180" s="16"/>
      <c r="Z180" s="16"/>
      <c r="AA180" s="16"/>
      <c r="AB180" s="16"/>
      <c r="AC180" s="16"/>
      <c r="AD180" s="16"/>
      <c r="AE180" s="16"/>
      <c r="AF180" s="16"/>
      <c r="AG180" s="16"/>
      <c r="AH180" s="16"/>
      <c r="AI180" s="16"/>
    </row>
    <row r="181" spans="1:35">
      <c r="A181" s="15"/>
      <c r="B181" s="15"/>
      <c r="C181" s="16"/>
      <c r="D181" s="16"/>
      <c r="E181" s="16"/>
      <c r="F181" s="16"/>
      <c r="G181" s="16"/>
      <c r="H181" s="16"/>
      <c r="I181" s="16"/>
      <c r="J181" s="16"/>
      <c r="K181" s="16"/>
      <c r="L181" s="25"/>
      <c r="M181" s="25"/>
      <c r="N181" s="25"/>
      <c r="O181" s="16"/>
      <c r="P181" s="1"/>
      <c r="Q181" s="8"/>
      <c r="R181" s="8"/>
      <c r="S181" s="1"/>
      <c r="T181" s="8"/>
      <c r="U181" s="8"/>
      <c r="V181" s="38"/>
      <c r="W181" s="1"/>
      <c r="X181" s="1"/>
      <c r="Y181" s="16"/>
      <c r="Z181" s="16"/>
      <c r="AA181" s="16"/>
      <c r="AB181" s="16"/>
      <c r="AC181" s="16"/>
      <c r="AD181" s="16"/>
      <c r="AE181" s="16"/>
      <c r="AF181" s="16"/>
      <c r="AG181" s="16"/>
      <c r="AH181" s="16"/>
      <c r="AI181" s="16"/>
    </row>
    <row r="182" spans="1:35">
      <c r="A182" s="15"/>
      <c r="B182" s="15"/>
      <c r="C182" s="16"/>
      <c r="D182" s="16"/>
      <c r="E182" s="16"/>
      <c r="F182" s="16"/>
      <c r="G182" s="16"/>
      <c r="H182" s="16"/>
      <c r="I182" s="16"/>
      <c r="J182" s="16"/>
      <c r="K182" s="16"/>
      <c r="L182" s="25"/>
      <c r="M182" s="25"/>
      <c r="N182" s="25"/>
      <c r="O182" s="16"/>
      <c r="P182" s="1"/>
      <c r="Q182" s="8"/>
      <c r="R182" s="8"/>
      <c r="S182" s="1"/>
      <c r="T182" s="8"/>
      <c r="U182" s="8"/>
      <c r="V182" s="38"/>
      <c r="W182" s="1"/>
      <c r="X182" s="1"/>
      <c r="Y182" s="16"/>
      <c r="Z182" s="16"/>
      <c r="AA182" s="16"/>
      <c r="AB182" s="16"/>
      <c r="AC182" s="16"/>
      <c r="AD182" s="16"/>
      <c r="AE182" s="16"/>
      <c r="AF182" s="16"/>
      <c r="AG182" s="16"/>
      <c r="AH182" s="16"/>
      <c r="AI182" s="16"/>
    </row>
    <row r="183" spans="1:35">
      <c r="A183" s="15"/>
      <c r="B183" s="15"/>
      <c r="C183" s="16"/>
      <c r="D183" s="16"/>
      <c r="E183" s="16"/>
      <c r="F183" s="16"/>
      <c r="G183" s="16"/>
      <c r="H183" s="16"/>
      <c r="I183" s="16"/>
      <c r="J183" s="16"/>
      <c r="K183" s="16"/>
      <c r="L183" s="25"/>
      <c r="M183" s="25"/>
      <c r="N183" s="25"/>
      <c r="O183" s="16"/>
      <c r="P183" s="1"/>
      <c r="Q183" s="8"/>
      <c r="R183" s="8"/>
      <c r="S183" s="1"/>
      <c r="T183" s="8"/>
      <c r="U183" s="8"/>
      <c r="V183" s="38"/>
      <c r="W183" s="1"/>
      <c r="X183" s="1"/>
      <c r="Y183" s="16"/>
      <c r="Z183" s="16"/>
      <c r="AA183" s="16"/>
      <c r="AB183" s="16"/>
      <c r="AC183" s="16"/>
      <c r="AD183" s="16"/>
      <c r="AE183" s="16"/>
      <c r="AF183" s="16"/>
      <c r="AG183" s="16"/>
      <c r="AH183" s="16"/>
      <c r="AI183" s="16"/>
    </row>
    <row r="184" spans="1:35">
      <c r="A184" s="15"/>
      <c r="B184" s="15"/>
      <c r="C184" s="16"/>
      <c r="D184" s="16"/>
      <c r="E184" s="16"/>
      <c r="F184" s="16"/>
      <c r="G184" s="16"/>
      <c r="H184" s="16"/>
      <c r="I184" s="16"/>
      <c r="J184" s="16"/>
      <c r="K184" s="16"/>
      <c r="L184" s="25"/>
      <c r="M184" s="25"/>
      <c r="N184" s="25"/>
      <c r="O184" s="16"/>
      <c r="P184" s="1"/>
      <c r="Q184" s="8"/>
      <c r="R184" s="8"/>
      <c r="S184" s="1"/>
      <c r="T184" s="8"/>
      <c r="U184" s="8"/>
      <c r="V184" s="38"/>
      <c r="W184" s="1"/>
      <c r="X184" s="1"/>
      <c r="Y184" s="16"/>
      <c r="Z184" s="16"/>
      <c r="AA184" s="16"/>
      <c r="AB184" s="16"/>
      <c r="AC184" s="16"/>
      <c r="AD184" s="16"/>
      <c r="AE184" s="16"/>
      <c r="AF184" s="16"/>
      <c r="AG184" s="16"/>
      <c r="AH184" s="16"/>
      <c r="AI184" s="16"/>
    </row>
    <row r="185" spans="1:35">
      <c r="A185" s="15"/>
      <c r="B185" s="15"/>
      <c r="C185" s="16"/>
      <c r="D185" s="16"/>
      <c r="E185" s="16"/>
      <c r="F185" s="16"/>
      <c r="G185" s="16"/>
      <c r="H185" s="16"/>
      <c r="I185" s="16"/>
      <c r="J185" s="16"/>
      <c r="K185" s="16"/>
      <c r="L185" s="25"/>
      <c r="M185" s="25"/>
      <c r="N185" s="25"/>
      <c r="O185" s="16"/>
      <c r="P185" s="1"/>
      <c r="Q185" s="8"/>
      <c r="R185" s="8"/>
      <c r="S185" s="1"/>
      <c r="T185" s="8"/>
      <c r="U185" s="8"/>
      <c r="V185" s="38"/>
      <c r="W185" s="1"/>
      <c r="X185" s="1"/>
      <c r="Y185" s="16"/>
      <c r="Z185" s="16"/>
      <c r="AA185" s="16"/>
      <c r="AB185" s="16"/>
      <c r="AC185" s="16"/>
      <c r="AD185" s="16"/>
      <c r="AE185" s="16"/>
      <c r="AF185" s="16"/>
      <c r="AG185" s="16"/>
      <c r="AH185" s="16"/>
      <c r="AI185" s="16"/>
    </row>
    <row r="186" spans="1:35">
      <c r="A186" s="15"/>
      <c r="B186" s="15"/>
      <c r="C186" s="16"/>
      <c r="D186" s="16"/>
      <c r="E186" s="16"/>
      <c r="F186" s="16"/>
      <c r="G186" s="16"/>
      <c r="H186" s="16"/>
      <c r="I186" s="16"/>
      <c r="J186" s="16"/>
      <c r="K186" s="16"/>
      <c r="L186" s="25"/>
      <c r="M186" s="25"/>
      <c r="N186" s="25"/>
      <c r="O186" s="16"/>
      <c r="P186" s="1"/>
      <c r="Q186" s="8"/>
      <c r="R186" s="8"/>
      <c r="S186" s="1"/>
      <c r="T186" s="8"/>
      <c r="U186" s="8"/>
      <c r="V186" s="38"/>
      <c r="W186" s="1"/>
      <c r="X186" s="1"/>
      <c r="Y186" s="16"/>
      <c r="Z186" s="16"/>
      <c r="AA186" s="16"/>
      <c r="AB186" s="16"/>
      <c r="AC186" s="16"/>
      <c r="AD186" s="16"/>
      <c r="AE186" s="16"/>
      <c r="AF186" s="16"/>
      <c r="AG186" s="16"/>
      <c r="AH186" s="16"/>
      <c r="AI186" s="16"/>
    </row>
    <row r="187" spans="1:35">
      <c r="A187" s="15"/>
      <c r="B187" s="15"/>
      <c r="C187" s="16"/>
      <c r="D187" s="16"/>
      <c r="E187" s="16"/>
      <c r="F187" s="16"/>
      <c r="G187" s="16"/>
      <c r="H187" s="16"/>
      <c r="I187" s="16"/>
      <c r="J187" s="16"/>
      <c r="K187" s="16"/>
      <c r="L187" s="25"/>
      <c r="M187" s="25"/>
      <c r="N187" s="25"/>
      <c r="O187" s="16"/>
      <c r="P187" s="1"/>
      <c r="Q187" s="8"/>
      <c r="R187" s="8"/>
      <c r="S187" s="1"/>
      <c r="T187" s="8"/>
      <c r="U187" s="8"/>
      <c r="V187" s="38"/>
      <c r="W187" s="1"/>
      <c r="X187" s="1"/>
      <c r="Y187" s="16"/>
      <c r="Z187" s="16"/>
      <c r="AA187" s="16"/>
      <c r="AB187" s="16"/>
      <c r="AC187" s="16"/>
      <c r="AD187" s="16"/>
      <c r="AE187" s="16"/>
      <c r="AF187" s="16"/>
      <c r="AG187" s="16"/>
      <c r="AH187" s="16"/>
      <c r="AI187" s="16"/>
    </row>
    <row r="188" spans="1:35">
      <c r="A188" s="15"/>
      <c r="B188" s="15"/>
      <c r="C188" s="16"/>
      <c r="D188" s="16"/>
      <c r="E188" s="16"/>
      <c r="F188" s="16"/>
      <c r="G188" s="16"/>
      <c r="H188" s="16"/>
      <c r="I188" s="16"/>
      <c r="J188" s="16"/>
      <c r="K188" s="16"/>
      <c r="L188" s="25"/>
      <c r="M188" s="25"/>
      <c r="N188" s="25"/>
      <c r="O188" s="16"/>
      <c r="P188" s="1"/>
      <c r="Q188" s="8"/>
      <c r="R188" s="8"/>
      <c r="S188" s="1"/>
      <c r="T188" s="8"/>
      <c r="U188" s="8"/>
      <c r="V188" s="38"/>
      <c r="W188" s="1"/>
      <c r="X188" s="1"/>
      <c r="Y188" s="16"/>
      <c r="Z188" s="16"/>
      <c r="AA188" s="16"/>
      <c r="AB188" s="16"/>
      <c r="AC188" s="16"/>
      <c r="AD188" s="16"/>
      <c r="AE188" s="16"/>
      <c r="AF188" s="16"/>
      <c r="AG188" s="16"/>
      <c r="AH188" s="16"/>
      <c r="AI188" s="16"/>
    </row>
    <row r="189" spans="1:35">
      <c r="A189" s="15"/>
      <c r="B189" s="15"/>
      <c r="C189" s="16"/>
      <c r="D189" s="16"/>
      <c r="E189" s="16"/>
      <c r="F189" s="16"/>
      <c r="G189" s="16"/>
      <c r="H189" s="16"/>
      <c r="I189" s="16"/>
      <c r="J189" s="16"/>
      <c r="K189" s="16"/>
      <c r="L189" s="25"/>
      <c r="M189" s="25"/>
      <c r="N189" s="25"/>
      <c r="O189" s="16"/>
      <c r="P189" s="1"/>
      <c r="Q189" s="8"/>
      <c r="R189" s="8"/>
      <c r="S189" s="1"/>
      <c r="T189" s="8"/>
      <c r="U189" s="8"/>
      <c r="V189" s="38"/>
      <c r="W189" s="1"/>
      <c r="X189" s="1"/>
      <c r="Y189" s="16"/>
      <c r="Z189" s="16"/>
      <c r="AA189" s="16"/>
      <c r="AB189" s="16"/>
      <c r="AC189" s="16"/>
      <c r="AD189" s="16"/>
      <c r="AE189" s="16"/>
      <c r="AF189" s="16"/>
      <c r="AG189" s="16"/>
      <c r="AH189" s="16"/>
      <c r="AI189" s="16"/>
    </row>
    <row r="190" spans="1:35">
      <c r="A190" s="15"/>
      <c r="B190" s="15"/>
      <c r="C190" s="16"/>
      <c r="D190" s="16"/>
      <c r="E190" s="16"/>
      <c r="F190" s="16"/>
      <c r="G190" s="16"/>
      <c r="H190" s="16"/>
      <c r="I190" s="16"/>
      <c r="J190" s="16"/>
      <c r="K190" s="16"/>
      <c r="L190" s="25"/>
      <c r="M190" s="25"/>
      <c r="N190" s="25"/>
      <c r="O190" s="16"/>
      <c r="P190" s="1"/>
      <c r="Q190" s="8"/>
      <c r="R190" s="8"/>
      <c r="S190" s="1"/>
      <c r="T190" s="8"/>
      <c r="U190" s="8"/>
      <c r="V190" s="38"/>
      <c r="W190" s="1"/>
      <c r="X190" s="1"/>
      <c r="Y190" s="16"/>
      <c r="Z190" s="16"/>
      <c r="AA190" s="16"/>
      <c r="AB190" s="16"/>
      <c r="AC190" s="16"/>
      <c r="AD190" s="16"/>
      <c r="AE190" s="16"/>
      <c r="AF190" s="16"/>
      <c r="AG190" s="16"/>
      <c r="AH190" s="16"/>
      <c r="AI190" s="16"/>
    </row>
    <row r="191" spans="1:35">
      <c r="A191" s="15"/>
      <c r="B191" s="15"/>
      <c r="C191" s="16"/>
      <c r="D191" s="16"/>
      <c r="E191" s="16"/>
      <c r="F191" s="16"/>
      <c r="G191" s="16"/>
      <c r="H191" s="16"/>
      <c r="I191" s="16"/>
      <c r="J191" s="16"/>
      <c r="K191" s="16"/>
      <c r="L191" s="25"/>
      <c r="M191" s="25"/>
      <c r="N191" s="25"/>
      <c r="O191" s="16"/>
      <c r="P191" s="1"/>
      <c r="Q191" s="8"/>
      <c r="R191" s="8"/>
      <c r="S191" s="1"/>
      <c r="T191" s="8"/>
      <c r="U191" s="8"/>
      <c r="V191" s="38"/>
      <c r="W191" s="1"/>
      <c r="X191" s="1"/>
      <c r="Y191" s="16"/>
      <c r="Z191" s="16"/>
      <c r="AA191" s="16"/>
      <c r="AB191" s="16"/>
      <c r="AC191" s="16"/>
      <c r="AD191" s="16"/>
      <c r="AE191" s="16"/>
      <c r="AF191" s="16"/>
      <c r="AG191" s="16"/>
      <c r="AH191" s="16"/>
      <c r="AI191" s="16"/>
    </row>
    <row r="192" spans="1:35">
      <c r="A192" s="15"/>
      <c r="B192" s="15"/>
      <c r="C192" s="16"/>
      <c r="D192" s="16"/>
      <c r="E192" s="16"/>
      <c r="F192" s="16"/>
      <c r="G192" s="16"/>
      <c r="H192" s="16"/>
      <c r="I192" s="16"/>
      <c r="J192" s="16"/>
      <c r="K192" s="16"/>
      <c r="L192" s="25"/>
      <c r="M192" s="25"/>
      <c r="N192" s="25"/>
      <c r="O192" s="16"/>
      <c r="P192" s="1"/>
      <c r="Q192" s="8"/>
      <c r="R192" s="8"/>
      <c r="S192" s="1"/>
      <c r="T192" s="8"/>
      <c r="U192" s="8"/>
      <c r="V192" s="38"/>
      <c r="W192" s="1"/>
      <c r="X192" s="1"/>
      <c r="Y192" s="16"/>
      <c r="Z192" s="16"/>
      <c r="AA192" s="16"/>
      <c r="AB192" s="16"/>
      <c r="AC192" s="16"/>
      <c r="AD192" s="16"/>
      <c r="AE192" s="16"/>
      <c r="AF192" s="16"/>
      <c r="AG192" s="16"/>
      <c r="AH192" s="16"/>
      <c r="AI192" s="16"/>
    </row>
    <row r="193" spans="1:35">
      <c r="A193" s="15"/>
      <c r="B193" s="15"/>
      <c r="C193" s="16"/>
      <c r="D193" s="16"/>
      <c r="E193" s="16"/>
      <c r="F193" s="16"/>
      <c r="G193" s="16"/>
      <c r="H193" s="16"/>
      <c r="I193" s="16"/>
      <c r="J193" s="16"/>
      <c r="K193" s="16"/>
      <c r="L193" s="25"/>
      <c r="M193" s="25"/>
      <c r="N193" s="25"/>
      <c r="O193" s="16"/>
      <c r="P193" s="1"/>
      <c r="Q193" s="8"/>
      <c r="R193" s="8"/>
      <c r="S193" s="1"/>
      <c r="T193" s="8"/>
      <c r="U193" s="8"/>
      <c r="V193" s="38"/>
      <c r="W193" s="1"/>
      <c r="X193" s="1"/>
      <c r="Y193" s="16"/>
      <c r="Z193" s="16"/>
      <c r="AA193" s="16"/>
      <c r="AB193" s="16"/>
      <c r="AC193" s="16"/>
      <c r="AD193" s="16"/>
      <c r="AE193" s="16"/>
      <c r="AF193" s="16"/>
      <c r="AG193" s="16"/>
      <c r="AH193" s="16"/>
      <c r="AI193" s="16"/>
    </row>
    <row r="194" spans="1:35">
      <c r="A194" s="15"/>
      <c r="B194" s="15"/>
      <c r="C194" s="16"/>
      <c r="D194" s="16"/>
      <c r="E194" s="16"/>
      <c r="F194" s="16"/>
      <c r="G194" s="16"/>
      <c r="H194" s="16"/>
      <c r="I194" s="16"/>
      <c r="J194" s="16"/>
      <c r="K194" s="16"/>
      <c r="L194" s="25"/>
      <c r="M194" s="25"/>
      <c r="N194" s="25"/>
      <c r="O194" s="16"/>
      <c r="P194" s="1"/>
      <c r="Q194" s="8"/>
      <c r="R194" s="8"/>
      <c r="S194" s="1"/>
      <c r="T194" s="8"/>
      <c r="U194" s="8"/>
      <c r="V194" s="38"/>
      <c r="W194" s="1"/>
      <c r="X194" s="1"/>
      <c r="Y194" s="16"/>
      <c r="Z194" s="16"/>
      <c r="AA194" s="16"/>
      <c r="AB194" s="16"/>
      <c r="AC194" s="16"/>
      <c r="AD194" s="16"/>
      <c r="AE194" s="16"/>
      <c r="AF194" s="16"/>
      <c r="AG194" s="16"/>
      <c r="AH194" s="16"/>
      <c r="AI194" s="16"/>
    </row>
    <row r="195" spans="1:35">
      <c r="A195" s="15"/>
      <c r="B195" s="15"/>
      <c r="C195" s="16"/>
      <c r="D195" s="16"/>
      <c r="E195" s="16"/>
      <c r="F195" s="16"/>
      <c r="G195" s="16"/>
      <c r="H195" s="16"/>
      <c r="I195" s="16"/>
      <c r="J195" s="16"/>
      <c r="K195" s="16"/>
      <c r="L195" s="25"/>
      <c r="M195" s="25"/>
      <c r="N195" s="25"/>
      <c r="O195" s="16"/>
      <c r="P195" s="1"/>
      <c r="Q195" s="8"/>
      <c r="R195" s="8"/>
      <c r="S195" s="1"/>
      <c r="T195" s="8"/>
      <c r="U195" s="8"/>
      <c r="V195" s="38"/>
      <c r="W195" s="1"/>
      <c r="X195" s="1"/>
      <c r="Y195" s="16"/>
      <c r="Z195" s="16"/>
      <c r="AA195" s="16"/>
      <c r="AB195" s="16"/>
      <c r="AC195" s="16"/>
      <c r="AD195" s="16"/>
      <c r="AE195" s="16"/>
      <c r="AF195" s="16"/>
      <c r="AG195" s="16"/>
      <c r="AH195" s="16"/>
      <c r="AI195" s="16"/>
    </row>
    <row r="196" spans="1:35">
      <c r="A196" s="15"/>
      <c r="B196" s="15"/>
      <c r="C196" s="16"/>
      <c r="D196" s="16"/>
      <c r="E196" s="16"/>
      <c r="F196" s="16"/>
      <c r="G196" s="16"/>
      <c r="H196" s="16"/>
      <c r="I196" s="16"/>
      <c r="J196" s="16"/>
      <c r="K196" s="16"/>
      <c r="L196" s="25"/>
      <c r="M196" s="25"/>
      <c r="N196" s="25"/>
      <c r="O196" s="16"/>
      <c r="P196" s="1"/>
      <c r="Q196" s="8"/>
      <c r="R196" s="8"/>
      <c r="S196" s="1"/>
      <c r="T196" s="8"/>
      <c r="U196" s="8"/>
      <c r="V196" s="38"/>
      <c r="W196" s="1"/>
      <c r="X196" s="1"/>
      <c r="Y196" s="16"/>
      <c r="Z196" s="16"/>
      <c r="AA196" s="16"/>
      <c r="AB196" s="16"/>
      <c r="AC196" s="16"/>
      <c r="AD196" s="16"/>
      <c r="AE196" s="16"/>
      <c r="AF196" s="16"/>
      <c r="AG196" s="16"/>
      <c r="AH196" s="16"/>
      <c r="AI196" s="16"/>
    </row>
    <row r="197" spans="1:35">
      <c r="A197" s="15"/>
      <c r="B197" s="15"/>
      <c r="C197" s="16"/>
      <c r="D197" s="16"/>
      <c r="E197" s="16"/>
      <c r="F197" s="16"/>
      <c r="G197" s="16"/>
      <c r="H197" s="16"/>
      <c r="I197" s="16"/>
      <c r="J197" s="16"/>
      <c r="K197" s="16"/>
      <c r="L197" s="25"/>
      <c r="M197" s="25"/>
      <c r="N197" s="25"/>
      <c r="O197" s="16"/>
      <c r="P197" s="1"/>
      <c r="Q197" s="8"/>
      <c r="R197" s="8"/>
      <c r="S197" s="1"/>
      <c r="T197" s="8"/>
      <c r="U197" s="8"/>
      <c r="V197" s="38"/>
      <c r="W197" s="1"/>
      <c r="X197" s="1"/>
      <c r="Y197" s="16"/>
      <c r="Z197" s="16"/>
      <c r="AA197" s="16"/>
      <c r="AB197" s="16"/>
      <c r="AC197" s="16"/>
      <c r="AD197" s="16"/>
      <c r="AE197" s="16"/>
      <c r="AF197" s="16"/>
      <c r="AG197" s="16"/>
      <c r="AH197" s="16"/>
      <c r="AI197" s="16"/>
    </row>
    <row r="198" spans="1:35">
      <c r="A198" s="15"/>
      <c r="B198" s="15"/>
      <c r="C198" s="16"/>
      <c r="D198" s="16"/>
      <c r="E198" s="16"/>
      <c r="F198" s="16"/>
      <c r="G198" s="16"/>
      <c r="H198" s="16"/>
      <c r="I198" s="16"/>
      <c r="J198" s="16"/>
      <c r="K198" s="16"/>
      <c r="L198" s="25"/>
      <c r="M198" s="25"/>
      <c r="N198" s="25"/>
      <c r="O198" s="16"/>
      <c r="P198" s="1"/>
      <c r="Q198" s="8"/>
      <c r="R198" s="8"/>
      <c r="S198" s="1"/>
      <c r="T198" s="8"/>
      <c r="U198" s="8"/>
      <c r="V198" s="38"/>
      <c r="W198" s="1"/>
      <c r="X198" s="1"/>
      <c r="Y198" s="16"/>
      <c r="Z198" s="16"/>
      <c r="AA198" s="16"/>
      <c r="AB198" s="16"/>
      <c r="AC198" s="16"/>
      <c r="AD198" s="16"/>
      <c r="AE198" s="16"/>
      <c r="AF198" s="16"/>
      <c r="AG198" s="16"/>
      <c r="AH198" s="16"/>
      <c r="AI198" s="16"/>
    </row>
    <row r="199" spans="1:35">
      <c r="A199" s="15"/>
      <c r="B199" s="15"/>
      <c r="C199" s="16"/>
      <c r="D199" s="16"/>
      <c r="E199" s="16"/>
      <c r="F199" s="16"/>
      <c r="G199" s="16"/>
      <c r="H199" s="16"/>
      <c r="I199" s="16"/>
      <c r="J199" s="16"/>
      <c r="K199" s="16"/>
      <c r="L199" s="25"/>
      <c r="M199" s="25"/>
      <c r="N199" s="25"/>
      <c r="O199" s="16"/>
      <c r="P199" s="1"/>
      <c r="Q199" s="8"/>
      <c r="R199" s="8"/>
      <c r="S199" s="1"/>
      <c r="T199" s="8"/>
      <c r="U199" s="8"/>
      <c r="V199" s="38"/>
      <c r="W199" s="1"/>
      <c r="X199" s="1"/>
      <c r="Y199" s="16"/>
      <c r="Z199" s="16"/>
      <c r="AA199" s="16"/>
      <c r="AB199" s="16"/>
      <c r="AC199" s="16"/>
      <c r="AD199" s="16"/>
      <c r="AE199" s="16"/>
      <c r="AF199" s="16"/>
      <c r="AG199" s="16"/>
      <c r="AH199" s="16"/>
      <c r="AI199" s="16"/>
    </row>
    <row r="200" spans="1:35">
      <c r="A200" s="15"/>
      <c r="B200" s="15"/>
      <c r="C200" s="16"/>
      <c r="D200" s="16"/>
      <c r="E200" s="16"/>
      <c r="F200" s="16"/>
      <c r="G200" s="16"/>
      <c r="H200" s="16"/>
      <c r="I200" s="16"/>
      <c r="J200" s="16"/>
      <c r="K200" s="16"/>
      <c r="L200" s="25"/>
      <c r="M200" s="25"/>
      <c r="N200" s="25"/>
      <c r="O200" s="16"/>
      <c r="P200" s="1"/>
      <c r="Q200" s="8"/>
      <c r="R200" s="8"/>
      <c r="S200" s="1"/>
      <c r="T200" s="8"/>
      <c r="U200" s="8"/>
      <c r="V200" s="38"/>
      <c r="W200" s="1"/>
      <c r="X200" s="1"/>
      <c r="Y200" s="16"/>
      <c r="Z200" s="16"/>
      <c r="AA200" s="16"/>
      <c r="AB200" s="16"/>
      <c r="AC200" s="16"/>
      <c r="AD200" s="16"/>
      <c r="AE200" s="16"/>
      <c r="AF200" s="16"/>
      <c r="AG200" s="16"/>
      <c r="AH200" s="16"/>
      <c r="AI200" s="16"/>
    </row>
    <row r="201" spans="1:35">
      <c r="A201" s="15"/>
      <c r="B201" s="15"/>
      <c r="C201" s="16"/>
      <c r="D201" s="16"/>
      <c r="E201" s="16"/>
      <c r="F201" s="16"/>
      <c r="G201" s="16"/>
      <c r="H201" s="16"/>
      <c r="I201" s="16"/>
      <c r="J201" s="16"/>
      <c r="K201" s="16"/>
      <c r="L201" s="25"/>
      <c r="M201" s="25"/>
      <c r="N201" s="25"/>
      <c r="O201" s="16"/>
      <c r="P201" s="1"/>
      <c r="Q201" s="8"/>
      <c r="R201" s="8"/>
      <c r="S201" s="1"/>
      <c r="T201" s="8"/>
      <c r="U201" s="8"/>
      <c r="V201" s="38"/>
      <c r="W201" s="1"/>
      <c r="X201" s="1"/>
      <c r="Y201" s="16"/>
      <c r="Z201" s="16"/>
      <c r="AA201" s="16"/>
      <c r="AB201" s="16"/>
      <c r="AC201" s="16"/>
      <c r="AD201" s="16"/>
      <c r="AE201" s="16"/>
      <c r="AF201" s="16"/>
      <c r="AG201" s="16"/>
      <c r="AH201" s="16"/>
      <c r="AI201" s="16"/>
    </row>
    <row r="202" spans="1:35">
      <c r="A202" s="15"/>
      <c r="B202" s="15"/>
      <c r="C202" s="16"/>
      <c r="D202" s="16"/>
      <c r="E202" s="16"/>
      <c r="F202" s="16"/>
      <c r="G202" s="16"/>
      <c r="H202" s="16"/>
      <c r="I202" s="16"/>
      <c r="J202" s="16"/>
      <c r="K202" s="16"/>
      <c r="L202" s="25"/>
      <c r="M202" s="25"/>
      <c r="N202" s="25"/>
      <c r="O202" s="16"/>
      <c r="P202" s="1"/>
      <c r="Q202" s="8"/>
      <c r="R202" s="8"/>
      <c r="S202" s="1"/>
      <c r="T202" s="8"/>
      <c r="U202" s="8"/>
      <c r="V202" s="38"/>
      <c r="W202" s="1"/>
      <c r="X202" s="1"/>
      <c r="Y202" s="16"/>
      <c r="Z202" s="16"/>
      <c r="AA202" s="16"/>
      <c r="AB202" s="16"/>
      <c r="AC202" s="16"/>
      <c r="AD202" s="16"/>
      <c r="AE202" s="16"/>
      <c r="AF202" s="16"/>
      <c r="AG202" s="16"/>
      <c r="AH202" s="16"/>
      <c r="AI202" s="16"/>
    </row>
    <row r="203" spans="1:35">
      <c r="A203" s="15"/>
      <c r="B203" s="15"/>
      <c r="C203" s="16"/>
      <c r="D203" s="16"/>
      <c r="E203" s="16"/>
      <c r="F203" s="16"/>
      <c r="G203" s="16"/>
      <c r="H203" s="16"/>
      <c r="I203" s="16"/>
      <c r="J203" s="16"/>
      <c r="K203" s="16"/>
      <c r="L203" s="25"/>
      <c r="M203" s="25"/>
      <c r="N203" s="25"/>
      <c r="O203" s="16"/>
      <c r="P203" s="1"/>
      <c r="Q203" s="8"/>
      <c r="R203" s="8"/>
      <c r="S203" s="1"/>
      <c r="T203" s="8"/>
      <c r="U203" s="8"/>
      <c r="V203" s="38"/>
      <c r="W203" s="1"/>
      <c r="X203" s="1"/>
      <c r="Y203" s="16"/>
      <c r="Z203" s="16"/>
      <c r="AA203" s="16"/>
      <c r="AB203" s="16"/>
      <c r="AC203" s="16"/>
      <c r="AD203" s="16"/>
      <c r="AE203" s="16"/>
      <c r="AF203" s="16"/>
      <c r="AG203" s="16"/>
      <c r="AH203" s="16"/>
      <c r="AI203" s="16"/>
    </row>
    <row r="204" spans="1:35">
      <c r="A204" s="15"/>
      <c r="B204" s="15"/>
      <c r="C204" s="16"/>
      <c r="D204" s="16"/>
      <c r="E204" s="16"/>
      <c r="F204" s="16"/>
      <c r="G204" s="16"/>
      <c r="H204" s="16"/>
      <c r="I204" s="16"/>
      <c r="J204" s="16"/>
      <c r="K204" s="16"/>
      <c r="L204" s="25"/>
      <c r="M204" s="25"/>
      <c r="N204" s="25"/>
      <c r="O204" s="16"/>
      <c r="P204" s="1"/>
      <c r="Q204" s="8"/>
      <c r="R204" s="8"/>
      <c r="S204" s="1"/>
      <c r="T204" s="8"/>
      <c r="U204" s="8"/>
      <c r="V204" s="38"/>
      <c r="W204" s="1"/>
      <c r="X204" s="1"/>
      <c r="Y204" s="16"/>
      <c r="Z204" s="16"/>
      <c r="AA204" s="16"/>
      <c r="AB204" s="16"/>
      <c r="AC204" s="16"/>
      <c r="AD204" s="16"/>
      <c r="AE204" s="16"/>
      <c r="AF204" s="16"/>
      <c r="AG204" s="16"/>
      <c r="AH204" s="16"/>
      <c r="AI204" s="16"/>
    </row>
    <row r="205" spans="1:35">
      <c r="A205" s="15"/>
      <c r="B205" s="15"/>
      <c r="C205" s="16"/>
      <c r="D205" s="16"/>
      <c r="E205" s="16"/>
      <c r="F205" s="16"/>
      <c r="G205" s="16"/>
      <c r="H205" s="16"/>
      <c r="I205" s="16"/>
      <c r="J205" s="16"/>
      <c r="K205" s="16"/>
      <c r="L205" s="25"/>
      <c r="M205" s="25"/>
      <c r="N205" s="25"/>
      <c r="O205" s="16"/>
      <c r="P205" s="1"/>
      <c r="Q205" s="8"/>
      <c r="R205" s="8"/>
      <c r="S205" s="1"/>
      <c r="T205" s="8"/>
      <c r="U205" s="8"/>
      <c r="V205" s="38"/>
      <c r="W205" s="1"/>
      <c r="X205" s="1"/>
      <c r="Y205" s="16"/>
      <c r="Z205" s="16"/>
      <c r="AA205" s="16"/>
      <c r="AB205" s="16"/>
      <c r="AC205" s="16"/>
      <c r="AD205" s="16"/>
      <c r="AE205" s="16"/>
      <c r="AF205" s="16"/>
      <c r="AG205" s="16"/>
      <c r="AH205" s="16"/>
      <c r="AI205" s="16"/>
    </row>
    <row r="206" spans="1:35">
      <c r="A206" s="15"/>
      <c r="B206" s="15"/>
      <c r="C206" s="16"/>
      <c r="D206" s="16"/>
      <c r="E206" s="16"/>
      <c r="F206" s="16"/>
      <c r="G206" s="16"/>
      <c r="H206" s="16"/>
      <c r="I206" s="16"/>
      <c r="J206" s="16"/>
      <c r="K206" s="16"/>
      <c r="L206" s="25"/>
      <c r="M206" s="25"/>
      <c r="N206" s="25"/>
      <c r="O206" s="16"/>
      <c r="P206" s="1"/>
      <c r="Q206" s="8"/>
      <c r="R206" s="8"/>
      <c r="S206" s="1"/>
      <c r="T206" s="8"/>
      <c r="U206" s="8"/>
      <c r="V206" s="38"/>
      <c r="W206" s="1"/>
      <c r="X206" s="1"/>
      <c r="Y206" s="16"/>
      <c r="Z206" s="16"/>
      <c r="AA206" s="16"/>
      <c r="AB206" s="16"/>
      <c r="AC206" s="16"/>
      <c r="AD206" s="16"/>
      <c r="AE206" s="16"/>
      <c r="AF206" s="16"/>
      <c r="AG206" s="16"/>
      <c r="AH206" s="16"/>
      <c r="AI206" s="16"/>
    </row>
    <row r="207" spans="1:35">
      <c r="A207" s="15"/>
      <c r="B207" s="15"/>
      <c r="C207" s="16"/>
      <c r="D207" s="16"/>
      <c r="E207" s="16"/>
      <c r="F207" s="16"/>
      <c r="G207" s="16"/>
      <c r="H207" s="16"/>
      <c r="I207" s="16"/>
      <c r="J207" s="16"/>
      <c r="K207" s="16"/>
      <c r="L207" s="25"/>
      <c r="M207" s="25"/>
      <c r="N207" s="25"/>
      <c r="O207" s="16"/>
      <c r="P207" s="1"/>
      <c r="Q207" s="8"/>
      <c r="R207" s="8"/>
      <c r="S207" s="1"/>
      <c r="T207" s="8"/>
      <c r="U207" s="8"/>
      <c r="V207" s="38"/>
      <c r="W207" s="1"/>
      <c r="X207" s="1"/>
      <c r="Y207" s="16"/>
      <c r="Z207" s="16"/>
      <c r="AA207" s="16"/>
      <c r="AB207" s="16"/>
      <c r="AC207" s="16"/>
      <c r="AD207" s="16"/>
      <c r="AE207" s="16"/>
      <c r="AF207" s="16"/>
      <c r="AG207" s="16"/>
      <c r="AH207" s="16"/>
      <c r="AI207" s="16"/>
    </row>
    <row r="208" spans="1:35">
      <c r="A208" s="15"/>
      <c r="B208" s="15"/>
      <c r="C208" s="16"/>
      <c r="D208" s="16"/>
      <c r="E208" s="16"/>
      <c r="F208" s="16"/>
      <c r="G208" s="16"/>
      <c r="H208" s="16"/>
      <c r="I208" s="16"/>
      <c r="J208" s="16"/>
      <c r="K208" s="16"/>
      <c r="L208" s="25"/>
      <c r="M208" s="25"/>
      <c r="N208" s="25"/>
      <c r="O208" s="16"/>
      <c r="P208" s="1"/>
      <c r="Q208" s="8"/>
      <c r="R208" s="8"/>
      <c r="S208" s="1"/>
      <c r="T208" s="8"/>
      <c r="U208" s="8"/>
      <c r="V208" s="38"/>
      <c r="W208" s="1"/>
      <c r="X208" s="1"/>
      <c r="Y208" s="16"/>
      <c r="Z208" s="16"/>
      <c r="AA208" s="16"/>
      <c r="AB208" s="16"/>
      <c r="AC208" s="16"/>
      <c r="AD208" s="16"/>
      <c r="AE208" s="16"/>
      <c r="AF208" s="16"/>
      <c r="AG208" s="16"/>
      <c r="AH208" s="16"/>
      <c r="AI208" s="16"/>
    </row>
    <row r="209" spans="1:35">
      <c r="A209" s="15"/>
      <c r="B209" s="15"/>
      <c r="C209" s="16"/>
      <c r="D209" s="16"/>
      <c r="E209" s="16"/>
      <c r="F209" s="16"/>
      <c r="G209" s="16"/>
      <c r="H209" s="16"/>
      <c r="I209" s="16"/>
      <c r="J209" s="16"/>
      <c r="K209" s="16"/>
      <c r="L209" s="25"/>
      <c r="M209" s="25"/>
      <c r="N209" s="25"/>
      <c r="O209" s="16"/>
      <c r="P209" s="1"/>
      <c r="Q209" s="8"/>
      <c r="R209" s="8"/>
      <c r="S209" s="1"/>
      <c r="T209" s="8"/>
      <c r="U209" s="8"/>
      <c r="V209" s="38"/>
      <c r="W209" s="1"/>
      <c r="X209" s="1"/>
      <c r="Y209" s="16"/>
      <c r="Z209" s="16"/>
      <c r="AA209" s="16"/>
      <c r="AB209" s="16"/>
      <c r="AC209" s="16"/>
      <c r="AD209" s="16"/>
      <c r="AE209" s="16"/>
      <c r="AF209" s="16"/>
      <c r="AG209" s="16"/>
      <c r="AH209" s="16"/>
      <c r="AI209" s="16"/>
    </row>
    <row r="210" spans="1:35">
      <c r="A210" s="15"/>
      <c r="B210" s="15"/>
      <c r="C210" s="16"/>
      <c r="D210" s="16"/>
      <c r="E210" s="16"/>
      <c r="F210" s="16"/>
      <c r="G210" s="16"/>
      <c r="H210" s="16"/>
      <c r="I210" s="16"/>
      <c r="J210" s="16"/>
      <c r="K210" s="16"/>
      <c r="L210" s="25"/>
      <c r="M210" s="25"/>
      <c r="N210" s="25"/>
      <c r="O210" s="16"/>
      <c r="P210" s="1"/>
      <c r="Q210" s="8"/>
      <c r="R210" s="8"/>
      <c r="S210" s="1"/>
      <c r="T210" s="8"/>
      <c r="U210" s="8"/>
      <c r="V210" s="38"/>
      <c r="W210" s="1"/>
      <c r="X210" s="1"/>
      <c r="Y210" s="16"/>
      <c r="Z210" s="16"/>
      <c r="AA210" s="16"/>
      <c r="AB210" s="16"/>
      <c r="AC210" s="16"/>
      <c r="AD210" s="16"/>
      <c r="AE210" s="16"/>
      <c r="AF210" s="16"/>
      <c r="AG210" s="16"/>
      <c r="AH210" s="16"/>
      <c r="AI210" s="16"/>
    </row>
    <row r="211" spans="1:35">
      <c r="A211" s="15"/>
      <c r="B211" s="15"/>
      <c r="C211" s="16"/>
      <c r="D211" s="16"/>
      <c r="E211" s="16"/>
      <c r="F211" s="16"/>
      <c r="G211" s="16"/>
      <c r="H211" s="16"/>
      <c r="I211" s="16"/>
      <c r="J211" s="16"/>
      <c r="K211" s="16"/>
      <c r="L211" s="25"/>
      <c r="M211" s="25"/>
      <c r="N211" s="25"/>
      <c r="O211" s="16"/>
      <c r="P211" s="1"/>
      <c r="Q211" s="8"/>
      <c r="R211" s="8"/>
      <c r="S211" s="1"/>
      <c r="T211" s="8"/>
      <c r="U211" s="8"/>
      <c r="V211" s="38"/>
      <c r="W211" s="1"/>
      <c r="X211" s="1"/>
      <c r="Y211" s="16"/>
      <c r="Z211" s="16"/>
      <c r="AA211" s="16"/>
      <c r="AB211" s="16"/>
      <c r="AC211" s="16"/>
      <c r="AD211" s="16"/>
      <c r="AE211" s="16"/>
      <c r="AF211" s="16"/>
      <c r="AG211" s="16"/>
      <c r="AH211" s="16"/>
      <c r="AI211" s="16"/>
    </row>
    <row r="212" spans="1:35">
      <c r="A212" s="15"/>
      <c r="B212" s="15"/>
      <c r="C212" s="16"/>
      <c r="D212" s="16"/>
      <c r="E212" s="16"/>
      <c r="F212" s="16"/>
      <c r="G212" s="16"/>
      <c r="H212" s="16"/>
      <c r="I212" s="16"/>
      <c r="J212" s="16"/>
      <c r="K212" s="16"/>
      <c r="L212" s="25"/>
      <c r="M212" s="25"/>
      <c r="N212" s="25"/>
      <c r="O212" s="16"/>
      <c r="P212" s="1"/>
      <c r="Q212" s="8"/>
      <c r="R212" s="8"/>
      <c r="S212" s="1"/>
      <c r="T212" s="8"/>
      <c r="U212" s="8"/>
      <c r="V212" s="38"/>
      <c r="W212" s="1"/>
      <c r="X212" s="1"/>
      <c r="Y212" s="16"/>
      <c r="Z212" s="16"/>
      <c r="AA212" s="16"/>
      <c r="AB212" s="16"/>
      <c r="AC212" s="16"/>
      <c r="AD212" s="16"/>
      <c r="AE212" s="16"/>
      <c r="AF212" s="16"/>
      <c r="AG212" s="16"/>
      <c r="AH212" s="16"/>
      <c r="AI212" s="16"/>
    </row>
    <row r="213" spans="1:35">
      <c r="A213" s="15"/>
      <c r="B213" s="15"/>
      <c r="C213" s="16"/>
      <c r="D213" s="16"/>
      <c r="E213" s="16"/>
      <c r="F213" s="16"/>
      <c r="G213" s="16"/>
      <c r="H213" s="16"/>
      <c r="I213" s="16"/>
      <c r="J213" s="16"/>
      <c r="K213" s="16"/>
      <c r="L213" s="25"/>
      <c r="M213" s="25"/>
      <c r="N213" s="25"/>
      <c r="O213" s="16"/>
      <c r="P213" s="1"/>
      <c r="Q213" s="8"/>
      <c r="R213" s="8"/>
      <c r="S213" s="1"/>
      <c r="T213" s="8"/>
      <c r="U213" s="8"/>
      <c r="V213" s="38"/>
      <c r="W213" s="1"/>
      <c r="X213" s="1"/>
      <c r="Y213" s="16"/>
      <c r="Z213" s="16"/>
      <c r="AA213" s="16"/>
      <c r="AB213" s="16"/>
      <c r="AC213" s="16"/>
      <c r="AD213" s="16"/>
      <c r="AE213" s="16"/>
      <c r="AF213" s="16"/>
      <c r="AG213" s="16"/>
      <c r="AH213" s="16"/>
      <c r="AI213" s="16"/>
    </row>
    <row r="214" spans="1:35">
      <c r="A214" s="15"/>
      <c r="B214" s="15"/>
      <c r="C214" s="16"/>
      <c r="D214" s="16"/>
      <c r="E214" s="16"/>
      <c r="F214" s="16"/>
      <c r="G214" s="16"/>
      <c r="H214" s="16"/>
      <c r="I214" s="16"/>
      <c r="J214" s="16"/>
      <c r="K214" s="16"/>
      <c r="L214" s="25"/>
      <c r="M214" s="25"/>
      <c r="N214" s="25"/>
      <c r="O214" s="16"/>
      <c r="P214" s="1"/>
      <c r="Q214" s="8"/>
      <c r="R214" s="8"/>
      <c r="S214" s="1"/>
      <c r="T214" s="8"/>
      <c r="U214" s="8"/>
      <c r="V214" s="38"/>
      <c r="W214" s="1"/>
      <c r="X214" s="1"/>
      <c r="Y214" s="16"/>
      <c r="Z214" s="16"/>
      <c r="AA214" s="16"/>
      <c r="AB214" s="16"/>
      <c r="AC214" s="16"/>
      <c r="AD214" s="16"/>
      <c r="AE214" s="16"/>
      <c r="AF214" s="16"/>
      <c r="AG214" s="16"/>
      <c r="AH214" s="16"/>
      <c r="AI214" s="16"/>
    </row>
    <row r="215" spans="1:35">
      <c r="A215" s="15"/>
      <c r="B215" s="15"/>
      <c r="C215" s="16"/>
      <c r="D215" s="16"/>
      <c r="E215" s="16"/>
      <c r="F215" s="16"/>
      <c r="G215" s="16"/>
      <c r="H215" s="16"/>
      <c r="I215" s="16"/>
      <c r="J215" s="16"/>
      <c r="K215" s="16"/>
      <c r="L215" s="25"/>
      <c r="M215" s="25"/>
      <c r="N215" s="25"/>
      <c r="O215" s="16"/>
      <c r="P215" s="1"/>
      <c r="Q215" s="8"/>
      <c r="R215" s="8"/>
      <c r="S215" s="1"/>
      <c r="T215" s="8"/>
      <c r="U215" s="8"/>
      <c r="V215" s="38"/>
      <c r="W215" s="1"/>
      <c r="X215" s="1"/>
      <c r="Y215" s="16"/>
      <c r="Z215" s="16"/>
      <c r="AA215" s="16"/>
      <c r="AB215" s="16"/>
      <c r="AC215" s="16"/>
      <c r="AD215" s="16"/>
      <c r="AE215" s="16"/>
      <c r="AF215" s="16"/>
      <c r="AG215" s="16"/>
      <c r="AH215" s="16"/>
      <c r="AI215" s="16"/>
    </row>
    <row r="216" spans="1:35">
      <c r="A216" s="15"/>
      <c r="B216" s="15"/>
      <c r="C216" s="16"/>
      <c r="D216" s="16"/>
      <c r="E216" s="16"/>
      <c r="F216" s="16"/>
      <c r="G216" s="16"/>
      <c r="H216" s="16"/>
      <c r="I216" s="16"/>
      <c r="J216" s="16"/>
      <c r="K216" s="16"/>
      <c r="L216" s="25"/>
      <c r="M216" s="25"/>
      <c r="N216" s="25"/>
      <c r="O216" s="16"/>
      <c r="P216" s="1"/>
      <c r="Q216" s="8"/>
      <c r="R216" s="8"/>
      <c r="S216" s="1"/>
      <c r="T216" s="8"/>
      <c r="U216" s="8"/>
      <c r="V216" s="38"/>
      <c r="W216" s="1"/>
      <c r="X216" s="1"/>
      <c r="Y216" s="16"/>
      <c r="Z216" s="16"/>
      <c r="AA216" s="16"/>
      <c r="AB216" s="16"/>
      <c r="AC216" s="16"/>
      <c r="AD216" s="16"/>
      <c r="AE216" s="16"/>
      <c r="AF216" s="16"/>
      <c r="AG216" s="16"/>
      <c r="AH216" s="16"/>
      <c r="AI216" s="16"/>
    </row>
    <row r="217" spans="1:35">
      <c r="A217" s="15"/>
      <c r="B217" s="15"/>
      <c r="C217" s="16"/>
      <c r="D217" s="16"/>
      <c r="E217" s="16"/>
      <c r="F217" s="16"/>
      <c r="G217" s="16"/>
      <c r="H217" s="16"/>
      <c r="I217" s="16"/>
      <c r="J217" s="16"/>
      <c r="K217" s="16"/>
      <c r="L217" s="25"/>
      <c r="M217" s="25"/>
      <c r="N217" s="25"/>
      <c r="O217" s="16"/>
      <c r="P217" s="1"/>
      <c r="Q217" s="8"/>
      <c r="R217" s="8"/>
      <c r="S217" s="1"/>
      <c r="T217" s="8"/>
      <c r="U217" s="8"/>
      <c r="V217" s="38"/>
      <c r="W217" s="1"/>
      <c r="X217" s="1"/>
      <c r="Y217" s="16"/>
      <c r="Z217" s="16"/>
      <c r="AA217" s="16"/>
      <c r="AB217" s="16"/>
      <c r="AC217" s="16"/>
      <c r="AD217" s="16"/>
      <c r="AE217" s="16"/>
      <c r="AF217" s="16"/>
      <c r="AG217" s="16"/>
      <c r="AH217" s="16"/>
      <c r="AI217" s="16"/>
    </row>
    <row r="218" spans="1:35">
      <c r="A218" s="15"/>
      <c r="B218" s="15"/>
      <c r="C218" s="16"/>
      <c r="D218" s="16"/>
      <c r="E218" s="16"/>
      <c r="F218" s="16"/>
      <c r="G218" s="16"/>
      <c r="H218" s="16"/>
      <c r="I218" s="16"/>
      <c r="J218" s="16"/>
      <c r="K218" s="16"/>
      <c r="L218" s="25"/>
      <c r="M218" s="25"/>
      <c r="N218" s="25"/>
      <c r="O218" s="16"/>
      <c r="P218" s="1"/>
      <c r="Q218" s="8"/>
      <c r="R218" s="8"/>
      <c r="S218" s="1"/>
      <c r="T218" s="8"/>
      <c r="U218" s="8"/>
      <c r="V218" s="38"/>
      <c r="W218" s="1"/>
      <c r="X218" s="1"/>
      <c r="Y218" s="16"/>
      <c r="Z218" s="16"/>
      <c r="AA218" s="16"/>
      <c r="AB218" s="16"/>
      <c r="AC218" s="16"/>
      <c r="AD218" s="16"/>
      <c r="AE218" s="16"/>
      <c r="AF218" s="16"/>
      <c r="AG218" s="16"/>
      <c r="AH218" s="16"/>
      <c r="AI218" s="16"/>
    </row>
    <row r="219" spans="1:35">
      <c r="A219" s="15"/>
      <c r="B219" s="15"/>
      <c r="C219" s="16"/>
      <c r="D219" s="16"/>
      <c r="E219" s="16"/>
      <c r="F219" s="16"/>
      <c r="G219" s="16"/>
      <c r="H219" s="16"/>
      <c r="I219" s="16"/>
      <c r="J219" s="16"/>
      <c r="K219" s="16"/>
      <c r="L219" s="25"/>
      <c r="M219" s="25"/>
      <c r="N219" s="25"/>
      <c r="O219" s="16"/>
      <c r="P219" s="1"/>
      <c r="Q219" s="8"/>
      <c r="R219" s="8"/>
      <c r="S219" s="1"/>
      <c r="T219" s="8"/>
      <c r="U219" s="8"/>
      <c r="V219" s="38"/>
      <c r="W219" s="1"/>
      <c r="X219" s="1"/>
      <c r="Y219" s="16"/>
      <c r="Z219" s="16"/>
      <c r="AA219" s="16"/>
      <c r="AB219" s="16"/>
      <c r="AC219" s="16"/>
      <c r="AD219" s="16"/>
      <c r="AE219" s="16"/>
      <c r="AF219" s="16"/>
      <c r="AG219" s="16"/>
      <c r="AH219" s="16"/>
      <c r="AI219" s="16"/>
    </row>
    <row r="220" spans="1:35">
      <c r="A220" s="15"/>
      <c r="B220" s="15"/>
      <c r="C220" s="16"/>
      <c r="D220" s="16"/>
      <c r="E220" s="16"/>
      <c r="F220" s="16"/>
      <c r="G220" s="16"/>
      <c r="H220" s="16"/>
      <c r="I220" s="16"/>
      <c r="J220" s="16"/>
      <c r="K220" s="16"/>
      <c r="L220" s="25"/>
      <c r="M220" s="25"/>
      <c r="N220" s="25"/>
      <c r="O220" s="16"/>
      <c r="P220" s="1"/>
      <c r="Q220" s="8"/>
      <c r="R220" s="8"/>
      <c r="S220" s="1"/>
      <c r="T220" s="8"/>
      <c r="U220" s="8"/>
      <c r="V220" s="38"/>
      <c r="W220" s="1"/>
      <c r="X220" s="1"/>
      <c r="Y220" s="16"/>
      <c r="Z220" s="16"/>
      <c r="AA220" s="16"/>
      <c r="AB220" s="16"/>
      <c r="AC220" s="16"/>
      <c r="AD220" s="16"/>
      <c r="AE220" s="16"/>
      <c r="AF220" s="16"/>
      <c r="AG220" s="16"/>
      <c r="AH220" s="16"/>
      <c r="AI220" s="16"/>
    </row>
    <row r="221" spans="1:35">
      <c r="A221" s="15"/>
      <c r="B221" s="15"/>
      <c r="C221" s="16"/>
      <c r="D221" s="16"/>
      <c r="E221" s="16"/>
      <c r="F221" s="16"/>
      <c r="G221" s="16"/>
      <c r="H221" s="16"/>
      <c r="I221" s="16"/>
      <c r="J221" s="16"/>
      <c r="K221" s="16"/>
      <c r="L221" s="25"/>
      <c r="M221" s="25"/>
      <c r="N221" s="25"/>
      <c r="O221" s="16"/>
      <c r="P221" s="1"/>
      <c r="Q221" s="8"/>
      <c r="R221" s="8"/>
      <c r="S221" s="1"/>
      <c r="T221" s="8"/>
      <c r="U221" s="8"/>
      <c r="V221" s="38"/>
      <c r="W221" s="1"/>
      <c r="X221" s="1"/>
      <c r="Y221" s="16"/>
      <c r="Z221" s="16"/>
      <c r="AA221" s="16"/>
      <c r="AB221" s="16"/>
      <c r="AC221" s="16"/>
      <c r="AD221" s="16"/>
      <c r="AE221" s="16"/>
      <c r="AF221" s="16"/>
      <c r="AG221" s="16"/>
      <c r="AH221" s="16"/>
      <c r="AI221" s="16"/>
    </row>
    <row r="222" spans="1:35">
      <c r="A222" s="15"/>
      <c r="B222" s="15"/>
      <c r="C222" s="16"/>
      <c r="D222" s="16"/>
      <c r="E222" s="16"/>
      <c r="F222" s="16"/>
      <c r="G222" s="16"/>
      <c r="H222" s="16"/>
      <c r="I222" s="16"/>
      <c r="J222" s="16"/>
      <c r="K222" s="16"/>
      <c r="L222" s="25"/>
      <c r="M222" s="25"/>
      <c r="N222" s="25"/>
      <c r="O222" s="16"/>
      <c r="P222" s="1"/>
      <c r="Q222" s="8"/>
      <c r="R222" s="8"/>
      <c r="S222" s="1"/>
      <c r="T222" s="8"/>
      <c r="U222" s="8"/>
      <c r="V222" s="38"/>
      <c r="W222" s="1"/>
      <c r="X222" s="1"/>
      <c r="Y222" s="16"/>
      <c r="Z222" s="16"/>
      <c r="AA222" s="16"/>
      <c r="AB222" s="16"/>
      <c r="AC222" s="16"/>
      <c r="AD222" s="16"/>
      <c r="AE222" s="16"/>
      <c r="AF222" s="16"/>
      <c r="AG222" s="16"/>
      <c r="AH222" s="16"/>
      <c r="AI222" s="16"/>
    </row>
    <row r="223" spans="1:35">
      <c r="A223" s="15"/>
      <c r="B223" s="15"/>
      <c r="C223" s="16"/>
      <c r="D223" s="16"/>
      <c r="E223" s="16"/>
      <c r="F223" s="16"/>
      <c r="G223" s="16"/>
      <c r="H223" s="16"/>
      <c r="I223" s="16"/>
      <c r="J223" s="16"/>
      <c r="K223" s="16"/>
      <c r="L223" s="25"/>
      <c r="M223" s="25"/>
      <c r="N223" s="25"/>
      <c r="O223" s="16"/>
      <c r="P223" s="1"/>
      <c r="Q223" s="8"/>
      <c r="R223" s="8"/>
      <c r="S223" s="1"/>
      <c r="T223" s="8"/>
      <c r="U223" s="8"/>
      <c r="V223" s="38"/>
      <c r="W223" s="1"/>
      <c r="X223" s="1"/>
      <c r="Y223" s="16"/>
      <c r="Z223" s="16"/>
      <c r="AA223" s="16"/>
      <c r="AB223" s="16"/>
      <c r="AC223" s="16"/>
      <c r="AD223" s="16"/>
      <c r="AE223" s="16"/>
      <c r="AF223" s="16"/>
      <c r="AG223" s="16"/>
      <c r="AH223" s="16"/>
      <c r="AI223" s="16"/>
    </row>
    <row r="224" spans="1:35">
      <c r="A224" s="15"/>
      <c r="B224" s="15"/>
      <c r="C224" s="16"/>
      <c r="D224" s="16"/>
      <c r="E224" s="16"/>
      <c r="F224" s="16"/>
      <c r="G224" s="16"/>
      <c r="H224" s="16"/>
      <c r="I224" s="16"/>
      <c r="J224" s="16"/>
      <c r="K224" s="16"/>
      <c r="L224" s="25"/>
      <c r="M224" s="25"/>
      <c r="N224" s="25"/>
      <c r="O224" s="16"/>
      <c r="P224" s="1"/>
      <c r="Q224" s="8"/>
      <c r="R224" s="8"/>
      <c r="S224" s="1"/>
      <c r="T224" s="8"/>
      <c r="U224" s="8"/>
      <c r="V224" s="38"/>
      <c r="W224" s="1"/>
      <c r="X224" s="1"/>
      <c r="Y224" s="16"/>
      <c r="Z224" s="16"/>
      <c r="AA224" s="16"/>
      <c r="AB224" s="16"/>
      <c r="AC224" s="16"/>
      <c r="AD224" s="16"/>
      <c r="AE224" s="16"/>
      <c r="AF224" s="16"/>
      <c r="AG224" s="16"/>
      <c r="AH224" s="16"/>
      <c r="AI224" s="16"/>
    </row>
    <row r="225" spans="1:35">
      <c r="A225" s="15"/>
      <c r="B225" s="15"/>
      <c r="C225" s="16"/>
      <c r="D225" s="16"/>
      <c r="E225" s="16"/>
      <c r="F225" s="16"/>
      <c r="G225" s="16"/>
      <c r="H225" s="16"/>
      <c r="I225" s="16"/>
      <c r="J225" s="16"/>
      <c r="K225" s="16"/>
      <c r="L225" s="25"/>
      <c r="M225" s="25"/>
      <c r="N225" s="25"/>
      <c r="O225" s="16"/>
      <c r="P225" s="1"/>
      <c r="Q225" s="8"/>
      <c r="R225" s="8"/>
      <c r="S225" s="1"/>
      <c r="T225" s="8"/>
      <c r="U225" s="8"/>
      <c r="V225" s="38"/>
      <c r="W225" s="1"/>
      <c r="X225" s="1"/>
      <c r="Y225" s="16"/>
      <c r="Z225" s="16"/>
      <c r="AA225" s="16"/>
      <c r="AB225" s="16"/>
      <c r="AC225" s="16"/>
      <c r="AD225" s="16"/>
      <c r="AE225" s="16"/>
      <c r="AF225" s="16"/>
      <c r="AG225" s="16"/>
      <c r="AH225" s="16"/>
      <c r="AI225" s="16"/>
    </row>
    <row r="226" spans="1:35">
      <c r="A226" s="15"/>
      <c r="B226" s="15"/>
      <c r="C226" s="16"/>
      <c r="D226" s="16"/>
      <c r="E226" s="16"/>
      <c r="F226" s="16"/>
      <c r="G226" s="16"/>
      <c r="H226" s="16"/>
      <c r="I226" s="16"/>
      <c r="J226" s="16"/>
      <c r="K226" s="16"/>
      <c r="L226" s="25"/>
      <c r="M226" s="25"/>
      <c r="N226" s="25"/>
      <c r="O226" s="16"/>
      <c r="P226" s="1"/>
      <c r="Q226" s="8"/>
      <c r="R226" s="8"/>
      <c r="S226" s="1"/>
      <c r="T226" s="8"/>
      <c r="U226" s="8"/>
      <c r="V226" s="38"/>
      <c r="W226" s="1"/>
      <c r="X226" s="1"/>
      <c r="Y226" s="16"/>
      <c r="Z226" s="16"/>
      <c r="AA226" s="16"/>
      <c r="AB226" s="16"/>
      <c r="AC226" s="16"/>
      <c r="AD226" s="16"/>
      <c r="AE226" s="16"/>
      <c r="AF226" s="16"/>
      <c r="AG226" s="16"/>
      <c r="AH226" s="16"/>
      <c r="AI226" s="16"/>
    </row>
    <row r="227" spans="1:35">
      <c r="A227" s="15"/>
      <c r="B227" s="15"/>
      <c r="C227" s="16"/>
      <c r="D227" s="16"/>
      <c r="E227" s="16"/>
      <c r="F227" s="16"/>
      <c r="G227" s="16"/>
      <c r="H227" s="16"/>
      <c r="I227" s="16"/>
      <c r="J227" s="16"/>
      <c r="K227" s="16"/>
      <c r="L227" s="25"/>
      <c r="M227" s="25"/>
      <c r="N227" s="25"/>
      <c r="O227" s="16"/>
      <c r="P227" s="1"/>
      <c r="Q227" s="8"/>
      <c r="R227" s="8"/>
      <c r="S227" s="1"/>
      <c r="T227" s="8"/>
      <c r="U227" s="8"/>
      <c r="V227" s="38"/>
      <c r="W227" s="1"/>
      <c r="X227" s="1"/>
      <c r="Y227" s="16"/>
      <c r="Z227" s="16"/>
      <c r="AA227" s="16"/>
      <c r="AB227" s="16"/>
      <c r="AC227" s="16"/>
      <c r="AD227" s="16"/>
      <c r="AE227" s="16"/>
      <c r="AF227" s="16"/>
      <c r="AG227" s="16"/>
      <c r="AH227" s="16"/>
      <c r="AI227" s="16"/>
    </row>
    <row r="228" spans="1:35">
      <c r="A228" s="15"/>
      <c r="B228" s="15"/>
      <c r="C228" s="16"/>
      <c r="D228" s="16"/>
      <c r="E228" s="16"/>
      <c r="F228" s="16"/>
      <c r="G228" s="16"/>
      <c r="H228" s="16"/>
      <c r="I228" s="16"/>
      <c r="J228" s="16"/>
      <c r="K228" s="16"/>
      <c r="L228" s="25"/>
      <c r="M228" s="25"/>
      <c r="N228" s="25"/>
      <c r="O228" s="16"/>
      <c r="P228" s="1"/>
      <c r="Q228" s="8"/>
      <c r="R228" s="8"/>
      <c r="S228" s="1"/>
      <c r="T228" s="8"/>
      <c r="U228" s="8"/>
      <c r="V228" s="38"/>
      <c r="W228" s="1"/>
      <c r="X228" s="1"/>
      <c r="Y228" s="16"/>
      <c r="Z228" s="16"/>
      <c r="AA228" s="16"/>
      <c r="AB228" s="16"/>
      <c r="AC228" s="16"/>
      <c r="AD228" s="16"/>
      <c r="AE228" s="16"/>
      <c r="AF228" s="16"/>
      <c r="AG228" s="16"/>
      <c r="AH228" s="16"/>
      <c r="AI228" s="16"/>
    </row>
    <row r="229" spans="1:35">
      <c r="A229" s="15"/>
      <c r="B229" s="15"/>
      <c r="C229" s="16"/>
      <c r="D229" s="16"/>
      <c r="E229" s="16"/>
      <c r="F229" s="16"/>
      <c r="G229" s="16"/>
      <c r="H229" s="16"/>
      <c r="I229" s="16"/>
      <c r="J229" s="16"/>
      <c r="K229" s="16"/>
      <c r="L229" s="25"/>
      <c r="M229" s="25"/>
      <c r="N229" s="25"/>
      <c r="O229" s="16"/>
      <c r="P229" s="1"/>
      <c r="Q229" s="8"/>
      <c r="R229" s="8"/>
      <c r="S229" s="1"/>
      <c r="T229" s="8"/>
      <c r="U229" s="8"/>
      <c r="V229" s="38"/>
      <c r="W229" s="1"/>
      <c r="X229" s="1"/>
      <c r="Y229" s="16"/>
      <c r="Z229" s="16"/>
      <c r="AA229" s="16"/>
      <c r="AB229" s="16"/>
      <c r="AC229" s="16"/>
      <c r="AD229" s="16"/>
      <c r="AE229" s="16"/>
      <c r="AF229" s="16"/>
      <c r="AG229" s="16"/>
      <c r="AH229" s="16"/>
      <c r="AI229" s="16"/>
    </row>
    <row r="230" spans="1:35">
      <c r="A230" s="15"/>
      <c r="B230" s="15"/>
      <c r="C230" s="16"/>
      <c r="D230" s="16"/>
      <c r="E230" s="16"/>
      <c r="F230" s="16"/>
      <c r="G230" s="16"/>
      <c r="H230" s="16"/>
      <c r="I230" s="16"/>
      <c r="J230" s="16"/>
      <c r="K230" s="16"/>
      <c r="L230" s="25"/>
      <c r="M230" s="25"/>
      <c r="N230" s="25"/>
      <c r="O230" s="16"/>
      <c r="P230" s="1"/>
      <c r="Q230" s="8"/>
      <c r="R230" s="8"/>
      <c r="S230" s="1"/>
      <c r="T230" s="8"/>
      <c r="U230" s="8"/>
      <c r="V230" s="38"/>
      <c r="W230" s="1"/>
      <c r="X230" s="1"/>
      <c r="Y230" s="16"/>
      <c r="Z230" s="16"/>
      <c r="AA230" s="16"/>
      <c r="AB230" s="16"/>
      <c r="AC230" s="16"/>
      <c r="AD230" s="16"/>
      <c r="AE230" s="16"/>
      <c r="AF230" s="16"/>
      <c r="AG230" s="16"/>
      <c r="AH230" s="16"/>
      <c r="AI230" s="16"/>
    </row>
    <row r="231" spans="1:35">
      <c r="A231" s="15"/>
      <c r="B231" s="15"/>
      <c r="C231" s="16"/>
      <c r="D231" s="16"/>
      <c r="E231" s="16"/>
      <c r="F231" s="16"/>
      <c r="G231" s="16"/>
      <c r="H231" s="16"/>
      <c r="I231" s="16"/>
      <c r="J231" s="16"/>
      <c r="K231" s="16"/>
      <c r="L231" s="25"/>
      <c r="M231" s="25"/>
      <c r="N231" s="25"/>
      <c r="O231" s="16"/>
      <c r="P231" s="1"/>
      <c r="Q231" s="8"/>
      <c r="R231" s="8"/>
      <c r="S231" s="1"/>
      <c r="T231" s="8"/>
      <c r="U231" s="8"/>
      <c r="V231" s="38"/>
      <c r="W231" s="1"/>
      <c r="X231" s="1"/>
      <c r="Y231" s="16"/>
      <c r="Z231" s="16"/>
      <c r="AA231" s="16"/>
      <c r="AB231" s="16"/>
      <c r="AC231" s="16"/>
      <c r="AD231" s="16"/>
      <c r="AE231" s="16"/>
      <c r="AF231" s="16"/>
      <c r="AG231" s="16"/>
      <c r="AH231" s="16"/>
      <c r="AI231" s="16"/>
    </row>
    <row r="232" spans="1:35">
      <c r="A232" s="15"/>
      <c r="B232" s="15"/>
      <c r="C232" s="16"/>
      <c r="D232" s="16"/>
      <c r="E232" s="16"/>
      <c r="F232" s="16"/>
      <c r="G232" s="16"/>
      <c r="H232" s="16"/>
      <c r="I232" s="16"/>
      <c r="J232" s="16"/>
      <c r="K232" s="16"/>
      <c r="L232" s="25"/>
      <c r="M232" s="25"/>
      <c r="N232" s="25"/>
      <c r="O232" s="16"/>
      <c r="P232" s="1"/>
      <c r="Q232" s="8"/>
      <c r="R232" s="8"/>
      <c r="S232" s="1"/>
      <c r="T232" s="8"/>
      <c r="U232" s="8"/>
      <c r="V232" s="38"/>
      <c r="W232" s="1"/>
      <c r="X232" s="1"/>
      <c r="Y232" s="16"/>
      <c r="Z232" s="16"/>
      <c r="AA232" s="16"/>
      <c r="AB232" s="16"/>
      <c r="AC232" s="16"/>
      <c r="AD232" s="16"/>
      <c r="AE232" s="16"/>
      <c r="AF232" s="16"/>
      <c r="AG232" s="16"/>
      <c r="AH232" s="16"/>
      <c r="AI232" s="16"/>
    </row>
    <row r="233" spans="1:35">
      <c r="A233" s="15"/>
      <c r="B233" s="15"/>
      <c r="C233" s="16"/>
      <c r="D233" s="16"/>
      <c r="E233" s="16"/>
      <c r="F233" s="16"/>
      <c r="G233" s="16"/>
      <c r="H233" s="16"/>
      <c r="I233" s="16"/>
      <c r="J233" s="16"/>
      <c r="K233" s="16"/>
      <c r="L233" s="25"/>
      <c r="M233" s="25"/>
      <c r="N233" s="25"/>
      <c r="O233" s="16"/>
      <c r="P233" s="1"/>
      <c r="Q233" s="8"/>
      <c r="R233" s="8"/>
      <c r="S233" s="1"/>
      <c r="T233" s="8"/>
      <c r="U233" s="8"/>
      <c r="V233" s="38"/>
      <c r="W233" s="1"/>
      <c r="X233" s="1"/>
      <c r="Y233" s="16"/>
      <c r="Z233" s="16"/>
      <c r="AA233" s="16"/>
      <c r="AB233" s="16"/>
      <c r="AC233" s="16"/>
      <c r="AD233" s="16"/>
      <c r="AE233" s="16"/>
      <c r="AF233" s="16"/>
      <c r="AG233" s="16"/>
      <c r="AH233" s="16"/>
      <c r="AI233" s="16"/>
    </row>
    <row r="234" spans="1:35">
      <c r="A234" s="15"/>
      <c r="B234" s="15"/>
      <c r="C234" s="16"/>
      <c r="D234" s="16"/>
      <c r="E234" s="16"/>
      <c r="F234" s="16"/>
      <c r="G234" s="16"/>
      <c r="H234" s="16"/>
      <c r="I234" s="16"/>
      <c r="J234" s="16"/>
      <c r="K234" s="16"/>
      <c r="L234" s="25"/>
      <c r="M234" s="25"/>
      <c r="N234" s="25"/>
      <c r="O234" s="16"/>
      <c r="P234" s="1"/>
      <c r="Q234" s="8"/>
      <c r="R234" s="8"/>
      <c r="S234" s="1"/>
      <c r="T234" s="8"/>
      <c r="U234" s="8"/>
      <c r="V234" s="38"/>
      <c r="W234" s="1"/>
      <c r="X234" s="1"/>
      <c r="Y234" s="16"/>
      <c r="Z234" s="16"/>
      <c r="AA234" s="16"/>
      <c r="AB234" s="16"/>
      <c r="AC234" s="16"/>
      <c r="AD234" s="16"/>
      <c r="AE234" s="16"/>
      <c r="AF234" s="16"/>
      <c r="AG234" s="16"/>
      <c r="AH234" s="16"/>
      <c r="AI234" s="16"/>
    </row>
    <row r="235" spans="1:35">
      <c r="A235" s="15"/>
      <c r="B235" s="15"/>
      <c r="C235" s="16"/>
      <c r="D235" s="16"/>
      <c r="E235" s="16"/>
      <c r="F235" s="16"/>
      <c r="G235" s="16"/>
      <c r="H235" s="16"/>
      <c r="I235" s="16"/>
      <c r="J235" s="16"/>
      <c r="K235" s="16"/>
      <c r="L235" s="25"/>
      <c r="M235" s="25"/>
      <c r="N235" s="25"/>
      <c r="O235" s="16"/>
      <c r="P235" s="1"/>
      <c r="Q235" s="8"/>
      <c r="R235" s="8"/>
      <c r="S235" s="1"/>
      <c r="T235" s="8"/>
      <c r="U235" s="8"/>
      <c r="V235" s="38"/>
      <c r="W235" s="1"/>
      <c r="X235" s="1"/>
      <c r="Y235" s="16"/>
      <c r="Z235" s="16"/>
      <c r="AA235" s="16"/>
      <c r="AB235" s="16"/>
      <c r="AC235" s="16"/>
      <c r="AD235" s="16"/>
      <c r="AE235" s="16"/>
      <c r="AF235" s="16"/>
      <c r="AG235" s="16"/>
      <c r="AH235" s="16"/>
      <c r="AI235" s="16"/>
    </row>
    <row r="236" spans="1:35">
      <c r="A236" s="15"/>
      <c r="B236" s="15"/>
      <c r="C236" s="16"/>
      <c r="D236" s="16"/>
      <c r="E236" s="16"/>
      <c r="F236" s="16"/>
      <c r="G236" s="16"/>
      <c r="H236" s="16"/>
      <c r="I236" s="16"/>
      <c r="J236" s="16"/>
      <c r="K236" s="16"/>
      <c r="L236" s="25"/>
      <c r="M236" s="25"/>
      <c r="N236" s="25"/>
      <c r="O236" s="16"/>
      <c r="P236" s="1"/>
      <c r="Q236" s="8"/>
      <c r="R236" s="8"/>
      <c r="S236" s="1"/>
      <c r="T236" s="8"/>
      <c r="U236" s="8"/>
      <c r="V236" s="38"/>
      <c r="W236" s="1"/>
      <c r="X236" s="1"/>
      <c r="Y236" s="16"/>
      <c r="Z236" s="16"/>
      <c r="AA236" s="16"/>
      <c r="AB236" s="16"/>
      <c r="AC236" s="16"/>
      <c r="AD236" s="16"/>
      <c r="AE236" s="16"/>
      <c r="AF236" s="16"/>
      <c r="AG236" s="16"/>
      <c r="AH236" s="16"/>
      <c r="AI236" s="16"/>
    </row>
    <row r="237" spans="1:35">
      <c r="A237" s="15"/>
      <c r="B237" s="15"/>
      <c r="C237" s="16"/>
      <c r="D237" s="16"/>
      <c r="E237" s="16"/>
      <c r="F237" s="16"/>
      <c r="G237" s="16"/>
      <c r="H237" s="16"/>
      <c r="I237" s="16"/>
      <c r="J237" s="16"/>
      <c r="K237" s="16"/>
      <c r="L237" s="25"/>
      <c r="M237" s="25"/>
      <c r="N237" s="25"/>
      <c r="O237" s="16"/>
      <c r="P237" s="1"/>
      <c r="Q237" s="8"/>
      <c r="R237" s="8"/>
      <c r="S237" s="1"/>
      <c r="T237" s="8"/>
      <c r="U237" s="8"/>
      <c r="V237" s="38"/>
      <c r="W237" s="1"/>
      <c r="X237" s="1"/>
      <c r="Y237" s="16"/>
      <c r="Z237" s="16"/>
      <c r="AA237" s="16"/>
      <c r="AB237" s="16"/>
      <c r="AC237" s="16"/>
      <c r="AD237" s="16"/>
      <c r="AE237" s="16"/>
      <c r="AF237" s="16"/>
      <c r="AG237" s="16"/>
      <c r="AH237" s="16"/>
      <c r="AI237" s="16"/>
    </row>
    <row r="238" spans="1:35">
      <c r="A238" s="15"/>
      <c r="B238" s="15"/>
      <c r="C238" s="16"/>
      <c r="D238" s="16"/>
      <c r="E238" s="16"/>
      <c r="F238" s="16"/>
      <c r="G238" s="16"/>
      <c r="H238" s="16"/>
      <c r="I238" s="16"/>
      <c r="J238" s="16"/>
      <c r="K238" s="16"/>
      <c r="L238" s="25"/>
      <c r="M238" s="25"/>
      <c r="N238" s="25"/>
      <c r="O238" s="16"/>
      <c r="P238" s="1"/>
      <c r="Q238" s="8"/>
      <c r="R238" s="8"/>
      <c r="S238" s="1"/>
      <c r="T238" s="8"/>
      <c r="U238" s="8"/>
      <c r="V238" s="38"/>
      <c r="W238" s="1"/>
      <c r="X238" s="1"/>
      <c r="Y238" s="16"/>
      <c r="Z238" s="16"/>
      <c r="AA238" s="16"/>
      <c r="AB238" s="16"/>
      <c r="AC238" s="16"/>
      <c r="AD238" s="16"/>
      <c r="AE238" s="16"/>
      <c r="AF238" s="16"/>
      <c r="AG238" s="16"/>
      <c r="AH238" s="16"/>
      <c r="AI238" s="16"/>
    </row>
    <row r="239" spans="1:35">
      <c r="A239" s="15"/>
      <c r="B239" s="15"/>
      <c r="C239" s="16"/>
      <c r="D239" s="16"/>
      <c r="E239" s="16"/>
      <c r="F239" s="16"/>
      <c r="G239" s="16"/>
      <c r="H239" s="16"/>
      <c r="I239" s="16"/>
      <c r="J239" s="16"/>
      <c r="K239" s="16"/>
      <c r="L239" s="25"/>
      <c r="M239" s="25"/>
      <c r="N239" s="25"/>
      <c r="O239" s="16"/>
      <c r="P239" s="1"/>
      <c r="Q239" s="8"/>
      <c r="R239" s="8"/>
      <c r="S239" s="1"/>
      <c r="T239" s="8"/>
      <c r="U239" s="8"/>
      <c r="V239" s="38"/>
      <c r="W239" s="1"/>
      <c r="X239" s="1"/>
      <c r="Y239" s="16"/>
      <c r="Z239" s="16"/>
      <c r="AA239" s="16"/>
      <c r="AB239" s="16"/>
      <c r="AC239" s="16"/>
      <c r="AD239" s="16"/>
      <c r="AE239" s="16"/>
      <c r="AF239" s="16"/>
      <c r="AG239" s="16"/>
      <c r="AH239" s="16"/>
      <c r="AI239" s="16"/>
    </row>
    <row r="240" spans="1:35">
      <c r="A240" s="15"/>
      <c r="B240" s="15"/>
      <c r="C240" s="16"/>
      <c r="D240" s="16"/>
      <c r="E240" s="16"/>
      <c r="F240" s="16"/>
      <c r="G240" s="16"/>
      <c r="H240" s="16"/>
      <c r="I240" s="16"/>
      <c r="J240" s="16"/>
      <c r="K240" s="16"/>
      <c r="L240" s="25"/>
      <c r="M240" s="25"/>
      <c r="N240" s="25"/>
      <c r="O240" s="16"/>
      <c r="P240" s="1"/>
      <c r="Q240" s="8"/>
      <c r="R240" s="8"/>
      <c r="S240" s="1"/>
      <c r="T240" s="8"/>
      <c r="U240" s="8"/>
      <c r="V240" s="38"/>
      <c r="W240" s="1"/>
      <c r="X240" s="1"/>
      <c r="Y240" s="16"/>
      <c r="Z240" s="16"/>
      <c r="AA240" s="16"/>
      <c r="AB240" s="16"/>
      <c r="AC240" s="16"/>
      <c r="AD240" s="16"/>
      <c r="AE240" s="16"/>
      <c r="AF240" s="16"/>
      <c r="AG240" s="16"/>
      <c r="AH240" s="16"/>
      <c r="AI240" s="16"/>
    </row>
    <row r="241" spans="1:35">
      <c r="A241" s="15"/>
      <c r="B241" s="15"/>
      <c r="C241" s="16"/>
      <c r="D241" s="16"/>
      <c r="E241" s="16"/>
      <c r="F241" s="16"/>
      <c r="G241" s="16"/>
      <c r="H241" s="16"/>
      <c r="I241" s="16"/>
      <c r="J241" s="16"/>
      <c r="K241" s="16"/>
      <c r="L241" s="25"/>
      <c r="M241" s="25"/>
      <c r="N241" s="25"/>
      <c r="O241" s="16"/>
      <c r="P241" s="1"/>
      <c r="Q241" s="8"/>
      <c r="R241" s="8"/>
      <c r="S241" s="1"/>
      <c r="T241" s="8"/>
      <c r="U241" s="8"/>
      <c r="V241" s="38"/>
      <c r="W241" s="1"/>
      <c r="X241" s="1"/>
      <c r="Y241" s="16"/>
      <c r="Z241" s="16"/>
      <c r="AA241" s="16"/>
      <c r="AB241" s="16"/>
      <c r="AC241" s="16"/>
      <c r="AD241" s="16"/>
      <c r="AE241" s="16"/>
      <c r="AF241" s="16"/>
      <c r="AG241" s="16"/>
      <c r="AH241" s="16"/>
      <c r="AI241" s="16"/>
    </row>
    <row r="242" spans="1:35">
      <c r="A242" s="15"/>
      <c r="B242" s="15"/>
      <c r="C242" s="16"/>
      <c r="D242" s="16"/>
      <c r="E242" s="16"/>
      <c r="F242" s="16"/>
      <c r="G242" s="16"/>
      <c r="H242" s="16"/>
      <c r="I242" s="16"/>
      <c r="J242" s="16"/>
      <c r="K242" s="16"/>
      <c r="L242" s="25"/>
      <c r="M242" s="25"/>
      <c r="N242" s="25"/>
      <c r="O242" s="16"/>
      <c r="P242" s="1"/>
      <c r="Q242" s="8"/>
      <c r="R242" s="8"/>
      <c r="S242" s="1"/>
      <c r="T242" s="8"/>
      <c r="U242" s="8"/>
      <c r="V242" s="38"/>
      <c r="W242" s="1"/>
      <c r="X242" s="1"/>
      <c r="Y242" s="16"/>
      <c r="Z242" s="16"/>
      <c r="AA242" s="16"/>
      <c r="AB242" s="16"/>
      <c r="AC242" s="16"/>
      <c r="AD242" s="16"/>
      <c r="AE242" s="16"/>
      <c r="AF242" s="16"/>
      <c r="AG242" s="16"/>
      <c r="AH242" s="16"/>
      <c r="AI242" s="16"/>
    </row>
    <row r="243" spans="1:35">
      <c r="A243" s="15"/>
      <c r="B243" s="15"/>
      <c r="C243" s="16"/>
      <c r="D243" s="16"/>
      <c r="E243" s="16"/>
      <c r="F243" s="16"/>
      <c r="G243" s="16"/>
      <c r="H243" s="16"/>
      <c r="I243" s="16"/>
      <c r="J243" s="16"/>
      <c r="K243" s="16"/>
      <c r="L243" s="25"/>
      <c r="M243" s="25"/>
      <c r="N243" s="25"/>
      <c r="O243" s="16"/>
      <c r="P243" s="1"/>
      <c r="Q243" s="8"/>
      <c r="R243" s="8"/>
      <c r="S243" s="1"/>
      <c r="T243" s="8"/>
      <c r="U243" s="8"/>
      <c r="V243" s="38"/>
      <c r="W243" s="1"/>
      <c r="X243" s="1"/>
      <c r="Y243" s="16"/>
      <c r="Z243" s="16"/>
      <c r="AA243" s="16"/>
      <c r="AB243" s="16"/>
      <c r="AC243" s="16"/>
      <c r="AD243" s="16"/>
      <c r="AE243" s="16"/>
      <c r="AF243" s="16"/>
      <c r="AG243" s="16"/>
      <c r="AH243" s="16"/>
      <c r="AI243" s="16"/>
    </row>
    <row r="244" spans="1:35">
      <c r="A244" s="15"/>
      <c r="B244" s="15"/>
      <c r="C244" s="16"/>
      <c r="D244" s="16"/>
      <c r="E244" s="16"/>
      <c r="F244" s="16"/>
      <c r="G244" s="16"/>
      <c r="H244" s="16"/>
      <c r="I244" s="16"/>
      <c r="J244" s="16"/>
      <c r="K244" s="16"/>
      <c r="L244" s="25"/>
      <c r="M244" s="25"/>
      <c r="N244" s="25"/>
      <c r="O244" s="16"/>
      <c r="P244" s="1"/>
      <c r="Q244" s="8"/>
      <c r="R244" s="8"/>
      <c r="S244" s="1"/>
      <c r="T244" s="8"/>
      <c r="U244" s="8"/>
      <c r="V244" s="38"/>
      <c r="W244" s="1"/>
      <c r="X244" s="1"/>
      <c r="Y244" s="16"/>
      <c r="Z244" s="16"/>
      <c r="AA244" s="16"/>
      <c r="AB244" s="16"/>
      <c r="AC244" s="16"/>
      <c r="AD244" s="16"/>
      <c r="AE244" s="16"/>
      <c r="AF244" s="16"/>
      <c r="AG244" s="16"/>
      <c r="AH244" s="16"/>
      <c r="AI244" s="16"/>
    </row>
    <row r="245" spans="1:35">
      <c r="A245" s="15"/>
      <c r="B245" s="15"/>
      <c r="C245" s="16"/>
      <c r="D245" s="16"/>
      <c r="E245" s="16"/>
      <c r="F245" s="16"/>
      <c r="G245" s="16"/>
      <c r="H245" s="16"/>
      <c r="I245" s="16"/>
      <c r="J245" s="16"/>
      <c r="K245" s="16"/>
      <c r="L245" s="25"/>
      <c r="M245" s="25"/>
      <c r="N245" s="25"/>
      <c r="O245" s="16"/>
      <c r="P245" s="1"/>
      <c r="Q245" s="8"/>
      <c r="R245" s="8"/>
      <c r="S245" s="1"/>
      <c r="T245" s="8"/>
      <c r="U245" s="8"/>
      <c r="V245" s="38"/>
      <c r="W245" s="1"/>
      <c r="X245" s="1"/>
      <c r="Y245" s="16"/>
      <c r="Z245" s="16"/>
      <c r="AA245" s="16"/>
      <c r="AB245" s="16"/>
      <c r="AC245" s="16"/>
      <c r="AD245" s="16"/>
      <c r="AE245" s="16"/>
      <c r="AF245" s="16"/>
      <c r="AG245" s="16"/>
      <c r="AH245" s="16"/>
      <c r="AI245" s="16"/>
    </row>
    <row r="246" spans="1:35">
      <c r="A246" s="15"/>
      <c r="B246" s="15"/>
      <c r="C246" s="16"/>
      <c r="D246" s="16"/>
      <c r="E246" s="16"/>
      <c r="F246" s="16"/>
      <c r="G246" s="16"/>
      <c r="H246" s="16"/>
      <c r="I246" s="16"/>
      <c r="J246" s="16"/>
      <c r="K246" s="16"/>
      <c r="L246" s="25"/>
      <c r="M246" s="25"/>
      <c r="N246" s="25"/>
      <c r="O246" s="16"/>
      <c r="P246" s="1"/>
      <c r="Q246" s="8"/>
      <c r="R246" s="8"/>
      <c r="S246" s="1"/>
      <c r="T246" s="8"/>
      <c r="U246" s="8"/>
      <c r="V246" s="38"/>
      <c r="W246" s="1"/>
      <c r="X246" s="1"/>
      <c r="Y246" s="16"/>
      <c r="Z246" s="16"/>
      <c r="AA246" s="16"/>
      <c r="AB246" s="16"/>
      <c r="AC246" s="16"/>
      <c r="AD246" s="16"/>
      <c r="AE246" s="16"/>
      <c r="AF246" s="16"/>
      <c r="AG246" s="16"/>
      <c r="AH246" s="16"/>
      <c r="AI246" s="16"/>
    </row>
    <row r="247" spans="1:35">
      <c r="A247" s="15"/>
      <c r="B247" s="15"/>
      <c r="C247" s="16"/>
      <c r="D247" s="16"/>
      <c r="E247" s="16"/>
      <c r="F247" s="16"/>
      <c r="G247" s="16"/>
      <c r="H247" s="16"/>
      <c r="I247" s="16"/>
      <c r="J247" s="16"/>
      <c r="K247" s="16"/>
      <c r="L247" s="25"/>
      <c r="M247" s="25"/>
      <c r="N247" s="25"/>
      <c r="O247" s="16"/>
      <c r="P247" s="1"/>
      <c r="Q247" s="8"/>
      <c r="R247" s="8"/>
      <c r="S247" s="1"/>
      <c r="T247" s="8"/>
      <c r="U247" s="8"/>
      <c r="V247" s="38"/>
      <c r="W247" s="1"/>
      <c r="X247" s="1"/>
      <c r="Y247" s="16"/>
      <c r="Z247" s="16"/>
      <c r="AA247" s="16"/>
      <c r="AB247" s="16"/>
      <c r="AC247" s="16"/>
      <c r="AD247" s="16"/>
      <c r="AE247" s="16"/>
      <c r="AF247" s="16"/>
      <c r="AG247" s="16"/>
      <c r="AH247" s="16"/>
      <c r="AI247" s="16"/>
    </row>
    <row r="248" spans="1:35">
      <c r="A248" s="15"/>
      <c r="B248" s="15"/>
      <c r="C248" s="16"/>
      <c r="D248" s="16"/>
      <c r="E248" s="16"/>
      <c r="F248" s="16"/>
      <c r="G248" s="16"/>
      <c r="H248" s="16"/>
      <c r="I248" s="16"/>
      <c r="J248" s="16"/>
      <c r="K248" s="16"/>
      <c r="L248" s="25"/>
      <c r="M248" s="25"/>
      <c r="N248" s="25"/>
      <c r="O248" s="16"/>
      <c r="P248" s="1"/>
      <c r="Q248" s="8"/>
      <c r="R248" s="8"/>
      <c r="S248" s="1"/>
      <c r="T248" s="8"/>
      <c r="U248" s="8"/>
      <c r="V248" s="38"/>
      <c r="W248" s="1"/>
      <c r="X248" s="1"/>
      <c r="Y248" s="16"/>
      <c r="Z248" s="16"/>
      <c r="AA248" s="16"/>
      <c r="AB248" s="16"/>
      <c r="AC248" s="16"/>
      <c r="AD248" s="16"/>
      <c r="AE248" s="16"/>
      <c r="AF248" s="16"/>
      <c r="AG248" s="16"/>
      <c r="AH248" s="16"/>
      <c r="AI248" s="16"/>
    </row>
    <row r="249" spans="1:35">
      <c r="A249" s="15"/>
      <c r="B249" s="15"/>
      <c r="C249" s="16"/>
      <c r="D249" s="16"/>
      <c r="E249" s="16"/>
      <c r="F249" s="16"/>
      <c r="G249" s="16"/>
      <c r="H249" s="16"/>
      <c r="I249" s="16"/>
      <c r="J249" s="16"/>
      <c r="K249" s="16"/>
      <c r="L249" s="25"/>
      <c r="M249" s="25"/>
      <c r="N249" s="25"/>
      <c r="O249" s="16"/>
      <c r="P249" s="1"/>
      <c r="Q249" s="8"/>
      <c r="R249" s="8"/>
      <c r="S249" s="1"/>
      <c r="T249" s="8"/>
      <c r="U249" s="8"/>
      <c r="V249" s="38"/>
      <c r="W249" s="1"/>
      <c r="X249" s="1"/>
      <c r="Y249" s="16"/>
      <c r="Z249" s="16"/>
      <c r="AA249" s="16"/>
      <c r="AB249" s="16"/>
      <c r="AC249" s="16"/>
      <c r="AD249" s="16"/>
      <c r="AE249" s="16"/>
      <c r="AF249" s="16"/>
      <c r="AG249" s="16"/>
      <c r="AH249" s="16"/>
      <c r="AI249" s="16"/>
    </row>
    <row r="250" spans="1:35">
      <c r="A250" s="15"/>
      <c r="B250" s="15"/>
      <c r="C250" s="16"/>
      <c r="D250" s="16"/>
      <c r="E250" s="16"/>
      <c r="F250" s="16"/>
      <c r="G250" s="16"/>
      <c r="H250" s="16"/>
      <c r="I250" s="16"/>
      <c r="J250" s="16"/>
      <c r="K250" s="16"/>
      <c r="L250" s="25"/>
      <c r="M250" s="25"/>
      <c r="N250" s="25"/>
      <c r="O250" s="16"/>
      <c r="P250" s="1"/>
      <c r="Q250" s="8"/>
      <c r="R250" s="8"/>
      <c r="S250" s="1"/>
      <c r="T250" s="8"/>
      <c r="U250" s="8"/>
      <c r="V250" s="38"/>
      <c r="W250" s="1"/>
      <c r="X250" s="1"/>
      <c r="Y250" s="16"/>
      <c r="Z250" s="16"/>
      <c r="AA250" s="16"/>
      <c r="AB250" s="16"/>
      <c r="AC250" s="16"/>
      <c r="AD250" s="16"/>
      <c r="AE250" s="16"/>
      <c r="AF250" s="16"/>
      <c r="AG250" s="16"/>
      <c r="AH250" s="16"/>
      <c r="AI250" s="16"/>
    </row>
    <row r="251" spans="1:35">
      <c r="A251" s="15"/>
      <c r="B251" s="15"/>
      <c r="C251" s="16"/>
      <c r="D251" s="16"/>
      <c r="E251" s="16"/>
      <c r="F251" s="16"/>
      <c r="G251" s="16"/>
      <c r="H251" s="16"/>
      <c r="I251" s="16"/>
      <c r="J251" s="16"/>
      <c r="K251" s="16"/>
      <c r="L251" s="25"/>
      <c r="M251" s="25"/>
      <c r="N251" s="25"/>
      <c r="O251" s="16"/>
      <c r="P251" s="1"/>
      <c r="Q251" s="8"/>
      <c r="R251" s="8"/>
      <c r="S251" s="1"/>
      <c r="T251" s="8"/>
      <c r="U251" s="8"/>
      <c r="V251" s="38"/>
      <c r="W251" s="1"/>
      <c r="X251" s="1"/>
      <c r="Y251" s="16"/>
      <c r="Z251" s="16"/>
      <c r="AA251" s="16"/>
      <c r="AB251" s="16"/>
      <c r="AC251" s="16"/>
      <c r="AD251" s="16"/>
      <c r="AE251" s="16"/>
      <c r="AF251" s="16"/>
      <c r="AG251" s="16"/>
      <c r="AH251" s="16"/>
      <c r="AI251" s="16"/>
    </row>
    <row r="252" spans="1:35">
      <c r="A252" s="15"/>
      <c r="B252" s="15"/>
      <c r="C252" s="16"/>
      <c r="D252" s="16"/>
      <c r="E252" s="16"/>
      <c r="F252" s="16"/>
      <c r="G252" s="16"/>
      <c r="H252" s="16"/>
      <c r="I252" s="16"/>
      <c r="J252" s="16"/>
      <c r="K252" s="16"/>
      <c r="L252" s="25"/>
      <c r="M252" s="25"/>
      <c r="N252" s="25"/>
      <c r="O252" s="16"/>
      <c r="P252" s="1"/>
      <c r="Q252" s="8"/>
      <c r="R252" s="8"/>
      <c r="S252" s="1"/>
      <c r="T252" s="8"/>
      <c r="U252" s="8"/>
      <c r="V252" s="38"/>
      <c r="W252" s="1"/>
      <c r="X252" s="1"/>
      <c r="Y252" s="16"/>
      <c r="Z252" s="16"/>
      <c r="AA252" s="16"/>
      <c r="AB252" s="16"/>
      <c r="AC252" s="16"/>
      <c r="AD252" s="16"/>
      <c r="AE252" s="16"/>
      <c r="AF252" s="16"/>
      <c r="AG252" s="16"/>
      <c r="AH252" s="16"/>
      <c r="AI252" s="16"/>
    </row>
    <row r="253" spans="1:35">
      <c r="A253" s="15"/>
      <c r="B253" s="15"/>
      <c r="C253" s="16"/>
      <c r="D253" s="16"/>
      <c r="E253" s="16"/>
      <c r="F253" s="16"/>
      <c r="G253" s="16"/>
      <c r="H253" s="16"/>
      <c r="I253" s="16"/>
      <c r="J253" s="16"/>
      <c r="K253" s="16"/>
      <c r="L253" s="25"/>
      <c r="M253" s="25"/>
      <c r="N253" s="25"/>
      <c r="O253" s="16"/>
      <c r="P253" s="1"/>
      <c r="Q253" s="8"/>
      <c r="R253" s="8"/>
      <c r="S253" s="1"/>
      <c r="T253" s="8"/>
      <c r="U253" s="8"/>
      <c r="V253" s="38"/>
      <c r="W253" s="1"/>
      <c r="X253" s="1"/>
      <c r="Y253" s="16"/>
      <c r="Z253" s="16"/>
      <c r="AA253" s="16"/>
      <c r="AB253" s="16"/>
      <c r="AC253" s="16"/>
      <c r="AD253" s="16"/>
      <c r="AE253" s="16"/>
      <c r="AF253" s="16"/>
      <c r="AG253" s="16"/>
      <c r="AH253" s="16"/>
      <c r="AI253" s="16"/>
    </row>
    <row r="254" spans="1:35">
      <c r="A254" s="15"/>
      <c r="B254" s="15"/>
      <c r="C254" s="16"/>
      <c r="D254" s="16"/>
      <c r="E254" s="16"/>
      <c r="F254" s="16"/>
      <c r="G254" s="16"/>
      <c r="H254" s="16"/>
      <c r="I254" s="16"/>
      <c r="J254" s="16"/>
      <c r="K254" s="16"/>
      <c r="L254" s="25"/>
      <c r="M254" s="25"/>
      <c r="N254" s="25"/>
      <c r="O254" s="16"/>
      <c r="P254" s="1"/>
      <c r="Q254" s="8"/>
      <c r="R254" s="8"/>
      <c r="S254" s="1"/>
      <c r="T254" s="8"/>
      <c r="U254" s="8"/>
      <c r="V254" s="38"/>
      <c r="W254" s="1"/>
      <c r="X254" s="1"/>
      <c r="Y254" s="16"/>
      <c r="Z254" s="16"/>
      <c r="AA254" s="16"/>
      <c r="AB254" s="16"/>
      <c r="AC254" s="16"/>
      <c r="AD254" s="16"/>
      <c r="AE254" s="16"/>
      <c r="AF254" s="16"/>
      <c r="AG254" s="16"/>
      <c r="AH254" s="16"/>
      <c r="AI254" s="16"/>
    </row>
    <row r="255" spans="1:35">
      <c r="A255" s="15"/>
      <c r="B255" s="15"/>
      <c r="C255" s="16"/>
      <c r="D255" s="16"/>
      <c r="E255" s="16"/>
      <c r="F255" s="16"/>
      <c r="G255" s="16"/>
      <c r="H255" s="16"/>
      <c r="I255" s="16"/>
      <c r="J255" s="16"/>
      <c r="K255" s="16"/>
      <c r="L255" s="25"/>
      <c r="M255" s="25"/>
      <c r="N255" s="25"/>
      <c r="O255" s="16"/>
      <c r="P255" s="1"/>
      <c r="Q255" s="8"/>
      <c r="R255" s="8"/>
      <c r="S255" s="1"/>
      <c r="T255" s="8"/>
      <c r="U255" s="8"/>
      <c r="V255" s="38"/>
      <c r="W255" s="1"/>
      <c r="X255" s="1"/>
      <c r="Y255" s="16"/>
      <c r="Z255" s="16"/>
      <c r="AA255" s="16"/>
      <c r="AB255" s="16"/>
      <c r="AC255" s="16"/>
      <c r="AD255" s="16"/>
      <c r="AE255" s="16"/>
      <c r="AF255" s="16"/>
      <c r="AG255" s="16"/>
      <c r="AH255" s="16"/>
      <c r="AI255" s="16"/>
    </row>
    <row r="256" spans="1:35">
      <c r="A256" s="15"/>
      <c r="B256" s="15"/>
      <c r="C256" s="16"/>
      <c r="D256" s="16"/>
      <c r="E256" s="16"/>
      <c r="F256" s="16"/>
      <c r="G256" s="16"/>
      <c r="H256" s="16"/>
      <c r="I256" s="16"/>
      <c r="J256" s="16"/>
      <c r="K256" s="16"/>
      <c r="L256" s="25"/>
      <c r="M256" s="25"/>
      <c r="N256" s="25"/>
      <c r="O256" s="16"/>
      <c r="P256" s="1"/>
      <c r="Q256" s="8"/>
      <c r="R256" s="8"/>
      <c r="S256" s="1"/>
      <c r="T256" s="8"/>
      <c r="U256" s="8"/>
      <c r="V256" s="38"/>
      <c r="W256" s="1"/>
      <c r="X256" s="1"/>
      <c r="Y256" s="16"/>
      <c r="Z256" s="16"/>
      <c r="AA256" s="16"/>
      <c r="AB256" s="16"/>
      <c r="AC256" s="16"/>
      <c r="AD256" s="16"/>
      <c r="AE256" s="16"/>
      <c r="AF256" s="16"/>
      <c r="AG256" s="16"/>
      <c r="AH256" s="16"/>
      <c r="AI256" s="16"/>
    </row>
    <row r="257" spans="1:35">
      <c r="A257" s="15"/>
      <c r="B257" s="15"/>
      <c r="C257" s="16"/>
      <c r="D257" s="16"/>
      <c r="E257" s="16"/>
      <c r="F257" s="16"/>
      <c r="G257" s="16"/>
      <c r="H257" s="16"/>
      <c r="I257" s="16"/>
      <c r="J257" s="16"/>
      <c r="K257" s="16"/>
      <c r="L257" s="25"/>
      <c r="M257" s="25"/>
      <c r="N257" s="25"/>
      <c r="O257" s="16"/>
      <c r="P257" s="1"/>
      <c r="Q257" s="8"/>
      <c r="R257" s="8"/>
      <c r="S257" s="1"/>
      <c r="T257" s="8"/>
      <c r="U257" s="8"/>
      <c r="V257" s="38"/>
      <c r="W257" s="1"/>
      <c r="X257" s="1"/>
      <c r="Y257" s="16"/>
      <c r="Z257" s="16"/>
      <c r="AA257" s="16"/>
      <c r="AB257" s="16"/>
      <c r="AC257" s="16"/>
      <c r="AD257" s="16"/>
      <c r="AE257" s="16"/>
      <c r="AF257" s="16"/>
      <c r="AG257" s="16"/>
      <c r="AH257" s="16"/>
      <c r="AI257" s="16"/>
    </row>
    <row r="258" spans="1:35">
      <c r="A258" s="15"/>
      <c r="B258" s="15"/>
      <c r="C258" s="16"/>
      <c r="D258" s="16"/>
      <c r="E258" s="16"/>
      <c r="F258" s="16"/>
      <c r="G258" s="16"/>
      <c r="H258" s="16"/>
      <c r="I258" s="16"/>
      <c r="J258" s="16"/>
      <c r="K258" s="16"/>
      <c r="L258" s="25"/>
      <c r="M258" s="25"/>
      <c r="N258" s="25"/>
      <c r="O258" s="16"/>
      <c r="P258" s="1"/>
      <c r="Q258" s="8"/>
      <c r="R258" s="8"/>
      <c r="S258" s="1"/>
      <c r="T258" s="8"/>
      <c r="U258" s="8"/>
      <c r="V258" s="38"/>
      <c r="W258" s="1"/>
      <c r="X258" s="1"/>
      <c r="Y258" s="16"/>
      <c r="Z258" s="16"/>
      <c r="AA258" s="16"/>
      <c r="AB258" s="16"/>
      <c r="AC258" s="16"/>
      <c r="AD258" s="16"/>
      <c r="AE258" s="16"/>
      <c r="AF258" s="16"/>
      <c r="AG258" s="16"/>
      <c r="AH258" s="16"/>
      <c r="AI258" s="16"/>
    </row>
    <row r="259" spans="1:35">
      <c r="A259" s="15"/>
      <c r="B259" s="15"/>
      <c r="C259" s="16"/>
      <c r="D259" s="16"/>
      <c r="E259" s="16"/>
      <c r="F259" s="16"/>
      <c r="G259" s="16"/>
      <c r="H259" s="16"/>
      <c r="I259" s="16"/>
      <c r="J259" s="16"/>
      <c r="K259" s="16"/>
      <c r="L259" s="25"/>
      <c r="M259" s="25"/>
      <c r="N259" s="25"/>
      <c r="O259" s="16"/>
      <c r="P259" s="1"/>
      <c r="Q259" s="8"/>
      <c r="R259" s="8"/>
      <c r="S259" s="1"/>
      <c r="T259" s="8"/>
      <c r="U259" s="8"/>
      <c r="V259" s="38"/>
      <c r="W259" s="1"/>
      <c r="X259" s="1"/>
      <c r="Y259" s="16"/>
      <c r="Z259" s="16"/>
      <c r="AA259" s="16"/>
      <c r="AB259" s="16"/>
      <c r="AC259" s="16"/>
      <c r="AD259" s="16"/>
      <c r="AE259" s="16"/>
      <c r="AF259" s="16"/>
      <c r="AG259" s="16"/>
      <c r="AH259" s="16"/>
      <c r="AI259" s="16"/>
    </row>
    <row r="260" spans="1:35">
      <c r="A260" s="15"/>
      <c r="B260" s="15"/>
      <c r="C260" s="16"/>
      <c r="D260" s="16"/>
      <c r="E260" s="16"/>
      <c r="F260" s="16"/>
      <c r="G260" s="16"/>
      <c r="H260" s="16"/>
      <c r="I260" s="16"/>
      <c r="J260" s="16"/>
      <c r="K260" s="16"/>
      <c r="L260" s="25"/>
      <c r="M260" s="25"/>
      <c r="N260" s="25"/>
      <c r="O260" s="16"/>
      <c r="P260" s="1"/>
      <c r="Q260" s="8"/>
      <c r="R260" s="8"/>
      <c r="S260" s="1"/>
      <c r="T260" s="8"/>
      <c r="U260" s="8"/>
      <c r="V260" s="38"/>
      <c r="W260" s="1"/>
      <c r="X260" s="1"/>
      <c r="Y260" s="16"/>
      <c r="Z260" s="16"/>
      <c r="AA260" s="16"/>
      <c r="AB260" s="16"/>
      <c r="AC260" s="16"/>
      <c r="AD260" s="16"/>
      <c r="AE260" s="16"/>
      <c r="AF260" s="16"/>
      <c r="AG260" s="16"/>
      <c r="AH260" s="16"/>
      <c r="AI260" s="16"/>
    </row>
    <row r="261" spans="1:35">
      <c r="A261" s="15"/>
      <c r="B261" s="15"/>
      <c r="C261" s="16"/>
      <c r="D261" s="16"/>
      <c r="E261" s="16"/>
      <c r="F261" s="16"/>
      <c r="G261" s="16"/>
      <c r="H261" s="16"/>
      <c r="I261" s="16"/>
      <c r="J261" s="16"/>
      <c r="K261" s="16"/>
      <c r="L261" s="25"/>
      <c r="M261" s="25"/>
      <c r="N261" s="25"/>
      <c r="O261" s="16"/>
      <c r="P261" s="1"/>
      <c r="Q261" s="8"/>
      <c r="R261" s="8"/>
      <c r="S261" s="1"/>
      <c r="T261" s="8"/>
      <c r="U261" s="8"/>
      <c r="V261" s="38"/>
      <c r="W261" s="1"/>
      <c r="X261" s="1"/>
      <c r="Y261" s="16"/>
      <c r="Z261" s="16"/>
      <c r="AA261" s="16"/>
      <c r="AB261" s="16"/>
      <c r="AC261" s="16"/>
      <c r="AD261" s="16"/>
      <c r="AE261" s="16"/>
      <c r="AF261" s="16"/>
      <c r="AG261" s="16"/>
      <c r="AH261" s="16"/>
      <c r="AI261" s="16"/>
    </row>
    <row r="262" spans="1:35">
      <c r="A262" s="15"/>
      <c r="B262" s="15"/>
      <c r="C262" s="16"/>
      <c r="D262" s="16"/>
      <c r="E262" s="16"/>
      <c r="F262" s="16"/>
      <c r="G262" s="16"/>
      <c r="H262" s="16"/>
      <c r="I262" s="16"/>
      <c r="J262" s="16"/>
      <c r="K262" s="16"/>
      <c r="L262" s="25"/>
      <c r="M262" s="25"/>
      <c r="N262" s="25"/>
      <c r="O262" s="16"/>
      <c r="P262" s="1"/>
      <c r="Q262" s="8"/>
      <c r="R262" s="8"/>
      <c r="S262" s="1"/>
      <c r="T262" s="8"/>
      <c r="U262" s="8"/>
      <c r="V262" s="38"/>
      <c r="W262" s="1"/>
      <c r="X262" s="1"/>
      <c r="Y262" s="16"/>
      <c r="Z262" s="16"/>
      <c r="AA262" s="16"/>
      <c r="AB262" s="16"/>
      <c r="AC262" s="16"/>
      <c r="AD262" s="16"/>
      <c r="AE262" s="16"/>
      <c r="AF262" s="16"/>
      <c r="AG262" s="16"/>
      <c r="AH262" s="16"/>
      <c r="AI262" s="16"/>
    </row>
    <row r="263" spans="1:35">
      <c r="A263" s="15"/>
      <c r="B263" s="15"/>
      <c r="C263" s="16"/>
      <c r="D263" s="16"/>
      <c r="E263" s="16"/>
      <c r="F263" s="16"/>
      <c r="G263" s="16"/>
      <c r="H263" s="16"/>
      <c r="I263" s="16"/>
      <c r="J263" s="16"/>
      <c r="K263" s="16"/>
      <c r="L263" s="25"/>
      <c r="M263" s="25"/>
      <c r="N263" s="25"/>
      <c r="O263" s="16"/>
      <c r="P263" s="1"/>
      <c r="Q263" s="8"/>
      <c r="R263" s="8"/>
      <c r="S263" s="1"/>
      <c r="T263" s="8"/>
      <c r="U263" s="8"/>
      <c r="V263" s="38"/>
      <c r="W263" s="1"/>
      <c r="X263" s="1"/>
      <c r="Y263" s="16"/>
      <c r="Z263" s="16"/>
      <c r="AA263" s="16"/>
      <c r="AB263" s="16"/>
      <c r="AC263" s="16"/>
      <c r="AD263" s="16"/>
      <c r="AE263" s="16"/>
      <c r="AF263" s="16"/>
      <c r="AG263" s="16"/>
      <c r="AH263" s="16"/>
      <c r="AI263" s="16"/>
    </row>
    <row r="264" spans="1:35">
      <c r="A264" s="15"/>
      <c r="B264" s="15"/>
      <c r="C264" s="16"/>
      <c r="D264" s="16"/>
      <c r="E264" s="16"/>
      <c r="F264" s="16"/>
      <c r="G264" s="16"/>
      <c r="H264" s="16"/>
      <c r="I264" s="16"/>
      <c r="J264" s="16"/>
      <c r="K264" s="16"/>
      <c r="L264" s="25"/>
      <c r="M264" s="25"/>
      <c r="N264" s="25"/>
      <c r="O264" s="16"/>
      <c r="P264" s="1"/>
      <c r="Q264" s="8"/>
      <c r="R264" s="8"/>
      <c r="S264" s="1"/>
      <c r="T264" s="8"/>
      <c r="U264" s="8"/>
      <c r="V264" s="38"/>
      <c r="W264" s="1"/>
      <c r="X264" s="1"/>
      <c r="Y264" s="16"/>
      <c r="Z264" s="16"/>
      <c r="AA264" s="16"/>
      <c r="AB264" s="16"/>
      <c r="AC264" s="16"/>
      <c r="AD264" s="16"/>
      <c r="AE264" s="16"/>
      <c r="AF264" s="16"/>
      <c r="AG264" s="16"/>
      <c r="AH264" s="16"/>
      <c r="AI264" s="16"/>
    </row>
    <row r="265" spans="1:35">
      <c r="A265" s="15"/>
      <c r="B265" s="15"/>
      <c r="C265" s="16"/>
      <c r="D265" s="16"/>
      <c r="E265" s="16"/>
      <c r="F265" s="16"/>
      <c r="G265" s="16"/>
      <c r="H265" s="16"/>
      <c r="I265" s="16"/>
      <c r="J265" s="16"/>
      <c r="K265" s="16"/>
      <c r="L265" s="25"/>
      <c r="M265" s="25"/>
      <c r="N265" s="25"/>
      <c r="O265" s="16"/>
      <c r="P265" s="1"/>
      <c r="Q265" s="8"/>
      <c r="R265" s="8"/>
      <c r="S265" s="1"/>
      <c r="T265" s="8"/>
      <c r="U265" s="8"/>
      <c r="V265" s="38"/>
      <c r="W265" s="1"/>
      <c r="X265" s="1"/>
      <c r="Y265" s="16"/>
      <c r="Z265" s="16"/>
      <c r="AA265" s="16"/>
      <c r="AB265" s="16"/>
      <c r="AC265" s="16"/>
      <c r="AD265" s="16"/>
      <c r="AE265" s="16"/>
      <c r="AF265" s="16"/>
      <c r="AG265" s="16"/>
      <c r="AH265" s="16"/>
      <c r="AI265" s="16"/>
    </row>
    <row r="266" spans="1:35">
      <c r="A266" s="15"/>
      <c r="B266" s="15"/>
      <c r="C266" s="16"/>
      <c r="D266" s="16"/>
      <c r="E266" s="16"/>
      <c r="F266" s="16"/>
      <c r="G266" s="16"/>
      <c r="H266" s="16"/>
      <c r="I266" s="16"/>
      <c r="J266" s="16"/>
      <c r="K266" s="16"/>
      <c r="L266" s="25"/>
      <c r="M266" s="25"/>
      <c r="N266" s="25"/>
      <c r="O266" s="16"/>
      <c r="P266" s="1"/>
      <c r="Q266" s="8"/>
      <c r="R266" s="8"/>
      <c r="S266" s="1"/>
      <c r="T266" s="8"/>
      <c r="U266" s="8"/>
      <c r="V266" s="38"/>
      <c r="W266" s="1"/>
      <c r="X266" s="1"/>
      <c r="Y266" s="16"/>
      <c r="Z266" s="16"/>
      <c r="AA266" s="16"/>
      <c r="AB266" s="16"/>
      <c r="AC266" s="16"/>
      <c r="AD266" s="16"/>
      <c r="AE266" s="16"/>
      <c r="AF266" s="16"/>
      <c r="AG266" s="16"/>
      <c r="AH266" s="16"/>
      <c r="AI266" s="16"/>
    </row>
    <row r="267" spans="1:35">
      <c r="A267" s="15"/>
      <c r="B267" s="15"/>
      <c r="C267" s="16"/>
      <c r="D267" s="16"/>
      <c r="E267" s="16"/>
      <c r="F267" s="16"/>
      <c r="G267" s="16"/>
      <c r="H267" s="16"/>
      <c r="I267" s="16"/>
      <c r="J267" s="16"/>
      <c r="K267" s="16"/>
      <c r="L267" s="25"/>
      <c r="M267" s="25"/>
      <c r="N267" s="25"/>
      <c r="O267" s="16"/>
      <c r="P267" s="1"/>
      <c r="Q267" s="8"/>
      <c r="R267" s="8"/>
      <c r="S267" s="1"/>
      <c r="T267" s="8"/>
      <c r="U267" s="8"/>
      <c r="V267" s="38"/>
      <c r="W267" s="1"/>
      <c r="X267" s="1"/>
      <c r="Y267" s="16"/>
      <c r="Z267" s="16"/>
      <c r="AA267" s="16"/>
      <c r="AB267" s="16"/>
      <c r="AC267" s="16"/>
      <c r="AD267" s="16"/>
      <c r="AE267" s="16"/>
      <c r="AF267" s="16"/>
      <c r="AG267" s="16"/>
      <c r="AH267" s="16"/>
      <c r="AI267" s="16"/>
    </row>
    <row r="268" spans="1:35">
      <c r="A268" s="15"/>
      <c r="B268" s="15"/>
      <c r="C268" s="16"/>
      <c r="D268" s="16"/>
      <c r="E268" s="16"/>
      <c r="F268" s="16"/>
      <c r="G268" s="16"/>
      <c r="H268" s="16"/>
      <c r="I268" s="16"/>
      <c r="J268" s="16"/>
      <c r="K268" s="16"/>
      <c r="L268" s="25"/>
      <c r="M268" s="25"/>
      <c r="N268" s="25"/>
      <c r="O268" s="16"/>
      <c r="P268" s="1"/>
      <c r="Q268" s="8"/>
      <c r="R268" s="8"/>
      <c r="S268" s="1"/>
      <c r="T268" s="8"/>
      <c r="U268" s="8"/>
      <c r="V268" s="38"/>
      <c r="W268" s="1"/>
      <c r="X268" s="1"/>
      <c r="Y268" s="16"/>
      <c r="Z268" s="16"/>
      <c r="AA268" s="16"/>
      <c r="AB268" s="16"/>
      <c r="AC268" s="16"/>
      <c r="AD268" s="16"/>
      <c r="AE268" s="16"/>
      <c r="AF268" s="16"/>
      <c r="AG268" s="16"/>
      <c r="AH268" s="16"/>
      <c r="AI268" s="16"/>
    </row>
    <row r="269" spans="1:35">
      <c r="A269" s="15"/>
      <c r="B269" s="15"/>
      <c r="C269" s="16"/>
      <c r="D269" s="16"/>
      <c r="E269" s="16"/>
      <c r="F269" s="16"/>
      <c r="G269" s="16"/>
      <c r="H269" s="16"/>
      <c r="I269" s="16"/>
      <c r="J269" s="16"/>
      <c r="K269" s="16"/>
      <c r="L269" s="25"/>
      <c r="M269" s="25"/>
      <c r="N269" s="25"/>
      <c r="O269" s="16"/>
      <c r="P269" s="1"/>
      <c r="Q269" s="8"/>
      <c r="R269" s="8"/>
      <c r="S269" s="1"/>
      <c r="T269" s="8"/>
      <c r="U269" s="8"/>
      <c r="V269" s="38"/>
      <c r="W269" s="1"/>
      <c r="X269" s="1"/>
      <c r="Y269" s="16"/>
      <c r="Z269" s="16"/>
      <c r="AA269" s="16"/>
      <c r="AB269" s="16"/>
      <c r="AC269" s="16"/>
      <c r="AD269" s="16"/>
      <c r="AE269" s="16"/>
      <c r="AF269" s="16"/>
      <c r="AG269" s="16"/>
      <c r="AH269" s="16"/>
      <c r="AI269" s="16"/>
    </row>
    <row r="270" spans="1:35">
      <c r="A270" s="15"/>
      <c r="B270" s="15"/>
      <c r="C270" s="16"/>
      <c r="D270" s="16"/>
      <c r="E270" s="16"/>
      <c r="F270" s="16"/>
      <c r="G270" s="16"/>
      <c r="H270" s="16"/>
      <c r="I270" s="16"/>
      <c r="J270" s="16"/>
      <c r="K270" s="16"/>
      <c r="L270" s="25"/>
      <c r="M270" s="25"/>
      <c r="N270" s="25"/>
      <c r="O270" s="16"/>
      <c r="P270" s="1"/>
      <c r="Q270" s="8"/>
      <c r="R270" s="8"/>
      <c r="S270" s="1"/>
      <c r="T270" s="8"/>
      <c r="U270" s="8"/>
      <c r="V270" s="38"/>
      <c r="W270" s="1"/>
      <c r="X270" s="1"/>
      <c r="Y270" s="16"/>
      <c r="Z270" s="16"/>
      <c r="AA270" s="16"/>
      <c r="AB270" s="16"/>
      <c r="AC270" s="16"/>
      <c r="AD270" s="16"/>
      <c r="AE270" s="16"/>
      <c r="AF270" s="16"/>
      <c r="AG270" s="16"/>
      <c r="AH270" s="16"/>
      <c r="AI270" s="16"/>
    </row>
    <row r="271" spans="1:35">
      <c r="A271" s="15"/>
      <c r="B271" s="15"/>
      <c r="C271" s="16"/>
      <c r="D271" s="16"/>
      <c r="E271" s="16"/>
      <c r="F271" s="16"/>
      <c r="G271" s="16"/>
      <c r="H271" s="16"/>
      <c r="I271" s="16"/>
      <c r="J271" s="16"/>
      <c r="K271" s="16"/>
      <c r="L271" s="25"/>
      <c r="M271" s="25"/>
      <c r="N271" s="25"/>
      <c r="O271" s="16"/>
      <c r="P271" s="1"/>
      <c r="Q271" s="8"/>
      <c r="R271" s="8"/>
      <c r="S271" s="1"/>
      <c r="T271" s="8"/>
      <c r="U271" s="8"/>
      <c r="V271" s="38"/>
      <c r="W271" s="1"/>
      <c r="X271" s="1"/>
      <c r="Y271" s="16"/>
      <c r="Z271" s="16"/>
      <c r="AA271" s="16"/>
      <c r="AB271" s="16"/>
      <c r="AC271" s="16"/>
      <c r="AD271" s="16"/>
      <c r="AE271" s="16"/>
      <c r="AF271" s="16"/>
      <c r="AG271" s="16"/>
      <c r="AH271" s="16"/>
      <c r="AI271" s="16"/>
    </row>
    <row r="272" spans="1:35">
      <c r="A272" s="15"/>
      <c r="B272" s="15"/>
      <c r="C272" s="16"/>
      <c r="D272" s="16"/>
      <c r="E272" s="16"/>
      <c r="F272" s="16"/>
      <c r="G272" s="16"/>
      <c r="H272" s="16"/>
      <c r="I272" s="16"/>
      <c r="J272" s="16"/>
      <c r="K272" s="16"/>
      <c r="L272" s="25"/>
      <c r="M272" s="25"/>
      <c r="N272" s="25"/>
      <c r="O272" s="16"/>
      <c r="P272" s="1"/>
      <c r="Q272" s="8"/>
      <c r="R272" s="8"/>
      <c r="S272" s="1"/>
      <c r="T272" s="8"/>
      <c r="U272" s="8"/>
      <c r="V272" s="38"/>
      <c r="W272" s="1"/>
      <c r="X272" s="1"/>
      <c r="Y272" s="16"/>
      <c r="Z272" s="16"/>
      <c r="AA272" s="16"/>
      <c r="AB272" s="16"/>
      <c r="AC272" s="16"/>
      <c r="AD272" s="16"/>
      <c r="AE272" s="16"/>
      <c r="AF272" s="16"/>
      <c r="AG272" s="16"/>
      <c r="AH272" s="16"/>
      <c r="AI272" s="16"/>
    </row>
    <row r="273" spans="1:35">
      <c r="A273" s="15"/>
      <c r="B273" s="15"/>
      <c r="C273" s="16"/>
      <c r="D273" s="16"/>
      <c r="E273" s="16"/>
      <c r="F273" s="16"/>
      <c r="G273" s="16"/>
      <c r="H273" s="16"/>
      <c r="I273" s="16"/>
      <c r="J273" s="16"/>
      <c r="K273" s="16"/>
      <c r="L273" s="25"/>
      <c r="M273" s="25"/>
      <c r="N273" s="25"/>
      <c r="O273" s="16"/>
      <c r="P273" s="1"/>
      <c r="Q273" s="8"/>
      <c r="R273" s="8"/>
      <c r="S273" s="1"/>
      <c r="T273" s="8"/>
      <c r="U273" s="8"/>
      <c r="V273" s="38"/>
      <c r="W273" s="1"/>
      <c r="X273" s="1"/>
      <c r="Y273" s="16"/>
      <c r="Z273" s="16"/>
      <c r="AA273" s="16"/>
      <c r="AB273" s="16"/>
      <c r="AC273" s="16"/>
      <c r="AD273" s="16"/>
      <c r="AE273" s="16"/>
      <c r="AF273" s="16"/>
      <c r="AG273" s="16"/>
      <c r="AH273" s="16"/>
      <c r="AI273" s="16"/>
    </row>
    <row r="274" spans="1:35">
      <c r="A274" s="15"/>
      <c r="B274" s="15"/>
      <c r="C274" s="16"/>
      <c r="D274" s="16"/>
      <c r="E274" s="16"/>
      <c r="F274" s="16"/>
      <c r="G274" s="16"/>
      <c r="H274" s="16"/>
      <c r="I274" s="16"/>
      <c r="J274" s="16"/>
      <c r="K274" s="16"/>
      <c r="L274" s="25"/>
      <c r="M274" s="25"/>
      <c r="N274" s="25"/>
      <c r="O274" s="16"/>
      <c r="P274" s="1"/>
      <c r="Q274" s="8"/>
      <c r="R274" s="8"/>
      <c r="S274" s="1"/>
      <c r="T274" s="8"/>
      <c r="U274" s="8"/>
      <c r="V274" s="38"/>
      <c r="W274" s="1"/>
      <c r="X274" s="1"/>
      <c r="Y274" s="16"/>
      <c r="Z274" s="16"/>
      <c r="AA274" s="16"/>
      <c r="AB274" s="16"/>
      <c r="AC274" s="16"/>
      <c r="AD274" s="16"/>
      <c r="AE274" s="16"/>
      <c r="AF274" s="16"/>
      <c r="AG274" s="16"/>
      <c r="AH274" s="16"/>
      <c r="AI274" s="16"/>
    </row>
    <row r="275" spans="1:35">
      <c r="A275" s="15"/>
      <c r="B275" s="15"/>
      <c r="C275" s="16"/>
      <c r="D275" s="16"/>
      <c r="E275" s="16"/>
      <c r="F275" s="16"/>
      <c r="G275" s="16"/>
      <c r="H275" s="16"/>
      <c r="I275" s="16"/>
      <c r="J275" s="16"/>
      <c r="K275" s="16"/>
      <c r="L275" s="25"/>
      <c r="M275" s="25"/>
      <c r="N275" s="25"/>
      <c r="O275" s="16"/>
      <c r="P275" s="1"/>
      <c r="Q275" s="8"/>
      <c r="R275" s="8"/>
      <c r="S275" s="1"/>
      <c r="T275" s="8"/>
      <c r="U275" s="8"/>
      <c r="V275" s="38"/>
      <c r="W275" s="1"/>
      <c r="X275" s="1"/>
      <c r="Y275" s="16"/>
      <c r="Z275" s="16"/>
      <c r="AA275" s="16"/>
      <c r="AB275" s="16"/>
      <c r="AC275" s="16"/>
      <c r="AD275" s="16"/>
      <c r="AE275" s="16"/>
      <c r="AF275" s="16"/>
      <c r="AG275" s="16"/>
      <c r="AH275" s="16"/>
      <c r="AI275" s="16"/>
    </row>
    <row r="276" spans="1:35">
      <c r="A276" s="15"/>
      <c r="B276" s="15"/>
      <c r="C276" s="16"/>
      <c r="D276" s="16"/>
      <c r="E276" s="16"/>
      <c r="F276" s="16"/>
      <c r="G276" s="16"/>
      <c r="H276" s="16"/>
      <c r="I276" s="16"/>
      <c r="J276" s="16"/>
      <c r="K276" s="16"/>
      <c r="L276" s="25"/>
      <c r="M276" s="25"/>
      <c r="N276" s="25"/>
      <c r="O276" s="16"/>
      <c r="P276" s="1"/>
      <c r="Q276" s="8"/>
      <c r="R276" s="8"/>
      <c r="S276" s="1"/>
      <c r="T276" s="8"/>
      <c r="U276" s="8"/>
      <c r="V276" s="38"/>
      <c r="W276" s="1"/>
      <c r="X276" s="1"/>
      <c r="Y276" s="16"/>
      <c r="Z276" s="16"/>
      <c r="AA276" s="16"/>
      <c r="AB276" s="16"/>
      <c r="AC276" s="16"/>
      <c r="AD276" s="16"/>
      <c r="AE276" s="16"/>
      <c r="AF276" s="16"/>
      <c r="AG276" s="16"/>
      <c r="AH276" s="16"/>
      <c r="AI276" s="16"/>
    </row>
    <row r="277" spans="1:35">
      <c r="A277" s="15"/>
      <c r="B277" s="15"/>
      <c r="C277" s="16"/>
      <c r="D277" s="16"/>
      <c r="E277" s="16"/>
      <c r="F277" s="16"/>
      <c r="G277" s="16"/>
      <c r="H277" s="16"/>
      <c r="I277" s="16"/>
      <c r="J277" s="16"/>
      <c r="K277" s="16"/>
      <c r="L277" s="25"/>
      <c r="M277" s="25"/>
      <c r="N277" s="25"/>
      <c r="O277" s="16"/>
      <c r="P277" s="1"/>
      <c r="Q277" s="8"/>
      <c r="R277" s="8"/>
      <c r="S277" s="1"/>
      <c r="T277" s="8"/>
      <c r="U277" s="8"/>
      <c r="V277" s="38"/>
      <c r="W277" s="1"/>
      <c r="X277" s="1"/>
      <c r="Y277" s="16"/>
      <c r="Z277" s="16"/>
      <c r="AA277" s="16"/>
      <c r="AB277" s="16"/>
      <c r="AC277" s="16"/>
      <c r="AD277" s="16"/>
      <c r="AE277" s="16"/>
      <c r="AF277" s="16"/>
      <c r="AG277" s="16"/>
      <c r="AH277" s="16"/>
      <c r="AI277" s="16"/>
    </row>
    <row r="278" spans="1:35">
      <c r="A278" s="15"/>
      <c r="B278" s="15"/>
      <c r="C278" s="16"/>
      <c r="D278" s="16"/>
      <c r="E278" s="16"/>
      <c r="F278" s="16"/>
      <c r="G278" s="16"/>
      <c r="H278" s="16"/>
      <c r="I278" s="16"/>
      <c r="J278" s="16"/>
      <c r="K278" s="16"/>
      <c r="L278" s="25"/>
      <c r="M278" s="25"/>
      <c r="N278" s="25"/>
      <c r="O278" s="16"/>
      <c r="P278" s="1"/>
      <c r="Q278" s="8"/>
      <c r="R278" s="8"/>
      <c r="S278" s="1"/>
      <c r="T278" s="8"/>
      <c r="U278" s="8"/>
      <c r="V278" s="38"/>
      <c r="W278" s="1"/>
      <c r="X278" s="1"/>
      <c r="Y278" s="16"/>
      <c r="Z278" s="16"/>
      <c r="AA278" s="16"/>
      <c r="AB278" s="16"/>
      <c r="AC278" s="16"/>
      <c r="AD278" s="16"/>
      <c r="AE278" s="16"/>
      <c r="AF278" s="16"/>
      <c r="AG278" s="16"/>
      <c r="AH278" s="16"/>
      <c r="AI278" s="16"/>
    </row>
    <row r="279" spans="1:35">
      <c r="A279" s="15"/>
      <c r="B279" s="15"/>
      <c r="C279" s="16"/>
      <c r="D279" s="16"/>
      <c r="E279" s="16"/>
      <c r="F279" s="16"/>
      <c r="G279" s="16"/>
      <c r="H279" s="16"/>
      <c r="I279" s="16"/>
      <c r="J279" s="16"/>
      <c r="K279" s="16"/>
      <c r="L279" s="25"/>
      <c r="M279" s="25"/>
      <c r="N279" s="25"/>
      <c r="O279" s="16"/>
      <c r="P279" s="1"/>
      <c r="Q279" s="8"/>
      <c r="R279" s="8"/>
      <c r="S279" s="1"/>
      <c r="T279" s="8"/>
      <c r="U279" s="8"/>
      <c r="V279" s="38"/>
      <c r="W279" s="1"/>
      <c r="X279" s="1"/>
      <c r="Y279" s="16"/>
      <c r="Z279" s="16"/>
      <c r="AA279" s="16"/>
      <c r="AB279" s="16"/>
      <c r="AC279" s="16"/>
      <c r="AD279" s="16"/>
      <c r="AE279" s="16"/>
      <c r="AF279" s="16"/>
      <c r="AG279" s="16"/>
      <c r="AH279" s="16"/>
      <c r="AI279" s="16"/>
    </row>
    <row r="280" spans="1:35">
      <c r="A280" s="15"/>
      <c r="B280" s="15"/>
      <c r="C280" s="16"/>
      <c r="D280" s="16"/>
      <c r="E280" s="16"/>
      <c r="F280" s="16"/>
      <c r="G280" s="16"/>
      <c r="H280" s="16"/>
      <c r="I280" s="16"/>
      <c r="J280" s="16"/>
      <c r="K280" s="16"/>
      <c r="L280" s="25"/>
      <c r="M280" s="25"/>
      <c r="N280" s="25"/>
      <c r="O280" s="16"/>
      <c r="P280" s="1"/>
      <c r="Q280" s="8"/>
      <c r="R280" s="8"/>
      <c r="S280" s="1"/>
      <c r="T280" s="8"/>
      <c r="U280" s="8"/>
      <c r="V280" s="38"/>
      <c r="W280" s="1"/>
      <c r="X280" s="1"/>
      <c r="Y280" s="16"/>
      <c r="Z280" s="16"/>
      <c r="AA280" s="16"/>
      <c r="AB280" s="16"/>
      <c r="AC280" s="16"/>
      <c r="AD280" s="16"/>
      <c r="AE280" s="16"/>
      <c r="AF280" s="16"/>
      <c r="AG280" s="16"/>
      <c r="AH280" s="16"/>
      <c r="AI280" s="16"/>
    </row>
    <row r="281" spans="1:35">
      <c r="A281" s="15"/>
      <c r="B281" s="15"/>
      <c r="C281" s="16"/>
      <c r="D281" s="16"/>
      <c r="E281" s="16"/>
      <c r="F281" s="16"/>
      <c r="G281" s="16"/>
      <c r="H281" s="16"/>
      <c r="I281" s="16"/>
      <c r="J281" s="16"/>
      <c r="K281" s="16"/>
      <c r="L281" s="25"/>
      <c r="M281" s="25"/>
      <c r="N281" s="25"/>
      <c r="O281" s="16"/>
      <c r="P281" s="1"/>
      <c r="Q281" s="8"/>
      <c r="R281" s="8"/>
      <c r="S281" s="1"/>
      <c r="T281" s="8"/>
      <c r="U281" s="8"/>
      <c r="V281" s="38"/>
      <c r="W281" s="1"/>
      <c r="X281" s="1"/>
      <c r="Y281" s="16"/>
      <c r="Z281" s="16"/>
      <c r="AA281" s="16"/>
      <c r="AB281" s="16"/>
      <c r="AC281" s="16"/>
      <c r="AD281" s="16"/>
      <c r="AE281" s="16"/>
      <c r="AF281" s="16"/>
      <c r="AG281" s="16"/>
      <c r="AH281" s="16"/>
      <c r="AI281" s="16"/>
    </row>
    <row r="282" spans="1:35">
      <c r="A282" s="15"/>
      <c r="B282" s="15"/>
      <c r="C282" s="16"/>
      <c r="D282" s="16"/>
      <c r="E282" s="16"/>
      <c r="F282" s="16"/>
      <c r="G282" s="16"/>
      <c r="H282" s="16"/>
      <c r="I282" s="16"/>
      <c r="J282" s="16"/>
      <c r="K282" s="16"/>
      <c r="L282" s="25"/>
      <c r="M282" s="25"/>
      <c r="N282" s="25"/>
      <c r="O282" s="16"/>
      <c r="P282" s="1"/>
      <c r="Q282" s="8"/>
      <c r="R282" s="8"/>
      <c r="S282" s="1"/>
      <c r="T282" s="8"/>
      <c r="U282" s="8"/>
      <c r="V282" s="38"/>
      <c r="W282" s="1"/>
      <c r="X282" s="1"/>
      <c r="Y282" s="16"/>
      <c r="Z282" s="16"/>
      <c r="AA282" s="16"/>
      <c r="AB282" s="16"/>
      <c r="AC282" s="16"/>
      <c r="AD282" s="16"/>
      <c r="AE282" s="16"/>
      <c r="AF282" s="16"/>
      <c r="AG282" s="16"/>
      <c r="AH282" s="16"/>
      <c r="AI282" s="16"/>
    </row>
    <row r="283" spans="1:35">
      <c r="A283" s="15"/>
      <c r="B283" s="15"/>
      <c r="C283" s="16"/>
      <c r="D283" s="16"/>
      <c r="E283" s="16"/>
      <c r="F283" s="16"/>
      <c r="G283" s="16"/>
      <c r="H283" s="16"/>
      <c r="I283" s="16"/>
      <c r="J283" s="16"/>
      <c r="K283" s="16"/>
      <c r="L283" s="25"/>
      <c r="M283" s="25"/>
      <c r="N283" s="25"/>
      <c r="O283" s="16"/>
      <c r="P283" s="1"/>
      <c r="Q283" s="8"/>
      <c r="R283" s="8"/>
      <c r="S283" s="1"/>
      <c r="T283" s="8"/>
      <c r="U283" s="8"/>
      <c r="V283" s="38"/>
      <c r="W283" s="1"/>
      <c r="X283" s="1"/>
      <c r="Y283" s="16"/>
      <c r="Z283" s="16"/>
      <c r="AA283" s="16"/>
      <c r="AB283" s="16"/>
      <c r="AC283" s="16"/>
      <c r="AD283" s="16"/>
      <c r="AE283" s="16"/>
      <c r="AF283" s="16"/>
      <c r="AG283" s="16"/>
      <c r="AH283" s="16"/>
      <c r="AI283" s="16"/>
    </row>
    <row r="284" spans="1:35">
      <c r="A284" s="15"/>
      <c r="B284" s="15"/>
      <c r="C284" s="16"/>
      <c r="D284" s="16"/>
      <c r="E284" s="16"/>
      <c r="F284" s="16"/>
      <c r="G284" s="16"/>
      <c r="H284" s="16"/>
      <c r="I284" s="16"/>
      <c r="J284" s="16"/>
      <c r="K284" s="16"/>
      <c r="L284" s="25"/>
      <c r="M284" s="25"/>
      <c r="N284" s="25"/>
      <c r="O284" s="16"/>
      <c r="P284" s="1"/>
      <c r="Q284" s="8"/>
      <c r="R284" s="8"/>
      <c r="S284" s="1"/>
      <c r="T284" s="8"/>
      <c r="U284" s="8"/>
      <c r="V284" s="38"/>
      <c r="W284" s="1"/>
      <c r="X284" s="1"/>
      <c r="Y284" s="16"/>
      <c r="Z284" s="16"/>
      <c r="AA284" s="16"/>
      <c r="AB284" s="16"/>
      <c r="AC284" s="16"/>
      <c r="AD284" s="16"/>
      <c r="AE284" s="16"/>
      <c r="AF284" s="16"/>
      <c r="AG284" s="16"/>
      <c r="AH284" s="16"/>
      <c r="AI284" s="16"/>
    </row>
    <row r="285" spans="1:35">
      <c r="A285" s="15"/>
      <c r="B285" s="15"/>
      <c r="C285" s="16"/>
      <c r="D285" s="16"/>
      <c r="E285" s="16"/>
      <c r="F285" s="16"/>
      <c r="G285" s="16"/>
      <c r="H285" s="16"/>
      <c r="I285" s="16"/>
      <c r="J285" s="16"/>
      <c r="K285" s="16"/>
      <c r="L285" s="25"/>
      <c r="M285" s="25"/>
      <c r="N285" s="25"/>
      <c r="O285" s="16"/>
      <c r="P285" s="1"/>
      <c r="Q285" s="8"/>
      <c r="R285" s="8"/>
      <c r="S285" s="1"/>
      <c r="T285" s="8"/>
      <c r="U285" s="8"/>
      <c r="V285" s="38"/>
      <c r="W285" s="1"/>
      <c r="X285" s="1"/>
      <c r="Y285" s="16"/>
      <c r="Z285" s="16"/>
      <c r="AA285" s="16"/>
      <c r="AB285" s="16"/>
      <c r="AC285" s="16"/>
      <c r="AD285" s="16"/>
      <c r="AE285" s="16"/>
      <c r="AF285" s="16"/>
      <c r="AG285" s="16"/>
      <c r="AH285" s="16"/>
      <c r="AI285" s="16"/>
    </row>
    <row r="286" spans="1:35">
      <c r="A286" s="15"/>
      <c r="B286" s="15"/>
      <c r="C286" s="16"/>
      <c r="D286" s="16"/>
      <c r="E286" s="16"/>
      <c r="F286" s="16"/>
      <c r="G286" s="16"/>
      <c r="H286" s="16"/>
      <c r="I286" s="16"/>
      <c r="J286" s="16"/>
      <c r="K286" s="16"/>
      <c r="L286" s="25"/>
      <c r="M286" s="25"/>
      <c r="N286" s="25"/>
      <c r="O286" s="16"/>
      <c r="P286" s="1"/>
      <c r="Q286" s="8"/>
      <c r="R286" s="8"/>
      <c r="S286" s="1"/>
      <c r="T286" s="8"/>
      <c r="U286" s="8"/>
      <c r="V286" s="38"/>
      <c r="W286" s="1"/>
      <c r="X286" s="1"/>
      <c r="Y286" s="16"/>
      <c r="Z286" s="16"/>
      <c r="AA286" s="16"/>
      <c r="AB286" s="16"/>
      <c r="AC286" s="16"/>
      <c r="AD286" s="16"/>
      <c r="AE286" s="16"/>
      <c r="AF286" s="16"/>
      <c r="AG286" s="16"/>
      <c r="AH286" s="16"/>
      <c r="AI286" s="16"/>
    </row>
    <row r="287" spans="1:35">
      <c r="A287" s="15"/>
      <c r="B287" s="15"/>
      <c r="C287" s="16"/>
      <c r="D287" s="16"/>
      <c r="E287" s="16"/>
      <c r="F287" s="16"/>
      <c r="G287" s="16"/>
      <c r="H287" s="16"/>
      <c r="I287" s="16"/>
      <c r="J287" s="16"/>
      <c r="K287" s="16"/>
      <c r="L287" s="25"/>
      <c r="M287" s="25"/>
      <c r="N287" s="25"/>
      <c r="O287" s="16"/>
      <c r="P287" s="1"/>
      <c r="Q287" s="8"/>
      <c r="R287" s="8"/>
      <c r="S287" s="1"/>
      <c r="T287" s="8"/>
      <c r="U287" s="8"/>
      <c r="V287" s="38"/>
      <c r="W287" s="1"/>
      <c r="X287" s="1"/>
      <c r="Y287" s="16"/>
      <c r="Z287" s="16"/>
      <c r="AA287" s="16"/>
      <c r="AB287" s="16"/>
      <c r="AC287" s="16"/>
      <c r="AD287" s="16"/>
      <c r="AE287" s="16"/>
      <c r="AF287" s="16"/>
      <c r="AG287" s="16"/>
      <c r="AH287" s="16"/>
      <c r="AI287" s="16"/>
    </row>
    <row r="288" spans="1:35">
      <c r="A288" s="15"/>
      <c r="B288" s="15"/>
      <c r="C288" s="16"/>
      <c r="D288" s="16"/>
      <c r="E288" s="16"/>
      <c r="F288" s="16"/>
      <c r="G288" s="16"/>
      <c r="H288" s="16"/>
      <c r="I288" s="16"/>
      <c r="J288" s="16"/>
      <c r="K288" s="16"/>
      <c r="L288" s="25"/>
      <c r="M288" s="25"/>
      <c r="N288" s="25"/>
      <c r="O288" s="16"/>
      <c r="P288" s="1"/>
      <c r="Q288" s="8"/>
      <c r="R288" s="8"/>
      <c r="S288" s="1"/>
      <c r="T288" s="8"/>
      <c r="U288" s="8"/>
      <c r="V288" s="38"/>
      <c r="W288" s="1"/>
      <c r="X288" s="1"/>
      <c r="Y288" s="16"/>
      <c r="Z288" s="16"/>
      <c r="AA288" s="16"/>
      <c r="AB288" s="16"/>
      <c r="AC288" s="16"/>
      <c r="AD288" s="16"/>
      <c r="AE288" s="16"/>
      <c r="AF288" s="16"/>
      <c r="AG288" s="16"/>
      <c r="AH288" s="16"/>
      <c r="AI288" s="16"/>
    </row>
    <row r="289" spans="1:35">
      <c r="A289" s="15"/>
      <c r="B289" s="15"/>
      <c r="C289" s="16"/>
      <c r="D289" s="16"/>
      <c r="E289" s="16"/>
      <c r="F289" s="16"/>
      <c r="G289" s="16"/>
      <c r="H289" s="16"/>
      <c r="I289" s="16"/>
      <c r="J289" s="16"/>
      <c r="K289" s="16"/>
      <c r="L289" s="25"/>
      <c r="M289" s="25"/>
      <c r="N289" s="25"/>
      <c r="O289" s="16"/>
      <c r="P289" s="1"/>
      <c r="Q289" s="8"/>
      <c r="R289" s="8"/>
      <c r="S289" s="1"/>
      <c r="T289" s="8"/>
      <c r="U289" s="8"/>
      <c r="V289" s="38"/>
      <c r="W289" s="1"/>
      <c r="X289" s="1"/>
      <c r="Y289" s="16"/>
      <c r="Z289" s="16"/>
      <c r="AA289" s="16"/>
      <c r="AB289" s="16"/>
      <c r="AC289" s="16"/>
      <c r="AD289" s="16"/>
      <c r="AE289" s="16"/>
      <c r="AF289" s="16"/>
      <c r="AG289" s="16"/>
      <c r="AH289" s="16"/>
      <c r="AI289" s="16"/>
    </row>
    <row r="290" spans="1:35">
      <c r="A290" s="15"/>
      <c r="B290" s="15"/>
      <c r="C290" s="16"/>
      <c r="D290" s="16"/>
      <c r="E290" s="16"/>
      <c r="F290" s="16"/>
      <c r="G290" s="16"/>
      <c r="H290" s="16"/>
      <c r="I290" s="16"/>
      <c r="J290" s="16"/>
      <c r="K290" s="16"/>
      <c r="L290" s="25"/>
      <c r="M290" s="25"/>
      <c r="N290" s="25"/>
      <c r="O290" s="16"/>
      <c r="P290" s="1"/>
      <c r="Q290" s="8"/>
      <c r="R290" s="8"/>
      <c r="S290" s="1"/>
      <c r="T290" s="8"/>
      <c r="U290" s="8"/>
      <c r="V290" s="38"/>
      <c r="W290" s="1"/>
      <c r="X290" s="1"/>
      <c r="Y290" s="16"/>
      <c r="Z290" s="16"/>
      <c r="AA290" s="16"/>
      <c r="AB290" s="16"/>
      <c r="AC290" s="16"/>
      <c r="AD290" s="16"/>
      <c r="AE290" s="16"/>
      <c r="AF290" s="16"/>
      <c r="AG290" s="16"/>
      <c r="AH290" s="16"/>
      <c r="AI290" s="16"/>
    </row>
    <row r="291" spans="1:35">
      <c r="A291" s="15"/>
      <c r="B291" s="15"/>
      <c r="C291" s="16"/>
      <c r="D291" s="16"/>
      <c r="E291" s="16"/>
      <c r="F291" s="16"/>
      <c r="G291" s="16"/>
      <c r="H291" s="16"/>
      <c r="I291" s="16"/>
      <c r="J291" s="16"/>
      <c r="K291" s="16"/>
      <c r="L291" s="25"/>
      <c r="M291" s="25"/>
      <c r="N291" s="25"/>
      <c r="O291" s="16"/>
      <c r="P291" s="1"/>
      <c r="Q291" s="8"/>
      <c r="R291" s="8"/>
      <c r="S291" s="1"/>
      <c r="T291" s="8"/>
      <c r="U291" s="8"/>
      <c r="V291" s="38"/>
      <c r="W291" s="1"/>
      <c r="X291" s="1"/>
      <c r="Y291" s="16"/>
      <c r="Z291" s="16"/>
      <c r="AA291" s="16"/>
      <c r="AB291" s="16"/>
      <c r="AC291" s="16"/>
      <c r="AD291" s="16"/>
      <c r="AE291" s="16"/>
      <c r="AF291" s="16"/>
      <c r="AG291" s="16"/>
      <c r="AH291" s="16"/>
      <c r="AI291" s="16"/>
    </row>
    <row r="292" spans="1:35">
      <c r="A292" s="15"/>
      <c r="B292" s="15"/>
      <c r="C292" s="16"/>
      <c r="D292" s="16"/>
      <c r="E292" s="16"/>
      <c r="F292" s="16"/>
      <c r="G292" s="16"/>
      <c r="H292" s="16"/>
      <c r="I292" s="16"/>
      <c r="J292" s="16"/>
      <c r="K292" s="16"/>
      <c r="L292" s="25"/>
      <c r="M292" s="25"/>
      <c r="N292" s="25"/>
      <c r="O292" s="16"/>
      <c r="P292" s="1"/>
      <c r="Q292" s="8"/>
      <c r="R292" s="8"/>
      <c r="S292" s="1"/>
      <c r="T292" s="8"/>
      <c r="U292" s="8"/>
      <c r="V292" s="38"/>
      <c r="W292" s="1"/>
      <c r="X292" s="1"/>
      <c r="Y292" s="16"/>
      <c r="Z292" s="16"/>
      <c r="AA292" s="16"/>
      <c r="AB292" s="16"/>
      <c r="AC292" s="16"/>
      <c r="AD292" s="16"/>
      <c r="AE292" s="16"/>
      <c r="AF292" s="16"/>
      <c r="AG292" s="16"/>
      <c r="AH292" s="16"/>
      <c r="AI292" s="16"/>
    </row>
    <row r="293" spans="1:35">
      <c r="A293" s="15"/>
      <c r="B293" s="15"/>
      <c r="C293" s="16"/>
      <c r="D293" s="16"/>
      <c r="E293" s="16"/>
      <c r="F293" s="16"/>
      <c r="G293" s="16"/>
      <c r="H293" s="16"/>
      <c r="I293" s="16"/>
      <c r="J293" s="16"/>
      <c r="K293" s="16"/>
      <c r="L293" s="25"/>
      <c r="M293" s="25"/>
      <c r="N293" s="25"/>
      <c r="O293" s="16"/>
      <c r="P293" s="1"/>
      <c r="Q293" s="8"/>
      <c r="R293" s="8"/>
      <c r="S293" s="1"/>
      <c r="T293" s="8"/>
      <c r="U293" s="8"/>
      <c r="V293" s="38"/>
      <c r="W293" s="1"/>
      <c r="X293" s="1"/>
      <c r="Y293" s="16"/>
      <c r="Z293" s="16"/>
      <c r="AA293" s="16"/>
      <c r="AB293" s="16"/>
      <c r="AC293" s="16"/>
      <c r="AD293" s="16"/>
      <c r="AE293" s="16"/>
      <c r="AF293" s="16"/>
      <c r="AG293" s="16"/>
      <c r="AH293" s="16"/>
      <c r="AI293" s="16"/>
    </row>
    <row r="294" spans="1:35">
      <c r="A294" s="15"/>
      <c r="B294" s="15"/>
      <c r="C294" s="16"/>
      <c r="D294" s="16"/>
      <c r="E294" s="16"/>
      <c r="F294" s="16"/>
      <c r="G294" s="16"/>
      <c r="H294" s="16"/>
      <c r="I294" s="16"/>
      <c r="J294" s="16"/>
      <c r="K294" s="16"/>
      <c r="L294" s="25"/>
      <c r="M294" s="25"/>
      <c r="N294" s="25"/>
      <c r="O294" s="16"/>
      <c r="P294" s="1"/>
      <c r="Q294" s="8"/>
      <c r="R294" s="8"/>
      <c r="S294" s="1"/>
      <c r="T294" s="8"/>
      <c r="U294" s="8"/>
      <c r="V294" s="38"/>
      <c r="W294" s="1"/>
      <c r="X294" s="1"/>
      <c r="Y294" s="16"/>
      <c r="Z294" s="16"/>
      <c r="AA294" s="16"/>
      <c r="AB294" s="16"/>
      <c r="AC294" s="16"/>
      <c r="AD294" s="16"/>
      <c r="AE294" s="16"/>
      <c r="AF294" s="16"/>
      <c r="AG294" s="16"/>
      <c r="AH294" s="16"/>
      <c r="AI294" s="16"/>
    </row>
    <row r="295" spans="1:35">
      <c r="A295" s="15"/>
      <c r="B295" s="15"/>
      <c r="C295" s="16"/>
      <c r="D295" s="16"/>
      <c r="E295" s="16"/>
      <c r="F295" s="16"/>
      <c r="G295" s="16"/>
      <c r="H295" s="16"/>
      <c r="I295" s="16"/>
      <c r="J295" s="16"/>
      <c r="K295" s="16"/>
      <c r="L295" s="25"/>
      <c r="M295" s="25"/>
      <c r="N295" s="25"/>
      <c r="O295" s="16"/>
      <c r="P295" s="1"/>
      <c r="Q295" s="8"/>
      <c r="R295" s="8"/>
      <c r="S295" s="1"/>
      <c r="T295" s="8"/>
      <c r="U295" s="8"/>
      <c r="V295" s="38"/>
      <c r="W295" s="1"/>
      <c r="X295" s="1"/>
      <c r="Y295" s="16"/>
      <c r="Z295" s="16"/>
      <c r="AA295" s="16"/>
      <c r="AB295" s="16"/>
      <c r="AC295" s="16"/>
      <c r="AD295" s="16"/>
      <c r="AE295" s="16"/>
      <c r="AF295" s="16"/>
      <c r="AG295" s="16"/>
      <c r="AH295" s="16"/>
      <c r="AI295" s="16"/>
    </row>
    <row r="296" spans="1:35">
      <c r="A296" s="15"/>
      <c r="B296" s="15"/>
      <c r="C296" s="16"/>
      <c r="D296" s="16"/>
      <c r="E296" s="16"/>
      <c r="F296" s="16"/>
      <c r="G296" s="16"/>
      <c r="H296" s="16"/>
      <c r="I296" s="16"/>
      <c r="J296" s="16"/>
      <c r="K296" s="16"/>
      <c r="L296" s="25"/>
      <c r="M296" s="25"/>
      <c r="N296" s="25"/>
      <c r="O296" s="16"/>
      <c r="P296" s="1"/>
      <c r="Q296" s="8"/>
      <c r="R296" s="8"/>
      <c r="S296" s="1"/>
      <c r="T296" s="8"/>
      <c r="U296" s="8"/>
      <c r="V296" s="38"/>
      <c r="W296" s="1"/>
      <c r="X296" s="1"/>
      <c r="Y296" s="16"/>
      <c r="Z296" s="16"/>
      <c r="AA296" s="16"/>
      <c r="AB296" s="16"/>
      <c r="AC296" s="16"/>
      <c r="AD296" s="16"/>
      <c r="AE296" s="16"/>
      <c r="AF296" s="16"/>
      <c r="AG296" s="16"/>
      <c r="AH296" s="16"/>
      <c r="AI296" s="16"/>
    </row>
    <row r="297" spans="1:35">
      <c r="A297" s="15"/>
      <c r="B297" s="15"/>
      <c r="C297" s="16"/>
      <c r="D297" s="16"/>
      <c r="E297" s="16"/>
      <c r="F297" s="16"/>
      <c r="G297" s="16"/>
      <c r="H297" s="16"/>
      <c r="I297" s="16"/>
      <c r="J297" s="16"/>
      <c r="K297" s="16"/>
      <c r="L297" s="25"/>
      <c r="M297" s="25"/>
      <c r="N297" s="25"/>
      <c r="O297" s="16"/>
      <c r="P297" s="1"/>
      <c r="Q297" s="8"/>
      <c r="R297" s="8"/>
      <c r="S297" s="1"/>
      <c r="T297" s="8"/>
      <c r="U297" s="8"/>
      <c r="V297" s="38"/>
      <c r="W297" s="1"/>
      <c r="X297" s="1"/>
      <c r="Y297" s="16"/>
      <c r="Z297" s="16"/>
      <c r="AA297" s="16"/>
      <c r="AB297" s="16"/>
      <c r="AC297" s="16"/>
      <c r="AD297" s="16"/>
      <c r="AE297" s="16"/>
      <c r="AF297" s="16"/>
      <c r="AG297" s="16"/>
      <c r="AH297" s="16"/>
      <c r="AI297" s="16"/>
    </row>
    <row r="298" spans="1:35">
      <c r="A298" s="15"/>
      <c r="B298" s="15"/>
      <c r="C298" s="16"/>
      <c r="D298" s="16"/>
      <c r="E298" s="16"/>
      <c r="F298" s="16"/>
      <c r="G298" s="16"/>
      <c r="H298" s="16"/>
      <c r="I298" s="16"/>
      <c r="J298" s="16"/>
      <c r="K298" s="16"/>
      <c r="L298" s="25"/>
      <c r="M298" s="25"/>
      <c r="N298" s="25"/>
      <c r="O298" s="16"/>
      <c r="P298" s="1"/>
      <c r="Q298" s="8"/>
      <c r="R298" s="8"/>
      <c r="S298" s="1"/>
      <c r="T298" s="8"/>
      <c r="U298" s="8"/>
      <c r="V298" s="38"/>
      <c r="W298" s="1"/>
      <c r="X298" s="1"/>
      <c r="Y298" s="16"/>
      <c r="Z298" s="16"/>
      <c r="AA298" s="16"/>
      <c r="AB298" s="16"/>
      <c r="AC298" s="16"/>
      <c r="AD298" s="16"/>
      <c r="AE298" s="16"/>
      <c r="AF298" s="16"/>
      <c r="AG298" s="16"/>
      <c r="AH298" s="16"/>
      <c r="AI298" s="16"/>
    </row>
    <row r="299" spans="1:35">
      <c r="A299" s="15"/>
      <c r="B299" s="15"/>
      <c r="C299" s="16"/>
      <c r="D299" s="16"/>
      <c r="E299" s="16"/>
      <c r="F299" s="16"/>
      <c r="G299" s="16"/>
      <c r="H299" s="16"/>
      <c r="I299" s="16"/>
      <c r="J299" s="16"/>
      <c r="K299" s="16"/>
      <c r="L299" s="25"/>
      <c r="M299" s="25"/>
      <c r="N299" s="25"/>
      <c r="O299" s="16"/>
      <c r="P299" s="1"/>
      <c r="Q299" s="8"/>
      <c r="R299" s="8"/>
      <c r="S299" s="1"/>
      <c r="T299" s="8"/>
      <c r="U299" s="8"/>
      <c r="V299" s="38"/>
      <c r="W299" s="1"/>
      <c r="X299" s="1"/>
      <c r="Y299" s="16"/>
      <c r="Z299" s="16"/>
      <c r="AA299" s="16"/>
      <c r="AB299" s="16"/>
      <c r="AC299" s="16"/>
      <c r="AD299" s="16"/>
      <c r="AE299" s="16"/>
      <c r="AF299" s="16"/>
      <c r="AG299" s="16"/>
      <c r="AH299" s="16"/>
      <c r="AI299" s="16"/>
    </row>
    <row r="300" spans="1:35">
      <c r="A300" s="15"/>
      <c r="B300" s="15"/>
      <c r="C300" s="16"/>
      <c r="D300" s="16"/>
      <c r="E300" s="16"/>
      <c r="F300" s="16"/>
      <c r="G300" s="16"/>
      <c r="H300" s="16"/>
      <c r="I300" s="16"/>
      <c r="J300" s="16"/>
      <c r="K300" s="16"/>
      <c r="L300" s="25"/>
      <c r="M300" s="25"/>
      <c r="N300" s="25"/>
      <c r="O300" s="16"/>
      <c r="P300" s="1"/>
      <c r="Q300" s="8"/>
      <c r="R300" s="8"/>
      <c r="S300" s="1"/>
      <c r="T300" s="8"/>
      <c r="U300" s="8"/>
      <c r="V300" s="38"/>
      <c r="W300" s="1"/>
      <c r="X300" s="1"/>
      <c r="Y300" s="16"/>
      <c r="Z300" s="16"/>
      <c r="AA300" s="16"/>
      <c r="AB300" s="16"/>
      <c r="AC300" s="16"/>
      <c r="AD300" s="16"/>
      <c r="AE300" s="16"/>
      <c r="AF300" s="16"/>
      <c r="AG300" s="16"/>
      <c r="AH300" s="16"/>
      <c r="AI300" s="16"/>
    </row>
    <row r="301" spans="1:35">
      <c r="A301" s="15"/>
      <c r="B301" s="15"/>
      <c r="C301" s="16"/>
      <c r="D301" s="16"/>
      <c r="E301" s="16"/>
      <c r="F301" s="16"/>
      <c r="G301" s="16"/>
      <c r="H301" s="16"/>
      <c r="I301" s="16"/>
      <c r="J301" s="16"/>
      <c r="K301" s="16"/>
      <c r="L301" s="25"/>
      <c r="M301" s="25"/>
      <c r="N301" s="25"/>
      <c r="O301" s="16"/>
      <c r="P301" s="1"/>
      <c r="Q301" s="8"/>
      <c r="R301" s="8"/>
      <c r="S301" s="1"/>
      <c r="T301" s="8"/>
      <c r="U301" s="8"/>
      <c r="V301" s="38"/>
      <c r="W301" s="1"/>
      <c r="X301" s="1"/>
      <c r="Y301" s="16"/>
      <c r="Z301" s="16"/>
      <c r="AA301" s="16"/>
      <c r="AB301" s="16"/>
      <c r="AC301" s="16"/>
      <c r="AD301" s="16"/>
      <c r="AE301" s="16"/>
      <c r="AF301" s="16"/>
      <c r="AG301" s="16"/>
      <c r="AH301" s="16"/>
      <c r="AI301" s="16"/>
    </row>
    <row r="302" spans="1:35">
      <c r="A302" s="15"/>
      <c r="B302" s="15"/>
      <c r="C302" s="16"/>
      <c r="D302" s="16"/>
      <c r="E302" s="16"/>
      <c r="F302" s="16"/>
      <c r="G302" s="16"/>
      <c r="H302" s="16"/>
      <c r="I302" s="16"/>
      <c r="J302" s="16"/>
      <c r="K302" s="16"/>
      <c r="L302" s="25"/>
      <c r="M302" s="25"/>
      <c r="N302" s="25"/>
      <c r="O302" s="16"/>
      <c r="P302" s="1"/>
      <c r="Q302" s="8"/>
      <c r="R302" s="8"/>
      <c r="S302" s="1"/>
      <c r="T302" s="8"/>
      <c r="U302" s="8"/>
      <c r="V302" s="38"/>
      <c r="W302" s="1"/>
      <c r="X302" s="1"/>
      <c r="Y302" s="16"/>
      <c r="Z302" s="16"/>
      <c r="AA302" s="16"/>
      <c r="AB302" s="16"/>
      <c r="AC302" s="16"/>
      <c r="AD302" s="16"/>
      <c r="AE302" s="16"/>
      <c r="AF302" s="16"/>
      <c r="AG302" s="16"/>
      <c r="AH302" s="16"/>
      <c r="AI302" s="16"/>
    </row>
    <row r="303" spans="1:35">
      <c r="A303" s="15"/>
      <c r="B303" s="15"/>
      <c r="C303" s="16"/>
      <c r="D303" s="16"/>
      <c r="E303" s="16"/>
      <c r="F303" s="16"/>
      <c r="G303" s="16"/>
      <c r="H303" s="16"/>
      <c r="I303" s="16"/>
      <c r="J303" s="16"/>
      <c r="K303" s="16"/>
      <c r="L303" s="25"/>
      <c r="M303" s="25"/>
      <c r="N303" s="25"/>
      <c r="O303" s="16"/>
      <c r="P303" s="1"/>
      <c r="Q303" s="8"/>
      <c r="R303" s="8"/>
      <c r="S303" s="1"/>
      <c r="T303" s="8"/>
      <c r="U303" s="8"/>
      <c r="V303" s="38"/>
      <c r="W303" s="1"/>
      <c r="X303" s="1"/>
      <c r="Y303" s="16"/>
      <c r="Z303" s="16"/>
      <c r="AA303" s="16"/>
      <c r="AB303" s="16"/>
      <c r="AC303" s="16"/>
      <c r="AD303" s="16"/>
      <c r="AE303" s="16"/>
      <c r="AF303" s="16"/>
      <c r="AG303" s="16"/>
      <c r="AH303" s="16"/>
      <c r="AI303" s="16"/>
    </row>
    <row r="304" spans="1:35">
      <c r="A304" s="15"/>
      <c r="B304" s="15"/>
      <c r="C304" s="16"/>
      <c r="D304" s="16"/>
      <c r="E304" s="16"/>
      <c r="F304" s="16"/>
      <c r="G304" s="16"/>
      <c r="H304" s="16"/>
      <c r="I304" s="16"/>
      <c r="J304" s="16"/>
      <c r="K304" s="16"/>
      <c r="L304" s="25"/>
      <c r="M304" s="25"/>
      <c r="N304" s="25"/>
      <c r="O304" s="16"/>
      <c r="P304" s="1"/>
      <c r="Q304" s="8"/>
      <c r="R304" s="8"/>
      <c r="S304" s="1"/>
      <c r="T304" s="8"/>
      <c r="U304" s="8"/>
      <c r="V304" s="38"/>
      <c r="W304" s="1"/>
      <c r="X304" s="1"/>
      <c r="Y304" s="16"/>
      <c r="Z304" s="16"/>
      <c r="AA304" s="16"/>
      <c r="AB304" s="16"/>
      <c r="AC304" s="16"/>
      <c r="AD304" s="16"/>
      <c r="AE304" s="16"/>
      <c r="AF304" s="16"/>
      <c r="AG304" s="16"/>
      <c r="AH304" s="16"/>
      <c r="AI304" s="16"/>
    </row>
    <row r="305" spans="1:35">
      <c r="A305" s="15"/>
      <c r="B305" s="15"/>
      <c r="C305" s="16"/>
      <c r="D305" s="16"/>
      <c r="E305" s="16"/>
      <c r="F305" s="16"/>
      <c r="G305" s="16"/>
      <c r="H305" s="16"/>
      <c r="I305" s="16"/>
      <c r="J305" s="16"/>
      <c r="K305" s="16"/>
      <c r="L305" s="25"/>
      <c r="M305" s="25"/>
      <c r="N305" s="25"/>
      <c r="O305" s="16"/>
      <c r="P305" s="1"/>
      <c r="Q305" s="8"/>
      <c r="R305" s="8"/>
      <c r="S305" s="1"/>
      <c r="T305" s="8"/>
      <c r="U305" s="8"/>
      <c r="V305" s="38"/>
      <c r="W305" s="1"/>
      <c r="X305" s="1"/>
      <c r="Y305" s="16"/>
      <c r="Z305" s="16"/>
      <c r="AA305" s="16"/>
      <c r="AB305" s="16"/>
      <c r="AC305" s="16"/>
      <c r="AD305" s="16"/>
      <c r="AE305" s="16"/>
      <c r="AF305" s="16"/>
      <c r="AG305" s="16"/>
      <c r="AH305" s="16"/>
      <c r="AI305" s="16"/>
    </row>
    <row r="306" spans="1:35">
      <c r="A306" s="15"/>
      <c r="B306" s="15"/>
      <c r="C306" s="16"/>
      <c r="D306" s="16"/>
      <c r="E306" s="16"/>
      <c r="F306" s="16"/>
      <c r="G306" s="16"/>
      <c r="H306" s="16"/>
      <c r="I306" s="16"/>
      <c r="J306" s="16"/>
      <c r="K306" s="16"/>
      <c r="L306" s="25"/>
      <c r="M306" s="25"/>
      <c r="N306" s="25"/>
      <c r="O306" s="16"/>
      <c r="P306" s="1"/>
      <c r="Q306" s="8"/>
      <c r="R306" s="8"/>
      <c r="S306" s="1"/>
      <c r="T306" s="8"/>
      <c r="U306" s="8"/>
      <c r="V306" s="38"/>
      <c r="W306" s="1"/>
      <c r="X306" s="1"/>
      <c r="Y306" s="16"/>
      <c r="Z306" s="16"/>
      <c r="AA306" s="16"/>
      <c r="AB306" s="16"/>
      <c r="AC306" s="16"/>
      <c r="AD306" s="16"/>
      <c r="AE306" s="16"/>
      <c r="AF306" s="16"/>
      <c r="AG306" s="16"/>
      <c r="AH306" s="16"/>
      <c r="AI306" s="16"/>
    </row>
    <row r="307" spans="1:35">
      <c r="A307" s="15"/>
      <c r="B307" s="15"/>
      <c r="C307" s="16"/>
      <c r="D307" s="16"/>
      <c r="E307" s="16"/>
      <c r="F307" s="16"/>
      <c r="G307" s="16"/>
      <c r="H307" s="16"/>
      <c r="I307" s="16"/>
      <c r="J307" s="16"/>
      <c r="K307" s="16"/>
      <c r="L307" s="25"/>
      <c r="M307" s="25"/>
      <c r="N307" s="25"/>
      <c r="O307" s="16"/>
      <c r="P307" s="1"/>
      <c r="Q307" s="8"/>
      <c r="R307" s="8"/>
      <c r="S307" s="1"/>
      <c r="T307" s="8"/>
      <c r="U307" s="8"/>
      <c r="V307" s="38"/>
      <c r="W307" s="1"/>
      <c r="X307" s="1"/>
      <c r="Y307" s="16"/>
      <c r="Z307" s="16"/>
      <c r="AA307" s="16"/>
      <c r="AB307" s="16"/>
      <c r="AC307" s="16"/>
      <c r="AD307" s="16"/>
      <c r="AE307" s="16"/>
      <c r="AF307" s="16"/>
      <c r="AG307" s="16"/>
      <c r="AH307" s="16"/>
      <c r="AI307" s="16"/>
    </row>
    <row r="308" spans="1:35">
      <c r="A308" s="15"/>
      <c r="B308" s="15"/>
      <c r="C308" s="16"/>
      <c r="D308" s="16"/>
      <c r="E308" s="16"/>
      <c r="F308" s="16"/>
      <c r="G308" s="16"/>
      <c r="H308" s="16"/>
      <c r="I308" s="16"/>
      <c r="J308" s="16"/>
      <c r="K308" s="16"/>
      <c r="L308" s="25"/>
      <c r="M308" s="25"/>
      <c r="N308" s="25"/>
      <c r="O308" s="16"/>
      <c r="P308" s="1"/>
      <c r="Q308" s="8"/>
      <c r="R308" s="8"/>
      <c r="S308" s="1"/>
      <c r="T308" s="8"/>
      <c r="U308" s="8"/>
      <c r="V308" s="38"/>
      <c r="W308" s="1"/>
      <c r="X308" s="1"/>
      <c r="Y308" s="16"/>
      <c r="Z308" s="16"/>
      <c r="AA308" s="16"/>
      <c r="AB308" s="16"/>
      <c r="AC308" s="16"/>
      <c r="AD308" s="16"/>
      <c r="AE308" s="16"/>
      <c r="AF308" s="16"/>
      <c r="AG308" s="16"/>
      <c r="AH308" s="16"/>
      <c r="AI308" s="16"/>
    </row>
    <row r="309" spans="1:35">
      <c r="A309" s="15"/>
      <c r="B309" s="15"/>
      <c r="C309" s="16"/>
      <c r="D309" s="16"/>
      <c r="E309" s="16"/>
      <c r="F309" s="16"/>
      <c r="G309" s="16"/>
      <c r="H309" s="16"/>
      <c r="I309" s="16"/>
      <c r="J309" s="16"/>
      <c r="K309" s="16"/>
      <c r="L309" s="25"/>
      <c r="M309" s="25"/>
      <c r="N309" s="25"/>
      <c r="O309" s="16"/>
      <c r="P309" s="1"/>
      <c r="Q309" s="8"/>
      <c r="R309" s="8"/>
      <c r="S309" s="1"/>
      <c r="T309" s="8"/>
      <c r="U309" s="8"/>
      <c r="V309" s="38"/>
      <c r="W309" s="1"/>
      <c r="X309" s="1"/>
      <c r="Y309" s="16"/>
      <c r="Z309" s="16"/>
      <c r="AA309" s="16"/>
      <c r="AB309" s="16"/>
      <c r="AC309" s="16"/>
      <c r="AD309" s="16"/>
      <c r="AE309" s="16"/>
      <c r="AF309" s="16"/>
      <c r="AG309" s="16"/>
      <c r="AH309" s="16"/>
      <c r="AI309" s="16"/>
    </row>
    <row r="310" spans="1:35">
      <c r="A310" s="15"/>
      <c r="B310" s="15"/>
      <c r="C310" s="16"/>
      <c r="D310" s="16"/>
      <c r="E310" s="16"/>
      <c r="F310" s="16"/>
      <c r="G310" s="16"/>
      <c r="H310" s="16"/>
      <c r="I310" s="16"/>
      <c r="J310" s="16"/>
      <c r="K310" s="16"/>
      <c r="L310" s="25"/>
      <c r="M310" s="25"/>
      <c r="N310" s="25"/>
      <c r="O310" s="16"/>
      <c r="P310" s="1"/>
      <c r="Q310" s="8"/>
      <c r="R310" s="8"/>
      <c r="S310" s="1"/>
      <c r="T310" s="8"/>
      <c r="U310" s="8"/>
      <c r="V310" s="38"/>
      <c r="W310" s="1"/>
      <c r="X310" s="1"/>
      <c r="Y310" s="16"/>
      <c r="Z310" s="16"/>
      <c r="AA310" s="16"/>
      <c r="AB310" s="16"/>
      <c r="AC310" s="16"/>
      <c r="AD310" s="16"/>
      <c r="AE310" s="16"/>
      <c r="AF310" s="16"/>
      <c r="AG310" s="16"/>
      <c r="AH310" s="16"/>
      <c r="AI310" s="16"/>
    </row>
    <row r="311" spans="1:35">
      <c r="A311" s="15"/>
      <c r="B311" s="15"/>
      <c r="C311" s="16"/>
      <c r="D311" s="16"/>
      <c r="E311" s="16"/>
      <c r="F311" s="16"/>
      <c r="G311" s="16"/>
      <c r="H311" s="16"/>
      <c r="I311" s="16"/>
      <c r="J311" s="16"/>
      <c r="K311" s="16"/>
      <c r="L311" s="25"/>
      <c r="M311" s="25"/>
      <c r="N311" s="25"/>
      <c r="O311" s="16"/>
      <c r="P311" s="1"/>
      <c r="Q311" s="8"/>
      <c r="R311" s="8"/>
      <c r="S311" s="1"/>
      <c r="T311" s="8"/>
      <c r="U311" s="8"/>
      <c r="V311" s="38"/>
      <c r="W311" s="1"/>
      <c r="X311" s="1"/>
      <c r="Y311" s="16"/>
      <c r="Z311" s="16"/>
      <c r="AA311" s="16"/>
      <c r="AB311" s="16"/>
      <c r="AC311" s="16"/>
      <c r="AD311" s="16"/>
      <c r="AE311" s="16"/>
      <c r="AF311" s="16"/>
      <c r="AG311" s="16"/>
      <c r="AH311" s="16"/>
      <c r="AI311" s="16"/>
    </row>
    <row r="312" spans="1:35">
      <c r="A312" s="15"/>
      <c r="B312" s="15"/>
      <c r="C312" s="16"/>
      <c r="D312" s="16"/>
      <c r="E312" s="16"/>
      <c r="F312" s="16"/>
      <c r="G312" s="16"/>
      <c r="H312" s="16"/>
      <c r="I312" s="16"/>
      <c r="J312" s="16"/>
      <c r="K312" s="16"/>
      <c r="L312" s="25"/>
      <c r="M312" s="25"/>
      <c r="N312" s="25"/>
      <c r="O312" s="16"/>
      <c r="P312" s="1"/>
      <c r="Q312" s="8"/>
      <c r="R312" s="8"/>
      <c r="S312" s="1"/>
      <c r="T312" s="8"/>
      <c r="U312" s="8"/>
      <c r="V312" s="38"/>
      <c r="W312" s="1"/>
      <c r="X312" s="1"/>
      <c r="Y312" s="16"/>
      <c r="Z312" s="16"/>
      <c r="AA312" s="16"/>
      <c r="AB312" s="16"/>
      <c r="AC312" s="16"/>
      <c r="AD312" s="16"/>
      <c r="AE312" s="16"/>
      <c r="AF312" s="16"/>
      <c r="AG312" s="16"/>
      <c r="AH312" s="16"/>
      <c r="AI312" s="16"/>
    </row>
    <row r="313" spans="1:35">
      <c r="A313" s="15"/>
      <c r="B313" s="15"/>
      <c r="C313" s="16"/>
      <c r="D313" s="16"/>
      <c r="E313" s="16"/>
      <c r="F313" s="16"/>
      <c r="G313" s="16"/>
      <c r="H313" s="16"/>
      <c r="I313" s="16"/>
      <c r="J313" s="16"/>
      <c r="K313" s="16"/>
      <c r="L313" s="25"/>
      <c r="M313" s="25"/>
      <c r="N313" s="25"/>
      <c r="O313" s="16"/>
      <c r="P313" s="1"/>
      <c r="Q313" s="8"/>
      <c r="R313" s="8"/>
      <c r="S313" s="1"/>
      <c r="T313" s="8"/>
      <c r="U313" s="8"/>
      <c r="V313" s="38"/>
      <c r="W313" s="1"/>
      <c r="X313" s="1"/>
      <c r="Y313" s="16"/>
      <c r="Z313" s="16"/>
      <c r="AA313" s="16"/>
      <c r="AB313" s="16"/>
      <c r="AC313" s="16"/>
      <c r="AD313" s="16"/>
      <c r="AE313" s="16"/>
      <c r="AF313" s="16"/>
      <c r="AG313" s="16"/>
      <c r="AH313" s="16"/>
      <c r="AI313" s="16"/>
    </row>
    <row r="314" spans="1:35">
      <c r="A314" s="15"/>
      <c r="B314" s="15"/>
      <c r="C314" s="16"/>
      <c r="D314" s="16"/>
      <c r="E314" s="16"/>
      <c r="F314" s="16"/>
      <c r="G314" s="16"/>
      <c r="H314" s="16"/>
      <c r="I314" s="16"/>
      <c r="J314" s="16"/>
      <c r="K314" s="16"/>
      <c r="L314" s="25"/>
      <c r="M314" s="25"/>
      <c r="N314" s="25"/>
      <c r="O314" s="16"/>
      <c r="P314" s="1"/>
      <c r="Q314" s="8"/>
      <c r="R314" s="8"/>
      <c r="S314" s="1"/>
      <c r="T314" s="8"/>
      <c r="U314" s="8"/>
      <c r="V314" s="38"/>
      <c r="W314" s="1"/>
      <c r="X314" s="1"/>
      <c r="Y314" s="16"/>
      <c r="Z314" s="16"/>
      <c r="AA314" s="16"/>
      <c r="AB314" s="16"/>
      <c r="AC314" s="16"/>
      <c r="AD314" s="16"/>
      <c r="AE314" s="16"/>
      <c r="AF314" s="16"/>
      <c r="AG314" s="16"/>
      <c r="AH314" s="16"/>
      <c r="AI314" s="16"/>
    </row>
    <row r="315" spans="1:35">
      <c r="A315" s="15"/>
      <c r="B315" s="15"/>
      <c r="C315" s="16"/>
      <c r="D315" s="16"/>
      <c r="E315" s="16"/>
      <c r="F315" s="16"/>
      <c r="G315" s="16"/>
      <c r="H315" s="16"/>
      <c r="I315" s="16"/>
      <c r="J315" s="16"/>
      <c r="K315" s="16"/>
      <c r="L315" s="25"/>
      <c r="M315" s="25"/>
      <c r="N315" s="25"/>
      <c r="O315" s="16"/>
      <c r="P315" s="1"/>
      <c r="Q315" s="8"/>
      <c r="R315" s="8"/>
      <c r="S315" s="1"/>
      <c r="T315" s="8"/>
      <c r="U315" s="8"/>
      <c r="V315" s="38"/>
      <c r="W315" s="1"/>
      <c r="X315" s="1"/>
      <c r="Y315" s="16"/>
      <c r="Z315" s="16"/>
      <c r="AA315" s="16"/>
      <c r="AB315" s="16"/>
      <c r="AC315" s="16"/>
      <c r="AD315" s="16"/>
      <c r="AE315" s="16"/>
      <c r="AF315" s="16"/>
      <c r="AG315" s="16"/>
      <c r="AH315" s="16"/>
      <c r="AI315" s="16"/>
    </row>
    <row r="316" spans="1:35">
      <c r="A316" s="15"/>
      <c r="B316" s="15"/>
      <c r="C316" s="16"/>
      <c r="D316" s="16"/>
      <c r="E316" s="16"/>
      <c r="F316" s="16"/>
      <c r="G316" s="16"/>
      <c r="H316" s="16"/>
      <c r="I316" s="16"/>
      <c r="J316" s="16"/>
      <c r="K316" s="16"/>
      <c r="L316" s="25"/>
      <c r="M316" s="25"/>
      <c r="N316" s="25"/>
      <c r="O316" s="16"/>
      <c r="P316" s="1"/>
      <c r="Q316" s="8"/>
      <c r="R316" s="8"/>
      <c r="S316" s="1"/>
      <c r="T316" s="8"/>
      <c r="U316" s="8"/>
      <c r="V316" s="38"/>
      <c r="W316" s="1"/>
      <c r="X316" s="1"/>
      <c r="Y316" s="16"/>
      <c r="Z316" s="16"/>
      <c r="AA316" s="16"/>
      <c r="AB316" s="16"/>
      <c r="AC316" s="16"/>
      <c r="AD316" s="16"/>
      <c r="AE316" s="16"/>
      <c r="AF316" s="16"/>
      <c r="AG316" s="16"/>
      <c r="AH316" s="16"/>
      <c r="AI316" s="16"/>
    </row>
    <row r="317" spans="1:35">
      <c r="A317" s="15"/>
      <c r="B317" s="15"/>
      <c r="C317" s="16"/>
      <c r="D317" s="16"/>
      <c r="E317" s="16"/>
      <c r="F317" s="16"/>
      <c r="G317" s="16"/>
      <c r="H317" s="16"/>
      <c r="I317" s="16"/>
      <c r="J317" s="16"/>
      <c r="K317" s="16"/>
      <c r="L317" s="25"/>
      <c r="M317" s="25"/>
      <c r="N317" s="25"/>
      <c r="O317" s="16"/>
      <c r="P317" s="1"/>
      <c r="Q317" s="8"/>
      <c r="R317" s="8"/>
      <c r="S317" s="1"/>
      <c r="T317" s="8"/>
      <c r="U317" s="8"/>
      <c r="V317" s="38"/>
      <c r="W317" s="1"/>
      <c r="X317" s="1"/>
      <c r="Y317" s="16"/>
      <c r="Z317" s="16"/>
      <c r="AA317" s="16"/>
      <c r="AB317" s="16"/>
      <c r="AC317" s="16"/>
      <c r="AD317" s="16"/>
      <c r="AE317" s="16"/>
      <c r="AF317" s="16"/>
      <c r="AG317" s="16"/>
      <c r="AH317" s="16"/>
      <c r="AI317" s="16"/>
    </row>
    <row r="318" spans="1:35">
      <c r="A318" s="15"/>
      <c r="B318" s="15"/>
      <c r="C318" s="16"/>
      <c r="D318" s="16"/>
      <c r="E318" s="16"/>
      <c r="F318" s="16"/>
      <c r="G318" s="16"/>
      <c r="H318" s="16"/>
      <c r="I318" s="16"/>
      <c r="J318" s="16"/>
      <c r="K318" s="16"/>
      <c r="L318" s="25"/>
      <c r="M318" s="25"/>
      <c r="N318" s="25"/>
      <c r="O318" s="16"/>
      <c r="P318" s="1"/>
      <c r="Q318" s="8"/>
      <c r="R318" s="8"/>
      <c r="S318" s="1"/>
      <c r="T318" s="8"/>
      <c r="U318" s="8"/>
      <c r="V318" s="38"/>
      <c r="W318" s="1"/>
      <c r="X318" s="1"/>
      <c r="Y318" s="16"/>
      <c r="Z318" s="16"/>
      <c r="AA318" s="16"/>
      <c r="AB318" s="16"/>
      <c r="AC318" s="16"/>
      <c r="AD318" s="16"/>
      <c r="AE318" s="16"/>
      <c r="AF318" s="16"/>
      <c r="AG318" s="16"/>
      <c r="AH318" s="16"/>
      <c r="AI318" s="16"/>
    </row>
    <row r="319" spans="1:35">
      <c r="A319" s="15"/>
      <c r="B319" s="15"/>
      <c r="C319" s="16"/>
      <c r="D319" s="16"/>
      <c r="E319" s="16"/>
      <c r="F319" s="16"/>
      <c r="G319" s="16"/>
      <c r="H319" s="16"/>
      <c r="I319" s="16"/>
      <c r="J319" s="16"/>
      <c r="K319" s="16"/>
      <c r="L319" s="25"/>
      <c r="M319" s="25"/>
      <c r="N319" s="25"/>
      <c r="O319" s="16"/>
      <c r="P319" s="1"/>
      <c r="Q319" s="8"/>
      <c r="R319" s="8"/>
      <c r="S319" s="1"/>
      <c r="T319" s="8"/>
      <c r="U319" s="8"/>
      <c r="V319" s="38"/>
      <c r="W319" s="1"/>
      <c r="X319" s="1"/>
      <c r="Y319" s="16"/>
      <c r="Z319" s="16"/>
      <c r="AA319" s="16"/>
      <c r="AB319" s="16"/>
      <c r="AC319" s="16"/>
      <c r="AD319" s="16"/>
      <c r="AE319" s="16"/>
      <c r="AF319" s="16"/>
      <c r="AG319" s="16"/>
      <c r="AH319" s="16"/>
      <c r="AI319" s="16"/>
    </row>
    <row r="320" spans="1:35">
      <c r="A320" s="15"/>
      <c r="B320" s="15"/>
      <c r="C320" s="16"/>
      <c r="D320" s="16"/>
      <c r="E320" s="16"/>
      <c r="F320" s="16"/>
      <c r="G320" s="16"/>
      <c r="H320" s="16"/>
      <c r="I320" s="16"/>
      <c r="J320" s="16"/>
      <c r="K320" s="16"/>
      <c r="L320" s="25"/>
      <c r="M320" s="25"/>
      <c r="N320" s="25"/>
      <c r="O320" s="16"/>
      <c r="P320" s="1"/>
      <c r="Q320" s="8"/>
      <c r="R320" s="8"/>
      <c r="S320" s="1"/>
      <c r="T320" s="8"/>
      <c r="U320" s="8"/>
      <c r="V320" s="38"/>
      <c r="W320" s="1"/>
      <c r="X320" s="1"/>
      <c r="Y320" s="16"/>
      <c r="Z320" s="16"/>
      <c r="AA320" s="16"/>
      <c r="AB320" s="16"/>
      <c r="AC320" s="16"/>
      <c r="AD320" s="16"/>
      <c r="AE320" s="16"/>
      <c r="AF320" s="16"/>
      <c r="AG320" s="16"/>
      <c r="AH320" s="16"/>
      <c r="AI320" s="16"/>
    </row>
    <row r="321" spans="1:35">
      <c r="A321" s="15"/>
      <c r="B321" s="15"/>
      <c r="C321" s="16"/>
      <c r="D321" s="16"/>
      <c r="E321" s="16"/>
      <c r="F321" s="16"/>
      <c r="G321" s="16"/>
      <c r="H321" s="16"/>
      <c r="I321" s="16"/>
      <c r="J321" s="16"/>
      <c r="K321" s="16"/>
      <c r="L321" s="25"/>
      <c r="M321" s="25"/>
      <c r="N321" s="25"/>
      <c r="O321" s="16"/>
      <c r="P321" s="1"/>
      <c r="Q321" s="8"/>
      <c r="R321" s="8"/>
      <c r="S321" s="1"/>
      <c r="T321" s="8"/>
      <c r="U321" s="8"/>
      <c r="V321" s="38"/>
      <c r="W321" s="1"/>
      <c r="X321" s="1"/>
      <c r="Y321" s="16"/>
      <c r="Z321" s="16"/>
      <c r="AA321" s="16"/>
      <c r="AB321" s="16"/>
      <c r="AC321" s="16"/>
      <c r="AD321" s="16"/>
      <c r="AE321" s="16"/>
      <c r="AF321" s="16"/>
      <c r="AG321" s="16"/>
      <c r="AH321" s="16"/>
      <c r="AI321" s="16"/>
    </row>
    <row r="322" spans="1:35">
      <c r="A322" s="15"/>
      <c r="B322" s="15"/>
      <c r="C322" s="16"/>
      <c r="D322" s="16"/>
      <c r="E322" s="16"/>
      <c r="F322" s="16"/>
      <c r="G322" s="16"/>
      <c r="H322" s="16"/>
      <c r="I322" s="16"/>
      <c r="J322" s="16"/>
      <c r="K322" s="16"/>
      <c r="L322" s="25"/>
      <c r="M322" s="25"/>
      <c r="N322" s="25"/>
      <c r="O322" s="16"/>
      <c r="P322" s="1"/>
      <c r="Q322" s="8"/>
      <c r="R322" s="8"/>
      <c r="S322" s="1"/>
      <c r="T322" s="8"/>
      <c r="U322" s="8"/>
      <c r="V322" s="38"/>
      <c r="W322" s="1"/>
      <c r="X322" s="1"/>
      <c r="Y322" s="16"/>
      <c r="Z322" s="16"/>
      <c r="AA322" s="16"/>
      <c r="AB322" s="16"/>
      <c r="AC322" s="16"/>
      <c r="AD322" s="16"/>
      <c r="AE322" s="16"/>
      <c r="AF322" s="16"/>
      <c r="AG322" s="16"/>
      <c r="AH322" s="16"/>
      <c r="AI322" s="16"/>
    </row>
    <row r="323" spans="1:35">
      <c r="A323" s="15"/>
      <c r="B323" s="15"/>
      <c r="C323" s="16"/>
      <c r="D323" s="16"/>
      <c r="E323" s="16"/>
      <c r="F323" s="16"/>
      <c r="G323" s="16"/>
      <c r="H323" s="16"/>
      <c r="I323" s="16"/>
      <c r="J323" s="16"/>
      <c r="K323" s="16"/>
      <c r="L323" s="25"/>
      <c r="M323" s="25"/>
      <c r="N323" s="25"/>
      <c r="O323" s="16"/>
      <c r="P323" s="1"/>
      <c r="Q323" s="8"/>
      <c r="R323" s="8"/>
      <c r="S323" s="1"/>
      <c r="T323" s="8"/>
      <c r="U323" s="8"/>
      <c r="V323" s="38"/>
      <c r="W323" s="1"/>
      <c r="X323" s="1"/>
      <c r="Y323" s="16"/>
      <c r="Z323" s="16"/>
      <c r="AA323" s="16"/>
      <c r="AB323" s="16"/>
      <c r="AC323" s="16"/>
      <c r="AD323" s="16"/>
      <c r="AE323" s="16"/>
      <c r="AF323" s="16"/>
      <c r="AG323" s="16"/>
      <c r="AH323" s="16"/>
      <c r="AI323" s="16"/>
    </row>
    <row r="324" spans="1:35">
      <c r="A324" s="15"/>
      <c r="B324" s="15"/>
      <c r="C324" s="16"/>
      <c r="D324" s="16"/>
      <c r="E324" s="16"/>
      <c r="F324" s="16"/>
      <c r="G324" s="16"/>
      <c r="H324" s="16"/>
      <c r="I324" s="16"/>
      <c r="J324" s="16"/>
      <c r="K324" s="16"/>
      <c r="L324" s="25"/>
      <c r="M324" s="25"/>
      <c r="N324" s="25"/>
      <c r="O324" s="16"/>
      <c r="P324" s="1"/>
      <c r="Q324" s="8"/>
      <c r="R324" s="8"/>
      <c r="S324" s="1"/>
      <c r="T324" s="8"/>
      <c r="U324" s="8"/>
      <c r="V324" s="38"/>
      <c r="W324" s="1"/>
      <c r="X324" s="1"/>
      <c r="Y324" s="16"/>
      <c r="Z324" s="16"/>
      <c r="AA324" s="16"/>
      <c r="AB324" s="16"/>
      <c r="AC324" s="16"/>
      <c r="AD324" s="16"/>
      <c r="AE324" s="16"/>
      <c r="AF324" s="16"/>
      <c r="AG324" s="16"/>
      <c r="AH324" s="16"/>
      <c r="AI324" s="16"/>
    </row>
    <row r="325" spans="1:35">
      <c r="A325" s="15"/>
      <c r="B325" s="15"/>
      <c r="C325" s="16"/>
      <c r="D325" s="16"/>
      <c r="E325" s="16"/>
      <c r="F325" s="16"/>
      <c r="G325" s="16"/>
      <c r="H325" s="16"/>
      <c r="I325" s="16"/>
      <c r="J325" s="16"/>
      <c r="K325" s="16"/>
      <c r="L325" s="25"/>
      <c r="M325" s="25"/>
      <c r="N325" s="25"/>
      <c r="O325" s="16"/>
      <c r="P325" s="1"/>
      <c r="Q325" s="8"/>
      <c r="R325" s="8"/>
      <c r="S325" s="1"/>
      <c r="T325" s="8"/>
      <c r="U325" s="8"/>
      <c r="V325" s="38"/>
      <c r="W325" s="1"/>
      <c r="X325" s="1"/>
      <c r="Y325" s="16"/>
      <c r="Z325" s="16"/>
      <c r="AA325" s="16"/>
      <c r="AB325" s="16"/>
      <c r="AC325" s="16"/>
      <c r="AD325" s="16"/>
      <c r="AE325" s="16"/>
      <c r="AF325" s="16"/>
      <c r="AG325" s="16"/>
      <c r="AH325" s="16"/>
      <c r="AI325" s="16"/>
    </row>
    <row r="326" spans="1:35">
      <c r="A326" s="15"/>
      <c r="B326" s="15"/>
      <c r="C326" s="16"/>
      <c r="D326" s="16"/>
      <c r="E326" s="16"/>
      <c r="F326" s="16"/>
      <c r="G326" s="16"/>
      <c r="H326" s="16"/>
      <c r="I326" s="16"/>
      <c r="J326" s="16"/>
      <c r="K326" s="16"/>
      <c r="L326" s="25"/>
      <c r="M326" s="25"/>
      <c r="N326" s="25"/>
      <c r="O326" s="16"/>
      <c r="P326" s="1"/>
      <c r="Q326" s="8"/>
      <c r="R326" s="8"/>
      <c r="S326" s="1"/>
      <c r="T326" s="8"/>
      <c r="U326" s="8"/>
      <c r="V326" s="38"/>
      <c r="W326" s="1"/>
      <c r="X326" s="1"/>
      <c r="Y326" s="16"/>
      <c r="Z326" s="16"/>
      <c r="AA326" s="16"/>
      <c r="AB326" s="16"/>
      <c r="AC326" s="16"/>
      <c r="AD326" s="16"/>
      <c r="AE326" s="16"/>
      <c r="AF326" s="16"/>
      <c r="AG326" s="16"/>
      <c r="AH326" s="16"/>
      <c r="AI326" s="16"/>
    </row>
    <row r="327" spans="1:35">
      <c r="A327" s="15"/>
      <c r="B327" s="15"/>
      <c r="C327" s="16"/>
      <c r="D327" s="16"/>
      <c r="E327" s="16"/>
      <c r="F327" s="16"/>
      <c r="G327" s="16"/>
      <c r="H327" s="16"/>
      <c r="I327" s="16"/>
      <c r="J327" s="16"/>
      <c r="K327" s="16"/>
      <c r="L327" s="25"/>
      <c r="M327" s="25"/>
      <c r="N327" s="25"/>
      <c r="O327" s="16"/>
      <c r="P327" s="1"/>
      <c r="Q327" s="8"/>
      <c r="R327" s="8"/>
      <c r="S327" s="1"/>
      <c r="T327" s="8"/>
      <c r="U327" s="8"/>
      <c r="V327" s="38"/>
      <c r="W327" s="1"/>
      <c r="X327" s="1"/>
      <c r="Y327" s="16"/>
      <c r="Z327" s="16"/>
      <c r="AA327" s="16"/>
      <c r="AB327" s="16"/>
      <c r="AC327" s="16"/>
      <c r="AD327" s="16"/>
      <c r="AE327" s="16"/>
      <c r="AF327" s="16"/>
      <c r="AG327" s="16"/>
      <c r="AH327" s="16"/>
      <c r="AI327" s="16"/>
    </row>
    <row r="328" spans="1:35">
      <c r="A328" s="15"/>
      <c r="B328" s="15"/>
      <c r="C328" s="16"/>
      <c r="D328" s="16"/>
      <c r="E328" s="16"/>
      <c r="F328" s="16"/>
      <c r="G328" s="16"/>
      <c r="H328" s="16"/>
      <c r="I328" s="16"/>
      <c r="J328" s="16"/>
      <c r="K328" s="16"/>
      <c r="L328" s="25"/>
      <c r="M328" s="25"/>
      <c r="N328" s="25"/>
      <c r="O328" s="16"/>
      <c r="P328" s="1"/>
      <c r="Q328" s="8"/>
      <c r="R328" s="8"/>
      <c r="S328" s="1"/>
      <c r="T328" s="8"/>
      <c r="U328" s="8"/>
      <c r="V328" s="38"/>
      <c r="W328" s="1"/>
      <c r="X328" s="1"/>
      <c r="Y328" s="16"/>
      <c r="Z328" s="16"/>
      <c r="AA328" s="16"/>
      <c r="AB328" s="16"/>
      <c r="AC328" s="16"/>
      <c r="AD328" s="16"/>
      <c r="AE328" s="16"/>
      <c r="AF328" s="16"/>
      <c r="AG328" s="16"/>
      <c r="AH328" s="16"/>
      <c r="AI328" s="16"/>
    </row>
    <row r="329" spans="1:35">
      <c r="A329" s="15"/>
      <c r="B329" s="15"/>
      <c r="C329" s="16"/>
      <c r="D329" s="16"/>
      <c r="E329" s="16"/>
      <c r="F329" s="16"/>
      <c r="G329" s="16"/>
      <c r="H329" s="16"/>
      <c r="I329" s="16"/>
      <c r="J329" s="16"/>
      <c r="K329" s="16"/>
      <c r="L329" s="25"/>
      <c r="M329" s="25"/>
      <c r="N329" s="25"/>
      <c r="O329" s="16"/>
      <c r="P329" s="1"/>
      <c r="Q329" s="8"/>
      <c r="R329" s="8"/>
      <c r="S329" s="1"/>
      <c r="T329" s="8"/>
      <c r="U329" s="8"/>
      <c r="V329" s="38"/>
      <c r="W329" s="1"/>
      <c r="X329" s="1"/>
      <c r="Y329" s="16"/>
      <c r="Z329" s="16"/>
      <c r="AA329" s="16"/>
      <c r="AB329" s="16"/>
      <c r="AC329" s="16"/>
      <c r="AD329" s="16"/>
      <c r="AE329" s="16"/>
      <c r="AF329" s="16"/>
      <c r="AG329" s="16"/>
      <c r="AH329" s="16"/>
      <c r="AI329" s="16"/>
    </row>
    <row r="330" spans="1:35">
      <c r="A330" s="15"/>
      <c r="B330" s="15"/>
      <c r="C330" s="16"/>
      <c r="D330" s="16"/>
      <c r="E330" s="16"/>
      <c r="F330" s="16"/>
      <c r="G330" s="16"/>
      <c r="H330" s="16"/>
      <c r="I330" s="16"/>
      <c r="J330" s="16"/>
      <c r="K330" s="16"/>
      <c r="L330" s="25"/>
      <c r="M330" s="25"/>
      <c r="N330" s="25"/>
      <c r="O330" s="16"/>
      <c r="P330" s="1"/>
      <c r="Q330" s="8"/>
      <c r="R330" s="8"/>
      <c r="S330" s="1"/>
      <c r="T330" s="8"/>
      <c r="U330" s="8"/>
      <c r="V330" s="38"/>
      <c r="W330" s="1"/>
      <c r="X330" s="1"/>
      <c r="Y330" s="16"/>
      <c r="Z330" s="16"/>
      <c r="AA330" s="16"/>
      <c r="AB330" s="16"/>
      <c r="AC330" s="16"/>
      <c r="AD330" s="16"/>
      <c r="AE330" s="16"/>
      <c r="AF330" s="16"/>
      <c r="AG330" s="16"/>
      <c r="AH330" s="16"/>
      <c r="AI330" s="16"/>
    </row>
    <row r="331" spans="1:35">
      <c r="A331" s="15"/>
      <c r="B331" s="15"/>
      <c r="C331" s="16"/>
      <c r="D331" s="16"/>
      <c r="E331" s="16"/>
      <c r="F331" s="16"/>
      <c r="G331" s="16"/>
      <c r="H331" s="16"/>
      <c r="I331" s="16"/>
      <c r="J331" s="16"/>
      <c r="K331" s="16"/>
      <c r="L331" s="25"/>
      <c r="M331" s="25"/>
      <c r="N331" s="25"/>
      <c r="O331" s="16"/>
      <c r="P331" s="1"/>
      <c r="Q331" s="8"/>
      <c r="R331" s="8"/>
      <c r="S331" s="1"/>
      <c r="T331" s="8"/>
      <c r="U331" s="8"/>
      <c r="V331" s="38"/>
      <c r="W331" s="1"/>
      <c r="X331" s="1"/>
      <c r="Y331" s="16"/>
      <c r="Z331" s="16"/>
      <c r="AA331" s="16"/>
      <c r="AB331" s="16"/>
      <c r="AC331" s="16"/>
      <c r="AD331" s="16"/>
      <c r="AE331" s="16"/>
      <c r="AF331" s="16"/>
      <c r="AG331" s="16"/>
      <c r="AH331" s="16"/>
      <c r="AI331" s="16"/>
    </row>
    <row r="332" spans="1:35">
      <c r="A332" s="15"/>
      <c r="B332" s="15"/>
      <c r="C332" s="16"/>
      <c r="D332" s="16"/>
      <c r="E332" s="16"/>
      <c r="F332" s="16"/>
      <c r="G332" s="16"/>
      <c r="H332" s="16"/>
      <c r="I332" s="16"/>
      <c r="J332" s="16"/>
      <c r="K332" s="16"/>
      <c r="L332" s="25"/>
      <c r="M332" s="25"/>
      <c r="N332" s="25"/>
      <c r="O332" s="16"/>
      <c r="P332" s="1"/>
      <c r="Q332" s="8"/>
      <c r="R332" s="8"/>
      <c r="S332" s="1"/>
      <c r="T332" s="8"/>
      <c r="U332" s="8"/>
      <c r="V332" s="38"/>
      <c r="W332" s="1"/>
      <c r="X332" s="1"/>
      <c r="Y332" s="16"/>
      <c r="Z332" s="16"/>
      <c r="AA332" s="16"/>
      <c r="AB332" s="16"/>
      <c r="AC332" s="16"/>
      <c r="AD332" s="16"/>
      <c r="AE332" s="16"/>
      <c r="AF332" s="16"/>
      <c r="AG332" s="16"/>
      <c r="AH332" s="16"/>
      <c r="AI332" s="16"/>
    </row>
    <row r="333" spans="1:35">
      <c r="A333" s="15"/>
      <c r="B333" s="15"/>
      <c r="C333" s="16"/>
      <c r="D333" s="16"/>
      <c r="E333" s="16"/>
      <c r="F333" s="16"/>
      <c r="G333" s="16"/>
      <c r="H333" s="16"/>
      <c r="I333" s="16"/>
      <c r="J333" s="16"/>
      <c r="K333" s="16"/>
      <c r="L333" s="25"/>
      <c r="M333" s="25"/>
      <c r="N333" s="25"/>
      <c r="O333" s="16"/>
      <c r="P333" s="1"/>
      <c r="Q333" s="8"/>
      <c r="R333" s="8"/>
      <c r="S333" s="1"/>
      <c r="T333" s="8"/>
      <c r="U333" s="8"/>
      <c r="V333" s="38"/>
      <c r="W333" s="1"/>
      <c r="X333" s="1"/>
      <c r="Y333" s="16"/>
      <c r="Z333" s="16"/>
      <c r="AA333" s="16"/>
      <c r="AB333" s="16"/>
      <c r="AC333" s="16"/>
      <c r="AD333" s="16"/>
      <c r="AE333" s="16"/>
      <c r="AF333" s="16"/>
      <c r="AG333" s="16"/>
      <c r="AH333" s="16"/>
      <c r="AI333" s="16"/>
    </row>
    <row r="334" spans="1:35">
      <c r="A334" s="15"/>
      <c r="B334" s="15"/>
      <c r="C334" s="16"/>
      <c r="D334" s="16"/>
      <c r="E334" s="16"/>
      <c r="F334" s="16"/>
      <c r="G334" s="16"/>
      <c r="H334" s="16"/>
      <c r="I334" s="16"/>
      <c r="J334" s="16"/>
      <c r="K334" s="16"/>
      <c r="L334" s="25"/>
      <c r="M334" s="25"/>
      <c r="N334" s="25"/>
      <c r="O334" s="16"/>
      <c r="P334" s="1"/>
      <c r="Q334" s="8"/>
      <c r="R334" s="8"/>
      <c r="S334" s="1"/>
      <c r="T334" s="8"/>
      <c r="U334" s="8"/>
      <c r="V334" s="38"/>
      <c r="W334" s="1"/>
      <c r="X334" s="1"/>
      <c r="Y334" s="16"/>
      <c r="Z334" s="16"/>
      <c r="AA334" s="16"/>
      <c r="AB334" s="16"/>
      <c r="AC334" s="16"/>
      <c r="AD334" s="16"/>
      <c r="AE334" s="16"/>
      <c r="AF334" s="16"/>
      <c r="AG334" s="16"/>
      <c r="AH334" s="16"/>
      <c r="AI334" s="16"/>
    </row>
    <row r="335" spans="1:35">
      <c r="A335" s="15"/>
      <c r="B335" s="15"/>
      <c r="C335" s="16"/>
      <c r="D335" s="16"/>
      <c r="E335" s="16"/>
      <c r="F335" s="16"/>
      <c r="G335" s="16"/>
      <c r="H335" s="16"/>
      <c r="I335" s="16"/>
      <c r="J335" s="16"/>
      <c r="K335" s="16"/>
      <c r="L335" s="25"/>
      <c r="M335" s="25"/>
      <c r="N335" s="25"/>
      <c r="O335" s="16"/>
      <c r="P335" s="1"/>
      <c r="Q335" s="8"/>
      <c r="R335" s="8"/>
      <c r="S335" s="1"/>
      <c r="T335" s="8"/>
      <c r="U335" s="8"/>
      <c r="V335" s="38"/>
      <c r="W335" s="1"/>
      <c r="X335" s="1"/>
      <c r="Y335" s="16"/>
      <c r="Z335" s="16"/>
      <c r="AA335" s="16"/>
      <c r="AB335" s="16"/>
      <c r="AC335" s="16"/>
      <c r="AD335" s="16"/>
      <c r="AE335" s="16"/>
      <c r="AF335" s="16"/>
      <c r="AG335" s="16"/>
      <c r="AH335" s="16"/>
      <c r="AI335" s="16"/>
    </row>
    <row r="336" spans="1:35">
      <c r="A336" s="15"/>
      <c r="B336" s="15"/>
      <c r="C336" s="16"/>
      <c r="D336" s="16"/>
      <c r="E336" s="16"/>
      <c r="F336" s="16"/>
      <c r="G336" s="16"/>
      <c r="H336" s="16"/>
      <c r="I336" s="16"/>
      <c r="J336" s="16"/>
      <c r="K336" s="16"/>
      <c r="L336" s="25"/>
      <c r="M336" s="25"/>
      <c r="N336" s="25"/>
      <c r="O336" s="16"/>
      <c r="P336" s="1"/>
      <c r="Q336" s="8"/>
      <c r="R336" s="8"/>
      <c r="S336" s="1"/>
      <c r="T336" s="8"/>
      <c r="U336" s="8"/>
      <c r="V336" s="38"/>
      <c r="W336" s="1"/>
      <c r="X336" s="1"/>
      <c r="Y336" s="16"/>
      <c r="Z336" s="16"/>
      <c r="AA336" s="16"/>
      <c r="AB336" s="16"/>
      <c r="AC336" s="16"/>
      <c r="AD336" s="16"/>
      <c r="AE336" s="16"/>
      <c r="AF336" s="16"/>
      <c r="AG336" s="16"/>
      <c r="AH336" s="16"/>
      <c r="AI336" s="16"/>
    </row>
    <row r="337" spans="1:35">
      <c r="A337" s="15"/>
      <c r="B337" s="15"/>
      <c r="C337" s="16"/>
      <c r="D337" s="16"/>
      <c r="E337" s="16"/>
      <c r="F337" s="16"/>
      <c r="G337" s="16"/>
      <c r="H337" s="16"/>
      <c r="I337" s="16"/>
      <c r="J337" s="16"/>
      <c r="K337" s="16"/>
      <c r="L337" s="25"/>
      <c r="M337" s="25"/>
      <c r="N337" s="25"/>
      <c r="O337" s="16"/>
      <c r="P337" s="1"/>
      <c r="Q337" s="8"/>
      <c r="R337" s="8"/>
      <c r="S337" s="1"/>
      <c r="T337" s="8"/>
      <c r="U337" s="8"/>
      <c r="V337" s="38"/>
      <c r="W337" s="1"/>
      <c r="X337" s="1"/>
      <c r="Y337" s="16"/>
      <c r="Z337" s="16"/>
      <c r="AA337" s="16"/>
      <c r="AB337" s="16"/>
      <c r="AC337" s="16"/>
      <c r="AD337" s="16"/>
      <c r="AE337" s="16"/>
      <c r="AF337" s="16"/>
      <c r="AG337" s="16"/>
      <c r="AH337" s="16"/>
      <c r="AI337" s="16"/>
    </row>
    <row r="338" spans="1:35">
      <c r="A338" s="15"/>
      <c r="B338" s="15"/>
      <c r="C338" s="16"/>
      <c r="D338" s="16"/>
      <c r="E338" s="16"/>
      <c r="F338" s="16"/>
      <c r="G338" s="16"/>
      <c r="H338" s="16"/>
      <c r="I338" s="16"/>
      <c r="J338" s="16"/>
      <c r="K338" s="16"/>
      <c r="L338" s="25"/>
      <c r="M338" s="25"/>
      <c r="N338" s="25"/>
      <c r="O338" s="16"/>
      <c r="P338" s="1"/>
      <c r="Q338" s="8"/>
      <c r="R338" s="8"/>
      <c r="S338" s="1"/>
      <c r="T338" s="8"/>
      <c r="U338" s="8"/>
      <c r="V338" s="38"/>
      <c r="W338" s="1"/>
      <c r="X338" s="1"/>
      <c r="Y338" s="16"/>
      <c r="Z338" s="16"/>
      <c r="AA338" s="16"/>
      <c r="AB338" s="16"/>
      <c r="AC338" s="16"/>
      <c r="AD338" s="16"/>
      <c r="AE338" s="16"/>
      <c r="AF338" s="16"/>
      <c r="AG338" s="16"/>
      <c r="AH338" s="16"/>
      <c r="AI338" s="16"/>
    </row>
    <row r="339" spans="1:35">
      <c r="A339" s="15"/>
      <c r="B339" s="15"/>
      <c r="C339" s="16"/>
      <c r="D339" s="16"/>
      <c r="E339" s="16"/>
      <c r="F339" s="16"/>
      <c r="G339" s="16"/>
      <c r="H339" s="16"/>
      <c r="I339" s="16"/>
      <c r="J339" s="16"/>
      <c r="K339" s="16"/>
      <c r="L339" s="25"/>
      <c r="M339" s="25"/>
      <c r="N339" s="25"/>
      <c r="O339" s="16"/>
      <c r="P339" s="1"/>
      <c r="Q339" s="8"/>
      <c r="R339" s="8"/>
      <c r="S339" s="1"/>
      <c r="T339" s="8"/>
      <c r="U339" s="8"/>
      <c r="V339" s="38"/>
      <c r="W339" s="1"/>
      <c r="X339" s="1"/>
      <c r="Y339" s="16"/>
      <c r="Z339" s="16"/>
      <c r="AA339" s="16"/>
      <c r="AB339" s="16"/>
      <c r="AC339" s="16"/>
      <c r="AD339" s="16"/>
      <c r="AE339" s="16"/>
      <c r="AF339" s="16"/>
      <c r="AG339" s="16"/>
      <c r="AH339" s="16"/>
      <c r="AI339" s="16"/>
    </row>
    <row r="340" spans="1:35">
      <c r="A340" s="15"/>
      <c r="B340" s="15"/>
      <c r="C340" s="16"/>
      <c r="D340" s="16"/>
      <c r="E340" s="16"/>
      <c r="F340" s="16"/>
      <c r="G340" s="16"/>
      <c r="H340" s="16"/>
      <c r="I340" s="16"/>
      <c r="J340" s="16"/>
      <c r="K340" s="16"/>
      <c r="L340" s="25"/>
      <c r="M340" s="25"/>
      <c r="N340" s="25"/>
      <c r="O340" s="16"/>
      <c r="P340" s="1"/>
      <c r="Q340" s="8"/>
      <c r="R340" s="8"/>
      <c r="S340" s="1"/>
      <c r="T340" s="8"/>
      <c r="U340" s="8"/>
      <c r="V340" s="38"/>
      <c r="W340" s="1"/>
      <c r="X340" s="1"/>
      <c r="Y340" s="16"/>
      <c r="Z340" s="16"/>
      <c r="AA340" s="16"/>
      <c r="AB340" s="16"/>
      <c r="AC340" s="16"/>
      <c r="AD340" s="16"/>
      <c r="AE340" s="16"/>
      <c r="AF340" s="16"/>
      <c r="AG340" s="16"/>
      <c r="AH340" s="16"/>
      <c r="AI340" s="16"/>
    </row>
    <row r="341" spans="1:35">
      <c r="A341" s="15"/>
      <c r="B341" s="15"/>
      <c r="C341" s="16"/>
      <c r="D341" s="16"/>
      <c r="E341" s="16"/>
      <c r="F341" s="16"/>
      <c r="G341" s="16"/>
      <c r="H341" s="16"/>
      <c r="I341" s="16"/>
      <c r="J341" s="16"/>
      <c r="K341" s="16"/>
      <c r="L341" s="25"/>
      <c r="M341" s="25"/>
      <c r="N341" s="25"/>
      <c r="O341" s="16"/>
      <c r="P341" s="1"/>
      <c r="Q341" s="8"/>
      <c r="R341" s="8"/>
      <c r="S341" s="1"/>
      <c r="T341" s="8"/>
      <c r="U341" s="8"/>
      <c r="V341" s="38"/>
      <c r="W341" s="1"/>
      <c r="X341" s="1"/>
      <c r="Y341" s="16"/>
      <c r="Z341" s="16"/>
      <c r="AA341" s="16"/>
      <c r="AB341" s="16"/>
      <c r="AC341" s="16"/>
      <c r="AD341" s="16"/>
      <c r="AE341" s="16"/>
      <c r="AF341" s="16"/>
      <c r="AG341" s="16"/>
      <c r="AH341" s="16"/>
      <c r="AI341" s="16"/>
    </row>
    <row r="342" spans="1:35">
      <c r="A342" s="15"/>
      <c r="B342" s="15"/>
      <c r="C342" s="16"/>
      <c r="D342" s="16"/>
      <c r="E342" s="16"/>
      <c r="F342" s="16"/>
      <c r="G342" s="16"/>
      <c r="H342" s="16"/>
      <c r="I342" s="16"/>
      <c r="J342" s="16"/>
      <c r="K342" s="16"/>
      <c r="L342" s="25"/>
      <c r="M342" s="25"/>
      <c r="N342" s="25"/>
      <c r="O342" s="16"/>
      <c r="P342" s="1"/>
      <c r="Q342" s="8"/>
      <c r="R342" s="8"/>
      <c r="S342" s="1"/>
      <c r="T342" s="8"/>
      <c r="U342" s="8"/>
      <c r="V342" s="38"/>
      <c r="W342" s="1"/>
      <c r="X342" s="1"/>
      <c r="Y342" s="16"/>
      <c r="Z342" s="16"/>
      <c r="AA342" s="16"/>
      <c r="AB342" s="16"/>
      <c r="AC342" s="16"/>
      <c r="AD342" s="16"/>
      <c r="AE342" s="16"/>
      <c r="AF342" s="16"/>
      <c r="AG342" s="16"/>
      <c r="AH342" s="16"/>
      <c r="AI342" s="16"/>
    </row>
    <row r="343" spans="1:35">
      <c r="A343" s="15"/>
      <c r="B343" s="15"/>
      <c r="C343" s="16"/>
      <c r="D343" s="16"/>
      <c r="E343" s="16"/>
      <c r="F343" s="16"/>
      <c r="G343" s="16"/>
      <c r="H343" s="16"/>
      <c r="I343" s="16"/>
      <c r="J343" s="16"/>
      <c r="K343" s="16"/>
      <c r="L343" s="25"/>
      <c r="M343" s="25"/>
      <c r="N343" s="25"/>
      <c r="O343" s="16"/>
      <c r="P343" s="1"/>
      <c r="Q343" s="8"/>
      <c r="R343" s="8"/>
      <c r="S343" s="1"/>
      <c r="T343" s="8"/>
      <c r="U343" s="8"/>
      <c r="V343" s="38"/>
      <c r="W343" s="1"/>
      <c r="X343" s="1"/>
      <c r="Y343" s="16"/>
      <c r="Z343" s="16"/>
      <c r="AA343" s="16"/>
      <c r="AB343" s="16"/>
      <c r="AC343" s="16"/>
      <c r="AD343" s="16"/>
      <c r="AE343" s="16"/>
      <c r="AF343" s="16"/>
      <c r="AG343" s="16"/>
      <c r="AH343" s="16"/>
      <c r="AI343" s="16"/>
    </row>
    <row r="344" spans="1:35">
      <c r="A344" s="15"/>
      <c r="B344" s="15"/>
      <c r="C344" s="16"/>
      <c r="D344" s="16"/>
      <c r="E344" s="16"/>
      <c r="F344" s="16"/>
      <c r="G344" s="16"/>
      <c r="H344" s="16"/>
      <c r="I344" s="16"/>
      <c r="J344" s="16"/>
      <c r="K344" s="16"/>
      <c r="L344" s="25"/>
      <c r="M344" s="25"/>
      <c r="N344" s="25"/>
      <c r="O344" s="16"/>
      <c r="P344" s="1"/>
      <c r="Q344" s="8"/>
      <c r="R344" s="8"/>
      <c r="S344" s="1"/>
      <c r="T344" s="8"/>
      <c r="U344" s="8"/>
      <c r="V344" s="38"/>
      <c r="W344" s="1"/>
      <c r="X344" s="1"/>
      <c r="Y344" s="16"/>
      <c r="Z344" s="16"/>
      <c r="AA344" s="16"/>
      <c r="AB344" s="16"/>
      <c r="AC344" s="16"/>
      <c r="AD344" s="16"/>
      <c r="AE344" s="16"/>
      <c r="AF344" s="16"/>
      <c r="AG344" s="16"/>
      <c r="AH344" s="16"/>
      <c r="AI344" s="16"/>
    </row>
    <row r="345" spans="1:35">
      <c r="A345" s="15"/>
      <c r="B345" s="15"/>
      <c r="C345" s="16"/>
      <c r="D345" s="16"/>
      <c r="E345" s="16"/>
      <c r="F345" s="16"/>
      <c r="G345" s="16"/>
      <c r="H345" s="16"/>
      <c r="I345" s="16"/>
      <c r="J345" s="16"/>
      <c r="K345" s="16"/>
      <c r="L345" s="25"/>
      <c r="M345" s="25"/>
      <c r="N345" s="25"/>
      <c r="O345" s="16"/>
      <c r="P345" s="1"/>
      <c r="Q345" s="8"/>
      <c r="R345" s="8"/>
      <c r="S345" s="1"/>
      <c r="T345" s="8"/>
      <c r="U345" s="8"/>
      <c r="V345" s="38"/>
      <c r="W345" s="1"/>
      <c r="X345" s="1"/>
      <c r="Y345" s="16"/>
      <c r="Z345" s="16"/>
      <c r="AA345" s="16"/>
      <c r="AB345" s="16"/>
      <c r="AC345" s="16"/>
      <c r="AD345" s="16"/>
      <c r="AE345" s="16"/>
      <c r="AF345" s="16"/>
      <c r="AG345" s="16"/>
      <c r="AH345" s="16"/>
      <c r="AI345" s="16"/>
    </row>
    <row r="346" spans="1:35">
      <c r="A346" s="15"/>
      <c r="B346" s="15"/>
      <c r="C346" s="16"/>
      <c r="D346" s="16"/>
      <c r="E346" s="16"/>
      <c r="F346" s="16"/>
      <c r="G346" s="16"/>
      <c r="H346" s="16"/>
      <c r="I346" s="16"/>
      <c r="J346" s="16"/>
      <c r="K346" s="16"/>
      <c r="L346" s="25"/>
      <c r="M346" s="25"/>
      <c r="N346" s="25"/>
      <c r="O346" s="16"/>
      <c r="P346" s="1"/>
      <c r="Q346" s="8"/>
      <c r="R346" s="8"/>
      <c r="S346" s="1"/>
      <c r="T346" s="8"/>
      <c r="U346" s="8"/>
      <c r="V346" s="38"/>
      <c r="W346" s="1"/>
      <c r="X346" s="1"/>
      <c r="Y346" s="16"/>
      <c r="Z346" s="16"/>
      <c r="AA346" s="16"/>
      <c r="AB346" s="16"/>
      <c r="AC346" s="16"/>
      <c r="AD346" s="16"/>
      <c r="AE346" s="16"/>
      <c r="AF346" s="16"/>
      <c r="AG346" s="16"/>
      <c r="AH346" s="16"/>
      <c r="AI346" s="16"/>
    </row>
    <row r="347" spans="1:35">
      <c r="A347" s="15"/>
      <c r="B347" s="15"/>
      <c r="C347" s="16"/>
      <c r="D347" s="16"/>
      <c r="E347" s="16"/>
      <c r="F347" s="16"/>
      <c r="G347" s="16"/>
      <c r="H347" s="16"/>
      <c r="I347" s="16"/>
      <c r="J347" s="16"/>
      <c r="K347" s="16"/>
      <c r="L347" s="25"/>
      <c r="M347" s="25"/>
      <c r="N347" s="25"/>
      <c r="O347" s="16"/>
      <c r="P347" s="1"/>
      <c r="Q347" s="8"/>
      <c r="R347" s="8"/>
      <c r="S347" s="1"/>
      <c r="T347" s="8"/>
      <c r="U347" s="8"/>
      <c r="V347" s="38"/>
      <c r="W347" s="1"/>
      <c r="X347" s="1"/>
      <c r="Y347" s="16"/>
      <c r="Z347" s="16"/>
      <c r="AA347" s="16"/>
      <c r="AB347" s="16"/>
      <c r="AC347" s="16"/>
      <c r="AD347" s="16"/>
      <c r="AE347" s="16"/>
      <c r="AF347" s="16"/>
      <c r="AG347" s="16"/>
      <c r="AH347" s="16"/>
      <c r="AI347" s="16"/>
    </row>
    <row r="348" spans="1:35">
      <c r="A348" s="15"/>
      <c r="B348" s="15"/>
      <c r="C348" s="16"/>
      <c r="D348" s="16"/>
      <c r="E348" s="16"/>
      <c r="F348" s="16"/>
      <c r="G348" s="16"/>
      <c r="H348" s="16"/>
      <c r="I348" s="16"/>
      <c r="J348" s="16"/>
      <c r="K348" s="16"/>
      <c r="L348" s="25"/>
      <c r="M348" s="25"/>
      <c r="N348" s="25"/>
      <c r="O348" s="16"/>
      <c r="P348" s="1"/>
      <c r="Q348" s="8"/>
      <c r="R348" s="8"/>
      <c r="S348" s="1"/>
      <c r="T348" s="8"/>
      <c r="U348" s="8"/>
      <c r="V348" s="38"/>
      <c r="W348" s="1"/>
      <c r="X348" s="1"/>
      <c r="Y348" s="16"/>
      <c r="Z348" s="16"/>
      <c r="AA348" s="16"/>
      <c r="AB348" s="16"/>
      <c r="AC348" s="16"/>
      <c r="AD348" s="16"/>
      <c r="AE348" s="16"/>
      <c r="AF348" s="16"/>
      <c r="AG348" s="16"/>
      <c r="AH348" s="16"/>
      <c r="AI348" s="16"/>
    </row>
    <row r="349" spans="1:35">
      <c r="A349" s="15"/>
      <c r="B349" s="15"/>
      <c r="C349" s="16"/>
      <c r="D349" s="16"/>
      <c r="E349" s="16"/>
      <c r="F349" s="16"/>
      <c r="G349" s="16"/>
      <c r="H349" s="16"/>
      <c r="I349" s="16"/>
      <c r="J349" s="16"/>
      <c r="K349" s="16"/>
      <c r="L349" s="25"/>
      <c r="M349" s="25"/>
      <c r="N349" s="25"/>
      <c r="O349" s="16"/>
      <c r="P349" s="1"/>
      <c r="Q349" s="8"/>
      <c r="R349" s="8"/>
      <c r="S349" s="1"/>
      <c r="T349" s="8"/>
      <c r="U349" s="8"/>
      <c r="V349" s="38"/>
      <c r="W349" s="1"/>
      <c r="X349" s="1"/>
      <c r="Y349" s="16"/>
      <c r="Z349" s="16"/>
      <c r="AA349" s="16"/>
      <c r="AB349" s="16"/>
      <c r="AC349" s="16"/>
      <c r="AD349" s="16"/>
      <c r="AE349" s="16"/>
      <c r="AF349" s="16"/>
      <c r="AG349" s="16"/>
      <c r="AH349" s="16"/>
      <c r="AI349" s="16"/>
    </row>
    <row r="350" spans="1:35">
      <c r="A350" s="15"/>
      <c r="B350" s="15"/>
      <c r="C350" s="16"/>
      <c r="D350" s="16"/>
      <c r="E350" s="16"/>
      <c r="F350" s="16"/>
      <c r="G350" s="16"/>
      <c r="H350" s="16"/>
      <c r="I350" s="16"/>
      <c r="J350" s="16"/>
      <c r="K350" s="16"/>
      <c r="L350" s="25"/>
      <c r="M350" s="25"/>
      <c r="N350" s="25"/>
      <c r="O350" s="16"/>
      <c r="P350" s="1"/>
      <c r="Q350" s="8"/>
      <c r="R350" s="8"/>
      <c r="S350" s="1"/>
      <c r="T350" s="8"/>
      <c r="U350" s="8"/>
      <c r="V350" s="38"/>
      <c r="W350" s="1"/>
      <c r="X350" s="1"/>
      <c r="Y350" s="16"/>
      <c r="Z350" s="16"/>
      <c r="AA350" s="16"/>
      <c r="AB350" s="16"/>
      <c r="AC350" s="16"/>
      <c r="AD350" s="16"/>
      <c r="AE350" s="16"/>
      <c r="AF350" s="16"/>
      <c r="AG350" s="16"/>
      <c r="AH350" s="16"/>
      <c r="AI350" s="16"/>
    </row>
    <row r="351" spans="1:35">
      <c r="A351" s="15"/>
      <c r="B351" s="15"/>
      <c r="C351" s="16"/>
      <c r="D351" s="16"/>
      <c r="E351" s="16"/>
      <c r="F351" s="16"/>
      <c r="G351" s="16"/>
      <c r="H351" s="16"/>
      <c r="I351" s="16"/>
      <c r="J351" s="16"/>
      <c r="K351" s="16"/>
      <c r="L351" s="25"/>
      <c r="M351" s="25"/>
      <c r="N351" s="25"/>
      <c r="O351" s="16"/>
      <c r="P351" s="1"/>
      <c r="Q351" s="8"/>
      <c r="R351" s="8"/>
      <c r="S351" s="1"/>
      <c r="T351" s="8"/>
      <c r="U351" s="8"/>
      <c r="V351" s="38"/>
      <c r="W351" s="1"/>
      <c r="X351" s="1"/>
      <c r="Y351" s="16"/>
      <c r="Z351" s="16"/>
      <c r="AA351" s="16"/>
      <c r="AB351" s="16"/>
      <c r="AC351" s="16"/>
      <c r="AD351" s="16"/>
      <c r="AE351" s="16"/>
      <c r="AF351" s="16"/>
      <c r="AG351" s="16"/>
      <c r="AH351" s="16"/>
      <c r="AI351" s="16"/>
    </row>
    <row r="352" spans="1:35">
      <c r="A352" s="15"/>
      <c r="B352" s="15"/>
      <c r="C352" s="16"/>
      <c r="D352" s="16"/>
      <c r="E352" s="16"/>
      <c r="F352" s="16"/>
      <c r="G352" s="16"/>
      <c r="H352" s="16"/>
      <c r="I352" s="16"/>
      <c r="J352" s="16"/>
      <c r="K352" s="16"/>
      <c r="L352" s="25"/>
      <c r="M352" s="25"/>
      <c r="N352" s="25"/>
      <c r="O352" s="16"/>
      <c r="P352" s="1"/>
      <c r="Q352" s="8"/>
      <c r="R352" s="8"/>
      <c r="S352" s="1"/>
      <c r="T352" s="8"/>
      <c r="U352" s="8"/>
      <c r="V352" s="38"/>
      <c r="W352" s="1"/>
      <c r="X352" s="1"/>
      <c r="Y352" s="16"/>
      <c r="Z352" s="16"/>
      <c r="AA352" s="16"/>
      <c r="AB352" s="16"/>
      <c r="AC352" s="16"/>
      <c r="AD352" s="16"/>
      <c r="AE352" s="16"/>
      <c r="AF352" s="16"/>
      <c r="AG352" s="16"/>
      <c r="AH352" s="16"/>
      <c r="AI352" s="16"/>
    </row>
    <row r="353" spans="1:35">
      <c r="A353" s="15"/>
      <c r="B353" s="15"/>
      <c r="C353" s="16"/>
      <c r="D353" s="16"/>
      <c r="E353" s="16"/>
      <c r="F353" s="16"/>
      <c r="G353" s="16"/>
      <c r="H353" s="16"/>
      <c r="I353" s="16"/>
      <c r="J353" s="16"/>
      <c r="K353" s="16"/>
      <c r="L353" s="25"/>
      <c r="M353" s="25"/>
      <c r="N353" s="25"/>
      <c r="O353" s="16"/>
      <c r="P353" s="1"/>
      <c r="Q353" s="8"/>
      <c r="R353" s="8"/>
      <c r="S353" s="1"/>
      <c r="T353" s="8"/>
      <c r="U353" s="8"/>
      <c r="V353" s="38"/>
      <c r="W353" s="1"/>
      <c r="X353" s="1"/>
      <c r="Y353" s="16"/>
      <c r="Z353" s="16"/>
      <c r="AA353" s="16"/>
      <c r="AB353" s="16"/>
      <c r="AC353" s="16"/>
      <c r="AD353" s="16"/>
      <c r="AE353" s="16"/>
      <c r="AF353" s="16"/>
      <c r="AG353" s="16"/>
      <c r="AH353" s="16"/>
      <c r="AI353" s="16"/>
    </row>
    <row r="354" spans="1:35">
      <c r="A354" s="15"/>
      <c r="B354" s="15"/>
      <c r="C354" s="16"/>
      <c r="D354" s="16"/>
      <c r="E354" s="16"/>
      <c r="F354" s="16"/>
      <c r="G354" s="16"/>
      <c r="H354" s="16"/>
      <c r="I354" s="16"/>
      <c r="J354" s="16"/>
      <c r="K354" s="16"/>
      <c r="L354" s="25"/>
      <c r="M354" s="25"/>
      <c r="N354" s="25"/>
      <c r="O354" s="16"/>
      <c r="P354" s="1"/>
      <c r="Q354" s="8"/>
      <c r="R354" s="8"/>
      <c r="S354" s="1"/>
      <c r="T354" s="8"/>
      <c r="U354" s="8"/>
      <c r="V354" s="38"/>
      <c r="W354" s="1"/>
      <c r="X354" s="1"/>
      <c r="Y354" s="16"/>
      <c r="Z354" s="16"/>
      <c r="AA354" s="16"/>
      <c r="AB354" s="16"/>
      <c r="AC354" s="16"/>
      <c r="AD354" s="16"/>
      <c r="AE354" s="16"/>
      <c r="AF354" s="16"/>
      <c r="AG354" s="16"/>
      <c r="AH354" s="16"/>
      <c r="AI354" s="16"/>
    </row>
    <row r="355" spans="1:35">
      <c r="A355" s="15"/>
      <c r="B355" s="15"/>
      <c r="C355" s="16"/>
      <c r="D355" s="16"/>
      <c r="E355" s="16"/>
      <c r="F355" s="16"/>
      <c r="G355" s="16"/>
      <c r="H355" s="16"/>
      <c r="I355" s="16"/>
      <c r="J355" s="16"/>
      <c r="K355" s="16"/>
      <c r="L355" s="25"/>
      <c r="M355" s="25"/>
      <c r="N355" s="25"/>
      <c r="O355" s="16"/>
      <c r="P355" s="1"/>
      <c r="Q355" s="8"/>
      <c r="R355" s="8"/>
      <c r="S355" s="1"/>
      <c r="T355" s="8"/>
      <c r="U355" s="8"/>
      <c r="V355" s="38"/>
      <c r="W355" s="1"/>
      <c r="X355" s="1"/>
      <c r="Y355" s="16"/>
      <c r="Z355" s="16"/>
      <c r="AA355" s="16"/>
      <c r="AB355" s="16"/>
      <c r="AC355" s="16"/>
      <c r="AD355" s="16"/>
      <c r="AE355" s="16"/>
      <c r="AF355" s="16"/>
      <c r="AG355" s="16"/>
      <c r="AH355" s="16"/>
      <c r="AI355" s="16"/>
    </row>
    <row r="356" spans="1:35">
      <c r="A356" s="15"/>
      <c r="B356" s="15"/>
      <c r="C356" s="16"/>
      <c r="D356" s="16"/>
      <c r="E356" s="16"/>
      <c r="F356" s="16"/>
      <c r="G356" s="16"/>
      <c r="H356" s="16"/>
      <c r="I356" s="16"/>
      <c r="J356" s="16"/>
      <c r="K356" s="16"/>
      <c r="L356" s="25"/>
      <c r="M356" s="25"/>
      <c r="N356" s="25"/>
      <c r="O356" s="16"/>
      <c r="P356" s="1"/>
      <c r="Q356" s="8"/>
      <c r="R356" s="8"/>
      <c r="S356" s="1"/>
      <c r="T356" s="8"/>
      <c r="U356" s="8"/>
      <c r="V356" s="38"/>
      <c r="W356" s="1"/>
      <c r="X356" s="1"/>
      <c r="Y356" s="16"/>
      <c r="Z356" s="16"/>
      <c r="AA356" s="16"/>
      <c r="AB356" s="16"/>
      <c r="AC356" s="16"/>
      <c r="AD356" s="16"/>
      <c r="AE356" s="16"/>
      <c r="AF356" s="16"/>
      <c r="AG356" s="16"/>
      <c r="AH356" s="16"/>
      <c r="AI356" s="16"/>
    </row>
    <row r="357" spans="1:35">
      <c r="A357" s="15"/>
      <c r="B357" s="15"/>
      <c r="C357" s="16"/>
      <c r="D357" s="16"/>
      <c r="E357" s="16"/>
      <c r="F357" s="16"/>
      <c r="G357" s="16"/>
      <c r="H357" s="16"/>
      <c r="I357" s="16"/>
      <c r="J357" s="16"/>
      <c r="K357" s="16"/>
      <c r="L357" s="25"/>
      <c r="M357" s="25"/>
      <c r="N357" s="25"/>
      <c r="O357" s="16"/>
      <c r="P357" s="1"/>
      <c r="Q357" s="8"/>
      <c r="R357" s="8"/>
      <c r="S357" s="1"/>
      <c r="T357" s="8"/>
      <c r="U357" s="8"/>
      <c r="V357" s="38"/>
      <c r="W357" s="1"/>
      <c r="X357" s="1"/>
      <c r="Y357" s="16"/>
      <c r="Z357" s="16"/>
      <c r="AA357" s="16"/>
      <c r="AB357" s="16"/>
      <c r="AC357" s="16"/>
      <c r="AD357" s="16"/>
      <c r="AE357" s="16"/>
      <c r="AF357" s="16"/>
      <c r="AG357" s="16"/>
      <c r="AH357" s="16"/>
      <c r="AI357" s="16"/>
    </row>
    <row r="358" spans="1:35">
      <c r="A358" s="15"/>
      <c r="B358" s="15"/>
      <c r="C358" s="16"/>
      <c r="D358" s="16"/>
      <c r="E358" s="16"/>
      <c r="F358" s="16"/>
      <c r="G358" s="16"/>
      <c r="H358" s="16"/>
      <c r="I358" s="16"/>
      <c r="J358" s="16"/>
      <c r="K358" s="16"/>
      <c r="L358" s="25"/>
      <c r="M358" s="25"/>
      <c r="N358" s="25"/>
      <c r="O358" s="16"/>
      <c r="P358" s="1"/>
      <c r="Q358" s="8"/>
      <c r="R358" s="8"/>
      <c r="S358" s="1"/>
      <c r="T358" s="8"/>
      <c r="U358" s="8"/>
      <c r="V358" s="38"/>
      <c r="W358" s="1"/>
      <c r="X358" s="1"/>
      <c r="Y358" s="16"/>
      <c r="Z358" s="16"/>
      <c r="AA358" s="16"/>
      <c r="AB358" s="16"/>
      <c r="AC358" s="16"/>
      <c r="AD358" s="16"/>
      <c r="AE358" s="16"/>
      <c r="AF358" s="16"/>
      <c r="AG358" s="16"/>
      <c r="AH358" s="16"/>
      <c r="AI358" s="16"/>
    </row>
    <row r="359" spans="1:35">
      <c r="A359" s="15"/>
      <c r="B359" s="15"/>
      <c r="C359" s="16"/>
      <c r="D359" s="16"/>
      <c r="E359" s="16"/>
      <c r="F359" s="16"/>
      <c r="G359" s="16"/>
      <c r="H359" s="16"/>
      <c r="I359" s="16"/>
      <c r="J359" s="16"/>
      <c r="K359" s="16"/>
      <c r="L359" s="25"/>
      <c r="M359" s="25"/>
      <c r="N359" s="25"/>
      <c r="O359" s="16"/>
      <c r="P359" s="1"/>
      <c r="Q359" s="8"/>
      <c r="R359" s="8"/>
      <c r="S359" s="1"/>
      <c r="T359" s="8"/>
      <c r="U359" s="8"/>
      <c r="V359" s="38"/>
      <c r="W359" s="1"/>
      <c r="X359" s="1"/>
      <c r="Y359" s="16"/>
      <c r="Z359" s="16"/>
      <c r="AA359" s="16"/>
      <c r="AB359" s="16"/>
      <c r="AC359" s="16"/>
      <c r="AD359" s="16"/>
      <c r="AE359" s="16"/>
      <c r="AF359" s="16"/>
      <c r="AG359" s="16"/>
      <c r="AH359" s="16"/>
      <c r="AI359" s="16"/>
    </row>
    <row r="360" spans="1:35">
      <c r="A360" s="15"/>
      <c r="B360" s="15"/>
      <c r="C360" s="16"/>
      <c r="D360" s="16"/>
      <c r="E360" s="16"/>
      <c r="F360" s="16"/>
      <c r="G360" s="16"/>
      <c r="H360" s="16"/>
      <c r="I360" s="16"/>
      <c r="J360" s="16"/>
      <c r="K360" s="16"/>
      <c r="L360" s="25"/>
      <c r="M360" s="25"/>
      <c r="N360" s="25"/>
      <c r="O360" s="16"/>
      <c r="P360" s="1"/>
      <c r="Q360" s="8"/>
      <c r="R360" s="8"/>
      <c r="S360" s="1"/>
      <c r="T360" s="8"/>
      <c r="U360" s="8"/>
      <c r="V360" s="38"/>
      <c r="W360" s="1"/>
      <c r="X360" s="1"/>
      <c r="Y360" s="16"/>
      <c r="Z360" s="16"/>
      <c r="AA360" s="16"/>
      <c r="AB360" s="16"/>
      <c r="AC360" s="16"/>
      <c r="AD360" s="16"/>
      <c r="AE360" s="16"/>
      <c r="AF360" s="16"/>
      <c r="AG360" s="16"/>
      <c r="AH360" s="16"/>
      <c r="AI360" s="16"/>
    </row>
    <row r="361" spans="1:35">
      <c r="A361" s="15"/>
      <c r="B361" s="15"/>
      <c r="C361" s="16"/>
      <c r="D361" s="16"/>
      <c r="E361" s="16"/>
      <c r="F361" s="16"/>
      <c r="G361" s="16"/>
      <c r="H361" s="16"/>
      <c r="I361" s="16"/>
      <c r="J361" s="16"/>
      <c r="K361" s="16"/>
      <c r="L361" s="25"/>
      <c r="M361" s="25"/>
      <c r="N361" s="25"/>
      <c r="O361" s="16"/>
      <c r="P361" s="1"/>
      <c r="Q361" s="8"/>
      <c r="R361" s="8"/>
      <c r="S361" s="1"/>
      <c r="T361" s="8"/>
      <c r="U361" s="8"/>
      <c r="V361" s="38"/>
      <c r="W361" s="1"/>
      <c r="X361" s="1"/>
      <c r="Y361" s="16"/>
      <c r="Z361" s="16"/>
      <c r="AA361" s="16"/>
      <c r="AB361" s="16"/>
      <c r="AC361" s="16"/>
      <c r="AD361" s="16"/>
      <c r="AE361" s="16"/>
      <c r="AF361" s="16"/>
      <c r="AG361" s="16"/>
      <c r="AH361" s="16"/>
      <c r="AI361" s="16"/>
    </row>
    <row r="362" spans="1:35">
      <c r="A362" s="15"/>
      <c r="B362" s="15"/>
      <c r="C362" s="16"/>
      <c r="D362" s="16"/>
      <c r="E362" s="16"/>
      <c r="F362" s="16"/>
      <c r="G362" s="16"/>
      <c r="H362" s="16"/>
      <c r="I362" s="16"/>
      <c r="J362" s="16"/>
      <c r="K362" s="16"/>
      <c r="L362" s="25"/>
      <c r="M362" s="25"/>
      <c r="N362" s="25"/>
      <c r="O362" s="16"/>
      <c r="P362" s="1"/>
      <c r="Q362" s="8"/>
      <c r="R362" s="8"/>
      <c r="S362" s="1"/>
      <c r="T362" s="8"/>
      <c r="U362" s="8"/>
      <c r="V362" s="38"/>
      <c r="W362" s="1"/>
      <c r="X362" s="1"/>
      <c r="Y362" s="16"/>
      <c r="Z362" s="16"/>
      <c r="AA362" s="16"/>
      <c r="AB362" s="16"/>
      <c r="AC362" s="16"/>
      <c r="AD362" s="16"/>
      <c r="AE362" s="16"/>
      <c r="AF362" s="16"/>
      <c r="AG362" s="16"/>
      <c r="AH362" s="16"/>
      <c r="AI362" s="16"/>
    </row>
    <row r="363" spans="1:35">
      <c r="A363" s="15"/>
      <c r="B363" s="15"/>
      <c r="C363" s="16"/>
      <c r="D363" s="16"/>
      <c r="E363" s="16"/>
      <c r="F363" s="16"/>
      <c r="G363" s="16"/>
      <c r="H363" s="16"/>
      <c r="I363" s="16"/>
      <c r="J363" s="16"/>
      <c r="K363" s="16"/>
      <c r="L363" s="25"/>
      <c r="M363" s="25"/>
      <c r="N363" s="25"/>
      <c r="O363" s="16"/>
      <c r="P363" s="1"/>
      <c r="Q363" s="8"/>
      <c r="R363" s="8"/>
      <c r="S363" s="1"/>
      <c r="T363" s="8"/>
      <c r="U363" s="8"/>
      <c r="V363" s="38"/>
      <c r="W363" s="1"/>
      <c r="X363" s="1"/>
      <c r="Y363" s="16"/>
      <c r="Z363" s="16"/>
      <c r="AA363" s="16"/>
      <c r="AB363" s="16"/>
      <c r="AC363" s="16"/>
      <c r="AD363" s="16"/>
      <c r="AE363" s="16"/>
      <c r="AF363" s="16"/>
      <c r="AG363" s="16"/>
      <c r="AH363" s="16"/>
      <c r="AI363" s="16"/>
    </row>
    <row r="364" spans="1:35">
      <c r="A364" s="15"/>
      <c r="B364" s="15"/>
      <c r="C364" s="16"/>
      <c r="D364" s="16"/>
      <c r="E364" s="16"/>
      <c r="F364" s="16"/>
      <c r="G364" s="16"/>
      <c r="H364" s="16"/>
      <c r="I364" s="16"/>
      <c r="J364" s="16"/>
      <c r="K364" s="16"/>
      <c r="L364" s="25"/>
      <c r="M364" s="25"/>
      <c r="N364" s="25"/>
      <c r="O364" s="16"/>
      <c r="P364" s="1"/>
      <c r="Q364" s="8"/>
      <c r="R364" s="8"/>
      <c r="S364" s="1"/>
      <c r="T364" s="8"/>
      <c r="U364" s="8"/>
      <c r="V364" s="38"/>
      <c r="W364" s="1"/>
      <c r="X364" s="1"/>
      <c r="Y364" s="16"/>
      <c r="Z364" s="16"/>
      <c r="AA364" s="16"/>
      <c r="AB364" s="16"/>
      <c r="AC364" s="16"/>
      <c r="AD364" s="16"/>
      <c r="AE364" s="16"/>
      <c r="AF364" s="16"/>
      <c r="AG364" s="16"/>
      <c r="AH364" s="16"/>
      <c r="AI364" s="16"/>
    </row>
    <row r="365" spans="1:35">
      <c r="A365" s="15"/>
      <c r="B365" s="15"/>
      <c r="C365" s="16"/>
      <c r="D365" s="16"/>
      <c r="E365" s="16"/>
      <c r="F365" s="16"/>
      <c r="G365" s="16"/>
      <c r="H365" s="16"/>
      <c r="I365" s="16"/>
      <c r="J365" s="16"/>
      <c r="K365" s="16"/>
      <c r="L365" s="25"/>
      <c r="M365" s="25"/>
      <c r="N365" s="25"/>
      <c r="O365" s="16"/>
      <c r="P365" s="1"/>
      <c r="Q365" s="8"/>
      <c r="R365" s="8"/>
      <c r="S365" s="1"/>
      <c r="T365" s="8"/>
      <c r="U365" s="8"/>
      <c r="V365" s="38"/>
      <c r="W365" s="1"/>
      <c r="X365" s="1"/>
      <c r="Y365" s="16"/>
      <c r="Z365" s="16"/>
      <c r="AA365" s="16"/>
      <c r="AB365" s="16"/>
      <c r="AC365" s="16"/>
      <c r="AD365" s="16"/>
      <c r="AE365" s="16"/>
      <c r="AF365" s="16"/>
      <c r="AG365" s="16"/>
      <c r="AH365" s="16"/>
      <c r="AI365" s="16"/>
    </row>
    <row r="366" spans="1:35">
      <c r="A366" s="15"/>
      <c r="B366" s="15"/>
      <c r="C366" s="16"/>
      <c r="D366" s="16"/>
      <c r="E366" s="16"/>
      <c r="F366" s="16"/>
      <c r="G366" s="16"/>
      <c r="H366" s="16"/>
      <c r="I366" s="16"/>
      <c r="J366" s="16"/>
      <c r="K366" s="16"/>
      <c r="L366" s="25"/>
      <c r="M366" s="25"/>
      <c r="N366" s="25"/>
      <c r="O366" s="16"/>
      <c r="P366" s="1"/>
      <c r="Q366" s="8"/>
      <c r="R366" s="8"/>
      <c r="S366" s="1"/>
      <c r="T366" s="8"/>
      <c r="U366" s="8"/>
      <c r="V366" s="38"/>
      <c r="W366" s="1"/>
      <c r="X366" s="1"/>
      <c r="Y366" s="16"/>
      <c r="Z366" s="16"/>
      <c r="AA366" s="16"/>
      <c r="AB366" s="16"/>
      <c r="AC366" s="16"/>
      <c r="AD366" s="16"/>
      <c r="AE366" s="16"/>
      <c r="AF366" s="16"/>
      <c r="AG366" s="16"/>
      <c r="AH366" s="16"/>
      <c r="AI366" s="16"/>
    </row>
    <row r="367" spans="1:35">
      <c r="A367" s="15"/>
      <c r="B367" s="15"/>
      <c r="C367" s="16"/>
      <c r="D367" s="16"/>
      <c r="E367" s="16"/>
      <c r="F367" s="16"/>
      <c r="G367" s="16"/>
      <c r="H367" s="16"/>
      <c r="I367" s="16"/>
      <c r="J367" s="16"/>
      <c r="K367" s="16"/>
      <c r="L367" s="25"/>
      <c r="M367" s="25"/>
      <c r="N367" s="25"/>
      <c r="O367" s="16"/>
      <c r="P367" s="1"/>
      <c r="Q367" s="8"/>
      <c r="R367" s="8"/>
      <c r="S367" s="1"/>
      <c r="T367" s="8"/>
      <c r="U367" s="8"/>
      <c r="V367" s="38"/>
      <c r="W367" s="1"/>
      <c r="X367" s="1"/>
      <c r="Y367" s="16"/>
      <c r="Z367" s="16"/>
      <c r="AA367" s="16"/>
      <c r="AB367" s="16"/>
      <c r="AC367" s="16"/>
      <c r="AD367" s="16"/>
      <c r="AE367" s="16"/>
      <c r="AF367" s="16"/>
      <c r="AG367" s="16"/>
      <c r="AH367" s="16"/>
      <c r="AI367" s="16"/>
    </row>
    <row r="368" spans="1:35">
      <c r="A368" s="15"/>
      <c r="B368" s="15"/>
      <c r="C368" s="16"/>
      <c r="D368" s="16"/>
      <c r="E368" s="16"/>
      <c r="F368" s="16"/>
      <c r="G368" s="16"/>
      <c r="H368" s="16"/>
      <c r="I368" s="16"/>
      <c r="J368" s="16"/>
      <c r="K368" s="16"/>
      <c r="L368" s="25"/>
      <c r="M368" s="25"/>
      <c r="N368" s="25"/>
      <c r="O368" s="16"/>
      <c r="P368" s="1"/>
      <c r="Q368" s="8"/>
      <c r="R368" s="8"/>
      <c r="S368" s="1"/>
      <c r="T368" s="8"/>
      <c r="U368" s="8"/>
      <c r="V368" s="38"/>
      <c r="W368" s="1"/>
      <c r="X368" s="1"/>
      <c r="Y368" s="16"/>
      <c r="Z368" s="16"/>
      <c r="AA368" s="16"/>
      <c r="AB368" s="16"/>
      <c r="AC368" s="16"/>
      <c r="AD368" s="16"/>
      <c r="AE368" s="16"/>
      <c r="AF368" s="16"/>
      <c r="AG368" s="16"/>
      <c r="AH368" s="16"/>
      <c r="AI368" s="16"/>
    </row>
    <row r="369" spans="1:35">
      <c r="A369" s="15"/>
      <c r="B369" s="15"/>
      <c r="C369" s="16"/>
      <c r="D369" s="16"/>
      <c r="E369" s="16"/>
      <c r="F369" s="16"/>
      <c r="G369" s="16"/>
      <c r="H369" s="16"/>
      <c r="I369" s="16"/>
      <c r="J369" s="16"/>
      <c r="K369" s="16"/>
      <c r="L369" s="25"/>
      <c r="M369" s="25"/>
      <c r="N369" s="25"/>
      <c r="O369" s="16"/>
      <c r="P369" s="1"/>
      <c r="Q369" s="8"/>
      <c r="R369" s="8"/>
      <c r="S369" s="1"/>
      <c r="T369" s="8"/>
      <c r="U369" s="8"/>
      <c r="V369" s="38"/>
      <c r="W369" s="1"/>
      <c r="X369" s="1"/>
      <c r="Y369" s="16"/>
      <c r="Z369" s="16"/>
      <c r="AA369" s="16"/>
      <c r="AB369" s="16"/>
      <c r="AC369" s="16"/>
      <c r="AD369" s="16"/>
      <c r="AE369" s="16"/>
      <c r="AF369" s="16"/>
      <c r="AG369" s="16"/>
      <c r="AH369" s="16"/>
      <c r="AI369" s="16"/>
    </row>
    <row r="370" spans="1:35">
      <c r="A370" s="15"/>
      <c r="B370" s="15"/>
      <c r="C370" s="16"/>
      <c r="D370" s="16"/>
      <c r="E370" s="16"/>
      <c r="F370" s="16"/>
      <c r="G370" s="16"/>
      <c r="H370" s="16"/>
      <c r="I370" s="16"/>
      <c r="J370" s="16"/>
      <c r="K370" s="16"/>
      <c r="L370" s="25"/>
      <c r="M370" s="25"/>
      <c r="N370" s="25"/>
      <c r="O370" s="16"/>
      <c r="P370" s="1"/>
      <c r="Q370" s="8"/>
      <c r="R370" s="8"/>
      <c r="S370" s="1"/>
      <c r="T370" s="8"/>
      <c r="U370" s="8"/>
      <c r="V370" s="38"/>
      <c r="W370" s="1"/>
      <c r="X370" s="1"/>
      <c r="Y370" s="16"/>
      <c r="Z370" s="16"/>
      <c r="AA370" s="16"/>
      <c r="AB370" s="16"/>
      <c r="AC370" s="16"/>
      <c r="AD370" s="16"/>
      <c r="AE370" s="16"/>
      <c r="AF370" s="16"/>
      <c r="AG370" s="16"/>
      <c r="AH370" s="16"/>
      <c r="AI370" s="16"/>
    </row>
    <row r="371" spans="1:35">
      <c r="A371" s="15"/>
      <c r="B371" s="15"/>
      <c r="C371" s="16"/>
      <c r="D371" s="16"/>
      <c r="E371" s="16"/>
      <c r="F371" s="16"/>
      <c r="G371" s="16"/>
      <c r="H371" s="16"/>
      <c r="I371" s="16"/>
      <c r="J371" s="16"/>
      <c r="K371" s="16"/>
      <c r="L371" s="25"/>
      <c r="M371" s="25"/>
      <c r="N371" s="25"/>
      <c r="O371" s="16"/>
      <c r="P371" s="1"/>
      <c r="Q371" s="8"/>
      <c r="R371" s="8"/>
      <c r="S371" s="1"/>
      <c r="T371" s="8"/>
      <c r="U371" s="8"/>
      <c r="V371" s="38"/>
      <c r="W371" s="1"/>
      <c r="X371" s="1"/>
      <c r="Y371" s="16"/>
      <c r="Z371" s="16"/>
      <c r="AA371" s="16"/>
      <c r="AB371" s="16"/>
      <c r="AC371" s="16"/>
      <c r="AD371" s="16"/>
      <c r="AE371" s="16"/>
      <c r="AF371" s="16"/>
      <c r="AG371" s="16"/>
      <c r="AH371" s="16"/>
      <c r="AI371" s="16"/>
    </row>
    <row r="372" spans="1:35">
      <c r="A372" s="15"/>
      <c r="B372" s="15"/>
      <c r="C372" s="16"/>
      <c r="D372" s="16"/>
      <c r="E372" s="16"/>
      <c r="F372" s="16"/>
      <c r="G372" s="16"/>
      <c r="H372" s="16"/>
      <c r="I372" s="16"/>
      <c r="J372" s="16"/>
      <c r="K372" s="16"/>
      <c r="L372" s="25"/>
      <c r="M372" s="25"/>
      <c r="N372" s="25"/>
      <c r="O372" s="16"/>
      <c r="P372" s="1"/>
      <c r="Q372" s="8"/>
      <c r="R372" s="8"/>
      <c r="S372" s="1"/>
      <c r="T372" s="8"/>
      <c r="U372" s="8"/>
      <c r="V372" s="38"/>
      <c r="W372" s="1"/>
      <c r="X372" s="1"/>
      <c r="Y372" s="16"/>
      <c r="Z372" s="16"/>
      <c r="AA372" s="16"/>
      <c r="AB372" s="16"/>
      <c r="AC372" s="16"/>
      <c r="AD372" s="16"/>
      <c r="AE372" s="16"/>
      <c r="AF372" s="16"/>
      <c r="AG372" s="16"/>
      <c r="AH372" s="16"/>
      <c r="AI372" s="16"/>
    </row>
    <row r="373" spans="1:35">
      <c r="A373" s="15"/>
      <c r="B373" s="15"/>
      <c r="C373" s="16"/>
      <c r="D373" s="16"/>
      <c r="E373" s="16"/>
      <c r="F373" s="16"/>
      <c r="G373" s="16"/>
      <c r="H373" s="16"/>
      <c r="I373" s="16"/>
      <c r="J373" s="16"/>
      <c r="K373" s="16"/>
      <c r="L373" s="25"/>
      <c r="M373" s="25"/>
      <c r="N373" s="25"/>
      <c r="O373" s="16"/>
      <c r="P373" s="1"/>
      <c r="Q373" s="8"/>
      <c r="R373" s="8"/>
      <c r="S373" s="1"/>
      <c r="T373" s="8"/>
      <c r="U373" s="8"/>
      <c r="V373" s="38"/>
      <c r="W373" s="1"/>
      <c r="X373" s="1"/>
      <c r="Y373" s="16"/>
      <c r="Z373" s="16"/>
      <c r="AA373" s="16"/>
      <c r="AB373" s="16"/>
      <c r="AC373" s="16"/>
      <c r="AD373" s="16"/>
      <c r="AE373" s="16"/>
      <c r="AF373" s="16"/>
      <c r="AG373" s="16"/>
      <c r="AH373" s="16"/>
      <c r="AI373" s="16"/>
    </row>
    <row r="374" spans="1:35">
      <c r="A374" s="15"/>
      <c r="B374" s="15"/>
      <c r="C374" s="16"/>
      <c r="D374" s="16"/>
      <c r="E374" s="16"/>
      <c r="F374" s="16"/>
      <c r="G374" s="16"/>
      <c r="H374" s="16"/>
      <c r="I374" s="16"/>
      <c r="J374" s="16"/>
      <c r="K374" s="16"/>
      <c r="L374" s="25"/>
      <c r="M374" s="25"/>
      <c r="N374" s="25"/>
      <c r="O374" s="16"/>
      <c r="P374" s="1"/>
      <c r="Q374" s="8"/>
      <c r="R374" s="8"/>
      <c r="S374" s="1"/>
      <c r="T374" s="8"/>
      <c r="U374" s="8"/>
      <c r="V374" s="38"/>
      <c r="W374" s="1"/>
      <c r="X374" s="1"/>
      <c r="Y374" s="16"/>
      <c r="Z374" s="16"/>
      <c r="AA374" s="16"/>
      <c r="AB374" s="16"/>
      <c r="AC374" s="16"/>
      <c r="AD374" s="16"/>
      <c r="AE374" s="16"/>
      <c r="AF374" s="16"/>
      <c r="AG374" s="16"/>
      <c r="AH374" s="16"/>
      <c r="AI374" s="16"/>
    </row>
    <row r="375" spans="1:35">
      <c r="A375" s="15"/>
      <c r="B375" s="54"/>
      <c r="C375" s="8"/>
      <c r="D375" s="8"/>
      <c r="E375" s="8"/>
      <c r="F375" s="8"/>
      <c r="G375" s="8"/>
      <c r="H375" s="8"/>
      <c r="I375" s="8"/>
      <c r="J375" s="8"/>
      <c r="K375" s="8"/>
      <c r="L375" s="26"/>
      <c r="M375" s="26"/>
      <c r="N375" s="26"/>
      <c r="O375" s="55"/>
      <c r="P375" s="1"/>
      <c r="Q375" s="8"/>
      <c r="R375" s="8"/>
      <c r="S375" s="1"/>
      <c r="T375" s="8"/>
      <c r="U375" s="8"/>
      <c r="V375" s="56"/>
      <c r="W375" s="1"/>
      <c r="X375" s="1"/>
      <c r="Y375" s="8"/>
      <c r="Z375" s="8"/>
      <c r="AA375" s="8"/>
      <c r="AB375" s="8"/>
      <c r="AC375" s="8"/>
      <c r="AD375" s="8"/>
      <c r="AE375" s="8"/>
      <c r="AF375" s="8"/>
      <c r="AG375" s="8"/>
      <c r="AH375" s="8"/>
      <c r="AI375" s="8"/>
    </row>
    <row r="376" spans="1:35">
      <c r="A376" s="15"/>
      <c r="B376" s="54"/>
      <c r="C376" s="8"/>
      <c r="D376" s="8"/>
      <c r="E376" s="8"/>
      <c r="F376" s="8"/>
      <c r="G376" s="8"/>
      <c r="H376" s="8"/>
      <c r="I376" s="8"/>
      <c r="J376" s="8"/>
      <c r="K376" s="8"/>
      <c r="L376" s="26"/>
      <c r="M376" s="26"/>
      <c r="N376" s="26"/>
      <c r="O376" s="55"/>
      <c r="P376" s="1"/>
      <c r="Q376" s="8"/>
      <c r="R376" s="8"/>
      <c r="S376" s="1"/>
      <c r="T376" s="8"/>
      <c r="U376" s="8"/>
      <c r="V376" s="56"/>
      <c r="W376" s="1"/>
      <c r="X376" s="1"/>
      <c r="Y376" s="8"/>
      <c r="Z376" s="8"/>
      <c r="AA376" s="8"/>
      <c r="AB376" s="8"/>
      <c r="AC376" s="8"/>
      <c r="AD376" s="8"/>
      <c r="AE376" s="8"/>
      <c r="AF376" s="8"/>
      <c r="AG376" s="8"/>
      <c r="AH376" s="8"/>
      <c r="AI376" s="8"/>
    </row>
    <row r="377" spans="1:35">
      <c r="A377" s="15"/>
      <c r="B377" s="54"/>
      <c r="C377" s="8"/>
      <c r="D377" s="8"/>
      <c r="E377" s="8"/>
      <c r="F377" s="8"/>
      <c r="G377" s="8"/>
      <c r="H377" s="8"/>
      <c r="I377" s="8"/>
      <c r="J377" s="8"/>
      <c r="K377" s="8"/>
      <c r="L377" s="26"/>
      <c r="M377" s="26"/>
      <c r="N377" s="26"/>
      <c r="O377" s="55"/>
      <c r="P377" s="1"/>
      <c r="Q377" s="8"/>
      <c r="R377" s="8"/>
      <c r="S377" s="1"/>
      <c r="T377" s="8"/>
      <c r="U377" s="8"/>
      <c r="V377" s="56"/>
      <c r="W377" s="1"/>
      <c r="X377" s="1"/>
      <c r="Y377" s="8"/>
      <c r="Z377" s="8"/>
      <c r="AA377" s="8"/>
      <c r="AB377" s="8"/>
      <c r="AC377" s="8"/>
      <c r="AD377" s="8"/>
      <c r="AE377" s="8"/>
      <c r="AF377" s="8"/>
      <c r="AG377" s="8"/>
      <c r="AH377" s="8"/>
      <c r="AI377" s="8"/>
    </row>
    <row r="378" spans="1:35">
      <c r="A378" s="1"/>
      <c r="B378" s="103"/>
      <c r="C378" s="8"/>
      <c r="D378" s="8"/>
      <c r="E378" s="8"/>
      <c r="F378" s="101"/>
      <c r="G378" s="101"/>
      <c r="H378" s="101"/>
      <c r="I378" s="101"/>
      <c r="J378" s="101"/>
      <c r="K378" s="101"/>
      <c r="L378" s="102"/>
      <c r="M378" s="26"/>
      <c r="N378" s="26"/>
      <c r="O378" s="55"/>
      <c r="P378" s="1"/>
      <c r="Q378" s="8"/>
      <c r="R378" s="8"/>
      <c r="S378" s="1"/>
      <c r="T378" s="8"/>
      <c r="U378" s="8"/>
      <c r="V378" s="56"/>
      <c r="W378" s="1"/>
      <c r="X378" s="1"/>
      <c r="Y378" s="8"/>
      <c r="Z378" s="8"/>
      <c r="AA378" s="8"/>
      <c r="AB378" s="8"/>
      <c r="AC378" s="8"/>
      <c r="AD378" s="8"/>
      <c r="AE378" s="8"/>
      <c r="AF378" s="8"/>
      <c r="AG378" s="8"/>
      <c r="AH378" s="8"/>
      <c r="AI378" s="8"/>
    </row>
    <row r="379" spans="1:35">
      <c r="A379" s="1"/>
      <c r="B379" s="94"/>
      <c r="C379" s="8"/>
      <c r="D379" s="8"/>
      <c r="E379" s="8"/>
      <c r="F379" s="94"/>
      <c r="G379" s="94"/>
      <c r="H379" s="94"/>
      <c r="I379" s="94"/>
      <c r="J379" s="94"/>
      <c r="K379" s="94"/>
      <c r="L379" s="94"/>
      <c r="M379" s="26"/>
      <c r="N379" s="26"/>
      <c r="O379" s="55"/>
      <c r="P379" s="1"/>
      <c r="Q379" s="8"/>
      <c r="R379" s="8"/>
      <c r="S379" s="1"/>
      <c r="T379" s="8"/>
      <c r="U379" s="8"/>
      <c r="V379" s="56"/>
      <c r="W379" s="1"/>
      <c r="X379" s="1"/>
      <c r="Y379" s="8"/>
      <c r="Z379" s="8"/>
      <c r="AA379" s="8"/>
      <c r="AB379" s="8"/>
      <c r="AC379" s="8"/>
      <c r="AD379" s="8"/>
      <c r="AE379" s="8"/>
      <c r="AF379" s="8"/>
      <c r="AG379" s="8"/>
      <c r="AH379" s="8"/>
      <c r="AI379" s="8"/>
    </row>
    <row r="380" spans="1:35">
      <c r="A380" s="1"/>
      <c r="B380" s="94"/>
      <c r="C380" s="8"/>
      <c r="D380" s="8"/>
      <c r="E380" s="8"/>
      <c r="F380" s="94"/>
      <c r="G380" s="94"/>
      <c r="H380" s="94"/>
      <c r="I380" s="94"/>
      <c r="J380" s="94"/>
      <c r="K380" s="94"/>
      <c r="L380" s="94"/>
      <c r="M380" s="26"/>
      <c r="N380" s="26"/>
      <c r="O380" s="55"/>
      <c r="P380" s="1"/>
      <c r="Q380" s="8"/>
      <c r="R380" s="8"/>
      <c r="S380" s="1"/>
      <c r="T380" s="8"/>
      <c r="U380" s="8"/>
      <c r="V380" s="56"/>
      <c r="W380" s="1"/>
      <c r="X380" s="1"/>
      <c r="Y380" s="8"/>
      <c r="Z380" s="8"/>
      <c r="AA380" s="8"/>
      <c r="AB380" s="8"/>
      <c r="AC380" s="8"/>
      <c r="AD380" s="8"/>
      <c r="AE380" s="8"/>
      <c r="AF380" s="8"/>
      <c r="AG380" s="8"/>
      <c r="AH380" s="8"/>
      <c r="AI380" s="8"/>
    </row>
    <row r="381" spans="1:35">
      <c r="A381" s="1"/>
      <c r="B381" s="94"/>
      <c r="C381" s="8"/>
      <c r="D381" s="8"/>
      <c r="E381" s="8"/>
      <c r="F381" s="94"/>
      <c r="G381" s="94"/>
      <c r="H381" s="94"/>
      <c r="I381" s="94"/>
      <c r="J381" s="94"/>
      <c r="K381" s="94"/>
      <c r="L381" s="94"/>
      <c r="M381" s="26"/>
      <c r="N381" s="26"/>
      <c r="O381" s="55"/>
      <c r="P381" s="1"/>
      <c r="Q381" s="8"/>
      <c r="R381" s="8"/>
      <c r="S381" s="1"/>
      <c r="T381" s="8"/>
      <c r="U381" s="8"/>
      <c r="V381" s="56"/>
      <c r="W381" s="1"/>
      <c r="X381" s="1"/>
      <c r="Y381" s="8"/>
      <c r="Z381" s="8"/>
      <c r="AA381" s="8"/>
      <c r="AB381" s="8"/>
      <c r="AC381" s="8"/>
      <c r="AD381" s="8"/>
      <c r="AE381" s="8"/>
      <c r="AF381" s="8"/>
      <c r="AG381" s="8"/>
      <c r="AH381" s="8"/>
      <c r="AI381" s="8"/>
    </row>
    <row r="382" spans="1:35">
      <c r="A382" s="1"/>
      <c r="B382" s="94"/>
      <c r="C382" s="8"/>
      <c r="D382" s="8"/>
      <c r="E382" s="8"/>
      <c r="F382" s="94"/>
      <c r="G382" s="94"/>
      <c r="H382" s="94"/>
      <c r="I382" s="94"/>
      <c r="J382" s="94"/>
      <c r="K382" s="94"/>
      <c r="L382" s="94"/>
      <c r="M382" s="26"/>
      <c r="N382" s="26"/>
      <c r="O382" s="55"/>
      <c r="P382" s="1"/>
      <c r="Q382" s="8"/>
      <c r="R382" s="8"/>
      <c r="S382" s="1"/>
      <c r="T382" s="8"/>
      <c r="U382" s="8"/>
      <c r="V382" s="56"/>
      <c r="W382" s="1"/>
      <c r="X382" s="1"/>
      <c r="Y382" s="8"/>
      <c r="Z382" s="8"/>
      <c r="AA382" s="8"/>
      <c r="AB382" s="8"/>
      <c r="AC382" s="8"/>
      <c r="AD382" s="8"/>
      <c r="AE382" s="8"/>
      <c r="AF382" s="8"/>
      <c r="AG382" s="8"/>
      <c r="AH382" s="8"/>
      <c r="AI382" s="8"/>
    </row>
    <row r="383" spans="1:35">
      <c r="A383" s="1"/>
      <c r="B383" s="103"/>
      <c r="C383" s="8"/>
      <c r="D383" s="8"/>
      <c r="E383" s="8"/>
      <c r="F383" s="101"/>
      <c r="G383" s="101"/>
      <c r="H383" s="101"/>
      <c r="I383" s="101"/>
      <c r="J383" s="101"/>
      <c r="K383" s="101"/>
      <c r="L383" s="102"/>
      <c r="M383" s="26"/>
      <c r="N383" s="26"/>
      <c r="O383" s="55"/>
      <c r="P383" s="1"/>
      <c r="Q383" s="8"/>
      <c r="R383" s="8"/>
      <c r="S383" s="1"/>
      <c r="T383" s="8"/>
      <c r="U383" s="8"/>
      <c r="V383" s="56"/>
      <c r="W383" s="1"/>
      <c r="X383" s="1"/>
      <c r="Y383" s="8"/>
      <c r="Z383" s="8"/>
      <c r="AA383" s="8"/>
      <c r="AB383" s="8"/>
      <c r="AC383" s="8"/>
      <c r="AD383" s="8"/>
      <c r="AE383" s="8"/>
      <c r="AF383" s="8"/>
      <c r="AG383" s="8"/>
      <c r="AH383" s="8"/>
      <c r="AI383" s="8"/>
    </row>
    <row r="384" spans="1:35">
      <c r="A384" s="1"/>
      <c r="B384" s="94"/>
      <c r="C384" s="8"/>
      <c r="D384" s="8"/>
      <c r="E384" s="8"/>
      <c r="F384" s="94"/>
      <c r="G384" s="94"/>
      <c r="H384" s="94"/>
      <c r="I384" s="94"/>
      <c r="J384" s="94"/>
      <c r="K384" s="94"/>
      <c r="L384" s="94"/>
      <c r="M384" s="26"/>
      <c r="N384" s="26"/>
      <c r="O384" s="55"/>
      <c r="P384" s="1"/>
      <c r="Q384" s="8"/>
      <c r="R384" s="8"/>
      <c r="S384" s="1"/>
      <c r="T384" s="8"/>
      <c r="U384" s="8"/>
      <c r="V384" s="56"/>
      <c r="W384" s="1"/>
      <c r="X384" s="1"/>
      <c r="Y384" s="8"/>
      <c r="Z384" s="8"/>
      <c r="AA384" s="8"/>
      <c r="AB384" s="8"/>
      <c r="AC384" s="8"/>
      <c r="AD384" s="8"/>
      <c r="AE384" s="8"/>
      <c r="AF384" s="8"/>
      <c r="AG384" s="8"/>
      <c r="AH384" s="8"/>
      <c r="AI384" s="8"/>
    </row>
    <row r="385" spans="1:35">
      <c r="A385" s="1"/>
      <c r="B385" s="94"/>
      <c r="C385" s="8"/>
      <c r="D385" s="8"/>
      <c r="E385" s="8"/>
      <c r="F385" s="94"/>
      <c r="G385" s="94"/>
      <c r="H385" s="94"/>
      <c r="I385" s="94"/>
      <c r="J385" s="94"/>
      <c r="K385" s="94"/>
      <c r="L385" s="94"/>
      <c r="M385" s="26"/>
      <c r="N385" s="26"/>
      <c r="O385" s="55"/>
      <c r="P385" s="1"/>
      <c r="Q385" s="8"/>
      <c r="R385" s="8"/>
      <c r="S385" s="1"/>
      <c r="T385" s="8"/>
      <c r="U385" s="8"/>
      <c r="V385" s="56"/>
      <c r="W385" s="1"/>
      <c r="X385" s="1"/>
      <c r="Y385" s="8"/>
      <c r="Z385" s="8"/>
      <c r="AA385" s="8"/>
      <c r="AB385" s="8"/>
      <c r="AC385" s="8"/>
      <c r="AD385" s="8"/>
      <c r="AE385" s="8"/>
      <c r="AF385" s="8"/>
      <c r="AG385" s="8"/>
      <c r="AH385" s="8"/>
      <c r="AI385" s="8"/>
    </row>
    <row r="386" spans="1:35">
      <c r="A386" s="1"/>
      <c r="B386" s="94"/>
      <c r="C386" s="8"/>
      <c r="D386" s="8"/>
      <c r="E386" s="8"/>
      <c r="F386" s="94"/>
      <c r="G386" s="94"/>
      <c r="H386" s="94"/>
      <c r="I386" s="94"/>
      <c r="J386" s="94"/>
      <c r="K386" s="94"/>
      <c r="L386" s="94"/>
      <c r="M386" s="26"/>
      <c r="N386" s="26"/>
      <c r="O386" s="55"/>
      <c r="P386" s="1"/>
      <c r="Q386" s="8"/>
      <c r="R386" s="8"/>
      <c r="S386" s="1"/>
      <c r="T386" s="8"/>
      <c r="U386" s="8"/>
      <c r="V386" s="56"/>
      <c r="W386" s="1"/>
      <c r="X386" s="1"/>
      <c r="Y386" s="8"/>
      <c r="Z386" s="8"/>
      <c r="AA386" s="8"/>
      <c r="AB386" s="8"/>
      <c r="AC386" s="8"/>
      <c r="AD386" s="8"/>
      <c r="AE386" s="8"/>
      <c r="AF386" s="8"/>
      <c r="AG386" s="8"/>
      <c r="AH386" s="8"/>
      <c r="AI386" s="8"/>
    </row>
    <row r="387" spans="1:35">
      <c r="A387" s="1"/>
      <c r="B387" s="94"/>
      <c r="C387" s="8"/>
      <c r="D387" s="8"/>
      <c r="E387" s="8"/>
      <c r="F387" s="94"/>
      <c r="G387" s="94"/>
      <c r="H387" s="94"/>
      <c r="I387" s="94"/>
      <c r="J387" s="94"/>
      <c r="K387" s="94"/>
      <c r="L387" s="94"/>
      <c r="M387" s="26"/>
      <c r="N387" s="26"/>
      <c r="O387" s="55"/>
      <c r="P387" s="1"/>
      <c r="Q387" s="8"/>
      <c r="R387" s="8"/>
      <c r="S387" s="1"/>
      <c r="T387" s="8"/>
      <c r="U387" s="8"/>
      <c r="V387" s="56"/>
      <c r="W387" s="1"/>
      <c r="X387" s="1"/>
      <c r="Y387" s="8"/>
      <c r="Z387" s="8"/>
      <c r="AA387" s="8"/>
      <c r="AB387" s="8"/>
      <c r="AC387" s="8"/>
      <c r="AD387" s="8"/>
      <c r="AE387" s="8"/>
      <c r="AF387" s="8"/>
      <c r="AG387" s="8"/>
      <c r="AH387" s="8"/>
      <c r="AI387" s="8"/>
    </row>
    <row r="388" spans="1:35">
      <c r="A388" s="1"/>
      <c r="B388" s="103"/>
      <c r="C388" s="8"/>
      <c r="D388" s="8"/>
      <c r="E388" s="8"/>
      <c r="F388" s="101"/>
      <c r="G388" s="101"/>
      <c r="H388" s="101"/>
      <c r="I388" s="101"/>
      <c r="J388" s="101"/>
      <c r="K388" s="101"/>
      <c r="L388" s="102"/>
      <c r="M388" s="26"/>
      <c r="N388" s="26"/>
      <c r="O388" s="55"/>
      <c r="P388" s="1"/>
      <c r="Q388" s="8"/>
      <c r="R388" s="8"/>
      <c r="S388" s="1"/>
      <c r="T388" s="8"/>
      <c r="U388" s="8"/>
      <c r="V388" s="56"/>
      <c r="W388" s="1"/>
      <c r="X388" s="1"/>
      <c r="Y388" s="8"/>
      <c r="Z388" s="8"/>
      <c r="AA388" s="8"/>
      <c r="AB388" s="8"/>
      <c r="AC388" s="8"/>
      <c r="AD388" s="8"/>
      <c r="AE388" s="8"/>
      <c r="AF388" s="8"/>
      <c r="AG388" s="8"/>
      <c r="AH388" s="8"/>
      <c r="AI388" s="8"/>
    </row>
    <row r="389" spans="1:35">
      <c r="A389" s="1"/>
      <c r="B389" s="94"/>
      <c r="C389" s="8"/>
      <c r="D389" s="8"/>
      <c r="E389" s="8"/>
      <c r="F389" s="94"/>
      <c r="G389" s="94"/>
      <c r="H389" s="94"/>
      <c r="I389" s="94"/>
      <c r="J389" s="94"/>
      <c r="K389" s="94"/>
      <c r="L389" s="94"/>
      <c r="M389" s="26"/>
      <c r="N389" s="26"/>
      <c r="O389" s="55"/>
      <c r="P389" s="1"/>
      <c r="Q389" s="8"/>
      <c r="R389" s="8"/>
      <c r="S389" s="1"/>
      <c r="T389" s="8"/>
      <c r="U389" s="8"/>
      <c r="V389" s="56"/>
      <c r="W389" s="1"/>
      <c r="X389" s="1"/>
      <c r="Y389" s="8"/>
      <c r="Z389" s="8"/>
      <c r="AA389" s="8"/>
      <c r="AB389" s="8"/>
      <c r="AC389" s="8"/>
      <c r="AD389" s="8"/>
      <c r="AE389" s="8"/>
      <c r="AF389" s="8"/>
      <c r="AG389" s="8"/>
      <c r="AH389" s="8"/>
      <c r="AI389" s="8"/>
    </row>
    <row r="390" spans="1:35">
      <c r="A390" s="1"/>
      <c r="B390" s="94"/>
      <c r="C390" s="8"/>
      <c r="D390" s="8"/>
      <c r="E390" s="8"/>
      <c r="F390" s="94"/>
      <c r="G390" s="94"/>
      <c r="H390" s="94"/>
      <c r="I390" s="94"/>
      <c r="J390" s="94"/>
      <c r="K390" s="94"/>
      <c r="L390" s="94"/>
      <c r="M390" s="26"/>
      <c r="N390" s="26"/>
      <c r="O390" s="55"/>
      <c r="P390" s="1"/>
      <c r="Q390" s="8"/>
      <c r="R390" s="8"/>
      <c r="S390" s="1"/>
      <c r="T390" s="8"/>
      <c r="U390" s="8"/>
      <c r="V390" s="56"/>
      <c r="W390" s="1"/>
      <c r="X390" s="1"/>
      <c r="Y390" s="8"/>
      <c r="Z390" s="8"/>
      <c r="AA390" s="8"/>
      <c r="AB390" s="8"/>
      <c r="AC390" s="8"/>
      <c r="AD390" s="8"/>
      <c r="AE390" s="8"/>
      <c r="AF390" s="8"/>
      <c r="AG390" s="8"/>
      <c r="AH390" s="8"/>
      <c r="AI390" s="8"/>
    </row>
    <row r="391" spans="1:35">
      <c r="A391" s="1"/>
      <c r="B391" s="94"/>
      <c r="C391" s="8"/>
      <c r="D391" s="8"/>
      <c r="E391" s="8"/>
      <c r="F391" s="94"/>
      <c r="G391" s="94"/>
      <c r="H391" s="94"/>
      <c r="I391" s="94"/>
      <c r="J391" s="94"/>
      <c r="K391" s="94"/>
      <c r="L391" s="94"/>
      <c r="M391" s="26"/>
      <c r="N391" s="26"/>
      <c r="O391" s="55"/>
      <c r="P391" s="1"/>
      <c r="Q391" s="8"/>
      <c r="R391" s="8"/>
      <c r="S391" s="1"/>
      <c r="T391" s="8"/>
      <c r="U391" s="8"/>
      <c r="V391" s="56"/>
      <c r="W391" s="1"/>
      <c r="X391" s="1"/>
      <c r="Y391" s="8"/>
      <c r="Z391" s="8"/>
      <c r="AA391" s="8"/>
      <c r="AB391" s="8"/>
      <c r="AC391" s="8"/>
      <c r="AD391" s="8"/>
      <c r="AE391" s="8"/>
      <c r="AF391" s="8"/>
      <c r="AG391" s="8"/>
      <c r="AH391" s="8"/>
      <c r="AI391" s="8"/>
    </row>
    <row r="392" spans="1:35">
      <c r="A392" s="1"/>
      <c r="B392" s="94"/>
      <c r="C392" s="8"/>
      <c r="D392" s="8"/>
      <c r="E392" s="8"/>
      <c r="F392" s="94"/>
      <c r="G392" s="94"/>
      <c r="H392" s="94"/>
      <c r="I392" s="94"/>
      <c r="J392" s="94"/>
      <c r="K392" s="94"/>
      <c r="L392" s="94"/>
      <c r="M392" s="26"/>
      <c r="N392" s="26"/>
      <c r="O392" s="55"/>
      <c r="P392" s="1"/>
      <c r="Q392" s="8"/>
      <c r="R392" s="8"/>
      <c r="S392" s="1"/>
      <c r="T392" s="8"/>
      <c r="U392" s="8"/>
      <c r="V392" s="56"/>
      <c r="W392" s="1"/>
      <c r="X392" s="1"/>
      <c r="Y392" s="8"/>
      <c r="Z392" s="8"/>
      <c r="AA392" s="8"/>
      <c r="AB392" s="8"/>
      <c r="AC392" s="8"/>
      <c r="AD392" s="8"/>
      <c r="AE392" s="8"/>
      <c r="AF392" s="8"/>
      <c r="AG392" s="8"/>
      <c r="AH392" s="8"/>
      <c r="AI392" s="8"/>
    </row>
    <row r="393" spans="1:35">
      <c r="A393" s="1"/>
      <c r="B393" s="103"/>
      <c r="C393" s="8"/>
      <c r="D393" s="8"/>
      <c r="E393" s="8"/>
      <c r="F393" s="101"/>
      <c r="G393" s="101"/>
      <c r="H393" s="101"/>
      <c r="I393" s="101"/>
      <c r="J393" s="101"/>
      <c r="K393" s="101"/>
      <c r="L393" s="102"/>
      <c r="M393" s="26"/>
      <c r="N393" s="26"/>
      <c r="O393" s="55"/>
      <c r="P393" s="1"/>
      <c r="Q393" s="8"/>
      <c r="R393" s="8"/>
      <c r="S393" s="1"/>
      <c r="T393" s="8"/>
      <c r="U393" s="8"/>
      <c r="V393" s="56"/>
      <c r="W393" s="1"/>
      <c r="X393" s="1"/>
      <c r="Y393" s="8"/>
      <c r="Z393" s="8"/>
      <c r="AA393" s="8"/>
      <c r="AB393" s="8"/>
      <c r="AC393" s="8"/>
      <c r="AD393" s="8"/>
      <c r="AE393" s="8"/>
      <c r="AF393" s="8"/>
      <c r="AG393" s="8"/>
      <c r="AH393" s="8"/>
      <c r="AI393" s="8"/>
    </row>
    <row r="394" spans="1:35">
      <c r="A394" s="1"/>
      <c r="B394" s="94"/>
      <c r="C394" s="8"/>
      <c r="D394" s="8"/>
      <c r="E394" s="8"/>
      <c r="F394" s="94"/>
      <c r="G394" s="94"/>
      <c r="H394" s="94"/>
      <c r="I394" s="94"/>
      <c r="J394" s="94"/>
      <c r="K394" s="94"/>
      <c r="L394" s="94"/>
      <c r="M394" s="26"/>
      <c r="N394" s="26"/>
      <c r="O394" s="55"/>
      <c r="P394" s="1"/>
      <c r="Q394" s="8"/>
      <c r="R394" s="8"/>
      <c r="S394" s="1"/>
      <c r="T394" s="8"/>
      <c r="U394" s="8"/>
      <c r="V394" s="56"/>
      <c r="W394" s="1"/>
      <c r="X394" s="1"/>
      <c r="Y394" s="8"/>
      <c r="Z394" s="8"/>
      <c r="AA394" s="8"/>
      <c r="AB394" s="8"/>
      <c r="AC394" s="8"/>
      <c r="AD394" s="8"/>
      <c r="AE394" s="8"/>
      <c r="AF394" s="8"/>
      <c r="AG394" s="8"/>
      <c r="AH394" s="8"/>
      <c r="AI394" s="8"/>
    </row>
    <row r="395" spans="1:35">
      <c r="A395" s="1"/>
      <c r="B395" s="94"/>
      <c r="C395" s="8"/>
      <c r="D395" s="8"/>
      <c r="E395" s="8"/>
      <c r="F395" s="94"/>
      <c r="G395" s="94"/>
      <c r="H395" s="94"/>
      <c r="I395" s="94"/>
      <c r="J395" s="94"/>
      <c r="K395" s="94"/>
      <c r="L395" s="94"/>
      <c r="M395" s="26"/>
      <c r="N395" s="26"/>
      <c r="O395" s="55"/>
      <c r="P395" s="1"/>
      <c r="Q395" s="8"/>
      <c r="R395" s="8"/>
      <c r="S395" s="1"/>
      <c r="T395" s="8"/>
      <c r="U395" s="8"/>
      <c r="V395" s="56"/>
      <c r="W395" s="1"/>
      <c r="X395" s="1"/>
      <c r="Y395" s="8"/>
      <c r="Z395" s="8"/>
      <c r="AA395" s="8"/>
      <c r="AB395" s="8"/>
      <c r="AC395" s="8"/>
      <c r="AD395" s="8"/>
      <c r="AE395" s="8"/>
      <c r="AF395" s="8"/>
      <c r="AG395" s="8"/>
      <c r="AH395" s="8"/>
      <c r="AI395" s="8"/>
    </row>
    <row r="396" spans="1:35">
      <c r="A396" s="1"/>
      <c r="B396" s="94"/>
      <c r="C396" s="8"/>
      <c r="D396" s="8"/>
      <c r="E396" s="8"/>
      <c r="F396" s="94"/>
      <c r="G396" s="94"/>
      <c r="H396" s="94"/>
      <c r="I396" s="94"/>
      <c r="J396" s="94"/>
      <c r="K396" s="94"/>
      <c r="L396" s="94"/>
      <c r="M396" s="26"/>
      <c r="N396" s="26"/>
      <c r="O396" s="55"/>
      <c r="P396" s="1"/>
      <c r="Q396" s="8"/>
      <c r="R396" s="8"/>
      <c r="S396" s="1"/>
      <c r="T396" s="8"/>
      <c r="U396" s="8"/>
      <c r="V396" s="56"/>
      <c r="W396" s="1"/>
      <c r="X396" s="1"/>
      <c r="Y396" s="8"/>
      <c r="Z396" s="8"/>
      <c r="AA396" s="8"/>
      <c r="AB396" s="8"/>
      <c r="AC396" s="8"/>
      <c r="AD396" s="8"/>
      <c r="AE396" s="8"/>
      <c r="AF396" s="8"/>
      <c r="AG396" s="8"/>
      <c r="AH396" s="8"/>
      <c r="AI396" s="8"/>
    </row>
    <row r="397" spans="1:35">
      <c r="A397" s="1"/>
      <c r="B397" s="94"/>
      <c r="C397" s="8"/>
      <c r="D397" s="8"/>
      <c r="E397" s="8"/>
      <c r="F397" s="94"/>
      <c r="G397" s="94"/>
      <c r="H397" s="94"/>
      <c r="I397" s="94"/>
      <c r="J397" s="94"/>
      <c r="K397" s="94"/>
      <c r="L397" s="94"/>
      <c r="M397" s="26"/>
      <c r="N397" s="26"/>
      <c r="O397" s="55"/>
      <c r="P397" s="1"/>
      <c r="Q397" s="8"/>
      <c r="R397" s="8"/>
      <c r="S397" s="1"/>
      <c r="T397" s="8"/>
      <c r="U397" s="8"/>
      <c r="V397" s="56"/>
      <c r="W397" s="1"/>
      <c r="X397" s="1"/>
      <c r="Y397" s="8"/>
      <c r="Z397" s="8"/>
      <c r="AA397" s="8"/>
      <c r="AB397" s="8"/>
      <c r="AC397" s="8"/>
      <c r="AD397" s="8"/>
      <c r="AE397" s="8"/>
      <c r="AF397" s="8"/>
      <c r="AG397" s="8"/>
      <c r="AH397" s="8"/>
      <c r="AI397" s="8"/>
    </row>
    <row r="398" spans="1:35">
      <c r="A398" s="1"/>
      <c r="B398" s="103"/>
      <c r="C398" s="8"/>
      <c r="D398" s="8"/>
      <c r="E398" s="8"/>
      <c r="F398" s="101"/>
      <c r="G398" s="101"/>
      <c r="H398" s="101"/>
      <c r="I398" s="101"/>
      <c r="J398" s="101"/>
      <c r="K398" s="101"/>
      <c r="L398" s="102"/>
      <c r="M398" s="26"/>
      <c r="N398" s="26"/>
      <c r="O398" s="55"/>
      <c r="P398" s="1"/>
      <c r="Q398" s="8"/>
      <c r="R398" s="8"/>
      <c r="S398" s="1"/>
      <c r="T398" s="8"/>
      <c r="U398" s="8"/>
      <c r="V398" s="56"/>
      <c r="W398" s="1"/>
      <c r="X398" s="1"/>
      <c r="Y398" s="8"/>
      <c r="Z398" s="8"/>
      <c r="AA398" s="8"/>
      <c r="AB398" s="8"/>
      <c r="AC398" s="8"/>
      <c r="AD398" s="8"/>
      <c r="AE398" s="8"/>
      <c r="AF398" s="8"/>
      <c r="AG398" s="8"/>
      <c r="AH398" s="8"/>
      <c r="AI398" s="8"/>
    </row>
    <row r="399" spans="1:35">
      <c r="A399" s="1"/>
      <c r="B399" s="94"/>
      <c r="C399" s="8"/>
      <c r="D399" s="8"/>
      <c r="E399" s="8"/>
      <c r="F399" s="94"/>
      <c r="G399" s="94"/>
      <c r="H399" s="94"/>
      <c r="I399" s="94"/>
      <c r="J399" s="94"/>
      <c r="K399" s="94"/>
      <c r="L399" s="94"/>
      <c r="M399" s="26"/>
      <c r="N399" s="26"/>
      <c r="O399" s="55"/>
      <c r="P399" s="1"/>
      <c r="Q399" s="8"/>
      <c r="R399" s="8"/>
      <c r="S399" s="1"/>
      <c r="T399" s="8"/>
      <c r="U399" s="8"/>
      <c r="V399" s="56"/>
      <c r="W399" s="1"/>
      <c r="X399" s="1"/>
      <c r="Y399" s="8"/>
      <c r="Z399" s="8"/>
      <c r="AA399" s="8"/>
      <c r="AB399" s="8"/>
      <c r="AC399" s="8"/>
      <c r="AD399" s="8"/>
      <c r="AE399" s="8"/>
      <c r="AF399" s="8"/>
      <c r="AG399" s="8"/>
      <c r="AH399" s="8"/>
      <c r="AI399" s="8"/>
    </row>
    <row r="400" spans="1:35">
      <c r="A400" s="1"/>
      <c r="B400" s="94"/>
      <c r="C400" s="8"/>
      <c r="D400" s="8"/>
      <c r="E400" s="8"/>
      <c r="F400" s="94"/>
      <c r="G400" s="94"/>
      <c r="H400" s="94"/>
      <c r="I400" s="94"/>
      <c r="J400" s="94"/>
      <c r="K400" s="94"/>
      <c r="L400" s="94"/>
      <c r="M400" s="26"/>
      <c r="N400" s="26"/>
      <c r="O400" s="55"/>
      <c r="P400" s="1"/>
      <c r="Q400" s="8"/>
      <c r="R400" s="8"/>
      <c r="S400" s="1"/>
      <c r="T400" s="8"/>
      <c r="U400" s="8"/>
      <c r="V400" s="56"/>
      <c r="W400" s="1"/>
      <c r="X400" s="1"/>
      <c r="Y400" s="8"/>
      <c r="Z400" s="8"/>
      <c r="AA400" s="8"/>
      <c r="AB400" s="8"/>
      <c r="AC400" s="8"/>
      <c r="AD400" s="8"/>
      <c r="AE400" s="8"/>
      <c r="AF400" s="8"/>
      <c r="AG400" s="8"/>
      <c r="AH400" s="8"/>
      <c r="AI400" s="8"/>
    </row>
    <row r="401" spans="1:35">
      <c r="A401" s="1"/>
      <c r="B401" s="94"/>
      <c r="C401" s="8"/>
      <c r="D401" s="8"/>
      <c r="E401" s="8"/>
      <c r="F401" s="94"/>
      <c r="G401" s="94"/>
      <c r="H401" s="94"/>
      <c r="I401" s="94"/>
      <c r="J401" s="94"/>
      <c r="K401" s="94"/>
      <c r="L401" s="94"/>
      <c r="M401" s="26"/>
      <c r="N401" s="26"/>
      <c r="O401" s="55"/>
      <c r="P401" s="1"/>
      <c r="Q401" s="8"/>
      <c r="R401" s="8"/>
      <c r="S401" s="1"/>
      <c r="T401" s="8"/>
      <c r="U401" s="8"/>
      <c r="V401" s="56"/>
      <c r="W401" s="1"/>
      <c r="X401" s="1"/>
      <c r="Y401" s="8"/>
      <c r="Z401" s="8"/>
      <c r="AA401" s="8"/>
      <c r="AB401" s="8"/>
      <c r="AC401" s="8"/>
      <c r="AD401" s="8"/>
      <c r="AE401" s="8"/>
      <c r="AF401" s="8"/>
      <c r="AG401" s="8"/>
      <c r="AH401" s="8"/>
      <c r="AI401" s="8"/>
    </row>
    <row r="402" spans="1:35">
      <c r="A402" s="1"/>
      <c r="B402" s="94"/>
      <c r="C402" s="8"/>
      <c r="D402" s="8"/>
      <c r="E402" s="8"/>
      <c r="F402" s="94"/>
      <c r="G402" s="94"/>
      <c r="H402" s="94"/>
      <c r="I402" s="94"/>
      <c r="J402" s="94"/>
      <c r="K402" s="94"/>
      <c r="L402" s="94"/>
      <c r="M402" s="26"/>
      <c r="N402" s="26"/>
      <c r="O402" s="55"/>
      <c r="P402" s="1"/>
      <c r="Q402" s="8"/>
      <c r="R402" s="8"/>
      <c r="S402" s="1"/>
      <c r="T402" s="8"/>
      <c r="U402" s="8"/>
      <c r="V402" s="56"/>
      <c r="W402" s="1"/>
      <c r="X402" s="1"/>
      <c r="Y402" s="8"/>
      <c r="Z402" s="8"/>
      <c r="AA402" s="8"/>
      <c r="AB402" s="8"/>
      <c r="AC402" s="8"/>
      <c r="AD402" s="8"/>
      <c r="AE402" s="8"/>
      <c r="AF402" s="8"/>
      <c r="AG402" s="8"/>
      <c r="AH402" s="8"/>
      <c r="AI402" s="8"/>
    </row>
    <row r="403" spans="1:35">
      <c r="A403" s="1"/>
      <c r="B403" s="103"/>
      <c r="C403" s="8"/>
      <c r="D403" s="8"/>
      <c r="E403" s="8"/>
      <c r="F403" s="101"/>
      <c r="G403" s="101"/>
      <c r="H403" s="101"/>
      <c r="I403" s="101"/>
      <c r="J403" s="101"/>
      <c r="K403" s="101"/>
      <c r="L403" s="102"/>
      <c r="M403" s="26"/>
      <c r="N403" s="26"/>
      <c r="O403" s="55"/>
      <c r="P403" s="1"/>
      <c r="Q403" s="8"/>
      <c r="R403" s="8"/>
      <c r="S403" s="1"/>
      <c r="T403" s="8"/>
      <c r="U403" s="8"/>
      <c r="V403" s="56"/>
      <c r="W403" s="1"/>
      <c r="X403" s="1"/>
      <c r="Y403" s="8"/>
      <c r="Z403" s="8"/>
      <c r="AA403" s="8"/>
      <c r="AB403" s="8"/>
      <c r="AC403" s="8"/>
      <c r="AD403" s="8"/>
      <c r="AE403" s="8"/>
      <c r="AF403" s="8"/>
      <c r="AG403" s="8"/>
      <c r="AH403" s="8"/>
      <c r="AI403" s="8"/>
    </row>
    <row r="404" spans="1:35">
      <c r="A404" s="1"/>
      <c r="B404" s="94"/>
      <c r="C404" s="8"/>
      <c r="D404" s="8"/>
      <c r="E404" s="8"/>
      <c r="F404" s="94"/>
      <c r="G404" s="94"/>
      <c r="H404" s="94"/>
      <c r="I404" s="94"/>
      <c r="J404" s="94"/>
      <c r="K404" s="94"/>
      <c r="L404" s="94"/>
      <c r="M404" s="26"/>
      <c r="N404" s="26"/>
      <c r="O404" s="55"/>
      <c r="P404" s="1"/>
      <c r="Q404" s="8"/>
      <c r="R404" s="8"/>
      <c r="S404" s="1"/>
      <c r="T404" s="8"/>
      <c r="U404" s="8"/>
      <c r="V404" s="56"/>
      <c r="W404" s="1"/>
      <c r="X404" s="1"/>
      <c r="Y404" s="8"/>
      <c r="Z404" s="8"/>
      <c r="AA404" s="8"/>
      <c r="AB404" s="8"/>
      <c r="AC404" s="8"/>
      <c r="AD404" s="8"/>
      <c r="AE404" s="8"/>
      <c r="AF404" s="8"/>
      <c r="AG404" s="8"/>
      <c r="AH404" s="8"/>
      <c r="AI404" s="8"/>
    </row>
    <row r="405" spans="1:35">
      <c r="A405" s="1"/>
      <c r="B405" s="94"/>
      <c r="C405" s="8"/>
      <c r="D405" s="8"/>
      <c r="E405" s="8"/>
      <c r="F405" s="94"/>
      <c r="G405" s="94"/>
      <c r="H405" s="94"/>
      <c r="I405" s="94"/>
      <c r="J405" s="94"/>
      <c r="K405" s="94"/>
      <c r="L405" s="94"/>
      <c r="M405" s="26"/>
      <c r="N405" s="26"/>
      <c r="O405" s="55"/>
      <c r="P405" s="1"/>
      <c r="Q405" s="8"/>
      <c r="R405" s="8"/>
      <c r="S405" s="1"/>
      <c r="T405" s="8"/>
      <c r="U405" s="8"/>
      <c r="V405" s="56"/>
      <c r="W405" s="1"/>
      <c r="X405" s="1"/>
      <c r="Y405" s="8"/>
      <c r="Z405" s="8"/>
      <c r="AA405" s="8"/>
      <c r="AB405" s="8"/>
      <c r="AC405" s="8"/>
      <c r="AD405" s="8"/>
      <c r="AE405" s="8"/>
      <c r="AF405" s="8"/>
      <c r="AG405" s="8"/>
      <c r="AH405" s="8"/>
      <c r="AI405" s="8"/>
    </row>
    <row r="406" spans="1:35">
      <c r="A406" s="1"/>
      <c r="B406" s="94"/>
      <c r="C406" s="8"/>
      <c r="D406" s="8"/>
      <c r="E406" s="8"/>
      <c r="F406" s="94"/>
      <c r="G406" s="94"/>
      <c r="H406" s="94"/>
      <c r="I406" s="94"/>
      <c r="J406" s="94"/>
      <c r="K406" s="94"/>
      <c r="L406" s="94"/>
      <c r="M406" s="26"/>
      <c r="N406" s="26"/>
      <c r="O406" s="55"/>
      <c r="P406" s="1"/>
      <c r="Q406" s="8"/>
      <c r="R406" s="8"/>
      <c r="S406" s="1"/>
      <c r="T406" s="8"/>
      <c r="U406" s="8"/>
      <c r="V406" s="56"/>
      <c r="W406" s="1"/>
      <c r="X406" s="1"/>
      <c r="Y406" s="8"/>
      <c r="Z406" s="8"/>
      <c r="AA406" s="8"/>
      <c r="AB406" s="8"/>
      <c r="AC406" s="8"/>
      <c r="AD406" s="8"/>
      <c r="AE406" s="8"/>
      <c r="AF406" s="8"/>
      <c r="AG406" s="8"/>
      <c r="AH406" s="8"/>
      <c r="AI406" s="8"/>
    </row>
    <row r="407" spans="1:35">
      <c r="A407" s="1"/>
      <c r="B407" s="94"/>
      <c r="C407" s="8"/>
      <c r="D407" s="8"/>
      <c r="E407" s="8"/>
      <c r="F407" s="94"/>
      <c r="G407" s="94"/>
      <c r="H407" s="94"/>
      <c r="I407" s="94"/>
      <c r="J407" s="94"/>
      <c r="K407" s="94"/>
      <c r="L407" s="94"/>
      <c r="M407" s="26"/>
      <c r="N407" s="26"/>
      <c r="O407" s="55"/>
      <c r="P407" s="1"/>
      <c r="Q407" s="8"/>
      <c r="R407" s="8"/>
      <c r="S407" s="1"/>
      <c r="T407" s="8"/>
      <c r="U407" s="8"/>
      <c r="V407" s="56"/>
      <c r="W407" s="1"/>
      <c r="X407" s="1"/>
      <c r="Y407" s="8"/>
      <c r="Z407" s="8"/>
      <c r="AA407" s="8"/>
      <c r="AB407" s="8"/>
      <c r="AC407" s="8"/>
      <c r="AD407" s="8"/>
      <c r="AE407" s="8"/>
      <c r="AF407" s="8"/>
      <c r="AG407" s="8"/>
      <c r="AH407" s="8"/>
      <c r="AI407" s="8"/>
    </row>
    <row r="408" spans="1:35">
      <c r="A408" s="1"/>
      <c r="B408" s="103"/>
      <c r="C408" s="8"/>
      <c r="D408" s="8"/>
      <c r="E408" s="8"/>
      <c r="F408" s="101"/>
      <c r="G408" s="101"/>
      <c r="H408" s="101"/>
      <c r="I408" s="101"/>
      <c r="J408" s="101"/>
      <c r="K408" s="101"/>
      <c r="L408" s="102"/>
      <c r="M408" s="26"/>
      <c r="N408" s="26"/>
      <c r="O408" s="55"/>
      <c r="P408" s="1"/>
      <c r="Q408" s="8"/>
      <c r="R408" s="8"/>
      <c r="S408" s="1"/>
      <c r="T408" s="8"/>
      <c r="U408" s="8"/>
      <c r="V408" s="56"/>
      <c r="W408" s="1"/>
      <c r="X408" s="1"/>
      <c r="Y408" s="8"/>
      <c r="Z408" s="8"/>
      <c r="AA408" s="8"/>
      <c r="AB408" s="8"/>
      <c r="AC408" s="8"/>
      <c r="AD408" s="8"/>
      <c r="AE408" s="8"/>
      <c r="AF408" s="8"/>
      <c r="AG408" s="8"/>
      <c r="AH408" s="8"/>
      <c r="AI408" s="8"/>
    </row>
    <row r="409" spans="1:35">
      <c r="A409" s="1"/>
      <c r="B409" s="94"/>
      <c r="C409" s="8"/>
      <c r="D409" s="8"/>
      <c r="E409" s="8"/>
      <c r="F409" s="94"/>
      <c r="G409" s="94"/>
      <c r="H409" s="94"/>
      <c r="I409" s="94"/>
      <c r="J409" s="94"/>
      <c r="K409" s="94"/>
      <c r="L409" s="94"/>
      <c r="M409" s="26"/>
      <c r="N409" s="26"/>
      <c r="O409" s="55"/>
      <c r="P409" s="1"/>
      <c r="Q409" s="8"/>
      <c r="R409" s="8"/>
      <c r="S409" s="1"/>
      <c r="T409" s="8"/>
      <c r="U409" s="8"/>
      <c r="V409" s="56"/>
      <c r="W409" s="1"/>
      <c r="X409" s="1"/>
      <c r="Y409" s="8"/>
      <c r="Z409" s="8"/>
      <c r="AA409" s="8"/>
      <c r="AB409" s="8"/>
      <c r="AC409" s="8"/>
      <c r="AD409" s="8"/>
      <c r="AE409" s="8"/>
      <c r="AF409" s="8"/>
      <c r="AG409" s="8"/>
      <c r="AH409" s="8"/>
      <c r="AI409" s="8"/>
    </row>
    <row r="410" spans="1:35">
      <c r="A410" s="1"/>
      <c r="B410" s="94"/>
      <c r="C410" s="8"/>
      <c r="D410" s="8"/>
      <c r="E410" s="8"/>
      <c r="F410" s="94"/>
      <c r="G410" s="94"/>
      <c r="H410" s="94"/>
      <c r="I410" s="94"/>
      <c r="J410" s="94"/>
      <c r="K410" s="94"/>
      <c r="L410" s="94"/>
      <c r="M410" s="26"/>
      <c r="N410" s="26"/>
      <c r="O410" s="55"/>
      <c r="P410" s="1"/>
      <c r="Q410" s="8"/>
      <c r="R410" s="8"/>
      <c r="S410" s="1"/>
      <c r="T410" s="8"/>
      <c r="U410" s="8"/>
      <c r="V410" s="56"/>
      <c r="W410" s="1"/>
      <c r="X410" s="1"/>
      <c r="Y410" s="8"/>
      <c r="Z410" s="8"/>
      <c r="AA410" s="8"/>
      <c r="AB410" s="8"/>
      <c r="AC410" s="8"/>
      <c r="AD410" s="8"/>
      <c r="AE410" s="8"/>
      <c r="AF410" s="8"/>
      <c r="AG410" s="8"/>
      <c r="AH410" s="8"/>
      <c r="AI410" s="8"/>
    </row>
    <row r="411" spans="1:35">
      <c r="A411" s="1"/>
      <c r="B411" s="94"/>
      <c r="C411" s="8"/>
      <c r="D411" s="8"/>
      <c r="E411" s="8"/>
      <c r="F411" s="94"/>
      <c r="G411" s="94"/>
      <c r="H411" s="94"/>
      <c r="I411" s="94"/>
      <c r="J411" s="94"/>
      <c r="K411" s="94"/>
      <c r="L411" s="94"/>
      <c r="M411" s="26"/>
      <c r="N411" s="26"/>
      <c r="O411" s="55"/>
      <c r="P411" s="1"/>
      <c r="Q411" s="8"/>
      <c r="R411" s="8"/>
      <c r="S411" s="1"/>
      <c r="T411" s="8"/>
      <c r="U411" s="8"/>
      <c r="V411" s="56"/>
      <c r="W411" s="1"/>
      <c r="X411" s="1"/>
      <c r="Y411" s="8"/>
      <c r="Z411" s="8"/>
      <c r="AA411" s="8"/>
      <c r="AB411" s="8"/>
      <c r="AC411" s="8"/>
      <c r="AD411" s="8"/>
      <c r="AE411" s="8"/>
      <c r="AF411" s="8"/>
      <c r="AG411" s="8"/>
      <c r="AH411" s="8"/>
      <c r="AI411" s="8"/>
    </row>
    <row r="412" spans="1:35">
      <c r="A412" s="1"/>
      <c r="B412" s="94"/>
      <c r="C412" s="8"/>
      <c r="D412" s="8"/>
      <c r="E412" s="8"/>
      <c r="F412" s="94"/>
      <c r="G412" s="94"/>
      <c r="H412" s="94"/>
      <c r="I412" s="94"/>
      <c r="J412" s="94"/>
      <c r="K412" s="94"/>
      <c r="L412" s="94"/>
      <c r="M412" s="26"/>
      <c r="N412" s="26"/>
      <c r="O412" s="55"/>
      <c r="P412" s="1"/>
      <c r="Q412" s="8"/>
      <c r="R412" s="8"/>
      <c r="S412" s="1"/>
      <c r="T412" s="8"/>
      <c r="U412" s="8"/>
      <c r="V412" s="56"/>
      <c r="W412" s="1"/>
      <c r="X412" s="1"/>
      <c r="Y412" s="8"/>
      <c r="Z412" s="8"/>
      <c r="AA412" s="8"/>
      <c r="AB412" s="8"/>
      <c r="AC412" s="8"/>
      <c r="AD412" s="8"/>
      <c r="AE412" s="8"/>
      <c r="AF412" s="8"/>
      <c r="AG412" s="8"/>
      <c r="AH412" s="8"/>
      <c r="AI412" s="8"/>
    </row>
    <row r="413" spans="1:35">
      <c r="A413" s="1"/>
      <c r="B413" s="103"/>
      <c r="C413" s="8"/>
      <c r="D413" s="8"/>
      <c r="E413" s="8"/>
      <c r="F413" s="101"/>
      <c r="G413" s="101"/>
      <c r="H413" s="101"/>
      <c r="I413" s="101"/>
      <c r="J413" s="101"/>
      <c r="K413" s="101"/>
      <c r="L413" s="102"/>
      <c r="M413" s="26"/>
      <c r="N413" s="26"/>
      <c r="O413" s="55"/>
      <c r="P413" s="1"/>
      <c r="Q413" s="8"/>
      <c r="R413" s="8"/>
      <c r="S413" s="1"/>
      <c r="T413" s="8"/>
      <c r="U413" s="8"/>
      <c r="V413" s="56"/>
      <c r="W413" s="1"/>
      <c r="X413" s="1"/>
      <c r="Y413" s="8"/>
      <c r="Z413" s="8"/>
      <c r="AA413" s="8"/>
      <c r="AB413" s="8"/>
      <c r="AC413" s="8"/>
      <c r="AD413" s="8"/>
      <c r="AE413" s="8"/>
      <c r="AF413" s="8"/>
      <c r="AG413" s="8"/>
      <c r="AH413" s="8"/>
      <c r="AI413" s="8"/>
    </row>
    <row r="414" spans="1:35">
      <c r="A414" s="1"/>
      <c r="B414" s="94"/>
      <c r="C414" s="8"/>
      <c r="D414" s="8"/>
      <c r="E414" s="8"/>
      <c r="F414" s="94"/>
      <c r="G414" s="94"/>
      <c r="H414" s="94"/>
      <c r="I414" s="94"/>
      <c r="J414" s="94"/>
      <c r="K414" s="94"/>
      <c r="L414" s="94"/>
      <c r="M414" s="26"/>
      <c r="N414" s="26"/>
      <c r="O414" s="55"/>
      <c r="P414" s="1"/>
      <c r="Q414" s="8"/>
      <c r="R414" s="8"/>
      <c r="S414" s="1"/>
      <c r="T414" s="8"/>
      <c r="U414" s="8"/>
      <c r="V414" s="56"/>
      <c r="W414" s="1"/>
      <c r="X414" s="1"/>
      <c r="Y414" s="8"/>
      <c r="Z414" s="8"/>
      <c r="AA414" s="8"/>
      <c r="AB414" s="8"/>
      <c r="AC414" s="8"/>
      <c r="AD414" s="8"/>
      <c r="AE414" s="8"/>
      <c r="AF414" s="8"/>
      <c r="AG414" s="8"/>
      <c r="AH414" s="8"/>
      <c r="AI414" s="8"/>
    </row>
    <row r="415" spans="1:35">
      <c r="A415" s="1"/>
      <c r="B415" s="94"/>
      <c r="C415" s="8"/>
      <c r="D415" s="8"/>
      <c r="E415" s="8"/>
      <c r="F415" s="94"/>
      <c r="G415" s="94"/>
      <c r="H415" s="94"/>
      <c r="I415" s="94"/>
      <c r="J415" s="94"/>
      <c r="K415" s="94"/>
      <c r="L415" s="94"/>
      <c r="M415" s="26"/>
      <c r="N415" s="26"/>
      <c r="O415" s="55"/>
      <c r="P415" s="1"/>
      <c r="Q415" s="8"/>
      <c r="R415" s="8"/>
      <c r="S415" s="1"/>
      <c r="T415" s="8"/>
      <c r="U415" s="8"/>
      <c r="V415" s="56"/>
      <c r="W415" s="1"/>
      <c r="X415" s="1"/>
      <c r="Y415" s="8"/>
      <c r="Z415" s="8"/>
      <c r="AA415" s="8"/>
      <c r="AB415" s="8"/>
      <c r="AC415" s="8"/>
      <c r="AD415" s="8"/>
      <c r="AE415" s="8"/>
      <c r="AF415" s="8"/>
      <c r="AG415" s="8"/>
      <c r="AH415" s="8"/>
      <c r="AI415" s="8"/>
    </row>
    <row r="416" spans="1:35">
      <c r="A416" s="1"/>
      <c r="B416" s="94"/>
      <c r="C416" s="8"/>
      <c r="D416" s="8"/>
      <c r="E416" s="8"/>
      <c r="F416" s="94"/>
      <c r="G416" s="94"/>
      <c r="H416" s="94"/>
      <c r="I416" s="94"/>
      <c r="J416" s="94"/>
      <c r="K416" s="94"/>
      <c r="L416" s="94"/>
      <c r="M416" s="26"/>
      <c r="N416" s="26"/>
      <c r="O416" s="55"/>
      <c r="P416" s="1"/>
      <c r="Q416" s="8"/>
      <c r="R416" s="8"/>
      <c r="S416" s="1"/>
      <c r="T416" s="8"/>
      <c r="U416" s="8"/>
      <c r="V416" s="56"/>
      <c r="W416" s="1"/>
      <c r="X416" s="1"/>
      <c r="Y416" s="8"/>
      <c r="Z416" s="8"/>
      <c r="AA416" s="8"/>
      <c r="AB416" s="8"/>
      <c r="AC416" s="8"/>
      <c r="AD416" s="8"/>
      <c r="AE416" s="8"/>
      <c r="AF416" s="8"/>
      <c r="AG416" s="8"/>
      <c r="AH416" s="8"/>
      <c r="AI416" s="8"/>
    </row>
    <row r="417" spans="1:35">
      <c r="A417" s="1"/>
      <c r="B417" s="94"/>
      <c r="C417" s="8"/>
      <c r="D417" s="8"/>
      <c r="E417" s="8"/>
      <c r="F417" s="94"/>
      <c r="G417" s="94"/>
      <c r="H417" s="94"/>
      <c r="I417" s="94"/>
      <c r="J417" s="94"/>
      <c r="K417" s="94"/>
      <c r="L417" s="94"/>
      <c r="M417" s="26"/>
      <c r="N417" s="26"/>
      <c r="O417" s="55"/>
      <c r="P417" s="1"/>
      <c r="Q417" s="8"/>
      <c r="R417" s="8"/>
      <c r="S417" s="1"/>
      <c r="T417" s="8"/>
      <c r="U417" s="8"/>
      <c r="V417" s="56"/>
      <c r="W417" s="1"/>
      <c r="X417" s="1"/>
      <c r="Y417" s="8"/>
      <c r="Z417" s="8"/>
      <c r="AA417" s="8"/>
      <c r="AB417" s="8"/>
      <c r="AC417" s="8"/>
      <c r="AD417" s="8"/>
      <c r="AE417" s="8"/>
      <c r="AF417" s="8"/>
      <c r="AG417" s="8"/>
      <c r="AH417" s="8"/>
      <c r="AI417" s="8"/>
    </row>
    <row r="418" spans="1:35">
      <c r="A418" s="1"/>
      <c r="B418" s="103"/>
      <c r="C418" s="8"/>
      <c r="D418" s="8"/>
      <c r="E418" s="8"/>
      <c r="F418" s="101"/>
      <c r="G418" s="101"/>
      <c r="H418" s="101"/>
      <c r="I418" s="101"/>
      <c r="J418" s="101"/>
      <c r="K418" s="101"/>
      <c r="L418" s="102"/>
      <c r="M418" s="26"/>
      <c r="N418" s="26"/>
      <c r="O418" s="55"/>
      <c r="P418" s="1"/>
      <c r="Q418" s="8"/>
      <c r="R418" s="8"/>
      <c r="S418" s="1"/>
      <c r="T418" s="8"/>
      <c r="U418" s="8"/>
      <c r="V418" s="56"/>
      <c r="W418" s="1"/>
      <c r="X418" s="1"/>
      <c r="Y418" s="8"/>
      <c r="Z418" s="8"/>
      <c r="AA418" s="8"/>
      <c r="AB418" s="8"/>
      <c r="AC418" s="8"/>
      <c r="AD418" s="8"/>
      <c r="AE418" s="8"/>
      <c r="AF418" s="8"/>
      <c r="AG418" s="8"/>
      <c r="AH418" s="8"/>
      <c r="AI418" s="8"/>
    </row>
    <row r="419" spans="1:35">
      <c r="A419" s="1"/>
      <c r="B419" s="94"/>
      <c r="C419" s="8"/>
      <c r="D419" s="8"/>
      <c r="E419" s="8"/>
      <c r="F419" s="94"/>
      <c r="G419" s="94"/>
      <c r="H419" s="94"/>
      <c r="I419" s="94"/>
      <c r="J419" s="94"/>
      <c r="K419" s="94"/>
      <c r="L419" s="94"/>
      <c r="M419" s="26"/>
      <c r="N419" s="26"/>
      <c r="O419" s="55"/>
      <c r="P419" s="1"/>
      <c r="Q419" s="8"/>
      <c r="R419" s="8"/>
      <c r="S419" s="1"/>
      <c r="T419" s="8"/>
      <c r="U419" s="8"/>
      <c r="V419" s="56"/>
      <c r="W419" s="1"/>
      <c r="X419" s="1"/>
      <c r="Y419" s="8"/>
      <c r="Z419" s="8"/>
      <c r="AA419" s="8"/>
      <c r="AB419" s="8"/>
      <c r="AC419" s="8"/>
      <c r="AD419" s="8"/>
      <c r="AE419" s="8"/>
      <c r="AF419" s="8"/>
      <c r="AG419" s="8"/>
      <c r="AH419" s="8"/>
      <c r="AI419" s="8"/>
    </row>
    <row r="420" spans="1:35">
      <c r="A420" s="1"/>
      <c r="B420" s="94"/>
      <c r="C420" s="8"/>
      <c r="D420" s="8"/>
      <c r="E420" s="8"/>
      <c r="F420" s="94"/>
      <c r="G420" s="94"/>
      <c r="H420" s="94"/>
      <c r="I420" s="94"/>
      <c r="J420" s="94"/>
      <c r="K420" s="94"/>
      <c r="L420" s="94"/>
      <c r="M420" s="26"/>
      <c r="N420" s="26"/>
      <c r="O420" s="55"/>
      <c r="P420" s="1"/>
      <c r="Q420" s="8"/>
      <c r="R420" s="8"/>
      <c r="S420" s="1"/>
      <c r="T420" s="8"/>
      <c r="U420" s="8"/>
      <c r="V420" s="56"/>
      <c r="W420" s="1"/>
      <c r="X420" s="1"/>
      <c r="Y420" s="8"/>
      <c r="Z420" s="8"/>
      <c r="AA420" s="8"/>
      <c r="AB420" s="8"/>
      <c r="AC420" s="8"/>
      <c r="AD420" s="8"/>
      <c r="AE420" s="8"/>
      <c r="AF420" s="8"/>
      <c r="AG420" s="8"/>
      <c r="AH420" s="8"/>
      <c r="AI420" s="8"/>
    </row>
    <row r="421" spans="1:35">
      <c r="A421" s="1"/>
      <c r="B421" s="94"/>
      <c r="C421" s="8"/>
      <c r="D421" s="8"/>
      <c r="E421" s="8"/>
      <c r="F421" s="94"/>
      <c r="G421" s="94"/>
      <c r="H421" s="94"/>
      <c r="I421" s="94"/>
      <c r="J421" s="94"/>
      <c r="K421" s="94"/>
      <c r="L421" s="94"/>
      <c r="M421" s="26"/>
      <c r="N421" s="26"/>
      <c r="O421" s="55"/>
      <c r="P421" s="1"/>
      <c r="Q421" s="8"/>
      <c r="R421" s="8"/>
      <c r="S421" s="1"/>
      <c r="T421" s="8"/>
      <c r="U421" s="8"/>
      <c r="V421" s="56"/>
      <c r="W421" s="1"/>
      <c r="X421" s="1"/>
      <c r="Y421" s="8"/>
      <c r="Z421" s="8"/>
      <c r="AA421" s="8"/>
      <c r="AB421" s="8"/>
      <c r="AC421" s="8"/>
      <c r="AD421" s="8"/>
      <c r="AE421" s="8"/>
      <c r="AF421" s="8"/>
      <c r="AG421" s="8"/>
      <c r="AH421" s="8"/>
      <c r="AI421" s="8"/>
    </row>
    <row r="422" spans="1:35">
      <c r="A422" s="1"/>
      <c r="B422" s="94"/>
      <c r="C422" s="8"/>
      <c r="D422" s="8"/>
      <c r="E422" s="8"/>
      <c r="F422" s="94"/>
      <c r="G422" s="94"/>
      <c r="H422" s="94"/>
      <c r="I422" s="94"/>
      <c r="J422" s="94"/>
      <c r="K422" s="94"/>
      <c r="L422" s="94"/>
      <c r="M422" s="26"/>
      <c r="N422" s="26"/>
      <c r="O422" s="55"/>
      <c r="P422" s="1"/>
      <c r="Q422" s="8"/>
      <c r="R422" s="8"/>
      <c r="S422" s="1"/>
      <c r="T422" s="8"/>
      <c r="U422" s="8"/>
      <c r="V422" s="56"/>
      <c r="W422" s="1"/>
      <c r="X422" s="1"/>
      <c r="Y422" s="8"/>
      <c r="Z422" s="8"/>
      <c r="AA422" s="8"/>
      <c r="AB422" s="8"/>
      <c r="AC422" s="8"/>
      <c r="AD422" s="8"/>
      <c r="AE422" s="8"/>
      <c r="AF422" s="8"/>
      <c r="AG422" s="8"/>
      <c r="AH422" s="8"/>
      <c r="AI422" s="8"/>
    </row>
    <row r="423" spans="1:35">
      <c r="A423" s="1"/>
      <c r="B423" s="103"/>
      <c r="C423" s="8"/>
      <c r="D423" s="8"/>
      <c r="E423" s="8"/>
      <c r="F423" s="101"/>
      <c r="G423" s="101"/>
      <c r="H423" s="101"/>
      <c r="I423" s="101"/>
      <c r="J423" s="101"/>
      <c r="K423" s="101"/>
      <c r="L423" s="102"/>
      <c r="M423" s="26"/>
      <c r="N423" s="26"/>
      <c r="O423" s="55"/>
      <c r="P423" s="1"/>
      <c r="Q423" s="8"/>
      <c r="R423" s="8"/>
      <c r="S423" s="1"/>
      <c r="T423" s="8"/>
      <c r="U423" s="8"/>
      <c r="V423" s="56"/>
      <c r="W423" s="1"/>
      <c r="X423" s="1"/>
      <c r="Y423" s="8"/>
      <c r="Z423" s="8"/>
      <c r="AA423" s="8"/>
      <c r="AB423" s="8"/>
      <c r="AC423" s="8"/>
      <c r="AD423" s="8"/>
      <c r="AE423" s="8"/>
      <c r="AF423" s="8"/>
      <c r="AG423" s="8"/>
      <c r="AH423" s="8"/>
      <c r="AI423" s="8"/>
    </row>
    <row r="424" spans="1:35">
      <c r="A424" s="1"/>
      <c r="B424" s="94"/>
      <c r="C424" s="8"/>
      <c r="D424" s="8"/>
      <c r="E424" s="8"/>
      <c r="F424" s="94"/>
      <c r="G424" s="94"/>
      <c r="H424" s="94"/>
      <c r="I424" s="94"/>
      <c r="J424" s="94"/>
      <c r="K424" s="94"/>
      <c r="L424" s="94"/>
      <c r="M424" s="26"/>
      <c r="N424" s="26"/>
      <c r="O424" s="55"/>
      <c r="P424" s="1"/>
      <c r="Q424" s="8"/>
      <c r="R424" s="8"/>
      <c r="S424" s="1"/>
      <c r="T424" s="8"/>
      <c r="U424" s="8"/>
      <c r="V424" s="56"/>
      <c r="W424" s="1"/>
      <c r="X424" s="1"/>
      <c r="Y424" s="8"/>
      <c r="Z424" s="8"/>
      <c r="AA424" s="8"/>
      <c r="AB424" s="8"/>
      <c r="AC424" s="8"/>
      <c r="AD424" s="8"/>
      <c r="AE424" s="8"/>
      <c r="AF424" s="8"/>
      <c r="AG424" s="8"/>
      <c r="AH424" s="8"/>
      <c r="AI424" s="8"/>
    </row>
    <row r="425" spans="1:35">
      <c r="A425" s="1"/>
      <c r="B425" s="94"/>
      <c r="C425" s="8"/>
      <c r="D425" s="8"/>
      <c r="E425" s="8"/>
      <c r="F425" s="94"/>
      <c r="G425" s="94"/>
      <c r="H425" s="94"/>
      <c r="I425" s="94"/>
      <c r="J425" s="94"/>
      <c r="K425" s="94"/>
      <c r="L425" s="94"/>
      <c r="M425" s="26"/>
      <c r="N425" s="26"/>
      <c r="O425" s="55"/>
      <c r="P425" s="1"/>
      <c r="Q425" s="8"/>
      <c r="R425" s="8"/>
      <c r="S425" s="1"/>
      <c r="T425" s="8"/>
      <c r="U425" s="8"/>
      <c r="V425" s="56"/>
      <c r="W425" s="1"/>
      <c r="X425" s="1"/>
      <c r="Y425" s="8"/>
      <c r="Z425" s="8"/>
      <c r="AA425" s="8"/>
      <c r="AB425" s="8"/>
      <c r="AC425" s="8"/>
      <c r="AD425" s="8"/>
      <c r="AE425" s="8"/>
      <c r="AF425" s="8"/>
      <c r="AG425" s="8"/>
      <c r="AH425" s="8"/>
      <c r="AI425" s="8"/>
    </row>
    <row r="426" spans="1:35">
      <c r="A426" s="1"/>
      <c r="B426" s="94"/>
      <c r="C426" s="8"/>
      <c r="D426" s="8"/>
      <c r="E426" s="8"/>
      <c r="F426" s="94"/>
      <c r="G426" s="94"/>
      <c r="H426" s="94"/>
      <c r="I426" s="94"/>
      <c r="J426" s="94"/>
      <c r="K426" s="94"/>
      <c r="L426" s="94"/>
      <c r="M426" s="26"/>
      <c r="N426" s="26"/>
      <c r="O426" s="55"/>
      <c r="P426" s="1"/>
      <c r="Q426" s="8"/>
      <c r="R426" s="8"/>
      <c r="S426" s="1"/>
      <c r="T426" s="8"/>
      <c r="U426" s="8"/>
      <c r="V426" s="56"/>
      <c r="W426" s="1"/>
      <c r="X426" s="1"/>
      <c r="Y426" s="8"/>
      <c r="Z426" s="8"/>
      <c r="AA426" s="8"/>
      <c r="AB426" s="8"/>
      <c r="AC426" s="8"/>
      <c r="AD426" s="8"/>
      <c r="AE426" s="8"/>
      <c r="AF426" s="8"/>
      <c r="AG426" s="8"/>
      <c r="AH426" s="8"/>
      <c r="AI426" s="8"/>
    </row>
    <row r="427" spans="1:35">
      <c r="A427" s="1"/>
      <c r="B427" s="94"/>
      <c r="C427" s="8"/>
      <c r="D427" s="8"/>
      <c r="E427" s="8"/>
      <c r="F427" s="94"/>
      <c r="G427" s="94"/>
      <c r="H427" s="94"/>
      <c r="I427" s="94"/>
      <c r="J427" s="94"/>
      <c r="K427" s="94"/>
      <c r="L427" s="94"/>
      <c r="M427" s="26"/>
      <c r="N427" s="26"/>
      <c r="O427" s="55"/>
      <c r="P427" s="1"/>
      <c r="Q427" s="8"/>
      <c r="R427" s="8"/>
      <c r="S427" s="1"/>
      <c r="T427" s="8"/>
      <c r="U427" s="8"/>
      <c r="V427" s="56"/>
      <c r="W427" s="1"/>
      <c r="X427" s="1"/>
      <c r="Y427" s="8"/>
      <c r="Z427" s="8"/>
      <c r="AA427" s="8"/>
      <c r="AB427" s="8"/>
      <c r="AC427" s="8"/>
      <c r="AD427" s="8"/>
      <c r="AE427" s="8"/>
      <c r="AF427" s="8"/>
      <c r="AG427" s="8"/>
      <c r="AH427" s="8"/>
      <c r="AI427" s="8"/>
    </row>
    <row r="428" spans="1:35">
      <c r="A428" s="1"/>
      <c r="B428" s="103"/>
      <c r="C428" s="8"/>
      <c r="D428" s="8"/>
      <c r="E428" s="8"/>
      <c r="F428" s="101"/>
      <c r="G428" s="101"/>
      <c r="H428" s="101"/>
      <c r="I428" s="101"/>
      <c r="J428" s="101"/>
      <c r="K428" s="101"/>
      <c r="L428" s="102"/>
      <c r="M428" s="26"/>
      <c r="N428" s="26"/>
      <c r="O428" s="55"/>
      <c r="P428" s="1"/>
      <c r="Q428" s="8"/>
      <c r="R428" s="8"/>
      <c r="S428" s="1"/>
      <c r="T428" s="8"/>
      <c r="U428" s="8"/>
      <c r="V428" s="56"/>
      <c r="W428" s="1"/>
      <c r="X428" s="1"/>
      <c r="Y428" s="8"/>
      <c r="Z428" s="8"/>
      <c r="AA428" s="8"/>
      <c r="AB428" s="8"/>
      <c r="AC428" s="8"/>
      <c r="AD428" s="8"/>
      <c r="AE428" s="8"/>
      <c r="AF428" s="8"/>
      <c r="AG428" s="8"/>
      <c r="AH428" s="8"/>
      <c r="AI428" s="8"/>
    </row>
    <row r="429" spans="1:35">
      <c r="A429" s="1"/>
      <c r="B429" s="94"/>
      <c r="C429" s="8"/>
      <c r="D429" s="8"/>
      <c r="E429" s="8"/>
      <c r="F429" s="94"/>
      <c r="G429" s="94"/>
      <c r="H429" s="94"/>
      <c r="I429" s="94"/>
      <c r="J429" s="94"/>
      <c r="K429" s="94"/>
      <c r="L429" s="94"/>
      <c r="M429" s="26"/>
      <c r="N429" s="26"/>
      <c r="O429" s="55"/>
      <c r="P429" s="1"/>
      <c r="Q429" s="8"/>
      <c r="R429" s="8"/>
      <c r="S429" s="1"/>
      <c r="T429" s="8"/>
      <c r="U429" s="8"/>
      <c r="V429" s="56"/>
      <c r="W429" s="1"/>
      <c r="X429" s="1"/>
      <c r="Y429" s="8"/>
      <c r="Z429" s="8"/>
      <c r="AA429" s="8"/>
      <c r="AB429" s="8"/>
      <c r="AC429" s="8"/>
      <c r="AD429" s="8"/>
      <c r="AE429" s="8"/>
      <c r="AF429" s="8"/>
      <c r="AG429" s="8"/>
      <c r="AH429" s="8"/>
      <c r="AI429" s="8"/>
    </row>
    <row r="430" spans="1:35">
      <c r="A430" s="1"/>
      <c r="B430" s="94"/>
      <c r="C430" s="8"/>
      <c r="D430" s="8"/>
      <c r="E430" s="8"/>
      <c r="F430" s="94"/>
      <c r="G430" s="94"/>
      <c r="H430" s="94"/>
      <c r="I430" s="94"/>
      <c r="J430" s="94"/>
      <c r="K430" s="94"/>
      <c r="L430" s="94"/>
      <c r="M430" s="26"/>
      <c r="N430" s="26"/>
      <c r="O430" s="55"/>
      <c r="P430" s="1"/>
      <c r="Q430" s="8"/>
      <c r="R430" s="8"/>
      <c r="S430" s="1"/>
      <c r="T430" s="8"/>
      <c r="U430" s="8"/>
      <c r="V430" s="56"/>
      <c r="W430" s="1"/>
      <c r="X430" s="1"/>
      <c r="Y430" s="8"/>
      <c r="Z430" s="8"/>
      <c r="AA430" s="8"/>
      <c r="AB430" s="8"/>
      <c r="AC430" s="8"/>
      <c r="AD430" s="8"/>
      <c r="AE430" s="8"/>
      <c r="AF430" s="8"/>
      <c r="AG430" s="8"/>
      <c r="AH430" s="8"/>
      <c r="AI430" s="8"/>
    </row>
    <row r="431" spans="1:35">
      <c r="A431" s="1"/>
      <c r="B431" s="94"/>
      <c r="C431" s="8"/>
      <c r="D431" s="8"/>
      <c r="E431" s="8"/>
      <c r="F431" s="94"/>
      <c r="G431" s="94"/>
      <c r="H431" s="94"/>
      <c r="I431" s="94"/>
      <c r="J431" s="94"/>
      <c r="K431" s="94"/>
      <c r="L431" s="94"/>
      <c r="M431" s="26"/>
      <c r="N431" s="26"/>
      <c r="O431" s="55"/>
      <c r="P431" s="1"/>
      <c r="Q431" s="8"/>
      <c r="R431" s="8"/>
      <c r="S431" s="1"/>
      <c r="T431" s="8"/>
      <c r="U431" s="8"/>
      <c r="V431" s="56"/>
      <c r="W431" s="1"/>
      <c r="X431" s="1"/>
      <c r="Y431" s="8"/>
      <c r="Z431" s="8"/>
      <c r="AA431" s="8"/>
      <c r="AB431" s="8"/>
      <c r="AC431" s="8"/>
      <c r="AD431" s="8"/>
      <c r="AE431" s="8"/>
      <c r="AF431" s="8"/>
      <c r="AG431" s="8"/>
      <c r="AH431" s="8"/>
      <c r="AI431" s="8"/>
    </row>
    <row r="432" spans="1:35">
      <c r="A432" s="1"/>
      <c r="B432" s="94"/>
      <c r="C432" s="8"/>
      <c r="D432" s="8"/>
      <c r="E432" s="8"/>
      <c r="F432" s="94"/>
      <c r="G432" s="94"/>
      <c r="H432" s="94"/>
      <c r="I432" s="94"/>
      <c r="J432" s="94"/>
      <c r="K432" s="94"/>
      <c r="L432" s="94"/>
      <c r="M432" s="26"/>
      <c r="N432" s="26"/>
      <c r="O432" s="55"/>
      <c r="P432" s="1"/>
      <c r="Q432" s="8"/>
      <c r="R432" s="8"/>
      <c r="S432" s="1"/>
      <c r="T432" s="8"/>
      <c r="U432" s="8"/>
      <c r="V432" s="56"/>
      <c r="W432" s="1"/>
      <c r="X432" s="1"/>
      <c r="Y432" s="8"/>
      <c r="Z432" s="8"/>
      <c r="AA432" s="8"/>
      <c r="AB432" s="8"/>
      <c r="AC432" s="8"/>
      <c r="AD432" s="8"/>
      <c r="AE432" s="8"/>
      <c r="AF432" s="8"/>
      <c r="AG432" s="8"/>
      <c r="AH432" s="8"/>
      <c r="AI432" s="8"/>
    </row>
    <row r="433" spans="1:35">
      <c r="A433" s="1"/>
      <c r="B433" s="103"/>
      <c r="C433" s="8"/>
      <c r="D433" s="8"/>
      <c r="E433" s="8"/>
      <c r="F433" s="101"/>
      <c r="G433" s="101"/>
      <c r="H433" s="101"/>
      <c r="I433" s="101"/>
      <c r="J433" s="101"/>
      <c r="K433" s="101"/>
      <c r="L433" s="102"/>
      <c r="M433" s="26"/>
      <c r="N433" s="26"/>
      <c r="O433" s="55"/>
      <c r="P433" s="1"/>
      <c r="Q433" s="8"/>
      <c r="R433" s="8"/>
      <c r="S433" s="1"/>
      <c r="T433" s="8"/>
      <c r="U433" s="8"/>
      <c r="V433" s="56"/>
      <c r="W433" s="1"/>
      <c r="X433" s="1"/>
      <c r="Y433" s="8"/>
      <c r="Z433" s="8"/>
      <c r="AA433" s="8"/>
      <c r="AB433" s="8"/>
      <c r="AC433" s="8"/>
      <c r="AD433" s="8"/>
      <c r="AE433" s="8"/>
      <c r="AF433" s="8"/>
      <c r="AG433" s="8"/>
      <c r="AH433" s="8"/>
      <c r="AI433" s="8"/>
    </row>
    <row r="434" spans="1:35">
      <c r="A434" s="1"/>
      <c r="B434" s="94"/>
      <c r="C434" s="8"/>
      <c r="D434" s="8"/>
      <c r="E434" s="8"/>
      <c r="F434" s="94"/>
      <c r="G434" s="94"/>
      <c r="H434" s="94"/>
      <c r="I434" s="94"/>
      <c r="J434" s="94"/>
      <c r="K434" s="94"/>
      <c r="L434" s="94"/>
      <c r="M434" s="26"/>
      <c r="N434" s="26"/>
      <c r="O434" s="55"/>
      <c r="P434" s="1"/>
      <c r="Q434" s="8"/>
      <c r="R434" s="8"/>
      <c r="S434" s="1"/>
      <c r="T434" s="8"/>
      <c r="U434" s="8"/>
      <c r="V434" s="56"/>
      <c r="W434" s="1"/>
      <c r="X434" s="1"/>
      <c r="Y434" s="8"/>
      <c r="Z434" s="8"/>
      <c r="AA434" s="8"/>
      <c r="AB434" s="8"/>
      <c r="AC434" s="8"/>
      <c r="AD434" s="8"/>
      <c r="AE434" s="8"/>
      <c r="AF434" s="8"/>
      <c r="AG434" s="8"/>
      <c r="AH434" s="8"/>
      <c r="AI434" s="8"/>
    </row>
    <row r="435" spans="1:35">
      <c r="A435" s="1"/>
      <c r="B435" s="94"/>
      <c r="C435" s="8"/>
      <c r="D435" s="8"/>
      <c r="E435" s="8"/>
      <c r="F435" s="94"/>
      <c r="G435" s="94"/>
      <c r="H435" s="94"/>
      <c r="I435" s="94"/>
      <c r="J435" s="94"/>
      <c r="K435" s="94"/>
      <c r="L435" s="94"/>
      <c r="M435" s="26"/>
      <c r="N435" s="26"/>
      <c r="O435" s="55"/>
      <c r="P435" s="1"/>
      <c r="Q435" s="8"/>
      <c r="R435" s="8"/>
      <c r="S435" s="1"/>
      <c r="T435" s="8"/>
      <c r="U435" s="8"/>
      <c r="V435" s="56"/>
      <c r="W435" s="1"/>
      <c r="X435" s="1"/>
      <c r="Y435" s="8"/>
      <c r="Z435" s="8"/>
      <c r="AA435" s="8"/>
      <c r="AB435" s="8"/>
      <c r="AC435" s="8"/>
      <c r="AD435" s="8"/>
      <c r="AE435" s="8"/>
      <c r="AF435" s="8"/>
      <c r="AG435" s="8"/>
      <c r="AH435" s="8"/>
      <c r="AI435" s="8"/>
    </row>
    <row r="436" spans="1:35">
      <c r="A436" s="1"/>
      <c r="B436" s="94"/>
      <c r="C436" s="8"/>
      <c r="D436" s="8"/>
      <c r="E436" s="8"/>
      <c r="F436" s="94"/>
      <c r="G436" s="94"/>
      <c r="H436" s="94"/>
      <c r="I436" s="94"/>
      <c r="J436" s="94"/>
      <c r="K436" s="94"/>
      <c r="L436" s="94"/>
      <c r="M436" s="26"/>
      <c r="N436" s="26"/>
      <c r="O436" s="55"/>
      <c r="P436" s="1"/>
      <c r="Q436" s="8"/>
      <c r="R436" s="8"/>
      <c r="S436" s="1"/>
      <c r="T436" s="8"/>
      <c r="U436" s="8"/>
      <c r="V436" s="56"/>
      <c r="W436" s="1"/>
      <c r="X436" s="1"/>
      <c r="Y436" s="8"/>
      <c r="Z436" s="8"/>
      <c r="AA436" s="8"/>
      <c r="AB436" s="8"/>
      <c r="AC436" s="8"/>
      <c r="AD436" s="8"/>
      <c r="AE436" s="8"/>
      <c r="AF436" s="8"/>
      <c r="AG436" s="8"/>
      <c r="AH436" s="8"/>
      <c r="AI436" s="8"/>
    </row>
    <row r="437" spans="1:35">
      <c r="A437" s="1"/>
      <c r="B437" s="94"/>
      <c r="C437" s="8"/>
      <c r="D437" s="8"/>
      <c r="E437" s="8"/>
      <c r="F437" s="94"/>
      <c r="G437" s="94"/>
      <c r="H437" s="94"/>
      <c r="I437" s="94"/>
      <c r="J437" s="94"/>
      <c r="K437" s="94"/>
      <c r="L437" s="94"/>
      <c r="M437" s="26"/>
      <c r="N437" s="26"/>
      <c r="O437" s="55"/>
      <c r="P437" s="1"/>
      <c r="Q437" s="8"/>
      <c r="R437" s="8"/>
      <c r="S437" s="1"/>
      <c r="T437" s="8"/>
      <c r="U437" s="8"/>
      <c r="V437" s="56"/>
      <c r="W437" s="1"/>
      <c r="X437" s="1"/>
      <c r="Y437" s="8"/>
      <c r="Z437" s="8"/>
      <c r="AA437" s="8"/>
      <c r="AB437" s="8"/>
      <c r="AC437" s="8"/>
      <c r="AD437" s="8"/>
      <c r="AE437" s="8"/>
      <c r="AF437" s="8"/>
      <c r="AG437" s="8"/>
      <c r="AH437" s="8"/>
      <c r="AI437" s="8"/>
    </row>
    <row r="438" spans="1:35">
      <c r="A438" s="1"/>
      <c r="B438" s="103"/>
      <c r="C438" s="8"/>
      <c r="D438" s="8"/>
      <c r="E438" s="8"/>
      <c r="F438" s="101"/>
      <c r="G438" s="101"/>
      <c r="H438" s="101"/>
      <c r="I438" s="101"/>
      <c r="J438" s="101"/>
      <c r="K438" s="101"/>
      <c r="L438" s="102"/>
      <c r="M438" s="26"/>
      <c r="N438" s="26"/>
      <c r="O438" s="55"/>
      <c r="P438" s="1"/>
      <c r="Q438" s="8"/>
      <c r="R438" s="8"/>
      <c r="S438" s="1"/>
      <c r="T438" s="8"/>
      <c r="U438" s="8"/>
      <c r="V438" s="56"/>
      <c r="W438" s="1"/>
      <c r="X438" s="1"/>
      <c r="Y438" s="8"/>
      <c r="Z438" s="8"/>
      <c r="AA438" s="8"/>
      <c r="AB438" s="8"/>
      <c r="AC438" s="8"/>
      <c r="AD438" s="8"/>
      <c r="AE438" s="8"/>
      <c r="AF438" s="8"/>
      <c r="AG438" s="8"/>
      <c r="AH438" s="8"/>
      <c r="AI438" s="8"/>
    </row>
    <row r="439" spans="1:35">
      <c r="A439" s="1"/>
      <c r="B439" s="94"/>
      <c r="C439" s="8"/>
      <c r="D439" s="8"/>
      <c r="E439" s="8"/>
      <c r="F439" s="94"/>
      <c r="G439" s="94"/>
      <c r="H439" s="94"/>
      <c r="I439" s="94"/>
      <c r="J439" s="94"/>
      <c r="K439" s="94"/>
      <c r="L439" s="94"/>
      <c r="M439" s="26"/>
      <c r="N439" s="26"/>
      <c r="O439" s="55"/>
      <c r="P439" s="1"/>
      <c r="Q439" s="8"/>
      <c r="R439" s="8"/>
      <c r="S439" s="1"/>
      <c r="T439" s="8"/>
      <c r="U439" s="8"/>
      <c r="V439" s="56"/>
      <c r="W439" s="1"/>
      <c r="X439" s="1"/>
      <c r="Y439" s="8"/>
      <c r="Z439" s="8"/>
      <c r="AA439" s="8"/>
      <c r="AB439" s="8"/>
      <c r="AC439" s="8"/>
      <c r="AD439" s="8"/>
      <c r="AE439" s="8"/>
      <c r="AF439" s="8"/>
      <c r="AG439" s="8"/>
      <c r="AH439" s="8"/>
      <c r="AI439" s="8"/>
    </row>
    <row r="440" spans="1:35">
      <c r="A440" s="1"/>
      <c r="B440" s="94"/>
      <c r="C440" s="8"/>
      <c r="D440" s="8"/>
      <c r="E440" s="8"/>
      <c r="F440" s="94"/>
      <c r="G440" s="94"/>
      <c r="H440" s="94"/>
      <c r="I440" s="94"/>
      <c r="J440" s="94"/>
      <c r="K440" s="94"/>
      <c r="L440" s="94"/>
      <c r="M440" s="26"/>
      <c r="N440" s="26"/>
      <c r="O440" s="55"/>
      <c r="P440" s="1"/>
      <c r="Q440" s="8"/>
      <c r="R440" s="8"/>
      <c r="S440" s="1"/>
      <c r="T440" s="8"/>
      <c r="U440" s="8"/>
      <c r="V440" s="56"/>
      <c r="W440" s="1"/>
      <c r="X440" s="1"/>
      <c r="Y440" s="8"/>
      <c r="Z440" s="8"/>
      <c r="AA440" s="8"/>
      <c r="AB440" s="8"/>
      <c r="AC440" s="8"/>
      <c r="AD440" s="8"/>
      <c r="AE440" s="8"/>
      <c r="AF440" s="8"/>
      <c r="AG440" s="8"/>
      <c r="AH440" s="8"/>
      <c r="AI440" s="8"/>
    </row>
    <row r="441" spans="1:35">
      <c r="A441" s="1"/>
      <c r="B441" s="94"/>
      <c r="C441" s="8"/>
      <c r="D441" s="8"/>
      <c r="E441" s="8"/>
      <c r="F441" s="94"/>
      <c r="G441" s="94"/>
      <c r="H441" s="94"/>
      <c r="I441" s="94"/>
      <c r="J441" s="94"/>
      <c r="K441" s="94"/>
      <c r="L441" s="94"/>
      <c r="M441" s="26"/>
      <c r="N441" s="26"/>
      <c r="O441" s="55"/>
      <c r="P441" s="1"/>
      <c r="Q441" s="8"/>
      <c r="R441" s="8"/>
      <c r="S441" s="1"/>
      <c r="T441" s="8"/>
      <c r="U441" s="8"/>
      <c r="V441" s="56"/>
      <c r="W441" s="1"/>
      <c r="X441" s="1"/>
      <c r="Y441" s="8"/>
      <c r="Z441" s="8"/>
      <c r="AA441" s="8"/>
      <c r="AB441" s="8"/>
      <c r="AC441" s="8"/>
      <c r="AD441" s="8"/>
      <c r="AE441" s="8"/>
      <c r="AF441" s="8"/>
      <c r="AG441" s="8"/>
      <c r="AH441" s="8"/>
      <c r="AI441" s="8"/>
    </row>
    <row r="442" spans="1:35">
      <c r="A442" s="1"/>
      <c r="B442" s="94"/>
      <c r="C442" s="8"/>
      <c r="D442" s="8"/>
      <c r="E442" s="8"/>
      <c r="F442" s="94"/>
      <c r="G442" s="94"/>
      <c r="H442" s="94"/>
      <c r="I442" s="94"/>
      <c r="J442" s="94"/>
      <c r="K442" s="94"/>
      <c r="L442" s="94"/>
      <c r="M442" s="26"/>
      <c r="N442" s="26"/>
      <c r="O442" s="55"/>
      <c r="P442" s="1"/>
      <c r="Q442" s="8"/>
      <c r="R442" s="8"/>
      <c r="S442" s="1"/>
      <c r="T442" s="8"/>
      <c r="U442" s="8"/>
      <c r="V442" s="56"/>
      <c r="W442" s="1"/>
      <c r="X442" s="1"/>
      <c r="Y442" s="8"/>
      <c r="Z442" s="8"/>
      <c r="AA442" s="8"/>
      <c r="AB442" s="8"/>
      <c r="AC442" s="8"/>
      <c r="AD442" s="8"/>
      <c r="AE442" s="8"/>
      <c r="AF442" s="8"/>
      <c r="AG442" s="8"/>
      <c r="AH442" s="8"/>
      <c r="AI442" s="8"/>
    </row>
    <row r="443" spans="1:35">
      <c r="A443" s="1"/>
      <c r="B443" s="103"/>
      <c r="C443" s="8"/>
      <c r="D443" s="8"/>
      <c r="E443" s="8"/>
      <c r="F443" s="101"/>
      <c r="G443" s="101"/>
      <c r="H443" s="101"/>
      <c r="I443" s="101"/>
      <c r="J443" s="101"/>
      <c r="K443" s="101"/>
      <c r="L443" s="102"/>
      <c r="M443" s="26"/>
      <c r="N443" s="26"/>
      <c r="O443" s="55"/>
      <c r="P443" s="1"/>
      <c r="Q443" s="8"/>
      <c r="R443" s="8"/>
      <c r="S443" s="1"/>
      <c r="T443" s="8"/>
      <c r="U443" s="8"/>
      <c r="V443" s="56"/>
      <c r="W443" s="1"/>
      <c r="X443" s="1"/>
      <c r="Y443" s="8"/>
      <c r="Z443" s="8"/>
      <c r="AA443" s="8"/>
      <c r="AB443" s="8"/>
      <c r="AC443" s="8"/>
      <c r="AD443" s="8"/>
      <c r="AE443" s="8"/>
      <c r="AF443" s="8"/>
      <c r="AG443" s="8"/>
      <c r="AH443" s="8"/>
      <c r="AI443" s="8"/>
    </row>
    <row r="444" spans="1:35">
      <c r="A444" s="1"/>
      <c r="B444" s="94"/>
      <c r="C444" s="8"/>
      <c r="D444" s="8"/>
      <c r="E444" s="8"/>
      <c r="F444" s="94"/>
      <c r="G444" s="94"/>
      <c r="H444" s="94"/>
      <c r="I444" s="94"/>
      <c r="J444" s="94"/>
      <c r="K444" s="94"/>
      <c r="L444" s="94"/>
      <c r="M444" s="26"/>
      <c r="N444" s="26"/>
      <c r="O444" s="55"/>
      <c r="P444" s="1"/>
      <c r="Q444" s="8"/>
      <c r="R444" s="8"/>
      <c r="S444" s="1"/>
      <c r="T444" s="8"/>
      <c r="U444" s="8"/>
      <c r="V444" s="56"/>
      <c r="W444" s="1"/>
      <c r="X444" s="1"/>
      <c r="Y444" s="8"/>
      <c r="Z444" s="8"/>
      <c r="AA444" s="8"/>
      <c r="AB444" s="8"/>
      <c r="AC444" s="8"/>
      <c r="AD444" s="8"/>
      <c r="AE444" s="8"/>
      <c r="AF444" s="8"/>
      <c r="AG444" s="8"/>
      <c r="AH444" s="8"/>
      <c r="AI444" s="8"/>
    </row>
    <row r="445" spans="1:35">
      <c r="A445" s="1"/>
      <c r="B445" s="94"/>
      <c r="C445" s="8"/>
      <c r="D445" s="8"/>
      <c r="E445" s="8"/>
      <c r="F445" s="94"/>
      <c r="G445" s="94"/>
      <c r="H445" s="94"/>
      <c r="I445" s="94"/>
      <c r="J445" s="94"/>
      <c r="K445" s="94"/>
      <c r="L445" s="94"/>
      <c r="M445" s="26"/>
      <c r="N445" s="26"/>
      <c r="O445" s="55"/>
      <c r="P445" s="1"/>
      <c r="Q445" s="8"/>
      <c r="R445" s="8"/>
      <c r="S445" s="1"/>
      <c r="T445" s="8"/>
      <c r="U445" s="8"/>
      <c r="V445" s="56"/>
      <c r="W445" s="1"/>
      <c r="X445" s="1"/>
      <c r="Y445" s="8"/>
      <c r="Z445" s="8"/>
      <c r="AA445" s="8"/>
      <c r="AB445" s="8"/>
      <c r="AC445" s="8"/>
      <c r="AD445" s="8"/>
      <c r="AE445" s="8"/>
      <c r="AF445" s="8"/>
      <c r="AG445" s="8"/>
      <c r="AH445" s="8"/>
      <c r="AI445" s="8"/>
    </row>
    <row r="446" spans="1:35">
      <c r="A446" s="1"/>
      <c r="B446" s="94"/>
      <c r="C446" s="8"/>
      <c r="D446" s="8"/>
      <c r="E446" s="8"/>
      <c r="F446" s="94"/>
      <c r="G446" s="94"/>
      <c r="H446" s="94"/>
      <c r="I446" s="94"/>
      <c r="J446" s="94"/>
      <c r="K446" s="94"/>
      <c r="L446" s="94"/>
      <c r="M446" s="26"/>
      <c r="N446" s="26"/>
      <c r="O446" s="55"/>
      <c r="P446" s="1"/>
      <c r="Q446" s="8"/>
      <c r="R446" s="8"/>
      <c r="S446" s="1"/>
      <c r="T446" s="8"/>
      <c r="U446" s="8"/>
      <c r="V446" s="56"/>
      <c r="W446" s="1"/>
      <c r="X446" s="1"/>
      <c r="Y446" s="8"/>
      <c r="Z446" s="8"/>
      <c r="AA446" s="8"/>
      <c r="AB446" s="8"/>
      <c r="AC446" s="8"/>
      <c r="AD446" s="8"/>
      <c r="AE446" s="8"/>
      <c r="AF446" s="8"/>
      <c r="AG446" s="8"/>
      <c r="AH446" s="8"/>
      <c r="AI446" s="8"/>
    </row>
    <row r="447" spans="1:35">
      <c r="A447" s="1"/>
      <c r="B447" s="94"/>
      <c r="C447" s="8"/>
      <c r="D447" s="8"/>
      <c r="E447" s="8"/>
      <c r="F447" s="94"/>
      <c r="G447" s="94"/>
      <c r="H447" s="94"/>
      <c r="I447" s="94"/>
      <c r="J447" s="94"/>
      <c r="K447" s="94"/>
      <c r="L447" s="94"/>
      <c r="M447" s="26"/>
      <c r="N447" s="26"/>
      <c r="O447" s="55"/>
      <c r="P447" s="1"/>
      <c r="Q447" s="8"/>
      <c r="R447" s="8"/>
      <c r="S447" s="1"/>
      <c r="T447" s="8"/>
      <c r="U447" s="8"/>
      <c r="V447" s="56"/>
      <c r="W447" s="1"/>
      <c r="X447" s="1"/>
      <c r="Y447" s="8"/>
      <c r="Z447" s="8"/>
      <c r="AA447" s="8"/>
      <c r="AB447" s="8"/>
      <c r="AC447" s="8"/>
      <c r="AD447" s="8"/>
      <c r="AE447" s="8"/>
      <c r="AF447" s="8"/>
      <c r="AG447" s="8"/>
      <c r="AH447" s="8"/>
      <c r="AI447" s="8"/>
    </row>
    <row r="448" spans="1:35">
      <c r="A448" s="1"/>
      <c r="B448" s="103"/>
      <c r="C448" s="8"/>
      <c r="D448" s="8"/>
      <c r="E448" s="8"/>
      <c r="F448" s="101"/>
      <c r="G448" s="101"/>
      <c r="H448" s="101"/>
      <c r="I448" s="101"/>
      <c r="J448" s="101"/>
      <c r="K448" s="101"/>
      <c r="L448" s="102"/>
      <c r="M448" s="26"/>
      <c r="N448" s="26"/>
      <c r="O448" s="55"/>
      <c r="P448" s="1"/>
      <c r="Q448" s="8"/>
      <c r="R448" s="8"/>
      <c r="S448" s="1"/>
      <c r="T448" s="8"/>
      <c r="U448" s="8"/>
      <c r="V448" s="56"/>
      <c r="W448" s="1"/>
      <c r="X448" s="1"/>
      <c r="Y448" s="8"/>
      <c r="Z448" s="8"/>
      <c r="AA448" s="8"/>
      <c r="AB448" s="8"/>
      <c r="AC448" s="8"/>
      <c r="AD448" s="8"/>
      <c r="AE448" s="8"/>
      <c r="AF448" s="8"/>
      <c r="AG448" s="8"/>
      <c r="AH448" s="8"/>
      <c r="AI448" s="8"/>
    </row>
    <row r="449" spans="1:35">
      <c r="A449" s="1"/>
      <c r="B449" s="94"/>
      <c r="C449" s="8"/>
      <c r="D449" s="8"/>
      <c r="E449" s="8"/>
      <c r="F449" s="94"/>
      <c r="G449" s="94"/>
      <c r="H449" s="94"/>
      <c r="I449" s="94"/>
      <c r="J449" s="94"/>
      <c r="K449" s="94"/>
      <c r="L449" s="94"/>
      <c r="M449" s="26"/>
      <c r="N449" s="26"/>
      <c r="O449" s="55"/>
      <c r="P449" s="1"/>
      <c r="Q449" s="8"/>
      <c r="R449" s="8"/>
      <c r="S449" s="1"/>
      <c r="T449" s="8"/>
      <c r="U449" s="8"/>
      <c r="V449" s="56"/>
      <c r="W449" s="1"/>
      <c r="X449" s="1"/>
      <c r="Y449" s="8"/>
      <c r="Z449" s="8"/>
      <c r="AA449" s="8"/>
      <c r="AB449" s="8"/>
      <c r="AC449" s="8"/>
      <c r="AD449" s="8"/>
      <c r="AE449" s="8"/>
      <c r="AF449" s="8"/>
      <c r="AG449" s="8"/>
      <c r="AH449" s="8"/>
      <c r="AI449" s="8"/>
    </row>
    <row r="450" spans="1:35">
      <c r="A450" s="1"/>
      <c r="B450" s="94"/>
      <c r="C450" s="8"/>
      <c r="D450" s="8"/>
      <c r="E450" s="8"/>
      <c r="F450" s="94"/>
      <c r="G450" s="94"/>
      <c r="H450" s="94"/>
      <c r="I450" s="94"/>
      <c r="J450" s="94"/>
      <c r="K450" s="94"/>
      <c r="L450" s="94"/>
      <c r="M450" s="26"/>
      <c r="N450" s="26"/>
      <c r="O450" s="55"/>
      <c r="P450" s="1"/>
      <c r="Q450" s="8"/>
      <c r="R450" s="8"/>
      <c r="S450" s="1"/>
      <c r="T450" s="8"/>
      <c r="U450" s="8"/>
      <c r="V450" s="56"/>
      <c r="W450" s="1"/>
      <c r="X450" s="1"/>
      <c r="Y450" s="8"/>
      <c r="Z450" s="8"/>
      <c r="AA450" s="8"/>
      <c r="AB450" s="8"/>
      <c r="AC450" s="8"/>
      <c r="AD450" s="8"/>
      <c r="AE450" s="8"/>
      <c r="AF450" s="8"/>
      <c r="AG450" s="8"/>
      <c r="AH450" s="8"/>
      <c r="AI450" s="8"/>
    </row>
    <row r="451" spans="1:35">
      <c r="A451" s="1"/>
      <c r="B451" s="94"/>
      <c r="C451" s="8"/>
      <c r="D451" s="8"/>
      <c r="E451" s="8"/>
      <c r="F451" s="94"/>
      <c r="G451" s="94"/>
      <c r="H451" s="94"/>
      <c r="I451" s="94"/>
      <c r="J451" s="94"/>
      <c r="K451" s="94"/>
      <c r="L451" s="94"/>
      <c r="M451" s="26"/>
      <c r="N451" s="26"/>
      <c r="O451" s="55"/>
      <c r="P451" s="1"/>
      <c r="Q451" s="8"/>
      <c r="R451" s="8"/>
      <c r="S451" s="1"/>
      <c r="T451" s="8"/>
      <c r="U451" s="8"/>
      <c r="V451" s="56"/>
      <c r="W451" s="1"/>
      <c r="X451" s="1"/>
      <c r="Y451" s="8"/>
      <c r="Z451" s="8"/>
      <c r="AA451" s="8"/>
      <c r="AB451" s="8"/>
      <c r="AC451" s="8"/>
      <c r="AD451" s="8"/>
      <c r="AE451" s="8"/>
      <c r="AF451" s="8"/>
      <c r="AG451" s="8"/>
      <c r="AH451" s="8"/>
      <c r="AI451" s="8"/>
    </row>
    <row r="452" spans="1:35">
      <c r="A452" s="1"/>
      <c r="B452" s="94"/>
      <c r="C452" s="8"/>
      <c r="D452" s="8"/>
      <c r="E452" s="8"/>
      <c r="F452" s="94"/>
      <c r="G452" s="94"/>
      <c r="H452" s="94"/>
      <c r="I452" s="94"/>
      <c r="J452" s="94"/>
      <c r="K452" s="94"/>
      <c r="L452" s="94"/>
      <c r="M452" s="26"/>
      <c r="N452" s="26"/>
      <c r="O452" s="55"/>
      <c r="P452" s="1"/>
      <c r="Q452" s="8"/>
      <c r="R452" s="8"/>
      <c r="S452" s="1"/>
      <c r="T452" s="8"/>
      <c r="U452" s="8"/>
      <c r="V452" s="56"/>
      <c r="W452" s="1"/>
      <c r="X452" s="1"/>
      <c r="Y452" s="8"/>
      <c r="Z452" s="8"/>
      <c r="AA452" s="8"/>
      <c r="AB452" s="8"/>
      <c r="AC452" s="8"/>
      <c r="AD452" s="8"/>
      <c r="AE452" s="8"/>
      <c r="AF452" s="8"/>
      <c r="AG452" s="8"/>
      <c r="AH452" s="8"/>
      <c r="AI452" s="8"/>
    </row>
    <row r="453" spans="1:35">
      <c r="A453" s="1"/>
      <c r="B453" s="103"/>
      <c r="C453" s="8"/>
      <c r="D453" s="8"/>
      <c r="E453" s="8"/>
      <c r="F453" s="101"/>
      <c r="G453" s="101"/>
      <c r="H453" s="101"/>
      <c r="I453" s="101"/>
      <c r="J453" s="101"/>
      <c r="K453" s="101"/>
      <c r="L453" s="102"/>
      <c r="M453" s="26"/>
      <c r="N453" s="26"/>
      <c r="O453" s="55"/>
      <c r="P453" s="1"/>
      <c r="Q453" s="8"/>
      <c r="R453" s="8"/>
      <c r="S453" s="1"/>
      <c r="T453" s="8"/>
      <c r="U453" s="8"/>
      <c r="V453" s="56"/>
      <c r="W453" s="1"/>
      <c r="X453" s="1"/>
      <c r="Y453" s="8"/>
      <c r="Z453" s="8"/>
      <c r="AA453" s="8"/>
      <c r="AB453" s="8"/>
      <c r="AC453" s="8"/>
      <c r="AD453" s="8"/>
      <c r="AE453" s="8"/>
      <c r="AF453" s="8"/>
      <c r="AG453" s="8"/>
      <c r="AH453" s="8"/>
      <c r="AI453" s="8"/>
    </row>
    <row r="454" spans="1:35">
      <c r="A454" s="1"/>
      <c r="B454" s="94"/>
      <c r="C454" s="8"/>
      <c r="D454" s="8"/>
      <c r="E454" s="8"/>
      <c r="F454" s="94"/>
      <c r="G454" s="94"/>
      <c r="H454" s="94"/>
      <c r="I454" s="94"/>
      <c r="J454" s="94"/>
      <c r="K454" s="94"/>
      <c r="L454" s="94"/>
      <c r="M454" s="26"/>
      <c r="N454" s="26"/>
      <c r="O454" s="55"/>
      <c r="P454" s="1"/>
      <c r="Q454" s="8"/>
      <c r="R454" s="8"/>
      <c r="S454" s="1"/>
      <c r="T454" s="8"/>
      <c r="U454" s="8"/>
      <c r="V454" s="56"/>
      <c r="W454" s="1"/>
      <c r="X454" s="1"/>
      <c r="Y454" s="8"/>
      <c r="Z454" s="8"/>
      <c r="AA454" s="8"/>
      <c r="AB454" s="8"/>
      <c r="AC454" s="8"/>
      <c r="AD454" s="8"/>
      <c r="AE454" s="8"/>
      <c r="AF454" s="8"/>
      <c r="AG454" s="8"/>
      <c r="AH454" s="8"/>
      <c r="AI454" s="8"/>
    </row>
    <row r="455" spans="1:35">
      <c r="A455" s="1"/>
      <c r="B455" s="94"/>
      <c r="C455" s="8"/>
      <c r="D455" s="8"/>
      <c r="E455" s="8"/>
      <c r="F455" s="94"/>
      <c r="G455" s="94"/>
      <c r="H455" s="94"/>
      <c r="I455" s="94"/>
      <c r="J455" s="94"/>
      <c r="K455" s="94"/>
      <c r="L455" s="94"/>
      <c r="M455" s="26"/>
      <c r="N455" s="26"/>
      <c r="O455" s="55"/>
      <c r="P455" s="1"/>
      <c r="Q455" s="8"/>
      <c r="R455" s="8"/>
      <c r="S455" s="1"/>
      <c r="T455" s="8"/>
      <c r="U455" s="8"/>
      <c r="V455" s="56"/>
      <c r="W455" s="1"/>
      <c r="X455" s="1"/>
      <c r="Y455" s="8"/>
      <c r="Z455" s="8"/>
      <c r="AA455" s="8"/>
      <c r="AB455" s="8"/>
      <c r="AC455" s="8"/>
      <c r="AD455" s="8"/>
      <c r="AE455" s="8"/>
      <c r="AF455" s="8"/>
      <c r="AG455" s="8"/>
      <c r="AH455" s="8"/>
      <c r="AI455" s="8"/>
    </row>
    <row r="456" spans="1:35">
      <c r="A456" s="1"/>
      <c r="B456" s="94"/>
      <c r="C456" s="8"/>
      <c r="D456" s="8"/>
      <c r="E456" s="8"/>
      <c r="F456" s="94"/>
      <c r="G456" s="94"/>
      <c r="H456" s="94"/>
      <c r="I456" s="94"/>
      <c r="J456" s="94"/>
      <c r="K456" s="94"/>
      <c r="L456" s="94"/>
      <c r="M456" s="26"/>
      <c r="N456" s="26"/>
      <c r="O456" s="55"/>
      <c r="P456" s="1"/>
      <c r="Q456" s="8"/>
      <c r="R456" s="8"/>
      <c r="S456" s="1"/>
      <c r="T456" s="8"/>
      <c r="U456" s="8"/>
      <c r="V456" s="56"/>
      <c r="W456" s="1"/>
      <c r="X456" s="1"/>
      <c r="Y456" s="8"/>
      <c r="Z456" s="8"/>
      <c r="AA456" s="8"/>
      <c r="AB456" s="8"/>
      <c r="AC456" s="8"/>
      <c r="AD456" s="8"/>
      <c r="AE456" s="8"/>
      <c r="AF456" s="8"/>
      <c r="AG456" s="8"/>
      <c r="AH456" s="8"/>
      <c r="AI456" s="8"/>
    </row>
    <row r="457" spans="1:35">
      <c r="A457" s="1"/>
      <c r="B457" s="94"/>
      <c r="C457" s="8"/>
      <c r="D457" s="8"/>
      <c r="E457" s="8"/>
      <c r="F457" s="94"/>
      <c r="G457" s="94"/>
      <c r="H457" s="94"/>
      <c r="I457" s="94"/>
      <c r="J457" s="94"/>
      <c r="K457" s="94"/>
      <c r="L457" s="94"/>
      <c r="M457" s="26"/>
      <c r="N457" s="26"/>
      <c r="O457" s="55"/>
      <c r="P457" s="1"/>
      <c r="Q457" s="8"/>
      <c r="R457" s="8"/>
      <c r="S457" s="1"/>
      <c r="T457" s="8"/>
      <c r="U457" s="8"/>
      <c r="V457" s="56"/>
      <c r="W457" s="1"/>
      <c r="X457" s="1"/>
      <c r="Y457" s="8"/>
      <c r="Z457" s="8"/>
      <c r="AA457" s="8"/>
      <c r="AB457" s="8"/>
      <c r="AC457" s="8"/>
      <c r="AD457" s="8"/>
      <c r="AE457" s="8"/>
      <c r="AF457" s="8"/>
      <c r="AG457" s="8"/>
      <c r="AH457" s="8"/>
      <c r="AI457" s="8"/>
    </row>
    <row r="458" spans="1:35">
      <c r="A458" s="1"/>
      <c r="B458" s="103"/>
      <c r="C458" s="8"/>
      <c r="D458" s="8"/>
      <c r="E458" s="8"/>
      <c r="F458" s="101"/>
      <c r="G458" s="101"/>
      <c r="H458" s="101"/>
      <c r="I458" s="101"/>
      <c r="J458" s="101"/>
      <c r="K458" s="101"/>
      <c r="L458" s="102"/>
      <c r="M458" s="26"/>
      <c r="N458" s="26"/>
      <c r="O458" s="55"/>
      <c r="P458" s="1"/>
      <c r="Q458" s="8"/>
      <c r="R458" s="8"/>
      <c r="S458" s="1"/>
      <c r="T458" s="8"/>
      <c r="U458" s="8"/>
      <c r="V458" s="56"/>
      <c r="W458" s="1"/>
      <c r="X458" s="1"/>
      <c r="Y458" s="8"/>
      <c r="Z458" s="8"/>
      <c r="AA458" s="8"/>
      <c r="AB458" s="8"/>
      <c r="AC458" s="8"/>
      <c r="AD458" s="8"/>
      <c r="AE458" s="8"/>
      <c r="AF458" s="8"/>
      <c r="AG458" s="8"/>
      <c r="AH458" s="8"/>
      <c r="AI458" s="8"/>
    </row>
    <row r="459" spans="1:35">
      <c r="A459" s="1"/>
      <c r="B459" s="94"/>
      <c r="C459" s="8"/>
      <c r="D459" s="8"/>
      <c r="E459" s="8"/>
      <c r="F459" s="94"/>
      <c r="G459" s="94"/>
      <c r="H459" s="94"/>
      <c r="I459" s="94"/>
      <c r="J459" s="94"/>
      <c r="K459" s="94"/>
      <c r="L459" s="94"/>
      <c r="M459" s="26"/>
      <c r="N459" s="26"/>
      <c r="O459" s="55"/>
      <c r="P459" s="1"/>
      <c r="Q459" s="8"/>
      <c r="R459" s="8"/>
      <c r="S459" s="1"/>
      <c r="T459" s="8"/>
      <c r="U459" s="8"/>
      <c r="V459" s="56"/>
      <c r="W459" s="1"/>
      <c r="X459" s="1"/>
      <c r="Y459" s="8"/>
      <c r="Z459" s="8"/>
      <c r="AA459" s="8"/>
      <c r="AB459" s="8"/>
      <c r="AC459" s="8"/>
      <c r="AD459" s="8"/>
      <c r="AE459" s="8"/>
      <c r="AF459" s="8"/>
      <c r="AG459" s="8"/>
      <c r="AH459" s="8"/>
      <c r="AI459" s="8"/>
    </row>
    <row r="460" spans="1:35">
      <c r="A460" s="1"/>
      <c r="B460" s="94"/>
      <c r="C460" s="8"/>
      <c r="D460" s="8"/>
      <c r="E460" s="8"/>
      <c r="F460" s="94"/>
      <c r="G460" s="94"/>
      <c r="H460" s="94"/>
      <c r="I460" s="94"/>
      <c r="J460" s="94"/>
      <c r="K460" s="94"/>
      <c r="L460" s="94"/>
      <c r="M460" s="26"/>
      <c r="N460" s="26"/>
      <c r="O460" s="55"/>
      <c r="P460" s="1"/>
      <c r="Q460" s="8"/>
      <c r="R460" s="8"/>
      <c r="S460" s="1"/>
      <c r="T460" s="8"/>
      <c r="U460" s="8"/>
      <c r="V460" s="56"/>
      <c r="W460" s="1"/>
      <c r="X460" s="1"/>
      <c r="Y460" s="8"/>
      <c r="Z460" s="8"/>
      <c r="AA460" s="8"/>
      <c r="AB460" s="8"/>
      <c r="AC460" s="8"/>
      <c r="AD460" s="8"/>
      <c r="AE460" s="8"/>
      <c r="AF460" s="8"/>
      <c r="AG460" s="8"/>
      <c r="AH460" s="8"/>
      <c r="AI460" s="8"/>
    </row>
    <row r="461" spans="1:35">
      <c r="A461" s="1"/>
      <c r="B461" s="94"/>
      <c r="C461" s="8"/>
      <c r="D461" s="8"/>
      <c r="E461" s="8"/>
      <c r="F461" s="94"/>
      <c r="G461" s="94"/>
      <c r="H461" s="94"/>
      <c r="I461" s="94"/>
      <c r="J461" s="94"/>
      <c r="K461" s="94"/>
      <c r="L461" s="94"/>
      <c r="M461" s="26"/>
      <c r="N461" s="26"/>
      <c r="O461" s="55"/>
      <c r="P461" s="1"/>
      <c r="Q461" s="8"/>
      <c r="R461" s="8"/>
      <c r="S461" s="1"/>
      <c r="T461" s="8"/>
      <c r="U461" s="8"/>
      <c r="V461" s="56"/>
      <c r="W461" s="1"/>
      <c r="X461" s="1"/>
      <c r="Y461" s="8"/>
      <c r="Z461" s="8"/>
      <c r="AA461" s="8"/>
      <c r="AB461" s="8"/>
      <c r="AC461" s="8"/>
      <c r="AD461" s="8"/>
      <c r="AE461" s="8"/>
      <c r="AF461" s="8"/>
      <c r="AG461" s="8"/>
      <c r="AH461" s="8"/>
      <c r="AI461" s="8"/>
    </row>
    <row r="462" spans="1:35">
      <c r="A462" s="1"/>
      <c r="B462" s="94"/>
      <c r="C462" s="8"/>
      <c r="D462" s="8"/>
      <c r="E462" s="8"/>
      <c r="F462" s="94"/>
      <c r="G462" s="94"/>
      <c r="H462" s="94"/>
      <c r="I462" s="94"/>
      <c r="J462" s="94"/>
      <c r="K462" s="94"/>
      <c r="L462" s="94"/>
      <c r="M462" s="26"/>
      <c r="N462" s="26"/>
      <c r="O462" s="55"/>
      <c r="P462" s="1"/>
      <c r="Q462" s="8"/>
      <c r="R462" s="8"/>
      <c r="S462" s="1"/>
      <c r="T462" s="8"/>
      <c r="U462" s="8"/>
      <c r="V462" s="56"/>
      <c r="W462" s="1"/>
      <c r="X462" s="1"/>
      <c r="Y462" s="8"/>
      <c r="Z462" s="8"/>
      <c r="AA462" s="8"/>
      <c r="AB462" s="8"/>
      <c r="AC462" s="8"/>
      <c r="AD462" s="8"/>
      <c r="AE462" s="8"/>
      <c r="AF462" s="8"/>
      <c r="AG462" s="8"/>
      <c r="AH462" s="8"/>
      <c r="AI462" s="8"/>
    </row>
    <row r="463" spans="1:35">
      <c r="A463" s="1"/>
      <c r="B463" s="103"/>
      <c r="C463" s="8"/>
      <c r="D463" s="8"/>
      <c r="E463" s="8"/>
      <c r="F463" s="101"/>
      <c r="G463" s="101"/>
      <c r="H463" s="101"/>
      <c r="I463" s="101"/>
      <c r="J463" s="101"/>
      <c r="K463" s="101"/>
      <c r="L463" s="102"/>
      <c r="M463" s="26"/>
      <c r="N463" s="26"/>
      <c r="O463" s="55"/>
      <c r="P463" s="1"/>
      <c r="Q463" s="8"/>
      <c r="R463" s="8"/>
      <c r="S463" s="1"/>
      <c r="T463" s="8"/>
      <c r="U463" s="8"/>
      <c r="V463" s="56"/>
      <c r="W463" s="1"/>
      <c r="X463" s="1"/>
      <c r="Y463" s="8"/>
      <c r="Z463" s="8"/>
      <c r="AA463" s="8"/>
      <c r="AB463" s="8"/>
      <c r="AC463" s="8"/>
      <c r="AD463" s="8"/>
      <c r="AE463" s="8"/>
      <c r="AF463" s="8"/>
      <c r="AG463" s="8"/>
      <c r="AH463" s="8"/>
      <c r="AI463" s="8"/>
    </row>
    <row r="464" spans="1:35">
      <c r="A464" s="1"/>
      <c r="B464" s="94"/>
      <c r="C464" s="8"/>
      <c r="D464" s="8"/>
      <c r="E464" s="8"/>
      <c r="F464" s="94"/>
      <c r="G464" s="94"/>
      <c r="H464" s="94"/>
      <c r="I464" s="94"/>
      <c r="J464" s="94"/>
      <c r="K464" s="94"/>
      <c r="L464" s="94"/>
      <c r="M464" s="26"/>
      <c r="N464" s="26"/>
      <c r="O464" s="55"/>
      <c r="P464" s="1"/>
      <c r="Q464" s="8"/>
      <c r="R464" s="8"/>
      <c r="S464" s="1"/>
      <c r="T464" s="8"/>
      <c r="U464" s="8"/>
      <c r="V464" s="56"/>
      <c r="W464" s="1"/>
      <c r="X464" s="1"/>
      <c r="Y464" s="8"/>
      <c r="Z464" s="8"/>
      <c r="AA464" s="8"/>
      <c r="AB464" s="8"/>
      <c r="AC464" s="8"/>
      <c r="AD464" s="8"/>
      <c r="AE464" s="8"/>
      <c r="AF464" s="8"/>
      <c r="AG464" s="8"/>
      <c r="AH464" s="8"/>
      <c r="AI464" s="8"/>
    </row>
    <row r="465" spans="1:35">
      <c r="A465" s="1"/>
      <c r="B465" s="94"/>
      <c r="C465" s="8"/>
      <c r="D465" s="8"/>
      <c r="E465" s="8"/>
      <c r="F465" s="94"/>
      <c r="G465" s="94"/>
      <c r="H465" s="94"/>
      <c r="I465" s="94"/>
      <c r="J465" s="94"/>
      <c r="K465" s="94"/>
      <c r="L465" s="94"/>
      <c r="M465" s="26"/>
      <c r="N465" s="26"/>
      <c r="O465" s="55"/>
      <c r="P465" s="1"/>
      <c r="Q465" s="8"/>
      <c r="R465" s="8"/>
      <c r="S465" s="1"/>
      <c r="T465" s="8"/>
      <c r="U465" s="8"/>
      <c r="V465" s="56"/>
      <c r="W465" s="1"/>
      <c r="X465" s="1"/>
      <c r="Y465" s="8"/>
      <c r="Z465" s="8"/>
      <c r="AA465" s="8"/>
      <c r="AB465" s="8"/>
      <c r="AC465" s="8"/>
      <c r="AD465" s="8"/>
      <c r="AE465" s="8"/>
      <c r="AF465" s="8"/>
      <c r="AG465" s="8"/>
      <c r="AH465" s="8"/>
      <c r="AI465" s="8"/>
    </row>
    <row r="466" spans="1:35">
      <c r="A466" s="1"/>
      <c r="B466" s="94"/>
      <c r="C466" s="8"/>
      <c r="D466" s="8"/>
      <c r="E466" s="8"/>
      <c r="F466" s="94"/>
      <c r="G466" s="94"/>
      <c r="H466" s="94"/>
      <c r="I466" s="94"/>
      <c r="J466" s="94"/>
      <c r="K466" s="94"/>
      <c r="L466" s="94"/>
      <c r="M466" s="26"/>
      <c r="N466" s="26"/>
      <c r="O466" s="55"/>
      <c r="P466" s="1"/>
      <c r="Q466" s="8"/>
      <c r="R466" s="8"/>
      <c r="S466" s="1"/>
      <c r="T466" s="8"/>
      <c r="U466" s="8"/>
      <c r="V466" s="56"/>
      <c r="W466" s="1"/>
      <c r="X466" s="1"/>
      <c r="Y466" s="8"/>
      <c r="Z466" s="8"/>
      <c r="AA466" s="8"/>
      <c r="AB466" s="8"/>
      <c r="AC466" s="8"/>
      <c r="AD466" s="8"/>
      <c r="AE466" s="8"/>
      <c r="AF466" s="8"/>
      <c r="AG466" s="8"/>
      <c r="AH466" s="8"/>
      <c r="AI466" s="8"/>
    </row>
    <row r="467" spans="1:35">
      <c r="A467" s="1"/>
      <c r="B467" s="94"/>
      <c r="C467" s="8"/>
      <c r="D467" s="8"/>
      <c r="E467" s="8"/>
      <c r="F467" s="94"/>
      <c r="G467" s="94"/>
      <c r="H467" s="94"/>
      <c r="I467" s="94"/>
      <c r="J467" s="94"/>
      <c r="K467" s="94"/>
      <c r="L467" s="94"/>
      <c r="M467" s="26"/>
      <c r="N467" s="26"/>
      <c r="O467" s="55"/>
      <c r="P467" s="1"/>
      <c r="Q467" s="8"/>
      <c r="R467" s="8"/>
      <c r="S467" s="1"/>
      <c r="T467" s="8"/>
      <c r="U467" s="8"/>
      <c r="V467" s="56"/>
      <c r="W467" s="1"/>
      <c r="X467" s="1"/>
      <c r="Y467" s="8"/>
      <c r="Z467" s="8"/>
      <c r="AA467" s="8"/>
      <c r="AB467" s="8"/>
      <c r="AC467" s="8"/>
      <c r="AD467" s="8"/>
      <c r="AE467" s="8"/>
      <c r="AF467" s="8"/>
      <c r="AG467" s="8"/>
      <c r="AH467" s="8"/>
      <c r="AI467" s="8"/>
    </row>
    <row r="468" spans="1:35">
      <c r="A468" s="1"/>
      <c r="B468" s="103"/>
      <c r="C468" s="8"/>
      <c r="D468" s="8"/>
      <c r="E468" s="8"/>
      <c r="F468" s="101"/>
      <c r="G468" s="101"/>
      <c r="H468" s="101"/>
      <c r="I468" s="101"/>
      <c r="J468" s="101"/>
      <c r="K468" s="101"/>
      <c r="L468" s="102"/>
      <c r="M468" s="26"/>
      <c r="N468" s="26"/>
      <c r="O468" s="55"/>
      <c r="P468" s="1"/>
      <c r="Q468" s="8"/>
      <c r="R468" s="8"/>
      <c r="S468" s="1"/>
      <c r="T468" s="8"/>
      <c r="U468" s="8"/>
      <c r="V468" s="56"/>
      <c r="W468" s="1"/>
      <c r="X468" s="1"/>
      <c r="Y468" s="8"/>
      <c r="Z468" s="8"/>
      <c r="AA468" s="8"/>
      <c r="AB468" s="8"/>
      <c r="AC468" s="8"/>
      <c r="AD468" s="8"/>
      <c r="AE468" s="8"/>
      <c r="AF468" s="8"/>
      <c r="AG468" s="8"/>
      <c r="AH468" s="8"/>
      <c r="AI468" s="8"/>
    </row>
    <row r="469" spans="1:35">
      <c r="A469" s="1"/>
      <c r="B469" s="94"/>
      <c r="C469" s="8"/>
      <c r="D469" s="8"/>
      <c r="E469" s="8"/>
      <c r="F469" s="94"/>
      <c r="G469" s="94"/>
      <c r="H469" s="94"/>
      <c r="I469" s="94"/>
      <c r="J469" s="94"/>
      <c r="K469" s="94"/>
      <c r="L469" s="94"/>
      <c r="M469" s="26"/>
      <c r="N469" s="26"/>
      <c r="O469" s="55"/>
      <c r="P469" s="1"/>
      <c r="Q469" s="8"/>
      <c r="R469" s="8"/>
      <c r="S469" s="1"/>
      <c r="T469" s="8"/>
      <c r="U469" s="8"/>
      <c r="V469" s="56"/>
      <c r="W469" s="1"/>
      <c r="X469" s="1"/>
      <c r="Y469" s="8"/>
      <c r="Z469" s="8"/>
      <c r="AA469" s="8"/>
      <c r="AB469" s="8"/>
      <c r="AC469" s="8"/>
      <c r="AD469" s="8"/>
      <c r="AE469" s="8"/>
      <c r="AF469" s="8"/>
      <c r="AG469" s="8"/>
      <c r="AH469" s="8"/>
      <c r="AI469" s="8"/>
    </row>
    <row r="470" spans="1:35">
      <c r="A470" s="1"/>
      <c r="B470" s="94"/>
      <c r="C470" s="8"/>
      <c r="D470" s="8"/>
      <c r="E470" s="8"/>
      <c r="F470" s="94"/>
      <c r="G470" s="94"/>
      <c r="H470" s="94"/>
      <c r="I470" s="94"/>
      <c r="J470" s="94"/>
      <c r="K470" s="94"/>
      <c r="L470" s="94"/>
      <c r="M470" s="26"/>
      <c r="N470" s="26"/>
      <c r="O470" s="55"/>
      <c r="P470" s="1"/>
      <c r="Q470" s="8"/>
      <c r="R470" s="8"/>
      <c r="S470" s="1"/>
      <c r="T470" s="8"/>
      <c r="U470" s="8"/>
      <c r="V470" s="56"/>
      <c r="W470" s="1"/>
      <c r="X470" s="1"/>
      <c r="Y470" s="8"/>
      <c r="Z470" s="8"/>
      <c r="AA470" s="8"/>
      <c r="AB470" s="8"/>
      <c r="AC470" s="8"/>
      <c r="AD470" s="8"/>
      <c r="AE470" s="8"/>
      <c r="AF470" s="8"/>
      <c r="AG470" s="8"/>
      <c r="AH470" s="8"/>
      <c r="AI470" s="8"/>
    </row>
    <row r="471" spans="1:35">
      <c r="A471" s="1"/>
      <c r="B471" s="94"/>
      <c r="C471" s="8"/>
      <c r="D471" s="8"/>
      <c r="E471" s="8"/>
      <c r="F471" s="94"/>
      <c r="G471" s="94"/>
      <c r="H471" s="94"/>
      <c r="I471" s="94"/>
      <c r="J471" s="94"/>
      <c r="K471" s="94"/>
      <c r="L471" s="94"/>
      <c r="M471" s="26"/>
      <c r="N471" s="26"/>
      <c r="O471" s="55"/>
      <c r="P471" s="1"/>
      <c r="Q471" s="8"/>
      <c r="R471" s="8"/>
      <c r="S471" s="1"/>
      <c r="T471" s="8"/>
      <c r="U471" s="8"/>
      <c r="V471" s="56"/>
      <c r="W471" s="1"/>
      <c r="X471" s="1"/>
      <c r="Y471" s="8"/>
      <c r="Z471" s="8"/>
      <c r="AA471" s="8"/>
      <c r="AB471" s="8"/>
      <c r="AC471" s="8"/>
      <c r="AD471" s="8"/>
      <c r="AE471" s="8"/>
      <c r="AF471" s="8"/>
      <c r="AG471" s="8"/>
      <c r="AH471" s="8"/>
      <c r="AI471" s="8"/>
    </row>
    <row r="472" spans="1:35">
      <c r="A472" s="1"/>
      <c r="B472" s="94"/>
      <c r="C472" s="8"/>
      <c r="D472" s="8"/>
      <c r="E472" s="8"/>
      <c r="F472" s="94"/>
      <c r="G472" s="94"/>
      <c r="H472" s="94"/>
      <c r="I472" s="94"/>
      <c r="J472" s="94"/>
      <c r="K472" s="94"/>
      <c r="L472" s="94"/>
      <c r="M472" s="26"/>
      <c r="N472" s="26"/>
      <c r="O472" s="55"/>
      <c r="P472" s="1"/>
      <c r="Q472" s="8"/>
      <c r="R472" s="8"/>
      <c r="S472" s="1"/>
      <c r="T472" s="8"/>
      <c r="U472" s="8"/>
      <c r="V472" s="56"/>
      <c r="W472" s="1"/>
      <c r="X472" s="1"/>
      <c r="Y472" s="8"/>
      <c r="Z472" s="8"/>
      <c r="AA472" s="8"/>
      <c r="AB472" s="8"/>
      <c r="AC472" s="8"/>
      <c r="AD472" s="8"/>
      <c r="AE472" s="8"/>
      <c r="AF472" s="8"/>
      <c r="AG472" s="8"/>
      <c r="AH472" s="8"/>
      <c r="AI472" s="8"/>
    </row>
    <row r="473" spans="1:35">
      <c r="A473" s="1"/>
      <c r="B473" s="103"/>
      <c r="C473" s="8"/>
      <c r="D473" s="8"/>
      <c r="E473" s="8"/>
      <c r="F473" s="101"/>
      <c r="G473" s="101"/>
      <c r="H473" s="101"/>
      <c r="I473" s="101"/>
      <c r="J473" s="101"/>
      <c r="K473" s="101"/>
      <c r="L473" s="102"/>
      <c r="M473" s="26"/>
      <c r="N473" s="26"/>
      <c r="O473" s="55"/>
      <c r="P473" s="1"/>
      <c r="Q473" s="8"/>
      <c r="R473" s="8"/>
      <c r="S473" s="1"/>
      <c r="T473" s="8"/>
      <c r="U473" s="8"/>
      <c r="V473" s="56"/>
      <c r="W473" s="1"/>
      <c r="X473" s="1"/>
      <c r="Y473" s="8"/>
      <c r="Z473" s="8"/>
      <c r="AA473" s="8"/>
      <c r="AB473" s="8"/>
      <c r="AC473" s="8"/>
      <c r="AD473" s="8"/>
      <c r="AE473" s="8"/>
      <c r="AF473" s="8"/>
      <c r="AG473" s="8"/>
      <c r="AH473" s="8"/>
      <c r="AI473" s="8"/>
    </row>
    <row r="474" spans="1:35">
      <c r="A474" s="1"/>
      <c r="B474" s="94"/>
      <c r="C474" s="8"/>
      <c r="D474" s="8"/>
      <c r="E474" s="8"/>
      <c r="F474" s="94"/>
      <c r="G474" s="94"/>
      <c r="H474" s="94"/>
      <c r="I474" s="94"/>
      <c r="J474" s="94"/>
      <c r="K474" s="94"/>
      <c r="L474" s="94"/>
      <c r="M474" s="26"/>
      <c r="N474" s="26"/>
      <c r="O474" s="55"/>
      <c r="P474" s="1"/>
      <c r="Q474" s="8"/>
      <c r="R474" s="8"/>
      <c r="S474" s="1"/>
      <c r="T474" s="8"/>
      <c r="U474" s="8"/>
      <c r="V474" s="56"/>
      <c r="W474" s="1"/>
      <c r="X474" s="1"/>
      <c r="Y474" s="8"/>
      <c r="Z474" s="8"/>
      <c r="AA474" s="8"/>
      <c r="AB474" s="8"/>
      <c r="AC474" s="8"/>
      <c r="AD474" s="8"/>
      <c r="AE474" s="8"/>
      <c r="AF474" s="8"/>
      <c r="AG474" s="8"/>
      <c r="AH474" s="8"/>
      <c r="AI474" s="8"/>
    </row>
    <row r="475" spans="1:35">
      <c r="A475" s="1"/>
      <c r="B475" s="94"/>
      <c r="C475" s="8"/>
      <c r="D475" s="8"/>
      <c r="E475" s="8"/>
      <c r="F475" s="94"/>
      <c r="G475" s="94"/>
      <c r="H475" s="94"/>
      <c r="I475" s="94"/>
      <c r="J475" s="94"/>
      <c r="K475" s="94"/>
      <c r="L475" s="94"/>
      <c r="M475" s="26"/>
      <c r="N475" s="26"/>
      <c r="O475" s="55"/>
      <c r="P475" s="1"/>
      <c r="Q475" s="8"/>
      <c r="R475" s="8"/>
      <c r="S475" s="1"/>
      <c r="T475" s="8"/>
      <c r="U475" s="8"/>
      <c r="V475" s="56"/>
      <c r="W475" s="1"/>
      <c r="X475" s="1"/>
      <c r="Y475" s="8"/>
      <c r="Z475" s="8"/>
      <c r="AA475" s="8"/>
      <c r="AB475" s="8"/>
      <c r="AC475" s="8"/>
      <c r="AD475" s="8"/>
      <c r="AE475" s="8"/>
      <c r="AF475" s="8"/>
      <c r="AG475" s="8"/>
      <c r="AH475" s="8"/>
      <c r="AI475" s="8"/>
    </row>
    <row r="476" spans="1:35">
      <c r="A476" s="1"/>
      <c r="B476" s="94"/>
      <c r="C476" s="8"/>
      <c r="D476" s="8"/>
      <c r="E476" s="8"/>
      <c r="F476" s="94"/>
      <c r="G476" s="94"/>
      <c r="H476" s="94"/>
      <c r="I476" s="94"/>
      <c r="J476" s="94"/>
      <c r="K476" s="94"/>
      <c r="L476" s="94"/>
      <c r="M476" s="26"/>
      <c r="N476" s="26"/>
      <c r="O476" s="55"/>
      <c r="P476" s="1"/>
      <c r="Q476" s="8"/>
      <c r="R476" s="8"/>
      <c r="S476" s="1"/>
      <c r="T476" s="8"/>
      <c r="U476" s="8"/>
      <c r="V476" s="56"/>
      <c r="W476" s="1"/>
      <c r="X476" s="1"/>
      <c r="Y476" s="8"/>
      <c r="Z476" s="8"/>
      <c r="AA476" s="8"/>
      <c r="AB476" s="8"/>
      <c r="AC476" s="8"/>
      <c r="AD476" s="8"/>
      <c r="AE476" s="8"/>
      <c r="AF476" s="8"/>
      <c r="AG476" s="8"/>
      <c r="AH476" s="8"/>
      <c r="AI476" s="8"/>
    </row>
    <row r="477" spans="1:35">
      <c r="A477" s="1"/>
      <c r="B477" s="94"/>
      <c r="C477" s="8"/>
      <c r="D477" s="8"/>
      <c r="E477" s="8"/>
      <c r="F477" s="94"/>
      <c r="G477" s="94"/>
      <c r="H477" s="94"/>
      <c r="I477" s="94"/>
      <c r="J477" s="94"/>
      <c r="K477" s="94"/>
      <c r="L477" s="94"/>
      <c r="M477" s="26"/>
      <c r="N477" s="26"/>
      <c r="O477" s="55"/>
      <c r="P477" s="1"/>
      <c r="Q477" s="8"/>
      <c r="R477" s="8"/>
      <c r="S477" s="1"/>
      <c r="T477" s="8"/>
      <c r="U477" s="8"/>
      <c r="V477" s="56"/>
      <c r="W477" s="1"/>
      <c r="X477" s="1"/>
      <c r="Y477" s="8"/>
      <c r="Z477" s="8"/>
      <c r="AA477" s="8"/>
      <c r="AB477" s="8"/>
      <c r="AC477" s="8"/>
      <c r="AD477" s="8"/>
      <c r="AE477" s="8"/>
      <c r="AF477" s="8"/>
      <c r="AG477" s="8"/>
      <c r="AH477" s="8"/>
      <c r="AI477" s="8"/>
    </row>
    <row r="478" spans="1:35">
      <c r="A478" s="1"/>
      <c r="B478" s="103"/>
      <c r="C478" s="8"/>
      <c r="D478" s="8"/>
      <c r="E478" s="8"/>
      <c r="F478" s="101"/>
      <c r="G478" s="101"/>
      <c r="H478" s="101"/>
      <c r="I478" s="101"/>
      <c r="J478" s="101"/>
      <c r="K478" s="101"/>
      <c r="L478" s="102"/>
      <c r="M478" s="26"/>
      <c r="N478" s="26"/>
      <c r="O478" s="55"/>
      <c r="P478" s="1"/>
      <c r="Q478" s="8"/>
      <c r="R478" s="8"/>
      <c r="S478" s="1"/>
      <c r="T478" s="8"/>
      <c r="U478" s="8"/>
      <c r="V478" s="56"/>
      <c r="W478" s="1"/>
      <c r="X478" s="1"/>
      <c r="Y478" s="8"/>
      <c r="Z478" s="8"/>
      <c r="AA478" s="8"/>
      <c r="AB478" s="8"/>
      <c r="AC478" s="8"/>
      <c r="AD478" s="8"/>
      <c r="AE478" s="8"/>
      <c r="AF478" s="8"/>
      <c r="AG478" s="8"/>
      <c r="AH478" s="8"/>
      <c r="AI478" s="8"/>
    </row>
    <row r="479" spans="1:35">
      <c r="A479" s="1"/>
      <c r="B479" s="94"/>
      <c r="C479" s="8"/>
      <c r="D479" s="8"/>
      <c r="E479" s="8"/>
      <c r="F479" s="94"/>
      <c r="G479" s="94"/>
      <c r="H479" s="94"/>
      <c r="I479" s="94"/>
      <c r="J479" s="94"/>
      <c r="K479" s="94"/>
      <c r="L479" s="94"/>
      <c r="M479" s="26"/>
      <c r="N479" s="26"/>
      <c r="O479" s="55"/>
      <c r="P479" s="1"/>
      <c r="Q479" s="8"/>
      <c r="R479" s="8"/>
      <c r="S479" s="1"/>
      <c r="T479" s="8"/>
      <c r="U479" s="8"/>
      <c r="V479" s="56"/>
      <c r="W479" s="1"/>
      <c r="X479" s="1"/>
      <c r="Y479" s="8"/>
      <c r="Z479" s="8"/>
      <c r="AA479" s="8"/>
      <c r="AB479" s="8"/>
      <c r="AC479" s="8"/>
      <c r="AD479" s="8"/>
      <c r="AE479" s="8"/>
      <c r="AF479" s="8"/>
      <c r="AG479" s="8"/>
      <c r="AH479" s="8"/>
      <c r="AI479" s="8"/>
    </row>
    <row r="480" spans="1:35">
      <c r="A480" s="1"/>
      <c r="B480" s="94"/>
      <c r="C480" s="8"/>
      <c r="D480" s="8"/>
      <c r="E480" s="8"/>
      <c r="F480" s="94"/>
      <c r="G480" s="94"/>
      <c r="H480" s="94"/>
      <c r="I480" s="94"/>
      <c r="J480" s="94"/>
      <c r="K480" s="94"/>
      <c r="L480" s="94"/>
      <c r="M480" s="26"/>
      <c r="N480" s="26"/>
      <c r="O480" s="55"/>
      <c r="P480" s="1"/>
      <c r="Q480" s="8"/>
      <c r="R480" s="8"/>
      <c r="S480" s="1"/>
      <c r="T480" s="8"/>
      <c r="U480" s="8"/>
      <c r="V480" s="56"/>
      <c r="W480" s="1"/>
      <c r="X480" s="1"/>
      <c r="Y480" s="8"/>
      <c r="Z480" s="8"/>
      <c r="AA480" s="8"/>
      <c r="AB480" s="8"/>
      <c r="AC480" s="8"/>
      <c r="AD480" s="8"/>
      <c r="AE480" s="8"/>
      <c r="AF480" s="8"/>
      <c r="AG480" s="8"/>
      <c r="AH480" s="8"/>
      <c r="AI480" s="8"/>
    </row>
    <row r="481" spans="1:35">
      <c r="A481" s="1"/>
      <c r="B481" s="94"/>
      <c r="C481" s="8"/>
      <c r="D481" s="8"/>
      <c r="E481" s="8"/>
      <c r="F481" s="94"/>
      <c r="G481" s="94"/>
      <c r="H481" s="94"/>
      <c r="I481" s="94"/>
      <c r="J481" s="94"/>
      <c r="K481" s="94"/>
      <c r="L481" s="94"/>
      <c r="M481" s="26"/>
      <c r="N481" s="26"/>
      <c r="O481" s="55"/>
      <c r="P481" s="1"/>
      <c r="Q481" s="8"/>
      <c r="R481" s="8"/>
      <c r="S481" s="1"/>
      <c r="T481" s="8"/>
      <c r="U481" s="8"/>
      <c r="V481" s="56"/>
      <c r="W481" s="1"/>
      <c r="X481" s="1"/>
      <c r="Y481" s="8"/>
      <c r="Z481" s="8"/>
      <c r="AA481" s="8"/>
      <c r="AB481" s="8"/>
      <c r="AC481" s="8"/>
      <c r="AD481" s="8"/>
      <c r="AE481" s="8"/>
      <c r="AF481" s="8"/>
      <c r="AG481" s="8"/>
      <c r="AH481" s="8"/>
      <c r="AI481" s="8"/>
    </row>
    <row r="482" spans="1:35">
      <c r="A482" s="1"/>
      <c r="B482" s="94"/>
      <c r="C482" s="8"/>
      <c r="D482" s="8"/>
      <c r="E482" s="8"/>
      <c r="F482" s="94"/>
      <c r="G482" s="94"/>
      <c r="H482" s="94"/>
      <c r="I482" s="94"/>
      <c r="J482" s="94"/>
      <c r="K482" s="94"/>
      <c r="L482" s="94"/>
      <c r="M482" s="26"/>
      <c r="N482" s="26"/>
      <c r="O482" s="55"/>
      <c r="P482" s="1"/>
      <c r="Q482" s="8"/>
      <c r="R482" s="8"/>
      <c r="S482" s="1"/>
      <c r="T482" s="8"/>
      <c r="U482" s="8"/>
      <c r="V482" s="56"/>
      <c r="W482" s="1"/>
      <c r="X482" s="1"/>
      <c r="Y482" s="8"/>
      <c r="Z482" s="8"/>
      <c r="AA482" s="8"/>
      <c r="AB482" s="8"/>
      <c r="AC482" s="8"/>
      <c r="AD482" s="8"/>
      <c r="AE482" s="8"/>
      <c r="AF482" s="8"/>
      <c r="AG482" s="8"/>
      <c r="AH482" s="8"/>
      <c r="AI482" s="8"/>
    </row>
    <row r="483" spans="1:35">
      <c r="A483" s="1"/>
      <c r="B483" s="103"/>
      <c r="C483" s="8"/>
      <c r="D483" s="8"/>
      <c r="E483" s="8"/>
      <c r="F483" s="101"/>
      <c r="G483" s="101"/>
      <c r="H483" s="101"/>
      <c r="I483" s="101"/>
      <c r="J483" s="101"/>
      <c r="K483" s="101"/>
      <c r="L483" s="102"/>
      <c r="M483" s="26"/>
      <c r="N483" s="26"/>
      <c r="O483" s="55"/>
      <c r="P483" s="1"/>
      <c r="Q483" s="8"/>
      <c r="R483" s="8"/>
      <c r="S483" s="1"/>
      <c r="T483" s="8"/>
      <c r="U483" s="8"/>
      <c r="V483" s="56"/>
      <c r="W483" s="1"/>
      <c r="X483" s="1"/>
      <c r="Y483" s="8"/>
      <c r="Z483" s="8"/>
      <c r="AA483" s="8"/>
      <c r="AB483" s="8"/>
      <c r="AC483" s="8"/>
      <c r="AD483" s="8"/>
      <c r="AE483" s="8"/>
      <c r="AF483" s="8"/>
      <c r="AG483" s="8"/>
      <c r="AH483" s="8"/>
      <c r="AI483" s="8"/>
    </row>
    <row r="484" spans="1:35">
      <c r="A484" s="1"/>
      <c r="B484" s="94"/>
      <c r="C484" s="8"/>
      <c r="D484" s="8"/>
      <c r="E484" s="8"/>
      <c r="F484" s="94"/>
      <c r="G484" s="94"/>
      <c r="H484" s="94"/>
      <c r="I484" s="94"/>
      <c r="J484" s="94"/>
      <c r="K484" s="94"/>
      <c r="L484" s="94"/>
      <c r="M484" s="26"/>
      <c r="N484" s="26"/>
      <c r="O484" s="55"/>
      <c r="P484" s="1"/>
      <c r="Q484" s="8"/>
      <c r="R484" s="8"/>
      <c r="S484" s="1"/>
      <c r="T484" s="8"/>
      <c r="U484" s="8"/>
      <c r="V484" s="56"/>
      <c r="W484" s="1"/>
      <c r="X484" s="1"/>
      <c r="Y484" s="8"/>
      <c r="Z484" s="8"/>
      <c r="AA484" s="8"/>
      <c r="AB484" s="8"/>
      <c r="AC484" s="8"/>
      <c r="AD484" s="8"/>
      <c r="AE484" s="8"/>
      <c r="AF484" s="8"/>
      <c r="AG484" s="8"/>
      <c r="AH484" s="8"/>
      <c r="AI484" s="8"/>
    </row>
    <row r="485" spans="1:35">
      <c r="A485" s="1"/>
      <c r="B485" s="94"/>
      <c r="C485" s="8"/>
      <c r="D485" s="8"/>
      <c r="E485" s="8"/>
      <c r="F485" s="94"/>
      <c r="G485" s="94"/>
      <c r="H485" s="94"/>
      <c r="I485" s="94"/>
      <c r="J485" s="94"/>
      <c r="K485" s="94"/>
      <c r="L485" s="94"/>
      <c r="M485" s="26"/>
      <c r="N485" s="26"/>
      <c r="O485" s="55"/>
      <c r="P485" s="1"/>
      <c r="Q485" s="8"/>
      <c r="R485" s="8"/>
      <c r="S485" s="1"/>
      <c r="T485" s="8"/>
      <c r="U485" s="8"/>
      <c r="V485" s="56"/>
      <c r="W485" s="1"/>
      <c r="X485" s="1"/>
      <c r="Y485" s="8"/>
      <c r="Z485" s="8"/>
      <c r="AA485" s="8"/>
      <c r="AB485" s="8"/>
      <c r="AC485" s="8"/>
      <c r="AD485" s="8"/>
      <c r="AE485" s="8"/>
      <c r="AF485" s="8"/>
      <c r="AG485" s="8"/>
      <c r="AH485" s="8"/>
      <c r="AI485" s="8"/>
    </row>
    <row r="486" spans="1:35">
      <c r="A486" s="1"/>
      <c r="B486" s="94"/>
      <c r="C486" s="8"/>
      <c r="D486" s="8"/>
      <c r="E486" s="8"/>
      <c r="F486" s="94"/>
      <c r="G486" s="94"/>
      <c r="H486" s="94"/>
      <c r="I486" s="94"/>
      <c r="J486" s="94"/>
      <c r="K486" s="94"/>
      <c r="L486" s="94"/>
      <c r="M486" s="26"/>
      <c r="N486" s="26"/>
      <c r="O486" s="55"/>
      <c r="P486" s="1"/>
      <c r="Q486" s="8"/>
      <c r="R486" s="8"/>
      <c r="S486" s="1"/>
      <c r="T486" s="8"/>
      <c r="U486" s="8"/>
      <c r="V486" s="56"/>
      <c r="W486" s="1"/>
      <c r="X486" s="1"/>
      <c r="Y486" s="8"/>
      <c r="Z486" s="8"/>
      <c r="AA486" s="8"/>
      <c r="AB486" s="8"/>
      <c r="AC486" s="8"/>
      <c r="AD486" s="8"/>
      <c r="AE486" s="8"/>
      <c r="AF486" s="8"/>
      <c r="AG486" s="8"/>
      <c r="AH486" s="8"/>
      <c r="AI486" s="8"/>
    </row>
    <row r="487" spans="1:35">
      <c r="A487" s="1"/>
      <c r="B487" s="94"/>
      <c r="C487" s="8"/>
      <c r="D487" s="8"/>
      <c r="E487" s="8"/>
      <c r="F487" s="94"/>
      <c r="G487" s="94"/>
      <c r="H487" s="94"/>
      <c r="I487" s="94"/>
      <c r="J487" s="94"/>
      <c r="K487" s="94"/>
      <c r="L487" s="94"/>
      <c r="M487" s="26"/>
      <c r="N487" s="26"/>
      <c r="O487" s="55"/>
      <c r="P487" s="1"/>
      <c r="Q487" s="8"/>
      <c r="R487" s="8"/>
      <c r="S487" s="1"/>
      <c r="T487" s="8"/>
      <c r="U487" s="8"/>
      <c r="V487" s="56"/>
      <c r="W487" s="1"/>
      <c r="X487" s="1"/>
      <c r="Y487" s="8"/>
      <c r="Z487" s="8"/>
      <c r="AA487" s="8"/>
      <c r="AB487" s="8"/>
      <c r="AC487" s="8"/>
      <c r="AD487" s="8"/>
      <c r="AE487" s="8"/>
      <c r="AF487" s="8"/>
      <c r="AG487" s="8"/>
      <c r="AH487" s="8"/>
      <c r="AI487" s="8"/>
    </row>
    <row r="488" spans="1:35">
      <c r="A488" s="1"/>
      <c r="B488" s="103"/>
      <c r="C488" s="8"/>
      <c r="D488" s="8"/>
      <c r="E488" s="8"/>
      <c r="F488" s="101"/>
      <c r="G488" s="101"/>
      <c r="H488" s="101"/>
      <c r="I488" s="101"/>
      <c r="J488" s="101"/>
      <c r="K488" s="101"/>
      <c r="L488" s="102"/>
      <c r="M488" s="26"/>
      <c r="N488" s="26"/>
      <c r="O488" s="55"/>
      <c r="P488" s="1"/>
      <c r="Q488" s="8"/>
      <c r="R488" s="8"/>
      <c r="S488" s="1"/>
      <c r="T488" s="8"/>
      <c r="U488" s="8"/>
      <c r="V488" s="56"/>
      <c r="W488" s="1"/>
      <c r="X488" s="1"/>
      <c r="Y488" s="8"/>
      <c r="Z488" s="8"/>
      <c r="AA488" s="8"/>
      <c r="AB488" s="8"/>
      <c r="AC488" s="8"/>
      <c r="AD488" s="8"/>
      <c r="AE488" s="8"/>
      <c r="AF488" s="8"/>
      <c r="AG488" s="8"/>
      <c r="AH488" s="8"/>
      <c r="AI488" s="8"/>
    </row>
    <row r="489" spans="1:35">
      <c r="A489" s="1"/>
      <c r="B489" s="94"/>
      <c r="C489" s="8"/>
      <c r="D489" s="8"/>
      <c r="E489" s="8"/>
      <c r="F489" s="94"/>
      <c r="G489" s="94"/>
      <c r="H489" s="94"/>
      <c r="I489" s="94"/>
      <c r="J489" s="94"/>
      <c r="K489" s="94"/>
      <c r="L489" s="94"/>
      <c r="M489" s="26"/>
      <c r="N489" s="26"/>
      <c r="O489" s="55"/>
      <c r="P489" s="1"/>
      <c r="Q489" s="8"/>
      <c r="R489" s="8"/>
      <c r="S489" s="1"/>
      <c r="T489" s="8"/>
      <c r="U489" s="8"/>
      <c r="V489" s="56"/>
      <c r="W489" s="1"/>
      <c r="X489" s="1"/>
      <c r="Y489" s="8"/>
      <c r="Z489" s="8"/>
      <c r="AA489" s="8"/>
      <c r="AB489" s="8"/>
      <c r="AC489" s="8"/>
      <c r="AD489" s="8"/>
      <c r="AE489" s="8"/>
      <c r="AF489" s="8"/>
      <c r="AG489" s="8"/>
      <c r="AH489" s="8"/>
      <c r="AI489" s="8"/>
    </row>
    <row r="490" spans="1:35">
      <c r="A490" s="1"/>
      <c r="B490" s="94"/>
      <c r="C490" s="8"/>
      <c r="D490" s="8"/>
      <c r="E490" s="8"/>
      <c r="F490" s="94"/>
      <c r="G490" s="94"/>
      <c r="H490" s="94"/>
      <c r="I490" s="94"/>
      <c r="J490" s="94"/>
      <c r="K490" s="94"/>
      <c r="L490" s="94"/>
      <c r="M490" s="26"/>
      <c r="N490" s="26"/>
      <c r="O490" s="55"/>
      <c r="P490" s="1"/>
      <c r="Q490" s="8"/>
      <c r="R490" s="8"/>
      <c r="S490" s="1"/>
      <c r="T490" s="8"/>
      <c r="U490" s="8"/>
      <c r="V490" s="56"/>
      <c r="W490" s="1"/>
      <c r="X490" s="1"/>
      <c r="Y490" s="8"/>
      <c r="Z490" s="8"/>
      <c r="AA490" s="8"/>
      <c r="AB490" s="8"/>
      <c r="AC490" s="8"/>
      <c r="AD490" s="8"/>
      <c r="AE490" s="8"/>
      <c r="AF490" s="8"/>
      <c r="AG490" s="8"/>
      <c r="AH490" s="8"/>
      <c r="AI490" s="8"/>
    </row>
    <row r="491" spans="1:35">
      <c r="A491" s="1"/>
      <c r="B491" s="94"/>
      <c r="C491" s="8"/>
      <c r="D491" s="8"/>
      <c r="E491" s="8"/>
      <c r="F491" s="94"/>
      <c r="G491" s="94"/>
      <c r="H491" s="94"/>
      <c r="I491" s="94"/>
      <c r="J491" s="94"/>
      <c r="K491" s="94"/>
      <c r="L491" s="94"/>
      <c r="M491" s="26"/>
      <c r="N491" s="26"/>
      <c r="O491" s="55"/>
      <c r="P491" s="1"/>
      <c r="Q491" s="8"/>
      <c r="R491" s="8"/>
      <c r="S491" s="1"/>
      <c r="T491" s="8"/>
      <c r="U491" s="8"/>
      <c r="V491" s="56"/>
      <c r="W491" s="1"/>
      <c r="X491" s="1"/>
      <c r="Y491" s="8"/>
      <c r="Z491" s="8"/>
      <c r="AA491" s="8"/>
      <c r="AB491" s="8"/>
      <c r="AC491" s="8"/>
      <c r="AD491" s="8"/>
      <c r="AE491" s="8"/>
      <c r="AF491" s="8"/>
      <c r="AG491" s="8"/>
      <c r="AH491" s="8"/>
      <c r="AI491" s="8"/>
    </row>
    <row r="492" spans="1:35">
      <c r="A492" s="1"/>
      <c r="B492" s="94"/>
      <c r="C492" s="8"/>
      <c r="D492" s="8"/>
      <c r="E492" s="8"/>
      <c r="F492" s="94"/>
      <c r="G492" s="94"/>
      <c r="H492" s="94"/>
      <c r="I492" s="94"/>
      <c r="J492" s="94"/>
      <c r="K492" s="94"/>
      <c r="L492" s="94"/>
      <c r="M492" s="26"/>
      <c r="N492" s="26"/>
      <c r="O492" s="55"/>
      <c r="P492" s="1"/>
      <c r="Q492" s="8"/>
      <c r="R492" s="8"/>
      <c r="S492" s="1"/>
      <c r="T492" s="8"/>
      <c r="U492" s="8"/>
      <c r="V492" s="56"/>
      <c r="W492" s="1"/>
      <c r="X492" s="1"/>
      <c r="Y492" s="8"/>
      <c r="Z492" s="8"/>
      <c r="AA492" s="8"/>
      <c r="AB492" s="8"/>
      <c r="AC492" s="8"/>
      <c r="AD492" s="8"/>
      <c r="AE492" s="8"/>
      <c r="AF492" s="8"/>
      <c r="AG492" s="8"/>
      <c r="AH492" s="8"/>
      <c r="AI492" s="8"/>
    </row>
    <row r="493" spans="1:35">
      <c r="A493" s="1"/>
      <c r="B493" s="103"/>
      <c r="C493" s="8"/>
      <c r="D493" s="8"/>
      <c r="E493" s="8"/>
      <c r="F493" s="101"/>
      <c r="G493" s="101"/>
      <c r="H493" s="101"/>
      <c r="I493" s="101"/>
      <c r="J493" s="101"/>
      <c r="K493" s="101"/>
      <c r="L493" s="102"/>
      <c r="M493" s="26"/>
      <c r="N493" s="26"/>
      <c r="O493" s="55"/>
      <c r="P493" s="1"/>
      <c r="Q493" s="8"/>
      <c r="R493" s="8"/>
      <c r="S493" s="1"/>
      <c r="T493" s="8"/>
      <c r="U493" s="8"/>
      <c r="V493" s="56"/>
      <c r="W493" s="1"/>
      <c r="X493" s="1"/>
      <c r="Y493" s="8"/>
      <c r="Z493" s="8"/>
      <c r="AA493" s="8"/>
      <c r="AB493" s="8"/>
      <c r="AC493" s="8"/>
      <c r="AD493" s="8"/>
      <c r="AE493" s="8"/>
      <c r="AF493" s="8"/>
      <c r="AG493" s="8"/>
      <c r="AH493" s="8"/>
      <c r="AI493" s="8"/>
    </row>
    <row r="494" spans="1:35">
      <c r="A494" s="1"/>
      <c r="B494" s="94"/>
      <c r="C494" s="8"/>
      <c r="D494" s="8"/>
      <c r="E494" s="8"/>
      <c r="F494" s="94"/>
      <c r="G494" s="94"/>
      <c r="H494" s="94"/>
      <c r="I494" s="94"/>
      <c r="J494" s="94"/>
      <c r="K494" s="94"/>
      <c r="L494" s="94"/>
      <c r="M494" s="26"/>
      <c r="N494" s="26"/>
      <c r="O494" s="55"/>
      <c r="P494" s="1"/>
      <c r="Q494" s="8"/>
      <c r="R494" s="8"/>
      <c r="S494" s="1"/>
      <c r="T494" s="8"/>
      <c r="U494" s="8"/>
      <c r="V494" s="56"/>
      <c r="W494" s="1"/>
      <c r="X494" s="1"/>
      <c r="Y494" s="8"/>
      <c r="Z494" s="8"/>
      <c r="AA494" s="8"/>
      <c r="AB494" s="8"/>
      <c r="AC494" s="8"/>
      <c r="AD494" s="8"/>
      <c r="AE494" s="8"/>
      <c r="AF494" s="8"/>
      <c r="AG494" s="8"/>
      <c r="AH494" s="8"/>
      <c r="AI494" s="8"/>
    </row>
    <row r="495" spans="1:35">
      <c r="A495" s="1"/>
      <c r="B495" s="94"/>
      <c r="C495" s="8"/>
      <c r="D495" s="8"/>
      <c r="E495" s="8"/>
      <c r="F495" s="94"/>
      <c r="G495" s="94"/>
      <c r="H495" s="94"/>
      <c r="I495" s="94"/>
      <c r="J495" s="94"/>
      <c r="K495" s="94"/>
      <c r="L495" s="94"/>
      <c r="M495" s="26"/>
      <c r="N495" s="26"/>
      <c r="O495" s="55"/>
      <c r="P495" s="1"/>
      <c r="Q495" s="8"/>
      <c r="R495" s="8"/>
      <c r="S495" s="1"/>
      <c r="T495" s="8"/>
      <c r="U495" s="8"/>
      <c r="V495" s="56"/>
      <c r="W495" s="1"/>
      <c r="X495" s="1"/>
      <c r="Y495" s="8"/>
      <c r="Z495" s="8"/>
      <c r="AA495" s="8"/>
      <c r="AB495" s="8"/>
      <c r="AC495" s="8"/>
      <c r="AD495" s="8"/>
      <c r="AE495" s="8"/>
      <c r="AF495" s="8"/>
      <c r="AG495" s="8"/>
      <c r="AH495" s="8"/>
      <c r="AI495" s="8"/>
    </row>
    <row r="496" spans="1:35">
      <c r="A496" s="1"/>
      <c r="B496" s="94"/>
      <c r="C496" s="8"/>
      <c r="D496" s="8"/>
      <c r="E496" s="8"/>
      <c r="F496" s="94"/>
      <c r="G496" s="94"/>
      <c r="H496" s="94"/>
      <c r="I496" s="94"/>
      <c r="J496" s="94"/>
      <c r="K496" s="94"/>
      <c r="L496" s="94"/>
      <c r="M496" s="26"/>
      <c r="N496" s="26"/>
      <c r="O496" s="55"/>
      <c r="P496" s="1"/>
      <c r="Q496" s="8"/>
      <c r="R496" s="8"/>
      <c r="S496" s="1"/>
      <c r="T496" s="8"/>
      <c r="U496" s="8"/>
      <c r="V496" s="56"/>
      <c r="W496" s="1"/>
      <c r="X496" s="1"/>
      <c r="Y496" s="8"/>
      <c r="Z496" s="8"/>
      <c r="AA496" s="8"/>
      <c r="AB496" s="8"/>
      <c r="AC496" s="8"/>
      <c r="AD496" s="8"/>
      <c r="AE496" s="8"/>
      <c r="AF496" s="8"/>
      <c r="AG496" s="8"/>
      <c r="AH496" s="8"/>
      <c r="AI496" s="8"/>
    </row>
    <row r="497" spans="1:35">
      <c r="A497" s="1"/>
      <c r="B497" s="94"/>
      <c r="C497" s="8"/>
      <c r="D497" s="8"/>
      <c r="E497" s="8"/>
      <c r="F497" s="94"/>
      <c r="G497" s="94"/>
      <c r="H497" s="94"/>
      <c r="I497" s="94"/>
      <c r="J497" s="94"/>
      <c r="K497" s="94"/>
      <c r="L497" s="94"/>
      <c r="M497" s="26"/>
      <c r="N497" s="26"/>
      <c r="O497" s="55"/>
      <c r="P497" s="1"/>
      <c r="Q497" s="8"/>
      <c r="R497" s="8"/>
      <c r="S497" s="1"/>
      <c r="T497" s="8"/>
      <c r="U497" s="8"/>
      <c r="V497" s="56"/>
      <c r="W497" s="1"/>
      <c r="X497" s="1"/>
      <c r="Y497" s="8"/>
      <c r="Z497" s="8"/>
      <c r="AA497" s="8"/>
      <c r="AB497" s="8"/>
      <c r="AC497" s="8"/>
      <c r="AD497" s="8"/>
      <c r="AE497" s="8"/>
      <c r="AF497" s="8"/>
      <c r="AG497" s="8"/>
      <c r="AH497" s="8"/>
      <c r="AI497" s="8"/>
    </row>
    <row r="498" spans="1:35">
      <c r="A498" s="1"/>
      <c r="B498" s="103"/>
      <c r="C498" s="8"/>
      <c r="D498" s="8"/>
      <c r="E498" s="8"/>
      <c r="F498" s="101"/>
      <c r="G498" s="101"/>
      <c r="H498" s="101"/>
      <c r="I498" s="101"/>
      <c r="J498" s="101"/>
      <c r="K498" s="101"/>
      <c r="L498" s="102"/>
      <c r="M498" s="26"/>
      <c r="N498" s="26"/>
      <c r="O498" s="55"/>
      <c r="P498" s="1"/>
      <c r="Q498" s="8"/>
      <c r="R498" s="8"/>
      <c r="S498" s="1"/>
      <c r="T498" s="8"/>
      <c r="U498" s="8"/>
      <c r="V498" s="56"/>
      <c r="W498" s="1"/>
      <c r="X498" s="1"/>
      <c r="Y498" s="8"/>
      <c r="Z498" s="8"/>
      <c r="AA498" s="8"/>
      <c r="AB498" s="8"/>
      <c r="AC498" s="8"/>
      <c r="AD498" s="8"/>
      <c r="AE498" s="8"/>
      <c r="AF498" s="8"/>
      <c r="AG498" s="8"/>
      <c r="AH498" s="8"/>
      <c r="AI498" s="8"/>
    </row>
    <row r="499" spans="1:35">
      <c r="A499" s="1"/>
      <c r="B499" s="94"/>
      <c r="C499" s="8"/>
      <c r="D499" s="8"/>
      <c r="E499" s="8"/>
      <c r="F499" s="94"/>
      <c r="G499" s="94"/>
      <c r="H499" s="94"/>
      <c r="I499" s="94"/>
      <c r="J499" s="94"/>
      <c r="K499" s="94"/>
      <c r="L499" s="94"/>
      <c r="M499" s="26"/>
      <c r="N499" s="26"/>
      <c r="O499" s="55"/>
      <c r="P499" s="1"/>
      <c r="Q499" s="8"/>
      <c r="R499" s="8"/>
      <c r="S499" s="1"/>
      <c r="T499" s="8"/>
      <c r="U499" s="8"/>
      <c r="V499" s="56"/>
      <c r="W499" s="1"/>
      <c r="X499" s="1"/>
      <c r="Y499" s="8"/>
      <c r="Z499" s="8"/>
      <c r="AA499" s="8"/>
      <c r="AB499" s="8"/>
      <c r="AC499" s="8"/>
      <c r="AD499" s="8"/>
      <c r="AE499" s="8"/>
      <c r="AF499" s="8"/>
      <c r="AG499" s="8"/>
      <c r="AH499" s="8"/>
      <c r="AI499" s="8"/>
    </row>
    <row r="500" spans="1:35">
      <c r="A500" s="1"/>
      <c r="B500" s="94"/>
      <c r="C500" s="8"/>
      <c r="D500" s="8"/>
      <c r="E500" s="8"/>
      <c r="F500" s="94"/>
      <c r="G500" s="94"/>
      <c r="H500" s="94"/>
      <c r="I500" s="94"/>
      <c r="J500" s="94"/>
      <c r="K500" s="94"/>
      <c r="L500" s="94"/>
      <c r="M500" s="26"/>
      <c r="N500" s="26"/>
      <c r="O500" s="55"/>
      <c r="P500" s="1"/>
      <c r="Q500" s="8"/>
      <c r="R500" s="8"/>
      <c r="S500" s="1"/>
      <c r="T500" s="8"/>
      <c r="U500" s="8"/>
      <c r="V500" s="56"/>
      <c r="W500" s="1"/>
      <c r="X500" s="1"/>
      <c r="Y500" s="8"/>
      <c r="Z500" s="8"/>
      <c r="AA500" s="8"/>
      <c r="AB500" s="8"/>
      <c r="AC500" s="8"/>
      <c r="AD500" s="8"/>
      <c r="AE500" s="8"/>
      <c r="AF500" s="8"/>
      <c r="AG500" s="8"/>
      <c r="AH500" s="8"/>
      <c r="AI500" s="8"/>
    </row>
    <row r="501" spans="1:35">
      <c r="A501" s="1"/>
      <c r="B501" s="94"/>
      <c r="C501" s="8"/>
      <c r="D501" s="8"/>
      <c r="E501" s="8"/>
      <c r="F501" s="94"/>
      <c r="G501" s="94"/>
      <c r="H501" s="94"/>
      <c r="I501" s="94"/>
      <c r="J501" s="94"/>
      <c r="K501" s="94"/>
      <c r="L501" s="94"/>
      <c r="M501" s="26"/>
      <c r="N501" s="26"/>
      <c r="O501" s="55"/>
      <c r="P501" s="1"/>
      <c r="Q501" s="8"/>
      <c r="R501" s="8"/>
      <c r="S501" s="1"/>
      <c r="T501" s="8"/>
      <c r="U501" s="8"/>
      <c r="V501" s="56"/>
      <c r="W501" s="1"/>
      <c r="X501" s="1"/>
      <c r="Y501" s="8"/>
      <c r="Z501" s="8"/>
      <c r="AA501" s="8"/>
      <c r="AB501" s="8"/>
      <c r="AC501" s="8"/>
      <c r="AD501" s="8"/>
      <c r="AE501" s="8"/>
      <c r="AF501" s="8"/>
      <c r="AG501" s="8"/>
      <c r="AH501" s="8"/>
      <c r="AI501" s="8"/>
    </row>
    <row r="502" spans="1:35">
      <c r="A502" s="1"/>
      <c r="B502" s="94"/>
      <c r="C502" s="8"/>
      <c r="D502" s="8"/>
      <c r="E502" s="8"/>
      <c r="F502" s="94"/>
      <c r="G502" s="94"/>
      <c r="H502" s="94"/>
      <c r="I502" s="94"/>
      <c r="J502" s="94"/>
      <c r="K502" s="94"/>
      <c r="L502" s="94"/>
      <c r="M502" s="26"/>
      <c r="N502" s="26"/>
      <c r="O502" s="55"/>
      <c r="P502" s="1"/>
      <c r="Q502" s="8"/>
      <c r="R502" s="8"/>
      <c r="S502" s="1"/>
      <c r="T502" s="8"/>
      <c r="U502" s="8"/>
      <c r="V502" s="56"/>
      <c r="W502" s="1"/>
      <c r="X502" s="1"/>
      <c r="Y502" s="8"/>
      <c r="Z502" s="8"/>
      <c r="AA502" s="8"/>
      <c r="AB502" s="8"/>
      <c r="AC502" s="8"/>
      <c r="AD502" s="8"/>
      <c r="AE502" s="8"/>
      <c r="AF502" s="8"/>
      <c r="AG502" s="8"/>
      <c r="AH502" s="8"/>
      <c r="AI502" s="8"/>
    </row>
    <row r="503" spans="1:35">
      <c r="A503" s="1"/>
      <c r="B503" s="103"/>
      <c r="C503" s="8"/>
      <c r="D503" s="8"/>
      <c r="E503" s="8"/>
      <c r="F503" s="101"/>
      <c r="G503" s="101"/>
      <c r="H503" s="101"/>
      <c r="I503" s="101"/>
      <c r="J503" s="101"/>
      <c r="K503" s="101"/>
      <c r="L503" s="102"/>
      <c r="M503" s="26"/>
      <c r="N503" s="26"/>
      <c r="O503" s="55"/>
      <c r="P503" s="1"/>
      <c r="Q503" s="8"/>
      <c r="R503" s="8"/>
      <c r="S503" s="1"/>
      <c r="T503" s="8"/>
      <c r="U503" s="8"/>
      <c r="V503" s="56"/>
      <c r="W503" s="1"/>
      <c r="X503" s="1"/>
      <c r="Y503" s="8"/>
      <c r="Z503" s="8"/>
      <c r="AA503" s="8"/>
      <c r="AB503" s="8"/>
      <c r="AC503" s="8"/>
      <c r="AD503" s="8"/>
      <c r="AE503" s="8"/>
      <c r="AF503" s="8"/>
      <c r="AG503" s="8"/>
      <c r="AH503" s="8"/>
      <c r="AI503" s="8"/>
    </row>
    <row r="504" spans="1:35">
      <c r="A504" s="1"/>
      <c r="B504" s="94"/>
      <c r="C504" s="8"/>
      <c r="D504" s="8"/>
      <c r="E504" s="8"/>
      <c r="F504" s="94"/>
      <c r="G504" s="94"/>
      <c r="H504" s="94"/>
      <c r="I504" s="94"/>
      <c r="J504" s="94"/>
      <c r="K504" s="94"/>
      <c r="L504" s="94"/>
      <c r="M504" s="26"/>
      <c r="N504" s="26"/>
      <c r="O504" s="55"/>
      <c r="P504" s="1"/>
      <c r="Q504" s="8"/>
      <c r="R504" s="8"/>
      <c r="S504" s="1"/>
      <c r="T504" s="8"/>
      <c r="U504" s="8"/>
      <c r="V504" s="56"/>
      <c r="W504" s="1"/>
      <c r="X504" s="1"/>
      <c r="Y504" s="8"/>
      <c r="Z504" s="8"/>
      <c r="AA504" s="8"/>
      <c r="AB504" s="8"/>
      <c r="AC504" s="8"/>
      <c r="AD504" s="8"/>
      <c r="AE504" s="8"/>
      <c r="AF504" s="8"/>
      <c r="AG504" s="8"/>
      <c r="AH504" s="8"/>
      <c r="AI504" s="8"/>
    </row>
    <row r="505" spans="1:35">
      <c r="A505" s="1"/>
      <c r="B505" s="94"/>
      <c r="C505" s="8"/>
      <c r="D505" s="8"/>
      <c r="E505" s="8"/>
      <c r="F505" s="94"/>
      <c r="G505" s="94"/>
      <c r="H505" s="94"/>
      <c r="I505" s="94"/>
      <c r="J505" s="94"/>
      <c r="K505" s="94"/>
      <c r="L505" s="94"/>
      <c r="M505" s="26"/>
      <c r="N505" s="26"/>
      <c r="O505" s="55"/>
      <c r="P505" s="1"/>
      <c r="Q505" s="8"/>
      <c r="R505" s="8"/>
      <c r="S505" s="1"/>
      <c r="T505" s="8"/>
      <c r="U505" s="8"/>
      <c r="V505" s="56"/>
      <c r="W505" s="1"/>
      <c r="X505" s="1"/>
      <c r="Y505" s="8"/>
      <c r="Z505" s="8"/>
      <c r="AA505" s="8"/>
      <c r="AB505" s="8"/>
      <c r="AC505" s="8"/>
      <c r="AD505" s="8"/>
      <c r="AE505" s="8"/>
      <c r="AF505" s="8"/>
      <c r="AG505" s="8"/>
      <c r="AH505" s="8"/>
      <c r="AI505" s="8"/>
    </row>
    <row r="506" spans="1:35">
      <c r="A506" s="1"/>
      <c r="B506" s="94"/>
      <c r="C506" s="8"/>
      <c r="D506" s="8"/>
      <c r="E506" s="8"/>
      <c r="F506" s="94"/>
      <c r="G506" s="94"/>
      <c r="H506" s="94"/>
      <c r="I506" s="94"/>
      <c r="J506" s="94"/>
      <c r="K506" s="94"/>
      <c r="L506" s="94"/>
      <c r="M506" s="26"/>
      <c r="N506" s="26"/>
      <c r="O506" s="55"/>
      <c r="P506" s="1"/>
      <c r="Q506" s="8"/>
      <c r="R506" s="8"/>
      <c r="S506" s="1"/>
      <c r="T506" s="8"/>
      <c r="U506" s="8"/>
      <c r="V506" s="56"/>
      <c r="W506" s="1"/>
      <c r="X506" s="1"/>
      <c r="Y506" s="8"/>
      <c r="Z506" s="8"/>
      <c r="AA506" s="8"/>
      <c r="AB506" s="8"/>
      <c r="AC506" s="8"/>
      <c r="AD506" s="8"/>
      <c r="AE506" s="8"/>
      <c r="AF506" s="8"/>
      <c r="AG506" s="8"/>
      <c r="AH506" s="8"/>
      <c r="AI506" s="8"/>
    </row>
    <row r="507" spans="1:35">
      <c r="A507" s="1"/>
      <c r="B507" s="94"/>
      <c r="C507" s="8"/>
      <c r="D507" s="8"/>
      <c r="E507" s="8"/>
      <c r="F507" s="94"/>
      <c r="G507" s="94"/>
      <c r="H507" s="94"/>
      <c r="I507" s="94"/>
      <c r="J507" s="94"/>
      <c r="K507" s="94"/>
      <c r="L507" s="94"/>
      <c r="M507" s="26"/>
      <c r="N507" s="26"/>
      <c r="O507" s="55"/>
      <c r="P507" s="1"/>
      <c r="Q507" s="8"/>
      <c r="R507" s="8"/>
      <c r="S507" s="1"/>
      <c r="T507" s="8"/>
      <c r="U507" s="8"/>
      <c r="V507" s="56"/>
      <c r="W507" s="1"/>
      <c r="X507" s="1"/>
      <c r="Y507" s="8"/>
      <c r="Z507" s="8"/>
      <c r="AA507" s="8"/>
      <c r="AB507" s="8"/>
      <c r="AC507" s="8"/>
      <c r="AD507" s="8"/>
      <c r="AE507" s="8"/>
      <c r="AF507" s="8"/>
      <c r="AG507" s="8"/>
      <c r="AH507" s="8"/>
      <c r="AI507" s="8"/>
    </row>
    <row r="508" spans="1:35">
      <c r="A508" s="1"/>
      <c r="B508" s="103"/>
      <c r="C508" s="8"/>
      <c r="D508" s="8"/>
      <c r="E508" s="8"/>
      <c r="F508" s="101"/>
      <c r="G508" s="101"/>
      <c r="H508" s="101"/>
      <c r="I508" s="101"/>
      <c r="J508" s="101"/>
      <c r="K508" s="101"/>
      <c r="L508" s="102"/>
      <c r="M508" s="26"/>
      <c r="N508" s="26"/>
      <c r="O508" s="55"/>
      <c r="P508" s="1"/>
      <c r="Q508" s="8"/>
      <c r="R508" s="8"/>
      <c r="S508" s="1"/>
      <c r="T508" s="8"/>
      <c r="U508" s="8"/>
      <c r="V508" s="56"/>
      <c r="W508" s="1"/>
      <c r="X508" s="1"/>
      <c r="Y508" s="8"/>
      <c r="Z508" s="8"/>
      <c r="AA508" s="8"/>
      <c r="AB508" s="8"/>
      <c r="AC508" s="8"/>
      <c r="AD508" s="8"/>
      <c r="AE508" s="8"/>
      <c r="AF508" s="8"/>
      <c r="AG508" s="8"/>
      <c r="AH508" s="8"/>
      <c r="AI508" s="8"/>
    </row>
    <row r="509" spans="1:35">
      <c r="A509" s="1"/>
      <c r="B509" s="94"/>
      <c r="C509" s="8"/>
      <c r="D509" s="8"/>
      <c r="E509" s="8"/>
      <c r="F509" s="94"/>
      <c r="G509" s="94"/>
      <c r="H509" s="94"/>
      <c r="I509" s="94"/>
      <c r="J509" s="94"/>
      <c r="K509" s="94"/>
      <c r="L509" s="94"/>
      <c r="M509" s="26"/>
      <c r="N509" s="26"/>
      <c r="O509" s="55"/>
      <c r="P509" s="1"/>
      <c r="Q509" s="8"/>
      <c r="R509" s="8"/>
      <c r="S509" s="1"/>
      <c r="T509" s="8"/>
      <c r="U509" s="8"/>
      <c r="V509" s="56"/>
      <c r="W509" s="1"/>
      <c r="X509" s="1"/>
      <c r="Y509" s="8"/>
      <c r="Z509" s="8"/>
      <c r="AA509" s="8"/>
      <c r="AB509" s="8"/>
      <c r="AC509" s="8"/>
      <c r="AD509" s="8"/>
      <c r="AE509" s="8"/>
      <c r="AF509" s="8"/>
      <c r="AG509" s="8"/>
      <c r="AH509" s="8"/>
      <c r="AI509" s="8"/>
    </row>
    <row r="510" spans="1:35">
      <c r="A510" s="1"/>
      <c r="B510" s="94"/>
      <c r="C510" s="8"/>
      <c r="D510" s="8"/>
      <c r="E510" s="8"/>
      <c r="F510" s="94"/>
      <c r="G510" s="94"/>
      <c r="H510" s="94"/>
      <c r="I510" s="94"/>
      <c r="J510" s="94"/>
      <c r="K510" s="94"/>
      <c r="L510" s="94"/>
      <c r="M510" s="26"/>
      <c r="N510" s="26"/>
      <c r="O510" s="55"/>
      <c r="P510" s="1"/>
      <c r="Q510" s="8"/>
      <c r="R510" s="8"/>
      <c r="S510" s="1"/>
      <c r="T510" s="8"/>
      <c r="U510" s="8"/>
      <c r="V510" s="56"/>
      <c r="W510" s="1"/>
      <c r="X510" s="1"/>
      <c r="Y510" s="8"/>
      <c r="Z510" s="8"/>
      <c r="AA510" s="8"/>
      <c r="AB510" s="8"/>
      <c r="AC510" s="8"/>
      <c r="AD510" s="8"/>
      <c r="AE510" s="8"/>
      <c r="AF510" s="8"/>
      <c r="AG510" s="8"/>
      <c r="AH510" s="8"/>
      <c r="AI510" s="8"/>
    </row>
    <row r="511" spans="1:35">
      <c r="A511" s="1"/>
      <c r="B511" s="94"/>
      <c r="C511" s="8"/>
      <c r="D511" s="8"/>
      <c r="E511" s="8"/>
      <c r="F511" s="94"/>
      <c r="G511" s="94"/>
      <c r="H511" s="94"/>
      <c r="I511" s="94"/>
      <c r="J511" s="94"/>
      <c r="K511" s="94"/>
      <c r="L511" s="94"/>
      <c r="M511" s="26"/>
      <c r="N511" s="26"/>
      <c r="O511" s="55"/>
      <c r="P511" s="1"/>
      <c r="Q511" s="8"/>
      <c r="R511" s="8"/>
      <c r="S511" s="1"/>
      <c r="T511" s="8"/>
      <c r="U511" s="8"/>
      <c r="V511" s="56"/>
      <c r="W511" s="1"/>
      <c r="X511" s="1"/>
      <c r="Y511" s="8"/>
      <c r="Z511" s="8"/>
      <c r="AA511" s="8"/>
      <c r="AB511" s="8"/>
      <c r="AC511" s="8"/>
      <c r="AD511" s="8"/>
      <c r="AE511" s="8"/>
      <c r="AF511" s="8"/>
      <c r="AG511" s="8"/>
      <c r="AH511" s="8"/>
      <c r="AI511" s="8"/>
    </row>
    <row r="512" spans="1:35">
      <c r="A512" s="1"/>
      <c r="B512" s="94"/>
      <c r="C512" s="8"/>
      <c r="D512" s="8"/>
      <c r="E512" s="8"/>
      <c r="F512" s="94"/>
      <c r="G512" s="94"/>
      <c r="H512" s="94"/>
      <c r="I512" s="94"/>
      <c r="J512" s="94"/>
      <c r="K512" s="94"/>
      <c r="L512" s="94"/>
      <c r="M512" s="26"/>
      <c r="N512" s="26"/>
      <c r="O512" s="55"/>
      <c r="P512" s="1"/>
      <c r="Q512" s="8"/>
      <c r="R512" s="8"/>
      <c r="S512" s="1"/>
      <c r="T512" s="8"/>
      <c r="U512" s="8"/>
      <c r="V512" s="56"/>
      <c r="W512" s="1"/>
      <c r="X512" s="1"/>
      <c r="Y512" s="8"/>
      <c r="Z512" s="8"/>
      <c r="AA512" s="8"/>
      <c r="AB512" s="8"/>
      <c r="AC512" s="8"/>
      <c r="AD512" s="8"/>
      <c r="AE512" s="8"/>
      <c r="AF512" s="8"/>
      <c r="AG512" s="8"/>
      <c r="AH512" s="8"/>
      <c r="AI512" s="8"/>
    </row>
    <row r="513" spans="1:35">
      <c r="A513" s="1"/>
      <c r="B513" s="101"/>
      <c r="C513" s="8"/>
      <c r="D513" s="8"/>
      <c r="E513" s="8"/>
      <c r="F513" s="101"/>
      <c r="G513" s="101"/>
      <c r="H513" s="101"/>
      <c r="I513" s="101"/>
      <c r="J513" s="101"/>
      <c r="K513" s="101"/>
      <c r="L513" s="102"/>
      <c r="M513" s="26"/>
      <c r="N513" s="26"/>
      <c r="O513" s="55"/>
      <c r="P513" s="1"/>
      <c r="Q513" s="8"/>
      <c r="R513" s="8"/>
      <c r="S513" s="1"/>
      <c r="T513" s="8"/>
      <c r="U513" s="8"/>
      <c r="V513" s="56"/>
      <c r="W513" s="1"/>
      <c r="X513" s="1"/>
      <c r="Y513" s="8"/>
      <c r="Z513" s="8"/>
      <c r="AA513" s="8"/>
      <c r="AB513" s="8"/>
      <c r="AC513" s="8"/>
      <c r="AD513" s="8"/>
      <c r="AE513" s="8"/>
      <c r="AF513" s="8"/>
      <c r="AG513" s="8"/>
      <c r="AH513" s="8"/>
      <c r="AI513" s="8"/>
    </row>
    <row r="514" spans="1:35">
      <c r="A514" s="1"/>
      <c r="B514" s="94"/>
      <c r="C514" s="8"/>
      <c r="D514" s="8"/>
      <c r="E514" s="8"/>
      <c r="F514" s="94"/>
      <c r="G514" s="94"/>
      <c r="H514" s="94"/>
      <c r="I514" s="94"/>
      <c r="J514" s="94"/>
      <c r="K514" s="94"/>
      <c r="L514" s="94"/>
      <c r="M514" s="26"/>
      <c r="N514" s="26"/>
      <c r="O514" s="55"/>
      <c r="P514" s="1"/>
      <c r="Q514" s="8"/>
      <c r="R514" s="8"/>
      <c r="S514" s="1"/>
      <c r="T514" s="8"/>
      <c r="U514" s="8"/>
      <c r="V514" s="56"/>
      <c r="W514" s="1"/>
      <c r="X514" s="1"/>
      <c r="Y514" s="8"/>
      <c r="Z514" s="8"/>
      <c r="AA514" s="8"/>
      <c r="AB514" s="8"/>
      <c r="AC514" s="8"/>
      <c r="AD514" s="8"/>
      <c r="AE514" s="8"/>
      <c r="AF514" s="8"/>
      <c r="AG514" s="8"/>
      <c r="AH514" s="8"/>
      <c r="AI514" s="8"/>
    </row>
    <row r="515" spans="1:35">
      <c r="A515" s="1"/>
      <c r="B515" s="94"/>
      <c r="C515" s="8"/>
      <c r="D515" s="8"/>
      <c r="E515" s="8"/>
      <c r="F515" s="94"/>
      <c r="G515" s="94"/>
      <c r="H515" s="94"/>
      <c r="I515" s="94"/>
      <c r="J515" s="94"/>
      <c r="K515" s="94"/>
      <c r="L515" s="94"/>
      <c r="M515" s="26"/>
      <c r="N515" s="26"/>
      <c r="O515" s="55"/>
      <c r="P515" s="1"/>
      <c r="Q515" s="8"/>
      <c r="R515" s="8"/>
      <c r="S515" s="1"/>
      <c r="T515" s="8"/>
      <c r="U515" s="8"/>
      <c r="V515" s="56"/>
      <c r="W515" s="1"/>
      <c r="X515" s="1"/>
      <c r="Y515" s="8"/>
      <c r="Z515" s="8"/>
      <c r="AA515" s="8"/>
      <c r="AB515" s="8"/>
      <c r="AC515" s="8"/>
      <c r="AD515" s="8"/>
      <c r="AE515" s="8"/>
      <c r="AF515" s="8"/>
      <c r="AG515" s="8"/>
      <c r="AH515" s="8"/>
      <c r="AI515" s="8"/>
    </row>
    <row r="516" spans="1:35">
      <c r="A516" s="1"/>
      <c r="B516" s="94"/>
      <c r="C516" s="8"/>
      <c r="D516" s="8"/>
      <c r="E516" s="8"/>
      <c r="F516" s="94"/>
      <c r="G516" s="94"/>
      <c r="H516" s="94"/>
      <c r="I516" s="94"/>
      <c r="J516" s="94"/>
      <c r="K516" s="94"/>
      <c r="L516" s="94"/>
      <c r="M516" s="26"/>
      <c r="N516" s="26"/>
      <c r="O516" s="55"/>
      <c r="P516" s="1"/>
      <c r="Q516" s="8"/>
      <c r="R516" s="8"/>
      <c r="S516" s="1"/>
      <c r="T516" s="8"/>
      <c r="U516" s="8"/>
      <c r="V516" s="56"/>
      <c r="W516" s="1"/>
      <c r="X516" s="1"/>
      <c r="Y516" s="8"/>
      <c r="Z516" s="8"/>
      <c r="AA516" s="8"/>
      <c r="AB516" s="8"/>
      <c r="AC516" s="8"/>
      <c r="AD516" s="8"/>
      <c r="AE516" s="8"/>
      <c r="AF516" s="8"/>
      <c r="AG516" s="8"/>
      <c r="AH516" s="8"/>
      <c r="AI516" s="8"/>
    </row>
    <row r="517" spans="1:35">
      <c r="A517" s="1"/>
      <c r="B517" s="94"/>
      <c r="C517" s="8"/>
      <c r="D517" s="8"/>
      <c r="E517" s="8"/>
      <c r="F517" s="94"/>
      <c r="G517" s="94"/>
      <c r="H517" s="94"/>
      <c r="I517" s="94"/>
      <c r="J517" s="94"/>
      <c r="K517" s="94"/>
      <c r="L517" s="94"/>
      <c r="M517" s="26"/>
      <c r="N517" s="26"/>
      <c r="O517" s="55"/>
      <c r="P517" s="1"/>
      <c r="Q517" s="8"/>
      <c r="R517" s="8"/>
      <c r="S517" s="1"/>
      <c r="T517" s="8"/>
      <c r="U517" s="8"/>
      <c r="V517" s="56"/>
      <c r="W517" s="1"/>
      <c r="X517" s="1"/>
      <c r="Y517" s="8"/>
      <c r="Z517" s="8"/>
      <c r="AA517" s="8"/>
      <c r="AB517" s="8"/>
      <c r="AC517" s="8"/>
      <c r="AD517" s="8"/>
      <c r="AE517" s="8"/>
      <c r="AF517" s="8"/>
      <c r="AG517" s="8"/>
      <c r="AH517" s="8"/>
      <c r="AI517" s="8"/>
    </row>
    <row r="518" spans="1:35">
      <c r="A518" s="1"/>
      <c r="B518" s="101"/>
      <c r="C518" s="8"/>
      <c r="D518" s="8"/>
      <c r="E518" s="8"/>
      <c r="F518" s="101"/>
      <c r="G518" s="101"/>
      <c r="H518" s="101"/>
      <c r="I518" s="101"/>
      <c r="J518" s="101"/>
      <c r="K518" s="101"/>
      <c r="L518" s="102"/>
      <c r="M518" s="26"/>
      <c r="N518" s="26"/>
      <c r="O518" s="55"/>
      <c r="P518" s="1"/>
      <c r="Q518" s="8"/>
      <c r="R518" s="8"/>
      <c r="S518" s="1"/>
      <c r="T518" s="8"/>
      <c r="U518" s="8"/>
      <c r="V518" s="56"/>
      <c r="W518" s="1"/>
      <c r="X518" s="1"/>
      <c r="Y518" s="8"/>
      <c r="Z518" s="8"/>
      <c r="AA518" s="8"/>
      <c r="AB518" s="8"/>
      <c r="AC518" s="8"/>
      <c r="AD518" s="8"/>
      <c r="AE518" s="8"/>
      <c r="AF518" s="8"/>
      <c r="AG518" s="8"/>
      <c r="AH518" s="8"/>
      <c r="AI518" s="8"/>
    </row>
    <row r="519" spans="1:35">
      <c r="A519" s="1"/>
      <c r="B519" s="94"/>
      <c r="C519" s="8"/>
      <c r="D519" s="8"/>
      <c r="E519" s="8"/>
      <c r="F519" s="94"/>
      <c r="G519" s="94"/>
      <c r="H519" s="94"/>
      <c r="I519" s="94"/>
      <c r="J519" s="94"/>
      <c r="K519" s="94"/>
      <c r="L519" s="94"/>
      <c r="M519" s="26"/>
      <c r="N519" s="26"/>
      <c r="O519" s="55"/>
      <c r="P519" s="1"/>
      <c r="Q519" s="8"/>
      <c r="R519" s="8"/>
      <c r="S519" s="1"/>
      <c r="T519" s="8"/>
      <c r="U519" s="8"/>
      <c r="V519" s="56"/>
      <c r="W519" s="1"/>
      <c r="X519" s="1"/>
      <c r="Y519" s="8"/>
      <c r="Z519" s="8"/>
      <c r="AA519" s="8"/>
      <c r="AB519" s="8"/>
      <c r="AC519" s="8"/>
      <c r="AD519" s="8"/>
      <c r="AE519" s="8"/>
      <c r="AF519" s="8"/>
      <c r="AG519" s="8"/>
      <c r="AH519" s="8"/>
      <c r="AI519" s="8"/>
    </row>
    <row r="520" spans="1:35">
      <c r="A520" s="1"/>
      <c r="B520" s="94"/>
      <c r="C520" s="8"/>
      <c r="D520" s="8"/>
      <c r="E520" s="8"/>
      <c r="F520" s="94"/>
      <c r="G520" s="94"/>
      <c r="H520" s="94"/>
      <c r="I520" s="94"/>
      <c r="J520" s="94"/>
      <c r="K520" s="94"/>
      <c r="L520" s="94"/>
      <c r="M520" s="26"/>
      <c r="N520" s="26"/>
      <c r="O520" s="55"/>
      <c r="P520" s="1"/>
      <c r="Q520" s="8"/>
      <c r="R520" s="8"/>
      <c r="S520" s="1"/>
      <c r="T520" s="8"/>
      <c r="U520" s="8"/>
      <c r="V520" s="56"/>
      <c r="W520" s="1"/>
      <c r="X520" s="1"/>
      <c r="Y520" s="8"/>
      <c r="Z520" s="8"/>
      <c r="AA520" s="8"/>
      <c r="AB520" s="8"/>
      <c r="AC520" s="8"/>
      <c r="AD520" s="8"/>
      <c r="AE520" s="8"/>
      <c r="AF520" s="8"/>
      <c r="AG520" s="8"/>
      <c r="AH520" s="8"/>
      <c r="AI520" s="8"/>
    </row>
    <row r="521" spans="1:35">
      <c r="A521" s="1"/>
      <c r="B521" s="94"/>
      <c r="C521" s="8"/>
      <c r="D521" s="8"/>
      <c r="E521" s="8"/>
      <c r="F521" s="94"/>
      <c r="G521" s="94"/>
      <c r="H521" s="94"/>
      <c r="I521" s="94"/>
      <c r="J521" s="94"/>
      <c r="K521" s="94"/>
      <c r="L521" s="94"/>
      <c r="M521" s="26"/>
      <c r="N521" s="26"/>
      <c r="O521" s="55"/>
      <c r="P521" s="1"/>
      <c r="Q521" s="8"/>
      <c r="R521" s="8"/>
      <c r="S521" s="1"/>
      <c r="T521" s="8"/>
      <c r="U521" s="8"/>
      <c r="V521" s="56"/>
      <c r="W521" s="1"/>
      <c r="X521" s="1"/>
      <c r="Y521" s="8"/>
      <c r="Z521" s="8"/>
      <c r="AA521" s="8"/>
      <c r="AB521" s="8"/>
      <c r="AC521" s="8"/>
      <c r="AD521" s="8"/>
      <c r="AE521" s="8"/>
      <c r="AF521" s="8"/>
      <c r="AG521" s="8"/>
      <c r="AH521" s="8"/>
      <c r="AI521" s="8"/>
    </row>
    <row r="522" spans="1:35">
      <c r="A522" s="1"/>
      <c r="B522" s="94"/>
      <c r="C522" s="8"/>
      <c r="D522" s="8"/>
      <c r="E522" s="8"/>
      <c r="F522" s="94"/>
      <c r="G522" s="94"/>
      <c r="H522" s="94"/>
      <c r="I522" s="94"/>
      <c r="J522" s="94"/>
      <c r="K522" s="94"/>
      <c r="L522" s="94"/>
      <c r="M522" s="26"/>
      <c r="N522" s="26"/>
      <c r="O522" s="55"/>
      <c r="P522" s="1"/>
      <c r="Q522" s="8"/>
      <c r="R522" s="8"/>
      <c r="S522" s="1"/>
      <c r="T522" s="8"/>
      <c r="U522" s="8"/>
      <c r="V522" s="56"/>
      <c r="W522" s="1"/>
      <c r="X522" s="1"/>
      <c r="Y522" s="8"/>
      <c r="Z522" s="8"/>
      <c r="AA522" s="8"/>
      <c r="AB522" s="8"/>
      <c r="AC522" s="8"/>
      <c r="AD522" s="8"/>
      <c r="AE522" s="8"/>
      <c r="AF522" s="8"/>
      <c r="AG522" s="8"/>
      <c r="AH522" s="8"/>
      <c r="AI522" s="8"/>
    </row>
    <row r="523" spans="1:35">
      <c r="A523" s="1"/>
      <c r="B523" s="101"/>
      <c r="C523" s="8"/>
      <c r="D523" s="8"/>
      <c r="E523" s="8"/>
      <c r="F523" s="101"/>
      <c r="G523" s="101"/>
      <c r="H523" s="101"/>
      <c r="I523" s="101"/>
      <c r="J523" s="101"/>
      <c r="K523" s="101"/>
      <c r="L523" s="102"/>
      <c r="M523" s="26"/>
      <c r="N523" s="26"/>
      <c r="O523" s="55"/>
      <c r="P523" s="1"/>
      <c r="Q523" s="8"/>
      <c r="R523" s="8"/>
      <c r="S523" s="1"/>
      <c r="T523" s="8"/>
      <c r="U523" s="8"/>
      <c r="V523" s="56"/>
      <c r="W523" s="1"/>
      <c r="X523" s="1"/>
      <c r="Y523" s="8"/>
      <c r="Z523" s="8"/>
      <c r="AA523" s="8"/>
      <c r="AB523" s="8"/>
      <c r="AC523" s="8"/>
      <c r="AD523" s="8"/>
      <c r="AE523" s="8"/>
      <c r="AF523" s="8"/>
      <c r="AG523" s="8"/>
      <c r="AH523" s="8"/>
      <c r="AI523" s="8"/>
    </row>
    <row r="524" spans="1:35">
      <c r="A524" s="1"/>
      <c r="B524" s="94"/>
      <c r="C524" s="8"/>
      <c r="D524" s="8"/>
      <c r="E524" s="8"/>
      <c r="F524" s="94"/>
      <c r="G524" s="94"/>
      <c r="H524" s="94"/>
      <c r="I524" s="94"/>
      <c r="J524" s="94"/>
      <c r="K524" s="94"/>
      <c r="L524" s="94"/>
      <c r="M524" s="26"/>
      <c r="N524" s="26"/>
      <c r="O524" s="55"/>
      <c r="P524" s="1"/>
      <c r="Q524" s="8"/>
      <c r="R524" s="8"/>
      <c r="S524" s="1"/>
      <c r="T524" s="8"/>
      <c r="U524" s="8"/>
      <c r="V524" s="56"/>
      <c r="W524" s="1"/>
      <c r="X524" s="1"/>
      <c r="Y524" s="8"/>
      <c r="Z524" s="8"/>
      <c r="AA524" s="8"/>
      <c r="AB524" s="8"/>
      <c r="AC524" s="8"/>
      <c r="AD524" s="8"/>
      <c r="AE524" s="8"/>
      <c r="AF524" s="8"/>
      <c r="AG524" s="8"/>
      <c r="AH524" s="8"/>
      <c r="AI524" s="8"/>
    </row>
    <row r="525" spans="1:35">
      <c r="A525" s="1"/>
      <c r="B525" s="94"/>
      <c r="C525" s="8"/>
      <c r="D525" s="8"/>
      <c r="E525" s="8"/>
      <c r="F525" s="94"/>
      <c r="G525" s="94"/>
      <c r="H525" s="94"/>
      <c r="I525" s="94"/>
      <c r="J525" s="94"/>
      <c r="K525" s="94"/>
      <c r="L525" s="94"/>
      <c r="M525" s="26"/>
      <c r="N525" s="26"/>
      <c r="O525" s="55"/>
      <c r="P525" s="1"/>
      <c r="Q525" s="8"/>
      <c r="R525" s="8"/>
      <c r="S525" s="1"/>
      <c r="T525" s="8"/>
      <c r="U525" s="8"/>
      <c r="V525" s="56"/>
      <c r="W525" s="1"/>
      <c r="X525" s="1"/>
      <c r="Y525" s="8"/>
      <c r="Z525" s="8"/>
      <c r="AA525" s="8"/>
      <c r="AB525" s="8"/>
      <c r="AC525" s="8"/>
      <c r="AD525" s="8"/>
      <c r="AE525" s="8"/>
      <c r="AF525" s="8"/>
      <c r="AG525" s="8"/>
      <c r="AH525" s="8"/>
      <c r="AI525" s="8"/>
    </row>
    <row r="526" spans="1:35">
      <c r="A526" s="1"/>
      <c r="B526" s="94"/>
      <c r="C526" s="8"/>
      <c r="D526" s="8"/>
      <c r="E526" s="8"/>
      <c r="F526" s="94"/>
      <c r="G526" s="94"/>
      <c r="H526" s="94"/>
      <c r="I526" s="94"/>
      <c r="J526" s="94"/>
      <c r="K526" s="94"/>
      <c r="L526" s="94"/>
      <c r="M526" s="26"/>
      <c r="N526" s="26"/>
      <c r="O526" s="55"/>
      <c r="P526" s="1"/>
      <c r="Q526" s="8"/>
      <c r="R526" s="8"/>
      <c r="S526" s="1"/>
      <c r="T526" s="8"/>
      <c r="U526" s="8"/>
      <c r="V526" s="56"/>
      <c r="W526" s="1"/>
      <c r="X526" s="1"/>
      <c r="Y526" s="8"/>
      <c r="Z526" s="8"/>
      <c r="AA526" s="8"/>
      <c r="AB526" s="8"/>
      <c r="AC526" s="8"/>
      <c r="AD526" s="8"/>
      <c r="AE526" s="8"/>
      <c r="AF526" s="8"/>
      <c r="AG526" s="8"/>
      <c r="AH526" s="8"/>
      <c r="AI526" s="8"/>
    </row>
    <row r="527" spans="1:35">
      <c r="A527" s="1"/>
      <c r="B527" s="94"/>
      <c r="C527" s="8"/>
      <c r="D527" s="8"/>
      <c r="E527" s="8"/>
      <c r="F527" s="94"/>
      <c r="G527" s="94"/>
      <c r="H527" s="94"/>
      <c r="I527" s="94"/>
      <c r="J527" s="94"/>
      <c r="K527" s="94"/>
      <c r="L527" s="94"/>
      <c r="M527" s="26"/>
      <c r="N527" s="26"/>
      <c r="O527" s="55"/>
      <c r="P527" s="1"/>
      <c r="Q527" s="8"/>
      <c r="R527" s="8"/>
      <c r="S527" s="1"/>
      <c r="T527" s="8"/>
      <c r="U527" s="8"/>
      <c r="V527" s="56"/>
      <c r="W527" s="1"/>
      <c r="X527" s="1"/>
      <c r="Y527" s="8"/>
      <c r="Z527" s="8"/>
      <c r="AA527" s="8"/>
      <c r="AB527" s="8"/>
      <c r="AC527" s="8"/>
      <c r="AD527" s="8"/>
      <c r="AE527" s="8"/>
      <c r="AF527" s="8"/>
      <c r="AG527" s="8"/>
      <c r="AH527" s="8"/>
      <c r="AI527" s="8"/>
    </row>
    <row r="528" spans="1:35">
      <c r="A528" s="1"/>
      <c r="B528" s="101"/>
      <c r="C528" s="8"/>
      <c r="D528" s="8"/>
      <c r="E528" s="8"/>
      <c r="F528" s="101"/>
      <c r="G528" s="101"/>
      <c r="H528" s="101"/>
      <c r="I528" s="101"/>
      <c r="J528" s="101"/>
      <c r="K528" s="101"/>
      <c r="L528" s="102"/>
      <c r="M528" s="26"/>
      <c r="N528" s="26"/>
      <c r="O528" s="55"/>
      <c r="P528" s="1"/>
      <c r="Q528" s="8"/>
      <c r="R528" s="8"/>
      <c r="S528" s="1"/>
      <c r="T528" s="8"/>
      <c r="U528" s="8"/>
      <c r="V528" s="56"/>
      <c r="W528" s="1"/>
      <c r="X528" s="1"/>
      <c r="Y528" s="8"/>
      <c r="Z528" s="8"/>
      <c r="AA528" s="8"/>
      <c r="AB528" s="8"/>
      <c r="AC528" s="8"/>
      <c r="AD528" s="8"/>
      <c r="AE528" s="8"/>
      <c r="AF528" s="8"/>
      <c r="AG528" s="8"/>
      <c r="AH528" s="8"/>
      <c r="AI528" s="8"/>
    </row>
    <row r="529" spans="1:35">
      <c r="A529" s="1"/>
      <c r="B529" s="94"/>
      <c r="C529" s="8"/>
      <c r="D529" s="8"/>
      <c r="E529" s="8"/>
      <c r="F529" s="94"/>
      <c r="G529" s="94"/>
      <c r="H529" s="94"/>
      <c r="I529" s="94"/>
      <c r="J529" s="94"/>
      <c r="K529" s="94"/>
      <c r="L529" s="94"/>
      <c r="M529" s="26"/>
      <c r="N529" s="26"/>
      <c r="O529" s="55"/>
      <c r="P529" s="1"/>
      <c r="Q529" s="8"/>
      <c r="R529" s="8"/>
      <c r="S529" s="1"/>
      <c r="T529" s="8"/>
      <c r="U529" s="8"/>
      <c r="V529" s="56"/>
      <c r="W529" s="1"/>
      <c r="X529" s="1"/>
      <c r="Y529" s="8"/>
      <c r="Z529" s="8"/>
      <c r="AA529" s="8"/>
      <c r="AB529" s="8"/>
      <c r="AC529" s="8"/>
      <c r="AD529" s="8"/>
      <c r="AE529" s="8"/>
      <c r="AF529" s="8"/>
      <c r="AG529" s="8"/>
      <c r="AH529" s="8"/>
      <c r="AI529" s="8"/>
    </row>
    <row r="530" spans="1:35">
      <c r="A530" s="1"/>
      <c r="B530" s="94"/>
      <c r="C530" s="8"/>
      <c r="D530" s="8"/>
      <c r="E530" s="8"/>
      <c r="F530" s="94"/>
      <c r="G530" s="94"/>
      <c r="H530" s="94"/>
      <c r="I530" s="94"/>
      <c r="J530" s="94"/>
      <c r="K530" s="94"/>
      <c r="L530" s="94"/>
      <c r="M530" s="26"/>
      <c r="N530" s="26"/>
      <c r="O530" s="55"/>
      <c r="P530" s="1"/>
      <c r="Q530" s="8"/>
      <c r="R530" s="8"/>
      <c r="S530" s="1"/>
      <c r="T530" s="8"/>
      <c r="U530" s="8"/>
      <c r="V530" s="56"/>
      <c r="W530" s="1"/>
      <c r="X530" s="1"/>
      <c r="Y530" s="8"/>
      <c r="Z530" s="8"/>
      <c r="AA530" s="8"/>
      <c r="AB530" s="8"/>
      <c r="AC530" s="8"/>
      <c r="AD530" s="8"/>
      <c r="AE530" s="8"/>
      <c r="AF530" s="8"/>
      <c r="AG530" s="8"/>
      <c r="AH530" s="8"/>
      <c r="AI530" s="8"/>
    </row>
    <row r="531" spans="1:35">
      <c r="A531" s="1"/>
      <c r="B531" s="94"/>
      <c r="C531" s="8"/>
      <c r="D531" s="8"/>
      <c r="E531" s="8"/>
      <c r="F531" s="94"/>
      <c r="G531" s="94"/>
      <c r="H531" s="94"/>
      <c r="I531" s="94"/>
      <c r="J531" s="94"/>
      <c r="K531" s="94"/>
      <c r="L531" s="94"/>
      <c r="M531" s="26"/>
      <c r="N531" s="26"/>
      <c r="O531" s="55"/>
      <c r="P531" s="1"/>
      <c r="Q531" s="8"/>
      <c r="R531" s="8"/>
      <c r="S531" s="1"/>
      <c r="T531" s="8"/>
      <c r="U531" s="8"/>
      <c r="V531" s="56"/>
      <c r="W531" s="1"/>
      <c r="X531" s="1"/>
      <c r="Y531" s="8"/>
      <c r="Z531" s="8"/>
      <c r="AA531" s="8"/>
      <c r="AB531" s="8"/>
      <c r="AC531" s="8"/>
      <c r="AD531" s="8"/>
      <c r="AE531" s="8"/>
      <c r="AF531" s="8"/>
      <c r="AG531" s="8"/>
      <c r="AH531" s="8"/>
      <c r="AI531" s="8"/>
    </row>
    <row r="532" spans="1:35">
      <c r="A532" s="1"/>
      <c r="B532" s="94"/>
      <c r="C532" s="8"/>
      <c r="D532" s="8"/>
      <c r="E532" s="8"/>
      <c r="F532" s="94"/>
      <c r="G532" s="94"/>
      <c r="H532" s="94"/>
      <c r="I532" s="94"/>
      <c r="J532" s="94"/>
      <c r="K532" s="94"/>
      <c r="L532" s="94"/>
      <c r="M532" s="26"/>
      <c r="N532" s="26"/>
      <c r="O532" s="55"/>
      <c r="P532" s="1"/>
      <c r="Q532" s="8"/>
      <c r="R532" s="8"/>
      <c r="S532" s="1"/>
      <c r="T532" s="8"/>
      <c r="U532" s="8"/>
      <c r="V532" s="56"/>
      <c r="W532" s="1"/>
      <c r="X532" s="1"/>
      <c r="Y532" s="8"/>
      <c r="Z532" s="8"/>
      <c r="AA532" s="8"/>
      <c r="AB532" s="8"/>
      <c r="AC532" s="8"/>
      <c r="AD532" s="8"/>
      <c r="AE532" s="8"/>
      <c r="AF532" s="8"/>
      <c r="AG532" s="8"/>
      <c r="AH532" s="8"/>
      <c r="AI532" s="8"/>
    </row>
    <row r="533" spans="1:35">
      <c r="A533" s="1"/>
      <c r="B533" s="101"/>
      <c r="C533" s="8"/>
      <c r="D533" s="8"/>
      <c r="E533" s="8"/>
      <c r="F533" s="101"/>
      <c r="G533" s="101"/>
      <c r="H533" s="101"/>
      <c r="I533" s="101"/>
      <c r="J533" s="101"/>
      <c r="K533" s="101"/>
      <c r="L533" s="102"/>
      <c r="M533" s="26"/>
      <c r="N533" s="26"/>
      <c r="O533" s="55"/>
      <c r="P533" s="1"/>
      <c r="Q533" s="8"/>
      <c r="R533" s="8"/>
      <c r="S533" s="1"/>
      <c r="T533" s="8"/>
      <c r="U533" s="8"/>
      <c r="V533" s="56"/>
      <c r="W533" s="1"/>
      <c r="X533" s="1"/>
      <c r="Y533" s="8"/>
      <c r="Z533" s="8"/>
      <c r="AA533" s="8"/>
      <c r="AB533" s="8"/>
      <c r="AC533" s="8"/>
      <c r="AD533" s="8"/>
      <c r="AE533" s="8"/>
      <c r="AF533" s="8"/>
      <c r="AG533" s="8"/>
      <c r="AH533" s="8"/>
      <c r="AI533" s="8"/>
    </row>
    <row r="534" spans="1:35">
      <c r="A534" s="1"/>
      <c r="B534" s="94"/>
      <c r="C534" s="8"/>
      <c r="D534" s="8"/>
      <c r="E534" s="8"/>
      <c r="F534" s="94"/>
      <c r="G534" s="94"/>
      <c r="H534" s="94"/>
      <c r="I534" s="94"/>
      <c r="J534" s="94"/>
      <c r="K534" s="94"/>
      <c r="L534" s="94"/>
      <c r="M534" s="26"/>
      <c r="N534" s="26"/>
      <c r="O534" s="55"/>
      <c r="P534" s="1"/>
      <c r="Q534" s="8"/>
      <c r="R534" s="8"/>
      <c r="S534" s="1"/>
      <c r="T534" s="8"/>
      <c r="U534" s="8"/>
      <c r="V534" s="56"/>
      <c r="W534" s="1"/>
      <c r="X534" s="1"/>
      <c r="Y534" s="8"/>
      <c r="Z534" s="8"/>
      <c r="AA534" s="8"/>
      <c r="AB534" s="8"/>
      <c r="AC534" s="8"/>
      <c r="AD534" s="8"/>
      <c r="AE534" s="8"/>
      <c r="AF534" s="8"/>
      <c r="AG534" s="8"/>
      <c r="AH534" s="8"/>
      <c r="AI534" s="8"/>
    </row>
    <row r="535" spans="1:35">
      <c r="A535" s="1"/>
      <c r="B535" s="94"/>
      <c r="C535" s="8"/>
      <c r="D535" s="8"/>
      <c r="E535" s="8"/>
      <c r="F535" s="94"/>
      <c r="G535" s="94"/>
      <c r="H535" s="94"/>
      <c r="I535" s="94"/>
      <c r="J535" s="94"/>
      <c r="K535" s="94"/>
      <c r="L535" s="94"/>
      <c r="M535" s="26"/>
      <c r="N535" s="26"/>
      <c r="O535" s="55"/>
      <c r="P535" s="1"/>
      <c r="Q535" s="8"/>
      <c r="R535" s="8"/>
      <c r="S535" s="1"/>
      <c r="T535" s="8"/>
      <c r="U535" s="8"/>
      <c r="V535" s="56"/>
      <c r="W535" s="1"/>
      <c r="X535" s="1"/>
      <c r="Y535" s="8"/>
      <c r="Z535" s="8"/>
      <c r="AA535" s="8"/>
      <c r="AB535" s="8"/>
      <c r="AC535" s="8"/>
      <c r="AD535" s="8"/>
      <c r="AE535" s="8"/>
      <c r="AF535" s="8"/>
      <c r="AG535" s="8"/>
      <c r="AH535" s="8"/>
      <c r="AI535" s="8"/>
    </row>
    <row r="536" spans="1:35">
      <c r="A536" s="1"/>
      <c r="B536" s="94"/>
      <c r="C536" s="8"/>
      <c r="D536" s="8"/>
      <c r="E536" s="8"/>
      <c r="F536" s="94"/>
      <c r="G536" s="94"/>
      <c r="H536" s="94"/>
      <c r="I536" s="94"/>
      <c r="J536" s="94"/>
      <c r="K536" s="94"/>
      <c r="L536" s="94"/>
      <c r="M536" s="26"/>
      <c r="N536" s="26"/>
      <c r="O536" s="55"/>
      <c r="P536" s="1"/>
      <c r="Q536" s="8"/>
      <c r="R536" s="8"/>
      <c r="S536" s="1"/>
      <c r="T536" s="8"/>
      <c r="U536" s="8"/>
      <c r="V536" s="56"/>
      <c r="W536" s="1"/>
      <c r="X536" s="1"/>
      <c r="Y536" s="8"/>
      <c r="Z536" s="8"/>
      <c r="AA536" s="8"/>
      <c r="AB536" s="8"/>
      <c r="AC536" s="8"/>
      <c r="AD536" s="8"/>
      <c r="AE536" s="8"/>
      <c r="AF536" s="8"/>
      <c r="AG536" s="8"/>
      <c r="AH536" s="8"/>
      <c r="AI536" s="8"/>
    </row>
    <row r="537" spans="1:35">
      <c r="A537" s="1"/>
      <c r="B537" s="94"/>
      <c r="C537" s="8"/>
      <c r="D537" s="8"/>
      <c r="E537" s="8"/>
      <c r="F537" s="94"/>
      <c r="G537" s="94"/>
      <c r="H537" s="94"/>
      <c r="I537" s="94"/>
      <c r="J537" s="94"/>
      <c r="K537" s="94"/>
      <c r="L537" s="94"/>
      <c r="M537" s="26"/>
      <c r="N537" s="26"/>
      <c r="O537" s="55"/>
      <c r="P537" s="1"/>
      <c r="Q537" s="8"/>
      <c r="R537" s="8"/>
      <c r="S537" s="1"/>
      <c r="T537" s="8"/>
      <c r="U537" s="8"/>
      <c r="V537" s="56"/>
      <c r="W537" s="1"/>
      <c r="X537" s="1"/>
      <c r="Y537" s="8"/>
      <c r="Z537" s="8"/>
      <c r="AA537" s="8"/>
      <c r="AB537" s="8"/>
      <c r="AC537" s="8"/>
      <c r="AD537" s="8"/>
      <c r="AE537" s="8"/>
      <c r="AF537" s="8"/>
      <c r="AG537" s="8"/>
      <c r="AH537" s="8"/>
      <c r="AI537" s="8"/>
    </row>
    <row r="538" spans="1:35">
      <c r="A538" s="1"/>
      <c r="B538" s="101"/>
      <c r="C538" s="8"/>
      <c r="D538" s="8"/>
      <c r="E538" s="8"/>
      <c r="F538" s="101"/>
      <c r="G538" s="101"/>
      <c r="H538" s="101"/>
      <c r="I538" s="101"/>
      <c r="J538" s="101"/>
      <c r="K538" s="101"/>
      <c r="L538" s="102"/>
      <c r="M538" s="26"/>
      <c r="N538" s="26"/>
      <c r="O538" s="55"/>
      <c r="P538" s="1"/>
      <c r="Q538" s="8"/>
      <c r="R538" s="8"/>
      <c r="S538" s="1"/>
      <c r="T538" s="8"/>
      <c r="U538" s="8"/>
      <c r="V538" s="56"/>
      <c r="W538" s="1"/>
      <c r="X538" s="1"/>
      <c r="Y538" s="8"/>
      <c r="Z538" s="8"/>
      <c r="AA538" s="8"/>
      <c r="AB538" s="8"/>
      <c r="AC538" s="8"/>
      <c r="AD538" s="8"/>
      <c r="AE538" s="8"/>
      <c r="AF538" s="8"/>
      <c r="AG538" s="8"/>
      <c r="AH538" s="8"/>
      <c r="AI538" s="8"/>
    </row>
    <row r="539" spans="1:35">
      <c r="A539" s="1"/>
      <c r="B539" s="94"/>
      <c r="C539" s="8"/>
      <c r="D539" s="8"/>
      <c r="E539" s="8"/>
      <c r="F539" s="94"/>
      <c r="G539" s="94"/>
      <c r="H539" s="94"/>
      <c r="I539" s="94"/>
      <c r="J539" s="94"/>
      <c r="K539" s="94"/>
      <c r="L539" s="94"/>
      <c r="M539" s="26"/>
      <c r="N539" s="26"/>
      <c r="O539" s="55"/>
      <c r="P539" s="1"/>
      <c r="Q539" s="8"/>
      <c r="R539" s="8"/>
      <c r="S539" s="1"/>
      <c r="T539" s="8"/>
      <c r="U539" s="8"/>
      <c r="V539" s="56"/>
      <c r="W539" s="1"/>
      <c r="X539" s="1"/>
      <c r="Y539" s="8"/>
      <c r="Z539" s="8"/>
      <c r="AA539" s="8"/>
      <c r="AB539" s="8"/>
      <c r="AC539" s="8"/>
      <c r="AD539" s="8"/>
      <c r="AE539" s="8"/>
      <c r="AF539" s="8"/>
      <c r="AG539" s="8"/>
      <c r="AH539" s="8"/>
      <c r="AI539" s="8"/>
    </row>
    <row r="540" spans="1:35">
      <c r="A540" s="1"/>
      <c r="B540" s="94"/>
      <c r="C540" s="8"/>
      <c r="D540" s="8"/>
      <c r="E540" s="8"/>
      <c r="F540" s="94"/>
      <c r="G540" s="94"/>
      <c r="H540" s="94"/>
      <c r="I540" s="94"/>
      <c r="J540" s="94"/>
      <c r="K540" s="94"/>
      <c r="L540" s="94"/>
      <c r="M540" s="26"/>
      <c r="N540" s="26"/>
      <c r="O540" s="55"/>
      <c r="P540" s="1"/>
      <c r="Q540" s="8"/>
      <c r="R540" s="8"/>
      <c r="S540" s="1"/>
      <c r="T540" s="8"/>
      <c r="U540" s="8"/>
      <c r="V540" s="56"/>
      <c r="W540" s="1"/>
      <c r="X540" s="1"/>
      <c r="Y540" s="8"/>
      <c r="Z540" s="8"/>
      <c r="AA540" s="8"/>
      <c r="AB540" s="8"/>
      <c r="AC540" s="8"/>
      <c r="AD540" s="8"/>
      <c r="AE540" s="8"/>
      <c r="AF540" s="8"/>
      <c r="AG540" s="8"/>
      <c r="AH540" s="8"/>
      <c r="AI540" s="8"/>
    </row>
    <row r="541" spans="1:35">
      <c r="A541" s="1"/>
      <c r="B541" s="94"/>
      <c r="C541" s="8"/>
      <c r="D541" s="8"/>
      <c r="E541" s="8"/>
      <c r="F541" s="94"/>
      <c r="G541" s="94"/>
      <c r="H541" s="94"/>
      <c r="I541" s="94"/>
      <c r="J541" s="94"/>
      <c r="K541" s="94"/>
      <c r="L541" s="94"/>
      <c r="M541" s="26"/>
      <c r="N541" s="26"/>
      <c r="O541" s="55"/>
      <c r="P541" s="1"/>
      <c r="Q541" s="8"/>
      <c r="R541" s="8"/>
      <c r="S541" s="1"/>
      <c r="T541" s="8"/>
      <c r="U541" s="8"/>
      <c r="V541" s="56"/>
      <c r="W541" s="1"/>
      <c r="X541" s="1"/>
      <c r="Y541" s="8"/>
      <c r="Z541" s="8"/>
      <c r="AA541" s="8"/>
      <c r="AB541" s="8"/>
      <c r="AC541" s="8"/>
      <c r="AD541" s="8"/>
      <c r="AE541" s="8"/>
      <c r="AF541" s="8"/>
      <c r="AG541" s="8"/>
      <c r="AH541" s="8"/>
      <c r="AI541" s="8"/>
    </row>
    <row r="542" spans="1:35">
      <c r="A542" s="1"/>
      <c r="B542" s="94"/>
      <c r="C542" s="8"/>
      <c r="D542" s="8"/>
      <c r="E542" s="8"/>
      <c r="F542" s="94"/>
      <c r="G542" s="94"/>
      <c r="H542" s="94"/>
      <c r="I542" s="94"/>
      <c r="J542" s="94"/>
      <c r="K542" s="94"/>
      <c r="L542" s="94"/>
      <c r="M542" s="26"/>
      <c r="N542" s="26"/>
      <c r="O542" s="55"/>
      <c r="P542" s="1"/>
      <c r="Q542" s="8"/>
      <c r="R542" s="8"/>
      <c r="S542" s="1"/>
      <c r="T542" s="8"/>
      <c r="U542" s="8"/>
      <c r="V542" s="56"/>
      <c r="W542" s="1"/>
      <c r="X542" s="1"/>
      <c r="Y542" s="8"/>
      <c r="Z542" s="8"/>
      <c r="AA542" s="8"/>
      <c r="AB542" s="8"/>
      <c r="AC542" s="8"/>
      <c r="AD542" s="8"/>
      <c r="AE542" s="8"/>
      <c r="AF542" s="8"/>
      <c r="AG542" s="8"/>
      <c r="AH542" s="8"/>
      <c r="AI542" s="8"/>
    </row>
    <row r="543" spans="1:35">
      <c r="A543" s="1"/>
      <c r="B543" s="101"/>
      <c r="C543" s="8"/>
      <c r="D543" s="8"/>
      <c r="E543" s="8"/>
      <c r="F543" s="101"/>
      <c r="G543" s="101"/>
      <c r="H543" s="101"/>
      <c r="I543" s="101"/>
      <c r="J543" s="101"/>
      <c r="K543" s="101"/>
      <c r="L543" s="102"/>
      <c r="M543" s="26"/>
      <c r="N543" s="26"/>
      <c r="O543" s="55"/>
      <c r="P543" s="1"/>
      <c r="Q543" s="8"/>
      <c r="R543" s="8"/>
      <c r="S543" s="1"/>
      <c r="T543" s="8"/>
      <c r="U543" s="8"/>
      <c r="V543" s="56"/>
      <c r="W543" s="1"/>
      <c r="X543" s="1"/>
      <c r="Y543" s="8"/>
      <c r="Z543" s="8"/>
      <c r="AA543" s="8"/>
      <c r="AB543" s="8"/>
      <c r="AC543" s="8"/>
      <c r="AD543" s="8"/>
      <c r="AE543" s="8"/>
      <c r="AF543" s="8"/>
      <c r="AG543" s="8"/>
      <c r="AH543" s="8"/>
      <c r="AI543" s="8"/>
    </row>
    <row r="544" spans="1:35">
      <c r="A544" s="1"/>
      <c r="B544" s="94"/>
      <c r="C544" s="8"/>
      <c r="D544" s="8"/>
      <c r="E544" s="8"/>
      <c r="F544" s="94"/>
      <c r="G544" s="94"/>
      <c r="H544" s="94"/>
      <c r="I544" s="94"/>
      <c r="J544" s="94"/>
      <c r="K544" s="94"/>
      <c r="L544" s="94"/>
      <c r="M544" s="26"/>
      <c r="N544" s="26"/>
      <c r="O544" s="55"/>
      <c r="P544" s="1"/>
      <c r="Q544" s="8"/>
      <c r="R544" s="8"/>
      <c r="S544" s="1"/>
      <c r="T544" s="8"/>
      <c r="U544" s="8"/>
      <c r="V544" s="56"/>
      <c r="W544" s="1"/>
      <c r="X544" s="1"/>
      <c r="Y544" s="8"/>
      <c r="Z544" s="8"/>
      <c r="AA544" s="8"/>
      <c r="AB544" s="8"/>
      <c r="AC544" s="8"/>
      <c r="AD544" s="8"/>
      <c r="AE544" s="8"/>
      <c r="AF544" s="8"/>
      <c r="AG544" s="8"/>
      <c r="AH544" s="8"/>
      <c r="AI544" s="8"/>
    </row>
    <row r="545" spans="1:35">
      <c r="A545" s="1"/>
      <c r="B545" s="94"/>
      <c r="C545" s="8"/>
      <c r="D545" s="8"/>
      <c r="E545" s="8"/>
      <c r="F545" s="94"/>
      <c r="G545" s="94"/>
      <c r="H545" s="94"/>
      <c r="I545" s="94"/>
      <c r="J545" s="94"/>
      <c r="K545" s="94"/>
      <c r="L545" s="94"/>
      <c r="M545" s="26"/>
      <c r="N545" s="26"/>
      <c r="O545" s="55"/>
      <c r="P545" s="1"/>
      <c r="Q545" s="8"/>
      <c r="R545" s="8"/>
      <c r="S545" s="1"/>
      <c r="T545" s="8"/>
      <c r="U545" s="8"/>
      <c r="V545" s="56"/>
      <c r="W545" s="1"/>
      <c r="X545" s="1"/>
      <c r="Y545" s="8"/>
      <c r="Z545" s="8"/>
      <c r="AA545" s="8"/>
      <c r="AB545" s="8"/>
      <c r="AC545" s="8"/>
      <c r="AD545" s="8"/>
      <c r="AE545" s="8"/>
      <c r="AF545" s="8"/>
      <c r="AG545" s="8"/>
      <c r="AH545" s="8"/>
      <c r="AI545" s="8"/>
    </row>
    <row r="546" spans="1:35">
      <c r="A546" s="1"/>
      <c r="B546" s="94"/>
      <c r="C546" s="8"/>
      <c r="D546" s="8"/>
      <c r="E546" s="8"/>
      <c r="F546" s="94"/>
      <c r="G546" s="94"/>
      <c r="H546" s="94"/>
      <c r="I546" s="94"/>
      <c r="J546" s="94"/>
      <c r="K546" s="94"/>
      <c r="L546" s="94"/>
      <c r="M546" s="26"/>
      <c r="N546" s="26"/>
      <c r="O546" s="55"/>
      <c r="P546" s="1"/>
      <c r="Q546" s="8"/>
      <c r="R546" s="8"/>
      <c r="S546" s="1"/>
      <c r="T546" s="8"/>
      <c r="U546" s="8"/>
      <c r="V546" s="56"/>
      <c r="W546" s="1"/>
      <c r="X546" s="1"/>
      <c r="Y546" s="8"/>
      <c r="Z546" s="8"/>
      <c r="AA546" s="8"/>
      <c r="AB546" s="8"/>
      <c r="AC546" s="8"/>
      <c r="AD546" s="8"/>
      <c r="AE546" s="8"/>
      <c r="AF546" s="8"/>
      <c r="AG546" s="8"/>
      <c r="AH546" s="8"/>
      <c r="AI546" s="8"/>
    </row>
    <row r="547" spans="1:35">
      <c r="A547" s="1"/>
      <c r="B547" s="94"/>
      <c r="C547" s="8"/>
      <c r="D547" s="8"/>
      <c r="E547" s="8"/>
      <c r="F547" s="94"/>
      <c r="G547" s="94"/>
      <c r="H547" s="94"/>
      <c r="I547" s="94"/>
      <c r="J547" s="94"/>
      <c r="K547" s="94"/>
      <c r="L547" s="94"/>
      <c r="M547" s="26"/>
      <c r="N547" s="26"/>
      <c r="O547" s="55"/>
      <c r="P547" s="1"/>
      <c r="Q547" s="8"/>
      <c r="R547" s="8"/>
      <c r="S547" s="1"/>
      <c r="T547" s="8"/>
      <c r="U547" s="8"/>
      <c r="V547" s="56"/>
      <c r="W547" s="1"/>
      <c r="X547" s="1"/>
      <c r="Y547" s="8"/>
      <c r="Z547" s="8"/>
      <c r="AA547" s="8"/>
      <c r="AB547" s="8"/>
      <c r="AC547" s="8"/>
      <c r="AD547" s="8"/>
      <c r="AE547" s="8"/>
      <c r="AF547" s="8"/>
      <c r="AG547" s="8"/>
      <c r="AH547" s="8"/>
      <c r="AI547" s="8"/>
    </row>
    <row r="548" spans="1:35">
      <c r="A548" s="1"/>
      <c r="B548" s="101"/>
      <c r="C548" s="8"/>
      <c r="D548" s="8"/>
      <c r="E548" s="8"/>
      <c r="F548" s="101"/>
      <c r="G548" s="101"/>
      <c r="H548" s="101"/>
      <c r="I548" s="101"/>
      <c r="J548" s="101"/>
      <c r="K548" s="101"/>
      <c r="L548" s="102"/>
      <c r="M548" s="26"/>
      <c r="N548" s="26"/>
      <c r="O548" s="55"/>
      <c r="P548" s="1"/>
      <c r="Q548" s="8"/>
      <c r="R548" s="8"/>
      <c r="S548" s="1"/>
      <c r="T548" s="8"/>
      <c r="U548" s="8"/>
      <c r="V548" s="56"/>
      <c r="W548" s="1"/>
      <c r="X548" s="1"/>
      <c r="Y548" s="8"/>
      <c r="Z548" s="8"/>
      <c r="AA548" s="8"/>
      <c r="AB548" s="8"/>
      <c r="AC548" s="8"/>
      <c r="AD548" s="8"/>
      <c r="AE548" s="8"/>
      <c r="AF548" s="8"/>
      <c r="AG548" s="8"/>
      <c r="AH548" s="8"/>
      <c r="AI548" s="8"/>
    </row>
    <row r="549" spans="1:35">
      <c r="A549" s="1"/>
      <c r="B549" s="94"/>
      <c r="C549" s="8"/>
      <c r="D549" s="8"/>
      <c r="E549" s="8"/>
      <c r="F549" s="94"/>
      <c r="G549" s="94"/>
      <c r="H549" s="94"/>
      <c r="I549" s="94"/>
      <c r="J549" s="94"/>
      <c r="K549" s="94"/>
      <c r="L549" s="94"/>
      <c r="M549" s="26"/>
      <c r="N549" s="26"/>
      <c r="O549" s="55"/>
      <c r="P549" s="1"/>
      <c r="Q549" s="8"/>
      <c r="R549" s="8"/>
      <c r="S549" s="1"/>
      <c r="T549" s="8"/>
      <c r="U549" s="8"/>
      <c r="V549" s="56"/>
      <c r="W549" s="1"/>
      <c r="X549" s="1"/>
      <c r="Y549" s="8"/>
      <c r="Z549" s="8"/>
      <c r="AA549" s="8"/>
      <c r="AB549" s="8"/>
      <c r="AC549" s="8"/>
      <c r="AD549" s="8"/>
      <c r="AE549" s="8"/>
      <c r="AF549" s="8"/>
      <c r="AG549" s="8"/>
      <c r="AH549" s="8"/>
      <c r="AI549" s="8"/>
    </row>
    <row r="550" spans="1:35">
      <c r="A550" s="1"/>
      <c r="B550" s="94"/>
      <c r="C550" s="8"/>
      <c r="D550" s="8"/>
      <c r="E550" s="8"/>
      <c r="F550" s="94"/>
      <c r="G550" s="94"/>
      <c r="H550" s="94"/>
      <c r="I550" s="94"/>
      <c r="J550" s="94"/>
      <c r="K550" s="94"/>
      <c r="L550" s="94"/>
      <c r="M550" s="26"/>
      <c r="N550" s="26"/>
      <c r="O550" s="55"/>
      <c r="P550" s="1"/>
      <c r="Q550" s="8"/>
      <c r="R550" s="8"/>
      <c r="S550" s="1"/>
      <c r="T550" s="8"/>
      <c r="U550" s="8"/>
      <c r="V550" s="56"/>
      <c r="W550" s="1"/>
      <c r="X550" s="1"/>
      <c r="Y550" s="8"/>
      <c r="Z550" s="8"/>
      <c r="AA550" s="8"/>
      <c r="AB550" s="8"/>
      <c r="AC550" s="8"/>
      <c r="AD550" s="8"/>
      <c r="AE550" s="8"/>
      <c r="AF550" s="8"/>
      <c r="AG550" s="8"/>
      <c r="AH550" s="8"/>
      <c r="AI550" s="8"/>
    </row>
    <row r="551" spans="1:35">
      <c r="A551" s="1"/>
      <c r="B551" s="94"/>
      <c r="C551" s="8"/>
      <c r="D551" s="8"/>
      <c r="E551" s="8"/>
      <c r="F551" s="94"/>
      <c r="G551" s="94"/>
      <c r="H551" s="94"/>
      <c r="I551" s="94"/>
      <c r="J551" s="94"/>
      <c r="K551" s="94"/>
      <c r="L551" s="94"/>
      <c r="M551" s="26"/>
      <c r="N551" s="26"/>
      <c r="O551" s="55"/>
      <c r="P551" s="1"/>
      <c r="Q551" s="8"/>
      <c r="R551" s="8"/>
      <c r="S551" s="1"/>
      <c r="T551" s="8"/>
      <c r="U551" s="8"/>
      <c r="V551" s="56"/>
      <c r="W551" s="1"/>
      <c r="X551" s="1"/>
      <c r="Y551" s="8"/>
      <c r="Z551" s="8"/>
      <c r="AA551" s="8"/>
      <c r="AB551" s="8"/>
      <c r="AC551" s="8"/>
      <c r="AD551" s="8"/>
      <c r="AE551" s="8"/>
      <c r="AF551" s="8"/>
      <c r="AG551" s="8"/>
      <c r="AH551" s="8"/>
      <c r="AI551" s="8"/>
    </row>
    <row r="552" spans="1:35">
      <c r="A552" s="1"/>
      <c r="B552" s="94"/>
      <c r="C552" s="8"/>
      <c r="D552" s="8"/>
      <c r="E552" s="8"/>
      <c r="F552" s="94"/>
      <c r="G552" s="94"/>
      <c r="H552" s="94"/>
      <c r="I552" s="94"/>
      <c r="J552" s="94"/>
      <c r="K552" s="94"/>
      <c r="L552" s="94"/>
      <c r="M552" s="26"/>
      <c r="N552" s="26"/>
      <c r="O552" s="55"/>
      <c r="P552" s="1"/>
      <c r="Q552" s="8"/>
      <c r="R552" s="8"/>
      <c r="S552" s="1"/>
      <c r="T552" s="8"/>
      <c r="U552" s="8"/>
      <c r="V552" s="56"/>
      <c r="W552" s="1"/>
      <c r="X552" s="1"/>
      <c r="Y552" s="8"/>
      <c r="Z552" s="8"/>
      <c r="AA552" s="8"/>
      <c r="AB552" s="8"/>
      <c r="AC552" s="8"/>
      <c r="AD552" s="8"/>
      <c r="AE552" s="8"/>
      <c r="AF552" s="8"/>
      <c r="AG552" s="8"/>
      <c r="AH552" s="8"/>
      <c r="AI552" s="8"/>
    </row>
    <row r="553" spans="1:35">
      <c r="A553" s="1"/>
      <c r="B553" s="101"/>
      <c r="C553" s="8"/>
      <c r="D553" s="8"/>
      <c r="E553" s="8"/>
      <c r="F553" s="101"/>
      <c r="G553" s="101"/>
      <c r="H553" s="101"/>
      <c r="I553" s="101"/>
      <c r="J553" s="101"/>
      <c r="K553" s="101"/>
      <c r="L553" s="102"/>
      <c r="M553" s="26"/>
      <c r="N553" s="26"/>
      <c r="O553" s="55"/>
      <c r="P553" s="1"/>
      <c r="Q553" s="8"/>
      <c r="R553" s="8"/>
      <c r="S553" s="1"/>
      <c r="T553" s="8"/>
      <c r="U553" s="8"/>
      <c r="V553" s="56"/>
      <c r="W553" s="1"/>
      <c r="X553" s="1"/>
      <c r="Y553" s="8"/>
      <c r="Z553" s="8"/>
      <c r="AA553" s="8"/>
      <c r="AB553" s="8"/>
      <c r="AC553" s="8"/>
      <c r="AD553" s="8"/>
      <c r="AE553" s="8"/>
      <c r="AF553" s="8"/>
      <c r="AG553" s="8"/>
      <c r="AH553" s="8"/>
      <c r="AI553" s="8"/>
    </row>
    <row r="554" spans="1:35">
      <c r="A554" s="1"/>
      <c r="B554" s="94"/>
      <c r="C554" s="8"/>
      <c r="D554" s="8"/>
      <c r="E554" s="8"/>
      <c r="F554" s="94"/>
      <c r="G554" s="94"/>
      <c r="H554" s="94"/>
      <c r="I554" s="94"/>
      <c r="J554" s="94"/>
      <c r="K554" s="94"/>
      <c r="L554" s="94"/>
      <c r="M554" s="26"/>
      <c r="N554" s="26"/>
      <c r="O554" s="55"/>
      <c r="P554" s="1"/>
      <c r="Q554" s="8"/>
      <c r="R554" s="8"/>
      <c r="S554" s="1"/>
      <c r="T554" s="8"/>
      <c r="U554" s="8"/>
      <c r="V554" s="56"/>
      <c r="W554" s="1"/>
      <c r="X554" s="1"/>
      <c r="Y554" s="8"/>
      <c r="Z554" s="8"/>
      <c r="AA554" s="8"/>
      <c r="AB554" s="8"/>
      <c r="AC554" s="8"/>
      <c r="AD554" s="8"/>
      <c r="AE554" s="8"/>
      <c r="AF554" s="8"/>
      <c r="AG554" s="8"/>
      <c r="AH554" s="8"/>
      <c r="AI554" s="8"/>
    </row>
    <row r="555" spans="1:35">
      <c r="A555" s="1"/>
      <c r="B555" s="94"/>
      <c r="C555" s="8"/>
      <c r="D555" s="8"/>
      <c r="E555" s="8"/>
      <c r="F555" s="94"/>
      <c r="G555" s="94"/>
      <c r="H555" s="94"/>
      <c r="I555" s="94"/>
      <c r="J555" s="94"/>
      <c r="K555" s="94"/>
      <c r="L555" s="94"/>
      <c r="M555" s="26"/>
      <c r="N555" s="26"/>
      <c r="O555" s="55"/>
      <c r="P555" s="1"/>
      <c r="Q555" s="8"/>
      <c r="R555" s="8"/>
      <c r="S555" s="1"/>
      <c r="T555" s="8"/>
      <c r="U555" s="8"/>
      <c r="V555" s="56"/>
      <c r="W555" s="1"/>
      <c r="X555" s="1"/>
      <c r="Y555" s="8"/>
      <c r="Z555" s="8"/>
      <c r="AA555" s="8"/>
      <c r="AB555" s="8"/>
      <c r="AC555" s="8"/>
      <c r="AD555" s="8"/>
      <c r="AE555" s="8"/>
      <c r="AF555" s="8"/>
      <c r="AG555" s="8"/>
      <c r="AH555" s="8"/>
      <c r="AI555" s="8"/>
    </row>
    <row r="556" spans="1:35">
      <c r="A556" s="1"/>
      <c r="B556" s="94"/>
      <c r="C556" s="8"/>
      <c r="D556" s="8"/>
      <c r="E556" s="8"/>
      <c r="F556" s="94"/>
      <c r="G556" s="94"/>
      <c r="H556" s="94"/>
      <c r="I556" s="94"/>
      <c r="J556" s="94"/>
      <c r="K556" s="94"/>
      <c r="L556" s="94"/>
      <c r="M556" s="26"/>
      <c r="N556" s="26"/>
      <c r="O556" s="55"/>
      <c r="P556" s="1"/>
      <c r="Q556" s="8"/>
      <c r="R556" s="8"/>
      <c r="S556" s="1"/>
      <c r="T556" s="8"/>
      <c r="U556" s="8"/>
      <c r="V556" s="56"/>
      <c r="W556" s="1"/>
      <c r="X556" s="1"/>
      <c r="Y556" s="8"/>
      <c r="Z556" s="8"/>
      <c r="AA556" s="8"/>
      <c r="AB556" s="8"/>
      <c r="AC556" s="8"/>
      <c r="AD556" s="8"/>
      <c r="AE556" s="8"/>
      <c r="AF556" s="8"/>
      <c r="AG556" s="8"/>
      <c r="AH556" s="8"/>
      <c r="AI556" s="8"/>
    </row>
    <row r="557" spans="1:35">
      <c r="A557" s="1"/>
      <c r="B557" s="94"/>
      <c r="C557" s="8"/>
      <c r="D557" s="8"/>
      <c r="E557" s="8"/>
      <c r="F557" s="94"/>
      <c r="G557" s="94"/>
      <c r="H557" s="94"/>
      <c r="I557" s="94"/>
      <c r="J557" s="94"/>
      <c r="K557" s="94"/>
      <c r="L557" s="94"/>
      <c r="M557" s="26"/>
      <c r="N557" s="26"/>
      <c r="O557" s="55"/>
      <c r="P557" s="1"/>
      <c r="Q557" s="8"/>
      <c r="R557" s="8"/>
      <c r="S557" s="1"/>
      <c r="T557" s="8"/>
      <c r="U557" s="8"/>
      <c r="V557" s="56"/>
      <c r="W557" s="1"/>
      <c r="X557" s="1"/>
      <c r="Y557" s="8"/>
      <c r="Z557" s="8"/>
      <c r="AA557" s="8"/>
      <c r="AB557" s="8"/>
      <c r="AC557" s="8"/>
      <c r="AD557" s="8"/>
      <c r="AE557" s="8"/>
      <c r="AF557" s="8"/>
      <c r="AG557" s="8"/>
      <c r="AH557" s="8"/>
      <c r="AI557" s="8"/>
    </row>
    <row r="558" spans="1:35">
      <c r="A558" s="1"/>
      <c r="B558" s="101"/>
      <c r="C558" s="8"/>
      <c r="D558" s="8"/>
      <c r="E558" s="8"/>
      <c r="F558" s="101"/>
      <c r="G558" s="101"/>
      <c r="H558" s="101"/>
      <c r="I558" s="101"/>
      <c r="J558" s="101"/>
      <c r="K558" s="101"/>
      <c r="L558" s="102"/>
      <c r="M558" s="26"/>
      <c r="N558" s="26"/>
      <c r="O558" s="55"/>
      <c r="P558" s="1"/>
      <c r="Q558" s="8"/>
      <c r="R558" s="8"/>
      <c r="S558" s="1"/>
      <c r="T558" s="8"/>
      <c r="U558" s="8"/>
      <c r="V558" s="56"/>
      <c r="W558" s="1"/>
      <c r="X558" s="1"/>
      <c r="Y558" s="8"/>
      <c r="Z558" s="8"/>
      <c r="AA558" s="8"/>
      <c r="AB558" s="8"/>
      <c r="AC558" s="8"/>
      <c r="AD558" s="8"/>
      <c r="AE558" s="8"/>
      <c r="AF558" s="8"/>
      <c r="AG558" s="8"/>
      <c r="AH558" s="8"/>
      <c r="AI558" s="8"/>
    </row>
    <row r="559" spans="1:35">
      <c r="A559" s="1"/>
      <c r="B559" s="94"/>
      <c r="C559" s="8"/>
      <c r="D559" s="8"/>
      <c r="E559" s="8"/>
      <c r="F559" s="94"/>
      <c r="G559" s="94"/>
      <c r="H559" s="94"/>
      <c r="I559" s="94"/>
      <c r="J559" s="94"/>
      <c r="K559" s="94"/>
      <c r="L559" s="94"/>
      <c r="M559" s="26"/>
      <c r="N559" s="26"/>
      <c r="O559" s="55"/>
      <c r="P559" s="1"/>
      <c r="Q559" s="8"/>
      <c r="R559" s="8"/>
      <c r="S559" s="1"/>
      <c r="T559" s="8"/>
      <c r="U559" s="8"/>
      <c r="V559" s="56"/>
      <c r="W559" s="1"/>
      <c r="X559" s="1"/>
      <c r="Y559" s="8"/>
      <c r="Z559" s="8"/>
      <c r="AA559" s="8"/>
      <c r="AB559" s="8"/>
      <c r="AC559" s="8"/>
      <c r="AD559" s="8"/>
      <c r="AE559" s="8"/>
      <c r="AF559" s="8"/>
      <c r="AG559" s="8"/>
      <c r="AH559" s="8"/>
      <c r="AI559" s="8"/>
    </row>
    <row r="560" spans="1:35">
      <c r="A560" s="1"/>
      <c r="B560" s="94"/>
      <c r="C560" s="8"/>
      <c r="D560" s="8"/>
      <c r="E560" s="8"/>
      <c r="F560" s="94"/>
      <c r="G560" s="94"/>
      <c r="H560" s="94"/>
      <c r="I560" s="94"/>
      <c r="J560" s="94"/>
      <c r="K560" s="94"/>
      <c r="L560" s="94"/>
      <c r="M560" s="26"/>
      <c r="N560" s="26"/>
      <c r="O560" s="55"/>
      <c r="P560" s="1"/>
      <c r="Q560" s="8"/>
      <c r="R560" s="8"/>
      <c r="S560" s="1"/>
      <c r="T560" s="8"/>
      <c r="U560" s="8"/>
      <c r="V560" s="56"/>
      <c r="W560" s="1"/>
      <c r="X560" s="1"/>
      <c r="Y560" s="8"/>
      <c r="Z560" s="8"/>
      <c r="AA560" s="8"/>
      <c r="AB560" s="8"/>
      <c r="AC560" s="8"/>
      <c r="AD560" s="8"/>
      <c r="AE560" s="8"/>
      <c r="AF560" s="8"/>
      <c r="AG560" s="8"/>
      <c r="AH560" s="8"/>
      <c r="AI560" s="8"/>
    </row>
    <row r="561" spans="1:35">
      <c r="A561" s="1"/>
      <c r="B561" s="94"/>
      <c r="C561" s="8"/>
      <c r="D561" s="8"/>
      <c r="E561" s="8"/>
      <c r="F561" s="94"/>
      <c r="G561" s="94"/>
      <c r="H561" s="94"/>
      <c r="I561" s="94"/>
      <c r="J561" s="94"/>
      <c r="K561" s="94"/>
      <c r="L561" s="94"/>
      <c r="M561" s="26"/>
      <c r="N561" s="26"/>
      <c r="O561" s="55"/>
      <c r="P561" s="1"/>
      <c r="Q561" s="8"/>
      <c r="R561" s="8"/>
      <c r="S561" s="1"/>
      <c r="T561" s="8"/>
      <c r="U561" s="8"/>
      <c r="V561" s="56"/>
      <c r="W561" s="1"/>
      <c r="X561" s="1"/>
      <c r="Y561" s="8"/>
      <c r="Z561" s="8"/>
      <c r="AA561" s="8"/>
      <c r="AB561" s="8"/>
      <c r="AC561" s="8"/>
      <c r="AD561" s="8"/>
      <c r="AE561" s="8"/>
      <c r="AF561" s="8"/>
      <c r="AG561" s="8"/>
      <c r="AH561" s="8"/>
      <c r="AI561" s="8"/>
    </row>
    <row r="562" spans="1:35">
      <c r="A562" s="1"/>
      <c r="B562" s="94"/>
      <c r="C562" s="8"/>
      <c r="D562" s="8"/>
      <c r="E562" s="8"/>
      <c r="F562" s="94"/>
      <c r="G562" s="94"/>
      <c r="H562" s="94"/>
      <c r="I562" s="94"/>
      <c r="J562" s="94"/>
      <c r="K562" s="94"/>
      <c r="L562" s="94"/>
      <c r="M562" s="26"/>
      <c r="N562" s="26"/>
      <c r="O562" s="55"/>
      <c r="P562" s="1"/>
      <c r="Q562" s="8"/>
      <c r="R562" s="8"/>
      <c r="S562" s="1"/>
      <c r="T562" s="8"/>
      <c r="U562" s="8"/>
      <c r="V562" s="56"/>
      <c r="W562" s="1"/>
      <c r="X562" s="1"/>
      <c r="Y562" s="8"/>
      <c r="Z562" s="8"/>
      <c r="AA562" s="8"/>
      <c r="AB562" s="8"/>
      <c r="AC562" s="8"/>
      <c r="AD562" s="8"/>
      <c r="AE562" s="8"/>
      <c r="AF562" s="8"/>
      <c r="AG562" s="8"/>
      <c r="AH562" s="8"/>
      <c r="AI562" s="8"/>
    </row>
    <row r="563" spans="1:35">
      <c r="A563" s="1"/>
      <c r="B563" s="101"/>
      <c r="C563" s="8"/>
      <c r="D563" s="8"/>
      <c r="E563" s="8"/>
      <c r="F563" s="101"/>
      <c r="G563" s="101"/>
      <c r="H563" s="101"/>
      <c r="I563" s="101"/>
      <c r="J563" s="101"/>
      <c r="K563" s="101"/>
      <c r="L563" s="102"/>
      <c r="M563" s="26"/>
      <c r="N563" s="26"/>
      <c r="O563" s="55"/>
      <c r="P563" s="1"/>
      <c r="Q563" s="8"/>
      <c r="R563" s="8"/>
      <c r="S563" s="1"/>
      <c r="T563" s="8"/>
      <c r="U563" s="8"/>
      <c r="V563" s="56"/>
      <c r="W563" s="1"/>
      <c r="X563" s="1"/>
      <c r="Y563" s="8"/>
      <c r="Z563" s="8"/>
      <c r="AA563" s="8"/>
      <c r="AB563" s="8"/>
      <c r="AC563" s="8"/>
      <c r="AD563" s="8"/>
      <c r="AE563" s="8"/>
      <c r="AF563" s="8"/>
      <c r="AG563" s="8"/>
      <c r="AH563" s="8"/>
      <c r="AI563" s="8"/>
    </row>
    <row r="564" spans="1:35">
      <c r="A564" s="1"/>
      <c r="B564" s="94"/>
      <c r="C564" s="8"/>
      <c r="D564" s="8"/>
      <c r="E564" s="8"/>
      <c r="F564" s="94"/>
      <c r="G564" s="94"/>
      <c r="H564" s="94"/>
      <c r="I564" s="94"/>
      <c r="J564" s="94"/>
      <c r="K564" s="94"/>
      <c r="L564" s="94"/>
      <c r="M564" s="26"/>
      <c r="N564" s="26"/>
      <c r="O564" s="55"/>
      <c r="P564" s="1"/>
      <c r="Q564" s="8"/>
      <c r="R564" s="8"/>
      <c r="S564" s="1"/>
      <c r="T564" s="8"/>
      <c r="U564" s="8"/>
      <c r="V564" s="56"/>
      <c r="W564" s="1"/>
      <c r="X564" s="1"/>
      <c r="Y564" s="8"/>
      <c r="Z564" s="8"/>
      <c r="AA564" s="8"/>
      <c r="AB564" s="8"/>
      <c r="AC564" s="8"/>
      <c r="AD564" s="8"/>
      <c r="AE564" s="8"/>
      <c r="AF564" s="8"/>
      <c r="AG564" s="8"/>
      <c r="AH564" s="8"/>
      <c r="AI564" s="8"/>
    </row>
    <row r="565" spans="1:35">
      <c r="A565" s="1"/>
      <c r="B565" s="94"/>
      <c r="C565" s="8"/>
      <c r="D565" s="8"/>
      <c r="E565" s="8"/>
      <c r="F565" s="94"/>
      <c r="G565" s="94"/>
      <c r="H565" s="94"/>
      <c r="I565" s="94"/>
      <c r="J565" s="94"/>
      <c r="K565" s="94"/>
      <c r="L565" s="94"/>
      <c r="M565" s="26"/>
      <c r="N565" s="26"/>
      <c r="O565" s="55"/>
      <c r="P565" s="1"/>
      <c r="Q565" s="8"/>
      <c r="R565" s="8"/>
      <c r="S565" s="1"/>
      <c r="T565" s="8"/>
      <c r="U565" s="8"/>
      <c r="V565" s="56"/>
      <c r="W565" s="1"/>
      <c r="X565" s="1"/>
      <c r="Y565" s="8"/>
      <c r="Z565" s="8"/>
      <c r="AA565" s="8"/>
      <c r="AB565" s="8"/>
      <c r="AC565" s="8"/>
      <c r="AD565" s="8"/>
      <c r="AE565" s="8"/>
      <c r="AF565" s="8"/>
      <c r="AG565" s="8"/>
      <c r="AH565" s="8"/>
      <c r="AI565" s="8"/>
    </row>
    <row r="566" spans="1:35">
      <c r="A566" s="1"/>
      <c r="B566" s="94"/>
      <c r="C566" s="8"/>
      <c r="D566" s="8"/>
      <c r="E566" s="8"/>
      <c r="F566" s="94"/>
      <c r="G566" s="94"/>
      <c r="H566" s="94"/>
      <c r="I566" s="94"/>
      <c r="J566" s="94"/>
      <c r="K566" s="94"/>
      <c r="L566" s="94"/>
      <c r="M566" s="26"/>
      <c r="N566" s="26"/>
      <c r="O566" s="55"/>
      <c r="P566" s="1"/>
      <c r="Q566" s="8"/>
      <c r="R566" s="8"/>
      <c r="S566" s="1"/>
      <c r="T566" s="8"/>
      <c r="U566" s="8"/>
      <c r="V566" s="56"/>
      <c r="W566" s="1"/>
      <c r="X566" s="1"/>
      <c r="Y566" s="8"/>
      <c r="Z566" s="8"/>
      <c r="AA566" s="8"/>
      <c r="AB566" s="8"/>
      <c r="AC566" s="8"/>
      <c r="AD566" s="8"/>
      <c r="AE566" s="8"/>
      <c r="AF566" s="8"/>
      <c r="AG566" s="8"/>
      <c r="AH566" s="8"/>
      <c r="AI566" s="8"/>
    </row>
    <row r="567" spans="1:35">
      <c r="A567" s="1"/>
      <c r="B567" s="94"/>
      <c r="C567" s="8"/>
      <c r="D567" s="8"/>
      <c r="E567" s="8"/>
      <c r="F567" s="94"/>
      <c r="G567" s="94"/>
      <c r="H567" s="94"/>
      <c r="I567" s="94"/>
      <c r="J567" s="94"/>
      <c r="K567" s="94"/>
      <c r="L567" s="94"/>
      <c r="M567" s="26"/>
      <c r="N567" s="26"/>
      <c r="O567" s="55"/>
      <c r="P567" s="1"/>
      <c r="Q567" s="8"/>
      <c r="R567" s="8"/>
      <c r="S567" s="1"/>
      <c r="T567" s="8"/>
      <c r="U567" s="8"/>
      <c r="V567" s="56"/>
      <c r="W567" s="1"/>
      <c r="X567" s="1"/>
      <c r="Y567" s="8"/>
      <c r="Z567" s="8"/>
      <c r="AA567" s="8"/>
      <c r="AB567" s="8"/>
      <c r="AC567" s="8"/>
      <c r="AD567" s="8"/>
      <c r="AE567" s="8"/>
      <c r="AF567" s="8"/>
      <c r="AG567" s="8"/>
      <c r="AH567" s="8"/>
      <c r="AI567" s="8"/>
    </row>
    <row r="568" spans="1:35">
      <c r="A568" s="1"/>
      <c r="B568" s="101"/>
      <c r="C568" s="8"/>
      <c r="D568" s="8"/>
      <c r="E568" s="8"/>
      <c r="F568" s="101"/>
      <c r="G568" s="101"/>
      <c r="H568" s="101"/>
      <c r="I568" s="101"/>
      <c r="J568" s="101"/>
      <c r="K568" s="101"/>
      <c r="L568" s="102"/>
      <c r="M568" s="26"/>
      <c r="N568" s="26"/>
      <c r="O568" s="55"/>
      <c r="P568" s="1"/>
      <c r="Q568" s="8"/>
      <c r="R568" s="8"/>
      <c r="S568" s="1"/>
      <c r="T568" s="8"/>
      <c r="U568" s="8"/>
      <c r="V568" s="56"/>
      <c r="W568" s="1"/>
      <c r="X568" s="1"/>
      <c r="Y568" s="8"/>
      <c r="Z568" s="8"/>
      <c r="AA568" s="8"/>
      <c r="AB568" s="8"/>
      <c r="AC568" s="8"/>
      <c r="AD568" s="8"/>
      <c r="AE568" s="8"/>
      <c r="AF568" s="8"/>
      <c r="AG568" s="8"/>
      <c r="AH568" s="8"/>
      <c r="AI568" s="8"/>
    </row>
    <row r="569" spans="1:35">
      <c r="A569" s="1"/>
      <c r="B569" s="94"/>
      <c r="C569" s="8"/>
      <c r="D569" s="8"/>
      <c r="E569" s="8"/>
      <c r="F569" s="94"/>
      <c r="G569" s="94"/>
      <c r="H569" s="94"/>
      <c r="I569" s="94"/>
      <c r="J569" s="94"/>
      <c r="K569" s="94"/>
      <c r="L569" s="94"/>
      <c r="M569" s="26"/>
      <c r="N569" s="26"/>
      <c r="O569" s="55"/>
      <c r="P569" s="1"/>
      <c r="Q569" s="8"/>
      <c r="R569" s="8"/>
      <c r="S569" s="1"/>
      <c r="T569" s="8"/>
      <c r="U569" s="8"/>
      <c r="V569" s="56"/>
      <c r="W569" s="1"/>
      <c r="X569" s="1"/>
      <c r="Y569" s="8"/>
      <c r="Z569" s="8"/>
      <c r="AA569" s="8"/>
      <c r="AB569" s="8"/>
      <c r="AC569" s="8"/>
      <c r="AD569" s="8"/>
      <c r="AE569" s="8"/>
      <c r="AF569" s="8"/>
      <c r="AG569" s="8"/>
      <c r="AH569" s="8"/>
      <c r="AI569" s="8"/>
    </row>
    <row r="570" spans="1:35">
      <c r="A570" s="1"/>
      <c r="B570" s="94"/>
      <c r="C570" s="8"/>
      <c r="D570" s="8"/>
      <c r="E570" s="8"/>
      <c r="F570" s="94"/>
      <c r="G570" s="94"/>
      <c r="H570" s="94"/>
      <c r="I570" s="94"/>
      <c r="J570" s="94"/>
      <c r="K570" s="94"/>
      <c r="L570" s="94"/>
      <c r="M570" s="26"/>
      <c r="N570" s="26"/>
      <c r="O570" s="55"/>
      <c r="P570" s="1"/>
      <c r="Q570" s="8"/>
      <c r="R570" s="8"/>
      <c r="S570" s="1"/>
      <c r="T570" s="8"/>
      <c r="U570" s="8"/>
      <c r="V570" s="56"/>
      <c r="W570" s="1"/>
      <c r="X570" s="1"/>
      <c r="Y570" s="8"/>
      <c r="Z570" s="8"/>
      <c r="AA570" s="8"/>
      <c r="AB570" s="8"/>
      <c r="AC570" s="8"/>
      <c r="AD570" s="8"/>
      <c r="AE570" s="8"/>
      <c r="AF570" s="8"/>
      <c r="AG570" s="8"/>
      <c r="AH570" s="8"/>
      <c r="AI570" s="8"/>
    </row>
    <row r="571" spans="1:35">
      <c r="A571" s="1"/>
      <c r="B571" s="94"/>
      <c r="C571" s="8"/>
      <c r="D571" s="8"/>
      <c r="E571" s="8"/>
      <c r="F571" s="94"/>
      <c r="G571" s="94"/>
      <c r="H571" s="94"/>
      <c r="I571" s="94"/>
      <c r="J571" s="94"/>
      <c r="K571" s="94"/>
      <c r="L571" s="94"/>
      <c r="M571" s="26"/>
      <c r="N571" s="26"/>
      <c r="O571" s="55"/>
      <c r="P571" s="1"/>
      <c r="Q571" s="8"/>
      <c r="R571" s="8"/>
      <c r="S571" s="1"/>
      <c r="T571" s="8"/>
      <c r="U571" s="8"/>
      <c r="V571" s="56"/>
      <c r="W571" s="1"/>
      <c r="X571" s="1"/>
      <c r="Y571" s="8"/>
      <c r="Z571" s="8"/>
      <c r="AA571" s="8"/>
      <c r="AB571" s="8"/>
      <c r="AC571" s="8"/>
      <c r="AD571" s="8"/>
      <c r="AE571" s="8"/>
      <c r="AF571" s="8"/>
      <c r="AG571" s="8"/>
      <c r="AH571" s="8"/>
      <c r="AI571" s="8"/>
    </row>
    <row r="572" spans="1:35">
      <c r="A572" s="1"/>
      <c r="B572" s="94"/>
      <c r="C572" s="8"/>
      <c r="D572" s="8"/>
      <c r="E572" s="8"/>
      <c r="F572" s="94"/>
      <c r="G572" s="94"/>
      <c r="H572" s="94"/>
      <c r="I572" s="94"/>
      <c r="J572" s="94"/>
      <c r="K572" s="94"/>
      <c r="L572" s="94"/>
      <c r="M572" s="26"/>
      <c r="N572" s="26"/>
      <c r="O572" s="55"/>
      <c r="P572" s="1"/>
      <c r="Q572" s="8"/>
      <c r="R572" s="8"/>
      <c r="S572" s="1"/>
      <c r="T572" s="8"/>
      <c r="U572" s="8"/>
      <c r="V572" s="56"/>
      <c r="W572" s="1"/>
      <c r="X572" s="1"/>
      <c r="Y572" s="8"/>
      <c r="Z572" s="8"/>
      <c r="AA572" s="8"/>
      <c r="AB572" s="8"/>
      <c r="AC572" s="8"/>
      <c r="AD572" s="8"/>
      <c r="AE572" s="8"/>
      <c r="AF572" s="8"/>
      <c r="AG572" s="8"/>
      <c r="AH572" s="8"/>
      <c r="AI572" s="8"/>
    </row>
    <row r="573" spans="1:35">
      <c r="A573" s="1"/>
      <c r="B573" s="101"/>
      <c r="C573" s="8"/>
      <c r="D573" s="8"/>
      <c r="E573" s="8"/>
      <c r="F573" s="101"/>
      <c r="G573" s="101"/>
      <c r="H573" s="101"/>
      <c r="I573" s="101"/>
      <c r="J573" s="101"/>
      <c r="K573" s="101"/>
      <c r="L573" s="102"/>
      <c r="M573" s="26"/>
      <c r="N573" s="26"/>
      <c r="O573" s="55"/>
      <c r="P573" s="1"/>
      <c r="Q573" s="8"/>
      <c r="R573" s="8"/>
      <c r="S573" s="1"/>
      <c r="T573" s="8"/>
      <c r="U573" s="8"/>
      <c r="V573" s="56"/>
      <c r="W573" s="1"/>
      <c r="X573" s="1"/>
      <c r="Y573" s="8"/>
      <c r="Z573" s="8"/>
      <c r="AA573" s="8"/>
      <c r="AB573" s="8"/>
      <c r="AC573" s="8"/>
      <c r="AD573" s="8"/>
      <c r="AE573" s="8"/>
      <c r="AF573" s="8"/>
      <c r="AG573" s="8"/>
      <c r="AH573" s="8"/>
      <c r="AI573" s="8"/>
    </row>
    <row r="574" spans="1:35">
      <c r="A574" s="1"/>
      <c r="B574" s="94"/>
      <c r="C574" s="8"/>
      <c r="D574" s="8"/>
      <c r="E574" s="8"/>
      <c r="F574" s="94"/>
      <c r="G574" s="94"/>
      <c r="H574" s="94"/>
      <c r="I574" s="94"/>
      <c r="J574" s="94"/>
      <c r="K574" s="94"/>
      <c r="L574" s="94"/>
      <c r="M574" s="26"/>
      <c r="N574" s="26"/>
      <c r="O574" s="55"/>
      <c r="P574" s="1"/>
      <c r="Q574" s="8"/>
      <c r="R574" s="8"/>
      <c r="S574" s="1"/>
      <c r="T574" s="8"/>
      <c r="U574" s="8"/>
      <c r="V574" s="56"/>
      <c r="W574" s="1"/>
      <c r="X574" s="1"/>
      <c r="Y574" s="8"/>
      <c r="Z574" s="8"/>
      <c r="AA574" s="8"/>
      <c r="AB574" s="8"/>
      <c r="AC574" s="8"/>
      <c r="AD574" s="8"/>
      <c r="AE574" s="8"/>
      <c r="AF574" s="8"/>
      <c r="AG574" s="8"/>
      <c r="AH574" s="8"/>
      <c r="AI574" s="8"/>
    </row>
    <row r="575" spans="1:35">
      <c r="A575" s="1"/>
      <c r="B575" s="94"/>
      <c r="C575" s="8"/>
      <c r="D575" s="8"/>
      <c r="E575" s="8"/>
      <c r="F575" s="94"/>
      <c r="G575" s="94"/>
      <c r="H575" s="94"/>
      <c r="I575" s="94"/>
      <c r="J575" s="94"/>
      <c r="K575" s="94"/>
      <c r="L575" s="94"/>
      <c r="M575" s="26"/>
      <c r="N575" s="26"/>
      <c r="O575" s="55"/>
      <c r="P575" s="1"/>
      <c r="Q575" s="8"/>
      <c r="R575" s="8"/>
      <c r="S575" s="1"/>
      <c r="T575" s="8"/>
      <c r="U575" s="8"/>
      <c r="V575" s="56"/>
      <c r="W575" s="1"/>
      <c r="X575" s="1"/>
      <c r="Y575" s="8"/>
      <c r="Z575" s="8"/>
      <c r="AA575" s="8"/>
      <c r="AB575" s="8"/>
      <c r="AC575" s="8"/>
      <c r="AD575" s="8"/>
      <c r="AE575" s="8"/>
      <c r="AF575" s="8"/>
      <c r="AG575" s="8"/>
      <c r="AH575" s="8"/>
      <c r="AI575" s="8"/>
    </row>
    <row r="576" spans="1:35">
      <c r="A576" s="1"/>
      <c r="B576" s="94"/>
      <c r="C576" s="8"/>
      <c r="D576" s="8"/>
      <c r="E576" s="8"/>
      <c r="F576" s="94"/>
      <c r="G576" s="94"/>
      <c r="H576" s="94"/>
      <c r="I576" s="94"/>
      <c r="J576" s="94"/>
      <c r="K576" s="94"/>
      <c r="L576" s="94"/>
      <c r="M576" s="26"/>
      <c r="N576" s="26"/>
      <c r="O576" s="55"/>
      <c r="P576" s="1"/>
      <c r="Q576" s="8"/>
      <c r="R576" s="8"/>
      <c r="S576" s="1"/>
      <c r="T576" s="8"/>
      <c r="U576" s="8"/>
      <c r="V576" s="56"/>
      <c r="W576" s="1"/>
      <c r="X576" s="1"/>
      <c r="Y576" s="8"/>
      <c r="Z576" s="8"/>
      <c r="AA576" s="8"/>
      <c r="AB576" s="8"/>
      <c r="AC576" s="8"/>
      <c r="AD576" s="8"/>
      <c r="AE576" s="8"/>
      <c r="AF576" s="8"/>
      <c r="AG576" s="8"/>
      <c r="AH576" s="8"/>
      <c r="AI576" s="8"/>
    </row>
    <row r="577" spans="1:35">
      <c r="A577" s="1"/>
      <c r="B577" s="94"/>
      <c r="C577" s="8"/>
      <c r="D577" s="8"/>
      <c r="E577" s="8"/>
      <c r="F577" s="94"/>
      <c r="G577" s="94"/>
      <c r="H577" s="94"/>
      <c r="I577" s="94"/>
      <c r="J577" s="94"/>
      <c r="K577" s="94"/>
      <c r="L577" s="94"/>
      <c r="M577" s="26"/>
      <c r="N577" s="26"/>
      <c r="O577" s="55"/>
      <c r="P577" s="1"/>
      <c r="Q577" s="8"/>
      <c r="R577" s="8"/>
      <c r="S577" s="1"/>
      <c r="T577" s="8"/>
      <c r="U577" s="8"/>
      <c r="V577" s="56"/>
      <c r="W577" s="1"/>
      <c r="X577" s="1"/>
      <c r="Y577" s="8"/>
      <c r="Z577" s="8"/>
      <c r="AA577" s="8"/>
      <c r="AB577" s="8"/>
      <c r="AC577" s="8"/>
      <c r="AD577" s="8"/>
      <c r="AE577" s="8"/>
      <c r="AF577" s="8"/>
      <c r="AG577" s="8"/>
      <c r="AH577" s="8"/>
      <c r="AI577" s="8"/>
    </row>
    <row r="578" spans="1:35">
      <c r="A578" s="1"/>
      <c r="B578" s="101"/>
      <c r="C578" s="8"/>
      <c r="D578" s="8"/>
      <c r="E578" s="8"/>
      <c r="F578" s="101"/>
      <c r="G578" s="101"/>
      <c r="H578" s="101"/>
      <c r="I578" s="101"/>
      <c r="J578" s="101"/>
      <c r="K578" s="101"/>
      <c r="L578" s="102"/>
      <c r="M578" s="26"/>
      <c r="N578" s="26"/>
      <c r="O578" s="55"/>
      <c r="P578" s="1"/>
      <c r="Q578" s="8"/>
      <c r="R578" s="8"/>
      <c r="S578" s="1"/>
      <c r="T578" s="8"/>
      <c r="U578" s="8"/>
      <c r="V578" s="56"/>
      <c r="W578" s="1"/>
      <c r="X578" s="1"/>
      <c r="Y578" s="8"/>
      <c r="Z578" s="8"/>
      <c r="AA578" s="8"/>
      <c r="AB578" s="8"/>
      <c r="AC578" s="8"/>
      <c r="AD578" s="8"/>
      <c r="AE578" s="8"/>
      <c r="AF578" s="8"/>
      <c r="AG578" s="8"/>
      <c r="AH578" s="8"/>
      <c r="AI578" s="8"/>
    </row>
    <row r="579" spans="1:35">
      <c r="A579" s="1"/>
      <c r="B579" s="94"/>
      <c r="C579" s="8"/>
      <c r="D579" s="8"/>
      <c r="E579" s="8"/>
      <c r="F579" s="94"/>
      <c r="G579" s="94"/>
      <c r="H579" s="94"/>
      <c r="I579" s="94"/>
      <c r="J579" s="94"/>
      <c r="K579" s="94"/>
      <c r="L579" s="94"/>
      <c r="M579" s="26"/>
      <c r="N579" s="26"/>
      <c r="O579" s="55"/>
      <c r="P579" s="1"/>
      <c r="Q579" s="8"/>
      <c r="R579" s="8"/>
      <c r="S579" s="1"/>
      <c r="T579" s="8"/>
      <c r="U579" s="8"/>
      <c r="V579" s="56"/>
      <c r="W579" s="1"/>
      <c r="X579" s="1"/>
      <c r="Y579" s="8"/>
      <c r="Z579" s="8"/>
      <c r="AA579" s="8"/>
      <c r="AB579" s="8"/>
      <c r="AC579" s="8"/>
      <c r="AD579" s="8"/>
      <c r="AE579" s="8"/>
      <c r="AF579" s="8"/>
      <c r="AG579" s="8"/>
      <c r="AH579" s="8"/>
      <c r="AI579" s="8"/>
    </row>
    <row r="580" spans="1:35">
      <c r="A580" s="1"/>
      <c r="B580" s="94"/>
      <c r="C580" s="8"/>
      <c r="D580" s="8"/>
      <c r="E580" s="8"/>
      <c r="F580" s="94"/>
      <c r="G580" s="94"/>
      <c r="H580" s="94"/>
      <c r="I580" s="94"/>
      <c r="J580" s="94"/>
      <c r="K580" s="94"/>
      <c r="L580" s="94"/>
      <c r="M580" s="26"/>
      <c r="N580" s="26"/>
      <c r="O580" s="55"/>
      <c r="P580" s="1"/>
      <c r="Q580" s="8"/>
      <c r="R580" s="8"/>
      <c r="S580" s="1"/>
      <c r="T580" s="8"/>
      <c r="U580" s="8"/>
      <c r="V580" s="56"/>
      <c r="W580" s="1"/>
      <c r="X580" s="1"/>
      <c r="Y580" s="8"/>
      <c r="Z580" s="8"/>
      <c r="AA580" s="8"/>
      <c r="AB580" s="8"/>
      <c r="AC580" s="8"/>
      <c r="AD580" s="8"/>
      <c r="AE580" s="8"/>
      <c r="AF580" s="8"/>
      <c r="AG580" s="8"/>
      <c r="AH580" s="8"/>
      <c r="AI580" s="8"/>
    </row>
    <row r="581" spans="1:35">
      <c r="A581" s="1"/>
      <c r="B581" s="94"/>
      <c r="C581" s="8"/>
      <c r="D581" s="8"/>
      <c r="E581" s="8"/>
      <c r="F581" s="94"/>
      <c r="G581" s="94"/>
      <c r="H581" s="94"/>
      <c r="I581" s="94"/>
      <c r="J581" s="94"/>
      <c r="K581" s="94"/>
      <c r="L581" s="94"/>
      <c r="M581" s="26"/>
      <c r="N581" s="26"/>
      <c r="O581" s="55"/>
      <c r="P581" s="1"/>
      <c r="Q581" s="8"/>
      <c r="R581" s="8"/>
      <c r="S581" s="1"/>
      <c r="T581" s="8"/>
      <c r="U581" s="8"/>
      <c r="V581" s="56"/>
      <c r="W581" s="1"/>
      <c r="X581" s="1"/>
      <c r="Y581" s="8"/>
      <c r="Z581" s="8"/>
      <c r="AA581" s="8"/>
      <c r="AB581" s="8"/>
      <c r="AC581" s="8"/>
      <c r="AD581" s="8"/>
      <c r="AE581" s="8"/>
      <c r="AF581" s="8"/>
      <c r="AG581" s="8"/>
      <c r="AH581" s="8"/>
      <c r="AI581" s="8"/>
    </row>
    <row r="582" spans="1:35">
      <c r="A582" s="1"/>
      <c r="B582" s="94"/>
      <c r="C582" s="8"/>
      <c r="D582" s="8"/>
      <c r="E582" s="8"/>
      <c r="F582" s="94"/>
      <c r="G582" s="94"/>
      <c r="H582" s="94"/>
      <c r="I582" s="94"/>
      <c r="J582" s="94"/>
      <c r="K582" s="94"/>
      <c r="L582" s="94"/>
      <c r="M582" s="26"/>
      <c r="N582" s="26"/>
      <c r="O582" s="55"/>
      <c r="P582" s="1"/>
      <c r="Q582" s="8"/>
      <c r="R582" s="8"/>
      <c r="S582" s="1"/>
      <c r="T582" s="8"/>
      <c r="U582" s="8"/>
      <c r="V582" s="56"/>
      <c r="W582" s="1"/>
      <c r="X582" s="1"/>
      <c r="Y582" s="8"/>
      <c r="Z582" s="8"/>
      <c r="AA582" s="8"/>
      <c r="AB582" s="8"/>
      <c r="AC582" s="8"/>
      <c r="AD582" s="8"/>
      <c r="AE582" s="8"/>
      <c r="AF582" s="8"/>
      <c r="AG582" s="8"/>
      <c r="AH582" s="8"/>
      <c r="AI582" s="8"/>
    </row>
    <row r="583" spans="1:35">
      <c r="A583" s="1"/>
      <c r="B583" s="101"/>
      <c r="C583" s="8"/>
      <c r="D583" s="8"/>
      <c r="E583" s="8"/>
      <c r="F583" s="101"/>
      <c r="G583" s="101"/>
      <c r="H583" s="101"/>
      <c r="I583" s="101"/>
      <c r="J583" s="101"/>
      <c r="K583" s="101"/>
      <c r="L583" s="102"/>
      <c r="M583" s="26"/>
      <c r="N583" s="26"/>
      <c r="O583" s="55"/>
      <c r="P583" s="1"/>
      <c r="Q583" s="8"/>
      <c r="R583" s="8"/>
      <c r="S583" s="1"/>
      <c r="T583" s="8"/>
      <c r="U583" s="8"/>
      <c r="V583" s="56"/>
      <c r="W583" s="1"/>
      <c r="X583" s="1"/>
      <c r="Y583" s="8"/>
      <c r="Z583" s="8"/>
      <c r="AA583" s="8"/>
      <c r="AB583" s="8"/>
      <c r="AC583" s="8"/>
      <c r="AD583" s="8"/>
      <c r="AE583" s="8"/>
      <c r="AF583" s="8"/>
      <c r="AG583" s="8"/>
      <c r="AH583" s="8"/>
      <c r="AI583" s="8"/>
    </row>
    <row r="584" spans="1:35">
      <c r="A584" s="1"/>
      <c r="B584" s="94"/>
      <c r="C584" s="8"/>
      <c r="D584" s="8"/>
      <c r="E584" s="8"/>
      <c r="F584" s="94"/>
      <c r="G584" s="94"/>
      <c r="H584" s="94"/>
      <c r="I584" s="94"/>
      <c r="J584" s="94"/>
      <c r="K584" s="94"/>
      <c r="L584" s="94"/>
      <c r="M584" s="26"/>
      <c r="N584" s="26"/>
      <c r="O584" s="55"/>
      <c r="P584" s="1"/>
      <c r="Q584" s="8"/>
      <c r="R584" s="8"/>
      <c r="S584" s="1"/>
      <c r="T584" s="8"/>
      <c r="U584" s="8"/>
      <c r="V584" s="56"/>
      <c r="W584" s="1"/>
      <c r="X584" s="1"/>
      <c r="Y584" s="8"/>
      <c r="Z584" s="8"/>
      <c r="AA584" s="8"/>
      <c r="AB584" s="8"/>
      <c r="AC584" s="8"/>
      <c r="AD584" s="8"/>
      <c r="AE584" s="8"/>
      <c r="AF584" s="8"/>
      <c r="AG584" s="8"/>
      <c r="AH584" s="8"/>
      <c r="AI584" s="8"/>
    </row>
    <row r="585" spans="1:35">
      <c r="A585" s="1"/>
      <c r="B585" s="94"/>
      <c r="C585" s="8"/>
      <c r="D585" s="8"/>
      <c r="E585" s="8"/>
      <c r="F585" s="94"/>
      <c r="G585" s="94"/>
      <c r="H585" s="94"/>
      <c r="I585" s="94"/>
      <c r="J585" s="94"/>
      <c r="K585" s="94"/>
      <c r="L585" s="94"/>
      <c r="M585" s="26"/>
      <c r="N585" s="26"/>
      <c r="O585" s="55"/>
      <c r="P585" s="1"/>
      <c r="Q585" s="8"/>
      <c r="R585" s="8"/>
      <c r="S585" s="1"/>
      <c r="T585" s="8"/>
      <c r="U585" s="8"/>
      <c r="V585" s="56"/>
      <c r="W585" s="1"/>
      <c r="X585" s="1"/>
      <c r="Y585" s="8"/>
      <c r="Z585" s="8"/>
      <c r="AA585" s="8"/>
      <c r="AB585" s="8"/>
      <c r="AC585" s="8"/>
      <c r="AD585" s="8"/>
      <c r="AE585" s="8"/>
      <c r="AF585" s="8"/>
      <c r="AG585" s="8"/>
      <c r="AH585" s="8"/>
      <c r="AI585" s="8"/>
    </row>
    <row r="586" spans="1:35">
      <c r="A586" s="1"/>
      <c r="B586" s="94"/>
      <c r="C586" s="8"/>
      <c r="D586" s="8"/>
      <c r="E586" s="8"/>
      <c r="F586" s="94"/>
      <c r="G586" s="94"/>
      <c r="H586" s="94"/>
      <c r="I586" s="94"/>
      <c r="J586" s="94"/>
      <c r="K586" s="94"/>
      <c r="L586" s="94"/>
      <c r="M586" s="26"/>
      <c r="N586" s="26"/>
      <c r="O586" s="55"/>
      <c r="P586" s="1"/>
      <c r="Q586" s="8"/>
      <c r="R586" s="8"/>
      <c r="S586" s="1"/>
      <c r="T586" s="8"/>
      <c r="U586" s="8"/>
      <c r="V586" s="56"/>
      <c r="W586" s="1"/>
      <c r="X586" s="1"/>
      <c r="Y586" s="8"/>
      <c r="Z586" s="8"/>
      <c r="AA586" s="8"/>
      <c r="AB586" s="8"/>
      <c r="AC586" s="8"/>
      <c r="AD586" s="8"/>
      <c r="AE586" s="8"/>
      <c r="AF586" s="8"/>
      <c r="AG586" s="8"/>
      <c r="AH586" s="8"/>
      <c r="AI586" s="8"/>
    </row>
    <row r="587" spans="1:35">
      <c r="A587" s="1"/>
      <c r="B587" s="94"/>
      <c r="C587" s="8"/>
      <c r="D587" s="8"/>
      <c r="E587" s="8"/>
      <c r="F587" s="94"/>
      <c r="G587" s="94"/>
      <c r="H587" s="94"/>
      <c r="I587" s="94"/>
      <c r="J587" s="94"/>
      <c r="K587" s="94"/>
      <c r="L587" s="94"/>
      <c r="M587" s="26"/>
      <c r="N587" s="26"/>
      <c r="O587" s="55"/>
      <c r="P587" s="1"/>
      <c r="Q587" s="8"/>
      <c r="R587" s="8"/>
      <c r="S587" s="1"/>
      <c r="T587" s="8"/>
      <c r="U587" s="8"/>
      <c r="V587" s="56"/>
      <c r="W587" s="1"/>
      <c r="X587" s="1"/>
      <c r="Y587" s="8"/>
      <c r="Z587" s="8"/>
      <c r="AA587" s="8"/>
      <c r="AB587" s="8"/>
      <c r="AC587" s="8"/>
      <c r="AD587" s="8"/>
      <c r="AE587" s="8"/>
      <c r="AF587" s="8"/>
      <c r="AG587" s="8"/>
      <c r="AH587" s="8"/>
      <c r="AI587" s="8"/>
    </row>
    <row r="588" spans="1:35">
      <c r="A588" s="1"/>
      <c r="B588" s="101"/>
      <c r="C588" s="8"/>
      <c r="D588" s="8"/>
      <c r="E588" s="8"/>
      <c r="F588" s="101"/>
      <c r="G588" s="101"/>
      <c r="H588" s="101"/>
      <c r="I588" s="101"/>
      <c r="J588" s="101"/>
      <c r="K588" s="101"/>
      <c r="L588" s="102"/>
      <c r="M588" s="26"/>
      <c r="N588" s="26"/>
      <c r="O588" s="55"/>
      <c r="P588" s="1"/>
      <c r="Q588" s="8"/>
      <c r="R588" s="8"/>
      <c r="S588" s="1"/>
      <c r="T588" s="8"/>
      <c r="U588" s="8"/>
      <c r="V588" s="56"/>
      <c r="W588" s="1"/>
      <c r="X588" s="1"/>
      <c r="Y588" s="8"/>
      <c r="Z588" s="8"/>
      <c r="AA588" s="8"/>
      <c r="AB588" s="8"/>
      <c r="AC588" s="8"/>
      <c r="AD588" s="8"/>
      <c r="AE588" s="8"/>
      <c r="AF588" s="8"/>
      <c r="AG588" s="8"/>
      <c r="AH588" s="8"/>
      <c r="AI588" s="8"/>
    </row>
    <row r="589" spans="1:35">
      <c r="A589" s="1"/>
      <c r="B589" s="94"/>
      <c r="C589" s="8"/>
      <c r="D589" s="8"/>
      <c r="E589" s="8"/>
      <c r="F589" s="94"/>
      <c r="G589" s="94"/>
      <c r="H589" s="94"/>
      <c r="I589" s="94"/>
      <c r="J589" s="94"/>
      <c r="K589" s="94"/>
      <c r="L589" s="94"/>
      <c r="M589" s="26"/>
      <c r="N589" s="26"/>
      <c r="O589" s="55"/>
      <c r="P589" s="1"/>
      <c r="Q589" s="8"/>
      <c r="R589" s="8"/>
      <c r="S589" s="1"/>
      <c r="T589" s="8"/>
      <c r="U589" s="8"/>
      <c r="V589" s="56"/>
      <c r="W589" s="1"/>
      <c r="X589" s="1"/>
      <c r="Y589" s="8"/>
      <c r="Z589" s="8"/>
      <c r="AA589" s="8"/>
      <c r="AB589" s="8"/>
      <c r="AC589" s="8"/>
      <c r="AD589" s="8"/>
      <c r="AE589" s="8"/>
      <c r="AF589" s="8"/>
      <c r="AG589" s="8"/>
      <c r="AH589" s="8"/>
      <c r="AI589" s="8"/>
    </row>
    <row r="590" spans="1:35">
      <c r="A590" s="1"/>
      <c r="B590" s="94"/>
      <c r="C590" s="8"/>
      <c r="D590" s="8"/>
      <c r="E590" s="8"/>
      <c r="F590" s="94"/>
      <c r="G590" s="94"/>
      <c r="H590" s="94"/>
      <c r="I590" s="94"/>
      <c r="J590" s="94"/>
      <c r="K590" s="94"/>
      <c r="L590" s="94"/>
      <c r="M590" s="26"/>
      <c r="N590" s="26"/>
      <c r="O590" s="55"/>
      <c r="P590" s="1"/>
      <c r="Q590" s="8"/>
      <c r="R590" s="8"/>
      <c r="S590" s="1"/>
      <c r="T590" s="8"/>
      <c r="U590" s="8"/>
      <c r="V590" s="56"/>
      <c r="W590" s="1"/>
      <c r="X590" s="1"/>
      <c r="Y590" s="8"/>
      <c r="Z590" s="8"/>
      <c r="AA590" s="8"/>
      <c r="AB590" s="8"/>
      <c r="AC590" s="8"/>
      <c r="AD590" s="8"/>
      <c r="AE590" s="8"/>
      <c r="AF590" s="8"/>
      <c r="AG590" s="8"/>
      <c r="AH590" s="8"/>
      <c r="AI590" s="8"/>
    </row>
    <row r="591" spans="1:35">
      <c r="A591" s="1"/>
      <c r="B591" s="94"/>
      <c r="C591" s="8"/>
      <c r="D591" s="8"/>
      <c r="E591" s="8"/>
      <c r="F591" s="94"/>
      <c r="G591" s="94"/>
      <c r="H591" s="94"/>
      <c r="I591" s="94"/>
      <c r="J591" s="94"/>
      <c r="K591" s="94"/>
      <c r="L591" s="94"/>
      <c r="M591" s="26"/>
      <c r="N591" s="26"/>
      <c r="O591" s="55"/>
      <c r="P591" s="1"/>
      <c r="Q591" s="8"/>
      <c r="R591" s="8"/>
      <c r="S591" s="1"/>
      <c r="T591" s="8"/>
      <c r="U591" s="8"/>
      <c r="V591" s="56"/>
      <c r="W591" s="1"/>
      <c r="X591" s="1"/>
      <c r="Y591" s="8"/>
      <c r="Z591" s="8"/>
      <c r="AA591" s="8"/>
      <c r="AB591" s="8"/>
      <c r="AC591" s="8"/>
      <c r="AD591" s="8"/>
      <c r="AE591" s="8"/>
      <c r="AF591" s="8"/>
      <c r="AG591" s="8"/>
      <c r="AH591" s="8"/>
      <c r="AI591" s="8"/>
    </row>
    <row r="592" spans="1:35">
      <c r="A592" s="1"/>
      <c r="B592" s="94"/>
      <c r="C592" s="8"/>
      <c r="D592" s="8"/>
      <c r="E592" s="8"/>
      <c r="F592" s="94"/>
      <c r="G592" s="94"/>
      <c r="H592" s="94"/>
      <c r="I592" s="94"/>
      <c r="J592" s="94"/>
      <c r="K592" s="94"/>
      <c r="L592" s="94"/>
      <c r="M592" s="26"/>
      <c r="N592" s="26"/>
      <c r="O592" s="55"/>
      <c r="P592" s="1"/>
      <c r="Q592" s="8"/>
      <c r="R592" s="8"/>
      <c r="S592" s="1"/>
      <c r="T592" s="8"/>
      <c r="U592" s="8"/>
      <c r="V592" s="56"/>
      <c r="W592" s="1"/>
      <c r="X592" s="1"/>
      <c r="Y592" s="8"/>
      <c r="Z592" s="8"/>
      <c r="AA592" s="8"/>
      <c r="AB592" s="8"/>
      <c r="AC592" s="8"/>
      <c r="AD592" s="8"/>
      <c r="AE592" s="8"/>
      <c r="AF592" s="8"/>
      <c r="AG592" s="8"/>
      <c r="AH592" s="8"/>
      <c r="AI592" s="8"/>
    </row>
    <row r="593" spans="1:35">
      <c r="A593" s="1"/>
      <c r="B593" s="101"/>
      <c r="C593" s="8"/>
      <c r="D593" s="8"/>
      <c r="E593" s="8"/>
      <c r="F593" s="101"/>
      <c r="G593" s="101"/>
      <c r="H593" s="101"/>
      <c r="I593" s="101"/>
      <c r="J593" s="101"/>
      <c r="K593" s="101"/>
      <c r="L593" s="102"/>
      <c r="M593" s="26"/>
      <c r="N593" s="26"/>
      <c r="O593" s="55"/>
      <c r="P593" s="1"/>
      <c r="Q593" s="8"/>
      <c r="R593" s="8"/>
      <c r="S593" s="1"/>
      <c r="T593" s="8"/>
      <c r="U593" s="8"/>
      <c r="V593" s="56"/>
      <c r="W593" s="1"/>
      <c r="X593" s="1"/>
      <c r="Y593" s="8"/>
      <c r="Z593" s="8"/>
      <c r="AA593" s="8"/>
      <c r="AB593" s="8"/>
      <c r="AC593" s="8"/>
      <c r="AD593" s="8"/>
      <c r="AE593" s="8"/>
      <c r="AF593" s="8"/>
      <c r="AG593" s="8"/>
      <c r="AH593" s="8"/>
      <c r="AI593" s="8"/>
    </row>
    <row r="594" spans="1:35">
      <c r="A594" s="1"/>
      <c r="B594" s="94"/>
      <c r="C594" s="8"/>
      <c r="D594" s="8"/>
      <c r="E594" s="8"/>
      <c r="F594" s="94"/>
      <c r="G594" s="94"/>
      <c r="H594" s="94"/>
      <c r="I594" s="94"/>
      <c r="J594" s="94"/>
      <c r="K594" s="94"/>
      <c r="L594" s="94"/>
      <c r="M594" s="26"/>
      <c r="N594" s="26"/>
      <c r="O594" s="55"/>
      <c r="P594" s="1"/>
      <c r="Q594" s="8"/>
      <c r="R594" s="8"/>
      <c r="S594" s="1"/>
      <c r="T594" s="8"/>
      <c r="U594" s="8"/>
      <c r="V594" s="56"/>
      <c r="W594" s="1"/>
      <c r="X594" s="1"/>
      <c r="Y594" s="8"/>
      <c r="Z594" s="8"/>
      <c r="AA594" s="8"/>
      <c r="AB594" s="8"/>
      <c r="AC594" s="8"/>
      <c r="AD594" s="8"/>
      <c r="AE594" s="8"/>
      <c r="AF594" s="8"/>
      <c r="AG594" s="8"/>
      <c r="AH594" s="8"/>
      <c r="AI594" s="8"/>
    </row>
    <row r="595" spans="1:35">
      <c r="A595" s="1"/>
      <c r="B595" s="94"/>
      <c r="C595" s="8"/>
      <c r="D595" s="8"/>
      <c r="E595" s="8"/>
      <c r="F595" s="94"/>
      <c r="G595" s="94"/>
      <c r="H595" s="94"/>
      <c r="I595" s="94"/>
      <c r="J595" s="94"/>
      <c r="K595" s="94"/>
      <c r="L595" s="94"/>
      <c r="M595" s="26"/>
      <c r="N595" s="26"/>
      <c r="O595" s="55"/>
      <c r="P595" s="1"/>
      <c r="Q595" s="8"/>
      <c r="R595" s="8"/>
      <c r="S595" s="1"/>
      <c r="T595" s="8"/>
      <c r="U595" s="8"/>
      <c r="V595" s="56"/>
      <c r="W595" s="1"/>
      <c r="X595" s="1"/>
      <c r="Y595" s="8"/>
      <c r="Z595" s="8"/>
      <c r="AA595" s="8"/>
      <c r="AB595" s="8"/>
      <c r="AC595" s="8"/>
      <c r="AD595" s="8"/>
      <c r="AE595" s="8"/>
      <c r="AF595" s="8"/>
      <c r="AG595" s="8"/>
      <c r="AH595" s="8"/>
      <c r="AI595" s="8"/>
    </row>
    <row r="596" spans="1:35">
      <c r="A596" s="1"/>
      <c r="B596" s="94"/>
      <c r="C596" s="8"/>
      <c r="D596" s="8"/>
      <c r="E596" s="8"/>
      <c r="F596" s="94"/>
      <c r="G596" s="94"/>
      <c r="H596" s="94"/>
      <c r="I596" s="94"/>
      <c r="J596" s="94"/>
      <c r="K596" s="94"/>
      <c r="L596" s="94"/>
      <c r="M596" s="26"/>
      <c r="N596" s="26"/>
      <c r="O596" s="55"/>
      <c r="P596" s="1"/>
      <c r="Q596" s="8"/>
      <c r="R596" s="8"/>
      <c r="S596" s="1"/>
      <c r="T596" s="8"/>
      <c r="U596" s="8"/>
      <c r="V596" s="56"/>
      <c r="W596" s="1"/>
      <c r="X596" s="1"/>
      <c r="Y596" s="8"/>
      <c r="Z596" s="8"/>
      <c r="AA596" s="8"/>
      <c r="AB596" s="8"/>
      <c r="AC596" s="8"/>
      <c r="AD596" s="8"/>
      <c r="AE596" s="8"/>
      <c r="AF596" s="8"/>
      <c r="AG596" s="8"/>
      <c r="AH596" s="8"/>
      <c r="AI596" s="8"/>
    </row>
    <row r="597" spans="1:35">
      <c r="A597" s="1"/>
      <c r="B597" s="94"/>
      <c r="C597" s="8"/>
      <c r="D597" s="8"/>
      <c r="E597" s="8"/>
      <c r="F597" s="94"/>
      <c r="G597" s="94"/>
      <c r="H597" s="94"/>
      <c r="I597" s="94"/>
      <c r="J597" s="94"/>
      <c r="K597" s="94"/>
      <c r="L597" s="94"/>
      <c r="M597" s="26"/>
      <c r="N597" s="26"/>
      <c r="O597" s="55"/>
      <c r="P597" s="1"/>
      <c r="Q597" s="8"/>
      <c r="R597" s="8"/>
      <c r="S597" s="1"/>
      <c r="T597" s="8"/>
      <c r="U597" s="8"/>
      <c r="V597" s="56"/>
      <c r="W597" s="1"/>
      <c r="X597" s="1"/>
      <c r="Y597" s="8"/>
      <c r="Z597" s="8"/>
      <c r="AA597" s="8"/>
      <c r="AB597" s="8"/>
      <c r="AC597" s="8"/>
      <c r="AD597" s="8"/>
      <c r="AE597" s="8"/>
      <c r="AF597" s="8"/>
      <c r="AG597" s="8"/>
      <c r="AH597" s="8"/>
      <c r="AI597" s="8"/>
    </row>
    <row r="598" spans="1:35">
      <c r="A598" s="1"/>
      <c r="B598" s="8"/>
      <c r="C598" s="8"/>
      <c r="D598" s="8"/>
      <c r="E598" s="8"/>
      <c r="F598" s="8"/>
      <c r="G598" s="8"/>
      <c r="H598" s="8"/>
      <c r="I598" s="8"/>
      <c r="J598" s="8"/>
      <c r="K598" s="8"/>
      <c r="L598" s="26"/>
      <c r="M598" s="26"/>
      <c r="N598" s="26"/>
      <c r="O598" s="55"/>
      <c r="P598" s="1"/>
      <c r="Q598" s="8"/>
      <c r="R598" s="8"/>
      <c r="S598" s="1"/>
      <c r="T598" s="8"/>
      <c r="U598" s="8"/>
      <c r="V598" s="56"/>
      <c r="W598" s="1"/>
      <c r="X598" s="1"/>
      <c r="Y598" s="8"/>
      <c r="Z598" s="8"/>
      <c r="AA598" s="8"/>
      <c r="AB598" s="8"/>
      <c r="AC598" s="8"/>
      <c r="AD598" s="8"/>
      <c r="AE598" s="8"/>
      <c r="AF598" s="8"/>
      <c r="AG598" s="8"/>
      <c r="AH598" s="8"/>
      <c r="AI598" s="8"/>
    </row>
    <row r="599" spans="1:35">
      <c r="A599" s="1"/>
      <c r="B599" s="8"/>
      <c r="C599" s="8"/>
      <c r="D599" s="8"/>
      <c r="E599" s="8"/>
      <c r="F599" s="8"/>
      <c r="G599" s="8"/>
      <c r="H599" s="8"/>
      <c r="I599" s="8"/>
      <c r="J599" s="8"/>
      <c r="K599" s="8"/>
      <c r="L599" s="26"/>
      <c r="M599" s="26"/>
      <c r="N599" s="26"/>
      <c r="O599" s="55"/>
      <c r="P599" s="1"/>
      <c r="Q599" s="8"/>
      <c r="R599" s="8"/>
      <c r="S599" s="1"/>
      <c r="T599" s="8"/>
      <c r="U599" s="8"/>
      <c r="V599" s="56"/>
      <c r="W599" s="1"/>
      <c r="X599" s="1"/>
      <c r="Y599" s="8"/>
      <c r="Z599" s="8"/>
      <c r="AA599" s="8"/>
      <c r="AB599" s="8"/>
      <c r="AC599" s="8"/>
      <c r="AD599" s="8"/>
      <c r="AE599" s="8"/>
      <c r="AF599" s="8"/>
      <c r="AG599" s="8"/>
      <c r="AH599" s="8"/>
      <c r="AI599" s="8"/>
    </row>
    <row r="600" spans="1:35">
      <c r="A600" s="1"/>
      <c r="B600" s="8"/>
      <c r="C600" s="8"/>
      <c r="D600" s="8"/>
      <c r="E600" s="8"/>
      <c r="F600" s="8"/>
      <c r="G600" s="8"/>
      <c r="H600" s="8"/>
      <c r="I600" s="8"/>
      <c r="J600" s="8"/>
      <c r="K600" s="8"/>
      <c r="L600" s="26"/>
      <c r="M600" s="26"/>
      <c r="N600" s="26"/>
      <c r="O600" s="55"/>
      <c r="P600" s="1"/>
      <c r="Q600" s="8"/>
      <c r="R600" s="8"/>
      <c r="S600" s="1"/>
      <c r="T600" s="8"/>
      <c r="U600" s="8"/>
      <c r="V600" s="56"/>
      <c r="W600" s="1"/>
      <c r="X600" s="1"/>
      <c r="Y600" s="8"/>
      <c r="Z600" s="8"/>
      <c r="AA600" s="8"/>
      <c r="AB600" s="8"/>
      <c r="AC600" s="8"/>
      <c r="AD600" s="8"/>
      <c r="AE600" s="8"/>
      <c r="AF600" s="8"/>
      <c r="AG600" s="8"/>
      <c r="AH600" s="8"/>
      <c r="AI600" s="8"/>
    </row>
    <row r="601" spans="1:35">
      <c r="A601" s="1"/>
      <c r="B601" s="8"/>
      <c r="C601" s="8"/>
      <c r="D601" s="8"/>
      <c r="E601" s="8"/>
      <c r="F601" s="8"/>
      <c r="G601" s="8"/>
      <c r="H601" s="8"/>
      <c r="I601" s="8"/>
      <c r="J601" s="8"/>
      <c r="K601" s="8"/>
      <c r="L601" s="26"/>
      <c r="M601" s="26"/>
      <c r="N601" s="26"/>
      <c r="O601" s="55"/>
      <c r="P601" s="1"/>
      <c r="Q601" s="8"/>
      <c r="R601" s="8"/>
      <c r="S601" s="1"/>
      <c r="T601" s="8"/>
      <c r="U601" s="8"/>
      <c r="V601" s="56"/>
      <c r="W601" s="1"/>
      <c r="X601" s="1"/>
      <c r="Y601" s="8"/>
      <c r="Z601" s="8"/>
      <c r="AA601" s="8"/>
      <c r="AB601" s="8"/>
      <c r="AC601" s="8"/>
      <c r="AD601" s="8"/>
      <c r="AE601" s="8"/>
      <c r="AF601" s="8"/>
      <c r="AG601" s="8"/>
      <c r="AH601" s="8"/>
      <c r="AI601" s="8"/>
    </row>
    <row r="602" spans="1:35">
      <c r="A602" s="1"/>
      <c r="B602" s="8"/>
      <c r="C602" s="8"/>
      <c r="D602" s="8"/>
      <c r="E602" s="8"/>
      <c r="F602" s="8"/>
      <c r="G602" s="8"/>
      <c r="H602" s="8"/>
      <c r="I602" s="8"/>
      <c r="J602" s="8"/>
      <c r="K602" s="8"/>
      <c r="L602" s="26"/>
      <c r="M602" s="26"/>
      <c r="N602" s="26"/>
      <c r="O602" s="55"/>
      <c r="P602" s="1"/>
      <c r="Q602" s="8"/>
      <c r="R602" s="8"/>
      <c r="S602" s="1"/>
      <c r="T602" s="8"/>
      <c r="U602" s="8"/>
      <c r="V602" s="56"/>
      <c r="W602" s="1"/>
      <c r="X602" s="1"/>
      <c r="Y602" s="8"/>
      <c r="Z602" s="8"/>
      <c r="AA602" s="8"/>
      <c r="AB602" s="8"/>
      <c r="AC602" s="8"/>
      <c r="AD602" s="8"/>
      <c r="AE602" s="8"/>
      <c r="AF602" s="8"/>
      <c r="AG602" s="8"/>
      <c r="AH602" s="8"/>
      <c r="AI602" s="8"/>
    </row>
    <row r="603" spans="1:35">
      <c r="A603" s="1"/>
      <c r="B603" s="8"/>
      <c r="C603" s="8"/>
      <c r="D603" s="8"/>
      <c r="E603" s="8"/>
      <c r="F603" s="8"/>
      <c r="G603" s="8"/>
      <c r="H603" s="8"/>
      <c r="I603" s="8"/>
      <c r="J603" s="8"/>
      <c r="K603" s="8"/>
      <c r="L603" s="26"/>
      <c r="M603" s="26"/>
      <c r="N603" s="26"/>
      <c r="O603" s="55"/>
      <c r="P603" s="1"/>
      <c r="Q603" s="8"/>
      <c r="R603" s="8"/>
      <c r="S603" s="1"/>
      <c r="T603" s="8"/>
      <c r="U603" s="8"/>
      <c r="V603" s="56"/>
      <c r="W603" s="1"/>
      <c r="X603" s="1"/>
      <c r="Y603" s="8"/>
      <c r="Z603" s="8"/>
      <c r="AA603" s="8"/>
      <c r="AB603" s="8"/>
      <c r="AC603" s="8"/>
      <c r="AD603" s="8"/>
      <c r="AE603" s="8"/>
      <c r="AF603" s="8"/>
      <c r="AG603" s="8"/>
      <c r="AH603" s="8"/>
      <c r="AI603" s="8"/>
    </row>
    <row r="604" spans="1:35">
      <c r="A604" s="1"/>
      <c r="B604" s="8"/>
      <c r="C604" s="8"/>
      <c r="D604" s="8"/>
      <c r="E604" s="8"/>
      <c r="F604" s="8"/>
      <c r="G604" s="8"/>
      <c r="H604" s="8"/>
      <c r="I604" s="8"/>
      <c r="J604" s="8"/>
      <c r="K604" s="8"/>
      <c r="L604" s="26"/>
      <c r="M604" s="26"/>
      <c r="N604" s="26"/>
      <c r="O604" s="55"/>
      <c r="P604" s="1"/>
      <c r="Q604" s="8"/>
      <c r="R604" s="8"/>
      <c r="S604" s="1"/>
      <c r="T604" s="8"/>
      <c r="U604" s="8"/>
      <c r="V604" s="56"/>
      <c r="W604" s="1"/>
      <c r="X604" s="1"/>
      <c r="Y604" s="8"/>
      <c r="Z604" s="8"/>
      <c r="AA604" s="8"/>
      <c r="AB604" s="8"/>
      <c r="AC604" s="8"/>
      <c r="AD604" s="8"/>
      <c r="AE604" s="8"/>
      <c r="AF604" s="8"/>
      <c r="AG604" s="8"/>
      <c r="AH604" s="8"/>
      <c r="AI604" s="8"/>
    </row>
    <row r="605" spans="1:35">
      <c r="A605" s="1"/>
      <c r="B605" s="8"/>
      <c r="C605" s="8"/>
      <c r="D605" s="8"/>
      <c r="E605" s="8"/>
      <c r="F605" s="8"/>
      <c r="G605" s="8"/>
      <c r="H605" s="8"/>
      <c r="I605" s="8"/>
      <c r="J605" s="8"/>
      <c r="K605" s="8"/>
      <c r="L605" s="26"/>
      <c r="M605" s="26"/>
      <c r="N605" s="26"/>
      <c r="O605" s="55"/>
      <c r="P605" s="1"/>
      <c r="Q605" s="8"/>
      <c r="R605" s="8"/>
      <c r="S605" s="1"/>
      <c r="T605" s="8"/>
      <c r="U605" s="8"/>
      <c r="V605" s="56"/>
      <c r="W605" s="1"/>
      <c r="X605" s="1"/>
      <c r="Y605" s="8"/>
      <c r="Z605" s="8"/>
      <c r="AA605" s="8"/>
      <c r="AB605" s="8"/>
      <c r="AC605" s="8"/>
      <c r="AD605" s="8"/>
      <c r="AE605" s="8"/>
      <c r="AF605" s="8"/>
      <c r="AG605" s="8"/>
      <c r="AH605" s="8"/>
      <c r="AI605" s="8"/>
    </row>
    <row r="606" spans="1:35">
      <c r="A606" s="1"/>
      <c r="B606" s="8"/>
      <c r="C606" s="8"/>
      <c r="D606" s="8"/>
      <c r="E606" s="8"/>
      <c r="F606" s="8"/>
      <c r="G606" s="8"/>
      <c r="H606" s="8"/>
      <c r="I606" s="8"/>
      <c r="J606" s="8"/>
      <c r="K606" s="8"/>
      <c r="L606" s="26"/>
      <c r="M606" s="26"/>
      <c r="N606" s="26"/>
      <c r="O606" s="55"/>
      <c r="P606" s="1"/>
      <c r="Q606" s="8"/>
      <c r="R606" s="8"/>
      <c r="S606" s="1"/>
      <c r="T606" s="8"/>
      <c r="U606" s="8"/>
      <c r="V606" s="56"/>
      <c r="W606" s="1"/>
      <c r="X606" s="1"/>
      <c r="Y606" s="8"/>
      <c r="Z606" s="8"/>
      <c r="AA606" s="8"/>
      <c r="AB606" s="8"/>
      <c r="AC606" s="8"/>
      <c r="AD606" s="8"/>
      <c r="AE606" s="8"/>
      <c r="AF606" s="8"/>
      <c r="AG606" s="8"/>
      <c r="AH606" s="8"/>
      <c r="AI606" s="8"/>
    </row>
    <row r="607" spans="1:35">
      <c r="A607" s="1"/>
      <c r="B607" s="8"/>
      <c r="C607" s="8"/>
      <c r="D607" s="8"/>
      <c r="E607" s="8"/>
      <c r="F607" s="8"/>
      <c r="G607" s="8"/>
      <c r="H607" s="8"/>
      <c r="I607" s="8"/>
      <c r="J607" s="8"/>
      <c r="K607" s="8"/>
      <c r="L607" s="26"/>
      <c r="M607" s="26"/>
      <c r="N607" s="26"/>
      <c r="O607" s="55"/>
      <c r="P607" s="1"/>
      <c r="Q607" s="8"/>
      <c r="R607" s="8"/>
      <c r="S607" s="1"/>
      <c r="T607" s="8"/>
      <c r="U607" s="8"/>
      <c r="V607" s="56"/>
      <c r="W607" s="1"/>
      <c r="X607" s="1"/>
      <c r="Y607" s="8"/>
      <c r="Z607" s="8"/>
      <c r="AA607" s="8"/>
      <c r="AB607" s="8"/>
      <c r="AC607" s="8"/>
      <c r="AD607" s="8"/>
      <c r="AE607" s="8"/>
      <c r="AF607" s="8"/>
      <c r="AG607" s="8"/>
      <c r="AH607" s="8"/>
      <c r="AI607" s="8"/>
    </row>
    <row r="608" spans="1:35">
      <c r="A608" s="1"/>
      <c r="B608" s="8"/>
      <c r="C608" s="8"/>
      <c r="D608" s="8"/>
      <c r="E608" s="8"/>
      <c r="F608" s="8"/>
      <c r="G608" s="8"/>
      <c r="H608" s="8"/>
      <c r="I608" s="8"/>
      <c r="J608" s="8"/>
      <c r="K608" s="8"/>
      <c r="L608" s="26"/>
      <c r="M608" s="26"/>
      <c r="N608" s="26"/>
      <c r="O608" s="55"/>
      <c r="P608" s="1"/>
      <c r="Q608" s="8"/>
      <c r="R608" s="8"/>
      <c r="S608" s="1"/>
      <c r="T608" s="8"/>
      <c r="U608" s="8"/>
      <c r="V608" s="56"/>
      <c r="W608" s="1"/>
      <c r="X608" s="1"/>
      <c r="Y608" s="8"/>
      <c r="Z608" s="8"/>
      <c r="AA608" s="8"/>
      <c r="AB608" s="8"/>
      <c r="AC608" s="8"/>
      <c r="AD608" s="8"/>
      <c r="AE608" s="8"/>
      <c r="AF608" s="8"/>
      <c r="AG608" s="8"/>
      <c r="AH608" s="8"/>
      <c r="AI608" s="8"/>
    </row>
    <row r="609" spans="1:35">
      <c r="A609" s="1"/>
      <c r="B609" s="8"/>
      <c r="C609" s="8"/>
      <c r="D609" s="8"/>
      <c r="E609" s="8"/>
      <c r="F609" s="8"/>
      <c r="G609" s="8"/>
      <c r="H609" s="8"/>
      <c r="I609" s="8"/>
      <c r="J609" s="8"/>
      <c r="K609" s="8"/>
      <c r="L609" s="26"/>
      <c r="M609" s="26"/>
      <c r="N609" s="26"/>
      <c r="O609" s="55"/>
      <c r="P609" s="1"/>
      <c r="Q609" s="8"/>
      <c r="R609" s="8"/>
      <c r="S609" s="1"/>
      <c r="T609" s="8"/>
      <c r="U609" s="8"/>
      <c r="V609" s="56"/>
      <c r="W609" s="1"/>
      <c r="X609" s="1"/>
      <c r="Y609" s="8"/>
      <c r="Z609" s="8"/>
      <c r="AA609" s="8"/>
      <c r="AB609" s="8"/>
      <c r="AC609" s="8"/>
      <c r="AD609" s="8"/>
      <c r="AE609" s="8"/>
      <c r="AF609" s="8"/>
      <c r="AG609" s="8"/>
      <c r="AH609" s="8"/>
      <c r="AI609" s="8"/>
    </row>
    <row r="610" spans="1:35">
      <c r="A610" s="1"/>
      <c r="B610" s="8"/>
      <c r="C610" s="8"/>
      <c r="D610" s="8"/>
      <c r="E610" s="8"/>
      <c r="F610" s="8"/>
      <c r="G610" s="8"/>
      <c r="H610" s="8"/>
      <c r="I610" s="8"/>
      <c r="J610" s="8"/>
      <c r="K610" s="8"/>
      <c r="L610" s="26"/>
      <c r="M610" s="26"/>
      <c r="N610" s="26"/>
      <c r="O610" s="55"/>
      <c r="P610" s="1"/>
      <c r="Q610" s="8"/>
      <c r="R610" s="8"/>
      <c r="S610" s="1"/>
      <c r="T610" s="8"/>
      <c r="U610" s="8"/>
      <c r="V610" s="56"/>
      <c r="W610" s="1"/>
      <c r="X610" s="1"/>
      <c r="Y610" s="8"/>
      <c r="Z610" s="8"/>
      <c r="AA610" s="8"/>
      <c r="AB610" s="8"/>
      <c r="AC610" s="8"/>
      <c r="AD610" s="8"/>
      <c r="AE610" s="8"/>
      <c r="AF610" s="8"/>
      <c r="AG610" s="8"/>
      <c r="AH610" s="8"/>
      <c r="AI610" s="8"/>
    </row>
    <row r="611" spans="1:35">
      <c r="A611" s="1"/>
      <c r="B611" s="8"/>
      <c r="C611" s="8"/>
      <c r="D611" s="8"/>
      <c r="E611" s="8"/>
      <c r="F611" s="8"/>
      <c r="G611" s="8"/>
      <c r="H611" s="8"/>
      <c r="I611" s="8"/>
      <c r="J611" s="8"/>
      <c r="K611" s="8"/>
      <c r="L611" s="26"/>
      <c r="M611" s="26"/>
      <c r="N611" s="26"/>
      <c r="O611" s="55"/>
      <c r="P611" s="1"/>
      <c r="Q611" s="8"/>
      <c r="R611" s="8"/>
      <c r="S611" s="1"/>
      <c r="T611" s="8"/>
      <c r="U611" s="8"/>
      <c r="V611" s="56"/>
      <c r="W611" s="1"/>
      <c r="X611" s="1"/>
      <c r="Y611" s="8"/>
      <c r="Z611" s="8"/>
      <c r="AA611" s="8"/>
      <c r="AB611" s="8"/>
      <c r="AC611" s="8"/>
      <c r="AD611" s="8"/>
      <c r="AE611" s="8"/>
      <c r="AF611" s="8"/>
      <c r="AG611" s="8"/>
      <c r="AH611" s="8"/>
      <c r="AI611" s="8"/>
    </row>
    <row r="612" spans="1:35">
      <c r="A612" s="1"/>
      <c r="B612" s="8"/>
      <c r="C612" s="8"/>
      <c r="D612" s="8"/>
      <c r="E612" s="8"/>
      <c r="F612" s="8"/>
      <c r="G612" s="8"/>
      <c r="H612" s="8"/>
      <c r="I612" s="8"/>
      <c r="J612" s="8"/>
      <c r="K612" s="8"/>
      <c r="L612" s="26"/>
      <c r="M612" s="26"/>
      <c r="N612" s="26"/>
      <c r="O612" s="55"/>
      <c r="P612" s="1"/>
      <c r="Q612" s="8"/>
      <c r="R612" s="8"/>
      <c r="S612" s="1"/>
      <c r="T612" s="8"/>
      <c r="U612" s="8"/>
      <c r="V612" s="56"/>
      <c r="W612" s="1"/>
      <c r="X612" s="1"/>
      <c r="Y612" s="8"/>
      <c r="Z612" s="8"/>
      <c r="AA612" s="8"/>
      <c r="AB612" s="8"/>
      <c r="AC612" s="8"/>
      <c r="AD612" s="8"/>
      <c r="AE612" s="8"/>
      <c r="AF612" s="8"/>
      <c r="AG612" s="8"/>
      <c r="AH612" s="8"/>
      <c r="AI612" s="8"/>
    </row>
    <row r="613" spans="1:35">
      <c r="A613" s="1"/>
      <c r="B613" s="8"/>
      <c r="C613" s="8"/>
      <c r="D613" s="8"/>
      <c r="E613" s="8"/>
      <c r="F613" s="8"/>
      <c r="G613" s="8"/>
      <c r="H613" s="8"/>
      <c r="I613" s="8"/>
      <c r="J613" s="8"/>
      <c r="K613" s="8"/>
      <c r="L613" s="26"/>
      <c r="M613" s="26"/>
      <c r="N613" s="26"/>
      <c r="O613" s="55"/>
      <c r="P613" s="1"/>
      <c r="Q613" s="8"/>
      <c r="R613" s="8"/>
      <c r="S613" s="1"/>
      <c r="T613" s="8"/>
      <c r="U613" s="8"/>
      <c r="V613" s="56"/>
      <c r="W613" s="1"/>
      <c r="X613" s="1"/>
      <c r="Y613" s="8"/>
      <c r="Z613" s="8"/>
      <c r="AA613" s="8"/>
      <c r="AB613" s="8"/>
      <c r="AC613" s="8"/>
      <c r="AD613" s="8"/>
      <c r="AE613" s="8"/>
      <c r="AF613" s="8"/>
      <c r="AG613" s="8"/>
      <c r="AH613" s="8"/>
      <c r="AI613" s="8"/>
    </row>
    <row r="614" spans="1:35">
      <c r="A614" s="1"/>
      <c r="B614" s="8"/>
      <c r="C614" s="8"/>
      <c r="D614" s="8"/>
      <c r="E614" s="8"/>
      <c r="F614" s="8"/>
      <c r="G614" s="8"/>
      <c r="H614" s="8"/>
      <c r="I614" s="8"/>
      <c r="J614" s="8"/>
      <c r="K614" s="8"/>
      <c r="L614" s="26"/>
      <c r="M614" s="26"/>
      <c r="N614" s="26"/>
      <c r="O614" s="55"/>
      <c r="P614" s="1"/>
      <c r="Q614" s="8"/>
      <c r="R614" s="8"/>
      <c r="S614" s="1"/>
      <c r="T614" s="8"/>
      <c r="U614" s="8"/>
      <c r="V614" s="56"/>
      <c r="W614" s="1"/>
      <c r="X614" s="1"/>
      <c r="Y614" s="8"/>
      <c r="Z614" s="8"/>
      <c r="AA614" s="8"/>
      <c r="AB614" s="8"/>
      <c r="AC614" s="8"/>
      <c r="AD614" s="8"/>
      <c r="AE614" s="8"/>
      <c r="AF614" s="8"/>
      <c r="AG614" s="8"/>
      <c r="AH614" s="8"/>
      <c r="AI614" s="8"/>
    </row>
    <row r="615" spans="1:35">
      <c r="A615" s="1"/>
      <c r="B615" s="8"/>
      <c r="C615" s="8"/>
      <c r="D615" s="8"/>
      <c r="E615" s="8"/>
      <c r="F615" s="8"/>
      <c r="G615" s="8"/>
      <c r="H615" s="8"/>
      <c r="I615" s="8"/>
      <c r="J615" s="8"/>
      <c r="K615" s="8"/>
      <c r="L615" s="26"/>
      <c r="M615" s="26"/>
      <c r="N615" s="26"/>
      <c r="O615" s="55"/>
      <c r="P615" s="1"/>
      <c r="Q615" s="8"/>
      <c r="R615" s="8"/>
      <c r="S615" s="1"/>
      <c r="T615" s="8"/>
      <c r="U615" s="8"/>
      <c r="V615" s="56"/>
      <c r="W615" s="1"/>
      <c r="X615" s="1"/>
      <c r="Y615" s="8"/>
      <c r="Z615" s="8"/>
      <c r="AA615" s="8"/>
      <c r="AB615" s="8"/>
      <c r="AC615" s="8"/>
      <c r="AD615" s="8"/>
      <c r="AE615" s="8"/>
      <c r="AF615" s="8"/>
      <c r="AG615" s="8"/>
      <c r="AH615" s="8"/>
      <c r="AI615" s="8"/>
    </row>
    <row r="616" spans="1:35">
      <c r="A616" s="1"/>
      <c r="B616" s="8"/>
      <c r="C616" s="8"/>
      <c r="D616" s="8"/>
      <c r="E616" s="8"/>
      <c r="F616" s="8"/>
      <c r="G616" s="8"/>
      <c r="H616" s="8"/>
      <c r="I616" s="8"/>
      <c r="J616" s="8"/>
      <c r="K616" s="8"/>
      <c r="L616" s="26"/>
      <c r="M616" s="26"/>
      <c r="N616" s="26"/>
      <c r="O616" s="55"/>
      <c r="P616" s="1"/>
      <c r="Q616" s="8"/>
      <c r="R616" s="8"/>
      <c r="S616" s="1"/>
      <c r="T616" s="8"/>
      <c r="U616" s="8"/>
      <c r="V616" s="56"/>
      <c r="W616" s="1"/>
      <c r="X616" s="1"/>
      <c r="Y616" s="8"/>
      <c r="Z616" s="8"/>
      <c r="AA616" s="8"/>
      <c r="AB616" s="8"/>
      <c r="AC616" s="8"/>
      <c r="AD616" s="8"/>
      <c r="AE616" s="8"/>
      <c r="AF616" s="8"/>
      <c r="AG616" s="8"/>
      <c r="AH616" s="8"/>
      <c r="AI616" s="8"/>
    </row>
    <row r="617" spans="1:35">
      <c r="A617" s="1"/>
      <c r="B617" s="8"/>
      <c r="C617" s="8"/>
      <c r="D617" s="8"/>
      <c r="E617" s="8"/>
      <c r="F617" s="8"/>
      <c r="G617" s="8"/>
      <c r="H617" s="8"/>
      <c r="I617" s="8"/>
      <c r="J617" s="8"/>
      <c r="K617" s="8"/>
      <c r="L617" s="26"/>
      <c r="M617" s="26"/>
      <c r="N617" s="26"/>
      <c r="O617" s="55"/>
      <c r="P617" s="1"/>
      <c r="Q617" s="8"/>
      <c r="R617" s="8"/>
      <c r="S617" s="1"/>
      <c r="T617" s="8"/>
      <c r="U617" s="8"/>
      <c r="V617" s="56"/>
      <c r="W617" s="1"/>
      <c r="X617" s="1"/>
      <c r="Y617" s="8"/>
      <c r="Z617" s="8"/>
      <c r="AA617" s="8"/>
      <c r="AB617" s="8"/>
      <c r="AC617" s="8"/>
      <c r="AD617" s="8"/>
      <c r="AE617" s="8"/>
      <c r="AF617" s="8"/>
      <c r="AG617" s="8"/>
      <c r="AH617" s="8"/>
      <c r="AI617" s="8"/>
    </row>
    <row r="618" spans="1:35">
      <c r="A618" s="1"/>
      <c r="B618" s="8"/>
      <c r="C618" s="8"/>
      <c r="D618" s="8"/>
      <c r="E618" s="8"/>
      <c r="F618" s="8"/>
      <c r="G618" s="8"/>
      <c r="H618" s="8"/>
      <c r="I618" s="8"/>
      <c r="J618" s="8"/>
      <c r="K618" s="8"/>
      <c r="L618" s="26"/>
      <c r="M618" s="26"/>
      <c r="N618" s="26"/>
      <c r="O618" s="55"/>
      <c r="P618" s="1"/>
      <c r="Q618" s="8"/>
      <c r="R618" s="8"/>
      <c r="S618" s="1"/>
      <c r="T618" s="8"/>
      <c r="U618" s="8"/>
      <c r="V618" s="56"/>
      <c r="W618" s="1"/>
      <c r="X618" s="1"/>
      <c r="Y618" s="8"/>
      <c r="Z618" s="8"/>
      <c r="AA618" s="8"/>
      <c r="AB618" s="8"/>
      <c r="AC618" s="8"/>
      <c r="AD618" s="8"/>
      <c r="AE618" s="8"/>
      <c r="AF618" s="8"/>
      <c r="AG618" s="8"/>
      <c r="AH618" s="8"/>
      <c r="AI618" s="8"/>
    </row>
    <row r="619" spans="1:35">
      <c r="A619" s="1"/>
      <c r="B619" s="8"/>
      <c r="C619" s="8"/>
      <c r="D619" s="8"/>
      <c r="E619" s="8"/>
      <c r="F619" s="8"/>
      <c r="G619" s="8"/>
      <c r="H619" s="8"/>
      <c r="I619" s="8"/>
      <c r="J619" s="8"/>
      <c r="K619" s="8"/>
      <c r="L619" s="26"/>
      <c r="M619" s="26"/>
      <c r="N619" s="26"/>
      <c r="O619" s="55"/>
      <c r="P619" s="1"/>
      <c r="Q619" s="8"/>
      <c r="R619" s="8"/>
      <c r="S619" s="1"/>
      <c r="T619" s="8"/>
      <c r="U619" s="8"/>
      <c r="V619" s="56"/>
      <c r="W619" s="1"/>
      <c r="X619" s="1"/>
      <c r="Y619" s="8"/>
      <c r="Z619" s="8"/>
      <c r="AA619" s="8"/>
      <c r="AB619" s="8"/>
      <c r="AC619" s="8"/>
      <c r="AD619" s="8"/>
      <c r="AE619" s="8"/>
      <c r="AF619" s="8"/>
      <c r="AG619" s="8"/>
      <c r="AH619" s="8"/>
      <c r="AI619" s="8"/>
    </row>
    <row r="620" spans="1:35">
      <c r="A620" s="1"/>
      <c r="B620" s="8"/>
      <c r="C620" s="8"/>
      <c r="D620" s="8"/>
      <c r="E620" s="8"/>
      <c r="F620" s="8"/>
      <c r="G620" s="8"/>
      <c r="H620" s="8"/>
      <c r="I620" s="8"/>
      <c r="J620" s="8"/>
      <c r="K620" s="8"/>
      <c r="L620" s="26"/>
      <c r="M620" s="26"/>
      <c r="N620" s="26"/>
      <c r="O620" s="55"/>
      <c r="P620" s="1"/>
      <c r="Q620" s="8"/>
      <c r="R620" s="8"/>
      <c r="S620" s="1"/>
      <c r="T620" s="8"/>
      <c r="U620" s="8"/>
      <c r="V620" s="56"/>
      <c r="W620" s="1"/>
      <c r="X620" s="1"/>
      <c r="Y620" s="8"/>
      <c r="Z620" s="8"/>
      <c r="AA620" s="8"/>
      <c r="AB620" s="8"/>
      <c r="AC620" s="8"/>
      <c r="AD620" s="8"/>
      <c r="AE620" s="8"/>
      <c r="AF620" s="8"/>
      <c r="AG620" s="8"/>
      <c r="AH620" s="8"/>
      <c r="AI620" s="8"/>
    </row>
    <row r="621" spans="1:35">
      <c r="A621" s="1"/>
      <c r="B621" s="8"/>
      <c r="C621" s="8"/>
      <c r="D621" s="8"/>
      <c r="E621" s="8"/>
      <c r="F621" s="8"/>
      <c r="G621" s="8"/>
      <c r="H621" s="8"/>
      <c r="I621" s="8"/>
      <c r="J621" s="8"/>
      <c r="K621" s="8"/>
      <c r="L621" s="26"/>
      <c r="M621" s="26"/>
      <c r="N621" s="26"/>
      <c r="O621" s="55"/>
      <c r="P621" s="1"/>
      <c r="Q621" s="8"/>
      <c r="R621" s="8"/>
      <c r="S621" s="1"/>
      <c r="T621" s="8"/>
      <c r="U621" s="8"/>
      <c r="V621" s="56"/>
      <c r="W621" s="1"/>
      <c r="X621" s="1"/>
      <c r="Y621" s="8"/>
      <c r="Z621" s="8"/>
      <c r="AA621" s="8"/>
      <c r="AB621" s="8"/>
      <c r="AC621" s="8"/>
      <c r="AD621" s="8"/>
      <c r="AE621" s="8"/>
      <c r="AF621" s="8"/>
      <c r="AG621" s="8"/>
      <c r="AH621" s="8"/>
      <c r="AI621" s="8"/>
    </row>
    <row r="622" spans="1:35">
      <c r="A622" s="1"/>
      <c r="B622" s="8"/>
      <c r="C622" s="8"/>
      <c r="D622" s="8"/>
      <c r="E622" s="8"/>
      <c r="F622" s="8"/>
      <c r="G622" s="8"/>
      <c r="H622" s="8"/>
      <c r="I622" s="8"/>
      <c r="J622" s="8"/>
      <c r="K622" s="8"/>
      <c r="L622" s="26"/>
      <c r="M622" s="26"/>
      <c r="N622" s="26"/>
      <c r="O622" s="55"/>
      <c r="P622" s="1"/>
      <c r="Q622" s="8"/>
      <c r="R622" s="8"/>
      <c r="S622" s="1"/>
      <c r="T622" s="8"/>
      <c r="U622" s="8"/>
      <c r="V622" s="56"/>
      <c r="W622" s="1"/>
      <c r="X622" s="1"/>
      <c r="Y622" s="8"/>
      <c r="Z622" s="8"/>
      <c r="AA622" s="8"/>
      <c r="AB622" s="8"/>
      <c r="AC622" s="8"/>
      <c r="AD622" s="8"/>
      <c r="AE622" s="8"/>
      <c r="AF622" s="8"/>
      <c r="AG622" s="8"/>
      <c r="AH622" s="8"/>
      <c r="AI622" s="8"/>
    </row>
    <row r="623" spans="1:35">
      <c r="A623" s="1"/>
      <c r="B623" s="8"/>
      <c r="C623" s="8"/>
      <c r="D623" s="8"/>
      <c r="E623" s="8"/>
      <c r="F623" s="8"/>
      <c r="G623" s="8"/>
      <c r="H623" s="8"/>
      <c r="I623" s="8"/>
      <c r="J623" s="8"/>
      <c r="K623" s="8"/>
      <c r="L623" s="26"/>
      <c r="M623" s="26"/>
      <c r="N623" s="26"/>
      <c r="O623" s="55"/>
      <c r="P623" s="1"/>
      <c r="Q623" s="8"/>
      <c r="R623" s="8"/>
      <c r="S623" s="1"/>
      <c r="T623" s="8"/>
      <c r="U623" s="8"/>
      <c r="V623" s="56"/>
      <c r="W623" s="1"/>
      <c r="X623" s="1"/>
      <c r="Y623" s="8"/>
      <c r="Z623" s="8"/>
      <c r="AA623" s="8"/>
      <c r="AB623" s="8"/>
      <c r="AC623" s="8"/>
      <c r="AD623" s="8"/>
      <c r="AE623" s="8"/>
      <c r="AF623" s="8"/>
      <c r="AG623" s="8"/>
      <c r="AH623" s="8"/>
      <c r="AI623" s="8"/>
    </row>
    <row r="624" spans="1:35">
      <c r="A624" s="1"/>
      <c r="B624" s="8"/>
      <c r="C624" s="8"/>
      <c r="D624" s="8"/>
      <c r="E624" s="8"/>
      <c r="F624" s="8"/>
      <c r="G624" s="8"/>
      <c r="H624" s="8"/>
      <c r="I624" s="8"/>
      <c r="J624" s="8"/>
      <c r="K624" s="8"/>
      <c r="L624" s="26"/>
      <c r="M624" s="26"/>
      <c r="N624" s="26"/>
      <c r="O624" s="55"/>
      <c r="P624" s="1"/>
      <c r="Q624" s="8"/>
      <c r="R624" s="8"/>
      <c r="S624" s="1"/>
      <c r="T624" s="8"/>
      <c r="U624" s="8"/>
      <c r="V624" s="56"/>
      <c r="W624" s="1"/>
      <c r="X624" s="1"/>
      <c r="Y624" s="8"/>
      <c r="Z624" s="8"/>
      <c r="AA624" s="8"/>
      <c r="AB624" s="8"/>
      <c r="AC624" s="8"/>
      <c r="AD624" s="8"/>
      <c r="AE624" s="8"/>
      <c r="AF624" s="8"/>
      <c r="AG624" s="8"/>
      <c r="AH624" s="8"/>
      <c r="AI624" s="8"/>
    </row>
    <row r="625" spans="1:35">
      <c r="A625" s="1"/>
      <c r="B625" s="8"/>
      <c r="C625" s="8"/>
      <c r="D625" s="8"/>
      <c r="E625" s="8"/>
      <c r="F625" s="8"/>
      <c r="G625" s="8"/>
      <c r="H625" s="8"/>
      <c r="I625" s="8"/>
      <c r="J625" s="8"/>
      <c r="K625" s="8"/>
      <c r="L625" s="26"/>
      <c r="M625" s="26"/>
      <c r="N625" s="26"/>
      <c r="O625" s="55"/>
      <c r="P625" s="1"/>
      <c r="Q625" s="8"/>
      <c r="R625" s="8"/>
      <c r="S625" s="1"/>
      <c r="T625" s="8"/>
      <c r="U625" s="8"/>
      <c r="V625" s="56"/>
      <c r="W625" s="1"/>
      <c r="X625" s="1"/>
      <c r="Y625" s="8"/>
      <c r="Z625" s="8"/>
      <c r="AA625" s="8"/>
      <c r="AB625" s="8"/>
      <c r="AC625" s="8"/>
      <c r="AD625" s="8"/>
      <c r="AE625" s="8"/>
      <c r="AF625" s="8"/>
      <c r="AG625" s="8"/>
      <c r="AH625" s="8"/>
      <c r="AI625" s="8"/>
    </row>
    <row r="626" spans="1:35">
      <c r="A626" s="1"/>
      <c r="B626" s="8"/>
      <c r="C626" s="8"/>
      <c r="D626" s="8"/>
      <c r="E626" s="8"/>
      <c r="F626" s="8"/>
      <c r="G626" s="8"/>
      <c r="H626" s="8"/>
      <c r="I626" s="8"/>
      <c r="J626" s="8"/>
      <c r="K626" s="8"/>
      <c r="L626" s="26"/>
      <c r="M626" s="26"/>
      <c r="N626" s="26"/>
      <c r="O626" s="55"/>
      <c r="P626" s="1"/>
      <c r="Q626" s="8"/>
      <c r="R626" s="8"/>
      <c r="S626" s="1"/>
      <c r="T626" s="8"/>
      <c r="U626" s="8"/>
      <c r="V626" s="56"/>
      <c r="W626" s="1"/>
      <c r="X626" s="1"/>
      <c r="Y626" s="8"/>
      <c r="Z626" s="8"/>
      <c r="AA626" s="8"/>
      <c r="AB626" s="8"/>
      <c r="AC626" s="8"/>
      <c r="AD626" s="8"/>
      <c r="AE626" s="8"/>
      <c r="AF626" s="8"/>
      <c r="AG626" s="8"/>
      <c r="AH626" s="8"/>
      <c r="AI626" s="8"/>
    </row>
    <row r="627" spans="1:35">
      <c r="A627" s="1"/>
      <c r="B627" s="8"/>
      <c r="C627" s="8"/>
      <c r="D627" s="8"/>
      <c r="E627" s="8"/>
      <c r="F627" s="8"/>
      <c r="G627" s="8"/>
      <c r="H627" s="8"/>
      <c r="I627" s="8"/>
      <c r="J627" s="8"/>
      <c r="K627" s="8"/>
      <c r="L627" s="26"/>
      <c r="M627" s="26"/>
      <c r="N627" s="26"/>
      <c r="O627" s="55"/>
      <c r="P627" s="1"/>
      <c r="Q627" s="8"/>
      <c r="R627" s="8"/>
      <c r="S627" s="1"/>
      <c r="T627" s="8"/>
      <c r="U627" s="8"/>
      <c r="V627" s="56"/>
      <c r="W627" s="1"/>
      <c r="X627" s="1"/>
      <c r="Y627" s="8"/>
      <c r="Z627" s="8"/>
      <c r="AA627" s="8"/>
      <c r="AB627" s="8"/>
      <c r="AC627" s="8"/>
      <c r="AD627" s="8"/>
      <c r="AE627" s="8"/>
      <c r="AF627" s="8"/>
      <c r="AG627" s="8"/>
      <c r="AH627" s="8"/>
      <c r="AI627" s="8"/>
    </row>
    <row r="628" spans="1:35">
      <c r="A628" s="1"/>
      <c r="B628" s="8"/>
      <c r="C628" s="8"/>
      <c r="D628" s="8"/>
      <c r="E628" s="8"/>
      <c r="F628" s="8"/>
      <c r="G628" s="8"/>
      <c r="H628" s="8"/>
      <c r="I628" s="8"/>
      <c r="J628" s="8"/>
      <c r="K628" s="8"/>
      <c r="L628" s="26"/>
      <c r="M628" s="26"/>
      <c r="N628" s="26"/>
      <c r="O628" s="55"/>
      <c r="P628" s="1"/>
      <c r="Q628" s="8"/>
      <c r="R628" s="8"/>
      <c r="S628" s="1"/>
      <c r="T628" s="8"/>
      <c r="U628" s="8"/>
      <c r="V628" s="56"/>
      <c r="W628" s="1"/>
      <c r="X628" s="1"/>
      <c r="Y628" s="8"/>
      <c r="Z628" s="8"/>
      <c r="AA628" s="8"/>
      <c r="AB628" s="8"/>
      <c r="AC628" s="8"/>
      <c r="AD628" s="8"/>
      <c r="AE628" s="8"/>
      <c r="AF628" s="8"/>
      <c r="AG628" s="8"/>
      <c r="AH628" s="8"/>
      <c r="AI628" s="8"/>
    </row>
    <row r="629" spans="1:35">
      <c r="A629" s="1"/>
      <c r="B629" s="8"/>
      <c r="C629" s="8"/>
      <c r="D629" s="8"/>
      <c r="E629" s="8"/>
      <c r="F629" s="8"/>
      <c r="G629" s="8"/>
      <c r="H629" s="8"/>
      <c r="I629" s="8"/>
      <c r="J629" s="8"/>
      <c r="K629" s="8"/>
      <c r="L629" s="26"/>
      <c r="M629" s="26"/>
      <c r="N629" s="26"/>
      <c r="O629" s="55"/>
      <c r="P629" s="1"/>
      <c r="Q629" s="8"/>
      <c r="R629" s="8"/>
      <c r="S629" s="1"/>
      <c r="T629" s="8"/>
      <c r="U629" s="8"/>
      <c r="V629" s="56"/>
      <c r="W629" s="1"/>
      <c r="X629" s="1"/>
      <c r="Y629" s="8"/>
      <c r="Z629" s="8"/>
      <c r="AA629" s="8"/>
      <c r="AB629" s="8"/>
      <c r="AC629" s="8"/>
      <c r="AD629" s="8"/>
      <c r="AE629" s="8"/>
      <c r="AF629" s="8"/>
      <c r="AG629" s="8"/>
      <c r="AH629" s="8"/>
      <c r="AI629" s="8"/>
    </row>
    <row r="630" spans="1:35">
      <c r="A630" s="1"/>
      <c r="B630" s="8"/>
      <c r="C630" s="8"/>
      <c r="D630" s="8"/>
      <c r="E630" s="8"/>
      <c r="F630" s="8"/>
      <c r="G630" s="8"/>
      <c r="H630" s="8"/>
      <c r="I630" s="8"/>
      <c r="J630" s="8"/>
      <c r="K630" s="8"/>
      <c r="L630" s="26"/>
      <c r="M630" s="26"/>
      <c r="N630" s="26"/>
      <c r="O630" s="55"/>
      <c r="P630" s="1"/>
      <c r="Q630" s="8"/>
      <c r="R630" s="8"/>
      <c r="S630" s="1"/>
      <c r="T630" s="8"/>
      <c r="U630" s="8"/>
      <c r="V630" s="56"/>
      <c r="W630" s="1"/>
      <c r="X630" s="1"/>
      <c r="Y630" s="8"/>
      <c r="Z630" s="8"/>
      <c r="AA630" s="8"/>
      <c r="AB630" s="8"/>
      <c r="AC630" s="8"/>
      <c r="AD630" s="8"/>
      <c r="AE630" s="8"/>
      <c r="AF630" s="8"/>
      <c r="AG630" s="8"/>
      <c r="AH630" s="8"/>
      <c r="AI630" s="8"/>
    </row>
    <row r="631" spans="1:35">
      <c r="A631" s="1"/>
      <c r="B631" s="8"/>
      <c r="C631" s="8"/>
      <c r="D631" s="8"/>
      <c r="E631" s="8"/>
      <c r="F631" s="8"/>
      <c r="G631" s="8"/>
      <c r="H631" s="8"/>
      <c r="I631" s="8"/>
      <c r="J631" s="8"/>
      <c r="K631" s="8"/>
      <c r="L631" s="26"/>
      <c r="M631" s="26"/>
      <c r="N631" s="26"/>
      <c r="O631" s="55"/>
      <c r="P631" s="1"/>
      <c r="Q631" s="8"/>
      <c r="R631" s="8"/>
      <c r="S631" s="1"/>
      <c r="T631" s="8"/>
      <c r="U631" s="8"/>
      <c r="V631" s="56"/>
      <c r="W631" s="1"/>
      <c r="X631" s="1"/>
      <c r="Y631" s="8"/>
      <c r="Z631" s="8"/>
      <c r="AA631" s="8"/>
      <c r="AB631" s="8"/>
      <c r="AC631" s="8"/>
      <c r="AD631" s="8"/>
      <c r="AE631" s="8"/>
      <c r="AF631" s="8"/>
      <c r="AG631" s="8"/>
      <c r="AH631" s="8"/>
      <c r="AI631" s="8"/>
    </row>
    <row r="632" spans="1:35">
      <c r="A632" s="1"/>
      <c r="B632" s="8"/>
      <c r="C632" s="8"/>
      <c r="D632" s="8"/>
      <c r="E632" s="8"/>
      <c r="F632" s="8"/>
      <c r="G632" s="8"/>
      <c r="H632" s="8"/>
      <c r="I632" s="8"/>
      <c r="J632" s="8"/>
      <c r="K632" s="8"/>
      <c r="L632" s="26"/>
      <c r="M632" s="26"/>
      <c r="N632" s="26"/>
      <c r="O632" s="55"/>
      <c r="P632" s="1"/>
      <c r="Q632" s="8"/>
      <c r="R632" s="8"/>
      <c r="S632" s="1"/>
      <c r="T632" s="8"/>
      <c r="U632" s="8"/>
      <c r="V632" s="56"/>
      <c r="W632" s="1"/>
      <c r="X632" s="1"/>
      <c r="Y632" s="8"/>
      <c r="Z632" s="8"/>
      <c r="AA632" s="8"/>
      <c r="AB632" s="8"/>
      <c r="AC632" s="8"/>
      <c r="AD632" s="8"/>
      <c r="AE632" s="8"/>
      <c r="AF632" s="8"/>
      <c r="AG632" s="8"/>
      <c r="AH632" s="8"/>
      <c r="AI632" s="8"/>
    </row>
    <row r="633" spans="1:35">
      <c r="A633" s="1"/>
      <c r="B633" s="8"/>
      <c r="C633" s="8"/>
      <c r="D633" s="8"/>
      <c r="E633" s="8"/>
      <c r="F633" s="8"/>
      <c r="G633" s="8"/>
      <c r="H633" s="8"/>
      <c r="I633" s="8"/>
      <c r="J633" s="8"/>
      <c r="K633" s="8"/>
      <c r="L633" s="26"/>
      <c r="M633" s="26"/>
      <c r="N633" s="26"/>
      <c r="O633" s="55"/>
      <c r="P633" s="1"/>
      <c r="Q633" s="8"/>
      <c r="R633" s="8"/>
      <c r="S633" s="1"/>
      <c r="T633" s="8"/>
      <c r="U633" s="8"/>
      <c r="V633" s="56"/>
      <c r="W633" s="1"/>
      <c r="X633" s="1"/>
      <c r="Y633" s="8"/>
      <c r="Z633" s="8"/>
      <c r="AA633" s="8"/>
      <c r="AB633" s="8"/>
      <c r="AC633" s="8"/>
      <c r="AD633" s="8"/>
      <c r="AE633" s="8"/>
      <c r="AF633" s="8"/>
      <c r="AG633" s="8"/>
      <c r="AH633" s="8"/>
      <c r="AI633" s="8"/>
    </row>
    <row r="634" spans="1:35">
      <c r="A634" s="1"/>
      <c r="B634" s="8"/>
      <c r="C634" s="8"/>
      <c r="D634" s="8"/>
      <c r="E634" s="8"/>
      <c r="F634" s="8"/>
      <c r="G634" s="8"/>
      <c r="H634" s="8"/>
      <c r="I634" s="8"/>
      <c r="J634" s="8"/>
      <c r="K634" s="8"/>
      <c r="L634" s="26"/>
      <c r="M634" s="26"/>
      <c r="N634" s="26"/>
      <c r="O634" s="55"/>
      <c r="P634" s="1"/>
      <c r="Q634" s="8"/>
      <c r="R634" s="8"/>
      <c r="S634" s="1"/>
      <c r="T634" s="8"/>
      <c r="U634" s="8"/>
      <c r="V634" s="56"/>
      <c r="W634" s="1"/>
      <c r="X634" s="1"/>
      <c r="Y634" s="8"/>
      <c r="Z634" s="8"/>
      <c r="AA634" s="8"/>
      <c r="AB634" s="8"/>
      <c r="AC634" s="8"/>
      <c r="AD634" s="8"/>
      <c r="AE634" s="8"/>
      <c r="AF634" s="8"/>
      <c r="AG634" s="8"/>
      <c r="AH634" s="8"/>
      <c r="AI634" s="8"/>
    </row>
    <row r="635" spans="1:35">
      <c r="A635" s="1"/>
      <c r="B635" s="8"/>
      <c r="C635" s="8"/>
      <c r="D635" s="8"/>
      <c r="E635" s="8"/>
      <c r="F635" s="8"/>
      <c r="G635" s="8"/>
      <c r="H635" s="8"/>
      <c r="I635" s="8"/>
      <c r="J635" s="8"/>
      <c r="K635" s="8"/>
      <c r="L635" s="26"/>
      <c r="M635" s="26"/>
      <c r="N635" s="26"/>
      <c r="O635" s="55"/>
      <c r="P635" s="1"/>
      <c r="Q635" s="8"/>
      <c r="R635" s="8"/>
      <c r="S635" s="1"/>
      <c r="T635" s="8"/>
      <c r="U635" s="8"/>
      <c r="V635" s="56"/>
      <c r="W635" s="1"/>
      <c r="X635" s="1"/>
      <c r="Y635" s="8"/>
      <c r="Z635" s="8"/>
      <c r="AA635" s="8"/>
      <c r="AB635" s="8"/>
      <c r="AC635" s="8"/>
      <c r="AD635" s="8"/>
      <c r="AE635" s="8"/>
      <c r="AF635" s="8"/>
      <c r="AG635" s="8"/>
      <c r="AH635" s="8"/>
      <c r="AI635" s="8"/>
    </row>
    <row r="636" spans="1:35">
      <c r="A636" s="1"/>
      <c r="B636" s="8"/>
      <c r="C636" s="8"/>
      <c r="D636" s="8"/>
      <c r="E636" s="8"/>
      <c r="F636" s="8"/>
      <c r="G636" s="8"/>
      <c r="H636" s="8"/>
      <c r="I636" s="8"/>
      <c r="J636" s="8"/>
      <c r="K636" s="8"/>
      <c r="L636" s="26"/>
      <c r="M636" s="26"/>
      <c r="N636" s="26"/>
      <c r="O636" s="55"/>
      <c r="P636" s="1"/>
      <c r="Q636" s="8"/>
      <c r="R636" s="8"/>
      <c r="S636" s="1"/>
      <c r="T636" s="8"/>
      <c r="U636" s="8"/>
      <c r="V636" s="56"/>
      <c r="W636" s="1"/>
      <c r="X636" s="1"/>
      <c r="Y636" s="8"/>
      <c r="Z636" s="8"/>
      <c r="AA636" s="8"/>
      <c r="AB636" s="8"/>
      <c r="AC636" s="8"/>
      <c r="AD636" s="8"/>
      <c r="AE636" s="8"/>
      <c r="AF636" s="8"/>
      <c r="AG636" s="8"/>
      <c r="AH636" s="8"/>
      <c r="AI636" s="8"/>
    </row>
    <row r="637" spans="1:35">
      <c r="A637" s="1"/>
      <c r="B637" s="8"/>
      <c r="C637" s="8"/>
      <c r="D637" s="8"/>
      <c r="E637" s="8"/>
      <c r="F637" s="8"/>
      <c r="G637" s="8"/>
      <c r="H637" s="8"/>
      <c r="I637" s="8"/>
      <c r="J637" s="8"/>
      <c r="K637" s="8"/>
      <c r="L637" s="26"/>
      <c r="M637" s="26"/>
      <c r="N637" s="26"/>
      <c r="O637" s="55"/>
      <c r="P637" s="1"/>
      <c r="Q637" s="8"/>
      <c r="R637" s="8"/>
      <c r="S637" s="1"/>
      <c r="T637" s="8"/>
      <c r="U637" s="8"/>
      <c r="V637" s="56"/>
      <c r="W637" s="1"/>
      <c r="X637" s="1"/>
      <c r="Y637" s="8"/>
      <c r="Z637" s="8"/>
      <c r="AA637" s="8"/>
      <c r="AB637" s="8"/>
      <c r="AC637" s="8"/>
      <c r="AD637" s="8"/>
      <c r="AE637" s="8"/>
      <c r="AF637" s="8"/>
      <c r="AG637" s="8"/>
      <c r="AH637" s="8"/>
      <c r="AI637" s="8"/>
    </row>
    <row r="638" spans="1:35">
      <c r="A638" s="1"/>
      <c r="B638" s="8"/>
      <c r="C638" s="8"/>
      <c r="D638" s="8"/>
      <c r="E638" s="8"/>
      <c r="F638" s="8"/>
      <c r="G638" s="8"/>
      <c r="H638" s="8"/>
      <c r="I638" s="8"/>
      <c r="J638" s="8"/>
      <c r="K638" s="8"/>
      <c r="L638" s="26"/>
      <c r="M638" s="26"/>
      <c r="N638" s="26"/>
      <c r="O638" s="55"/>
      <c r="P638" s="1"/>
      <c r="Q638" s="8"/>
      <c r="R638" s="8"/>
      <c r="S638" s="1"/>
      <c r="T638" s="8"/>
      <c r="U638" s="8"/>
      <c r="V638" s="56"/>
      <c r="W638" s="1"/>
      <c r="X638" s="1"/>
      <c r="Y638" s="8"/>
      <c r="Z638" s="8"/>
      <c r="AA638" s="8"/>
      <c r="AB638" s="8"/>
      <c r="AC638" s="8"/>
      <c r="AD638" s="8"/>
      <c r="AE638" s="8"/>
      <c r="AF638" s="8"/>
      <c r="AG638" s="8"/>
      <c r="AH638" s="8"/>
      <c r="AI638" s="8"/>
    </row>
    <row r="639" spans="1:35">
      <c r="A639" s="1"/>
      <c r="B639" s="8"/>
      <c r="C639" s="8"/>
      <c r="D639" s="8"/>
      <c r="E639" s="8"/>
      <c r="F639" s="8"/>
      <c r="G639" s="8"/>
      <c r="H639" s="8"/>
      <c r="I639" s="8"/>
      <c r="J639" s="8"/>
      <c r="K639" s="8"/>
      <c r="L639" s="26"/>
      <c r="M639" s="26"/>
      <c r="N639" s="26"/>
      <c r="O639" s="55"/>
      <c r="P639" s="1"/>
      <c r="Q639" s="8"/>
      <c r="R639" s="8"/>
      <c r="S639" s="1"/>
      <c r="T639" s="8"/>
      <c r="U639" s="8"/>
      <c r="V639" s="56"/>
      <c r="W639" s="1"/>
      <c r="X639" s="1"/>
      <c r="Y639" s="8"/>
      <c r="Z639" s="8"/>
      <c r="AA639" s="8"/>
      <c r="AB639" s="8"/>
      <c r="AC639" s="8"/>
      <c r="AD639" s="8"/>
      <c r="AE639" s="8"/>
      <c r="AF639" s="8"/>
      <c r="AG639" s="8"/>
      <c r="AH639" s="8"/>
      <c r="AI639" s="8"/>
    </row>
    <row r="640" spans="1:35">
      <c r="A640" s="1"/>
      <c r="B640" s="8"/>
      <c r="C640" s="8"/>
      <c r="D640" s="8"/>
      <c r="E640" s="8"/>
      <c r="F640" s="8"/>
      <c r="G640" s="8"/>
      <c r="H640" s="8"/>
      <c r="I640" s="8"/>
      <c r="J640" s="8"/>
      <c r="K640" s="8"/>
      <c r="L640" s="26"/>
      <c r="M640" s="26"/>
      <c r="N640" s="26"/>
      <c r="O640" s="55"/>
      <c r="P640" s="1"/>
      <c r="Q640" s="8"/>
      <c r="R640" s="8"/>
      <c r="S640" s="1"/>
      <c r="T640" s="8"/>
      <c r="U640" s="8"/>
      <c r="V640" s="56"/>
      <c r="W640" s="1"/>
      <c r="X640" s="1"/>
      <c r="Y640" s="8"/>
      <c r="Z640" s="8"/>
      <c r="AA640" s="8"/>
      <c r="AB640" s="8"/>
      <c r="AC640" s="8"/>
      <c r="AD640" s="8"/>
      <c r="AE640" s="8"/>
      <c r="AF640" s="8"/>
      <c r="AG640" s="8"/>
      <c r="AH640" s="8"/>
      <c r="AI640" s="8"/>
    </row>
    <row r="641" spans="1:35">
      <c r="A641" s="1"/>
      <c r="B641" s="8"/>
      <c r="C641" s="8"/>
      <c r="D641" s="8"/>
      <c r="E641" s="8"/>
      <c r="F641" s="8"/>
      <c r="G641" s="8"/>
      <c r="H641" s="8"/>
      <c r="I641" s="8"/>
      <c r="J641" s="8"/>
      <c r="K641" s="8"/>
      <c r="L641" s="26"/>
      <c r="M641" s="26"/>
      <c r="N641" s="26"/>
      <c r="O641" s="55"/>
      <c r="P641" s="1"/>
      <c r="Q641" s="8"/>
      <c r="R641" s="8"/>
      <c r="S641" s="1"/>
      <c r="T641" s="8"/>
      <c r="U641" s="8"/>
      <c r="V641" s="56"/>
      <c r="W641" s="1"/>
      <c r="X641" s="1"/>
      <c r="Y641" s="8"/>
      <c r="Z641" s="8"/>
      <c r="AA641" s="8"/>
      <c r="AB641" s="8"/>
      <c r="AC641" s="8"/>
      <c r="AD641" s="8"/>
      <c r="AE641" s="8"/>
      <c r="AF641" s="8"/>
      <c r="AG641" s="8"/>
      <c r="AH641" s="8"/>
      <c r="AI641" s="8"/>
    </row>
    <row r="642" spans="1:35">
      <c r="A642" s="1"/>
      <c r="B642" s="8"/>
      <c r="C642" s="8"/>
      <c r="D642" s="8"/>
      <c r="E642" s="8"/>
      <c r="F642" s="8"/>
      <c r="G642" s="8"/>
      <c r="H642" s="8"/>
      <c r="I642" s="8"/>
      <c r="J642" s="8"/>
      <c r="K642" s="8"/>
      <c r="L642" s="26"/>
      <c r="M642" s="26"/>
      <c r="N642" s="26"/>
      <c r="O642" s="55"/>
      <c r="P642" s="1"/>
      <c r="Q642" s="8"/>
      <c r="R642" s="8"/>
      <c r="S642" s="1"/>
      <c r="T642" s="8"/>
      <c r="U642" s="8"/>
      <c r="V642" s="56"/>
      <c r="W642" s="1"/>
      <c r="X642" s="1"/>
      <c r="Y642" s="8"/>
      <c r="Z642" s="8"/>
      <c r="AA642" s="8"/>
      <c r="AB642" s="8"/>
      <c r="AC642" s="8"/>
      <c r="AD642" s="8"/>
      <c r="AE642" s="8"/>
      <c r="AF642" s="8"/>
      <c r="AG642" s="8"/>
      <c r="AH642" s="8"/>
      <c r="AI642" s="8"/>
    </row>
    <row r="643" spans="1:35">
      <c r="A643" s="1"/>
      <c r="B643" s="8"/>
      <c r="C643" s="8"/>
      <c r="D643" s="8"/>
      <c r="E643" s="8"/>
      <c r="F643" s="8"/>
      <c r="G643" s="8"/>
      <c r="H643" s="8"/>
      <c r="I643" s="8"/>
      <c r="J643" s="8"/>
      <c r="K643" s="8"/>
      <c r="L643" s="26"/>
      <c r="M643" s="26"/>
      <c r="N643" s="26"/>
      <c r="O643" s="55"/>
      <c r="P643" s="1"/>
      <c r="Q643" s="8"/>
      <c r="R643" s="8"/>
      <c r="S643" s="1"/>
      <c r="T643" s="8"/>
      <c r="U643" s="8"/>
      <c r="V643" s="56"/>
      <c r="W643" s="1"/>
      <c r="X643" s="1"/>
      <c r="Y643" s="8"/>
      <c r="Z643" s="8"/>
      <c r="AA643" s="8"/>
      <c r="AB643" s="8"/>
      <c r="AC643" s="8"/>
      <c r="AD643" s="8"/>
      <c r="AE643" s="8"/>
      <c r="AF643" s="8"/>
      <c r="AG643" s="8"/>
      <c r="AH643" s="8"/>
      <c r="AI643" s="8"/>
    </row>
    <row r="644" spans="1:35">
      <c r="A644" s="1"/>
      <c r="B644" s="8"/>
      <c r="C644" s="8"/>
      <c r="D644" s="8"/>
      <c r="E644" s="8"/>
      <c r="F644" s="8"/>
      <c r="G644" s="8"/>
      <c r="H644" s="8"/>
      <c r="I644" s="8"/>
      <c r="J644" s="8"/>
      <c r="K644" s="8"/>
      <c r="L644" s="26"/>
      <c r="M644" s="26"/>
      <c r="N644" s="26"/>
      <c r="O644" s="55"/>
      <c r="P644" s="1"/>
      <c r="Q644" s="8"/>
      <c r="R644" s="8"/>
      <c r="S644" s="1"/>
      <c r="T644" s="8"/>
      <c r="U644" s="8"/>
      <c r="V644" s="56"/>
      <c r="W644" s="1"/>
      <c r="X644" s="1"/>
      <c r="Y644" s="8"/>
      <c r="Z644" s="8"/>
      <c r="AA644" s="8"/>
      <c r="AB644" s="8"/>
      <c r="AC644" s="8"/>
      <c r="AD644" s="8"/>
      <c r="AE644" s="8"/>
      <c r="AF644" s="8"/>
      <c r="AG644" s="8"/>
      <c r="AH644" s="8"/>
      <c r="AI644" s="8"/>
    </row>
    <row r="645" spans="1:35">
      <c r="A645" s="1"/>
      <c r="B645" s="8"/>
      <c r="C645" s="8"/>
      <c r="D645" s="8"/>
      <c r="E645" s="8"/>
      <c r="F645" s="8"/>
      <c r="G645" s="8"/>
      <c r="H645" s="8"/>
      <c r="I645" s="8"/>
      <c r="J645" s="8"/>
      <c r="K645" s="8"/>
      <c r="L645" s="26"/>
      <c r="M645" s="26"/>
      <c r="N645" s="26"/>
      <c r="O645" s="55"/>
      <c r="P645" s="1"/>
      <c r="Q645" s="8"/>
      <c r="R645" s="8"/>
      <c r="S645" s="1"/>
      <c r="T645" s="8"/>
      <c r="U645" s="8"/>
      <c r="V645" s="56"/>
      <c r="W645" s="1"/>
      <c r="X645" s="1"/>
      <c r="Y645" s="8"/>
      <c r="Z645" s="8"/>
      <c r="AA645" s="8"/>
      <c r="AB645" s="8"/>
      <c r="AC645" s="8"/>
      <c r="AD645" s="8"/>
      <c r="AE645" s="8"/>
      <c r="AF645" s="8"/>
      <c r="AG645" s="8"/>
      <c r="AH645" s="8"/>
      <c r="AI645" s="8"/>
    </row>
    <row r="646" spans="1:35">
      <c r="A646" s="1"/>
      <c r="B646" s="8"/>
      <c r="C646" s="8"/>
      <c r="D646" s="8"/>
      <c r="E646" s="8"/>
      <c r="F646" s="8"/>
      <c r="G646" s="8"/>
      <c r="H646" s="8"/>
      <c r="I646" s="8"/>
      <c r="J646" s="8"/>
      <c r="K646" s="8"/>
      <c r="L646" s="26"/>
      <c r="M646" s="26"/>
      <c r="N646" s="26"/>
      <c r="O646" s="55"/>
      <c r="P646" s="1"/>
      <c r="Q646" s="8"/>
      <c r="R646" s="8"/>
      <c r="S646" s="1"/>
      <c r="T646" s="8"/>
      <c r="U646" s="8"/>
      <c r="V646" s="56"/>
      <c r="W646" s="1"/>
      <c r="X646" s="1"/>
      <c r="Y646" s="8"/>
      <c r="Z646" s="8"/>
      <c r="AA646" s="8"/>
      <c r="AB646" s="8"/>
      <c r="AC646" s="8"/>
      <c r="AD646" s="8"/>
      <c r="AE646" s="8"/>
      <c r="AF646" s="8"/>
      <c r="AG646" s="8"/>
      <c r="AH646" s="8"/>
      <c r="AI646" s="8"/>
    </row>
    <row r="647" spans="1:35">
      <c r="A647" s="1"/>
      <c r="B647" s="8"/>
      <c r="C647" s="8"/>
      <c r="D647" s="8"/>
      <c r="E647" s="8"/>
      <c r="F647" s="8"/>
      <c r="G647" s="8"/>
      <c r="H647" s="8"/>
      <c r="I647" s="8"/>
      <c r="J647" s="8"/>
      <c r="K647" s="8"/>
      <c r="L647" s="26"/>
      <c r="M647" s="26"/>
      <c r="N647" s="26"/>
      <c r="O647" s="55"/>
      <c r="P647" s="1"/>
      <c r="Q647" s="8"/>
      <c r="R647" s="8"/>
      <c r="S647" s="1"/>
      <c r="T647" s="8"/>
      <c r="U647" s="8"/>
      <c r="V647" s="56"/>
      <c r="W647" s="1"/>
      <c r="X647" s="1"/>
      <c r="Y647" s="8"/>
      <c r="Z647" s="8"/>
      <c r="AA647" s="8"/>
      <c r="AB647" s="8"/>
      <c r="AC647" s="8"/>
      <c r="AD647" s="8"/>
      <c r="AE647" s="8"/>
      <c r="AF647" s="8"/>
      <c r="AG647" s="8"/>
      <c r="AH647" s="8"/>
      <c r="AI647" s="8"/>
    </row>
    <row r="648" spans="1:35">
      <c r="A648" s="1"/>
      <c r="B648" s="8"/>
      <c r="C648" s="8"/>
      <c r="D648" s="8"/>
      <c r="E648" s="8"/>
      <c r="F648" s="8"/>
      <c r="G648" s="8"/>
      <c r="H648" s="8"/>
      <c r="I648" s="8"/>
      <c r="J648" s="8"/>
      <c r="K648" s="8"/>
      <c r="L648" s="26"/>
      <c r="M648" s="26"/>
      <c r="N648" s="26"/>
      <c r="O648" s="55"/>
      <c r="P648" s="1"/>
      <c r="Q648" s="8"/>
      <c r="R648" s="8"/>
      <c r="S648" s="1"/>
      <c r="T648" s="8"/>
      <c r="U648" s="8"/>
      <c r="V648" s="56"/>
      <c r="W648" s="1"/>
      <c r="X648" s="1"/>
      <c r="Y648" s="8"/>
      <c r="Z648" s="8"/>
      <c r="AA648" s="8"/>
      <c r="AB648" s="8"/>
      <c r="AC648" s="8"/>
      <c r="AD648" s="8"/>
      <c r="AE648" s="8"/>
      <c r="AF648" s="8"/>
      <c r="AG648" s="8"/>
      <c r="AH648" s="8"/>
      <c r="AI648" s="8"/>
    </row>
    <row r="649" spans="1:35">
      <c r="A649" s="1"/>
      <c r="B649" s="8"/>
      <c r="C649" s="8"/>
      <c r="D649" s="8"/>
      <c r="E649" s="8"/>
      <c r="F649" s="8"/>
      <c r="G649" s="8"/>
      <c r="H649" s="8"/>
      <c r="I649" s="8"/>
      <c r="J649" s="8"/>
      <c r="K649" s="8"/>
      <c r="L649" s="26"/>
      <c r="M649" s="26"/>
      <c r="N649" s="26"/>
      <c r="O649" s="55"/>
      <c r="P649" s="1"/>
      <c r="Q649" s="8"/>
      <c r="R649" s="8"/>
      <c r="S649" s="1"/>
      <c r="T649" s="8"/>
      <c r="U649" s="8"/>
      <c r="V649" s="56"/>
      <c r="W649" s="1"/>
      <c r="X649" s="1"/>
      <c r="Y649" s="8"/>
      <c r="Z649" s="8"/>
      <c r="AA649" s="8"/>
      <c r="AB649" s="8"/>
      <c r="AC649" s="8"/>
      <c r="AD649" s="8"/>
      <c r="AE649" s="8"/>
      <c r="AF649" s="8"/>
      <c r="AG649" s="8"/>
      <c r="AH649" s="8"/>
      <c r="AI649" s="8"/>
    </row>
    <row r="650" spans="1:35">
      <c r="A650" s="1"/>
      <c r="B650" s="8"/>
      <c r="C650" s="8"/>
      <c r="D650" s="8"/>
      <c r="E650" s="8"/>
      <c r="F650" s="8"/>
      <c r="G650" s="8"/>
      <c r="H650" s="8"/>
      <c r="I650" s="8"/>
      <c r="J650" s="8"/>
      <c r="K650" s="8"/>
      <c r="L650" s="26"/>
      <c r="M650" s="26"/>
      <c r="N650" s="26"/>
      <c r="O650" s="55"/>
      <c r="P650" s="1"/>
      <c r="Q650" s="8"/>
      <c r="R650" s="8"/>
      <c r="S650" s="1"/>
      <c r="T650" s="8"/>
      <c r="U650" s="8"/>
      <c r="V650" s="56"/>
      <c r="W650" s="1"/>
      <c r="X650" s="1"/>
      <c r="Y650" s="8"/>
      <c r="Z650" s="8"/>
      <c r="AA650" s="8"/>
      <c r="AB650" s="8"/>
      <c r="AC650" s="8"/>
      <c r="AD650" s="8"/>
      <c r="AE650" s="8"/>
      <c r="AF650" s="8"/>
      <c r="AG650" s="8"/>
      <c r="AH650" s="8"/>
      <c r="AI650" s="8"/>
    </row>
    <row r="651" spans="1:35">
      <c r="A651" s="1"/>
      <c r="B651" s="8"/>
      <c r="C651" s="8"/>
      <c r="D651" s="8"/>
      <c r="E651" s="8"/>
      <c r="F651" s="8"/>
      <c r="G651" s="8"/>
      <c r="H651" s="8"/>
      <c r="I651" s="8"/>
      <c r="J651" s="8"/>
      <c r="K651" s="8"/>
      <c r="L651" s="26"/>
      <c r="M651" s="26"/>
      <c r="N651" s="26"/>
      <c r="O651" s="55"/>
      <c r="P651" s="1"/>
      <c r="Q651" s="8"/>
      <c r="R651" s="8"/>
      <c r="S651" s="1"/>
      <c r="T651" s="8"/>
      <c r="U651" s="8"/>
      <c r="V651" s="56"/>
      <c r="W651" s="1"/>
      <c r="X651" s="1"/>
      <c r="Y651" s="8"/>
      <c r="Z651" s="8"/>
      <c r="AA651" s="8"/>
      <c r="AB651" s="8"/>
      <c r="AC651" s="8"/>
      <c r="AD651" s="8"/>
      <c r="AE651" s="8"/>
      <c r="AF651" s="8"/>
      <c r="AG651" s="8"/>
      <c r="AH651" s="8"/>
      <c r="AI651" s="8"/>
    </row>
    <row r="652" spans="1:35">
      <c r="A652" s="1"/>
      <c r="B652" s="8"/>
      <c r="C652" s="8"/>
      <c r="D652" s="8"/>
      <c r="E652" s="8"/>
      <c r="F652" s="8"/>
      <c r="G652" s="8"/>
      <c r="H652" s="8"/>
      <c r="I652" s="8"/>
      <c r="J652" s="8"/>
      <c r="K652" s="8"/>
      <c r="L652" s="26"/>
      <c r="M652" s="26"/>
      <c r="N652" s="26"/>
      <c r="O652" s="55"/>
      <c r="P652" s="1"/>
      <c r="Q652" s="8"/>
      <c r="R652" s="8"/>
      <c r="S652" s="1"/>
      <c r="T652" s="8"/>
      <c r="U652" s="8"/>
      <c r="V652" s="56"/>
      <c r="W652" s="1"/>
      <c r="X652" s="1"/>
      <c r="Y652" s="8"/>
      <c r="Z652" s="8"/>
      <c r="AA652" s="8"/>
      <c r="AB652" s="8"/>
      <c r="AC652" s="8"/>
      <c r="AD652" s="8"/>
      <c r="AE652" s="8"/>
      <c r="AF652" s="8"/>
      <c r="AG652" s="8"/>
      <c r="AH652" s="8"/>
      <c r="AI652" s="8"/>
    </row>
    <row r="653" spans="1:35">
      <c r="A653" s="1"/>
      <c r="B653" s="8"/>
      <c r="C653" s="8"/>
      <c r="D653" s="8"/>
      <c r="E653" s="8"/>
      <c r="F653" s="8"/>
      <c r="G653" s="8"/>
      <c r="H653" s="8"/>
      <c r="I653" s="8"/>
      <c r="J653" s="8"/>
      <c r="K653" s="8"/>
      <c r="L653" s="26"/>
      <c r="M653" s="26"/>
      <c r="N653" s="26"/>
      <c r="O653" s="55"/>
      <c r="P653" s="1"/>
      <c r="Q653" s="8"/>
      <c r="R653" s="8"/>
      <c r="S653" s="1"/>
      <c r="T653" s="8"/>
      <c r="U653" s="8"/>
      <c r="V653" s="56"/>
      <c r="W653" s="1"/>
      <c r="X653" s="1"/>
      <c r="Y653" s="8"/>
      <c r="Z653" s="8"/>
      <c r="AA653" s="8"/>
      <c r="AB653" s="8"/>
      <c r="AC653" s="8"/>
      <c r="AD653" s="8"/>
      <c r="AE653" s="8"/>
      <c r="AF653" s="8"/>
      <c r="AG653" s="8"/>
      <c r="AH653" s="8"/>
      <c r="AI653" s="8"/>
    </row>
    <row r="654" spans="1:35">
      <c r="A654" s="1"/>
      <c r="B654" s="8"/>
      <c r="C654" s="8"/>
      <c r="D654" s="8"/>
      <c r="E654" s="8"/>
      <c r="F654" s="8"/>
      <c r="G654" s="8"/>
      <c r="H654" s="8"/>
      <c r="I654" s="8"/>
      <c r="J654" s="8"/>
      <c r="K654" s="8"/>
      <c r="L654" s="26"/>
      <c r="M654" s="26"/>
      <c r="N654" s="26"/>
      <c r="O654" s="55"/>
      <c r="P654" s="1"/>
      <c r="Q654" s="8"/>
      <c r="R654" s="8"/>
      <c r="S654" s="1"/>
      <c r="T654" s="8"/>
      <c r="U654" s="8"/>
      <c r="V654" s="56"/>
      <c r="W654" s="1"/>
      <c r="X654" s="1"/>
      <c r="Y654" s="8"/>
      <c r="Z654" s="8"/>
      <c r="AA654" s="8"/>
      <c r="AB654" s="8"/>
      <c r="AC654" s="8"/>
      <c r="AD654" s="8"/>
      <c r="AE654" s="8"/>
      <c r="AF654" s="8"/>
      <c r="AG654" s="8"/>
      <c r="AH654" s="8"/>
      <c r="AI654" s="8"/>
    </row>
    <row r="655" spans="1:35">
      <c r="A655" s="1"/>
      <c r="B655" s="8"/>
      <c r="C655" s="8"/>
      <c r="D655" s="8"/>
      <c r="E655" s="8"/>
      <c r="F655" s="8"/>
      <c r="G655" s="8"/>
      <c r="H655" s="8"/>
      <c r="I655" s="8"/>
      <c r="J655" s="8"/>
      <c r="K655" s="8"/>
      <c r="L655" s="26"/>
      <c r="M655" s="26"/>
      <c r="N655" s="26"/>
      <c r="O655" s="55"/>
      <c r="P655" s="1"/>
      <c r="Q655" s="8"/>
      <c r="R655" s="8"/>
      <c r="S655" s="1"/>
      <c r="T655" s="8"/>
      <c r="U655" s="8"/>
      <c r="V655" s="56"/>
      <c r="W655" s="1"/>
      <c r="X655" s="1"/>
      <c r="Y655" s="8"/>
      <c r="Z655" s="8"/>
      <c r="AA655" s="8"/>
      <c r="AB655" s="8"/>
      <c r="AC655" s="8"/>
      <c r="AD655" s="8"/>
      <c r="AE655" s="8"/>
      <c r="AF655" s="8"/>
      <c r="AG655" s="8"/>
      <c r="AH655" s="8"/>
      <c r="AI655" s="8"/>
    </row>
    <row r="656" spans="1:35">
      <c r="A656" s="1"/>
      <c r="B656" s="8"/>
      <c r="C656" s="8"/>
      <c r="D656" s="8"/>
      <c r="E656" s="8"/>
      <c r="F656" s="8"/>
      <c r="G656" s="8"/>
      <c r="H656" s="8"/>
      <c r="I656" s="8"/>
      <c r="J656" s="8"/>
      <c r="K656" s="8"/>
      <c r="L656" s="26"/>
      <c r="M656" s="26"/>
      <c r="N656" s="26"/>
      <c r="O656" s="55"/>
      <c r="P656" s="1"/>
      <c r="Q656" s="8"/>
      <c r="R656" s="8"/>
      <c r="S656" s="1"/>
      <c r="T656" s="8"/>
      <c r="U656" s="8"/>
      <c r="V656" s="56"/>
      <c r="W656" s="1"/>
      <c r="X656" s="1"/>
      <c r="Y656" s="8"/>
      <c r="Z656" s="8"/>
      <c r="AA656" s="8"/>
      <c r="AB656" s="8"/>
      <c r="AC656" s="8"/>
      <c r="AD656" s="8"/>
      <c r="AE656" s="8"/>
      <c r="AF656" s="8"/>
      <c r="AG656" s="8"/>
      <c r="AH656" s="8"/>
      <c r="AI656" s="8"/>
    </row>
    <row r="657" spans="1:35">
      <c r="A657" s="1"/>
      <c r="B657" s="8"/>
      <c r="C657" s="8"/>
      <c r="D657" s="8"/>
      <c r="E657" s="8"/>
      <c r="F657" s="8"/>
      <c r="G657" s="8"/>
      <c r="H657" s="8"/>
      <c r="I657" s="8"/>
      <c r="J657" s="8"/>
      <c r="K657" s="8"/>
      <c r="L657" s="26"/>
      <c r="M657" s="26"/>
      <c r="N657" s="26"/>
      <c r="O657" s="55"/>
      <c r="P657" s="1"/>
      <c r="Q657" s="8"/>
      <c r="R657" s="8"/>
      <c r="S657" s="1"/>
      <c r="T657" s="8"/>
      <c r="U657" s="8"/>
      <c r="V657" s="56"/>
      <c r="W657" s="1"/>
      <c r="X657" s="1"/>
      <c r="Y657" s="8"/>
      <c r="Z657" s="8"/>
      <c r="AA657" s="8"/>
      <c r="AB657" s="8"/>
      <c r="AC657" s="8"/>
      <c r="AD657" s="8"/>
      <c r="AE657" s="8"/>
      <c r="AF657" s="8"/>
      <c r="AG657" s="8"/>
      <c r="AH657" s="8"/>
      <c r="AI657" s="8"/>
    </row>
    <row r="658" spans="1:35">
      <c r="A658" s="1"/>
      <c r="B658" s="8"/>
      <c r="C658" s="8"/>
      <c r="D658" s="8"/>
      <c r="E658" s="8"/>
      <c r="F658" s="8"/>
      <c r="G658" s="8"/>
      <c r="H658" s="8"/>
      <c r="I658" s="8"/>
      <c r="J658" s="8"/>
      <c r="K658" s="8"/>
      <c r="L658" s="26"/>
      <c r="M658" s="26"/>
      <c r="N658" s="26"/>
      <c r="O658" s="55"/>
      <c r="P658" s="1"/>
      <c r="Q658" s="8"/>
      <c r="R658" s="8"/>
      <c r="S658" s="1"/>
      <c r="T658" s="8"/>
      <c r="U658" s="8"/>
      <c r="V658" s="56"/>
      <c r="W658" s="1"/>
      <c r="X658" s="1"/>
      <c r="Y658" s="8"/>
      <c r="Z658" s="8"/>
      <c r="AA658" s="8"/>
      <c r="AB658" s="8"/>
      <c r="AC658" s="8"/>
      <c r="AD658" s="8"/>
      <c r="AE658" s="8"/>
      <c r="AF658" s="8"/>
      <c r="AG658" s="8"/>
      <c r="AH658" s="8"/>
      <c r="AI658" s="8"/>
    </row>
    <row r="659" spans="1:35">
      <c r="A659" s="1"/>
      <c r="B659" s="8"/>
      <c r="C659" s="8"/>
      <c r="D659" s="8"/>
      <c r="E659" s="8"/>
      <c r="F659" s="8"/>
      <c r="G659" s="8"/>
      <c r="H659" s="8"/>
      <c r="I659" s="8"/>
      <c r="J659" s="8"/>
      <c r="K659" s="8"/>
      <c r="L659" s="26"/>
      <c r="M659" s="26"/>
      <c r="N659" s="26"/>
      <c r="O659" s="55"/>
      <c r="P659" s="1"/>
      <c r="Q659" s="8"/>
      <c r="R659" s="8"/>
      <c r="S659" s="1"/>
      <c r="T659" s="8"/>
      <c r="U659" s="8"/>
      <c r="V659" s="56"/>
      <c r="W659" s="1"/>
      <c r="X659" s="1"/>
      <c r="Y659" s="8"/>
      <c r="Z659" s="8"/>
      <c r="AA659" s="8"/>
      <c r="AB659" s="8"/>
      <c r="AC659" s="8"/>
      <c r="AD659" s="8"/>
      <c r="AE659" s="8"/>
      <c r="AF659" s="8"/>
      <c r="AG659" s="8"/>
      <c r="AH659" s="8"/>
      <c r="AI659" s="8"/>
    </row>
    <row r="660" spans="1:35">
      <c r="A660" s="1"/>
      <c r="B660" s="8"/>
      <c r="C660" s="8"/>
      <c r="D660" s="8"/>
      <c r="E660" s="8"/>
      <c r="F660" s="8"/>
      <c r="G660" s="8"/>
      <c r="H660" s="8"/>
      <c r="I660" s="8"/>
      <c r="J660" s="8"/>
      <c r="K660" s="8"/>
      <c r="L660" s="26"/>
      <c r="M660" s="26"/>
      <c r="N660" s="26"/>
      <c r="O660" s="55"/>
      <c r="P660" s="1"/>
      <c r="Q660" s="8"/>
      <c r="R660" s="8"/>
      <c r="S660" s="1"/>
      <c r="T660" s="8"/>
      <c r="U660" s="8"/>
      <c r="V660" s="56"/>
      <c r="W660" s="1"/>
      <c r="X660" s="1"/>
      <c r="Y660" s="8"/>
      <c r="Z660" s="8"/>
      <c r="AA660" s="8"/>
      <c r="AB660" s="8"/>
      <c r="AC660" s="8"/>
      <c r="AD660" s="8"/>
      <c r="AE660" s="8"/>
      <c r="AF660" s="8"/>
      <c r="AG660" s="8"/>
      <c r="AH660" s="8"/>
      <c r="AI660" s="8"/>
    </row>
    <row r="661" spans="1:35">
      <c r="A661" s="1"/>
      <c r="B661" s="8"/>
      <c r="C661" s="8"/>
      <c r="D661" s="8"/>
      <c r="E661" s="8"/>
      <c r="F661" s="8"/>
      <c r="G661" s="8"/>
      <c r="H661" s="8"/>
      <c r="I661" s="8"/>
      <c r="J661" s="8"/>
      <c r="K661" s="8"/>
      <c r="L661" s="26"/>
      <c r="M661" s="26"/>
      <c r="N661" s="26"/>
      <c r="O661" s="55"/>
      <c r="P661" s="1"/>
      <c r="Q661" s="8"/>
      <c r="R661" s="8"/>
      <c r="S661" s="1"/>
      <c r="T661" s="8"/>
      <c r="U661" s="8"/>
      <c r="V661" s="56"/>
      <c r="W661" s="1"/>
      <c r="X661" s="1"/>
      <c r="Y661" s="8"/>
      <c r="Z661" s="8"/>
      <c r="AA661" s="8"/>
      <c r="AB661" s="8"/>
      <c r="AC661" s="8"/>
      <c r="AD661" s="8"/>
      <c r="AE661" s="8"/>
      <c r="AF661" s="8"/>
      <c r="AG661" s="8"/>
      <c r="AH661" s="8"/>
      <c r="AI661" s="8"/>
    </row>
    <row r="662" spans="1:35">
      <c r="A662" s="1"/>
      <c r="B662" s="8"/>
      <c r="C662" s="8"/>
      <c r="D662" s="8"/>
      <c r="E662" s="8"/>
      <c r="F662" s="8"/>
      <c r="G662" s="8"/>
      <c r="H662" s="8"/>
      <c r="I662" s="8"/>
      <c r="J662" s="8"/>
      <c r="K662" s="8"/>
      <c r="L662" s="26"/>
      <c r="M662" s="26"/>
      <c r="N662" s="26"/>
      <c r="O662" s="55"/>
      <c r="P662" s="1"/>
      <c r="Q662" s="8"/>
      <c r="R662" s="8"/>
      <c r="S662" s="1"/>
      <c r="T662" s="8"/>
      <c r="U662" s="8"/>
      <c r="V662" s="56"/>
      <c r="W662" s="1"/>
      <c r="X662" s="1"/>
      <c r="Y662" s="8"/>
      <c r="Z662" s="8"/>
      <c r="AA662" s="8"/>
      <c r="AB662" s="8"/>
      <c r="AC662" s="8"/>
      <c r="AD662" s="8"/>
      <c r="AE662" s="8"/>
      <c r="AF662" s="8"/>
      <c r="AG662" s="8"/>
      <c r="AH662" s="8"/>
      <c r="AI662" s="8"/>
    </row>
    <row r="663" spans="1:35">
      <c r="A663" s="1"/>
      <c r="B663" s="8"/>
      <c r="C663" s="8"/>
      <c r="D663" s="8"/>
      <c r="E663" s="8"/>
      <c r="F663" s="8"/>
      <c r="G663" s="8"/>
      <c r="H663" s="8"/>
      <c r="I663" s="8"/>
      <c r="J663" s="8"/>
      <c r="K663" s="8"/>
      <c r="L663" s="26"/>
      <c r="M663" s="26"/>
      <c r="N663" s="26"/>
      <c r="O663" s="55"/>
      <c r="P663" s="1"/>
      <c r="Q663" s="8"/>
      <c r="R663" s="8"/>
      <c r="S663" s="1"/>
      <c r="T663" s="8"/>
      <c r="U663" s="8"/>
      <c r="V663" s="56"/>
      <c r="W663" s="1"/>
      <c r="X663" s="1"/>
      <c r="Y663" s="8"/>
      <c r="Z663" s="8"/>
      <c r="AA663" s="8"/>
      <c r="AB663" s="8"/>
      <c r="AC663" s="8"/>
      <c r="AD663" s="8"/>
      <c r="AE663" s="8"/>
      <c r="AF663" s="8"/>
      <c r="AG663" s="8"/>
      <c r="AH663" s="8"/>
      <c r="AI663" s="8"/>
    </row>
    <row r="664" spans="1:35">
      <c r="A664" s="1"/>
      <c r="B664" s="8"/>
      <c r="C664" s="8"/>
      <c r="D664" s="8"/>
      <c r="E664" s="8"/>
      <c r="F664" s="8"/>
      <c r="G664" s="8"/>
      <c r="H664" s="8"/>
      <c r="I664" s="8"/>
      <c r="J664" s="8"/>
      <c r="K664" s="8"/>
      <c r="L664" s="26"/>
      <c r="M664" s="26"/>
      <c r="N664" s="26"/>
      <c r="O664" s="55"/>
      <c r="P664" s="1"/>
      <c r="Q664" s="8"/>
      <c r="R664" s="8"/>
      <c r="S664" s="1"/>
      <c r="T664" s="8"/>
      <c r="U664" s="8"/>
      <c r="V664" s="56"/>
      <c r="W664" s="1"/>
      <c r="X664" s="1"/>
      <c r="Y664" s="8"/>
      <c r="Z664" s="8"/>
      <c r="AA664" s="8"/>
      <c r="AB664" s="8"/>
      <c r="AC664" s="8"/>
      <c r="AD664" s="8"/>
      <c r="AE664" s="8"/>
      <c r="AF664" s="8"/>
      <c r="AG664" s="8"/>
      <c r="AH664" s="8"/>
      <c r="AI664" s="8"/>
    </row>
    <row r="665" spans="1:35">
      <c r="A665" s="1"/>
      <c r="B665" s="8"/>
      <c r="C665" s="8"/>
      <c r="D665" s="8"/>
      <c r="E665" s="8"/>
      <c r="F665" s="8"/>
      <c r="G665" s="8"/>
      <c r="H665" s="8"/>
      <c r="I665" s="8"/>
      <c r="J665" s="8"/>
      <c r="K665" s="8"/>
      <c r="L665" s="26"/>
      <c r="M665" s="26"/>
      <c r="N665" s="26"/>
      <c r="O665" s="55"/>
      <c r="P665" s="1"/>
      <c r="Q665" s="8"/>
      <c r="R665" s="8"/>
      <c r="S665" s="1"/>
      <c r="T665" s="8"/>
      <c r="U665" s="8"/>
      <c r="V665" s="56"/>
      <c r="W665" s="1"/>
      <c r="X665" s="1"/>
      <c r="Y665" s="8"/>
      <c r="Z665" s="8"/>
      <c r="AA665" s="8"/>
      <c r="AB665" s="8"/>
      <c r="AC665" s="8"/>
      <c r="AD665" s="8"/>
      <c r="AE665" s="8"/>
      <c r="AF665" s="8"/>
      <c r="AG665" s="8"/>
      <c r="AH665" s="8"/>
      <c r="AI665" s="8"/>
    </row>
    <row r="666" spans="1:35">
      <c r="A666" s="1"/>
      <c r="B666" s="8"/>
      <c r="C666" s="8"/>
      <c r="D666" s="8"/>
      <c r="E666" s="8"/>
      <c r="F666" s="8"/>
      <c r="G666" s="8"/>
      <c r="H666" s="8"/>
      <c r="I666" s="8"/>
      <c r="J666" s="8"/>
      <c r="K666" s="8"/>
      <c r="L666" s="26"/>
      <c r="M666" s="26"/>
      <c r="N666" s="26"/>
      <c r="O666" s="55"/>
      <c r="P666" s="1"/>
      <c r="Q666" s="8"/>
      <c r="R666" s="8"/>
      <c r="S666" s="1"/>
      <c r="T666" s="8"/>
      <c r="U666" s="8"/>
      <c r="V666" s="56"/>
      <c r="W666" s="1"/>
      <c r="X666" s="1"/>
      <c r="Y666" s="8"/>
      <c r="Z666" s="8"/>
      <c r="AA666" s="8"/>
      <c r="AB666" s="8"/>
      <c r="AC666" s="8"/>
      <c r="AD666" s="8"/>
      <c r="AE666" s="8"/>
      <c r="AF666" s="8"/>
      <c r="AG666" s="8"/>
      <c r="AH666" s="8"/>
      <c r="AI666" s="8"/>
    </row>
    <row r="667" spans="1:35">
      <c r="A667" s="1"/>
      <c r="B667" s="8"/>
      <c r="C667" s="8"/>
      <c r="D667" s="8"/>
      <c r="E667" s="8"/>
      <c r="F667" s="8"/>
      <c r="G667" s="8"/>
      <c r="H667" s="8"/>
      <c r="I667" s="8"/>
      <c r="J667" s="8"/>
      <c r="K667" s="8"/>
      <c r="L667" s="26"/>
      <c r="M667" s="26"/>
      <c r="N667" s="26"/>
      <c r="O667" s="55"/>
      <c r="P667" s="1"/>
      <c r="Q667" s="8"/>
      <c r="R667" s="8"/>
      <c r="S667" s="1"/>
      <c r="T667" s="8"/>
      <c r="U667" s="8"/>
      <c r="V667" s="56"/>
      <c r="W667" s="1"/>
      <c r="X667" s="1"/>
      <c r="Y667" s="8"/>
      <c r="Z667" s="8"/>
      <c r="AA667" s="8"/>
      <c r="AB667" s="8"/>
      <c r="AC667" s="8"/>
      <c r="AD667" s="8"/>
      <c r="AE667" s="8"/>
      <c r="AF667" s="8"/>
      <c r="AG667" s="8"/>
      <c r="AH667" s="8"/>
      <c r="AI667" s="8"/>
    </row>
    <row r="668" spans="1:35">
      <c r="A668" s="1"/>
      <c r="B668" s="8"/>
      <c r="C668" s="8"/>
      <c r="D668" s="8"/>
      <c r="E668" s="8"/>
      <c r="F668" s="8"/>
      <c r="G668" s="8"/>
      <c r="H668" s="8"/>
      <c r="I668" s="8"/>
      <c r="J668" s="8"/>
      <c r="K668" s="8"/>
      <c r="L668" s="26"/>
      <c r="M668" s="26"/>
      <c r="N668" s="26"/>
      <c r="O668" s="55"/>
      <c r="P668" s="1"/>
      <c r="Q668" s="8"/>
      <c r="R668" s="8"/>
      <c r="S668" s="1"/>
      <c r="T668" s="8"/>
      <c r="U668" s="8"/>
      <c r="V668" s="56"/>
      <c r="W668" s="1"/>
      <c r="X668" s="1"/>
      <c r="Y668" s="8"/>
      <c r="Z668" s="8"/>
      <c r="AA668" s="8"/>
      <c r="AB668" s="8"/>
      <c r="AC668" s="8"/>
      <c r="AD668" s="8"/>
      <c r="AE668" s="8"/>
      <c r="AF668" s="8"/>
      <c r="AG668" s="8"/>
      <c r="AH668" s="8"/>
      <c r="AI668" s="8"/>
    </row>
    <row r="669" spans="1:35">
      <c r="A669" s="1"/>
      <c r="B669" s="8"/>
      <c r="C669" s="8"/>
      <c r="D669" s="8"/>
      <c r="E669" s="8"/>
      <c r="F669" s="8"/>
      <c r="G669" s="8"/>
      <c r="H669" s="8"/>
      <c r="I669" s="8"/>
      <c r="J669" s="8"/>
      <c r="K669" s="8"/>
      <c r="L669" s="26"/>
      <c r="M669" s="26"/>
      <c r="N669" s="26"/>
      <c r="O669" s="55"/>
      <c r="P669" s="1"/>
      <c r="Q669" s="8"/>
      <c r="R669" s="8"/>
      <c r="S669" s="1"/>
      <c r="T669" s="8"/>
      <c r="U669" s="8"/>
      <c r="V669" s="56"/>
      <c r="W669" s="1"/>
      <c r="X669" s="1"/>
      <c r="Y669" s="8"/>
      <c r="Z669" s="8"/>
      <c r="AA669" s="8"/>
      <c r="AB669" s="8"/>
      <c r="AC669" s="8"/>
      <c r="AD669" s="8"/>
      <c r="AE669" s="8"/>
      <c r="AF669" s="8"/>
      <c r="AG669" s="8"/>
      <c r="AH669" s="8"/>
      <c r="AI669" s="8"/>
    </row>
    <row r="670" spans="1:35">
      <c r="A670" s="1"/>
      <c r="B670" s="8"/>
      <c r="C670" s="8"/>
      <c r="D670" s="8"/>
      <c r="E670" s="8"/>
      <c r="F670" s="8"/>
      <c r="G670" s="8"/>
      <c r="H670" s="8"/>
      <c r="I670" s="8"/>
      <c r="J670" s="8"/>
      <c r="K670" s="8"/>
      <c r="L670" s="26"/>
      <c r="M670" s="26"/>
      <c r="N670" s="26"/>
      <c r="O670" s="55"/>
      <c r="P670" s="1"/>
      <c r="Q670" s="8"/>
      <c r="R670" s="8"/>
      <c r="S670" s="1"/>
      <c r="T670" s="8"/>
      <c r="U670" s="8"/>
      <c r="V670" s="56"/>
      <c r="W670" s="1"/>
      <c r="X670" s="1"/>
      <c r="Y670" s="8"/>
      <c r="Z670" s="8"/>
      <c r="AA670" s="8"/>
      <c r="AB670" s="8"/>
      <c r="AC670" s="8"/>
      <c r="AD670" s="8"/>
      <c r="AE670" s="8"/>
      <c r="AF670" s="8"/>
      <c r="AG670" s="8"/>
      <c r="AH670" s="8"/>
      <c r="AI670" s="8"/>
    </row>
    <row r="671" spans="1:35">
      <c r="A671" s="1"/>
      <c r="B671" s="8"/>
      <c r="C671" s="8"/>
      <c r="D671" s="8"/>
      <c r="E671" s="8"/>
      <c r="F671" s="8"/>
      <c r="G671" s="8"/>
      <c r="H671" s="8"/>
      <c r="I671" s="8"/>
      <c r="J671" s="8"/>
      <c r="K671" s="8"/>
      <c r="L671" s="26"/>
      <c r="M671" s="26"/>
      <c r="N671" s="26"/>
      <c r="O671" s="55"/>
      <c r="P671" s="1"/>
      <c r="Q671" s="8"/>
      <c r="R671" s="8"/>
      <c r="S671" s="1"/>
      <c r="T671" s="8"/>
      <c r="U671" s="8"/>
      <c r="V671" s="56"/>
      <c r="W671" s="1"/>
      <c r="X671" s="1"/>
      <c r="Y671" s="8"/>
      <c r="Z671" s="8"/>
      <c r="AA671" s="8"/>
      <c r="AB671" s="8"/>
      <c r="AC671" s="8"/>
      <c r="AD671" s="8"/>
      <c r="AE671" s="8"/>
      <c r="AF671" s="8"/>
      <c r="AG671" s="8"/>
      <c r="AH671" s="8"/>
      <c r="AI671" s="8"/>
    </row>
    <row r="672" spans="1:35">
      <c r="A672" s="1"/>
      <c r="B672" s="8"/>
      <c r="C672" s="8"/>
      <c r="D672" s="8"/>
      <c r="E672" s="8"/>
      <c r="F672" s="8"/>
      <c r="G672" s="8"/>
      <c r="H672" s="8"/>
      <c r="I672" s="8"/>
      <c r="J672" s="8"/>
      <c r="K672" s="8"/>
      <c r="L672" s="26"/>
      <c r="M672" s="26"/>
      <c r="N672" s="26"/>
      <c r="O672" s="55"/>
      <c r="P672" s="1"/>
      <c r="Q672" s="8"/>
      <c r="R672" s="8"/>
      <c r="S672" s="1"/>
      <c r="T672" s="8"/>
      <c r="U672" s="8"/>
      <c r="V672" s="56"/>
      <c r="W672" s="1"/>
      <c r="X672" s="1"/>
      <c r="Y672" s="8"/>
      <c r="Z672" s="8"/>
      <c r="AA672" s="8"/>
      <c r="AB672" s="8"/>
      <c r="AC672" s="8"/>
      <c r="AD672" s="8"/>
      <c r="AE672" s="8"/>
      <c r="AF672" s="8"/>
      <c r="AG672" s="8"/>
      <c r="AH672" s="8"/>
      <c r="AI672" s="8"/>
    </row>
    <row r="673" spans="1:35">
      <c r="A673" s="1"/>
      <c r="B673" s="8"/>
      <c r="C673" s="8"/>
      <c r="D673" s="8"/>
      <c r="E673" s="8"/>
      <c r="F673" s="8"/>
      <c r="G673" s="8"/>
      <c r="H673" s="8"/>
      <c r="I673" s="8"/>
      <c r="J673" s="8"/>
      <c r="K673" s="8"/>
      <c r="L673" s="26"/>
      <c r="M673" s="26"/>
      <c r="N673" s="26"/>
      <c r="O673" s="55"/>
      <c r="P673" s="1"/>
      <c r="Q673" s="8"/>
      <c r="R673" s="8"/>
      <c r="S673" s="1"/>
      <c r="T673" s="8"/>
      <c r="U673" s="8"/>
      <c r="V673" s="56"/>
      <c r="W673" s="1"/>
      <c r="X673" s="1"/>
      <c r="Y673" s="8"/>
      <c r="Z673" s="8"/>
      <c r="AA673" s="8"/>
      <c r="AB673" s="8"/>
      <c r="AC673" s="8"/>
      <c r="AD673" s="8"/>
      <c r="AE673" s="8"/>
      <c r="AF673" s="8"/>
      <c r="AG673" s="8"/>
      <c r="AH673" s="8"/>
      <c r="AI673" s="8"/>
    </row>
    <row r="674" spans="1:35">
      <c r="A674" s="1"/>
      <c r="B674" s="8"/>
      <c r="C674" s="8"/>
      <c r="D674" s="8"/>
      <c r="E674" s="8"/>
      <c r="F674" s="8"/>
      <c r="G674" s="8"/>
      <c r="H674" s="8"/>
      <c r="I674" s="8"/>
      <c r="J674" s="8"/>
      <c r="K674" s="8"/>
      <c r="L674" s="26"/>
      <c r="M674" s="26"/>
      <c r="N674" s="26"/>
      <c r="O674" s="55"/>
      <c r="P674" s="1"/>
      <c r="Q674" s="8"/>
      <c r="R674" s="8"/>
      <c r="S674" s="1"/>
      <c r="T674" s="8"/>
      <c r="U674" s="8"/>
      <c r="V674" s="56"/>
      <c r="W674" s="1"/>
      <c r="X674" s="1"/>
      <c r="Y674" s="8"/>
      <c r="Z674" s="8"/>
      <c r="AA674" s="8"/>
      <c r="AB674" s="8"/>
      <c r="AC674" s="8"/>
      <c r="AD674" s="8"/>
      <c r="AE674" s="8"/>
      <c r="AF674" s="8"/>
      <c r="AG674" s="8"/>
      <c r="AH674" s="8"/>
      <c r="AI674" s="8"/>
    </row>
    <row r="675" spans="1:35">
      <c r="A675" s="1"/>
      <c r="B675" s="8"/>
      <c r="C675" s="8"/>
      <c r="D675" s="8"/>
      <c r="E675" s="8"/>
      <c r="F675" s="8"/>
      <c r="G675" s="8"/>
      <c r="H675" s="8"/>
      <c r="I675" s="8"/>
      <c r="J675" s="8"/>
      <c r="K675" s="8"/>
      <c r="L675" s="26"/>
      <c r="M675" s="26"/>
      <c r="N675" s="26"/>
      <c r="O675" s="55"/>
      <c r="P675" s="1"/>
      <c r="Q675" s="8"/>
      <c r="R675" s="8"/>
      <c r="S675" s="1"/>
      <c r="T675" s="8"/>
      <c r="U675" s="8"/>
      <c r="V675" s="56"/>
      <c r="W675" s="1"/>
      <c r="X675" s="1"/>
      <c r="Y675" s="8"/>
      <c r="Z675" s="8"/>
      <c r="AA675" s="8"/>
      <c r="AB675" s="8"/>
      <c r="AC675" s="8"/>
      <c r="AD675" s="8"/>
      <c r="AE675" s="8"/>
      <c r="AF675" s="8"/>
      <c r="AG675" s="8"/>
      <c r="AH675" s="8"/>
      <c r="AI675" s="8"/>
    </row>
    <row r="676" spans="1:35">
      <c r="A676" s="1"/>
      <c r="B676" s="8"/>
      <c r="C676" s="8"/>
      <c r="D676" s="8"/>
      <c r="E676" s="8"/>
      <c r="F676" s="8"/>
      <c r="G676" s="8"/>
      <c r="H676" s="8"/>
      <c r="I676" s="8"/>
      <c r="J676" s="8"/>
      <c r="K676" s="8"/>
      <c r="L676" s="26"/>
      <c r="M676" s="26"/>
      <c r="N676" s="26"/>
      <c r="O676" s="55"/>
      <c r="P676" s="1"/>
      <c r="Q676" s="8"/>
      <c r="R676" s="8"/>
      <c r="S676" s="1"/>
      <c r="T676" s="8"/>
      <c r="U676" s="8"/>
      <c r="V676" s="56"/>
      <c r="W676" s="1"/>
      <c r="X676" s="1"/>
      <c r="Y676" s="8"/>
      <c r="Z676" s="8"/>
      <c r="AA676" s="8"/>
      <c r="AB676" s="8"/>
      <c r="AC676" s="8"/>
      <c r="AD676" s="8"/>
      <c r="AE676" s="8"/>
      <c r="AF676" s="8"/>
      <c r="AG676" s="8"/>
      <c r="AH676" s="8"/>
      <c r="AI676" s="8"/>
    </row>
    <row r="677" spans="1:35">
      <c r="A677" s="1"/>
      <c r="B677" s="8"/>
      <c r="C677" s="8"/>
      <c r="D677" s="8"/>
      <c r="E677" s="8"/>
      <c r="F677" s="8"/>
      <c r="G677" s="8"/>
      <c r="H677" s="8"/>
      <c r="I677" s="8"/>
      <c r="J677" s="8"/>
      <c r="K677" s="8"/>
      <c r="L677" s="26"/>
      <c r="M677" s="26"/>
      <c r="N677" s="26"/>
      <c r="O677" s="55"/>
      <c r="P677" s="1"/>
      <c r="Q677" s="8"/>
      <c r="R677" s="8"/>
      <c r="S677" s="1"/>
      <c r="T677" s="8"/>
      <c r="U677" s="8"/>
      <c r="V677" s="56"/>
      <c r="W677" s="1"/>
      <c r="X677" s="1"/>
      <c r="Y677" s="8"/>
      <c r="Z677" s="8"/>
      <c r="AA677" s="8"/>
      <c r="AB677" s="8"/>
      <c r="AC677" s="8"/>
      <c r="AD677" s="8"/>
      <c r="AE677" s="8"/>
      <c r="AF677" s="8"/>
      <c r="AG677" s="8"/>
      <c r="AH677" s="8"/>
      <c r="AI677" s="8"/>
    </row>
    <row r="678" spans="1:35">
      <c r="A678" s="1"/>
      <c r="B678" s="8"/>
      <c r="C678" s="8"/>
      <c r="D678" s="8"/>
      <c r="E678" s="8"/>
      <c r="F678" s="8"/>
      <c r="G678" s="8"/>
      <c r="H678" s="8"/>
      <c r="I678" s="8"/>
      <c r="J678" s="8"/>
      <c r="K678" s="8"/>
      <c r="L678" s="26"/>
      <c r="M678" s="26"/>
      <c r="N678" s="26"/>
      <c r="O678" s="55"/>
      <c r="P678" s="1"/>
      <c r="Q678" s="8"/>
      <c r="R678" s="8"/>
      <c r="S678" s="1"/>
      <c r="T678" s="8"/>
      <c r="U678" s="8"/>
      <c r="V678" s="56"/>
      <c r="W678" s="1"/>
      <c r="X678" s="1"/>
      <c r="Y678" s="8"/>
      <c r="Z678" s="8"/>
      <c r="AA678" s="8"/>
      <c r="AB678" s="8"/>
      <c r="AC678" s="8"/>
      <c r="AD678" s="8"/>
      <c r="AE678" s="8"/>
      <c r="AF678" s="8"/>
      <c r="AG678" s="8"/>
      <c r="AH678" s="8"/>
      <c r="AI678" s="8"/>
    </row>
    <row r="679" spans="1:35">
      <c r="A679" s="1"/>
      <c r="B679" s="8"/>
      <c r="C679" s="8"/>
      <c r="D679" s="8"/>
      <c r="E679" s="8"/>
      <c r="F679" s="8"/>
      <c r="G679" s="8"/>
      <c r="H679" s="8"/>
      <c r="I679" s="8"/>
      <c r="J679" s="8"/>
      <c r="K679" s="8"/>
      <c r="L679" s="26"/>
      <c r="M679" s="26"/>
      <c r="N679" s="26"/>
      <c r="O679" s="55"/>
      <c r="P679" s="1"/>
      <c r="Q679" s="8"/>
      <c r="R679" s="8"/>
      <c r="S679" s="1"/>
      <c r="T679" s="8"/>
      <c r="U679" s="8"/>
      <c r="V679" s="56"/>
      <c r="W679" s="1"/>
      <c r="X679" s="1"/>
      <c r="Y679" s="8"/>
      <c r="Z679" s="8"/>
      <c r="AA679" s="8"/>
      <c r="AB679" s="8"/>
      <c r="AC679" s="8"/>
      <c r="AD679" s="8"/>
      <c r="AE679" s="8"/>
      <c r="AF679" s="8"/>
      <c r="AG679" s="8"/>
      <c r="AH679" s="8"/>
      <c r="AI679" s="8"/>
    </row>
    <row r="680" spans="1:35">
      <c r="A680" s="1"/>
      <c r="B680" s="8"/>
      <c r="C680" s="8"/>
      <c r="D680" s="8"/>
      <c r="E680" s="8"/>
      <c r="F680" s="8"/>
      <c r="G680" s="8"/>
      <c r="H680" s="8"/>
      <c r="I680" s="8"/>
      <c r="J680" s="8"/>
      <c r="K680" s="8"/>
      <c r="L680" s="26"/>
      <c r="M680" s="26"/>
      <c r="N680" s="26"/>
      <c r="O680" s="55"/>
      <c r="P680" s="1"/>
      <c r="Q680" s="8"/>
      <c r="R680" s="8"/>
      <c r="S680" s="1"/>
      <c r="T680" s="8"/>
      <c r="U680" s="8"/>
      <c r="V680" s="56"/>
      <c r="W680" s="1"/>
      <c r="X680" s="1"/>
      <c r="Y680" s="8"/>
      <c r="Z680" s="8"/>
      <c r="AA680" s="8"/>
      <c r="AB680" s="8"/>
      <c r="AC680" s="8"/>
      <c r="AD680" s="8"/>
      <c r="AE680" s="8"/>
      <c r="AF680" s="8"/>
      <c r="AG680" s="8"/>
      <c r="AH680" s="8"/>
      <c r="AI680" s="8"/>
    </row>
    <row r="681" spans="1:35">
      <c r="A681" s="1"/>
      <c r="B681" s="8"/>
      <c r="C681" s="8"/>
      <c r="D681" s="8"/>
      <c r="E681" s="8"/>
      <c r="F681" s="8"/>
      <c r="G681" s="8"/>
      <c r="H681" s="8"/>
      <c r="I681" s="8"/>
      <c r="J681" s="8"/>
      <c r="K681" s="8"/>
      <c r="L681" s="26"/>
      <c r="M681" s="26"/>
      <c r="N681" s="26"/>
      <c r="O681" s="55"/>
      <c r="P681" s="1"/>
      <c r="Q681" s="8"/>
      <c r="R681" s="8"/>
      <c r="S681" s="1"/>
      <c r="T681" s="8"/>
      <c r="U681" s="8"/>
      <c r="V681" s="56"/>
      <c r="W681" s="1"/>
      <c r="X681" s="1"/>
      <c r="Y681" s="8"/>
      <c r="Z681" s="8"/>
      <c r="AA681" s="8"/>
      <c r="AB681" s="8"/>
      <c r="AC681" s="8"/>
      <c r="AD681" s="8"/>
      <c r="AE681" s="8"/>
      <c r="AF681" s="8"/>
      <c r="AG681" s="8"/>
      <c r="AH681" s="8"/>
      <c r="AI681" s="8"/>
    </row>
    <row r="682" spans="1:35">
      <c r="A682" s="1"/>
      <c r="B682" s="8"/>
      <c r="C682" s="8"/>
      <c r="D682" s="8"/>
      <c r="E682" s="8"/>
      <c r="F682" s="8"/>
      <c r="G682" s="8"/>
      <c r="H682" s="8"/>
      <c r="I682" s="8"/>
      <c r="J682" s="8"/>
      <c r="K682" s="8"/>
      <c r="L682" s="26"/>
      <c r="M682" s="26"/>
      <c r="N682" s="26"/>
      <c r="O682" s="55"/>
      <c r="P682" s="1"/>
      <c r="Q682" s="8"/>
      <c r="R682" s="8"/>
      <c r="S682" s="1"/>
      <c r="T682" s="8"/>
      <c r="U682" s="8"/>
      <c r="V682" s="56"/>
      <c r="W682" s="1"/>
      <c r="X682" s="1"/>
      <c r="Y682" s="8"/>
      <c r="Z682" s="8"/>
      <c r="AA682" s="8"/>
      <c r="AB682" s="8"/>
      <c r="AC682" s="8"/>
      <c r="AD682" s="8"/>
      <c r="AE682" s="8"/>
      <c r="AF682" s="8"/>
      <c r="AG682" s="8"/>
      <c r="AH682" s="8"/>
      <c r="AI682" s="8"/>
    </row>
    <row r="683" spans="1:35">
      <c r="A683" s="1"/>
      <c r="B683" s="8"/>
      <c r="C683" s="8"/>
      <c r="D683" s="8"/>
      <c r="E683" s="8"/>
      <c r="F683" s="8"/>
      <c r="G683" s="8"/>
      <c r="H683" s="8"/>
      <c r="I683" s="8"/>
      <c r="J683" s="8"/>
      <c r="K683" s="8"/>
      <c r="L683" s="26"/>
      <c r="M683" s="26"/>
      <c r="N683" s="26"/>
      <c r="O683" s="55"/>
      <c r="P683" s="1"/>
      <c r="Q683" s="8"/>
      <c r="R683" s="8"/>
      <c r="S683" s="1"/>
      <c r="T683" s="8"/>
      <c r="U683" s="8"/>
      <c r="V683" s="56"/>
      <c r="W683" s="1"/>
      <c r="X683" s="1"/>
      <c r="Y683" s="8"/>
      <c r="Z683" s="8"/>
      <c r="AA683" s="8"/>
      <c r="AB683" s="8"/>
      <c r="AC683" s="8"/>
      <c r="AD683" s="8"/>
      <c r="AE683" s="8"/>
      <c r="AF683" s="8"/>
      <c r="AG683" s="8"/>
      <c r="AH683" s="8"/>
      <c r="AI683" s="8"/>
    </row>
    <row r="684" spans="1:35">
      <c r="A684" s="1"/>
      <c r="B684" s="8"/>
      <c r="C684" s="8"/>
      <c r="D684" s="8"/>
      <c r="E684" s="8"/>
      <c r="F684" s="8"/>
      <c r="G684" s="8"/>
      <c r="H684" s="8"/>
      <c r="I684" s="8"/>
      <c r="J684" s="8"/>
      <c r="K684" s="8"/>
      <c r="L684" s="26"/>
      <c r="M684" s="26"/>
      <c r="N684" s="26"/>
      <c r="O684" s="55"/>
      <c r="P684" s="1"/>
      <c r="Q684" s="8"/>
      <c r="R684" s="8"/>
      <c r="S684" s="1"/>
      <c r="T684" s="8"/>
      <c r="U684" s="8"/>
      <c r="V684" s="56"/>
      <c r="W684" s="1"/>
      <c r="X684" s="1"/>
      <c r="Y684" s="8"/>
      <c r="Z684" s="8"/>
      <c r="AA684" s="8"/>
      <c r="AB684" s="8"/>
      <c r="AC684" s="8"/>
      <c r="AD684" s="8"/>
      <c r="AE684" s="8"/>
      <c r="AF684" s="8"/>
      <c r="AG684" s="8"/>
      <c r="AH684" s="8"/>
      <c r="AI684" s="8"/>
    </row>
    <row r="685" spans="1:35">
      <c r="A685" s="1"/>
      <c r="B685" s="8"/>
      <c r="C685" s="8"/>
      <c r="D685" s="8"/>
      <c r="E685" s="8"/>
      <c r="F685" s="8"/>
      <c r="G685" s="8"/>
      <c r="H685" s="8"/>
      <c r="I685" s="8"/>
      <c r="J685" s="8"/>
      <c r="K685" s="8"/>
      <c r="L685" s="26"/>
      <c r="M685" s="26"/>
      <c r="N685" s="26"/>
      <c r="O685" s="55"/>
      <c r="P685" s="1"/>
      <c r="Q685" s="8"/>
      <c r="R685" s="8"/>
      <c r="S685" s="1"/>
      <c r="T685" s="8"/>
      <c r="U685" s="8"/>
      <c r="V685" s="56"/>
      <c r="W685" s="1"/>
      <c r="X685" s="1"/>
      <c r="Y685" s="8"/>
      <c r="Z685" s="8"/>
      <c r="AA685" s="8"/>
      <c r="AB685" s="8"/>
      <c r="AC685" s="8"/>
      <c r="AD685" s="8"/>
      <c r="AE685" s="8"/>
      <c r="AF685" s="8"/>
      <c r="AG685" s="8"/>
      <c r="AH685" s="8"/>
      <c r="AI685" s="8"/>
    </row>
    <row r="686" spans="1:35">
      <c r="A686" s="1"/>
      <c r="B686" s="8"/>
      <c r="C686" s="8"/>
      <c r="D686" s="8"/>
      <c r="E686" s="8"/>
      <c r="F686" s="8"/>
      <c r="G686" s="8"/>
      <c r="H686" s="8"/>
      <c r="I686" s="8"/>
      <c r="J686" s="8"/>
      <c r="K686" s="8"/>
      <c r="L686" s="26"/>
      <c r="M686" s="26"/>
      <c r="N686" s="26"/>
      <c r="O686" s="55"/>
      <c r="P686" s="1"/>
      <c r="Q686" s="8"/>
      <c r="R686" s="8"/>
      <c r="S686" s="1"/>
      <c r="T686" s="8"/>
      <c r="U686" s="8"/>
      <c r="V686" s="56"/>
      <c r="W686" s="1"/>
      <c r="X686" s="1"/>
      <c r="Y686" s="8"/>
      <c r="Z686" s="8"/>
      <c r="AA686" s="8"/>
      <c r="AB686" s="8"/>
      <c r="AC686" s="8"/>
      <c r="AD686" s="8"/>
      <c r="AE686" s="8"/>
      <c r="AF686" s="8"/>
      <c r="AG686" s="8"/>
      <c r="AH686" s="8"/>
      <c r="AI686" s="8"/>
    </row>
    <row r="687" spans="1:35">
      <c r="A687" s="1"/>
      <c r="B687" s="8"/>
      <c r="C687" s="8"/>
      <c r="D687" s="8"/>
      <c r="E687" s="8"/>
      <c r="F687" s="8"/>
      <c r="G687" s="8"/>
      <c r="H687" s="8"/>
      <c r="I687" s="8"/>
      <c r="J687" s="8"/>
      <c r="K687" s="8"/>
      <c r="L687" s="26"/>
      <c r="M687" s="26"/>
      <c r="N687" s="26"/>
      <c r="O687" s="55"/>
      <c r="P687" s="1"/>
      <c r="Q687" s="8"/>
      <c r="R687" s="8"/>
      <c r="S687" s="1"/>
      <c r="T687" s="8"/>
      <c r="U687" s="8"/>
      <c r="V687" s="56"/>
      <c r="W687" s="1"/>
      <c r="X687" s="1"/>
      <c r="Y687" s="8"/>
      <c r="Z687" s="8"/>
      <c r="AA687" s="8"/>
      <c r="AB687" s="8"/>
      <c r="AC687" s="8"/>
      <c r="AD687" s="8"/>
      <c r="AE687" s="8"/>
      <c r="AF687" s="8"/>
      <c r="AG687" s="8"/>
      <c r="AH687" s="8"/>
      <c r="AI687" s="8"/>
    </row>
    <row r="688" spans="1:35">
      <c r="A688" s="1"/>
      <c r="B688" s="8"/>
      <c r="C688" s="8"/>
      <c r="D688" s="8"/>
      <c r="E688" s="8"/>
      <c r="F688" s="8"/>
      <c r="G688" s="8"/>
      <c r="H688" s="8"/>
      <c r="I688" s="8"/>
      <c r="J688" s="8"/>
      <c r="K688" s="8"/>
      <c r="L688" s="26"/>
      <c r="M688" s="26"/>
      <c r="N688" s="26"/>
      <c r="O688" s="55"/>
      <c r="P688" s="1"/>
      <c r="Q688" s="8"/>
      <c r="R688" s="8"/>
      <c r="S688" s="1"/>
      <c r="T688" s="8"/>
      <c r="U688" s="8"/>
      <c r="V688" s="56"/>
      <c r="W688" s="1"/>
      <c r="X688" s="1"/>
      <c r="Y688" s="8"/>
      <c r="Z688" s="8"/>
      <c r="AA688" s="8"/>
      <c r="AB688" s="8"/>
      <c r="AC688" s="8"/>
      <c r="AD688" s="8"/>
      <c r="AE688" s="8"/>
      <c r="AF688" s="8"/>
      <c r="AG688" s="8"/>
      <c r="AH688" s="8"/>
      <c r="AI688" s="8"/>
    </row>
    <row r="689" spans="1:35">
      <c r="A689" s="1"/>
      <c r="B689" s="8"/>
      <c r="C689" s="8"/>
      <c r="D689" s="8"/>
      <c r="E689" s="8"/>
      <c r="F689" s="8"/>
      <c r="G689" s="8"/>
      <c r="H689" s="8"/>
      <c r="I689" s="8"/>
      <c r="J689" s="8"/>
      <c r="K689" s="8"/>
      <c r="L689" s="26"/>
      <c r="M689" s="26"/>
      <c r="N689" s="26"/>
      <c r="O689" s="55"/>
      <c r="P689" s="1"/>
      <c r="Q689" s="8"/>
      <c r="R689" s="8"/>
      <c r="S689" s="1"/>
      <c r="T689" s="8"/>
      <c r="U689" s="8"/>
      <c r="V689" s="56"/>
      <c r="W689" s="1"/>
      <c r="X689" s="1"/>
      <c r="Y689" s="8"/>
      <c r="Z689" s="8"/>
      <c r="AA689" s="8"/>
      <c r="AB689" s="8"/>
      <c r="AC689" s="8"/>
      <c r="AD689" s="8"/>
      <c r="AE689" s="8"/>
      <c r="AF689" s="8"/>
      <c r="AG689" s="8"/>
      <c r="AH689" s="8"/>
      <c r="AI689" s="8"/>
    </row>
    <row r="690" spans="1:35">
      <c r="A690" s="1"/>
      <c r="B690" s="8"/>
      <c r="C690" s="8"/>
      <c r="D690" s="8"/>
      <c r="E690" s="8"/>
      <c r="F690" s="8"/>
      <c r="G690" s="8"/>
      <c r="H690" s="8"/>
      <c r="I690" s="8"/>
      <c r="J690" s="8"/>
      <c r="K690" s="8"/>
      <c r="L690" s="26"/>
      <c r="M690" s="26"/>
      <c r="N690" s="26"/>
      <c r="O690" s="55"/>
      <c r="P690" s="1"/>
      <c r="Q690" s="8"/>
      <c r="R690" s="8"/>
      <c r="S690" s="1"/>
      <c r="T690" s="8"/>
      <c r="U690" s="8"/>
      <c r="V690" s="56"/>
      <c r="W690" s="1"/>
      <c r="X690" s="1"/>
      <c r="Y690" s="8"/>
      <c r="Z690" s="8"/>
      <c r="AA690" s="8"/>
      <c r="AB690" s="8"/>
      <c r="AC690" s="8"/>
      <c r="AD690" s="8"/>
      <c r="AE690" s="8"/>
      <c r="AF690" s="8"/>
      <c r="AG690" s="8"/>
      <c r="AH690" s="8"/>
      <c r="AI690" s="8"/>
    </row>
    <row r="691" spans="1:35">
      <c r="A691" s="1"/>
      <c r="B691" s="8"/>
      <c r="C691" s="8"/>
      <c r="D691" s="8"/>
      <c r="E691" s="8"/>
      <c r="F691" s="8"/>
      <c r="G691" s="8"/>
      <c r="H691" s="8"/>
      <c r="I691" s="8"/>
      <c r="J691" s="8"/>
      <c r="K691" s="8"/>
      <c r="L691" s="26"/>
      <c r="M691" s="26"/>
      <c r="N691" s="26"/>
      <c r="O691" s="55"/>
      <c r="P691" s="1"/>
      <c r="Q691" s="8"/>
      <c r="R691" s="8"/>
      <c r="S691" s="1"/>
      <c r="T691" s="8"/>
      <c r="U691" s="8"/>
      <c r="V691" s="56"/>
      <c r="W691" s="1"/>
      <c r="X691" s="1"/>
      <c r="Y691" s="8"/>
      <c r="Z691" s="8"/>
      <c r="AA691" s="8"/>
      <c r="AB691" s="8"/>
      <c r="AC691" s="8"/>
      <c r="AD691" s="8"/>
      <c r="AE691" s="8"/>
      <c r="AF691" s="8"/>
      <c r="AG691" s="8"/>
      <c r="AH691" s="8"/>
      <c r="AI691" s="8"/>
    </row>
    <row r="692" spans="1:35">
      <c r="A692" s="1"/>
      <c r="B692" s="8"/>
      <c r="C692" s="8"/>
      <c r="D692" s="8"/>
      <c r="E692" s="8"/>
      <c r="F692" s="8"/>
      <c r="G692" s="8"/>
      <c r="H692" s="8"/>
      <c r="I692" s="8"/>
      <c r="J692" s="8"/>
      <c r="K692" s="8"/>
      <c r="L692" s="26"/>
      <c r="M692" s="26"/>
      <c r="N692" s="26"/>
      <c r="O692" s="55"/>
      <c r="P692" s="1"/>
      <c r="Q692" s="8"/>
      <c r="R692" s="8"/>
      <c r="S692" s="1"/>
      <c r="T692" s="8"/>
      <c r="U692" s="8"/>
      <c r="V692" s="56"/>
      <c r="W692" s="1"/>
      <c r="X692" s="1"/>
      <c r="Y692" s="8"/>
      <c r="Z692" s="8"/>
      <c r="AA692" s="8"/>
      <c r="AB692" s="8"/>
      <c r="AC692" s="8"/>
      <c r="AD692" s="8"/>
      <c r="AE692" s="8"/>
      <c r="AF692" s="8"/>
      <c r="AG692" s="8"/>
      <c r="AH692" s="8"/>
      <c r="AI692" s="8"/>
    </row>
    <row r="693" spans="1:35">
      <c r="A693" s="1"/>
      <c r="B693" s="8"/>
      <c r="C693" s="8"/>
      <c r="D693" s="8"/>
      <c r="E693" s="8"/>
      <c r="F693" s="8"/>
      <c r="G693" s="8"/>
      <c r="H693" s="8"/>
      <c r="I693" s="8"/>
      <c r="J693" s="8"/>
      <c r="K693" s="8"/>
      <c r="L693" s="26"/>
      <c r="M693" s="26"/>
      <c r="N693" s="26"/>
      <c r="O693" s="55"/>
      <c r="P693" s="1"/>
      <c r="Q693" s="8"/>
      <c r="R693" s="8"/>
      <c r="S693" s="1"/>
      <c r="T693" s="8"/>
      <c r="U693" s="8"/>
      <c r="V693" s="56"/>
      <c r="W693" s="1"/>
      <c r="X693" s="1"/>
      <c r="Y693" s="8"/>
      <c r="Z693" s="8"/>
      <c r="AA693" s="8"/>
      <c r="AB693" s="8"/>
      <c r="AC693" s="8"/>
      <c r="AD693" s="8"/>
      <c r="AE693" s="8"/>
      <c r="AF693" s="8"/>
      <c r="AG693" s="8"/>
      <c r="AH693" s="8"/>
      <c r="AI693" s="8"/>
    </row>
    <row r="694" spans="1:35">
      <c r="A694" s="1"/>
      <c r="B694" s="8"/>
      <c r="C694" s="8"/>
      <c r="D694" s="8"/>
      <c r="E694" s="8"/>
      <c r="F694" s="8"/>
      <c r="G694" s="8"/>
      <c r="H694" s="8"/>
      <c r="I694" s="8"/>
      <c r="J694" s="8"/>
      <c r="K694" s="8"/>
      <c r="L694" s="26"/>
      <c r="M694" s="26"/>
      <c r="N694" s="26"/>
      <c r="O694" s="55"/>
      <c r="P694" s="1"/>
      <c r="Q694" s="8"/>
      <c r="R694" s="8"/>
      <c r="S694" s="1"/>
      <c r="T694" s="8"/>
      <c r="U694" s="8"/>
      <c r="V694" s="56"/>
      <c r="W694" s="1"/>
      <c r="X694" s="1"/>
      <c r="Y694" s="8"/>
      <c r="Z694" s="8"/>
      <c r="AA694" s="8"/>
      <c r="AB694" s="8"/>
      <c r="AC694" s="8"/>
      <c r="AD694" s="8"/>
      <c r="AE694" s="8"/>
      <c r="AF694" s="8"/>
      <c r="AG694" s="8"/>
      <c r="AH694" s="8"/>
      <c r="AI694" s="8"/>
    </row>
    <row r="695" spans="1:35">
      <c r="A695" s="1"/>
      <c r="B695" s="8"/>
      <c r="C695" s="8"/>
      <c r="D695" s="8"/>
      <c r="E695" s="8"/>
      <c r="F695" s="8"/>
      <c r="G695" s="8"/>
      <c r="H695" s="8"/>
      <c r="I695" s="8"/>
      <c r="J695" s="8"/>
      <c r="K695" s="8"/>
      <c r="L695" s="26"/>
      <c r="M695" s="26"/>
      <c r="N695" s="26"/>
      <c r="O695" s="55"/>
      <c r="P695" s="1"/>
      <c r="Q695" s="8"/>
      <c r="R695" s="8"/>
      <c r="S695" s="1"/>
      <c r="T695" s="8"/>
      <c r="U695" s="8"/>
      <c r="V695" s="56"/>
      <c r="W695" s="1"/>
      <c r="X695" s="1"/>
      <c r="Y695" s="8"/>
      <c r="Z695" s="8"/>
      <c r="AA695" s="8"/>
      <c r="AB695" s="8"/>
      <c r="AC695" s="8"/>
      <c r="AD695" s="8"/>
      <c r="AE695" s="8"/>
      <c r="AF695" s="8"/>
      <c r="AG695" s="8"/>
      <c r="AH695" s="8"/>
      <c r="AI695" s="8"/>
    </row>
    <row r="696" spans="1:35">
      <c r="A696" s="1"/>
      <c r="B696" s="8"/>
      <c r="C696" s="8"/>
      <c r="D696" s="8"/>
      <c r="E696" s="8"/>
      <c r="F696" s="8"/>
      <c r="G696" s="8"/>
      <c r="H696" s="8"/>
      <c r="I696" s="8"/>
      <c r="J696" s="8"/>
      <c r="K696" s="8"/>
      <c r="L696" s="26"/>
      <c r="M696" s="26"/>
      <c r="N696" s="26"/>
      <c r="O696" s="55"/>
      <c r="P696" s="1"/>
      <c r="Q696" s="8"/>
      <c r="R696" s="8"/>
      <c r="S696" s="1"/>
      <c r="T696" s="8"/>
      <c r="U696" s="8"/>
      <c r="V696" s="56"/>
      <c r="W696" s="1"/>
      <c r="X696" s="1"/>
      <c r="Y696" s="8"/>
      <c r="Z696" s="8"/>
      <c r="AA696" s="8"/>
      <c r="AB696" s="8"/>
      <c r="AC696" s="8"/>
      <c r="AD696" s="8"/>
      <c r="AE696" s="8"/>
      <c r="AF696" s="8"/>
      <c r="AG696" s="8"/>
      <c r="AH696" s="8"/>
      <c r="AI696" s="8"/>
    </row>
    <row r="697" spans="1:35">
      <c r="A697" s="1"/>
      <c r="B697" s="8"/>
      <c r="C697" s="8"/>
      <c r="D697" s="8"/>
      <c r="E697" s="8"/>
      <c r="F697" s="8"/>
      <c r="G697" s="8"/>
      <c r="H697" s="8"/>
      <c r="I697" s="8"/>
      <c r="J697" s="8"/>
      <c r="K697" s="8"/>
      <c r="L697" s="26"/>
      <c r="M697" s="26"/>
      <c r="N697" s="26"/>
      <c r="O697" s="55"/>
      <c r="P697" s="1"/>
      <c r="Q697" s="8"/>
      <c r="R697" s="8"/>
      <c r="S697" s="1"/>
      <c r="T697" s="8"/>
      <c r="U697" s="8"/>
      <c r="V697" s="56"/>
      <c r="W697" s="1"/>
      <c r="X697" s="1"/>
      <c r="Y697" s="8"/>
      <c r="Z697" s="8"/>
      <c r="AA697" s="8"/>
      <c r="AB697" s="8"/>
      <c r="AC697" s="8"/>
      <c r="AD697" s="8"/>
      <c r="AE697" s="8"/>
      <c r="AF697" s="8"/>
      <c r="AG697" s="8"/>
      <c r="AH697" s="8"/>
      <c r="AI697" s="8"/>
    </row>
    <row r="698" spans="1:35">
      <c r="A698" s="1"/>
      <c r="B698" s="8"/>
      <c r="C698" s="8"/>
      <c r="D698" s="8"/>
      <c r="E698" s="8"/>
      <c r="F698" s="8"/>
      <c r="G698" s="8"/>
      <c r="H698" s="8"/>
      <c r="I698" s="8"/>
      <c r="J698" s="8"/>
      <c r="K698" s="8"/>
      <c r="L698" s="26"/>
      <c r="M698" s="26"/>
      <c r="N698" s="26"/>
      <c r="O698" s="55"/>
      <c r="P698" s="1"/>
      <c r="Q698" s="8"/>
      <c r="R698" s="8"/>
      <c r="S698" s="1"/>
      <c r="T698" s="8"/>
      <c r="U698" s="8"/>
      <c r="V698" s="56"/>
      <c r="W698" s="1"/>
      <c r="X698" s="1"/>
      <c r="Y698" s="8"/>
      <c r="Z698" s="8"/>
      <c r="AA698" s="8"/>
      <c r="AB698" s="8"/>
      <c r="AC698" s="8"/>
      <c r="AD698" s="8"/>
      <c r="AE698" s="8"/>
      <c r="AF698" s="8"/>
      <c r="AG698" s="8"/>
      <c r="AH698" s="8"/>
      <c r="AI698" s="8"/>
    </row>
    <row r="699" spans="1:35">
      <c r="A699" s="1"/>
      <c r="B699" s="8"/>
      <c r="C699" s="8"/>
      <c r="D699" s="8"/>
      <c r="E699" s="8"/>
      <c r="F699" s="8"/>
      <c r="G699" s="8"/>
      <c r="H699" s="8"/>
      <c r="I699" s="8"/>
      <c r="J699" s="8"/>
      <c r="K699" s="8"/>
      <c r="L699" s="26"/>
      <c r="M699" s="26"/>
      <c r="N699" s="26"/>
      <c r="O699" s="55"/>
      <c r="P699" s="1"/>
      <c r="Q699" s="8"/>
      <c r="R699" s="8"/>
      <c r="S699" s="1"/>
      <c r="T699" s="8"/>
      <c r="U699" s="8"/>
      <c r="V699" s="56"/>
      <c r="W699" s="1"/>
      <c r="X699" s="1"/>
      <c r="Y699" s="8"/>
      <c r="Z699" s="8"/>
      <c r="AA699" s="8"/>
      <c r="AB699" s="8"/>
      <c r="AC699" s="8"/>
      <c r="AD699" s="8"/>
      <c r="AE699" s="8"/>
      <c r="AF699" s="8"/>
      <c r="AG699" s="8"/>
      <c r="AH699" s="8"/>
      <c r="AI699" s="8"/>
    </row>
    <row r="700" spans="1:35">
      <c r="A700" s="1"/>
      <c r="B700" s="8"/>
      <c r="C700" s="8"/>
      <c r="D700" s="8"/>
      <c r="E700" s="8"/>
      <c r="F700" s="8"/>
      <c r="G700" s="8"/>
      <c r="H700" s="8"/>
      <c r="I700" s="8"/>
      <c r="J700" s="8"/>
      <c r="K700" s="8"/>
      <c r="L700" s="26"/>
      <c r="M700" s="26"/>
      <c r="N700" s="26"/>
      <c r="O700" s="55"/>
      <c r="P700" s="1"/>
      <c r="Q700" s="8"/>
      <c r="R700" s="8"/>
      <c r="S700" s="1"/>
      <c r="T700" s="8"/>
      <c r="U700" s="8"/>
      <c r="V700" s="56"/>
      <c r="W700" s="1"/>
      <c r="X700" s="1"/>
      <c r="Y700" s="8"/>
      <c r="Z700" s="8"/>
      <c r="AA700" s="8"/>
      <c r="AB700" s="8"/>
      <c r="AC700" s="8"/>
      <c r="AD700" s="8"/>
      <c r="AE700" s="8"/>
      <c r="AF700" s="8"/>
      <c r="AG700" s="8"/>
      <c r="AH700" s="8"/>
      <c r="AI700" s="8"/>
    </row>
    <row r="701" spans="1:35">
      <c r="A701" s="1"/>
      <c r="B701" s="8"/>
      <c r="C701" s="8"/>
      <c r="D701" s="8"/>
      <c r="E701" s="8"/>
      <c r="F701" s="8"/>
      <c r="G701" s="8"/>
      <c r="H701" s="8"/>
      <c r="I701" s="8"/>
      <c r="J701" s="8"/>
      <c r="K701" s="8"/>
      <c r="L701" s="26"/>
      <c r="M701" s="26"/>
      <c r="N701" s="26"/>
      <c r="O701" s="55"/>
      <c r="P701" s="1"/>
      <c r="Q701" s="8"/>
      <c r="R701" s="8"/>
      <c r="S701" s="1"/>
      <c r="T701" s="8"/>
      <c r="U701" s="8"/>
      <c r="V701" s="56"/>
      <c r="W701" s="1"/>
      <c r="X701" s="1"/>
      <c r="Y701" s="8"/>
      <c r="Z701" s="8"/>
      <c r="AA701" s="8"/>
      <c r="AB701" s="8"/>
      <c r="AC701" s="8"/>
      <c r="AD701" s="8"/>
      <c r="AE701" s="8"/>
      <c r="AF701" s="8"/>
      <c r="AG701" s="8"/>
      <c r="AH701" s="8"/>
      <c r="AI701" s="8"/>
    </row>
    <row r="702" spans="1:35">
      <c r="A702" s="1"/>
      <c r="B702" s="8"/>
      <c r="C702" s="8"/>
      <c r="D702" s="8"/>
      <c r="E702" s="8"/>
      <c r="F702" s="8"/>
      <c r="G702" s="8"/>
      <c r="H702" s="8"/>
      <c r="I702" s="8"/>
      <c r="J702" s="8"/>
      <c r="K702" s="8"/>
      <c r="L702" s="26"/>
      <c r="M702" s="26"/>
      <c r="N702" s="26"/>
      <c r="O702" s="55"/>
      <c r="P702" s="1"/>
      <c r="Q702" s="8"/>
      <c r="R702" s="8"/>
      <c r="S702" s="1"/>
      <c r="T702" s="8"/>
      <c r="U702" s="8"/>
      <c r="V702" s="56"/>
      <c r="W702" s="1"/>
      <c r="X702" s="1"/>
      <c r="Y702" s="8"/>
      <c r="Z702" s="8"/>
      <c r="AA702" s="8"/>
      <c r="AB702" s="8"/>
      <c r="AC702" s="8"/>
      <c r="AD702" s="8"/>
      <c r="AE702" s="8"/>
      <c r="AF702" s="8"/>
      <c r="AG702" s="8"/>
      <c r="AH702" s="8"/>
      <c r="AI702" s="8"/>
    </row>
    <row r="703" spans="1:35">
      <c r="A703" s="1"/>
      <c r="B703" s="8"/>
      <c r="C703" s="8"/>
      <c r="D703" s="8"/>
      <c r="E703" s="8"/>
      <c r="F703" s="8"/>
      <c r="G703" s="8"/>
      <c r="H703" s="8"/>
      <c r="I703" s="8"/>
      <c r="J703" s="8"/>
      <c r="K703" s="8"/>
      <c r="L703" s="26"/>
      <c r="M703" s="26"/>
      <c r="N703" s="26"/>
      <c r="O703" s="55"/>
      <c r="P703" s="1"/>
      <c r="Q703" s="8"/>
      <c r="R703" s="8"/>
      <c r="S703" s="1"/>
      <c r="T703" s="8"/>
      <c r="U703" s="8"/>
      <c r="V703" s="56"/>
      <c r="W703" s="1"/>
      <c r="X703" s="1"/>
      <c r="Y703" s="8"/>
      <c r="Z703" s="8"/>
      <c r="AA703" s="8"/>
      <c r="AB703" s="8"/>
      <c r="AC703" s="8"/>
      <c r="AD703" s="8"/>
      <c r="AE703" s="8"/>
      <c r="AF703" s="8"/>
      <c r="AG703" s="8"/>
      <c r="AH703" s="8"/>
      <c r="AI703" s="8"/>
    </row>
    <row r="704" spans="1:35">
      <c r="A704" s="1"/>
      <c r="B704" s="8"/>
      <c r="C704" s="8"/>
      <c r="D704" s="8"/>
      <c r="E704" s="8"/>
      <c r="F704" s="8"/>
      <c r="G704" s="8"/>
      <c r="H704" s="8"/>
      <c r="I704" s="8"/>
      <c r="J704" s="8"/>
      <c r="K704" s="8"/>
      <c r="L704" s="26"/>
      <c r="M704" s="26"/>
      <c r="N704" s="26"/>
      <c r="O704" s="55"/>
      <c r="P704" s="1"/>
      <c r="Q704" s="8"/>
      <c r="R704" s="8"/>
      <c r="S704" s="1"/>
      <c r="T704" s="8"/>
      <c r="U704" s="8"/>
      <c r="V704" s="56"/>
      <c r="W704" s="1"/>
      <c r="X704" s="1"/>
      <c r="Y704" s="8"/>
      <c r="Z704" s="8"/>
      <c r="AA704" s="8"/>
      <c r="AB704" s="8"/>
      <c r="AC704" s="8"/>
      <c r="AD704" s="8"/>
      <c r="AE704" s="8"/>
      <c r="AF704" s="8"/>
      <c r="AG704" s="8"/>
      <c r="AH704" s="8"/>
      <c r="AI704" s="8"/>
    </row>
    <row r="705" spans="1:35">
      <c r="A705" s="1"/>
      <c r="B705" s="8"/>
      <c r="C705" s="8"/>
      <c r="D705" s="8"/>
      <c r="E705" s="8"/>
      <c r="F705" s="8"/>
      <c r="G705" s="8"/>
      <c r="H705" s="8"/>
      <c r="I705" s="8"/>
      <c r="J705" s="8"/>
      <c r="K705" s="8"/>
      <c r="L705" s="26"/>
      <c r="M705" s="26"/>
      <c r="N705" s="26"/>
      <c r="O705" s="55"/>
      <c r="P705" s="1"/>
      <c r="Q705" s="8"/>
      <c r="R705" s="8"/>
      <c r="S705" s="1"/>
      <c r="T705" s="8"/>
      <c r="U705" s="8"/>
      <c r="V705" s="56"/>
      <c r="W705" s="1"/>
      <c r="X705" s="1"/>
      <c r="Y705" s="8"/>
      <c r="Z705" s="8"/>
      <c r="AA705" s="8"/>
      <c r="AB705" s="8"/>
      <c r="AC705" s="8"/>
      <c r="AD705" s="8"/>
      <c r="AE705" s="8"/>
      <c r="AF705" s="8"/>
      <c r="AG705" s="8"/>
      <c r="AH705" s="8"/>
      <c r="AI705" s="8"/>
    </row>
    <row r="706" spans="1:35">
      <c r="A706" s="1"/>
      <c r="B706" s="8"/>
      <c r="C706" s="8"/>
      <c r="D706" s="8"/>
      <c r="E706" s="8"/>
      <c r="F706" s="8"/>
      <c r="G706" s="8"/>
      <c r="H706" s="8"/>
      <c r="I706" s="8"/>
      <c r="J706" s="8"/>
      <c r="K706" s="8"/>
      <c r="L706" s="26"/>
      <c r="M706" s="26"/>
      <c r="N706" s="26"/>
      <c r="O706" s="55"/>
      <c r="P706" s="1"/>
      <c r="Q706" s="8"/>
      <c r="R706" s="8"/>
      <c r="S706" s="1"/>
      <c r="T706" s="8"/>
      <c r="U706" s="8"/>
      <c r="V706" s="56"/>
      <c r="W706" s="1"/>
      <c r="X706" s="1"/>
      <c r="Y706" s="8"/>
      <c r="Z706" s="8"/>
      <c r="AA706" s="8"/>
      <c r="AB706" s="8"/>
      <c r="AC706" s="8"/>
      <c r="AD706" s="8"/>
      <c r="AE706" s="8"/>
      <c r="AF706" s="8"/>
      <c r="AG706" s="8"/>
      <c r="AH706" s="8"/>
      <c r="AI706" s="8"/>
    </row>
    <row r="707" spans="1:35">
      <c r="A707" s="1"/>
      <c r="B707" s="8"/>
      <c r="C707" s="8"/>
      <c r="D707" s="8"/>
      <c r="E707" s="8"/>
      <c r="F707" s="8"/>
      <c r="G707" s="8"/>
      <c r="H707" s="8"/>
      <c r="I707" s="8"/>
      <c r="J707" s="8"/>
      <c r="K707" s="8"/>
      <c r="L707" s="26"/>
      <c r="M707" s="26"/>
      <c r="N707" s="26"/>
      <c r="O707" s="55"/>
      <c r="P707" s="1"/>
      <c r="Q707" s="8"/>
      <c r="R707" s="8"/>
      <c r="S707" s="1"/>
      <c r="T707" s="8"/>
      <c r="U707" s="8"/>
      <c r="V707" s="56"/>
      <c r="W707" s="1"/>
      <c r="X707" s="1"/>
      <c r="Y707" s="8"/>
      <c r="Z707" s="8"/>
      <c r="AA707" s="8"/>
      <c r="AB707" s="8"/>
      <c r="AC707" s="8"/>
      <c r="AD707" s="8"/>
      <c r="AE707" s="8"/>
      <c r="AF707" s="8"/>
      <c r="AG707" s="8"/>
      <c r="AH707" s="8"/>
      <c r="AI707" s="8"/>
    </row>
    <row r="708" spans="1:35">
      <c r="A708" s="1"/>
      <c r="B708" s="8"/>
      <c r="C708" s="8"/>
      <c r="D708" s="8"/>
      <c r="E708" s="8"/>
      <c r="F708" s="8"/>
      <c r="G708" s="8"/>
      <c r="H708" s="8"/>
      <c r="I708" s="8"/>
      <c r="J708" s="8"/>
      <c r="K708" s="8"/>
      <c r="L708" s="26"/>
      <c r="M708" s="26"/>
      <c r="N708" s="26"/>
      <c r="O708" s="55"/>
      <c r="P708" s="1"/>
      <c r="Q708" s="8"/>
      <c r="R708" s="8"/>
      <c r="S708" s="1"/>
      <c r="T708" s="8"/>
      <c r="U708" s="8"/>
      <c r="V708" s="56"/>
      <c r="W708" s="1"/>
      <c r="X708" s="1"/>
      <c r="Y708" s="8"/>
      <c r="Z708" s="8"/>
      <c r="AA708" s="8"/>
      <c r="AB708" s="8"/>
      <c r="AC708" s="8"/>
      <c r="AD708" s="8"/>
      <c r="AE708" s="8"/>
      <c r="AF708" s="8"/>
      <c r="AG708" s="8"/>
      <c r="AH708" s="8"/>
      <c r="AI708" s="8"/>
    </row>
    <row r="709" spans="1:35">
      <c r="A709" s="1"/>
      <c r="B709" s="8"/>
      <c r="C709" s="8"/>
      <c r="D709" s="8"/>
      <c r="E709" s="8"/>
      <c r="F709" s="8"/>
      <c r="G709" s="8"/>
      <c r="H709" s="8"/>
      <c r="I709" s="8"/>
      <c r="J709" s="8"/>
      <c r="K709" s="8"/>
      <c r="L709" s="26"/>
      <c r="M709" s="26"/>
      <c r="N709" s="26"/>
      <c r="O709" s="55"/>
      <c r="P709" s="1"/>
      <c r="Q709" s="8"/>
      <c r="R709" s="8"/>
      <c r="S709" s="1"/>
      <c r="T709" s="8"/>
      <c r="U709" s="8"/>
      <c r="V709" s="56"/>
      <c r="W709" s="1"/>
      <c r="X709" s="1"/>
      <c r="Y709" s="8"/>
      <c r="Z709" s="8"/>
      <c r="AA709" s="8"/>
      <c r="AB709" s="8"/>
      <c r="AC709" s="8"/>
      <c r="AD709" s="8"/>
      <c r="AE709" s="8"/>
      <c r="AF709" s="8"/>
      <c r="AG709" s="8"/>
      <c r="AH709" s="8"/>
      <c r="AI709" s="8"/>
    </row>
    <row r="710" spans="1:35">
      <c r="A710" s="1"/>
      <c r="B710" s="8"/>
      <c r="C710" s="8"/>
      <c r="D710" s="8"/>
      <c r="E710" s="8"/>
      <c r="F710" s="8"/>
      <c r="G710" s="8"/>
      <c r="H710" s="8"/>
      <c r="I710" s="8"/>
      <c r="J710" s="8"/>
      <c r="K710" s="8"/>
      <c r="L710" s="26"/>
      <c r="M710" s="26"/>
      <c r="N710" s="26"/>
      <c r="O710" s="55"/>
      <c r="P710" s="1"/>
      <c r="Q710" s="8"/>
      <c r="R710" s="8"/>
      <c r="S710" s="1"/>
      <c r="T710" s="8"/>
      <c r="U710" s="8"/>
      <c r="V710" s="56"/>
      <c r="W710" s="1"/>
      <c r="X710" s="1"/>
      <c r="Y710" s="8"/>
      <c r="Z710" s="8"/>
      <c r="AA710" s="8"/>
      <c r="AB710" s="8"/>
      <c r="AC710" s="8"/>
      <c r="AD710" s="8"/>
      <c r="AE710" s="8"/>
      <c r="AF710" s="8"/>
      <c r="AG710" s="8"/>
      <c r="AH710" s="8"/>
      <c r="AI710" s="8"/>
    </row>
    <row r="711" spans="1:35">
      <c r="A711" s="1"/>
      <c r="B711" s="8"/>
      <c r="C711" s="8"/>
      <c r="D711" s="8"/>
      <c r="E711" s="8"/>
      <c r="F711" s="8"/>
      <c r="G711" s="8"/>
      <c r="H711" s="8"/>
      <c r="I711" s="8"/>
      <c r="J711" s="8"/>
      <c r="K711" s="8"/>
      <c r="L711" s="26"/>
      <c r="M711" s="26"/>
      <c r="N711" s="26"/>
      <c r="O711" s="55"/>
      <c r="P711" s="1"/>
      <c r="Q711" s="8"/>
      <c r="R711" s="8"/>
      <c r="S711" s="1"/>
      <c r="T711" s="8"/>
      <c r="U711" s="8"/>
      <c r="V711" s="56"/>
      <c r="W711" s="1"/>
      <c r="X711" s="1"/>
      <c r="Y711" s="8"/>
      <c r="Z711" s="8"/>
      <c r="AA711" s="8"/>
      <c r="AB711" s="8"/>
      <c r="AC711" s="8"/>
      <c r="AD711" s="8"/>
      <c r="AE711" s="8"/>
      <c r="AF711" s="8"/>
      <c r="AG711" s="8"/>
      <c r="AH711" s="8"/>
      <c r="AI711" s="8"/>
    </row>
    <row r="712" spans="1:35">
      <c r="A712" s="1"/>
      <c r="B712" s="8"/>
      <c r="C712" s="8"/>
      <c r="D712" s="8"/>
      <c r="E712" s="8"/>
      <c r="F712" s="8"/>
      <c r="G712" s="8"/>
      <c r="H712" s="8"/>
      <c r="I712" s="8"/>
      <c r="J712" s="8"/>
      <c r="K712" s="8"/>
      <c r="L712" s="26"/>
      <c r="M712" s="26"/>
      <c r="N712" s="26"/>
      <c r="O712" s="55"/>
      <c r="P712" s="1"/>
      <c r="Q712" s="8"/>
      <c r="R712" s="8"/>
      <c r="S712" s="1"/>
      <c r="T712" s="8"/>
      <c r="U712" s="8"/>
      <c r="V712" s="56"/>
      <c r="W712" s="1"/>
      <c r="X712" s="1"/>
      <c r="Y712" s="8"/>
      <c r="Z712" s="8"/>
      <c r="AA712" s="8"/>
      <c r="AB712" s="8"/>
      <c r="AC712" s="8"/>
      <c r="AD712" s="8"/>
      <c r="AE712" s="8"/>
      <c r="AF712" s="8"/>
      <c r="AG712" s="8"/>
      <c r="AH712" s="8"/>
      <c r="AI712" s="8"/>
    </row>
    <row r="713" spans="1:35">
      <c r="A713" s="1"/>
      <c r="B713" s="8"/>
      <c r="C713" s="8"/>
      <c r="D713" s="8"/>
      <c r="E713" s="8"/>
      <c r="F713" s="8"/>
      <c r="G713" s="8"/>
      <c r="H713" s="8"/>
      <c r="I713" s="8"/>
      <c r="J713" s="8"/>
      <c r="K713" s="8"/>
      <c r="L713" s="26"/>
      <c r="M713" s="26"/>
      <c r="N713" s="26"/>
      <c r="O713" s="55"/>
      <c r="P713" s="1"/>
      <c r="Q713" s="8"/>
      <c r="R713" s="8"/>
      <c r="S713" s="1"/>
      <c r="T713" s="8"/>
      <c r="U713" s="8"/>
      <c r="V713" s="56"/>
      <c r="W713" s="1"/>
      <c r="X713" s="1"/>
      <c r="Y713" s="8"/>
      <c r="Z713" s="8"/>
      <c r="AA713" s="8"/>
      <c r="AB713" s="8"/>
      <c r="AC713" s="8"/>
      <c r="AD713" s="8"/>
      <c r="AE713" s="8"/>
      <c r="AF713" s="8"/>
      <c r="AG713" s="8"/>
      <c r="AH713" s="8"/>
      <c r="AI713" s="8"/>
    </row>
    <row r="714" spans="1:35">
      <c r="A714" s="1"/>
      <c r="B714" s="8"/>
      <c r="C714" s="8"/>
      <c r="D714" s="8"/>
      <c r="E714" s="8"/>
      <c r="F714" s="8"/>
      <c r="G714" s="8"/>
      <c r="H714" s="8"/>
      <c r="I714" s="8"/>
      <c r="J714" s="8"/>
      <c r="K714" s="8"/>
      <c r="L714" s="26"/>
      <c r="M714" s="26"/>
      <c r="N714" s="26"/>
      <c r="O714" s="55"/>
      <c r="P714" s="1"/>
      <c r="Q714" s="8"/>
      <c r="R714" s="8"/>
      <c r="S714" s="1"/>
      <c r="T714" s="8"/>
      <c r="U714" s="8"/>
      <c r="V714" s="56"/>
      <c r="W714" s="1"/>
      <c r="X714" s="1"/>
      <c r="Y714" s="8"/>
      <c r="Z714" s="8"/>
      <c r="AA714" s="8"/>
      <c r="AB714" s="8"/>
      <c r="AC714" s="8"/>
      <c r="AD714" s="8"/>
      <c r="AE714" s="8"/>
      <c r="AF714" s="8"/>
      <c r="AG714" s="8"/>
      <c r="AH714" s="8"/>
      <c r="AI714" s="8"/>
    </row>
    <row r="715" spans="1:35">
      <c r="A715" s="1"/>
      <c r="B715" s="8"/>
      <c r="C715" s="8"/>
      <c r="D715" s="8"/>
      <c r="E715" s="8"/>
      <c r="F715" s="8"/>
      <c r="G715" s="8"/>
      <c r="H715" s="8"/>
      <c r="I715" s="8"/>
      <c r="J715" s="8"/>
      <c r="K715" s="8"/>
      <c r="L715" s="26"/>
      <c r="M715" s="26"/>
      <c r="N715" s="26"/>
      <c r="O715" s="55"/>
      <c r="P715" s="1"/>
      <c r="Q715" s="8"/>
      <c r="R715" s="8"/>
      <c r="S715" s="1"/>
      <c r="T715" s="8"/>
      <c r="U715" s="8"/>
      <c r="V715" s="56"/>
      <c r="W715" s="1"/>
      <c r="X715" s="1"/>
      <c r="Y715" s="8"/>
      <c r="Z715" s="8"/>
      <c r="AA715" s="8"/>
      <c r="AB715" s="8"/>
      <c r="AC715" s="8"/>
      <c r="AD715" s="8"/>
      <c r="AE715" s="8"/>
      <c r="AF715" s="8"/>
      <c r="AG715" s="8"/>
      <c r="AH715" s="8"/>
      <c r="AI715" s="8"/>
    </row>
    <row r="716" spans="1:35">
      <c r="A716" s="1"/>
      <c r="B716" s="8"/>
      <c r="C716" s="8"/>
      <c r="D716" s="8"/>
      <c r="E716" s="8"/>
      <c r="F716" s="8"/>
      <c r="G716" s="8"/>
      <c r="H716" s="8"/>
      <c r="I716" s="8"/>
      <c r="J716" s="8"/>
      <c r="K716" s="8"/>
      <c r="L716" s="26"/>
      <c r="M716" s="26"/>
      <c r="N716" s="26"/>
      <c r="O716" s="55"/>
      <c r="P716" s="1"/>
      <c r="Q716" s="8"/>
      <c r="R716" s="8"/>
      <c r="S716" s="1"/>
      <c r="T716" s="8"/>
      <c r="U716" s="8"/>
      <c r="V716" s="56"/>
      <c r="W716" s="1"/>
      <c r="X716" s="1"/>
      <c r="Y716" s="8"/>
      <c r="Z716" s="8"/>
      <c r="AA716" s="8"/>
      <c r="AB716" s="8"/>
      <c r="AC716" s="8"/>
      <c r="AD716" s="8"/>
      <c r="AE716" s="8"/>
      <c r="AF716" s="8"/>
      <c r="AG716" s="8"/>
      <c r="AH716" s="8"/>
      <c r="AI716" s="8"/>
    </row>
    <row r="717" spans="1:35">
      <c r="A717" s="1"/>
      <c r="B717" s="8"/>
      <c r="C717" s="8"/>
      <c r="D717" s="8"/>
      <c r="E717" s="8"/>
      <c r="F717" s="8"/>
      <c r="G717" s="8"/>
      <c r="H717" s="8"/>
      <c r="I717" s="8"/>
      <c r="J717" s="8"/>
      <c r="K717" s="8"/>
      <c r="L717" s="26"/>
      <c r="M717" s="26"/>
      <c r="N717" s="26"/>
      <c r="O717" s="55"/>
      <c r="P717" s="1"/>
      <c r="Q717" s="8"/>
      <c r="R717" s="8"/>
      <c r="S717" s="1"/>
      <c r="T717" s="8"/>
      <c r="U717" s="8"/>
      <c r="V717" s="56"/>
      <c r="W717" s="1"/>
      <c r="X717" s="1"/>
      <c r="Y717" s="8"/>
      <c r="Z717" s="8"/>
      <c r="AA717" s="8"/>
      <c r="AB717" s="8"/>
      <c r="AC717" s="8"/>
      <c r="AD717" s="8"/>
      <c r="AE717" s="8"/>
      <c r="AF717" s="8"/>
      <c r="AG717" s="8"/>
      <c r="AH717" s="8"/>
      <c r="AI717" s="8"/>
    </row>
    <row r="718" spans="1:35">
      <c r="A718" s="1"/>
      <c r="B718" s="8"/>
      <c r="C718" s="8"/>
      <c r="D718" s="8"/>
      <c r="E718" s="8"/>
      <c r="F718" s="8"/>
      <c r="G718" s="8"/>
      <c r="H718" s="8"/>
      <c r="I718" s="8"/>
      <c r="J718" s="8"/>
      <c r="K718" s="8"/>
      <c r="L718" s="26"/>
      <c r="M718" s="26"/>
      <c r="N718" s="26"/>
      <c r="O718" s="55"/>
      <c r="P718" s="1"/>
      <c r="Q718" s="8"/>
      <c r="R718" s="8"/>
      <c r="S718" s="1"/>
      <c r="T718" s="8"/>
      <c r="U718" s="8"/>
      <c r="V718" s="56"/>
      <c r="W718" s="1"/>
      <c r="X718" s="1"/>
      <c r="Y718" s="8"/>
      <c r="Z718" s="8"/>
      <c r="AA718" s="8"/>
      <c r="AB718" s="8"/>
      <c r="AC718" s="8"/>
      <c r="AD718" s="8"/>
      <c r="AE718" s="8"/>
      <c r="AF718" s="8"/>
      <c r="AG718" s="8"/>
      <c r="AH718" s="8"/>
      <c r="AI718" s="8"/>
    </row>
    <row r="719" spans="1:35">
      <c r="A719" s="1"/>
      <c r="B719" s="8"/>
      <c r="C719" s="8"/>
      <c r="D719" s="8"/>
      <c r="E719" s="8"/>
      <c r="F719" s="8"/>
      <c r="G719" s="8"/>
      <c r="H719" s="8"/>
      <c r="I719" s="8"/>
      <c r="J719" s="8"/>
      <c r="K719" s="8"/>
      <c r="L719" s="26"/>
      <c r="M719" s="26"/>
      <c r="N719" s="26"/>
      <c r="O719" s="55"/>
      <c r="P719" s="1"/>
      <c r="Q719" s="8"/>
      <c r="R719" s="8"/>
      <c r="S719" s="1"/>
      <c r="T719" s="8"/>
      <c r="U719" s="8"/>
      <c r="V719" s="56"/>
      <c r="W719" s="1"/>
      <c r="X719" s="1"/>
      <c r="Y719" s="8"/>
      <c r="Z719" s="8"/>
      <c r="AA719" s="8"/>
      <c r="AB719" s="8"/>
      <c r="AC719" s="8"/>
      <c r="AD719" s="8"/>
      <c r="AE719" s="8"/>
      <c r="AF719" s="8"/>
      <c r="AG719" s="8"/>
      <c r="AH719" s="8"/>
      <c r="AI719" s="8"/>
    </row>
    <row r="720" spans="1:35">
      <c r="A720" s="1"/>
      <c r="B720" s="8"/>
      <c r="C720" s="8"/>
      <c r="D720" s="8"/>
      <c r="E720" s="8"/>
      <c r="F720" s="8"/>
      <c r="G720" s="8"/>
      <c r="H720" s="8"/>
      <c r="I720" s="8"/>
      <c r="J720" s="8"/>
      <c r="K720" s="8"/>
      <c r="L720" s="26"/>
      <c r="M720" s="26"/>
      <c r="N720" s="26"/>
      <c r="O720" s="55"/>
      <c r="P720" s="1"/>
      <c r="Q720" s="8"/>
      <c r="R720" s="8"/>
      <c r="S720" s="1"/>
      <c r="T720" s="8"/>
      <c r="U720" s="8"/>
      <c r="V720" s="56"/>
      <c r="W720" s="1"/>
      <c r="X720" s="1"/>
      <c r="Y720" s="8"/>
      <c r="Z720" s="8"/>
      <c r="AA720" s="8"/>
      <c r="AB720" s="8"/>
      <c r="AC720" s="8"/>
      <c r="AD720" s="8"/>
      <c r="AE720" s="8"/>
      <c r="AF720" s="8"/>
      <c r="AG720" s="8"/>
      <c r="AH720" s="8"/>
      <c r="AI720" s="8"/>
    </row>
    <row r="721" spans="1:35">
      <c r="A721" s="1"/>
      <c r="B721" s="8"/>
      <c r="C721" s="8"/>
      <c r="D721" s="8"/>
      <c r="E721" s="8"/>
      <c r="F721" s="8"/>
      <c r="G721" s="8"/>
      <c r="H721" s="8"/>
      <c r="I721" s="8"/>
      <c r="J721" s="8"/>
      <c r="K721" s="8"/>
      <c r="L721" s="26"/>
      <c r="M721" s="26"/>
      <c r="N721" s="26"/>
      <c r="O721" s="55"/>
      <c r="P721" s="1"/>
      <c r="Q721" s="8"/>
      <c r="R721" s="8"/>
      <c r="S721" s="1"/>
      <c r="T721" s="8"/>
      <c r="U721" s="8"/>
      <c r="V721" s="56"/>
      <c r="W721" s="1"/>
      <c r="X721" s="1"/>
      <c r="Y721" s="8"/>
      <c r="Z721" s="8"/>
      <c r="AA721" s="8"/>
      <c r="AB721" s="8"/>
      <c r="AC721" s="8"/>
      <c r="AD721" s="8"/>
      <c r="AE721" s="8"/>
      <c r="AF721" s="8"/>
      <c r="AG721" s="8"/>
      <c r="AH721" s="8"/>
      <c r="AI721" s="8"/>
    </row>
    <row r="722" spans="1:35">
      <c r="A722" s="1"/>
      <c r="B722" s="8"/>
      <c r="C722" s="8"/>
      <c r="D722" s="8"/>
      <c r="E722" s="8"/>
      <c r="F722" s="8"/>
      <c r="G722" s="8"/>
      <c r="H722" s="8"/>
      <c r="I722" s="8"/>
      <c r="J722" s="8"/>
      <c r="K722" s="8"/>
      <c r="L722" s="26"/>
      <c r="M722" s="26"/>
      <c r="N722" s="26"/>
      <c r="O722" s="55"/>
      <c r="P722" s="1"/>
      <c r="Q722" s="8"/>
      <c r="R722" s="8"/>
      <c r="S722" s="1"/>
      <c r="T722" s="8"/>
      <c r="U722" s="8"/>
      <c r="V722" s="56"/>
      <c r="W722" s="1"/>
      <c r="X722" s="1"/>
      <c r="Y722" s="8"/>
      <c r="Z722" s="8"/>
      <c r="AA722" s="8"/>
      <c r="AB722" s="8"/>
      <c r="AC722" s="8"/>
      <c r="AD722" s="8"/>
      <c r="AE722" s="8"/>
      <c r="AF722" s="8"/>
      <c r="AG722" s="8"/>
      <c r="AH722" s="8"/>
      <c r="AI722" s="8"/>
    </row>
    <row r="723" spans="1:35">
      <c r="A723" s="1"/>
      <c r="B723" s="8"/>
      <c r="C723" s="8"/>
      <c r="D723" s="8"/>
      <c r="E723" s="8"/>
      <c r="F723" s="8"/>
      <c r="G723" s="8"/>
      <c r="H723" s="8"/>
      <c r="I723" s="8"/>
      <c r="J723" s="8"/>
      <c r="K723" s="8"/>
      <c r="L723" s="26"/>
      <c r="M723" s="26"/>
      <c r="N723" s="26"/>
      <c r="O723" s="55"/>
      <c r="P723" s="1"/>
      <c r="Q723" s="8"/>
      <c r="R723" s="8"/>
      <c r="S723" s="1"/>
      <c r="T723" s="8"/>
      <c r="U723" s="8"/>
      <c r="V723" s="56"/>
      <c r="W723" s="1"/>
      <c r="X723" s="1"/>
      <c r="Y723" s="8"/>
      <c r="Z723" s="8"/>
      <c r="AA723" s="8"/>
      <c r="AB723" s="8"/>
      <c r="AC723" s="8"/>
      <c r="AD723" s="8"/>
      <c r="AE723" s="8"/>
      <c r="AF723" s="8"/>
      <c r="AG723" s="8"/>
      <c r="AH723" s="8"/>
      <c r="AI723" s="8"/>
    </row>
    <row r="724" spans="1:35">
      <c r="A724" s="1"/>
      <c r="B724" s="8"/>
      <c r="C724" s="8"/>
      <c r="D724" s="8"/>
      <c r="E724" s="8"/>
      <c r="F724" s="8"/>
      <c r="G724" s="8"/>
      <c r="H724" s="8"/>
      <c r="I724" s="8"/>
      <c r="J724" s="8"/>
      <c r="K724" s="8"/>
      <c r="L724" s="26"/>
      <c r="M724" s="26"/>
      <c r="N724" s="26"/>
      <c r="O724" s="55"/>
      <c r="P724" s="1"/>
      <c r="Q724" s="8"/>
      <c r="R724" s="8"/>
      <c r="S724" s="1"/>
      <c r="T724" s="8"/>
      <c r="U724" s="8"/>
      <c r="V724" s="56"/>
      <c r="W724" s="1"/>
      <c r="X724" s="1"/>
      <c r="Y724" s="8"/>
      <c r="Z724" s="8"/>
      <c r="AA724" s="8"/>
      <c r="AB724" s="8"/>
      <c r="AC724" s="8"/>
      <c r="AD724" s="8"/>
      <c r="AE724" s="8"/>
      <c r="AF724" s="8"/>
      <c r="AG724" s="8"/>
      <c r="AH724" s="8"/>
      <c r="AI724" s="8"/>
    </row>
    <row r="725" spans="1:35">
      <c r="A725" s="1"/>
      <c r="B725" s="8"/>
      <c r="C725" s="8"/>
      <c r="D725" s="8"/>
      <c r="E725" s="8"/>
      <c r="F725" s="8"/>
      <c r="G725" s="8"/>
      <c r="H725" s="8"/>
      <c r="I725" s="8"/>
      <c r="J725" s="8"/>
      <c r="K725" s="8"/>
      <c r="L725" s="26"/>
      <c r="M725" s="26"/>
      <c r="N725" s="26"/>
      <c r="O725" s="55"/>
      <c r="P725" s="1"/>
      <c r="Q725" s="8"/>
      <c r="R725" s="8"/>
      <c r="S725" s="1"/>
      <c r="T725" s="8"/>
      <c r="U725" s="8"/>
      <c r="V725" s="56"/>
      <c r="W725" s="1"/>
      <c r="X725" s="1"/>
      <c r="Y725" s="8"/>
      <c r="Z725" s="8"/>
      <c r="AA725" s="8"/>
      <c r="AB725" s="8"/>
      <c r="AC725" s="8"/>
      <c r="AD725" s="8"/>
      <c r="AE725" s="8"/>
      <c r="AF725" s="8"/>
      <c r="AG725" s="8"/>
      <c r="AH725" s="8"/>
      <c r="AI725" s="8"/>
    </row>
    <row r="726" spans="1:35">
      <c r="A726" s="1"/>
      <c r="B726" s="8"/>
      <c r="C726" s="8"/>
      <c r="D726" s="8"/>
      <c r="E726" s="8"/>
      <c r="F726" s="8"/>
      <c r="G726" s="8"/>
      <c r="H726" s="8"/>
      <c r="I726" s="8"/>
      <c r="J726" s="8"/>
      <c r="K726" s="8"/>
      <c r="L726" s="26"/>
      <c r="M726" s="26"/>
      <c r="N726" s="26"/>
      <c r="O726" s="55"/>
      <c r="P726" s="1"/>
      <c r="Q726" s="8"/>
      <c r="R726" s="8"/>
      <c r="S726" s="1"/>
      <c r="T726" s="8"/>
      <c r="U726" s="8"/>
      <c r="V726" s="56"/>
      <c r="W726" s="1"/>
      <c r="X726" s="1"/>
      <c r="Y726" s="8"/>
      <c r="Z726" s="8"/>
      <c r="AA726" s="8"/>
      <c r="AB726" s="8"/>
      <c r="AC726" s="8"/>
      <c r="AD726" s="8"/>
      <c r="AE726" s="8"/>
      <c r="AF726" s="8"/>
      <c r="AG726" s="8"/>
      <c r="AH726" s="8"/>
      <c r="AI726" s="8"/>
    </row>
    <row r="727" spans="1:35">
      <c r="A727" s="1"/>
      <c r="B727" s="8"/>
      <c r="C727" s="8"/>
      <c r="D727" s="8"/>
      <c r="E727" s="8"/>
      <c r="F727" s="8"/>
      <c r="G727" s="8"/>
      <c r="H727" s="8"/>
      <c r="I727" s="8"/>
      <c r="J727" s="8"/>
      <c r="K727" s="8"/>
      <c r="L727" s="26"/>
      <c r="M727" s="26"/>
      <c r="N727" s="26"/>
      <c r="O727" s="55"/>
      <c r="P727" s="1"/>
      <c r="Q727" s="8"/>
      <c r="R727" s="8"/>
      <c r="S727" s="1"/>
      <c r="T727" s="8"/>
      <c r="U727" s="8"/>
      <c r="V727" s="56"/>
      <c r="W727" s="1"/>
      <c r="X727" s="1"/>
      <c r="Y727" s="8"/>
      <c r="Z727" s="8"/>
      <c r="AA727" s="8"/>
      <c r="AB727" s="8"/>
      <c r="AC727" s="8"/>
      <c r="AD727" s="8"/>
      <c r="AE727" s="8"/>
      <c r="AF727" s="8"/>
      <c r="AG727" s="8"/>
      <c r="AH727" s="8"/>
      <c r="AI727" s="8"/>
    </row>
    <row r="728" spans="1:35">
      <c r="A728" s="1"/>
      <c r="B728" s="8"/>
      <c r="C728" s="8"/>
      <c r="D728" s="8"/>
      <c r="E728" s="8"/>
      <c r="F728" s="8"/>
      <c r="G728" s="8"/>
      <c r="H728" s="8"/>
      <c r="I728" s="8"/>
      <c r="J728" s="8"/>
      <c r="K728" s="8"/>
      <c r="L728" s="26"/>
      <c r="M728" s="26"/>
      <c r="N728" s="26"/>
      <c r="O728" s="55"/>
      <c r="P728" s="1"/>
      <c r="Q728" s="8"/>
      <c r="R728" s="8"/>
      <c r="S728" s="1"/>
      <c r="T728" s="8"/>
      <c r="U728" s="8"/>
      <c r="V728" s="56"/>
      <c r="W728" s="1"/>
      <c r="X728" s="1"/>
      <c r="Y728" s="8"/>
      <c r="Z728" s="8"/>
      <c r="AA728" s="8"/>
      <c r="AB728" s="8"/>
      <c r="AC728" s="8"/>
      <c r="AD728" s="8"/>
      <c r="AE728" s="8"/>
      <c r="AF728" s="8"/>
      <c r="AG728" s="8"/>
      <c r="AH728" s="8"/>
      <c r="AI728" s="8"/>
    </row>
    <row r="729" spans="1:35">
      <c r="A729" s="1"/>
      <c r="B729" s="8"/>
      <c r="C729" s="8"/>
      <c r="D729" s="8"/>
      <c r="E729" s="8"/>
      <c r="F729" s="8"/>
      <c r="G729" s="8"/>
      <c r="H729" s="8"/>
      <c r="I729" s="8"/>
      <c r="J729" s="8"/>
      <c r="K729" s="8"/>
      <c r="L729" s="26"/>
      <c r="M729" s="26"/>
      <c r="N729" s="26"/>
      <c r="O729" s="55"/>
      <c r="P729" s="1"/>
      <c r="Q729" s="8"/>
      <c r="R729" s="8"/>
      <c r="S729" s="1"/>
      <c r="T729" s="8"/>
      <c r="U729" s="8"/>
      <c r="V729" s="56"/>
      <c r="W729" s="1"/>
      <c r="X729" s="1"/>
      <c r="Y729" s="8"/>
      <c r="Z729" s="8"/>
      <c r="AA729" s="8"/>
      <c r="AB729" s="8"/>
      <c r="AC729" s="8"/>
      <c r="AD729" s="8"/>
      <c r="AE729" s="8"/>
      <c r="AF729" s="8"/>
      <c r="AG729" s="8"/>
      <c r="AH729" s="8"/>
      <c r="AI729" s="8"/>
    </row>
    <row r="730" spans="1:35">
      <c r="A730" s="1"/>
      <c r="B730" s="8"/>
      <c r="C730" s="8"/>
      <c r="D730" s="8"/>
      <c r="E730" s="8"/>
      <c r="F730" s="8"/>
      <c r="G730" s="8"/>
      <c r="H730" s="8"/>
      <c r="I730" s="8"/>
      <c r="J730" s="8"/>
      <c r="K730" s="8"/>
      <c r="L730" s="26"/>
      <c r="M730" s="26"/>
      <c r="N730" s="26"/>
      <c r="O730" s="55"/>
      <c r="P730" s="1"/>
      <c r="Q730" s="8"/>
      <c r="R730" s="8"/>
      <c r="S730" s="1"/>
      <c r="T730" s="8"/>
      <c r="U730" s="8"/>
      <c r="V730" s="56"/>
      <c r="W730" s="1"/>
      <c r="X730" s="1"/>
      <c r="Y730" s="8"/>
      <c r="Z730" s="8"/>
      <c r="AA730" s="8"/>
      <c r="AB730" s="8"/>
      <c r="AC730" s="8"/>
      <c r="AD730" s="8"/>
      <c r="AE730" s="8"/>
      <c r="AF730" s="8"/>
      <c r="AG730" s="8"/>
      <c r="AH730" s="8"/>
      <c r="AI730" s="8"/>
    </row>
    <row r="731" spans="1:35">
      <c r="A731" s="1"/>
      <c r="B731" s="8"/>
      <c r="C731" s="8"/>
      <c r="D731" s="8"/>
      <c r="E731" s="8"/>
      <c r="F731" s="8"/>
      <c r="G731" s="8"/>
      <c r="H731" s="8"/>
      <c r="I731" s="8"/>
      <c r="J731" s="8"/>
      <c r="K731" s="8"/>
      <c r="L731" s="26"/>
      <c r="M731" s="26"/>
      <c r="N731" s="26"/>
      <c r="O731" s="55"/>
      <c r="P731" s="1"/>
      <c r="Q731" s="8"/>
      <c r="R731" s="8"/>
      <c r="S731" s="1"/>
      <c r="T731" s="8"/>
      <c r="U731" s="8"/>
      <c r="V731" s="56"/>
      <c r="W731" s="1"/>
      <c r="X731" s="1"/>
      <c r="Y731" s="8"/>
      <c r="Z731" s="8"/>
      <c r="AA731" s="8"/>
      <c r="AB731" s="8"/>
      <c r="AC731" s="8"/>
      <c r="AD731" s="8"/>
      <c r="AE731" s="8"/>
      <c r="AF731" s="8"/>
      <c r="AG731" s="8"/>
      <c r="AH731" s="8"/>
      <c r="AI731" s="8"/>
    </row>
    <row r="732" spans="1:35">
      <c r="A732" s="1"/>
      <c r="B732" s="8"/>
      <c r="C732" s="8"/>
      <c r="D732" s="8"/>
      <c r="E732" s="8"/>
      <c r="F732" s="8"/>
      <c r="G732" s="8"/>
      <c r="H732" s="8"/>
      <c r="I732" s="8"/>
      <c r="J732" s="8"/>
      <c r="K732" s="8"/>
      <c r="L732" s="26"/>
      <c r="M732" s="26"/>
      <c r="N732" s="26"/>
      <c r="O732" s="55"/>
      <c r="P732" s="1"/>
      <c r="Q732" s="8"/>
      <c r="R732" s="8"/>
      <c r="S732" s="1"/>
      <c r="T732" s="8"/>
      <c r="U732" s="8"/>
      <c r="V732" s="56"/>
      <c r="W732" s="1"/>
      <c r="X732" s="1"/>
      <c r="Y732" s="8"/>
      <c r="Z732" s="8"/>
      <c r="AA732" s="8"/>
      <c r="AB732" s="8"/>
      <c r="AC732" s="8"/>
      <c r="AD732" s="8"/>
      <c r="AE732" s="8"/>
      <c r="AF732" s="8"/>
      <c r="AG732" s="8"/>
      <c r="AH732" s="8"/>
      <c r="AI732" s="8"/>
    </row>
    <row r="733" spans="1:35">
      <c r="A733" s="1"/>
      <c r="B733" s="8"/>
      <c r="C733" s="8"/>
      <c r="D733" s="8"/>
      <c r="E733" s="8"/>
      <c r="F733" s="8"/>
      <c r="G733" s="8"/>
      <c r="H733" s="8"/>
      <c r="I733" s="8"/>
      <c r="J733" s="8"/>
      <c r="K733" s="8"/>
      <c r="L733" s="26"/>
      <c r="M733" s="26"/>
      <c r="N733" s="26"/>
      <c r="O733" s="55"/>
      <c r="P733" s="1"/>
      <c r="Q733" s="8"/>
      <c r="R733" s="8"/>
      <c r="S733" s="1"/>
      <c r="T733" s="8"/>
      <c r="U733" s="8"/>
      <c r="V733" s="56"/>
      <c r="W733" s="1"/>
      <c r="X733" s="1"/>
      <c r="Y733" s="8"/>
      <c r="Z733" s="8"/>
      <c r="AA733" s="8"/>
      <c r="AB733" s="8"/>
      <c r="AC733" s="8"/>
      <c r="AD733" s="8"/>
      <c r="AE733" s="8"/>
      <c r="AF733" s="8"/>
      <c r="AG733" s="8"/>
      <c r="AH733" s="8"/>
      <c r="AI733" s="8"/>
    </row>
    <row r="734" spans="1:35">
      <c r="A734" s="1"/>
      <c r="B734" s="8"/>
      <c r="C734" s="8"/>
      <c r="D734" s="8"/>
      <c r="E734" s="8"/>
      <c r="F734" s="8"/>
      <c r="G734" s="8"/>
      <c r="H734" s="8"/>
      <c r="I734" s="8"/>
      <c r="J734" s="8"/>
      <c r="K734" s="8"/>
      <c r="L734" s="26"/>
      <c r="M734" s="26"/>
      <c r="N734" s="26"/>
      <c r="O734" s="55"/>
      <c r="P734" s="1"/>
      <c r="Q734" s="8"/>
      <c r="R734" s="8"/>
      <c r="S734" s="1"/>
      <c r="T734" s="8"/>
      <c r="U734" s="8"/>
      <c r="V734" s="56"/>
      <c r="W734" s="1"/>
      <c r="X734" s="1"/>
      <c r="Y734" s="8"/>
      <c r="Z734" s="8"/>
      <c r="AA734" s="8"/>
      <c r="AB734" s="8"/>
      <c r="AC734" s="8"/>
      <c r="AD734" s="8"/>
      <c r="AE734" s="8"/>
      <c r="AF734" s="8"/>
      <c r="AG734" s="8"/>
      <c r="AH734" s="8"/>
      <c r="AI734" s="8"/>
    </row>
    <row r="735" spans="1:35">
      <c r="A735" s="1"/>
      <c r="B735" s="8"/>
      <c r="C735" s="8"/>
      <c r="D735" s="8"/>
      <c r="E735" s="8"/>
      <c r="F735" s="8"/>
      <c r="G735" s="8"/>
      <c r="H735" s="8"/>
      <c r="I735" s="8"/>
      <c r="J735" s="8"/>
      <c r="K735" s="8"/>
      <c r="L735" s="26"/>
      <c r="M735" s="26"/>
      <c r="N735" s="26"/>
      <c r="O735" s="55"/>
      <c r="P735" s="1"/>
      <c r="Q735" s="8"/>
      <c r="R735" s="8"/>
      <c r="S735" s="1"/>
      <c r="T735" s="8"/>
      <c r="U735" s="8"/>
      <c r="V735" s="56"/>
      <c r="W735" s="1"/>
      <c r="X735" s="1"/>
      <c r="Y735" s="8"/>
      <c r="Z735" s="8"/>
      <c r="AA735" s="8"/>
      <c r="AB735" s="8"/>
      <c r="AC735" s="8"/>
      <c r="AD735" s="8"/>
      <c r="AE735" s="8"/>
      <c r="AF735" s="8"/>
      <c r="AG735" s="8"/>
      <c r="AH735" s="8"/>
      <c r="AI735" s="8"/>
    </row>
    <row r="736" spans="1:35">
      <c r="A736" s="1"/>
      <c r="B736" s="8"/>
      <c r="C736" s="8"/>
      <c r="D736" s="8"/>
      <c r="E736" s="8"/>
      <c r="F736" s="8"/>
      <c r="G736" s="8"/>
      <c r="H736" s="8"/>
      <c r="I736" s="8"/>
      <c r="J736" s="8"/>
      <c r="K736" s="8"/>
      <c r="L736" s="26"/>
      <c r="M736" s="26"/>
      <c r="N736" s="26"/>
      <c r="O736" s="55"/>
      <c r="P736" s="1"/>
      <c r="Q736" s="8"/>
      <c r="R736" s="8"/>
      <c r="S736" s="1"/>
      <c r="T736" s="8"/>
      <c r="U736" s="8"/>
      <c r="V736" s="56"/>
      <c r="W736" s="1"/>
      <c r="X736" s="1"/>
      <c r="Y736" s="8"/>
      <c r="Z736" s="8"/>
      <c r="AA736" s="8"/>
      <c r="AB736" s="8"/>
      <c r="AC736" s="8"/>
      <c r="AD736" s="8"/>
      <c r="AE736" s="8"/>
      <c r="AF736" s="8"/>
      <c r="AG736" s="8"/>
      <c r="AH736" s="8"/>
      <c r="AI736" s="8"/>
    </row>
    <row r="737" spans="1:35">
      <c r="A737" s="1"/>
      <c r="B737" s="8"/>
      <c r="C737" s="8"/>
      <c r="D737" s="8"/>
      <c r="E737" s="8"/>
      <c r="F737" s="8"/>
      <c r="G737" s="8"/>
      <c r="H737" s="8"/>
      <c r="I737" s="8"/>
      <c r="J737" s="8"/>
      <c r="K737" s="8"/>
      <c r="L737" s="26"/>
      <c r="M737" s="26"/>
      <c r="N737" s="26"/>
      <c r="O737" s="55"/>
      <c r="P737" s="1"/>
      <c r="Q737" s="8"/>
      <c r="R737" s="8"/>
      <c r="S737" s="1"/>
      <c r="T737" s="8"/>
      <c r="U737" s="8"/>
      <c r="V737" s="56"/>
      <c r="W737" s="1"/>
      <c r="X737" s="1"/>
      <c r="Y737" s="8"/>
      <c r="Z737" s="8"/>
      <c r="AA737" s="8"/>
      <c r="AB737" s="8"/>
      <c r="AC737" s="8"/>
      <c r="AD737" s="8"/>
      <c r="AE737" s="8"/>
      <c r="AF737" s="8"/>
      <c r="AG737" s="8"/>
      <c r="AH737" s="8"/>
      <c r="AI737" s="8"/>
    </row>
    <row r="738" spans="1:35">
      <c r="A738" s="1"/>
      <c r="B738" s="8"/>
      <c r="C738" s="8"/>
      <c r="D738" s="8"/>
      <c r="E738" s="8"/>
      <c r="F738" s="8"/>
      <c r="G738" s="8"/>
      <c r="H738" s="8"/>
      <c r="I738" s="8"/>
      <c r="J738" s="8"/>
      <c r="K738" s="8"/>
      <c r="L738" s="26"/>
      <c r="M738" s="26"/>
      <c r="N738" s="26"/>
      <c r="O738" s="55"/>
      <c r="P738" s="1"/>
      <c r="Q738" s="8"/>
      <c r="R738" s="8"/>
      <c r="S738" s="1"/>
      <c r="T738" s="8"/>
      <c r="U738" s="8"/>
      <c r="V738" s="56"/>
      <c r="W738" s="1"/>
      <c r="X738" s="1"/>
      <c r="Y738" s="8"/>
      <c r="Z738" s="8"/>
      <c r="AA738" s="8"/>
      <c r="AB738" s="8"/>
      <c r="AC738" s="8"/>
      <c r="AD738" s="8"/>
      <c r="AE738" s="8"/>
      <c r="AF738" s="8"/>
      <c r="AG738" s="8"/>
      <c r="AH738" s="8"/>
      <c r="AI738" s="8"/>
    </row>
    <row r="739" spans="1:35">
      <c r="A739" s="1"/>
      <c r="B739" s="8"/>
      <c r="C739" s="8"/>
      <c r="D739" s="8"/>
      <c r="E739" s="8"/>
      <c r="F739" s="8"/>
      <c r="G739" s="8"/>
      <c r="H739" s="8"/>
      <c r="I739" s="8"/>
      <c r="J739" s="8"/>
      <c r="K739" s="8"/>
      <c r="L739" s="26"/>
      <c r="M739" s="26"/>
      <c r="N739" s="26"/>
      <c r="O739" s="55"/>
      <c r="P739" s="1"/>
      <c r="Q739" s="8"/>
      <c r="R739" s="8"/>
      <c r="S739" s="1"/>
      <c r="T739" s="8"/>
      <c r="U739" s="8"/>
      <c r="V739" s="56"/>
      <c r="W739" s="1"/>
      <c r="X739" s="1"/>
      <c r="Y739" s="8"/>
      <c r="Z739" s="8"/>
      <c r="AA739" s="8"/>
      <c r="AB739" s="8"/>
      <c r="AC739" s="8"/>
      <c r="AD739" s="8"/>
      <c r="AE739" s="8"/>
      <c r="AF739" s="8"/>
      <c r="AG739" s="8"/>
      <c r="AH739" s="8"/>
      <c r="AI739" s="8"/>
    </row>
    <row r="740" spans="1:35">
      <c r="A740" s="1"/>
      <c r="B740" s="8"/>
      <c r="C740" s="8"/>
      <c r="D740" s="8"/>
      <c r="E740" s="8"/>
      <c r="F740" s="8"/>
      <c r="G740" s="8"/>
      <c r="H740" s="8"/>
      <c r="I740" s="8"/>
      <c r="J740" s="8"/>
      <c r="K740" s="8"/>
      <c r="L740" s="26"/>
      <c r="M740" s="26"/>
      <c r="N740" s="26"/>
      <c r="O740" s="55"/>
      <c r="P740" s="1"/>
      <c r="Q740" s="8"/>
      <c r="R740" s="8"/>
      <c r="S740" s="1"/>
      <c r="T740" s="8"/>
      <c r="U740" s="8"/>
      <c r="V740" s="56"/>
      <c r="W740" s="1"/>
      <c r="X740" s="1"/>
      <c r="Y740" s="8"/>
      <c r="Z740" s="8"/>
      <c r="AA740" s="8"/>
      <c r="AB740" s="8"/>
      <c r="AC740" s="8"/>
      <c r="AD740" s="8"/>
      <c r="AE740" s="8"/>
      <c r="AF740" s="8"/>
      <c r="AG740" s="8"/>
      <c r="AH740" s="8"/>
      <c r="AI740" s="8"/>
    </row>
    <row r="741" spans="1:35">
      <c r="A741" s="1"/>
      <c r="B741" s="8"/>
      <c r="C741" s="8"/>
      <c r="D741" s="8"/>
      <c r="E741" s="8"/>
      <c r="F741" s="8"/>
      <c r="G741" s="8"/>
      <c r="H741" s="8"/>
      <c r="I741" s="8"/>
      <c r="J741" s="8"/>
      <c r="K741" s="8"/>
      <c r="L741" s="26"/>
      <c r="M741" s="26"/>
      <c r="N741" s="26"/>
      <c r="O741" s="55"/>
      <c r="P741" s="1"/>
      <c r="Q741" s="8"/>
      <c r="R741" s="8"/>
      <c r="S741" s="1"/>
      <c r="T741" s="8"/>
      <c r="U741" s="8"/>
      <c r="V741" s="56"/>
      <c r="W741" s="1"/>
      <c r="X741" s="1"/>
      <c r="Y741" s="8"/>
      <c r="Z741" s="8"/>
      <c r="AA741" s="8"/>
      <c r="AB741" s="8"/>
      <c r="AC741" s="8"/>
      <c r="AD741" s="8"/>
      <c r="AE741" s="8"/>
      <c r="AF741" s="8"/>
      <c r="AG741" s="8"/>
      <c r="AH741" s="8"/>
      <c r="AI741" s="8"/>
    </row>
    <row r="742" spans="1:35">
      <c r="A742" s="1"/>
      <c r="B742" s="8"/>
      <c r="C742" s="8"/>
      <c r="D742" s="8"/>
      <c r="E742" s="8"/>
      <c r="F742" s="8"/>
      <c r="G742" s="8"/>
      <c r="H742" s="8"/>
      <c r="I742" s="8"/>
      <c r="J742" s="8"/>
      <c r="K742" s="8"/>
      <c r="L742" s="26"/>
      <c r="M742" s="26"/>
      <c r="N742" s="26"/>
      <c r="O742" s="55"/>
      <c r="P742" s="1"/>
      <c r="Q742" s="8"/>
      <c r="R742" s="8"/>
      <c r="S742" s="1"/>
      <c r="T742" s="8"/>
      <c r="U742" s="8"/>
      <c r="V742" s="56"/>
      <c r="W742" s="1"/>
      <c r="X742" s="1"/>
      <c r="Y742" s="8"/>
      <c r="Z742" s="8"/>
      <c r="AA742" s="8"/>
      <c r="AB742" s="8"/>
      <c r="AC742" s="8"/>
      <c r="AD742" s="8"/>
      <c r="AE742" s="8"/>
      <c r="AF742" s="8"/>
      <c r="AG742" s="8"/>
      <c r="AH742" s="8"/>
      <c r="AI742" s="8"/>
    </row>
    <row r="743" spans="1:35">
      <c r="A743" s="1"/>
      <c r="B743" s="8"/>
      <c r="C743" s="8"/>
      <c r="D743" s="8"/>
      <c r="E743" s="8"/>
      <c r="F743" s="8"/>
      <c r="G743" s="8"/>
      <c r="H743" s="8"/>
      <c r="I743" s="8"/>
      <c r="J743" s="8"/>
      <c r="K743" s="8"/>
      <c r="L743" s="26"/>
      <c r="M743" s="26"/>
      <c r="N743" s="26"/>
      <c r="O743" s="55"/>
      <c r="P743" s="1"/>
      <c r="Q743" s="8"/>
      <c r="R743" s="8"/>
      <c r="S743" s="1"/>
      <c r="T743" s="8"/>
      <c r="U743" s="8"/>
      <c r="V743" s="56"/>
      <c r="W743" s="1"/>
      <c r="X743" s="1"/>
      <c r="Y743" s="8"/>
      <c r="Z743" s="8"/>
      <c r="AA743" s="8"/>
      <c r="AB743" s="8"/>
      <c r="AC743" s="8"/>
      <c r="AD743" s="8"/>
      <c r="AE743" s="8"/>
      <c r="AF743" s="8"/>
      <c r="AG743" s="8"/>
      <c r="AH743" s="8"/>
      <c r="AI743" s="8"/>
    </row>
    <row r="744" spans="1:35">
      <c r="A744" s="1"/>
      <c r="B744" s="8"/>
      <c r="C744" s="8"/>
      <c r="D744" s="8"/>
      <c r="E744" s="8"/>
      <c r="F744" s="8"/>
      <c r="G744" s="8"/>
      <c r="H744" s="8"/>
      <c r="I744" s="8"/>
      <c r="J744" s="8"/>
      <c r="K744" s="8"/>
      <c r="L744" s="26"/>
      <c r="M744" s="26"/>
      <c r="N744" s="26"/>
      <c r="O744" s="55"/>
      <c r="P744" s="1"/>
      <c r="Q744" s="8"/>
      <c r="R744" s="8"/>
      <c r="S744" s="1"/>
      <c r="T744" s="8"/>
      <c r="U744" s="8"/>
      <c r="V744" s="56"/>
      <c r="W744" s="1"/>
      <c r="X744" s="1"/>
      <c r="Y744" s="8"/>
      <c r="Z744" s="8"/>
      <c r="AA744" s="8"/>
      <c r="AB744" s="8"/>
      <c r="AC744" s="8"/>
      <c r="AD744" s="8"/>
      <c r="AE744" s="8"/>
      <c r="AF744" s="8"/>
      <c r="AG744" s="8"/>
      <c r="AH744" s="8"/>
      <c r="AI744" s="8"/>
    </row>
    <row r="745" spans="1:35">
      <c r="A745" s="1"/>
      <c r="B745" s="8"/>
      <c r="C745" s="8"/>
      <c r="D745" s="8"/>
      <c r="E745" s="8"/>
      <c r="F745" s="8"/>
      <c r="G745" s="8"/>
      <c r="H745" s="8"/>
      <c r="I745" s="8"/>
      <c r="J745" s="8"/>
      <c r="K745" s="8"/>
      <c r="L745" s="26"/>
      <c r="M745" s="26"/>
      <c r="N745" s="26"/>
      <c r="O745" s="55"/>
      <c r="P745" s="1"/>
      <c r="Q745" s="8"/>
      <c r="R745" s="8"/>
      <c r="S745" s="1"/>
      <c r="T745" s="8"/>
      <c r="U745" s="8"/>
      <c r="V745" s="56"/>
      <c r="W745" s="1"/>
      <c r="X745" s="1"/>
      <c r="Y745" s="8"/>
      <c r="Z745" s="8"/>
      <c r="AA745" s="8"/>
      <c r="AB745" s="8"/>
      <c r="AC745" s="8"/>
      <c r="AD745" s="8"/>
      <c r="AE745" s="8"/>
      <c r="AF745" s="8"/>
      <c r="AG745" s="8"/>
      <c r="AH745" s="8"/>
      <c r="AI745" s="8"/>
    </row>
    <row r="746" spans="1:35">
      <c r="A746" s="1"/>
      <c r="B746" s="8"/>
      <c r="C746" s="8"/>
      <c r="D746" s="8"/>
      <c r="E746" s="8"/>
      <c r="F746" s="8"/>
      <c r="G746" s="8"/>
      <c r="H746" s="8"/>
      <c r="I746" s="8"/>
      <c r="J746" s="8"/>
      <c r="K746" s="8"/>
      <c r="L746" s="26"/>
      <c r="M746" s="26"/>
      <c r="N746" s="26"/>
      <c r="O746" s="55"/>
      <c r="P746" s="1"/>
      <c r="Q746" s="8"/>
      <c r="R746" s="8"/>
      <c r="S746" s="1"/>
      <c r="T746" s="8"/>
      <c r="U746" s="8"/>
      <c r="V746" s="56"/>
      <c r="W746" s="1"/>
      <c r="X746" s="1"/>
      <c r="Y746" s="8"/>
      <c r="Z746" s="8"/>
      <c r="AA746" s="8"/>
      <c r="AB746" s="8"/>
      <c r="AC746" s="8"/>
      <c r="AD746" s="8"/>
      <c r="AE746" s="8"/>
      <c r="AF746" s="8"/>
      <c r="AG746" s="8"/>
      <c r="AH746" s="8"/>
      <c r="AI746" s="8"/>
    </row>
    <row r="747" spans="1:35">
      <c r="A747" s="1"/>
      <c r="B747" s="8"/>
      <c r="C747" s="8"/>
      <c r="D747" s="8"/>
      <c r="E747" s="8"/>
      <c r="F747" s="8"/>
      <c r="G747" s="8"/>
      <c r="H747" s="8"/>
      <c r="I747" s="8"/>
      <c r="J747" s="8"/>
      <c r="K747" s="8"/>
      <c r="L747" s="26"/>
      <c r="M747" s="26"/>
      <c r="N747" s="26"/>
      <c r="O747" s="55"/>
      <c r="P747" s="1"/>
      <c r="Q747" s="8"/>
      <c r="R747" s="8"/>
      <c r="S747" s="1"/>
      <c r="T747" s="8"/>
      <c r="U747" s="8"/>
      <c r="V747" s="56"/>
      <c r="W747" s="1"/>
      <c r="X747" s="1"/>
      <c r="Y747" s="8"/>
      <c r="Z747" s="8"/>
      <c r="AA747" s="8"/>
      <c r="AB747" s="8"/>
      <c r="AC747" s="8"/>
      <c r="AD747" s="8"/>
      <c r="AE747" s="8"/>
      <c r="AF747" s="8"/>
      <c r="AG747" s="8"/>
      <c r="AH747" s="8"/>
      <c r="AI747" s="8"/>
    </row>
    <row r="748" spans="1:35">
      <c r="A748" s="1"/>
      <c r="B748" s="8"/>
      <c r="C748" s="8"/>
      <c r="D748" s="8"/>
      <c r="E748" s="8"/>
      <c r="F748" s="8"/>
      <c r="G748" s="8"/>
      <c r="H748" s="8"/>
      <c r="I748" s="8"/>
      <c r="J748" s="8"/>
      <c r="K748" s="8"/>
      <c r="L748" s="26"/>
      <c r="M748" s="26"/>
      <c r="N748" s="26"/>
      <c r="O748" s="55"/>
      <c r="P748" s="1"/>
      <c r="Q748" s="8"/>
      <c r="R748" s="8"/>
      <c r="S748" s="1"/>
      <c r="T748" s="8"/>
      <c r="U748" s="8"/>
      <c r="V748" s="56"/>
      <c r="W748" s="1"/>
      <c r="X748" s="1"/>
      <c r="Y748" s="8"/>
      <c r="Z748" s="8"/>
      <c r="AA748" s="8"/>
      <c r="AB748" s="8"/>
      <c r="AC748" s="8"/>
      <c r="AD748" s="8"/>
      <c r="AE748" s="8"/>
      <c r="AF748" s="8"/>
      <c r="AG748" s="8"/>
      <c r="AH748" s="8"/>
      <c r="AI748" s="8"/>
    </row>
    <row r="749" spans="1:35">
      <c r="A749" s="1"/>
      <c r="B749" s="8"/>
      <c r="C749" s="8"/>
      <c r="D749" s="8"/>
      <c r="E749" s="8"/>
      <c r="F749" s="8"/>
      <c r="G749" s="8"/>
      <c r="H749" s="8"/>
      <c r="I749" s="8"/>
      <c r="J749" s="8"/>
      <c r="K749" s="8"/>
      <c r="L749" s="26"/>
      <c r="M749" s="26"/>
      <c r="N749" s="26"/>
      <c r="O749" s="55"/>
      <c r="P749" s="1"/>
      <c r="Q749" s="8"/>
      <c r="R749" s="8"/>
      <c r="S749" s="1"/>
      <c r="T749" s="8"/>
      <c r="U749" s="8"/>
      <c r="V749" s="56"/>
      <c r="W749" s="1"/>
      <c r="X749" s="1"/>
      <c r="Y749" s="8"/>
      <c r="Z749" s="8"/>
      <c r="AA749" s="8"/>
      <c r="AB749" s="8"/>
      <c r="AC749" s="8"/>
      <c r="AD749" s="8"/>
      <c r="AE749" s="8"/>
      <c r="AF749" s="8"/>
      <c r="AG749" s="8"/>
      <c r="AH749" s="8"/>
      <c r="AI749" s="8"/>
    </row>
    <row r="750" spans="1:35">
      <c r="A750" s="1"/>
      <c r="B750" s="8"/>
      <c r="C750" s="8"/>
      <c r="D750" s="8"/>
      <c r="E750" s="8"/>
      <c r="F750" s="8"/>
      <c r="G750" s="8"/>
      <c r="H750" s="8"/>
      <c r="I750" s="8"/>
      <c r="J750" s="8"/>
      <c r="K750" s="8"/>
      <c r="L750" s="26"/>
      <c r="M750" s="26"/>
      <c r="N750" s="26"/>
      <c r="O750" s="55"/>
      <c r="P750" s="1"/>
      <c r="Q750" s="8"/>
      <c r="R750" s="8"/>
      <c r="S750" s="1"/>
      <c r="T750" s="8"/>
      <c r="U750" s="8"/>
      <c r="V750" s="56"/>
      <c r="W750" s="1"/>
      <c r="X750" s="1"/>
      <c r="Y750" s="8"/>
      <c r="Z750" s="8"/>
      <c r="AA750" s="8"/>
      <c r="AB750" s="8"/>
      <c r="AC750" s="8"/>
      <c r="AD750" s="8"/>
      <c r="AE750" s="8"/>
      <c r="AF750" s="8"/>
      <c r="AG750" s="8"/>
      <c r="AH750" s="8"/>
      <c r="AI750" s="8"/>
    </row>
    <row r="751" spans="1:35">
      <c r="A751" s="1"/>
      <c r="B751" s="8"/>
      <c r="C751" s="8"/>
      <c r="D751" s="8"/>
      <c r="E751" s="8"/>
      <c r="F751" s="8"/>
      <c r="G751" s="8"/>
      <c r="H751" s="8"/>
      <c r="I751" s="8"/>
      <c r="J751" s="8"/>
      <c r="K751" s="8"/>
      <c r="L751" s="26"/>
      <c r="M751" s="26"/>
      <c r="N751" s="26"/>
      <c r="O751" s="55"/>
      <c r="P751" s="1"/>
      <c r="Q751" s="8"/>
      <c r="R751" s="8"/>
      <c r="S751" s="1"/>
      <c r="T751" s="8"/>
      <c r="U751" s="8"/>
      <c r="V751" s="56"/>
      <c r="W751" s="1"/>
      <c r="X751" s="1"/>
      <c r="Y751" s="8"/>
      <c r="Z751" s="8"/>
      <c r="AA751" s="8"/>
      <c r="AB751" s="8"/>
      <c r="AC751" s="8"/>
      <c r="AD751" s="8"/>
      <c r="AE751" s="8"/>
      <c r="AF751" s="8"/>
      <c r="AG751" s="8"/>
      <c r="AH751" s="8"/>
      <c r="AI751" s="8"/>
    </row>
    <row r="752" spans="1:35">
      <c r="A752" s="1"/>
      <c r="B752" s="8"/>
      <c r="C752" s="8"/>
      <c r="D752" s="8"/>
      <c r="E752" s="8"/>
      <c r="F752" s="8"/>
      <c r="G752" s="8"/>
      <c r="H752" s="8"/>
      <c r="I752" s="8"/>
      <c r="J752" s="8"/>
      <c r="K752" s="8"/>
      <c r="L752" s="26"/>
      <c r="M752" s="26"/>
      <c r="N752" s="26"/>
      <c r="O752" s="55"/>
      <c r="P752" s="1"/>
      <c r="Q752" s="8"/>
      <c r="R752" s="8"/>
      <c r="S752" s="1"/>
      <c r="T752" s="8"/>
      <c r="U752" s="8"/>
      <c r="V752" s="56"/>
      <c r="W752" s="1"/>
      <c r="X752" s="1"/>
      <c r="Y752" s="8"/>
      <c r="Z752" s="8"/>
      <c r="AA752" s="8"/>
      <c r="AB752" s="8"/>
      <c r="AC752" s="8"/>
      <c r="AD752" s="8"/>
      <c r="AE752" s="8"/>
      <c r="AF752" s="8"/>
      <c r="AG752" s="8"/>
      <c r="AH752" s="8"/>
      <c r="AI752" s="8"/>
    </row>
    <row r="753" spans="1:35">
      <c r="A753" s="1"/>
      <c r="B753" s="8"/>
      <c r="C753" s="8"/>
      <c r="D753" s="8"/>
      <c r="E753" s="8"/>
      <c r="F753" s="8"/>
      <c r="G753" s="8"/>
      <c r="H753" s="8"/>
      <c r="I753" s="8"/>
      <c r="J753" s="8"/>
      <c r="K753" s="8"/>
      <c r="L753" s="26"/>
      <c r="M753" s="26"/>
      <c r="N753" s="26"/>
      <c r="O753" s="55"/>
      <c r="P753" s="1"/>
      <c r="Q753" s="8"/>
      <c r="R753" s="8"/>
      <c r="S753" s="1"/>
      <c r="T753" s="8"/>
      <c r="U753" s="8"/>
      <c r="V753" s="56"/>
      <c r="W753" s="1"/>
      <c r="X753" s="1"/>
      <c r="Y753" s="8"/>
      <c r="Z753" s="8"/>
      <c r="AA753" s="8"/>
      <c r="AB753" s="8"/>
      <c r="AC753" s="8"/>
      <c r="AD753" s="8"/>
      <c r="AE753" s="8"/>
      <c r="AF753" s="8"/>
      <c r="AG753" s="8"/>
      <c r="AH753" s="8"/>
      <c r="AI753" s="8"/>
    </row>
    <row r="754" spans="1:35">
      <c r="A754" s="1"/>
      <c r="B754" s="8"/>
      <c r="C754" s="8"/>
      <c r="D754" s="8"/>
      <c r="E754" s="8"/>
      <c r="F754" s="8"/>
      <c r="G754" s="8"/>
      <c r="H754" s="8"/>
      <c r="I754" s="8"/>
      <c r="J754" s="8"/>
      <c r="K754" s="8"/>
      <c r="L754" s="26"/>
      <c r="M754" s="26"/>
      <c r="N754" s="26"/>
      <c r="O754" s="55"/>
      <c r="P754" s="1"/>
      <c r="Q754" s="8"/>
      <c r="R754" s="8"/>
      <c r="S754" s="1"/>
      <c r="T754" s="8"/>
      <c r="U754" s="8"/>
      <c r="V754" s="56"/>
      <c r="W754" s="1"/>
      <c r="X754" s="1"/>
      <c r="Y754" s="8"/>
      <c r="Z754" s="8"/>
      <c r="AA754" s="8"/>
      <c r="AB754" s="8"/>
      <c r="AC754" s="8"/>
      <c r="AD754" s="8"/>
      <c r="AE754" s="8"/>
      <c r="AF754" s="8"/>
      <c r="AG754" s="8"/>
      <c r="AH754" s="8"/>
      <c r="AI754" s="8"/>
    </row>
    <row r="755" spans="1:35">
      <c r="A755" s="1"/>
      <c r="B755" s="8"/>
      <c r="C755" s="8"/>
      <c r="D755" s="8"/>
      <c r="E755" s="8"/>
      <c r="F755" s="8"/>
      <c r="G755" s="8"/>
      <c r="H755" s="8"/>
      <c r="I755" s="8"/>
      <c r="J755" s="8"/>
      <c r="K755" s="8"/>
      <c r="L755" s="26"/>
      <c r="M755" s="26"/>
      <c r="N755" s="26"/>
      <c r="O755" s="55"/>
      <c r="P755" s="1"/>
      <c r="Q755" s="8"/>
      <c r="R755" s="8"/>
      <c r="S755" s="1"/>
      <c r="T755" s="8"/>
      <c r="U755" s="8"/>
      <c r="V755" s="56"/>
      <c r="W755" s="1"/>
      <c r="X755" s="1"/>
      <c r="Y755" s="8"/>
      <c r="Z755" s="8"/>
      <c r="AA755" s="8"/>
      <c r="AB755" s="8"/>
      <c r="AC755" s="8"/>
      <c r="AD755" s="8"/>
      <c r="AE755" s="8"/>
      <c r="AF755" s="8"/>
      <c r="AG755" s="8"/>
      <c r="AH755" s="8"/>
      <c r="AI755" s="8"/>
    </row>
    <row r="756" spans="1:35">
      <c r="A756" s="1"/>
      <c r="B756" s="8"/>
      <c r="C756" s="8"/>
      <c r="D756" s="8"/>
      <c r="E756" s="8"/>
      <c r="F756" s="8"/>
      <c r="G756" s="8"/>
      <c r="H756" s="8"/>
      <c r="I756" s="8"/>
      <c r="J756" s="8"/>
      <c r="K756" s="8"/>
      <c r="L756" s="26"/>
      <c r="M756" s="26"/>
      <c r="N756" s="26"/>
      <c r="O756" s="55"/>
      <c r="P756" s="1"/>
      <c r="Q756" s="8"/>
      <c r="R756" s="8"/>
      <c r="S756" s="1"/>
      <c r="T756" s="8"/>
      <c r="U756" s="8"/>
      <c r="V756" s="56"/>
      <c r="W756" s="1"/>
      <c r="X756" s="1"/>
      <c r="Y756" s="8"/>
      <c r="Z756" s="8"/>
      <c r="AA756" s="8"/>
      <c r="AB756" s="8"/>
      <c r="AC756" s="8"/>
      <c r="AD756" s="8"/>
      <c r="AE756" s="8"/>
      <c r="AF756" s="8"/>
      <c r="AG756" s="8"/>
      <c r="AH756" s="8"/>
      <c r="AI756" s="8"/>
    </row>
    <row r="757" spans="1:35">
      <c r="A757" s="1"/>
      <c r="B757" s="8"/>
      <c r="C757" s="8"/>
      <c r="D757" s="8"/>
      <c r="E757" s="8"/>
      <c r="F757" s="8"/>
      <c r="G757" s="8"/>
      <c r="H757" s="8"/>
      <c r="I757" s="8"/>
      <c r="J757" s="8"/>
      <c r="K757" s="8"/>
      <c r="L757" s="26"/>
      <c r="M757" s="26"/>
      <c r="N757" s="26"/>
      <c r="O757" s="55"/>
      <c r="P757" s="1"/>
      <c r="Q757" s="8"/>
      <c r="R757" s="8"/>
      <c r="S757" s="1"/>
      <c r="T757" s="8"/>
      <c r="U757" s="8"/>
      <c r="V757" s="56"/>
      <c r="W757" s="1"/>
      <c r="X757" s="1"/>
      <c r="Y757" s="8"/>
      <c r="Z757" s="8"/>
      <c r="AA757" s="8"/>
      <c r="AB757" s="8"/>
      <c r="AC757" s="8"/>
      <c r="AD757" s="8"/>
      <c r="AE757" s="8"/>
      <c r="AF757" s="8"/>
      <c r="AG757" s="8"/>
      <c r="AH757" s="8"/>
      <c r="AI757" s="8"/>
    </row>
    <row r="758" spans="1:35">
      <c r="A758" s="1"/>
      <c r="B758" s="8"/>
      <c r="C758" s="8"/>
      <c r="D758" s="8"/>
      <c r="E758" s="8"/>
      <c r="F758" s="8"/>
      <c r="G758" s="8"/>
      <c r="H758" s="8"/>
      <c r="I758" s="8"/>
      <c r="J758" s="8"/>
      <c r="K758" s="8"/>
      <c r="L758" s="26"/>
      <c r="M758" s="26"/>
      <c r="N758" s="26"/>
      <c r="O758" s="55"/>
      <c r="P758" s="1"/>
      <c r="Q758" s="8"/>
      <c r="R758" s="8"/>
      <c r="S758" s="1"/>
      <c r="T758" s="8"/>
      <c r="U758" s="8"/>
      <c r="V758" s="56"/>
      <c r="W758" s="1"/>
      <c r="X758" s="1"/>
      <c r="Y758" s="8"/>
      <c r="Z758" s="8"/>
      <c r="AA758" s="8"/>
      <c r="AB758" s="8"/>
      <c r="AC758" s="8"/>
      <c r="AD758" s="8"/>
      <c r="AE758" s="8"/>
      <c r="AF758" s="8"/>
      <c r="AG758" s="8"/>
      <c r="AH758" s="8"/>
      <c r="AI758" s="8"/>
    </row>
    <row r="759" spans="1:35">
      <c r="A759" s="1"/>
      <c r="B759" s="8"/>
      <c r="C759" s="8"/>
      <c r="D759" s="8"/>
      <c r="E759" s="8"/>
      <c r="F759" s="8"/>
      <c r="G759" s="8"/>
      <c r="H759" s="8"/>
      <c r="I759" s="8"/>
      <c r="J759" s="8"/>
      <c r="K759" s="8"/>
      <c r="L759" s="26"/>
      <c r="M759" s="26"/>
      <c r="N759" s="26"/>
      <c r="O759" s="55"/>
      <c r="P759" s="1"/>
      <c r="Q759" s="8"/>
      <c r="R759" s="8"/>
      <c r="S759" s="1"/>
      <c r="T759" s="8"/>
      <c r="U759" s="8"/>
      <c r="V759" s="56"/>
      <c r="W759" s="1"/>
      <c r="X759" s="1"/>
      <c r="Y759" s="8"/>
      <c r="Z759" s="8"/>
      <c r="AA759" s="8"/>
      <c r="AB759" s="8"/>
      <c r="AC759" s="8"/>
      <c r="AD759" s="8"/>
      <c r="AE759" s="8"/>
      <c r="AF759" s="8"/>
      <c r="AG759" s="8"/>
      <c r="AH759" s="8"/>
      <c r="AI759" s="8"/>
    </row>
    <row r="760" spans="1:35">
      <c r="A760" s="1"/>
      <c r="B760" s="8"/>
      <c r="C760" s="8"/>
      <c r="D760" s="8"/>
      <c r="E760" s="8"/>
      <c r="F760" s="8"/>
      <c r="G760" s="8"/>
      <c r="H760" s="8"/>
      <c r="I760" s="8"/>
      <c r="J760" s="8"/>
      <c r="K760" s="8"/>
      <c r="L760" s="26"/>
      <c r="M760" s="26"/>
      <c r="N760" s="26"/>
      <c r="O760" s="55"/>
      <c r="P760" s="1"/>
      <c r="Q760" s="8"/>
      <c r="R760" s="8"/>
      <c r="S760" s="1"/>
      <c r="T760" s="8"/>
      <c r="U760" s="8"/>
      <c r="V760" s="56"/>
      <c r="W760" s="1"/>
      <c r="X760" s="1"/>
      <c r="Y760" s="8"/>
      <c r="Z760" s="8"/>
      <c r="AA760" s="8"/>
      <c r="AB760" s="8"/>
      <c r="AC760" s="8"/>
      <c r="AD760" s="8"/>
      <c r="AE760" s="8"/>
      <c r="AF760" s="8"/>
      <c r="AG760" s="8"/>
      <c r="AH760" s="8"/>
      <c r="AI760" s="8"/>
    </row>
    <row r="761" spans="1:35">
      <c r="A761" s="1"/>
      <c r="B761" s="8"/>
      <c r="C761" s="8"/>
      <c r="D761" s="8"/>
      <c r="E761" s="8"/>
      <c r="F761" s="8"/>
      <c r="G761" s="8"/>
      <c r="H761" s="8"/>
      <c r="I761" s="8"/>
      <c r="J761" s="8"/>
      <c r="K761" s="8"/>
      <c r="L761" s="26"/>
      <c r="M761" s="26"/>
      <c r="N761" s="26"/>
      <c r="O761" s="55"/>
      <c r="P761" s="1"/>
      <c r="Q761" s="8"/>
      <c r="R761" s="8"/>
      <c r="S761" s="1"/>
      <c r="T761" s="8"/>
      <c r="U761" s="8"/>
      <c r="V761" s="56"/>
      <c r="W761" s="1"/>
      <c r="X761" s="1"/>
      <c r="Y761" s="8"/>
      <c r="Z761" s="8"/>
      <c r="AA761" s="8"/>
      <c r="AB761" s="8"/>
      <c r="AC761" s="8"/>
      <c r="AD761" s="8"/>
      <c r="AE761" s="8"/>
      <c r="AF761" s="8"/>
      <c r="AG761" s="8"/>
      <c r="AH761" s="8"/>
      <c r="AI761" s="8"/>
    </row>
    <row r="762" spans="1:35">
      <c r="A762" s="1"/>
      <c r="B762" s="8"/>
      <c r="C762" s="8"/>
      <c r="D762" s="8"/>
      <c r="E762" s="8"/>
      <c r="F762" s="8"/>
      <c r="G762" s="8"/>
      <c r="H762" s="8"/>
      <c r="I762" s="8"/>
      <c r="J762" s="8"/>
      <c r="K762" s="8"/>
      <c r="L762" s="26"/>
      <c r="M762" s="26"/>
      <c r="N762" s="26"/>
      <c r="O762" s="55"/>
      <c r="P762" s="1"/>
      <c r="Q762" s="8"/>
      <c r="R762" s="8"/>
      <c r="S762" s="1"/>
      <c r="T762" s="8"/>
      <c r="U762" s="8"/>
      <c r="V762" s="56"/>
      <c r="W762" s="1"/>
      <c r="X762" s="1"/>
      <c r="Y762" s="8"/>
      <c r="Z762" s="8"/>
      <c r="AA762" s="8"/>
      <c r="AB762" s="8"/>
      <c r="AC762" s="8"/>
      <c r="AD762" s="8"/>
      <c r="AE762" s="8"/>
      <c r="AF762" s="8"/>
      <c r="AG762" s="8"/>
      <c r="AH762" s="8"/>
      <c r="AI762" s="8"/>
    </row>
    <row r="763" spans="1:35">
      <c r="A763" s="1"/>
      <c r="B763" s="8"/>
      <c r="C763" s="8"/>
      <c r="D763" s="8"/>
      <c r="E763" s="8"/>
      <c r="F763" s="8"/>
      <c r="G763" s="8"/>
      <c r="H763" s="8"/>
      <c r="I763" s="8"/>
      <c r="J763" s="8"/>
      <c r="K763" s="8"/>
      <c r="L763" s="26"/>
      <c r="M763" s="26"/>
      <c r="N763" s="26"/>
      <c r="O763" s="55"/>
      <c r="P763" s="1"/>
      <c r="Q763" s="8"/>
      <c r="R763" s="8"/>
      <c r="S763" s="1"/>
      <c r="T763" s="8"/>
      <c r="U763" s="8"/>
      <c r="V763" s="56"/>
      <c r="W763" s="1"/>
      <c r="X763" s="1"/>
      <c r="Y763" s="8"/>
      <c r="Z763" s="8"/>
      <c r="AA763" s="8"/>
      <c r="AB763" s="8"/>
      <c r="AC763" s="8"/>
      <c r="AD763" s="8"/>
      <c r="AE763" s="8"/>
      <c r="AF763" s="8"/>
      <c r="AG763" s="8"/>
      <c r="AH763" s="8"/>
      <c r="AI763" s="8"/>
    </row>
    <row r="764" spans="1:35">
      <c r="A764" s="1"/>
      <c r="B764" s="8"/>
      <c r="C764" s="8"/>
      <c r="D764" s="8"/>
      <c r="E764" s="8"/>
      <c r="F764" s="8"/>
      <c r="G764" s="8"/>
      <c r="H764" s="8"/>
      <c r="I764" s="8"/>
      <c r="J764" s="8"/>
      <c r="K764" s="8"/>
      <c r="L764" s="26"/>
      <c r="M764" s="26"/>
      <c r="N764" s="26"/>
      <c r="O764" s="55"/>
      <c r="P764" s="1"/>
      <c r="Q764" s="8"/>
      <c r="R764" s="8"/>
      <c r="S764" s="1"/>
      <c r="T764" s="8"/>
      <c r="U764" s="8"/>
      <c r="V764" s="56"/>
      <c r="W764" s="1"/>
      <c r="X764" s="1"/>
      <c r="Y764" s="8"/>
      <c r="Z764" s="8"/>
      <c r="AA764" s="8"/>
      <c r="AB764" s="8"/>
      <c r="AC764" s="8"/>
      <c r="AD764" s="8"/>
      <c r="AE764" s="8"/>
      <c r="AF764" s="8"/>
      <c r="AG764" s="8"/>
      <c r="AH764" s="8"/>
      <c r="AI764" s="8"/>
    </row>
    <row r="765" spans="1:35">
      <c r="A765" s="1"/>
      <c r="B765" s="8"/>
      <c r="C765" s="8"/>
      <c r="D765" s="8"/>
      <c r="E765" s="8"/>
      <c r="F765" s="8"/>
      <c r="G765" s="8"/>
      <c r="H765" s="8"/>
      <c r="I765" s="8"/>
      <c r="J765" s="8"/>
      <c r="K765" s="8"/>
      <c r="L765" s="26"/>
      <c r="M765" s="26"/>
      <c r="N765" s="26"/>
      <c r="O765" s="55"/>
      <c r="P765" s="1"/>
      <c r="Q765" s="8"/>
      <c r="R765" s="8"/>
      <c r="S765" s="1"/>
      <c r="T765" s="8"/>
      <c r="U765" s="8"/>
      <c r="V765" s="56"/>
      <c r="W765" s="1"/>
      <c r="X765" s="1"/>
      <c r="Y765" s="8"/>
      <c r="Z765" s="8"/>
      <c r="AA765" s="8"/>
      <c r="AB765" s="8"/>
      <c r="AC765" s="8"/>
      <c r="AD765" s="8"/>
      <c r="AE765" s="8"/>
      <c r="AF765" s="8"/>
      <c r="AG765" s="8"/>
      <c r="AH765" s="8"/>
      <c r="AI765" s="8"/>
    </row>
    <row r="766" spans="1:35">
      <c r="A766" s="1"/>
      <c r="B766" s="8"/>
      <c r="C766" s="8"/>
      <c r="D766" s="8"/>
      <c r="E766" s="8"/>
      <c r="F766" s="8"/>
      <c r="G766" s="8"/>
      <c r="H766" s="8"/>
      <c r="I766" s="8"/>
      <c r="J766" s="8"/>
      <c r="K766" s="8"/>
      <c r="L766" s="26"/>
      <c r="M766" s="26"/>
      <c r="N766" s="26"/>
      <c r="O766" s="55"/>
      <c r="P766" s="1"/>
      <c r="Q766" s="8"/>
      <c r="R766" s="8"/>
      <c r="S766" s="1"/>
      <c r="T766" s="8"/>
      <c r="U766" s="8"/>
      <c r="V766" s="56"/>
      <c r="W766" s="1"/>
      <c r="X766" s="1"/>
      <c r="Y766" s="8"/>
      <c r="Z766" s="8"/>
      <c r="AA766" s="8"/>
      <c r="AB766" s="8"/>
      <c r="AC766" s="8"/>
      <c r="AD766" s="8"/>
      <c r="AE766" s="8"/>
      <c r="AF766" s="8"/>
      <c r="AG766" s="8"/>
      <c r="AH766" s="8"/>
      <c r="AI766" s="8"/>
    </row>
    <row r="767" spans="1:35">
      <c r="A767" s="1"/>
      <c r="B767" s="8"/>
      <c r="C767" s="8"/>
      <c r="D767" s="8"/>
      <c r="E767" s="8"/>
      <c r="F767" s="8"/>
      <c r="G767" s="8"/>
      <c r="H767" s="8"/>
      <c r="I767" s="8"/>
      <c r="J767" s="8"/>
      <c r="K767" s="8"/>
      <c r="L767" s="26"/>
      <c r="M767" s="26"/>
      <c r="N767" s="26"/>
      <c r="O767" s="55"/>
      <c r="P767" s="1"/>
      <c r="Q767" s="8"/>
      <c r="R767" s="8"/>
      <c r="S767" s="1"/>
      <c r="T767" s="8"/>
      <c r="U767" s="8"/>
      <c r="V767" s="56"/>
      <c r="W767" s="1"/>
      <c r="X767" s="1"/>
      <c r="Y767" s="8"/>
      <c r="Z767" s="8"/>
      <c r="AA767" s="8"/>
      <c r="AB767" s="8"/>
      <c r="AC767" s="8"/>
      <c r="AD767" s="8"/>
      <c r="AE767" s="8"/>
      <c r="AF767" s="8"/>
      <c r="AG767" s="8"/>
      <c r="AH767" s="8"/>
      <c r="AI767" s="8"/>
    </row>
    <row r="768" spans="1:35">
      <c r="A768" s="1"/>
      <c r="B768" s="8"/>
      <c r="C768" s="8"/>
      <c r="D768" s="8"/>
      <c r="E768" s="8"/>
      <c r="F768" s="8"/>
      <c r="G768" s="8"/>
      <c r="H768" s="8"/>
      <c r="I768" s="8"/>
      <c r="J768" s="8"/>
      <c r="K768" s="8"/>
      <c r="L768" s="26"/>
      <c r="M768" s="26"/>
      <c r="N768" s="26"/>
      <c r="O768" s="55"/>
      <c r="P768" s="1"/>
      <c r="Q768" s="8"/>
      <c r="R768" s="8"/>
      <c r="S768" s="1"/>
      <c r="T768" s="8"/>
      <c r="U768" s="8"/>
      <c r="V768" s="56"/>
      <c r="W768" s="1"/>
      <c r="X768" s="1"/>
      <c r="Y768" s="8"/>
      <c r="Z768" s="8"/>
      <c r="AA768" s="8"/>
      <c r="AB768" s="8"/>
      <c r="AC768" s="8"/>
      <c r="AD768" s="8"/>
      <c r="AE768" s="8"/>
      <c r="AF768" s="8"/>
      <c r="AG768" s="8"/>
      <c r="AH768" s="8"/>
      <c r="AI768" s="8"/>
    </row>
    <row r="769" spans="1:35">
      <c r="A769" s="1"/>
      <c r="B769" s="8"/>
      <c r="C769" s="8"/>
      <c r="D769" s="8"/>
      <c r="E769" s="8"/>
      <c r="F769" s="8"/>
      <c r="G769" s="8"/>
      <c r="H769" s="8"/>
      <c r="I769" s="8"/>
      <c r="J769" s="8"/>
      <c r="K769" s="8"/>
      <c r="L769" s="26"/>
      <c r="M769" s="26"/>
      <c r="N769" s="26"/>
      <c r="O769" s="55"/>
      <c r="P769" s="1"/>
      <c r="Q769" s="8"/>
      <c r="R769" s="8"/>
      <c r="S769" s="1"/>
      <c r="T769" s="8"/>
      <c r="U769" s="8"/>
      <c r="V769" s="56"/>
      <c r="W769" s="1"/>
      <c r="X769" s="1"/>
      <c r="Y769" s="8"/>
      <c r="Z769" s="8"/>
      <c r="AA769" s="8"/>
      <c r="AB769" s="8"/>
      <c r="AC769" s="8"/>
      <c r="AD769" s="8"/>
      <c r="AE769" s="8"/>
      <c r="AF769" s="8"/>
      <c r="AG769" s="8"/>
      <c r="AH769" s="8"/>
      <c r="AI769" s="8"/>
    </row>
    <row r="770" spans="1:35">
      <c r="A770" s="1"/>
      <c r="B770" s="8"/>
      <c r="C770" s="8"/>
      <c r="D770" s="8"/>
      <c r="E770" s="8"/>
      <c r="F770" s="8"/>
      <c r="G770" s="8"/>
      <c r="H770" s="8"/>
      <c r="I770" s="8"/>
      <c r="J770" s="8"/>
      <c r="K770" s="8"/>
      <c r="L770" s="26"/>
      <c r="M770" s="26"/>
      <c r="N770" s="26"/>
      <c r="O770" s="55"/>
      <c r="P770" s="1"/>
      <c r="Q770" s="8"/>
      <c r="R770" s="8"/>
      <c r="S770" s="1"/>
      <c r="T770" s="8"/>
      <c r="U770" s="8"/>
      <c r="V770" s="56"/>
      <c r="W770" s="1"/>
      <c r="X770" s="1"/>
      <c r="Y770" s="8"/>
      <c r="Z770" s="8"/>
      <c r="AA770" s="8"/>
      <c r="AB770" s="8"/>
      <c r="AC770" s="8"/>
      <c r="AD770" s="8"/>
      <c r="AE770" s="8"/>
      <c r="AF770" s="8"/>
      <c r="AG770" s="8"/>
      <c r="AH770" s="8"/>
      <c r="AI770" s="8"/>
    </row>
    <row r="771" spans="1:35">
      <c r="A771" s="1"/>
      <c r="B771" s="8"/>
      <c r="C771" s="8"/>
      <c r="D771" s="8"/>
      <c r="E771" s="8"/>
      <c r="F771" s="8"/>
      <c r="G771" s="8"/>
      <c r="H771" s="8"/>
      <c r="I771" s="8"/>
      <c r="J771" s="8"/>
      <c r="K771" s="8"/>
      <c r="L771" s="26"/>
      <c r="M771" s="26"/>
      <c r="N771" s="26"/>
      <c r="O771" s="55"/>
      <c r="P771" s="1"/>
      <c r="Q771" s="8"/>
      <c r="R771" s="8"/>
      <c r="S771" s="1"/>
      <c r="T771" s="8"/>
      <c r="U771" s="8"/>
      <c r="V771" s="56"/>
      <c r="W771" s="1"/>
      <c r="X771" s="1"/>
      <c r="Y771" s="8"/>
      <c r="Z771" s="8"/>
      <c r="AA771" s="8"/>
      <c r="AB771" s="8"/>
      <c r="AC771" s="8"/>
      <c r="AD771" s="8"/>
      <c r="AE771" s="8"/>
      <c r="AF771" s="8"/>
      <c r="AG771" s="8"/>
      <c r="AH771" s="8"/>
      <c r="AI771" s="8"/>
    </row>
    <row r="772" spans="1:35">
      <c r="A772" s="1"/>
      <c r="B772" s="8"/>
      <c r="C772" s="8"/>
      <c r="D772" s="8"/>
      <c r="E772" s="8"/>
      <c r="F772" s="8"/>
      <c r="G772" s="8"/>
      <c r="H772" s="8"/>
      <c r="I772" s="8"/>
      <c r="J772" s="8"/>
      <c r="K772" s="8"/>
      <c r="L772" s="26"/>
      <c r="M772" s="26"/>
      <c r="N772" s="26"/>
      <c r="O772" s="55"/>
      <c r="P772" s="1"/>
      <c r="Q772" s="8"/>
      <c r="R772" s="8"/>
      <c r="S772" s="1"/>
      <c r="T772" s="8"/>
      <c r="U772" s="8"/>
      <c r="V772" s="56"/>
      <c r="W772" s="1"/>
      <c r="X772" s="1"/>
      <c r="Y772" s="8"/>
      <c r="Z772" s="8"/>
      <c r="AA772" s="8"/>
      <c r="AB772" s="8"/>
      <c r="AC772" s="8"/>
      <c r="AD772" s="8"/>
      <c r="AE772" s="8"/>
      <c r="AF772" s="8"/>
      <c r="AG772" s="8"/>
      <c r="AH772" s="8"/>
      <c r="AI772" s="8"/>
    </row>
    <row r="773" spans="1:35">
      <c r="A773" s="1"/>
      <c r="B773" s="8"/>
      <c r="C773" s="8"/>
      <c r="D773" s="8"/>
      <c r="E773" s="8"/>
      <c r="F773" s="8"/>
      <c r="G773" s="8"/>
      <c r="H773" s="8"/>
      <c r="I773" s="8"/>
      <c r="J773" s="8"/>
      <c r="K773" s="8"/>
      <c r="L773" s="26"/>
      <c r="M773" s="26"/>
      <c r="N773" s="26"/>
      <c r="O773" s="55"/>
      <c r="P773" s="1"/>
      <c r="Q773" s="8"/>
      <c r="R773" s="8"/>
      <c r="S773" s="1"/>
      <c r="T773" s="8"/>
      <c r="U773" s="8"/>
      <c r="V773" s="56"/>
      <c r="W773" s="1"/>
      <c r="X773" s="1"/>
      <c r="Y773" s="8"/>
      <c r="Z773" s="8"/>
      <c r="AA773" s="8"/>
      <c r="AB773" s="8"/>
      <c r="AC773" s="8"/>
      <c r="AD773" s="8"/>
      <c r="AE773" s="8"/>
      <c r="AF773" s="8"/>
      <c r="AG773" s="8"/>
      <c r="AH773" s="8"/>
      <c r="AI773" s="8"/>
    </row>
    <row r="774" spans="1:35">
      <c r="A774" s="1"/>
      <c r="B774" s="8"/>
      <c r="C774" s="8"/>
      <c r="D774" s="8"/>
      <c r="E774" s="8"/>
      <c r="F774" s="8"/>
      <c r="G774" s="8"/>
      <c r="H774" s="8"/>
      <c r="I774" s="8"/>
      <c r="J774" s="8"/>
      <c r="K774" s="8"/>
      <c r="L774" s="26"/>
      <c r="M774" s="26"/>
      <c r="N774" s="26"/>
      <c r="O774" s="55"/>
      <c r="P774" s="1"/>
      <c r="Q774" s="8"/>
      <c r="R774" s="8"/>
      <c r="S774" s="1"/>
      <c r="T774" s="8"/>
      <c r="U774" s="8"/>
      <c r="V774" s="56"/>
      <c r="W774" s="1"/>
      <c r="X774" s="1"/>
      <c r="Y774" s="8"/>
      <c r="Z774" s="8"/>
      <c r="AA774" s="8"/>
      <c r="AB774" s="8"/>
      <c r="AC774" s="8"/>
      <c r="AD774" s="8"/>
      <c r="AE774" s="8"/>
      <c r="AF774" s="8"/>
      <c r="AG774" s="8"/>
      <c r="AH774" s="8"/>
      <c r="AI774" s="8"/>
    </row>
    <row r="775" spans="1:35">
      <c r="A775" s="1"/>
      <c r="B775" s="8"/>
      <c r="C775" s="8"/>
      <c r="D775" s="8"/>
      <c r="E775" s="8"/>
      <c r="F775" s="8"/>
      <c r="G775" s="8"/>
      <c r="H775" s="8"/>
      <c r="I775" s="8"/>
      <c r="J775" s="8"/>
      <c r="K775" s="8"/>
      <c r="L775" s="26"/>
      <c r="M775" s="26"/>
      <c r="N775" s="26"/>
      <c r="O775" s="55"/>
      <c r="P775" s="1"/>
      <c r="Q775" s="8"/>
      <c r="R775" s="8"/>
      <c r="S775" s="1"/>
      <c r="T775" s="8"/>
      <c r="U775" s="8"/>
      <c r="V775" s="56"/>
      <c r="W775" s="1"/>
      <c r="X775" s="1"/>
      <c r="Y775" s="8"/>
      <c r="Z775" s="8"/>
      <c r="AA775" s="8"/>
      <c r="AB775" s="8"/>
      <c r="AC775" s="8"/>
      <c r="AD775" s="8"/>
      <c r="AE775" s="8"/>
      <c r="AF775" s="8"/>
      <c r="AG775" s="8"/>
      <c r="AH775" s="8"/>
      <c r="AI775" s="8"/>
    </row>
    <row r="776" spans="1:35">
      <c r="A776" s="1"/>
      <c r="B776" s="8"/>
      <c r="C776" s="8"/>
      <c r="D776" s="8"/>
      <c r="E776" s="8"/>
      <c r="F776" s="8"/>
      <c r="G776" s="8"/>
      <c r="H776" s="8"/>
      <c r="I776" s="8"/>
      <c r="J776" s="8"/>
      <c r="K776" s="8"/>
      <c r="L776" s="26"/>
      <c r="M776" s="26"/>
      <c r="N776" s="26"/>
      <c r="O776" s="55"/>
      <c r="P776" s="1"/>
      <c r="Q776" s="8"/>
      <c r="R776" s="8"/>
      <c r="S776" s="1"/>
      <c r="T776" s="8"/>
      <c r="U776" s="8"/>
      <c r="V776" s="56"/>
      <c r="W776" s="1"/>
      <c r="X776" s="1"/>
      <c r="Y776" s="8"/>
      <c r="Z776" s="8"/>
      <c r="AA776" s="8"/>
      <c r="AB776" s="8"/>
      <c r="AC776" s="8"/>
      <c r="AD776" s="8"/>
      <c r="AE776" s="8"/>
      <c r="AF776" s="8"/>
      <c r="AG776" s="8"/>
      <c r="AH776" s="8"/>
      <c r="AI776" s="8"/>
    </row>
    <row r="777" spans="1:35">
      <c r="A777" s="1"/>
      <c r="B777" s="8"/>
      <c r="C777" s="8"/>
      <c r="D777" s="8"/>
      <c r="E777" s="8"/>
      <c r="F777" s="8"/>
      <c r="G777" s="8"/>
      <c r="H777" s="8"/>
      <c r="I777" s="8"/>
      <c r="J777" s="8"/>
      <c r="K777" s="8"/>
      <c r="L777" s="26"/>
      <c r="M777" s="26"/>
      <c r="N777" s="26"/>
      <c r="O777" s="55"/>
      <c r="P777" s="1"/>
      <c r="Q777" s="8"/>
      <c r="R777" s="8"/>
      <c r="S777" s="1"/>
      <c r="T777" s="8"/>
      <c r="U777" s="8"/>
      <c r="V777" s="56"/>
      <c r="W777" s="1"/>
      <c r="X777" s="1"/>
      <c r="Y777" s="8"/>
      <c r="Z777" s="8"/>
      <c r="AA777" s="8"/>
      <c r="AB777" s="8"/>
      <c r="AC777" s="8"/>
      <c r="AD777" s="8"/>
      <c r="AE777" s="8"/>
      <c r="AF777" s="8"/>
      <c r="AG777" s="8"/>
      <c r="AH777" s="8"/>
      <c r="AI777" s="8"/>
    </row>
    <row r="778" spans="1:35">
      <c r="A778" s="1"/>
      <c r="B778" s="8"/>
      <c r="C778" s="8"/>
      <c r="D778" s="8"/>
      <c r="E778" s="8"/>
      <c r="F778" s="8"/>
      <c r="G778" s="8"/>
      <c r="H778" s="8"/>
      <c r="I778" s="8"/>
      <c r="J778" s="8"/>
      <c r="K778" s="8"/>
      <c r="L778" s="26"/>
      <c r="M778" s="26"/>
      <c r="N778" s="26"/>
      <c r="O778" s="55"/>
      <c r="P778" s="1"/>
      <c r="Q778" s="8"/>
      <c r="R778" s="8"/>
      <c r="S778" s="1"/>
      <c r="T778" s="8"/>
      <c r="U778" s="8"/>
      <c r="V778" s="56"/>
      <c r="W778" s="1"/>
      <c r="X778" s="1"/>
      <c r="Y778" s="8"/>
      <c r="Z778" s="8"/>
      <c r="AA778" s="8"/>
      <c r="AB778" s="8"/>
      <c r="AC778" s="8"/>
      <c r="AD778" s="8"/>
      <c r="AE778" s="8"/>
      <c r="AF778" s="8"/>
      <c r="AG778" s="8"/>
      <c r="AH778" s="8"/>
      <c r="AI778" s="8"/>
    </row>
    <row r="779" spans="1:35">
      <c r="A779" s="1"/>
      <c r="B779" s="8"/>
      <c r="C779" s="8"/>
      <c r="D779" s="8"/>
      <c r="E779" s="8"/>
      <c r="F779" s="8"/>
      <c r="G779" s="8"/>
      <c r="H779" s="8"/>
      <c r="I779" s="8"/>
      <c r="J779" s="8"/>
      <c r="K779" s="8"/>
      <c r="L779" s="26"/>
      <c r="M779" s="26"/>
      <c r="N779" s="26"/>
      <c r="O779" s="55"/>
      <c r="P779" s="1"/>
      <c r="Q779" s="8"/>
      <c r="R779" s="8"/>
      <c r="S779" s="1"/>
      <c r="T779" s="8"/>
      <c r="U779" s="8"/>
      <c r="V779" s="56"/>
      <c r="W779" s="1"/>
      <c r="X779" s="1"/>
      <c r="Y779" s="8"/>
      <c r="Z779" s="8"/>
      <c r="AA779" s="8"/>
      <c r="AB779" s="8"/>
      <c r="AC779" s="8"/>
      <c r="AD779" s="8"/>
      <c r="AE779" s="8"/>
      <c r="AF779" s="8"/>
      <c r="AG779" s="8"/>
      <c r="AH779" s="8"/>
      <c r="AI779" s="8"/>
    </row>
    <row r="780" spans="1:35">
      <c r="A780" s="1"/>
      <c r="B780" s="8"/>
      <c r="C780" s="8"/>
      <c r="D780" s="8"/>
      <c r="E780" s="8"/>
      <c r="F780" s="8"/>
      <c r="G780" s="8"/>
      <c r="H780" s="8"/>
      <c r="I780" s="8"/>
      <c r="J780" s="8"/>
      <c r="K780" s="8"/>
      <c r="L780" s="26"/>
      <c r="M780" s="26"/>
      <c r="N780" s="26"/>
      <c r="O780" s="55"/>
      <c r="P780" s="1"/>
      <c r="Q780" s="8"/>
      <c r="R780" s="8"/>
      <c r="S780" s="1"/>
      <c r="T780" s="8"/>
      <c r="U780" s="8"/>
      <c r="V780" s="56"/>
      <c r="W780" s="1"/>
      <c r="X780" s="1"/>
      <c r="Y780" s="8"/>
      <c r="Z780" s="8"/>
      <c r="AA780" s="8"/>
      <c r="AB780" s="8"/>
      <c r="AC780" s="8"/>
      <c r="AD780" s="8"/>
      <c r="AE780" s="8"/>
      <c r="AF780" s="8"/>
      <c r="AG780" s="8"/>
      <c r="AH780" s="8"/>
      <c r="AI780" s="8"/>
    </row>
    <row r="781" spans="1:35">
      <c r="A781" s="1"/>
      <c r="B781" s="8"/>
      <c r="C781" s="8"/>
      <c r="D781" s="8"/>
      <c r="E781" s="8"/>
      <c r="F781" s="8"/>
      <c r="G781" s="8"/>
      <c r="H781" s="8"/>
      <c r="I781" s="8"/>
      <c r="J781" s="8"/>
      <c r="K781" s="8"/>
      <c r="L781" s="26"/>
      <c r="M781" s="26"/>
      <c r="N781" s="26"/>
      <c r="O781" s="55"/>
      <c r="P781" s="1"/>
      <c r="Q781" s="8"/>
      <c r="R781" s="8"/>
      <c r="S781" s="1"/>
      <c r="T781" s="8"/>
      <c r="U781" s="8"/>
      <c r="V781" s="56"/>
      <c r="W781" s="1"/>
      <c r="X781" s="1"/>
      <c r="Y781" s="8"/>
      <c r="Z781" s="8"/>
      <c r="AA781" s="8"/>
      <c r="AB781" s="8"/>
      <c r="AC781" s="8"/>
      <c r="AD781" s="8"/>
      <c r="AE781" s="8"/>
      <c r="AF781" s="8"/>
      <c r="AG781" s="8"/>
      <c r="AH781" s="8"/>
      <c r="AI781" s="8"/>
    </row>
    <row r="782" spans="1:35">
      <c r="A782" s="1"/>
      <c r="B782" s="8"/>
      <c r="C782" s="8"/>
      <c r="D782" s="8"/>
      <c r="E782" s="8"/>
      <c r="F782" s="8"/>
      <c r="G782" s="8"/>
      <c r="H782" s="8"/>
      <c r="I782" s="8"/>
      <c r="J782" s="8"/>
      <c r="K782" s="8"/>
      <c r="L782" s="26"/>
      <c r="M782" s="26"/>
      <c r="N782" s="26"/>
      <c r="O782" s="55"/>
      <c r="P782" s="1"/>
      <c r="Q782" s="8"/>
      <c r="R782" s="8"/>
      <c r="S782" s="1"/>
      <c r="T782" s="8"/>
      <c r="U782" s="8"/>
      <c r="V782" s="56"/>
      <c r="W782" s="1"/>
      <c r="X782" s="1"/>
      <c r="Y782" s="8"/>
      <c r="Z782" s="8"/>
      <c r="AA782" s="8"/>
      <c r="AB782" s="8"/>
      <c r="AC782" s="8"/>
      <c r="AD782" s="8"/>
      <c r="AE782" s="8"/>
      <c r="AF782" s="8"/>
      <c r="AG782" s="8"/>
      <c r="AH782" s="8"/>
      <c r="AI782" s="8"/>
    </row>
    <row r="783" spans="1:35">
      <c r="A783" s="1"/>
      <c r="B783" s="8"/>
      <c r="C783" s="8"/>
      <c r="D783" s="8"/>
      <c r="E783" s="8"/>
      <c r="F783" s="8"/>
      <c r="G783" s="8"/>
      <c r="H783" s="8"/>
      <c r="I783" s="8"/>
      <c r="J783" s="8"/>
      <c r="K783" s="8"/>
      <c r="L783" s="26"/>
      <c r="M783" s="26"/>
      <c r="N783" s="26"/>
      <c r="O783" s="55"/>
      <c r="P783" s="1"/>
      <c r="Q783" s="8"/>
      <c r="R783" s="8"/>
      <c r="S783" s="1"/>
      <c r="T783" s="8"/>
      <c r="U783" s="8"/>
      <c r="V783" s="56"/>
      <c r="W783" s="1"/>
      <c r="X783" s="1"/>
      <c r="Y783" s="8"/>
      <c r="Z783" s="8"/>
      <c r="AA783" s="8"/>
      <c r="AB783" s="8"/>
      <c r="AC783" s="8"/>
      <c r="AD783" s="8"/>
      <c r="AE783" s="8"/>
      <c r="AF783" s="8"/>
      <c r="AG783" s="8"/>
      <c r="AH783" s="8"/>
      <c r="AI783" s="8"/>
    </row>
    <row r="784" spans="1:35">
      <c r="A784" s="1"/>
      <c r="B784" s="8"/>
      <c r="C784" s="8"/>
      <c r="D784" s="8"/>
      <c r="E784" s="8"/>
      <c r="F784" s="8"/>
      <c r="G784" s="8"/>
      <c r="H784" s="8"/>
      <c r="I784" s="8"/>
      <c r="J784" s="8"/>
      <c r="K784" s="8"/>
      <c r="L784" s="26"/>
      <c r="M784" s="26"/>
      <c r="N784" s="26"/>
      <c r="O784" s="55"/>
      <c r="P784" s="1"/>
      <c r="Q784" s="8"/>
      <c r="R784" s="8"/>
      <c r="S784" s="1"/>
      <c r="T784" s="8"/>
      <c r="U784" s="8"/>
      <c r="V784" s="56"/>
      <c r="W784" s="1"/>
      <c r="X784" s="1"/>
      <c r="Y784" s="8"/>
      <c r="Z784" s="8"/>
      <c r="AA784" s="8"/>
      <c r="AB784" s="8"/>
      <c r="AC784" s="8"/>
      <c r="AD784" s="8"/>
      <c r="AE784" s="8"/>
      <c r="AF784" s="8"/>
      <c r="AG784" s="8"/>
      <c r="AH784" s="8"/>
      <c r="AI784" s="8"/>
    </row>
    <row r="785" spans="1:35">
      <c r="A785" s="1"/>
      <c r="B785" s="8"/>
      <c r="C785" s="8"/>
      <c r="D785" s="8"/>
      <c r="E785" s="8"/>
      <c r="F785" s="8"/>
      <c r="G785" s="8"/>
      <c r="H785" s="8"/>
      <c r="I785" s="8"/>
      <c r="J785" s="8"/>
      <c r="K785" s="8"/>
      <c r="L785" s="26"/>
      <c r="M785" s="26"/>
      <c r="N785" s="26"/>
      <c r="O785" s="55"/>
      <c r="P785" s="1"/>
      <c r="Q785" s="8"/>
      <c r="R785" s="8"/>
      <c r="S785" s="1"/>
      <c r="T785" s="8"/>
      <c r="U785" s="8"/>
      <c r="V785" s="56"/>
      <c r="W785" s="1"/>
      <c r="X785" s="1"/>
      <c r="Y785" s="8"/>
      <c r="Z785" s="8"/>
      <c r="AA785" s="8"/>
      <c r="AB785" s="8"/>
      <c r="AC785" s="8"/>
      <c r="AD785" s="8"/>
      <c r="AE785" s="8"/>
      <c r="AF785" s="8"/>
      <c r="AG785" s="8"/>
      <c r="AH785" s="8"/>
      <c r="AI785" s="8"/>
    </row>
    <row r="786" spans="1:35">
      <c r="A786" s="1"/>
      <c r="B786" s="8"/>
      <c r="C786" s="8"/>
      <c r="D786" s="8"/>
      <c r="E786" s="8"/>
      <c r="F786" s="8"/>
      <c r="G786" s="8"/>
      <c r="H786" s="8"/>
      <c r="I786" s="8"/>
      <c r="J786" s="8"/>
      <c r="K786" s="8"/>
      <c r="L786" s="26"/>
      <c r="M786" s="26"/>
      <c r="N786" s="26"/>
      <c r="O786" s="55"/>
      <c r="P786" s="1"/>
      <c r="Q786" s="8"/>
      <c r="R786" s="8"/>
      <c r="S786" s="1"/>
      <c r="T786" s="8"/>
      <c r="U786" s="8"/>
      <c r="V786" s="56"/>
      <c r="W786" s="1"/>
      <c r="X786" s="1"/>
      <c r="Y786" s="8"/>
      <c r="Z786" s="8"/>
      <c r="AA786" s="8"/>
      <c r="AB786" s="8"/>
      <c r="AC786" s="8"/>
      <c r="AD786" s="8"/>
      <c r="AE786" s="8"/>
      <c r="AF786" s="8"/>
      <c r="AG786" s="8"/>
      <c r="AH786" s="8"/>
      <c r="AI786" s="8"/>
    </row>
    <row r="787" spans="1:35">
      <c r="A787" s="1"/>
      <c r="B787" s="8"/>
      <c r="C787" s="8"/>
      <c r="D787" s="8"/>
      <c r="E787" s="8"/>
      <c r="F787" s="8"/>
      <c r="G787" s="8"/>
      <c r="H787" s="8"/>
      <c r="I787" s="8"/>
      <c r="J787" s="8"/>
      <c r="K787" s="8"/>
      <c r="L787" s="26"/>
      <c r="M787" s="26"/>
      <c r="N787" s="26"/>
      <c r="O787" s="55"/>
      <c r="P787" s="1"/>
      <c r="Q787" s="8"/>
      <c r="R787" s="8"/>
      <c r="S787" s="1"/>
      <c r="T787" s="8"/>
      <c r="U787" s="8"/>
      <c r="V787" s="56"/>
      <c r="W787" s="1"/>
      <c r="X787" s="1"/>
      <c r="Y787" s="8"/>
      <c r="Z787" s="8"/>
      <c r="AA787" s="8"/>
      <c r="AB787" s="8"/>
      <c r="AC787" s="8"/>
      <c r="AD787" s="8"/>
      <c r="AE787" s="8"/>
      <c r="AF787" s="8"/>
      <c r="AG787" s="8"/>
      <c r="AH787" s="8"/>
      <c r="AI787" s="8"/>
    </row>
    <row r="788" spans="1:35">
      <c r="A788" s="1"/>
      <c r="B788" s="8"/>
      <c r="C788" s="8"/>
      <c r="D788" s="8"/>
      <c r="E788" s="8"/>
      <c r="F788" s="8"/>
      <c r="G788" s="8"/>
      <c r="H788" s="8"/>
      <c r="I788" s="8"/>
      <c r="J788" s="8"/>
      <c r="K788" s="8"/>
      <c r="L788" s="26"/>
      <c r="M788" s="26"/>
      <c r="N788" s="26"/>
      <c r="O788" s="55"/>
      <c r="P788" s="1"/>
      <c r="Q788" s="8"/>
      <c r="R788" s="8"/>
      <c r="S788" s="1"/>
      <c r="T788" s="8"/>
      <c r="U788" s="8"/>
      <c r="V788" s="56"/>
      <c r="W788" s="1"/>
      <c r="X788" s="1"/>
      <c r="Y788" s="8"/>
      <c r="Z788" s="8"/>
      <c r="AA788" s="8"/>
      <c r="AB788" s="8"/>
      <c r="AC788" s="8"/>
      <c r="AD788" s="8"/>
      <c r="AE788" s="8"/>
      <c r="AF788" s="8"/>
      <c r="AG788" s="8"/>
      <c r="AH788" s="8"/>
      <c r="AI788" s="8"/>
    </row>
    <row r="789" spans="1:35">
      <c r="A789" s="1"/>
      <c r="B789" s="8"/>
      <c r="C789" s="8"/>
      <c r="D789" s="8"/>
      <c r="E789" s="8"/>
      <c r="F789" s="8"/>
      <c r="G789" s="8"/>
      <c r="H789" s="8"/>
      <c r="I789" s="8"/>
      <c r="J789" s="8"/>
      <c r="K789" s="8"/>
      <c r="L789" s="26"/>
      <c r="M789" s="26"/>
      <c r="N789" s="26"/>
      <c r="O789" s="55"/>
      <c r="P789" s="1"/>
      <c r="Q789" s="8"/>
      <c r="R789" s="8"/>
      <c r="S789" s="1"/>
      <c r="T789" s="8"/>
      <c r="U789" s="8"/>
      <c r="V789" s="56"/>
      <c r="W789" s="1"/>
      <c r="X789" s="1"/>
      <c r="Y789" s="8"/>
      <c r="Z789" s="8"/>
      <c r="AA789" s="8"/>
      <c r="AB789" s="8"/>
      <c r="AC789" s="8"/>
      <c r="AD789" s="8"/>
      <c r="AE789" s="8"/>
      <c r="AF789" s="8"/>
      <c r="AG789" s="8"/>
      <c r="AH789" s="8"/>
      <c r="AI789" s="8"/>
    </row>
    <row r="790" spans="1:35">
      <c r="A790" s="1"/>
      <c r="B790" s="8"/>
      <c r="C790" s="8"/>
      <c r="D790" s="8"/>
      <c r="E790" s="8"/>
      <c r="F790" s="8"/>
      <c r="G790" s="8"/>
      <c r="H790" s="8"/>
      <c r="I790" s="8"/>
      <c r="J790" s="8"/>
      <c r="K790" s="8"/>
      <c r="L790" s="26"/>
      <c r="M790" s="26"/>
      <c r="N790" s="26"/>
      <c r="O790" s="55"/>
      <c r="P790" s="1"/>
      <c r="Q790" s="8"/>
      <c r="R790" s="8"/>
      <c r="S790" s="1"/>
      <c r="T790" s="8"/>
      <c r="U790" s="8"/>
      <c r="V790" s="56"/>
      <c r="W790" s="1"/>
      <c r="X790" s="1"/>
      <c r="Y790" s="8"/>
      <c r="Z790" s="8"/>
      <c r="AA790" s="8"/>
      <c r="AB790" s="8"/>
      <c r="AC790" s="8"/>
      <c r="AD790" s="8"/>
      <c r="AE790" s="8"/>
      <c r="AF790" s="8"/>
      <c r="AG790" s="8"/>
      <c r="AH790" s="8"/>
      <c r="AI790" s="8"/>
    </row>
    <row r="791" spans="1:35">
      <c r="A791" s="1"/>
      <c r="B791" s="8"/>
      <c r="C791" s="8"/>
      <c r="D791" s="8"/>
      <c r="E791" s="8"/>
      <c r="F791" s="8"/>
      <c r="G791" s="8"/>
      <c r="H791" s="8"/>
      <c r="I791" s="8"/>
      <c r="J791" s="8"/>
      <c r="K791" s="8"/>
      <c r="L791" s="26"/>
      <c r="M791" s="26"/>
      <c r="N791" s="26"/>
      <c r="O791" s="55"/>
      <c r="P791" s="1"/>
      <c r="Q791" s="8"/>
      <c r="R791" s="8"/>
      <c r="S791" s="1"/>
      <c r="T791" s="8"/>
      <c r="U791" s="8"/>
      <c r="V791" s="56"/>
      <c r="W791" s="1"/>
      <c r="X791" s="1"/>
      <c r="Y791" s="8"/>
      <c r="Z791" s="8"/>
      <c r="AA791" s="8"/>
      <c r="AB791" s="8"/>
      <c r="AC791" s="8"/>
      <c r="AD791" s="8"/>
      <c r="AE791" s="8"/>
      <c r="AF791" s="8"/>
      <c r="AG791" s="8"/>
      <c r="AH791" s="8"/>
      <c r="AI791" s="8"/>
    </row>
    <row r="792" spans="1:35">
      <c r="A792" s="1"/>
      <c r="B792" s="8"/>
      <c r="C792" s="8"/>
      <c r="D792" s="8"/>
      <c r="E792" s="8"/>
      <c r="F792" s="8"/>
      <c r="G792" s="8"/>
      <c r="H792" s="8"/>
      <c r="I792" s="8"/>
      <c r="J792" s="8"/>
      <c r="K792" s="8"/>
      <c r="L792" s="26"/>
      <c r="M792" s="26"/>
      <c r="N792" s="26"/>
      <c r="O792" s="55"/>
      <c r="P792" s="1"/>
      <c r="Q792" s="8"/>
      <c r="R792" s="8"/>
      <c r="S792" s="1"/>
      <c r="T792" s="8"/>
      <c r="U792" s="8"/>
      <c r="V792" s="56"/>
      <c r="W792" s="1"/>
      <c r="X792" s="1"/>
      <c r="Y792" s="8"/>
      <c r="Z792" s="8"/>
      <c r="AA792" s="8"/>
      <c r="AB792" s="8"/>
      <c r="AC792" s="8"/>
      <c r="AD792" s="8"/>
      <c r="AE792" s="8"/>
      <c r="AF792" s="8"/>
      <c r="AG792" s="8"/>
      <c r="AH792" s="8"/>
      <c r="AI792" s="8"/>
    </row>
    <row r="793" spans="1:35">
      <c r="A793" s="1"/>
      <c r="B793" s="8"/>
      <c r="C793" s="8"/>
      <c r="D793" s="8"/>
      <c r="E793" s="8"/>
      <c r="F793" s="8"/>
      <c r="G793" s="8"/>
      <c r="H793" s="8"/>
      <c r="I793" s="8"/>
      <c r="J793" s="8"/>
      <c r="K793" s="8"/>
      <c r="L793" s="26"/>
      <c r="M793" s="26"/>
      <c r="N793" s="26"/>
      <c r="O793" s="55"/>
      <c r="P793" s="1"/>
      <c r="Q793" s="8"/>
      <c r="R793" s="8"/>
      <c r="S793" s="1"/>
      <c r="T793" s="8"/>
      <c r="U793" s="8"/>
      <c r="V793" s="56"/>
      <c r="W793" s="1"/>
      <c r="X793" s="1"/>
      <c r="Y793" s="8"/>
      <c r="Z793" s="8"/>
      <c r="AA793" s="8"/>
      <c r="AB793" s="8"/>
      <c r="AC793" s="8"/>
      <c r="AD793" s="8"/>
      <c r="AE793" s="8"/>
      <c r="AF793" s="8"/>
      <c r="AG793" s="8"/>
      <c r="AH793" s="8"/>
      <c r="AI793" s="8"/>
    </row>
    <row r="794" spans="1:35">
      <c r="A794" s="1"/>
      <c r="B794" s="8"/>
      <c r="C794" s="8"/>
      <c r="D794" s="8"/>
      <c r="E794" s="8"/>
      <c r="F794" s="8"/>
      <c r="G794" s="8"/>
      <c r="H794" s="8"/>
      <c r="I794" s="8"/>
      <c r="J794" s="8"/>
      <c r="K794" s="8"/>
      <c r="L794" s="26"/>
      <c r="M794" s="26"/>
      <c r="N794" s="26"/>
      <c r="O794" s="55"/>
      <c r="P794" s="1"/>
      <c r="Q794" s="8"/>
      <c r="R794" s="8"/>
      <c r="S794" s="1"/>
      <c r="T794" s="8"/>
      <c r="U794" s="8"/>
      <c r="V794" s="56"/>
      <c r="W794" s="1"/>
      <c r="X794" s="1"/>
      <c r="Y794" s="8"/>
      <c r="Z794" s="8"/>
      <c r="AA794" s="8"/>
      <c r="AB794" s="8"/>
      <c r="AC794" s="8"/>
      <c r="AD794" s="8"/>
      <c r="AE794" s="8"/>
      <c r="AF794" s="8"/>
      <c r="AG794" s="8"/>
      <c r="AH794" s="8"/>
      <c r="AI794" s="8"/>
    </row>
    <row r="795" spans="1:35">
      <c r="A795" s="1"/>
      <c r="B795" s="8"/>
      <c r="C795" s="8"/>
      <c r="D795" s="8"/>
      <c r="E795" s="8"/>
      <c r="F795" s="8"/>
      <c r="G795" s="8"/>
      <c r="H795" s="8"/>
      <c r="I795" s="8"/>
      <c r="J795" s="8"/>
      <c r="K795" s="8"/>
      <c r="L795" s="26"/>
      <c r="M795" s="26"/>
      <c r="N795" s="26"/>
      <c r="O795" s="55"/>
      <c r="P795" s="1"/>
      <c r="Q795" s="8"/>
      <c r="R795" s="8"/>
      <c r="S795" s="1"/>
      <c r="T795" s="8"/>
      <c r="U795" s="8"/>
      <c r="V795" s="56"/>
      <c r="W795" s="1"/>
      <c r="X795" s="1"/>
      <c r="Y795" s="8"/>
      <c r="Z795" s="8"/>
      <c r="AA795" s="8"/>
      <c r="AB795" s="8"/>
      <c r="AC795" s="8"/>
      <c r="AD795" s="8"/>
      <c r="AE795" s="8"/>
      <c r="AF795" s="8"/>
      <c r="AG795" s="8"/>
      <c r="AH795" s="8"/>
      <c r="AI795" s="8"/>
    </row>
    <row r="796" spans="1:35">
      <c r="A796" s="1"/>
      <c r="B796" s="8"/>
      <c r="C796" s="8"/>
      <c r="D796" s="8"/>
      <c r="E796" s="8"/>
      <c r="F796" s="8"/>
      <c r="G796" s="8"/>
      <c r="H796" s="8"/>
      <c r="I796" s="8"/>
      <c r="J796" s="8"/>
      <c r="K796" s="8"/>
      <c r="L796" s="26"/>
      <c r="M796" s="26"/>
      <c r="N796" s="26"/>
      <c r="O796" s="55"/>
      <c r="P796" s="1"/>
      <c r="Q796" s="8"/>
      <c r="R796" s="8"/>
      <c r="S796" s="1"/>
      <c r="T796" s="8"/>
      <c r="U796" s="8"/>
      <c r="V796" s="56"/>
      <c r="W796" s="1"/>
      <c r="X796" s="1"/>
      <c r="Y796" s="8"/>
      <c r="Z796" s="8"/>
      <c r="AA796" s="8"/>
      <c r="AB796" s="8"/>
      <c r="AC796" s="8"/>
      <c r="AD796" s="8"/>
      <c r="AE796" s="8"/>
      <c r="AF796" s="8"/>
      <c r="AG796" s="8"/>
      <c r="AH796" s="8"/>
      <c r="AI796" s="8"/>
    </row>
    <row r="797" spans="1:35">
      <c r="A797" s="1"/>
      <c r="B797" s="8"/>
      <c r="C797" s="8"/>
      <c r="D797" s="8"/>
      <c r="E797" s="8"/>
      <c r="F797" s="8"/>
      <c r="G797" s="8"/>
      <c r="H797" s="8"/>
      <c r="I797" s="8"/>
      <c r="J797" s="8"/>
      <c r="K797" s="8"/>
      <c r="L797" s="26"/>
      <c r="M797" s="26"/>
      <c r="N797" s="26"/>
      <c r="O797" s="55"/>
      <c r="P797" s="1"/>
      <c r="Q797" s="8"/>
      <c r="R797" s="8"/>
      <c r="S797" s="1"/>
      <c r="T797" s="8"/>
      <c r="U797" s="8"/>
      <c r="V797" s="56"/>
      <c r="W797" s="1"/>
      <c r="X797" s="1"/>
      <c r="Y797" s="8"/>
      <c r="Z797" s="8"/>
      <c r="AA797" s="8"/>
      <c r="AB797" s="8"/>
      <c r="AC797" s="8"/>
      <c r="AD797" s="8"/>
      <c r="AE797" s="8"/>
      <c r="AF797" s="8"/>
      <c r="AG797" s="8"/>
      <c r="AH797" s="8"/>
      <c r="AI797" s="8"/>
    </row>
    <row r="798" spans="1:35">
      <c r="A798" s="1"/>
      <c r="B798" s="8"/>
      <c r="C798" s="8"/>
      <c r="D798" s="8"/>
      <c r="E798" s="8"/>
      <c r="F798" s="8"/>
      <c r="G798" s="8"/>
      <c r="H798" s="8"/>
      <c r="I798" s="8"/>
      <c r="J798" s="8"/>
      <c r="K798" s="8"/>
      <c r="L798" s="26"/>
      <c r="M798" s="26"/>
      <c r="N798" s="26"/>
      <c r="O798" s="55"/>
      <c r="P798" s="1"/>
      <c r="Q798" s="8"/>
      <c r="R798" s="8"/>
      <c r="S798" s="1"/>
      <c r="T798" s="8"/>
      <c r="U798" s="8"/>
      <c r="V798" s="56"/>
      <c r="W798" s="1"/>
      <c r="X798" s="1"/>
      <c r="Y798" s="8"/>
      <c r="Z798" s="8"/>
      <c r="AA798" s="8"/>
      <c r="AB798" s="8"/>
      <c r="AC798" s="8"/>
      <c r="AD798" s="8"/>
      <c r="AE798" s="8"/>
      <c r="AF798" s="8"/>
      <c r="AG798" s="8"/>
      <c r="AH798" s="8"/>
      <c r="AI798" s="8"/>
    </row>
    <row r="799" spans="1:35">
      <c r="A799" s="1"/>
      <c r="B799" s="8"/>
      <c r="C799" s="8"/>
      <c r="D799" s="8"/>
      <c r="E799" s="8"/>
      <c r="F799" s="8"/>
      <c r="G799" s="8"/>
      <c r="H799" s="8"/>
      <c r="I799" s="8"/>
      <c r="J799" s="8"/>
      <c r="K799" s="8"/>
      <c r="L799" s="26"/>
      <c r="M799" s="26"/>
      <c r="N799" s="26"/>
      <c r="O799" s="55"/>
      <c r="P799" s="1"/>
      <c r="Q799" s="8"/>
      <c r="R799" s="8"/>
      <c r="S799" s="1"/>
      <c r="T799" s="8"/>
      <c r="U799" s="8"/>
      <c r="V799" s="56"/>
      <c r="W799" s="1"/>
      <c r="X799" s="1"/>
      <c r="Y799" s="8"/>
      <c r="Z799" s="8"/>
      <c r="AA799" s="8"/>
      <c r="AB799" s="8"/>
      <c r="AC799" s="8"/>
      <c r="AD799" s="8"/>
      <c r="AE799" s="8"/>
      <c r="AF799" s="8"/>
      <c r="AG799" s="8"/>
      <c r="AH799" s="8"/>
      <c r="AI799" s="8"/>
    </row>
    <row r="800" spans="1:35">
      <c r="A800" s="1"/>
      <c r="B800" s="8"/>
      <c r="C800" s="8"/>
      <c r="D800" s="8"/>
      <c r="E800" s="8"/>
      <c r="F800" s="8"/>
      <c r="G800" s="8"/>
      <c r="H800" s="8"/>
      <c r="I800" s="8"/>
      <c r="J800" s="8"/>
      <c r="K800" s="8"/>
      <c r="L800" s="26"/>
      <c r="M800" s="26"/>
      <c r="N800" s="26"/>
      <c r="O800" s="55"/>
      <c r="P800" s="1"/>
      <c r="Q800" s="8"/>
      <c r="R800" s="8"/>
      <c r="S800" s="1"/>
      <c r="T800" s="8"/>
      <c r="U800" s="8"/>
      <c r="V800" s="56"/>
      <c r="W800" s="1"/>
      <c r="X800" s="1"/>
      <c r="Y800" s="8"/>
      <c r="Z800" s="8"/>
      <c r="AA800" s="8"/>
      <c r="AB800" s="8"/>
      <c r="AC800" s="8"/>
      <c r="AD800" s="8"/>
      <c r="AE800" s="8"/>
      <c r="AF800" s="8"/>
      <c r="AG800" s="8"/>
      <c r="AH800" s="8"/>
      <c r="AI800" s="8"/>
    </row>
    <row r="801" spans="1:35">
      <c r="A801" s="1"/>
      <c r="B801" s="8"/>
      <c r="C801" s="8"/>
      <c r="D801" s="8"/>
      <c r="E801" s="8"/>
      <c r="F801" s="8"/>
      <c r="G801" s="8"/>
      <c r="H801" s="8"/>
      <c r="I801" s="8"/>
      <c r="J801" s="8"/>
      <c r="K801" s="8"/>
      <c r="L801" s="26"/>
      <c r="M801" s="26"/>
      <c r="N801" s="26"/>
      <c r="O801" s="55"/>
      <c r="P801" s="1"/>
      <c r="Q801" s="8"/>
      <c r="R801" s="8"/>
      <c r="S801" s="1"/>
      <c r="T801" s="8"/>
      <c r="U801" s="8"/>
      <c r="V801" s="56"/>
      <c r="W801" s="1"/>
      <c r="X801" s="1"/>
      <c r="Y801" s="8"/>
      <c r="Z801" s="8"/>
      <c r="AA801" s="8"/>
      <c r="AB801" s="8"/>
      <c r="AC801" s="8"/>
      <c r="AD801" s="8"/>
      <c r="AE801" s="8"/>
      <c r="AF801" s="8"/>
      <c r="AG801" s="8"/>
      <c r="AH801" s="8"/>
      <c r="AI801" s="8"/>
    </row>
    <row r="802" spans="1:35">
      <c r="A802" s="1"/>
      <c r="B802" s="8"/>
      <c r="C802" s="8"/>
      <c r="D802" s="8"/>
      <c r="E802" s="8"/>
      <c r="F802" s="8"/>
      <c r="G802" s="8"/>
      <c r="H802" s="8"/>
      <c r="I802" s="8"/>
      <c r="J802" s="8"/>
      <c r="K802" s="8"/>
      <c r="L802" s="26"/>
      <c r="M802" s="26"/>
      <c r="N802" s="26"/>
      <c r="O802" s="55"/>
      <c r="P802" s="1"/>
      <c r="Q802" s="8"/>
      <c r="R802" s="8"/>
      <c r="S802" s="1"/>
      <c r="T802" s="8"/>
      <c r="U802" s="8"/>
      <c r="V802" s="56"/>
      <c r="W802" s="1"/>
      <c r="X802" s="1"/>
      <c r="Y802" s="8"/>
      <c r="Z802" s="8"/>
      <c r="AA802" s="8"/>
      <c r="AB802" s="8"/>
      <c r="AC802" s="8"/>
      <c r="AD802" s="8"/>
      <c r="AE802" s="8"/>
      <c r="AF802" s="8"/>
      <c r="AG802" s="8"/>
      <c r="AH802" s="8"/>
      <c r="AI802" s="8"/>
    </row>
    <row r="803" spans="1:35">
      <c r="A803" s="1"/>
      <c r="B803" s="8"/>
      <c r="C803" s="8"/>
      <c r="D803" s="8"/>
      <c r="E803" s="8"/>
      <c r="F803" s="8"/>
      <c r="G803" s="8"/>
      <c r="H803" s="8"/>
      <c r="I803" s="8"/>
      <c r="J803" s="8"/>
      <c r="K803" s="8"/>
      <c r="L803" s="26"/>
      <c r="M803" s="26"/>
      <c r="N803" s="26"/>
      <c r="O803" s="55"/>
      <c r="P803" s="1"/>
      <c r="Q803" s="8"/>
      <c r="R803" s="8"/>
      <c r="S803" s="1"/>
      <c r="T803" s="8"/>
      <c r="U803" s="8"/>
      <c r="V803" s="56"/>
      <c r="W803" s="1"/>
      <c r="X803" s="1"/>
      <c r="Y803" s="8"/>
      <c r="Z803" s="8"/>
      <c r="AA803" s="8"/>
      <c r="AB803" s="8"/>
      <c r="AC803" s="8"/>
      <c r="AD803" s="8"/>
      <c r="AE803" s="8"/>
      <c r="AF803" s="8"/>
      <c r="AG803" s="8"/>
      <c r="AH803" s="8"/>
      <c r="AI803" s="8"/>
    </row>
    <row r="804" spans="1:35">
      <c r="A804" s="1"/>
      <c r="B804" s="8"/>
      <c r="C804" s="8"/>
      <c r="D804" s="8"/>
      <c r="E804" s="8"/>
      <c r="F804" s="8"/>
      <c r="G804" s="8"/>
      <c r="H804" s="8"/>
      <c r="I804" s="8"/>
      <c r="J804" s="8"/>
      <c r="K804" s="8"/>
      <c r="L804" s="26"/>
      <c r="M804" s="26"/>
      <c r="N804" s="26"/>
      <c r="O804" s="55"/>
      <c r="P804" s="1"/>
      <c r="Q804" s="8"/>
      <c r="R804" s="8"/>
      <c r="S804" s="1"/>
      <c r="T804" s="8"/>
      <c r="U804" s="8"/>
      <c r="V804" s="56"/>
      <c r="W804" s="1"/>
      <c r="X804" s="1"/>
      <c r="Y804" s="8"/>
      <c r="Z804" s="8"/>
      <c r="AA804" s="8"/>
      <c r="AB804" s="8"/>
      <c r="AC804" s="8"/>
      <c r="AD804" s="8"/>
      <c r="AE804" s="8"/>
      <c r="AF804" s="8"/>
      <c r="AG804" s="8"/>
      <c r="AH804" s="8"/>
      <c r="AI804" s="8"/>
    </row>
    <row r="805" spans="1:35">
      <c r="A805" s="1"/>
      <c r="B805" s="8"/>
      <c r="C805" s="8"/>
      <c r="D805" s="8"/>
      <c r="E805" s="8"/>
      <c r="F805" s="8"/>
      <c r="G805" s="8"/>
      <c r="H805" s="8"/>
      <c r="I805" s="8"/>
      <c r="J805" s="8"/>
      <c r="K805" s="8"/>
      <c r="L805" s="26"/>
      <c r="M805" s="26"/>
      <c r="N805" s="26"/>
      <c r="O805" s="55"/>
      <c r="P805" s="1"/>
      <c r="Q805" s="8"/>
      <c r="R805" s="8"/>
      <c r="S805" s="1"/>
      <c r="T805" s="8"/>
      <c r="U805" s="8"/>
      <c r="V805" s="56"/>
      <c r="W805" s="1"/>
      <c r="X805" s="1"/>
      <c r="Y805" s="8"/>
      <c r="Z805" s="8"/>
      <c r="AA805" s="8"/>
      <c r="AB805" s="8"/>
      <c r="AC805" s="8"/>
      <c r="AD805" s="8"/>
      <c r="AE805" s="8"/>
      <c r="AF805" s="8"/>
      <c r="AG805" s="8"/>
      <c r="AH805" s="8"/>
      <c r="AI805" s="8"/>
    </row>
    <row r="806" spans="1:35">
      <c r="A806" s="1"/>
      <c r="B806" s="8"/>
      <c r="C806" s="8"/>
      <c r="D806" s="8"/>
      <c r="E806" s="8"/>
      <c r="F806" s="8"/>
      <c r="G806" s="8"/>
      <c r="H806" s="8"/>
      <c r="I806" s="8"/>
      <c r="J806" s="8"/>
      <c r="K806" s="8"/>
      <c r="L806" s="26"/>
      <c r="M806" s="26"/>
      <c r="N806" s="26"/>
      <c r="O806" s="55"/>
      <c r="P806" s="1"/>
      <c r="Q806" s="8"/>
      <c r="R806" s="8"/>
      <c r="S806" s="1"/>
      <c r="T806" s="8"/>
      <c r="U806" s="8"/>
      <c r="V806" s="56"/>
      <c r="W806" s="1"/>
      <c r="X806" s="1"/>
      <c r="Y806" s="8"/>
      <c r="Z806" s="8"/>
      <c r="AA806" s="8"/>
      <c r="AB806" s="8"/>
      <c r="AC806" s="8"/>
      <c r="AD806" s="8"/>
      <c r="AE806" s="8"/>
      <c r="AF806" s="8"/>
      <c r="AG806" s="8"/>
      <c r="AH806" s="8"/>
      <c r="AI806" s="8"/>
    </row>
    <row r="807" spans="1:35">
      <c r="A807" s="1"/>
      <c r="B807" s="8"/>
      <c r="C807" s="8"/>
      <c r="D807" s="8"/>
      <c r="E807" s="8"/>
      <c r="F807" s="8"/>
      <c r="G807" s="8"/>
      <c r="H807" s="8"/>
      <c r="I807" s="8"/>
      <c r="J807" s="8"/>
      <c r="K807" s="8"/>
      <c r="L807" s="26"/>
      <c r="M807" s="26"/>
      <c r="N807" s="26"/>
      <c r="O807" s="55"/>
      <c r="P807" s="1"/>
      <c r="Q807" s="8"/>
      <c r="R807" s="8"/>
      <c r="S807" s="1"/>
      <c r="T807" s="8"/>
      <c r="U807" s="8"/>
      <c r="V807" s="56"/>
      <c r="W807" s="1"/>
      <c r="X807" s="1"/>
      <c r="Y807" s="8"/>
      <c r="Z807" s="8"/>
      <c r="AA807" s="8"/>
      <c r="AB807" s="8"/>
      <c r="AC807" s="8"/>
      <c r="AD807" s="8"/>
      <c r="AE807" s="8"/>
      <c r="AF807" s="8"/>
      <c r="AG807" s="8"/>
      <c r="AH807" s="8"/>
      <c r="AI807" s="8"/>
    </row>
    <row r="808" spans="1:35">
      <c r="A808" s="1"/>
      <c r="B808" s="8"/>
      <c r="C808" s="8"/>
      <c r="D808" s="8"/>
      <c r="E808" s="8"/>
      <c r="F808" s="8"/>
      <c r="G808" s="8"/>
      <c r="H808" s="8"/>
      <c r="I808" s="8"/>
      <c r="J808" s="8"/>
      <c r="K808" s="8"/>
      <c r="L808" s="26"/>
      <c r="M808" s="26"/>
      <c r="N808" s="26"/>
      <c r="O808" s="55"/>
      <c r="P808" s="1"/>
      <c r="Q808" s="8"/>
      <c r="R808" s="8"/>
      <c r="S808" s="1"/>
      <c r="T808" s="8"/>
      <c r="U808" s="8"/>
      <c r="V808" s="56"/>
      <c r="W808" s="1"/>
      <c r="X808" s="1"/>
      <c r="Y808" s="8"/>
      <c r="Z808" s="8"/>
      <c r="AA808" s="8"/>
      <c r="AB808" s="8"/>
      <c r="AC808" s="8"/>
      <c r="AD808" s="8"/>
      <c r="AE808" s="8"/>
      <c r="AF808" s="8"/>
      <c r="AG808" s="8"/>
      <c r="AH808" s="8"/>
      <c r="AI808" s="8"/>
    </row>
    <row r="809" spans="1:35">
      <c r="A809" s="1"/>
      <c r="B809" s="8"/>
      <c r="C809" s="8"/>
      <c r="D809" s="8"/>
      <c r="E809" s="8"/>
      <c r="F809" s="8"/>
      <c r="G809" s="8"/>
      <c r="H809" s="8"/>
      <c r="I809" s="8"/>
      <c r="J809" s="8"/>
      <c r="K809" s="8"/>
      <c r="L809" s="26"/>
      <c r="M809" s="26"/>
      <c r="N809" s="26"/>
      <c r="O809" s="55"/>
      <c r="P809" s="1"/>
      <c r="Q809" s="8"/>
      <c r="R809" s="8"/>
      <c r="S809" s="1"/>
      <c r="T809" s="8"/>
      <c r="U809" s="8"/>
      <c r="V809" s="56"/>
      <c r="W809" s="1"/>
      <c r="X809" s="1"/>
      <c r="Y809" s="8"/>
      <c r="Z809" s="8"/>
      <c r="AA809" s="8"/>
      <c r="AB809" s="8"/>
      <c r="AC809" s="8"/>
      <c r="AD809" s="8"/>
      <c r="AE809" s="8"/>
      <c r="AF809" s="8"/>
      <c r="AG809" s="8"/>
      <c r="AH809" s="8"/>
      <c r="AI809" s="8"/>
    </row>
    <row r="810" spans="1:35">
      <c r="A810" s="1"/>
      <c r="B810" s="8"/>
      <c r="C810" s="8"/>
      <c r="D810" s="8"/>
      <c r="E810" s="8"/>
      <c r="F810" s="8"/>
      <c r="G810" s="8"/>
      <c r="H810" s="8"/>
      <c r="I810" s="8"/>
      <c r="J810" s="8"/>
      <c r="K810" s="8"/>
      <c r="L810" s="26"/>
      <c r="M810" s="26"/>
      <c r="N810" s="26"/>
      <c r="O810" s="55"/>
      <c r="P810" s="1"/>
      <c r="Q810" s="8"/>
      <c r="R810" s="8"/>
      <c r="S810" s="1"/>
      <c r="T810" s="8"/>
      <c r="U810" s="8"/>
      <c r="V810" s="56"/>
      <c r="W810" s="1"/>
      <c r="X810" s="1"/>
      <c r="Y810" s="8"/>
      <c r="Z810" s="8"/>
      <c r="AA810" s="8"/>
      <c r="AB810" s="8"/>
      <c r="AC810" s="8"/>
      <c r="AD810" s="8"/>
      <c r="AE810" s="8"/>
      <c r="AF810" s="8"/>
      <c r="AG810" s="8"/>
      <c r="AH810" s="8"/>
      <c r="AI810" s="8"/>
    </row>
    <row r="811" spans="1:35">
      <c r="A811" s="1"/>
      <c r="B811" s="8"/>
      <c r="C811" s="8"/>
      <c r="D811" s="8"/>
      <c r="E811" s="8"/>
      <c r="F811" s="8"/>
      <c r="G811" s="8"/>
      <c r="H811" s="8"/>
      <c r="I811" s="8"/>
      <c r="J811" s="8"/>
      <c r="K811" s="8"/>
      <c r="L811" s="26"/>
      <c r="M811" s="26"/>
      <c r="N811" s="26"/>
      <c r="O811" s="55"/>
      <c r="P811" s="1"/>
      <c r="Q811" s="8"/>
      <c r="R811" s="8"/>
      <c r="S811" s="1"/>
      <c r="T811" s="8"/>
      <c r="U811" s="8"/>
      <c r="V811" s="56"/>
      <c r="W811" s="1"/>
      <c r="X811" s="1"/>
      <c r="Y811" s="8"/>
      <c r="Z811" s="8"/>
      <c r="AA811" s="8"/>
      <c r="AB811" s="8"/>
      <c r="AC811" s="8"/>
      <c r="AD811" s="8"/>
      <c r="AE811" s="8"/>
      <c r="AF811" s="8"/>
      <c r="AG811" s="8"/>
      <c r="AH811" s="8"/>
      <c r="AI811" s="8"/>
    </row>
    <row r="812" spans="1:35">
      <c r="A812" s="1"/>
      <c r="B812" s="8"/>
      <c r="C812" s="8"/>
      <c r="D812" s="8"/>
      <c r="E812" s="8"/>
      <c r="F812" s="8"/>
      <c r="G812" s="8"/>
      <c r="H812" s="8"/>
      <c r="I812" s="8"/>
      <c r="J812" s="8"/>
      <c r="K812" s="8"/>
      <c r="L812" s="26"/>
      <c r="M812" s="26"/>
      <c r="N812" s="26"/>
      <c r="O812" s="55"/>
      <c r="P812" s="1"/>
      <c r="Q812" s="8"/>
      <c r="R812" s="8"/>
      <c r="S812" s="1"/>
      <c r="T812" s="8"/>
      <c r="U812" s="8"/>
      <c r="V812" s="56"/>
      <c r="W812" s="1"/>
      <c r="X812" s="1"/>
      <c r="Y812" s="8"/>
      <c r="Z812" s="8"/>
      <c r="AA812" s="8"/>
      <c r="AB812" s="8"/>
      <c r="AC812" s="8"/>
      <c r="AD812" s="8"/>
      <c r="AE812" s="8"/>
      <c r="AF812" s="8"/>
      <c r="AG812" s="8"/>
      <c r="AH812" s="8"/>
      <c r="AI812" s="8"/>
    </row>
    <row r="813" spans="1:35">
      <c r="A813" s="1"/>
      <c r="B813" s="8"/>
      <c r="C813" s="8"/>
      <c r="D813" s="8"/>
      <c r="E813" s="8"/>
      <c r="F813" s="8"/>
      <c r="G813" s="8"/>
      <c r="H813" s="8"/>
      <c r="I813" s="8"/>
      <c r="J813" s="8"/>
      <c r="K813" s="8"/>
      <c r="L813" s="26"/>
      <c r="M813" s="26"/>
      <c r="N813" s="26"/>
      <c r="O813" s="55"/>
      <c r="P813" s="1"/>
      <c r="Q813" s="8"/>
      <c r="R813" s="8"/>
      <c r="S813" s="1"/>
      <c r="T813" s="8"/>
      <c r="U813" s="8"/>
      <c r="V813" s="56"/>
      <c r="W813" s="1"/>
      <c r="X813" s="1"/>
      <c r="Y813" s="8"/>
      <c r="Z813" s="8"/>
      <c r="AA813" s="8"/>
      <c r="AB813" s="8"/>
      <c r="AC813" s="8"/>
      <c r="AD813" s="8"/>
      <c r="AE813" s="8"/>
      <c r="AF813" s="8"/>
      <c r="AG813" s="8"/>
      <c r="AH813" s="8"/>
      <c r="AI813" s="8"/>
    </row>
    <row r="814" spans="1:35">
      <c r="A814" s="1"/>
      <c r="B814" s="8"/>
      <c r="C814" s="8"/>
      <c r="D814" s="8"/>
      <c r="E814" s="8"/>
      <c r="F814" s="8"/>
      <c r="G814" s="8"/>
      <c r="H814" s="8"/>
      <c r="I814" s="8"/>
      <c r="J814" s="8"/>
      <c r="K814" s="8"/>
      <c r="L814" s="26"/>
      <c r="M814" s="26"/>
      <c r="N814" s="26"/>
      <c r="O814" s="55"/>
      <c r="P814" s="1"/>
      <c r="Q814" s="8"/>
      <c r="R814" s="8"/>
      <c r="S814" s="1"/>
      <c r="T814" s="8"/>
      <c r="U814" s="8"/>
      <c r="V814" s="56"/>
      <c r="W814" s="1"/>
      <c r="X814" s="1"/>
      <c r="Y814" s="8"/>
      <c r="Z814" s="8"/>
      <c r="AA814" s="8"/>
      <c r="AB814" s="8"/>
      <c r="AC814" s="8"/>
      <c r="AD814" s="8"/>
      <c r="AE814" s="8"/>
      <c r="AF814" s="8"/>
      <c r="AG814" s="8"/>
      <c r="AH814" s="8"/>
      <c r="AI814" s="8"/>
    </row>
    <row r="815" spans="1:35">
      <c r="A815" s="1"/>
      <c r="B815" s="8"/>
      <c r="C815" s="8"/>
      <c r="D815" s="8"/>
      <c r="E815" s="8"/>
      <c r="F815" s="8"/>
      <c r="G815" s="8"/>
      <c r="H815" s="8"/>
      <c r="I815" s="8"/>
      <c r="J815" s="8"/>
      <c r="K815" s="8"/>
      <c r="L815" s="26"/>
      <c r="M815" s="26"/>
      <c r="N815" s="26"/>
      <c r="O815" s="55"/>
      <c r="P815" s="1"/>
      <c r="Q815" s="8"/>
      <c r="R815" s="8"/>
      <c r="S815" s="1"/>
      <c r="T815" s="8"/>
      <c r="U815" s="8"/>
      <c r="V815" s="56"/>
      <c r="W815" s="1"/>
      <c r="X815" s="1"/>
      <c r="Y815" s="8"/>
      <c r="Z815" s="8"/>
      <c r="AA815" s="8"/>
      <c r="AB815" s="8"/>
      <c r="AC815" s="8"/>
      <c r="AD815" s="8"/>
      <c r="AE815" s="8"/>
      <c r="AF815" s="8"/>
      <c r="AG815" s="8"/>
      <c r="AH815" s="8"/>
      <c r="AI815" s="8"/>
    </row>
    <row r="816" spans="1:35">
      <c r="A816" s="1"/>
      <c r="B816" s="8"/>
      <c r="C816" s="8"/>
      <c r="D816" s="8"/>
      <c r="E816" s="8"/>
      <c r="F816" s="8"/>
      <c r="G816" s="8"/>
      <c r="H816" s="8"/>
      <c r="I816" s="8"/>
      <c r="J816" s="8"/>
      <c r="K816" s="8"/>
      <c r="L816" s="26"/>
      <c r="M816" s="26"/>
      <c r="N816" s="26"/>
      <c r="O816" s="55"/>
      <c r="P816" s="1"/>
      <c r="Q816" s="8"/>
      <c r="R816" s="8"/>
      <c r="S816" s="1"/>
      <c r="T816" s="8"/>
      <c r="U816" s="8"/>
      <c r="V816" s="56"/>
      <c r="W816" s="1"/>
      <c r="X816" s="1"/>
      <c r="Y816" s="8"/>
      <c r="Z816" s="8"/>
      <c r="AA816" s="8"/>
      <c r="AB816" s="8"/>
      <c r="AC816" s="8"/>
      <c r="AD816" s="8"/>
      <c r="AE816" s="8"/>
      <c r="AF816" s="8"/>
      <c r="AG816" s="8"/>
      <c r="AH816" s="8"/>
      <c r="AI816" s="8"/>
    </row>
    <row r="817" spans="1:35">
      <c r="A817" s="1"/>
      <c r="B817" s="8"/>
      <c r="C817" s="8"/>
      <c r="D817" s="8"/>
      <c r="E817" s="8"/>
      <c r="F817" s="8"/>
      <c r="G817" s="8"/>
      <c r="H817" s="8"/>
      <c r="I817" s="8"/>
      <c r="J817" s="8"/>
      <c r="K817" s="8"/>
      <c r="L817" s="26"/>
      <c r="M817" s="26"/>
      <c r="N817" s="26"/>
      <c r="O817" s="55"/>
      <c r="P817" s="1"/>
      <c r="Q817" s="8"/>
      <c r="R817" s="8"/>
      <c r="S817" s="1"/>
      <c r="T817" s="8"/>
      <c r="U817" s="8"/>
      <c r="V817" s="56"/>
      <c r="W817" s="1"/>
      <c r="X817" s="1"/>
      <c r="Y817" s="8"/>
      <c r="Z817" s="8"/>
      <c r="AA817" s="8"/>
      <c r="AB817" s="8"/>
      <c r="AC817" s="8"/>
      <c r="AD817" s="8"/>
      <c r="AE817" s="8"/>
      <c r="AF817" s="8"/>
      <c r="AG817" s="8"/>
      <c r="AH817" s="8"/>
      <c r="AI817" s="8"/>
    </row>
    <row r="818" spans="1:35">
      <c r="A818" s="1"/>
      <c r="B818" s="8"/>
      <c r="C818" s="8"/>
      <c r="D818" s="8"/>
      <c r="E818" s="8"/>
      <c r="F818" s="8"/>
      <c r="G818" s="8"/>
      <c r="H818" s="8"/>
      <c r="I818" s="8"/>
      <c r="J818" s="8"/>
      <c r="K818" s="8"/>
      <c r="L818" s="26"/>
      <c r="M818" s="26"/>
      <c r="N818" s="26"/>
      <c r="O818" s="55"/>
      <c r="P818" s="1"/>
      <c r="Q818" s="8"/>
      <c r="R818" s="8"/>
      <c r="S818" s="1"/>
      <c r="T818" s="8"/>
      <c r="U818" s="8"/>
      <c r="V818" s="56"/>
      <c r="W818" s="1"/>
      <c r="X818" s="1"/>
      <c r="Y818" s="8"/>
      <c r="Z818" s="8"/>
      <c r="AA818" s="8"/>
      <c r="AB818" s="8"/>
      <c r="AC818" s="8"/>
      <c r="AD818" s="8"/>
      <c r="AE818" s="8"/>
      <c r="AF818" s="8"/>
      <c r="AG818" s="8"/>
      <c r="AH818" s="8"/>
      <c r="AI818" s="8"/>
    </row>
    <row r="819" spans="1:35">
      <c r="A819" s="1"/>
      <c r="B819" s="8"/>
      <c r="C819" s="8"/>
      <c r="D819" s="8"/>
      <c r="E819" s="8"/>
      <c r="F819" s="8"/>
      <c r="G819" s="8"/>
      <c r="H819" s="8"/>
      <c r="I819" s="8"/>
      <c r="J819" s="8"/>
      <c r="K819" s="8"/>
      <c r="L819" s="26"/>
      <c r="M819" s="26"/>
      <c r="N819" s="26"/>
      <c r="O819" s="55"/>
      <c r="P819" s="1"/>
      <c r="Q819" s="8"/>
      <c r="R819" s="8"/>
      <c r="S819" s="1"/>
      <c r="T819" s="8"/>
      <c r="U819" s="8"/>
      <c r="V819" s="56"/>
      <c r="W819" s="1"/>
      <c r="X819" s="1"/>
      <c r="Y819" s="8"/>
      <c r="Z819" s="8"/>
      <c r="AA819" s="8"/>
      <c r="AB819" s="8"/>
      <c r="AC819" s="8"/>
      <c r="AD819" s="8"/>
      <c r="AE819" s="8"/>
      <c r="AF819" s="8"/>
      <c r="AG819" s="8"/>
      <c r="AH819" s="8"/>
      <c r="AI819" s="8"/>
    </row>
    <row r="820" spans="1:35">
      <c r="A820" s="1"/>
      <c r="B820" s="8"/>
      <c r="C820" s="8"/>
      <c r="D820" s="8"/>
      <c r="E820" s="8"/>
      <c r="F820" s="8"/>
      <c r="G820" s="8"/>
      <c r="H820" s="8"/>
      <c r="I820" s="8"/>
      <c r="J820" s="8"/>
      <c r="K820" s="8"/>
      <c r="L820" s="26"/>
      <c r="M820" s="26"/>
      <c r="N820" s="26"/>
      <c r="O820" s="55"/>
      <c r="P820" s="1"/>
      <c r="Q820" s="8"/>
      <c r="R820" s="8"/>
      <c r="S820" s="1"/>
      <c r="T820" s="8"/>
      <c r="U820" s="8"/>
      <c r="V820" s="56"/>
      <c r="W820" s="1"/>
      <c r="X820" s="1"/>
      <c r="Y820" s="8"/>
      <c r="Z820" s="8"/>
      <c r="AA820" s="8"/>
      <c r="AB820" s="8"/>
      <c r="AC820" s="8"/>
      <c r="AD820" s="8"/>
      <c r="AE820" s="8"/>
      <c r="AF820" s="8"/>
      <c r="AG820" s="8"/>
      <c r="AH820" s="8"/>
      <c r="AI820" s="8"/>
    </row>
    <row r="821" spans="1:35">
      <c r="A821" s="1"/>
      <c r="B821" s="8"/>
      <c r="C821" s="8"/>
      <c r="D821" s="8"/>
      <c r="E821" s="8"/>
      <c r="F821" s="8"/>
      <c r="G821" s="8"/>
      <c r="H821" s="8"/>
      <c r="I821" s="8"/>
      <c r="J821" s="8"/>
      <c r="K821" s="8"/>
      <c r="L821" s="26"/>
      <c r="M821" s="26"/>
      <c r="N821" s="26"/>
      <c r="O821" s="55"/>
      <c r="P821" s="1"/>
      <c r="Q821" s="8"/>
      <c r="R821" s="8"/>
      <c r="S821" s="1"/>
      <c r="T821" s="8"/>
      <c r="U821" s="8"/>
      <c r="V821" s="56"/>
      <c r="W821" s="1"/>
      <c r="X821" s="1"/>
      <c r="Y821" s="8"/>
      <c r="Z821" s="8"/>
      <c r="AA821" s="8"/>
      <c r="AB821" s="8"/>
      <c r="AC821" s="8"/>
      <c r="AD821" s="8"/>
      <c r="AE821" s="8"/>
      <c r="AF821" s="8"/>
      <c r="AG821" s="8"/>
      <c r="AH821" s="8"/>
      <c r="AI821" s="8"/>
    </row>
    <row r="822" spans="1:35">
      <c r="A822" s="1"/>
      <c r="B822" s="8"/>
      <c r="C822" s="8"/>
      <c r="D822" s="8"/>
      <c r="E822" s="8"/>
      <c r="F822" s="8"/>
      <c r="G822" s="8"/>
      <c r="H822" s="8"/>
      <c r="I822" s="8"/>
      <c r="J822" s="8"/>
      <c r="K822" s="8"/>
      <c r="L822" s="26"/>
      <c r="M822" s="26"/>
      <c r="N822" s="26"/>
      <c r="O822" s="55"/>
      <c r="P822" s="1"/>
      <c r="Q822" s="8"/>
      <c r="R822" s="8"/>
      <c r="S822" s="1"/>
      <c r="T822" s="8"/>
      <c r="U822" s="8"/>
      <c r="V822" s="56"/>
      <c r="W822" s="1"/>
      <c r="X822" s="1"/>
      <c r="Y822" s="8"/>
      <c r="Z822" s="8"/>
      <c r="AA822" s="8"/>
      <c r="AB822" s="8"/>
      <c r="AC822" s="8"/>
      <c r="AD822" s="8"/>
      <c r="AE822" s="8"/>
      <c r="AF822" s="8"/>
      <c r="AG822" s="8"/>
      <c r="AH822" s="8"/>
      <c r="AI822" s="8"/>
    </row>
    <row r="823" spans="1:35">
      <c r="A823" s="1"/>
      <c r="B823" s="8"/>
      <c r="C823" s="8"/>
      <c r="D823" s="8"/>
      <c r="E823" s="8"/>
      <c r="F823" s="8"/>
      <c r="G823" s="8"/>
      <c r="H823" s="8"/>
      <c r="I823" s="8"/>
      <c r="J823" s="8"/>
      <c r="K823" s="8"/>
      <c r="L823" s="26"/>
      <c r="M823" s="26"/>
      <c r="N823" s="26"/>
      <c r="O823" s="55"/>
      <c r="P823" s="1"/>
      <c r="Q823" s="8"/>
      <c r="R823" s="8"/>
      <c r="S823" s="1"/>
      <c r="T823" s="8"/>
      <c r="U823" s="8"/>
      <c r="V823" s="56"/>
      <c r="W823" s="1"/>
      <c r="X823" s="1"/>
      <c r="Y823" s="8"/>
      <c r="Z823" s="8"/>
      <c r="AA823" s="8"/>
      <c r="AB823" s="8"/>
      <c r="AC823" s="8"/>
      <c r="AD823" s="8"/>
      <c r="AE823" s="8"/>
      <c r="AF823" s="8"/>
      <c r="AG823" s="8"/>
      <c r="AH823" s="8"/>
      <c r="AI823" s="8"/>
    </row>
    <row r="824" spans="1:35">
      <c r="A824" s="1"/>
      <c r="B824" s="8"/>
      <c r="C824" s="8"/>
      <c r="D824" s="8"/>
      <c r="E824" s="8"/>
      <c r="F824" s="8"/>
      <c r="G824" s="8"/>
      <c r="H824" s="8"/>
      <c r="I824" s="8"/>
      <c r="J824" s="8"/>
      <c r="K824" s="8"/>
      <c r="L824" s="26"/>
      <c r="M824" s="26"/>
      <c r="N824" s="26"/>
      <c r="O824" s="55"/>
      <c r="P824" s="1"/>
      <c r="Q824" s="8"/>
      <c r="R824" s="8"/>
      <c r="S824" s="1"/>
      <c r="T824" s="8"/>
      <c r="U824" s="8"/>
      <c r="V824" s="56"/>
      <c r="W824" s="1"/>
      <c r="X824" s="1"/>
      <c r="Y824" s="8"/>
      <c r="Z824" s="8"/>
      <c r="AA824" s="8"/>
      <c r="AB824" s="8"/>
      <c r="AC824" s="8"/>
      <c r="AD824" s="8"/>
      <c r="AE824" s="8"/>
      <c r="AF824" s="8"/>
      <c r="AG824" s="8"/>
      <c r="AH824" s="8"/>
      <c r="AI824" s="8"/>
    </row>
    <row r="825" spans="1:35">
      <c r="A825" s="1"/>
      <c r="B825" s="8"/>
      <c r="C825" s="8"/>
      <c r="D825" s="8"/>
      <c r="E825" s="8"/>
      <c r="F825" s="8"/>
      <c r="G825" s="8"/>
      <c r="H825" s="8"/>
      <c r="I825" s="8"/>
      <c r="J825" s="8"/>
      <c r="K825" s="8"/>
      <c r="L825" s="26"/>
      <c r="M825" s="26"/>
      <c r="N825" s="26"/>
      <c r="O825" s="55"/>
      <c r="P825" s="1"/>
      <c r="Q825" s="8"/>
      <c r="R825" s="8"/>
      <c r="S825" s="1"/>
      <c r="T825" s="8"/>
      <c r="U825" s="8"/>
      <c r="V825" s="56"/>
      <c r="W825" s="1"/>
      <c r="X825" s="1"/>
      <c r="Y825" s="8"/>
      <c r="Z825" s="8"/>
      <c r="AA825" s="8"/>
      <c r="AB825" s="8"/>
      <c r="AC825" s="8"/>
      <c r="AD825" s="8"/>
      <c r="AE825" s="8"/>
      <c r="AF825" s="8"/>
      <c r="AG825" s="8"/>
      <c r="AH825" s="8"/>
      <c r="AI825" s="8"/>
    </row>
    <row r="826" spans="1:35">
      <c r="A826" s="1"/>
      <c r="B826" s="8"/>
      <c r="C826" s="8"/>
      <c r="D826" s="8"/>
      <c r="E826" s="8"/>
      <c r="F826" s="8"/>
      <c r="G826" s="8"/>
      <c r="H826" s="8"/>
      <c r="I826" s="8"/>
      <c r="J826" s="8"/>
      <c r="K826" s="8"/>
      <c r="L826" s="26"/>
      <c r="M826" s="26"/>
      <c r="N826" s="26"/>
      <c r="O826" s="55"/>
      <c r="P826" s="1"/>
      <c r="Q826" s="8"/>
      <c r="R826" s="8"/>
      <c r="S826" s="1"/>
      <c r="T826" s="8"/>
      <c r="U826" s="8"/>
      <c r="V826" s="56"/>
      <c r="W826" s="1"/>
      <c r="X826" s="1"/>
      <c r="Y826" s="8"/>
      <c r="Z826" s="8"/>
      <c r="AA826" s="8"/>
      <c r="AB826" s="8"/>
      <c r="AC826" s="8"/>
      <c r="AD826" s="8"/>
      <c r="AE826" s="8"/>
      <c r="AF826" s="8"/>
      <c r="AG826" s="8"/>
      <c r="AH826" s="8"/>
      <c r="AI826" s="8"/>
    </row>
    <row r="827" spans="1:35">
      <c r="A827" s="1"/>
      <c r="B827" s="8"/>
      <c r="C827" s="8"/>
      <c r="D827" s="8"/>
      <c r="E827" s="8"/>
      <c r="F827" s="8"/>
      <c r="G827" s="8"/>
      <c r="H827" s="8"/>
      <c r="I827" s="8"/>
      <c r="J827" s="8"/>
      <c r="K827" s="8"/>
      <c r="L827" s="26"/>
      <c r="M827" s="26"/>
      <c r="N827" s="26"/>
      <c r="O827" s="55"/>
      <c r="P827" s="1"/>
      <c r="Q827" s="8"/>
      <c r="R827" s="8"/>
      <c r="S827" s="1"/>
      <c r="T827" s="8"/>
      <c r="U827" s="8"/>
      <c r="V827" s="56"/>
      <c r="W827" s="1"/>
      <c r="X827" s="1"/>
      <c r="Y827" s="8"/>
      <c r="Z827" s="8"/>
      <c r="AA827" s="8"/>
      <c r="AB827" s="8"/>
      <c r="AC827" s="8"/>
      <c r="AD827" s="8"/>
      <c r="AE827" s="8"/>
      <c r="AF827" s="8"/>
      <c r="AG827" s="8"/>
      <c r="AH827" s="8"/>
      <c r="AI827" s="8"/>
    </row>
    <row r="828" spans="1:35">
      <c r="A828" s="1"/>
      <c r="B828" s="8"/>
      <c r="C828" s="8"/>
      <c r="D828" s="8"/>
      <c r="E828" s="8"/>
      <c r="F828" s="8"/>
      <c r="G828" s="8"/>
      <c r="H828" s="8"/>
      <c r="I828" s="8"/>
      <c r="J828" s="8"/>
      <c r="K828" s="8"/>
      <c r="L828" s="26"/>
      <c r="M828" s="26"/>
      <c r="N828" s="26"/>
      <c r="O828" s="55"/>
      <c r="P828" s="1"/>
      <c r="Q828" s="8"/>
      <c r="R828" s="8"/>
      <c r="S828" s="1"/>
      <c r="T828" s="8"/>
      <c r="U828" s="8"/>
      <c r="V828" s="56"/>
      <c r="W828" s="1"/>
      <c r="X828" s="1"/>
      <c r="Y828" s="8"/>
      <c r="Z828" s="8"/>
      <c r="AA828" s="8"/>
      <c r="AB828" s="8"/>
      <c r="AC828" s="8"/>
      <c r="AD828" s="8"/>
      <c r="AE828" s="8"/>
      <c r="AF828" s="8"/>
      <c r="AG828" s="8"/>
      <c r="AH828" s="8"/>
      <c r="AI828" s="8"/>
    </row>
    <row r="829" spans="1:35">
      <c r="A829" s="1"/>
      <c r="B829" s="8"/>
      <c r="C829" s="8"/>
      <c r="D829" s="8"/>
      <c r="E829" s="8"/>
      <c r="F829" s="8"/>
      <c r="G829" s="8"/>
      <c r="H829" s="8"/>
      <c r="I829" s="8"/>
      <c r="J829" s="8"/>
      <c r="K829" s="8"/>
      <c r="L829" s="26"/>
      <c r="M829" s="26"/>
      <c r="N829" s="26"/>
      <c r="O829" s="55"/>
      <c r="P829" s="1"/>
      <c r="Q829" s="8"/>
      <c r="R829" s="8"/>
      <c r="S829" s="1"/>
      <c r="T829" s="8"/>
      <c r="U829" s="8"/>
      <c r="V829" s="56"/>
      <c r="W829" s="1"/>
      <c r="X829" s="1"/>
      <c r="Y829" s="8"/>
      <c r="Z829" s="8"/>
      <c r="AA829" s="8"/>
      <c r="AB829" s="8"/>
      <c r="AC829" s="8"/>
      <c r="AD829" s="8"/>
      <c r="AE829" s="8"/>
      <c r="AF829" s="8"/>
      <c r="AG829" s="8"/>
      <c r="AH829" s="8"/>
      <c r="AI829" s="8"/>
    </row>
    <row r="830" spans="1:35">
      <c r="A830" s="1"/>
      <c r="B830" s="8"/>
      <c r="C830" s="8"/>
      <c r="D830" s="8"/>
      <c r="E830" s="8"/>
      <c r="F830" s="8"/>
      <c r="G830" s="8"/>
      <c r="H830" s="8"/>
      <c r="I830" s="8"/>
      <c r="J830" s="8"/>
      <c r="K830" s="8"/>
      <c r="L830" s="26"/>
      <c r="M830" s="26"/>
      <c r="N830" s="26"/>
      <c r="O830" s="55"/>
      <c r="P830" s="1"/>
      <c r="Q830" s="8"/>
      <c r="R830" s="8"/>
      <c r="S830" s="1"/>
      <c r="T830" s="8"/>
      <c r="U830" s="8"/>
      <c r="V830" s="56"/>
      <c r="W830" s="1"/>
      <c r="X830" s="1"/>
      <c r="Y830" s="8"/>
      <c r="Z830" s="8"/>
      <c r="AA830" s="8"/>
      <c r="AB830" s="8"/>
      <c r="AC830" s="8"/>
      <c r="AD830" s="8"/>
      <c r="AE830" s="8"/>
      <c r="AF830" s="8"/>
      <c r="AG830" s="8"/>
      <c r="AH830" s="8"/>
      <c r="AI830" s="8"/>
    </row>
    <row r="831" spans="1:35">
      <c r="A831" s="1"/>
      <c r="B831" s="8"/>
      <c r="C831" s="8"/>
      <c r="D831" s="8"/>
      <c r="E831" s="8"/>
      <c r="F831" s="8"/>
      <c r="G831" s="8"/>
      <c r="H831" s="8"/>
      <c r="I831" s="8"/>
      <c r="J831" s="8"/>
      <c r="K831" s="8"/>
      <c r="L831" s="26"/>
      <c r="M831" s="26"/>
      <c r="N831" s="26"/>
      <c r="O831" s="55"/>
      <c r="P831" s="1"/>
      <c r="Q831" s="8"/>
      <c r="R831" s="8"/>
      <c r="S831" s="1"/>
      <c r="T831" s="8"/>
      <c r="U831" s="8"/>
      <c r="V831" s="56"/>
      <c r="W831" s="1"/>
      <c r="X831" s="1"/>
      <c r="Y831" s="8"/>
      <c r="Z831" s="8"/>
      <c r="AA831" s="8"/>
      <c r="AB831" s="8"/>
      <c r="AC831" s="8"/>
      <c r="AD831" s="8"/>
      <c r="AE831" s="8"/>
      <c r="AF831" s="8"/>
      <c r="AG831" s="8"/>
      <c r="AH831" s="8"/>
      <c r="AI831" s="8"/>
    </row>
    <row r="832" spans="1:35">
      <c r="A832" s="1"/>
      <c r="B832" s="8"/>
      <c r="C832" s="8"/>
      <c r="D832" s="8"/>
      <c r="E832" s="8"/>
      <c r="F832" s="8"/>
      <c r="G832" s="8"/>
      <c r="H832" s="8"/>
      <c r="I832" s="8"/>
      <c r="J832" s="8"/>
      <c r="K832" s="8"/>
      <c r="L832" s="26"/>
      <c r="M832" s="26"/>
      <c r="N832" s="26"/>
      <c r="O832" s="55"/>
      <c r="P832" s="1"/>
      <c r="Q832" s="8"/>
      <c r="R832" s="8"/>
      <c r="S832" s="1"/>
      <c r="T832" s="8"/>
      <c r="U832" s="8"/>
      <c r="V832" s="56"/>
      <c r="W832" s="1"/>
      <c r="X832" s="1"/>
      <c r="Y832" s="8"/>
      <c r="Z832" s="8"/>
      <c r="AA832" s="8"/>
      <c r="AB832" s="8"/>
      <c r="AC832" s="8"/>
      <c r="AD832" s="8"/>
      <c r="AE832" s="8"/>
      <c r="AF832" s="8"/>
      <c r="AG832" s="8"/>
      <c r="AH832" s="8"/>
      <c r="AI832" s="8"/>
    </row>
    <row r="833" spans="1:35">
      <c r="A833" s="1"/>
      <c r="B833" s="8"/>
      <c r="C833" s="8"/>
      <c r="D833" s="8"/>
      <c r="E833" s="8"/>
      <c r="F833" s="8"/>
      <c r="G833" s="8"/>
      <c r="H833" s="8"/>
      <c r="I833" s="8"/>
      <c r="J833" s="8"/>
      <c r="K833" s="8"/>
      <c r="L833" s="26"/>
      <c r="M833" s="26"/>
      <c r="N833" s="26"/>
      <c r="O833" s="55"/>
      <c r="P833" s="1"/>
      <c r="Q833" s="8"/>
      <c r="R833" s="8"/>
      <c r="S833" s="1"/>
      <c r="T833" s="8"/>
      <c r="U833" s="8"/>
      <c r="V833" s="56"/>
      <c r="W833" s="1"/>
      <c r="X833" s="1"/>
      <c r="Y833" s="8"/>
      <c r="Z833" s="8"/>
      <c r="AA833" s="8"/>
      <c r="AB833" s="8"/>
      <c r="AC833" s="8"/>
      <c r="AD833" s="8"/>
      <c r="AE833" s="8"/>
      <c r="AF833" s="8"/>
      <c r="AG833" s="8"/>
      <c r="AH833" s="8"/>
      <c r="AI833" s="8"/>
    </row>
    <row r="834" spans="1:35">
      <c r="A834" s="1"/>
      <c r="B834" s="8"/>
      <c r="C834" s="8"/>
      <c r="D834" s="8"/>
      <c r="E834" s="8"/>
      <c r="F834" s="8"/>
      <c r="G834" s="8"/>
      <c r="H834" s="8"/>
      <c r="I834" s="8"/>
      <c r="J834" s="8"/>
      <c r="K834" s="8"/>
      <c r="L834" s="26"/>
      <c r="M834" s="26"/>
      <c r="N834" s="26"/>
      <c r="O834" s="55"/>
      <c r="P834" s="1"/>
      <c r="Q834" s="8"/>
      <c r="R834" s="8"/>
      <c r="S834" s="1"/>
      <c r="T834" s="8"/>
      <c r="U834" s="8"/>
      <c r="V834" s="56"/>
      <c r="W834" s="1"/>
      <c r="X834" s="1"/>
      <c r="Y834" s="8"/>
      <c r="Z834" s="8"/>
      <c r="AA834" s="8"/>
      <c r="AB834" s="8"/>
      <c r="AC834" s="8"/>
      <c r="AD834" s="8"/>
      <c r="AE834" s="8"/>
      <c r="AF834" s="8"/>
      <c r="AG834" s="8"/>
      <c r="AH834" s="8"/>
      <c r="AI834" s="8"/>
    </row>
    <row r="835" spans="1:35">
      <c r="A835" s="1"/>
      <c r="B835" s="8"/>
      <c r="C835" s="8"/>
      <c r="D835" s="8"/>
      <c r="E835" s="8"/>
      <c r="F835" s="8"/>
      <c r="G835" s="8"/>
      <c r="H835" s="8"/>
      <c r="I835" s="8"/>
      <c r="J835" s="8"/>
      <c r="K835" s="8"/>
      <c r="L835" s="26"/>
      <c r="M835" s="26"/>
      <c r="N835" s="26"/>
      <c r="O835" s="55"/>
      <c r="P835" s="1"/>
      <c r="Q835" s="8"/>
      <c r="R835" s="8"/>
      <c r="S835" s="1"/>
      <c r="T835" s="8"/>
      <c r="U835" s="8"/>
      <c r="V835" s="56"/>
      <c r="W835" s="1"/>
      <c r="X835" s="1"/>
      <c r="Y835" s="8"/>
      <c r="Z835" s="8"/>
      <c r="AA835" s="8"/>
      <c r="AB835" s="8"/>
      <c r="AC835" s="8"/>
      <c r="AD835" s="8"/>
      <c r="AE835" s="8"/>
      <c r="AF835" s="8"/>
      <c r="AG835" s="8"/>
      <c r="AH835" s="8"/>
      <c r="AI835" s="8"/>
    </row>
    <row r="836" spans="1:35">
      <c r="A836" s="1"/>
      <c r="B836" s="8"/>
      <c r="C836" s="8"/>
      <c r="D836" s="8"/>
      <c r="E836" s="8"/>
      <c r="F836" s="8"/>
      <c r="G836" s="8"/>
      <c r="H836" s="8"/>
      <c r="I836" s="8"/>
      <c r="J836" s="8"/>
      <c r="K836" s="8"/>
      <c r="L836" s="26"/>
      <c r="M836" s="26"/>
      <c r="N836" s="26"/>
      <c r="O836" s="55"/>
      <c r="P836" s="1"/>
      <c r="Q836" s="8"/>
      <c r="R836" s="8"/>
      <c r="S836" s="1"/>
      <c r="T836" s="8"/>
      <c r="U836" s="8"/>
      <c r="V836" s="56"/>
      <c r="W836" s="1"/>
      <c r="X836" s="1"/>
      <c r="Y836" s="8"/>
      <c r="Z836" s="8"/>
      <c r="AA836" s="8"/>
      <c r="AB836" s="8"/>
      <c r="AC836" s="8"/>
      <c r="AD836" s="8"/>
      <c r="AE836" s="8"/>
      <c r="AF836" s="8"/>
      <c r="AG836" s="8"/>
      <c r="AH836" s="8"/>
      <c r="AI836" s="8"/>
    </row>
    <row r="837" spans="1:35">
      <c r="A837" s="1"/>
      <c r="B837" s="8"/>
      <c r="C837" s="8"/>
      <c r="D837" s="8"/>
      <c r="E837" s="8"/>
      <c r="F837" s="8"/>
      <c r="G837" s="8"/>
      <c r="H837" s="8"/>
      <c r="I837" s="8"/>
      <c r="J837" s="8"/>
      <c r="K837" s="8"/>
      <c r="L837" s="26"/>
      <c r="M837" s="26"/>
      <c r="N837" s="26"/>
      <c r="O837" s="55"/>
      <c r="P837" s="1"/>
      <c r="Q837" s="8"/>
      <c r="R837" s="8"/>
      <c r="S837" s="1"/>
      <c r="T837" s="8"/>
      <c r="U837" s="8"/>
      <c r="V837" s="56"/>
      <c r="W837" s="1"/>
      <c r="X837" s="1"/>
      <c r="Y837" s="8"/>
      <c r="Z837" s="8"/>
      <c r="AA837" s="8"/>
      <c r="AB837" s="8"/>
      <c r="AC837" s="8"/>
      <c r="AD837" s="8"/>
      <c r="AE837" s="8"/>
      <c r="AF837" s="8"/>
      <c r="AG837" s="8"/>
      <c r="AH837" s="8"/>
      <c r="AI837" s="8"/>
    </row>
    <row r="838" spans="1:35">
      <c r="A838" s="1"/>
      <c r="B838" s="8"/>
      <c r="C838" s="8"/>
      <c r="D838" s="8"/>
      <c r="E838" s="8"/>
      <c r="F838" s="8"/>
      <c r="G838" s="8"/>
      <c r="H838" s="8"/>
      <c r="I838" s="8"/>
      <c r="J838" s="8"/>
      <c r="K838" s="8"/>
      <c r="L838" s="26"/>
      <c r="M838" s="26"/>
      <c r="N838" s="26"/>
      <c r="O838" s="55"/>
      <c r="P838" s="1"/>
      <c r="Q838" s="8"/>
      <c r="R838" s="8"/>
      <c r="S838" s="1"/>
      <c r="T838" s="8"/>
      <c r="U838" s="8"/>
      <c r="V838" s="56"/>
      <c r="W838" s="1"/>
      <c r="X838" s="1"/>
      <c r="Y838" s="8"/>
      <c r="Z838" s="8"/>
      <c r="AA838" s="8"/>
      <c r="AB838" s="8"/>
      <c r="AC838" s="8"/>
      <c r="AD838" s="8"/>
      <c r="AE838" s="8"/>
      <c r="AF838" s="8"/>
      <c r="AG838" s="8"/>
      <c r="AH838" s="8"/>
      <c r="AI838" s="8"/>
    </row>
    <row r="839" spans="1:35">
      <c r="A839" s="1"/>
      <c r="B839" s="8"/>
      <c r="C839" s="8"/>
      <c r="D839" s="8"/>
      <c r="E839" s="8"/>
      <c r="F839" s="8"/>
      <c r="G839" s="8"/>
      <c r="H839" s="8"/>
      <c r="I839" s="8"/>
      <c r="J839" s="8"/>
      <c r="K839" s="8"/>
      <c r="L839" s="26"/>
      <c r="M839" s="26"/>
      <c r="N839" s="26"/>
      <c r="O839" s="55"/>
      <c r="P839" s="1"/>
      <c r="Q839" s="8"/>
      <c r="R839" s="8"/>
      <c r="S839" s="1"/>
      <c r="T839" s="8"/>
      <c r="U839" s="8"/>
      <c r="V839" s="56"/>
      <c r="W839" s="1"/>
      <c r="X839" s="1"/>
      <c r="Y839" s="8"/>
      <c r="Z839" s="8"/>
      <c r="AA839" s="8"/>
      <c r="AB839" s="8"/>
      <c r="AC839" s="8"/>
      <c r="AD839" s="8"/>
      <c r="AE839" s="8"/>
      <c r="AF839" s="8"/>
      <c r="AG839" s="8"/>
      <c r="AH839" s="8"/>
      <c r="AI839" s="8"/>
    </row>
    <row r="840" spans="1:35">
      <c r="A840" s="1"/>
      <c r="B840" s="8"/>
      <c r="C840" s="8"/>
      <c r="D840" s="8"/>
      <c r="E840" s="8"/>
      <c r="F840" s="8"/>
      <c r="G840" s="8"/>
      <c r="H840" s="8"/>
      <c r="I840" s="8"/>
      <c r="J840" s="8"/>
      <c r="K840" s="8"/>
      <c r="L840" s="26"/>
      <c r="M840" s="26"/>
      <c r="N840" s="26"/>
      <c r="O840" s="55"/>
      <c r="P840" s="1"/>
      <c r="Q840" s="8"/>
      <c r="R840" s="8"/>
      <c r="S840" s="1"/>
      <c r="T840" s="8"/>
      <c r="U840" s="8"/>
      <c r="V840" s="56"/>
      <c r="W840" s="1"/>
      <c r="X840" s="1"/>
      <c r="Y840" s="8"/>
      <c r="Z840" s="8"/>
      <c r="AA840" s="8"/>
      <c r="AB840" s="8"/>
      <c r="AC840" s="8"/>
      <c r="AD840" s="8"/>
      <c r="AE840" s="8"/>
      <c r="AF840" s="8"/>
      <c r="AG840" s="8"/>
      <c r="AH840" s="8"/>
      <c r="AI840" s="8"/>
    </row>
    <row r="841" spans="1:35">
      <c r="A841" s="1"/>
      <c r="B841" s="8"/>
      <c r="C841" s="8"/>
      <c r="D841" s="8"/>
      <c r="E841" s="8"/>
      <c r="F841" s="8"/>
      <c r="G841" s="8"/>
      <c r="H841" s="8"/>
      <c r="I841" s="8"/>
      <c r="J841" s="8"/>
      <c r="K841" s="8"/>
      <c r="L841" s="26"/>
      <c r="M841" s="26"/>
      <c r="N841" s="26"/>
      <c r="O841" s="55"/>
      <c r="P841" s="1"/>
      <c r="Q841" s="8"/>
      <c r="R841" s="8"/>
      <c r="S841" s="1"/>
      <c r="T841" s="8"/>
      <c r="U841" s="8"/>
      <c r="V841" s="56"/>
      <c r="W841" s="1"/>
      <c r="X841" s="1"/>
      <c r="Y841" s="8"/>
      <c r="Z841" s="8"/>
      <c r="AA841" s="8"/>
      <c r="AB841" s="8"/>
      <c r="AC841" s="8"/>
      <c r="AD841" s="8"/>
      <c r="AE841" s="8"/>
      <c r="AF841" s="8"/>
      <c r="AG841" s="8"/>
      <c r="AH841" s="8"/>
      <c r="AI841" s="8"/>
    </row>
    <row r="842" spans="1:35">
      <c r="A842" s="1"/>
      <c r="B842" s="8"/>
      <c r="C842" s="8"/>
      <c r="D842" s="8"/>
      <c r="E842" s="8"/>
      <c r="F842" s="8"/>
      <c r="G842" s="8"/>
      <c r="H842" s="8"/>
      <c r="I842" s="8"/>
      <c r="J842" s="8"/>
      <c r="K842" s="8"/>
      <c r="L842" s="26"/>
      <c r="M842" s="26"/>
      <c r="N842" s="26"/>
      <c r="O842" s="55"/>
      <c r="P842" s="1"/>
      <c r="Q842" s="8"/>
      <c r="R842" s="8"/>
      <c r="S842" s="1"/>
      <c r="T842" s="8"/>
      <c r="U842" s="8"/>
      <c r="V842" s="56"/>
      <c r="W842" s="1"/>
      <c r="X842" s="1"/>
      <c r="Y842" s="8"/>
      <c r="Z842" s="8"/>
      <c r="AA842" s="8"/>
      <c r="AB842" s="8"/>
      <c r="AC842" s="8"/>
      <c r="AD842" s="8"/>
      <c r="AE842" s="8"/>
      <c r="AF842" s="8"/>
      <c r="AG842" s="8"/>
      <c r="AH842" s="8"/>
      <c r="AI842" s="8"/>
    </row>
    <row r="843" spans="1:35">
      <c r="A843" s="1"/>
      <c r="B843" s="8"/>
      <c r="C843" s="8"/>
      <c r="D843" s="8"/>
      <c r="E843" s="8"/>
      <c r="F843" s="8"/>
      <c r="G843" s="8"/>
      <c r="H843" s="8"/>
      <c r="I843" s="8"/>
      <c r="J843" s="8"/>
      <c r="K843" s="8"/>
      <c r="L843" s="26"/>
      <c r="M843" s="26"/>
      <c r="N843" s="26"/>
      <c r="O843" s="55"/>
      <c r="P843" s="1"/>
      <c r="Q843" s="8"/>
      <c r="R843" s="8"/>
      <c r="S843" s="1"/>
      <c r="T843" s="8"/>
      <c r="U843" s="8"/>
      <c r="V843" s="56"/>
      <c r="W843" s="1"/>
      <c r="X843" s="1"/>
      <c r="Y843" s="8"/>
      <c r="Z843" s="8"/>
      <c r="AA843" s="8"/>
      <c r="AB843" s="8"/>
      <c r="AC843" s="8"/>
      <c r="AD843" s="8"/>
      <c r="AE843" s="8"/>
      <c r="AF843" s="8"/>
      <c r="AG843" s="8"/>
      <c r="AH843" s="8"/>
      <c r="AI843" s="8"/>
    </row>
    <row r="844" spans="1:35">
      <c r="A844" s="1"/>
      <c r="B844" s="8"/>
      <c r="C844" s="8"/>
      <c r="D844" s="8"/>
      <c r="E844" s="8"/>
      <c r="F844" s="8"/>
      <c r="G844" s="8"/>
      <c r="H844" s="8"/>
      <c r="I844" s="8"/>
      <c r="J844" s="8"/>
      <c r="K844" s="8"/>
      <c r="L844" s="26"/>
      <c r="M844" s="26"/>
      <c r="N844" s="26"/>
      <c r="O844" s="55"/>
      <c r="P844" s="1"/>
      <c r="Q844" s="8"/>
      <c r="R844" s="8"/>
      <c r="S844" s="1"/>
      <c r="T844" s="8"/>
      <c r="U844" s="8"/>
      <c r="V844" s="56"/>
      <c r="W844" s="1"/>
      <c r="X844" s="1"/>
      <c r="Y844" s="8"/>
      <c r="Z844" s="8"/>
      <c r="AA844" s="8"/>
      <c r="AB844" s="8"/>
      <c r="AC844" s="8"/>
      <c r="AD844" s="8"/>
      <c r="AE844" s="8"/>
      <c r="AF844" s="8"/>
      <c r="AG844" s="8"/>
      <c r="AH844" s="8"/>
      <c r="AI844" s="8"/>
    </row>
    <row r="845" spans="1:35">
      <c r="A845" s="1"/>
      <c r="B845" s="8"/>
      <c r="C845" s="8"/>
      <c r="D845" s="8"/>
      <c r="E845" s="8"/>
      <c r="F845" s="8"/>
      <c r="G845" s="8"/>
      <c r="H845" s="8"/>
      <c r="I845" s="8"/>
      <c r="J845" s="8"/>
      <c r="K845" s="8"/>
      <c r="L845" s="26"/>
      <c r="M845" s="26"/>
      <c r="N845" s="26"/>
      <c r="O845" s="55"/>
      <c r="P845" s="1"/>
      <c r="Q845" s="8"/>
      <c r="R845" s="8"/>
      <c r="S845" s="1"/>
      <c r="T845" s="8"/>
      <c r="U845" s="8"/>
      <c r="V845" s="56"/>
      <c r="W845" s="1"/>
      <c r="X845" s="1"/>
      <c r="Y845" s="8"/>
      <c r="Z845" s="8"/>
      <c r="AA845" s="8"/>
      <c r="AB845" s="8"/>
      <c r="AC845" s="8"/>
      <c r="AD845" s="8"/>
      <c r="AE845" s="8"/>
      <c r="AF845" s="8"/>
      <c r="AG845" s="8"/>
      <c r="AH845" s="8"/>
      <c r="AI845" s="8"/>
    </row>
    <row r="846" spans="1:35">
      <c r="A846" s="1"/>
      <c r="B846" s="8"/>
      <c r="C846" s="8"/>
      <c r="D846" s="8"/>
      <c r="E846" s="8"/>
      <c r="F846" s="8"/>
      <c r="G846" s="8"/>
      <c r="H846" s="8"/>
      <c r="I846" s="8"/>
      <c r="J846" s="8"/>
      <c r="K846" s="8"/>
      <c r="L846" s="26"/>
      <c r="M846" s="26"/>
      <c r="N846" s="26"/>
      <c r="O846" s="55"/>
      <c r="P846" s="1"/>
      <c r="Q846" s="8"/>
      <c r="R846" s="8"/>
      <c r="S846" s="1"/>
      <c r="T846" s="8"/>
      <c r="U846" s="8"/>
      <c r="V846" s="56"/>
      <c r="W846" s="1"/>
      <c r="X846" s="1"/>
      <c r="Y846" s="8"/>
      <c r="Z846" s="8"/>
      <c r="AA846" s="8"/>
      <c r="AB846" s="8"/>
      <c r="AC846" s="8"/>
      <c r="AD846" s="8"/>
      <c r="AE846" s="8"/>
      <c r="AF846" s="8"/>
      <c r="AG846" s="8"/>
      <c r="AH846" s="8"/>
      <c r="AI846" s="8"/>
    </row>
    <row r="847" spans="1:35">
      <c r="A847" s="1"/>
      <c r="B847" s="8"/>
      <c r="C847" s="8"/>
      <c r="D847" s="8"/>
      <c r="E847" s="8"/>
      <c r="F847" s="8"/>
      <c r="G847" s="8"/>
      <c r="H847" s="8"/>
      <c r="I847" s="8"/>
      <c r="J847" s="8"/>
      <c r="K847" s="8"/>
      <c r="L847" s="26"/>
      <c r="M847" s="26"/>
      <c r="N847" s="26"/>
      <c r="O847" s="55"/>
      <c r="P847" s="1"/>
      <c r="Q847" s="8"/>
      <c r="R847" s="8"/>
      <c r="S847" s="1"/>
      <c r="T847" s="8"/>
      <c r="U847" s="8"/>
      <c r="V847" s="56"/>
      <c r="W847" s="1"/>
      <c r="X847" s="1"/>
      <c r="Y847" s="8"/>
      <c r="Z847" s="8"/>
      <c r="AA847" s="8"/>
      <c r="AB847" s="8"/>
      <c r="AC847" s="8"/>
      <c r="AD847" s="8"/>
      <c r="AE847" s="8"/>
      <c r="AF847" s="8"/>
      <c r="AG847" s="8"/>
      <c r="AH847" s="8"/>
      <c r="AI847" s="8"/>
    </row>
    <row r="848" spans="1:35">
      <c r="A848" s="1"/>
      <c r="B848" s="8"/>
      <c r="C848" s="8"/>
      <c r="D848" s="8"/>
      <c r="E848" s="8"/>
      <c r="F848" s="8"/>
      <c r="G848" s="8"/>
      <c r="H848" s="8"/>
      <c r="I848" s="8"/>
      <c r="J848" s="8"/>
      <c r="K848" s="8"/>
      <c r="L848" s="26"/>
      <c r="M848" s="26"/>
      <c r="N848" s="26"/>
      <c r="O848" s="55"/>
      <c r="P848" s="1"/>
      <c r="Q848" s="8"/>
      <c r="R848" s="8"/>
      <c r="S848" s="1"/>
      <c r="T848" s="8"/>
      <c r="U848" s="8"/>
      <c r="V848" s="56"/>
      <c r="W848" s="1"/>
      <c r="X848" s="1"/>
      <c r="Y848" s="8"/>
      <c r="Z848" s="8"/>
      <c r="AA848" s="8"/>
      <c r="AB848" s="8"/>
      <c r="AC848" s="8"/>
      <c r="AD848" s="8"/>
      <c r="AE848" s="8"/>
      <c r="AF848" s="8"/>
      <c r="AG848" s="8"/>
      <c r="AH848" s="8"/>
      <c r="AI848" s="8"/>
    </row>
    <row r="849" spans="1:35">
      <c r="A849" s="1"/>
      <c r="B849" s="8"/>
      <c r="C849" s="8"/>
      <c r="D849" s="8"/>
      <c r="E849" s="8"/>
      <c r="F849" s="8"/>
      <c r="G849" s="8"/>
      <c r="H849" s="8"/>
      <c r="I849" s="8"/>
      <c r="J849" s="8"/>
      <c r="K849" s="8"/>
      <c r="L849" s="26"/>
      <c r="M849" s="26"/>
      <c r="N849" s="26"/>
      <c r="O849" s="55"/>
      <c r="P849" s="1"/>
      <c r="Q849" s="8"/>
      <c r="R849" s="8"/>
      <c r="S849" s="1"/>
      <c r="T849" s="8"/>
      <c r="U849" s="8"/>
      <c r="V849" s="56"/>
      <c r="W849" s="1"/>
      <c r="X849" s="1"/>
      <c r="Y849" s="8"/>
      <c r="Z849" s="8"/>
      <c r="AA849" s="8"/>
      <c r="AB849" s="8"/>
      <c r="AC849" s="8"/>
      <c r="AD849" s="8"/>
      <c r="AE849" s="8"/>
      <c r="AF849" s="8"/>
      <c r="AG849" s="8"/>
      <c r="AH849" s="8"/>
      <c r="AI849" s="8"/>
    </row>
    <row r="850" spans="1:35">
      <c r="A850" s="1"/>
      <c r="B850" s="8"/>
      <c r="C850" s="8"/>
      <c r="D850" s="8"/>
      <c r="E850" s="8"/>
      <c r="F850" s="8"/>
      <c r="G850" s="8"/>
      <c r="H850" s="8"/>
      <c r="I850" s="8"/>
      <c r="J850" s="8"/>
      <c r="K850" s="8"/>
      <c r="L850" s="26"/>
      <c r="M850" s="26"/>
      <c r="N850" s="26"/>
      <c r="O850" s="55"/>
      <c r="P850" s="1"/>
      <c r="Q850" s="8"/>
      <c r="R850" s="8"/>
      <c r="S850" s="1"/>
      <c r="T850" s="8"/>
      <c r="U850" s="8"/>
      <c r="V850" s="56"/>
      <c r="W850" s="1"/>
      <c r="X850" s="1"/>
      <c r="Y850" s="8"/>
      <c r="Z850" s="8"/>
      <c r="AA850" s="8"/>
      <c r="AB850" s="8"/>
      <c r="AC850" s="8"/>
      <c r="AD850" s="8"/>
      <c r="AE850" s="8"/>
      <c r="AF850" s="8"/>
      <c r="AG850" s="8"/>
      <c r="AH850" s="8"/>
      <c r="AI850" s="8"/>
    </row>
    <row r="851" spans="1:35">
      <c r="A851" s="1"/>
      <c r="B851" s="8"/>
      <c r="C851" s="8"/>
      <c r="D851" s="8"/>
      <c r="E851" s="8"/>
      <c r="F851" s="8"/>
      <c r="G851" s="8"/>
      <c r="H851" s="8"/>
      <c r="I851" s="8"/>
      <c r="J851" s="8"/>
      <c r="K851" s="8"/>
      <c r="L851" s="26"/>
      <c r="M851" s="26"/>
      <c r="N851" s="26"/>
      <c r="O851" s="55"/>
      <c r="P851" s="1"/>
      <c r="Q851" s="8"/>
      <c r="R851" s="8"/>
      <c r="S851" s="1"/>
      <c r="T851" s="8"/>
      <c r="U851" s="8"/>
      <c r="V851" s="56"/>
      <c r="W851" s="1"/>
      <c r="X851" s="1"/>
      <c r="Y851" s="8"/>
      <c r="Z851" s="8"/>
      <c r="AA851" s="8"/>
      <c r="AB851" s="8"/>
      <c r="AC851" s="8"/>
      <c r="AD851" s="8"/>
      <c r="AE851" s="8"/>
      <c r="AF851" s="8"/>
      <c r="AG851" s="8"/>
      <c r="AH851" s="8"/>
      <c r="AI851" s="8"/>
    </row>
    <row r="852" spans="1:35">
      <c r="A852" s="1"/>
      <c r="B852" s="8"/>
      <c r="C852" s="8"/>
      <c r="D852" s="8"/>
      <c r="E852" s="8"/>
      <c r="F852" s="8"/>
      <c r="G852" s="8"/>
      <c r="H852" s="8"/>
      <c r="I852" s="8"/>
      <c r="J852" s="8"/>
      <c r="K852" s="8"/>
      <c r="L852" s="26"/>
      <c r="M852" s="26"/>
      <c r="N852" s="26"/>
      <c r="O852" s="55"/>
      <c r="P852" s="1"/>
      <c r="Q852" s="8"/>
      <c r="R852" s="8"/>
      <c r="S852" s="1"/>
      <c r="T852" s="8"/>
      <c r="U852" s="8"/>
      <c r="V852" s="56"/>
      <c r="W852" s="1"/>
      <c r="X852" s="1"/>
      <c r="Y852" s="8"/>
      <c r="Z852" s="8"/>
      <c r="AA852" s="8"/>
      <c r="AB852" s="8"/>
      <c r="AC852" s="8"/>
      <c r="AD852" s="8"/>
      <c r="AE852" s="8"/>
      <c r="AF852" s="8"/>
      <c r="AG852" s="8"/>
      <c r="AH852" s="8"/>
      <c r="AI852" s="8"/>
    </row>
    <row r="853" spans="1:35">
      <c r="A853" s="1"/>
      <c r="B853" s="8"/>
      <c r="C853" s="8"/>
      <c r="D853" s="8"/>
      <c r="E853" s="8"/>
      <c r="F853" s="8"/>
      <c r="G853" s="8"/>
      <c r="H853" s="8"/>
      <c r="I853" s="8"/>
      <c r="J853" s="8"/>
      <c r="K853" s="8"/>
      <c r="L853" s="26"/>
      <c r="M853" s="26"/>
      <c r="N853" s="26"/>
      <c r="O853" s="55"/>
      <c r="P853" s="1"/>
      <c r="Q853" s="8"/>
      <c r="R853" s="8"/>
      <c r="S853" s="1"/>
      <c r="T853" s="8"/>
      <c r="U853" s="8"/>
      <c r="V853" s="56"/>
      <c r="W853" s="1"/>
      <c r="X853" s="1"/>
      <c r="Y853" s="8"/>
      <c r="Z853" s="8"/>
      <c r="AA853" s="8"/>
      <c r="AB853" s="8"/>
      <c r="AC853" s="8"/>
      <c r="AD853" s="8"/>
      <c r="AE853" s="8"/>
      <c r="AF853" s="8"/>
      <c r="AG853" s="8"/>
      <c r="AH853" s="8"/>
      <c r="AI853" s="8"/>
    </row>
    <row r="854" spans="1:35">
      <c r="A854" s="1"/>
      <c r="B854" s="8"/>
      <c r="C854" s="8"/>
      <c r="D854" s="8"/>
      <c r="E854" s="8"/>
      <c r="F854" s="8"/>
      <c r="G854" s="8"/>
      <c r="H854" s="8"/>
      <c r="I854" s="8"/>
      <c r="J854" s="8"/>
      <c r="K854" s="8"/>
      <c r="L854" s="26"/>
      <c r="M854" s="26"/>
      <c r="N854" s="26"/>
      <c r="O854" s="55"/>
      <c r="P854" s="1"/>
      <c r="Q854" s="8"/>
      <c r="R854" s="8"/>
      <c r="S854" s="1"/>
      <c r="T854" s="8"/>
      <c r="U854" s="8"/>
      <c r="V854" s="56"/>
      <c r="W854" s="1"/>
      <c r="X854" s="1"/>
      <c r="Y854" s="8"/>
      <c r="Z854" s="8"/>
      <c r="AA854" s="8"/>
      <c r="AB854" s="8"/>
      <c r="AC854" s="8"/>
      <c r="AD854" s="8"/>
      <c r="AE854" s="8"/>
      <c r="AF854" s="8"/>
      <c r="AG854" s="8"/>
      <c r="AH854" s="8"/>
      <c r="AI854" s="8"/>
    </row>
    <row r="855" spans="1:35">
      <c r="A855" s="1"/>
      <c r="B855" s="8"/>
      <c r="C855" s="8"/>
      <c r="D855" s="8"/>
      <c r="E855" s="8"/>
      <c r="F855" s="8"/>
      <c r="G855" s="8"/>
      <c r="H855" s="8"/>
      <c r="I855" s="8"/>
      <c r="J855" s="8"/>
      <c r="K855" s="8"/>
      <c r="L855" s="26"/>
      <c r="M855" s="26"/>
      <c r="N855" s="26"/>
      <c r="O855" s="55"/>
      <c r="P855" s="1"/>
      <c r="Q855" s="8"/>
      <c r="R855" s="8"/>
      <c r="S855" s="1"/>
      <c r="T855" s="8"/>
      <c r="U855" s="8"/>
      <c r="V855" s="56"/>
      <c r="W855" s="1"/>
      <c r="X855" s="1"/>
      <c r="Y855" s="8"/>
      <c r="Z855" s="8"/>
      <c r="AA855" s="8"/>
      <c r="AB855" s="8"/>
      <c r="AC855" s="8"/>
      <c r="AD855" s="8"/>
      <c r="AE855" s="8"/>
      <c r="AF855" s="8"/>
      <c r="AG855" s="8"/>
      <c r="AH855" s="8"/>
      <c r="AI855" s="8"/>
    </row>
    <row r="856" spans="1:35">
      <c r="A856" s="1"/>
      <c r="B856" s="8"/>
      <c r="C856" s="8"/>
      <c r="D856" s="8"/>
      <c r="E856" s="8"/>
      <c r="F856" s="8"/>
      <c r="G856" s="8"/>
      <c r="H856" s="8"/>
      <c r="I856" s="8"/>
      <c r="J856" s="8"/>
      <c r="K856" s="8"/>
      <c r="L856" s="26"/>
      <c r="M856" s="26"/>
      <c r="N856" s="26"/>
      <c r="O856" s="55"/>
      <c r="P856" s="1"/>
      <c r="Q856" s="8"/>
      <c r="R856" s="8"/>
      <c r="S856" s="1"/>
      <c r="T856" s="8"/>
      <c r="U856" s="8"/>
      <c r="V856" s="56"/>
      <c r="W856" s="1"/>
      <c r="X856" s="1"/>
      <c r="Y856" s="8"/>
      <c r="Z856" s="8"/>
      <c r="AA856" s="8"/>
      <c r="AB856" s="8"/>
      <c r="AC856" s="8"/>
      <c r="AD856" s="8"/>
      <c r="AE856" s="8"/>
      <c r="AF856" s="8"/>
      <c r="AG856" s="8"/>
      <c r="AH856" s="8"/>
      <c r="AI856" s="8"/>
    </row>
    <row r="857" spans="1:35">
      <c r="A857" s="1"/>
      <c r="B857" s="8"/>
      <c r="C857" s="8"/>
      <c r="D857" s="8"/>
      <c r="E857" s="8"/>
      <c r="F857" s="8"/>
      <c r="G857" s="8"/>
      <c r="H857" s="8"/>
      <c r="I857" s="8"/>
      <c r="J857" s="8"/>
      <c r="K857" s="8"/>
      <c r="L857" s="26"/>
      <c r="M857" s="26"/>
      <c r="N857" s="26"/>
      <c r="O857" s="55"/>
      <c r="P857" s="1"/>
      <c r="Q857" s="8"/>
      <c r="R857" s="8"/>
      <c r="S857" s="1"/>
      <c r="T857" s="8"/>
      <c r="U857" s="8"/>
      <c r="V857" s="56"/>
      <c r="W857" s="1"/>
      <c r="X857" s="1"/>
      <c r="Y857" s="8"/>
      <c r="Z857" s="8"/>
      <c r="AA857" s="8"/>
      <c r="AB857" s="8"/>
      <c r="AC857" s="8"/>
      <c r="AD857" s="8"/>
      <c r="AE857" s="8"/>
      <c r="AF857" s="8"/>
      <c r="AG857" s="8"/>
      <c r="AH857" s="8"/>
      <c r="AI857" s="8"/>
    </row>
    <row r="858" spans="1:35">
      <c r="A858" s="1"/>
      <c r="B858" s="8"/>
      <c r="C858" s="8"/>
      <c r="D858" s="8"/>
      <c r="E858" s="8"/>
      <c r="F858" s="8"/>
      <c r="G858" s="8"/>
      <c r="H858" s="8"/>
      <c r="I858" s="8"/>
      <c r="J858" s="8"/>
      <c r="K858" s="8"/>
      <c r="L858" s="26"/>
      <c r="M858" s="26"/>
      <c r="N858" s="26"/>
      <c r="O858" s="55"/>
      <c r="P858" s="1"/>
      <c r="Q858" s="8"/>
      <c r="R858" s="8"/>
      <c r="S858" s="1"/>
      <c r="T858" s="8"/>
      <c r="U858" s="8"/>
      <c r="V858" s="56"/>
      <c r="W858" s="1"/>
      <c r="X858" s="1"/>
      <c r="Y858" s="8"/>
      <c r="Z858" s="8"/>
      <c r="AA858" s="8"/>
      <c r="AB858" s="8"/>
      <c r="AC858" s="8"/>
      <c r="AD858" s="8"/>
      <c r="AE858" s="8"/>
      <c r="AF858" s="8"/>
      <c r="AG858" s="8"/>
      <c r="AH858" s="8"/>
      <c r="AI858" s="8"/>
    </row>
    <row r="859" spans="1:35">
      <c r="A859" s="1"/>
      <c r="B859" s="8"/>
      <c r="C859" s="8"/>
      <c r="D859" s="8"/>
      <c r="E859" s="8"/>
      <c r="F859" s="8"/>
      <c r="G859" s="8"/>
      <c r="H859" s="8"/>
      <c r="I859" s="8"/>
      <c r="J859" s="8"/>
      <c r="K859" s="8"/>
      <c r="L859" s="26"/>
      <c r="M859" s="26"/>
      <c r="N859" s="26"/>
      <c r="O859" s="55"/>
      <c r="P859" s="1"/>
      <c r="Q859" s="8"/>
      <c r="R859" s="8"/>
      <c r="S859" s="1"/>
      <c r="T859" s="8"/>
      <c r="U859" s="8"/>
      <c r="V859" s="56"/>
      <c r="W859" s="1"/>
      <c r="X859" s="1"/>
      <c r="Y859" s="8"/>
      <c r="Z859" s="8"/>
      <c r="AA859" s="8"/>
      <c r="AB859" s="8"/>
      <c r="AC859" s="8"/>
      <c r="AD859" s="8"/>
      <c r="AE859" s="8"/>
      <c r="AF859" s="8"/>
      <c r="AG859" s="8"/>
      <c r="AH859" s="8"/>
      <c r="AI859" s="8"/>
    </row>
    <row r="860" spans="1:35">
      <c r="A860" s="1"/>
      <c r="B860" s="8"/>
      <c r="C860" s="8"/>
      <c r="D860" s="8"/>
      <c r="E860" s="8"/>
      <c r="F860" s="8"/>
      <c r="G860" s="8"/>
      <c r="H860" s="8"/>
      <c r="I860" s="8"/>
      <c r="J860" s="8"/>
      <c r="K860" s="8"/>
      <c r="L860" s="26"/>
      <c r="M860" s="26"/>
      <c r="N860" s="26"/>
      <c r="O860" s="55"/>
      <c r="P860" s="1"/>
      <c r="Q860" s="8"/>
      <c r="R860" s="8"/>
      <c r="S860" s="1"/>
      <c r="T860" s="8"/>
      <c r="U860" s="8"/>
      <c r="V860" s="56"/>
      <c r="W860" s="1"/>
      <c r="X860" s="1"/>
      <c r="Y860" s="8"/>
      <c r="Z860" s="8"/>
      <c r="AA860" s="8"/>
      <c r="AB860" s="8"/>
      <c r="AC860" s="8"/>
      <c r="AD860" s="8"/>
      <c r="AE860" s="8"/>
      <c r="AF860" s="8"/>
      <c r="AG860" s="8"/>
      <c r="AH860" s="8"/>
      <c r="AI860" s="8"/>
    </row>
    <row r="861" spans="1:35">
      <c r="A861" s="1"/>
      <c r="B861" s="8"/>
      <c r="C861" s="8"/>
      <c r="D861" s="8"/>
      <c r="E861" s="8"/>
      <c r="F861" s="8"/>
      <c r="G861" s="8"/>
      <c r="H861" s="8"/>
      <c r="I861" s="8"/>
      <c r="J861" s="8"/>
      <c r="K861" s="8"/>
      <c r="L861" s="26"/>
      <c r="M861" s="26"/>
      <c r="N861" s="26"/>
      <c r="O861" s="55"/>
      <c r="P861" s="1"/>
      <c r="Q861" s="8"/>
      <c r="R861" s="8"/>
      <c r="S861" s="1"/>
      <c r="T861" s="8"/>
      <c r="U861" s="8"/>
      <c r="V861" s="56"/>
      <c r="W861" s="1"/>
      <c r="X861" s="1"/>
      <c r="Y861" s="8"/>
      <c r="Z861" s="8"/>
      <c r="AA861" s="8"/>
      <c r="AB861" s="8"/>
      <c r="AC861" s="8"/>
      <c r="AD861" s="8"/>
      <c r="AE861" s="8"/>
      <c r="AF861" s="8"/>
      <c r="AG861" s="8"/>
      <c r="AH861" s="8"/>
      <c r="AI861" s="8"/>
    </row>
    <row r="862" spans="1:35">
      <c r="A862" s="1"/>
      <c r="B862" s="8"/>
      <c r="C862" s="8"/>
      <c r="D862" s="8"/>
      <c r="E862" s="8"/>
      <c r="F862" s="8"/>
      <c r="G862" s="8"/>
      <c r="H862" s="8"/>
      <c r="I862" s="8"/>
      <c r="J862" s="8"/>
      <c r="K862" s="8"/>
      <c r="L862" s="26"/>
      <c r="M862" s="26"/>
      <c r="N862" s="26"/>
      <c r="O862" s="55"/>
      <c r="P862" s="1"/>
      <c r="Q862" s="8"/>
      <c r="R862" s="8"/>
      <c r="S862" s="1"/>
      <c r="T862" s="8"/>
      <c r="U862" s="8"/>
      <c r="V862" s="56"/>
      <c r="W862" s="1"/>
      <c r="X862" s="1"/>
      <c r="Y862" s="8"/>
      <c r="Z862" s="8"/>
      <c r="AA862" s="8"/>
      <c r="AB862" s="8"/>
      <c r="AC862" s="8"/>
      <c r="AD862" s="8"/>
      <c r="AE862" s="8"/>
      <c r="AF862" s="8"/>
      <c r="AG862" s="8"/>
      <c r="AH862" s="8"/>
      <c r="AI862" s="8"/>
    </row>
    <row r="863" spans="1:35">
      <c r="A863" s="1"/>
      <c r="B863" s="8"/>
      <c r="C863" s="8"/>
      <c r="D863" s="8"/>
      <c r="E863" s="8"/>
      <c r="F863" s="8"/>
      <c r="G863" s="8"/>
      <c r="H863" s="8"/>
      <c r="I863" s="8"/>
      <c r="J863" s="8"/>
      <c r="K863" s="8"/>
      <c r="L863" s="26"/>
      <c r="M863" s="26"/>
      <c r="N863" s="26"/>
      <c r="O863" s="55"/>
      <c r="P863" s="1"/>
      <c r="Q863" s="8"/>
      <c r="R863" s="8"/>
      <c r="S863" s="1"/>
      <c r="T863" s="8"/>
      <c r="U863" s="8"/>
      <c r="V863" s="56"/>
      <c r="W863" s="1"/>
      <c r="X863" s="1"/>
      <c r="Y863" s="8"/>
      <c r="Z863" s="8"/>
      <c r="AA863" s="8"/>
      <c r="AB863" s="8"/>
      <c r="AC863" s="8"/>
      <c r="AD863" s="8"/>
      <c r="AE863" s="8"/>
      <c r="AF863" s="8"/>
      <c r="AG863" s="8"/>
      <c r="AH863" s="8"/>
      <c r="AI863" s="8"/>
    </row>
    <row r="864" spans="1:35">
      <c r="A864" s="1"/>
      <c r="B864" s="8"/>
      <c r="C864" s="8"/>
      <c r="D864" s="8"/>
      <c r="E864" s="8"/>
      <c r="F864" s="8"/>
      <c r="G864" s="8"/>
      <c r="H864" s="8"/>
      <c r="I864" s="8"/>
      <c r="J864" s="8"/>
      <c r="K864" s="8"/>
      <c r="L864" s="26"/>
      <c r="M864" s="26"/>
      <c r="N864" s="26"/>
      <c r="O864" s="55"/>
      <c r="P864" s="1"/>
      <c r="Q864" s="8"/>
      <c r="R864" s="8"/>
      <c r="S864" s="1"/>
      <c r="T864" s="8"/>
      <c r="U864" s="8"/>
      <c r="V864" s="56"/>
      <c r="W864" s="1"/>
      <c r="X864" s="1"/>
      <c r="Y864" s="8"/>
      <c r="Z864" s="8"/>
      <c r="AA864" s="8"/>
      <c r="AB864" s="8"/>
      <c r="AC864" s="8"/>
      <c r="AD864" s="8"/>
      <c r="AE864" s="8"/>
      <c r="AF864" s="8"/>
      <c r="AG864" s="8"/>
      <c r="AH864" s="8"/>
      <c r="AI864" s="8"/>
    </row>
    <row r="865" spans="1:35">
      <c r="A865" s="1"/>
      <c r="B865" s="8"/>
      <c r="C865" s="8"/>
      <c r="D865" s="8"/>
      <c r="E865" s="8"/>
      <c r="F865" s="8"/>
      <c r="G865" s="8"/>
      <c r="H865" s="8"/>
      <c r="I865" s="8"/>
      <c r="J865" s="8"/>
      <c r="K865" s="8"/>
      <c r="L865" s="26"/>
      <c r="M865" s="26"/>
      <c r="N865" s="26"/>
      <c r="O865" s="55"/>
      <c r="P865" s="1"/>
      <c r="Q865" s="8"/>
      <c r="R865" s="8"/>
      <c r="S865" s="1"/>
      <c r="T865" s="8"/>
      <c r="U865" s="8"/>
      <c r="V865" s="56"/>
      <c r="W865" s="1"/>
      <c r="X865" s="1"/>
      <c r="Y865" s="8"/>
      <c r="Z865" s="8"/>
      <c r="AA865" s="8"/>
      <c r="AB865" s="8"/>
      <c r="AC865" s="8"/>
      <c r="AD865" s="8"/>
      <c r="AE865" s="8"/>
      <c r="AF865" s="8"/>
      <c r="AG865" s="8"/>
      <c r="AH865" s="8"/>
      <c r="AI865" s="8"/>
    </row>
    <row r="866" spans="1:35">
      <c r="A866" s="1"/>
      <c r="B866" s="8"/>
      <c r="C866" s="8"/>
      <c r="D866" s="8"/>
      <c r="E866" s="8"/>
      <c r="F866" s="8"/>
      <c r="G866" s="8"/>
      <c r="H866" s="8"/>
      <c r="I866" s="8"/>
      <c r="J866" s="8"/>
      <c r="K866" s="8"/>
      <c r="L866" s="26"/>
      <c r="M866" s="26"/>
      <c r="N866" s="26"/>
      <c r="O866" s="55"/>
      <c r="P866" s="1"/>
      <c r="Q866" s="8"/>
      <c r="R866" s="8"/>
      <c r="S866" s="1"/>
      <c r="T866" s="8"/>
      <c r="U866" s="8"/>
      <c r="V866" s="56"/>
      <c r="W866" s="1"/>
      <c r="X866" s="1"/>
      <c r="Y866" s="8"/>
      <c r="Z866" s="8"/>
      <c r="AA866" s="8"/>
      <c r="AB866" s="8"/>
      <c r="AC866" s="8"/>
      <c r="AD866" s="8"/>
      <c r="AE866" s="8"/>
      <c r="AF866" s="8"/>
      <c r="AG866" s="8"/>
      <c r="AH866" s="8"/>
      <c r="AI866" s="8"/>
    </row>
    <row r="867" spans="1:35">
      <c r="A867" s="1"/>
      <c r="B867" s="8"/>
      <c r="C867" s="8"/>
      <c r="D867" s="8"/>
      <c r="E867" s="8"/>
      <c r="F867" s="8"/>
      <c r="G867" s="8"/>
      <c r="H867" s="8"/>
      <c r="I867" s="8"/>
      <c r="J867" s="8"/>
      <c r="K867" s="8"/>
      <c r="L867" s="26"/>
      <c r="M867" s="26"/>
      <c r="N867" s="26"/>
      <c r="O867" s="55"/>
      <c r="P867" s="1"/>
      <c r="Q867" s="8"/>
      <c r="R867" s="8"/>
      <c r="S867" s="1"/>
      <c r="T867" s="8"/>
      <c r="U867" s="8"/>
      <c r="V867" s="56"/>
      <c r="W867" s="1"/>
      <c r="X867" s="1"/>
      <c r="Y867" s="8"/>
      <c r="Z867" s="8"/>
      <c r="AA867" s="8"/>
      <c r="AB867" s="8"/>
      <c r="AC867" s="8"/>
      <c r="AD867" s="8"/>
      <c r="AE867" s="8"/>
      <c r="AF867" s="8"/>
      <c r="AG867" s="8"/>
      <c r="AH867" s="8"/>
      <c r="AI867" s="8"/>
    </row>
    <row r="868" spans="1:35">
      <c r="A868" s="1"/>
      <c r="B868" s="8"/>
      <c r="C868" s="8"/>
      <c r="D868" s="8"/>
      <c r="E868" s="8"/>
      <c r="F868" s="8"/>
      <c r="G868" s="8"/>
      <c r="H868" s="8"/>
      <c r="I868" s="8"/>
      <c r="J868" s="8"/>
      <c r="K868" s="8"/>
      <c r="L868" s="26"/>
      <c r="M868" s="26"/>
      <c r="N868" s="26"/>
      <c r="O868" s="55"/>
      <c r="P868" s="1"/>
      <c r="Q868" s="8"/>
      <c r="R868" s="8"/>
      <c r="S868" s="1"/>
      <c r="T868" s="8"/>
      <c r="U868" s="8"/>
      <c r="V868" s="56"/>
      <c r="W868" s="1"/>
      <c r="X868" s="1"/>
      <c r="Y868" s="8"/>
      <c r="Z868" s="8"/>
      <c r="AA868" s="8"/>
      <c r="AB868" s="8"/>
      <c r="AC868" s="8"/>
      <c r="AD868" s="8"/>
      <c r="AE868" s="8"/>
      <c r="AF868" s="8"/>
      <c r="AG868" s="8"/>
      <c r="AH868" s="8"/>
      <c r="AI868" s="8"/>
    </row>
    <row r="869" spans="1:35">
      <c r="A869" s="1"/>
      <c r="B869" s="8"/>
      <c r="C869" s="8"/>
      <c r="D869" s="8"/>
      <c r="E869" s="8"/>
      <c r="F869" s="8"/>
      <c r="G869" s="8"/>
      <c r="H869" s="8"/>
      <c r="I869" s="8"/>
      <c r="J869" s="8"/>
      <c r="K869" s="8"/>
      <c r="L869" s="26"/>
      <c r="M869" s="26"/>
      <c r="N869" s="26"/>
      <c r="O869" s="55"/>
      <c r="P869" s="1"/>
      <c r="Q869" s="8"/>
      <c r="R869" s="8"/>
      <c r="S869" s="1"/>
      <c r="T869" s="8"/>
      <c r="U869" s="8"/>
      <c r="V869" s="56"/>
      <c r="W869" s="1"/>
      <c r="X869" s="1"/>
      <c r="Y869" s="8"/>
      <c r="Z869" s="8"/>
      <c r="AA869" s="8"/>
      <c r="AB869" s="8"/>
      <c r="AC869" s="8"/>
      <c r="AD869" s="8"/>
      <c r="AE869" s="8"/>
      <c r="AF869" s="8"/>
      <c r="AG869" s="8"/>
      <c r="AH869" s="8"/>
      <c r="AI869" s="8"/>
    </row>
    <row r="870" spans="1:35">
      <c r="A870" s="1"/>
      <c r="B870" s="8"/>
      <c r="C870" s="8"/>
      <c r="D870" s="8"/>
      <c r="E870" s="8"/>
      <c r="F870" s="8"/>
      <c r="G870" s="8"/>
      <c r="H870" s="8"/>
      <c r="I870" s="8"/>
      <c r="J870" s="8"/>
      <c r="K870" s="8"/>
      <c r="L870" s="26"/>
      <c r="M870" s="26"/>
      <c r="N870" s="26"/>
      <c r="O870" s="55"/>
      <c r="P870" s="1"/>
      <c r="Q870" s="8"/>
      <c r="R870" s="8"/>
      <c r="S870" s="1"/>
      <c r="T870" s="8"/>
      <c r="U870" s="8"/>
      <c r="V870" s="56"/>
      <c r="W870" s="1"/>
      <c r="X870" s="1"/>
      <c r="Y870" s="8"/>
      <c r="Z870" s="8"/>
      <c r="AA870" s="8"/>
      <c r="AB870" s="8"/>
      <c r="AC870" s="8"/>
      <c r="AD870" s="8"/>
      <c r="AE870" s="8"/>
      <c r="AF870" s="8"/>
      <c r="AG870" s="8"/>
      <c r="AH870" s="8"/>
      <c r="AI870" s="8"/>
    </row>
    <row r="871" spans="1:35">
      <c r="A871" s="1"/>
      <c r="B871" s="8"/>
      <c r="C871" s="8"/>
      <c r="D871" s="8"/>
      <c r="E871" s="8"/>
      <c r="F871" s="8"/>
      <c r="G871" s="8"/>
      <c r="H871" s="8"/>
      <c r="I871" s="8"/>
      <c r="J871" s="8"/>
      <c r="K871" s="8"/>
      <c r="L871" s="26"/>
      <c r="M871" s="26"/>
      <c r="N871" s="26"/>
      <c r="O871" s="55"/>
      <c r="P871" s="1"/>
      <c r="Q871" s="8"/>
      <c r="R871" s="8"/>
      <c r="S871" s="1"/>
      <c r="T871" s="8"/>
      <c r="U871" s="8"/>
      <c r="V871" s="56"/>
      <c r="W871" s="1"/>
      <c r="X871" s="1"/>
      <c r="Y871" s="8"/>
      <c r="Z871" s="8"/>
      <c r="AA871" s="8"/>
      <c r="AB871" s="8"/>
      <c r="AC871" s="8"/>
      <c r="AD871" s="8"/>
      <c r="AE871" s="8"/>
      <c r="AF871" s="8"/>
      <c r="AG871" s="8"/>
      <c r="AH871" s="8"/>
      <c r="AI871" s="8"/>
    </row>
    <row r="872" spans="1:35">
      <c r="A872" s="1"/>
      <c r="B872" s="8"/>
      <c r="C872" s="8"/>
      <c r="D872" s="8"/>
      <c r="E872" s="8"/>
      <c r="F872" s="8"/>
      <c r="G872" s="8"/>
      <c r="H872" s="8"/>
      <c r="I872" s="8"/>
      <c r="J872" s="8"/>
      <c r="K872" s="8"/>
      <c r="L872" s="26"/>
      <c r="M872" s="26"/>
      <c r="N872" s="26"/>
      <c r="O872" s="55"/>
      <c r="P872" s="1"/>
      <c r="Q872" s="8"/>
      <c r="R872" s="8"/>
      <c r="S872" s="1"/>
      <c r="T872" s="8"/>
      <c r="U872" s="8"/>
      <c r="V872" s="56"/>
      <c r="W872" s="1"/>
      <c r="X872" s="1"/>
      <c r="Y872" s="8"/>
      <c r="Z872" s="8"/>
      <c r="AA872" s="8"/>
      <c r="AB872" s="8"/>
      <c r="AC872" s="8"/>
      <c r="AD872" s="8"/>
      <c r="AE872" s="8"/>
      <c r="AF872" s="8"/>
      <c r="AG872" s="8"/>
      <c r="AH872" s="8"/>
      <c r="AI872" s="8"/>
    </row>
    <row r="873" spans="1:35">
      <c r="A873" s="1"/>
      <c r="B873" s="8"/>
      <c r="C873" s="8"/>
      <c r="D873" s="8"/>
      <c r="E873" s="8"/>
      <c r="F873" s="8"/>
      <c r="G873" s="8"/>
      <c r="H873" s="8"/>
      <c r="I873" s="8"/>
      <c r="J873" s="8"/>
      <c r="K873" s="8"/>
      <c r="L873" s="26"/>
      <c r="M873" s="26"/>
      <c r="N873" s="26"/>
      <c r="O873" s="55"/>
      <c r="P873" s="1"/>
      <c r="Q873" s="8"/>
      <c r="R873" s="8"/>
      <c r="S873" s="1"/>
      <c r="T873" s="8"/>
      <c r="U873" s="8"/>
      <c r="V873" s="56"/>
      <c r="W873" s="1"/>
      <c r="X873" s="1"/>
      <c r="Y873" s="8"/>
      <c r="Z873" s="8"/>
      <c r="AA873" s="8"/>
      <c r="AB873" s="8"/>
      <c r="AC873" s="8"/>
      <c r="AD873" s="8"/>
      <c r="AE873" s="8"/>
      <c r="AF873" s="8"/>
      <c r="AG873" s="8"/>
      <c r="AH873" s="8"/>
      <c r="AI873" s="8"/>
    </row>
    <row r="874" spans="1:35">
      <c r="A874" s="1"/>
      <c r="B874" s="8"/>
      <c r="C874" s="8"/>
      <c r="D874" s="8"/>
      <c r="E874" s="8"/>
      <c r="F874" s="8"/>
      <c r="G874" s="8"/>
      <c r="H874" s="8"/>
      <c r="I874" s="8"/>
      <c r="J874" s="8"/>
      <c r="K874" s="8"/>
      <c r="L874" s="26"/>
      <c r="M874" s="26"/>
      <c r="N874" s="26"/>
      <c r="O874" s="55"/>
      <c r="P874" s="1"/>
      <c r="Q874" s="8"/>
      <c r="R874" s="8"/>
      <c r="S874" s="1"/>
      <c r="T874" s="8"/>
      <c r="U874" s="8"/>
      <c r="V874" s="56"/>
      <c r="W874" s="1"/>
      <c r="X874" s="1"/>
      <c r="Y874" s="8"/>
      <c r="Z874" s="8"/>
      <c r="AA874" s="8"/>
      <c r="AB874" s="8"/>
      <c r="AC874" s="8"/>
      <c r="AD874" s="8"/>
      <c r="AE874" s="8"/>
      <c r="AF874" s="8"/>
      <c r="AG874" s="8"/>
      <c r="AH874" s="8"/>
      <c r="AI874" s="8"/>
    </row>
    <row r="875" spans="1:35">
      <c r="A875" s="1"/>
      <c r="B875" s="8"/>
      <c r="C875" s="8"/>
      <c r="D875" s="8"/>
      <c r="E875" s="8"/>
      <c r="F875" s="8"/>
      <c r="G875" s="8"/>
      <c r="H875" s="8"/>
      <c r="I875" s="8"/>
      <c r="J875" s="8"/>
      <c r="K875" s="8"/>
      <c r="L875" s="26"/>
      <c r="M875" s="26"/>
      <c r="N875" s="26"/>
      <c r="O875" s="55"/>
      <c r="P875" s="1"/>
      <c r="Q875" s="8"/>
      <c r="R875" s="8"/>
      <c r="S875" s="1"/>
      <c r="T875" s="8"/>
      <c r="U875" s="8"/>
      <c r="V875" s="56"/>
      <c r="W875" s="1"/>
      <c r="X875" s="1"/>
      <c r="Y875" s="8"/>
      <c r="Z875" s="8"/>
      <c r="AA875" s="8"/>
      <c r="AB875" s="8"/>
      <c r="AC875" s="8"/>
      <c r="AD875" s="8"/>
      <c r="AE875" s="8"/>
      <c r="AF875" s="8"/>
      <c r="AG875" s="8"/>
      <c r="AH875" s="8"/>
      <c r="AI875" s="8"/>
    </row>
    <row r="876" spans="1:35">
      <c r="A876" s="1"/>
      <c r="B876" s="8"/>
      <c r="C876" s="8"/>
      <c r="D876" s="8"/>
      <c r="E876" s="8"/>
      <c r="F876" s="8"/>
      <c r="G876" s="8"/>
      <c r="H876" s="8"/>
      <c r="I876" s="8"/>
      <c r="J876" s="8"/>
      <c r="K876" s="8"/>
      <c r="L876" s="26"/>
      <c r="M876" s="26"/>
      <c r="N876" s="26"/>
      <c r="O876" s="55"/>
      <c r="P876" s="1"/>
      <c r="Q876" s="8"/>
      <c r="R876" s="8"/>
      <c r="S876" s="1"/>
      <c r="T876" s="8"/>
      <c r="U876" s="8"/>
      <c r="V876" s="56"/>
      <c r="W876" s="1"/>
      <c r="X876" s="1"/>
      <c r="Y876" s="8"/>
      <c r="Z876" s="8"/>
      <c r="AA876" s="8"/>
      <c r="AB876" s="8"/>
      <c r="AC876" s="8"/>
      <c r="AD876" s="8"/>
      <c r="AE876" s="8"/>
      <c r="AF876" s="8"/>
      <c r="AG876" s="8"/>
      <c r="AH876" s="8"/>
      <c r="AI876" s="8"/>
    </row>
    <row r="877" spans="1:35">
      <c r="A877" s="1"/>
      <c r="B877" s="8"/>
      <c r="C877" s="8"/>
      <c r="D877" s="8"/>
      <c r="E877" s="8"/>
      <c r="F877" s="8"/>
      <c r="G877" s="8"/>
      <c r="H877" s="8"/>
      <c r="I877" s="8"/>
      <c r="J877" s="8"/>
      <c r="K877" s="8"/>
      <c r="L877" s="26"/>
      <c r="M877" s="26"/>
      <c r="N877" s="26"/>
      <c r="O877" s="55"/>
      <c r="P877" s="1"/>
      <c r="Q877" s="8"/>
      <c r="R877" s="8"/>
      <c r="S877" s="1"/>
      <c r="T877" s="8"/>
      <c r="U877" s="8"/>
      <c r="V877" s="56"/>
      <c r="W877" s="1"/>
      <c r="X877" s="1"/>
      <c r="Y877" s="8"/>
      <c r="Z877" s="8"/>
      <c r="AA877" s="8"/>
      <c r="AB877" s="8"/>
      <c r="AC877" s="8"/>
      <c r="AD877" s="8"/>
      <c r="AE877" s="8"/>
      <c r="AF877" s="8"/>
      <c r="AG877" s="8"/>
      <c r="AH877" s="8"/>
      <c r="AI877" s="8"/>
    </row>
    <row r="878" spans="1:35">
      <c r="A878" s="1"/>
      <c r="B878" s="8"/>
      <c r="C878" s="8"/>
      <c r="D878" s="8"/>
      <c r="E878" s="8"/>
      <c r="F878" s="8"/>
      <c r="G878" s="8"/>
      <c r="H878" s="8"/>
      <c r="I878" s="8"/>
      <c r="J878" s="8"/>
      <c r="K878" s="8"/>
      <c r="L878" s="26"/>
      <c r="M878" s="26"/>
      <c r="N878" s="26"/>
      <c r="O878" s="55"/>
      <c r="P878" s="1"/>
      <c r="Q878" s="8"/>
      <c r="R878" s="8"/>
      <c r="S878" s="1"/>
      <c r="T878" s="8"/>
      <c r="U878" s="8"/>
      <c r="V878" s="56"/>
      <c r="W878" s="1"/>
      <c r="X878" s="1"/>
      <c r="Y878" s="8"/>
      <c r="Z878" s="8"/>
      <c r="AA878" s="8"/>
      <c r="AB878" s="8"/>
      <c r="AC878" s="8"/>
      <c r="AD878" s="8"/>
      <c r="AE878" s="8"/>
      <c r="AF878" s="8"/>
      <c r="AG878" s="8"/>
      <c r="AH878" s="8"/>
      <c r="AI878" s="8"/>
    </row>
    <row r="879" spans="1:35">
      <c r="A879" s="1"/>
      <c r="B879" s="8"/>
      <c r="C879" s="8"/>
      <c r="D879" s="8"/>
      <c r="E879" s="8"/>
      <c r="F879" s="8"/>
      <c r="G879" s="8"/>
      <c r="H879" s="8"/>
      <c r="I879" s="8"/>
      <c r="J879" s="8"/>
      <c r="K879" s="8"/>
      <c r="L879" s="26"/>
      <c r="M879" s="26"/>
      <c r="N879" s="26"/>
      <c r="O879" s="55"/>
      <c r="P879" s="1"/>
      <c r="Q879" s="8"/>
      <c r="R879" s="8"/>
      <c r="S879" s="1"/>
      <c r="T879" s="8"/>
      <c r="U879" s="8"/>
      <c r="V879" s="56"/>
      <c r="W879" s="1"/>
      <c r="X879" s="1"/>
      <c r="Y879" s="8"/>
      <c r="Z879" s="8"/>
      <c r="AA879" s="8"/>
      <c r="AB879" s="8"/>
      <c r="AC879" s="8"/>
      <c r="AD879" s="8"/>
      <c r="AE879" s="8"/>
      <c r="AF879" s="8"/>
      <c r="AG879" s="8"/>
      <c r="AH879" s="8"/>
      <c r="AI879" s="8"/>
    </row>
    <row r="880" spans="1:35">
      <c r="A880" s="1"/>
      <c r="B880" s="8"/>
      <c r="C880" s="8"/>
      <c r="D880" s="8"/>
      <c r="E880" s="8"/>
      <c r="F880" s="8"/>
      <c r="G880" s="8"/>
      <c r="H880" s="8"/>
      <c r="I880" s="8"/>
      <c r="J880" s="8"/>
      <c r="K880" s="8"/>
      <c r="L880" s="26"/>
      <c r="M880" s="26"/>
      <c r="N880" s="26"/>
      <c r="O880" s="55"/>
      <c r="P880" s="1"/>
      <c r="Q880" s="8"/>
      <c r="R880" s="8"/>
      <c r="S880" s="1"/>
      <c r="T880" s="8"/>
      <c r="U880" s="8"/>
      <c r="V880" s="56"/>
      <c r="W880" s="1"/>
      <c r="X880" s="1"/>
      <c r="Y880" s="8"/>
      <c r="Z880" s="8"/>
      <c r="AA880" s="8"/>
      <c r="AB880" s="8"/>
      <c r="AC880" s="8"/>
      <c r="AD880" s="8"/>
      <c r="AE880" s="8"/>
      <c r="AF880" s="8"/>
      <c r="AG880" s="8"/>
      <c r="AH880" s="8"/>
      <c r="AI880" s="8"/>
    </row>
    <row r="881" spans="1:35">
      <c r="A881" s="1"/>
      <c r="B881" s="8"/>
      <c r="C881" s="8"/>
      <c r="D881" s="8"/>
      <c r="E881" s="8"/>
      <c r="F881" s="8"/>
      <c r="G881" s="8"/>
      <c r="H881" s="8"/>
      <c r="I881" s="8"/>
      <c r="J881" s="8"/>
      <c r="K881" s="8"/>
      <c r="L881" s="26"/>
      <c r="M881" s="26"/>
      <c r="N881" s="26"/>
      <c r="O881" s="55"/>
      <c r="P881" s="1"/>
      <c r="Q881" s="8"/>
      <c r="R881" s="8"/>
      <c r="S881" s="1"/>
      <c r="T881" s="8"/>
      <c r="U881" s="8"/>
      <c r="V881" s="56"/>
      <c r="W881" s="1"/>
      <c r="X881" s="1"/>
      <c r="Y881" s="8"/>
      <c r="Z881" s="8"/>
      <c r="AA881" s="8"/>
      <c r="AB881" s="8"/>
      <c r="AC881" s="8"/>
      <c r="AD881" s="8"/>
      <c r="AE881" s="8"/>
      <c r="AF881" s="8"/>
      <c r="AG881" s="8"/>
      <c r="AH881" s="8"/>
      <c r="AI881" s="8"/>
    </row>
    <row r="882" spans="1:35">
      <c r="A882" s="1"/>
      <c r="B882" s="8"/>
      <c r="C882" s="8"/>
      <c r="D882" s="8"/>
      <c r="E882" s="8"/>
      <c r="F882" s="8"/>
      <c r="G882" s="8"/>
      <c r="H882" s="8"/>
      <c r="I882" s="8"/>
      <c r="J882" s="8"/>
      <c r="K882" s="8"/>
      <c r="L882" s="26"/>
      <c r="M882" s="26"/>
      <c r="N882" s="26"/>
      <c r="O882" s="55"/>
      <c r="P882" s="1"/>
      <c r="Q882" s="8"/>
      <c r="R882" s="8"/>
      <c r="S882" s="1"/>
      <c r="T882" s="8"/>
      <c r="U882" s="8"/>
      <c r="V882" s="56"/>
      <c r="W882" s="1"/>
      <c r="X882" s="1"/>
      <c r="Y882" s="8"/>
      <c r="Z882" s="8"/>
      <c r="AA882" s="8"/>
      <c r="AB882" s="8"/>
      <c r="AC882" s="8"/>
      <c r="AD882" s="8"/>
      <c r="AE882" s="8"/>
      <c r="AF882" s="8"/>
      <c r="AG882" s="8"/>
      <c r="AH882" s="8"/>
      <c r="AI882" s="8"/>
    </row>
    <row r="883" spans="1:35">
      <c r="A883" s="1"/>
      <c r="B883" s="8"/>
      <c r="C883" s="8"/>
      <c r="D883" s="8"/>
      <c r="E883" s="8"/>
      <c r="F883" s="8"/>
      <c r="G883" s="8"/>
      <c r="H883" s="8"/>
      <c r="I883" s="8"/>
      <c r="J883" s="8"/>
      <c r="K883" s="8"/>
      <c r="L883" s="26"/>
      <c r="M883" s="26"/>
      <c r="N883" s="26"/>
      <c r="O883" s="55"/>
      <c r="P883" s="1"/>
      <c r="Q883" s="8"/>
      <c r="R883" s="8"/>
      <c r="S883" s="1"/>
      <c r="T883" s="8"/>
      <c r="U883" s="8"/>
      <c r="V883" s="56"/>
      <c r="W883" s="1"/>
      <c r="X883" s="1"/>
      <c r="Y883" s="8"/>
      <c r="Z883" s="8"/>
      <c r="AA883" s="8"/>
      <c r="AB883" s="8"/>
      <c r="AC883" s="8"/>
      <c r="AD883" s="8"/>
      <c r="AE883" s="8"/>
      <c r="AF883" s="8"/>
      <c r="AG883" s="8"/>
      <c r="AH883" s="8"/>
      <c r="AI883" s="8"/>
    </row>
    <row r="884" spans="1:35">
      <c r="A884" s="1"/>
      <c r="B884" s="8"/>
      <c r="C884" s="8"/>
      <c r="D884" s="8"/>
      <c r="E884" s="8"/>
      <c r="F884" s="8"/>
      <c r="G884" s="8"/>
      <c r="H884" s="8"/>
      <c r="I884" s="8"/>
      <c r="J884" s="8"/>
      <c r="K884" s="8"/>
      <c r="L884" s="26"/>
      <c r="M884" s="26"/>
      <c r="N884" s="26"/>
      <c r="O884" s="55"/>
      <c r="P884" s="1"/>
      <c r="Q884" s="8"/>
      <c r="R884" s="8"/>
      <c r="S884" s="1"/>
      <c r="T884" s="8"/>
      <c r="U884" s="8"/>
      <c r="V884" s="56"/>
      <c r="W884" s="1"/>
      <c r="X884" s="1"/>
      <c r="Y884" s="8"/>
      <c r="Z884" s="8"/>
      <c r="AA884" s="8"/>
      <c r="AB884" s="8"/>
      <c r="AC884" s="8"/>
      <c r="AD884" s="8"/>
      <c r="AE884" s="8"/>
      <c r="AF884" s="8"/>
      <c r="AG884" s="8"/>
      <c r="AH884" s="8"/>
      <c r="AI884" s="8"/>
    </row>
    <row r="885" spans="1:35">
      <c r="A885" s="1"/>
      <c r="B885" s="8"/>
      <c r="C885" s="8"/>
      <c r="D885" s="8"/>
      <c r="E885" s="8"/>
      <c r="F885" s="8"/>
      <c r="G885" s="8"/>
      <c r="H885" s="8"/>
      <c r="I885" s="8"/>
      <c r="J885" s="8"/>
      <c r="K885" s="8"/>
      <c r="L885" s="26"/>
      <c r="M885" s="26"/>
      <c r="N885" s="26"/>
      <c r="O885" s="55"/>
      <c r="P885" s="1"/>
      <c r="Q885" s="8"/>
      <c r="R885" s="8"/>
      <c r="S885" s="1"/>
      <c r="T885" s="8"/>
      <c r="U885" s="8"/>
      <c r="V885" s="56"/>
      <c r="W885" s="1"/>
      <c r="X885" s="1"/>
      <c r="Y885" s="8"/>
      <c r="Z885" s="8"/>
      <c r="AA885" s="8"/>
      <c r="AB885" s="8"/>
      <c r="AC885" s="8"/>
      <c r="AD885" s="8"/>
      <c r="AE885" s="8"/>
      <c r="AF885" s="8"/>
      <c r="AG885" s="8"/>
      <c r="AH885" s="8"/>
      <c r="AI885" s="8"/>
    </row>
    <row r="886" spans="1:35">
      <c r="A886" s="1"/>
      <c r="B886" s="8"/>
      <c r="C886" s="8"/>
      <c r="D886" s="8"/>
      <c r="E886" s="8"/>
      <c r="F886" s="8"/>
      <c r="G886" s="8"/>
      <c r="H886" s="8"/>
      <c r="I886" s="8"/>
      <c r="J886" s="8"/>
      <c r="K886" s="8"/>
      <c r="L886" s="26"/>
      <c r="M886" s="26"/>
      <c r="N886" s="26"/>
      <c r="O886" s="55"/>
      <c r="P886" s="1"/>
      <c r="Q886" s="8"/>
      <c r="R886" s="8"/>
      <c r="S886" s="1"/>
      <c r="T886" s="8"/>
      <c r="U886" s="8"/>
      <c r="V886" s="56"/>
      <c r="W886" s="1"/>
      <c r="X886" s="1"/>
      <c r="Y886" s="8"/>
      <c r="Z886" s="8"/>
      <c r="AA886" s="8"/>
      <c r="AB886" s="8"/>
      <c r="AC886" s="8"/>
      <c r="AD886" s="8"/>
      <c r="AE886" s="8"/>
      <c r="AF886" s="8"/>
      <c r="AG886" s="8"/>
      <c r="AH886" s="8"/>
      <c r="AI886" s="8"/>
    </row>
    <row r="887" spans="1:35">
      <c r="A887" s="1"/>
      <c r="B887" s="8"/>
      <c r="C887" s="8"/>
      <c r="D887" s="8"/>
      <c r="E887" s="8"/>
      <c r="F887" s="8"/>
      <c r="G887" s="8"/>
      <c r="H887" s="8"/>
      <c r="I887" s="8"/>
      <c r="J887" s="8"/>
      <c r="K887" s="8"/>
      <c r="L887" s="26"/>
      <c r="M887" s="26"/>
      <c r="N887" s="26"/>
      <c r="O887" s="55"/>
      <c r="P887" s="1"/>
      <c r="Q887" s="8"/>
      <c r="R887" s="8"/>
      <c r="S887" s="1"/>
      <c r="T887" s="8"/>
      <c r="U887" s="8"/>
      <c r="V887" s="56"/>
      <c r="W887" s="1"/>
      <c r="X887" s="1"/>
      <c r="Y887" s="8"/>
      <c r="Z887" s="8"/>
      <c r="AA887" s="8"/>
      <c r="AB887" s="8"/>
      <c r="AC887" s="8"/>
      <c r="AD887" s="8"/>
      <c r="AE887" s="8"/>
      <c r="AF887" s="8"/>
      <c r="AG887" s="8"/>
      <c r="AH887" s="8"/>
      <c r="AI887" s="8"/>
    </row>
    <row r="888" spans="1:35">
      <c r="A888" s="1"/>
      <c r="B888" s="8"/>
      <c r="C888" s="8"/>
      <c r="D888" s="8"/>
      <c r="E888" s="8"/>
      <c r="F888" s="8"/>
      <c r="G888" s="8"/>
      <c r="H888" s="8"/>
      <c r="I888" s="8"/>
      <c r="J888" s="8"/>
      <c r="K888" s="8"/>
      <c r="L888" s="26"/>
      <c r="M888" s="26"/>
      <c r="N888" s="26"/>
      <c r="O888" s="55"/>
      <c r="P888" s="1"/>
      <c r="Q888" s="8"/>
      <c r="R888" s="8"/>
      <c r="S888" s="1"/>
      <c r="T888" s="8"/>
      <c r="U888" s="8"/>
      <c r="V888" s="56"/>
      <c r="W888" s="1"/>
      <c r="X888" s="1"/>
      <c r="Y888" s="8"/>
      <c r="Z888" s="8"/>
      <c r="AA888" s="8"/>
      <c r="AB888" s="8"/>
      <c r="AC888" s="8"/>
      <c r="AD888" s="8"/>
      <c r="AE888" s="8"/>
      <c r="AF888" s="8"/>
      <c r="AG888" s="8"/>
      <c r="AH888" s="8"/>
      <c r="AI888" s="8"/>
    </row>
    <row r="889" spans="1:35">
      <c r="A889" s="1"/>
      <c r="B889" s="8"/>
      <c r="C889" s="8"/>
      <c r="D889" s="8"/>
      <c r="E889" s="8"/>
      <c r="F889" s="8"/>
      <c r="G889" s="8"/>
      <c r="H889" s="8"/>
      <c r="I889" s="8"/>
      <c r="J889" s="8"/>
      <c r="K889" s="8"/>
      <c r="L889" s="26"/>
      <c r="M889" s="26"/>
      <c r="N889" s="26"/>
      <c r="O889" s="55"/>
      <c r="P889" s="1"/>
      <c r="Q889" s="8"/>
      <c r="R889" s="8"/>
      <c r="S889" s="1"/>
      <c r="T889" s="8"/>
      <c r="U889" s="8"/>
      <c r="V889" s="56"/>
      <c r="W889" s="1"/>
      <c r="X889" s="1"/>
      <c r="Y889" s="8"/>
      <c r="Z889" s="8"/>
      <c r="AA889" s="8"/>
      <c r="AB889" s="8"/>
      <c r="AC889" s="8"/>
      <c r="AD889" s="8"/>
      <c r="AE889" s="8"/>
      <c r="AF889" s="8"/>
      <c r="AG889" s="8"/>
      <c r="AH889" s="8"/>
      <c r="AI889" s="8"/>
    </row>
    <row r="890" spans="1:35">
      <c r="A890" s="1"/>
      <c r="B890" s="8"/>
      <c r="C890" s="8"/>
      <c r="D890" s="8"/>
      <c r="E890" s="8"/>
      <c r="F890" s="8"/>
      <c r="G890" s="8"/>
      <c r="H890" s="8"/>
      <c r="I890" s="8"/>
      <c r="J890" s="8"/>
      <c r="K890" s="8"/>
      <c r="L890" s="26"/>
      <c r="M890" s="26"/>
      <c r="N890" s="26"/>
      <c r="O890" s="55"/>
      <c r="P890" s="1"/>
      <c r="Q890" s="8"/>
      <c r="R890" s="8"/>
      <c r="S890" s="1"/>
      <c r="T890" s="8"/>
      <c r="U890" s="8"/>
      <c r="V890" s="56"/>
      <c r="W890" s="1"/>
      <c r="X890" s="1"/>
      <c r="Y890" s="8"/>
      <c r="Z890" s="8"/>
      <c r="AA890" s="8"/>
      <c r="AB890" s="8"/>
      <c r="AC890" s="8"/>
      <c r="AD890" s="8"/>
      <c r="AE890" s="8"/>
      <c r="AF890" s="8"/>
      <c r="AG890" s="8"/>
      <c r="AH890" s="8"/>
      <c r="AI890" s="8"/>
    </row>
    <row r="891" spans="1:35">
      <c r="A891" s="1"/>
      <c r="B891" s="8"/>
      <c r="C891" s="8"/>
      <c r="D891" s="8"/>
      <c r="E891" s="8"/>
      <c r="F891" s="8"/>
      <c r="G891" s="8"/>
      <c r="H891" s="8"/>
      <c r="I891" s="8"/>
      <c r="J891" s="8"/>
      <c r="K891" s="8"/>
      <c r="L891" s="26"/>
      <c r="M891" s="26"/>
      <c r="N891" s="26"/>
      <c r="O891" s="55"/>
      <c r="P891" s="1"/>
      <c r="Q891" s="8"/>
      <c r="R891" s="8"/>
      <c r="S891" s="1"/>
      <c r="T891" s="8"/>
      <c r="U891" s="8"/>
      <c r="V891" s="56"/>
      <c r="W891" s="1"/>
      <c r="X891" s="1"/>
      <c r="Y891" s="8"/>
      <c r="Z891" s="8"/>
      <c r="AA891" s="8"/>
      <c r="AB891" s="8"/>
      <c r="AC891" s="8"/>
      <c r="AD891" s="8"/>
      <c r="AE891" s="8"/>
      <c r="AF891" s="8"/>
      <c r="AG891" s="8"/>
      <c r="AH891" s="8"/>
      <c r="AI891" s="8"/>
    </row>
    <row r="892" spans="1:35">
      <c r="A892" s="1"/>
      <c r="B892" s="8"/>
      <c r="C892" s="8"/>
      <c r="D892" s="8"/>
      <c r="E892" s="8"/>
      <c r="F892" s="8"/>
      <c r="G892" s="8"/>
      <c r="H892" s="8"/>
      <c r="I892" s="8"/>
      <c r="J892" s="8"/>
      <c r="K892" s="8"/>
      <c r="L892" s="26"/>
      <c r="M892" s="26"/>
      <c r="N892" s="26"/>
      <c r="O892" s="55"/>
      <c r="P892" s="1"/>
      <c r="Q892" s="8"/>
      <c r="R892" s="8"/>
      <c r="S892" s="1"/>
      <c r="T892" s="8"/>
      <c r="U892" s="8"/>
      <c r="V892" s="56"/>
      <c r="W892" s="1"/>
      <c r="X892" s="1"/>
      <c r="Y892" s="8"/>
      <c r="Z892" s="8"/>
      <c r="AA892" s="8"/>
      <c r="AB892" s="8"/>
      <c r="AC892" s="8"/>
      <c r="AD892" s="8"/>
      <c r="AE892" s="8"/>
      <c r="AF892" s="8"/>
      <c r="AG892" s="8"/>
      <c r="AH892" s="8"/>
      <c r="AI892" s="8"/>
    </row>
    <row r="893" spans="1:35">
      <c r="A893" s="1"/>
      <c r="B893" s="8"/>
      <c r="C893" s="8"/>
      <c r="D893" s="8"/>
      <c r="E893" s="8"/>
      <c r="F893" s="8"/>
      <c r="G893" s="8"/>
      <c r="H893" s="8"/>
      <c r="I893" s="8"/>
      <c r="J893" s="8"/>
      <c r="K893" s="8"/>
      <c r="L893" s="26"/>
      <c r="M893" s="26"/>
      <c r="N893" s="26"/>
      <c r="O893" s="55"/>
      <c r="P893" s="1"/>
      <c r="Q893" s="8"/>
      <c r="R893" s="8"/>
      <c r="S893" s="1"/>
      <c r="T893" s="8"/>
      <c r="U893" s="8"/>
      <c r="V893" s="56"/>
      <c r="W893" s="1"/>
      <c r="X893" s="1"/>
      <c r="Y893" s="8"/>
      <c r="Z893" s="8"/>
      <c r="AA893" s="8"/>
      <c r="AB893" s="8"/>
      <c r="AC893" s="8"/>
      <c r="AD893" s="8"/>
      <c r="AE893" s="8"/>
      <c r="AF893" s="8"/>
      <c r="AG893" s="8"/>
      <c r="AH893" s="8"/>
      <c r="AI893" s="8"/>
    </row>
    <row r="894" spans="1:35">
      <c r="A894" s="1"/>
      <c r="B894" s="8"/>
      <c r="C894" s="8"/>
      <c r="D894" s="8"/>
      <c r="E894" s="8"/>
      <c r="F894" s="8"/>
      <c r="G894" s="8"/>
      <c r="H894" s="8"/>
      <c r="I894" s="8"/>
      <c r="J894" s="8"/>
      <c r="K894" s="8"/>
      <c r="L894" s="26"/>
      <c r="M894" s="26"/>
      <c r="N894" s="26"/>
      <c r="O894" s="55"/>
      <c r="P894" s="1"/>
      <c r="Q894" s="8"/>
      <c r="R894" s="8"/>
      <c r="S894" s="1"/>
      <c r="T894" s="8"/>
      <c r="U894" s="8"/>
      <c r="V894" s="56"/>
      <c r="W894" s="1"/>
      <c r="X894" s="1"/>
      <c r="Y894" s="8"/>
      <c r="Z894" s="8"/>
      <c r="AA894" s="8"/>
      <c r="AB894" s="8"/>
      <c r="AC894" s="8"/>
      <c r="AD894" s="8"/>
      <c r="AE894" s="8"/>
      <c r="AF894" s="8"/>
      <c r="AG894" s="8"/>
      <c r="AH894" s="8"/>
      <c r="AI894" s="8"/>
    </row>
    <row r="895" spans="1:35">
      <c r="A895" s="1"/>
      <c r="B895" s="8"/>
      <c r="C895" s="8"/>
      <c r="D895" s="8"/>
      <c r="E895" s="8"/>
      <c r="F895" s="8"/>
      <c r="G895" s="8"/>
      <c r="H895" s="8"/>
      <c r="I895" s="8"/>
      <c r="J895" s="8"/>
      <c r="K895" s="8"/>
      <c r="L895" s="26"/>
      <c r="M895" s="26"/>
      <c r="N895" s="26"/>
      <c r="O895" s="55"/>
      <c r="P895" s="1"/>
      <c r="Q895" s="8"/>
      <c r="R895" s="8"/>
      <c r="S895" s="1"/>
      <c r="T895" s="8"/>
      <c r="U895" s="8"/>
      <c r="V895" s="56"/>
      <c r="W895" s="1"/>
      <c r="X895" s="1"/>
      <c r="Y895" s="8"/>
      <c r="Z895" s="8"/>
      <c r="AA895" s="8"/>
      <c r="AB895" s="8"/>
      <c r="AC895" s="8"/>
      <c r="AD895" s="8"/>
      <c r="AE895" s="8"/>
      <c r="AF895" s="8"/>
      <c r="AG895" s="8"/>
      <c r="AH895" s="8"/>
      <c r="AI895" s="8"/>
    </row>
    <row r="896" spans="1:35">
      <c r="A896" s="1"/>
      <c r="B896" s="8"/>
      <c r="C896" s="8"/>
      <c r="D896" s="8"/>
      <c r="E896" s="8"/>
      <c r="F896" s="8"/>
      <c r="G896" s="8"/>
      <c r="H896" s="8"/>
      <c r="I896" s="8"/>
      <c r="J896" s="8"/>
      <c r="K896" s="8"/>
      <c r="L896" s="26"/>
      <c r="M896" s="26"/>
      <c r="N896" s="26"/>
      <c r="O896" s="55"/>
      <c r="P896" s="1"/>
      <c r="Q896" s="8"/>
      <c r="R896" s="8"/>
      <c r="S896" s="1"/>
      <c r="T896" s="8"/>
      <c r="U896" s="8"/>
      <c r="V896" s="56"/>
      <c r="W896" s="1"/>
      <c r="X896" s="1"/>
      <c r="Y896" s="8"/>
      <c r="Z896" s="8"/>
      <c r="AA896" s="8"/>
      <c r="AB896" s="8"/>
      <c r="AC896" s="8"/>
      <c r="AD896" s="8"/>
      <c r="AE896" s="8"/>
      <c r="AF896" s="8"/>
      <c r="AG896" s="8"/>
      <c r="AH896" s="8"/>
      <c r="AI896" s="8"/>
    </row>
    <row r="897" spans="1:35">
      <c r="A897" s="1"/>
      <c r="B897" s="8"/>
      <c r="C897" s="8"/>
      <c r="D897" s="8"/>
      <c r="E897" s="8"/>
      <c r="F897" s="8"/>
      <c r="G897" s="8"/>
      <c r="H897" s="8"/>
      <c r="I897" s="8"/>
      <c r="J897" s="8"/>
      <c r="K897" s="8"/>
      <c r="L897" s="26"/>
      <c r="M897" s="26"/>
      <c r="N897" s="26"/>
      <c r="O897" s="55"/>
      <c r="P897" s="1"/>
      <c r="Q897" s="8"/>
      <c r="R897" s="8"/>
      <c r="S897" s="1"/>
      <c r="T897" s="8"/>
      <c r="U897" s="8"/>
      <c r="V897" s="56"/>
      <c r="W897" s="1"/>
      <c r="X897" s="1"/>
      <c r="Y897" s="8"/>
      <c r="Z897" s="8"/>
      <c r="AA897" s="8"/>
      <c r="AB897" s="8"/>
      <c r="AC897" s="8"/>
      <c r="AD897" s="8"/>
      <c r="AE897" s="8"/>
      <c r="AF897" s="8"/>
      <c r="AG897" s="8"/>
      <c r="AH897" s="8"/>
      <c r="AI897" s="8"/>
    </row>
    <row r="898" spans="1:35">
      <c r="A898" s="1"/>
      <c r="B898" s="8"/>
      <c r="C898" s="8"/>
      <c r="D898" s="8"/>
      <c r="E898" s="8"/>
      <c r="F898" s="8"/>
      <c r="G898" s="8"/>
      <c r="H898" s="8"/>
      <c r="I898" s="8"/>
      <c r="J898" s="8"/>
      <c r="K898" s="8"/>
      <c r="L898" s="26"/>
      <c r="M898" s="26"/>
      <c r="N898" s="26"/>
      <c r="O898" s="55"/>
      <c r="P898" s="1"/>
      <c r="Q898" s="8"/>
      <c r="R898" s="8"/>
      <c r="S898" s="1"/>
      <c r="T898" s="8"/>
      <c r="U898" s="8"/>
      <c r="V898" s="56"/>
      <c r="W898" s="1"/>
      <c r="X898" s="1"/>
      <c r="Y898" s="8"/>
      <c r="Z898" s="8"/>
      <c r="AA898" s="8"/>
      <c r="AB898" s="8"/>
      <c r="AC898" s="8"/>
      <c r="AD898" s="8"/>
      <c r="AE898" s="8"/>
      <c r="AF898" s="8"/>
      <c r="AG898" s="8"/>
      <c r="AH898" s="8"/>
      <c r="AI898" s="8"/>
    </row>
    <row r="899" spans="1:35">
      <c r="A899" s="1"/>
      <c r="B899" s="8"/>
      <c r="C899" s="8"/>
      <c r="D899" s="8"/>
      <c r="E899" s="8"/>
      <c r="F899" s="8"/>
      <c r="G899" s="8"/>
      <c r="H899" s="8"/>
      <c r="I899" s="8"/>
      <c r="J899" s="8"/>
      <c r="K899" s="8"/>
      <c r="L899" s="26"/>
      <c r="M899" s="26"/>
      <c r="N899" s="26"/>
      <c r="O899" s="55"/>
      <c r="P899" s="1"/>
      <c r="Q899" s="8"/>
      <c r="R899" s="8"/>
      <c r="S899" s="1"/>
      <c r="T899" s="8"/>
      <c r="U899" s="8"/>
      <c r="V899" s="56"/>
      <c r="W899" s="1"/>
      <c r="X899" s="1"/>
      <c r="Y899" s="8"/>
      <c r="Z899" s="8"/>
      <c r="AA899" s="8"/>
      <c r="AB899" s="8"/>
      <c r="AC899" s="8"/>
      <c r="AD899" s="8"/>
      <c r="AE899" s="8"/>
      <c r="AF899" s="8"/>
      <c r="AG899" s="8"/>
      <c r="AH899" s="8"/>
      <c r="AI899" s="8"/>
    </row>
    <row r="900" spans="1:35">
      <c r="A900" s="1"/>
      <c r="B900" s="8"/>
      <c r="C900" s="8"/>
      <c r="D900" s="8"/>
      <c r="E900" s="8"/>
      <c r="F900" s="8"/>
      <c r="G900" s="8"/>
      <c r="H900" s="8"/>
      <c r="I900" s="8"/>
      <c r="J900" s="8"/>
      <c r="K900" s="8"/>
      <c r="L900" s="26"/>
      <c r="M900" s="26"/>
      <c r="N900" s="26"/>
      <c r="O900" s="55"/>
      <c r="P900" s="1"/>
      <c r="Q900" s="8"/>
      <c r="R900" s="8"/>
      <c r="S900" s="1"/>
      <c r="T900" s="8"/>
      <c r="U900" s="8"/>
      <c r="V900" s="56"/>
      <c r="W900" s="1"/>
      <c r="X900" s="1"/>
      <c r="Y900" s="8"/>
      <c r="Z900" s="8"/>
      <c r="AA900" s="8"/>
      <c r="AB900" s="8"/>
      <c r="AC900" s="8"/>
      <c r="AD900" s="8"/>
      <c r="AE900" s="8"/>
      <c r="AF900" s="8"/>
      <c r="AG900" s="8"/>
      <c r="AH900" s="8"/>
      <c r="AI900" s="8"/>
    </row>
    <row r="901" spans="1:35">
      <c r="A901" s="1"/>
      <c r="B901" s="8"/>
      <c r="C901" s="8"/>
      <c r="D901" s="8"/>
      <c r="E901" s="8"/>
      <c r="F901" s="8"/>
      <c r="G901" s="8"/>
      <c r="H901" s="8"/>
      <c r="I901" s="8"/>
      <c r="J901" s="8"/>
      <c r="K901" s="8"/>
      <c r="L901" s="26"/>
      <c r="M901" s="26"/>
      <c r="N901" s="26"/>
      <c r="O901" s="55"/>
      <c r="P901" s="1"/>
      <c r="Q901" s="8"/>
      <c r="R901" s="8"/>
      <c r="S901" s="1"/>
      <c r="T901" s="8"/>
      <c r="U901" s="8"/>
      <c r="V901" s="56"/>
      <c r="W901" s="1"/>
      <c r="X901" s="1"/>
      <c r="Y901" s="8"/>
      <c r="Z901" s="8"/>
      <c r="AA901" s="8"/>
      <c r="AB901" s="8"/>
      <c r="AC901" s="8"/>
      <c r="AD901" s="8"/>
      <c r="AE901" s="8"/>
      <c r="AF901" s="8"/>
      <c r="AG901" s="8"/>
      <c r="AH901" s="8"/>
      <c r="AI901" s="8"/>
    </row>
    <row r="902" spans="1:35">
      <c r="A902" s="1"/>
      <c r="B902" s="8"/>
      <c r="C902" s="8"/>
      <c r="D902" s="8"/>
      <c r="E902" s="8"/>
      <c r="F902" s="8"/>
      <c r="G902" s="8"/>
      <c r="H902" s="8"/>
      <c r="I902" s="8"/>
      <c r="J902" s="8"/>
      <c r="K902" s="8"/>
      <c r="L902" s="26"/>
      <c r="M902" s="26"/>
      <c r="N902" s="26"/>
      <c r="O902" s="55"/>
      <c r="P902" s="1"/>
      <c r="Q902" s="8"/>
      <c r="R902" s="8"/>
      <c r="S902" s="1"/>
      <c r="T902" s="8"/>
      <c r="U902" s="8"/>
      <c r="V902" s="56"/>
      <c r="W902" s="1"/>
      <c r="X902" s="1"/>
      <c r="Y902" s="8"/>
      <c r="Z902" s="8"/>
      <c r="AA902" s="8"/>
      <c r="AB902" s="8"/>
      <c r="AC902" s="8"/>
      <c r="AD902" s="8"/>
      <c r="AE902" s="8"/>
      <c r="AF902" s="8"/>
      <c r="AG902" s="8"/>
      <c r="AH902" s="8"/>
      <c r="AI902" s="8"/>
    </row>
    <row r="903" spans="1:35">
      <c r="A903" s="1"/>
      <c r="B903" s="8"/>
      <c r="C903" s="8"/>
      <c r="D903" s="8"/>
      <c r="E903" s="8"/>
      <c r="F903" s="8"/>
      <c r="G903" s="8"/>
      <c r="H903" s="8"/>
      <c r="I903" s="8"/>
      <c r="J903" s="8"/>
      <c r="K903" s="8"/>
      <c r="L903" s="26"/>
      <c r="M903" s="26"/>
      <c r="N903" s="26"/>
      <c r="O903" s="55"/>
      <c r="P903" s="1"/>
      <c r="Q903" s="8"/>
      <c r="R903" s="8"/>
      <c r="S903" s="1"/>
      <c r="T903" s="8"/>
      <c r="U903" s="8"/>
      <c r="V903" s="56"/>
      <c r="W903" s="1"/>
      <c r="X903" s="1"/>
      <c r="Y903" s="8"/>
      <c r="Z903" s="8"/>
      <c r="AA903" s="8"/>
      <c r="AB903" s="8"/>
      <c r="AC903" s="8"/>
      <c r="AD903" s="8"/>
      <c r="AE903" s="8"/>
      <c r="AF903" s="8"/>
      <c r="AG903" s="8"/>
      <c r="AH903" s="8"/>
      <c r="AI903" s="8"/>
    </row>
    <row r="904" spans="1:35">
      <c r="A904" s="1"/>
      <c r="B904" s="8"/>
      <c r="C904" s="8"/>
      <c r="D904" s="8"/>
      <c r="E904" s="8"/>
      <c r="F904" s="8"/>
      <c r="G904" s="8"/>
      <c r="H904" s="8"/>
      <c r="I904" s="8"/>
      <c r="J904" s="8"/>
      <c r="K904" s="8"/>
      <c r="L904" s="26"/>
      <c r="M904" s="26"/>
      <c r="N904" s="26"/>
      <c r="O904" s="55"/>
      <c r="P904" s="1"/>
      <c r="Q904" s="8"/>
      <c r="R904" s="8"/>
      <c r="S904" s="1"/>
      <c r="T904" s="8"/>
      <c r="U904" s="8"/>
      <c r="V904" s="56"/>
      <c r="W904" s="1"/>
      <c r="X904" s="1"/>
      <c r="Y904" s="8"/>
      <c r="Z904" s="8"/>
      <c r="AA904" s="8"/>
      <c r="AB904" s="8"/>
      <c r="AC904" s="8"/>
      <c r="AD904" s="8"/>
      <c r="AE904" s="8"/>
      <c r="AF904" s="8"/>
      <c r="AG904" s="8"/>
      <c r="AH904" s="8"/>
      <c r="AI904" s="8"/>
    </row>
    <row r="905" spans="1:35">
      <c r="A905" s="1"/>
      <c r="B905" s="8"/>
      <c r="C905" s="8"/>
      <c r="D905" s="8"/>
      <c r="E905" s="8"/>
      <c r="F905" s="8"/>
      <c r="G905" s="8"/>
      <c r="H905" s="8"/>
      <c r="I905" s="8"/>
      <c r="J905" s="8"/>
      <c r="K905" s="8"/>
      <c r="L905" s="26"/>
      <c r="M905" s="26"/>
      <c r="N905" s="26"/>
      <c r="O905" s="55"/>
      <c r="P905" s="1"/>
      <c r="Q905" s="8"/>
      <c r="R905" s="8"/>
      <c r="S905" s="1"/>
      <c r="T905" s="8"/>
      <c r="U905" s="8"/>
      <c r="V905" s="56"/>
      <c r="W905" s="1"/>
      <c r="X905" s="1"/>
      <c r="Y905" s="8"/>
      <c r="Z905" s="8"/>
      <c r="AA905" s="8"/>
      <c r="AB905" s="8"/>
      <c r="AC905" s="8"/>
      <c r="AD905" s="8"/>
      <c r="AE905" s="8"/>
      <c r="AF905" s="8"/>
      <c r="AG905" s="8"/>
      <c r="AH905" s="8"/>
      <c r="AI905" s="8"/>
    </row>
    <row r="906" spans="1:35">
      <c r="A906" s="1"/>
      <c r="B906" s="8"/>
      <c r="C906" s="8"/>
      <c r="D906" s="8"/>
      <c r="E906" s="8"/>
      <c r="F906" s="8"/>
      <c r="G906" s="8"/>
      <c r="H906" s="8"/>
      <c r="I906" s="8"/>
      <c r="J906" s="8"/>
      <c r="K906" s="8"/>
      <c r="L906" s="26"/>
      <c r="M906" s="26"/>
      <c r="N906" s="26"/>
      <c r="O906" s="55"/>
      <c r="P906" s="1"/>
      <c r="Q906" s="8"/>
      <c r="R906" s="8"/>
      <c r="S906" s="1"/>
      <c r="T906" s="8"/>
      <c r="U906" s="8"/>
      <c r="V906" s="56"/>
      <c r="W906" s="1"/>
      <c r="X906" s="1"/>
      <c r="Y906" s="8"/>
      <c r="Z906" s="8"/>
      <c r="AA906" s="8"/>
      <c r="AB906" s="8"/>
      <c r="AC906" s="8"/>
      <c r="AD906" s="8"/>
      <c r="AE906" s="8"/>
      <c r="AF906" s="8"/>
      <c r="AG906" s="8"/>
      <c r="AH906" s="8"/>
      <c r="AI906" s="8"/>
    </row>
    <row r="907" spans="1:35">
      <c r="A907" s="1"/>
      <c r="B907" s="8"/>
      <c r="C907" s="8"/>
      <c r="D907" s="8"/>
      <c r="E907" s="8"/>
      <c r="F907" s="8"/>
      <c r="G907" s="8"/>
      <c r="H907" s="8"/>
      <c r="I907" s="8"/>
      <c r="J907" s="8"/>
      <c r="K907" s="8"/>
      <c r="L907" s="26"/>
      <c r="M907" s="26"/>
      <c r="N907" s="26"/>
      <c r="O907" s="55"/>
      <c r="P907" s="1"/>
      <c r="Q907" s="8"/>
      <c r="R907" s="8"/>
      <c r="S907" s="1"/>
      <c r="T907" s="8"/>
      <c r="U907" s="8"/>
      <c r="V907" s="56"/>
      <c r="W907" s="1"/>
      <c r="X907" s="1"/>
      <c r="Y907" s="8"/>
      <c r="Z907" s="8"/>
      <c r="AA907" s="8"/>
      <c r="AB907" s="8"/>
      <c r="AC907" s="8"/>
      <c r="AD907" s="8"/>
      <c r="AE907" s="8"/>
      <c r="AF907" s="8"/>
      <c r="AG907" s="8"/>
      <c r="AH907" s="8"/>
      <c r="AI907" s="8"/>
    </row>
    <row r="908" spans="1:35">
      <c r="A908" s="1"/>
      <c r="B908" s="8"/>
      <c r="C908" s="8"/>
      <c r="D908" s="8"/>
      <c r="E908" s="8"/>
      <c r="F908" s="8"/>
      <c r="G908" s="8"/>
      <c r="H908" s="8"/>
      <c r="I908" s="8"/>
      <c r="J908" s="8"/>
      <c r="K908" s="8"/>
      <c r="L908" s="26"/>
      <c r="M908" s="26"/>
      <c r="N908" s="26"/>
      <c r="O908" s="55"/>
      <c r="P908" s="1"/>
      <c r="Q908" s="8"/>
      <c r="R908" s="8"/>
      <c r="S908" s="1"/>
      <c r="T908" s="8"/>
      <c r="U908" s="8"/>
      <c r="V908" s="56"/>
      <c r="W908" s="1"/>
      <c r="X908" s="1"/>
      <c r="Y908" s="8"/>
      <c r="Z908" s="8"/>
      <c r="AA908" s="8"/>
      <c r="AB908" s="8"/>
      <c r="AC908" s="8"/>
      <c r="AD908" s="8"/>
      <c r="AE908" s="8"/>
      <c r="AF908" s="8"/>
      <c r="AG908" s="8"/>
      <c r="AH908" s="8"/>
      <c r="AI908" s="8"/>
    </row>
    <row r="909" spans="1:35">
      <c r="A909" s="1"/>
      <c r="B909" s="8"/>
      <c r="C909" s="8"/>
      <c r="D909" s="8"/>
      <c r="E909" s="8"/>
      <c r="F909" s="8"/>
      <c r="G909" s="8"/>
      <c r="H909" s="8"/>
      <c r="I909" s="8"/>
      <c r="J909" s="8"/>
      <c r="K909" s="8"/>
      <c r="L909" s="26"/>
      <c r="M909" s="26"/>
      <c r="N909" s="26"/>
      <c r="O909" s="55"/>
      <c r="P909" s="1"/>
      <c r="Q909" s="8"/>
      <c r="R909" s="8"/>
      <c r="S909" s="1"/>
      <c r="T909" s="8"/>
      <c r="U909" s="8"/>
      <c r="V909" s="56"/>
      <c r="W909" s="1"/>
      <c r="X909" s="1"/>
      <c r="Y909" s="8"/>
      <c r="Z909" s="8"/>
      <c r="AA909" s="8"/>
      <c r="AB909" s="8"/>
      <c r="AC909" s="8"/>
      <c r="AD909" s="8"/>
      <c r="AE909" s="8"/>
      <c r="AF909" s="8"/>
      <c r="AG909" s="8"/>
      <c r="AH909" s="8"/>
      <c r="AI909" s="8"/>
    </row>
    <row r="910" spans="1:35">
      <c r="A910" s="1"/>
      <c r="B910" s="8"/>
      <c r="C910" s="8"/>
      <c r="D910" s="8"/>
      <c r="E910" s="8"/>
      <c r="F910" s="8"/>
      <c r="G910" s="8"/>
      <c r="H910" s="8"/>
      <c r="I910" s="8"/>
      <c r="J910" s="8"/>
      <c r="K910" s="8"/>
      <c r="L910" s="26"/>
      <c r="M910" s="26"/>
      <c r="N910" s="26"/>
      <c r="O910" s="55"/>
      <c r="P910" s="1"/>
      <c r="Q910" s="8"/>
      <c r="R910" s="8"/>
      <c r="S910" s="1"/>
      <c r="T910" s="8"/>
      <c r="U910" s="8"/>
      <c r="V910" s="56"/>
      <c r="W910" s="1"/>
      <c r="X910" s="1"/>
      <c r="Y910" s="8"/>
      <c r="Z910" s="8"/>
      <c r="AA910" s="8"/>
      <c r="AB910" s="8"/>
      <c r="AC910" s="8"/>
      <c r="AD910" s="8"/>
      <c r="AE910" s="8"/>
      <c r="AF910" s="8"/>
      <c r="AG910" s="8"/>
      <c r="AH910" s="8"/>
      <c r="AI910" s="8"/>
    </row>
    <row r="911" spans="1:35">
      <c r="A911" s="1"/>
      <c r="B911" s="8"/>
      <c r="C911" s="8"/>
      <c r="D911" s="8"/>
      <c r="E911" s="8"/>
      <c r="F911" s="8"/>
      <c r="G911" s="8"/>
      <c r="H911" s="8"/>
      <c r="I911" s="8"/>
      <c r="J911" s="8"/>
      <c r="K911" s="8"/>
      <c r="L911" s="26"/>
      <c r="M911" s="26"/>
      <c r="N911" s="26"/>
      <c r="O911" s="55"/>
      <c r="P911" s="1"/>
      <c r="Q911" s="8"/>
      <c r="R911" s="8"/>
      <c r="S911" s="1"/>
      <c r="T911" s="8"/>
      <c r="U911" s="8"/>
      <c r="V911" s="56"/>
      <c r="W911" s="1"/>
      <c r="X911" s="1"/>
      <c r="Y911" s="8"/>
      <c r="Z911" s="8"/>
      <c r="AA911" s="8"/>
      <c r="AB911" s="8"/>
      <c r="AC911" s="8"/>
      <c r="AD911" s="8"/>
      <c r="AE911" s="8"/>
      <c r="AF911" s="8"/>
      <c r="AG911" s="8"/>
      <c r="AH911" s="8"/>
      <c r="AI911" s="8"/>
    </row>
    <row r="912" spans="1:35">
      <c r="A912" s="1"/>
      <c r="B912" s="8"/>
      <c r="C912" s="8"/>
      <c r="D912" s="8"/>
      <c r="E912" s="8"/>
      <c r="F912" s="8"/>
      <c r="G912" s="8"/>
      <c r="H912" s="8"/>
      <c r="I912" s="8"/>
      <c r="J912" s="8"/>
      <c r="K912" s="8"/>
      <c r="L912" s="26"/>
      <c r="M912" s="26"/>
      <c r="N912" s="26"/>
      <c r="O912" s="55"/>
      <c r="P912" s="1"/>
      <c r="Q912" s="8"/>
      <c r="R912" s="8"/>
      <c r="S912" s="1"/>
      <c r="T912" s="8"/>
      <c r="U912" s="8"/>
      <c r="V912" s="56"/>
      <c r="W912" s="1"/>
      <c r="X912" s="1"/>
      <c r="Y912" s="8"/>
      <c r="Z912" s="8"/>
      <c r="AA912" s="8"/>
      <c r="AB912" s="8"/>
      <c r="AC912" s="8"/>
      <c r="AD912" s="8"/>
      <c r="AE912" s="8"/>
      <c r="AF912" s="8"/>
      <c r="AG912" s="8"/>
      <c r="AH912" s="8"/>
      <c r="AI912" s="8"/>
    </row>
    <row r="913" spans="1:35">
      <c r="A913" s="1"/>
      <c r="B913" s="8"/>
      <c r="C913" s="8"/>
      <c r="D913" s="8"/>
      <c r="E913" s="8"/>
      <c r="F913" s="8"/>
      <c r="G913" s="8"/>
      <c r="H913" s="8"/>
      <c r="I913" s="8"/>
      <c r="J913" s="8"/>
      <c r="K913" s="8"/>
      <c r="L913" s="26"/>
      <c r="M913" s="26"/>
      <c r="N913" s="26"/>
      <c r="O913" s="55"/>
      <c r="P913" s="1"/>
      <c r="Q913" s="8"/>
      <c r="R913" s="8"/>
      <c r="S913" s="1"/>
      <c r="T913" s="8"/>
      <c r="U913" s="8"/>
      <c r="V913" s="56"/>
      <c r="W913" s="1"/>
      <c r="X913" s="1"/>
      <c r="Y913" s="8"/>
      <c r="Z913" s="8"/>
      <c r="AA913" s="8"/>
      <c r="AB913" s="8"/>
      <c r="AC913" s="8"/>
      <c r="AD913" s="8"/>
      <c r="AE913" s="8"/>
      <c r="AF913" s="8"/>
      <c r="AG913" s="8"/>
      <c r="AH913" s="8"/>
      <c r="AI913" s="8"/>
    </row>
    <row r="914" spans="1:35">
      <c r="A914" s="1"/>
      <c r="B914" s="8"/>
      <c r="C914" s="8"/>
      <c r="D914" s="8"/>
      <c r="E914" s="8"/>
      <c r="F914" s="8"/>
      <c r="G914" s="8"/>
      <c r="H914" s="8"/>
      <c r="I914" s="8"/>
      <c r="J914" s="8"/>
      <c r="K914" s="8"/>
      <c r="L914" s="26"/>
      <c r="M914" s="26"/>
      <c r="N914" s="26"/>
      <c r="O914" s="55"/>
      <c r="P914" s="1"/>
      <c r="Q914" s="8"/>
      <c r="R914" s="8"/>
      <c r="S914" s="1"/>
      <c r="T914" s="8"/>
      <c r="U914" s="8"/>
      <c r="V914" s="56"/>
      <c r="W914" s="1"/>
      <c r="X914" s="1"/>
      <c r="Y914" s="8"/>
      <c r="Z914" s="8"/>
      <c r="AA914" s="8"/>
      <c r="AB914" s="8"/>
      <c r="AC914" s="8"/>
      <c r="AD914" s="8"/>
      <c r="AE914" s="8"/>
      <c r="AF914" s="8"/>
      <c r="AG914" s="8"/>
      <c r="AH914" s="8"/>
      <c r="AI914" s="8"/>
    </row>
    <row r="915" spans="1:35">
      <c r="A915" s="1"/>
      <c r="B915" s="8"/>
      <c r="C915" s="8"/>
      <c r="D915" s="8"/>
      <c r="E915" s="8"/>
      <c r="F915" s="8"/>
      <c r="G915" s="8"/>
      <c r="H915" s="8"/>
      <c r="I915" s="8"/>
      <c r="J915" s="8"/>
      <c r="K915" s="8"/>
      <c r="L915" s="26"/>
      <c r="M915" s="26"/>
      <c r="N915" s="26"/>
      <c r="O915" s="55"/>
      <c r="P915" s="1"/>
      <c r="Q915" s="8"/>
      <c r="R915" s="8"/>
      <c r="S915" s="1"/>
      <c r="T915" s="8"/>
      <c r="U915" s="8"/>
      <c r="V915" s="56"/>
      <c r="W915" s="1"/>
      <c r="X915" s="1"/>
      <c r="Y915" s="8"/>
      <c r="Z915" s="8"/>
      <c r="AA915" s="8"/>
      <c r="AB915" s="8"/>
      <c r="AC915" s="8"/>
      <c r="AD915" s="8"/>
      <c r="AE915" s="8"/>
      <c r="AF915" s="8"/>
      <c r="AG915" s="8"/>
      <c r="AH915" s="8"/>
      <c r="AI915" s="8"/>
    </row>
    <row r="916" spans="1:35">
      <c r="A916" s="1"/>
      <c r="B916" s="8"/>
      <c r="C916" s="8"/>
      <c r="D916" s="8"/>
      <c r="E916" s="8"/>
      <c r="F916" s="8"/>
      <c r="G916" s="8"/>
      <c r="H916" s="8"/>
      <c r="I916" s="8"/>
      <c r="J916" s="8"/>
      <c r="K916" s="8"/>
      <c r="L916" s="26"/>
      <c r="M916" s="26"/>
      <c r="N916" s="26"/>
      <c r="O916" s="55"/>
      <c r="P916" s="1"/>
      <c r="Q916" s="8"/>
      <c r="R916" s="8"/>
      <c r="S916" s="1"/>
      <c r="T916" s="8"/>
      <c r="U916" s="8"/>
      <c r="V916" s="56"/>
      <c r="W916" s="1"/>
      <c r="X916" s="1"/>
      <c r="Y916" s="8"/>
      <c r="Z916" s="8"/>
      <c r="AA916" s="8"/>
      <c r="AB916" s="8"/>
      <c r="AC916" s="8"/>
      <c r="AD916" s="8"/>
      <c r="AE916" s="8"/>
      <c r="AF916" s="8"/>
      <c r="AG916" s="8"/>
      <c r="AH916" s="8"/>
      <c r="AI916" s="8"/>
    </row>
    <row r="917" spans="1:35">
      <c r="A917" s="1"/>
      <c r="B917" s="8"/>
      <c r="C917" s="8"/>
      <c r="D917" s="8"/>
      <c r="E917" s="8"/>
      <c r="F917" s="8"/>
      <c r="G917" s="8"/>
      <c r="H917" s="8"/>
      <c r="I917" s="8"/>
      <c r="J917" s="8"/>
      <c r="K917" s="8"/>
      <c r="L917" s="26"/>
      <c r="M917" s="26"/>
      <c r="N917" s="26"/>
      <c r="O917" s="55"/>
      <c r="P917" s="1"/>
      <c r="Q917" s="8"/>
      <c r="R917" s="8"/>
      <c r="S917" s="1"/>
      <c r="T917" s="8"/>
      <c r="U917" s="8"/>
      <c r="V917" s="56"/>
      <c r="W917" s="1"/>
      <c r="X917" s="1"/>
      <c r="Y917" s="8"/>
      <c r="Z917" s="8"/>
      <c r="AA917" s="8"/>
      <c r="AB917" s="8"/>
      <c r="AC917" s="8"/>
      <c r="AD917" s="8"/>
      <c r="AE917" s="8"/>
      <c r="AF917" s="8"/>
      <c r="AG917" s="8"/>
      <c r="AH917" s="8"/>
      <c r="AI917" s="8"/>
    </row>
    <row r="918" spans="1:35">
      <c r="A918" s="1"/>
      <c r="B918" s="8"/>
      <c r="C918" s="8"/>
      <c r="D918" s="8"/>
      <c r="E918" s="8"/>
      <c r="F918" s="8"/>
      <c r="G918" s="8"/>
      <c r="H918" s="8"/>
      <c r="I918" s="8"/>
      <c r="J918" s="8"/>
      <c r="K918" s="8"/>
      <c r="L918" s="26"/>
      <c r="M918" s="26"/>
      <c r="N918" s="26"/>
      <c r="O918" s="55"/>
      <c r="P918" s="1"/>
      <c r="Q918" s="8"/>
      <c r="R918" s="8"/>
      <c r="S918" s="1"/>
      <c r="T918" s="8"/>
      <c r="U918" s="8"/>
      <c r="V918" s="56"/>
      <c r="W918" s="1"/>
      <c r="X918" s="1"/>
      <c r="Y918" s="8"/>
      <c r="Z918" s="8"/>
      <c r="AA918" s="8"/>
      <c r="AB918" s="8"/>
      <c r="AC918" s="8"/>
      <c r="AD918" s="8"/>
      <c r="AE918" s="8"/>
      <c r="AF918" s="8"/>
      <c r="AG918" s="8"/>
      <c r="AH918" s="8"/>
      <c r="AI918" s="8"/>
    </row>
    <row r="919" spans="1:35">
      <c r="A919" s="1"/>
      <c r="B919" s="8"/>
      <c r="C919" s="8"/>
      <c r="D919" s="8"/>
      <c r="E919" s="8"/>
      <c r="F919" s="8"/>
      <c r="G919" s="8"/>
      <c r="H919" s="8"/>
      <c r="I919" s="8"/>
      <c r="J919" s="8"/>
      <c r="K919" s="8"/>
      <c r="L919" s="26"/>
      <c r="M919" s="26"/>
      <c r="N919" s="26"/>
      <c r="O919" s="55"/>
      <c r="P919" s="1"/>
      <c r="Q919" s="8"/>
      <c r="R919" s="8"/>
      <c r="S919" s="1"/>
      <c r="T919" s="8"/>
      <c r="U919" s="8"/>
      <c r="V919" s="56"/>
      <c r="W919" s="1"/>
      <c r="X919" s="1"/>
      <c r="Y919" s="8"/>
      <c r="Z919" s="8"/>
      <c r="AA919" s="8"/>
      <c r="AB919" s="8"/>
      <c r="AC919" s="8"/>
      <c r="AD919" s="8"/>
      <c r="AE919" s="8"/>
      <c r="AF919" s="8"/>
      <c r="AG919" s="8"/>
      <c r="AH919" s="8"/>
      <c r="AI919" s="8"/>
    </row>
    <row r="920" spans="1:35">
      <c r="A920" s="1"/>
      <c r="B920" s="8"/>
      <c r="C920" s="8"/>
      <c r="D920" s="8"/>
      <c r="E920" s="8"/>
      <c r="F920" s="8"/>
      <c r="G920" s="8"/>
      <c r="H920" s="8"/>
      <c r="I920" s="8"/>
      <c r="J920" s="8"/>
      <c r="K920" s="8"/>
      <c r="L920" s="26"/>
      <c r="M920" s="26"/>
      <c r="N920" s="26"/>
      <c r="O920" s="55"/>
      <c r="P920" s="1"/>
      <c r="Q920" s="8"/>
      <c r="R920" s="8"/>
      <c r="S920" s="1"/>
      <c r="T920" s="8"/>
      <c r="U920" s="8"/>
      <c r="V920" s="56"/>
      <c r="W920" s="1"/>
      <c r="X920" s="1"/>
      <c r="Y920" s="8"/>
      <c r="Z920" s="8"/>
      <c r="AA920" s="8"/>
      <c r="AB920" s="8"/>
      <c r="AC920" s="8"/>
      <c r="AD920" s="8"/>
      <c r="AE920" s="8"/>
      <c r="AF920" s="8"/>
      <c r="AG920" s="8"/>
      <c r="AH920" s="8"/>
      <c r="AI920" s="8"/>
    </row>
    <row r="921" spans="1:35">
      <c r="A921" s="1"/>
      <c r="B921" s="8"/>
      <c r="C921" s="8"/>
      <c r="D921" s="8"/>
      <c r="E921" s="8"/>
      <c r="F921" s="8"/>
      <c r="G921" s="8"/>
      <c r="H921" s="8"/>
      <c r="I921" s="8"/>
      <c r="J921" s="8"/>
      <c r="K921" s="8"/>
      <c r="L921" s="26"/>
      <c r="M921" s="26"/>
      <c r="N921" s="26"/>
      <c r="O921" s="55"/>
      <c r="P921" s="1"/>
      <c r="Q921" s="8"/>
      <c r="R921" s="8"/>
      <c r="S921" s="1"/>
      <c r="T921" s="8"/>
      <c r="U921" s="8"/>
      <c r="V921" s="56"/>
      <c r="W921" s="1"/>
      <c r="X921" s="1"/>
      <c r="Y921" s="8"/>
      <c r="Z921" s="8"/>
      <c r="AA921" s="8"/>
      <c r="AB921" s="8"/>
      <c r="AC921" s="8"/>
      <c r="AD921" s="8"/>
      <c r="AE921" s="8"/>
      <c r="AF921" s="8"/>
      <c r="AG921" s="8"/>
      <c r="AH921" s="8"/>
      <c r="AI921" s="8"/>
    </row>
    <row r="922" spans="1:35">
      <c r="A922" s="1"/>
      <c r="B922" s="8"/>
      <c r="C922" s="8"/>
      <c r="D922" s="8"/>
      <c r="E922" s="8"/>
      <c r="F922" s="8"/>
      <c r="G922" s="8"/>
      <c r="H922" s="8"/>
      <c r="I922" s="8"/>
      <c r="J922" s="8"/>
      <c r="K922" s="8"/>
      <c r="L922" s="26"/>
      <c r="M922" s="26"/>
      <c r="N922" s="26"/>
      <c r="O922" s="55"/>
      <c r="P922" s="1"/>
      <c r="Q922" s="8"/>
      <c r="R922" s="8"/>
      <c r="S922" s="1"/>
      <c r="T922" s="8"/>
      <c r="U922" s="8"/>
      <c r="V922" s="56"/>
      <c r="W922" s="1"/>
      <c r="X922" s="1"/>
      <c r="Y922" s="8"/>
      <c r="Z922" s="8"/>
      <c r="AA922" s="8"/>
      <c r="AB922" s="8"/>
      <c r="AC922" s="8"/>
      <c r="AD922" s="8"/>
      <c r="AE922" s="8"/>
      <c r="AF922" s="8"/>
      <c r="AG922" s="8"/>
      <c r="AH922" s="8"/>
      <c r="AI922" s="8"/>
    </row>
    <row r="923" spans="1:35">
      <c r="A923" s="1"/>
      <c r="B923" s="8"/>
      <c r="C923" s="8"/>
      <c r="D923" s="8"/>
      <c r="E923" s="8"/>
      <c r="F923" s="8"/>
      <c r="G923" s="8"/>
      <c r="H923" s="8"/>
      <c r="I923" s="8"/>
      <c r="J923" s="8"/>
      <c r="K923" s="8"/>
      <c r="L923" s="26"/>
      <c r="M923" s="26"/>
      <c r="N923" s="26"/>
      <c r="O923" s="55"/>
      <c r="P923" s="1"/>
      <c r="Q923" s="8"/>
      <c r="R923" s="8"/>
      <c r="S923" s="1"/>
      <c r="T923" s="8"/>
      <c r="U923" s="8"/>
      <c r="V923" s="56"/>
      <c r="W923" s="1"/>
      <c r="X923" s="1"/>
      <c r="Y923" s="8"/>
      <c r="Z923" s="8"/>
      <c r="AA923" s="8"/>
      <c r="AB923" s="8"/>
      <c r="AC923" s="8"/>
      <c r="AD923" s="8"/>
      <c r="AE923" s="8"/>
      <c r="AF923" s="8"/>
      <c r="AG923" s="8"/>
      <c r="AH923" s="8"/>
      <c r="AI923" s="8"/>
    </row>
    <row r="924" spans="1:35">
      <c r="A924" s="1"/>
      <c r="B924" s="8"/>
      <c r="C924" s="8"/>
      <c r="D924" s="8"/>
      <c r="E924" s="8"/>
      <c r="F924" s="8"/>
      <c r="G924" s="8"/>
      <c r="H924" s="8"/>
      <c r="I924" s="8"/>
      <c r="J924" s="8"/>
      <c r="K924" s="8"/>
      <c r="L924" s="26"/>
      <c r="M924" s="26"/>
      <c r="N924" s="26"/>
      <c r="O924" s="55"/>
      <c r="P924" s="1"/>
      <c r="Q924" s="8"/>
      <c r="R924" s="8"/>
      <c r="S924" s="1"/>
      <c r="T924" s="8"/>
      <c r="U924" s="8"/>
      <c r="V924" s="56"/>
      <c r="W924" s="1"/>
      <c r="X924" s="1"/>
      <c r="Y924" s="8"/>
      <c r="Z924" s="8"/>
      <c r="AA924" s="8"/>
      <c r="AB924" s="8"/>
      <c r="AC924" s="8"/>
      <c r="AD924" s="8"/>
      <c r="AE924" s="8"/>
      <c r="AF924" s="8"/>
      <c r="AG924" s="8"/>
      <c r="AH924" s="8"/>
      <c r="AI924" s="8"/>
    </row>
    <row r="925" spans="1:35">
      <c r="A925" s="1"/>
      <c r="B925" s="8"/>
      <c r="C925" s="8"/>
      <c r="D925" s="8"/>
      <c r="E925" s="8"/>
      <c r="F925" s="8"/>
      <c r="G925" s="8"/>
      <c r="H925" s="8"/>
      <c r="I925" s="8"/>
      <c r="J925" s="8"/>
      <c r="K925" s="8"/>
      <c r="L925" s="26"/>
      <c r="M925" s="26"/>
      <c r="N925" s="26"/>
      <c r="O925" s="55"/>
      <c r="P925" s="1"/>
      <c r="Q925" s="8"/>
      <c r="R925" s="8"/>
      <c r="S925" s="1"/>
      <c r="T925" s="8"/>
      <c r="U925" s="8"/>
      <c r="V925" s="56"/>
      <c r="W925" s="1"/>
      <c r="X925" s="1"/>
      <c r="Y925" s="8"/>
      <c r="Z925" s="8"/>
      <c r="AA925" s="8"/>
      <c r="AB925" s="8"/>
      <c r="AC925" s="8"/>
      <c r="AD925" s="8"/>
      <c r="AE925" s="8"/>
      <c r="AF925" s="8"/>
      <c r="AG925" s="8"/>
      <c r="AH925" s="8"/>
      <c r="AI925" s="8"/>
    </row>
    <row r="926" spans="1:35">
      <c r="A926" s="1"/>
      <c r="B926" s="8"/>
      <c r="C926" s="8"/>
      <c r="D926" s="8"/>
      <c r="E926" s="8"/>
      <c r="F926" s="8"/>
      <c r="G926" s="8"/>
      <c r="H926" s="8"/>
      <c r="I926" s="8"/>
      <c r="J926" s="8"/>
      <c r="K926" s="8"/>
      <c r="L926" s="26"/>
      <c r="M926" s="26"/>
      <c r="N926" s="26"/>
      <c r="O926" s="55"/>
      <c r="P926" s="1"/>
      <c r="Q926" s="8"/>
      <c r="R926" s="8"/>
      <c r="S926" s="1"/>
      <c r="T926" s="8"/>
      <c r="U926" s="8"/>
      <c r="V926" s="56"/>
      <c r="W926" s="1"/>
      <c r="X926" s="1"/>
      <c r="Y926" s="8"/>
      <c r="Z926" s="8"/>
      <c r="AA926" s="8"/>
      <c r="AB926" s="8"/>
      <c r="AC926" s="8"/>
      <c r="AD926" s="8"/>
      <c r="AE926" s="8"/>
      <c r="AF926" s="8"/>
      <c r="AG926" s="8"/>
      <c r="AH926" s="8"/>
      <c r="AI926" s="8"/>
    </row>
    <row r="927" spans="1:35">
      <c r="A927" s="1"/>
      <c r="B927" s="8"/>
      <c r="C927" s="8"/>
      <c r="D927" s="8"/>
      <c r="E927" s="8"/>
      <c r="F927" s="8"/>
      <c r="G927" s="8"/>
      <c r="H927" s="8"/>
      <c r="I927" s="8"/>
      <c r="J927" s="8"/>
      <c r="K927" s="8"/>
      <c r="L927" s="26"/>
      <c r="M927" s="26"/>
      <c r="N927" s="26"/>
      <c r="O927" s="55"/>
      <c r="P927" s="1"/>
      <c r="Q927" s="8"/>
      <c r="R927" s="8"/>
      <c r="S927" s="1"/>
      <c r="T927" s="8"/>
      <c r="U927" s="8"/>
      <c r="V927" s="56"/>
      <c r="W927" s="1"/>
      <c r="X927" s="1"/>
      <c r="Y927" s="8"/>
      <c r="Z927" s="8"/>
      <c r="AA927" s="8"/>
      <c r="AB927" s="8"/>
      <c r="AC927" s="8"/>
      <c r="AD927" s="8"/>
      <c r="AE927" s="8"/>
      <c r="AF927" s="8"/>
      <c r="AG927" s="8"/>
      <c r="AH927" s="8"/>
      <c r="AI927" s="8"/>
    </row>
    <row r="928" spans="1:35">
      <c r="A928" s="1"/>
      <c r="B928" s="8"/>
      <c r="C928" s="8"/>
      <c r="D928" s="8"/>
      <c r="E928" s="8"/>
      <c r="F928" s="8"/>
      <c r="G928" s="8"/>
      <c r="H928" s="8"/>
      <c r="I928" s="8"/>
      <c r="J928" s="8"/>
      <c r="K928" s="8"/>
      <c r="L928" s="26"/>
      <c r="M928" s="26"/>
      <c r="N928" s="26"/>
      <c r="O928" s="55"/>
      <c r="P928" s="1"/>
      <c r="Q928" s="8"/>
      <c r="R928" s="8"/>
      <c r="S928" s="1"/>
      <c r="T928" s="8"/>
      <c r="U928" s="8"/>
      <c r="V928" s="56"/>
      <c r="W928" s="1"/>
      <c r="X928" s="1"/>
      <c r="Y928" s="8"/>
      <c r="Z928" s="8"/>
      <c r="AA928" s="8"/>
      <c r="AB928" s="8"/>
      <c r="AC928" s="8"/>
      <c r="AD928" s="8"/>
      <c r="AE928" s="8"/>
      <c r="AF928" s="8"/>
      <c r="AG928" s="8"/>
      <c r="AH928" s="8"/>
      <c r="AI928" s="8"/>
    </row>
    <row r="929" spans="1:35">
      <c r="A929" s="1"/>
      <c r="B929" s="8"/>
      <c r="C929" s="8"/>
      <c r="D929" s="8"/>
      <c r="E929" s="8"/>
      <c r="F929" s="8"/>
      <c r="G929" s="8"/>
      <c r="H929" s="8"/>
      <c r="I929" s="8"/>
      <c r="J929" s="8"/>
      <c r="K929" s="8"/>
      <c r="L929" s="26"/>
      <c r="M929" s="26"/>
      <c r="N929" s="26"/>
      <c r="O929" s="55"/>
      <c r="P929" s="1"/>
      <c r="Q929" s="8"/>
      <c r="R929" s="8"/>
      <c r="S929" s="1"/>
      <c r="T929" s="8"/>
      <c r="U929" s="8"/>
      <c r="V929" s="56"/>
      <c r="W929" s="1"/>
      <c r="X929" s="1"/>
      <c r="Y929" s="8"/>
      <c r="Z929" s="8"/>
      <c r="AA929" s="8"/>
      <c r="AB929" s="8"/>
      <c r="AC929" s="8"/>
      <c r="AD929" s="8"/>
      <c r="AE929" s="8"/>
      <c r="AF929" s="8"/>
      <c r="AG929" s="8"/>
      <c r="AH929" s="8"/>
      <c r="AI929" s="8"/>
    </row>
    <row r="930" spans="1:35">
      <c r="A930" s="1"/>
      <c r="B930" s="8"/>
      <c r="C930" s="8"/>
      <c r="D930" s="8"/>
      <c r="E930" s="8"/>
      <c r="F930" s="8"/>
      <c r="G930" s="8"/>
      <c r="H930" s="8"/>
      <c r="I930" s="8"/>
      <c r="J930" s="8"/>
      <c r="K930" s="8"/>
      <c r="L930" s="26"/>
      <c r="M930" s="26"/>
      <c r="N930" s="26"/>
      <c r="O930" s="55"/>
      <c r="P930" s="1"/>
      <c r="Q930" s="8"/>
      <c r="R930" s="8"/>
      <c r="S930" s="1"/>
      <c r="T930" s="8"/>
      <c r="U930" s="8"/>
      <c r="V930" s="56"/>
      <c r="W930" s="1"/>
      <c r="X930" s="1"/>
      <c r="Y930" s="8"/>
      <c r="Z930" s="8"/>
      <c r="AA930" s="8"/>
      <c r="AB930" s="8"/>
      <c r="AC930" s="8"/>
      <c r="AD930" s="8"/>
      <c r="AE930" s="8"/>
      <c r="AF930" s="8"/>
      <c r="AG930" s="8"/>
      <c r="AH930" s="8"/>
      <c r="AI930" s="8"/>
    </row>
    <row r="931" spans="1:35">
      <c r="A931" s="1"/>
      <c r="B931" s="8"/>
      <c r="C931" s="8"/>
      <c r="D931" s="8"/>
      <c r="E931" s="8"/>
      <c r="F931" s="8"/>
      <c r="G931" s="8"/>
      <c r="H931" s="8"/>
      <c r="I931" s="8"/>
      <c r="J931" s="8"/>
      <c r="K931" s="8"/>
      <c r="L931" s="26"/>
      <c r="M931" s="26"/>
      <c r="N931" s="26"/>
      <c r="O931" s="55"/>
      <c r="P931" s="1"/>
      <c r="Q931" s="8"/>
      <c r="R931" s="8"/>
      <c r="S931" s="1"/>
      <c r="T931" s="8"/>
      <c r="U931" s="8"/>
      <c r="V931" s="56"/>
      <c r="W931" s="1"/>
      <c r="X931" s="1"/>
      <c r="Y931" s="8"/>
      <c r="Z931" s="8"/>
      <c r="AA931" s="8"/>
      <c r="AB931" s="8"/>
      <c r="AC931" s="8"/>
      <c r="AD931" s="8"/>
      <c r="AE931" s="8"/>
      <c r="AF931" s="8"/>
      <c r="AG931" s="8"/>
      <c r="AH931" s="8"/>
      <c r="AI931" s="8"/>
    </row>
    <row r="932" spans="1:35">
      <c r="A932" s="1"/>
      <c r="B932" s="8"/>
      <c r="C932" s="8"/>
      <c r="D932" s="8"/>
      <c r="E932" s="8"/>
      <c r="F932" s="8"/>
      <c r="G932" s="8"/>
      <c r="H932" s="8"/>
      <c r="I932" s="8"/>
      <c r="J932" s="8"/>
      <c r="K932" s="8"/>
      <c r="L932" s="26"/>
      <c r="M932" s="26"/>
      <c r="N932" s="26"/>
      <c r="O932" s="55"/>
      <c r="P932" s="1"/>
      <c r="Q932" s="8"/>
      <c r="R932" s="8"/>
      <c r="S932" s="1"/>
      <c r="T932" s="8"/>
      <c r="U932" s="8"/>
      <c r="V932" s="56"/>
      <c r="W932" s="1"/>
      <c r="X932" s="1"/>
      <c r="Y932" s="8"/>
      <c r="Z932" s="8"/>
      <c r="AA932" s="8"/>
      <c r="AB932" s="8"/>
      <c r="AC932" s="8"/>
      <c r="AD932" s="8"/>
      <c r="AE932" s="8"/>
      <c r="AF932" s="8"/>
      <c r="AG932" s="8"/>
      <c r="AH932" s="8"/>
      <c r="AI932" s="8"/>
    </row>
    <row r="933" spans="1:35">
      <c r="A933" s="1"/>
      <c r="B933" s="8"/>
      <c r="C933" s="8"/>
      <c r="D933" s="8"/>
      <c r="E933" s="8"/>
      <c r="F933" s="8"/>
      <c r="G933" s="8"/>
      <c r="H933" s="8"/>
      <c r="I933" s="8"/>
      <c r="J933" s="8"/>
      <c r="K933" s="8"/>
      <c r="L933" s="26"/>
      <c r="M933" s="26"/>
      <c r="N933" s="26"/>
      <c r="O933" s="55"/>
      <c r="P933" s="1"/>
      <c r="Q933" s="8"/>
      <c r="R933" s="8"/>
      <c r="S933" s="1"/>
      <c r="T933" s="8"/>
      <c r="U933" s="8"/>
      <c r="V933" s="56"/>
      <c r="W933" s="1"/>
      <c r="X933" s="1"/>
      <c r="Y933" s="8"/>
      <c r="Z933" s="8"/>
      <c r="AA933" s="8"/>
      <c r="AB933" s="8"/>
      <c r="AC933" s="8"/>
      <c r="AD933" s="8"/>
      <c r="AE933" s="8"/>
      <c r="AF933" s="8"/>
      <c r="AG933" s="8"/>
      <c r="AH933" s="8"/>
      <c r="AI933" s="8"/>
    </row>
    <row r="934" spans="1:35">
      <c r="A934" s="1"/>
      <c r="B934" s="8"/>
      <c r="C934" s="8"/>
      <c r="D934" s="8"/>
      <c r="E934" s="8"/>
      <c r="F934" s="8"/>
      <c r="G934" s="8"/>
      <c r="H934" s="8"/>
      <c r="I934" s="8"/>
      <c r="J934" s="8"/>
      <c r="K934" s="8"/>
      <c r="L934" s="26"/>
      <c r="M934" s="26"/>
      <c r="N934" s="26"/>
      <c r="O934" s="55"/>
      <c r="P934" s="1"/>
      <c r="Q934" s="8"/>
      <c r="R934" s="8"/>
      <c r="S934" s="1"/>
      <c r="T934" s="8"/>
      <c r="U934" s="8"/>
      <c r="V934" s="56"/>
      <c r="W934" s="1"/>
      <c r="X934" s="1"/>
      <c r="Y934" s="8"/>
      <c r="Z934" s="8"/>
      <c r="AA934" s="8"/>
      <c r="AB934" s="8"/>
      <c r="AC934" s="8"/>
      <c r="AD934" s="8"/>
      <c r="AE934" s="8"/>
      <c r="AF934" s="8"/>
      <c r="AG934" s="8"/>
      <c r="AH934" s="8"/>
      <c r="AI934" s="8"/>
    </row>
    <row r="935" spans="1:35">
      <c r="A935" s="1"/>
      <c r="B935" s="8"/>
      <c r="C935" s="8"/>
      <c r="D935" s="8"/>
      <c r="E935" s="8"/>
      <c r="F935" s="8"/>
      <c r="G935" s="8"/>
      <c r="H935" s="8"/>
      <c r="I935" s="8"/>
      <c r="J935" s="8"/>
      <c r="K935" s="8"/>
      <c r="L935" s="26"/>
      <c r="M935" s="26"/>
      <c r="N935" s="26"/>
      <c r="O935" s="55"/>
      <c r="P935" s="1"/>
      <c r="Q935" s="8"/>
      <c r="R935" s="8"/>
      <c r="S935" s="1"/>
      <c r="T935" s="8"/>
      <c r="U935" s="8"/>
      <c r="V935" s="56"/>
      <c r="W935" s="1"/>
      <c r="X935" s="1"/>
      <c r="Y935" s="8"/>
      <c r="Z935" s="8"/>
      <c r="AA935" s="8"/>
      <c r="AB935" s="8"/>
      <c r="AC935" s="8"/>
      <c r="AD935" s="8"/>
      <c r="AE935" s="8"/>
      <c r="AF935" s="8"/>
      <c r="AG935" s="8"/>
      <c r="AH935" s="8"/>
      <c r="AI935" s="8"/>
    </row>
    <row r="936" spans="1:35">
      <c r="A936" s="1"/>
      <c r="B936" s="8"/>
      <c r="C936" s="8"/>
      <c r="D936" s="8"/>
      <c r="E936" s="8"/>
      <c r="F936" s="8"/>
      <c r="G936" s="8"/>
      <c r="H936" s="8"/>
      <c r="I936" s="8"/>
      <c r="J936" s="8"/>
      <c r="K936" s="8"/>
      <c r="L936" s="26"/>
      <c r="M936" s="26"/>
      <c r="N936" s="26"/>
      <c r="O936" s="55"/>
      <c r="P936" s="1"/>
      <c r="Q936" s="8"/>
      <c r="R936" s="8"/>
      <c r="S936" s="1"/>
      <c r="T936" s="8"/>
      <c r="U936" s="8"/>
      <c r="V936" s="56"/>
      <c r="W936" s="1"/>
      <c r="X936" s="1"/>
      <c r="Y936" s="8"/>
      <c r="Z936" s="8"/>
      <c r="AA936" s="8"/>
      <c r="AB936" s="8"/>
      <c r="AC936" s="8"/>
      <c r="AD936" s="8"/>
      <c r="AE936" s="8"/>
      <c r="AF936" s="8"/>
      <c r="AG936" s="8"/>
      <c r="AH936" s="8"/>
      <c r="AI936" s="8"/>
    </row>
    <row r="937" spans="1:35">
      <c r="A937" s="1"/>
      <c r="B937" s="8"/>
      <c r="C937" s="8"/>
      <c r="D937" s="8"/>
      <c r="E937" s="8"/>
      <c r="F937" s="8"/>
      <c r="G937" s="8"/>
      <c r="H937" s="8"/>
      <c r="I937" s="8"/>
      <c r="J937" s="8"/>
      <c r="K937" s="8"/>
      <c r="L937" s="26"/>
      <c r="M937" s="26"/>
      <c r="N937" s="26"/>
      <c r="O937" s="55"/>
      <c r="P937" s="1"/>
      <c r="Q937" s="8"/>
      <c r="R937" s="8"/>
      <c r="S937" s="1"/>
      <c r="T937" s="8"/>
      <c r="U937" s="8"/>
      <c r="V937" s="56"/>
      <c r="W937" s="1"/>
      <c r="X937" s="1"/>
      <c r="Y937" s="8"/>
      <c r="Z937" s="8"/>
      <c r="AA937" s="8"/>
      <c r="AB937" s="8"/>
      <c r="AC937" s="8"/>
      <c r="AD937" s="8"/>
      <c r="AE937" s="8"/>
      <c r="AF937" s="8"/>
      <c r="AG937" s="8"/>
      <c r="AH937" s="8"/>
      <c r="AI937" s="8"/>
    </row>
    <row r="938" spans="1:35">
      <c r="A938" s="1"/>
      <c r="B938" s="8"/>
      <c r="C938" s="8"/>
      <c r="D938" s="8"/>
      <c r="E938" s="8"/>
      <c r="F938" s="8"/>
      <c r="G938" s="8"/>
      <c r="H938" s="8"/>
      <c r="I938" s="8"/>
      <c r="J938" s="8"/>
      <c r="K938" s="8"/>
      <c r="L938" s="26"/>
      <c r="M938" s="26"/>
      <c r="N938" s="26"/>
      <c r="O938" s="55"/>
      <c r="P938" s="1"/>
      <c r="Q938" s="8"/>
      <c r="R938" s="8"/>
      <c r="S938" s="1"/>
      <c r="T938" s="8"/>
      <c r="U938" s="8"/>
      <c r="V938" s="56"/>
      <c r="W938" s="1"/>
      <c r="X938" s="1"/>
      <c r="Y938" s="8"/>
      <c r="Z938" s="8"/>
      <c r="AA938" s="8"/>
      <c r="AB938" s="8"/>
      <c r="AC938" s="8"/>
      <c r="AD938" s="8"/>
      <c r="AE938" s="8"/>
      <c r="AF938" s="8"/>
      <c r="AG938" s="8"/>
      <c r="AH938" s="8"/>
      <c r="AI938" s="8"/>
    </row>
    <row r="939" spans="1:35">
      <c r="A939" s="1"/>
      <c r="B939" s="8"/>
      <c r="C939" s="8"/>
      <c r="D939" s="8"/>
      <c r="E939" s="8"/>
      <c r="F939" s="8"/>
      <c r="G939" s="8"/>
      <c r="H939" s="8"/>
      <c r="I939" s="8"/>
      <c r="J939" s="8"/>
      <c r="K939" s="8"/>
      <c r="L939" s="26"/>
      <c r="M939" s="26"/>
      <c r="N939" s="26"/>
      <c r="O939" s="55"/>
      <c r="P939" s="1"/>
      <c r="Q939" s="8"/>
      <c r="R939" s="8"/>
      <c r="S939" s="1"/>
      <c r="T939" s="8"/>
      <c r="U939" s="8"/>
      <c r="V939" s="56"/>
      <c r="W939" s="1"/>
      <c r="X939" s="1"/>
      <c r="Y939" s="8"/>
      <c r="Z939" s="8"/>
      <c r="AA939" s="8"/>
      <c r="AB939" s="8"/>
      <c r="AC939" s="8"/>
      <c r="AD939" s="8"/>
      <c r="AE939" s="8"/>
      <c r="AF939" s="8"/>
      <c r="AG939" s="8"/>
      <c r="AH939" s="8"/>
      <c r="AI939" s="8"/>
    </row>
    <row r="940" spans="1:35">
      <c r="A940" s="1"/>
      <c r="B940" s="8"/>
      <c r="C940" s="8"/>
      <c r="D940" s="8"/>
      <c r="E940" s="8"/>
      <c r="F940" s="8"/>
      <c r="G940" s="8"/>
      <c r="H940" s="8"/>
      <c r="I940" s="8"/>
      <c r="J940" s="8"/>
      <c r="K940" s="8"/>
      <c r="L940" s="26"/>
      <c r="M940" s="26"/>
      <c r="N940" s="26"/>
      <c r="O940" s="55"/>
      <c r="P940" s="1"/>
      <c r="Q940" s="8"/>
      <c r="R940" s="8"/>
      <c r="S940" s="1"/>
      <c r="T940" s="8"/>
      <c r="U940" s="8"/>
      <c r="V940" s="56"/>
      <c r="W940" s="1"/>
      <c r="X940" s="1"/>
      <c r="Y940" s="8"/>
      <c r="Z940" s="8"/>
      <c r="AA940" s="8"/>
      <c r="AB940" s="8"/>
      <c r="AC940" s="8"/>
      <c r="AD940" s="8"/>
      <c r="AE940" s="8"/>
      <c r="AF940" s="8"/>
      <c r="AG940" s="8"/>
      <c r="AH940" s="8"/>
      <c r="AI940" s="8"/>
    </row>
    <row r="941" spans="1:35">
      <c r="A941" s="1"/>
      <c r="B941" s="8"/>
      <c r="C941" s="8"/>
      <c r="D941" s="8"/>
      <c r="E941" s="8"/>
      <c r="F941" s="8"/>
      <c r="G941" s="8"/>
      <c r="H941" s="8"/>
      <c r="I941" s="8"/>
      <c r="J941" s="8"/>
      <c r="K941" s="8"/>
      <c r="L941" s="26"/>
      <c r="M941" s="26"/>
      <c r="N941" s="26"/>
      <c r="O941" s="55"/>
      <c r="P941" s="1"/>
      <c r="Q941" s="8"/>
      <c r="R941" s="8"/>
      <c r="S941" s="1"/>
      <c r="T941" s="8"/>
      <c r="U941" s="8"/>
      <c r="V941" s="56"/>
      <c r="W941" s="1"/>
      <c r="X941" s="1"/>
      <c r="Y941" s="8"/>
      <c r="Z941" s="8"/>
      <c r="AA941" s="8"/>
      <c r="AB941" s="8"/>
      <c r="AC941" s="8"/>
      <c r="AD941" s="8"/>
      <c r="AE941" s="8"/>
      <c r="AF941" s="8"/>
      <c r="AG941" s="8"/>
      <c r="AH941" s="8"/>
      <c r="AI941" s="8"/>
    </row>
    <row r="942" spans="1:35">
      <c r="A942" s="1"/>
      <c r="B942" s="8"/>
      <c r="C942" s="8"/>
      <c r="D942" s="8"/>
      <c r="E942" s="8"/>
      <c r="F942" s="8"/>
      <c r="G942" s="8"/>
      <c r="H942" s="8"/>
      <c r="I942" s="8"/>
      <c r="J942" s="8"/>
      <c r="K942" s="8"/>
      <c r="L942" s="26"/>
      <c r="M942" s="26"/>
      <c r="N942" s="26"/>
      <c r="O942" s="55"/>
      <c r="P942" s="1"/>
      <c r="Q942" s="8"/>
      <c r="R942" s="8"/>
      <c r="S942" s="1"/>
      <c r="T942" s="8"/>
      <c r="U942" s="8"/>
      <c r="V942" s="56"/>
      <c r="W942" s="1"/>
      <c r="X942" s="1"/>
      <c r="Y942" s="8"/>
      <c r="Z942" s="8"/>
      <c r="AA942" s="8"/>
      <c r="AB942" s="8"/>
      <c r="AC942" s="8"/>
      <c r="AD942" s="8"/>
      <c r="AE942" s="8"/>
      <c r="AF942" s="8"/>
      <c r="AG942" s="8"/>
      <c r="AH942" s="8"/>
      <c r="AI942" s="8"/>
    </row>
    <row r="943" spans="1:35">
      <c r="A943" s="1"/>
      <c r="B943" s="8"/>
      <c r="C943" s="8"/>
      <c r="D943" s="8"/>
      <c r="E943" s="8"/>
      <c r="F943" s="8"/>
      <c r="G943" s="8"/>
      <c r="H943" s="8"/>
      <c r="I943" s="8"/>
      <c r="J943" s="8"/>
      <c r="K943" s="8"/>
      <c r="L943" s="26"/>
      <c r="M943" s="26"/>
      <c r="N943" s="26"/>
      <c r="O943" s="55"/>
      <c r="P943" s="1"/>
      <c r="Q943" s="8"/>
      <c r="R943" s="8"/>
      <c r="S943" s="1"/>
      <c r="T943" s="8"/>
      <c r="U943" s="8"/>
      <c r="V943" s="56"/>
      <c r="W943" s="1"/>
      <c r="X943" s="1"/>
      <c r="Y943" s="8"/>
      <c r="Z943" s="8"/>
      <c r="AA943" s="8"/>
      <c r="AB943" s="8"/>
      <c r="AC943" s="8"/>
      <c r="AD943" s="8"/>
      <c r="AE943" s="8"/>
      <c r="AF943" s="8"/>
      <c r="AG943" s="8"/>
      <c r="AH943" s="8"/>
      <c r="AI943" s="8"/>
    </row>
    <row r="944" spans="1:35">
      <c r="A944" s="1"/>
      <c r="B944" s="8"/>
      <c r="C944" s="8"/>
      <c r="D944" s="8"/>
      <c r="E944" s="8"/>
      <c r="F944" s="8"/>
      <c r="G944" s="8"/>
      <c r="H944" s="8"/>
      <c r="I944" s="8"/>
      <c r="J944" s="8"/>
      <c r="K944" s="8"/>
      <c r="L944" s="26"/>
      <c r="M944" s="26"/>
      <c r="N944" s="26"/>
      <c r="O944" s="55"/>
      <c r="P944" s="1"/>
      <c r="Q944" s="8"/>
      <c r="R944" s="8"/>
      <c r="S944" s="1"/>
      <c r="T944" s="8"/>
      <c r="U944" s="8"/>
      <c r="V944" s="56"/>
      <c r="W944" s="1"/>
      <c r="X944" s="1"/>
      <c r="Y944" s="8"/>
      <c r="Z944" s="8"/>
      <c r="AA944" s="8"/>
      <c r="AB944" s="8"/>
      <c r="AC944" s="8"/>
      <c r="AD944" s="8"/>
      <c r="AE944" s="8"/>
      <c r="AF944" s="8"/>
      <c r="AG944" s="8"/>
      <c r="AH944" s="8"/>
      <c r="AI944" s="8"/>
    </row>
    <row r="945" spans="1:35">
      <c r="A945" s="1"/>
      <c r="B945" s="8"/>
      <c r="C945" s="8"/>
      <c r="D945" s="8"/>
      <c r="E945" s="8"/>
      <c r="F945" s="8"/>
      <c r="G945" s="8"/>
      <c r="H945" s="8"/>
      <c r="I945" s="8"/>
      <c r="J945" s="8"/>
      <c r="K945" s="8"/>
      <c r="L945" s="26"/>
      <c r="M945" s="26"/>
      <c r="N945" s="26"/>
      <c r="O945" s="55"/>
      <c r="P945" s="1"/>
      <c r="Q945" s="8"/>
      <c r="R945" s="8"/>
      <c r="S945" s="1"/>
      <c r="T945" s="8"/>
      <c r="U945" s="8"/>
      <c r="V945" s="56"/>
      <c r="W945" s="1"/>
      <c r="X945" s="1"/>
      <c r="Y945" s="8"/>
      <c r="Z945" s="8"/>
      <c r="AA945" s="8"/>
      <c r="AB945" s="8"/>
      <c r="AC945" s="8"/>
      <c r="AD945" s="8"/>
      <c r="AE945" s="8"/>
      <c r="AF945" s="8"/>
      <c r="AG945" s="8"/>
      <c r="AH945" s="8"/>
      <c r="AI945" s="8"/>
    </row>
    <row r="946" spans="1:35">
      <c r="A946" s="1"/>
      <c r="B946" s="8"/>
      <c r="C946" s="8"/>
      <c r="D946" s="8"/>
      <c r="E946" s="8"/>
      <c r="F946" s="8"/>
      <c r="G946" s="8"/>
      <c r="H946" s="8"/>
      <c r="I946" s="8"/>
      <c r="J946" s="8"/>
      <c r="K946" s="8"/>
      <c r="L946" s="26"/>
      <c r="M946" s="26"/>
      <c r="N946" s="26"/>
      <c r="O946" s="55"/>
      <c r="P946" s="1"/>
      <c r="Q946" s="8"/>
      <c r="R946" s="8"/>
      <c r="S946" s="1"/>
      <c r="T946" s="8"/>
      <c r="U946" s="8"/>
      <c r="V946" s="56"/>
      <c r="W946" s="1"/>
      <c r="X946" s="1"/>
      <c r="Y946" s="8"/>
      <c r="Z946" s="8"/>
      <c r="AA946" s="8"/>
      <c r="AB946" s="8"/>
      <c r="AC946" s="8"/>
      <c r="AD946" s="8"/>
      <c r="AE946" s="8"/>
      <c r="AF946" s="8"/>
      <c r="AG946" s="8"/>
      <c r="AH946" s="8"/>
      <c r="AI946" s="8"/>
    </row>
    <row r="947" spans="1:35">
      <c r="A947" s="1"/>
      <c r="B947" s="8"/>
      <c r="C947" s="8"/>
      <c r="D947" s="8"/>
      <c r="E947" s="8"/>
      <c r="F947" s="8"/>
      <c r="G947" s="8"/>
      <c r="H947" s="8"/>
      <c r="I947" s="8"/>
      <c r="J947" s="8"/>
      <c r="K947" s="8"/>
      <c r="L947" s="26"/>
      <c r="M947" s="26"/>
      <c r="N947" s="26"/>
      <c r="O947" s="55"/>
      <c r="P947" s="1"/>
      <c r="Q947" s="8"/>
      <c r="R947" s="8"/>
      <c r="S947" s="1"/>
      <c r="T947" s="8"/>
      <c r="U947" s="8"/>
      <c r="V947" s="56"/>
      <c r="W947" s="1"/>
      <c r="X947" s="1"/>
      <c r="Y947" s="8"/>
      <c r="Z947" s="8"/>
      <c r="AA947" s="8"/>
      <c r="AB947" s="8"/>
      <c r="AC947" s="8"/>
      <c r="AD947" s="8"/>
      <c r="AE947" s="8"/>
      <c r="AF947" s="8"/>
      <c r="AG947" s="8"/>
      <c r="AH947" s="8"/>
      <c r="AI947" s="8"/>
    </row>
    <row r="948" spans="1:35">
      <c r="A948" s="1"/>
      <c r="B948" s="8"/>
      <c r="C948" s="8"/>
      <c r="D948" s="8"/>
      <c r="E948" s="8"/>
      <c r="F948" s="8"/>
      <c r="G948" s="8"/>
      <c r="H948" s="8"/>
      <c r="I948" s="8"/>
      <c r="J948" s="8"/>
      <c r="K948" s="8"/>
      <c r="L948" s="26"/>
      <c r="M948" s="26"/>
      <c r="N948" s="26"/>
      <c r="O948" s="55"/>
      <c r="P948" s="1"/>
      <c r="Q948" s="8"/>
      <c r="R948" s="8"/>
      <c r="S948" s="1"/>
      <c r="T948" s="8"/>
      <c r="U948" s="8"/>
      <c r="V948" s="56"/>
      <c r="W948" s="1"/>
      <c r="X948" s="1"/>
      <c r="Y948" s="8"/>
      <c r="Z948" s="8"/>
      <c r="AA948" s="8"/>
      <c r="AB948" s="8"/>
      <c r="AC948" s="8"/>
      <c r="AD948" s="8"/>
      <c r="AE948" s="8"/>
      <c r="AF948" s="8"/>
      <c r="AG948" s="8"/>
      <c r="AH948" s="8"/>
      <c r="AI948" s="8"/>
    </row>
    <row r="949" spans="1:35">
      <c r="A949" s="1"/>
      <c r="B949" s="8"/>
      <c r="C949" s="8"/>
      <c r="D949" s="8"/>
      <c r="E949" s="8"/>
      <c r="F949" s="8"/>
      <c r="G949" s="8"/>
      <c r="H949" s="8"/>
      <c r="I949" s="8"/>
      <c r="J949" s="8"/>
      <c r="K949" s="8"/>
      <c r="L949" s="26"/>
      <c r="M949" s="26"/>
      <c r="N949" s="26"/>
      <c r="O949" s="55"/>
      <c r="P949" s="1"/>
      <c r="Q949" s="8"/>
      <c r="R949" s="8"/>
      <c r="S949" s="1"/>
      <c r="T949" s="8"/>
      <c r="U949" s="8"/>
      <c r="V949" s="56"/>
      <c r="W949" s="1"/>
      <c r="X949" s="1"/>
      <c r="Y949" s="8"/>
      <c r="Z949" s="8"/>
      <c r="AA949" s="8"/>
      <c r="AB949" s="8"/>
      <c r="AC949" s="8"/>
      <c r="AD949" s="8"/>
      <c r="AE949" s="8"/>
      <c r="AF949" s="8"/>
      <c r="AG949" s="8"/>
      <c r="AH949" s="8"/>
      <c r="AI949" s="8"/>
    </row>
    <row r="950" spans="1:35">
      <c r="A950" s="1"/>
      <c r="B950" s="8"/>
      <c r="C950" s="8"/>
      <c r="D950" s="8"/>
      <c r="E950" s="8"/>
      <c r="F950" s="8"/>
      <c r="G950" s="8"/>
      <c r="H950" s="8"/>
      <c r="I950" s="8"/>
      <c r="J950" s="8"/>
      <c r="K950" s="8"/>
      <c r="L950" s="26"/>
      <c r="M950" s="26"/>
      <c r="N950" s="26"/>
      <c r="O950" s="55"/>
      <c r="P950" s="1"/>
      <c r="Q950" s="8"/>
      <c r="R950" s="8"/>
      <c r="S950" s="1"/>
      <c r="T950" s="8"/>
      <c r="U950" s="8"/>
      <c r="V950" s="56"/>
      <c r="W950" s="1"/>
      <c r="X950" s="1"/>
      <c r="Y950" s="8"/>
      <c r="Z950" s="8"/>
      <c r="AA950" s="8"/>
      <c r="AB950" s="8"/>
      <c r="AC950" s="8"/>
      <c r="AD950" s="8"/>
      <c r="AE950" s="8"/>
      <c r="AF950" s="8"/>
      <c r="AG950" s="8"/>
      <c r="AH950" s="8"/>
      <c r="AI950" s="8"/>
    </row>
    <row r="951" spans="1:35">
      <c r="A951" s="1"/>
      <c r="B951" s="8"/>
      <c r="C951" s="8"/>
      <c r="D951" s="8"/>
      <c r="E951" s="8"/>
      <c r="F951" s="8"/>
      <c r="G951" s="8"/>
      <c r="H951" s="8"/>
      <c r="I951" s="8"/>
      <c r="J951" s="8"/>
      <c r="K951" s="8"/>
      <c r="L951" s="26"/>
      <c r="M951" s="26"/>
      <c r="N951" s="26"/>
      <c r="O951" s="55"/>
      <c r="P951" s="1"/>
      <c r="Q951" s="8"/>
      <c r="R951" s="8"/>
      <c r="S951" s="1"/>
      <c r="T951" s="8"/>
      <c r="U951" s="8"/>
      <c r="V951" s="56"/>
      <c r="W951" s="1"/>
      <c r="X951" s="1"/>
      <c r="Y951" s="8"/>
      <c r="Z951" s="8"/>
      <c r="AA951" s="8"/>
      <c r="AB951" s="8"/>
      <c r="AC951" s="8"/>
      <c r="AD951" s="8"/>
      <c r="AE951" s="8"/>
      <c r="AF951" s="8"/>
      <c r="AG951" s="8"/>
      <c r="AH951" s="8"/>
      <c r="AI951" s="8"/>
    </row>
    <row r="952" spans="1:35">
      <c r="A952" s="1"/>
      <c r="B952" s="8"/>
      <c r="C952" s="8"/>
      <c r="D952" s="8"/>
      <c r="E952" s="8"/>
      <c r="F952" s="8"/>
      <c r="G952" s="8"/>
      <c r="H952" s="8"/>
      <c r="I952" s="8"/>
      <c r="J952" s="8"/>
      <c r="K952" s="8"/>
      <c r="L952" s="26"/>
      <c r="M952" s="26"/>
      <c r="N952" s="26"/>
      <c r="O952" s="55"/>
      <c r="P952" s="1"/>
      <c r="Q952" s="8"/>
      <c r="R952" s="8"/>
      <c r="S952" s="1"/>
      <c r="T952" s="8"/>
      <c r="U952" s="8"/>
      <c r="V952" s="56"/>
      <c r="W952" s="1"/>
      <c r="X952" s="1"/>
      <c r="Y952" s="8"/>
      <c r="Z952" s="8"/>
      <c r="AA952" s="8"/>
      <c r="AB952" s="8"/>
      <c r="AC952" s="8"/>
      <c r="AD952" s="8"/>
      <c r="AE952" s="8"/>
      <c r="AF952" s="8"/>
      <c r="AG952" s="8"/>
      <c r="AH952" s="8"/>
      <c r="AI952" s="8"/>
    </row>
    <row r="953" spans="1:35">
      <c r="A953" s="1"/>
      <c r="B953" s="8"/>
      <c r="C953" s="8"/>
      <c r="D953" s="8"/>
      <c r="E953" s="8"/>
      <c r="F953" s="8"/>
      <c r="G953" s="8"/>
      <c r="H953" s="8"/>
      <c r="I953" s="8"/>
      <c r="J953" s="8"/>
      <c r="K953" s="8"/>
      <c r="L953" s="26"/>
      <c r="M953" s="26"/>
      <c r="N953" s="26"/>
      <c r="O953" s="55"/>
      <c r="P953" s="1"/>
      <c r="Q953" s="8"/>
      <c r="R953" s="8"/>
      <c r="S953" s="1"/>
      <c r="T953" s="8"/>
      <c r="U953" s="8"/>
      <c r="V953" s="56"/>
      <c r="W953" s="1"/>
      <c r="X953" s="1"/>
      <c r="Y953" s="8"/>
      <c r="Z953" s="8"/>
      <c r="AA953" s="8"/>
      <c r="AB953" s="8"/>
      <c r="AC953" s="8"/>
      <c r="AD953" s="8"/>
      <c r="AE953" s="8"/>
      <c r="AF953" s="8"/>
      <c r="AG953" s="8"/>
      <c r="AH953" s="8"/>
      <c r="AI953" s="8"/>
    </row>
    <row r="954" spans="1:35">
      <c r="A954" s="1"/>
      <c r="B954" s="8"/>
      <c r="C954" s="8"/>
      <c r="D954" s="8"/>
      <c r="E954" s="8"/>
      <c r="F954" s="8"/>
      <c r="G954" s="8"/>
      <c r="H954" s="8"/>
      <c r="I954" s="8"/>
      <c r="J954" s="8"/>
      <c r="K954" s="8"/>
      <c r="L954" s="26"/>
      <c r="M954" s="26"/>
      <c r="N954" s="26"/>
      <c r="O954" s="55"/>
      <c r="P954" s="1"/>
      <c r="Q954" s="8"/>
      <c r="R954" s="8"/>
      <c r="S954" s="1"/>
      <c r="T954" s="8"/>
      <c r="U954" s="8"/>
      <c r="V954" s="56"/>
      <c r="W954" s="1"/>
      <c r="X954" s="1"/>
      <c r="Y954" s="8"/>
      <c r="Z954" s="8"/>
      <c r="AA954" s="8"/>
      <c r="AB954" s="8"/>
      <c r="AC954" s="8"/>
      <c r="AD954" s="8"/>
      <c r="AE954" s="8"/>
      <c r="AF954" s="8"/>
      <c r="AG954" s="8"/>
      <c r="AH954" s="8"/>
      <c r="AI954" s="8"/>
    </row>
    <row r="955" spans="1:35">
      <c r="A955" s="1"/>
      <c r="B955" s="8"/>
      <c r="C955" s="8"/>
      <c r="D955" s="8"/>
      <c r="E955" s="8"/>
      <c r="F955" s="8"/>
      <c r="G955" s="8"/>
      <c r="H955" s="8"/>
      <c r="I955" s="8"/>
      <c r="J955" s="8"/>
      <c r="K955" s="8"/>
      <c r="L955" s="26"/>
      <c r="M955" s="26"/>
      <c r="N955" s="26"/>
      <c r="O955" s="55"/>
      <c r="P955" s="1"/>
      <c r="Q955" s="8"/>
      <c r="R955" s="8"/>
      <c r="S955" s="1"/>
      <c r="T955" s="8"/>
      <c r="U955" s="8"/>
      <c r="V955" s="56"/>
      <c r="W955" s="1"/>
      <c r="X955" s="1"/>
      <c r="Y955" s="8"/>
      <c r="Z955" s="8"/>
      <c r="AA955" s="8"/>
      <c r="AB955" s="8"/>
      <c r="AC955" s="8"/>
      <c r="AD955" s="8"/>
      <c r="AE955" s="8"/>
      <c r="AF955" s="8"/>
      <c r="AG955" s="8"/>
      <c r="AH955" s="8"/>
      <c r="AI955" s="8"/>
    </row>
    <row r="956" spans="1:35">
      <c r="A956" s="1"/>
      <c r="B956" s="8"/>
      <c r="C956" s="8"/>
      <c r="D956" s="8"/>
      <c r="E956" s="8"/>
      <c r="F956" s="8"/>
      <c r="G956" s="8"/>
      <c r="H956" s="8"/>
      <c r="I956" s="8"/>
      <c r="J956" s="8"/>
      <c r="K956" s="8"/>
      <c r="L956" s="26"/>
      <c r="M956" s="26"/>
      <c r="N956" s="26"/>
      <c r="O956" s="55"/>
      <c r="P956" s="1"/>
      <c r="Q956" s="8"/>
      <c r="R956" s="8"/>
      <c r="S956" s="1"/>
      <c r="T956" s="8"/>
      <c r="U956" s="8"/>
      <c r="V956" s="56"/>
      <c r="W956" s="1"/>
      <c r="X956" s="1"/>
      <c r="Y956" s="8"/>
      <c r="Z956" s="8"/>
      <c r="AA956" s="8"/>
      <c r="AB956" s="8"/>
      <c r="AC956" s="8"/>
      <c r="AD956" s="8"/>
      <c r="AE956" s="8"/>
      <c r="AF956" s="8"/>
      <c r="AG956" s="8"/>
      <c r="AH956" s="8"/>
      <c r="AI956" s="8"/>
    </row>
    <row r="957" spans="1:35">
      <c r="A957" s="1"/>
      <c r="B957" s="8"/>
      <c r="C957" s="8"/>
      <c r="D957" s="8"/>
      <c r="E957" s="8"/>
      <c r="F957" s="8"/>
      <c r="G957" s="8"/>
      <c r="H957" s="8"/>
      <c r="I957" s="8"/>
      <c r="J957" s="8"/>
      <c r="K957" s="8"/>
      <c r="L957" s="26"/>
      <c r="M957" s="26"/>
      <c r="N957" s="26"/>
      <c r="O957" s="55"/>
      <c r="P957" s="1"/>
      <c r="Q957" s="8"/>
      <c r="R957" s="8"/>
      <c r="S957" s="1"/>
      <c r="T957" s="8"/>
      <c r="U957" s="8"/>
      <c r="V957" s="56"/>
      <c r="W957" s="1"/>
      <c r="X957" s="1"/>
      <c r="Y957" s="8"/>
      <c r="Z957" s="8"/>
      <c r="AA957" s="8"/>
      <c r="AB957" s="8"/>
      <c r="AC957" s="8"/>
      <c r="AD957" s="8"/>
      <c r="AE957" s="8"/>
      <c r="AF957" s="8"/>
      <c r="AG957" s="8"/>
      <c r="AH957" s="8"/>
      <c r="AI957" s="8"/>
    </row>
    <row r="958" spans="1:35">
      <c r="A958" s="1"/>
      <c r="B958" s="8"/>
      <c r="C958" s="8"/>
      <c r="D958" s="8"/>
      <c r="E958" s="8"/>
      <c r="F958" s="8"/>
      <c r="G958" s="8"/>
      <c r="H958" s="8"/>
      <c r="I958" s="8"/>
      <c r="J958" s="8"/>
      <c r="K958" s="8"/>
      <c r="L958" s="26"/>
      <c r="M958" s="26"/>
      <c r="N958" s="26"/>
      <c r="O958" s="55"/>
      <c r="P958" s="1"/>
      <c r="Q958" s="8"/>
      <c r="R958" s="8"/>
      <c r="S958" s="1"/>
      <c r="T958" s="8"/>
      <c r="U958" s="8"/>
      <c r="V958" s="56"/>
      <c r="W958" s="1"/>
      <c r="X958" s="1"/>
      <c r="Y958" s="8"/>
      <c r="Z958" s="8"/>
      <c r="AA958" s="8"/>
      <c r="AB958" s="8"/>
      <c r="AC958" s="8"/>
      <c r="AD958" s="8"/>
      <c r="AE958" s="8"/>
      <c r="AF958" s="8"/>
      <c r="AG958" s="8"/>
      <c r="AH958" s="8"/>
      <c r="AI958" s="8"/>
    </row>
    <row r="959" spans="1:35">
      <c r="A959" s="1"/>
      <c r="B959" s="8"/>
      <c r="C959" s="8"/>
      <c r="D959" s="8"/>
      <c r="E959" s="8"/>
      <c r="F959" s="8"/>
      <c r="G959" s="8"/>
      <c r="H959" s="8"/>
      <c r="I959" s="8"/>
      <c r="J959" s="8"/>
      <c r="K959" s="8"/>
      <c r="L959" s="26"/>
      <c r="M959" s="26"/>
      <c r="N959" s="26"/>
      <c r="O959" s="55"/>
      <c r="P959" s="1"/>
      <c r="Q959" s="8"/>
      <c r="R959" s="8"/>
      <c r="S959" s="1"/>
      <c r="T959" s="8"/>
      <c r="U959" s="8"/>
      <c r="V959" s="56"/>
      <c r="W959" s="1"/>
      <c r="X959" s="1"/>
      <c r="Y959" s="8"/>
      <c r="Z959" s="8"/>
      <c r="AA959" s="8"/>
      <c r="AB959" s="8"/>
      <c r="AC959" s="8"/>
      <c r="AD959" s="8"/>
      <c r="AE959" s="8"/>
      <c r="AF959" s="8"/>
      <c r="AG959" s="8"/>
      <c r="AH959" s="8"/>
      <c r="AI959" s="8"/>
    </row>
    <row r="960" spans="1:35">
      <c r="A960" s="1"/>
      <c r="B960" s="8"/>
      <c r="C960" s="8"/>
      <c r="D960" s="8"/>
      <c r="E960" s="8"/>
      <c r="F960" s="8"/>
      <c r="G960" s="8"/>
      <c r="H960" s="8"/>
      <c r="I960" s="8"/>
      <c r="J960" s="8"/>
      <c r="K960" s="8"/>
      <c r="L960" s="26"/>
      <c r="M960" s="26"/>
      <c r="N960" s="26"/>
      <c r="O960" s="55"/>
      <c r="P960" s="1"/>
      <c r="Q960" s="8"/>
      <c r="R960" s="8"/>
      <c r="S960" s="1"/>
      <c r="T960" s="8"/>
      <c r="U960" s="8"/>
      <c r="V960" s="56"/>
      <c r="W960" s="1"/>
      <c r="X960" s="1"/>
      <c r="Y960" s="8"/>
      <c r="Z960" s="8"/>
      <c r="AA960" s="8"/>
      <c r="AB960" s="8"/>
      <c r="AC960" s="8"/>
      <c r="AD960" s="8"/>
      <c r="AE960" s="8"/>
      <c r="AF960" s="8"/>
      <c r="AG960" s="8"/>
      <c r="AH960" s="8"/>
      <c r="AI960" s="8"/>
    </row>
    <row r="961" spans="1:35">
      <c r="A961" s="1"/>
      <c r="B961" s="8"/>
      <c r="C961" s="8"/>
      <c r="D961" s="8"/>
      <c r="E961" s="8"/>
      <c r="F961" s="8"/>
      <c r="G961" s="8"/>
      <c r="H961" s="8"/>
      <c r="I961" s="8"/>
      <c r="J961" s="8"/>
      <c r="K961" s="8"/>
      <c r="L961" s="26"/>
      <c r="M961" s="26"/>
      <c r="N961" s="26"/>
      <c r="O961" s="55"/>
      <c r="P961" s="1"/>
      <c r="Q961" s="8"/>
      <c r="R961" s="8"/>
      <c r="S961" s="1"/>
      <c r="T961" s="8"/>
      <c r="U961" s="8"/>
      <c r="V961" s="56"/>
      <c r="W961" s="1"/>
      <c r="X961" s="1"/>
      <c r="Y961" s="8"/>
      <c r="Z961" s="8"/>
      <c r="AA961" s="8"/>
      <c r="AB961" s="8"/>
      <c r="AC961" s="8"/>
      <c r="AD961" s="8"/>
      <c r="AE961" s="8"/>
      <c r="AF961" s="8"/>
      <c r="AG961" s="8"/>
      <c r="AH961" s="8"/>
      <c r="AI961" s="8"/>
    </row>
    <row r="962" spans="1:35">
      <c r="A962" s="1"/>
      <c r="B962" s="8"/>
      <c r="C962" s="8"/>
      <c r="D962" s="8"/>
      <c r="E962" s="8"/>
      <c r="F962" s="8"/>
      <c r="G962" s="8"/>
      <c r="H962" s="8"/>
      <c r="I962" s="8"/>
      <c r="J962" s="8"/>
      <c r="K962" s="8"/>
      <c r="L962" s="26"/>
      <c r="M962" s="26"/>
      <c r="N962" s="26"/>
      <c r="O962" s="55"/>
      <c r="P962" s="1"/>
      <c r="Q962" s="8"/>
      <c r="R962" s="8"/>
      <c r="S962" s="1"/>
      <c r="T962" s="8"/>
      <c r="U962" s="8"/>
      <c r="V962" s="56"/>
      <c r="W962" s="1"/>
      <c r="X962" s="1"/>
      <c r="Y962" s="8"/>
      <c r="Z962" s="8"/>
      <c r="AA962" s="8"/>
      <c r="AB962" s="8"/>
      <c r="AC962" s="8"/>
      <c r="AD962" s="8"/>
      <c r="AE962" s="8"/>
      <c r="AF962" s="8"/>
      <c r="AG962" s="8"/>
      <c r="AH962" s="8"/>
      <c r="AI962" s="8"/>
    </row>
    <row r="963" spans="1:35">
      <c r="A963" s="1"/>
      <c r="B963" s="8"/>
      <c r="C963" s="8"/>
      <c r="D963" s="8"/>
      <c r="E963" s="8"/>
      <c r="F963" s="8"/>
      <c r="G963" s="8"/>
      <c r="H963" s="8"/>
      <c r="I963" s="8"/>
      <c r="J963" s="8"/>
      <c r="K963" s="8"/>
      <c r="L963" s="26"/>
      <c r="M963" s="26"/>
      <c r="N963" s="26"/>
      <c r="O963" s="55"/>
      <c r="P963" s="1"/>
      <c r="Q963" s="8"/>
      <c r="R963" s="8"/>
      <c r="S963" s="1"/>
      <c r="T963" s="8"/>
      <c r="U963" s="8"/>
      <c r="V963" s="56"/>
      <c r="W963" s="1"/>
      <c r="X963" s="1"/>
      <c r="Y963" s="8"/>
      <c r="Z963" s="8"/>
      <c r="AA963" s="8"/>
      <c r="AB963" s="8"/>
      <c r="AC963" s="8"/>
      <c r="AD963" s="8"/>
      <c r="AE963" s="8"/>
      <c r="AF963" s="8"/>
      <c r="AG963" s="8"/>
      <c r="AH963" s="8"/>
      <c r="AI963" s="8"/>
    </row>
    <row r="964" spans="1:35">
      <c r="A964" s="1"/>
      <c r="B964" s="8"/>
      <c r="C964" s="8"/>
      <c r="D964" s="8"/>
      <c r="E964" s="8"/>
      <c r="F964" s="8"/>
      <c r="G964" s="8"/>
      <c r="H964" s="8"/>
      <c r="I964" s="8"/>
      <c r="J964" s="8"/>
      <c r="K964" s="8"/>
      <c r="L964" s="26"/>
      <c r="M964" s="26"/>
      <c r="N964" s="26"/>
      <c r="O964" s="55"/>
      <c r="P964" s="1"/>
      <c r="Q964" s="8"/>
      <c r="R964" s="8"/>
      <c r="S964" s="1"/>
      <c r="T964" s="8"/>
      <c r="U964" s="8"/>
      <c r="V964" s="56"/>
      <c r="W964" s="1"/>
      <c r="X964" s="1"/>
      <c r="Y964" s="8"/>
      <c r="Z964" s="8"/>
      <c r="AA964" s="8"/>
      <c r="AB964" s="8"/>
      <c r="AC964" s="8"/>
      <c r="AD964" s="8"/>
      <c r="AE964" s="8"/>
      <c r="AF964" s="8"/>
      <c r="AG964" s="8"/>
      <c r="AH964" s="8"/>
      <c r="AI964" s="8"/>
    </row>
    <row r="965" spans="1:35">
      <c r="A965" s="1"/>
      <c r="B965" s="8"/>
      <c r="C965" s="8"/>
      <c r="D965" s="8"/>
      <c r="E965" s="8"/>
      <c r="F965" s="8"/>
      <c r="G965" s="8"/>
      <c r="H965" s="8"/>
      <c r="I965" s="8"/>
      <c r="J965" s="8"/>
      <c r="K965" s="8"/>
      <c r="L965" s="26"/>
      <c r="M965" s="26"/>
      <c r="N965" s="26"/>
      <c r="O965" s="55"/>
      <c r="P965" s="1"/>
      <c r="Q965" s="8"/>
      <c r="R965" s="8"/>
      <c r="S965" s="1"/>
      <c r="T965" s="8"/>
      <c r="U965" s="8"/>
      <c r="V965" s="56"/>
      <c r="W965" s="1"/>
      <c r="X965" s="1"/>
      <c r="Y965" s="8"/>
      <c r="Z965" s="8"/>
      <c r="AA965" s="8"/>
      <c r="AB965" s="8"/>
      <c r="AC965" s="8"/>
      <c r="AD965" s="8"/>
      <c r="AE965" s="8"/>
      <c r="AF965" s="8"/>
      <c r="AG965" s="8"/>
      <c r="AH965" s="8"/>
      <c r="AI965" s="8"/>
    </row>
    <row r="966" spans="1:35">
      <c r="A966" s="1"/>
      <c r="B966" s="8"/>
      <c r="C966" s="8"/>
      <c r="D966" s="8"/>
      <c r="E966" s="8"/>
      <c r="F966" s="8"/>
      <c r="G966" s="8"/>
      <c r="H966" s="8"/>
      <c r="I966" s="8"/>
      <c r="J966" s="8"/>
      <c r="K966" s="8"/>
      <c r="L966" s="26"/>
      <c r="M966" s="26"/>
      <c r="N966" s="26"/>
      <c r="O966" s="55"/>
      <c r="P966" s="1"/>
      <c r="Q966" s="8"/>
      <c r="R966" s="8"/>
      <c r="S966" s="1"/>
      <c r="T966" s="8"/>
      <c r="U966" s="8"/>
      <c r="V966" s="56"/>
      <c r="W966" s="1"/>
      <c r="X966" s="1"/>
      <c r="Y966" s="8"/>
      <c r="Z966" s="8"/>
      <c r="AA966" s="8"/>
      <c r="AB966" s="8"/>
      <c r="AC966" s="8"/>
      <c r="AD966" s="8"/>
      <c r="AE966" s="8"/>
      <c r="AF966" s="8"/>
      <c r="AG966" s="8"/>
      <c r="AH966" s="8"/>
      <c r="AI966" s="8"/>
    </row>
    <row r="967" spans="1:35">
      <c r="A967" s="1"/>
      <c r="B967" s="8"/>
      <c r="C967" s="8"/>
      <c r="D967" s="8"/>
      <c r="E967" s="8"/>
      <c r="F967" s="8"/>
      <c r="G967" s="8"/>
      <c r="H967" s="8"/>
      <c r="I967" s="8"/>
      <c r="J967" s="8"/>
      <c r="K967" s="8"/>
      <c r="L967" s="26"/>
      <c r="M967" s="26"/>
      <c r="N967" s="26"/>
      <c r="O967" s="55"/>
      <c r="P967" s="1"/>
      <c r="Q967" s="8"/>
      <c r="R967" s="8"/>
      <c r="S967" s="1"/>
      <c r="T967" s="8"/>
      <c r="U967" s="8"/>
      <c r="V967" s="56"/>
      <c r="W967" s="1"/>
      <c r="X967" s="1"/>
      <c r="Y967" s="8"/>
      <c r="Z967" s="8"/>
      <c r="AA967" s="8"/>
      <c r="AB967" s="8"/>
      <c r="AC967" s="8"/>
      <c r="AD967" s="8"/>
      <c r="AE967" s="8"/>
      <c r="AF967" s="8"/>
      <c r="AG967" s="8"/>
      <c r="AH967" s="8"/>
      <c r="AI967" s="8"/>
    </row>
    <row r="968" spans="1:35">
      <c r="A968" s="1"/>
      <c r="B968" s="8"/>
      <c r="C968" s="8"/>
      <c r="D968" s="8"/>
      <c r="E968" s="8"/>
      <c r="F968" s="8"/>
      <c r="G968" s="8"/>
      <c r="H968" s="8"/>
      <c r="I968" s="8"/>
      <c r="J968" s="8"/>
      <c r="K968" s="8"/>
      <c r="L968" s="26"/>
      <c r="M968" s="26"/>
      <c r="N968" s="26"/>
      <c r="O968" s="55"/>
      <c r="P968" s="1"/>
      <c r="Q968" s="8"/>
      <c r="R968" s="8"/>
      <c r="S968" s="1"/>
      <c r="T968" s="8"/>
      <c r="U968" s="8"/>
      <c r="V968" s="56"/>
      <c r="W968" s="1"/>
      <c r="X968" s="1"/>
      <c r="Y968" s="8"/>
      <c r="Z968" s="8"/>
      <c r="AA968" s="8"/>
      <c r="AB968" s="8"/>
      <c r="AC968" s="8"/>
      <c r="AD968" s="8"/>
      <c r="AE968" s="8"/>
      <c r="AF968" s="8"/>
      <c r="AG968" s="8"/>
      <c r="AH968" s="8"/>
      <c r="AI968" s="8"/>
    </row>
    <row r="969" spans="1:35">
      <c r="A969" s="1"/>
      <c r="B969" s="8"/>
      <c r="C969" s="8"/>
      <c r="D969" s="8"/>
      <c r="E969" s="8"/>
      <c r="F969" s="8"/>
      <c r="G969" s="8"/>
      <c r="H969" s="8"/>
      <c r="I969" s="8"/>
      <c r="J969" s="8"/>
      <c r="K969" s="8"/>
      <c r="L969" s="26"/>
      <c r="M969" s="26"/>
      <c r="N969" s="26"/>
      <c r="O969" s="55"/>
      <c r="P969" s="1"/>
      <c r="Q969" s="8"/>
      <c r="R969" s="8"/>
      <c r="S969" s="1"/>
      <c r="T969" s="8"/>
      <c r="U969" s="8"/>
      <c r="V969" s="56"/>
      <c r="W969" s="1"/>
      <c r="X969" s="1"/>
      <c r="Y969" s="8"/>
      <c r="Z969" s="8"/>
      <c r="AA969" s="8"/>
      <c r="AB969" s="8"/>
      <c r="AC969" s="8"/>
      <c r="AD969" s="8"/>
      <c r="AE969" s="8"/>
      <c r="AF969" s="8"/>
      <c r="AG969" s="8"/>
      <c r="AH969" s="8"/>
      <c r="AI969" s="8"/>
    </row>
    <row r="970" spans="1:35">
      <c r="A970" s="1"/>
      <c r="B970" s="8"/>
      <c r="C970" s="8"/>
      <c r="D970" s="8"/>
      <c r="E970" s="8"/>
      <c r="F970" s="8"/>
      <c r="G970" s="8"/>
      <c r="H970" s="8"/>
      <c r="I970" s="8"/>
      <c r="J970" s="8"/>
      <c r="K970" s="8"/>
      <c r="L970" s="26"/>
      <c r="M970" s="26"/>
      <c r="N970" s="26"/>
      <c r="O970" s="55"/>
      <c r="P970" s="1"/>
      <c r="Q970" s="8"/>
      <c r="R970" s="8"/>
      <c r="S970" s="1"/>
      <c r="T970" s="8"/>
      <c r="U970" s="8"/>
      <c r="V970" s="56"/>
      <c r="W970" s="1"/>
      <c r="X970" s="1"/>
      <c r="Y970" s="8"/>
      <c r="Z970" s="8"/>
      <c r="AA970" s="8"/>
      <c r="AB970" s="8"/>
      <c r="AC970" s="8"/>
      <c r="AD970" s="8"/>
      <c r="AE970" s="8"/>
      <c r="AF970" s="8"/>
      <c r="AG970" s="8"/>
      <c r="AH970" s="8"/>
      <c r="AI970" s="8"/>
    </row>
    <row r="971" spans="1:35">
      <c r="A971" s="1"/>
      <c r="B971" s="8"/>
      <c r="C971" s="8"/>
      <c r="D971" s="8"/>
      <c r="E971" s="8"/>
      <c r="F971" s="8"/>
      <c r="G971" s="8"/>
      <c r="H971" s="8"/>
      <c r="I971" s="8"/>
      <c r="J971" s="8"/>
      <c r="K971" s="8"/>
      <c r="L971" s="26"/>
      <c r="M971" s="26"/>
      <c r="N971" s="26"/>
      <c r="O971" s="55"/>
      <c r="P971" s="1"/>
      <c r="Q971" s="8"/>
      <c r="R971" s="8"/>
      <c r="S971" s="1"/>
      <c r="T971" s="8"/>
      <c r="U971" s="8"/>
      <c r="V971" s="56"/>
      <c r="W971" s="1"/>
      <c r="X971" s="1"/>
      <c r="Y971" s="8"/>
      <c r="Z971" s="8"/>
      <c r="AA971" s="8"/>
      <c r="AB971" s="8"/>
      <c r="AC971" s="8"/>
      <c r="AD971" s="8"/>
      <c r="AE971" s="8"/>
      <c r="AF971" s="8"/>
      <c r="AG971" s="8"/>
      <c r="AH971" s="8"/>
      <c r="AI971" s="8"/>
    </row>
    <row r="972" spans="1:35">
      <c r="A972" s="1"/>
      <c r="B972" s="8"/>
      <c r="C972" s="8"/>
      <c r="D972" s="8"/>
      <c r="E972" s="8"/>
      <c r="F972" s="8"/>
      <c r="G972" s="8"/>
      <c r="H972" s="8"/>
      <c r="I972" s="8"/>
      <c r="J972" s="8"/>
      <c r="K972" s="8"/>
      <c r="L972" s="26"/>
      <c r="M972" s="26"/>
      <c r="N972" s="26"/>
      <c r="O972" s="55"/>
      <c r="P972" s="1"/>
      <c r="Q972" s="8"/>
      <c r="R972" s="8"/>
      <c r="S972" s="1"/>
      <c r="T972" s="8"/>
      <c r="U972" s="8"/>
      <c r="V972" s="56"/>
      <c r="W972" s="1"/>
      <c r="X972" s="1"/>
      <c r="Y972" s="8"/>
      <c r="Z972" s="8"/>
      <c r="AA972" s="8"/>
      <c r="AB972" s="8"/>
      <c r="AC972" s="8"/>
      <c r="AD972" s="8"/>
      <c r="AE972" s="8"/>
      <c r="AF972" s="8"/>
      <c r="AG972" s="8"/>
      <c r="AH972" s="8"/>
      <c r="AI972" s="8"/>
    </row>
    <row r="973" spans="1:35">
      <c r="A973" s="1"/>
      <c r="B973" s="8"/>
      <c r="C973" s="8"/>
      <c r="D973" s="8"/>
      <c r="E973" s="8"/>
      <c r="F973" s="8"/>
      <c r="G973" s="8"/>
      <c r="H973" s="8"/>
      <c r="I973" s="8"/>
      <c r="J973" s="8"/>
      <c r="K973" s="8"/>
      <c r="L973" s="26"/>
      <c r="M973" s="26"/>
      <c r="N973" s="26"/>
      <c r="O973" s="55"/>
      <c r="P973" s="1"/>
      <c r="Q973" s="8"/>
      <c r="R973" s="8"/>
      <c r="S973" s="1"/>
      <c r="T973" s="8"/>
      <c r="U973" s="8"/>
      <c r="V973" s="56"/>
      <c r="W973" s="1"/>
      <c r="X973" s="1"/>
      <c r="Y973" s="8"/>
      <c r="Z973" s="8"/>
      <c r="AA973" s="8"/>
      <c r="AB973" s="8"/>
      <c r="AC973" s="8"/>
      <c r="AD973" s="8"/>
      <c r="AE973" s="8"/>
      <c r="AF973" s="8"/>
      <c r="AG973" s="8"/>
      <c r="AH973" s="8"/>
      <c r="AI973" s="8"/>
    </row>
    <row r="974" spans="1:35">
      <c r="A974" s="1"/>
      <c r="B974" s="8"/>
      <c r="C974" s="8"/>
      <c r="D974" s="8"/>
      <c r="E974" s="8"/>
      <c r="F974" s="8"/>
      <c r="G974" s="8"/>
      <c r="H974" s="8"/>
      <c r="I974" s="8"/>
      <c r="J974" s="8"/>
      <c r="K974" s="8"/>
      <c r="L974" s="26"/>
      <c r="M974" s="26"/>
      <c r="N974" s="26"/>
      <c r="O974" s="55"/>
      <c r="P974" s="1"/>
      <c r="Q974" s="8"/>
      <c r="R974" s="8"/>
      <c r="S974" s="1"/>
      <c r="T974" s="8"/>
      <c r="U974" s="8"/>
      <c r="V974" s="56"/>
      <c r="W974" s="1"/>
      <c r="X974" s="1"/>
      <c r="Y974" s="8"/>
      <c r="Z974" s="8"/>
      <c r="AA974" s="8"/>
      <c r="AB974" s="8"/>
      <c r="AC974" s="8"/>
      <c r="AD974" s="8"/>
      <c r="AE974" s="8"/>
      <c r="AF974" s="8"/>
      <c r="AG974" s="8"/>
      <c r="AH974" s="8"/>
      <c r="AI974" s="8"/>
    </row>
    <row r="975" spans="1:35">
      <c r="A975" s="1"/>
      <c r="B975" s="8"/>
      <c r="C975" s="8"/>
      <c r="D975" s="8"/>
      <c r="E975" s="8"/>
      <c r="F975" s="8"/>
      <c r="G975" s="8"/>
      <c r="H975" s="8"/>
      <c r="I975" s="8"/>
      <c r="J975" s="8"/>
      <c r="K975" s="8"/>
      <c r="L975" s="26"/>
      <c r="M975" s="26"/>
      <c r="N975" s="26"/>
      <c r="O975" s="55"/>
      <c r="P975" s="1"/>
      <c r="Q975" s="8"/>
      <c r="R975" s="8"/>
      <c r="S975" s="1"/>
      <c r="T975" s="8"/>
      <c r="U975" s="8"/>
      <c r="V975" s="56"/>
      <c r="W975" s="1"/>
      <c r="X975" s="1"/>
      <c r="Y975" s="8"/>
      <c r="Z975" s="8"/>
      <c r="AA975" s="8"/>
      <c r="AB975" s="8"/>
      <c r="AC975" s="8"/>
      <c r="AD975" s="8"/>
      <c r="AE975" s="8"/>
      <c r="AF975" s="8"/>
      <c r="AG975" s="8"/>
      <c r="AH975" s="8"/>
      <c r="AI975" s="8"/>
    </row>
    <row r="976" spans="1:35">
      <c r="A976" s="1"/>
      <c r="B976" s="8"/>
      <c r="C976" s="8"/>
      <c r="D976" s="8"/>
      <c r="E976" s="8"/>
      <c r="F976" s="8"/>
      <c r="G976" s="8"/>
      <c r="H976" s="8"/>
      <c r="I976" s="8"/>
      <c r="J976" s="8"/>
      <c r="K976" s="8"/>
      <c r="L976" s="26"/>
      <c r="M976" s="26"/>
      <c r="N976" s="26"/>
      <c r="O976" s="55"/>
      <c r="P976" s="1"/>
      <c r="Q976" s="8"/>
      <c r="R976" s="8"/>
      <c r="S976" s="1"/>
      <c r="T976" s="8"/>
      <c r="U976" s="8"/>
      <c r="V976" s="56"/>
      <c r="W976" s="1"/>
      <c r="X976" s="1"/>
      <c r="Y976" s="8"/>
      <c r="Z976" s="8"/>
      <c r="AA976" s="8"/>
      <c r="AB976" s="8"/>
      <c r="AC976" s="8"/>
      <c r="AD976" s="8"/>
      <c r="AE976" s="8"/>
      <c r="AF976" s="8"/>
      <c r="AG976" s="8"/>
      <c r="AH976" s="8"/>
      <c r="AI976" s="8"/>
    </row>
    <row r="977" spans="1:35">
      <c r="A977" s="1"/>
      <c r="B977" s="8"/>
      <c r="C977" s="8"/>
      <c r="D977" s="8"/>
      <c r="E977" s="8"/>
      <c r="F977" s="8"/>
      <c r="G977" s="8"/>
      <c r="H977" s="8"/>
      <c r="I977" s="8"/>
      <c r="J977" s="8"/>
      <c r="K977" s="8"/>
      <c r="L977" s="26"/>
      <c r="M977" s="26"/>
      <c r="N977" s="26"/>
      <c r="O977" s="55"/>
      <c r="P977" s="1"/>
      <c r="Q977" s="8"/>
      <c r="R977" s="8"/>
      <c r="S977" s="1"/>
      <c r="T977" s="8"/>
      <c r="U977" s="8"/>
      <c r="V977" s="56"/>
      <c r="W977" s="1"/>
      <c r="X977" s="1"/>
      <c r="Y977" s="8"/>
      <c r="Z977" s="8"/>
      <c r="AA977" s="8"/>
      <c r="AB977" s="8"/>
      <c r="AC977" s="8"/>
      <c r="AD977" s="8"/>
      <c r="AE977" s="8"/>
      <c r="AF977" s="8"/>
      <c r="AG977" s="8"/>
      <c r="AH977" s="8"/>
      <c r="AI977" s="8"/>
    </row>
    <row r="978" spans="1:35">
      <c r="A978" s="1"/>
      <c r="B978" s="8"/>
      <c r="C978" s="8"/>
      <c r="D978" s="8"/>
      <c r="E978" s="8"/>
      <c r="F978" s="8"/>
      <c r="G978" s="8"/>
      <c r="H978" s="8"/>
      <c r="I978" s="8"/>
      <c r="J978" s="8"/>
      <c r="K978" s="8"/>
      <c r="L978" s="26"/>
      <c r="M978" s="26"/>
      <c r="N978" s="26"/>
      <c r="O978" s="55"/>
      <c r="P978" s="1"/>
      <c r="Q978" s="8"/>
      <c r="R978" s="8"/>
      <c r="S978" s="1"/>
      <c r="T978" s="8"/>
      <c r="U978" s="8"/>
      <c r="V978" s="56"/>
      <c r="W978" s="1"/>
      <c r="X978" s="1"/>
      <c r="Y978" s="8"/>
      <c r="Z978" s="8"/>
      <c r="AA978" s="8"/>
      <c r="AB978" s="8"/>
      <c r="AC978" s="8"/>
      <c r="AD978" s="8"/>
      <c r="AE978" s="8"/>
      <c r="AF978" s="8"/>
      <c r="AG978" s="8"/>
      <c r="AH978" s="8"/>
      <c r="AI978" s="8"/>
    </row>
    <row r="979" spans="1:35">
      <c r="A979" s="1"/>
      <c r="B979" s="8"/>
      <c r="C979" s="8"/>
      <c r="D979" s="8"/>
      <c r="E979" s="8"/>
      <c r="F979" s="8"/>
      <c r="G979" s="8"/>
      <c r="H979" s="8"/>
      <c r="I979" s="8"/>
      <c r="J979" s="8"/>
      <c r="K979" s="8"/>
      <c r="L979" s="26"/>
      <c r="M979" s="26"/>
      <c r="N979" s="26"/>
      <c r="O979" s="55"/>
      <c r="P979" s="1"/>
      <c r="Q979" s="8"/>
      <c r="R979" s="8"/>
      <c r="S979" s="1"/>
      <c r="T979" s="8"/>
      <c r="U979" s="8"/>
      <c r="V979" s="56"/>
      <c r="W979" s="1"/>
      <c r="X979" s="1"/>
      <c r="Y979" s="8"/>
      <c r="Z979" s="8"/>
      <c r="AA979" s="8"/>
      <c r="AB979" s="8"/>
      <c r="AC979" s="8"/>
      <c r="AD979" s="8"/>
      <c r="AE979" s="8"/>
      <c r="AF979" s="8"/>
      <c r="AG979" s="8"/>
      <c r="AH979" s="8"/>
      <c r="AI979" s="8"/>
    </row>
    <row r="980" spans="1:35">
      <c r="A980" s="1"/>
      <c r="B980" s="8"/>
      <c r="C980" s="8"/>
      <c r="D980" s="8"/>
      <c r="E980" s="8"/>
      <c r="F980" s="8"/>
      <c r="G980" s="8"/>
      <c r="H980" s="8"/>
      <c r="I980" s="8"/>
      <c r="J980" s="8"/>
      <c r="K980" s="8"/>
      <c r="L980" s="26"/>
      <c r="M980" s="26"/>
      <c r="N980" s="26"/>
      <c r="O980" s="55"/>
      <c r="P980" s="1"/>
      <c r="Q980" s="8"/>
      <c r="R980" s="8"/>
      <c r="S980" s="1"/>
      <c r="T980" s="8"/>
      <c r="U980" s="8"/>
      <c r="V980" s="56"/>
      <c r="W980" s="1"/>
      <c r="X980" s="1"/>
      <c r="Y980" s="8"/>
      <c r="Z980" s="8"/>
      <c r="AA980" s="8"/>
      <c r="AB980" s="8"/>
      <c r="AC980" s="8"/>
      <c r="AD980" s="8"/>
      <c r="AE980" s="8"/>
      <c r="AF980" s="8"/>
      <c r="AG980" s="8"/>
      <c r="AH980" s="8"/>
      <c r="AI980" s="8"/>
    </row>
    <row r="981" spans="1:35">
      <c r="A981" s="1"/>
      <c r="B981" s="8"/>
      <c r="C981" s="8"/>
      <c r="D981" s="8"/>
      <c r="E981" s="8"/>
      <c r="F981" s="8"/>
      <c r="G981" s="8"/>
      <c r="H981" s="8"/>
      <c r="I981" s="8"/>
      <c r="J981" s="8"/>
      <c r="K981" s="8"/>
      <c r="L981" s="26"/>
      <c r="M981" s="26"/>
      <c r="N981" s="26"/>
      <c r="O981" s="55"/>
      <c r="P981" s="1"/>
      <c r="Q981" s="8"/>
      <c r="R981" s="8"/>
      <c r="S981" s="1"/>
      <c r="T981" s="8"/>
      <c r="U981" s="8"/>
      <c r="V981" s="56"/>
      <c r="W981" s="1"/>
      <c r="X981" s="1"/>
      <c r="Y981" s="8"/>
      <c r="Z981" s="8"/>
      <c r="AA981" s="8"/>
      <c r="AB981" s="8"/>
      <c r="AC981" s="8"/>
      <c r="AD981" s="8"/>
      <c r="AE981" s="8"/>
      <c r="AF981" s="8"/>
      <c r="AG981" s="8"/>
      <c r="AH981" s="8"/>
      <c r="AI981" s="8"/>
    </row>
    <row r="982" spans="1:35">
      <c r="A982" s="1"/>
      <c r="B982" s="8"/>
      <c r="C982" s="8"/>
      <c r="D982" s="8"/>
      <c r="E982" s="8"/>
      <c r="F982" s="8"/>
      <c r="G982" s="8"/>
      <c r="H982" s="8"/>
      <c r="I982" s="8"/>
      <c r="J982" s="8"/>
      <c r="K982" s="8"/>
      <c r="L982" s="26"/>
      <c r="M982" s="26"/>
      <c r="N982" s="26"/>
      <c r="O982" s="55"/>
      <c r="P982" s="1"/>
      <c r="Q982" s="8"/>
      <c r="R982" s="8"/>
      <c r="S982" s="1"/>
      <c r="T982" s="8"/>
      <c r="U982" s="8"/>
      <c r="V982" s="56"/>
      <c r="W982" s="1"/>
      <c r="X982" s="1"/>
      <c r="Y982" s="8"/>
      <c r="Z982" s="8"/>
      <c r="AA982" s="8"/>
      <c r="AB982" s="8"/>
      <c r="AC982" s="8"/>
      <c r="AD982" s="8"/>
      <c r="AE982" s="8"/>
      <c r="AF982" s="8"/>
      <c r="AG982" s="8"/>
      <c r="AH982" s="8"/>
      <c r="AI982" s="8"/>
    </row>
    <row r="983" spans="1:35">
      <c r="A983" s="1"/>
      <c r="B983" s="8"/>
      <c r="C983" s="8"/>
      <c r="D983" s="8"/>
      <c r="E983" s="8"/>
      <c r="F983" s="8"/>
      <c r="G983" s="8"/>
      <c r="H983" s="8"/>
      <c r="I983" s="8"/>
      <c r="J983" s="8"/>
      <c r="K983" s="8"/>
      <c r="L983" s="26"/>
      <c r="M983" s="26"/>
      <c r="N983" s="26"/>
      <c r="O983" s="55"/>
      <c r="P983" s="1"/>
      <c r="Q983" s="8"/>
      <c r="R983" s="8"/>
      <c r="S983" s="1"/>
      <c r="T983" s="8"/>
      <c r="U983" s="8"/>
      <c r="V983" s="56"/>
      <c r="W983" s="1"/>
      <c r="X983" s="1"/>
      <c r="Y983" s="8"/>
      <c r="Z983" s="8"/>
      <c r="AA983" s="8"/>
      <c r="AB983" s="8"/>
      <c r="AC983" s="8"/>
      <c r="AD983" s="8"/>
      <c r="AE983" s="8"/>
      <c r="AF983" s="8"/>
      <c r="AG983" s="8"/>
      <c r="AH983" s="8"/>
      <c r="AI983" s="8"/>
    </row>
    <row r="984" spans="1:35">
      <c r="A984" s="1"/>
      <c r="B984" s="8"/>
      <c r="C984" s="8"/>
      <c r="D984" s="8"/>
      <c r="E984" s="8"/>
      <c r="F984" s="8"/>
      <c r="G984" s="8"/>
      <c r="H984" s="8"/>
      <c r="I984" s="8"/>
      <c r="J984" s="8"/>
      <c r="K984" s="8"/>
      <c r="L984" s="26"/>
      <c r="M984" s="26"/>
      <c r="N984" s="26"/>
      <c r="O984" s="55"/>
      <c r="P984" s="1"/>
      <c r="Q984" s="8"/>
      <c r="R984" s="8"/>
      <c r="S984" s="1"/>
      <c r="T984" s="8"/>
      <c r="U984" s="8"/>
      <c r="V984" s="56"/>
      <c r="W984" s="1"/>
      <c r="X984" s="1"/>
      <c r="Y984" s="8"/>
      <c r="Z984" s="8"/>
      <c r="AA984" s="8"/>
      <c r="AB984" s="8"/>
      <c r="AC984" s="8"/>
      <c r="AD984" s="8"/>
      <c r="AE984" s="8"/>
      <c r="AF984" s="8"/>
      <c r="AG984" s="8"/>
      <c r="AH984" s="8"/>
      <c r="AI984" s="8"/>
    </row>
    <row r="985" spans="1:35">
      <c r="A985" s="1"/>
      <c r="B985" s="8"/>
      <c r="C985" s="8"/>
      <c r="D985" s="8"/>
      <c r="E985" s="8"/>
      <c r="F985" s="8"/>
      <c r="G985" s="8"/>
      <c r="H985" s="8"/>
      <c r="I985" s="8"/>
      <c r="J985" s="8"/>
      <c r="K985" s="8"/>
      <c r="L985" s="26"/>
      <c r="M985" s="26"/>
      <c r="N985" s="26"/>
      <c r="O985" s="55"/>
      <c r="P985" s="1"/>
      <c r="Q985" s="8"/>
      <c r="R985" s="8"/>
      <c r="S985" s="1"/>
      <c r="T985" s="8"/>
      <c r="U985" s="8"/>
      <c r="V985" s="56"/>
      <c r="W985" s="1"/>
      <c r="X985" s="1"/>
      <c r="Y985" s="8"/>
      <c r="Z985" s="8"/>
      <c r="AA985" s="8"/>
      <c r="AB985" s="8"/>
      <c r="AC985" s="8"/>
      <c r="AD985" s="8"/>
      <c r="AE985" s="8"/>
      <c r="AF985" s="8"/>
      <c r="AG985" s="8"/>
      <c r="AH985" s="8"/>
      <c r="AI985" s="8"/>
    </row>
    <row r="986" spans="1:35">
      <c r="A986" s="1"/>
      <c r="B986" s="8"/>
      <c r="C986" s="8"/>
      <c r="D986" s="8"/>
      <c r="E986" s="8"/>
      <c r="F986" s="8"/>
      <c r="G986" s="8"/>
      <c r="H986" s="8"/>
      <c r="I986" s="8"/>
      <c r="J986" s="8"/>
      <c r="K986" s="8"/>
      <c r="L986" s="26"/>
      <c r="M986" s="26"/>
      <c r="N986" s="26"/>
      <c r="O986" s="55"/>
      <c r="P986" s="1"/>
      <c r="Q986" s="8"/>
      <c r="R986" s="8"/>
      <c r="S986" s="1"/>
      <c r="T986" s="8"/>
      <c r="U986" s="8"/>
      <c r="V986" s="56"/>
      <c r="W986" s="1"/>
      <c r="X986" s="1"/>
      <c r="Y986" s="8"/>
      <c r="Z986" s="8"/>
      <c r="AA986" s="8"/>
      <c r="AB986" s="8"/>
      <c r="AC986" s="8"/>
      <c r="AD986" s="8"/>
      <c r="AE986" s="8"/>
      <c r="AF986" s="8"/>
      <c r="AG986" s="8"/>
      <c r="AH986" s="8"/>
      <c r="AI986" s="8"/>
    </row>
    <row r="987" spans="1:35">
      <c r="A987" s="1"/>
      <c r="B987" s="8"/>
      <c r="C987" s="8"/>
      <c r="D987" s="8"/>
      <c r="E987" s="8"/>
      <c r="F987" s="8"/>
      <c r="G987" s="8"/>
      <c r="H987" s="8"/>
      <c r="I987" s="8"/>
      <c r="J987" s="8"/>
      <c r="K987" s="8"/>
      <c r="L987" s="26"/>
      <c r="M987" s="26"/>
      <c r="N987" s="26"/>
      <c r="O987" s="55"/>
      <c r="P987" s="1"/>
      <c r="Q987" s="8"/>
      <c r="R987" s="8"/>
      <c r="S987" s="1"/>
      <c r="T987" s="8"/>
      <c r="U987" s="8"/>
      <c r="V987" s="56"/>
      <c r="W987" s="1"/>
      <c r="X987" s="1"/>
      <c r="Y987" s="8"/>
      <c r="Z987" s="8"/>
      <c r="AA987" s="8"/>
      <c r="AB987" s="8"/>
      <c r="AC987" s="8"/>
      <c r="AD987" s="8"/>
      <c r="AE987" s="8"/>
      <c r="AF987" s="8"/>
      <c r="AG987" s="8"/>
      <c r="AH987" s="8"/>
      <c r="AI987" s="8"/>
    </row>
    <row r="988" spans="1:35">
      <c r="A988" s="1"/>
      <c r="B988" s="8"/>
      <c r="C988" s="8"/>
      <c r="D988" s="8"/>
      <c r="E988" s="8"/>
      <c r="F988" s="8"/>
      <c r="G988" s="8"/>
      <c r="H988" s="8"/>
      <c r="I988" s="8"/>
      <c r="J988" s="8"/>
      <c r="K988" s="8"/>
      <c r="L988" s="26"/>
      <c r="M988" s="26"/>
      <c r="N988" s="26"/>
      <c r="O988" s="55"/>
      <c r="P988" s="1"/>
      <c r="Q988" s="8"/>
      <c r="R988" s="8"/>
      <c r="S988" s="1"/>
      <c r="T988" s="8"/>
      <c r="U988" s="8"/>
      <c r="V988" s="56"/>
      <c r="W988" s="1"/>
      <c r="X988" s="1"/>
      <c r="Y988" s="8"/>
      <c r="Z988" s="8"/>
      <c r="AA988" s="8"/>
      <c r="AB988" s="8"/>
      <c r="AC988" s="8"/>
      <c r="AD988" s="8"/>
      <c r="AE988" s="8"/>
      <c r="AF988" s="8"/>
      <c r="AG988" s="8"/>
      <c r="AH988" s="8"/>
      <c r="AI988" s="8"/>
    </row>
    <row r="989" spans="1:35">
      <c r="A989" s="1"/>
      <c r="B989" s="8"/>
      <c r="C989" s="8"/>
      <c r="D989" s="8"/>
      <c r="E989" s="8"/>
      <c r="F989" s="8"/>
      <c r="G989" s="8"/>
      <c r="H989" s="8"/>
      <c r="I989" s="8"/>
      <c r="J989" s="8"/>
      <c r="K989" s="8"/>
      <c r="L989" s="26"/>
      <c r="M989" s="26"/>
      <c r="N989" s="26"/>
      <c r="O989" s="55"/>
      <c r="P989" s="1"/>
      <c r="Q989" s="8"/>
      <c r="R989" s="8"/>
      <c r="S989" s="1"/>
      <c r="T989" s="8"/>
      <c r="U989" s="8"/>
      <c r="V989" s="56"/>
      <c r="W989" s="1"/>
      <c r="X989" s="1"/>
      <c r="Y989" s="8"/>
      <c r="Z989" s="8"/>
      <c r="AA989" s="8"/>
      <c r="AB989" s="8"/>
      <c r="AC989" s="8"/>
      <c r="AD989" s="8"/>
      <c r="AE989" s="8"/>
      <c r="AF989" s="8"/>
      <c r="AG989" s="8"/>
      <c r="AH989" s="8"/>
      <c r="AI989" s="8"/>
    </row>
    <row r="990" spans="1:35">
      <c r="A990" s="1"/>
      <c r="B990" s="8"/>
      <c r="C990" s="8"/>
      <c r="D990" s="8"/>
      <c r="E990" s="8"/>
      <c r="F990" s="8"/>
      <c r="G990" s="8"/>
      <c r="H990" s="8"/>
      <c r="I990" s="8"/>
      <c r="J990" s="8"/>
      <c r="K990" s="8"/>
      <c r="L990" s="26"/>
      <c r="M990" s="26"/>
      <c r="N990" s="26"/>
      <c r="O990" s="55"/>
      <c r="P990" s="1"/>
      <c r="Q990" s="8"/>
      <c r="R990" s="8"/>
      <c r="S990" s="1"/>
      <c r="T990" s="8"/>
      <c r="U990" s="8"/>
      <c r="V990" s="56"/>
      <c r="W990" s="1"/>
      <c r="X990" s="1"/>
      <c r="Y990" s="8"/>
      <c r="Z990" s="8"/>
      <c r="AA990" s="8"/>
      <c r="AB990" s="8"/>
      <c r="AC990" s="8"/>
      <c r="AD990" s="8"/>
      <c r="AE990" s="8"/>
      <c r="AF990" s="8"/>
      <c r="AG990" s="8"/>
      <c r="AH990" s="8"/>
      <c r="AI990" s="8"/>
    </row>
    <row r="991" spans="1:35">
      <c r="A991" s="1"/>
      <c r="B991" s="8"/>
      <c r="C991" s="8"/>
      <c r="D991" s="8"/>
      <c r="E991" s="8"/>
      <c r="F991" s="8"/>
      <c r="G991" s="8"/>
      <c r="H991" s="8"/>
      <c r="I991" s="8"/>
      <c r="J991" s="8"/>
      <c r="K991" s="8"/>
      <c r="L991" s="26"/>
      <c r="M991" s="26"/>
      <c r="N991" s="26"/>
      <c r="O991" s="55"/>
      <c r="P991" s="1"/>
      <c r="Q991" s="8"/>
      <c r="R991" s="8"/>
      <c r="S991" s="1"/>
      <c r="T991" s="8"/>
      <c r="U991" s="8"/>
      <c r="V991" s="56"/>
      <c r="W991" s="1"/>
      <c r="X991" s="1"/>
      <c r="Y991" s="8"/>
      <c r="Z991" s="8"/>
      <c r="AA991" s="8"/>
      <c r="AB991" s="8"/>
      <c r="AC991" s="8"/>
      <c r="AD991" s="8"/>
      <c r="AE991" s="8"/>
      <c r="AF991" s="8"/>
      <c r="AG991" s="8"/>
      <c r="AH991" s="8"/>
      <c r="AI991" s="8"/>
    </row>
    <row r="992" spans="1:35">
      <c r="A992" s="1"/>
      <c r="B992" s="8"/>
      <c r="C992" s="8"/>
      <c r="D992" s="8"/>
      <c r="E992" s="8"/>
      <c r="F992" s="8"/>
      <c r="G992" s="8"/>
      <c r="H992" s="8"/>
      <c r="I992" s="8"/>
      <c r="J992" s="8"/>
      <c r="K992" s="8"/>
      <c r="L992" s="26"/>
      <c r="M992" s="26"/>
      <c r="N992" s="26"/>
      <c r="O992" s="55"/>
      <c r="P992" s="1"/>
      <c r="Q992" s="8"/>
      <c r="R992" s="8"/>
      <c r="S992" s="1"/>
      <c r="T992" s="8"/>
      <c r="U992" s="8"/>
      <c r="V992" s="56"/>
      <c r="W992" s="1"/>
      <c r="X992" s="1"/>
      <c r="Y992" s="8"/>
      <c r="Z992" s="8"/>
      <c r="AA992" s="8"/>
      <c r="AB992" s="8"/>
      <c r="AC992" s="8"/>
      <c r="AD992" s="8"/>
      <c r="AE992" s="8"/>
      <c r="AF992" s="8"/>
      <c r="AG992" s="8"/>
      <c r="AH992" s="8"/>
      <c r="AI992" s="8"/>
    </row>
    <row r="993" spans="1:35">
      <c r="A993" s="1"/>
      <c r="B993" s="8"/>
      <c r="C993" s="8"/>
      <c r="D993" s="8"/>
      <c r="E993" s="8"/>
      <c r="F993" s="8"/>
      <c r="G993" s="8"/>
      <c r="H993" s="8"/>
      <c r="I993" s="8"/>
      <c r="J993" s="8"/>
      <c r="K993" s="8"/>
      <c r="L993" s="26"/>
      <c r="M993" s="26"/>
      <c r="N993" s="26"/>
      <c r="O993" s="55"/>
      <c r="P993" s="1"/>
      <c r="Q993" s="8"/>
      <c r="R993" s="8"/>
      <c r="S993" s="1"/>
      <c r="T993" s="8"/>
      <c r="U993" s="8"/>
      <c r="V993" s="56"/>
      <c r="W993" s="1"/>
      <c r="X993" s="1"/>
      <c r="Y993" s="8"/>
      <c r="Z993" s="8"/>
      <c r="AA993" s="8"/>
      <c r="AB993" s="8"/>
      <c r="AC993" s="8"/>
      <c r="AD993" s="8"/>
      <c r="AE993" s="8"/>
      <c r="AF993" s="8"/>
      <c r="AG993" s="8"/>
      <c r="AH993" s="8"/>
      <c r="AI993" s="8"/>
    </row>
    <row r="994" spans="1:35">
      <c r="A994" s="1"/>
      <c r="B994" s="8"/>
      <c r="C994" s="8"/>
      <c r="D994" s="8"/>
      <c r="E994" s="8"/>
      <c r="F994" s="8"/>
      <c r="G994" s="8"/>
      <c r="H994" s="8"/>
      <c r="I994" s="8"/>
      <c r="J994" s="8"/>
      <c r="K994" s="8"/>
      <c r="L994" s="26"/>
      <c r="M994" s="26"/>
      <c r="N994" s="26"/>
      <c r="O994" s="55"/>
      <c r="P994" s="1"/>
      <c r="Q994" s="8"/>
      <c r="R994" s="8"/>
      <c r="S994" s="1"/>
      <c r="T994" s="8"/>
      <c r="U994" s="8"/>
      <c r="V994" s="56"/>
      <c r="W994" s="1"/>
      <c r="X994" s="1"/>
      <c r="Y994" s="8"/>
      <c r="Z994" s="8"/>
      <c r="AA994" s="8"/>
      <c r="AB994" s="8"/>
      <c r="AC994" s="8"/>
      <c r="AD994" s="8"/>
      <c r="AE994" s="8"/>
      <c r="AF994" s="8"/>
      <c r="AG994" s="8"/>
      <c r="AH994" s="8"/>
      <c r="AI994" s="8"/>
    </row>
    <row r="995" spans="1:35">
      <c r="A995" s="1"/>
      <c r="B995" s="8"/>
      <c r="C995" s="8"/>
      <c r="D995" s="8"/>
      <c r="E995" s="8"/>
      <c r="F995" s="8"/>
      <c r="G995" s="8"/>
      <c r="H995" s="8"/>
      <c r="I995" s="8"/>
      <c r="J995" s="8"/>
      <c r="K995" s="8"/>
      <c r="L995" s="26"/>
      <c r="M995" s="26"/>
      <c r="N995" s="26"/>
      <c r="O995" s="55"/>
      <c r="P995" s="1"/>
      <c r="Q995" s="8"/>
      <c r="R995" s="8"/>
      <c r="S995" s="1"/>
      <c r="T995" s="8"/>
      <c r="U995" s="8"/>
      <c r="V995" s="56"/>
      <c r="W995" s="1"/>
      <c r="X995" s="1"/>
      <c r="Y995" s="8"/>
      <c r="Z995" s="8"/>
      <c r="AA995" s="8"/>
      <c r="AB995" s="8"/>
      <c r="AC995" s="8"/>
      <c r="AD995" s="8"/>
      <c r="AE995" s="8"/>
      <c r="AF995" s="8"/>
      <c r="AG995" s="8"/>
      <c r="AH995" s="8"/>
      <c r="AI995" s="8"/>
    </row>
    <row r="996" spans="1:35">
      <c r="A996" s="1"/>
      <c r="B996" s="8"/>
      <c r="C996" s="8"/>
      <c r="D996" s="8"/>
      <c r="E996" s="8"/>
      <c r="F996" s="8"/>
      <c r="G996" s="8"/>
      <c r="H996" s="8"/>
      <c r="I996" s="8"/>
      <c r="J996" s="8"/>
      <c r="K996" s="8"/>
      <c r="L996" s="26"/>
      <c r="M996" s="26"/>
      <c r="N996" s="26"/>
      <c r="O996" s="55"/>
      <c r="P996" s="1"/>
      <c r="Q996" s="8"/>
      <c r="R996" s="8"/>
      <c r="S996" s="1"/>
      <c r="T996" s="8"/>
      <c r="U996" s="8"/>
      <c r="V996" s="56"/>
      <c r="W996" s="1"/>
      <c r="X996" s="1"/>
      <c r="Y996" s="8"/>
      <c r="Z996" s="8"/>
      <c r="AA996" s="8"/>
      <c r="AB996" s="8"/>
      <c r="AC996" s="8"/>
      <c r="AD996" s="8"/>
      <c r="AE996" s="8"/>
      <c r="AF996" s="8"/>
      <c r="AG996" s="8"/>
      <c r="AH996" s="8"/>
      <c r="AI996" s="8"/>
    </row>
    <row r="997" spans="1:35">
      <c r="A997" s="1"/>
      <c r="B997" s="8"/>
      <c r="C997" s="8"/>
      <c r="D997" s="8"/>
      <c r="E997" s="8"/>
      <c r="F997" s="8"/>
      <c r="G997" s="8"/>
      <c r="H997" s="8"/>
      <c r="I997" s="8"/>
      <c r="J997" s="8"/>
      <c r="K997" s="8"/>
      <c r="L997" s="26"/>
      <c r="M997" s="26"/>
      <c r="N997" s="26"/>
      <c r="O997" s="55"/>
      <c r="P997" s="1"/>
      <c r="Q997" s="8"/>
      <c r="R997" s="8"/>
      <c r="S997" s="1"/>
      <c r="T997" s="8"/>
      <c r="U997" s="8"/>
      <c r="V997" s="56"/>
      <c r="W997" s="1"/>
      <c r="X997" s="1"/>
      <c r="Y997" s="8"/>
      <c r="Z997" s="8"/>
      <c r="AA997" s="8"/>
      <c r="AB997" s="8"/>
      <c r="AC997" s="8"/>
      <c r="AD997" s="8"/>
      <c r="AE997" s="8"/>
      <c r="AF997" s="8"/>
      <c r="AG997" s="8"/>
      <c r="AH997" s="8"/>
      <c r="AI997" s="8"/>
    </row>
    <row r="998" spans="1:35">
      <c r="A998" s="1"/>
      <c r="B998" s="8"/>
      <c r="C998" s="8"/>
      <c r="D998" s="8"/>
      <c r="E998" s="8"/>
      <c r="F998" s="8"/>
      <c r="G998" s="8"/>
      <c r="H998" s="8"/>
      <c r="I998" s="8"/>
      <c r="J998" s="8"/>
      <c r="K998" s="8"/>
      <c r="L998" s="26"/>
      <c r="M998" s="26"/>
      <c r="N998" s="26"/>
      <c r="O998" s="55"/>
      <c r="P998" s="1"/>
      <c r="Q998" s="8"/>
      <c r="R998" s="8"/>
      <c r="S998" s="1"/>
      <c r="T998" s="8"/>
      <c r="U998" s="8"/>
      <c r="V998" s="56"/>
      <c r="W998" s="1"/>
      <c r="X998" s="1"/>
      <c r="Y998" s="8"/>
      <c r="Z998" s="8"/>
      <c r="AA998" s="8"/>
      <c r="AB998" s="8"/>
      <c r="AC998" s="8"/>
      <c r="AD998" s="8"/>
      <c r="AE998" s="8"/>
      <c r="AF998" s="8"/>
      <c r="AG998" s="8"/>
      <c r="AH998" s="8"/>
      <c r="AI998" s="8"/>
    </row>
    <row r="999" spans="1:35">
      <c r="A999" s="1"/>
      <c r="B999" s="8"/>
      <c r="C999" s="8"/>
      <c r="D999" s="8"/>
      <c r="E999" s="8"/>
      <c r="F999" s="8"/>
      <c r="G999" s="8"/>
      <c r="H999" s="8"/>
      <c r="I999" s="8"/>
      <c r="J999" s="8"/>
      <c r="K999" s="8"/>
      <c r="L999" s="26"/>
      <c r="M999" s="26"/>
      <c r="N999" s="26"/>
      <c r="O999" s="55"/>
      <c r="P999" s="1"/>
      <c r="Q999" s="8"/>
      <c r="R999" s="8"/>
      <c r="S999" s="1"/>
      <c r="T999" s="8"/>
      <c r="U999" s="8"/>
      <c r="V999" s="56"/>
      <c r="W999" s="1"/>
      <c r="X999" s="1"/>
      <c r="Y999" s="8"/>
      <c r="Z999" s="8"/>
      <c r="AA999" s="8"/>
      <c r="AB999" s="8"/>
      <c r="AC999" s="8"/>
      <c r="AD999" s="8"/>
      <c r="AE999" s="8"/>
      <c r="AF999" s="8"/>
      <c r="AG999" s="8"/>
      <c r="AH999" s="8"/>
      <c r="AI999" s="8"/>
    </row>
    <row r="1000" spans="1:35">
      <c r="A1000" s="1"/>
      <c r="B1000" s="8"/>
      <c r="C1000" s="8"/>
      <c r="D1000" s="8"/>
      <c r="E1000" s="8"/>
      <c r="F1000" s="8"/>
      <c r="G1000" s="8"/>
      <c r="H1000" s="8"/>
      <c r="I1000" s="8"/>
      <c r="J1000" s="8"/>
      <c r="K1000" s="8"/>
      <c r="L1000" s="26"/>
      <c r="M1000" s="26"/>
      <c r="N1000" s="26"/>
      <c r="O1000" s="55"/>
      <c r="P1000" s="1"/>
      <c r="Q1000" s="8"/>
      <c r="R1000" s="8"/>
      <c r="S1000" s="1"/>
      <c r="T1000" s="8"/>
      <c r="U1000" s="8"/>
      <c r="V1000" s="56"/>
      <c r="W1000" s="1"/>
      <c r="X1000" s="1"/>
      <c r="Y1000" s="8"/>
      <c r="Z1000" s="8"/>
      <c r="AA1000" s="8"/>
      <c r="AB1000" s="8"/>
      <c r="AC1000" s="8"/>
      <c r="AD1000" s="8"/>
      <c r="AE1000" s="8"/>
      <c r="AF1000" s="8"/>
      <c r="AG1000" s="8"/>
      <c r="AH1000" s="8"/>
      <c r="AI1000" s="8"/>
    </row>
    <row r="1001" spans="1:35">
      <c r="A1001" s="1"/>
      <c r="B1001" s="8"/>
      <c r="C1001" s="8"/>
      <c r="D1001" s="8"/>
      <c r="E1001" s="8"/>
      <c r="F1001" s="8"/>
      <c r="G1001" s="8"/>
      <c r="H1001" s="8"/>
      <c r="I1001" s="8"/>
      <c r="J1001" s="8"/>
      <c r="K1001" s="8"/>
      <c r="L1001" s="26"/>
      <c r="M1001" s="26"/>
      <c r="N1001" s="26"/>
      <c r="O1001" s="55"/>
      <c r="P1001" s="1"/>
      <c r="Q1001" s="8"/>
      <c r="R1001" s="8"/>
      <c r="S1001" s="1"/>
      <c r="T1001" s="8"/>
      <c r="U1001" s="8"/>
      <c r="V1001" s="56"/>
      <c r="W1001" s="1"/>
      <c r="X1001" s="1"/>
      <c r="Y1001" s="8"/>
      <c r="Z1001" s="8"/>
      <c r="AA1001" s="8"/>
      <c r="AB1001" s="8"/>
      <c r="AC1001" s="8"/>
      <c r="AD1001" s="8"/>
      <c r="AE1001" s="8"/>
      <c r="AF1001" s="8"/>
      <c r="AG1001" s="8"/>
      <c r="AH1001" s="8"/>
      <c r="AI1001" s="8"/>
    </row>
    <row r="1002" spans="1:35">
      <c r="A1002" s="1"/>
      <c r="B1002" s="8"/>
      <c r="C1002" s="8"/>
      <c r="D1002" s="8"/>
      <c r="E1002" s="8"/>
      <c r="F1002" s="8"/>
      <c r="G1002" s="8"/>
      <c r="H1002" s="8"/>
      <c r="I1002" s="8"/>
      <c r="J1002" s="8"/>
      <c r="K1002" s="8"/>
      <c r="L1002" s="26"/>
      <c r="M1002" s="26"/>
      <c r="N1002" s="26"/>
      <c r="O1002" s="55"/>
      <c r="P1002" s="1"/>
      <c r="Q1002" s="8"/>
      <c r="R1002" s="8"/>
      <c r="S1002" s="1"/>
      <c r="T1002" s="8"/>
      <c r="U1002" s="8"/>
      <c r="V1002" s="56"/>
      <c r="W1002" s="1"/>
      <c r="X1002" s="1"/>
      <c r="Y1002" s="8"/>
      <c r="Z1002" s="8"/>
      <c r="AA1002" s="8"/>
      <c r="AB1002" s="8"/>
      <c r="AC1002" s="8"/>
      <c r="AD1002" s="8"/>
      <c r="AE1002" s="8"/>
      <c r="AF1002" s="8"/>
      <c r="AG1002" s="8"/>
      <c r="AH1002" s="8"/>
      <c r="AI1002" s="8"/>
    </row>
    <row r="1003" spans="1:35">
      <c r="A1003" s="1"/>
      <c r="B1003" s="8"/>
      <c r="C1003" s="8"/>
      <c r="D1003" s="8"/>
      <c r="E1003" s="8"/>
      <c r="F1003" s="8"/>
      <c r="G1003" s="8"/>
      <c r="H1003" s="8"/>
      <c r="I1003" s="8"/>
      <c r="J1003" s="8"/>
      <c r="K1003" s="8"/>
      <c r="L1003" s="26"/>
      <c r="M1003" s="26"/>
      <c r="N1003" s="26"/>
      <c r="O1003" s="55"/>
      <c r="P1003" s="1"/>
      <c r="Q1003" s="8"/>
      <c r="R1003" s="8"/>
      <c r="S1003" s="1"/>
      <c r="T1003" s="8"/>
      <c r="U1003" s="8"/>
      <c r="V1003" s="56"/>
      <c r="W1003" s="1"/>
      <c r="X1003" s="1"/>
      <c r="Y1003" s="8"/>
      <c r="Z1003" s="8"/>
      <c r="AA1003" s="8"/>
      <c r="AB1003" s="8"/>
      <c r="AC1003" s="8"/>
      <c r="AD1003" s="8"/>
      <c r="AE1003" s="8"/>
      <c r="AF1003" s="8"/>
      <c r="AG1003" s="8"/>
      <c r="AH1003" s="8"/>
      <c r="AI1003" s="8"/>
    </row>
    <row r="1004" spans="1:35">
      <c r="A1004" s="1"/>
      <c r="B1004" s="8"/>
      <c r="C1004" s="8"/>
      <c r="D1004" s="8"/>
      <c r="E1004" s="8"/>
      <c r="F1004" s="8"/>
      <c r="G1004" s="8"/>
      <c r="H1004" s="8"/>
      <c r="I1004" s="8"/>
      <c r="J1004" s="8"/>
      <c r="K1004" s="8"/>
      <c r="L1004" s="26"/>
      <c r="M1004" s="26"/>
      <c r="N1004" s="26"/>
      <c r="O1004" s="55"/>
      <c r="P1004" s="1"/>
      <c r="Q1004" s="8"/>
      <c r="R1004" s="8"/>
      <c r="S1004" s="1"/>
      <c r="T1004" s="8"/>
      <c r="U1004" s="8"/>
      <c r="V1004" s="56"/>
      <c r="W1004" s="1"/>
      <c r="X1004" s="1"/>
      <c r="Y1004" s="8"/>
      <c r="Z1004" s="8"/>
      <c r="AA1004" s="8"/>
      <c r="AB1004" s="8"/>
      <c r="AC1004" s="8"/>
      <c r="AD1004" s="8"/>
      <c r="AE1004" s="8"/>
      <c r="AF1004" s="8"/>
      <c r="AG1004" s="8"/>
      <c r="AH1004" s="8"/>
      <c r="AI1004" s="8"/>
    </row>
    <row r="1005" spans="1:35">
      <c r="A1005" s="1"/>
      <c r="B1005" s="8"/>
      <c r="C1005" s="8"/>
      <c r="D1005" s="8"/>
      <c r="E1005" s="8"/>
      <c r="F1005" s="8"/>
      <c r="G1005" s="8"/>
      <c r="H1005" s="8"/>
      <c r="I1005" s="8"/>
      <c r="J1005" s="8"/>
      <c r="K1005" s="8"/>
      <c r="L1005" s="26"/>
      <c r="M1005" s="26"/>
      <c r="N1005" s="26"/>
      <c r="O1005" s="55"/>
      <c r="P1005" s="1"/>
      <c r="Q1005" s="8"/>
      <c r="R1005" s="8"/>
      <c r="S1005" s="1"/>
      <c r="T1005" s="8"/>
      <c r="U1005" s="8"/>
      <c r="V1005" s="56"/>
      <c r="W1005" s="1"/>
      <c r="X1005" s="1"/>
      <c r="Y1005" s="8"/>
      <c r="Z1005" s="8"/>
      <c r="AA1005" s="8"/>
      <c r="AB1005" s="8"/>
      <c r="AC1005" s="8"/>
      <c r="AD1005" s="8"/>
      <c r="AE1005" s="8"/>
      <c r="AF1005" s="8"/>
      <c r="AG1005" s="8"/>
      <c r="AH1005" s="8"/>
      <c r="AI1005" s="8"/>
    </row>
    <row r="1006" spans="1:35">
      <c r="A1006" s="1"/>
      <c r="B1006" s="8"/>
      <c r="C1006" s="8"/>
      <c r="D1006" s="8"/>
      <c r="E1006" s="8"/>
      <c r="F1006" s="8"/>
      <c r="G1006" s="8"/>
      <c r="H1006" s="8"/>
      <c r="I1006" s="8"/>
      <c r="J1006" s="8"/>
      <c r="K1006" s="8"/>
      <c r="L1006" s="26"/>
      <c r="M1006" s="26"/>
      <c r="N1006" s="26"/>
      <c r="O1006" s="55"/>
      <c r="P1006" s="1"/>
      <c r="Q1006" s="8"/>
      <c r="R1006" s="8"/>
      <c r="S1006" s="1"/>
      <c r="T1006" s="8"/>
      <c r="U1006" s="8"/>
      <c r="V1006" s="56"/>
      <c r="W1006" s="1"/>
      <c r="X1006" s="1"/>
      <c r="Y1006" s="8"/>
      <c r="Z1006" s="8"/>
      <c r="AA1006" s="8"/>
      <c r="AB1006" s="8"/>
      <c r="AC1006" s="8"/>
      <c r="AD1006" s="8"/>
      <c r="AE1006" s="8"/>
      <c r="AF1006" s="8"/>
      <c r="AG1006" s="8"/>
      <c r="AH1006" s="8"/>
      <c r="AI1006" s="8"/>
    </row>
    <row r="1007" spans="1:35">
      <c r="A1007" s="1"/>
      <c r="B1007" s="8"/>
      <c r="C1007" s="8"/>
      <c r="D1007" s="8"/>
      <c r="E1007" s="8"/>
      <c r="F1007" s="8"/>
      <c r="G1007" s="8"/>
      <c r="H1007" s="8"/>
      <c r="I1007" s="8"/>
      <c r="J1007" s="8"/>
      <c r="K1007" s="8"/>
      <c r="L1007" s="26"/>
      <c r="M1007" s="26"/>
      <c r="N1007" s="26"/>
      <c r="O1007" s="55"/>
      <c r="P1007" s="1"/>
      <c r="Q1007" s="8"/>
      <c r="R1007" s="8"/>
      <c r="S1007" s="1"/>
      <c r="T1007" s="8"/>
      <c r="U1007" s="8"/>
      <c r="V1007" s="56"/>
      <c r="W1007" s="1"/>
      <c r="X1007" s="1"/>
      <c r="Y1007" s="8"/>
      <c r="Z1007" s="8"/>
      <c r="AA1007" s="8"/>
      <c r="AB1007" s="8"/>
      <c r="AC1007" s="8"/>
      <c r="AD1007" s="8"/>
      <c r="AE1007" s="8"/>
      <c r="AF1007" s="8"/>
      <c r="AG1007" s="8"/>
      <c r="AH1007" s="8"/>
      <c r="AI1007" s="8"/>
    </row>
    <row r="1008" spans="1:35">
      <c r="A1008" s="1"/>
      <c r="B1008" s="8"/>
      <c r="C1008" s="8"/>
      <c r="D1008" s="8"/>
      <c r="E1008" s="8"/>
      <c r="F1008" s="8"/>
      <c r="G1008" s="8"/>
      <c r="H1008" s="8"/>
      <c r="I1008" s="8"/>
      <c r="J1008" s="8"/>
      <c r="K1008" s="8"/>
      <c r="L1008" s="26"/>
      <c r="M1008" s="26"/>
      <c r="N1008" s="26"/>
      <c r="O1008" s="55"/>
      <c r="P1008" s="1"/>
      <c r="Q1008" s="8"/>
      <c r="R1008" s="8"/>
      <c r="S1008" s="1"/>
      <c r="T1008" s="8"/>
      <c r="U1008" s="8"/>
      <c r="V1008" s="56"/>
      <c r="W1008" s="1"/>
      <c r="X1008" s="1"/>
      <c r="Y1008" s="8"/>
      <c r="Z1008" s="8"/>
      <c r="AA1008" s="8"/>
      <c r="AB1008" s="8"/>
      <c r="AC1008" s="8"/>
      <c r="AD1008" s="8"/>
      <c r="AE1008" s="8"/>
      <c r="AF1008" s="8"/>
      <c r="AG1008" s="8"/>
      <c r="AH1008" s="8"/>
      <c r="AI1008" s="8"/>
    </row>
    <row r="1009" spans="1:35">
      <c r="A1009" s="1"/>
      <c r="B1009" s="8"/>
      <c r="C1009" s="8"/>
      <c r="D1009" s="8"/>
      <c r="E1009" s="8"/>
      <c r="F1009" s="8"/>
      <c r="G1009" s="8"/>
      <c r="H1009" s="8"/>
      <c r="I1009" s="8"/>
      <c r="J1009" s="8"/>
      <c r="K1009" s="8"/>
      <c r="L1009" s="26"/>
      <c r="M1009" s="26"/>
      <c r="N1009" s="26"/>
      <c r="O1009" s="55"/>
      <c r="P1009" s="1"/>
      <c r="Q1009" s="8"/>
      <c r="R1009" s="8"/>
      <c r="S1009" s="1"/>
      <c r="T1009" s="8"/>
      <c r="U1009" s="8"/>
      <c r="V1009" s="56"/>
      <c r="W1009" s="1"/>
      <c r="X1009" s="1"/>
      <c r="Y1009" s="8"/>
      <c r="Z1009" s="8"/>
      <c r="AA1009" s="8"/>
      <c r="AB1009" s="8"/>
      <c r="AC1009" s="8"/>
      <c r="AD1009" s="8"/>
      <c r="AE1009" s="8"/>
      <c r="AF1009" s="8"/>
      <c r="AG1009" s="8"/>
      <c r="AH1009" s="8"/>
      <c r="AI1009" s="8"/>
    </row>
    <row r="1010" spans="1:35">
      <c r="A1010" s="1"/>
      <c r="B1010" s="8"/>
      <c r="C1010" s="8"/>
      <c r="D1010" s="8"/>
      <c r="E1010" s="8"/>
      <c r="F1010" s="8"/>
      <c r="G1010" s="8"/>
      <c r="H1010" s="8"/>
      <c r="I1010" s="8"/>
      <c r="J1010" s="8"/>
      <c r="K1010" s="8"/>
      <c r="L1010" s="26"/>
      <c r="M1010" s="26"/>
      <c r="N1010" s="26"/>
      <c r="O1010" s="55"/>
      <c r="P1010" s="1"/>
      <c r="Q1010" s="8"/>
      <c r="R1010" s="8"/>
      <c r="S1010" s="1"/>
      <c r="T1010" s="8"/>
      <c r="U1010" s="8"/>
      <c r="V1010" s="56"/>
      <c r="W1010" s="1"/>
      <c r="X1010" s="1"/>
      <c r="Y1010" s="8"/>
      <c r="Z1010" s="8"/>
      <c r="AA1010" s="8"/>
      <c r="AB1010" s="8"/>
      <c r="AC1010" s="8"/>
      <c r="AD1010" s="8"/>
      <c r="AE1010" s="8"/>
      <c r="AF1010" s="8"/>
      <c r="AG1010" s="8"/>
      <c r="AH1010" s="8"/>
      <c r="AI1010" s="8"/>
    </row>
    <row r="1011" spans="1:35">
      <c r="A1011" s="1"/>
      <c r="B1011" s="8"/>
      <c r="C1011" s="8"/>
      <c r="D1011" s="8"/>
      <c r="E1011" s="8"/>
      <c r="F1011" s="8"/>
      <c r="G1011" s="8"/>
      <c r="H1011" s="8"/>
      <c r="I1011" s="8"/>
      <c r="J1011" s="8"/>
      <c r="K1011" s="8"/>
      <c r="L1011" s="26"/>
      <c r="M1011" s="26"/>
      <c r="N1011" s="26"/>
      <c r="O1011" s="55"/>
      <c r="P1011" s="1"/>
      <c r="Q1011" s="8"/>
      <c r="R1011" s="8"/>
      <c r="S1011" s="1"/>
      <c r="T1011" s="8"/>
      <c r="U1011" s="8"/>
      <c r="V1011" s="56"/>
      <c r="W1011" s="1"/>
      <c r="X1011" s="1"/>
      <c r="Y1011" s="8"/>
      <c r="Z1011" s="8"/>
      <c r="AA1011" s="8"/>
      <c r="AB1011" s="8"/>
      <c r="AC1011" s="8"/>
      <c r="AD1011" s="8"/>
      <c r="AE1011" s="8"/>
      <c r="AF1011" s="8"/>
      <c r="AG1011" s="8"/>
      <c r="AH1011" s="8"/>
      <c r="AI1011" s="8"/>
    </row>
    <row r="1012" spans="1:35">
      <c r="A1012" s="1"/>
      <c r="B1012" s="8"/>
      <c r="C1012" s="8"/>
      <c r="D1012" s="8"/>
      <c r="E1012" s="8"/>
      <c r="F1012" s="8"/>
      <c r="G1012" s="8"/>
      <c r="H1012" s="8"/>
      <c r="I1012" s="8"/>
      <c r="J1012" s="8"/>
      <c r="K1012" s="8"/>
      <c r="L1012" s="26"/>
      <c r="M1012" s="26"/>
      <c r="N1012" s="26"/>
      <c r="O1012" s="55"/>
      <c r="P1012" s="1"/>
      <c r="Q1012" s="8"/>
      <c r="R1012" s="8"/>
      <c r="S1012" s="1"/>
      <c r="T1012" s="8"/>
      <c r="U1012" s="8"/>
      <c r="V1012" s="56"/>
      <c r="W1012" s="1"/>
      <c r="X1012" s="1"/>
      <c r="Y1012" s="8"/>
      <c r="Z1012" s="8"/>
      <c r="AA1012" s="8"/>
      <c r="AB1012" s="8"/>
      <c r="AC1012" s="8"/>
      <c r="AD1012" s="8"/>
      <c r="AE1012" s="8"/>
      <c r="AF1012" s="8"/>
      <c r="AG1012" s="8"/>
      <c r="AH1012" s="8"/>
      <c r="AI1012" s="8"/>
    </row>
    <row r="1013" spans="1:35">
      <c r="A1013" s="1"/>
      <c r="B1013" s="8"/>
      <c r="C1013" s="8"/>
      <c r="D1013" s="8"/>
      <c r="E1013" s="8"/>
      <c r="F1013" s="8"/>
      <c r="G1013" s="8"/>
      <c r="H1013" s="8"/>
      <c r="I1013" s="8"/>
      <c r="J1013" s="8"/>
      <c r="K1013" s="8"/>
      <c r="L1013" s="26"/>
      <c r="M1013" s="26"/>
      <c r="N1013" s="26"/>
      <c r="O1013" s="55"/>
      <c r="P1013" s="1"/>
      <c r="Q1013" s="8"/>
      <c r="R1013" s="8"/>
      <c r="S1013" s="1"/>
      <c r="T1013" s="8"/>
      <c r="U1013" s="8"/>
      <c r="V1013" s="56"/>
      <c r="W1013" s="1"/>
      <c r="X1013" s="1"/>
      <c r="Y1013" s="8"/>
      <c r="Z1013" s="8"/>
      <c r="AA1013" s="8"/>
      <c r="AB1013" s="8"/>
      <c r="AC1013" s="8"/>
      <c r="AD1013" s="8"/>
      <c r="AE1013" s="8"/>
      <c r="AF1013" s="8"/>
      <c r="AG1013" s="8"/>
      <c r="AH1013" s="8"/>
      <c r="AI1013" s="8"/>
    </row>
    <row r="1014" spans="1:35">
      <c r="A1014" s="1"/>
      <c r="B1014" s="8"/>
      <c r="C1014" s="8"/>
      <c r="D1014" s="8"/>
      <c r="E1014" s="8"/>
      <c r="F1014" s="8"/>
      <c r="G1014" s="8"/>
      <c r="H1014" s="8"/>
      <c r="I1014" s="8"/>
      <c r="J1014" s="8"/>
      <c r="K1014" s="8"/>
      <c r="L1014" s="26"/>
      <c r="M1014" s="26"/>
      <c r="N1014" s="26"/>
      <c r="O1014" s="55"/>
      <c r="P1014" s="1"/>
      <c r="Q1014" s="8"/>
      <c r="R1014" s="8"/>
      <c r="S1014" s="1"/>
      <c r="T1014" s="8"/>
      <c r="U1014" s="8"/>
      <c r="V1014" s="56"/>
      <c r="W1014" s="1"/>
      <c r="X1014" s="1"/>
      <c r="Y1014" s="8"/>
      <c r="Z1014" s="8"/>
      <c r="AA1014" s="8"/>
      <c r="AB1014" s="8"/>
      <c r="AC1014" s="8"/>
      <c r="AD1014" s="8"/>
      <c r="AE1014" s="8"/>
      <c r="AF1014" s="8"/>
      <c r="AG1014" s="8"/>
      <c r="AH1014" s="8"/>
      <c r="AI1014" s="8"/>
    </row>
    <row r="1015" spans="1:35">
      <c r="A1015" s="1"/>
      <c r="B1015" s="8"/>
      <c r="C1015" s="8"/>
      <c r="D1015" s="8"/>
      <c r="E1015" s="8"/>
      <c r="F1015" s="8"/>
      <c r="G1015" s="8"/>
      <c r="H1015" s="8"/>
      <c r="I1015" s="8"/>
      <c r="J1015" s="8"/>
      <c r="K1015" s="8"/>
      <c r="L1015" s="26"/>
      <c r="M1015" s="26"/>
      <c r="N1015" s="26"/>
      <c r="O1015" s="55"/>
      <c r="P1015" s="1"/>
      <c r="Q1015" s="8"/>
      <c r="R1015" s="8"/>
      <c r="S1015" s="1"/>
      <c r="T1015" s="8"/>
      <c r="U1015" s="8"/>
      <c r="V1015" s="56"/>
      <c r="W1015" s="1"/>
      <c r="X1015" s="1"/>
      <c r="Y1015" s="8"/>
      <c r="Z1015" s="8"/>
      <c r="AA1015" s="8"/>
      <c r="AB1015" s="8"/>
      <c r="AC1015" s="8"/>
      <c r="AD1015" s="8"/>
      <c r="AE1015" s="8"/>
      <c r="AF1015" s="8"/>
      <c r="AG1015" s="8"/>
      <c r="AH1015" s="8"/>
      <c r="AI1015" s="8"/>
    </row>
    <row r="1016" spans="1:35">
      <c r="A1016" s="1"/>
      <c r="B1016" s="8"/>
      <c r="C1016" s="8"/>
      <c r="D1016" s="8"/>
      <c r="E1016" s="8"/>
      <c r="F1016" s="8"/>
      <c r="G1016" s="8"/>
      <c r="H1016" s="8"/>
      <c r="I1016" s="8"/>
      <c r="J1016" s="8"/>
      <c r="K1016" s="8"/>
      <c r="L1016" s="26"/>
      <c r="M1016" s="26"/>
      <c r="N1016" s="26"/>
      <c r="O1016" s="55"/>
      <c r="P1016" s="1"/>
      <c r="Q1016" s="8"/>
      <c r="R1016" s="8"/>
      <c r="S1016" s="1"/>
      <c r="T1016" s="8"/>
      <c r="U1016" s="8"/>
      <c r="V1016" s="56"/>
      <c r="W1016" s="1"/>
      <c r="X1016" s="1"/>
      <c r="Y1016" s="8"/>
      <c r="Z1016" s="8"/>
      <c r="AA1016" s="8"/>
      <c r="AB1016" s="8"/>
      <c r="AC1016" s="8"/>
      <c r="AD1016" s="8"/>
      <c r="AE1016" s="8"/>
      <c r="AF1016" s="8"/>
      <c r="AG1016" s="8"/>
      <c r="AH1016" s="8"/>
      <c r="AI1016" s="8"/>
    </row>
    <row r="1017" spans="1:35">
      <c r="A1017" s="1"/>
      <c r="B1017" s="8"/>
      <c r="C1017" s="8"/>
      <c r="D1017" s="8"/>
      <c r="E1017" s="8"/>
      <c r="F1017" s="8"/>
      <c r="G1017" s="8"/>
      <c r="H1017" s="8"/>
      <c r="I1017" s="8"/>
      <c r="J1017" s="8"/>
      <c r="K1017" s="8"/>
      <c r="L1017" s="26"/>
      <c r="M1017" s="26"/>
      <c r="N1017" s="26"/>
      <c r="O1017" s="55"/>
      <c r="P1017" s="1"/>
      <c r="Q1017" s="8"/>
      <c r="R1017" s="8"/>
      <c r="S1017" s="1"/>
      <c r="T1017" s="8"/>
      <c r="U1017" s="8"/>
      <c r="V1017" s="56"/>
      <c r="W1017" s="1"/>
      <c r="X1017" s="1"/>
      <c r="Y1017" s="8"/>
      <c r="Z1017" s="8"/>
      <c r="AA1017" s="8"/>
      <c r="AB1017" s="8"/>
      <c r="AC1017" s="8"/>
      <c r="AD1017" s="8"/>
      <c r="AE1017" s="8"/>
      <c r="AF1017" s="8"/>
      <c r="AG1017" s="8"/>
      <c r="AH1017" s="8"/>
      <c r="AI1017" s="8"/>
    </row>
    <row r="1018" spans="1:35">
      <c r="A1018" s="1"/>
      <c r="B1018" s="8"/>
      <c r="C1018" s="8"/>
      <c r="D1018" s="8"/>
      <c r="E1018" s="8"/>
      <c r="F1018" s="8"/>
      <c r="G1018" s="8"/>
      <c r="H1018" s="8"/>
      <c r="I1018" s="8"/>
      <c r="J1018" s="8"/>
      <c r="K1018" s="8"/>
      <c r="L1018" s="26"/>
      <c r="M1018" s="26"/>
      <c r="N1018" s="26"/>
      <c r="O1018" s="55"/>
      <c r="P1018" s="1"/>
      <c r="Q1018" s="8"/>
      <c r="R1018" s="8"/>
      <c r="S1018" s="1"/>
      <c r="T1018" s="8"/>
      <c r="U1018" s="8"/>
      <c r="V1018" s="56"/>
      <c r="W1018" s="1"/>
      <c r="X1018" s="1"/>
      <c r="Y1018" s="8"/>
      <c r="Z1018" s="8"/>
      <c r="AA1018" s="8"/>
      <c r="AB1018" s="8"/>
      <c r="AC1018" s="8"/>
      <c r="AD1018" s="8"/>
      <c r="AE1018" s="8"/>
      <c r="AF1018" s="8"/>
      <c r="AG1018" s="8"/>
      <c r="AH1018" s="8"/>
      <c r="AI1018" s="8"/>
    </row>
    <row r="1019" spans="1:35">
      <c r="A1019" s="1"/>
      <c r="B1019" s="8"/>
      <c r="C1019" s="8"/>
      <c r="D1019" s="8"/>
      <c r="E1019" s="8"/>
      <c r="F1019" s="8"/>
      <c r="G1019" s="8"/>
      <c r="H1019" s="8"/>
      <c r="I1019" s="8"/>
      <c r="J1019" s="8"/>
      <c r="K1019" s="8"/>
      <c r="L1019" s="26"/>
      <c r="M1019" s="26"/>
      <c r="N1019" s="26"/>
      <c r="O1019" s="55"/>
      <c r="P1019" s="1"/>
      <c r="Q1019" s="8"/>
      <c r="R1019" s="8"/>
      <c r="S1019" s="1"/>
      <c r="T1019" s="8"/>
      <c r="U1019" s="8"/>
      <c r="V1019" s="56"/>
      <c r="W1019" s="1"/>
      <c r="X1019" s="1"/>
      <c r="Y1019" s="8"/>
      <c r="Z1019" s="8"/>
      <c r="AA1019" s="8"/>
      <c r="AB1019" s="8"/>
      <c r="AC1019" s="8"/>
      <c r="AD1019" s="8"/>
      <c r="AE1019" s="8"/>
      <c r="AF1019" s="8"/>
      <c r="AG1019" s="8"/>
      <c r="AH1019" s="8"/>
      <c r="AI1019" s="8"/>
    </row>
    <row r="1020" spans="1:35">
      <c r="A1020" s="1"/>
      <c r="B1020" s="8"/>
      <c r="C1020" s="8"/>
      <c r="D1020" s="8"/>
      <c r="E1020" s="8"/>
      <c r="F1020" s="8"/>
      <c r="G1020" s="8"/>
      <c r="H1020" s="8"/>
      <c r="I1020" s="8"/>
      <c r="J1020" s="8"/>
      <c r="K1020" s="8"/>
      <c r="L1020" s="26"/>
      <c r="M1020" s="26"/>
      <c r="N1020" s="26"/>
      <c r="O1020" s="55"/>
      <c r="P1020" s="1"/>
      <c r="Q1020" s="8"/>
      <c r="R1020" s="8"/>
      <c r="S1020" s="1"/>
      <c r="T1020" s="8"/>
      <c r="U1020" s="8"/>
      <c r="V1020" s="56"/>
      <c r="W1020" s="1"/>
      <c r="X1020" s="1"/>
      <c r="Y1020" s="8"/>
      <c r="Z1020" s="8"/>
      <c r="AA1020" s="8"/>
      <c r="AB1020" s="8"/>
      <c r="AC1020" s="8"/>
      <c r="AD1020" s="8"/>
      <c r="AE1020" s="8"/>
      <c r="AF1020" s="8"/>
      <c r="AG1020" s="8"/>
      <c r="AH1020" s="8"/>
      <c r="AI1020" s="8"/>
    </row>
    <row r="1021" spans="1:35">
      <c r="A1021" s="1"/>
      <c r="B1021" s="8"/>
      <c r="C1021" s="8"/>
      <c r="D1021" s="8"/>
      <c r="E1021" s="8"/>
      <c r="F1021" s="8"/>
      <c r="G1021" s="8"/>
      <c r="H1021" s="8"/>
      <c r="I1021" s="8"/>
      <c r="J1021" s="8"/>
      <c r="K1021" s="8"/>
      <c r="L1021" s="26"/>
      <c r="M1021" s="26"/>
      <c r="N1021" s="26"/>
      <c r="O1021" s="55"/>
      <c r="P1021" s="1"/>
      <c r="Q1021" s="8"/>
      <c r="R1021" s="8"/>
      <c r="S1021" s="1"/>
      <c r="T1021" s="8"/>
      <c r="U1021" s="8"/>
      <c r="V1021" s="56"/>
      <c r="W1021" s="1"/>
      <c r="X1021" s="1"/>
      <c r="Y1021" s="8"/>
      <c r="Z1021" s="8"/>
      <c r="AA1021" s="8"/>
      <c r="AB1021" s="8"/>
      <c r="AC1021" s="8"/>
      <c r="AD1021" s="8"/>
      <c r="AE1021" s="8"/>
      <c r="AF1021" s="8"/>
      <c r="AG1021" s="8"/>
      <c r="AH1021" s="8"/>
      <c r="AI1021" s="8"/>
    </row>
    <row r="1022" spans="1:35">
      <c r="A1022" s="1"/>
      <c r="B1022" s="8"/>
      <c r="C1022" s="8"/>
      <c r="D1022" s="8"/>
      <c r="E1022" s="8"/>
      <c r="F1022" s="8"/>
      <c r="G1022" s="8"/>
      <c r="H1022" s="8"/>
      <c r="I1022" s="8"/>
      <c r="J1022" s="8"/>
      <c r="K1022" s="8"/>
      <c r="L1022" s="26"/>
      <c r="M1022" s="26"/>
      <c r="N1022" s="26"/>
      <c r="O1022" s="55"/>
      <c r="P1022" s="1"/>
      <c r="Q1022" s="8"/>
      <c r="R1022" s="8"/>
      <c r="S1022" s="1"/>
      <c r="T1022" s="8"/>
      <c r="U1022" s="8"/>
      <c r="V1022" s="56"/>
      <c r="W1022" s="1"/>
      <c r="X1022" s="1"/>
      <c r="Y1022" s="8"/>
      <c r="Z1022" s="8"/>
      <c r="AA1022" s="8"/>
      <c r="AB1022" s="8"/>
      <c r="AC1022" s="8"/>
      <c r="AD1022" s="8"/>
      <c r="AE1022" s="8"/>
      <c r="AF1022" s="8"/>
      <c r="AG1022" s="8"/>
      <c r="AH1022" s="8"/>
      <c r="AI1022" s="8"/>
    </row>
    <row r="1023" spans="1:35">
      <c r="A1023" s="1"/>
      <c r="B1023" s="8"/>
      <c r="C1023" s="8"/>
      <c r="D1023" s="8"/>
      <c r="E1023" s="8"/>
      <c r="F1023" s="8"/>
      <c r="G1023" s="8"/>
      <c r="H1023" s="8"/>
      <c r="I1023" s="8"/>
      <c r="J1023" s="8"/>
      <c r="K1023" s="8"/>
      <c r="L1023" s="26"/>
      <c r="M1023" s="26"/>
      <c r="N1023" s="26"/>
      <c r="O1023" s="55"/>
      <c r="P1023" s="1"/>
      <c r="Q1023" s="8"/>
      <c r="R1023" s="8"/>
      <c r="S1023" s="1"/>
      <c r="T1023" s="8"/>
      <c r="U1023" s="8"/>
      <c r="V1023" s="56"/>
      <c r="W1023" s="1"/>
      <c r="X1023" s="1"/>
      <c r="Y1023" s="8"/>
      <c r="Z1023" s="8"/>
      <c r="AA1023" s="8"/>
      <c r="AB1023" s="8"/>
      <c r="AC1023" s="8"/>
      <c r="AD1023" s="8"/>
      <c r="AE1023" s="8"/>
      <c r="AF1023" s="8"/>
      <c r="AG1023" s="8"/>
      <c r="AH1023" s="8"/>
      <c r="AI1023" s="8"/>
    </row>
    <row r="1024" spans="1:35">
      <c r="A1024" s="1"/>
      <c r="B1024" s="8"/>
      <c r="C1024" s="8"/>
      <c r="D1024" s="8"/>
      <c r="E1024" s="8"/>
      <c r="F1024" s="8"/>
      <c r="G1024" s="8"/>
      <c r="H1024" s="8"/>
      <c r="I1024" s="8"/>
      <c r="J1024" s="8"/>
      <c r="K1024" s="8"/>
      <c r="L1024" s="26"/>
      <c r="M1024" s="26"/>
      <c r="N1024" s="26"/>
      <c r="O1024" s="55"/>
      <c r="P1024" s="1"/>
      <c r="Q1024" s="8"/>
      <c r="R1024" s="8"/>
      <c r="S1024" s="1"/>
      <c r="T1024" s="8"/>
      <c r="U1024" s="8"/>
      <c r="V1024" s="56"/>
      <c r="W1024" s="1"/>
      <c r="X1024" s="1"/>
      <c r="Y1024" s="8"/>
      <c r="Z1024" s="8"/>
      <c r="AA1024" s="8"/>
      <c r="AB1024" s="8"/>
      <c r="AC1024" s="8"/>
      <c r="AD1024" s="8"/>
      <c r="AE1024" s="8"/>
      <c r="AF1024" s="8"/>
      <c r="AG1024" s="8"/>
      <c r="AH1024" s="8"/>
      <c r="AI1024" s="8"/>
    </row>
    <row r="1025" spans="1:35">
      <c r="A1025" s="1"/>
      <c r="B1025" s="8"/>
      <c r="C1025" s="8"/>
      <c r="D1025" s="8"/>
      <c r="E1025" s="8"/>
      <c r="F1025" s="8"/>
      <c r="G1025" s="8"/>
      <c r="H1025" s="8"/>
      <c r="I1025" s="8"/>
      <c r="J1025" s="8"/>
      <c r="K1025" s="8"/>
      <c r="L1025" s="26"/>
      <c r="M1025" s="26"/>
      <c r="N1025" s="26"/>
      <c r="O1025" s="55"/>
      <c r="P1025" s="1"/>
      <c r="Q1025" s="8"/>
      <c r="R1025" s="8"/>
      <c r="S1025" s="1"/>
      <c r="T1025" s="8"/>
      <c r="U1025" s="8"/>
      <c r="V1025" s="56"/>
      <c r="W1025" s="1"/>
      <c r="X1025" s="1"/>
      <c r="Y1025" s="8"/>
      <c r="Z1025" s="8"/>
      <c r="AA1025" s="8"/>
      <c r="AB1025" s="8"/>
      <c r="AC1025" s="8"/>
      <c r="AD1025" s="8"/>
      <c r="AE1025" s="8"/>
      <c r="AF1025" s="8"/>
      <c r="AG1025" s="8"/>
      <c r="AH1025" s="8"/>
      <c r="AI1025" s="8"/>
    </row>
    <row r="1026" spans="1:35">
      <c r="A1026" s="1"/>
      <c r="B1026" s="8"/>
      <c r="C1026" s="8"/>
      <c r="D1026" s="8"/>
      <c r="E1026" s="8"/>
      <c r="F1026" s="8"/>
      <c r="G1026" s="8"/>
      <c r="H1026" s="8"/>
      <c r="I1026" s="8"/>
      <c r="J1026" s="8"/>
      <c r="K1026" s="8"/>
      <c r="L1026" s="26"/>
      <c r="M1026" s="26"/>
      <c r="N1026" s="26"/>
      <c r="O1026" s="55"/>
      <c r="P1026" s="1"/>
      <c r="Q1026" s="8"/>
      <c r="R1026" s="8"/>
      <c r="S1026" s="1"/>
      <c r="T1026" s="8"/>
      <c r="U1026" s="8"/>
      <c r="V1026" s="56"/>
      <c r="W1026" s="1"/>
      <c r="X1026" s="1"/>
      <c r="Y1026" s="8"/>
      <c r="Z1026" s="8"/>
      <c r="AA1026" s="8"/>
      <c r="AB1026" s="8"/>
      <c r="AC1026" s="8"/>
      <c r="AD1026" s="8"/>
      <c r="AE1026" s="8"/>
      <c r="AF1026" s="8"/>
      <c r="AG1026" s="8"/>
      <c r="AH1026" s="8"/>
      <c r="AI1026" s="8"/>
    </row>
    <row r="1027" spans="1:35">
      <c r="A1027" s="1"/>
      <c r="B1027" s="8"/>
      <c r="C1027" s="8"/>
      <c r="D1027" s="8"/>
      <c r="E1027" s="8"/>
      <c r="F1027" s="8"/>
      <c r="G1027" s="8"/>
      <c r="H1027" s="8"/>
      <c r="I1027" s="8"/>
      <c r="J1027" s="8"/>
      <c r="K1027" s="8"/>
      <c r="L1027" s="26"/>
      <c r="M1027" s="26"/>
      <c r="N1027" s="26"/>
      <c r="O1027" s="55"/>
      <c r="P1027" s="1"/>
      <c r="Q1027" s="8"/>
      <c r="R1027" s="8"/>
      <c r="S1027" s="1"/>
      <c r="T1027" s="8"/>
      <c r="U1027" s="8"/>
      <c r="V1027" s="56"/>
      <c r="W1027" s="1"/>
      <c r="X1027" s="1"/>
      <c r="Y1027" s="8"/>
      <c r="Z1027" s="8"/>
      <c r="AA1027" s="8"/>
      <c r="AB1027" s="8"/>
      <c r="AC1027" s="8"/>
      <c r="AD1027" s="8"/>
      <c r="AE1027" s="8"/>
      <c r="AF1027" s="8"/>
      <c r="AG1027" s="8"/>
      <c r="AH1027" s="8"/>
      <c r="AI1027" s="8"/>
    </row>
    <row r="1028" spans="1:35">
      <c r="A1028" s="1"/>
      <c r="B1028" s="8"/>
      <c r="C1028" s="8"/>
      <c r="D1028" s="8"/>
      <c r="E1028" s="8"/>
      <c r="F1028" s="8"/>
      <c r="G1028" s="8"/>
      <c r="H1028" s="8"/>
      <c r="I1028" s="8"/>
      <c r="J1028" s="8"/>
      <c r="K1028" s="8"/>
      <c r="L1028" s="26"/>
      <c r="M1028" s="26"/>
      <c r="N1028" s="26"/>
      <c r="O1028" s="55"/>
      <c r="P1028" s="1"/>
      <c r="Q1028" s="8"/>
      <c r="R1028" s="8"/>
      <c r="S1028" s="1"/>
      <c r="T1028" s="8"/>
      <c r="U1028" s="8"/>
      <c r="V1028" s="56"/>
      <c r="W1028" s="1"/>
      <c r="X1028" s="1"/>
      <c r="Y1028" s="8"/>
      <c r="Z1028" s="8"/>
      <c r="AA1028" s="8"/>
      <c r="AB1028" s="8"/>
      <c r="AC1028" s="8"/>
      <c r="AD1028" s="8"/>
      <c r="AE1028" s="8"/>
      <c r="AF1028" s="8"/>
      <c r="AG1028" s="8"/>
      <c r="AH1028" s="8"/>
      <c r="AI1028" s="8"/>
    </row>
    <row r="1029" spans="1:35">
      <c r="A1029" s="1"/>
      <c r="B1029" s="8"/>
      <c r="C1029" s="8"/>
      <c r="D1029" s="8"/>
      <c r="E1029" s="8"/>
      <c r="F1029" s="8"/>
      <c r="G1029" s="8"/>
      <c r="H1029" s="8"/>
      <c r="I1029" s="8"/>
      <c r="J1029" s="8"/>
      <c r="K1029" s="8"/>
      <c r="L1029" s="26"/>
      <c r="M1029" s="26"/>
      <c r="N1029" s="26"/>
      <c r="O1029" s="55"/>
      <c r="P1029" s="1"/>
      <c r="Q1029" s="8"/>
      <c r="R1029" s="8"/>
      <c r="S1029" s="1"/>
      <c r="T1029" s="8"/>
      <c r="U1029" s="8"/>
      <c r="V1029" s="56"/>
      <c r="W1029" s="1"/>
      <c r="X1029" s="1"/>
      <c r="Y1029" s="8"/>
      <c r="Z1029" s="8"/>
      <c r="AA1029" s="8"/>
      <c r="AB1029" s="8"/>
      <c r="AC1029" s="8"/>
      <c r="AD1029" s="8"/>
      <c r="AE1029" s="8"/>
      <c r="AF1029" s="8"/>
      <c r="AG1029" s="8"/>
      <c r="AH1029" s="8"/>
      <c r="AI1029" s="8"/>
    </row>
    <row r="1030" spans="1:35">
      <c r="A1030" s="1"/>
      <c r="B1030" s="8"/>
      <c r="C1030" s="8"/>
      <c r="D1030" s="8"/>
      <c r="E1030" s="8"/>
      <c r="F1030" s="8"/>
      <c r="G1030" s="8"/>
      <c r="H1030" s="8"/>
      <c r="I1030" s="8"/>
      <c r="J1030" s="8"/>
      <c r="K1030" s="8"/>
      <c r="L1030" s="26"/>
      <c r="M1030" s="26"/>
      <c r="N1030" s="26"/>
      <c r="O1030" s="55"/>
      <c r="P1030" s="1"/>
      <c r="Q1030" s="8"/>
      <c r="R1030" s="8"/>
      <c r="S1030" s="1"/>
      <c r="T1030" s="8"/>
      <c r="U1030" s="8"/>
      <c r="V1030" s="56"/>
      <c r="W1030" s="1"/>
      <c r="X1030" s="1"/>
      <c r="Y1030" s="8"/>
      <c r="Z1030" s="8"/>
      <c r="AA1030" s="8"/>
      <c r="AB1030" s="8"/>
      <c r="AC1030" s="8"/>
      <c r="AD1030" s="8"/>
      <c r="AE1030" s="8"/>
      <c r="AF1030" s="8"/>
      <c r="AG1030" s="8"/>
      <c r="AH1030" s="8"/>
      <c r="AI1030" s="8"/>
    </row>
    <row r="1031" spans="1:35">
      <c r="A1031" s="1"/>
      <c r="B1031" s="8"/>
      <c r="C1031" s="8"/>
      <c r="D1031" s="8"/>
      <c r="E1031" s="8"/>
      <c r="F1031" s="8"/>
      <c r="G1031" s="8"/>
      <c r="H1031" s="8"/>
      <c r="I1031" s="8"/>
      <c r="J1031" s="8"/>
      <c r="K1031" s="8"/>
      <c r="L1031" s="26"/>
      <c r="M1031" s="26"/>
      <c r="N1031" s="26"/>
      <c r="O1031" s="55"/>
      <c r="P1031" s="1"/>
      <c r="Q1031" s="8"/>
      <c r="R1031" s="8"/>
      <c r="S1031" s="1"/>
      <c r="T1031" s="8"/>
      <c r="U1031" s="8"/>
      <c r="V1031" s="56"/>
      <c r="W1031" s="1"/>
      <c r="X1031" s="1"/>
      <c r="Y1031" s="8"/>
      <c r="Z1031" s="8"/>
      <c r="AA1031" s="8"/>
      <c r="AB1031" s="8"/>
      <c r="AC1031" s="8"/>
      <c r="AD1031" s="8"/>
      <c r="AE1031" s="8"/>
      <c r="AF1031" s="8"/>
      <c r="AG1031" s="8"/>
      <c r="AH1031" s="8"/>
      <c r="AI1031" s="8"/>
    </row>
    <row r="1032" spans="1:35">
      <c r="A1032" s="1"/>
      <c r="B1032" s="8"/>
      <c r="C1032" s="8"/>
      <c r="D1032" s="8"/>
      <c r="E1032" s="8"/>
      <c r="F1032" s="8"/>
      <c r="G1032" s="8"/>
      <c r="H1032" s="8"/>
      <c r="I1032" s="8"/>
      <c r="J1032" s="8"/>
      <c r="K1032" s="8"/>
      <c r="L1032" s="26"/>
      <c r="M1032" s="26"/>
      <c r="N1032" s="26"/>
      <c r="O1032" s="55"/>
      <c r="P1032" s="1"/>
      <c r="Q1032" s="8"/>
      <c r="R1032" s="8"/>
      <c r="S1032" s="1"/>
      <c r="T1032" s="8"/>
      <c r="U1032" s="8"/>
      <c r="V1032" s="56"/>
      <c r="W1032" s="1"/>
      <c r="X1032" s="1"/>
      <c r="Y1032" s="8"/>
      <c r="Z1032" s="8"/>
      <c r="AA1032" s="8"/>
      <c r="AB1032" s="8"/>
      <c r="AC1032" s="8"/>
      <c r="AD1032" s="8"/>
      <c r="AE1032" s="8"/>
      <c r="AF1032" s="8"/>
      <c r="AG1032" s="8"/>
      <c r="AH1032" s="8"/>
      <c r="AI1032" s="8"/>
    </row>
    <row r="1033" spans="1:35">
      <c r="A1033" s="1"/>
      <c r="B1033" s="8"/>
      <c r="C1033" s="8"/>
      <c r="D1033" s="8"/>
      <c r="E1033" s="8"/>
      <c r="F1033" s="8"/>
      <c r="G1033" s="8"/>
      <c r="H1033" s="8"/>
      <c r="I1033" s="8"/>
      <c r="J1033" s="8"/>
      <c r="K1033" s="8"/>
      <c r="L1033" s="26"/>
      <c r="M1033" s="26"/>
      <c r="N1033" s="26"/>
      <c r="O1033" s="55"/>
      <c r="P1033" s="1"/>
      <c r="Q1033" s="8"/>
      <c r="R1033" s="8"/>
      <c r="S1033" s="1"/>
      <c r="T1033" s="8"/>
      <c r="U1033" s="8"/>
      <c r="V1033" s="56"/>
      <c r="W1033" s="1"/>
      <c r="X1033" s="1"/>
      <c r="Y1033" s="8"/>
      <c r="Z1033" s="8"/>
      <c r="AA1033" s="8"/>
      <c r="AB1033" s="8"/>
      <c r="AC1033" s="8"/>
      <c r="AD1033" s="8"/>
      <c r="AE1033" s="8"/>
      <c r="AF1033" s="8"/>
      <c r="AG1033" s="8"/>
      <c r="AH1033" s="8"/>
      <c r="AI1033" s="8"/>
    </row>
    <row r="1034" spans="1:35">
      <c r="A1034" s="1"/>
      <c r="B1034" s="8"/>
      <c r="C1034" s="8"/>
      <c r="D1034" s="8"/>
      <c r="E1034" s="8"/>
      <c r="F1034" s="8"/>
      <c r="G1034" s="8"/>
      <c r="H1034" s="8"/>
      <c r="I1034" s="8"/>
      <c r="J1034" s="8"/>
      <c r="K1034" s="8"/>
      <c r="L1034" s="26"/>
      <c r="M1034" s="26"/>
      <c r="N1034" s="26"/>
      <c r="O1034" s="55"/>
      <c r="P1034" s="1"/>
      <c r="Q1034" s="8"/>
      <c r="R1034" s="8"/>
      <c r="S1034" s="1"/>
      <c r="T1034" s="8"/>
      <c r="U1034" s="8"/>
      <c r="V1034" s="56"/>
      <c r="W1034" s="1"/>
      <c r="X1034" s="1"/>
      <c r="Y1034" s="8"/>
      <c r="Z1034" s="8"/>
      <c r="AA1034" s="8"/>
      <c r="AB1034" s="8"/>
      <c r="AC1034" s="8"/>
      <c r="AD1034" s="8"/>
      <c r="AE1034" s="8"/>
      <c r="AF1034" s="8"/>
      <c r="AG1034" s="8"/>
      <c r="AH1034" s="8"/>
      <c r="AI1034" s="8"/>
    </row>
    <row r="1035" spans="1:35">
      <c r="A1035" s="1"/>
      <c r="B1035" s="8"/>
      <c r="C1035" s="8"/>
      <c r="D1035" s="8"/>
      <c r="E1035" s="8"/>
      <c r="F1035" s="8"/>
      <c r="G1035" s="8"/>
      <c r="H1035" s="8"/>
      <c r="I1035" s="8"/>
      <c r="J1035" s="8"/>
      <c r="K1035" s="8"/>
      <c r="L1035" s="26"/>
      <c r="M1035" s="26"/>
      <c r="N1035" s="26"/>
      <c r="O1035" s="55"/>
      <c r="P1035" s="1"/>
      <c r="Q1035" s="8"/>
      <c r="R1035" s="8"/>
      <c r="S1035" s="1"/>
      <c r="T1035" s="8"/>
      <c r="U1035" s="8"/>
      <c r="V1035" s="56"/>
      <c r="W1035" s="1"/>
      <c r="X1035" s="1"/>
      <c r="Y1035" s="8"/>
      <c r="Z1035" s="8"/>
      <c r="AA1035" s="8"/>
      <c r="AB1035" s="8"/>
      <c r="AC1035" s="8"/>
      <c r="AD1035" s="8"/>
      <c r="AE1035" s="8"/>
      <c r="AF1035" s="8"/>
      <c r="AG1035" s="8"/>
      <c r="AH1035" s="8"/>
      <c r="AI1035" s="8"/>
    </row>
    <row r="1036" spans="1:35">
      <c r="A1036" s="1"/>
      <c r="B1036" s="8"/>
      <c r="C1036" s="8"/>
      <c r="D1036" s="8"/>
      <c r="E1036" s="8"/>
      <c r="F1036" s="8"/>
      <c r="G1036" s="8"/>
      <c r="H1036" s="8"/>
      <c r="I1036" s="8"/>
      <c r="J1036" s="8"/>
      <c r="K1036" s="8"/>
      <c r="L1036" s="26"/>
      <c r="M1036" s="26"/>
      <c r="N1036" s="26"/>
      <c r="O1036" s="55"/>
      <c r="P1036" s="1"/>
      <c r="Q1036" s="8"/>
      <c r="R1036" s="8"/>
      <c r="S1036" s="1"/>
      <c r="T1036" s="8"/>
      <c r="U1036" s="8"/>
      <c r="V1036" s="56"/>
      <c r="W1036" s="1"/>
      <c r="X1036" s="1"/>
      <c r="Y1036" s="8"/>
      <c r="Z1036" s="8"/>
      <c r="AA1036" s="8"/>
      <c r="AB1036" s="8"/>
      <c r="AC1036" s="8"/>
      <c r="AD1036" s="8"/>
      <c r="AE1036" s="8"/>
      <c r="AF1036" s="8"/>
      <c r="AG1036" s="8"/>
      <c r="AH1036" s="8"/>
      <c r="AI1036" s="8"/>
    </row>
    <row r="1037" spans="1:35">
      <c r="A1037" s="1"/>
      <c r="B1037" s="8"/>
      <c r="C1037" s="8"/>
      <c r="D1037" s="8"/>
      <c r="E1037" s="8"/>
      <c r="F1037" s="8"/>
      <c r="G1037" s="8"/>
      <c r="H1037" s="8"/>
      <c r="I1037" s="8"/>
      <c r="J1037" s="8"/>
      <c r="K1037" s="8"/>
      <c r="L1037" s="26"/>
      <c r="M1037" s="26"/>
      <c r="N1037" s="26"/>
      <c r="O1037" s="55"/>
      <c r="P1037" s="1"/>
      <c r="Q1037" s="8"/>
      <c r="R1037" s="8"/>
      <c r="S1037" s="1"/>
      <c r="T1037" s="8"/>
      <c r="U1037" s="8"/>
      <c r="V1037" s="56"/>
      <c r="W1037" s="1"/>
      <c r="X1037" s="1"/>
      <c r="Y1037" s="8"/>
      <c r="Z1037" s="8"/>
      <c r="AA1037" s="8"/>
      <c r="AB1037" s="8"/>
      <c r="AC1037" s="8"/>
      <c r="AD1037" s="8"/>
      <c r="AE1037" s="8"/>
      <c r="AF1037" s="8"/>
      <c r="AG1037" s="8"/>
      <c r="AH1037" s="8"/>
      <c r="AI1037" s="8"/>
    </row>
    <row r="1038" spans="1:35">
      <c r="A1038" s="1"/>
      <c r="B1038" s="8"/>
      <c r="C1038" s="8"/>
      <c r="D1038" s="8"/>
      <c r="E1038" s="8"/>
      <c r="F1038" s="8"/>
      <c r="G1038" s="8"/>
      <c r="H1038" s="8"/>
      <c r="I1038" s="8"/>
      <c r="J1038" s="8"/>
      <c r="K1038" s="8"/>
      <c r="L1038" s="26"/>
      <c r="M1038" s="26"/>
      <c r="N1038" s="26"/>
      <c r="O1038" s="55"/>
      <c r="P1038" s="1"/>
      <c r="Q1038" s="8"/>
      <c r="R1038" s="8"/>
      <c r="S1038" s="1"/>
      <c r="T1038" s="8"/>
      <c r="U1038" s="8"/>
      <c r="V1038" s="56"/>
      <c r="W1038" s="1"/>
      <c r="X1038" s="1"/>
      <c r="Y1038" s="8"/>
      <c r="Z1038" s="8"/>
      <c r="AA1038" s="8"/>
      <c r="AB1038" s="8"/>
      <c r="AC1038" s="8"/>
      <c r="AD1038" s="8"/>
      <c r="AE1038" s="8"/>
      <c r="AF1038" s="8"/>
      <c r="AG1038" s="8"/>
      <c r="AH1038" s="8"/>
      <c r="AI1038" s="8"/>
    </row>
    <row r="1039" spans="1:35">
      <c r="A1039" s="1"/>
      <c r="B1039" s="8"/>
      <c r="C1039" s="8"/>
      <c r="D1039" s="8"/>
      <c r="E1039" s="8"/>
      <c r="F1039" s="8"/>
      <c r="G1039" s="8"/>
      <c r="H1039" s="8"/>
      <c r="I1039" s="8"/>
      <c r="J1039" s="8"/>
      <c r="K1039" s="8"/>
      <c r="L1039" s="26"/>
      <c r="M1039" s="26"/>
      <c r="N1039" s="26"/>
      <c r="O1039" s="55"/>
      <c r="P1039" s="1"/>
      <c r="Q1039" s="8"/>
      <c r="R1039" s="8"/>
      <c r="S1039" s="1"/>
      <c r="T1039" s="8"/>
      <c r="U1039" s="8"/>
      <c r="V1039" s="56"/>
      <c r="W1039" s="1"/>
      <c r="X1039" s="1"/>
      <c r="Y1039" s="8"/>
      <c r="Z1039" s="8"/>
      <c r="AA1039" s="8"/>
      <c r="AB1039" s="8"/>
      <c r="AC1039" s="8"/>
      <c r="AD1039" s="8"/>
      <c r="AE1039" s="8"/>
      <c r="AF1039" s="8"/>
      <c r="AG1039" s="8"/>
      <c r="AH1039" s="8"/>
      <c r="AI1039" s="8"/>
    </row>
    <row r="1040" spans="1:35">
      <c r="A1040" s="1"/>
      <c r="B1040" s="8"/>
      <c r="C1040" s="8"/>
      <c r="D1040" s="8"/>
      <c r="E1040" s="8"/>
      <c r="F1040" s="8"/>
      <c r="G1040" s="8"/>
      <c r="H1040" s="8"/>
      <c r="I1040" s="8"/>
      <c r="J1040" s="8"/>
      <c r="K1040" s="8"/>
      <c r="L1040" s="26"/>
      <c r="M1040" s="26"/>
      <c r="N1040" s="26"/>
      <c r="O1040" s="55"/>
      <c r="P1040" s="1"/>
      <c r="Q1040" s="8"/>
      <c r="R1040" s="8"/>
      <c r="S1040" s="1"/>
      <c r="T1040" s="8"/>
      <c r="U1040" s="8"/>
      <c r="V1040" s="56"/>
      <c r="W1040" s="1"/>
      <c r="X1040" s="1"/>
      <c r="Y1040" s="8"/>
      <c r="Z1040" s="8"/>
      <c r="AA1040" s="8"/>
      <c r="AB1040" s="8"/>
      <c r="AC1040" s="8"/>
      <c r="AD1040" s="8"/>
      <c r="AE1040" s="8"/>
      <c r="AF1040" s="8"/>
      <c r="AG1040" s="8"/>
      <c r="AH1040" s="8"/>
      <c r="AI1040" s="8"/>
    </row>
    <row r="1041" spans="1:35">
      <c r="A1041" s="1"/>
      <c r="B1041" s="8"/>
      <c r="C1041" s="8"/>
      <c r="D1041" s="8"/>
      <c r="E1041" s="8"/>
      <c r="F1041" s="8"/>
      <c r="G1041" s="8"/>
      <c r="H1041" s="8"/>
      <c r="I1041" s="8"/>
      <c r="J1041" s="8"/>
      <c r="K1041" s="8"/>
      <c r="L1041" s="26"/>
      <c r="M1041" s="26"/>
      <c r="N1041" s="26"/>
      <c r="O1041" s="55"/>
      <c r="P1041" s="1"/>
      <c r="Q1041" s="8"/>
      <c r="R1041" s="8"/>
      <c r="S1041" s="1"/>
      <c r="T1041" s="8"/>
      <c r="U1041" s="8"/>
      <c r="V1041" s="56"/>
      <c r="W1041" s="1"/>
      <c r="X1041" s="1"/>
      <c r="Y1041" s="8"/>
      <c r="Z1041" s="8"/>
      <c r="AA1041" s="8"/>
      <c r="AB1041" s="8"/>
      <c r="AC1041" s="8"/>
      <c r="AD1041" s="8"/>
      <c r="AE1041" s="8"/>
      <c r="AF1041" s="8"/>
      <c r="AG1041" s="8"/>
      <c r="AH1041" s="8"/>
      <c r="AI1041" s="8"/>
    </row>
    <row r="1042" spans="1:35">
      <c r="A1042" s="1"/>
      <c r="B1042" s="8"/>
      <c r="C1042" s="8"/>
      <c r="D1042" s="8"/>
      <c r="E1042" s="8"/>
      <c r="F1042" s="8"/>
      <c r="G1042" s="8"/>
      <c r="H1042" s="8"/>
      <c r="I1042" s="8"/>
      <c r="J1042" s="8"/>
      <c r="K1042" s="8"/>
      <c r="L1042" s="26"/>
      <c r="M1042" s="26"/>
      <c r="N1042" s="26"/>
      <c r="O1042" s="55"/>
      <c r="P1042" s="1"/>
      <c r="Q1042" s="8"/>
      <c r="R1042" s="8"/>
      <c r="S1042" s="1"/>
      <c r="T1042" s="8"/>
      <c r="U1042" s="8"/>
      <c r="V1042" s="56"/>
      <c r="W1042" s="1"/>
      <c r="X1042" s="1"/>
      <c r="Y1042" s="8"/>
      <c r="Z1042" s="8"/>
      <c r="AA1042" s="8"/>
      <c r="AB1042" s="8"/>
      <c r="AC1042" s="8"/>
      <c r="AD1042" s="8"/>
      <c r="AE1042" s="8"/>
      <c r="AF1042" s="8"/>
      <c r="AG1042" s="8"/>
      <c r="AH1042" s="8"/>
      <c r="AI1042" s="8"/>
    </row>
    <row r="1043" spans="1:35">
      <c r="A1043" s="1"/>
      <c r="B1043" s="8"/>
      <c r="C1043" s="8"/>
      <c r="D1043" s="8"/>
      <c r="E1043" s="8"/>
      <c r="F1043" s="8"/>
      <c r="G1043" s="8"/>
      <c r="H1043" s="8"/>
      <c r="I1043" s="8"/>
      <c r="J1043" s="8"/>
      <c r="K1043" s="8"/>
      <c r="L1043" s="26"/>
      <c r="M1043" s="26"/>
      <c r="N1043" s="26"/>
      <c r="O1043" s="55"/>
      <c r="P1043" s="1"/>
      <c r="Q1043" s="8"/>
      <c r="R1043" s="8"/>
      <c r="S1043" s="1"/>
      <c r="T1043" s="8"/>
      <c r="U1043" s="8"/>
      <c r="V1043" s="56"/>
      <c r="W1043" s="1"/>
      <c r="X1043" s="1"/>
      <c r="Y1043" s="8"/>
      <c r="Z1043" s="8"/>
      <c r="AA1043" s="8"/>
      <c r="AB1043" s="8"/>
      <c r="AC1043" s="8"/>
      <c r="AD1043" s="8"/>
      <c r="AE1043" s="8"/>
      <c r="AF1043" s="8"/>
      <c r="AG1043" s="8"/>
      <c r="AH1043" s="8"/>
      <c r="AI1043" s="8"/>
    </row>
    <row r="1044" spans="1:35">
      <c r="A1044" s="1"/>
      <c r="B1044" s="8"/>
      <c r="C1044" s="8"/>
      <c r="D1044" s="8"/>
      <c r="E1044" s="8"/>
      <c r="F1044" s="8"/>
      <c r="G1044" s="8"/>
      <c r="H1044" s="8"/>
      <c r="I1044" s="8"/>
      <c r="J1044" s="8"/>
      <c r="K1044" s="8"/>
      <c r="L1044" s="26"/>
      <c r="M1044" s="26"/>
      <c r="N1044" s="26"/>
      <c r="O1044" s="55"/>
      <c r="P1044" s="1"/>
      <c r="Q1044" s="8"/>
      <c r="R1044" s="8"/>
      <c r="S1044" s="1"/>
      <c r="T1044" s="8"/>
      <c r="U1044" s="8"/>
      <c r="V1044" s="56"/>
      <c r="W1044" s="1"/>
      <c r="X1044" s="1"/>
      <c r="Y1044" s="8"/>
      <c r="Z1044" s="8"/>
      <c r="AA1044" s="8"/>
      <c r="AB1044" s="8"/>
      <c r="AC1044" s="8"/>
      <c r="AD1044" s="8"/>
      <c r="AE1044" s="8"/>
      <c r="AF1044" s="8"/>
      <c r="AG1044" s="8"/>
      <c r="AH1044" s="8"/>
      <c r="AI1044" s="8"/>
    </row>
    <row r="1045" spans="1:35">
      <c r="A1045" s="1"/>
      <c r="B1045" s="8"/>
      <c r="C1045" s="8"/>
      <c r="D1045" s="8"/>
      <c r="E1045" s="8"/>
      <c r="F1045" s="8"/>
      <c r="G1045" s="8"/>
      <c r="H1045" s="8"/>
      <c r="I1045" s="8"/>
      <c r="J1045" s="8"/>
      <c r="K1045" s="8"/>
      <c r="L1045" s="26"/>
      <c r="M1045" s="26"/>
      <c r="N1045" s="26"/>
      <c r="O1045" s="55"/>
      <c r="P1045" s="1"/>
      <c r="Q1045" s="8"/>
      <c r="R1045" s="8"/>
      <c r="S1045" s="1"/>
      <c r="T1045" s="8"/>
      <c r="U1045" s="8"/>
      <c r="V1045" s="56"/>
      <c r="W1045" s="1"/>
      <c r="X1045" s="1"/>
      <c r="Y1045" s="8"/>
      <c r="Z1045" s="8"/>
      <c r="AA1045" s="8"/>
      <c r="AB1045" s="8"/>
      <c r="AC1045" s="8"/>
      <c r="AD1045" s="8"/>
      <c r="AE1045" s="8"/>
      <c r="AF1045" s="8"/>
      <c r="AG1045" s="8"/>
      <c r="AH1045" s="8"/>
      <c r="AI1045" s="8"/>
    </row>
    <row r="1046" spans="1:35">
      <c r="A1046" s="1"/>
      <c r="B1046" s="8"/>
      <c r="C1046" s="8"/>
      <c r="D1046" s="8"/>
      <c r="E1046" s="8"/>
      <c r="F1046" s="8"/>
      <c r="G1046" s="8"/>
      <c r="H1046" s="8"/>
      <c r="I1046" s="8"/>
      <c r="J1046" s="8"/>
      <c r="K1046" s="8"/>
      <c r="L1046" s="26"/>
      <c r="M1046" s="26"/>
      <c r="N1046" s="26"/>
      <c r="O1046" s="55"/>
      <c r="P1046" s="1"/>
      <c r="Q1046" s="8"/>
      <c r="R1046" s="8"/>
      <c r="S1046" s="1"/>
      <c r="T1046" s="8"/>
      <c r="U1046" s="8"/>
      <c r="V1046" s="56"/>
      <c r="W1046" s="1"/>
      <c r="X1046" s="1"/>
      <c r="Y1046" s="8"/>
      <c r="Z1046" s="8"/>
      <c r="AA1046" s="8"/>
      <c r="AB1046" s="8"/>
      <c r="AC1046" s="8"/>
      <c r="AD1046" s="8"/>
      <c r="AE1046" s="8"/>
      <c r="AF1046" s="8"/>
      <c r="AG1046" s="8"/>
      <c r="AH1046" s="8"/>
      <c r="AI1046" s="8"/>
    </row>
    <row r="1047" spans="1:35">
      <c r="A1047" s="1"/>
      <c r="B1047" s="8"/>
      <c r="C1047" s="8"/>
      <c r="D1047" s="8"/>
      <c r="E1047" s="8"/>
      <c r="F1047" s="8"/>
      <c r="G1047" s="8"/>
      <c r="H1047" s="8"/>
      <c r="I1047" s="8"/>
      <c r="J1047" s="8"/>
      <c r="K1047" s="8"/>
      <c r="L1047" s="26"/>
      <c r="M1047" s="26"/>
      <c r="N1047" s="26"/>
      <c r="O1047" s="55"/>
      <c r="P1047" s="1"/>
      <c r="Q1047" s="8"/>
      <c r="R1047" s="8"/>
      <c r="S1047" s="1"/>
      <c r="T1047" s="8"/>
      <c r="U1047" s="8"/>
      <c r="V1047" s="56"/>
      <c r="W1047" s="1"/>
      <c r="X1047" s="1"/>
      <c r="Y1047" s="8"/>
      <c r="Z1047" s="8"/>
      <c r="AA1047" s="8"/>
      <c r="AB1047" s="8"/>
      <c r="AC1047" s="8"/>
      <c r="AD1047" s="8"/>
      <c r="AE1047" s="8"/>
      <c r="AF1047" s="8"/>
      <c r="AG1047" s="8"/>
      <c r="AH1047" s="8"/>
      <c r="AI1047" s="8"/>
    </row>
    <row r="1048" spans="1:35">
      <c r="A1048" s="1"/>
      <c r="B1048" s="8"/>
      <c r="C1048" s="8"/>
      <c r="D1048" s="8"/>
      <c r="E1048" s="8"/>
      <c r="F1048" s="8"/>
      <c r="G1048" s="8"/>
      <c r="H1048" s="8"/>
      <c r="I1048" s="8"/>
      <c r="J1048" s="8"/>
      <c r="K1048" s="8"/>
      <c r="L1048" s="26"/>
      <c r="M1048" s="26"/>
      <c r="N1048" s="26"/>
      <c r="O1048" s="55"/>
      <c r="P1048" s="1"/>
      <c r="Q1048" s="8"/>
      <c r="R1048" s="8"/>
      <c r="S1048" s="1"/>
      <c r="T1048" s="8"/>
      <c r="U1048" s="8"/>
      <c r="V1048" s="56"/>
      <c r="W1048" s="1"/>
      <c r="X1048" s="1"/>
      <c r="Y1048" s="8"/>
      <c r="Z1048" s="8"/>
      <c r="AA1048" s="8"/>
      <c r="AB1048" s="8"/>
      <c r="AC1048" s="8"/>
      <c r="AD1048" s="8"/>
      <c r="AE1048" s="8"/>
      <c r="AF1048" s="8"/>
      <c r="AG1048" s="8"/>
      <c r="AH1048" s="8"/>
      <c r="AI1048" s="8"/>
    </row>
    <row r="1049" spans="1:35">
      <c r="A1049" s="1"/>
      <c r="B1049" s="8"/>
      <c r="C1049" s="8"/>
      <c r="D1049" s="8"/>
      <c r="E1049" s="8"/>
      <c r="F1049" s="8"/>
      <c r="G1049" s="8"/>
      <c r="H1049" s="8"/>
      <c r="I1049" s="8"/>
      <c r="J1049" s="8"/>
      <c r="K1049" s="8"/>
      <c r="L1049" s="26"/>
      <c r="M1049" s="26"/>
      <c r="N1049" s="26"/>
      <c r="O1049" s="55"/>
      <c r="P1049" s="1"/>
      <c r="Q1049" s="8"/>
      <c r="R1049" s="8"/>
      <c r="S1049" s="1"/>
      <c r="T1049" s="8"/>
      <c r="U1049" s="8"/>
      <c r="V1049" s="56"/>
      <c r="W1049" s="1"/>
      <c r="X1049" s="1"/>
      <c r="Y1049" s="8"/>
      <c r="Z1049" s="8"/>
      <c r="AA1049" s="8"/>
      <c r="AB1049" s="8"/>
      <c r="AC1049" s="8"/>
      <c r="AD1049" s="8"/>
      <c r="AE1049" s="8"/>
      <c r="AF1049" s="8"/>
      <c r="AG1049" s="8"/>
      <c r="AH1049" s="8"/>
      <c r="AI1049" s="8"/>
    </row>
    <row r="1050" spans="1:35">
      <c r="A1050" s="1"/>
      <c r="B1050" s="8"/>
      <c r="C1050" s="8"/>
      <c r="D1050" s="8"/>
      <c r="E1050" s="8"/>
      <c r="F1050" s="8"/>
      <c r="G1050" s="8"/>
      <c r="H1050" s="8"/>
      <c r="I1050" s="8"/>
      <c r="J1050" s="8"/>
      <c r="K1050" s="8"/>
      <c r="L1050" s="26"/>
      <c r="M1050" s="26"/>
      <c r="N1050" s="26"/>
      <c r="O1050" s="55"/>
      <c r="P1050" s="1"/>
      <c r="Q1050" s="8"/>
      <c r="R1050" s="8"/>
      <c r="S1050" s="1"/>
      <c r="T1050" s="8"/>
      <c r="U1050" s="8"/>
      <c r="V1050" s="56"/>
      <c r="W1050" s="1"/>
      <c r="X1050" s="1"/>
      <c r="Y1050" s="8"/>
      <c r="Z1050" s="8"/>
      <c r="AA1050" s="8"/>
      <c r="AB1050" s="8"/>
      <c r="AC1050" s="8"/>
      <c r="AD1050" s="8"/>
      <c r="AE1050" s="8"/>
      <c r="AF1050" s="8"/>
      <c r="AG1050" s="8"/>
      <c r="AH1050" s="8"/>
      <c r="AI1050" s="8"/>
    </row>
    <row r="1051" spans="1:35">
      <c r="A1051" s="1"/>
      <c r="B1051" s="8"/>
      <c r="C1051" s="8"/>
      <c r="D1051" s="8"/>
      <c r="E1051" s="8"/>
      <c r="F1051" s="8"/>
      <c r="G1051" s="8"/>
      <c r="H1051" s="8"/>
      <c r="I1051" s="8"/>
      <c r="J1051" s="8"/>
      <c r="K1051" s="8"/>
      <c r="L1051" s="26"/>
      <c r="M1051" s="26"/>
      <c r="N1051" s="26"/>
      <c r="O1051" s="55"/>
      <c r="P1051" s="1"/>
      <c r="Q1051" s="8"/>
      <c r="R1051" s="8"/>
      <c r="S1051" s="1"/>
      <c r="T1051" s="8"/>
      <c r="U1051" s="8"/>
      <c r="V1051" s="56"/>
      <c r="W1051" s="1"/>
      <c r="X1051" s="1"/>
      <c r="Y1051" s="8"/>
      <c r="Z1051" s="8"/>
      <c r="AA1051" s="8"/>
      <c r="AB1051" s="8"/>
      <c r="AC1051" s="8"/>
      <c r="AD1051" s="8"/>
      <c r="AE1051" s="8"/>
      <c r="AF1051" s="8"/>
      <c r="AG1051" s="8"/>
      <c r="AH1051" s="8"/>
      <c r="AI1051" s="8"/>
    </row>
    <row r="1052" spans="1:35">
      <c r="A1052" s="1"/>
      <c r="B1052" s="8"/>
      <c r="C1052" s="8"/>
      <c r="D1052" s="8"/>
      <c r="E1052" s="8"/>
      <c r="F1052" s="8"/>
      <c r="G1052" s="8"/>
      <c r="H1052" s="8"/>
      <c r="I1052" s="8"/>
      <c r="J1052" s="8"/>
      <c r="K1052" s="8"/>
      <c r="L1052" s="26"/>
      <c r="M1052" s="26"/>
      <c r="N1052" s="26"/>
      <c r="O1052" s="55"/>
      <c r="P1052" s="1"/>
      <c r="Q1052" s="8"/>
      <c r="R1052" s="8"/>
      <c r="S1052" s="1"/>
      <c r="T1052" s="8"/>
      <c r="U1052" s="8"/>
      <c r="V1052" s="56"/>
      <c r="W1052" s="1"/>
      <c r="X1052" s="1"/>
      <c r="Y1052" s="8"/>
      <c r="Z1052" s="8"/>
      <c r="AA1052" s="8"/>
      <c r="AB1052" s="8"/>
      <c r="AC1052" s="8"/>
      <c r="AD1052" s="8"/>
      <c r="AE1052" s="8"/>
      <c r="AF1052" s="8"/>
      <c r="AG1052" s="8"/>
      <c r="AH1052" s="8"/>
      <c r="AI1052" s="8"/>
    </row>
    <row r="1053" spans="1:35">
      <c r="A1053" s="1"/>
      <c r="B1053" s="8"/>
      <c r="C1053" s="8"/>
      <c r="D1053" s="8"/>
      <c r="E1053" s="8"/>
      <c r="F1053" s="8"/>
      <c r="G1053" s="8"/>
      <c r="H1053" s="8"/>
      <c r="I1053" s="8"/>
      <c r="J1053" s="8"/>
      <c r="K1053" s="8"/>
      <c r="L1053" s="26"/>
      <c r="M1053" s="26"/>
      <c r="N1053" s="26"/>
      <c r="O1053" s="55"/>
      <c r="P1053" s="1"/>
      <c r="Q1053" s="8"/>
      <c r="R1053" s="8"/>
      <c r="S1053" s="1"/>
      <c r="T1053" s="8"/>
      <c r="U1053" s="8"/>
      <c r="V1053" s="56"/>
      <c r="W1053" s="1"/>
      <c r="X1053" s="1"/>
      <c r="Y1053" s="8"/>
      <c r="Z1053" s="8"/>
      <c r="AA1053" s="8"/>
      <c r="AB1053" s="8"/>
      <c r="AC1053" s="8"/>
      <c r="AD1053" s="8"/>
      <c r="AE1053" s="8"/>
      <c r="AF1053" s="8"/>
      <c r="AG1053" s="8"/>
      <c r="AH1053" s="8"/>
      <c r="AI1053" s="8"/>
    </row>
    <row r="1054" spans="1:35">
      <c r="A1054" s="1"/>
      <c r="B1054" s="8"/>
      <c r="C1054" s="8"/>
      <c r="D1054" s="8"/>
      <c r="E1054" s="8"/>
      <c r="F1054" s="8"/>
      <c r="G1054" s="8"/>
      <c r="H1054" s="8"/>
      <c r="I1054" s="8"/>
      <c r="J1054" s="8"/>
      <c r="K1054" s="8"/>
      <c r="L1054" s="26"/>
      <c r="M1054" s="26"/>
      <c r="N1054" s="26"/>
      <c r="O1054" s="55"/>
      <c r="P1054" s="1"/>
      <c r="Q1054" s="8"/>
      <c r="R1054" s="8"/>
      <c r="S1054" s="1"/>
      <c r="T1054" s="8"/>
      <c r="U1054" s="8"/>
      <c r="V1054" s="56"/>
      <c r="W1054" s="1"/>
      <c r="X1054" s="1"/>
      <c r="Y1054" s="8"/>
      <c r="Z1054" s="8"/>
      <c r="AA1054" s="8"/>
      <c r="AB1054" s="8"/>
      <c r="AC1054" s="8"/>
      <c r="AD1054" s="8"/>
      <c r="AE1054" s="8"/>
      <c r="AF1054" s="8"/>
      <c r="AG1054" s="8"/>
      <c r="AH1054" s="8"/>
      <c r="AI1054" s="8"/>
    </row>
    <row r="1055" spans="1:35">
      <c r="A1055" s="1"/>
      <c r="B1055" s="8"/>
      <c r="C1055" s="8"/>
      <c r="D1055" s="8"/>
      <c r="E1055" s="8"/>
      <c r="F1055" s="8"/>
      <c r="G1055" s="8"/>
      <c r="H1055" s="8"/>
      <c r="I1055" s="8"/>
      <c r="J1055" s="8"/>
      <c r="K1055" s="8"/>
      <c r="L1055" s="26"/>
      <c r="M1055" s="26"/>
      <c r="N1055" s="26"/>
      <c r="O1055" s="55"/>
      <c r="P1055" s="1"/>
      <c r="Q1055" s="8"/>
      <c r="R1055" s="8"/>
      <c r="S1055" s="1"/>
      <c r="T1055" s="8"/>
      <c r="U1055" s="8"/>
      <c r="V1055" s="56"/>
      <c r="W1055" s="1"/>
      <c r="X1055" s="1"/>
      <c r="Y1055" s="8"/>
      <c r="Z1055" s="8"/>
      <c r="AA1055" s="8"/>
      <c r="AB1055" s="8"/>
      <c r="AC1055" s="8"/>
      <c r="AD1055" s="8"/>
      <c r="AE1055" s="8"/>
      <c r="AF1055" s="8"/>
      <c r="AG1055" s="8"/>
      <c r="AH1055" s="8"/>
      <c r="AI1055" s="8"/>
    </row>
    <row r="1056" spans="1:35">
      <c r="A1056" s="1"/>
      <c r="B1056" s="8"/>
      <c r="C1056" s="8"/>
      <c r="D1056" s="8"/>
      <c r="E1056" s="8"/>
      <c r="F1056" s="8"/>
      <c r="G1056" s="8"/>
      <c r="H1056" s="8"/>
      <c r="I1056" s="8"/>
      <c r="J1056" s="8"/>
      <c r="K1056" s="8"/>
      <c r="L1056" s="26"/>
      <c r="M1056" s="26"/>
      <c r="N1056" s="26"/>
      <c r="O1056" s="55"/>
      <c r="P1056" s="1"/>
      <c r="Q1056" s="8"/>
      <c r="R1056" s="8"/>
      <c r="S1056" s="1"/>
      <c r="T1056" s="8"/>
      <c r="U1056" s="8"/>
      <c r="V1056" s="56"/>
      <c r="W1056" s="1"/>
      <c r="X1056" s="1"/>
      <c r="Y1056" s="8"/>
      <c r="Z1056" s="8"/>
      <c r="AA1056" s="8"/>
      <c r="AB1056" s="8"/>
      <c r="AC1056" s="8"/>
      <c r="AD1056" s="8"/>
      <c r="AE1056" s="8"/>
      <c r="AF1056" s="8"/>
      <c r="AG1056" s="8"/>
      <c r="AH1056" s="8"/>
      <c r="AI1056" s="8"/>
    </row>
    <row r="1057" spans="1:35">
      <c r="A1057" s="1"/>
      <c r="B1057" s="8"/>
      <c r="C1057" s="8"/>
      <c r="D1057" s="8"/>
      <c r="E1057" s="8"/>
      <c r="F1057" s="8"/>
      <c r="G1057" s="8"/>
      <c r="H1057" s="8"/>
      <c r="I1057" s="8"/>
      <c r="J1057" s="8"/>
      <c r="K1057" s="8"/>
      <c r="L1057" s="26"/>
      <c r="M1057" s="26"/>
      <c r="N1057" s="26"/>
      <c r="O1057" s="55"/>
      <c r="P1057" s="1"/>
      <c r="Q1057" s="8"/>
      <c r="R1057" s="8"/>
      <c r="S1057" s="1"/>
      <c r="T1057" s="8"/>
      <c r="U1057" s="8"/>
      <c r="V1057" s="56"/>
      <c r="W1057" s="1"/>
      <c r="X1057" s="1"/>
      <c r="Y1057" s="8"/>
      <c r="Z1057" s="8"/>
      <c r="AA1057" s="8"/>
      <c r="AB1057" s="8"/>
      <c r="AC1057" s="8"/>
      <c r="AD1057" s="8"/>
      <c r="AE1057" s="8"/>
      <c r="AF1057" s="8"/>
      <c r="AG1057" s="8"/>
      <c r="AH1057" s="8"/>
      <c r="AI1057" s="8"/>
    </row>
    <row r="1058" spans="1:35">
      <c r="A1058" s="1"/>
      <c r="B1058" s="8"/>
      <c r="C1058" s="8"/>
      <c r="D1058" s="8"/>
      <c r="E1058" s="8"/>
      <c r="F1058" s="8"/>
      <c r="G1058" s="8"/>
      <c r="H1058" s="8"/>
      <c r="I1058" s="8"/>
      <c r="J1058" s="8"/>
      <c r="K1058" s="8"/>
      <c r="L1058" s="26"/>
      <c r="M1058" s="26"/>
      <c r="N1058" s="26"/>
      <c r="O1058" s="55"/>
      <c r="P1058" s="1"/>
      <c r="Q1058" s="8"/>
      <c r="R1058" s="8"/>
      <c r="S1058" s="1"/>
      <c r="T1058" s="8"/>
      <c r="U1058" s="8"/>
      <c r="V1058" s="56"/>
      <c r="W1058" s="1"/>
      <c r="X1058" s="1"/>
      <c r="Y1058" s="8"/>
      <c r="Z1058" s="8"/>
      <c r="AA1058" s="8"/>
      <c r="AB1058" s="8"/>
      <c r="AC1058" s="8"/>
      <c r="AD1058" s="8"/>
      <c r="AE1058" s="8"/>
      <c r="AF1058" s="8"/>
      <c r="AG1058" s="8"/>
      <c r="AH1058" s="8"/>
      <c r="AI1058" s="8"/>
    </row>
    <row r="1059" spans="1:35">
      <c r="A1059" s="1"/>
      <c r="B1059" s="8"/>
      <c r="C1059" s="8"/>
      <c r="D1059" s="8"/>
      <c r="E1059" s="8"/>
      <c r="F1059" s="8"/>
      <c r="G1059" s="8"/>
      <c r="H1059" s="8"/>
      <c r="I1059" s="8"/>
      <c r="J1059" s="8"/>
      <c r="K1059" s="8"/>
      <c r="L1059" s="26"/>
      <c r="M1059" s="26"/>
      <c r="N1059" s="26"/>
      <c r="O1059" s="55"/>
      <c r="P1059" s="1"/>
      <c r="Q1059" s="8"/>
      <c r="R1059" s="8"/>
      <c r="S1059" s="1"/>
      <c r="T1059" s="8"/>
      <c r="U1059" s="8"/>
      <c r="V1059" s="56"/>
      <c r="W1059" s="1"/>
      <c r="X1059" s="1"/>
      <c r="Y1059" s="8"/>
      <c r="Z1059" s="8"/>
      <c r="AA1059" s="8"/>
      <c r="AB1059" s="8"/>
      <c r="AC1059" s="8"/>
      <c r="AD1059" s="8"/>
      <c r="AE1059" s="8"/>
      <c r="AF1059" s="8"/>
      <c r="AG1059" s="8"/>
      <c r="AH1059" s="8"/>
      <c r="AI1059" s="8"/>
    </row>
    <row r="1060" spans="1:35">
      <c r="A1060" s="1"/>
      <c r="B1060" s="8"/>
      <c r="C1060" s="8"/>
      <c r="D1060" s="8"/>
      <c r="E1060" s="8"/>
      <c r="F1060" s="8"/>
      <c r="G1060" s="8"/>
      <c r="H1060" s="8"/>
      <c r="I1060" s="8"/>
      <c r="J1060" s="8"/>
      <c r="K1060" s="8"/>
      <c r="L1060" s="26"/>
      <c r="M1060" s="26"/>
      <c r="N1060" s="26"/>
      <c r="O1060" s="55"/>
      <c r="P1060" s="1"/>
      <c r="Q1060" s="8"/>
      <c r="R1060" s="8"/>
      <c r="S1060" s="1"/>
      <c r="T1060" s="8"/>
      <c r="U1060" s="8"/>
      <c r="V1060" s="56"/>
      <c r="W1060" s="1"/>
      <c r="X1060" s="1"/>
      <c r="Y1060" s="8"/>
      <c r="Z1060" s="8"/>
      <c r="AA1060" s="8"/>
      <c r="AB1060" s="8"/>
      <c r="AC1060" s="8"/>
      <c r="AD1060" s="8"/>
      <c r="AE1060" s="8"/>
      <c r="AF1060" s="8"/>
      <c r="AG1060" s="8"/>
      <c r="AH1060" s="8"/>
      <c r="AI1060" s="8"/>
    </row>
    <row r="1061" spans="1:35">
      <c r="A1061" s="1"/>
      <c r="B1061" s="8"/>
      <c r="C1061" s="8"/>
      <c r="D1061" s="8"/>
      <c r="E1061" s="8"/>
      <c r="F1061" s="8"/>
      <c r="G1061" s="8"/>
      <c r="H1061" s="8"/>
      <c r="I1061" s="8"/>
      <c r="J1061" s="8"/>
      <c r="K1061" s="8"/>
      <c r="L1061" s="26"/>
      <c r="M1061" s="26"/>
      <c r="N1061" s="26"/>
      <c r="O1061" s="55"/>
      <c r="P1061" s="1"/>
      <c r="Q1061" s="8"/>
      <c r="R1061" s="8"/>
      <c r="S1061" s="1"/>
      <c r="T1061" s="8"/>
      <c r="U1061" s="8"/>
      <c r="V1061" s="56"/>
      <c r="W1061" s="1"/>
      <c r="X1061" s="1"/>
      <c r="Y1061" s="8"/>
      <c r="Z1061" s="8"/>
      <c r="AA1061" s="8"/>
      <c r="AB1061" s="8"/>
      <c r="AC1061" s="8"/>
      <c r="AD1061" s="8"/>
      <c r="AE1061" s="8"/>
      <c r="AF1061" s="8"/>
      <c r="AG1061" s="8"/>
      <c r="AH1061" s="8"/>
      <c r="AI1061" s="8"/>
    </row>
    <row r="1062" spans="1:35">
      <c r="A1062" s="1"/>
      <c r="B1062" s="8"/>
      <c r="C1062" s="8"/>
      <c r="D1062" s="8"/>
      <c r="E1062" s="8"/>
      <c r="F1062" s="8"/>
      <c r="G1062" s="8"/>
      <c r="H1062" s="8"/>
      <c r="I1062" s="8"/>
      <c r="J1062" s="8"/>
      <c r="K1062" s="8"/>
      <c r="L1062" s="26"/>
      <c r="M1062" s="26"/>
      <c r="N1062" s="26"/>
      <c r="O1062" s="55"/>
      <c r="P1062" s="1"/>
      <c r="Q1062" s="8"/>
      <c r="R1062" s="8"/>
      <c r="S1062" s="1"/>
      <c r="T1062" s="8"/>
      <c r="U1062" s="8"/>
      <c r="V1062" s="56"/>
      <c r="W1062" s="1"/>
      <c r="X1062" s="1"/>
      <c r="Y1062" s="8"/>
      <c r="Z1062" s="8"/>
      <c r="AA1062" s="8"/>
      <c r="AB1062" s="8"/>
      <c r="AC1062" s="8"/>
      <c r="AD1062" s="8"/>
      <c r="AE1062" s="8"/>
      <c r="AF1062" s="8"/>
      <c r="AG1062" s="8"/>
      <c r="AH1062" s="8"/>
      <c r="AI1062" s="8"/>
    </row>
    <row r="1063" spans="1:35">
      <c r="A1063" s="1"/>
      <c r="B1063" s="8"/>
      <c r="C1063" s="8"/>
      <c r="D1063" s="8"/>
      <c r="E1063" s="8"/>
      <c r="F1063" s="8"/>
      <c r="G1063" s="8"/>
      <c r="H1063" s="8"/>
      <c r="I1063" s="8"/>
      <c r="J1063" s="8"/>
      <c r="K1063" s="8"/>
      <c r="L1063" s="26"/>
      <c r="M1063" s="26"/>
      <c r="N1063" s="26"/>
      <c r="O1063" s="55"/>
      <c r="P1063" s="1"/>
      <c r="Q1063" s="8"/>
      <c r="R1063" s="8"/>
      <c r="S1063" s="1"/>
      <c r="T1063" s="8"/>
      <c r="U1063" s="8"/>
      <c r="V1063" s="56"/>
      <c r="W1063" s="1"/>
      <c r="X1063" s="1"/>
      <c r="Y1063" s="8"/>
      <c r="Z1063" s="8"/>
      <c r="AA1063" s="8"/>
      <c r="AB1063" s="8"/>
      <c r="AC1063" s="8"/>
      <c r="AD1063" s="8"/>
      <c r="AE1063" s="8"/>
      <c r="AF1063" s="8"/>
      <c r="AG1063" s="8"/>
      <c r="AH1063" s="8"/>
      <c r="AI1063" s="8"/>
    </row>
    <row r="1064" spans="1:35">
      <c r="A1064" s="1"/>
      <c r="B1064" s="8"/>
      <c r="C1064" s="8"/>
      <c r="D1064" s="8"/>
      <c r="E1064" s="8"/>
      <c r="F1064" s="8"/>
      <c r="G1064" s="8"/>
      <c r="H1064" s="8"/>
      <c r="I1064" s="8"/>
      <c r="J1064" s="8"/>
      <c r="K1064" s="8"/>
      <c r="L1064" s="26"/>
      <c r="M1064" s="26"/>
      <c r="N1064" s="26"/>
      <c r="O1064" s="55"/>
      <c r="P1064" s="1"/>
      <c r="Q1064" s="8"/>
      <c r="R1064" s="8"/>
      <c r="S1064" s="1"/>
      <c r="T1064" s="8"/>
      <c r="U1064" s="8"/>
      <c r="V1064" s="56"/>
      <c r="W1064" s="1"/>
      <c r="X1064" s="1"/>
      <c r="Y1064" s="8"/>
      <c r="Z1064" s="8"/>
      <c r="AA1064" s="8"/>
      <c r="AB1064" s="8"/>
      <c r="AC1064" s="8"/>
      <c r="AD1064" s="8"/>
      <c r="AE1064" s="8"/>
      <c r="AF1064" s="8"/>
      <c r="AG1064" s="8"/>
      <c r="AH1064" s="8"/>
      <c r="AI1064" s="8"/>
    </row>
    <row r="1065" spans="1:35">
      <c r="A1065" s="1"/>
      <c r="B1065" s="8"/>
      <c r="C1065" s="8"/>
      <c r="D1065" s="8"/>
      <c r="E1065" s="8"/>
      <c r="F1065" s="8"/>
      <c r="G1065" s="8"/>
      <c r="H1065" s="8"/>
      <c r="I1065" s="8"/>
      <c r="J1065" s="8"/>
      <c r="K1065" s="8"/>
      <c r="L1065" s="26"/>
      <c r="M1065" s="26"/>
      <c r="N1065" s="26"/>
      <c r="O1065" s="55"/>
      <c r="P1065" s="1"/>
      <c r="Q1065" s="8"/>
      <c r="R1065" s="8"/>
      <c r="S1065" s="1"/>
      <c r="T1065" s="8"/>
      <c r="U1065" s="8"/>
      <c r="V1065" s="56"/>
      <c r="W1065" s="1"/>
      <c r="X1065" s="1"/>
      <c r="Y1065" s="8"/>
      <c r="Z1065" s="8"/>
      <c r="AA1065" s="8"/>
      <c r="AB1065" s="8"/>
      <c r="AC1065" s="8"/>
      <c r="AD1065" s="8"/>
      <c r="AE1065" s="8"/>
      <c r="AF1065" s="8"/>
      <c r="AG1065" s="8"/>
      <c r="AH1065" s="8"/>
      <c r="AI1065" s="8"/>
    </row>
    <row r="1066" spans="1:35">
      <c r="A1066" s="1"/>
      <c r="B1066" s="8"/>
      <c r="C1066" s="8"/>
      <c r="D1066" s="8"/>
      <c r="E1066" s="8"/>
      <c r="F1066" s="8"/>
      <c r="G1066" s="8"/>
      <c r="H1066" s="8"/>
      <c r="I1066" s="8"/>
      <c r="J1066" s="8"/>
      <c r="K1066" s="8"/>
      <c r="L1066" s="26"/>
      <c r="M1066" s="26"/>
      <c r="N1066" s="26"/>
      <c r="O1066" s="55"/>
      <c r="P1066" s="1"/>
      <c r="Q1066" s="8"/>
      <c r="R1066" s="8"/>
      <c r="S1066" s="1"/>
      <c r="T1066" s="8"/>
      <c r="U1066" s="8"/>
      <c r="V1066" s="56"/>
      <c r="W1066" s="1"/>
      <c r="X1066" s="1"/>
      <c r="Y1066" s="8"/>
      <c r="Z1066" s="8"/>
      <c r="AA1066" s="8"/>
      <c r="AB1066" s="8"/>
      <c r="AC1066" s="8"/>
      <c r="AD1066" s="8"/>
      <c r="AE1066" s="8"/>
      <c r="AF1066" s="8"/>
      <c r="AG1066" s="8"/>
      <c r="AH1066" s="8"/>
      <c r="AI1066" s="8"/>
    </row>
    <row r="1067" spans="1:35">
      <c r="A1067" s="1"/>
      <c r="B1067" s="8"/>
      <c r="C1067" s="8"/>
      <c r="D1067" s="8"/>
      <c r="E1067" s="8"/>
      <c r="F1067" s="8"/>
      <c r="G1067" s="8"/>
      <c r="H1067" s="8"/>
      <c r="I1067" s="8"/>
      <c r="J1067" s="8"/>
      <c r="K1067" s="8"/>
      <c r="L1067" s="26"/>
      <c r="M1067" s="26"/>
      <c r="N1067" s="26"/>
      <c r="O1067" s="55"/>
      <c r="P1067" s="1"/>
      <c r="Q1067" s="8"/>
      <c r="R1067" s="8"/>
      <c r="S1067" s="1"/>
      <c r="T1067" s="8"/>
      <c r="U1067" s="8"/>
      <c r="V1067" s="56"/>
      <c r="W1067" s="1"/>
      <c r="X1067" s="1"/>
      <c r="Y1067" s="8"/>
      <c r="Z1067" s="8"/>
      <c r="AA1067" s="8"/>
      <c r="AB1067" s="8"/>
      <c r="AC1067" s="8"/>
      <c r="AD1067" s="8"/>
      <c r="AE1067" s="8"/>
      <c r="AF1067" s="8"/>
      <c r="AG1067" s="8"/>
      <c r="AH1067" s="8"/>
      <c r="AI1067" s="8"/>
    </row>
    <row r="1068" spans="1:35">
      <c r="A1068" s="1"/>
      <c r="B1068" s="8"/>
      <c r="C1068" s="8"/>
      <c r="D1068" s="8"/>
      <c r="E1068" s="8"/>
      <c r="F1068" s="8"/>
      <c r="G1068" s="8"/>
      <c r="H1068" s="8"/>
      <c r="I1068" s="8"/>
      <c r="J1068" s="8"/>
      <c r="K1068" s="8"/>
      <c r="L1068" s="26"/>
      <c r="M1068" s="26"/>
      <c r="N1068" s="26"/>
      <c r="O1068" s="55"/>
      <c r="P1068" s="1"/>
      <c r="Q1068" s="8"/>
      <c r="R1068" s="8"/>
      <c r="S1068" s="1"/>
      <c r="T1068" s="8"/>
      <c r="U1068" s="8"/>
      <c r="V1068" s="56"/>
      <c r="W1068" s="1"/>
      <c r="X1068" s="1"/>
      <c r="Y1068" s="8"/>
      <c r="Z1068" s="8"/>
      <c r="AA1068" s="8"/>
      <c r="AB1068" s="8"/>
      <c r="AC1068" s="8"/>
      <c r="AD1068" s="8"/>
      <c r="AE1068" s="8"/>
      <c r="AF1068" s="8"/>
      <c r="AG1068" s="8"/>
      <c r="AH1068" s="8"/>
      <c r="AI1068" s="8"/>
    </row>
    <row r="1069" spans="1:35">
      <c r="A1069" s="1"/>
      <c r="B1069" s="8"/>
      <c r="C1069" s="8"/>
      <c r="D1069" s="8"/>
      <c r="E1069" s="8"/>
      <c r="F1069" s="8"/>
      <c r="G1069" s="8"/>
      <c r="H1069" s="8"/>
      <c r="I1069" s="8"/>
      <c r="J1069" s="8"/>
      <c r="K1069" s="8"/>
      <c r="L1069" s="26"/>
      <c r="M1069" s="26"/>
      <c r="N1069" s="26"/>
      <c r="O1069" s="55"/>
      <c r="P1069" s="1"/>
      <c r="Q1069" s="8"/>
      <c r="R1069" s="8"/>
      <c r="S1069" s="1"/>
      <c r="T1069" s="8"/>
      <c r="U1069" s="8"/>
      <c r="V1069" s="56"/>
      <c r="W1069" s="1"/>
      <c r="X1069" s="1"/>
      <c r="Y1069" s="8"/>
      <c r="Z1069" s="8"/>
      <c r="AA1069" s="8"/>
      <c r="AB1069" s="8"/>
      <c r="AC1069" s="8"/>
      <c r="AD1069" s="8"/>
      <c r="AE1069" s="8"/>
      <c r="AF1069" s="8"/>
      <c r="AG1069" s="8"/>
      <c r="AH1069" s="8"/>
      <c r="AI1069" s="8"/>
    </row>
    <row r="1070" spans="1:35">
      <c r="A1070" s="1"/>
      <c r="B1070" s="8"/>
      <c r="C1070" s="8"/>
      <c r="D1070" s="8"/>
      <c r="E1070" s="8"/>
      <c r="F1070" s="8"/>
      <c r="G1070" s="8"/>
      <c r="H1070" s="8"/>
      <c r="I1070" s="8"/>
      <c r="J1070" s="8"/>
      <c r="K1070" s="8"/>
      <c r="L1070" s="26"/>
      <c r="M1070" s="26"/>
      <c r="N1070" s="26"/>
      <c r="O1070" s="55"/>
      <c r="P1070" s="1"/>
      <c r="Q1070" s="8"/>
      <c r="R1070" s="8"/>
      <c r="S1070" s="1"/>
      <c r="T1070" s="8"/>
      <c r="U1070" s="8"/>
      <c r="V1070" s="56"/>
      <c r="W1070" s="1"/>
      <c r="X1070" s="1"/>
      <c r="Y1070" s="8"/>
      <c r="Z1070" s="8"/>
      <c r="AA1070" s="8"/>
      <c r="AB1070" s="8"/>
      <c r="AC1070" s="8"/>
      <c r="AD1070" s="8"/>
      <c r="AE1070" s="8"/>
      <c r="AF1070" s="8"/>
      <c r="AG1070" s="8"/>
      <c r="AH1070" s="8"/>
      <c r="AI1070" s="8"/>
    </row>
    <row r="1071" spans="1:35">
      <c r="A1071" s="1"/>
      <c r="B1071" s="8"/>
      <c r="C1071" s="8"/>
      <c r="D1071" s="8"/>
      <c r="E1071" s="8"/>
      <c r="F1071" s="8"/>
      <c r="G1071" s="8"/>
      <c r="H1071" s="8"/>
      <c r="I1071" s="8"/>
      <c r="J1071" s="8"/>
      <c r="K1071" s="8"/>
      <c r="L1071" s="26"/>
      <c r="M1071" s="26"/>
      <c r="N1071" s="26"/>
      <c r="O1071" s="55"/>
      <c r="P1071" s="1"/>
      <c r="Q1071" s="8"/>
      <c r="R1071" s="8"/>
      <c r="S1071" s="1"/>
      <c r="T1071" s="8"/>
      <c r="U1071" s="8"/>
      <c r="V1071" s="56"/>
      <c r="W1071" s="1"/>
      <c r="X1071" s="1"/>
      <c r="Y1071" s="8"/>
      <c r="Z1071" s="8"/>
      <c r="AA1071" s="8"/>
      <c r="AB1071" s="8"/>
      <c r="AC1071" s="8"/>
      <c r="AD1071" s="8"/>
      <c r="AE1071" s="8"/>
      <c r="AF1071" s="8"/>
      <c r="AG1071" s="8"/>
      <c r="AH1071" s="8"/>
      <c r="AI1071" s="8"/>
    </row>
    <row r="1072" spans="1:35">
      <c r="A1072" s="1"/>
      <c r="B1072" s="8"/>
      <c r="C1072" s="8"/>
      <c r="D1072" s="8"/>
      <c r="E1072" s="8"/>
      <c r="F1072" s="8"/>
      <c r="G1072" s="8"/>
      <c r="H1072" s="8"/>
      <c r="I1072" s="8"/>
      <c r="J1072" s="8"/>
      <c r="K1072" s="8"/>
      <c r="L1072" s="26"/>
      <c r="M1072" s="26"/>
      <c r="N1072" s="26"/>
      <c r="O1072" s="55"/>
      <c r="P1072" s="1"/>
      <c r="Q1072" s="8"/>
      <c r="R1072" s="8"/>
      <c r="S1072" s="1"/>
      <c r="T1072" s="8"/>
      <c r="U1072" s="8"/>
      <c r="V1072" s="56"/>
      <c r="W1072" s="1"/>
      <c r="X1072" s="1"/>
      <c r="Y1072" s="8"/>
      <c r="Z1072" s="8"/>
      <c r="AA1072" s="8"/>
      <c r="AB1072" s="8"/>
      <c r="AC1072" s="8"/>
      <c r="AD1072" s="8"/>
      <c r="AE1072" s="8"/>
      <c r="AF1072" s="8"/>
      <c r="AG1072" s="8"/>
      <c r="AH1072" s="8"/>
      <c r="AI1072" s="8"/>
    </row>
    <row r="1073" spans="1:35">
      <c r="A1073" s="1"/>
      <c r="B1073" s="8"/>
      <c r="C1073" s="8"/>
      <c r="D1073" s="8"/>
      <c r="E1073" s="8"/>
      <c r="F1073" s="8"/>
      <c r="G1073" s="8"/>
      <c r="H1073" s="8"/>
      <c r="I1073" s="8"/>
      <c r="J1073" s="8"/>
      <c r="K1073" s="8"/>
      <c r="L1073" s="26"/>
      <c r="M1073" s="26"/>
      <c r="N1073" s="26"/>
      <c r="O1073" s="55"/>
      <c r="P1073" s="1"/>
      <c r="Q1073" s="8"/>
      <c r="R1073" s="8"/>
      <c r="S1073" s="1"/>
      <c r="T1073" s="8"/>
      <c r="U1073" s="8"/>
      <c r="V1073" s="56"/>
      <c r="W1073" s="1"/>
      <c r="X1073" s="1"/>
      <c r="Y1073" s="8"/>
      <c r="Z1073" s="8"/>
      <c r="AA1073" s="8"/>
      <c r="AB1073" s="8"/>
      <c r="AC1073" s="8"/>
      <c r="AD1073" s="8"/>
      <c r="AE1073" s="8"/>
      <c r="AF1073" s="8"/>
      <c r="AG1073" s="8"/>
      <c r="AH1073" s="8"/>
      <c r="AI1073" s="8"/>
    </row>
    <row r="1074" spans="1:35">
      <c r="A1074" s="1"/>
      <c r="B1074" s="8"/>
      <c r="C1074" s="8"/>
      <c r="D1074" s="8"/>
      <c r="E1074" s="8"/>
      <c r="F1074" s="8"/>
      <c r="G1074" s="8"/>
      <c r="H1074" s="8"/>
      <c r="I1074" s="8"/>
      <c r="J1074" s="8"/>
      <c r="K1074" s="8"/>
      <c r="L1074" s="26"/>
      <c r="M1074" s="26"/>
      <c r="N1074" s="26"/>
      <c r="O1074" s="55"/>
      <c r="P1074" s="1"/>
      <c r="Q1074" s="8"/>
      <c r="R1074" s="8"/>
      <c r="S1074" s="1"/>
      <c r="T1074" s="8"/>
      <c r="U1074" s="8"/>
      <c r="V1074" s="56"/>
      <c r="W1074" s="1"/>
      <c r="X1074" s="1"/>
      <c r="Y1074" s="8"/>
      <c r="Z1074" s="8"/>
      <c r="AA1074" s="8"/>
      <c r="AB1074" s="8"/>
      <c r="AC1074" s="8"/>
      <c r="AD1074" s="8"/>
      <c r="AE1074" s="8"/>
      <c r="AF1074" s="8"/>
      <c r="AG1074" s="8"/>
      <c r="AH1074" s="8"/>
      <c r="AI1074" s="8"/>
    </row>
    <row r="1075" spans="1:35">
      <c r="A1075" s="1"/>
      <c r="B1075" s="8"/>
      <c r="C1075" s="8"/>
      <c r="D1075" s="8"/>
      <c r="E1075" s="8"/>
      <c r="F1075" s="8"/>
      <c r="G1075" s="8"/>
      <c r="H1075" s="8"/>
      <c r="I1075" s="8"/>
      <c r="J1075" s="8"/>
      <c r="K1075" s="8"/>
      <c r="L1075" s="26"/>
      <c r="M1075" s="26"/>
      <c r="N1075" s="26"/>
      <c r="O1075" s="55"/>
      <c r="P1075" s="1"/>
      <c r="Q1075" s="8"/>
      <c r="R1075" s="8"/>
      <c r="S1075" s="1"/>
      <c r="T1075" s="8"/>
      <c r="U1075" s="8"/>
      <c r="V1075" s="56"/>
      <c r="W1075" s="1"/>
      <c r="X1075" s="1"/>
      <c r="Y1075" s="8"/>
      <c r="Z1075" s="8"/>
      <c r="AA1075" s="8"/>
      <c r="AB1075" s="8"/>
      <c r="AC1075" s="8"/>
      <c r="AD1075" s="8"/>
      <c r="AE1075" s="8"/>
      <c r="AF1075" s="8"/>
      <c r="AG1075" s="8"/>
      <c r="AH1075" s="8"/>
      <c r="AI1075" s="8"/>
    </row>
    <row r="1076" spans="1:35">
      <c r="A1076" s="1"/>
      <c r="B1076" s="8"/>
      <c r="C1076" s="8"/>
      <c r="D1076" s="8"/>
      <c r="E1076" s="8"/>
      <c r="F1076" s="8"/>
      <c r="G1076" s="8"/>
      <c r="H1076" s="8"/>
      <c r="I1076" s="8"/>
      <c r="J1076" s="8"/>
      <c r="K1076" s="8"/>
      <c r="L1076" s="26"/>
      <c r="M1076" s="26"/>
      <c r="N1076" s="26"/>
      <c r="O1076" s="55"/>
      <c r="P1076" s="1"/>
      <c r="Q1076" s="8"/>
      <c r="R1076" s="8"/>
      <c r="S1076" s="1"/>
      <c r="T1076" s="8"/>
      <c r="U1076" s="8"/>
      <c r="V1076" s="56"/>
      <c r="W1076" s="1"/>
      <c r="X1076" s="1"/>
      <c r="Y1076" s="8"/>
      <c r="Z1076" s="8"/>
      <c r="AA1076" s="8"/>
      <c r="AB1076" s="8"/>
      <c r="AC1076" s="8"/>
      <c r="AD1076" s="8"/>
      <c r="AE1076" s="8"/>
      <c r="AF1076" s="8"/>
      <c r="AG1076" s="8"/>
      <c r="AH1076" s="8"/>
      <c r="AI1076" s="8"/>
    </row>
    <row r="1077" spans="1:35">
      <c r="A1077" s="1"/>
      <c r="B1077" s="8"/>
      <c r="C1077" s="8"/>
      <c r="D1077" s="8"/>
      <c r="E1077" s="8"/>
      <c r="F1077" s="8"/>
      <c r="G1077" s="8"/>
      <c r="H1077" s="8"/>
      <c r="I1077" s="8"/>
      <c r="J1077" s="8"/>
      <c r="K1077" s="8"/>
      <c r="L1077" s="26"/>
      <c r="M1077" s="26"/>
      <c r="N1077" s="26"/>
      <c r="O1077" s="55"/>
      <c r="P1077" s="1"/>
      <c r="Q1077" s="8"/>
      <c r="R1077" s="8"/>
      <c r="S1077" s="1"/>
      <c r="T1077" s="8"/>
      <c r="U1077" s="8"/>
      <c r="V1077" s="56"/>
      <c r="W1077" s="1"/>
      <c r="X1077" s="1"/>
      <c r="Y1077" s="8"/>
      <c r="Z1077" s="8"/>
      <c r="AA1077" s="8"/>
      <c r="AB1077" s="8"/>
      <c r="AC1077" s="8"/>
      <c r="AD1077" s="8"/>
      <c r="AE1077" s="8"/>
      <c r="AF1077" s="8"/>
      <c r="AG1077" s="8"/>
      <c r="AH1077" s="8"/>
      <c r="AI1077" s="8"/>
    </row>
    <row r="1078" spans="1:35">
      <c r="A1078" s="1"/>
      <c r="B1078" s="8"/>
      <c r="C1078" s="8"/>
      <c r="D1078" s="8"/>
      <c r="E1078" s="8"/>
      <c r="F1078" s="8"/>
      <c r="G1078" s="8"/>
      <c r="H1078" s="8"/>
      <c r="I1078" s="8"/>
      <c r="J1078" s="8"/>
      <c r="K1078" s="8"/>
      <c r="L1078" s="26"/>
      <c r="M1078" s="26"/>
      <c r="N1078" s="26"/>
      <c r="O1078" s="55"/>
      <c r="P1078" s="1"/>
      <c r="Q1078" s="8"/>
      <c r="R1078" s="8"/>
      <c r="S1078" s="1"/>
      <c r="T1078" s="8"/>
      <c r="U1078" s="8"/>
      <c r="V1078" s="56"/>
      <c r="W1078" s="1"/>
      <c r="X1078" s="1"/>
      <c r="Y1078" s="8"/>
      <c r="Z1078" s="8"/>
      <c r="AA1078" s="8"/>
      <c r="AB1078" s="8"/>
      <c r="AC1078" s="8"/>
      <c r="AD1078" s="8"/>
      <c r="AE1078" s="8"/>
      <c r="AF1078" s="8"/>
      <c r="AG1078" s="8"/>
      <c r="AH1078" s="8"/>
      <c r="AI1078" s="8"/>
    </row>
    <row r="1079" spans="1:35">
      <c r="A1079" s="1"/>
      <c r="B1079" s="8"/>
      <c r="C1079" s="8"/>
      <c r="D1079" s="8"/>
      <c r="E1079" s="8"/>
      <c r="F1079" s="8"/>
      <c r="G1079" s="8"/>
      <c r="H1079" s="8"/>
      <c r="I1079" s="8"/>
      <c r="J1079" s="8"/>
      <c r="K1079" s="8"/>
      <c r="L1079" s="26"/>
      <c r="M1079" s="26"/>
      <c r="N1079" s="26"/>
      <c r="O1079" s="55"/>
      <c r="P1079" s="1"/>
      <c r="Q1079" s="8"/>
      <c r="R1079" s="8"/>
      <c r="S1079" s="1"/>
      <c r="T1079" s="8"/>
      <c r="U1079" s="8"/>
      <c r="V1079" s="56"/>
      <c r="W1079" s="1"/>
      <c r="X1079" s="1"/>
      <c r="Y1079" s="8"/>
      <c r="Z1079" s="8"/>
      <c r="AA1079" s="8"/>
      <c r="AB1079" s="8"/>
      <c r="AC1079" s="8"/>
      <c r="AD1079" s="8"/>
      <c r="AE1079" s="8"/>
      <c r="AF1079" s="8"/>
      <c r="AG1079" s="8"/>
      <c r="AH1079" s="8"/>
      <c r="AI1079" s="8"/>
    </row>
    <row r="1080" spans="1:35">
      <c r="A1080" s="1"/>
      <c r="B1080" s="8"/>
      <c r="C1080" s="8"/>
      <c r="D1080" s="8"/>
      <c r="E1080" s="8"/>
      <c r="F1080" s="8"/>
      <c r="G1080" s="8"/>
      <c r="H1080" s="8"/>
      <c r="I1080" s="8"/>
      <c r="J1080" s="8"/>
      <c r="K1080" s="8"/>
      <c r="L1080" s="26"/>
      <c r="M1080" s="26"/>
      <c r="N1080" s="26"/>
      <c r="O1080" s="55"/>
      <c r="P1080" s="1"/>
      <c r="Q1080" s="8"/>
      <c r="R1080" s="8"/>
      <c r="S1080" s="1"/>
      <c r="T1080" s="8"/>
      <c r="U1080" s="8"/>
      <c r="V1080" s="56"/>
      <c r="W1080" s="1"/>
      <c r="X1080" s="1"/>
      <c r="Y1080" s="8"/>
      <c r="Z1080" s="8"/>
      <c r="AA1080" s="8"/>
      <c r="AB1080" s="8"/>
      <c r="AC1080" s="8"/>
      <c r="AD1080" s="8"/>
      <c r="AE1080" s="8"/>
      <c r="AF1080" s="8"/>
      <c r="AG1080" s="8"/>
      <c r="AH1080" s="8"/>
      <c r="AI1080" s="8"/>
    </row>
    <row r="1081" spans="1:35">
      <c r="A1081" s="1"/>
      <c r="B1081" s="8"/>
      <c r="C1081" s="8"/>
      <c r="D1081" s="8"/>
      <c r="E1081" s="8"/>
      <c r="F1081" s="8"/>
      <c r="G1081" s="8"/>
      <c r="H1081" s="8"/>
      <c r="I1081" s="8"/>
      <c r="J1081" s="8"/>
      <c r="K1081" s="8"/>
      <c r="L1081" s="26"/>
      <c r="M1081" s="26"/>
      <c r="N1081" s="26"/>
      <c r="O1081" s="55"/>
      <c r="P1081" s="1"/>
      <c r="Q1081" s="8"/>
      <c r="R1081" s="8"/>
      <c r="S1081" s="1"/>
      <c r="T1081" s="8"/>
      <c r="U1081" s="8"/>
      <c r="V1081" s="56"/>
      <c r="W1081" s="1"/>
      <c r="X1081" s="1"/>
      <c r="Y1081" s="8"/>
      <c r="Z1081" s="8"/>
      <c r="AA1081" s="8"/>
      <c r="AB1081" s="8"/>
      <c r="AC1081" s="8"/>
      <c r="AD1081" s="8"/>
      <c r="AE1081" s="8"/>
      <c r="AF1081" s="8"/>
      <c r="AG1081" s="8"/>
      <c r="AH1081" s="8"/>
      <c r="AI1081" s="8"/>
    </row>
    <row r="1082" spans="1:35">
      <c r="A1082" s="1"/>
      <c r="B1082" s="8"/>
      <c r="C1082" s="8"/>
      <c r="D1082" s="8"/>
      <c r="E1082" s="8"/>
      <c r="F1082" s="8"/>
      <c r="G1082" s="8"/>
      <c r="H1082" s="8"/>
      <c r="I1082" s="8"/>
      <c r="J1082" s="8"/>
      <c r="K1082" s="8"/>
      <c r="L1082" s="26"/>
      <c r="M1082" s="26"/>
      <c r="N1082" s="26"/>
      <c r="O1082" s="55"/>
      <c r="P1082" s="1"/>
      <c r="Q1082" s="8"/>
      <c r="R1082" s="8"/>
      <c r="S1082" s="1"/>
      <c r="T1082" s="8"/>
      <c r="U1082" s="8"/>
      <c r="V1082" s="56"/>
      <c r="W1082" s="1"/>
      <c r="X1082" s="1"/>
      <c r="Y1082" s="8"/>
      <c r="Z1082" s="8"/>
      <c r="AA1082" s="8"/>
      <c r="AB1082" s="8"/>
      <c r="AC1082" s="8"/>
      <c r="AD1082" s="8"/>
      <c r="AE1082" s="8"/>
      <c r="AF1082" s="8"/>
      <c r="AG1082" s="8"/>
      <c r="AH1082" s="8"/>
      <c r="AI1082" s="8"/>
    </row>
    <row r="1083" spans="1:35">
      <c r="A1083" s="1"/>
      <c r="B1083" s="8"/>
      <c r="C1083" s="8"/>
      <c r="D1083" s="8"/>
      <c r="E1083" s="8"/>
      <c r="F1083" s="8"/>
      <c r="G1083" s="8"/>
      <c r="H1083" s="8"/>
      <c r="I1083" s="8"/>
      <c r="J1083" s="8"/>
      <c r="K1083" s="8"/>
      <c r="L1083" s="26"/>
      <c r="M1083" s="26"/>
      <c r="N1083" s="26"/>
      <c r="O1083" s="55"/>
      <c r="P1083" s="1"/>
      <c r="Q1083" s="8"/>
      <c r="R1083" s="8"/>
      <c r="S1083" s="1"/>
      <c r="T1083" s="8"/>
      <c r="U1083" s="8"/>
      <c r="V1083" s="56"/>
      <c r="W1083" s="1"/>
      <c r="X1083" s="1"/>
      <c r="Y1083" s="8"/>
      <c r="Z1083" s="8"/>
      <c r="AA1083" s="8"/>
      <c r="AB1083" s="8"/>
      <c r="AC1083" s="8"/>
      <c r="AD1083" s="8"/>
      <c r="AE1083" s="8"/>
      <c r="AF1083" s="8"/>
      <c r="AG1083" s="8"/>
      <c r="AH1083" s="8"/>
      <c r="AI1083" s="8"/>
    </row>
    <row r="1084" spans="1:35">
      <c r="A1084" s="1"/>
      <c r="B1084" s="8"/>
      <c r="C1084" s="8"/>
      <c r="D1084" s="8"/>
      <c r="E1084" s="8"/>
      <c r="F1084" s="8"/>
      <c r="G1084" s="8"/>
      <c r="H1084" s="8"/>
      <c r="I1084" s="8"/>
      <c r="J1084" s="8"/>
      <c r="K1084" s="8"/>
      <c r="L1084" s="26"/>
      <c r="M1084" s="26"/>
      <c r="N1084" s="26"/>
      <c r="O1084" s="55"/>
      <c r="P1084" s="1"/>
      <c r="Q1084" s="8"/>
      <c r="R1084" s="8"/>
      <c r="S1084" s="1"/>
      <c r="T1084" s="8"/>
      <c r="U1084" s="8"/>
      <c r="V1084" s="56"/>
      <c r="W1084" s="1"/>
      <c r="X1084" s="1"/>
      <c r="Y1084" s="8"/>
      <c r="Z1084" s="8"/>
      <c r="AA1084" s="8"/>
      <c r="AB1084" s="8"/>
      <c r="AC1084" s="8"/>
      <c r="AD1084" s="8"/>
      <c r="AE1084" s="8"/>
      <c r="AF1084" s="8"/>
      <c r="AG1084" s="8"/>
      <c r="AH1084" s="8"/>
      <c r="AI1084" s="8"/>
    </row>
    <row r="1085" spans="1:35">
      <c r="A1085" s="1"/>
      <c r="B1085" s="8"/>
      <c r="C1085" s="8"/>
      <c r="D1085" s="8"/>
      <c r="E1085" s="8"/>
      <c r="F1085" s="8"/>
      <c r="G1085" s="8"/>
      <c r="H1085" s="8"/>
      <c r="I1085" s="8"/>
      <c r="J1085" s="8"/>
      <c r="K1085" s="8"/>
      <c r="L1085" s="26"/>
      <c r="M1085" s="26"/>
      <c r="N1085" s="26"/>
      <c r="O1085" s="55"/>
      <c r="P1085" s="1"/>
      <c r="Q1085" s="8"/>
      <c r="R1085" s="8"/>
      <c r="S1085" s="1"/>
      <c r="T1085" s="8"/>
      <c r="U1085" s="8"/>
      <c r="V1085" s="56"/>
      <c r="W1085" s="1"/>
      <c r="X1085" s="1"/>
      <c r="Y1085" s="8"/>
      <c r="Z1085" s="8"/>
      <c r="AA1085" s="8"/>
      <c r="AB1085" s="8"/>
      <c r="AC1085" s="8"/>
      <c r="AD1085" s="8"/>
      <c r="AE1085" s="8"/>
      <c r="AF1085" s="8"/>
      <c r="AG1085" s="8"/>
      <c r="AH1085" s="8"/>
      <c r="AI1085" s="8"/>
    </row>
    <row r="1086" spans="1:35">
      <c r="A1086" s="1"/>
      <c r="B1086" s="8"/>
      <c r="C1086" s="8"/>
      <c r="D1086" s="8"/>
      <c r="E1086" s="8"/>
      <c r="F1086" s="8"/>
      <c r="G1086" s="8"/>
      <c r="H1086" s="8"/>
      <c r="I1086" s="8"/>
      <c r="J1086" s="8"/>
      <c r="K1086" s="8"/>
      <c r="L1086" s="26"/>
      <c r="M1086" s="26"/>
      <c r="N1086" s="26"/>
      <c r="O1086" s="55"/>
      <c r="P1086" s="1"/>
      <c r="Q1086" s="8"/>
      <c r="R1086" s="8"/>
      <c r="S1086" s="1"/>
      <c r="T1086" s="8"/>
      <c r="U1086" s="8"/>
      <c r="V1086" s="56"/>
      <c r="W1086" s="1"/>
      <c r="X1086" s="1"/>
      <c r="Y1086" s="8"/>
      <c r="Z1086" s="8"/>
      <c r="AA1086" s="8"/>
      <c r="AB1086" s="8"/>
      <c r="AC1086" s="8"/>
      <c r="AD1086" s="8"/>
      <c r="AE1086" s="8"/>
      <c r="AF1086" s="8"/>
      <c r="AG1086" s="8"/>
      <c r="AH1086" s="8"/>
      <c r="AI1086" s="8"/>
    </row>
    <row r="1087" spans="1:35">
      <c r="A1087" s="1"/>
      <c r="B1087" s="8"/>
      <c r="C1087" s="8"/>
      <c r="D1087" s="8"/>
      <c r="E1087" s="8"/>
      <c r="F1087" s="8"/>
      <c r="G1087" s="8"/>
      <c r="H1087" s="8"/>
      <c r="I1087" s="8"/>
      <c r="J1087" s="8"/>
      <c r="K1087" s="8"/>
      <c r="L1087" s="26"/>
      <c r="M1087" s="26"/>
      <c r="N1087" s="26"/>
      <c r="O1087" s="55"/>
      <c r="P1087" s="1"/>
      <c r="Q1087" s="8"/>
      <c r="R1087" s="8"/>
      <c r="S1087" s="1"/>
      <c r="T1087" s="8"/>
      <c r="U1087" s="8"/>
      <c r="V1087" s="56"/>
      <c r="W1087" s="1"/>
      <c r="X1087" s="1"/>
      <c r="Y1087" s="8"/>
      <c r="Z1087" s="8"/>
      <c r="AA1087" s="8"/>
      <c r="AB1087" s="8"/>
      <c r="AC1087" s="8"/>
      <c r="AD1087" s="8"/>
      <c r="AE1087" s="8"/>
      <c r="AF1087" s="8"/>
      <c r="AG1087" s="8"/>
      <c r="AH1087" s="8"/>
      <c r="AI1087" s="8"/>
    </row>
    <row r="1088" spans="1:35">
      <c r="A1088" s="1"/>
      <c r="B1088" s="8"/>
      <c r="C1088" s="8"/>
      <c r="D1088" s="8"/>
      <c r="E1088" s="8"/>
      <c r="F1088" s="8"/>
      <c r="G1088" s="8"/>
      <c r="H1088" s="8"/>
      <c r="I1088" s="8"/>
      <c r="J1088" s="8"/>
      <c r="K1088" s="8"/>
      <c r="L1088" s="26"/>
      <c r="M1088" s="26"/>
      <c r="N1088" s="26"/>
      <c r="O1088" s="55"/>
      <c r="P1088" s="1"/>
      <c r="Q1088" s="8"/>
      <c r="R1088" s="8"/>
      <c r="S1088" s="1"/>
      <c r="T1088" s="8"/>
      <c r="U1088" s="8"/>
      <c r="V1088" s="56"/>
      <c r="W1088" s="1"/>
      <c r="X1088" s="1"/>
      <c r="Y1088" s="8"/>
      <c r="Z1088" s="8"/>
      <c r="AA1088" s="8"/>
      <c r="AB1088" s="8"/>
      <c r="AC1088" s="8"/>
      <c r="AD1088" s="8"/>
      <c r="AE1088" s="8"/>
      <c r="AF1088" s="8"/>
      <c r="AG1088" s="8"/>
      <c r="AH1088" s="8"/>
      <c r="AI1088" s="8"/>
    </row>
    <row r="1089" spans="1:35">
      <c r="A1089" s="1"/>
      <c r="B1089" s="8"/>
      <c r="C1089" s="8"/>
      <c r="D1089" s="8"/>
      <c r="E1089" s="8"/>
      <c r="F1089" s="8"/>
      <c r="G1089" s="8"/>
      <c r="H1089" s="8"/>
      <c r="I1089" s="8"/>
      <c r="J1089" s="8"/>
      <c r="K1089" s="8"/>
      <c r="L1089" s="26"/>
      <c r="M1089" s="26"/>
      <c r="N1089" s="26"/>
      <c r="O1089" s="55"/>
      <c r="P1089" s="1"/>
      <c r="Q1089" s="8"/>
      <c r="R1089" s="8"/>
      <c r="S1089" s="1"/>
      <c r="T1089" s="8"/>
      <c r="U1089" s="8"/>
      <c r="V1089" s="56"/>
      <c r="W1089" s="1"/>
      <c r="X1089" s="1"/>
      <c r="Y1089" s="8"/>
      <c r="Z1089" s="8"/>
      <c r="AA1089" s="8"/>
      <c r="AB1089" s="8"/>
      <c r="AC1089" s="8"/>
      <c r="AD1089" s="8"/>
      <c r="AE1089" s="8"/>
      <c r="AF1089" s="8"/>
      <c r="AG1089" s="8"/>
      <c r="AH1089" s="8"/>
      <c r="AI1089" s="8"/>
    </row>
    <row r="1090" spans="1:35">
      <c r="A1090" s="1"/>
      <c r="B1090" s="8"/>
      <c r="C1090" s="8"/>
      <c r="D1090" s="8"/>
      <c r="E1090" s="8"/>
      <c r="F1090" s="8"/>
      <c r="G1090" s="8"/>
      <c r="H1090" s="8"/>
      <c r="I1090" s="8"/>
      <c r="J1090" s="8"/>
      <c r="K1090" s="8"/>
      <c r="L1090" s="26"/>
      <c r="M1090" s="26"/>
      <c r="N1090" s="26"/>
      <c r="O1090" s="55"/>
      <c r="P1090" s="1"/>
      <c r="Q1090" s="8"/>
      <c r="R1090" s="8"/>
      <c r="S1090" s="1"/>
      <c r="T1090" s="8"/>
      <c r="U1090" s="8"/>
      <c r="V1090" s="56"/>
      <c r="W1090" s="1"/>
      <c r="X1090" s="1"/>
      <c r="Y1090" s="8"/>
      <c r="Z1090" s="8"/>
      <c r="AA1090" s="8"/>
      <c r="AB1090" s="8"/>
      <c r="AC1090" s="8"/>
      <c r="AD1090" s="8"/>
      <c r="AE1090" s="8"/>
      <c r="AF1090" s="8"/>
      <c r="AG1090" s="8"/>
      <c r="AH1090" s="8"/>
      <c r="AI1090" s="8"/>
    </row>
    <row r="1091" spans="1:35">
      <c r="A1091" s="1"/>
      <c r="B1091" s="8"/>
      <c r="C1091" s="8"/>
      <c r="D1091" s="8"/>
      <c r="E1091" s="8"/>
      <c r="F1091" s="8"/>
      <c r="G1091" s="8"/>
      <c r="H1091" s="8"/>
      <c r="I1091" s="8"/>
      <c r="J1091" s="8"/>
      <c r="K1091" s="8"/>
      <c r="L1091" s="26"/>
      <c r="M1091" s="26"/>
      <c r="N1091" s="26"/>
      <c r="O1091" s="55"/>
      <c r="P1091" s="1"/>
      <c r="Q1091" s="8"/>
      <c r="R1091" s="8"/>
      <c r="S1091" s="1"/>
      <c r="T1091" s="8"/>
      <c r="U1091" s="8"/>
      <c r="V1091" s="56"/>
      <c r="W1091" s="1"/>
      <c r="X1091" s="1"/>
      <c r="Y1091" s="8"/>
      <c r="Z1091" s="8"/>
      <c r="AA1091" s="8"/>
      <c r="AB1091" s="8"/>
      <c r="AC1091" s="8"/>
      <c r="AD1091" s="8"/>
      <c r="AE1091" s="8"/>
      <c r="AF1091" s="8"/>
      <c r="AG1091" s="8"/>
      <c r="AH1091" s="8"/>
      <c r="AI1091" s="8"/>
    </row>
    <row r="1092" spans="1:35">
      <c r="A1092" s="1"/>
      <c r="B1092" s="8"/>
      <c r="C1092" s="8"/>
      <c r="D1092" s="8"/>
      <c r="E1092" s="8"/>
      <c r="F1092" s="8"/>
      <c r="G1092" s="8"/>
      <c r="H1092" s="8"/>
      <c r="I1092" s="8"/>
      <c r="J1092" s="8"/>
      <c r="K1092" s="8"/>
      <c r="L1092" s="26"/>
      <c r="M1092" s="26"/>
      <c r="N1092" s="26"/>
      <c r="O1092" s="55"/>
      <c r="P1092" s="1"/>
      <c r="Q1092" s="8"/>
      <c r="R1092" s="8"/>
      <c r="S1092" s="1"/>
      <c r="T1092" s="8"/>
      <c r="U1092" s="8"/>
      <c r="V1092" s="56"/>
      <c r="W1092" s="1"/>
      <c r="X1092" s="1"/>
      <c r="Y1092" s="8"/>
      <c r="Z1092" s="8"/>
      <c r="AA1092" s="8"/>
      <c r="AB1092" s="8"/>
      <c r="AC1092" s="8"/>
      <c r="AD1092" s="8"/>
      <c r="AE1092" s="8"/>
      <c r="AF1092" s="8"/>
      <c r="AG1092" s="8"/>
      <c r="AH1092" s="8"/>
      <c r="AI1092" s="8"/>
    </row>
    <row r="1093" spans="1:35">
      <c r="A1093" s="1"/>
      <c r="B1093" s="8"/>
      <c r="C1093" s="8"/>
      <c r="D1093" s="8"/>
      <c r="E1093" s="8"/>
      <c r="F1093" s="8"/>
      <c r="G1093" s="8"/>
      <c r="H1093" s="8"/>
      <c r="I1093" s="8"/>
      <c r="J1093" s="8"/>
      <c r="K1093" s="8"/>
      <c r="L1093" s="26"/>
      <c r="M1093" s="26"/>
      <c r="N1093" s="26"/>
      <c r="O1093" s="55"/>
      <c r="P1093" s="1"/>
      <c r="Q1093" s="8"/>
      <c r="R1093" s="8"/>
      <c r="S1093" s="1"/>
      <c r="T1093" s="8"/>
      <c r="U1093" s="8"/>
      <c r="V1093" s="56"/>
      <c r="W1093" s="1"/>
      <c r="X1093" s="1"/>
      <c r="Y1093" s="8"/>
      <c r="Z1093" s="8"/>
      <c r="AA1093" s="8"/>
      <c r="AB1093" s="8"/>
      <c r="AC1093" s="8"/>
      <c r="AD1093" s="8"/>
      <c r="AE1093" s="8"/>
      <c r="AF1093" s="8"/>
      <c r="AG1093" s="8"/>
      <c r="AH1093" s="8"/>
      <c r="AI1093" s="8"/>
    </row>
    <row r="1094" spans="1:35">
      <c r="A1094" s="1"/>
      <c r="B1094" s="8"/>
      <c r="C1094" s="8"/>
      <c r="D1094" s="8"/>
      <c r="E1094" s="8"/>
      <c r="F1094" s="8"/>
      <c r="G1094" s="8"/>
      <c r="H1094" s="8"/>
      <c r="I1094" s="8"/>
      <c r="J1094" s="8"/>
      <c r="K1094" s="8"/>
      <c r="L1094" s="26"/>
      <c r="M1094" s="26"/>
      <c r="N1094" s="26"/>
      <c r="O1094" s="55"/>
      <c r="P1094" s="1"/>
      <c r="Q1094" s="8"/>
      <c r="R1094" s="8"/>
      <c r="S1094" s="1"/>
      <c r="T1094" s="8"/>
      <c r="U1094" s="8"/>
      <c r="V1094" s="56"/>
      <c r="W1094" s="1"/>
      <c r="X1094" s="1"/>
      <c r="Y1094" s="8"/>
      <c r="Z1094" s="8"/>
      <c r="AA1094" s="8"/>
      <c r="AB1094" s="8"/>
      <c r="AC1094" s="8"/>
      <c r="AD1094" s="8"/>
      <c r="AE1094" s="8"/>
      <c r="AF1094" s="8"/>
      <c r="AG1094" s="8"/>
      <c r="AH1094" s="8"/>
      <c r="AI1094" s="8"/>
    </row>
    <row r="1095" spans="1:35">
      <c r="A1095" s="1"/>
      <c r="B1095" s="8"/>
      <c r="C1095" s="8"/>
      <c r="D1095" s="8"/>
      <c r="E1095" s="8"/>
      <c r="F1095" s="8"/>
      <c r="G1095" s="8"/>
      <c r="H1095" s="8"/>
      <c r="I1095" s="8"/>
      <c r="J1095" s="8"/>
      <c r="K1095" s="8"/>
      <c r="L1095" s="26"/>
      <c r="M1095" s="26"/>
      <c r="N1095" s="26"/>
      <c r="O1095" s="55"/>
      <c r="P1095" s="1"/>
      <c r="Q1095" s="8"/>
      <c r="R1095" s="8"/>
      <c r="S1095" s="1"/>
      <c r="T1095" s="8"/>
      <c r="U1095" s="8"/>
      <c r="V1095" s="56"/>
      <c r="W1095" s="1"/>
      <c r="X1095" s="1"/>
      <c r="Y1095" s="8"/>
      <c r="Z1095" s="8"/>
      <c r="AA1095" s="8"/>
      <c r="AB1095" s="8"/>
      <c r="AC1095" s="8"/>
      <c r="AD1095" s="8"/>
      <c r="AE1095" s="8"/>
      <c r="AF1095" s="8"/>
      <c r="AG1095" s="8"/>
      <c r="AH1095" s="8"/>
      <c r="AI1095" s="8"/>
    </row>
    <row r="1096" spans="1:35">
      <c r="A1096" s="1"/>
      <c r="B1096" s="8"/>
      <c r="C1096" s="8"/>
      <c r="D1096" s="8"/>
      <c r="E1096" s="8"/>
      <c r="F1096" s="8"/>
      <c r="G1096" s="8"/>
      <c r="H1096" s="8"/>
      <c r="I1096" s="8"/>
      <c r="J1096" s="8"/>
      <c r="K1096" s="8"/>
      <c r="L1096" s="26"/>
      <c r="M1096" s="26"/>
      <c r="N1096" s="26"/>
      <c r="O1096" s="55"/>
      <c r="P1096" s="1"/>
      <c r="Q1096" s="8"/>
      <c r="R1096" s="8"/>
      <c r="S1096" s="1"/>
      <c r="T1096" s="8"/>
      <c r="U1096" s="8"/>
      <c r="V1096" s="56"/>
      <c r="W1096" s="1"/>
      <c r="X1096" s="1"/>
      <c r="Y1096" s="8"/>
      <c r="Z1096" s="8"/>
      <c r="AA1096" s="8"/>
      <c r="AB1096" s="8"/>
      <c r="AC1096" s="8"/>
      <c r="AD1096" s="8"/>
      <c r="AE1096" s="8"/>
      <c r="AF1096" s="8"/>
      <c r="AG1096" s="8"/>
      <c r="AH1096" s="8"/>
      <c r="AI1096" s="8"/>
    </row>
    <row r="1097" spans="1:35">
      <c r="A1097" s="1"/>
      <c r="B1097" s="8"/>
      <c r="C1097" s="8"/>
      <c r="D1097" s="8"/>
      <c r="E1097" s="8"/>
      <c r="F1097" s="8"/>
      <c r="G1097" s="8"/>
      <c r="H1097" s="8"/>
      <c r="I1097" s="8"/>
      <c r="J1097" s="8"/>
      <c r="K1097" s="8"/>
      <c r="L1097" s="26"/>
      <c r="M1097" s="26"/>
      <c r="N1097" s="26"/>
      <c r="O1097" s="55"/>
      <c r="P1097" s="1"/>
      <c r="Q1097" s="8"/>
      <c r="R1097" s="8"/>
      <c r="S1097" s="1"/>
      <c r="T1097" s="8"/>
      <c r="U1097" s="8"/>
      <c r="V1097" s="56"/>
      <c r="W1097" s="1"/>
      <c r="X1097" s="1"/>
      <c r="Y1097" s="8"/>
      <c r="Z1097" s="8"/>
      <c r="AA1097" s="8"/>
      <c r="AB1097" s="8"/>
      <c r="AC1097" s="8"/>
      <c r="AD1097" s="8"/>
      <c r="AE1097" s="8"/>
      <c r="AF1097" s="8"/>
      <c r="AG1097" s="8"/>
      <c r="AH1097" s="8"/>
      <c r="AI1097" s="8"/>
    </row>
    <row r="1098" spans="1:35">
      <c r="A1098" s="1"/>
      <c r="B1098" s="8"/>
      <c r="C1098" s="8"/>
      <c r="D1098" s="8"/>
      <c r="E1098" s="8"/>
      <c r="F1098" s="8"/>
      <c r="G1098" s="8"/>
      <c r="H1098" s="8"/>
      <c r="I1098" s="8"/>
      <c r="J1098" s="8"/>
      <c r="K1098" s="8"/>
      <c r="L1098" s="26"/>
      <c r="M1098" s="26"/>
      <c r="N1098" s="26"/>
      <c r="O1098" s="55"/>
      <c r="P1098" s="1"/>
      <c r="Q1098" s="8"/>
      <c r="R1098" s="8"/>
      <c r="S1098" s="1"/>
      <c r="T1098" s="8"/>
      <c r="U1098" s="8"/>
      <c r="V1098" s="56"/>
      <c r="W1098" s="1"/>
      <c r="X1098" s="1"/>
      <c r="Y1098" s="8"/>
      <c r="Z1098" s="8"/>
      <c r="AA1098" s="8"/>
      <c r="AB1098" s="8"/>
      <c r="AC1098" s="8"/>
      <c r="AD1098" s="8"/>
      <c r="AE1098" s="8"/>
      <c r="AF1098" s="8"/>
      <c r="AG1098" s="8"/>
      <c r="AH1098" s="8"/>
      <c r="AI1098" s="8"/>
    </row>
    <row r="1099" spans="1:35">
      <c r="A1099" s="1"/>
      <c r="B1099" s="8"/>
      <c r="C1099" s="8"/>
      <c r="D1099" s="8"/>
      <c r="E1099" s="8"/>
      <c r="F1099" s="8"/>
      <c r="G1099" s="8"/>
      <c r="H1099" s="8"/>
      <c r="I1099" s="8"/>
      <c r="J1099" s="8"/>
      <c r="K1099" s="8"/>
      <c r="L1099" s="26"/>
      <c r="M1099" s="26"/>
      <c r="N1099" s="26"/>
      <c r="O1099" s="55"/>
      <c r="P1099" s="1"/>
      <c r="Q1099" s="8"/>
      <c r="R1099" s="8"/>
      <c r="S1099" s="1"/>
      <c r="T1099" s="8"/>
      <c r="U1099" s="8"/>
      <c r="V1099" s="56"/>
      <c r="W1099" s="1"/>
      <c r="X1099" s="1"/>
      <c r="Y1099" s="8"/>
      <c r="Z1099" s="8"/>
      <c r="AA1099" s="8"/>
      <c r="AB1099" s="8"/>
      <c r="AC1099" s="8"/>
      <c r="AD1099" s="8"/>
      <c r="AE1099" s="8"/>
      <c r="AF1099" s="8"/>
      <c r="AG1099" s="8"/>
      <c r="AH1099" s="8"/>
      <c r="AI1099" s="8"/>
    </row>
    <row r="1100" spans="1:35">
      <c r="A1100" s="1"/>
      <c r="B1100" s="8"/>
      <c r="C1100" s="8"/>
      <c r="D1100" s="8"/>
      <c r="E1100" s="8"/>
      <c r="F1100" s="8"/>
      <c r="G1100" s="8"/>
      <c r="H1100" s="8"/>
      <c r="I1100" s="8"/>
      <c r="J1100" s="8"/>
      <c r="K1100" s="8"/>
      <c r="L1100" s="26"/>
      <c r="M1100" s="26"/>
      <c r="N1100" s="26"/>
      <c r="O1100" s="55"/>
      <c r="P1100" s="1"/>
      <c r="Q1100" s="8"/>
      <c r="R1100" s="8"/>
      <c r="S1100" s="1"/>
      <c r="T1100" s="8"/>
      <c r="U1100" s="8"/>
      <c r="V1100" s="56"/>
      <c r="W1100" s="1"/>
      <c r="X1100" s="1"/>
      <c r="Y1100" s="8"/>
      <c r="Z1100" s="8"/>
      <c r="AA1100" s="8"/>
      <c r="AB1100" s="8"/>
      <c r="AC1100" s="8"/>
      <c r="AD1100" s="8"/>
      <c r="AE1100" s="8"/>
      <c r="AF1100" s="8"/>
      <c r="AG1100" s="8"/>
      <c r="AH1100" s="8"/>
      <c r="AI1100" s="8"/>
    </row>
    <row r="1101" spans="1:35">
      <c r="A1101" s="1"/>
      <c r="B1101" s="8"/>
      <c r="C1101" s="8"/>
      <c r="D1101" s="8"/>
      <c r="E1101" s="8"/>
      <c r="F1101" s="8"/>
      <c r="G1101" s="8"/>
      <c r="H1101" s="8"/>
      <c r="I1101" s="8"/>
      <c r="J1101" s="8"/>
      <c r="K1101" s="8"/>
      <c r="L1101" s="26"/>
      <c r="M1101" s="26"/>
      <c r="N1101" s="26"/>
      <c r="O1101" s="55"/>
      <c r="P1101" s="1"/>
      <c r="Q1101" s="8"/>
      <c r="R1101" s="8"/>
      <c r="S1101" s="1"/>
      <c r="T1101" s="8"/>
      <c r="U1101" s="8"/>
      <c r="V1101" s="56"/>
      <c r="W1101" s="1"/>
      <c r="X1101" s="1"/>
      <c r="Y1101" s="8"/>
      <c r="Z1101" s="8"/>
      <c r="AA1101" s="8"/>
      <c r="AB1101" s="8"/>
      <c r="AC1101" s="8"/>
      <c r="AD1101" s="8"/>
      <c r="AE1101" s="8"/>
      <c r="AF1101" s="8"/>
      <c r="AG1101" s="8"/>
      <c r="AH1101" s="8"/>
      <c r="AI1101" s="8"/>
    </row>
    <row r="1102" spans="1:35">
      <c r="A1102" s="1"/>
      <c r="B1102" s="8"/>
      <c r="C1102" s="8"/>
      <c r="D1102" s="8"/>
      <c r="E1102" s="8"/>
      <c r="F1102" s="8"/>
      <c r="G1102" s="8"/>
      <c r="H1102" s="8"/>
      <c r="I1102" s="8"/>
      <c r="J1102" s="8"/>
      <c r="K1102" s="8"/>
      <c r="L1102" s="26"/>
      <c r="M1102" s="26"/>
      <c r="N1102" s="26"/>
      <c r="O1102" s="55"/>
      <c r="P1102" s="1"/>
      <c r="Q1102" s="8"/>
      <c r="R1102" s="8"/>
      <c r="S1102" s="1"/>
      <c r="T1102" s="8"/>
      <c r="U1102" s="8"/>
      <c r="V1102" s="56"/>
      <c r="W1102" s="1"/>
      <c r="X1102" s="1"/>
      <c r="Y1102" s="8"/>
      <c r="Z1102" s="8"/>
      <c r="AA1102" s="8"/>
      <c r="AB1102" s="8"/>
      <c r="AC1102" s="8"/>
      <c r="AD1102" s="8"/>
      <c r="AE1102" s="8"/>
      <c r="AF1102" s="8"/>
      <c r="AG1102" s="8"/>
      <c r="AH1102" s="8"/>
      <c r="AI1102" s="8"/>
    </row>
    <row r="1103" spans="1:35">
      <c r="A1103" s="1"/>
      <c r="B1103" s="8"/>
      <c r="C1103" s="8"/>
      <c r="D1103" s="8"/>
      <c r="E1103" s="8"/>
      <c r="F1103" s="8"/>
      <c r="G1103" s="8"/>
      <c r="H1103" s="8"/>
      <c r="I1103" s="8"/>
      <c r="J1103" s="8"/>
      <c r="K1103" s="8"/>
      <c r="L1103" s="26"/>
      <c r="M1103" s="26"/>
      <c r="N1103" s="26"/>
      <c r="O1103" s="55"/>
      <c r="P1103" s="1"/>
      <c r="Q1103" s="8"/>
      <c r="R1103" s="8"/>
      <c r="S1103" s="1"/>
      <c r="T1103" s="8"/>
      <c r="U1103" s="8"/>
      <c r="V1103" s="56"/>
      <c r="W1103" s="1"/>
      <c r="X1103" s="1"/>
      <c r="Y1103" s="8"/>
      <c r="Z1103" s="8"/>
      <c r="AA1103" s="8"/>
      <c r="AB1103" s="8"/>
      <c r="AC1103" s="8"/>
      <c r="AD1103" s="8"/>
      <c r="AE1103" s="8"/>
      <c r="AF1103" s="8"/>
      <c r="AG1103" s="8"/>
      <c r="AH1103" s="8"/>
      <c r="AI1103" s="8"/>
    </row>
    <row r="1104" spans="1:35">
      <c r="A1104" s="1"/>
      <c r="B1104" s="8"/>
      <c r="C1104" s="8"/>
      <c r="D1104" s="8"/>
      <c r="E1104" s="8"/>
      <c r="F1104" s="8"/>
      <c r="G1104" s="8"/>
      <c r="H1104" s="8"/>
      <c r="I1104" s="8"/>
      <c r="J1104" s="8"/>
      <c r="K1104" s="8"/>
      <c r="L1104" s="26"/>
      <c r="M1104" s="26"/>
      <c r="N1104" s="26"/>
      <c r="O1104" s="55"/>
      <c r="P1104" s="1"/>
      <c r="Q1104" s="8"/>
      <c r="R1104" s="8"/>
      <c r="S1104" s="1"/>
      <c r="T1104" s="8"/>
      <c r="U1104" s="8"/>
      <c r="V1104" s="56"/>
      <c r="W1104" s="1"/>
      <c r="X1104" s="1"/>
      <c r="Y1104" s="8"/>
      <c r="Z1104" s="8"/>
      <c r="AA1104" s="8"/>
      <c r="AB1104" s="8"/>
      <c r="AC1104" s="8"/>
      <c r="AD1104" s="8"/>
      <c r="AE1104" s="8"/>
      <c r="AF1104" s="8"/>
      <c r="AG1104" s="8"/>
      <c r="AH1104" s="8"/>
      <c r="AI1104" s="8"/>
    </row>
    <row r="1105" spans="1:35">
      <c r="A1105" s="1"/>
      <c r="B1105" s="8"/>
      <c r="C1105" s="8"/>
      <c r="D1105" s="8"/>
      <c r="E1105" s="8"/>
      <c r="F1105" s="8"/>
      <c r="G1105" s="8"/>
      <c r="H1105" s="8"/>
      <c r="I1105" s="8"/>
      <c r="J1105" s="8"/>
      <c r="K1105" s="8"/>
      <c r="L1105" s="26"/>
      <c r="M1105" s="26"/>
      <c r="N1105" s="26"/>
      <c r="O1105" s="55"/>
      <c r="P1105" s="1"/>
      <c r="Q1105" s="8"/>
      <c r="R1105" s="8"/>
      <c r="S1105" s="1"/>
      <c r="T1105" s="8"/>
      <c r="U1105" s="8"/>
      <c r="V1105" s="56"/>
      <c r="W1105" s="1"/>
      <c r="X1105" s="1"/>
      <c r="Y1105" s="8"/>
      <c r="Z1105" s="8"/>
      <c r="AA1105" s="8"/>
      <c r="AB1105" s="8"/>
      <c r="AC1105" s="8"/>
      <c r="AD1105" s="8"/>
      <c r="AE1105" s="8"/>
      <c r="AF1105" s="8"/>
      <c r="AG1105" s="8"/>
      <c r="AH1105" s="8"/>
      <c r="AI1105" s="8"/>
    </row>
    <row r="1106" spans="1:35">
      <c r="A1106" s="1"/>
      <c r="B1106" s="8"/>
      <c r="C1106" s="8"/>
      <c r="D1106" s="8"/>
      <c r="E1106" s="8"/>
      <c r="F1106" s="8"/>
      <c r="G1106" s="8"/>
      <c r="H1106" s="8"/>
      <c r="I1106" s="8"/>
      <c r="J1106" s="8"/>
      <c r="K1106" s="8"/>
      <c r="L1106" s="26"/>
      <c r="M1106" s="26"/>
      <c r="N1106" s="26"/>
      <c r="O1106" s="55"/>
      <c r="P1106" s="1"/>
      <c r="Q1106" s="8"/>
      <c r="R1106" s="8"/>
      <c r="S1106" s="1"/>
      <c r="T1106" s="8"/>
      <c r="U1106" s="8"/>
      <c r="V1106" s="56"/>
      <c r="W1106" s="1"/>
      <c r="X1106" s="1"/>
      <c r="Y1106" s="8"/>
      <c r="Z1106" s="8"/>
      <c r="AA1106" s="8"/>
      <c r="AB1106" s="8"/>
      <c r="AC1106" s="8"/>
      <c r="AD1106" s="8"/>
      <c r="AE1106" s="8"/>
      <c r="AF1106" s="8"/>
      <c r="AG1106" s="8"/>
      <c r="AH1106" s="8"/>
      <c r="AI1106" s="8"/>
    </row>
    <row r="1107" spans="1:35">
      <c r="A1107" s="1"/>
      <c r="B1107" s="8"/>
      <c r="C1107" s="8"/>
      <c r="D1107" s="8"/>
      <c r="E1107" s="8"/>
      <c r="F1107" s="8"/>
      <c r="G1107" s="8"/>
      <c r="H1107" s="8"/>
      <c r="I1107" s="8"/>
      <c r="J1107" s="8"/>
      <c r="K1107" s="8"/>
      <c r="L1107" s="26"/>
      <c r="M1107" s="26"/>
      <c r="N1107" s="26"/>
      <c r="O1107" s="55"/>
      <c r="P1107" s="1"/>
      <c r="Q1107" s="8"/>
      <c r="R1107" s="8"/>
      <c r="S1107" s="1"/>
      <c r="T1107" s="8"/>
      <c r="U1107" s="8"/>
      <c r="V1107" s="56"/>
      <c r="W1107" s="1"/>
      <c r="X1107" s="1"/>
      <c r="Y1107" s="8"/>
      <c r="Z1107" s="8"/>
      <c r="AA1107" s="8"/>
      <c r="AB1107" s="8"/>
      <c r="AC1107" s="8"/>
      <c r="AD1107" s="8"/>
      <c r="AE1107" s="8"/>
      <c r="AF1107" s="8"/>
      <c r="AG1107" s="8"/>
      <c r="AH1107" s="8"/>
      <c r="AI1107" s="8"/>
    </row>
    <row r="1108" spans="1:35">
      <c r="A1108" s="1"/>
      <c r="B1108" s="8"/>
      <c r="C1108" s="8"/>
      <c r="D1108" s="8"/>
      <c r="E1108" s="8"/>
      <c r="F1108" s="8"/>
      <c r="G1108" s="8"/>
      <c r="H1108" s="8"/>
      <c r="I1108" s="8"/>
      <c r="J1108" s="8"/>
      <c r="K1108" s="8"/>
      <c r="L1108" s="26"/>
      <c r="M1108" s="26"/>
      <c r="N1108" s="26"/>
      <c r="O1108" s="55"/>
      <c r="P1108" s="1"/>
      <c r="Q1108" s="8"/>
      <c r="R1108" s="8"/>
      <c r="S1108" s="1"/>
      <c r="T1108" s="8"/>
      <c r="U1108" s="8"/>
      <c r="V1108" s="56"/>
      <c r="W1108" s="1"/>
      <c r="X1108" s="1"/>
      <c r="Y1108" s="8"/>
      <c r="Z1108" s="8"/>
      <c r="AA1108" s="8"/>
      <c r="AB1108" s="8"/>
      <c r="AC1108" s="8"/>
      <c r="AD1108" s="8"/>
      <c r="AE1108" s="8"/>
      <c r="AF1108" s="8"/>
      <c r="AG1108" s="8"/>
      <c r="AH1108" s="8"/>
      <c r="AI1108" s="8"/>
    </row>
    <row r="1109" spans="1:35">
      <c r="A1109" s="1"/>
      <c r="B1109" s="8"/>
      <c r="C1109" s="8"/>
      <c r="D1109" s="8"/>
      <c r="E1109" s="8"/>
      <c r="F1109" s="8"/>
      <c r="G1109" s="8"/>
      <c r="H1109" s="8"/>
      <c r="I1109" s="8"/>
      <c r="J1109" s="8"/>
      <c r="K1109" s="8"/>
      <c r="L1109" s="26"/>
      <c r="M1109" s="26"/>
      <c r="N1109" s="26"/>
      <c r="O1109" s="55"/>
      <c r="P1109" s="1"/>
      <c r="Q1109" s="8"/>
      <c r="R1109" s="8"/>
      <c r="S1109" s="1"/>
      <c r="T1109" s="8"/>
      <c r="U1109" s="8"/>
      <c r="V1109" s="56"/>
      <c r="W1109" s="1"/>
      <c r="X1109" s="1"/>
      <c r="Y1109" s="8"/>
      <c r="Z1109" s="8"/>
      <c r="AA1109" s="8"/>
      <c r="AB1109" s="8"/>
      <c r="AC1109" s="8"/>
      <c r="AD1109" s="8"/>
      <c r="AE1109" s="8"/>
      <c r="AF1109" s="8"/>
      <c r="AG1109" s="8"/>
      <c r="AH1109" s="8"/>
      <c r="AI1109" s="8"/>
    </row>
    <row r="1110" spans="1:35">
      <c r="A1110" s="1"/>
      <c r="B1110" s="8"/>
      <c r="C1110" s="8"/>
      <c r="D1110" s="8"/>
      <c r="E1110" s="8"/>
      <c r="F1110" s="8"/>
      <c r="G1110" s="8"/>
      <c r="H1110" s="8"/>
      <c r="I1110" s="8"/>
      <c r="J1110" s="8"/>
      <c r="K1110" s="8"/>
      <c r="L1110" s="26"/>
      <c r="M1110" s="26"/>
      <c r="N1110" s="26"/>
      <c r="O1110" s="55"/>
      <c r="P1110" s="1"/>
      <c r="Q1110" s="8"/>
      <c r="R1110" s="8"/>
      <c r="S1110" s="1"/>
      <c r="T1110" s="8"/>
      <c r="U1110" s="8"/>
      <c r="V1110" s="56"/>
      <c r="W1110" s="1"/>
      <c r="X1110" s="1"/>
      <c r="Y1110" s="8"/>
      <c r="Z1110" s="8"/>
      <c r="AA1110" s="8"/>
      <c r="AB1110" s="8"/>
      <c r="AC1110" s="8"/>
      <c r="AD1110" s="8"/>
      <c r="AE1110" s="8"/>
      <c r="AF1110" s="8"/>
      <c r="AG1110" s="8"/>
      <c r="AH1110" s="8"/>
      <c r="AI1110" s="8"/>
    </row>
    <row r="1111" spans="1:35">
      <c r="A1111" s="1"/>
      <c r="B1111" s="8"/>
      <c r="C1111" s="8"/>
      <c r="D1111" s="8"/>
      <c r="E1111" s="8"/>
      <c r="F1111" s="8"/>
      <c r="G1111" s="8"/>
      <c r="H1111" s="8"/>
      <c r="I1111" s="8"/>
      <c r="J1111" s="8"/>
      <c r="K1111" s="8"/>
      <c r="L1111" s="26"/>
      <c r="M1111" s="26"/>
      <c r="N1111" s="26"/>
      <c r="O1111" s="55"/>
      <c r="P1111" s="1"/>
      <c r="Q1111" s="8"/>
      <c r="R1111" s="8"/>
      <c r="S1111" s="1"/>
      <c r="T1111" s="8"/>
      <c r="U1111" s="8"/>
      <c r="V1111" s="56"/>
      <c r="W1111" s="1"/>
      <c r="X1111" s="1"/>
      <c r="Y1111" s="8"/>
      <c r="Z1111" s="8"/>
      <c r="AA1111" s="8"/>
      <c r="AB1111" s="8"/>
      <c r="AC1111" s="8"/>
      <c r="AD1111" s="8"/>
      <c r="AE1111" s="8"/>
      <c r="AF1111" s="8"/>
      <c r="AG1111" s="8"/>
      <c r="AH1111" s="8"/>
      <c r="AI1111" s="8"/>
    </row>
    <row r="1112" spans="1:35">
      <c r="A1112" s="1"/>
      <c r="B1112" s="8"/>
      <c r="C1112" s="8"/>
      <c r="D1112" s="8"/>
      <c r="E1112" s="8"/>
      <c r="F1112" s="8"/>
      <c r="G1112" s="8"/>
      <c r="H1112" s="8"/>
      <c r="I1112" s="8"/>
      <c r="J1112" s="8"/>
      <c r="K1112" s="8"/>
      <c r="L1112" s="26"/>
      <c r="M1112" s="26"/>
      <c r="N1112" s="26"/>
      <c r="O1112" s="55"/>
      <c r="P1112" s="1"/>
      <c r="Q1112" s="8"/>
      <c r="R1112" s="8"/>
      <c r="S1112" s="1"/>
      <c r="T1112" s="8"/>
      <c r="U1112" s="8"/>
      <c r="V1112" s="56"/>
      <c r="W1112" s="1"/>
      <c r="X1112" s="1"/>
      <c r="Y1112" s="8"/>
      <c r="Z1112" s="8"/>
      <c r="AA1112" s="8"/>
      <c r="AB1112" s="8"/>
      <c r="AC1112" s="8"/>
      <c r="AD1112" s="8"/>
      <c r="AE1112" s="8"/>
      <c r="AF1112" s="8"/>
      <c r="AG1112" s="8"/>
      <c r="AH1112" s="8"/>
      <c r="AI1112" s="8"/>
    </row>
    <row r="1113" spans="1:35">
      <c r="A1113" s="1"/>
      <c r="B1113" s="8"/>
      <c r="C1113" s="8"/>
      <c r="D1113" s="8"/>
      <c r="E1113" s="8"/>
      <c r="F1113" s="8"/>
      <c r="G1113" s="8"/>
      <c r="H1113" s="8"/>
      <c r="I1113" s="8"/>
      <c r="J1113" s="8"/>
      <c r="K1113" s="8"/>
      <c r="L1113" s="26"/>
      <c r="M1113" s="26"/>
      <c r="N1113" s="26"/>
      <c r="O1113" s="55"/>
      <c r="P1113" s="1"/>
      <c r="Q1113" s="8"/>
      <c r="R1113" s="8"/>
      <c r="S1113" s="1"/>
      <c r="T1113" s="8"/>
      <c r="U1113" s="8"/>
      <c r="V1113" s="56"/>
      <c r="W1113" s="1"/>
      <c r="X1113" s="1"/>
      <c r="Y1113" s="8"/>
      <c r="Z1113" s="8"/>
      <c r="AA1113" s="8"/>
      <c r="AB1113" s="8"/>
      <c r="AC1113" s="8"/>
      <c r="AD1113" s="8"/>
      <c r="AE1113" s="8"/>
      <c r="AF1113" s="8"/>
      <c r="AG1113" s="8"/>
      <c r="AH1113" s="8"/>
      <c r="AI1113" s="8"/>
    </row>
    <row r="1114" spans="1:35">
      <c r="A1114" s="1"/>
      <c r="B1114" s="8"/>
      <c r="C1114" s="8"/>
      <c r="D1114" s="8"/>
      <c r="E1114" s="8"/>
      <c r="F1114" s="8"/>
      <c r="G1114" s="8"/>
      <c r="H1114" s="8"/>
      <c r="I1114" s="8"/>
      <c r="J1114" s="8"/>
      <c r="K1114" s="8"/>
      <c r="L1114" s="26"/>
      <c r="M1114" s="26"/>
      <c r="N1114" s="26"/>
      <c r="O1114" s="55"/>
      <c r="P1114" s="1"/>
      <c r="Q1114" s="8"/>
      <c r="R1114" s="8"/>
      <c r="S1114" s="1"/>
      <c r="T1114" s="8"/>
      <c r="U1114" s="8"/>
      <c r="V1114" s="56"/>
      <c r="W1114" s="1"/>
      <c r="X1114" s="1"/>
      <c r="Y1114" s="8"/>
      <c r="Z1114" s="8"/>
      <c r="AA1114" s="8"/>
      <c r="AB1114" s="8"/>
      <c r="AC1114" s="8"/>
      <c r="AD1114" s="8"/>
      <c r="AE1114" s="8"/>
      <c r="AF1114" s="8"/>
      <c r="AG1114" s="8"/>
      <c r="AH1114" s="8"/>
      <c r="AI1114" s="8"/>
    </row>
    <row r="1115" spans="1:35">
      <c r="A1115" s="1"/>
      <c r="B1115" s="8"/>
      <c r="C1115" s="8"/>
      <c r="D1115" s="8"/>
      <c r="E1115" s="8"/>
      <c r="F1115" s="8"/>
      <c r="G1115" s="8"/>
      <c r="H1115" s="8"/>
      <c r="I1115" s="8"/>
      <c r="J1115" s="8"/>
      <c r="K1115" s="8"/>
      <c r="L1115" s="26"/>
      <c r="M1115" s="26"/>
      <c r="N1115" s="26"/>
      <c r="O1115" s="55"/>
      <c r="P1115" s="1"/>
      <c r="Q1115" s="8"/>
      <c r="R1115" s="8"/>
      <c r="S1115" s="1"/>
      <c r="T1115" s="8"/>
      <c r="U1115" s="8"/>
      <c r="V1115" s="56"/>
      <c r="W1115" s="1"/>
      <c r="X1115" s="1"/>
      <c r="Y1115" s="8"/>
      <c r="Z1115" s="8"/>
      <c r="AA1115" s="8"/>
      <c r="AB1115" s="8"/>
      <c r="AC1115" s="8"/>
      <c r="AD1115" s="8"/>
      <c r="AE1115" s="8"/>
      <c r="AF1115" s="8"/>
      <c r="AG1115" s="8"/>
      <c r="AH1115" s="8"/>
      <c r="AI1115" s="8"/>
    </row>
    <row r="1116" spans="1:35">
      <c r="A1116" s="1"/>
      <c r="B1116" s="8"/>
      <c r="C1116" s="8"/>
      <c r="D1116" s="8"/>
      <c r="E1116" s="8"/>
      <c r="F1116" s="8"/>
      <c r="G1116" s="8"/>
      <c r="H1116" s="8"/>
      <c r="I1116" s="8"/>
      <c r="J1116" s="8"/>
      <c r="K1116" s="8"/>
      <c r="L1116" s="26"/>
      <c r="M1116" s="26"/>
      <c r="N1116" s="26"/>
      <c r="O1116" s="55"/>
      <c r="P1116" s="1"/>
      <c r="Q1116" s="8"/>
      <c r="R1116" s="8"/>
      <c r="S1116" s="1"/>
      <c r="T1116" s="8"/>
      <c r="U1116" s="8"/>
      <c r="V1116" s="56"/>
      <c r="W1116" s="1"/>
      <c r="X1116" s="1"/>
      <c r="Y1116" s="8"/>
      <c r="Z1116" s="8"/>
      <c r="AA1116" s="8"/>
      <c r="AB1116" s="8"/>
      <c r="AC1116" s="8"/>
      <c r="AD1116" s="8"/>
      <c r="AE1116" s="8"/>
      <c r="AF1116" s="8"/>
      <c r="AG1116" s="8"/>
      <c r="AH1116" s="8"/>
      <c r="AI1116" s="8"/>
    </row>
    <row r="1117" spans="1:35">
      <c r="A1117" s="1"/>
      <c r="B1117" s="8"/>
      <c r="C1117" s="8"/>
      <c r="D1117" s="8"/>
      <c r="E1117" s="8"/>
      <c r="F1117" s="8"/>
      <c r="G1117" s="8"/>
      <c r="H1117" s="8"/>
      <c r="I1117" s="8"/>
      <c r="J1117" s="8"/>
      <c r="K1117" s="8"/>
      <c r="L1117" s="26"/>
      <c r="M1117" s="26"/>
      <c r="N1117" s="26"/>
      <c r="O1117" s="55"/>
      <c r="P1117" s="1"/>
      <c r="Q1117" s="8"/>
      <c r="R1117" s="8"/>
      <c r="S1117" s="1"/>
      <c r="T1117" s="8"/>
      <c r="U1117" s="8"/>
      <c r="V1117" s="56"/>
      <c r="W1117" s="1"/>
      <c r="X1117" s="1"/>
      <c r="Y1117" s="8"/>
      <c r="Z1117" s="8"/>
      <c r="AA1117" s="8"/>
      <c r="AB1117" s="8"/>
      <c r="AC1117" s="8"/>
      <c r="AD1117" s="8"/>
      <c r="AE1117" s="8"/>
      <c r="AF1117" s="8"/>
      <c r="AG1117" s="8"/>
      <c r="AH1117" s="8"/>
      <c r="AI1117" s="8"/>
    </row>
    <row r="1118" spans="1:35">
      <c r="A1118" s="1"/>
      <c r="B1118" s="8"/>
      <c r="C1118" s="8"/>
      <c r="D1118" s="8"/>
      <c r="E1118" s="8"/>
      <c r="F1118" s="8"/>
      <c r="G1118" s="8"/>
      <c r="H1118" s="8"/>
      <c r="I1118" s="8"/>
      <c r="J1118" s="8"/>
      <c r="K1118" s="8"/>
      <c r="L1118" s="26"/>
      <c r="M1118" s="26"/>
      <c r="N1118" s="26"/>
      <c r="O1118" s="55"/>
      <c r="P1118" s="1"/>
      <c r="Q1118" s="8"/>
      <c r="R1118" s="8"/>
      <c r="S1118" s="1"/>
      <c r="T1118" s="8"/>
      <c r="U1118" s="8"/>
      <c r="V1118" s="56"/>
      <c r="W1118" s="1"/>
      <c r="X1118" s="1"/>
      <c r="Y1118" s="8"/>
      <c r="Z1118" s="8"/>
      <c r="AA1118" s="8"/>
      <c r="AB1118" s="8"/>
      <c r="AC1118" s="8"/>
      <c r="AD1118" s="8"/>
      <c r="AE1118" s="8"/>
      <c r="AF1118" s="8"/>
      <c r="AG1118" s="8"/>
      <c r="AH1118" s="8"/>
      <c r="AI1118" s="8"/>
    </row>
    <row r="1119" spans="1:35">
      <c r="A1119" s="1"/>
      <c r="B1119" s="8"/>
      <c r="C1119" s="8"/>
      <c r="D1119" s="8"/>
      <c r="E1119" s="8"/>
      <c r="F1119" s="8"/>
      <c r="G1119" s="8"/>
      <c r="H1119" s="8"/>
      <c r="I1119" s="8"/>
      <c r="J1119" s="8"/>
      <c r="K1119" s="8"/>
      <c r="L1119" s="26"/>
      <c r="M1119" s="26"/>
      <c r="N1119" s="26"/>
      <c r="O1119" s="55"/>
      <c r="P1119" s="1"/>
      <c r="Q1119" s="8"/>
      <c r="R1119" s="8"/>
      <c r="S1119" s="1"/>
      <c r="T1119" s="8"/>
      <c r="U1119" s="8"/>
      <c r="V1119" s="56"/>
      <c r="W1119" s="1"/>
      <c r="X1119" s="1"/>
      <c r="Y1119" s="8"/>
      <c r="Z1119" s="8"/>
      <c r="AA1119" s="8"/>
      <c r="AB1119" s="8"/>
      <c r="AC1119" s="8"/>
      <c r="AD1119" s="8"/>
      <c r="AE1119" s="8"/>
      <c r="AF1119" s="8"/>
      <c r="AG1119" s="8"/>
      <c r="AH1119" s="8"/>
      <c r="AI1119" s="8"/>
    </row>
    <row r="1120" spans="1:35">
      <c r="A1120" s="1"/>
      <c r="B1120" s="8"/>
      <c r="C1120" s="8"/>
      <c r="D1120" s="8"/>
      <c r="E1120" s="8"/>
      <c r="F1120" s="8"/>
      <c r="G1120" s="8"/>
      <c r="H1120" s="8"/>
      <c r="I1120" s="8"/>
      <c r="J1120" s="8"/>
      <c r="K1120" s="8"/>
      <c r="L1120" s="26"/>
      <c r="M1120" s="26"/>
      <c r="N1120" s="26"/>
      <c r="O1120" s="55"/>
      <c r="P1120" s="1"/>
      <c r="Q1120" s="8"/>
      <c r="R1120" s="8"/>
      <c r="S1120" s="1"/>
      <c r="T1120" s="8"/>
      <c r="U1120" s="8"/>
      <c r="V1120" s="56"/>
      <c r="W1120" s="1"/>
      <c r="X1120" s="1"/>
      <c r="Y1120" s="8"/>
      <c r="Z1120" s="8"/>
      <c r="AA1120" s="8"/>
      <c r="AB1120" s="8"/>
      <c r="AC1120" s="8"/>
      <c r="AD1120" s="8"/>
      <c r="AE1120" s="8"/>
      <c r="AF1120" s="8"/>
      <c r="AG1120" s="8"/>
      <c r="AH1120" s="8"/>
      <c r="AI1120" s="8"/>
    </row>
    <row r="1121" spans="1:35">
      <c r="A1121" s="1"/>
      <c r="B1121" s="8"/>
      <c r="C1121" s="8"/>
      <c r="D1121" s="8"/>
      <c r="E1121" s="8"/>
      <c r="F1121" s="8"/>
      <c r="G1121" s="8"/>
      <c r="H1121" s="8"/>
      <c r="I1121" s="8"/>
      <c r="J1121" s="8"/>
      <c r="K1121" s="8"/>
      <c r="L1121" s="26"/>
      <c r="M1121" s="26"/>
      <c r="N1121" s="26"/>
      <c r="O1121" s="55"/>
      <c r="P1121" s="1"/>
      <c r="Q1121" s="8"/>
      <c r="R1121" s="8"/>
      <c r="S1121" s="1"/>
      <c r="T1121" s="8"/>
      <c r="U1121" s="8"/>
      <c r="V1121" s="56"/>
      <c r="W1121" s="1"/>
      <c r="X1121" s="1"/>
      <c r="Y1121" s="8"/>
      <c r="Z1121" s="8"/>
      <c r="AA1121" s="8"/>
      <c r="AB1121" s="8"/>
      <c r="AC1121" s="8"/>
      <c r="AD1121" s="8"/>
      <c r="AE1121" s="8"/>
      <c r="AF1121" s="8"/>
      <c r="AG1121" s="8"/>
      <c r="AH1121" s="8"/>
      <c r="AI1121" s="8"/>
    </row>
    <row r="1122" spans="1:35">
      <c r="A1122" s="1"/>
      <c r="B1122" s="8"/>
      <c r="C1122" s="8"/>
      <c r="D1122" s="8"/>
      <c r="E1122" s="8"/>
      <c r="F1122" s="8"/>
      <c r="G1122" s="8"/>
      <c r="H1122" s="8"/>
      <c r="I1122" s="8"/>
      <c r="J1122" s="8"/>
      <c r="K1122" s="8"/>
      <c r="L1122" s="26"/>
      <c r="M1122" s="26"/>
      <c r="N1122" s="26"/>
      <c r="O1122" s="55"/>
      <c r="P1122" s="1"/>
      <c r="Q1122" s="8"/>
      <c r="R1122" s="8"/>
      <c r="S1122" s="1"/>
      <c r="T1122" s="8"/>
      <c r="U1122" s="8"/>
      <c r="V1122" s="56"/>
      <c r="W1122" s="1"/>
      <c r="X1122" s="1"/>
      <c r="Y1122" s="8"/>
      <c r="Z1122" s="8"/>
      <c r="AA1122" s="8"/>
      <c r="AB1122" s="8"/>
      <c r="AC1122" s="8"/>
      <c r="AD1122" s="8"/>
      <c r="AE1122" s="8"/>
      <c r="AF1122" s="8"/>
      <c r="AG1122" s="8"/>
      <c r="AH1122" s="8"/>
      <c r="AI1122" s="8"/>
    </row>
    <row r="1123" spans="1:35">
      <c r="A1123" s="1"/>
      <c r="B1123" s="8"/>
      <c r="C1123" s="8"/>
      <c r="D1123" s="8"/>
      <c r="E1123" s="8"/>
      <c r="F1123" s="8"/>
      <c r="G1123" s="8"/>
      <c r="H1123" s="8"/>
      <c r="I1123" s="8"/>
      <c r="J1123" s="8"/>
      <c r="K1123" s="8"/>
      <c r="L1123" s="26"/>
      <c r="M1123" s="26"/>
      <c r="N1123" s="26"/>
      <c r="O1123" s="55"/>
      <c r="P1123" s="1"/>
      <c r="Q1123" s="8"/>
      <c r="R1123" s="8"/>
      <c r="S1123" s="1"/>
      <c r="T1123" s="8"/>
      <c r="U1123" s="8"/>
      <c r="V1123" s="56"/>
      <c r="W1123" s="1"/>
      <c r="X1123" s="1"/>
      <c r="Y1123" s="8"/>
      <c r="Z1123" s="8"/>
      <c r="AA1123" s="8"/>
      <c r="AB1123" s="8"/>
      <c r="AC1123" s="8"/>
      <c r="AD1123" s="8"/>
      <c r="AE1123" s="8"/>
      <c r="AF1123" s="8"/>
      <c r="AG1123" s="8"/>
      <c r="AH1123" s="8"/>
      <c r="AI1123" s="8"/>
    </row>
    <row r="1124" spans="1:35">
      <c r="A1124" s="1"/>
      <c r="B1124" s="8"/>
      <c r="C1124" s="8"/>
      <c r="D1124" s="8"/>
      <c r="E1124" s="8"/>
      <c r="F1124" s="8"/>
      <c r="G1124" s="8"/>
      <c r="H1124" s="8"/>
      <c r="I1124" s="8"/>
      <c r="J1124" s="8"/>
      <c r="K1124" s="8"/>
      <c r="L1124" s="26"/>
      <c r="M1124" s="26"/>
      <c r="N1124" s="26"/>
      <c r="O1124" s="55"/>
      <c r="P1124" s="1"/>
      <c r="Q1124" s="8"/>
      <c r="R1124" s="8"/>
      <c r="S1124" s="1"/>
      <c r="T1124" s="8"/>
      <c r="U1124" s="8"/>
      <c r="V1124" s="56"/>
      <c r="W1124" s="1"/>
      <c r="X1124" s="1"/>
      <c r="Y1124" s="8"/>
      <c r="Z1124" s="8"/>
      <c r="AA1124" s="8"/>
      <c r="AB1124" s="8"/>
      <c r="AC1124" s="8"/>
      <c r="AD1124" s="8"/>
      <c r="AE1124" s="8"/>
      <c r="AF1124" s="8"/>
      <c r="AG1124" s="8"/>
      <c r="AH1124" s="8"/>
      <c r="AI1124" s="8"/>
    </row>
    <row r="1125" spans="1:35">
      <c r="A1125" s="1"/>
      <c r="B1125" s="8"/>
      <c r="C1125" s="8"/>
      <c r="D1125" s="8"/>
      <c r="E1125" s="8"/>
      <c r="F1125" s="8"/>
      <c r="G1125" s="8"/>
      <c r="H1125" s="8"/>
      <c r="I1125" s="8"/>
      <c r="J1125" s="8"/>
      <c r="K1125" s="8"/>
      <c r="L1125" s="26"/>
      <c r="M1125" s="26"/>
      <c r="N1125" s="26"/>
      <c r="O1125" s="55"/>
      <c r="P1125" s="1"/>
      <c r="Q1125" s="8"/>
      <c r="R1125" s="8"/>
      <c r="S1125" s="1"/>
      <c r="T1125" s="8"/>
      <c r="U1125" s="8"/>
      <c r="V1125" s="56"/>
      <c r="W1125" s="1"/>
      <c r="X1125" s="1"/>
      <c r="Y1125" s="8"/>
      <c r="Z1125" s="8"/>
      <c r="AA1125" s="8"/>
      <c r="AB1125" s="8"/>
      <c r="AC1125" s="8"/>
      <c r="AD1125" s="8"/>
      <c r="AE1125" s="8"/>
      <c r="AF1125" s="8"/>
      <c r="AG1125" s="8"/>
      <c r="AH1125" s="8"/>
      <c r="AI1125" s="8"/>
    </row>
    <row r="1126" spans="1:35">
      <c r="A1126" s="1"/>
      <c r="B1126" s="8"/>
      <c r="C1126" s="8"/>
      <c r="D1126" s="8"/>
      <c r="E1126" s="8"/>
      <c r="F1126" s="8"/>
      <c r="G1126" s="8"/>
      <c r="H1126" s="8"/>
      <c r="I1126" s="8"/>
      <c r="J1126" s="8"/>
      <c r="K1126" s="8"/>
      <c r="L1126" s="26"/>
      <c r="M1126" s="26"/>
      <c r="N1126" s="26"/>
      <c r="O1126" s="55"/>
      <c r="P1126" s="1"/>
      <c r="Q1126" s="8"/>
      <c r="R1126" s="8"/>
      <c r="S1126" s="1"/>
      <c r="T1126" s="8"/>
      <c r="U1126" s="8"/>
      <c r="V1126" s="56"/>
      <c r="W1126" s="1"/>
      <c r="X1126" s="1"/>
      <c r="Y1126" s="8"/>
      <c r="Z1126" s="8"/>
      <c r="AA1126" s="8"/>
      <c r="AB1126" s="8"/>
      <c r="AC1126" s="8"/>
      <c r="AD1126" s="8"/>
      <c r="AE1126" s="8"/>
      <c r="AF1126" s="8"/>
      <c r="AG1126" s="8"/>
      <c r="AH1126" s="8"/>
      <c r="AI1126" s="8"/>
    </row>
    <row r="1127" spans="1:35">
      <c r="A1127" s="1"/>
      <c r="B1127" s="8"/>
      <c r="C1127" s="8"/>
      <c r="D1127" s="8"/>
      <c r="E1127" s="8"/>
      <c r="F1127" s="8"/>
      <c r="G1127" s="8"/>
      <c r="H1127" s="8"/>
      <c r="I1127" s="8"/>
      <c r="J1127" s="8"/>
      <c r="K1127" s="8"/>
      <c r="L1127" s="26"/>
      <c r="M1127" s="26"/>
      <c r="N1127" s="26"/>
      <c r="O1127" s="55"/>
      <c r="P1127" s="1"/>
      <c r="Q1127" s="8"/>
      <c r="R1127" s="8"/>
      <c r="S1127" s="1"/>
      <c r="T1127" s="8"/>
      <c r="U1127" s="8"/>
      <c r="V1127" s="56"/>
      <c r="W1127" s="1"/>
      <c r="X1127" s="1"/>
      <c r="Y1127" s="8"/>
      <c r="Z1127" s="8"/>
      <c r="AA1127" s="8"/>
      <c r="AB1127" s="8"/>
      <c r="AC1127" s="8"/>
      <c r="AD1127" s="8"/>
      <c r="AE1127" s="8"/>
      <c r="AF1127" s="8"/>
      <c r="AG1127" s="8"/>
      <c r="AH1127" s="8"/>
      <c r="AI1127" s="8"/>
    </row>
    <row r="1128" spans="1:35">
      <c r="A1128" s="1"/>
      <c r="B1128" s="8"/>
      <c r="C1128" s="8"/>
      <c r="D1128" s="8"/>
      <c r="E1128" s="8"/>
      <c r="F1128" s="8"/>
      <c r="G1128" s="8"/>
      <c r="H1128" s="8"/>
      <c r="I1128" s="8"/>
      <c r="J1128" s="8"/>
      <c r="K1128" s="8"/>
      <c r="L1128" s="26"/>
      <c r="M1128" s="26"/>
      <c r="N1128" s="26"/>
      <c r="O1128" s="55"/>
      <c r="P1128" s="1"/>
      <c r="Q1128" s="8"/>
      <c r="R1128" s="8"/>
      <c r="S1128" s="1"/>
      <c r="T1128" s="8"/>
      <c r="U1128" s="8"/>
      <c r="V1128" s="56"/>
      <c r="W1128" s="1"/>
      <c r="X1128" s="1"/>
      <c r="Y1128" s="8"/>
      <c r="Z1128" s="8"/>
      <c r="AA1128" s="8"/>
      <c r="AB1128" s="8"/>
      <c r="AC1128" s="8"/>
      <c r="AD1128" s="8"/>
      <c r="AE1128" s="8"/>
      <c r="AF1128" s="8"/>
      <c r="AG1128" s="8"/>
      <c r="AH1128" s="8"/>
      <c r="AI1128" s="8"/>
    </row>
    <row r="1129" spans="1:35">
      <c r="A1129" s="1"/>
      <c r="B1129" s="8"/>
      <c r="C1129" s="8"/>
      <c r="D1129" s="8"/>
      <c r="E1129" s="8"/>
      <c r="F1129" s="8"/>
      <c r="G1129" s="8"/>
      <c r="H1129" s="8"/>
      <c r="I1129" s="8"/>
      <c r="J1129" s="8"/>
      <c r="K1129" s="8"/>
      <c r="L1129" s="26"/>
      <c r="M1129" s="26"/>
      <c r="N1129" s="26"/>
      <c r="O1129" s="55"/>
      <c r="P1129" s="1"/>
      <c r="Q1129" s="8"/>
      <c r="R1129" s="8"/>
      <c r="S1129" s="1"/>
      <c r="T1129" s="8"/>
      <c r="U1129" s="8"/>
      <c r="V1129" s="56"/>
      <c r="W1129" s="1"/>
      <c r="X1129" s="1"/>
      <c r="Y1129" s="8"/>
      <c r="Z1129" s="8"/>
      <c r="AA1129" s="8"/>
      <c r="AB1129" s="8"/>
      <c r="AC1129" s="8"/>
      <c r="AD1129" s="8"/>
      <c r="AE1129" s="8"/>
      <c r="AF1129" s="8"/>
      <c r="AG1129" s="8"/>
      <c r="AH1129" s="8"/>
      <c r="AI1129" s="8"/>
    </row>
    <row r="1130" spans="1:35">
      <c r="A1130" s="1"/>
      <c r="B1130" s="8"/>
      <c r="C1130" s="8"/>
      <c r="D1130" s="8"/>
      <c r="E1130" s="8"/>
      <c r="F1130" s="8"/>
      <c r="G1130" s="8"/>
      <c r="H1130" s="8"/>
      <c r="I1130" s="8"/>
      <c r="J1130" s="8"/>
      <c r="K1130" s="8"/>
      <c r="L1130" s="26"/>
      <c r="M1130" s="26"/>
      <c r="N1130" s="26"/>
      <c r="O1130" s="55"/>
      <c r="P1130" s="1"/>
      <c r="Q1130" s="8"/>
      <c r="R1130" s="8"/>
      <c r="S1130" s="1"/>
      <c r="T1130" s="8"/>
      <c r="U1130" s="8"/>
      <c r="V1130" s="56"/>
      <c r="W1130" s="1"/>
      <c r="X1130" s="1"/>
      <c r="Y1130" s="8"/>
      <c r="Z1130" s="8"/>
      <c r="AA1130" s="8"/>
      <c r="AB1130" s="8"/>
      <c r="AC1130" s="8"/>
      <c r="AD1130" s="8"/>
      <c r="AE1130" s="8"/>
      <c r="AF1130" s="8"/>
      <c r="AG1130" s="8"/>
      <c r="AH1130" s="8"/>
      <c r="AI1130" s="8"/>
    </row>
    <row r="1131" spans="1:35">
      <c r="A1131" s="1"/>
      <c r="B1131" s="8"/>
      <c r="C1131" s="8"/>
      <c r="D1131" s="8"/>
      <c r="E1131" s="8"/>
      <c r="F1131" s="8"/>
      <c r="G1131" s="8"/>
      <c r="H1131" s="8"/>
      <c r="I1131" s="8"/>
      <c r="J1131" s="8"/>
      <c r="K1131" s="8"/>
      <c r="L1131" s="26"/>
      <c r="M1131" s="26"/>
      <c r="N1131" s="26"/>
      <c r="O1131" s="55"/>
      <c r="P1131" s="1"/>
      <c r="Q1131" s="8"/>
      <c r="R1131" s="8"/>
      <c r="S1131" s="1"/>
      <c r="T1131" s="8"/>
      <c r="U1131" s="8"/>
      <c r="V1131" s="56"/>
      <c r="W1131" s="1"/>
      <c r="X1131" s="1"/>
      <c r="Y1131" s="8"/>
      <c r="Z1131" s="8"/>
      <c r="AA1131" s="8"/>
      <c r="AB1131" s="8"/>
      <c r="AC1131" s="8"/>
      <c r="AD1131" s="8"/>
      <c r="AE1131" s="8"/>
      <c r="AF1131" s="8"/>
      <c r="AG1131" s="8"/>
      <c r="AH1131" s="8"/>
      <c r="AI1131" s="8"/>
    </row>
    <row r="1132" spans="1:35">
      <c r="A1132" s="1"/>
      <c r="B1132" s="8"/>
      <c r="C1132" s="8"/>
      <c r="D1132" s="8"/>
      <c r="E1132" s="8"/>
      <c r="F1132" s="8"/>
      <c r="G1132" s="8"/>
      <c r="H1132" s="8"/>
      <c r="I1132" s="8"/>
      <c r="J1132" s="8"/>
      <c r="K1132" s="8"/>
      <c r="L1132" s="26"/>
      <c r="M1132" s="26"/>
      <c r="N1132" s="26"/>
      <c r="O1132" s="55"/>
      <c r="P1132" s="1"/>
      <c r="Q1132" s="8"/>
      <c r="R1132" s="8"/>
      <c r="S1132" s="1"/>
      <c r="T1132" s="8"/>
      <c r="U1132" s="8"/>
      <c r="V1132" s="56"/>
      <c r="W1132" s="1"/>
      <c r="X1132" s="1"/>
      <c r="Y1132" s="8"/>
      <c r="Z1132" s="8"/>
      <c r="AA1132" s="8"/>
      <c r="AB1132" s="8"/>
      <c r="AC1132" s="8"/>
      <c r="AD1132" s="8"/>
      <c r="AE1132" s="8"/>
      <c r="AF1132" s="8"/>
      <c r="AG1132" s="8"/>
      <c r="AH1132" s="8"/>
      <c r="AI1132" s="8"/>
    </row>
    <row r="1133" spans="1:35">
      <c r="A1133" s="1"/>
      <c r="B1133" s="8"/>
      <c r="C1133" s="8"/>
      <c r="D1133" s="8"/>
      <c r="E1133" s="8"/>
      <c r="F1133" s="8"/>
      <c r="G1133" s="8"/>
      <c r="H1133" s="8"/>
      <c r="I1133" s="8"/>
      <c r="J1133" s="8"/>
      <c r="K1133" s="8"/>
      <c r="L1133" s="26"/>
      <c r="M1133" s="26"/>
      <c r="N1133" s="26"/>
      <c r="O1133" s="55"/>
      <c r="P1133" s="1"/>
      <c r="Q1133" s="8"/>
      <c r="R1133" s="8"/>
      <c r="S1133" s="1"/>
      <c r="T1133" s="8"/>
      <c r="U1133" s="8"/>
      <c r="V1133" s="56"/>
      <c r="W1133" s="1"/>
      <c r="X1133" s="1"/>
      <c r="Y1133" s="8"/>
      <c r="Z1133" s="8"/>
      <c r="AA1133" s="8"/>
      <c r="AB1133" s="8"/>
      <c r="AC1133" s="8"/>
      <c r="AD1133" s="8"/>
      <c r="AE1133" s="8"/>
      <c r="AF1133" s="8"/>
      <c r="AG1133" s="8"/>
      <c r="AH1133" s="8"/>
      <c r="AI1133" s="8"/>
    </row>
    <row r="1134" spans="1:35">
      <c r="A1134" s="1"/>
      <c r="B1134" s="8"/>
      <c r="C1134" s="8"/>
      <c r="D1134" s="8"/>
      <c r="E1134" s="8"/>
      <c r="F1134" s="8"/>
      <c r="G1134" s="8"/>
      <c r="H1134" s="8"/>
      <c r="I1134" s="8"/>
      <c r="J1134" s="8"/>
      <c r="K1134" s="8"/>
      <c r="L1134" s="26"/>
      <c r="M1134" s="26"/>
      <c r="N1134" s="26"/>
      <c r="O1134" s="55"/>
      <c r="P1134" s="1"/>
      <c r="Q1134" s="8"/>
      <c r="R1134" s="8"/>
      <c r="S1134" s="1"/>
      <c r="T1134" s="8"/>
      <c r="U1134" s="8"/>
      <c r="V1134" s="56"/>
      <c r="W1134" s="1"/>
      <c r="X1134" s="1"/>
      <c r="Y1134" s="8"/>
      <c r="Z1134" s="8"/>
      <c r="AA1134" s="8"/>
      <c r="AB1134" s="8"/>
      <c r="AC1134" s="8"/>
      <c r="AD1134" s="8"/>
      <c r="AE1134" s="8"/>
      <c r="AF1134" s="8"/>
      <c r="AG1134" s="8"/>
      <c r="AH1134" s="8"/>
      <c r="AI1134" s="8"/>
    </row>
    <row r="1135" spans="1:35">
      <c r="A1135" s="1"/>
      <c r="B1135" s="8"/>
      <c r="C1135" s="8"/>
      <c r="D1135" s="8"/>
      <c r="E1135" s="8"/>
      <c r="F1135" s="8"/>
      <c r="G1135" s="8"/>
      <c r="H1135" s="8"/>
      <c r="I1135" s="8"/>
      <c r="J1135" s="8"/>
      <c r="K1135" s="8"/>
      <c r="L1135" s="26"/>
      <c r="M1135" s="26"/>
      <c r="N1135" s="26"/>
      <c r="O1135" s="55"/>
      <c r="P1135" s="1"/>
      <c r="Q1135" s="8"/>
      <c r="R1135" s="8"/>
      <c r="S1135" s="1"/>
      <c r="T1135" s="8"/>
      <c r="U1135" s="8"/>
      <c r="V1135" s="56"/>
      <c r="W1135" s="1"/>
      <c r="X1135" s="1"/>
      <c r="Y1135" s="8"/>
      <c r="Z1135" s="8"/>
      <c r="AA1135" s="8"/>
      <c r="AB1135" s="8"/>
      <c r="AC1135" s="8"/>
      <c r="AD1135" s="8"/>
      <c r="AE1135" s="8"/>
      <c r="AF1135" s="8"/>
      <c r="AG1135" s="8"/>
      <c r="AH1135" s="8"/>
      <c r="AI1135" s="8"/>
    </row>
    <row r="1136" spans="1:35">
      <c r="A1136" s="1"/>
      <c r="B1136" s="8"/>
      <c r="C1136" s="8"/>
      <c r="D1136" s="8"/>
      <c r="E1136" s="8"/>
      <c r="F1136" s="8"/>
      <c r="G1136" s="8"/>
      <c r="H1136" s="8"/>
      <c r="I1136" s="8"/>
      <c r="J1136" s="8"/>
      <c r="K1136" s="8"/>
      <c r="L1136" s="26"/>
      <c r="M1136" s="26"/>
      <c r="N1136" s="26"/>
      <c r="O1136" s="55"/>
      <c r="P1136" s="1"/>
      <c r="Q1136" s="8"/>
      <c r="R1136" s="8"/>
      <c r="S1136" s="1"/>
      <c r="T1136" s="8"/>
      <c r="U1136" s="8"/>
      <c r="V1136" s="56"/>
      <c r="W1136" s="1"/>
      <c r="X1136" s="1"/>
      <c r="Y1136" s="8"/>
      <c r="Z1136" s="8"/>
      <c r="AA1136" s="8"/>
      <c r="AB1136" s="8"/>
      <c r="AC1136" s="8"/>
      <c r="AD1136" s="8"/>
      <c r="AE1136" s="8"/>
      <c r="AF1136" s="8"/>
      <c r="AG1136" s="8"/>
      <c r="AH1136" s="8"/>
      <c r="AI1136" s="8"/>
    </row>
    <row r="1137" spans="1:35">
      <c r="A1137" s="1"/>
      <c r="B1137" s="8"/>
      <c r="C1137" s="8"/>
      <c r="D1137" s="8"/>
      <c r="E1137" s="8"/>
      <c r="F1137" s="8"/>
      <c r="G1137" s="8"/>
      <c r="H1137" s="8"/>
      <c r="I1137" s="8"/>
      <c r="J1137" s="8"/>
      <c r="K1137" s="8"/>
      <c r="L1137" s="26"/>
      <c r="M1137" s="26"/>
      <c r="N1137" s="26"/>
      <c r="O1137" s="55"/>
      <c r="P1137" s="1"/>
      <c r="Q1137" s="8"/>
      <c r="R1137" s="8"/>
      <c r="S1137" s="1"/>
      <c r="T1137" s="8"/>
      <c r="U1137" s="8"/>
      <c r="V1137" s="56"/>
      <c r="W1137" s="1"/>
      <c r="X1137" s="1"/>
      <c r="Y1137" s="8"/>
      <c r="Z1137" s="8"/>
      <c r="AA1137" s="8"/>
      <c r="AB1137" s="8"/>
      <c r="AC1137" s="8"/>
      <c r="AD1137" s="8"/>
      <c r="AE1137" s="8"/>
      <c r="AF1137" s="8"/>
      <c r="AG1137" s="8"/>
      <c r="AH1137" s="8"/>
      <c r="AI1137" s="8"/>
    </row>
    <row r="1138" spans="1:35">
      <c r="A1138" s="1"/>
      <c r="B1138" s="8"/>
      <c r="C1138" s="8"/>
      <c r="D1138" s="8"/>
      <c r="E1138" s="8"/>
      <c r="F1138" s="8"/>
      <c r="G1138" s="8"/>
      <c r="H1138" s="8"/>
      <c r="I1138" s="8"/>
      <c r="J1138" s="8"/>
      <c r="K1138" s="8"/>
      <c r="L1138" s="26"/>
      <c r="M1138" s="26"/>
      <c r="N1138" s="26"/>
      <c r="O1138" s="55"/>
      <c r="P1138" s="1"/>
      <c r="Q1138" s="8"/>
      <c r="R1138" s="8"/>
      <c r="S1138" s="1"/>
      <c r="T1138" s="8"/>
      <c r="U1138" s="8"/>
      <c r="V1138" s="56"/>
      <c r="W1138" s="1"/>
      <c r="X1138" s="1"/>
      <c r="Y1138" s="8"/>
      <c r="Z1138" s="8"/>
      <c r="AA1138" s="8"/>
      <c r="AB1138" s="8"/>
      <c r="AC1138" s="8"/>
      <c r="AD1138" s="8"/>
      <c r="AE1138" s="8"/>
      <c r="AF1138" s="8"/>
      <c r="AG1138" s="8"/>
      <c r="AH1138" s="8"/>
      <c r="AI1138" s="8"/>
    </row>
    <row r="1139" spans="1:35">
      <c r="A1139" s="1"/>
      <c r="B1139" s="8"/>
      <c r="C1139" s="8"/>
      <c r="D1139" s="8"/>
      <c r="E1139" s="8"/>
      <c r="F1139" s="8"/>
      <c r="G1139" s="8"/>
      <c r="H1139" s="8"/>
      <c r="I1139" s="8"/>
      <c r="J1139" s="8"/>
      <c r="K1139" s="8"/>
      <c r="L1139" s="26"/>
      <c r="M1139" s="26"/>
      <c r="N1139" s="26"/>
      <c r="O1139" s="55"/>
      <c r="P1139" s="1"/>
      <c r="Q1139" s="8"/>
      <c r="R1139" s="8"/>
      <c r="S1139" s="1"/>
      <c r="T1139" s="8"/>
      <c r="U1139" s="8"/>
      <c r="V1139" s="56"/>
      <c r="W1139" s="1"/>
      <c r="X1139" s="1"/>
      <c r="Y1139" s="8"/>
      <c r="Z1139" s="8"/>
      <c r="AA1139" s="8"/>
      <c r="AB1139" s="8"/>
      <c r="AC1139" s="8"/>
      <c r="AD1139" s="8"/>
      <c r="AE1139" s="8"/>
      <c r="AF1139" s="8"/>
      <c r="AG1139" s="8"/>
      <c r="AH1139" s="8"/>
      <c r="AI1139" s="8"/>
    </row>
    <row r="1140" spans="1:35">
      <c r="A1140" s="1"/>
      <c r="B1140" s="8"/>
      <c r="C1140" s="8"/>
      <c r="D1140" s="8"/>
      <c r="E1140" s="8"/>
      <c r="F1140" s="8"/>
      <c r="G1140" s="8"/>
      <c r="H1140" s="8"/>
      <c r="I1140" s="8"/>
      <c r="J1140" s="8"/>
      <c r="K1140" s="8"/>
      <c r="L1140" s="26"/>
      <c r="M1140" s="26"/>
      <c r="N1140" s="26"/>
      <c r="O1140" s="55"/>
      <c r="P1140" s="1"/>
      <c r="Q1140" s="8"/>
      <c r="R1140" s="8"/>
      <c r="S1140" s="1"/>
      <c r="T1140" s="8"/>
      <c r="U1140" s="8"/>
      <c r="V1140" s="56"/>
      <c r="W1140" s="1"/>
      <c r="X1140" s="1"/>
      <c r="Y1140" s="8"/>
      <c r="Z1140" s="8"/>
      <c r="AA1140" s="8"/>
      <c r="AB1140" s="8"/>
      <c r="AC1140" s="8"/>
      <c r="AD1140" s="8"/>
      <c r="AE1140" s="8"/>
      <c r="AF1140" s="8"/>
      <c r="AG1140" s="8"/>
      <c r="AH1140" s="8"/>
      <c r="AI1140" s="8"/>
    </row>
    <row r="1141" spans="1:35">
      <c r="A1141" s="1"/>
      <c r="B1141" s="8"/>
      <c r="C1141" s="8"/>
      <c r="D1141" s="8"/>
      <c r="E1141" s="8"/>
      <c r="F1141" s="8"/>
      <c r="G1141" s="8"/>
      <c r="H1141" s="8"/>
      <c r="I1141" s="8"/>
      <c r="J1141" s="8"/>
      <c r="K1141" s="8"/>
      <c r="L1141" s="26"/>
      <c r="M1141" s="26"/>
      <c r="N1141" s="26"/>
      <c r="O1141" s="55"/>
      <c r="P1141" s="1"/>
      <c r="Q1141" s="8"/>
      <c r="R1141" s="8"/>
      <c r="S1141" s="1"/>
      <c r="T1141" s="8"/>
      <c r="U1141" s="8"/>
      <c r="V1141" s="56"/>
      <c r="W1141" s="1"/>
      <c r="X1141" s="1"/>
      <c r="Y1141" s="8"/>
      <c r="Z1141" s="8"/>
      <c r="AA1141" s="8"/>
      <c r="AB1141" s="8"/>
      <c r="AC1141" s="8"/>
      <c r="AD1141" s="8"/>
      <c r="AE1141" s="8"/>
      <c r="AF1141" s="8"/>
      <c r="AG1141" s="8"/>
      <c r="AH1141" s="8"/>
      <c r="AI1141" s="8"/>
    </row>
    <row r="1142" spans="1:35">
      <c r="A1142" s="1"/>
      <c r="B1142" s="8"/>
      <c r="C1142" s="8"/>
      <c r="D1142" s="8"/>
      <c r="E1142" s="8"/>
      <c r="F1142" s="8"/>
      <c r="G1142" s="8"/>
      <c r="H1142" s="8"/>
      <c r="I1142" s="8"/>
      <c r="J1142" s="8"/>
      <c r="K1142" s="8"/>
      <c r="L1142" s="26"/>
      <c r="M1142" s="26"/>
      <c r="N1142" s="26"/>
      <c r="O1142" s="55"/>
      <c r="P1142" s="1"/>
      <c r="Q1142" s="8"/>
      <c r="R1142" s="8"/>
      <c r="S1142" s="1"/>
      <c r="T1142" s="8"/>
      <c r="U1142" s="8"/>
      <c r="V1142" s="56"/>
      <c r="W1142" s="1"/>
      <c r="X1142" s="1"/>
      <c r="Y1142" s="8"/>
      <c r="Z1142" s="8"/>
      <c r="AA1142" s="8"/>
      <c r="AB1142" s="8"/>
      <c r="AC1142" s="8"/>
      <c r="AD1142" s="8"/>
      <c r="AE1142" s="8"/>
      <c r="AF1142" s="8"/>
      <c r="AG1142" s="8"/>
      <c r="AH1142" s="8"/>
      <c r="AI1142" s="8"/>
    </row>
    <row r="1143" spans="1:35">
      <c r="A1143" s="1"/>
      <c r="B1143" s="8"/>
      <c r="C1143" s="8"/>
      <c r="D1143" s="8"/>
      <c r="E1143" s="8"/>
      <c r="F1143" s="8"/>
      <c r="G1143" s="8"/>
      <c r="H1143" s="8"/>
      <c r="I1143" s="8"/>
      <c r="J1143" s="8"/>
      <c r="K1143" s="8"/>
      <c r="L1143" s="26"/>
      <c r="M1143" s="26"/>
      <c r="N1143" s="26"/>
      <c r="O1143" s="55"/>
      <c r="P1143" s="1"/>
      <c r="Q1143" s="8"/>
      <c r="R1143" s="8"/>
      <c r="S1143" s="1"/>
      <c r="T1143" s="8"/>
      <c r="U1143" s="8"/>
      <c r="V1143" s="56"/>
      <c r="W1143" s="1"/>
      <c r="X1143" s="1"/>
      <c r="Y1143" s="8"/>
      <c r="Z1143" s="8"/>
      <c r="AA1143" s="8"/>
      <c r="AB1143" s="8"/>
      <c r="AC1143" s="8"/>
      <c r="AD1143" s="8"/>
      <c r="AE1143" s="8"/>
      <c r="AF1143" s="8"/>
      <c r="AG1143" s="8"/>
      <c r="AH1143" s="8"/>
      <c r="AI1143" s="8"/>
    </row>
    <row r="1144" spans="1:35">
      <c r="A1144" s="1"/>
      <c r="B1144" s="8"/>
      <c r="C1144" s="8"/>
      <c r="D1144" s="8"/>
      <c r="E1144" s="8"/>
      <c r="F1144" s="8"/>
      <c r="G1144" s="8"/>
      <c r="H1144" s="8"/>
      <c r="I1144" s="8"/>
      <c r="J1144" s="8"/>
      <c r="K1144" s="8"/>
      <c r="L1144" s="26"/>
      <c r="M1144" s="26"/>
      <c r="N1144" s="26"/>
      <c r="O1144" s="55"/>
      <c r="P1144" s="1"/>
      <c r="Q1144" s="8"/>
      <c r="R1144" s="8"/>
      <c r="S1144" s="1"/>
      <c r="T1144" s="8"/>
      <c r="U1144" s="8"/>
      <c r="V1144" s="56"/>
      <c r="W1144" s="1"/>
      <c r="X1144" s="1"/>
      <c r="Y1144" s="8"/>
      <c r="Z1144" s="8"/>
      <c r="AA1144" s="8"/>
      <c r="AB1144" s="8"/>
      <c r="AC1144" s="8"/>
      <c r="AD1144" s="8"/>
      <c r="AE1144" s="8"/>
      <c r="AF1144" s="8"/>
      <c r="AG1144" s="8"/>
      <c r="AH1144" s="8"/>
      <c r="AI1144" s="8"/>
    </row>
    <row r="1145" spans="1:35">
      <c r="A1145" s="1"/>
      <c r="B1145" s="8"/>
      <c r="C1145" s="8"/>
      <c r="D1145" s="8"/>
      <c r="E1145" s="8"/>
      <c r="F1145" s="8"/>
      <c r="G1145" s="8"/>
      <c r="H1145" s="8"/>
      <c r="I1145" s="8"/>
      <c r="J1145" s="8"/>
      <c r="K1145" s="8"/>
      <c r="L1145" s="26"/>
      <c r="M1145" s="26"/>
      <c r="N1145" s="26"/>
      <c r="O1145" s="55"/>
      <c r="P1145" s="1"/>
      <c r="Q1145" s="8"/>
      <c r="R1145" s="8"/>
      <c r="S1145" s="1"/>
      <c r="T1145" s="8"/>
      <c r="U1145" s="8"/>
      <c r="V1145" s="56"/>
      <c r="W1145" s="1"/>
      <c r="X1145" s="1"/>
      <c r="Y1145" s="8"/>
      <c r="Z1145" s="8"/>
      <c r="AA1145" s="8"/>
      <c r="AB1145" s="8"/>
      <c r="AC1145" s="8"/>
      <c r="AD1145" s="8"/>
      <c r="AE1145" s="8"/>
      <c r="AF1145" s="8"/>
      <c r="AG1145" s="8"/>
      <c r="AH1145" s="8"/>
      <c r="AI1145" s="8"/>
    </row>
    <row r="1146" spans="1:35">
      <c r="A1146" s="1"/>
      <c r="B1146" s="8"/>
      <c r="C1146" s="8"/>
      <c r="D1146" s="8"/>
      <c r="E1146" s="8"/>
      <c r="F1146" s="8"/>
      <c r="G1146" s="8"/>
      <c r="H1146" s="8"/>
      <c r="I1146" s="8"/>
      <c r="J1146" s="8"/>
      <c r="K1146" s="8"/>
      <c r="L1146" s="26"/>
      <c r="M1146" s="26"/>
      <c r="N1146" s="26"/>
      <c r="O1146" s="55"/>
      <c r="P1146" s="1"/>
      <c r="Q1146" s="8"/>
      <c r="R1146" s="8"/>
      <c r="S1146" s="1"/>
      <c r="T1146" s="8"/>
      <c r="U1146" s="8"/>
      <c r="V1146" s="56"/>
      <c r="W1146" s="1"/>
      <c r="X1146" s="1"/>
      <c r="Y1146" s="8"/>
      <c r="Z1146" s="8"/>
      <c r="AA1146" s="8"/>
      <c r="AB1146" s="8"/>
      <c r="AC1146" s="8"/>
      <c r="AD1146" s="8"/>
      <c r="AE1146" s="8"/>
      <c r="AF1146" s="8"/>
      <c r="AG1146" s="8"/>
      <c r="AH1146" s="8"/>
      <c r="AI1146" s="8"/>
    </row>
    <row r="1147" spans="1:35">
      <c r="A1147" s="1"/>
      <c r="B1147" s="8"/>
      <c r="C1147" s="8"/>
      <c r="D1147" s="8"/>
      <c r="E1147" s="8"/>
      <c r="F1147" s="8"/>
      <c r="G1147" s="8"/>
      <c r="H1147" s="8"/>
      <c r="I1147" s="8"/>
      <c r="J1147" s="8"/>
      <c r="K1147" s="8"/>
      <c r="L1147" s="26"/>
      <c r="M1147" s="26"/>
      <c r="N1147" s="26"/>
      <c r="O1147" s="55"/>
      <c r="P1147" s="1"/>
      <c r="Q1147" s="8"/>
      <c r="R1147" s="8"/>
      <c r="S1147" s="1"/>
      <c r="T1147" s="8"/>
      <c r="U1147" s="8"/>
      <c r="V1147" s="56"/>
      <c r="W1147" s="1"/>
      <c r="X1147" s="1"/>
      <c r="Y1147" s="8"/>
      <c r="Z1147" s="8"/>
      <c r="AA1147" s="8"/>
      <c r="AB1147" s="8"/>
      <c r="AC1147" s="8"/>
      <c r="AD1147" s="8"/>
      <c r="AE1147" s="8"/>
      <c r="AF1147" s="8"/>
      <c r="AG1147" s="8"/>
      <c r="AH1147" s="8"/>
      <c r="AI1147" s="8"/>
    </row>
    <row r="1148" spans="1:35">
      <c r="A1148" s="1"/>
      <c r="B1148" s="8"/>
      <c r="C1148" s="8"/>
      <c r="D1148" s="8"/>
      <c r="E1148" s="8"/>
      <c r="F1148" s="8"/>
      <c r="G1148" s="8"/>
      <c r="H1148" s="8"/>
      <c r="I1148" s="8"/>
      <c r="J1148" s="8"/>
      <c r="K1148" s="8"/>
      <c r="L1148" s="26"/>
      <c r="M1148" s="26"/>
      <c r="N1148" s="26"/>
      <c r="O1148" s="55"/>
      <c r="P1148" s="1"/>
      <c r="Q1148" s="8"/>
      <c r="R1148" s="8"/>
      <c r="S1148" s="1"/>
      <c r="T1148" s="8"/>
      <c r="U1148" s="8"/>
      <c r="V1148" s="56"/>
      <c r="W1148" s="1"/>
      <c r="X1148" s="1"/>
      <c r="Y1148" s="8"/>
      <c r="Z1148" s="8"/>
      <c r="AA1148" s="8"/>
      <c r="AB1148" s="8"/>
      <c r="AC1148" s="8"/>
      <c r="AD1148" s="8"/>
      <c r="AE1148" s="8"/>
      <c r="AF1148" s="8"/>
      <c r="AG1148" s="8"/>
      <c r="AH1148" s="8"/>
      <c r="AI1148" s="8"/>
    </row>
    <row r="1149" spans="1:35">
      <c r="A1149" s="1"/>
      <c r="B1149" s="8"/>
      <c r="C1149" s="8"/>
      <c r="D1149" s="8"/>
      <c r="E1149" s="8"/>
      <c r="F1149" s="8"/>
      <c r="G1149" s="8"/>
      <c r="H1149" s="8"/>
      <c r="I1149" s="8"/>
      <c r="J1149" s="8"/>
      <c r="K1149" s="8"/>
      <c r="L1149" s="26"/>
      <c r="M1149" s="26"/>
      <c r="N1149" s="26"/>
      <c r="O1149" s="55"/>
      <c r="P1149" s="1"/>
      <c r="Q1149" s="8"/>
      <c r="R1149" s="8"/>
      <c r="S1149" s="1"/>
      <c r="T1149" s="8"/>
      <c r="U1149" s="8"/>
      <c r="V1149" s="56"/>
      <c r="W1149" s="1"/>
      <c r="X1149" s="1"/>
      <c r="Y1149" s="8"/>
      <c r="Z1149" s="8"/>
      <c r="AA1149" s="8"/>
      <c r="AB1149" s="8"/>
      <c r="AC1149" s="8"/>
      <c r="AD1149" s="8"/>
      <c r="AE1149" s="8"/>
      <c r="AF1149" s="8"/>
      <c r="AG1149" s="8"/>
      <c r="AH1149" s="8"/>
      <c r="AI1149" s="8"/>
    </row>
    <row r="1150" spans="1:35">
      <c r="A1150" s="1"/>
      <c r="B1150" s="8"/>
      <c r="C1150" s="8"/>
      <c r="D1150" s="8"/>
      <c r="E1150" s="8"/>
      <c r="F1150" s="8"/>
      <c r="G1150" s="8"/>
      <c r="H1150" s="8"/>
      <c r="I1150" s="8"/>
      <c r="J1150" s="8"/>
      <c r="K1150" s="8"/>
      <c r="L1150" s="26"/>
      <c r="M1150" s="26"/>
      <c r="N1150" s="26"/>
      <c r="O1150" s="55"/>
      <c r="P1150" s="1"/>
      <c r="Q1150" s="8"/>
      <c r="R1150" s="8"/>
      <c r="S1150" s="1"/>
      <c r="T1150" s="8"/>
      <c r="U1150" s="8"/>
      <c r="V1150" s="56"/>
      <c r="W1150" s="1"/>
      <c r="X1150" s="1"/>
      <c r="Y1150" s="8"/>
      <c r="Z1150" s="8"/>
      <c r="AA1150" s="8"/>
      <c r="AB1150" s="8"/>
      <c r="AC1150" s="8"/>
      <c r="AD1150" s="8"/>
      <c r="AE1150" s="8"/>
      <c r="AF1150" s="8"/>
      <c r="AG1150" s="8"/>
      <c r="AH1150" s="8"/>
      <c r="AI1150" s="8"/>
    </row>
    <row r="1151" spans="1:35">
      <c r="A1151" s="1"/>
      <c r="B1151" s="8"/>
      <c r="C1151" s="8"/>
      <c r="D1151" s="8"/>
      <c r="E1151" s="8"/>
      <c r="F1151" s="8"/>
      <c r="G1151" s="8"/>
      <c r="H1151" s="8"/>
      <c r="I1151" s="8"/>
      <c r="J1151" s="8"/>
      <c r="K1151" s="8"/>
      <c r="L1151" s="26"/>
      <c r="M1151" s="26"/>
      <c r="N1151" s="26"/>
      <c r="O1151" s="55"/>
      <c r="P1151" s="1"/>
      <c r="Q1151" s="8"/>
      <c r="R1151" s="8"/>
      <c r="S1151" s="1"/>
      <c r="T1151" s="8"/>
      <c r="U1151" s="8"/>
      <c r="V1151" s="56"/>
      <c r="W1151" s="1"/>
      <c r="X1151" s="1"/>
      <c r="Y1151" s="8"/>
      <c r="Z1151" s="8"/>
      <c r="AA1151" s="8"/>
      <c r="AB1151" s="8"/>
      <c r="AC1151" s="8"/>
      <c r="AD1151" s="8"/>
      <c r="AE1151" s="8"/>
      <c r="AF1151" s="8"/>
      <c r="AG1151" s="8"/>
      <c r="AH1151" s="8"/>
      <c r="AI1151" s="8"/>
    </row>
    <row r="1152" spans="1:35">
      <c r="A1152" s="1"/>
      <c r="B1152" s="8"/>
      <c r="C1152" s="8"/>
      <c r="D1152" s="8"/>
      <c r="E1152" s="8"/>
      <c r="F1152" s="8"/>
      <c r="G1152" s="8"/>
      <c r="H1152" s="8"/>
      <c r="I1152" s="8"/>
      <c r="J1152" s="8"/>
      <c r="K1152" s="8"/>
      <c r="L1152" s="26"/>
      <c r="M1152" s="26"/>
      <c r="N1152" s="26"/>
      <c r="O1152" s="55"/>
      <c r="P1152" s="1"/>
      <c r="Q1152" s="8"/>
      <c r="R1152" s="8"/>
      <c r="S1152" s="1"/>
      <c r="T1152" s="8"/>
      <c r="U1152" s="8"/>
      <c r="V1152" s="56"/>
      <c r="W1152" s="1"/>
      <c r="X1152" s="1"/>
      <c r="Y1152" s="8"/>
      <c r="Z1152" s="8"/>
      <c r="AA1152" s="8"/>
      <c r="AB1152" s="8"/>
      <c r="AC1152" s="8"/>
      <c r="AD1152" s="8"/>
      <c r="AE1152" s="8"/>
      <c r="AF1152" s="8"/>
      <c r="AG1152" s="8"/>
      <c r="AH1152" s="8"/>
      <c r="AI1152" s="8"/>
    </row>
    <row r="1153" spans="1:35">
      <c r="A1153" s="1"/>
      <c r="B1153" s="8"/>
      <c r="C1153" s="8"/>
      <c r="D1153" s="8"/>
      <c r="E1153" s="8"/>
      <c r="F1153" s="8"/>
      <c r="G1153" s="8"/>
      <c r="H1153" s="8"/>
      <c r="I1153" s="8"/>
      <c r="J1153" s="8"/>
      <c r="K1153" s="8"/>
      <c r="L1153" s="26"/>
      <c r="M1153" s="26"/>
      <c r="N1153" s="26"/>
      <c r="O1153" s="55"/>
      <c r="P1153" s="1"/>
      <c r="Q1153" s="8"/>
      <c r="R1153" s="8"/>
      <c r="S1153" s="1"/>
      <c r="T1153" s="8"/>
      <c r="U1153" s="8"/>
      <c r="V1153" s="56"/>
      <c r="W1153" s="1"/>
      <c r="X1153" s="1"/>
      <c r="Y1153" s="8"/>
      <c r="Z1153" s="8"/>
      <c r="AA1153" s="8"/>
      <c r="AB1153" s="8"/>
      <c r="AC1153" s="8"/>
      <c r="AD1153" s="8"/>
      <c r="AE1153" s="8"/>
      <c r="AF1153" s="8"/>
      <c r="AG1153" s="8"/>
      <c r="AH1153" s="8"/>
      <c r="AI1153" s="8"/>
    </row>
    <row r="1154" spans="1:35">
      <c r="A1154" s="1"/>
      <c r="B1154" s="8"/>
      <c r="C1154" s="8"/>
      <c r="D1154" s="8"/>
      <c r="E1154" s="8"/>
      <c r="F1154" s="8"/>
      <c r="G1154" s="8"/>
      <c r="H1154" s="8"/>
      <c r="I1154" s="8"/>
      <c r="J1154" s="8"/>
      <c r="K1154" s="8"/>
      <c r="L1154" s="26"/>
      <c r="M1154" s="26"/>
      <c r="N1154" s="26"/>
      <c r="O1154" s="55"/>
      <c r="P1154" s="1"/>
      <c r="Q1154" s="8"/>
      <c r="R1154" s="8"/>
      <c r="S1154" s="1"/>
      <c r="T1154" s="8"/>
      <c r="U1154" s="8"/>
      <c r="V1154" s="56"/>
      <c r="W1154" s="1"/>
      <c r="X1154" s="1"/>
      <c r="Y1154" s="8"/>
      <c r="Z1154" s="8"/>
      <c r="AA1154" s="8"/>
      <c r="AB1154" s="8"/>
      <c r="AC1154" s="8"/>
      <c r="AD1154" s="8"/>
      <c r="AE1154" s="8"/>
      <c r="AF1154" s="8"/>
      <c r="AG1154" s="8"/>
      <c r="AH1154" s="8"/>
      <c r="AI1154" s="8"/>
    </row>
    <row r="1155" spans="1:35">
      <c r="A1155" s="1"/>
      <c r="B1155" s="8"/>
      <c r="C1155" s="8"/>
      <c r="D1155" s="8"/>
      <c r="E1155" s="8"/>
      <c r="F1155" s="8"/>
      <c r="G1155" s="8"/>
      <c r="H1155" s="8"/>
      <c r="I1155" s="8"/>
      <c r="J1155" s="8"/>
      <c r="K1155" s="8"/>
      <c r="L1155" s="26"/>
      <c r="M1155" s="26"/>
      <c r="N1155" s="26"/>
      <c r="O1155" s="55"/>
      <c r="P1155" s="1"/>
      <c r="Q1155" s="8"/>
      <c r="R1155" s="8"/>
      <c r="S1155" s="1"/>
      <c r="T1155" s="8"/>
      <c r="U1155" s="8"/>
      <c r="V1155" s="56"/>
      <c r="W1155" s="1"/>
      <c r="X1155" s="1"/>
      <c r="Y1155" s="8"/>
      <c r="Z1155" s="8"/>
      <c r="AA1155" s="8"/>
      <c r="AB1155" s="8"/>
      <c r="AC1155" s="8"/>
      <c r="AD1155" s="8"/>
      <c r="AE1155" s="8"/>
      <c r="AF1155" s="8"/>
      <c r="AG1155" s="8"/>
      <c r="AH1155" s="8"/>
      <c r="AI1155" s="8"/>
    </row>
    <row r="1156" spans="1:35">
      <c r="A1156" s="1"/>
      <c r="B1156" s="8"/>
      <c r="C1156" s="8"/>
      <c r="D1156" s="8"/>
      <c r="E1156" s="8"/>
      <c r="F1156" s="8"/>
      <c r="G1156" s="8"/>
      <c r="H1156" s="8"/>
      <c r="I1156" s="8"/>
      <c r="J1156" s="8"/>
      <c r="K1156" s="8"/>
      <c r="L1156" s="26"/>
      <c r="M1156" s="26"/>
      <c r="N1156" s="26"/>
      <c r="O1156" s="55"/>
      <c r="P1156" s="1"/>
      <c r="Q1156" s="8"/>
      <c r="R1156" s="8"/>
      <c r="S1156" s="1"/>
      <c r="T1156" s="8"/>
      <c r="U1156" s="8"/>
      <c r="V1156" s="56"/>
      <c r="W1156" s="1"/>
      <c r="X1156" s="1"/>
      <c r="Y1156" s="8"/>
      <c r="Z1156" s="8"/>
      <c r="AA1156" s="8"/>
      <c r="AB1156" s="8"/>
      <c r="AC1156" s="8"/>
      <c r="AD1156" s="8"/>
      <c r="AE1156" s="8"/>
      <c r="AF1156" s="8"/>
      <c r="AG1156" s="8"/>
      <c r="AH1156" s="8"/>
      <c r="AI1156" s="8"/>
    </row>
    <row r="1157" spans="1:35">
      <c r="A1157" s="1"/>
      <c r="B1157" s="8"/>
      <c r="C1157" s="8"/>
      <c r="D1157" s="8"/>
      <c r="E1157" s="8"/>
      <c r="F1157" s="8"/>
      <c r="G1157" s="8"/>
      <c r="H1157" s="8"/>
      <c r="I1157" s="8"/>
      <c r="J1157" s="8"/>
      <c r="K1157" s="8"/>
      <c r="L1157" s="26"/>
      <c r="M1157" s="26"/>
      <c r="N1157" s="26"/>
      <c r="O1157" s="55"/>
      <c r="P1157" s="1"/>
      <c r="Q1157" s="8"/>
      <c r="R1157" s="8"/>
      <c r="S1157" s="1"/>
      <c r="T1157" s="8"/>
      <c r="U1157" s="8"/>
      <c r="V1157" s="56"/>
      <c r="W1157" s="1"/>
      <c r="X1157" s="1"/>
      <c r="Y1157" s="8"/>
      <c r="Z1157" s="8"/>
      <c r="AA1157" s="8"/>
      <c r="AB1157" s="8"/>
      <c r="AC1157" s="8"/>
      <c r="AD1157" s="8"/>
      <c r="AE1157" s="8"/>
      <c r="AF1157" s="8"/>
      <c r="AG1157" s="8"/>
      <c r="AH1157" s="8"/>
      <c r="AI1157" s="8"/>
    </row>
    <row r="1158" spans="1:35">
      <c r="A1158" s="1"/>
      <c r="B1158" s="8"/>
      <c r="C1158" s="8"/>
      <c r="D1158" s="8"/>
      <c r="E1158" s="8"/>
      <c r="F1158" s="8"/>
      <c r="G1158" s="8"/>
      <c r="H1158" s="8"/>
      <c r="I1158" s="8"/>
      <c r="J1158" s="8"/>
      <c r="K1158" s="8"/>
      <c r="L1158" s="26"/>
      <c r="M1158" s="26"/>
      <c r="N1158" s="26"/>
      <c r="O1158" s="55"/>
      <c r="P1158" s="1"/>
      <c r="Q1158" s="8"/>
      <c r="R1158" s="8"/>
      <c r="S1158" s="1"/>
      <c r="T1158" s="8"/>
      <c r="U1158" s="8"/>
      <c r="V1158" s="56"/>
      <c r="W1158" s="1"/>
      <c r="X1158" s="1"/>
      <c r="Y1158" s="8"/>
      <c r="Z1158" s="8"/>
      <c r="AA1158" s="8"/>
      <c r="AB1158" s="8"/>
      <c r="AC1158" s="8"/>
      <c r="AD1158" s="8"/>
      <c r="AE1158" s="8"/>
      <c r="AF1158" s="8"/>
      <c r="AG1158" s="8"/>
      <c r="AH1158" s="8"/>
      <c r="AI1158" s="8"/>
    </row>
    <row r="1159" spans="1:35">
      <c r="A1159" s="1"/>
      <c r="B1159" s="8"/>
      <c r="C1159" s="8"/>
      <c r="D1159" s="8"/>
      <c r="E1159" s="8"/>
      <c r="F1159" s="8"/>
      <c r="G1159" s="8"/>
      <c r="H1159" s="8"/>
      <c r="I1159" s="8"/>
      <c r="J1159" s="8"/>
      <c r="K1159" s="8"/>
      <c r="L1159" s="26"/>
      <c r="M1159" s="26"/>
      <c r="N1159" s="26"/>
      <c r="O1159" s="55"/>
      <c r="P1159" s="1"/>
      <c r="Q1159" s="8"/>
      <c r="R1159" s="8"/>
      <c r="S1159" s="1"/>
      <c r="T1159" s="8"/>
      <c r="U1159" s="8"/>
      <c r="V1159" s="56"/>
      <c r="W1159" s="1"/>
      <c r="X1159" s="1"/>
      <c r="Y1159" s="8"/>
      <c r="Z1159" s="8"/>
      <c r="AA1159" s="8"/>
      <c r="AB1159" s="8"/>
      <c r="AC1159" s="8"/>
      <c r="AD1159" s="8"/>
      <c r="AE1159" s="8"/>
      <c r="AF1159" s="8"/>
      <c r="AG1159" s="8"/>
      <c r="AH1159" s="8"/>
      <c r="AI1159" s="8"/>
    </row>
    <row r="1160" spans="1:35">
      <c r="A1160" s="1"/>
      <c r="B1160" s="8"/>
      <c r="C1160" s="8"/>
      <c r="D1160" s="8"/>
      <c r="E1160" s="8"/>
      <c r="F1160" s="8"/>
      <c r="G1160" s="8"/>
      <c r="H1160" s="8"/>
      <c r="I1160" s="8"/>
      <c r="J1160" s="8"/>
      <c r="K1160" s="8"/>
      <c r="L1160" s="26"/>
      <c r="M1160" s="26"/>
      <c r="N1160" s="26"/>
      <c r="O1160" s="55"/>
      <c r="P1160" s="1"/>
      <c r="Q1160" s="8"/>
      <c r="R1160" s="8"/>
      <c r="S1160" s="1"/>
      <c r="T1160" s="8"/>
      <c r="U1160" s="8"/>
      <c r="V1160" s="56"/>
      <c r="W1160" s="1"/>
      <c r="X1160" s="1"/>
      <c r="Y1160" s="8"/>
      <c r="Z1160" s="8"/>
      <c r="AA1160" s="8"/>
      <c r="AB1160" s="8"/>
      <c r="AC1160" s="8"/>
      <c r="AD1160" s="8"/>
      <c r="AE1160" s="8"/>
      <c r="AF1160" s="8"/>
      <c r="AG1160" s="8"/>
      <c r="AH1160" s="8"/>
      <c r="AI1160" s="8"/>
    </row>
    <row r="1161" spans="1:35">
      <c r="A1161" s="1"/>
      <c r="B1161" s="8"/>
      <c r="C1161" s="8"/>
      <c r="D1161" s="8"/>
      <c r="E1161" s="8"/>
      <c r="F1161" s="8"/>
      <c r="G1161" s="8"/>
      <c r="H1161" s="8"/>
      <c r="I1161" s="8"/>
      <c r="J1161" s="8"/>
      <c r="K1161" s="8"/>
      <c r="L1161" s="26"/>
      <c r="M1161" s="26"/>
      <c r="N1161" s="26"/>
      <c r="O1161" s="55"/>
      <c r="P1161" s="1"/>
      <c r="Q1161" s="8"/>
      <c r="R1161" s="8"/>
      <c r="S1161" s="1"/>
      <c r="T1161" s="8"/>
      <c r="U1161" s="8"/>
      <c r="V1161" s="56"/>
      <c r="W1161" s="1"/>
      <c r="X1161" s="1"/>
      <c r="Y1161" s="8"/>
      <c r="Z1161" s="8"/>
      <c r="AA1161" s="8"/>
      <c r="AB1161" s="8"/>
      <c r="AC1161" s="8"/>
      <c r="AD1161" s="8"/>
      <c r="AE1161" s="8"/>
      <c r="AF1161" s="8"/>
      <c r="AG1161" s="8"/>
      <c r="AH1161" s="8"/>
      <c r="AI1161" s="8"/>
    </row>
    <row r="1162" spans="1:35">
      <c r="A1162" s="1"/>
      <c r="B1162" s="8"/>
      <c r="C1162" s="8"/>
      <c r="D1162" s="8"/>
      <c r="E1162" s="8"/>
      <c r="F1162" s="8"/>
      <c r="G1162" s="8"/>
      <c r="H1162" s="8"/>
      <c r="I1162" s="8"/>
      <c r="J1162" s="8"/>
      <c r="K1162" s="8"/>
      <c r="L1162" s="26"/>
      <c r="M1162" s="26"/>
      <c r="N1162" s="26"/>
      <c r="O1162" s="55"/>
      <c r="P1162" s="1"/>
      <c r="Q1162" s="8"/>
      <c r="R1162" s="8"/>
      <c r="S1162" s="1"/>
      <c r="T1162" s="8"/>
      <c r="U1162" s="8"/>
      <c r="V1162" s="56"/>
      <c r="W1162" s="1"/>
      <c r="X1162" s="1"/>
      <c r="Y1162" s="8"/>
      <c r="Z1162" s="8"/>
      <c r="AA1162" s="8"/>
      <c r="AB1162" s="8"/>
      <c r="AC1162" s="8"/>
      <c r="AD1162" s="8"/>
      <c r="AE1162" s="8"/>
      <c r="AF1162" s="8"/>
      <c r="AG1162" s="8"/>
      <c r="AH1162" s="8"/>
      <c r="AI1162" s="8"/>
    </row>
    <row r="1163" spans="1:35">
      <c r="A1163" s="1"/>
      <c r="B1163" s="8"/>
      <c r="C1163" s="8"/>
      <c r="D1163" s="8"/>
      <c r="E1163" s="8"/>
      <c r="F1163" s="8"/>
      <c r="G1163" s="8"/>
      <c r="H1163" s="8"/>
      <c r="I1163" s="8"/>
      <c r="J1163" s="8"/>
      <c r="K1163" s="8"/>
      <c r="L1163" s="26"/>
      <c r="M1163" s="26"/>
      <c r="N1163" s="26"/>
      <c r="O1163" s="55"/>
      <c r="P1163" s="1"/>
      <c r="Q1163" s="8"/>
      <c r="R1163" s="8"/>
      <c r="S1163" s="1"/>
      <c r="T1163" s="8"/>
      <c r="U1163" s="8"/>
      <c r="V1163" s="56"/>
      <c r="W1163" s="1"/>
      <c r="X1163" s="1"/>
      <c r="Y1163" s="8"/>
      <c r="Z1163" s="8"/>
      <c r="AA1163" s="8"/>
      <c r="AB1163" s="8"/>
      <c r="AC1163" s="8"/>
      <c r="AD1163" s="8"/>
      <c r="AE1163" s="8"/>
      <c r="AF1163" s="8"/>
      <c r="AG1163" s="8"/>
      <c r="AH1163" s="8"/>
      <c r="AI1163" s="8"/>
    </row>
    <row r="1164" spans="1:35">
      <c r="A1164" s="1"/>
      <c r="B1164" s="8"/>
      <c r="C1164" s="8"/>
      <c r="D1164" s="8"/>
      <c r="E1164" s="8"/>
      <c r="F1164" s="8"/>
      <c r="G1164" s="8"/>
      <c r="H1164" s="8"/>
      <c r="I1164" s="8"/>
      <c r="J1164" s="8"/>
      <c r="K1164" s="8"/>
      <c r="L1164" s="26"/>
      <c r="M1164" s="26"/>
      <c r="N1164" s="26"/>
      <c r="O1164" s="55"/>
      <c r="P1164" s="1"/>
      <c r="Q1164" s="8"/>
      <c r="R1164" s="8"/>
      <c r="S1164" s="1"/>
      <c r="T1164" s="8"/>
      <c r="U1164" s="8"/>
      <c r="V1164" s="56"/>
      <c r="W1164" s="1"/>
      <c r="X1164" s="1"/>
      <c r="Y1164" s="8"/>
      <c r="Z1164" s="8"/>
      <c r="AA1164" s="8"/>
      <c r="AB1164" s="8"/>
      <c r="AC1164" s="8"/>
      <c r="AD1164" s="8"/>
      <c r="AE1164" s="8"/>
      <c r="AF1164" s="8"/>
      <c r="AG1164" s="8"/>
      <c r="AH1164" s="8"/>
      <c r="AI1164" s="8"/>
    </row>
    <row r="1165" spans="1:35">
      <c r="A1165" s="1"/>
      <c r="B1165" s="8"/>
      <c r="C1165" s="8"/>
      <c r="D1165" s="8"/>
      <c r="E1165" s="8"/>
      <c r="F1165" s="8"/>
      <c r="G1165" s="8"/>
      <c r="H1165" s="8"/>
      <c r="I1165" s="8"/>
      <c r="J1165" s="8"/>
      <c r="K1165" s="8"/>
      <c r="L1165" s="26"/>
      <c r="M1165" s="26"/>
      <c r="N1165" s="26"/>
      <c r="O1165" s="55"/>
      <c r="P1165" s="1"/>
      <c r="Q1165" s="8"/>
      <c r="R1165" s="8"/>
      <c r="S1165" s="1"/>
      <c r="T1165" s="8"/>
      <c r="U1165" s="8"/>
      <c r="V1165" s="56"/>
      <c r="W1165" s="1"/>
      <c r="X1165" s="1"/>
      <c r="Y1165" s="8"/>
      <c r="Z1165" s="8"/>
      <c r="AA1165" s="8"/>
      <c r="AB1165" s="8"/>
      <c r="AC1165" s="8"/>
      <c r="AD1165" s="8"/>
      <c r="AE1165" s="8"/>
      <c r="AF1165" s="8"/>
      <c r="AG1165" s="8"/>
      <c r="AH1165" s="8"/>
      <c r="AI1165" s="8"/>
    </row>
    <row r="1166" spans="1:35">
      <c r="A1166" s="1"/>
      <c r="B1166" s="8"/>
      <c r="C1166" s="8"/>
      <c r="D1166" s="8"/>
      <c r="E1166" s="8"/>
      <c r="F1166" s="8"/>
      <c r="G1166" s="8"/>
      <c r="H1166" s="8"/>
      <c r="I1166" s="8"/>
      <c r="J1166" s="8"/>
      <c r="K1166" s="8"/>
      <c r="L1166" s="26"/>
      <c r="M1166" s="26"/>
      <c r="N1166" s="26"/>
      <c r="O1166" s="55"/>
      <c r="P1166" s="1"/>
      <c r="Q1166" s="8"/>
      <c r="R1166" s="8"/>
      <c r="S1166" s="1"/>
      <c r="T1166" s="8"/>
      <c r="U1166" s="8"/>
      <c r="V1166" s="56"/>
      <c r="W1166" s="1"/>
      <c r="X1166" s="1"/>
      <c r="Y1166" s="8"/>
      <c r="Z1166" s="8"/>
      <c r="AA1166" s="8"/>
      <c r="AB1166" s="8"/>
      <c r="AC1166" s="8"/>
      <c r="AD1166" s="8"/>
      <c r="AE1166" s="8"/>
      <c r="AF1166" s="8"/>
      <c r="AG1166" s="8"/>
      <c r="AH1166" s="8"/>
      <c r="AI1166" s="8"/>
    </row>
    <row r="1167" spans="1:35">
      <c r="A1167" s="1"/>
      <c r="B1167" s="8"/>
      <c r="C1167" s="8"/>
      <c r="D1167" s="8"/>
      <c r="E1167" s="8"/>
      <c r="F1167" s="8"/>
      <c r="G1167" s="8"/>
      <c r="H1167" s="8"/>
      <c r="I1167" s="8"/>
      <c r="J1167" s="8"/>
      <c r="K1167" s="8"/>
      <c r="L1167" s="26"/>
      <c r="M1167" s="26"/>
      <c r="N1167" s="26"/>
      <c r="O1167" s="55"/>
      <c r="P1167" s="1"/>
      <c r="Q1167" s="8"/>
      <c r="R1167" s="8"/>
      <c r="S1167" s="1"/>
      <c r="T1167" s="8"/>
      <c r="U1167" s="8"/>
      <c r="V1167" s="56"/>
      <c r="W1167" s="1"/>
      <c r="X1167" s="1"/>
      <c r="Y1167" s="8"/>
      <c r="Z1167" s="8"/>
      <c r="AA1167" s="8"/>
      <c r="AB1167" s="8"/>
      <c r="AC1167" s="8"/>
      <c r="AD1167" s="8"/>
      <c r="AE1167" s="8"/>
      <c r="AF1167" s="8"/>
      <c r="AG1167" s="8"/>
      <c r="AH1167" s="8"/>
      <c r="AI1167" s="8"/>
    </row>
    <row r="1168" spans="1:35">
      <c r="A1168" s="1"/>
      <c r="B1168" s="8"/>
      <c r="C1168" s="8"/>
      <c r="D1168" s="8"/>
      <c r="E1168" s="8"/>
      <c r="F1168" s="8"/>
      <c r="G1168" s="8"/>
      <c r="H1168" s="8"/>
      <c r="I1168" s="8"/>
      <c r="J1168" s="8"/>
      <c r="K1168" s="8"/>
      <c r="L1168" s="26"/>
      <c r="M1168" s="26"/>
      <c r="N1168" s="26"/>
      <c r="O1168" s="55"/>
      <c r="P1168" s="1"/>
      <c r="Q1168" s="8"/>
      <c r="R1168" s="8"/>
      <c r="S1168" s="1"/>
      <c r="T1168" s="8"/>
      <c r="U1168" s="8"/>
      <c r="V1168" s="56"/>
      <c r="W1168" s="1"/>
      <c r="X1168" s="1"/>
      <c r="Y1168" s="8"/>
      <c r="Z1168" s="8"/>
      <c r="AA1168" s="8"/>
      <c r="AB1168" s="8"/>
      <c r="AC1168" s="8"/>
      <c r="AD1168" s="8"/>
      <c r="AE1168" s="8"/>
      <c r="AF1168" s="8"/>
      <c r="AG1168" s="8"/>
      <c r="AH1168" s="8"/>
      <c r="AI1168" s="8"/>
    </row>
    <row r="1169" spans="1:35">
      <c r="A1169" s="1"/>
      <c r="B1169" s="8"/>
      <c r="C1169" s="8"/>
      <c r="D1169" s="8"/>
      <c r="E1169" s="8"/>
      <c r="F1169" s="8"/>
      <c r="G1169" s="8"/>
      <c r="H1169" s="8"/>
      <c r="I1169" s="8"/>
      <c r="J1169" s="8"/>
      <c r="K1169" s="8"/>
      <c r="L1169" s="26"/>
      <c r="M1169" s="26"/>
      <c r="N1169" s="26"/>
      <c r="O1169" s="55"/>
      <c r="P1169" s="1"/>
      <c r="Q1169" s="8"/>
      <c r="R1169" s="8"/>
      <c r="S1169" s="1"/>
      <c r="T1169" s="8"/>
      <c r="U1169" s="8"/>
      <c r="V1169" s="56"/>
      <c r="W1169" s="1"/>
      <c r="X1169" s="1"/>
      <c r="Y1169" s="8"/>
      <c r="Z1169" s="8"/>
      <c r="AA1169" s="8"/>
      <c r="AB1169" s="8"/>
      <c r="AC1169" s="8"/>
      <c r="AD1169" s="8"/>
      <c r="AE1169" s="8"/>
      <c r="AF1169" s="8"/>
      <c r="AG1169" s="8"/>
      <c r="AH1169" s="8"/>
      <c r="AI1169" s="8"/>
    </row>
    <row r="1170" spans="1:35">
      <c r="A1170" s="1"/>
      <c r="B1170" s="8"/>
      <c r="C1170" s="8"/>
      <c r="D1170" s="8"/>
      <c r="E1170" s="8"/>
      <c r="F1170" s="8"/>
      <c r="G1170" s="8"/>
      <c r="H1170" s="8"/>
      <c r="I1170" s="8"/>
      <c r="J1170" s="8"/>
      <c r="K1170" s="8"/>
      <c r="L1170" s="26"/>
      <c r="M1170" s="26"/>
      <c r="N1170" s="26"/>
      <c r="O1170" s="55"/>
      <c r="P1170" s="1"/>
      <c r="Q1170" s="8"/>
      <c r="R1170" s="8"/>
      <c r="S1170" s="1"/>
      <c r="T1170" s="8"/>
      <c r="U1170" s="8"/>
      <c r="V1170" s="56"/>
      <c r="W1170" s="1"/>
      <c r="X1170" s="1"/>
      <c r="Y1170" s="8"/>
      <c r="Z1170" s="8"/>
      <c r="AA1170" s="8"/>
      <c r="AB1170" s="8"/>
      <c r="AC1170" s="8"/>
      <c r="AD1170" s="8"/>
      <c r="AE1170" s="8"/>
      <c r="AF1170" s="8"/>
      <c r="AG1170" s="8"/>
      <c r="AH1170" s="8"/>
      <c r="AI1170" s="8"/>
    </row>
    <row r="1171" spans="1:35">
      <c r="A1171" s="1"/>
      <c r="B1171" s="8"/>
      <c r="C1171" s="8"/>
      <c r="D1171" s="8"/>
      <c r="E1171" s="8"/>
      <c r="F1171" s="8"/>
      <c r="G1171" s="8"/>
      <c r="H1171" s="8"/>
      <c r="I1171" s="8"/>
      <c r="J1171" s="8"/>
      <c r="K1171" s="8"/>
      <c r="L1171" s="26"/>
      <c r="M1171" s="26"/>
      <c r="N1171" s="26"/>
      <c r="O1171" s="55"/>
      <c r="P1171" s="1"/>
      <c r="Q1171" s="8"/>
      <c r="R1171" s="8"/>
      <c r="S1171" s="1"/>
      <c r="T1171" s="8"/>
      <c r="U1171" s="8"/>
      <c r="V1171" s="56"/>
      <c r="W1171" s="1"/>
      <c r="X1171" s="1"/>
      <c r="Y1171" s="8"/>
      <c r="Z1171" s="8"/>
      <c r="AA1171" s="8"/>
      <c r="AB1171" s="8"/>
      <c r="AC1171" s="8"/>
      <c r="AD1171" s="8"/>
      <c r="AE1171" s="8"/>
      <c r="AF1171" s="8"/>
      <c r="AG1171" s="8"/>
      <c r="AH1171" s="8"/>
      <c r="AI1171" s="8"/>
    </row>
    <row r="1172" spans="1:35">
      <c r="A1172" s="1"/>
      <c r="B1172" s="8"/>
      <c r="C1172" s="8"/>
      <c r="D1172" s="8"/>
      <c r="E1172" s="8"/>
      <c r="F1172" s="8"/>
      <c r="G1172" s="8"/>
      <c r="H1172" s="8"/>
      <c r="I1172" s="8"/>
      <c r="J1172" s="8"/>
      <c r="K1172" s="8"/>
      <c r="L1172" s="26"/>
      <c r="M1172" s="26"/>
      <c r="N1172" s="26"/>
      <c r="O1172" s="55"/>
      <c r="P1172" s="1"/>
      <c r="Q1172" s="8"/>
      <c r="R1172" s="8"/>
      <c r="S1172" s="1"/>
      <c r="T1172" s="8"/>
      <c r="U1172" s="8"/>
      <c r="V1172" s="56"/>
      <c r="W1172" s="1"/>
      <c r="X1172" s="1"/>
      <c r="Y1172" s="8"/>
      <c r="Z1172" s="8"/>
      <c r="AA1172" s="8"/>
      <c r="AB1172" s="8"/>
      <c r="AC1172" s="8"/>
      <c r="AD1172" s="8"/>
      <c r="AE1172" s="8"/>
      <c r="AF1172" s="8"/>
      <c r="AG1172" s="8"/>
      <c r="AH1172" s="8"/>
      <c r="AI1172" s="8"/>
    </row>
    <row r="1173" spans="1:35">
      <c r="A1173" s="1"/>
      <c r="B1173" s="8"/>
      <c r="C1173" s="8"/>
      <c r="D1173" s="8"/>
      <c r="E1173" s="8"/>
      <c r="F1173" s="8"/>
      <c r="G1173" s="8"/>
      <c r="H1173" s="8"/>
      <c r="I1173" s="8"/>
      <c r="J1173" s="8"/>
      <c r="K1173" s="8"/>
      <c r="L1173" s="26"/>
      <c r="M1173" s="26"/>
      <c r="N1173" s="26"/>
      <c r="O1173" s="55"/>
      <c r="P1173" s="1"/>
      <c r="Q1173" s="8"/>
      <c r="R1173" s="8"/>
      <c r="S1173" s="1"/>
      <c r="T1173" s="8"/>
      <c r="U1173" s="8"/>
      <c r="V1173" s="56"/>
      <c r="W1173" s="1"/>
      <c r="X1173" s="1"/>
      <c r="Y1173" s="8"/>
      <c r="Z1173" s="8"/>
      <c r="AA1173" s="8"/>
      <c r="AB1173" s="8"/>
      <c r="AC1173" s="8"/>
      <c r="AD1173" s="8"/>
      <c r="AE1173" s="8"/>
      <c r="AF1173" s="8"/>
      <c r="AG1173" s="8"/>
      <c r="AH1173" s="8"/>
      <c r="AI1173" s="8"/>
    </row>
    <row r="1174" spans="1:35">
      <c r="A1174" s="1"/>
      <c r="B1174" s="8"/>
      <c r="C1174" s="8"/>
      <c r="D1174" s="8"/>
      <c r="E1174" s="8"/>
      <c r="F1174" s="8"/>
      <c r="G1174" s="8"/>
      <c r="H1174" s="8"/>
      <c r="I1174" s="8"/>
      <c r="J1174" s="8"/>
      <c r="K1174" s="8"/>
      <c r="L1174" s="26"/>
      <c r="M1174" s="26"/>
      <c r="N1174" s="26"/>
      <c r="O1174" s="55"/>
      <c r="P1174" s="1"/>
      <c r="Q1174" s="8"/>
      <c r="R1174" s="8"/>
      <c r="S1174" s="1"/>
      <c r="T1174" s="8"/>
      <c r="U1174" s="8"/>
      <c r="V1174" s="56"/>
      <c r="W1174" s="1"/>
      <c r="X1174" s="1"/>
      <c r="Y1174" s="8"/>
      <c r="Z1174" s="8"/>
      <c r="AA1174" s="8"/>
      <c r="AB1174" s="8"/>
      <c r="AC1174" s="8"/>
      <c r="AD1174" s="8"/>
      <c r="AE1174" s="8"/>
      <c r="AF1174" s="8"/>
      <c r="AG1174" s="8"/>
      <c r="AH1174" s="8"/>
      <c r="AI1174" s="8"/>
    </row>
    <row r="1175" spans="1:35">
      <c r="A1175" s="1"/>
      <c r="B1175" s="8"/>
      <c r="C1175" s="8"/>
      <c r="D1175" s="8"/>
      <c r="E1175" s="8"/>
      <c r="F1175" s="8"/>
      <c r="G1175" s="8"/>
      <c r="H1175" s="8"/>
      <c r="I1175" s="8"/>
      <c r="J1175" s="8"/>
      <c r="K1175" s="8"/>
      <c r="L1175" s="26"/>
      <c r="M1175" s="26"/>
      <c r="N1175" s="26"/>
      <c r="O1175" s="55"/>
      <c r="P1175" s="1"/>
      <c r="Q1175" s="8"/>
      <c r="R1175" s="8"/>
      <c r="S1175" s="1"/>
      <c r="T1175" s="8"/>
      <c r="U1175" s="8"/>
      <c r="V1175" s="56"/>
      <c r="W1175" s="1"/>
      <c r="X1175" s="1"/>
      <c r="Y1175" s="8"/>
      <c r="Z1175" s="8"/>
      <c r="AA1175" s="8"/>
      <c r="AB1175" s="8"/>
      <c r="AC1175" s="8"/>
      <c r="AD1175" s="8"/>
      <c r="AE1175" s="8"/>
      <c r="AF1175" s="8"/>
      <c r="AG1175" s="8"/>
      <c r="AH1175" s="8"/>
      <c r="AI1175" s="8"/>
    </row>
    <row r="1176" spans="1:35">
      <c r="A1176" s="1"/>
      <c r="B1176" s="8"/>
      <c r="C1176" s="8"/>
      <c r="D1176" s="8"/>
      <c r="E1176" s="8"/>
      <c r="F1176" s="8"/>
      <c r="G1176" s="8"/>
      <c r="H1176" s="8"/>
      <c r="I1176" s="8"/>
      <c r="J1176" s="8"/>
      <c r="K1176" s="8"/>
      <c r="L1176" s="26"/>
      <c r="M1176" s="26"/>
      <c r="N1176" s="26"/>
      <c r="O1176" s="55"/>
      <c r="P1176" s="1"/>
      <c r="Q1176" s="8"/>
      <c r="R1176" s="8"/>
      <c r="S1176" s="1"/>
      <c r="T1176" s="8"/>
      <c r="U1176" s="8"/>
      <c r="V1176" s="56"/>
      <c r="W1176" s="1"/>
      <c r="X1176" s="1"/>
      <c r="Y1176" s="8"/>
      <c r="Z1176" s="8"/>
      <c r="AA1176" s="8"/>
      <c r="AB1176" s="8"/>
      <c r="AC1176" s="8"/>
      <c r="AD1176" s="8"/>
      <c r="AE1176" s="8"/>
      <c r="AF1176" s="8"/>
      <c r="AG1176" s="8"/>
      <c r="AH1176" s="8"/>
      <c r="AI1176" s="8"/>
    </row>
    <row r="1177" spans="1:35">
      <c r="A1177" s="1"/>
      <c r="B1177" s="8"/>
      <c r="C1177" s="8"/>
      <c r="D1177" s="8"/>
      <c r="E1177" s="8"/>
      <c r="F1177" s="8"/>
      <c r="G1177" s="8"/>
      <c r="H1177" s="8"/>
      <c r="I1177" s="8"/>
      <c r="J1177" s="8"/>
      <c r="K1177" s="8"/>
      <c r="L1177" s="26"/>
      <c r="M1177" s="26"/>
      <c r="N1177" s="26"/>
      <c r="O1177" s="55"/>
      <c r="P1177" s="1"/>
      <c r="Q1177" s="8"/>
      <c r="R1177" s="8"/>
      <c r="S1177" s="1"/>
      <c r="T1177" s="8"/>
      <c r="U1177" s="8"/>
      <c r="V1177" s="56"/>
      <c r="W1177" s="1"/>
      <c r="X1177" s="1"/>
      <c r="Y1177" s="8"/>
      <c r="Z1177" s="8"/>
      <c r="AA1177" s="8"/>
      <c r="AB1177" s="8"/>
      <c r="AC1177" s="8"/>
      <c r="AD1177" s="8"/>
      <c r="AE1177" s="8"/>
      <c r="AF1177" s="8"/>
      <c r="AG1177" s="8"/>
      <c r="AH1177" s="8"/>
      <c r="AI1177" s="8"/>
    </row>
    <row r="1178" spans="1:35">
      <c r="A1178" s="1"/>
      <c r="B1178" s="8"/>
      <c r="C1178" s="8"/>
      <c r="D1178" s="8"/>
      <c r="E1178" s="8"/>
      <c r="F1178" s="8"/>
      <c r="G1178" s="8"/>
      <c r="H1178" s="8"/>
      <c r="I1178" s="8"/>
      <c r="J1178" s="8"/>
      <c r="K1178" s="8"/>
      <c r="L1178" s="26"/>
      <c r="M1178" s="26"/>
      <c r="N1178" s="26"/>
      <c r="O1178" s="55"/>
      <c r="P1178" s="1"/>
      <c r="Q1178" s="8"/>
      <c r="R1178" s="8"/>
      <c r="S1178" s="1"/>
      <c r="T1178" s="8"/>
      <c r="U1178" s="8"/>
      <c r="V1178" s="56"/>
      <c r="W1178" s="1"/>
      <c r="X1178" s="1"/>
      <c r="Y1178" s="8"/>
      <c r="Z1178" s="8"/>
      <c r="AA1178" s="8"/>
      <c r="AB1178" s="8"/>
      <c r="AC1178" s="8"/>
      <c r="AD1178" s="8"/>
      <c r="AE1178" s="8"/>
      <c r="AF1178" s="8"/>
      <c r="AG1178" s="8"/>
      <c r="AH1178" s="8"/>
      <c r="AI1178" s="8"/>
    </row>
    <row r="1179" spans="1:35">
      <c r="A1179" s="1"/>
      <c r="B1179" s="8"/>
      <c r="C1179" s="8"/>
      <c r="D1179" s="8"/>
      <c r="E1179" s="8"/>
      <c r="F1179" s="8"/>
      <c r="G1179" s="8"/>
      <c r="H1179" s="8"/>
      <c r="I1179" s="8"/>
      <c r="J1179" s="8"/>
      <c r="K1179" s="8"/>
      <c r="L1179" s="26"/>
      <c r="M1179" s="26"/>
      <c r="N1179" s="26"/>
      <c r="O1179" s="55"/>
      <c r="P1179" s="1"/>
      <c r="Q1179" s="8"/>
      <c r="R1179" s="8"/>
      <c r="S1179" s="1"/>
      <c r="T1179" s="8"/>
      <c r="U1179" s="8"/>
      <c r="V1179" s="56"/>
      <c r="W1179" s="1"/>
      <c r="X1179" s="1"/>
      <c r="Y1179" s="8"/>
      <c r="Z1179" s="8"/>
      <c r="AA1179" s="8"/>
      <c r="AB1179" s="8"/>
      <c r="AC1179" s="8"/>
      <c r="AD1179" s="8"/>
      <c r="AE1179" s="8"/>
      <c r="AF1179" s="8"/>
      <c r="AG1179" s="8"/>
      <c r="AH1179" s="8"/>
      <c r="AI1179" s="8"/>
    </row>
    <row r="1180" spans="1:35">
      <c r="A1180" s="1"/>
      <c r="B1180" s="8"/>
      <c r="C1180" s="8"/>
      <c r="D1180" s="8"/>
      <c r="E1180" s="8"/>
      <c r="F1180" s="8"/>
      <c r="G1180" s="8"/>
      <c r="H1180" s="8"/>
      <c r="I1180" s="8"/>
      <c r="J1180" s="8"/>
      <c r="K1180" s="8"/>
      <c r="L1180" s="26"/>
      <c r="M1180" s="26"/>
      <c r="N1180" s="26"/>
      <c r="O1180" s="55"/>
      <c r="P1180" s="1"/>
      <c r="Q1180" s="8"/>
      <c r="R1180" s="8"/>
      <c r="S1180" s="1"/>
      <c r="T1180" s="8"/>
      <c r="U1180" s="8"/>
      <c r="V1180" s="56"/>
      <c r="W1180" s="1"/>
      <c r="X1180" s="1"/>
      <c r="Y1180" s="8"/>
      <c r="Z1180" s="8"/>
      <c r="AA1180" s="8"/>
      <c r="AB1180" s="8"/>
      <c r="AC1180" s="8"/>
      <c r="AD1180" s="8"/>
      <c r="AE1180" s="8"/>
      <c r="AF1180" s="8"/>
      <c r="AG1180" s="8"/>
      <c r="AH1180" s="8"/>
      <c r="AI1180" s="8"/>
    </row>
    <row r="1181" spans="1:35">
      <c r="A1181" s="1"/>
      <c r="B1181" s="8"/>
      <c r="C1181" s="8"/>
      <c r="D1181" s="8"/>
      <c r="E1181" s="8"/>
      <c r="F1181" s="8"/>
      <c r="G1181" s="8"/>
      <c r="H1181" s="8"/>
      <c r="I1181" s="8"/>
      <c r="J1181" s="8"/>
      <c r="K1181" s="8"/>
      <c r="L1181" s="26"/>
      <c r="M1181" s="26"/>
      <c r="N1181" s="26"/>
      <c r="O1181" s="55"/>
      <c r="P1181" s="1"/>
      <c r="Q1181" s="8"/>
      <c r="R1181" s="8"/>
      <c r="S1181" s="1"/>
      <c r="T1181" s="8"/>
      <c r="U1181" s="8"/>
      <c r="V1181" s="56"/>
      <c r="W1181" s="1"/>
      <c r="X1181" s="1"/>
      <c r="Y1181" s="8"/>
      <c r="Z1181" s="8"/>
      <c r="AA1181" s="8"/>
      <c r="AB1181" s="8"/>
      <c r="AC1181" s="8"/>
      <c r="AD1181" s="8"/>
      <c r="AE1181" s="8"/>
      <c r="AF1181" s="8"/>
      <c r="AG1181" s="8"/>
      <c r="AH1181" s="8"/>
      <c r="AI1181" s="8"/>
    </row>
    <row r="1182" spans="1:35">
      <c r="A1182" s="1"/>
      <c r="B1182" s="8"/>
      <c r="C1182" s="8"/>
      <c r="D1182" s="8"/>
      <c r="E1182" s="8"/>
      <c r="F1182" s="8"/>
      <c r="G1182" s="8"/>
      <c r="H1182" s="8"/>
      <c r="I1182" s="8"/>
      <c r="J1182" s="8"/>
      <c r="K1182" s="8"/>
      <c r="L1182" s="26"/>
      <c r="M1182" s="26"/>
      <c r="N1182" s="26"/>
      <c r="O1182" s="55"/>
      <c r="P1182" s="1"/>
      <c r="Q1182" s="8"/>
      <c r="R1182" s="8"/>
      <c r="S1182" s="1"/>
      <c r="T1182" s="8"/>
      <c r="U1182" s="8"/>
      <c r="V1182" s="56"/>
      <c r="W1182" s="1"/>
      <c r="X1182" s="1"/>
      <c r="Y1182" s="8"/>
      <c r="Z1182" s="8"/>
      <c r="AA1182" s="8"/>
      <c r="AB1182" s="8"/>
      <c r="AC1182" s="8"/>
      <c r="AD1182" s="8"/>
      <c r="AE1182" s="8"/>
      <c r="AF1182" s="8"/>
      <c r="AG1182" s="8"/>
      <c r="AH1182" s="8"/>
      <c r="AI1182" s="8"/>
    </row>
    <row r="1183" spans="1:35">
      <c r="A1183" s="1"/>
      <c r="B1183" s="8"/>
      <c r="C1183" s="8"/>
      <c r="D1183" s="8"/>
      <c r="E1183" s="8"/>
      <c r="F1183" s="8"/>
      <c r="G1183" s="8"/>
      <c r="H1183" s="8"/>
      <c r="I1183" s="8"/>
      <c r="J1183" s="8"/>
      <c r="K1183" s="8"/>
      <c r="L1183" s="26"/>
      <c r="M1183" s="26"/>
      <c r="N1183" s="26"/>
      <c r="O1183" s="55"/>
      <c r="P1183" s="1"/>
      <c r="Q1183" s="8"/>
      <c r="R1183" s="8"/>
      <c r="S1183" s="1"/>
      <c r="T1183" s="8"/>
      <c r="U1183" s="8"/>
      <c r="V1183" s="56"/>
      <c r="W1183" s="1"/>
      <c r="X1183" s="1"/>
      <c r="Y1183" s="8"/>
      <c r="Z1183" s="8"/>
      <c r="AA1183" s="8"/>
      <c r="AB1183" s="8"/>
      <c r="AC1183" s="8"/>
      <c r="AD1183" s="8"/>
      <c r="AE1183" s="8"/>
      <c r="AF1183" s="8"/>
      <c r="AG1183" s="8"/>
      <c r="AH1183" s="8"/>
      <c r="AI1183" s="8"/>
    </row>
    <row r="1184" spans="1:35">
      <c r="A1184" s="1"/>
      <c r="B1184" s="8"/>
      <c r="C1184" s="8"/>
      <c r="D1184" s="8"/>
      <c r="E1184" s="8"/>
      <c r="F1184" s="8"/>
      <c r="G1184" s="8"/>
      <c r="H1184" s="8"/>
      <c r="I1184" s="8"/>
      <c r="J1184" s="8"/>
      <c r="K1184" s="8"/>
      <c r="L1184" s="26"/>
      <c r="M1184" s="26"/>
      <c r="N1184" s="26"/>
      <c r="O1184" s="55"/>
      <c r="P1184" s="1"/>
      <c r="Q1184" s="8"/>
      <c r="R1184" s="8"/>
      <c r="S1184" s="1"/>
      <c r="T1184" s="8"/>
      <c r="U1184" s="8"/>
      <c r="V1184" s="56"/>
      <c r="W1184" s="1"/>
      <c r="X1184" s="1"/>
      <c r="Y1184" s="8"/>
      <c r="Z1184" s="8"/>
      <c r="AA1184" s="8"/>
      <c r="AB1184" s="8"/>
      <c r="AC1184" s="8"/>
      <c r="AD1184" s="8"/>
      <c r="AE1184" s="8"/>
      <c r="AF1184" s="8"/>
      <c r="AG1184" s="8"/>
      <c r="AH1184" s="8"/>
      <c r="AI1184" s="8"/>
    </row>
    <row r="1185" spans="1:35">
      <c r="A1185" s="1"/>
      <c r="B1185" s="8"/>
      <c r="C1185" s="8"/>
      <c r="D1185" s="8"/>
      <c r="E1185" s="8"/>
      <c r="F1185" s="8"/>
      <c r="G1185" s="8"/>
      <c r="H1185" s="8"/>
      <c r="I1185" s="8"/>
      <c r="J1185" s="8"/>
      <c r="K1185" s="8"/>
      <c r="L1185" s="26"/>
      <c r="M1185" s="26"/>
      <c r="N1185" s="26"/>
      <c r="O1185" s="55"/>
      <c r="P1185" s="1"/>
      <c r="Q1185" s="8"/>
      <c r="R1185" s="8"/>
      <c r="S1185" s="1"/>
      <c r="T1185" s="8"/>
      <c r="U1185" s="8"/>
      <c r="V1185" s="56"/>
      <c r="W1185" s="1"/>
      <c r="X1185" s="1"/>
      <c r="Y1185" s="8"/>
      <c r="Z1185" s="8"/>
      <c r="AA1185" s="8"/>
      <c r="AB1185" s="8"/>
      <c r="AC1185" s="8"/>
      <c r="AD1185" s="8"/>
      <c r="AE1185" s="8"/>
      <c r="AF1185" s="8"/>
      <c r="AG1185" s="8"/>
      <c r="AH1185" s="8"/>
      <c r="AI1185" s="8"/>
    </row>
    <row r="1186" spans="1:35">
      <c r="A1186" s="1"/>
      <c r="B1186" s="8"/>
      <c r="C1186" s="8"/>
      <c r="D1186" s="8"/>
      <c r="E1186" s="8"/>
      <c r="F1186" s="8"/>
      <c r="G1186" s="8"/>
      <c r="H1186" s="8"/>
      <c r="I1186" s="8"/>
      <c r="J1186" s="8"/>
      <c r="K1186" s="8"/>
      <c r="L1186" s="26"/>
      <c r="M1186" s="26"/>
      <c r="N1186" s="26"/>
      <c r="O1186" s="55"/>
      <c r="P1186" s="1"/>
      <c r="Q1186" s="8"/>
      <c r="R1186" s="8"/>
      <c r="S1186" s="1"/>
      <c r="T1186" s="8"/>
      <c r="U1186" s="8"/>
      <c r="V1186" s="56"/>
      <c r="W1186" s="1"/>
      <c r="X1186" s="1"/>
      <c r="Y1186" s="8"/>
      <c r="Z1186" s="8"/>
      <c r="AA1186" s="8"/>
      <c r="AB1186" s="8"/>
      <c r="AC1186" s="8"/>
      <c r="AD1186" s="8"/>
      <c r="AE1186" s="8"/>
      <c r="AF1186" s="8"/>
      <c r="AG1186" s="8"/>
      <c r="AH1186" s="8"/>
      <c r="AI1186" s="8"/>
    </row>
    <row r="1187" spans="1:35">
      <c r="A1187" s="1"/>
      <c r="B1187" s="8"/>
      <c r="C1187" s="8"/>
      <c r="D1187" s="8"/>
      <c r="E1187" s="8"/>
      <c r="F1187" s="8"/>
      <c r="G1187" s="8"/>
      <c r="H1187" s="8"/>
      <c r="I1187" s="8"/>
      <c r="J1187" s="8"/>
      <c r="K1187" s="8"/>
      <c r="L1187" s="26"/>
      <c r="M1187" s="26"/>
      <c r="N1187" s="26"/>
      <c r="O1187" s="55"/>
      <c r="P1187" s="1"/>
      <c r="Q1187" s="8"/>
      <c r="R1187" s="8"/>
      <c r="S1187" s="1"/>
      <c r="T1187" s="8"/>
      <c r="U1187" s="8"/>
      <c r="V1187" s="56"/>
      <c r="W1187" s="1"/>
      <c r="X1187" s="1"/>
      <c r="Y1187" s="8"/>
      <c r="Z1187" s="8"/>
      <c r="AA1187" s="8"/>
      <c r="AB1187" s="8"/>
      <c r="AC1187" s="8"/>
      <c r="AD1187" s="8"/>
      <c r="AE1187" s="8"/>
      <c r="AF1187" s="8"/>
      <c r="AG1187" s="8"/>
      <c r="AH1187" s="8"/>
      <c r="AI1187" s="8"/>
    </row>
    <row r="1188" spans="1:35">
      <c r="A1188" s="1"/>
      <c r="B1188" s="8"/>
      <c r="C1188" s="8"/>
      <c r="D1188" s="8"/>
      <c r="E1188" s="8"/>
      <c r="F1188" s="8"/>
      <c r="G1188" s="8"/>
      <c r="H1188" s="8"/>
      <c r="I1188" s="8"/>
      <c r="J1188" s="8"/>
      <c r="K1188" s="8"/>
      <c r="L1188" s="26"/>
      <c r="M1188" s="26"/>
      <c r="N1188" s="26"/>
      <c r="O1188" s="55"/>
      <c r="P1188" s="1"/>
      <c r="Q1188" s="8"/>
      <c r="R1188" s="8"/>
      <c r="S1188" s="1"/>
      <c r="T1188" s="8"/>
      <c r="U1188" s="8"/>
      <c r="V1188" s="56"/>
      <c r="W1188" s="1"/>
      <c r="X1188" s="1"/>
      <c r="Y1188" s="8"/>
      <c r="Z1188" s="8"/>
      <c r="AA1188" s="8"/>
      <c r="AB1188" s="8"/>
      <c r="AC1188" s="8"/>
      <c r="AD1188" s="8"/>
      <c r="AE1188" s="8"/>
      <c r="AF1188" s="8"/>
      <c r="AG1188" s="8"/>
      <c r="AH1188" s="8"/>
      <c r="AI1188" s="8"/>
    </row>
    <row r="1189" spans="1:35">
      <c r="A1189" s="1"/>
      <c r="B1189" s="8"/>
      <c r="C1189" s="8"/>
      <c r="D1189" s="8"/>
      <c r="E1189" s="8"/>
      <c r="F1189" s="8"/>
      <c r="G1189" s="8"/>
      <c r="H1189" s="8"/>
      <c r="I1189" s="8"/>
      <c r="J1189" s="8"/>
      <c r="K1189" s="8"/>
      <c r="L1189" s="26"/>
      <c r="M1189" s="26"/>
      <c r="N1189" s="26"/>
      <c r="O1189" s="55"/>
      <c r="P1189" s="1"/>
      <c r="Q1189" s="8"/>
      <c r="R1189" s="8"/>
      <c r="S1189" s="1"/>
      <c r="T1189" s="8"/>
      <c r="U1189" s="8"/>
      <c r="V1189" s="56"/>
      <c r="W1189" s="1"/>
      <c r="X1189" s="1"/>
      <c r="Y1189" s="8"/>
      <c r="Z1189" s="8"/>
      <c r="AA1189" s="8"/>
      <c r="AB1189" s="8"/>
      <c r="AC1189" s="8"/>
      <c r="AD1189" s="8"/>
      <c r="AE1189" s="8"/>
      <c r="AF1189" s="8"/>
      <c r="AG1189" s="8"/>
      <c r="AH1189" s="8"/>
      <c r="AI1189" s="8"/>
    </row>
    <row r="1190" spans="1:35">
      <c r="A1190" s="1"/>
      <c r="B1190" s="8"/>
      <c r="C1190" s="8"/>
      <c r="D1190" s="8"/>
      <c r="E1190" s="8"/>
      <c r="F1190" s="8"/>
      <c r="G1190" s="8"/>
      <c r="H1190" s="8"/>
      <c r="I1190" s="8"/>
      <c r="J1190" s="8"/>
      <c r="K1190" s="8"/>
      <c r="L1190" s="26"/>
      <c r="M1190" s="26"/>
      <c r="N1190" s="26"/>
      <c r="O1190" s="55"/>
      <c r="P1190" s="1"/>
      <c r="Q1190" s="8"/>
      <c r="R1190" s="8"/>
      <c r="S1190" s="1"/>
      <c r="T1190" s="8"/>
      <c r="U1190" s="8"/>
      <c r="V1190" s="56"/>
      <c r="W1190" s="1"/>
      <c r="X1190" s="1"/>
      <c r="Y1190" s="8"/>
      <c r="Z1190" s="8"/>
      <c r="AA1190" s="8"/>
      <c r="AB1190" s="8"/>
      <c r="AC1190" s="8"/>
      <c r="AD1190" s="8"/>
      <c r="AE1190" s="8"/>
      <c r="AF1190" s="8"/>
      <c r="AG1190" s="8"/>
      <c r="AH1190" s="8"/>
      <c r="AI1190" s="8"/>
    </row>
    <row r="1191" spans="1:35">
      <c r="A1191" s="1"/>
      <c r="B1191" s="8"/>
      <c r="C1191" s="8"/>
      <c r="D1191" s="8"/>
      <c r="E1191" s="8"/>
      <c r="F1191" s="8"/>
      <c r="G1191" s="8"/>
      <c r="H1191" s="8"/>
      <c r="I1191" s="8"/>
      <c r="J1191" s="8"/>
      <c r="K1191" s="8"/>
      <c r="L1191" s="26"/>
      <c r="M1191" s="26"/>
      <c r="N1191" s="26"/>
      <c r="O1191" s="55"/>
      <c r="P1191" s="1"/>
      <c r="Q1191" s="8"/>
      <c r="R1191" s="8"/>
      <c r="S1191" s="1"/>
      <c r="T1191" s="8"/>
      <c r="U1191" s="8"/>
      <c r="V1191" s="56"/>
      <c r="W1191" s="1"/>
      <c r="X1191" s="1"/>
      <c r="Y1191" s="8"/>
      <c r="Z1191" s="8"/>
      <c r="AA1191" s="8"/>
      <c r="AB1191" s="8"/>
      <c r="AC1191" s="8"/>
      <c r="AD1191" s="8"/>
      <c r="AE1191" s="8"/>
      <c r="AF1191" s="8"/>
      <c r="AG1191" s="8"/>
      <c r="AH1191" s="8"/>
      <c r="AI1191" s="8"/>
    </row>
    <row r="1192" spans="1:35">
      <c r="A1192" s="1"/>
      <c r="B1192" s="8"/>
      <c r="C1192" s="8"/>
      <c r="D1192" s="8"/>
      <c r="E1192" s="8"/>
      <c r="F1192" s="8"/>
      <c r="G1192" s="8"/>
      <c r="H1192" s="8"/>
      <c r="I1192" s="8"/>
      <c r="J1192" s="8"/>
      <c r="K1192" s="8"/>
      <c r="L1192" s="26"/>
      <c r="M1192" s="26"/>
      <c r="N1192" s="26"/>
      <c r="O1192" s="55"/>
      <c r="P1192" s="1"/>
      <c r="Q1192" s="8"/>
      <c r="R1192" s="8"/>
      <c r="S1192" s="1"/>
      <c r="T1192" s="8"/>
      <c r="U1192" s="8"/>
      <c r="V1192" s="56"/>
      <c r="W1192" s="1"/>
      <c r="X1192" s="1"/>
      <c r="Y1192" s="8"/>
      <c r="Z1192" s="8"/>
      <c r="AA1192" s="8"/>
      <c r="AB1192" s="8"/>
      <c r="AC1192" s="8"/>
      <c r="AD1192" s="8"/>
      <c r="AE1192" s="8"/>
      <c r="AF1192" s="8"/>
      <c r="AG1192" s="8"/>
      <c r="AH1192" s="8"/>
      <c r="AI1192" s="8"/>
    </row>
    <row r="1193" spans="1:35">
      <c r="A1193" s="1"/>
      <c r="B1193" s="8"/>
      <c r="C1193" s="8"/>
      <c r="D1193" s="8"/>
      <c r="E1193" s="8"/>
      <c r="F1193" s="8"/>
      <c r="G1193" s="8"/>
      <c r="H1193" s="8"/>
      <c r="I1193" s="8"/>
      <c r="J1193" s="8"/>
      <c r="K1193" s="8"/>
      <c r="L1193" s="26"/>
      <c r="M1193" s="26"/>
      <c r="N1193" s="26"/>
      <c r="O1193" s="55"/>
      <c r="P1193" s="1"/>
      <c r="Q1193" s="8"/>
      <c r="R1193" s="8"/>
      <c r="S1193" s="1"/>
      <c r="T1193" s="8"/>
      <c r="U1193" s="8"/>
      <c r="V1193" s="56"/>
      <c r="W1193" s="1"/>
      <c r="X1193" s="1"/>
      <c r="Y1193" s="8"/>
      <c r="Z1193" s="8"/>
      <c r="AA1193" s="8"/>
      <c r="AB1193" s="8"/>
      <c r="AC1193" s="8"/>
      <c r="AD1193" s="8"/>
      <c r="AE1193" s="8"/>
      <c r="AF1193" s="8"/>
      <c r="AG1193" s="8"/>
      <c r="AH1193" s="8"/>
      <c r="AI1193" s="8"/>
    </row>
    <row r="1194" spans="1:35">
      <c r="A1194" s="1"/>
      <c r="B1194" s="8"/>
      <c r="C1194" s="8"/>
      <c r="D1194" s="8"/>
      <c r="E1194" s="8"/>
      <c r="F1194" s="8"/>
      <c r="G1194" s="8"/>
      <c r="H1194" s="8"/>
      <c r="I1194" s="8"/>
      <c r="J1194" s="8"/>
      <c r="K1194" s="8"/>
      <c r="L1194" s="26"/>
      <c r="M1194" s="26"/>
      <c r="N1194" s="26"/>
      <c r="O1194" s="55"/>
      <c r="P1194" s="1"/>
      <c r="Q1194" s="8"/>
      <c r="R1194" s="8"/>
      <c r="S1194" s="1"/>
      <c r="T1194" s="8"/>
      <c r="U1194" s="8"/>
      <c r="V1194" s="56"/>
      <c r="W1194" s="1"/>
      <c r="X1194" s="1"/>
      <c r="Y1194" s="8"/>
      <c r="Z1194" s="8"/>
      <c r="AA1194" s="8"/>
      <c r="AB1194" s="8"/>
      <c r="AC1194" s="8"/>
      <c r="AD1194" s="8"/>
      <c r="AE1194" s="8"/>
      <c r="AF1194" s="8"/>
      <c r="AG1194" s="8"/>
      <c r="AH1194" s="8"/>
      <c r="AI1194" s="8"/>
    </row>
    <row r="1195" spans="1:35">
      <c r="A1195" s="1"/>
      <c r="B1195" s="8"/>
      <c r="C1195" s="8"/>
      <c r="D1195" s="8"/>
      <c r="E1195" s="8"/>
      <c r="F1195" s="8"/>
      <c r="G1195" s="8"/>
      <c r="H1195" s="8"/>
      <c r="I1195" s="8"/>
      <c r="J1195" s="8"/>
      <c r="K1195" s="8"/>
      <c r="L1195" s="26"/>
      <c r="M1195" s="26"/>
      <c r="N1195" s="26"/>
      <c r="O1195" s="55"/>
      <c r="P1195" s="1"/>
      <c r="Q1195" s="8"/>
      <c r="R1195" s="8"/>
      <c r="S1195" s="1"/>
      <c r="T1195" s="8"/>
      <c r="U1195" s="8"/>
      <c r="V1195" s="56"/>
      <c r="W1195" s="1"/>
      <c r="X1195" s="1"/>
      <c r="Y1195" s="8"/>
      <c r="Z1195" s="8"/>
      <c r="AA1195" s="8"/>
      <c r="AB1195" s="8"/>
      <c r="AC1195" s="8"/>
      <c r="AD1195" s="8"/>
      <c r="AE1195" s="8"/>
      <c r="AF1195" s="8"/>
      <c r="AG1195" s="8"/>
      <c r="AH1195" s="8"/>
      <c r="AI1195" s="8"/>
    </row>
    <row r="1196" spans="1:35">
      <c r="A1196" s="1"/>
      <c r="B1196" s="8"/>
      <c r="C1196" s="8"/>
      <c r="D1196" s="8"/>
      <c r="E1196" s="8"/>
      <c r="F1196" s="8"/>
      <c r="G1196" s="8"/>
      <c r="H1196" s="8"/>
      <c r="I1196" s="8"/>
      <c r="J1196" s="8"/>
      <c r="K1196" s="8"/>
      <c r="L1196" s="26"/>
      <c r="M1196" s="26"/>
      <c r="N1196" s="26"/>
      <c r="O1196" s="55"/>
      <c r="P1196" s="1"/>
      <c r="Q1196" s="8"/>
      <c r="R1196" s="8"/>
      <c r="S1196" s="1"/>
      <c r="T1196" s="8"/>
      <c r="U1196" s="8"/>
      <c r="V1196" s="56"/>
      <c r="W1196" s="1"/>
      <c r="X1196" s="1"/>
      <c r="Y1196" s="8"/>
      <c r="Z1196" s="8"/>
      <c r="AA1196" s="8"/>
      <c r="AB1196" s="8"/>
      <c r="AC1196" s="8"/>
      <c r="AD1196" s="8"/>
      <c r="AE1196" s="8"/>
      <c r="AF1196" s="8"/>
      <c r="AG1196" s="8"/>
      <c r="AH1196" s="8"/>
      <c r="AI1196" s="8"/>
    </row>
    <row r="1197" spans="1:35">
      <c r="A1197" s="1"/>
      <c r="B1197" s="8"/>
      <c r="C1197" s="8"/>
      <c r="D1197" s="8"/>
      <c r="E1197" s="8"/>
      <c r="F1197" s="8"/>
      <c r="G1197" s="8"/>
      <c r="H1197" s="8"/>
      <c r="I1197" s="8"/>
      <c r="J1197" s="8"/>
      <c r="K1197" s="8"/>
      <c r="L1197" s="26"/>
      <c r="M1197" s="26"/>
      <c r="N1197" s="26"/>
      <c r="O1197" s="55"/>
      <c r="P1197" s="1"/>
      <c r="Q1197" s="8"/>
      <c r="R1197" s="8"/>
      <c r="S1197" s="1"/>
      <c r="T1197" s="8"/>
      <c r="U1197" s="8"/>
      <c r="V1197" s="56"/>
      <c r="W1197" s="1"/>
      <c r="X1197" s="1"/>
      <c r="Y1197" s="8"/>
      <c r="Z1197" s="8"/>
      <c r="AA1197" s="8"/>
      <c r="AB1197" s="8"/>
      <c r="AC1197" s="8"/>
      <c r="AD1197" s="8"/>
      <c r="AE1197" s="8"/>
      <c r="AF1197" s="8"/>
      <c r="AG1197" s="8"/>
      <c r="AH1197" s="8"/>
      <c r="AI1197" s="8"/>
    </row>
    <row r="1198" spans="1:35">
      <c r="A1198" s="1"/>
      <c r="B1198" s="8"/>
      <c r="C1198" s="8"/>
      <c r="D1198" s="8"/>
      <c r="E1198" s="8"/>
      <c r="F1198" s="8"/>
      <c r="G1198" s="8"/>
      <c r="H1198" s="8"/>
      <c r="I1198" s="8"/>
      <c r="J1198" s="8"/>
      <c r="K1198" s="8"/>
      <c r="L1198" s="26"/>
      <c r="M1198" s="26"/>
      <c r="N1198" s="26"/>
      <c r="O1198" s="55"/>
      <c r="P1198" s="1"/>
      <c r="Q1198" s="8"/>
      <c r="R1198" s="8"/>
      <c r="S1198" s="1"/>
      <c r="T1198" s="8"/>
      <c r="U1198" s="8"/>
      <c r="V1198" s="56"/>
      <c r="W1198" s="1"/>
      <c r="X1198" s="1"/>
      <c r="Y1198" s="8"/>
      <c r="Z1198" s="8"/>
      <c r="AA1198" s="8"/>
      <c r="AB1198" s="8"/>
      <c r="AC1198" s="8"/>
      <c r="AD1198" s="8"/>
      <c r="AE1198" s="8"/>
      <c r="AF1198" s="8"/>
      <c r="AG1198" s="8"/>
      <c r="AH1198" s="8"/>
      <c r="AI1198" s="8"/>
    </row>
    <row r="1199" spans="1:35">
      <c r="A1199" s="1"/>
      <c r="B1199" s="8"/>
      <c r="C1199" s="8"/>
      <c r="D1199" s="8"/>
      <c r="E1199" s="8"/>
      <c r="F1199" s="8"/>
      <c r="G1199" s="8"/>
      <c r="H1199" s="8"/>
      <c r="I1199" s="8"/>
      <c r="J1199" s="8"/>
      <c r="K1199" s="8"/>
      <c r="L1199" s="26"/>
      <c r="M1199" s="26"/>
      <c r="N1199" s="26"/>
      <c r="O1199" s="55"/>
      <c r="P1199" s="1"/>
      <c r="Q1199" s="8"/>
      <c r="R1199" s="8"/>
      <c r="S1199" s="1"/>
      <c r="T1199" s="8"/>
      <c r="U1199" s="8"/>
      <c r="V1199" s="56"/>
      <c r="W1199" s="1"/>
      <c r="X1199" s="1"/>
      <c r="Y1199" s="8"/>
      <c r="Z1199" s="8"/>
      <c r="AA1199" s="8"/>
      <c r="AB1199" s="8"/>
      <c r="AC1199" s="8"/>
      <c r="AD1199" s="8"/>
      <c r="AE1199" s="8"/>
      <c r="AF1199" s="8"/>
      <c r="AG1199" s="8"/>
      <c r="AH1199" s="8"/>
      <c r="AI1199" s="8"/>
    </row>
    <row r="1200" spans="1:35">
      <c r="A1200" s="1"/>
      <c r="B1200" s="8"/>
      <c r="C1200" s="8"/>
      <c r="D1200" s="8"/>
      <c r="E1200" s="8"/>
      <c r="F1200" s="8"/>
      <c r="G1200" s="8"/>
      <c r="H1200" s="8"/>
      <c r="I1200" s="8"/>
      <c r="J1200" s="8"/>
      <c r="K1200" s="8"/>
      <c r="L1200" s="26"/>
      <c r="M1200" s="26"/>
      <c r="N1200" s="26"/>
      <c r="O1200" s="55"/>
      <c r="P1200" s="1"/>
      <c r="Q1200" s="8"/>
      <c r="R1200" s="8"/>
      <c r="S1200" s="1"/>
      <c r="T1200" s="8"/>
      <c r="U1200" s="8"/>
      <c r="V1200" s="56"/>
      <c r="W1200" s="1"/>
      <c r="X1200" s="1"/>
      <c r="Y1200" s="8"/>
      <c r="Z1200" s="8"/>
      <c r="AA1200" s="8"/>
      <c r="AB1200" s="8"/>
      <c r="AC1200" s="8"/>
      <c r="AD1200" s="8"/>
      <c r="AE1200" s="8"/>
      <c r="AF1200" s="8"/>
      <c r="AG1200" s="8"/>
      <c r="AH1200" s="8"/>
      <c r="AI1200" s="8"/>
    </row>
    <row r="1201" spans="1:35">
      <c r="A1201" s="1"/>
      <c r="B1201" s="8"/>
      <c r="C1201" s="8"/>
      <c r="D1201" s="8"/>
      <c r="E1201" s="8"/>
      <c r="F1201" s="8"/>
      <c r="G1201" s="8"/>
      <c r="H1201" s="8"/>
      <c r="I1201" s="8"/>
      <c r="J1201" s="8"/>
      <c r="K1201" s="8"/>
      <c r="L1201" s="26"/>
      <c r="M1201" s="26"/>
      <c r="N1201" s="26"/>
      <c r="O1201" s="55"/>
      <c r="P1201" s="1"/>
      <c r="Q1201" s="8"/>
      <c r="R1201" s="8"/>
      <c r="S1201" s="1"/>
      <c r="T1201" s="8"/>
      <c r="U1201" s="8"/>
      <c r="V1201" s="56"/>
      <c r="W1201" s="1"/>
      <c r="X1201" s="1"/>
      <c r="Y1201" s="8"/>
      <c r="Z1201" s="8"/>
      <c r="AA1201" s="8"/>
      <c r="AB1201" s="8"/>
      <c r="AC1201" s="8"/>
      <c r="AD1201" s="8"/>
      <c r="AE1201" s="8"/>
      <c r="AF1201" s="8"/>
      <c r="AG1201" s="8"/>
      <c r="AH1201" s="8"/>
      <c r="AI1201" s="8"/>
    </row>
    <row r="1202" spans="1:35">
      <c r="A1202" s="1"/>
      <c r="B1202" s="8"/>
      <c r="C1202" s="8"/>
      <c r="D1202" s="8"/>
      <c r="E1202" s="8"/>
      <c r="F1202" s="8"/>
      <c r="G1202" s="8"/>
      <c r="H1202" s="8"/>
      <c r="I1202" s="8"/>
      <c r="J1202" s="8"/>
      <c r="K1202" s="8"/>
      <c r="L1202" s="26"/>
      <c r="M1202" s="26"/>
      <c r="N1202" s="26"/>
      <c r="O1202" s="55"/>
      <c r="P1202" s="1"/>
      <c r="Q1202" s="8"/>
      <c r="R1202" s="8"/>
      <c r="S1202" s="1"/>
      <c r="T1202" s="8"/>
      <c r="U1202" s="8"/>
      <c r="V1202" s="56"/>
      <c r="W1202" s="1"/>
      <c r="X1202" s="1"/>
      <c r="Y1202" s="8"/>
      <c r="Z1202" s="8"/>
      <c r="AA1202" s="8"/>
      <c r="AB1202" s="8"/>
      <c r="AC1202" s="8"/>
      <c r="AD1202" s="8"/>
      <c r="AE1202" s="8"/>
      <c r="AF1202" s="8"/>
      <c r="AG1202" s="8"/>
      <c r="AH1202" s="8"/>
      <c r="AI1202" s="8"/>
    </row>
    <row r="1203" spans="1:35">
      <c r="A1203" s="1"/>
      <c r="B1203" s="8"/>
      <c r="C1203" s="8"/>
      <c r="D1203" s="8"/>
      <c r="E1203" s="8"/>
      <c r="F1203" s="8"/>
      <c r="G1203" s="8"/>
      <c r="H1203" s="8"/>
      <c r="I1203" s="8"/>
      <c r="J1203" s="8"/>
      <c r="K1203" s="8"/>
      <c r="L1203" s="26"/>
      <c r="M1203" s="26"/>
      <c r="N1203" s="26"/>
      <c r="O1203" s="55"/>
      <c r="P1203" s="1"/>
      <c r="Q1203" s="8"/>
      <c r="R1203" s="8"/>
      <c r="S1203" s="1"/>
      <c r="T1203" s="8"/>
      <c r="U1203" s="8"/>
      <c r="V1203" s="56"/>
      <c r="W1203" s="1"/>
      <c r="X1203" s="1"/>
      <c r="Y1203" s="8"/>
      <c r="Z1203" s="8"/>
      <c r="AA1203" s="8"/>
      <c r="AB1203" s="8"/>
      <c r="AC1203" s="8"/>
      <c r="AD1203" s="8"/>
      <c r="AE1203" s="8"/>
      <c r="AF1203" s="8"/>
      <c r="AG1203" s="8"/>
      <c r="AH1203" s="8"/>
      <c r="AI1203" s="8"/>
    </row>
    <row r="1204" spans="1:35">
      <c r="A1204" s="1"/>
      <c r="B1204" s="8"/>
      <c r="C1204" s="8"/>
      <c r="D1204" s="8"/>
      <c r="E1204" s="8"/>
      <c r="F1204" s="8"/>
      <c r="G1204" s="8"/>
      <c r="H1204" s="8"/>
      <c r="I1204" s="8"/>
      <c r="J1204" s="8"/>
      <c r="K1204" s="8"/>
      <c r="L1204" s="26"/>
      <c r="M1204" s="26"/>
      <c r="N1204" s="26"/>
      <c r="O1204" s="55"/>
      <c r="P1204" s="1"/>
      <c r="Q1204" s="8"/>
      <c r="R1204" s="8"/>
      <c r="S1204" s="1"/>
      <c r="T1204" s="8"/>
      <c r="U1204" s="8"/>
      <c r="V1204" s="56"/>
      <c r="W1204" s="1"/>
      <c r="X1204" s="1"/>
      <c r="Y1204" s="8"/>
      <c r="Z1204" s="8"/>
      <c r="AA1204" s="8"/>
      <c r="AB1204" s="8"/>
      <c r="AC1204" s="8"/>
      <c r="AD1204" s="8"/>
      <c r="AE1204" s="8"/>
      <c r="AF1204" s="8"/>
      <c r="AG1204" s="8"/>
      <c r="AH1204" s="8"/>
      <c r="AI1204" s="8"/>
    </row>
    <row r="1205" spans="1:35">
      <c r="A1205" s="1"/>
      <c r="B1205" s="8"/>
      <c r="C1205" s="8"/>
      <c r="D1205" s="8"/>
      <c r="E1205" s="8"/>
      <c r="F1205" s="8"/>
      <c r="G1205" s="8"/>
      <c r="H1205" s="8"/>
      <c r="I1205" s="8"/>
      <c r="J1205" s="8"/>
      <c r="K1205" s="8"/>
      <c r="L1205" s="26"/>
      <c r="M1205" s="26"/>
      <c r="N1205" s="26"/>
      <c r="O1205" s="55"/>
      <c r="P1205" s="1"/>
      <c r="Q1205" s="8"/>
      <c r="R1205" s="8"/>
      <c r="S1205" s="1"/>
      <c r="T1205" s="8"/>
      <c r="U1205" s="8"/>
      <c r="V1205" s="56"/>
      <c r="W1205" s="1"/>
      <c r="X1205" s="1"/>
      <c r="Y1205" s="8"/>
      <c r="Z1205" s="8"/>
      <c r="AA1205" s="8"/>
      <c r="AB1205" s="8"/>
      <c r="AC1205" s="8"/>
      <c r="AD1205" s="8"/>
      <c r="AE1205" s="8"/>
      <c r="AF1205" s="8"/>
      <c r="AG1205" s="8"/>
      <c r="AH1205" s="8"/>
      <c r="AI1205" s="8"/>
    </row>
    <row r="1206" spans="1:35">
      <c r="A1206" s="1"/>
      <c r="B1206" s="8"/>
      <c r="C1206" s="8"/>
      <c r="D1206" s="8"/>
      <c r="E1206" s="8"/>
      <c r="F1206" s="8"/>
      <c r="G1206" s="8"/>
      <c r="H1206" s="8"/>
      <c r="I1206" s="8"/>
      <c r="J1206" s="8"/>
      <c r="K1206" s="8"/>
      <c r="L1206" s="26"/>
      <c r="M1206" s="26"/>
      <c r="N1206" s="26"/>
      <c r="O1206" s="55"/>
      <c r="P1206" s="1"/>
      <c r="Q1206" s="8"/>
      <c r="R1206" s="8"/>
      <c r="S1206" s="1"/>
      <c r="T1206" s="8"/>
      <c r="U1206" s="8"/>
      <c r="V1206" s="56"/>
      <c r="W1206" s="1"/>
      <c r="X1206" s="1"/>
      <c r="Y1206" s="8"/>
      <c r="Z1206" s="8"/>
      <c r="AA1206" s="8"/>
      <c r="AB1206" s="8"/>
      <c r="AC1206" s="8"/>
      <c r="AD1206" s="8"/>
      <c r="AE1206" s="8"/>
      <c r="AF1206" s="8"/>
      <c r="AG1206" s="8"/>
      <c r="AH1206" s="8"/>
      <c r="AI1206" s="8"/>
    </row>
    <row r="1207" spans="1:35">
      <c r="A1207" s="1"/>
      <c r="B1207" s="8"/>
      <c r="C1207" s="8"/>
      <c r="D1207" s="8"/>
      <c r="E1207" s="8"/>
      <c r="F1207" s="8"/>
      <c r="G1207" s="8"/>
      <c r="H1207" s="8"/>
      <c r="I1207" s="8"/>
      <c r="J1207" s="8"/>
      <c r="K1207" s="8"/>
      <c r="L1207" s="26"/>
      <c r="M1207" s="26"/>
      <c r="N1207" s="26"/>
      <c r="O1207" s="55"/>
      <c r="P1207" s="1"/>
      <c r="Q1207" s="8"/>
      <c r="R1207" s="8"/>
      <c r="S1207" s="1"/>
      <c r="T1207" s="8"/>
      <c r="U1207" s="8"/>
      <c r="V1207" s="56"/>
      <c r="W1207" s="1"/>
      <c r="X1207" s="1"/>
      <c r="Y1207" s="8"/>
      <c r="Z1207" s="8"/>
      <c r="AA1207" s="8"/>
      <c r="AB1207" s="8"/>
      <c r="AC1207" s="8"/>
      <c r="AD1207" s="8"/>
      <c r="AE1207" s="8"/>
      <c r="AF1207" s="8"/>
      <c r="AG1207" s="8"/>
      <c r="AH1207" s="8"/>
      <c r="AI1207" s="8"/>
    </row>
    <row r="1208" spans="1:35">
      <c r="A1208" s="1"/>
      <c r="B1208" s="8"/>
      <c r="C1208" s="8"/>
      <c r="D1208" s="8"/>
      <c r="E1208" s="8"/>
      <c r="F1208" s="8"/>
      <c r="G1208" s="8"/>
      <c r="H1208" s="8"/>
      <c r="I1208" s="8"/>
      <c r="J1208" s="8"/>
      <c r="K1208" s="8"/>
      <c r="L1208" s="26"/>
      <c r="M1208" s="26"/>
      <c r="N1208" s="26"/>
      <c r="O1208" s="55"/>
      <c r="P1208" s="1"/>
      <c r="Q1208" s="8"/>
      <c r="R1208" s="8"/>
      <c r="S1208" s="1"/>
      <c r="T1208" s="8"/>
      <c r="U1208" s="8"/>
      <c r="V1208" s="56"/>
      <c r="W1208" s="1"/>
      <c r="X1208" s="1"/>
      <c r="Y1208" s="8"/>
      <c r="Z1208" s="8"/>
      <c r="AA1208" s="8"/>
      <c r="AB1208" s="8"/>
      <c r="AC1208" s="8"/>
      <c r="AD1208" s="8"/>
      <c r="AE1208" s="8"/>
      <c r="AF1208" s="8"/>
      <c r="AG1208" s="8"/>
      <c r="AH1208" s="8"/>
      <c r="AI1208" s="8"/>
    </row>
    <row r="1209" spans="1:35">
      <c r="A1209" s="1"/>
      <c r="B1209" s="8"/>
      <c r="C1209" s="8"/>
      <c r="D1209" s="8"/>
      <c r="E1209" s="8"/>
      <c r="F1209" s="8"/>
      <c r="G1209" s="8"/>
      <c r="H1209" s="8"/>
      <c r="I1209" s="8"/>
      <c r="J1209" s="8"/>
      <c r="K1209" s="8"/>
      <c r="L1209" s="26"/>
      <c r="M1209" s="26"/>
      <c r="N1209" s="26"/>
      <c r="O1209" s="55"/>
      <c r="P1209" s="1"/>
      <c r="Q1209" s="8"/>
      <c r="R1209" s="8"/>
      <c r="S1209" s="1"/>
      <c r="T1209" s="8"/>
      <c r="U1209" s="8"/>
      <c r="V1209" s="56"/>
      <c r="W1209" s="1"/>
      <c r="X1209" s="1"/>
      <c r="Y1209" s="8"/>
      <c r="Z1209" s="8"/>
      <c r="AA1209" s="8"/>
      <c r="AB1209" s="8"/>
      <c r="AC1209" s="8"/>
      <c r="AD1209" s="8"/>
      <c r="AE1209" s="8"/>
      <c r="AF1209" s="8"/>
      <c r="AG1209" s="8"/>
      <c r="AH1209" s="8"/>
      <c r="AI1209" s="8"/>
    </row>
    <row r="1210" spans="1:35">
      <c r="A1210" s="1"/>
      <c r="B1210" s="8"/>
      <c r="C1210" s="8"/>
      <c r="D1210" s="8"/>
      <c r="E1210" s="8"/>
      <c r="F1210" s="8"/>
      <c r="G1210" s="8"/>
      <c r="H1210" s="8"/>
      <c r="I1210" s="8"/>
      <c r="J1210" s="8"/>
      <c r="K1210" s="8"/>
      <c r="L1210" s="26"/>
      <c r="M1210" s="26"/>
      <c r="N1210" s="26"/>
      <c r="O1210" s="55"/>
      <c r="P1210" s="1"/>
      <c r="Q1210" s="8"/>
      <c r="R1210" s="8"/>
      <c r="S1210" s="1"/>
      <c r="T1210" s="8"/>
      <c r="U1210" s="8"/>
      <c r="V1210" s="56"/>
      <c r="W1210" s="1"/>
      <c r="X1210" s="1"/>
      <c r="Y1210" s="8"/>
      <c r="Z1210" s="8"/>
      <c r="AA1210" s="8"/>
      <c r="AB1210" s="8"/>
      <c r="AC1210" s="8"/>
      <c r="AD1210" s="8"/>
      <c r="AE1210" s="8"/>
      <c r="AF1210" s="8"/>
      <c r="AG1210" s="8"/>
      <c r="AH1210" s="8"/>
      <c r="AI1210" s="8"/>
    </row>
    <row r="1211" spans="1:35">
      <c r="A1211" s="1"/>
      <c r="B1211" s="8"/>
      <c r="C1211" s="8"/>
      <c r="D1211" s="8"/>
      <c r="E1211" s="8"/>
      <c r="F1211" s="8"/>
      <c r="G1211" s="8"/>
      <c r="H1211" s="8"/>
      <c r="I1211" s="8"/>
      <c r="J1211" s="8"/>
      <c r="K1211" s="8"/>
      <c r="L1211" s="26"/>
      <c r="M1211" s="26"/>
      <c r="N1211" s="26"/>
      <c r="O1211" s="55"/>
      <c r="P1211" s="1"/>
      <c r="Q1211" s="8"/>
      <c r="R1211" s="8"/>
      <c r="S1211" s="1"/>
      <c r="T1211" s="8"/>
      <c r="U1211" s="8"/>
      <c r="V1211" s="56"/>
      <c r="W1211" s="1"/>
      <c r="X1211" s="1"/>
      <c r="Y1211" s="8"/>
      <c r="Z1211" s="8"/>
      <c r="AA1211" s="8"/>
      <c r="AB1211" s="8"/>
      <c r="AC1211" s="8"/>
      <c r="AD1211" s="8"/>
      <c r="AE1211" s="8"/>
      <c r="AF1211" s="8"/>
      <c r="AG1211" s="8"/>
      <c r="AH1211" s="8"/>
      <c r="AI1211" s="8"/>
    </row>
    <row r="1212" spans="1:35">
      <c r="A1212" s="1"/>
      <c r="B1212" s="8"/>
      <c r="C1212" s="8"/>
      <c r="D1212" s="8"/>
      <c r="E1212" s="8"/>
      <c r="F1212" s="8"/>
      <c r="G1212" s="8"/>
      <c r="H1212" s="8"/>
      <c r="I1212" s="8"/>
      <c r="J1212" s="8"/>
      <c r="K1212" s="8"/>
      <c r="L1212" s="26"/>
      <c r="M1212" s="26"/>
      <c r="N1212" s="26"/>
      <c r="O1212" s="55"/>
      <c r="P1212" s="1"/>
      <c r="Q1212" s="8"/>
      <c r="R1212" s="8"/>
      <c r="S1212" s="1"/>
      <c r="T1212" s="8"/>
      <c r="U1212" s="8"/>
      <c r="V1212" s="56"/>
      <c r="W1212" s="1"/>
      <c r="X1212" s="1"/>
      <c r="Y1212" s="8"/>
      <c r="Z1212" s="8"/>
      <c r="AA1212" s="8"/>
      <c r="AB1212" s="8"/>
      <c r="AC1212" s="8"/>
      <c r="AD1212" s="8"/>
      <c r="AE1212" s="8"/>
      <c r="AF1212" s="8"/>
      <c r="AG1212" s="8"/>
      <c r="AH1212" s="8"/>
      <c r="AI1212" s="8"/>
    </row>
    <row r="1213" spans="1:35">
      <c r="A1213" s="1"/>
      <c r="B1213" s="8"/>
      <c r="C1213" s="8"/>
      <c r="D1213" s="8"/>
      <c r="E1213" s="8"/>
      <c r="F1213" s="8"/>
      <c r="G1213" s="8"/>
      <c r="H1213" s="8"/>
      <c r="I1213" s="8"/>
      <c r="J1213" s="8"/>
      <c r="K1213" s="8"/>
      <c r="L1213" s="26"/>
      <c r="M1213" s="26"/>
      <c r="N1213" s="26"/>
      <c r="O1213" s="55"/>
      <c r="P1213" s="1"/>
      <c r="Q1213" s="8"/>
      <c r="R1213" s="8"/>
      <c r="S1213" s="1"/>
      <c r="T1213" s="8"/>
      <c r="U1213" s="8"/>
      <c r="V1213" s="56"/>
      <c r="W1213" s="1"/>
      <c r="X1213" s="1"/>
      <c r="Y1213" s="8"/>
      <c r="Z1213" s="8"/>
      <c r="AA1213" s="8"/>
      <c r="AB1213" s="8"/>
      <c r="AC1213" s="8"/>
      <c r="AD1213" s="8"/>
      <c r="AE1213" s="8"/>
      <c r="AF1213" s="8"/>
      <c r="AG1213" s="8"/>
      <c r="AH1213" s="8"/>
      <c r="AI1213" s="8"/>
    </row>
    <row r="1214" spans="1:35">
      <c r="A1214" s="1"/>
      <c r="B1214" s="8"/>
      <c r="C1214" s="8"/>
      <c r="D1214" s="8"/>
      <c r="E1214" s="8"/>
      <c r="F1214" s="8"/>
      <c r="G1214" s="8"/>
      <c r="H1214" s="8"/>
      <c r="I1214" s="8"/>
      <c r="J1214" s="8"/>
      <c r="K1214" s="8"/>
      <c r="L1214" s="26"/>
      <c r="M1214" s="26"/>
      <c r="N1214" s="26"/>
      <c r="O1214" s="55"/>
      <c r="P1214" s="1"/>
      <c r="Q1214" s="8"/>
      <c r="R1214" s="8"/>
      <c r="S1214" s="1"/>
      <c r="T1214" s="8"/>
      <c r="U1214" s="8"/>
      <c r="V1214" s="56"/>
      <c r="W1214" s="1"/>
      <c r="X1214" s="1"/>
      <c r="Y1214" s="8"/>
      <c r="Z1214" s="8"/>
      <c r="AA1214" s="8"/>
      <c r="AB1214" s="8"/>
      <c r="AC1214" s="8"/>
      <c r="AD1214" s="8"/>
      <c r="AE1214" s="8"/>
      <c r="AF1214" s="8"/>
      <c r="AG1214" s="8"/>
      <c r="AH1214" s="8"/>
      <c r="AI1214" s="8"/>
    </row>
    <row r="1215" spans="1:35">
      <c r="A1215" s="1"/>
      <c r="B1215" s="8"/>
      <c r="C1215" s="8"/>
      <c r="D1215" s="8"/>
      <c r="E1215" s="8"/>
      <c r="F1215" s="8"/>
      <c r="G1215" s="8"/>
      <c r="H1215" s="8"/>
      <c r="I1215" s="8"/>
      <c r="J1215" s="8"/>
      <c r="K1215" s="8"/>
      <c r="L1215" s="26"/>
      <c r="M1215" s="26"/>
      <c r="N1215" s="26"/>
      <c r="O1215" s="55"/>
      <c r="P1215" s="1"/>
      <c r="Q1215" s="8"/>
      <c r="R1215" s="8"/>
      <c r="S1215" s="1"/>
      <c r="T1215" s="8"/>
      <c r="U1215" s="8"/>
      <c r="V1215" s="56"/>
      <c r="W1215" s="1"/>
      <c r="X1215" s="1"/>
      <c r="Y1215" s="8"/>
      <c r="Z1215" s="8"/>
      <c r="AA1215" s="8"/>
      <c r="AB1215" s="8"/>
      <c r="AC1215" s="8"/>
      <c r="AD1215" s="8"/>
      <c r="AE1215" s="8"/>
      <c r="AF1215" s="8"/>
      <c r="AG1215" s="8"/>
      <c r="AH1215" s="8"/>
      <c r="AI1215" s="8"/>
    </row>
    <row r="1216" spans="1:35">
      <c r="A1216" s="1"/>
      <c r="B1216" s="8"/>
      <c r="C1216" s="8"/>
      <c r="D1216" s="8"/>
      <c r="E1216" s="8"/>
      <c r="F1216" s="8"/>
      <c r="G1216" s="8"/>
      <c r="H1216" s="8"/>
      <c r="I1216" s="8"/>
      <c r="J1216" s="8"/>
      <c r="K1216" s="8"/>
      <c r="L1216" s="26"/>
      <c r="M1216" s="26"/>
      <c r="N1216" s="26"/>
      <c r="O1216" s="55"/>
      <c r="P1216" s="1"/>
      <c r="Q1216" s="8"/>
      <c r="R1216" s="8"/>
      <c r="S1216" s="1"/>
      <c r="T1216" s="8"/>
      <c r="U1216" s="8"/>
      <c r="V1216" s="56"/>
      <c r="W1216" s="1"/>
      <c r="X1216" s="1"/>
      <c r="Y1216" s="8"/>
      <c r="Z1216" s="8"/>
      <c r="AA1216" s="8"/>
      <c r="AB1216" s="8"/>
      <c r="AC1216" s="8"/>
      <c r="AD1216" s="8"/>
      <c r="AE1216" s="8"/>
      <c r="AF1216" s="8"/>
      <c r="AG1216" s="8"/>
      <c r="AH1216" s="8"/>
      <c r="AI1216" s="8"/>
    </row>
    <row r="1217" spans="1:35">
      <c r="A1217" s="1"/>
      <c r="B1217" s="8"/>
      <c r="C1217" s="8"/>
      <c r="D1217" s="8"/>
      <c r="E1217" s="8"/>
      <c r="F1217" s="8"/>
      <c r="G1217" s="8"/>
      <c r="H1217" s="8"/>
      <c r="I1217" s="8"/>
      <c r="J1217" s="8"/>
      <c r="K1217" s="8"/>
      <c r="L1217" s="26"/>
      <c r="M1217" s="26"/>
      <c r="N1217" s="26"/>
      <c r="O1217" s="55"/>
      <c r="P1217" s="1"/>
      <c r="Q1217" s="8"/>
      <c r="R1217" s="8"/>
      <c r="S1217" s="1"/>
      <c r="T1217" s="8"/>
      <c r="U1217" s="8"/>
      <c r="V1217" s="56"/>
      <c r="W1217" s="1"/>
      <c r="X1217" s="1"/>
      <c r="Y1217" s="8"/>
      <c r="Z1217" s="8"/>
      <c r="AA1217" s="8"/>
      <c r="AB1217" s="8"/>
      <c r="AC1217" s="8"/>
      <c r="AD1217" s="8"/>
      <c r="AE1217" s="8"/>
      <c r="AF1217" s="8"/>
      <c r="AG1217" s="8"/>
      <c r="AH1217" s="8"/>
      <c r="AI1217" s="8"/>
    </row>
    <row r="1218" spans="1:35">
      <c r="A1218" s="1"/>
      <c r="B1218" s="8"/>
      <c r="C1218" s="8"/>
      <c r="D1218" s="8"/>
      <c r="E1218" s="8"/>
      <c r="F1218" s="8"/>
      <c r="G1218" s="8"/>
      <c r="H1218" s="8"/>
      <c r="I1218" s="8"/>
      <c r="J1218" s="8"/>
      <c r="K1218" s="8"/>
      <c r="L1218" s="26"/>
      <c r="M1218" s="26"/>
      <c r="N1218" s="26"/>
      <c r="O1218" s="55"/>
      <c r="P1218" s="1"/>
      <c r="Q1218" s="8"/>
      <c r="R1218" s="8"/>
      <c r="S1218" s="1"/>
      <c r="T1218" s="8"/>
      <c r="U1218" s="8"/>
      <c r="V1218" s="56"/>
      <c r="W1218" s="1"/>
      <c r="X1218" s="1"/>
      <c r="Y1218" s="8"/>
      <c r="Z1218" s="8"/>
      <c r="AA1218" s="8"/>
      <c r="AB1218" s="8"/>
      <c r="AC1218" s="8"/>
      <c r="AD1218" s="8"/>
      <c r="AE1218" s="8"/>
      <c r="AF1218" s="8"/>
      <c r="AG1218" s="8"/>
      <c r="AH1218" s="8"/>
      <c r="AI1218" s="8"/>
    </row>
    <row r="1219" spans="1:35">
      <c r="A1219" s="1"/>
      <c r="B1219" s="8"/>
      <c r="C1219" s="8"/>
      <c r="D1219" s="8"/>
      <c r="E1219" s="8"/>
      <c r="F1219" s="8"/>
      <c r="G1219" s="8"/>
      <c r="H1219" s="8"/>
      <c r="I1219" s="8"/>
      <c r="J1219" s="8"/>
      <c r="K1219" s="8"/>
      <c r="L1219" s="26"/>
      <c r="M1219" s="26"/>
      <c r="N1219" s="26"/>
      <c r="O1219" s="55"/>
      <c r="P1219" s="1"/>
      <c r="Q1219" s="8"/>
      <c r="R1219" s="8"/>
      <c r="S1219" s="1"/>
      <c r="T1219" s="8"/>
      <c r="U1219" s="8"/>
      <c r="V1219" s="56"/>
      <c r="W1219" s="1"/>
      <c r="X1219" s="1"/>
      <c r="Y1219" s="8"/>
      <c r="Z1219" s="8"/>
      <c r="AA1219" s="8"/>
      <c r="AB1219" s="8"/>
      <c r="AC1219" s="8"/>
      <c r="AD1219" s="8"/>
      <c r="AE1219" s="8"/>
      <c r="AF1219" s="8"/>
      <c r="AG1219" s="8"/>
      <c r="AH1219" s="8"/>
      <c r="AI1219" s="8"/>
    </row>
    <row r="1220" spans="1:35">
      <c r="A1220" s="1"/>
      <c r="B1220" s="8"/>
      <c r="C1220" s="8"/>
      <c r="D1220" s="8"/>
      <c r="E1220" s="8"/>
      <c r="F1220" s="8"/>
      <c r="G1220" s="8"/>
      <c r="H1220" s="8"/>
      <c r="I1220" s="8"/>
      <c r="J1220" s="8"/>
      <c r="K1220" s="8"/>
      <c r="L1220" s="26"/>
      <c r="M1220" s="26"/>
      <c r="N1220" s="26"/>
      <c r="O1220" s="55"/>
      <c r="P1220" s="1"/>
      <c r="Q1220" s="8"/>
      <c r="R1220" s="8"/>
      <c r="S1220" s="1"/>
      <c r="T1220" s="8"/>
      <c r="U1220" s="8"/>
      <c r="V1220" s="56"/>
      <c r="W1220" s="1"/>
      <c r="X1220" s="1"/>
      <c r="Y1220" s="8"/>
      <c r="Z1220" s="8"/>
      <c r="AA1220" s="8"/>
      <c r="AB1220" s="8"/>
      <c r="AC1220" s="8"/>
      <c r="AD1220" s="8"/>
      <c r="AE1220" s="8"/>
      <c r="AF1220" s="8"/>
      <c r="AG1220" s="8"/>
      <c r="AH1220" s="8"/>
      <c r="AI1220" s="8"/>
    </row>
    <row r="1221" spans="1:35">
      <c r="A1221" s="1"/>
      <c r="B1221" s="8"/>
      <c r="C1221" s="8"/>
      <c r="D1221" s="8"/>
      <c r="E1221" s="8"/>
      <c r="F1221" s="8"/>
      <c r="G1221" s="8"/>
      <c r="H1221" s="8"/>
      <c r="I1221" s="8"/>
      <c r="J1221" s="8"/>
      <c r="K1221" s="8"/>
      <c r="L1221" s="26"/>
      <c r="M1221" s="26"/>
      <c r="N1221" s="26"/>
      <c r="O1221" s="55"/>
      <c r="P1221" s="1"/>
      <c r="Q1221" s="8"/>
      <c r="R1221" s="8"/>
      <c r="S1221" s="1"/>
      <c r="T1221" s="8"/>
      <c r="U1221" s="8"/>
      <c r="V1221" s="56"/>
      <c r="W1221" s="1"/>
      <c r="X1221" s="1"/>
      <c r="Y1221" s="8"/>
      <c r="Z1221" s="8"/>
      <c r="AA1221" s="8"/>
      <c r="AB1221" s="8"/>
      <c r="AC1221" s="8"/>
      <c r="AD1221" s="8"/>
      <c r="AE1221" s="8"/>
      <c r="AF1221" s="8"/>
      <c r="AG1221" s="8"/>
      <c r="AH1221" s="8"/>
      <c r="AI1221" s="8"/>
    </row>
    <row r="1222" spans="1:35">
      <c r="A1222" s="1"/>
      <c r="B1222" s="8"/>
      <c r="C1222" s="8"/>
      <c r="D1222" s="8"/>
      <c r="E1222" s="8"/>
      <c r="F1222" s="8"/>
      <c r="G1222" s="8"/>
      <c r="H1222" s="8"/>
      <c r="I1222" s="8"/>
      <c r="J1222" s="8"/>
      <c r="K1222" s="8"/>
      <c r="L1222" s="26"/>
      <c r="M1222" s="26"/>
      <c r="N1222" s="26"/>
      <c r="O1222" s="55"/>
      <c r="P1222" s="1"/>
      <c r="Q1222" s="8"/>
      <c r="R1222" s="8"/>
      <c r="S1222" s="1"/>
      <c r="T1222" s="8"/>
      <c r="U1222" s="8"/>
      <c r="V1222" s="56"/>
      <c r="W1222" s="1"/>
      <c r="X1222" s="1"/>
      <c r="Y1222" s="8"/>
      <c r="Z1222" s="8"/>
      <c r="AA1222" s="8"/>
      <c r="AB1222" s="8"/>
      <c r="AC1222" s="8"/>
      <c r="AD1222" s="8"/>
      <c r="AE1222" s="8"/>
      <c r="AF1222" s="8"/>
      <c r="AG1222" s="8"/>
      <c r="AH1222" s="8"/>
      <c r="AI1222" s="8"/>
    </row>
    <row r="1223" spans="1:35">
      <c r="A1223" s="1"/>
      <c r="B1223" s="8"/>
      <c r="C1223" s="8"/>
      <c r="D1223" s="8"/>
      <c r="E1223" s="8"/>
      <c r="F1223" s="8"/>
      <c r="G1223" s="8"/>
      <c r="H1223" s="8"/>
      <c r="I1223" s="8"/>
      <c r="J1223" s="8"/>
      <c r="K1223" s="8"/>
      <c r="L1223" s="26"/>
      <c r="M1223" s="26"/>
      <c r="N1223" s="26"/>
      <c r="O1223" s="55"/>
      <c r="P1223" s="1"/>
      <c r="Q1223" s="8"/>
      <c r="R1223" s="8"/>
      <c r="S1223" s="1"/>
      <c r="T1223" s="8"/>
      <c r="U1223" s="8"/>
      <c r="V1223" s="56"/>
      <c r="W1223" s="1"/>
      <c r="X1223" s="1"/>
      <c r="Y1223" s="8"/>
      <c r="Z1223" s="8"/>
      <c r="AA1223" s="8"/>
      <c r="AB1223" s="8"/>
      <c r="AC1223" s="8"/>
      <c r="AD1223" s="8"/>
      <c r="AE1223" s="8"/>
      <c r="AF1223" s="8"/>
      <c r="AG1223" s="8"/>
      <c r="AH1223" s="8"/>
      <c r="AI1223" s="8"/>
    </row>
    <row r="1224" spans="1:35">
      <c r="A1224" s="1"/>
      <c r="B1224" s="8"/>
      <c r="C1224" s="8"/>
      <c r="D1224" s="8"/>
      <c r="E1224" s="8"/>
      <c r="F1224" s="8"/>
      <c r="G1224" s="8"/>
      <c r="H1224" s="8"/>
      <c r="I1224" s="8"/>
      <c r="J1224" s="8"/>
      <c r="K1224" s="8"/>
      <c r="L1224" s="26"/>
      <c r="M1224" s="26"/>
      <c r="N1224" s="26"/>
      <c r="O1224" s="55"/>
      <c r="P1224" s="1"/>
      <c r="Q1224" s="8"/>
      <c r="R1224" s="8"/>
      <c r="S1224" s="1"/>
      <c r="T1224" s="8"/>
      <c r="U1224" s="8"/>
      <c r="V1224" s="56"/>
      <c r="W1224" s="1"/>
      <c r="X1224" s="1"/>
      <c r="Y1224" s="8"/>
      <c r="Z1224" s="8"/>
      <c r="AA1224" s="8"/>
      <c r="AB1224" s="8"/>
      <c r="AC1224" s="8"/>
      <c r="AD1224" s="8"/>
      <c r="AE1224" s="8"/>
      <c r="AF1224" s="8"/>
      <c r="AG1224" s="8"/>
      <c r="AH1224" s="8"/>
      <c r="AI1224" s="8"/>
    </row>
    <row r="1225" spans="1:35">
      <c r="A1225" s="1"/>
      <c r="B1225" s="8"/>
      <c r="C1225" s="8"/>
      <c r="D1225" s="8"/>
      <c r="E1225" s="8"/>
      <c r="F1225" s="8"/>
      <c r="G1225" s="8"/>
      <c r="H1225" s="8"/>
      <c r="I1225" s="8"/>
      <c r="J1225" s="8"/>
      <c r="K1225" s="8"/>
      <c r="L1225" s="26"/>
      <c r="M1225" s="26"/>
      <c r="N1225" s="26"/>
      <c r="O1225" s="55"/>
      <c r="P1225" s="1"/>
      <c r="Q1225" s="8"/>
      <c r="R1225" s="8"/>
      <c r="S1225" s="1"/>
      <c r="T1225" s="8"/>
      <c r="U1225" s="8"/>
      <c r="V1225" s="56"/>
      <c r="W1225" s="1"/>
      <c r="X1225" s="1"/>
      <c r="Y1225" s="8"/>
      <c r="Z1225" s="8"/>
      <c r="AA1225" s="8"/>
      <c r="AB1225" s="8"/>
      <c r="AC1225" s="8"/>
      <c r="AD1225" s="8"/>
      <c r="AE1225" s="8"/>
      <c r="AF1225" s="8"/>
      <c r="AG1225" s="8"/>
      <c r="AH1225" s="8"/>
      <c r="AI1225" s="8"/>
    </row>
    <row r="1226" spans="1:35">
      <c r="A1226" s="1"/>
      <c r="B1226" s="8"/>
      <c r="C1226" s="8"/>
      <c r="D1226" s="8"/>
      <c r="E1226" s="8"/>
      <c r="F1226" s="8"/>
      <c r="G1226" s="8"/>
      <c r="H1226" s="8"/>
      <c r="I1226" s="8"/>
      <c r="J1226" s="8"/>
      <c r="K1226" s="8"/>
      <c r="L1226" s="26"/>
      <c r="M1226" s="26"/>
      <c r="N1226" s="26"/>
      <c r="O1226" s="55"/>
      <c r="P1226" s="1"/>
      <c r="Q1226" s="8"/>
      <c r="R1226" s="8"/>
      <c r="S1226" s="1"/>
      <c r="T1226" s="8"/>
      <c r="U1226" s="8"/>
      <c r="V1226" s="56"/>
      <c r="W1226" s="1"/>
      <c r="X1226" s="1"/>
      <c r="Y1226" s="8"/>
      <c r="Z1226" s="8"/>
      <c r="AA1226" s="8"/>
      <c r="AB1226" s="8"/>
      <c r="AC1226" s="8"/>
      <c r="AD1226" s="8"/>
      <c r="AE1226" s="8"/>
      <c r="AF1226" s="8"/>
      <c r="AG1226" s="8"/>
      <c r="AH1226" s="8"/>
      <c r="AI1226" s="8"/>
    </row>
    <row r="1227" spans="1:35">
      <c r="A1227" s="1"/>
      <c r="B1227" s="8"/>
      <c r="C1227" s="8"/>
      <c r="D1227" s="8"/>
      <c r="E1227" s="8"/>
      <c r="F1227" s="8"/>
      <c r="G1227" s="8"/>
      <c r="H1227" s="8"/>
      <c r="I1227" s="8"/>
      <c r="J1227" s="8"/>
      <c r="K1227" s="8"/>
      <c r="L1227" s="26"/>
      <c r="M1227" s="26"/>
      <c r="N1227" s="26"/>
      <c r="O1227" s="55"/>
      <c r="P1227" s="1"/>
      <c r="Q1227" s="8"/>
      <c r="R1227" s="8"/>
      <c r="S1227" s="1"/>
      <c r="T1227" s="8"/>
      <c r="U1227" s="8"/>
      <c r="V1227" s="56"/>
      <c r="W1227" s="1"/>
      <c r="X1227" s="1"/>
      <c r="Y1227" s="8"/>
      <c r="Z1227" s="8"/>
      <c r="AA1227" s="8"/>
      <c r="AB1227" s="8"/>
      <c r="AC1227" s="8"/>
      <c r="AD1227" s="8"/>
      <c r="AE1227" s="8"/>
      <c r="AF1227" s="8"/>
      <c r="AG1227" s="8"/>
      <c r="AH1227" s="8"/>
      <c r="AI1227" s="8"/>
    </row>
    <row r="1228" spans="1:35">
      <c r="A1228" s="1"/>
      <c r="B1228" s="8"/>
      <c r="C1228" s="8"/>
      <c r="D1228" s="8"/>
      <c r="E1228" s="8"/>
      <c r="F1228" s="8"/>
      <c r="G1228" s="8"/>
      <c r="H1228" s="8"/>
      <c r="I1228" s="8"/>
      <c r="J1228" s="8"/>
      <c r="K1228" s="8"/>
      <c r="L1228" s="26"/>
      <c r="M1228" s="26"/>
      <c r="N1228" s="26"/>
      <c r="O1228" s="55"/>
      <c r="P1228" s="1"/>
      <c r="Q1228" s="8"/>
      <c r="R1228" s="8"/>
      <c r="S1228" s="1"/>
      <c r="T1228" s="8"/>
      <c r="U1228" s="8"/>
      <c r="V1228" s="56"/>
      <c r="W1228" s="1"/>
      <c r="X1228" s="1"/>
      <c r="Y1228" s="8"/>
      <c r="Z1228" s="8"/>
      <c r="AA1228" s="8"/>
      <c r="AB1228" s="8"/>
      <c r="AC1228" s="8"/>
      <c r="AD1228" s="8"/>
      <c r="AE1228" s="8"/>
      <c r="AF1228" s="8"/>
      <c r="AG1228" s="8"/>
      <c r="AH1228" s="8"/>
      <c r="AI1228" s="8"/>
    </row>
    <row r="1229" spans="1:35">
      <c r="A1229" s="1"/>
      <c r="B1229" s="8"/>
      <c r="C1229" s="8"/>
      <c r="D1229" s="8"/>
      <c r="E1229" s="8"/>
      <c r="F1229" s="8"/>
      <c r="G1229" s="8"/>
      <c r="H1229" s="8"/>
      <c r="I1229" s="8"/>
      <c r="J1229" s="8"/>
      <c r="K1229" s="8"/>
      <c r="L1229" s="26"/>
      <c r="M1229" s="26"/>
      <c r="N1229" s="26"/>
      <c r="O1229" s="55"/>
      <c r="P1229" s="1"/>
      <c r="Q1229" s="8"/>
      <c r="R1229" s="8"/>
      <c r="S1229" s="1"/>
      <c r="T1229" s="8"/>
      <c r="U1229" s="8"/>
      <c r="V1229" s="56"/>
      <c r="W1229" s="1"/>
      <c r="X1229" s="1"/>
      <c r="Y1229" s="8"/>
      <c r="Z1229" s="8"/>
      <c r="AA1229" s="8"/>
      <c r="AB1229" s="8"/>
      <c r="AC1229" s="8"/>
      <c r="AD1229" s="8"/>
      <c r="AE1229" s="8"/>
      <c r="AF1229" s="8"/>
      <c r="AG1229" s="8"/>
      <c r="AH1229" s="8"/>
      <c r="AI1229" s="8"/>
    </row>
    <row r="1230" spans="1:35">
      <c r="A1230" s="1"/>
      <c r="B1230" s="8"/>
      <c r="C1230" s="8"/>
      <c r="D1230" s="8"/>
      <c r="E1230" s="8"/>
      <c r="F1230" s="8"/>
      <c r="G1230" s="8"/>
      <c r="H1230" s="8"/>
      <c r="I1230" s="8"/>
      <c r="J1230" s="8"/>
      <c r="K1230" s="8"/>
      <c r="L1230" s="26"/>
      <c r="M1230" s="26"/>
      <c r="N1230" s="26"/>
      <c r="O1230" s="55"/>
      <c r="P1230" s="1"/>
      <c r="Q1230" s="8"/>
      <c r="R1230" s="8"/>
      <c r="S1230" s="1"/>
      <c r="T1230" s="8"/>
      <c r="U1230" s="8"/>
      <c r="V1230" s="56"/>
      <c r="W1230" s="1"/>
      <c r="X1230" s="1"/>
      <c r="Y1230" s="8"/>
      <c r="Z1230" s="8"/>
      <c r="AA1230" s="8"/>
      <c r="AB1230" s="8"/>
      <c r="AC1230" s="8"/>
      <c r="AD1230" s="8"/>
      <c r="AE1230" s="8"/>
      <c r="AF1230" s="8"/>
      <c r="AG1230" s="8"/>
      <c r="AH1230" s="8"/>
      <c r="AI1230" s="8"/>
    </row>
    <row r="1231" spans="1:35">
      <c r="A1231" s="1"/>
      <c r="B1231" s="8"/>
      <c r="C1231" s="8"/>
      <c r="D1231" s="8"/>
      <c r="E1231" s="8"/>
      <c r="F1231" s="8"/>
      <c r="G1231" s="8"/>
      <c r="H1231" s="8"/>
      <c r="I1231" s="8"/>
      <c r="J1231" s="8"/>
      <c r="K1231" s="8"/>
      <c r="L1231" s="26"/>
      <c r="M1231" s="26"/>
      <c r="N1231" s="26"/>
      <c r="O1231" s="55"/>
      <c r="P1231" s="1"/>
      <c r="Q1231" s="8"/>
      <c r="R1231" s="8"/>
      <c r="S1231" s="1"/>
      <c r="T1231" s="8"/>
      <c r="U1231" s="8"/>
      <c r="V1231" s="56"/>
      <c r="W1231" s="1"/>
      <c r="X1231" s="1"/>
      <c r="Y1231" s="8"/>
      <c r="Z1231" s="8"/>
      <c r="AA1231" s="8"/>
      <c r="AB1231" s="8"/>
      <c r="AC1231" s="8"/>
      <c r="AD1231" s="8"/>
      <c r="AE1231" s="8"/>
      <c r="AF1231" s="8"/>
      <c r="AG1231" s="8"/>
      <c r="AH1231" s="8"/>
      <c r="AI1231" s="8"/>
    </row>
    <row r="1232" spans="1:35">
      <c r="A1232" s="1"/>
      <c r="B1232" s="8"/>
      <c r="C1232" s="8"/>
      <c r="D1232" s="8"/>
      <c r="E1232" s="8"/>
      <c r="F1232" s="8"/>
      <c r="G1232" s="8"/>
      <c r="H1232" s="8"/>
      <c r="I1232" s="8"/>
      <c r="J1232" s="8"/>
      <c r="K1232" s="8"/>
      <c r="L1232" s="26"/>
      <c r="M1232" s="26"/>
      <c r="N1232" s="26"/>
      <c r="O1232" s="55"/>
      <c r="P1232" s="1"/>
      <c r="Q1232" s="8"/>
      <c r="R1232" s="8"/>
      <c r="S1232" s="1"/>
      <c r="T1232" s="8"/>
      <c r="U1232" s="8"/>
      <c r="V1232" s="56"/>
      <c r="W1232" s="1"/>
      <c r="X1232" s="1"/>
      <c r="Y1232" s="8"/>
      <c r="Z1232" s="8"/>
      <c r="AA1232" s="8"/>
      <c r="AB1232" s="8"/>
      <c r="AC1232" s="8"/>
      <c r="AD1232" s="8"/>
      <c r="AE1232" s="8"/>
      <c r="AF1232" s="8"/>
      <c r="AG1232" s="8"/>
      <c r="AH1232" s="8"/>
      <c r="AI1232" s="8"/>
    </row>
    <row r="1233" spans="1:35">
      <c r="A1233" s="1"/>
      <c r="B1233" s="8"/>
      <c r="C1233" s="8"/>
      <c r="D1233" s="8"/>
      <c r="E1233" s="8"/>
      <c r="F1233" s="8"/>
      <c r="G1233" s="8"/>
      <c r="H1233" s="8"/>
      <c r="I1233" s="8"/>
      <c r="J1233" s="8"/>
      <c r="K1233" s="8"/>
      <c r="L1233" s="26"/>
      <c r="M1233" s="26"/>
      <c r="N1233" s="26"/>
      <c r="O1233" s="55"/>
      <c r="P1233" s="1"/>
      <c r="Q1233" s="8"/>
      <c r="R1233" s="8"/>
      <c r="S1233" s="1"/>
      <c r="T1233" s="8"/>
      <c r="U1233" s="8"/>
      <c r="V1233" s="56"/>
      <c r="W1233" s="1"/>
      <c r="X1233" s="1"/>
      <c r="Y1233" s="8"/>
      <c r="Z1233" s="8"/>
      <c r="AA1233" s="8"/>
      <c r="AB1233" s="8"/>
      <c r="AC1233" s="8"/>
      <c r="AD1233" s="8"/>
      <c r="AE1233" s="8"/>
      <c r="AF1233" s="8"/>
      <c r="AG1233" s="8"/>
      <c r="AH1233" s="8"/>
      <c r="AI1233" s="8"/>
    </row>
    <row r="1234" spans="1:35">
      <c r="A1234" s="1"/>
      <c r="B1234" s="8"/>
      <c r="C1234" s="8"/>
      <c r="D1234" s="8"/>
      <c r="E1234" s="8"/>
      <c r="F1234" s="8"/>
      <c r="G1234" s="8"/>
      <c r="H1234" s="8"/>
      <c r="I1234" s="8"/>
      <c r="J1234" s="8"/>
      <c r="K1234" s="8"/>
      <c r="L1234" s="26"/>
      <c r="M1234" s="26"/>
      <c r="N1234" s="26"/>
      <c r="O1234" s="55"/>
      <c r="P1234" s="1"/>
      <c r="Q1234" s="8"/>
      <c r="R1234" s="8"/>
      <c r="S1234" s="1"/>
      <c r="T1234" s="8"/>
      <c r="U1234" s="8"/>
      <c r="V1234" s="56"/>
      <c r="W1234" s="1"/>
      <c r="X1234" s="1"/>
      <c r="Y1234" s="8"/>
      <c r="Z1234" s="8"/>
      <c r="AA1234" s="8"/>
      <c r="AB1234" s="8"/>
      <c r="AC1234" s="8"/>
      <c r="AD1234" s="8"/>
      <c r="AE1234" s="8"/>
      <c r="AF1234" s="8"/>
      <c r="AG1234" s="8"/>
      <c r="AH1234" s="8"/>
      <c r="AI1234" s="8"/>
    </row>
    <row r="1235" spans="1:35">
      <c r="A1235" s="1"/>
      <c r="B1235" s="8"/>
      <c r="C1235" s="8"/>
      <c r="D1235" s="8"/>
      <c r="E1235" s="8"/>
      <c r="F1235" s="8"/>
      <c r="G1235" s="8"/>
      <c r="H1235" s="8"/>
      <c r="I1235" s="8"/>
      <c r="J1235" s="8"/>
      <c r="K1235" s="8"/>
      <c r="L1235" s="26"/>
      <c r="M1235" s="26"/>
      <c r="N1235" s="26"/>
      <c r="O1235" s="55"/>
      <c r="P1235" s="1"/>
      <c r="Q1235" s="8"/>
      <c r="R1235" s="8"/>
      <c r="S1235" s="1"/>
      <c r="T1235" s="8"/>
      <c r="U1235" s="8"/>
      <c r="V1235" s="56"/>
      <c r="W1235" s="1"/>
      <c r="X1235" s="1"/>
      <c r="Y1235" s="8"/>
      <c r="Z1235" s="8"/>
      <c r="AA1235" s="8"/>
      <c r="AB1235" s="8"/>
      <c r="AC1235" s="8"/>
      <c r="AD1235" s="8"/>
      <c r="AE1235" s="8"/>
      <c r="AF1235" s="8"/>
      <c r="AG1235" s="8"/>
      <c r="AH1235" s="8"/>
      <c r="AI1235" s="8"/>
    </row>
    <row r="1236" spans="1:35">
      <c r="A1236" s="1"/>
      <c r="B1236" s="8"/>
      <c r="C1236" s="8"/>
      <c r="D1236" s="8"/>
      <c r="E1236" s="8"/>
      <c r="F1236" s="8"/>
      <c r="G1236" s="8"/>
      <c r="H1236" s="8"/>
      <c r="I1236" s="8"/>
      <c r="J1236" s="8"/>
      <c r="K1236" s="8"/>
      <c r="L1236" s="26"/>
      <c r="M1236" s="26"/>
      <c r="N1236" s="26"/>
      <c r="O1236" s="55"/>
      <c r="P1236" s="1"/>
      <c r="Q1236" s="8"/>
      <c r="R1236" s="8"/>
      <c r="S1236" s="1"/>
      <c r="T1236" s="8"/>
      <c r="U1236" s="8"/>
      <c r="V1236" s="56"/>
      <c r="W1236" s="1"/>
      <c r="X1236" s="1"/>
      <c r="Y1236" s="8"/>
      <c r="Z1236" s="8"/>
      <c r="AA1236" s="8"/>
      <c r="AB1236" s="8"/>
      <c r="AC1236" s="8"/>
      <c r="AD1236" s="8"/>
      <c r="AE1236" s="8"/>
      <c r="AF1236" s="8"/>
      <c r="AG1236" s="8"/>
      <c r="AH1236" s="8"/>
      <c r="AI1236" s="8"/>
    </row>
    <row r="1237" spans="1:35">
      <c r="A1237" s="1"/>
      <c r="B1237" s="8"/>
      <c r="C1237" s="8"/>
      <c r="D1237" s="8"/>
      <c r="E1237" s="8"/>
      <c r="F1237" s="8"/>
      <c r="G1237" s="8"/>
      <c r="H1237" s="8"/>
      <c r="I1237" s="8"/>
      <c r="J1237" s="8"/>
      <c r="K1237" s="8"/>
      <c r="L1237" s="26"/>
      <c r="M1237" s="26"/>
      <c r="N1237" s="26"/>
      <c r="O1237" s="55"/>
      <c r="P1237" s="1"/>
      <c r="Q1237" s="8"/>
      <c r="R1237" s="8"/>
      <c r="S1237" s="1"/>
      <c r="T1237" s="8"/>
      <c r="U1237" s="8"/>
      <c r="V1237" s="56"/>
      <c r="W1237" s="1"/>
      <c r="X1237" s="1"/>
      <c r="Y1237" s="8"/>
      <c r="Z1237" s="8"/>
      <c r="AA1237" s="8"/>
      <c r="AB1237" s="8"/>
      <c r="AC1237" s="8"/>
      <c r="AD1237" s="8"/>
      <c r="AE1237" s="8"/>
      <c r="AF1237" s="8"/>
      <c r="AG1237" s="8"/>
      <c r="AH1237" s="8"/>
      <c r="AI1237" s="8"/>
    </row>
    <row r="1238" spans="1:35">
      <c r="A1238" s="1"/>
      <c r="B1238" s="8"/>
      <c r="C1238" s="8"/>
      <c r="D1238" s="8"/>
      <c r="E1238" s="8"/>
      <c r="F1238" s="8"/>
      <c r="G1238" s="8"/>
      <c r="H1238" s="8"/>
      <c r="I1238" s="8"/>
      <c r="J1238" s="8"/>
      <c r="K1238" s="8"/>
      <c r="L1238" s="26"/>
      <c r="M1238" s="26"/>
      <c r="N1238" s="26"/>
      <c r="O1238" s="55"/>
      <c r="P1238" s="1"/>
      <c r="Q1238" s="8"/>
      <c r="R1238" s="8"/>
      <c r="S1238" s="1"/>
      <c r="T1238" s="8"/>
      <c r="U1238" s="8"/>
      <c r="V1238" s="56"/>
      <c r="W1238" s="1"/>
      <c r="X1238" s="1"/>
      <c r="Y1238" s="8"/>
      <c r="Z1238" s="8"/>
      <c r="AA1238" s="8"/>
      <c r="AB1238" s="8"/>
      <c r="AC1238" s="8"/>
      <c r="AD1238" s="8"/>
      <c r="AE1238" s="8"/>
      <c r="AF1238" s="8"/>
      <c r="AG1238" s="8"/>
      <c r="AH1238" s="8"/>
      <c r="AI1238" s="8"/>
    </row>
    <row r="1239" spans="1:35">
      <c r="A1239" s="1"/>
      <c r="B1239" s="8"/>
      <c r="C1239" s="8"/>
      <c r="D1239" s="8"/>
      <c r="E1239" s="8"/>
      <c r="F1239" s="8"/>
      <c r="G1239" s="8"/>
      <c r="H1239" s="8"/>
      <c r="I1239" s="8"/>
      <c r="J1239" s="8"/>
      <c r="K1239" s="8"/>
      <c r="L1239" s="26"/>
      <c r="M1239" s="26"/>
      <c r="N1239" s="26"/>
      <c r="O1239" s="55"/>
      <c r="P1239" s="1"/>
      <c r="Q1239" s="8"/>
      <c r="R1239" s="8"/>
      <c r="S1239" s="1"/>
      <c r="T1239" s="8"/>
      <c r="U1239" s="8"/>
      <c r="V1239" s="56"/>
      <c r="W1239" s="1"/>
      <c r="X1239" s="1"/>
      <c r="Y1239" s="8"/>
      <c r="Z1239" s="8"/>
      <c r="AA1239" s="8"/>
      <c r="AB1239" s="8"/>
      <c r="AC1239" s="8"/>
      <c r="AD1239" s="8"/>
      <c r="AE1239" s="8"/>
      <c r="AF1239" s="8"/>
      <c r="AG1239" s="8"/>
      <c r="AH1239" s="8"/>
      <c r="AI1239" s="8"/>
    </row>
    <row r="1240" spans="1:35">
      <c r="A1240" s="1"/>
      <c r="B1240" s="8"/>
      <c r="C1240" s="8"/>
      <c r="D1240" s="8"/>
      <c r="E1240" s="8"/>
      <c r="F1240" s="8"/>
      <c r="G1240" s="8"/>
      <c r="H1240" s="8"/>
      <c r="I1240" s="8"/>
      <c r="J1240" s="8"/>
      <c r="K1240" s="8"/>
      <c r="L1240" s="26"/>
      <c r="M1240" s="26"/>
      <c r="N1240" s="26"/>
      <c r="O1240" s="55"/>
      <c r="P1240" s="1"/>
      <c r="Q1240" s="8"/>
      <c r="R1240" s="8"/>
      <c r="S1240" s="1"/>
      <c r="T1240" s="8"/>
      <c r="U1240" s="8"/>
      <c r="V1240" s="56"/>
      <c r="W1240" s="1"/>
      <c r="X1240" s="1"/>
      <c r="Y1240" s="8"/>
      <c r="Z1240" s="8"/>
      <c r="AA1240" s="8"/>
      <c r="AB1240" s="8"/>
      <c r="AC1240" s="8"/>
      <c r="AD1240" s="8"/>
      <c r="AE1240" s="8"/>
      <c r="AF1240" s="8"/>
      <c r="AG1240" s="8"/>
      <c r="AH1240" s="8"/>
      <c r="AI1240" s="8"/>
    </row>
    <row r="1241" spans="1:35">
      <c r="A1241" s="1"/>
      <c r="B1241" s="8"/>
      <c r="C1241" s="8"/>
      <c r="D1241" s="8"/>
      <c r="E1241" s="8"/>
      <c r="F1241" s="8"/>
      <c r="G1241" s="8"/>
      <c r="H1241" s="8"/>
      <c r="I1241" s="8"/>
      <c r="J1241" s="8"/>
      <c r="K1241" s="8"/>
      <c r="L1241" s="26"/>
      <c r="M1241" s="26"/>
      <c r="N1241" s="26"/>
      <c r="O1241" s="55"/>
      <c r="P1241" s="1"/>
      <c r="Q1241" s="8"/>
      <c r="R1241" s="8"/>
      <c r="S1241" s="1"/>
      <c r="T1241" s="8"/>
      <c r="U1241" s="8"/>
      <c r="V1241" s="56"/>
      <c r="W1241" s="1"/>
      <c r="X1241" s="1"/>
      <c r="Y1241" s="8"/>
      <c r="Z1241" s="8"/>
      <c r="AA1241" s="8"/>
      <c r="AB1241" s="8"/>
      <c r="AC1241" s="8"/>
      <c r="AD1241" s="8"/>
      <c r="AE1241" s="8"/>
      <c r="AF1241" s="8"/>
      <c r="AG1241" s="8"/>
      <c r="AH1241" s="8"/>
      <c r="AI1241" s="8"/>
    </row>
    <row r="1242" spans="1:35">
      <c r="A1242" s="1"/>
      <c r="B1242" s="8"/>
      <c r="C1242" s="8"/>
      <c r="D1242" s="8"/>
      <c r="E1242" s="8"/>
      <c r="F1242" s="8"/>
      <c r="G1242" s="8"/>
      <c r="H1242" s="8"/>
      <c r="I1242" s="8"/>
      <c r="J1242" s="8"/>
      <c r="K1242" s="8"/>
      <c r="L1242" s="26"/>
      <c r="M1242" s="26"/>
      <c r="N1242" s="26"/>
      <c r="O1242" s="55"/>
      <c r="P1242" s="1"/>
      <c r="Q1242" s="8"/>
      <c r="R1242" s="8"/>
      <c r="S1242" s="1"/>
      <c r="T1242" s="8"/>
      <c r="U1242" s="8"/>
      <c r="V1242" s="56"/>
      <c r="W1242" s="1"/>
      <c r="X1242" s="1"/>
      <c r="Y1242" s="8"/>
      <c r="Z1242" s="8"/>
      <c r="AA1242" s="8"/>
      <c r="AB1242" s="8"/>
      <c r="AC1242" s="8"/>
      <c r="AD1242" s="8"/>
      <c r="AE1242" s="8"/>
      <c r="AF1242" s="8"/>
      <c r="AG1242" s="8"/>
      <c r="AH1242" s="8"/>
      <c r="AI1242" s="8"/>
    </row>
    <row r="1243" spans="1:35">
      <c r="A1243" s="1"/>
      <c r="B1243" s="8"/>
      <c r="C1243" s="8"/>
      <c r="D1243" s="8"/>
      <c r="E1243" s="8"/>
      <c r="F1243" s="8"/>
      <c r="G1243" s="8"/>
      <c r="H1243" s="8"/>
      <c r="I1243" s="8"/>
      <c r="J1243" s="8"/>
      <c r="K1243" s="8"/>
      <c r="L1243" s="26"/>
      <c r="M1243" s="26"/>
      <c r="N1243" s="26"/>
      <c r="O1243" s="55"/>
      <c r="P1243" s="1"/>
      <c r="Q1243" s="8"/>
      <c r="R1243" s="8"/>
      <c r="S1243" s="1"/>
      <c r="T1243" s="8"/>
      <c r="U1243" s="8"/>
      <c r="V1243" s="56"/>
      <c r="W1243" s="1"/>
      <c r="X1243" s="1"/>
      <c r="Y1243" s="8"/>
      <c r="Z1243" s="8"/>
      <c r="AA1243" s="8"/>
      <c r="AB1243" s="8"/>
      <c r="AC1243" s="8"/>
      <c r="AD1243" s="8"/>
      <c r="AE1243" s="8"/>
      <c r="AF1243" s="8"/>
      <c r="AG1243" s="8"/>
      <c r="AH1243" s="8"/>
      <c r="AI1243" s="8"/>
    </row>
    <row r="1244" spans="1:35">
      <c r="A1244" s="1"/>
      <c r="B1244" s="8"/>
      <c r="C1244" s="8"/>
      <c r="D1244" s="8"/>
      <c r="E1244" s="8"/>
      <c r="F1244" s="8"/>
      <c r="G1244" s="8"/>
      <c r="H1244" s="8"/>
      <c r="I1244" s="8"/>
      <c r="J1244" s="8"/>
      <c r="K1244" s="8"/>
      <c r="L1244" s="26"/>
      <c r="M1244" s="26"/>
      <c r="N1244" s="26"/>
      <c r="O1244" s="55"/>
      <c r="P1244" s="1"/>
      <c r="Q1244" s="8"/>
      <c r="R1244" s="8"/>
      <c r="S1244" s="1"/>
      <c r="T1244" s="8"/>
      <c r="U1244" s="8"/>
      <c r="V1244" s="56"/>
      <c r="W1244" s="1"/>
      <c r="X1244" s="1"/>
      <c r="Y1244" s="8"/>
      <c r="Z1244" s="8"/>
      <c r="AA1244" s="8"/>
      <c r="AB1244" s="8"/>
      <c r="AC1244" s="8"/>
      <c r="AD1244" s="8"/>
      <c r="AE1244" s="8"/>
      <c r="AF1244" s="8"/>
      <c r="AG1244" s="8"/>
      <c r="AH1244" s="8"/>
      <c r="AI1244" s="8"/>
    </row>
    <row r="1245" spans="1:35">
      <c r="A1245" s="1"/>
      <c r="B1245" s="8"/>
      <c r="C1245" s="8"/>
      <c r="D1245" s="8"/>
      <c r="E1245" s="8"/>
      <c r="F1245" s="8"/>
      <c r="G1245" s="8"/>
      <c r="H1245" s="8"/>
      <c r="I1245" s="8"/>
      <c r="J1245" s="8"/>
      <c r="K1245" s="8"/>
      <c r="L1245" s="26"/>
      <c r="M1245" s="26"/>
      <c r="N1245" s="26"/>
      <c r="O1245" s="55"/>
      <c r="P1245" s="1"/>
      <c r="Q1245" s="8"/>
      <c r="R1245" s="8"/>
      <c r="S1245" s="1"/>
      <c r="T1245" s="8"/>
      <c r="U1245" s="8"/>
      <c r="V1245" s="56"/>
      <c r="W1245" s="1"/>
      <c r="X1245" s="1"/>
      <c r="Y1245" s="8"/>
      <c r="Z1245" s="8"/>
      <c r="AA1245" s="8"/>
      <c r="AB1245" s="8"/>
      <c r="AC1245" s="8"/>
      <c r="AD1245" s="8"/>
      <c r="AE1245" s="8"/>
      <c r="AF1245" s="8"/>
      <c r="AG1245" s="8"/>
      <c r="AH1245" s="8"/>
      <c r="AI1245" s="8"/>
    </row>
    <row r="1246" spans="1:35">
      <c r="A1246" s="1"/>
      <c r="B1246" s="8"/>
      <c r="C1246" s="8"/>
      <c r="D1246" s="8"/>
      <c r="E1246" s="8"/>
      <c r="F1246" s="8"/>
      <c r="G1246" s="8"/>
      <c r="H1246" s="8"/>
      <c r="I1246" s="8"/>
      <c r="J1246" s="8"/>
      <c r="K1246" s="8"/>
      <c r="L1246" s="26"/>
      <c r="M1246" s="26"/>
      <c r="N1246" s="26"/>
      <c r="O1246" s="55"/>
      <c r="P1246" s="1"/>
      <c r="Q1246" s="8"/>
      <c r="R1246" s="8"/>
      <c r="S1246" s="1"/>
      <c r="T1246" s="8"/>
      <c r="U1246" s="8"/>
      <c r="V1246" s="56"/>
      <c r="W1246" s="1"/>
      <c r="X1246" s="1"/>
      <c r="Y1246" s="8"/>
      <c r="Z1246" s="8"/>
      <c r="AA1246" s="8"/>
      <c r="AB1246" s="8"/>
      <c r="AC1246" s="8"/>
      <c r="AD1246" s="8"/>
      <c r="AE1246" s="8"/>
      <c r="AF1246" s="8"/>
      <c r="AG1246" s="8"/>
      <c r="AH1246" s="8"/>
      <c r="AI1246" s="8"/>
    </row>
    <row r="1247" spans="1:35">
      <c r="A1247" s="1"/>
      <c r="B1247" s="8"/>
      <c r="C1247" s="8"/>
      <c r="D1247" s="8"/>
      <c r="E1247" s="8"/>
      <c r="F1247" s="8"/>
      <c r="G1247" s="8"/>
      <c r="H1247" s="8"/>
      <c r="I1247" s="8"/>
      <c r="J1247" s="8"/>
      <c r="K1247" s="8"/>
      <c r="L1247" s="26"/>
      <c r="M1247" s="26"/>
      <c r="N1247" s="26"/>
      <c r="O1247" s="55"/>
      <c r="P1247" s="1"/>
      <c r="Q1247" s="8"/>
      <c r="R1247" s="8"/>
      <c r="S1247" s="1"/>
      <c r="T1247" s="8"/>
      <c r="U1247" s="8"/>
      <c r="V1247" s="56"/>
      <c r="W1247" s="1"/>
      <c r="X1247" s="1"/>
      <c r="Y1247" s="8"/>
      <c r="Z1247" s="8"/>
      <c r="AA1247" s="8"/>
      <c r="AB1247" s="8"/>
      <c r="AC1247" s="8"/>
      <c r="AD1247" s="8"/>
      <c r="AE1247" s="8"/>
      <c r="AF1247" s="8"/>
      <c r="AG1247" s="8"/>
      <c r="AH1247" s="8"/>
      <c r="AI1247" s="8"/>
    </row>
    <row r="1248" spans="1:35">
      <c r="A1248" s="1"/>
      <c r="B1248" s="8"/>
      <c r="C1248" s="8"/>
      <c r="D1248" s="8"/>
      <c r="E1248" s="8"/>
      <c r="F1248" s="8"/>
      <c r="G1248" s="8"/>
      <c r="H1248" s="8"/>
      <c r="I1248" s="8"/>
      <c r="J1248" s="8"/>
      <c r="K1248" s="8"/>
      <c r="L1248" s="26"/>
      <c r="M1248" s="26"/>
      <c r="N1248" s="26"/>
      <c r="O1248" s="55"/>
      <c r="P1248" s="1"/>
      <c r="Q1248" s="8"/>
      <c r="R1248" s="8"/>
      <c r="S1248" s="1"/>
      <c r="T1248" s="8"/>
      <c r="U1248" s="8"/>
      <c r="V1248" s="56"/>
      <c r="W1248" s="1"/>
      <c r="X1248" s="1"/>
      <c r="Y1248" s="8"/>
      <c r="Z1248" s="8"/>
      <c r="AA1248" s="8"/>
      <c r="AB1248" s="8"/>
      <c r="AC1248" s="8"/>
      <c r="AD1248" s="8"/>
      <c r="AE1248" s="8"/>
      <c r="AF1248" s="8"/>
      <c r="AG1248" s="8"/>
      <c r="AH1248" s="8"/>
      <c r="AI1248" s="8"/>
    </row>
    <row r="1249" spans="1:35">
      <c r="A1249" s="1"/>
      <c r="B1249" s="8"/>
      <c r="C1249" s="8"/>
      <c r="D1249" s="8"/>
      <c r="E1249" s="8"/>
      <c r="F1249" s="8"/>
      <c r="G1249" s="8"/>
      <c r="H1249" s="8"/>
      <c r="I1249" s="8"/>
      <c r="J1249" s="8"/>
      <c r="K1249" s="8"/>
      <c r="L1249" s="26"/>
      <c r="M1249" s="26"/>
      <c r="N1249" s="26"/>
      <c r="O1249" s="55"/>
      <c r="P1249" s="1"/>
      <c r="Q1249" s="8"/>
      <c r="R1249" s="8"/>
      <c r="S1249" s="1"/>
      <c r="T1249" s="8"/>
      <c r="U1249" s="8"/>
      <c r="V1249" s="56"/>
      <c r="W1249" s="1"/>
      <c r="X1249" s="1"/>
      <c r="Y1249" s="8"/>
      <c r="Z1249" s="8"/>
      <c r="AA1249" s="8"/>
      <c r="AB1249" s="8"/>
      <c r="AC1249" s="8"/>
      <c r="AD1249" s="8"/>
      <c r="AE1249" s="8"/>
      <c r="AF1249" s="8"/>
      <c r="AG1249" s="8"/>
      <c r="AH1249" s="8"/>
      <c r="AI1249" s="8"/>
    </row>
    <row r="1250" spans="1:35">
      <c r="A1250" s="1"/>
      <c r="B1250" s="8"/>
      <c r="C1250" s="8"/>
      <c r="D1250" s="8"/>
      <c r="E1250" s="8"/>
      <c r="F1250" s="8"/>
      <c r="G1250" s="8"/>
      <c r="H1250" s="8"/>
      <c r="I1250" s="8"/>
      <c r="J1250" s="8"/>
      <c r="K1250" s="8"/>
      <c r="L1250" s="26"/>
      <c r="M1250" s="26"/>
      <c r="N1250" s="26"/>
      <c r="O1250" s="55"/>
      <c r="P1250" s="1"/>
      <c r="Q1250" s="8"/>
      <c r="R1250" s="8"/>
      <c r="S1250" s="1"/>
      <c r="T1250" s="8"/>
      <c r="U1250" s="8"/>
      <c r="V1250" s="56"/>
      <c r="W1250" s="1"/>
      <c r="X1250" s="1"/>
      <c r="Y1250" s="8"/>
      <c r="Z1250" s="8"/>
      <c r="AA1250" s="8"/>
      <c r="AB1250" s="8"/>
      <c r="AC1250" s="8"/>
      <c r="AD1250" s="8"/>
      <c r="AE1250" s="8"/>
      <c r="AF1250" s="8"/>
      <c r="AG1250" s="8"/>
      <c r="AH1250" s="8"/>
      <c r="AI1250" s="8"/>
    </row>
    <row r="1251" spans="1:35">
      <c r="A1251" s="1"/>
      <c r="B1251" s="8"/>
      <c r="C1251" s="8"/>
      <c r="D1251" s="8"/>
      <c r="E1251" s="8"/>
      <c r="F1251" s="8"/>
      <c r="G1251" s="8"/>
      <c r="H1251" s="8"/>
      <c r="I1251" s="8"/>
      <c r="J1251" s="8"/>
      <c r="K1251" s="8"/>
      <c r="L1251" s="26"/>
      <c r="M1251" s="26"/>
      <c r="N1251" s="26"/>
      <c r="O1251" s="55"/>
      <c r="P1251" s="1"/>
      <c r="Q1251" s="8"/>
      <c r="R1251" s="8"/>
      <c r="S1251" s="1"/>
      <c r="T1251" s="8"/>
      <c r="U1251" s="8"/>
      <c r="V1251" s="56"/>
      <c r="W1251" s="1"/>
      <c r="X1251" s="1"/>
      <c r="Y1251" s="8"/>
      <c r="Z1251" s="8"/>
      <c r="AA1251" s="8"/>
      <c r="AB1251" s="8"/>
      <c r="AC1251" s="8"/>
      <c r="AD1251" s="8"/>
      <c r="AE1251" s="8"/>
      <c r="AF1251" s="8"/>
      <c r="AG1251" s="8"/>
      <c r="AH1251" s="8"/>
      <c r="AI1251" s="8"/>
    </row>
    <row r="1252" spans="1:35">
      <c r="A1252" s="1"/>
      <c r="B1252" s="8"/>
      <c r="C1252" s="8"/>
      <c r="D1252" s="8"/>
      <c r="E1252" s="8"/>
      <c r="F1252" s="8"/>
      <c r="G1252" s="8"/>
      <c r="H1252" s="8"/>
      <c r="I1252" s="8"/>
      <c r="J1252" s="8"/>
      <c r="K1252" s="8"/>
      <c r="L1252" s="26"/>
      <c r="M1252" s="26"/>
      <c r="N1252" s="26"/>
      <c r="O1252" s="55"/>
      <c r="P1252" s="1"/>
      <c r="Q1252" s="8"/>
      <c r="R1252" s="8"/>
      <c r="S1252" s="1"/>
      <c r="T1252" s="8"/>
      <c r="U1252" s="8"/>
      <c r="V1252" s="56"/>
      <c r="W1252" s="1"/>
      <c r="X1252" s="1"/>
      <c r="Y1252" s="8"/>
      <c r="Z1252" s="8"/>
      <c r="AA1252" s="8"/>
      <c r="AB1252" s="8"/>
      <c r="AC1252" s="8"/>
      <c r="AD1252" s="8"/>
      <c r="AE1252" s="8"/>
      <c r="AF1252" s="8"/>
      <c r="AG1252" s="8"/>
      <c r="AH1252" s="8"/>
      <c r="AI1252" s="8"/>
    </row>
    <row r="1253" spans="1:35">
      <c r="A1253" s="1"/>
      <c r="B1253" s="8"/>
      <c r="C1253" s="8"/>
      <c r="D1253" s="8"/>
      <c r="E1253" s="8"/>
      <c r="F1253" s="8"/>
      <c r="G1253" s="8"/>
      <c r="H1253" s="8"/>
      <c r="I1253" s="8"/>
      <c r="J1253" s="8"/>
      <c r="K1253" s="8"/>
      <c r="L1253" s="26"/>
      <c r="M1253" s="26"/>
      <c r="N1253" s="26"/>
      <c r="O1253" s="55"/>
      <c r="P1253" s="1"/>
      <c r="Q1253" s="8"/>
      <c r="R1253" s="8"/>
      <c r="S1253" s="1"/>
      <c r="T1253" s="8"/>
      <c r="U1253" s="8"/>
      <c r="V1253" s="56"/>
      <c r="W1253" s="1"/>
      <c r="X1253" s="1"/>
      <c r="Y1253" s="8"/>
      <c r="Z1253" s="8"/>
      <c r="AA1253" s="8"/>
      <c r="AB1253" s="8"/>
      <c r="AC1253" s="8"/>
      <c r="AD1253" s="8"/>
      <c r="AE1253" s="8"/>
      <c r="AF1253" s="8"/>
      <c r="AG1253" s="8"/>
      <c r="AH1253" s="8"/>
      <c r="AI1253" s="8"/>
    </row>
    <row r="1254" spans="1:35">
      <c r="A1254" s="1"/>
      <c r="B1254" s="8"/>
      <c r="C1254" s="8"/>
      <c r="D1254" s="8"/>
      <c r="E1254" s="8"/>
      <c r="F1254" s="8"/>
      <c r="G1254" s="8"/>
      <c r="H1254" s="8"/>
      <c r="I1254" s="8"/>
      <c r="J1254" s="8"/>
      <c r="K1254" s="8"/>
      <c r="L1254" s="26"/>
      <c r="M1254" s="26"/>
      <c r="N1254" s="26"/>
      <c r="O1254" s="55"/>
      <c r="P1254" s="1"/>
      <c r="Q1254" s="8"/>
      <c r="R1254" s="8"/>
      <c r="S1254" s="1"/>
      <c r="T1254" s="8"/>
      <c r="U1254" s="8"/>
      <c r="V1254" s="56"/>
      <c r="W1254" s="1"/>
      <c r="X1254" s="1"/>
      <c r="Y1254" s="8"/>
      <c r="Z1254" s="8"/>
      <c r="AA1254" s="8"/>
      <c r="AB1254" s="8"/>
      <c r="AC1254" s="8"/>
      <c r="AD1254" s="8"/>
      <c r="AE1254" s="8"/>
      <c r="AF1254" s="8"/>
      <c r="AG1254" s="8"/>
      <c r="AH1254" s="8"/>
      <c r="AI1254" s="8"/>
    </row>
    <row r="1255" spans="1:35">
      <c r="A1255" s="1"/>
      <c r="B1255" s="8"/>
      <c r="C1255" s="8"/>
      <c r="D1255" s="8"/>
      <c r="E1255" s="8"/>
      <c r="F1255" s="8"/>
      <c r="G1255" s="8"/>
      <c r="H1255" s="8"/>
      <c r="I1255" s="8"/>
      <c r="J1255" s="8"/>
      <c r="K1255" s="8"/>
      <c r="L1255" s="26"/>
      <c r="M1255" s="26"/>
      <c r="N1255" s="26"/>
      <c r="O1255" s="55"/>
      <c r="P1255" s="1"/>
      <c r="Q1255" s="8"/>
      <c r="R1255" s="8"/>
      <c r="S1255" s="1"/>
      <c r="T1255" s="8"/>
      <c r="U1255" s="8"/>
      <c r="V1255" s="56"/>
      <c r="W1255" s="1"/>
      <c r="X1255" s="1"/>
      <c r="Y1255" s="8"/>
      <c r="Z1255" s="8"/>
      <c r="AA1255" s="8"/>
      <c r="AB1255" s="8"/>
      <c r="AC1255" s="8"/>
      <c r="AD1255" s="8"/>
      <c r="AE1255" s="8"/>
      <c r="AF1255" s="8"/>
      <c r="AG1255" s="8"/>
      <c r="AH1255" s="8"/>
      <c r="AI1255" s="8"/>
    </row>
    <row r="1256" spans="1:35">
      <c r="A1256" s="1"/>
      <c r="B1256" s="8"/>
      <c r="C1256" s="8"/>
      <c r="D1256" s="8"/>
      <c r="E1256" s="8"/>
      <c r="F1256" s="8"/>
      <c r="G1256" s="8"/>
      <c r="H1256" s="8"/>
      <c r="I1256" s="8"/>
      <c r="J1256" s="8"/>
      <c r="K1256" s="8"/>
      <c r="L1256" s="26"/>
      <c r="M1256" s="26"/>
      <c r="N1256" s="26"/>
      <c r="O1256" s="55"/>
      <c r="P1256" s="1"/>
      <c r="Q1256" s="8"/>
      <c r="R1256" s="8"/>
      <c r="S1256" s="1"/>
      <c r="T1256" s="8"/>
      <c r="U1256" s="8"/>
      <c r="V1256" s="56"/>
      <c r="W1256" s="1"/>
      <c r="X1256" s="1"/>
      <c r="Y1256" s="8"/>
      <c r="Z1256" s="8"/>
      <c r="AA1256" s="8"/>
      <c r="AB1256" s="8"/>
      <c r="AC1256" s="8"/>
      <c r="AD1256" s="8"/>
      <c r="AE1256" s="8"/>
      <c r="AF1256" s="8"/>
      <c r="AG1256" s="8"/>
      <c r="AH1256" s="8"/>
      <c r="AI1256" s="8"/>
    </row>
    <row r="1257" spans="1:35">
      <c r="A1257" s="1"/>
      <c r="B1257" s="8"/>
      <c r="C1257" s="8"/>
      <c r="D1257" s="8"/>
      <c r="E1257" s="8"/>
      <c r="F1257" s="8"/>
      <c r="G1257" s="8"/>
      <c r="H1257" s="8"/>
      <c r="I1257" s="8"/>
      <c r="J1257" s="8"/>
      <c r="K1257" s="8"/>
      <c r="L1257" s="26"/>
      <c r="M1257" s="26"/>
      <c r="N1257" s="26"/>
      <c r="O1257" s="55"/>
      <c r="P1257" s="1"/>
      <c r="Q1257" s="8"/>
      <c r="R1257" s="8"/>
      <c r="S1257" s="1"/>
      <c r="T1257" s="8"/>
      <c r="U1257" s="8"/>
      <c r="V1257" s="56"/>
      <c r="W1257" s="1"/>
      <c r="X1257" s="1"/>
      <c r="Y1257" s="8"/>
      <c r="Z1257" s="8"/>
      <c r="AA1257" s="8"/>
      <c r="AB1257" s="8"/>
      <c r="AC1257" s="8"/>
      <c r="AD1257" s="8"/>
      <c r="AE1257" s="8"/>
      <c r="AF1257" s="8"/>
      <c r="AG1257" s="8"/>
      <c r="AH1257" s="8"/>
      <c r="AI1257" s="8"/>
    </row>
    <row r="1258" spans="1:35">
      <c r="A1258" s="1"/>
      <c r="B1258" s="8"/>
      <c r="C1258" s="8"/>
      <c r="D1258" s="8"/>
      <c r="E1258" s="8"/>
      <c r="F1258" s="8"/>
      <c r="G1258" s="8"/>
      <c r="H1258" s="8"/>
      <c r="I1258" s="8"/>
      <c r="J1258" s="8"/>
      <c r="K1258" s="8"/>
      <c r="L1258" s="26"/>
      <c r="M1258" s="26"/>
      <c r="N1258" s="26"/>
      <c r="O1258" s="55"/>
      <c r="P1258" s="1"/>
      <c r="Q1258" s="8"/>
      <c r="R1258" s="8"/>
      <c r="S1258" s="1"/>
      <c r="T1258" s="8"/>
      <c r="U1258" s="8"/>
      <c r="V1258" s="56"/>
      <c r="W1258" s="1"/>
      <c r="X1258" s="1"/>
      <c r="Y1258" s="8"/>
      <c r="Z1258" s="8"/>
      <c r="AA1258" s="8"/>
      <c r="AB1258" s="8"/>
      <c r="AC1258" s="8"/>
      <c r="AD1258" s="8"/>
      <c r="AE1258" s="8"/>
      <c r="AF1258" s="8"/>
      <c r="AG1258" s="8"/>
      <c r="AH1258" s="8"/>
      <c r="AI1258" s="8"/>
    </row>
    <row r="1259" spans="1:35">
      <c r="A1259" s="1"/>
      <c r="B1259" s="8"/>
      <c r="C1259" s="8"/>
      <c r="D1259" s="8"/>
      <c r="E1259" s="8"/>
      <c r="F1259" s="8"/>
      <c r="G1259" s="8"/>
      <c r="H1259" s="8"/>
      <c r="I1259" s="8"/>
      <c r="J1259" s="8"/>
      <c r="K1259" s="8"/>
      <c r="L1259" s="26"/>
      <c r="M1259" s="26"/>
      <c r="N1259" s="26"/>
      <c r="O1259" s="55"/>
      <c r="P1259" s="1"/>
      <c r="Q1259" s="8"/>
      <c r="R1259" s="8"/>
      <c r="S1259" s="1"/>
      <c r="T1259" s="8"/>
      <c r="U1259" s="8"/>
      <c r="V1259" s="56"/>
      <c r="W1259" s="1"/>
      <c r="X1259" s="1"/>
      <c r="Y1259" s="8"/>
      <c r="Z1259" s="8"/>
      <c r="AA1259" s="8"/>
      <c r="AB1259" s="8"/>
      <c r="AC1259" s="8"/>
      <c r="AD1259" s="8"/>
      <c r="AE1259" s="8"/>
      <c r="AF1259" s="8"/>
      <c r="AG1259" s="8"/>
      <c r="AH1259" s="8"/>
      <c r="AI1259" s="8"/>
    </row>
    <row r="1260" spans="1:35">
      <c r="A1260" s="1"/>
      <c r="B1260" s="8"/>
      <c r="C1260" s="8"/>
      <c r="D1260" s="8"/>
      <c r="E1260" s="8"/>
      <c r="F1260" s="8"/>
      <c r="G1260" s="8"/>
      <c r="H1260" s="8"/>
      <c r="I1260" s="8"/>
      <c r="J1260" s="8"/>
      <c r="K1260" s="8"/>
      <c r="L1260" s="26"/>
      <c r="M1260" s="26"/>
      <c r="N1260" s="26"/>
      <c r="O1260" s="55"/>
      <c r="P1260" s="1"/>
      <c r="Q1260" s="8"/>
      <c r="R1260" s="8"/>
      <c r="S1260" s="1"/>
      <c r="T1260" s="8"/>
      <c r="U1260" s="8"/>
      <c r="V1260" s="56"/>
      <c r="W1260" s="1"/>
      <c r="X1260" s="1"/>
      <c r="Y1260" s="8"/>
      <c r="Z1260" s="8"/>
      <c r="AA1260" s="8"/>
      <c r="AB1260" s="8"/>
      <c r="AC1260" s="8"/>
      <c r="AD1260" s="8"/>
      <c r="AE1260" s="8"/>
      <c r="AF1260" s="8"/>
      <c r="AG1260" s="8"/>
      <c r="AH1260" s="8"/>
      <c r="AI1260" s="8"/>
    </row>
    <row r="1261" spans="1:35">
      <c r="A1261" s="1"/>
      <c r="B1261" s="8"/>
      <c r="C1261" s="8"/>
      <c r="D1261" s="8"/>
      <c r="E1261" s="8"/>
      <c r="F1261" s="8"/>
      <c r="G1261" s="8"/>
      <c r="H1261" s="8"/>
      <c r="I1261" s="8"/>
      <c r="J1261" s="8"/>
      <c r="K1261" s="8"/>
      <c r="L1261" s="26"/>
      <c r="M1261" s="26"/>
      <c r="N1261" s="26"/>
      <c r="O1261" s="55"/>
      <c r="P1261" s="1"/>
      <c r="Q1261" s="8"/>
      <c r="R1261" s="8"/>
      <c r="S1261" s="1"/>
      <c r="T1261" s="8"/>
      <c r="U1261" s="8"/>
      <c r="V1261" s="56"/>
      <c r="W1261" s="1"/>
      <c r="X1261" s="1"/>
      <c r="Y1261" s="8"/>
      <c r="Z1261" s="8"/>
      <c r="AA1261" s="8"/>
      <c r="AB1261" s="8"/>
      <c r="AC1261" s="8"/>
      <c r="AD1261" s="8"/>
      <c r="AE1261" s="8"/>
      <c r="AF1261" s="8"/>
      <c r="AG1261" s="8"/>
      <c r="AH1261" s="8"/>
      <c r="AI1261" s="8"/>
    </row>
    <row r="1262" spans="1:35">
      <c r="A1262" s="1"/>
      <c r="B1262" s="8"/>
      <c r="C1262" s="8"/>
      <c r="D1262" s="8"/>
      <c r="E1262" s="8"/>
      <c r="F1262" s="8"/>
      <c r="G1262" s="8"/>
      <c r="H1262" s="8"/>
      <c r="I1262" s="8"/>
      <c r="J1262" s="8"/>
      <c r="K1262" s="8"/>
      <c r="L1262" s="26"/>
      <c r="M1262" s="26"/>
      <c r="N1262" s="26"/>
      <c r="O1262" s="55"/>
      <c r="P1262" s="1"/>
      <c r="Q1262" s="8"/>
      <c r="R1262" s="8"/>
      <c r="S1262" s="1"/>
      <c r="T1262" s="8"/>
      <c r="U1262" s="8"/>
      <c r="V1262" s="56"/>
      <c r="W1262" s="1"/>
      <c r="X1262" s="1"/>
      <c r="Y1262" s="8"/>
      <c r="Z1262" s="8"/>
      <c r="AA1262" s="8"/>
      <c r="AB1262" s="8"/>
      <c r="AC1262" s="8"/>
      <c r="AD1262" s="8"/>
      <c r="AE1262" s="8"/>
      <c r="AF1262" s="8"/>
      <c r="AG1262" s="8"/>
      <c r="AH1262" s="8"/>
      <c r="AI1262" s="8"/>
    </row>
    <row r="1263" spans="1:35">
      <c r="A1263" s="1"/>
      <c r="B1263" s="8"/>
      <c r="C1263" s="8"/>
      <c r="D1263" s="8"/>
      <c r="E1263" s="8"/>
      <c r="F1263" s="8"/>
      <c r="G1263" s="8"/>
      <c r="H1263" s="8"/>
      <c r="I1263" s="8"/>
      <c r="J1263" s="8"/>
      <c r="K1263" s="8"/>
      <c r="L1263" s="26"/>
      <c r="M1263" s="26"/>
      <c r="N1263" s="26"/>
      <c r="O1263" s="55"/>
      <c r="P1263" s="1"/>
      <c r="Q1263" s="8"/>
      <c r="R1263" s="8"/>
      <c r="S1263" s="1"/>
      <c r="T1263" s="8"/>
      <c r="U1263" s="8"/>
      <c r="V1263" s="56"/>
      <c r="W1263" s="1"/>
      <c r="X1263" s="1"/>
      <c r="Y1263" s="8"/>
      <c r="Z1263" s="8"/>
      <c r="AA1263" s="8"/>
      <c r="AB1263" s="8"/>
      <c r="AC1263" s="8"/>
      <c r="AD1263" s="8"/>
      <c r="AE1263" s="8"/>
      <c r="AF1263" s="8"/>
      <c r="AG1263" s="8"/>
      <c r="AH1263" s="8"/>
      <c r="AI1263" s="8"/>
    </row>
    <row r="1264" spans="1:35">
      <c r="A1264" s="1"/>
      <c r="B1264" s="8"/>
      <c r="C1264" s="8"/>
      <c r="D1264" s="8"/>
      <c r="E1264" s="8"/>
      <c r="F1264" s="8"/>
      <c r="G1264" s="8"/>
      <c r="H1264" s="8"/>
      <c r="I1264" s="8"/>
      <c r="J1264" s="8"/>
      <c r="K1264" s="8"/>
      <c r="L1264" s="26"/>
      <c r="M1264" s="26"/>
      <c r="N1264" s="26"/>
      <c r="O1264" s="55"/>
      <c r="P1264" s="1"/>
      <c r="Q1264" s="8"/>
      <c r="R1264" s="8"/>
      <c r="S1264" s="1"/>
      <c r="T1264" s="8"/>
      <c r="U1264" s="8"/>
      <c r="V1264" s="56"/>
      <c r="W1264" s="1"/>
      <c r="X1264" s="1"/>
      <c r="Y1264" s="8"/>
      <c r="Z1264" s="8"/>
      <c r="AA1264" s="8"/>
      <c r="AB1264" s="8"/>
      <c r="AC1264" s="8"/>
      <c r="AD1264" s="8"/>
      <c r="AE1264" s="8"/>
      <c r="AF1264" s="8"/>
      <c r="AG1264" s="8"/>
      <c r="AH1264" s="8"/>
      <c r="AI1264" s="8"/>
    </row>
    <row r="1265" spans="1:35">
      <c r="A1265" s="1"/>
      <c r="B1265" s="8"/>
      <c r="C1265" s="8"/>
      <c r="D1265" s="8"/>
      <c r="E1265" s="8"/>
      <c r="F1265" s="8"/>
      <c r="G1265" s="8"/>
      <c r="H1265" s="8"/>
      <c r="I1265" s="8"/>
      <c r="J1265" s="8"/>
      <c r="K1265" s="8"/>
      <c r="L1265" s="26"/>
      <c r="M1265" s="26"/>
      <c r="N1265" s="26"/>
      <c r="O1265" s="55"/>
      <c r="P1265" s="1"/>
      <c r="Q1265" s="8"/>
      <c r="R1265" s="8"/>
      <c r="S1265" s="1"/>
      <c r="T1265" s="8"/>
      <c r="U1265" s="8"/>
      <c r="V1265" s="56"/>
      <c r="W1265" s="1"/>
      <c r="X1265" s="1"/>
      <c r="Y1265" s="8"/>
      <c r="Z1265" s="8"/>
      <c r="AA1265" s="8"/>
      <c r="AB1265" s="8"/>
      <c r="AC1265" s="8"/>
      <c r="AD1265" s="8"/>
      <c r="AE1265" s="8"/>
      <c r="AF1265" s="8"/>
      <c r="AG1265" s="8"/>
      <c r="AH1265" s="8"/>
      <c r="AI1265" s="8"/>
    </row>
    <row r="1266" spans="1:35">
      <c r="A1266" s="1"/>
      <c r="B1266" s="8"/>
      <c r="C1266" s="8"/>
      <c r="D1266" s="8"/>
      <c r="E1266" s="8"/>
      <c r="F1266" s="8"/>
      <c r="G1266" s="8"/>
      <c r="H1266" s="8"/>
      <c r="I1266" s="8"/>
      <c r="J1266" s="8"/>
      <c r="K1266" s="8"/>
      <c r="L1266" s="26"/>
      <c r="M1266" s="26"/>
      <c r="N1266" s="26"/>
      <c r="O1266" s="55"/>
      <c r="P1266" s="1"/>
      <c r="Q1266" s="8"/>
      <c r="R1266" s="8"/>
      <c r="S1266" s="1"/>
      <c r="T1266" s="8"/>
      <c r="U1266" s="8"/>
      <c r="V1266" s="56"/>
      <c r="W1266" s="1"/>
      <c r="X1266" s="1"/>
      <c r="Y1266" s="8"/>
      <c r="Z1266" s="8"/>
      <c r="AA1266" s="8"/>
      <c r="AB1266" s="8"/>
      <c r="AC1266" s="8"/>
      <c r="AD1266" s="8"/>
      <c r="AE1266" s="8"/>
      <c r="AF1266" s="8"/>
      <c r="AG1266" s="8"/>
      <c r="AH1266" s="8"/>
      <c r="AI1266" s="8"/>
    </row>
    <row r="1267" spans="1:35">
      <c r="A1267" s="1"/>
      <c r="B1267" s="8"/>
      <c r="C1267" s="8"/>
      <c r="D1267" s="8"/>
      <c r="E1267" s="8"/>
      <c r="F1267" s="8"/>
      <c r="G1267" s="8"/>
      <c r="H1267" s="8"/>
      <c r="I1267" s="8"/>
      <c r="J1267" s="8"/>
      <c r="K1267" s="8"/>
      <c r="L1267" s="26"/>
      <c r="M1267" s="26"/>
      <c r="N1267" s="26"/>
      <c r="O1267" s="55"/>
      <c r="P1267" s="1"/>
      <c r="Q1267" s="8"/>
      <c r="R1267" s="8"/>
      <c r="S1267" s="1"/>
      <c r="T1267" s="8"/>
      <c r="U1267" s="8"/>
      <c r="V1267" s="56"/>
      <c r="W1267" s="1"/>
      <c r="X1267" s="1"/>
      <c r="Y1267" s="8"/>
      <c r="Z1267" s="8"/>
      <c r="AA1267" s="8"/>
      <c r="AB1267" s="8"/>
      <c r="AC1267" s="8"/>
      <c r="AD1267" s="8"/>
      <c r="AE1267" s="8"/>
      <c r="AF1267" s="8"/>
      <c r="AG1267" s="8"/>
      <c r="AH1267" s="8"/>
      <c r="AI1267" s="8"/>
    </row>
    <row r="1268" spans="1:35">
      <c r="A1268" s="1"/>
      <c r="B1268" s="8"/>
      <c r="C1268" s="8"/>
      <c r="D1268" s="8"/>
      <c r="E1268" s="8"/>
      <c r="F1268" s="8"/>
      <c r="G1268" s="8"/>
      <c r="H1268" s="8"/>
      <c r="I1268" s="8"/>
      <c r="J1268" s="8"/>
      <c r="K1268" s="8"/>
      <c r="L1268" s="26"/>
      <c r="M1268" s="26"/>
      <c r="N1268" s="26"/>
      <c r="O1268" s="55"/>
      <c r="P1268" s="1"/>
      <c r="Q1268" s="8"/>
      <c r="R1268" s="8"/>
      <c r="S1268" s="1"/>
      <c r="T1268" s="8"/>
      <c r="U1268" s="8"/>
      <c r="V1268" s="56"/>
      <c r="W1268" s="1"/>
      <c r="X1268" s="1"/>
      <c r="Y1268" s="8"/>
      <c r="Z1268" s="8"/>
      <c r="AA1268" s="8"/>
      <c r="AB1268" s="8"/>
      <c r="AC1268" s="8"/>
      <c r="AD1268" s="8"/>
      <c r="AE1268" s="8"/>
      <c r="AF1268" s="8"/>
      <c r="AG1268" s="8"/>
      <c r="AH1268" s="8"/>
      <c r="AI1268" s="8"/>
    </row>
    <row r="1269" spans="1:35">
      <c r="A1269" s="1"/>
      <c r="B1269" s="8"/>
      <c r="C1269" s="8"/>
      <c r="D1269" s="8"/>
      <c r="E1269" s="8"/>
      <c r="F1269" s="8"/>
      <c r="G1269" s="8"/>
      <c r="H1269" s="8"/>
      <c r="I1269" s="8"/>
      <c r="J1269" s="8"/>
      <c r="K1269" s="8"/>
      <c r="L1269" s="26"/>
      <c r="M1269" s="26"/>
      <c r="N1269" s="26"/>
      <c r="O1269" s="55"/>
      <c r="P1269" s="1"/>
      <c r="Q1269" s="8"/>
      <c r="R1269" s="8"/>
      <c r="S1269" s="1"/>
      <c r="T1269" s="8"/>
      <c r="U1269" s="8"/>
      <c r="V1269" s="56"/>
      <c r="W1269" s="1"/>
      <c r="X1269" s="1"/>
      <c r="Y1269" s="8"/>
      <c r="Z1269" s="8"/>
      <c r="AA1269" s="8"/>
      <c r="AB1269" s="8"/>
      <c r="AC1269" s="8"/>
      <c r="AD1269" s="8"/>
      <c r="AE1269" s="8"/>
      <c r="AF1269" s="8"/>
      <c r="AG1269" s="8"/>
      <c r="AH1269" s="8"/>
      <c r="AI1269" s="8"/>
    </row>
    <row r="1270" spans="1:35">
      <c r="A1270" s="1"/>
      <c r="B1270" s="8"/>
      <c r="C1270" s="8"/>
      <c r="D1270" s="8"/>
      <c r="E1270" s="8"/>
      <c r="F1270" s="8"/>
      <c r="G1270" s="8"/>
      <c r="H1270" s="8"/>
      <c r="I1270" s="8"/>
      <c r="J1270" s="8"/>
      <c r="K1270" s="8"/>
      <c r="L1270" s="26"/>
      <c r="M1270" s="26"/>
      <c r="N1270" s="26"/>
      <c r="O1270" s="55"/>
      <c r="P1270" s="1"/>
      <c r="Q1270" s="8"/>
      <c r="R1270" s="8"/>
      <c r="S1270" s="1"/>
      <c r="T1270" s="8"/>
      <c r="U1270" s="8"/>
      <c r="V1270" s="56"/>
      <c r="W1270" s="1"/>
      <c r="X1270" s="1"/>
      <c r="Y1270" s="8"/>
      <c r="Z1270" s="8"/>
      <c r="AA1270" s="8"/>
      <c r="AB1270" s="8"/>
      <c r="AC1270" s="8"/>
      <c r="AD1270" s="8"/>
      <c r="AE1270" s="8"/>
      <c r="AF1270" s="8"/>
      <c r="AG1270" s="8"/>
      <c r="AH1270" s="8"/>
      <c r="AI1270" s="8"/>
    </row>
    <row r="1271" spans="1:35">
      <c r="A1271" s="1"/>
      <c r="B1271" s="8"/>
      <c r="C1271" s="8"/>
      <c r="D1271" s="8"/>
      <c r="E1271" s="8"/>
      <c r="F1271" s="8"/>
      <c r="G1271" s="8"/>
      <c r="H1271" s="8"/>
      <c r="I1271" s="8"/>
      <c r="J1271" s="8"/>
      <c r="K1271" s="8"/>
      <c r="L1271" s="26"/>
      <c r="M1271" s="26"/>
      <c r="N1271" s="26"/>
      <c r="O1271" s="55"/>
      <c r="P1271" s="1"/>
      <c r="Q1271" s="8"/>
      <c r="R1271" s="8"/>
      <c r="S1271" s="1"/>
      <c r="T1271" s="8"/>
      <c r="U1271" s="8"/>
      <c r="V1271" s="56"/>
      <c r="W1271" s="1"/>
      <c r="X1271" s="1"/>
      <c r="Y1271" s="8"/>
      <c r="Z1271" s="8"/>
      <c r="AA1271" s="8"/>
      <c r="AB1271" s="8"/>
      <c r="AC1271" s="8"/>
      <c r="AD1271" s="8"/>
      <c r="AE1271" s="8"/>
      <c r="AF1271" s="8"/>
      <c r="AG1271" s="8"/>
      <c r="AH1271" s="8"/>
      <c r="AI1271" s="8"/>
    </row>
    <row r="1272" spans="1:35">
      <c r="A1272" s="1"/>
      <c r="B1272" s="8"/>
      <c r="C1272" s="8"/>
      <c r="D1272" s="8"/>
      <c r="E1272" s="8"/>
      <c r="F1272" s="8"/>
      <c r="G1272" s="8"/>
      <c r="H1272" s="8"/>
      <c r="I1272" s="8"/>
      <c r="J1272" s="8"/>
      <c r="K1272" s="8"/>
      <c r="L1272" s="26"/>
      <c r="M1272" s="26"/>
      <c r="N1272" s="26"/>
      <c r="O1272" s="55"/>
      <c r="P1272" s="1"/>
      <c r="Q1272" s="8"/>
      <c r="R1272" s="8"/>
      <c r="S1272" s="1"/>
      <c r="T1272" s="8"/>
      <c r="U1272" s="8"/>
      <c r="V1272" s="56"/>
      <c r="W1272" s="1"/>
      <c r="X1272" s="1"/>
      <c r="Y1272" s="8"/>
      <c r="Z1272" s="8"/>
      <c r="AA1272" s="8"/>
      <c r="AB1272" s="8"/>
      <c r="AC1272" s="8"/>
      <c r="AD1272" s="8"/>
      <c r="AE1272" s="8"/>
      <c r="AF1272" s="8"/>
      <c r="AG1272" s="8"/>
      <c r="AH1272" s="8"/>
      <c r="AI1272" s="8"/>
    </row>
    <row r="1273" spans="1:35">
      <c r="A1273" s="1"/>
      <c r="B1273" s="8"/>
      <c r="C1273" s="8"/>
      <c r="D1273" s="8"/>
      <c r="E1273" s="8"/>
      <c r="F1273" s="8"/>
      <c r="G1273" s="8"/>
      <c r="H1273" s="8"/>
      <c r="I1273" s="8"/>
      <c r="J1273" s="8"/>
      <c r="K1273" s="8"/>
      <c r="L1273" s="26"/>
      <c r="M1273" s="26"/>
      <c r="N1273" s="26"/>
      <c r="O1273" s="55"/>
      <c r="P1273" s="1"/>
      <c r="Q1273" s="8"/>
      <c r="R1273" s="8"/>
      <c r="S1273" s="1"/>
      <c r="T1273" s="8"/>
      <c r="U1273" s="8"/>
      <c r="V1273" s="56"/>
      <c r="W1273" s="1"/>
      <c r="X1273" s="1"/>
      <c r="Y1273" s="8"/>
      <c r="Z1273" s="8"/>
      <c r="AA1273" s="8"/>
      <c r="AB1273" s="8"/>
      <c r="AC1273" s="8"/>
      <c r="AD1273" s="8"/>
      <c r="AE1273" s="8"/>
      <c r="AF1273" s="8"/>
      <c r="AG1273" s="8"/>
      <c r="AH1273" s="8"/>
      <c r="AI1273" s="8"/>
    </row>
    <row r="1274" spans="1:35">
      <c r="A1274" s="1"/>
      <c r="B1274" s="8"/>
      <c r="C1274" s="8"/>
      <c r="D1274" s="8"/>
      <c r="E1274" s="8"/>
      <c r="F1274" s="8"/>
      <c r="G1274" s="8"/>
      <c r="H1274" s="8"/>
      <c r="I1274" s="8"/>
      <c r="J1274" s="8"/>
      <c r="K1274" s="8"/>
      <c r="L1274" s="26"/>
      <c r="M1274" s="26"/>
      <c r="N1274" s="26"/>
      <c r="O1274" s="55"/>
      <c r="P1274" s="1"/>
      <c r="Q1274" s="8"/>
      <c r="R1274" s="8"/>
      <c r="S1274" s="1"/>
      <c r="T1274" s="8"/>
      <c r="U1274" s="8"/>
      <c r="V1274" s="56"/>
      <c r="W1274" s="1"/>
      <c r="X1274" s="1"/>
      <c r="Y1274" s="8"/>
      <c r="Z1274" s="8"/>
      <c r="AA1274" s="8"/>
      <c r="AB1274" s="8"/>
      <c r="AC1274" s="8"/>
      <c r="AD1274" s="8"/>
      <c r="AE1274" s="8"/>
      <c r="AF1274" s="8"/>
      <c r="AG1274" s="8"/>
      <c r="AH1274" s="8"/>
      <c r="AI1274" s="8"/>
    </row>
    <row r="1275" spans="1:35">
      <c r="A1275" s="1"/>
      <c r="B1275" s="8"/>
      <c r="C1275" s="8"/>
      <c r="D1275" s="8"/>
      <c r="E1275" s="8"/>
      <c r="F1275" s="8"/>
      <c r="G1275" s="8"/>
      <c r="H1275" s="8"/>
      <c r="I1275" s="8"/>
      <c r="J1275" s="8"/>
      <c r="K1275" s="8"/>
      <c r="L1275" s="26"/>
      <c r="M1275" s="26"/>
      <c r="N1275" s="26"/>
      <c r="O1275" s="55"/>
      <c r="P1275" s="1"/>
      <c r="Q1275" s="8"/>
      <c r="R1275" s="8"/>
      <c r="S1275" s="1"/>
      <c r="T1275" s="8"/>
      <c r="U1275" s="8"/>
      <c r="V1275" s="56"/>
      <c r="W1275" s="1"/>
      <c r="X1275" s="1"/>
      <c r="Y1275" s="8"/>
      <c r="Z1275" s="8"/>
      <c r="AA1275" s="8"/>
      <c r="AB1275" s="8"/>
      <c r="AC1275" s="8"/>
      <c r="AD1275" s="8"/>
      <c r="AE1275" s="8"/>
      <c r="AF1275" s="8"/>
      <c r="AG1275" s="8"/>
      <c r="AH1275" s="8"/>
      <c r="AI1275" s="8"/>
    </row>
    <row r="1276" spans="1:35">
      <c r="A1276" s="1"/>
      <c r="B1276" s="8"/>
      <c r="C1276" s="8"/>
      <c r="D1276" s="8"/>
      <c r="E1276" s="8"/>
      <c r="F1276" s="8"/>
      <c r="G1276" s="8"/>
      <c r="H1276" s="8"/>
      <c r="I1276" s="8"/>
      <c r="J1276" s="8"/>
      <c r="K1276" s="8"/>
      <c r="L1276" s="26"/>
      <c r="M1276" s="26"/>
      <c r="N1276" s="26"/>
      <c r="O1276" s="55"/>
      <c r="P1276" s="1"/>
      <c r="Q1276" s="8"/>
      <c r="R1276" s="8"/>
      <c r="S1276" s="1"/>
      <c r="T1276" s="8"/>
      <c r="U1276" s="8"/>
      <c r="V1276" s="56"/>
      <c r="W1276" s="1"/>
      <c r="X1276" s="1"/>
      <c r="Y1276" s="8"/>
      <c r="Z1276" s="8"/>
      <c r="AA1276" s="8"/>
      <c r="AB1276" s="8"/>
      <c r="AC1276" s="8"/>
      <c r="AD1276" s="8"/>
      <c r="AE1276" s="8"/>
      <c r="AF1276" s="8"/>
      <c r="AG1276" s="8"/>
      <c r="AH1276" s="8"/>
      <c r="AI1276" s="8"/>
    </row>
    <row r="1277" spans="1:35">
      <c r="A1277" s="1"/>
      <c r="B1277" s="8"/>
      <c r="C1277" s="8"/>
      <c r="D1277" s="8"/>
      <c r="E1277" s="8"/>
      <c r="F1277" s="8"/>
      <c r="G1277" s="8"/>
      <c r="H1277" s="8"/>
      <c r="I1277" s="8"/>
      <c r="J1277" s="8"/>
      <c r="K1277" s="8"/>
      <c r="L1277" s="26"/>
      <c r="M1277" s="26"/>
      <c r="N1277" s="26"/>
      <c r="O1277" s="55"/>
      <c r="P1277" s="1"/>
      <c r="Q1277" s="8"/>
      <c r="R1277" s="8"/>
      <c r="S1277" s="1"/>
      <c r="T1277" s="8"/>
      <c r="U1277" s="8"/>
      <c r="V1277" s="56"/>
      <c r="W1277" s="1"/>
      <c r="X1277" s="1"/>
      <c r="Y1277" s="8"/>
      <c r="Z1277" s="8"/>
      <c r="AA1277" s="8"/>
      <c r="AB1277" s="8"/>
      <c r="AC1277" s="8"/>
      <c r="AD1277" s="8"/>
      <c r="AE1277" s="8"/>
      <c r="AF1277" s="8"/>
      <c r="AG1277" s="8"/>
      <c r="AH1277" s="8"/>
      <c r="AI1277" s="8"/>
    </row>
    <row r="1278" spans="1:35">
      <c r="A1278" s="1"/>
      <c r="B1278" s="8"/>
      <c r="C1278" s="8"/>
      <c r="D1278" s="8"/>
      <c r="E1278" s="8"/>
      <c r="F1278" s="8"/>
      <c r="G1278" s="8"/>
      <c r="H1278" s="8"/>
      <c r="I1278" s="8"/>
      <c r="J1278" s="8"/>
      <c r="K1278" s="8"/>
      <c r="L1278" s="26"/>
      <c r="M1278" s="26"/>
      <c r="N1278" s="26"/>
      <c r="O1278" s="55"/>
      <c r="P1278" s="1"/>
      <c r="Q1278" s="8"/>
      <c r="R1278" s="8"/>
      <c r="S1278" s="1"/>
      <c r="T1278" s="8"/>
      <c r="U1278" s="8"/>
      <c r="V1278" s="56"/>
      <c r="W1278" s="1"/>
      <c r="X1278" s="1"/>
      <c r="Y1278" s="8"/>
      <c r="Z1278" s="8"/>
      <c r="AA1278" s="8"/>
      <c r="AB1278" s="8"/>
      <c r="AC1278" s="8"/>
      <c r="AD1278" s="8"/>
      <c r="AE1278" s="8"/>
      <c r="AF1278" s="8"/>
      <c r="AG1278" s="8"/>
      <c r="AH1278" s="8"/>
      <c r="AI1278" s="8"/>
    </row>
    <row r="1279" spans="1:35">
      <c r="A1279" s="1"/>
      <c r="B1279" s="8"/>
      <c r="C1279" s="8"/>
      <c r="D1279" s="8"/>
      <c r="E1279" s="8"/>
      <c r="F1279" s="8"/>
      <c r="G1279" s="8"/>
      <c r="H1279" s="8"/>
      <c r="I1279" s="8"/>
      <c r="J1279" s="8"/>
      <c r="K1279" s="8"/>
      <c r="L1279" s="26"/>
      <c r="M1279" s="26"/>
      <c r="N1279" s="26"/>
      <c r="O1279" s="55"/>
      <c r="P1279" s="1"/>
      <c r="Q1279" s="8"/>
      <c r="R1279" s="8"/>
      <c r="S1279" s="1"/>
      <c r="T1279" s="8"/>
      <c r="U1279" s="8"/>
      <c r="V1279" s="56"/>
      <c r="W1279" s="1"/>
      <c r="X1279" s="1"/>
      <c r="Y1279" s="8"/>
      <c r="Z1279" s="8"/>
      <c r="AA1279" s="8"/>
      <c r="AB1279" s="8"/>
      <c r="AC1279" s="8"/>
      <c r="AD1279" s="8"/>
      <c r="AE1279" s="8"/>
      <c r="AF1279" s="8"/>
      <c r="AG1279" s="8"/>
      <c r="AH1279" s="8"/>
      <c r="AI1279" s="8"/>
    </row>
    <row r="1280" spans="1:35">
      <c r="A1280" s="1"/>
      <c r="B1280" s="8"/>
      <c r="C1280" s="8"/>
      <c r="D1280" s="8"/>
      <c r="E1280" s="8"/>
      <c r="F1280" s="8"/>
      <c r="G1280" s="8"/>
      <c r="H1280" s="8"/>
      <c r="I1280" s="8"/>
      <c r="J1280" s="8"/>
      <c r="K1280" s="8"/>
      <c r="L1280" s="26"/>
      <c r="M1280" s="26"/>
      <c r="N1280" s="26"/>
      <c r="O1280" s="55"/>
      <c r="P1280" s="1"/>
      <c r="Q1280" s="8"/>
      <c r="R1280" s="8"/>
      <c r="S1280" s="1"/>
      <c r="T1280" s="8"/>
      <c r="U1280" s="8"/>
      <c r="V1280" s="56"/>
      <c r="W1280" s="1"/>
      <c r="X1280" s="1"/>
      <c r="Y1280" s="8"/>
      <c r="Z1280" s="8"/>
      <c r="AA1280" s="8"/>
      <c r="AB1280" s="8"/>
      <c r="AC1280" s="8"/>
      <c r="AD1280" s="8"/>
      <c r="AE1280" s="8"/>
      <c r="AF1280" s="8"/>
      <c r="AG1280" s="8"/>
      <c r="AH1280" s="8"/>
      <c r="AI1280" s="8"/>
    </row>
    <row r="1281" spans="1:35">
      <c r="A1281" s="1"/>
      <c r="B1281" s="8"/>
      <c r="C1281" s="8"/>
      <c r="D1281" s="8"/>
      <c r="E1281" s="8"/>
      <c r="F1281" s="8"/>
      <c r="G1281" s="8"/>
      <c r="H1281" s="8"/>
      <c r="I1281" s="8"/>
      <c r="J1281" s="8"/>
      <c r="K1281" s="8"/>
      <c r="L1281" s="26"/>
      <c r="M1281" s="26"/>
      <c r="N1281" s="26"/>
      <c r="O1281" s="55"/>
      <c r="P1281" s="1"/>
      <c r="Q1281" s="8"/>
      <c r="R1281" s="8"/>
      <c r="S1281" s="1"/>
      <c r="T1281" s="8"/>
      <c r="U1281" s="8"/>
      <c r="V1281" s="56"/>
      <c r="W1281" s="1"/>
      <c r="X1281" s="1"/>
      <c r="Y1281" s="8"/>
      <c r="Z1281" s="8"/>
      <c r="AA1281" s="8"/>
      <c r="AB1281" s="8"/>
      <c r="AC1281" s="8"/>
      <c r="AD1281" s="8"/>
      <c r="AE1281" s="8"/>
      <c r="AF1281" s="8"/>
      <c r="AG1281" s="8"/>
      <c r="AH1281" s="8"/>
      <c r="AI1281" s="8"/>
    </row>
    <row r="1282" spans="1:35">
      <c r="A1282" s="1"/>
      <c r="B1282" s="8"/>
      <c r="C1282" s="8"/>
      <c r="D1282" s="8"/>
      <c r="E1282" s="8"/>
      <c r="F1282" s="8"/>
      <c r="G1282" s="8"/>
      <c r="H1282" s="8"/>
      <c r="I1282" s="8"/>
      <c r="J1282" s="8"/>
      <c r="K1282" s="8"/>
      <c r="L1282" s="26"/>
      <c r="M1282" s="26"/>
      <c r="N1282" s="26"/>
      <c r="O1282" s="55"/>
      <c r="P1282" s="1"/>
      <c r="Q1282" s="8"/>
      <c r="R1282" s="8"/>
      <c r="S1282" s="1"/>
      <c r="T1282" s="8"/>
      <c r="U1282" s="8"/>
      <c r="V1282" s="56"/>
      <c r="W1282" s="1"/>
      <c r="X1282" s="1"/>
      <c r="Y1282" s="8"/>
      <c r="Z1282" s="8"/>
      <c r="AA1282" s="8"/>
      <c r="AB1282" s="8"/>
      <c r="AC1282" s="8"/>
      <c r="AD1282" s="8"/>
      <c r="AE1282" s="8"/>
      <c r="AF1282" s="8"/>
      <c r="AG1282" s="8"/>
      <c r="AH1282" s="8"/>
      <c r="AI1282" s="8"/>
    </row>
    <row r="1283" spans="1:35">
      <c r="A1283" s="1"/>
      <c r="B1283" s="8"/>
      <c r="C1283" s="8"/>
      <c r="D1283" s="8"/>
      <c r="E1283" s="8"/>
      <c r="F1283" s="8"/>
      <c r="G1283" s="8"/>
      <c r="H1283" s="8"/>
      <c r="I1283" s="8"/>
      <c r="J1283" s="8"/>
      <c r="K1283" s="8"/>
      <c r="L1283" s="26"/>
      <c r="M1283" s="26"/>
      <c r="N1283" s="26"/>
      <c r="O1283" s="55"/>
      <c r="P1283" s="1"/>
      <c r="Q1283" s="8"/>
      <c r="R1283" s="8"/>
      <c r="S1283" s="1"/>
      <c r="T1283" s="8"/>
      <c r="U1283" s="8"/>
      <c r="V1283" s="56"/>
      <c r="W1283" s="1"/>
      <c r="X1283" s="1"/>
      <c r="Y1283" s="8"/>
      <c r="Z1283" s="8"/>
      <c r="AA1283" s="8"/>
      <c r="AB1283" s="8"/>
      <c r="AC1283" s="8"/>
      <c r="AD1283" s="8"/>
      <c r="AE1283" s="8"/>
      <c r="AF1283" s="8"/>
      <c r="AG1283" s="8"/>
      <c r="AH1283" s="8"/>
      <c r="AI1283" s="8"/>
    </row>
    <row r="1284" spans="1:35">
      <c r="A1284" s="1"/>
      <c r="B1284" s="8"/>
      <c r="C1284" s="8"/>
      <c r="D1284" s="8"/>
      <c r="E1284" s="8"/>
      <c r="F1284" s="8"/>
      <c r="G1284" s="8"/>
      <c r="H1284" s="8"/>
      <c r="I1284" s="8"/>
      <c r="J1284" s="8"/>
      <c r="K1284" s="8"/>
      <c r="L1284" s="26"/>
      <c r="M1284" s="26"/>
      <c r="N1284" s="26"/>
      <c r="O1284" s="55"/>
      <c r="P1284" s="1"/>
      <c r="Q1284" s="8"/>
      <c r="R1284" s="8"/>
      <c r="S1284" s="1"/>
      <c r="T1284" s="8"/>
      <c r="U1284" s="8"/>
      <c r="V1284" s="56"/>
      <c r="W1284" s="1"/>
      <c r="X1284" s="1"/>
      <c r="Y1284" s="8"/>
      <c r="Z1284" s="8"/>
      <c r="AA1284" s="8"/>
      <c r="AB1284" s="8"/>
      <c r="AC1284" s="8"/>
      <c r="AD1284" s="8"/>
      <c r="AE1284" s="8"/>
      <c r="AF1284" s="8"/>
      <c r="AG1284" s="8"/>
      <c r="AH1284" s="8"/>
      <c r="AI1284" s="8"/>
    </row>
    <row r="1285" spans="1:35">
      <c r="A1285" s="1"/>
      <c r="B1285" s="8"/>
      <c r="C1285" s="8"/>
      <c r="D1285" s="8"/>
      <c r="E1285" s="8"/>
      <c r="F1285" s="8"/>
      <c r="G1285" s="8"/>
      <c r="H1285" s="8"/>
      <c r="I1285" s="8"/>
      <c r="J1285" s="8"/>
      <c r="K1285" s="8"/>
      <c r="L1285" s="26"/>
      <c r="M1285" s="26"/>
      <c r="N1285" s="26"/>
      <c r="O1285" s="55"/>
      <c r="P1285" s="1"/>
      <c r="Q1285" s="8"/>
      <c r="R1285" s="8"/>
      <c r="S1285" s="1"/>
      <c r="T1285" s="8"/>
      <c r="U1285" s="8"/>
      <c r="V1285" s="56"/>
      <c r="W1285" s="1"/>
      <c r="X1285" s="1"/>
      <c r="Y1285" s="8"/>
      <c r="Z1285" s="8"/>
      <c r="AA1285" s="8"/>
      <c r="AB1285" s="8"/>
      <c r="AC1285" s="8"/>
      <c r="AD1285" s="8"/>
      <c r="AE1285" s="8"/>
      <c r="AF1285" s="8"/>
      <c r="AG1285" s="8"/>
      <c r="AH1285" s="8"/>
      <c r="AI1285" s="8"/>
    </row>
    <row r="1286" spans="1:35">
      <c r="A1286" s="1"/>
      <c r="B1286" s="8"/>
      <c r="C1286" s="8"/>
      <c r="D1286" s="8"/>
      <c r="E1286" s="8"/>
      <c r="F1286" s="8"/>
      <c r="G1286" s="8"/>
      <c r="H1286" s="8"/>
      <c r="I1286" s="8"/>
      <c r="J1286" s="8"/>
      <c r="K1286" s="8"/>
      <c r="L1286" s="26"/>
      <c r="M1286" s="26"/>
      <c r="N1286" s="26"/>
      <c r="O1286" s="55"/>
      <c r="P1286" s="1"/>
      <c r="Q1286" s="8"/>
      <c r="R1286" s="8"/>
      <c r="S1286" s="1"/>
      <c r="T1286" s="8"/>
      <c r="U1286" s="8"/>
      <c r="V1286" s="56"/>
      <c r="W1286" s="1"/>
      <c r="X1286" s="1"/>
      <c r="Y1286" s="8"/>
      <c r="Z1286" s="8"/>
      <c r="AA1286" s="8"/>
      <c r="AB1286" s="8"/>
      <c r="AC1286" s="8"/>
      <c r="AD1286" s="8"/>
      <c r="AE1286" s="8"/>
      <c r="AF1286" s="8"/>
      <c r="AG1286" s="8"/>
      <c r="AH1286" s="8"/>
      <c r="AI1286" s="8"/>
    </row>
    <row r="1287" spans="1:35">
      <c r="A1287" s="1"/>
      <c r="B1287" s="8"/>
      <c r="C1287" s="8"/>
      <c r="D1287" s="8"/>
      <c r="E1287" s="8"/>
      <c r="F1287" s="8"/>
      <c r="G1287" s="8"/>
      <c r="H1287" s="8"/>
      <c r="I1287" s="8"/>
      <c r="J1287" s="8"/>
      <c r="K1287" s="8"/>
      <c r="L1287" s="26"/>
      <c r="M1287" s="26"/>
      <c r="N1287" s="26"/>
      <c r="O1287" s="55"/>
      <c r="P1287" s="1"/>
      <c r="Q1287" s="8"/>
      <c r="R1287" s="8"/>
      <c r="S1287" s="1"/>
      <c r="T1287" s="8"/>
      <c r="U1287" s="8"/>
      <c r="V1287" s="56"/>
      <c r="W1287" s="1"/>
      <c r="X1287" s="1"/>
      <c r="Y1287" s="8"/>
      <c r="Z1287" s="8"/>
      <c r="AA1287" s="8"/>
      <c r="AB1287" s="8"/>
      <c r="AC1287" s="8"/>
      <c r="AD1287" s="8"/>
      <c r="AE1287" s="8"/>
      <c r="AF1287" s="8"/>
      <c r="AG1287" s="8"/>
      <c r="AH1287" s="8"/>
      <c r="AI1287" s="8"/>
    </row>
    <row r="1288" spans="1:35">
      <c r="A1288" s="1"/>
      <c r="B1288" s="8"/>
      <c r="C1288" s="8"/>
      <c r="D1288" s="8"/>
      <c r="E1288" s="8"/>
      <c r="F1288" s="8"/>
      <c r="G1288" s="8"/>
      <c r="H1288" s="8"/>
      <c r="I1288" s="8"/>
      <c r="J1288" s="8"/>
      <c r="K1288" s="8"/>
      <c r="L1288" s="26"/>
      <c r="M1288" s="26"/>
      <c r="N1288" s="26"/>
      <c r="O1288" s="55"/>
      <c r="P1288" s="1"/>
      <c r="Q1288" s="8"/>
      <c r="R1288" s="8"/>
      <c r="S1288" s="1"/>
      <c r="T1288" s="8"/>
      <c r="U1288" s="8"/>
      <c r="V1288" s="56"/>
      <c r="W1288" s="1"/>
      <c r="X1288" s="1"/>
      <c r="Y1288" s="8"/>
      <c r="Z1288" s="8"/>
      <c r="AA1288" s="8"/>
      <c r="AB1288" s="8"/>
      <c r="AC1288" s="8"/>
      <c r="AD1288" s="8"/>
      <c r="AE1288" s="8"/>
      <c r="AF1288" s="8"/>
      <c r="AG1288" s="8"/>
      <c r="AH1288" s="8"/>
      <c r="AI1288" s="8"/>
    </row>
    <row r="1289" spans="1:35">
      <c r="A1289" s="1"/>
      <c r="B1289" s="8"/>
      <c r="C1289" s="8"/>
      <c r="D1289" s="8"/>
      <c r="E1289" s="8"/>
      <c r="F1289" s="8"/>
      <c r="G1289" s="8"/>
      <c r="H1289" s="8"/>
      <c r="I1289" s="8"/>
      <c r="J1289" s="8"/>
      <c r="K1289" s="8"/>
      <c r="L1289" s="26"/>
      <c r="M1289" s="26"/>
      <c r="N1289" s="26"/>
      <c r="O1289" s="55"/>
      <c r="P1289" s="1"/>
      <c r="Q1289" s="8"/>
      <c r="R1289" s="8"/>
      <c r="S1289" s="1"/>
      <c r="T1289" s="8"/>
      <c r="U1289" s="8"/>
      <c r="V1289" s="56"/>
      <c r="W1289" s="1"/>
      <c r="X1289" s="1"/>
      <c r="Y1289" s="8"/>
      <c r="Z1289" s="8"/>
      <c r="AA1289" s="8"/>
      <c r="AB1289" s="8"/>
      <c r="AC1289" s="8"/>
      <c r="AD1289" s="8"/>
      <c r="AE1289" s="8"/>
      <c r="AF1289" s="8"/>
      <c r="AG1289" s="8"/>
      <c r="AH1289" s="8"/>
      <c r="AI1289" s="8"/>
    </row>
    <row r="1290" spans="1:35">
      <c r="A1290" s="1"/>
      <c r="B1290" s="8"/>
      <c r="C1290" s="8"/>
      <c r="D1290" s="8"/>
      <c r="E1290" s="8"/>
      <c r="F1290" s="8"/>
      <c r="G1290" s="8"/>
      <c r="H1290" s="8"/>
      <c r="I1290" s="8"/>
      <c r="J1290" s="8"/>
      <c r="K1290" s="8"/>
      <c r="L1290" s="26"/>
      <c r="M1290" s="26"/>
      <c r="N1290" s="26"/>
      <c r="O1290" s="55"/>
      <c r="P1290" s="1"/>
      <c r="Q1290" s="8"/>
      <c r="R1290" s="8"/>
      <c r="S1290" s="1"/>
      <c r="T1290" s="8"/>
      <c r="U1290" s="8"/>
      <c r="V1290" s="56"/>
      <c r="W1290" s="1"/>
      <c r="X1290" s="1"/>
      <c r="Y1290" s="8"/>
      <c r="Z1290" s="8"/>
      <c r="AA1290" s="8"/>
      <c r="AB1290" s="8"/>
      <c r="AC1290" s="8"/>
      <c r="AD1290" s="8"/>
      <c r="AE1290" s="8"/>
      <c r="AF1290" s="8"/>
      <c r="AG1290" s="8"/>
      <c r="AH1290" s="8"/>
      <c r="AI1290" s="8"/>
    </row>
    <row r="1291" spans="1:35">
      <c r="A1291" s="1"/>
      <c r="B1291" s="8"/>
      <c r="C1291" s="8"/>
      <c r="D1291" s="8"/>
      <c r="E1291" s="8"/>
      <c r="F1291" s="8"/>
      <c r="G1291" s="8"/>
      <c r="H1291" s="8"/>
      <c r="I1291" s="8"/>
      <c r="J1291" s="8"/>
      <c r="K1291" s="8"/>
      <c r="L1291" s="26"/>
      <c r="M1291" s="26"/>
      <c r="N1291" s="26"/>
      <c r="O1291" s="55"/>
      <c r="P1291" s="1"/>
      <c r="Q1291" s="8"/>
      <c r="R1291" s="8"/>
      <c r="S1291" s="1"/>
      <c r="T1291" s="8"/>
      <c r="U1291" s="8"/>
      <c r="V1291" s="56"/>
      <c r="W1291" s="1"/>
      <c r="X1291" s="1"/>
      <c r="Y1291" s="8"/>
      <c r="Z1291" s="8"/>
      <c r="AA1291" s="8"/>
      <c r="AB1291" s="8"/>
      <c r="AC1291" s="8"/>
      <c r="AD1291" s="8"/>
      <c r="AE1291" s="8"/>
      <c r="AF1291" s="8"/>
      <c r="AG1291" s="8"/>
      <c r="AH1291" s="8"/>
      <c r="AI1291" s="8"/>
    </row>
    <row r="1292" spans="1:35">
      <c r="A1292" s="1"/>
      <c r="B1292" s="8"/>
      <c r="C1292" s="8"/>
      <c r="D1292" s="8"/>
      <c r="E1292" s="8"/>
      <c r="F1292" s="8"/>
      <c r="G1292" s="8"/>
      <c r="H1292" s="8"/>
      <c r="I1292" s="8"/>
      <c r="J1292" s="8"/>
      <c r="K1292" s="8"/>
      <c r="L1292" s="26"/>
      <c r="M1292" s="26"/>
      <c r="N1292" s="26"/>
      <c r="O1292" s="55"/>
      <c r="P1292" s="1"/>
      <c r="Q1292" s="8"/>
      <c r="R1292" s="8"/>
      <c r="S1292" s="1"/>
      <c r="T1292" s="8"/>
      <c r="U1292" s="8"/>
      <c r="V1292" s="56"/>
      <c r="W1292" s="1"/>
      <c r="X1292" s="1"/>
      <c r="Y1292" s="8"/>
      <c r="Z1292" s="8"/>
      <c r="AA1292" s="8"/>
      <c r="AB1292" s="8"/>
      <c r="AC1292" s="8"/>
      <c r="AD1292" s="8"/>
      <c r="AE1292" s="8"/>
      <c r="AF1292" s="8"/>
      <c r="AG1292" s="8"/>
      <c r="AH1292" s="8"/>
      <c r="AI1292" s="8"/>
    </row>
    <row r="1293" spans="1:35">
      <c r="A1293" s="1"/>
      <c r="B1293" s="8"/>
      <c r="C1293" s="8"/>
      <c r="D1293" s="8"/>
      <c r="E1293" s="8"/>
      <c r="F1293" s="8"/>
      <c r="G1293" s="8"/>
      <c r="H1293" s="8"/>
      <c r="I1293" s="8"/>
      <c r="J1293" s="8"/>
      <c r="K1293" s="8"/>
      <c r="L1293" s="26"/>
      <c r="M1293" s="26"/>
      <c r="N1293" s="26"/>
      <c r="O1293" s="55"/>
      <c r="P1293" s="1"/>
      <c r="Q1293" s="8"/>
      <c r="R1293" s="8"/>
      <c r="S1293" s="1"/>
      <c r="T1293" s="8"/>
      <c r="U1293" s="8"/>
      <c r="V1293" s="56"/>
      <c r="W1293" s="1"/>
      <c r="X1293" s="1"/>
      <c r="Y1293" s="8"/>
      <c r="Z1293" s="8"/>
      <c r="AA1293" s="8"/>
      <c r="AB1293" s="8"/>
      <c r="AC1293" s="8"/>
      <c r="AD1293" s="8"/>
      <c r="AE1293" s="8"/>
      <c r="AF1293" s="8"/>
      <c r="AG1293" s="8"/>
      <c r="AH1293" s="8"/>
      <c r="AI1293" s="8"/>
    </row>
    <row r="1294" spans="1:35">
      <c r="A1294" s="1"/>
      <c r="B1294" s="8"/>
      <c r="C1294" s="8"/>
      <c r="D1294" s="8"/>
      <c r="E1294" s="8"/>
      <c r="F1294" s="8"/>
      <c r="G1294" s="8"/>
      <c r="H1294" s="8"/>
      <c r="I1294" s="8"/>
      <c r="J1294" s="8"/>
      <c r="K1294" s="8"/>
      <c r="L1294" s="26"/>
      <c r="M1294" s="26"/>
      <c r="N1294" s="26"/>
      <c r="O1294" s="55"/>
      <c r="P1294" s="1"/>
      <c r="Q1294" s="8"/>
      <c r="R1294" s="8"/>
      <c r="S1294" s="1"/>
      <c r="T1294" s="8"/>
      <c r="U1294" s="8"/>
      <c r="V1294" s="56"/>
      <c r="W1294" s="1"/>
      <c r="X1294" s="1"/>
      <c r="Y1294" s="8"/>
      <c r="Z1294" s="8"/>
      <c r="AA1294" s="8"/>
      <c r="AB1294" s="8"/>
      <c r="AC1294" s="8"/>
      <c r="AD1294" s="8"/>
      <c r="AE1294" s="8"/>
      <c r="AF1294" s="8"/>
      <c r="AG1294" s="8"/>
      <c r="AH1294" s="8"/>
      <c r="AI1294" s="8"/>
    </row>
    <row r="1295" spans="1:35">
      <c r="A1295" s="1"/>
      <c r="B1295" s="8"/>
      <c r="C1295" s="8"/>
      <c r="D1295" s="8"/>
      <c r="E1295" s="8"/>
      <c r="F1295" s="8"/>
      <c r="G1295" s="8"/>
      <c r="H1295" s="8"/>
      <c r="I1295" s="8"/>
      <c r="J1295" s="8"/>
      <c r="K1295" s="8"/>
      <c r="L1295" s="26"/>
      <c r="M1295" s="26"/>
      <c r="N1295" s="26"/>
      <c r="O1295" s="55"/>
      <c r="P1295" s="1"/>
      <c r="Q1295" s="8"/>
      <c r="R1295" s="8"/>
      <c r="S1295" s="1"/>
      <c r="T1295" s="8"/>
      <c r="U1295" s="8"/>
      <c r="V1295" s="56"/>
      <c r="W1295" s="1"/>
      <c r="X1295" s="1"/>
      <c r="Y1295" s="8"/>
      <c r="Z1295" s="8"/>
      <c r="AA1295" s="8"/>
      <c r="AB1295" s="8"/>
      <c r="AC1295" s="8"/>
      <c r="AD1295" s="8"/>
      <c r="AE1295" s="8"/>
      <c r="AF1295" s="8"/>
      <c r="AG1295" s="8"/>
      <c r="AH1295" s="8"/>
      <c r="AI1295" s="8"/>
    </row>
    <row r="1296" spans="1:35">
      <c r="A1296" s="1"/>
      <c r="B1296" s="8"/>
      <c r="C1296" s="8"/>
      <c r="D1296" s="8"/>
      <c r="E1296" s="8"/>
      <c r="F1296" s="8"/>
      <c r="G1296" s="8"/>
      <c r="H1296" s="8"/>
      <c r="I1296" s="8"/>
      <c r="J1296" s="8"/>
      <c r="K1296" s="8"/>
      <c r="L1296" s="26"/>
      <c r="M1296" s="26"/>
      <c r="N1296" s="26"/>
      <c r="O1296" s="55"/>
      <c r="P1296" s="1"/>
      <c r="Q1296" s="8"/>
      <c r="R1296" s="8"/>
      <c r="S1296" s="1"/>
      <c r="T1296" s="8"/>
      <c r="U1296" s="8"/>
      <c r="V1296" s="56"/>
      <c r="W1296" s="1"/>
      <c r="X1296" s="1"/>
      <c r="Y1296" s="8"/>
      <c r="Z1296" s="8"/>
      <c r="AA1296" s="8"/>
      <c r="AB1296" s="8"/>
      <c r="AC1296" s="8"/>
      <c r="AD1296" s="8"/>
      <c r="AE1296" s="8"/>
      <c r="AF1296" s="8"/>
      <c r="AG1296" s="8"/>
      <c r="AH1296" s="8"/>
      <c r="AI1296" s="8"/>
    </row>
    <row r="1297" spans="1:35">
      <c r="A1297" s="1"/>
      <c r="B1297" s="8"/>
      <c r="C1297" s="8"/>
      <c r="D1297" s="8"/>
      <c r="E1297" s="8"/>
      <c r="F1297" s="8"/>
      <c r="G1297" s="8"/>
      <c r="H1297" s="8"/>
      <c r="I1297" s="8"/>
      <c r="J1297" s="8"/>
      <c r="K1297" s="8"/>
      <c r="L1297" s="26"/>
      <c r="M1297" s="26"/>
      <c r="N1297" s="26"/>
      <c r="O1297" s="55"/>
      <c r="P1297" s="1"/>
      <c r="Q1297" s="8"/>
      <c r="R1297" s="8"/>
      <c r="S1297" s="1"/>
      <c r="T1297" s="8"/>
      <c r="U1297" s="8"/>
      <c r="V1297" s="56"/>
      <c r="W1297" s="1"/>
      <c r="X1297" s="1"/>
      <c r="Y1297" s="8"/>
      <c r="Z1297" s="8"/>
      <c r="AA1297" s="8"/>
      <c r="AB1297" s="8"/>
      <c r="AC1297" s="8"/>
      <c r="AD1297" s="8"/>
      <c r="AE1297" s="8"/>
      <c r="AF1297" s="8"/>
      <c r="AG1297" s="8"/>
      <c r="AH1297" s="8"/>
      <c r="AI1297" s="8"/>
    </row>
    <row r="1298" spans="1:35">
      <c r="A1298" s="1"/>
      <c r="B1298" s="8"/>
      <c r="C1298" s="8"/>
      <c r="D1298" s="8"/>
      <c r="E1298" s="8"/>
      <c r="F1298" s="8"/>
      <c r="G1298" s="8"/>
      <c r="H1298" s="8"/>
      <c r="I1298" s="8"/>
      <c r="J1298" s="8"/>
      <c r="K1298" s="8"/>
      <c r="L1298" s="26"/>
      <c r="M1298" s="26"/>
      <c r="N1298" s="26"/>
      <c r="O1298" s="55"/>
      <c r="P1298" s="1"/>
      <c r="Q1298" s="8"/>
      <c r="R1298" s="8"/>
      <c r="S1298" s="1"/>
      <c r="T1298" s="8"/>
      <c r="U1298" s="8"/>
      <c r="V1298" s="56"/>
      <c r="W1298" s="1"/>
      <c r="X1298" s="1"/>
      <c r="Y1298" s="8"/>
      <c r="Z1298" s="8"/>
      <c r="AA1298" s="8"/>
      <c r="AB1298" s="8"/>
      <c r="AC1298" s="8"/>
      <c r="AD1298" s="8"/>
      <c r="AE1298" s="8"/>
      <c r="AF1298" s="8"/>
      <c r="AG1298" s="8"/>
      <c r="AH1298" s="8"/>
      <c r="AI1298" s="8"/>
    </row>
    <row r="1299" spans="1:35">
      <c r="A1299" s="1"/>
      <c r="B1299" s="8"/>
      <c r="C1299" s="8"/>
      <c r="D1299" s="8"/>
      <c r="E1299" s="8"/>
      <c r="F1299" s="8"/>
      <c r="G1299" s="8"/>
      <c r="H1299" s="8"/>
      <c r="I1299" s="8"/>
      <c r="J1299" s="8"/>
      <c r="K1299" s="8"/>
      <c r="L1299" s="26"/>
      <c r="M1299" s="26"/>
      <c r="N1299" s="26"/>
      <c r="O1299" s="55"/>
      <c r="P1299" s="1"/>
      <c r="Q1299" s="8"/>
      <c r="R1299" s="8"/>
      <c r="S1299" s="1"/>
      <c r="T1299" s="8"/>
      <c r="U1299" s="8"/>
      <c r="V1299" s="56"/>
      <c r="W1299" s="1"/>
      <c r="X1299" s="1"/>
      <c r="Y1299" s="8"/>
      <c r="Z1299" s="8"/>
      <c r="AA1299" s="8"/>
      <c r="AB1299" s="8"/>
      <c r="AC1299" s="8"/>
      <c r="AD1299" s="8"/>
      <c r="AE1299" s="8"/>
      <c r="AF1299" s="8"/>
      <c r="AG1299" s="8"/>
      <c r="AH1299" s="8"/>
      <c r="AI1299" s="8"/>
    </row>
    <row r="1300" spans="1:35">
      <c r="A1300" s="1"/>
      <c r="B1300" s="8"/>
      <c r="C1300" s="8"/>
      <c r="D1300" s="8"/>
      <c r="E1300" s="8"/>
      <c r="F1300" s="8"/>
      <c r="G1300" s="8"/>
      <c r="H1300" s="8"/>
      <c r="I1300" s="8"/>
      <c r="J1300" s="8"/>
      <c r="K1300" s="8"/>
      <c r="L1300" s="26"/>
      <c r="M1300" s="26"/>
      <c r="N1300" s="26"/>
      <c r="O1300" s="55"/>
      <c r="P1300" s="1"/>
      <c r="Q1300" s="8"/>
      <c r="R1300" s="8"/>
      <c r="S1300" s="1"/>
      <c r="T1300" s="8"/>
      <c r="U1300" s="8"/>
      <c r="V1300" s="56"/>
      <c r="W1300" s="1"/>
      <c r="X1300" s="1"/>
      <c r="Y1300" s="8"/>
      <c r="Z1300" s="8"/>
      <c r="AA1300" s="8"/>
      <c r="AB1300" s="8"/>
      <c r="AC1300" s="8"/>
      <c r="AD1300" s="8"/>
      <c r="AE1300" s="8"/>
      <c r="AF1300" s="8"/>
      <c r="AG1300" s="8"/>
      <c r="AH1300" s="8"/>
      <c r="AI1300" s="8"/>
    </row>
    <row r="1301" spans="1:35">
      <c r="A1301" s="1"/>
      <c r="B1301" s="8"/>
      <c r="C1301" s="8"/>
      <c r="D1301" s="8"/>
      <c r="E1301" s="8"/>
      <c r="F1301" s="8"/>
      <c r="G1301" s="8"/>
      <c r="H1301" s="8"/>
      <c r="I1301" s="8"/>
      <c r="J1301" s="8"/>
      <c r="K1301" s="8"/>
      <c r="L1301" s="26"/>
      <c r="M1301" s="26"/>
      <c r="N1301" s="26"/>
      <c r="O1301" s="55"/>
      <c r="P1301" s="1"/>
      <c r="Q1301" s="8"/>
      <c r="R1301" s="8"/>
      <c r="S1301" s="1"/>
      <c r="T1301" s="8"/>
      <c r="U1301" s="8"/>
      <c r="V1301" s="56"/>
      <c r="W1301" s="1"/>
      <c r="X1301" s="1"/>
      <c r="Y1301" s="8"/>
      <c r="Z1301" s="8"/>
      <c r="AA1301" s="8"/>
      <c r="AB1301" s="8"/>
      <c r="AC1301" s="8"/>
      <c r="AD1301" s="8"/>
      <c r="AE1301" s="8"/>
      <c r="AF1301" s="8"/>
      <c r="AG1301" s="8"/>
      <c r="AH1301" s="8"/>
      <c r="AI1301" s="8"/>
    </row>
    <row r="1302" spans="1:35">
      <c r="A1302" s="1"/>
      <c r="B1302" s="8"/>
      <c r="C1302" s="8"/>
      <c r="D1302" s="8"/>
      <c r="E1302" s="8"/>
      <c r="F1302" s="8"/>
      <c r="G1302" s="8"/>
      <c r="H1302" s="8"/>
      <c r="I1302" s="8"/>
      <c r="J1302" s="8"/>
      <c r="K1302" s="8"/>
      <c r="L1302" s="26"/>
      <c r="M1302" s="26"/>
      <c r="N1302" s="26"/>
      <c r="O1302" s="55"/>
      <c r="P1302" s="1"/>
      <c r="Q1302" s="8"/>
      <c r="R1302" s="8"/>
      <c r="S1302" s="1"/>
      <c r="T1302" s="8"/>
      <c r="U1302" s="8"/>
      <c r="V1302" s="56"/>
      <c r="W1302" s="1"/>
      <c r="X1302" s="1"/>
      <c r="Y1302" s="8"/>
      <c r="Z1302" s="8"/>
      <c r="AA1302" s="8"/>
      <c r="AB1302" s="8"/>
      <c r="AC1302" s="8"/>
      <c r="AD1302" s="8"/>
      <c r="AE1302" s="8"/>
      <c r="AF1302" s="8"/>
      <c r="AG1302" s="8"/>
      <c r="AH1302" s="8"/>
      <c r="AI1302" s="8"/>
    </row>
    <row r="1303" spans="1:35">
      <c r="A1303" s="1"/>
      <c r="B1303" s="8"/>
      <c r="C1303" s="8"/>
      <c r="D1303" s="8"/>
      <c r="E1303" s="8"/>
      <c r="F1303" s="8"/>
      <c r="G1303" s="8"/>
      <c r="H1303" s="8"/>
      <c r="I1303" s="8"/>
      <c r="J1303" s="8"/>
      <c r="K1303" s="8"/>
      <c r="L1303" s="26"/>
      <c r="M1303" s="26"/>
      <c r="N1303" s="26"/>
      <c r="O1303" s="55"/>
      <c r="P1303" s="1"/>
      <c r="Q1303" s="8"/>
      <c r="R1303" s="8"/>
      <c r="S1303" s="1"/>
      <c r="T1303" s="8"/>
      <c r="U1303" s="8"/>
      <c r="V1303" s="56"/>
      <c r="W1303" s="1"/>
      <c r="X1303" s="1"/>
      <c r="Y1303" s="8"/>
      <c r="Z1303" s="8"/>
      <c r="AA1303" s="8"/>
      <c r="AB1303" s="8"/>
      <c r="AC1303" s="8"/>
      <c r="AD1303" s="8"/>
      <c r="AE1303" s="8"/>
      <c r="AF1303" s="8"/>
      <c r="AG1303" s="8"/>
      <c r="AH1303" s="8"/>
      <c r="AI1303" s="8"/>
    </row>
    <row r="1304" spans="1:35">
      <c r="A1304" s="1"/>
      <c r="B1304" s="8"/>
      <c r="C1304" s="8"/>
      <c r="D1304" s="8"/>
      <c r="E1304" s="8"/>
      <c r="F1304" s="8"/>
      <c r="G1304" s="8"/>
      <c r="H1304" s="8"/>
      <c r="I1304" s="8"/>
      <c r="J1304" s="8"/>
      <c r="K1304" s="8"/>
      <c r="L1304" s="26"/>
      <c r="M1304" s="26"/>
      <c r="N1304" s="26"/>
      <c r="O1304" s="55"/>
      <c r="P1304" s="1"/>
      <c r="Q1304" s="8"/>
      <c r="R1304" s="8"/>
      <c r="S1304" s="1"/>
      <c r="T1304" s="8"/>
      <c r="U1304" s="8"/>
      <c r="V1304" s="56"/>
      <c r="W1304" s="1"/>
      <c r="X1304" s="1"/>
      <c r="Y1304" s="8"/>
      <c r="Z1304" s="8"/>
      <c r="AA1304" s="8"/>
      <c r="AB1304" s="8"/>
      <c r="AC1304" s="8"/>
      <c r="AD1304" s="8"/>
      <c r="AE1304" s="8"/>
      <c r="AF1304" s="8"/>
      <c r="AG1304" s="8"/>
      <c r="AH1304" s="8"/>
      <c r="AI1304" s="8"/>
    </row>
    <row r="1305" spans="1:35">
      <c r="A1305" s="1"/>
      <c r="B1305" s="8"/>
      <c r="C1305" s="8"/>
      <c r="D1305" s="8"/>
      <c r="E1305" s="8"/>
      <c r="F1305" s="8"/>
      <c r="G1305" s="8"/>
      <c r="H1305" s="8"/>
      <c r="I1305" s="8"/>
      <c r="J1305" s="8"/>
      <c r="K1305" s="8"/>
      <c r="L1305" s="26"/>
      <c r="M1305" s="26"/>
      <c r="N1305" s="26"/>
      <c r="O1305" s="55"/>
      <c r="P1305" s="1"/>
      <c r="Q1305" s="8"/>
      <c r="R1305" s="8"/>
      <c r="S1305" s="1"/>
      <c r="T1305" s="8"/>
      <c r="U1305" s="8"/>
      <c r="V1305" s="56"/>
      <c r="W1305" s="1"/>
      <c r="X1305" s="1"/>
      <c r="Y1305" s="8"/>
      <c r="Z1305" s="8"/>
      <c r="AA1305" s="8"/>
      <c r="AB1305" s="8"/>
      <c r="AC1305" s="8"/>
      <c r="AD1305" s="8"/>
      <c r="AE1305" s="8"/>
      <c r="AF1305" s="8"/>
      <c r="AG1305" s="8"/>
      <c r="AH1305" s="8"/>
      <c r="AI1305" s="8"/>
    </row>
    <row r="1306" spans="1:35">
      <c r="A1306" s="1"/>
      <c r="B1306" s="8"/>
      <c r="C1306" s="8"/>
      <c r="D1306" s="8"/>
      <c r="E1306" s="8"/>
      <c r="F1306" s="8"/>
      <c r="G1306" s="8"/>
      <c r="H1306" s="8"/>
      <c r="I1306" s="8"/>
      <c r="J1306" s="8"/>
      <c r="K1306" s="8"/>
      <c r="L1306" s="26"/>
      <c r="M1306" s="26"/>
      <c r="N1306" s="26"/>
      <c r="O1306" s="55"/>
      <c r="P1306" s="1"/>
      <c r="Q1306" s="8"/>
      <c r="R1306" s="8"/>
      <c r="S1306" s="1"/>
      <c r="T1306" s="8"/>
      <c r="U1306" s="8"/>
      <c r="V1306" s="56"/>
      <c r="W1306" s="1"/>
      <c r="X1306" s="1"/>
      <c r="Y1306" s="8"/>
      <c r="Z1306" s="8"/>
      <c r="AA1306" s="8"/>
      <c r="AB1306" s="8"/>
      <c r="AC1306" s="8"/>
      <c r="AD1306" s="8"/>
      <c r="AE1306" s="8"/>
      <c r="AF1306" s="8"/>
      <c r="AG1306" s="8"/>
      <c r="AH1306" s="8"/>
      <c r="AI1306" s="8"/>
    </row>
    <row r="1307" spans="1:35">
      <c r="A1307" s="1"/>
      <c r="B1307" s="8"/>
      <c r="C1307" s="8"/>
      <c r="D1307" s="8"/>
      <c r="E1307" s="8"/>
      <c r="F1307" s="8"/>
      <c r="G1307" s="8"/>
      <c r="H1307" s="8"/>
      <c r="I1307" s="8"/>
      <c r="J1307" s="8"/>
      <c r="K1307" s="8"/>
      <c r="L1307" s="26"/>
      <c r="M1307" s="26"/>
      <c r="N1307" s="26"/>
      <c r="O1307" s="55"/>
      <c r="P1307" s="1"/>
      <c r="Q1307" s="8"/>
      <c r="R1307" s="8"/>
      <c r="S1307" s="1"/>
      <c r="T1307" s="8"/>
      <c r="U1307" s="8"/>
      <c r="V1307" s="56"/>
      <c r="W1307" s="1"/>
      <c r="X1307" s="1"/>
      <c r="Y1307" s="8"/>
      <c r="Z1307" s="8"/>
      <c r="AA1307" s="8"/>
      <c r="AB1307" s="8"/>
      <c r="AC1307" s="8"/>
      <c r="AD1307" s="8"/>
      <c r="AE1307" s="8"/>
      <c r="AF1307" s="8"/>
      <c r="AG1307" s="8"/>
      <c r="AH1307" s="8"/>
      <c r="AI1307" s="8"/>
    </row>
    <row r="1308" spans="1:35">
      <c r="A1308" s="1"/>
      <c r="B1308" s="8"/>
      <c r="C1308" s="8"/>
      <c r="D1308" s="8"/>
      <c r="E1308" s="8"/>
      <c r="F1308" s="8"/>
      <c r="G1308" s="8"/>
      <c r="H1308" s="8"/>
      <c r="I1308" s="8"/>
      <c r="J1308" s="8"/>
      <c r="K1308" s="8"/>
      <c r="L1308" s="26"/>
      <c r="M1308" s="26"/>
      <c r="N1308" s="26"/>
      <c r="O1308" s="55"/>
      <c r="P1308" s="1"/>
      <c r="Q1308" s="8"/>
      <c r="R1308" s="8"/>
      <c r="S1308" s="1"/>
      <c r="T1308" s="8"/>
      <c r="U1308" s="8"/>
      <c r="V1308" s="56"/>
      <c r="W1308" s="1"/>
      <c r="X1308" s="1"/>
      <c r="Y1308" s="8"/>
      <c r="Z1308" s="8"/>
      <c r="AA1308" s="8"/>
      <c r="AB1308" s="8"/>
      <c r="AC1308" s="8"/>
      <c r="AD1308" s="8"/>
      <c r="AE1308" s="8"/>
      <c r="AF1308" s="8"/>
      <c r="AG1308" s="8"/>
      <c r="AH1308" s="8"/>
      <c r="AI1308" s="8"/>
    </row>
    <row r="1309" spans="1:35">
      <c r="A1309" s="1"/>
      <c r="B1309" s="8"/>
      <c r="C1309" s="8"/>
      <c r="D1309" s="8"/>
      <c r="E1309" s="8"/>
      <c r="F1309" s="8"/>
      <c r="G1309" s="8"/>
      <c r="H1309" s="8"/>
      <c r="I1309" s="8"/>
      <c r="J1309" s="8"/>
      <c r="K1309" s="8"/>
      <c r="L1309" s="26"/>
      <c r="M1309" s="26"/>
      <c r="N1309" s="26"/>
      <c r="O1309" s="55"/>
      <c r="P1309" s="1"/>
      <c r="Q1309" s="8"/>
      <c r="R1309" s="8"/>
      <c r="S1309" s="1"/>
      <c r="T1309" s="8"/>
      <c r="U1309" s="8"/>
      <c r="V1309" s="56"/>
      <c r="W1309" s="1"/>
      <c r="X1309" s="1"/>
      <c r="Y1309" s="8"/>
      <c r="Z1309" s="8"/>
      <c r="AA1309" s="8"/>
      <c r="AB1309" s="8"/>
      <c r="AC1309" s="8"/>
      <c r="AD1309" s="8"/>
      <c r="AE1309" s="8"/>
      <c r="AF1309" s="8"/>
      <c r="AG1309" s="8"/>
      <c r="AH1309" s="8"/>
      <c r="AI1309" s="8"/>
    </row>
    <row r="1310" spans="1:35">
      <c r="A1310" s="1"/>
      <c r="B1310" s="8"/>
      <c r="C1310" s="8"/>
      <c r="D1310" s="8"/>
      <c r="E1310" s="8"/>
      <c r="F1310" s="8"/>
      <c r="G1310" s="8"/>
      <c r="H1310" s="8"/>
      <c r="I1310" s="8"/>
      <c r="J1310" s="8"/>
      <c r="K1310" s="8"/>
      <c r="L1310" s="26"/>
      <c r="M1310" s="26"/>
      <c r="N1310" s="26"/>
      <c r="O1310" s="55"/>
      <c r="P1310" s="1"/>
      <c r="Q1310" s="8"/>
      <c r="R1310" s="8"/>
      <c r="S1310" s="1"/>
      <c r="T1310" s="8"/>
      <c r="U1310" s="8"/>
      <c r="V1310" s="56"/>
      <c r="W1310" s="1"/>
      <c r="X1310" s="1"/>
      <c r="Y1310" s="8"/>
      <c r="Z1310" s="8"/>
      <c r="AA1310" s="8"/>
      <c r="AB1310" s="8"/>
      <c r="AC1310" s="8"/>
      <c r="AD1310" s="8"/>
      <c r="AE1310" s="8"/>
      <c r="AF1310" s="8"/>
      <c r="AG1310" s="8"/>
      <c r="AH1310" s="8"/>
      <c r="AI1310" s="8"/>
    </row>
    <row r="1311" spans="1:35">
      <c r="A1311" s="1"/>
      <c r="B1311" s="8"/>
      <c r="C1311" s="8"/>
      <c r="D1311" s="8"/>
      <c r="E1311" s="8"/>
      <c r="F1311" s="8"/>
      <c r="G1311" s="8"/>
      <c r="H1311" s="8"/>
      <c r="I1311" s="8"/>
      <c r="J1311" s="8"/>
      <c r="K1311" s="8"/>
      <c r="L1311" s="26"/>
      <c r="M1311" s="26"/>
      <c r="N1311" s="26"/>
      <c r="O1311" s="55"/>
      <c r="P1311" s="1"/>
      <c r="Q1311" s="8"/>
      <c r="R1311" s="8"/>
      <c r="S1311" s="1"/>
      <c r="T1311" s="8"/>
      <c r="U1311" s="8"/>
      <c r="V1311" s="56"/>
      <c r="W1311" s="1"/>
      <c r="X1311" s="1"/>
      <c r="Y1311" s="8"/>
      <c r="Z1311" s="8"/>
      <c r="AA1311" s="8"/>
      <c r="AB1311" s="8"/>
      <c r="AC1311" s="8"/>
      <c r="AD1311" s="8"/>
      <c r="AE1311" s="8"/>
      <c r="AF1311" s="8"/>
      <c r="AG1311" s="8"/>
      <c r="AH1311" s="8"/>
      <c r="AI1311" s="8"/>
    </row>
    <row r="1312" spans="1:35">
      <c r="A1312" s="1"/>
      <c r="B1312" s="8"/>
      <c r="C1312" s="8"/>
      <c r="D1312" s="8"/>
      <c r="E1312" s="8"/>
      <c r="F1312" s="8"/>
      <c r="G1312" s="8"/>
      <c r="H1312" s="8"/>
      <c r="I1312" s="8"/>
      <c r="J1312" s="8"/>
      <c r="K1312" s="8"/>
      <c r="L1312" s="26"/>
      <c r="M1312" s="26"/>
      <c r="N1312" s="26"/>
      <c r="O1312" s="55"/>
      <c r="P1312" s="1"/>
      <c r="Q1312" s="8"/>
      <c r="R1312" s="8"/>
      <c r="S1312" s="1"/>
      <c r="T1312" s="8"/>
      <c r="U1312" s="8"/>
      <c r="V1312" s="56"/>
      <c r="W1312" s="1"/>
      <c r="X1312" s="1"/>
      <c r="Y1312" s="8"/>
      <c r="Z1312" s="8"/>
      <c r="AA1312" s="8"/>
      <c r="AB1312" s="8"/>
      <c r="AC1312" s="8"/>
      <c r="AD1312" s="8"/>
      <c r="AE1312" s="8"/>
      <c r="AF1312" s="8"/>
      <c r="AG1312" s="8"/>
      <c r="AH1312" s="8"/>
      <c r="AI1312" s="8"/>
    </row>
    <row r="1313" spans="1:35">
      <c r="A1313" s="1"/>
      <c r="B1313" s="8"/>
      <c r="C1313" s="8"/>
      <c r="D1313" s="8"/>
      <c r="E1313" s="8"/>
      <c r="F1313" s="8"/>
      <c r="G1313" s="8"/>
      <c r="H1313" s="8"/>
      <c r="I1313" s="8"/>
      <c r="J1313" s="8"/>
      <c r="K1313" s="8"/>
      <c r="L1313" s="26"/>
      <c r="M1313" s="26"/>
      <c r="N1313" s="26"/>
      <c r="O1313" s="55"/>
      <c r="P1313" s="1"/>
      <c r="Q1313" s="8"/>
      <c r="R1313" s="8"/>
      <c r="S1313" s="1"/>
      <c r="T1313" s="8"/>
      <c r="U1313" s="8"/>
      <c r="V1313" s="56"/>
      <c r="W1313" s="1"/>
      <c r="X1313" s="1"/>
      <c r="Y1313" s="8"/>
      <c r="Z1313" s="8"/>
      <c r="AA1313" s="8"/>
      <c r="AB1313" s="8"/>
      <c r="AC1313" s="8"/>
      <c r="AD1313" s="8"/>
      <c r="AE1313" s="8"/>
      <c r="AF1313" s="8"/>
      <c r="AG1313" s="8"/>
      <c r="AH1313" s="8"/>
      <c r="AI1313" s="8"/>
    </row>
    <row r="1314" spans="1:35">
      <c r="A1314" s="1"/>
      <c r="B1314" s="8"/>
      <c r="C1314" s="8"/>
      <c r="D1314" s="8"/>
      <c r="E1314" s="8"/>
      <c r="F1314" s="8"/>
      <c r="G1314" s="8"/>
      <c r="H1314" s="8"/>
      <c r="I1314" s="8"/>
      <c r="J1314" s="8"/>
      <c r="K1314" s="8"/>
      <c r="L1314" s="26"/>
      <c r="M1314" s="26"/>
      <c r="N1314" s="26"/>
      <c r="O1314" s="55"/>
      <c r="P1314" s="1"/>
      <c r="Q1314" s="8"/>
      <c r="R1314" s="8"/>
      <c r="S1314" s="1"/>
      <c r="T1314" s="8"/>
      <c r="U1314" s="8"/>
      <c r="V1314" s="56"/>
      <c r="W1314" s="1"/>
      <c r="X1314" s="1"/>
      <c r="Y1314" s="8"/>
      <c r="Z1314" s="8"/>
      <c r="AA1314" s="8"/>
      <c r="AB1314" s="8"/>
      <c r="AC1314" s="8"/>
      <c r="AD1314" s="8"/>
      <c r="AE1314" s="8"/>
      <c r="AF1314" s="8"/>
      <c r="AG1314" s="8"/>
      <c r="AH1314" s="8"/>
      <c r="AI1314" s="8"/>
    </row>
    <row r="1315" spans="1:35">
      <c r="A1315" s="1"/>
      <c r="B1315" s="8"/>
      <c r="C1315" s="8"/>
      <c r="D1315" s="8"/>
      <c r="E1315" s="8"/>
      <c r="F1315" s="8"/>
      <c r="G1315" s="8"/>
      <c r="H1315" s="8"/>
      <c r="I1315" s="8"/>
      <c r="J1315" s="8"/>
      <c r="K1315" s="8"/>
      <c r="L1315" s="26"/>
      <c r="M1315" s="26"/>
      <c r="N1315" s="26"/>
      <c r="O1315" s="55"/>
      <c r="P1315" s="1"/>
      <c r="Q1315" s="8"/>
      <c r="R1315" s="8"/>
      <c r="S1315" s="1"/>
      <c r="T1315" s="8"/>
      <c r="U1315" s="8"/>
      <c r="V1315" s="56"/>
      <c r="W1315" s="1"/>
      <c r="X1315" s="1"/>
      <c r="Y1315" s="8"/>
      <c r="Z1315" s="8"/>
      <c r="AA1315" s="8"/>
      <c r="AB1315" s="8"/>
      <c r="AC1315" s="8"/>
      <c r="AD1315" s="8"/>
      <c r="AE1315" s="8"/>
      <c r="AF1315" s="8"/>
      <c r="AG1315" s="8"/>
      <c r="AH1315" s="8"/>
      <c r="AI1315" s="8"/>
    </row>
    <row r="1316" spans="1:35">
      <c r="A1316" s="1"/>
      <c r="B1316" s="8"/>
      <c r="C1316" s="8"/>
      <c r="D1316" s="8"/>
      <c r="E1316" s="8"/>
      <c r="F1316" s="8"/>
      <c r="G1316" s="8"/>
      <c r="H1316" s="8"/>
      <c r="I1316" s="8"/>
      <c r="J1316" s="8"/>
      <c r="K1316" s="8"/>
      <c r="L1316" s="26"/>
      <c r="M1316" s="26"/>
      <c r="N1316" s="26"/>
      <c r="O1316" s="55"/>
      <c r="P1316" s="1"/>
      <c r="Q1316" s="8"/>
      <c r="R1316" s="8"/>
      <c r="S1316" s="1"/>
      <c r="T1316" s="8"/>
      <c r="U1316" s="8"/>
      <c r="V1316" s="56"/>
      <c r="W1316" s="1"/>
      <c r="X1316" s="1"/>
      <c r="Y1316" s="8"/>
      <c r="Z1316" s="8"/>
      <c r="AA1316" s="8"/>
      <c r="AB1316" s="8"/>
      <c r="AC1316" s="8"/>
      <c r="AD1316" s="8"/>
      <c r="AE1316" s="8"/>
      <c r="AF1316" s="8"/>
      <c r="AG1316" s="8"/>
      <c r="AH1316" s="8"/>
      <c r="AI1316" s="8"/>
    </row>
    <row r="1317" spans="1:35">
      <c r="A1317" s="1"/>
      <c r="B1317" s="8"/>
      <c r="C1317" s="8"/>
      <c r="D1317" s="8"/>
      <c r="E1317" s="8"/>
      <c r="F1317" s="8"/>
      <c r="G1317" s="8"/>
      <c r="H1317" s="8"/>
      <c r="I1317" s="8"/>
      <c r="J1317" s="8"/>
      <c r="K1317" s="8"/>
      <c r="L1317" s="26"/>
      <c r="M1317" s="26"/>
      <c r="N1317" s="26"/>
      <c r="O1317" s="55"/>
      <c r="P1317" s="1"/>
      <c r="Q1317" s="8"/>
      <c r="R1317" s="8"/>
      <c r="S1317" s="1"/>
      <c r="T1317" s="8"/>
      <c r="U1317" s="8"/>
      <c r="V1317" s="56"/>
      <c r="W1317" s="1"/>
      <c r="X1317" s="1"/>
      <c r="Y1317" s="8"/>
      <c r="Z1317" s="8"/>
      <c r="AA1317" s="8"/>
      <c r="AB1317" s="8"/>
      <c r="AC1317" s="8"/>
      <c r="AD1317" s="8"/>
      <c r="AE1317" s="8"/>
      <c r="AF1317" s="8"/>
      <c r="AG1317" s="8"/>
      <c r="AH1317" s="8"/>
      <c r="AI1317" s="8"/>
    </row>
    <row r="1318" spans="1:35">
      <c r="A1318" s="1"/>
      <c r="B1318" s="8"/>
      <c r="C1318" s="8"/>
      <c r="D1318" s="8"/>
      <c r="E1318" s="8"/>
      <c r="F1318" s="8"/>
      <c r="G1318" s="8"/>
      <c r="H1318" s="8"/>
      <c r="I1318" s="8"/>
      <c r="J1318" s="8"/>
      <c r="K1318" s="8"/>
      <c r="L1318" s="26"/>
      <c r="M1318" s="26"/>
      <c r="N1318" s="26"/>
      <c r="O1318" s="55"/>
      <c r="P1318" s="1"/>
      <c r="Q1318" s="8"/>
      <c r="R1318" s="8"/>
      <c r="S1318" s="1"/>
      <c r="T1318" s="8"/>
      <c r="U1318" s="8"/>
      <c r="V1318" s="56"/>
      <c r="W1318" s="1"/>
      <c r="X1318" s="1"/>
      <c r="Y1318" s="8"/>
      <c r="Z1318" s="8"/>
      <c r="AA1318" s="8"/>
      <c r="AB1318" s="8"/>
      <c r="AC1318" s="8"/>
      <c r="AD1318" s="8"/>
      <c r="AE1318" s="8"/>
      <c r="AF1318" s="8"/>
      <c r="AG1318" s="8"/>
      <c r="AH1318" s="8"/>
      <c r="AI1318" s="8"/>
    </row>
    <row r="1319" spans="1:35">
      <c r="A1319" s="1"/>
      <c r="B1319" s="8"/>
      <c r="C1319" s="8"/>
      <c r="D1319" s="8"/>
      <c r="E1319" s="8"/>
      <c r="F1319" s="8"/>
      <c r="G1319" s="8"/>
      <c r="H1319" s="8"/>
      <c r="I1319" s="8"/>
      <c r="J1319" s="8"/>
      <c r="K1319" s="8"/>
      <c r="L1319" s="26"/>
      <c r="M1319" s="26"/>
      <c r="N1319" s="26"/>
      <c r="O1319" s="55"/>
      <c r="P1319" s="1"/>
      <c r="Q1319" s="8"/>
      <c r="R1319" s="8"/>
      <c r="S1319" s="1"/>
      <c r="T1319" s="8"/>
      <c r="U1319" s="8"/>
      <c r="V1319" s="56"/>
      <c r="W1319" s="1"/>
      <c r="X1319" s="1"/>
      <c r="Y1319" s="8"/>
      <c r="Z1319" s="8"/>
      <c r="AA1319" s="8"/>
      <c r="AB1319" s="8"/>
      <c r="AC1319" s="8"/>
      <c r="AD1319" s="8"/>
      <c r="AE1319" s="8"/>
      <c r="AF1319" s="8"/>
      <c r="AG1319" s="8"/>
      <c r="AH1319" s="8"/>
      <c r="AI1319" s="8"/>
    </row>
    <row r="1320" spans="1:35">
      <c r="A1320" s="1"/>
      <c r="B1320" s="8"/>
      <c r="C1320" s="8"/>
      <c r="D1320" s="8"/>
      <c r="E1320" s="8"/>
      <c r="F1320" s="8"/>
      <c r="G1320" s="8"/>
      <c r="H1320" s="8"/>
      <c r="I1320" s="8"/>
      <c r="J1320" s="8"/>
      <c r="K1320" s="8"/>
      <c r="L1320" s="26"/>
      <c r="M1320" s="26"/>
      <c r="N1320" s="26"/>
      <c r="O1320" s="55"/>
      <c r="P1320" s="1"/>
      <c r="Q1320" s="8"/>
      <c r="R1320" s="8"/>
      <c r="S1320" s="1"/>
      <c r="T1320" s="8"/>
      <c r="U1320" s="8"/>
      <c r="V1320" s="56"/>
      <c r="W1320" s="1"/>
      <c r="X1320" s="1"/>
      <c r="Y1320" s="8"/>
      <c r="Z1320" s="8"/>
      <c r="AA1320" s="8"/>
      <c r="AB1320" s="8"/>
      <c r="AC1320" s="8"/>
      <c r="AD1320" s="8"/>
      <c r="AE1320" s="8"/>
      <c r="AF1320" s="8"/>
      <c r="AG1320" s="8"/>
      <c r="AH1320" s="8"/>
      <c r="AI1320" s="8"/>
    </row>
    <row r="1321" spans="1:35">
      <c r="A1321" s="1"/>
      <c r="B1321" s="8"/>
      <c r="C1321" s="8"/>
      <c r="D1321" s="8"/>
      <c r="E1321" s="8"/>
      <c r="F1321" s="8"/>
      <c r="G1321" s="8"/>
      <c r="H1321" s="8"/>
      <c r="I1321" s="8"/>
      <c r="J1321" s="8"/>
      <c r="K1321" s="8"/>
      <c r="L1321" s="26"/>
      <c r="M1321" s="26"/>
      <c r="N1321" s="26"/>
      <c r="O1321" s="55"/>
      <c r="P1321" s="1"/>
      <c r="Q1321" s="8"/>
      <c r="R1321" s="8"/>
      <c r="S1321" s="1"/>
      <c r="T1321" s="8"/>
      <c r="U1321" s="8"/>
      <c r="V1321" s="56"/>
      <c r="W1321" s="1"/>
      <c r="X1321" s="1"/>
      <c r="Y1321" s="8"/>
      <c r="Z1321" s="8"/>
      <c r="AA1321" s="8"/>
      <c r="AB1321" s="8"/>
      <c r="AC1321" s="8"/>
      <c r="AD1321" s="8"/>
      <c r="AE1321" s="8"/>
      <c r="AF1321" s="8"/>
      <c r="AG1321" s="8"/>
      <c r="AH1321" s="8"/>
      <c r="AI1321" s="8"/>
    </row>
    <row r="1322" spans="1:35">
      <c r="A1322" s="1"/>
      <c r="B1322" s="8"/>
      <c r="C1322" s="8"/>
      <c r="D1322" s="8"/>
      <c r="E1322" s="8"/>
      <c r="F1322" s="8"/>
      <c r="G1322" s="8"/>
      <c r="H1322" s="8"/>
      <c r="I1322" s="8"/>
      <c r="J1322" s="8"/>
      <c r="K1322" s="8"/>
      <c r="L1322" s="26"/>
      <c r="M1322" s="26"/>
      <c r="N1322" s="26"/>
      <c r="O1322" s="55"/>
      <c r="P1322" s="1"/>
      <c r="Q1322" s="8"/>
      <c r="R1322" s="8"/>
      <c r="S1322" s="1"/>
      <c r="T1322" s="8"/>
      <c r="U1322" s="8"/>
      <c r="V1322" s="56"/>
      <c r="W1322" s="1"/>
      <c r="X1322" s="1"/>
      <c r="Y1322" s="8"/>
      <c r="Z1322" s="8"/>
      <c r="AA1322" s="8"/>
      <c r="AB1322" s="8"/>
      <c r="AC1322" s="8"/>
      <c r="AD1322" s="8"/>
      <c r="AE1322" s="8"/>
      <c r="AF1322" s="8"/>
      <c r="AG1322" s="8"/>
      <c r="AH1322" s="8"/>
      <c r="AI1322" s="8"/>
    </row>
    <row r="1323" spans="1:35">
      <c r="A1323" s="1"/>
      <c r="B1323" s="8"/>
      <c r="C1323" s="8"/>
      <c r="D1323" s="8"/>
      <c r="E1323" s="8"/>
      <c r="F1323" s="8"/>
      <c r="G1323" s="8"/>
      <c r="H1323" s="8"/>
      <c r="I1323" s="8"/>
      <c r="J1323" s="8"/>
      <c r="K1323" s="8"/>
      <c r="L1323" s="26"/>
      <c r="M1323" s="26"/>
      <c r="N1323" s="26"/>
      <c r="O1323" s="55"/>
      <c r="P1323" s="1"/>
      <c r="Q1323" s="8"/>
      <c r="R1323" s="8"/>
      <c r="S1323" s="1"/>
      <c r="T1323" s="8"/>
      <c r="U1323" s="8"/>
      <c r="V1323" s="56"/>
      <c r="W1323" s="1"/>
      <c r="X1323" s="1"/>
      <c r="Y1323" s="8"/>
      <c r="Z1323" s="8"/>
      <c r="AA1323" s="8"/>
      <c r="AB1323" s="8"/>
      <c r="AC1323" s="8"/>
      <c r="AD1323" s="8"/>
      <c r="AE1323" s="8"/>
      <c r="AF1323" s="8"/>
      <c r="AG1323" s="8"/>
      <c r="AH1323" s="8"/>
      <c r="AI1323" s="8"/>
    </row>
    <row r="1324" spans="1:35">
      <c r="A1324" s="1"/>
      <c r="B1324" s="8"/>
      <c r="C1324" s="8"/>
      <c r="D1324" s="8"/>
      <c r="E1324" s="8"/>
      <c r="F1324" s="8"/>
      <c r="G1324" s="8"/>
      <c r="H1324" s="8"/>
      <c r="I1324" s="8"/>
      <c r="J1324" s="8"/>
      <c r="K1324" s="8"/>
      <c r="L1324" s="26"/>
      <c r="M1324" s="26"/>
      <c r="N1324" s="26"/>
      <c r="O1324" s="55"/>
      <c r="P1324" s="1"/>
      <c r="Q1324" s="8"/>
      <c r="R1324" s="8"/>
      <c r="S1324" s="1"/>
      <c r="T1324" s="8"/>
      <c r="U1324" s="8"/>
      <c r="V1324" s="56"/>
      <c r="W1324" s="1"/>
      <c r="X1324" s="1"/>
      <c r="Y1324" s="8"/>
      <c r="Z1324" s="8"/>
      <c r="AA1324" s="8"/>
      <c r="AB1324" s="8"/>
      <c r="AC1324" s="8"/>
      <c r="AD1324" s="8"/>
      <c r="AE1324" s="8"/>
      <c r="AF1324" s="8"/>
      <c r="AG1324" s="8"/>
      <c r="AH1324" s="8"/>
      <c r="AI1324" s="8"/>
    </row>
    <row r="1325" spans="1:35">
      <c r="A1325" s="1"/>
      <c r="B1325" s="8"/>
      <c r="C1325" s="8"/>
      <c r="D1325" s="8"/>
      <c r="E1325" s="8"/>
      <c r="F1325" s="8"/>
      <c r="G1325" s="8"/>
      <c r="H1325" s="8"/>
      <c r="I1325" s="8"/>
      <c r="J1325" s="8"/>
      <c r="K1325" s="8"/>
      <c r="L1325" s="26"/>
      <c r="M1325" s="26"/>
      <c r="N1325" s="26"/>
      <c r="O1325" s="55"/>
      <c r="P1325" s="1"/>
      <c r="Q1325" s="8"/>
      <c r="R1325" s="8"/>
      <c r="S1325" s="1"/>
      <c r="T1325" s="8"/>
      <c r="U1325" s="8"/>
      <c r="V1325" s="56"/>
      <c r="W1325" s="1"/>
      <c r="X1325" s="1"/>
      <c r="Y1325" s="8"/>
      <c r="Z1325" s="8"/>
      <c r="AA1325" s="8"/>
      <c r="AB1325" s="8"/>
      <c r="AC1325" s="8"/>
      <c r="AD1325" s="8"/>
      <c r="AE1325" s="8"/>
      <c r="AF1325" s="8"/>
      <c r="AG1325" s="8"/>
      <c r="AH1325" s="8"/>
      <c r="AI1325" s="8"/>
    </row>
    <row r="1326" spans="1:35">
      <c r="A1326" s="1"/>
      <c r="B1326" s="8"/>
      <c r="C1326" s="8"/>
      <c r="D1326" s="8"/>
      <c r="E1326" s="8"/>
      <c r="F1326" s="8"/>
      <c r="G1326" s="8"/>
      <c r="H1326" s="8"/>
      <c r="I1326" s="8"/>
      <c r="J1326" s="8"/>
      <c r="K1326" s="8"/>
      <c r="L1326" s="26"/>
      <c r="M1326" s="26"/>
      <c r="N1326" s="26"/>
      <c r="O1326" s="55"/>
      <c r="P1326" s="1"/>
      <c r="Q1326" s="8"/>
      <c r="R1326" s="8"/>
      <c r="S1326" s="1"/>
      <c r="T1326" s="8"/>
      <c r="U1326" s="8"/>
      <c r="V1326" s="56"/>
      <c r="W1326" s="1"/>
      <c r="X1326" s="1"/>
      <c r="Y1326" s="8"/>
      <c r="Z1326" s="8"/>
      <c r="AA1326" s="8"/>
      <c r="AB1326" s="8"/>
      <c r="AC1326" s="8"/>
      <c r="AD1326" s="8"/>
      <c r="AE1326" s="8"/>
      <c r="AF1326" s="8"/>
      <c r="AG1326" s="8"/>
      <c r="AH1326" s="8"/>
      <c r="AI1326" s="8"/>
    </row>
    <row r="1327" spans="1:35">
      <c r="A1327" s="1"/>
      <c r="B1327" s="8"/>
      <c r="C1327" s="8"/>
      <c r="D1327" s="8"/>
      <c r="E1327" s="8"/>
      <c r="F1327" s="8"/>
      <c r="G1327" s="8"/>
      <c r="H1327" s="8"/>
      <c r="I1327" s="8"/>
      <c r="J1327" s="8"/>
      <c r="K1327" s="8"/>
      <c r="L1327" s="26"/>
      <c r="M1327" s="26"/>
      <c r="N1327" s="26"/>
      <c r="O1327" s="55"/>
      <c r="P1327" s="1"/>
      <c r="Q1327" s="8"/>
      <c r="R1327" s="8"/>
      <c r="S1327" s="1"/>
      <c r="T1327" s="8"/>
      <c r="U1327" s="8"/>
      <c r="V1327" s="56"/>
      <c r="W1327" s="1"/>
      <c r="X1327" s="1"/>
      <c r="Y1327" s="8"/>
      <c r="Z1327" s="8"/>
      <c r="AA1327" s="8"/>
      <c r="AB1327" s="8"/>
      <c r="AC1327" s="8"/>
      <c r="AD1327" s="8"/>
      <c r="AE1327" s="8"/>
      <c r="AF1327" s="8"/>
      <c r="AG1327" s="8"/>
      <c r="AH1327" s="8"/>
      <c r="AI1327" s="8"/>
    </row>
    <row r="1328" spans="1:35">
      <c r="A1328" s="1"/>
      <c r="B1328" s="8"/>
      <c r="C1328" s="8"/>
      <c r="D1328" s="8"/>
      <c r="E1328" s="8"/>
      <c r="F1328" s="8"/>
      <c r="G1328" s="8"/>
      <c r="H1328" s="8"/>
      <c r="I1328" s="8"/>
      <c r="J1328" s="8"/>
      <c r="K1328" s="8"/>
      <c r="L1328" s="26"/>
      <c r="M1328" s="26"/>
      <c r="N1328" s="26"/>
      <c r="O1328" s="55"/>
      <c r="P1328" s="1"/>
      <c r="Q1328" s="8"/>
      <c r="R1328" s="8"/>
      <c r="S1328" s="1"/>
      <c r="T1328" s="8"/>
      <c r="U1328" s="8"/>
      <c r="V1328" s="56"/>
      <c r="W1328" s="1"/>
      <c r="X1328" s="1"/>
      <c r="Y1328" s="8"/>
      <c r="Z1328" s="8"/>
      <c r="AA1328" s="8"/>
      <c r="AB1328" s="8"/>
      <c r="AC1328" s="8"/>
      <c r="AD1328" s="8"/>
      <c r="AE1328" s="8"/>
      <c r="AF1328" s="8"/>
      <c r="AG1328" s="8"/>
      <c r="AH1328" s="8"/>
      <c r="AI1328" s="8"/>
    </row>
    <row r="1329" spans="1:35">
      <c r="A1329" s="1"/>
      <c r="B1329" s="8"/>
      <c r="C1329" s="8"/>
      <c r="D1329" s="8"/>
      <c r="E1329" s="8"/>
      <c r="F1329" s="8"/>
      <c r="G1329" s="8"/>
      <c r="H1329" s="8"/>
      <c r="I1329" s="8"/>
      <c r="J1329" s="8"/>
      <c r="K1329" s="8"/>
      <c r="L1329" s="26"/>
      <c r="M1329" s="26"/>
      <c r="N1329" s="26"/>
      <c r="O1329" s="55"/>
      <c r="P1329" s="1"/>
      <c r="Q1329" s="8"/>
      <c r="R1329" s="8"/>
      <c r="S1329" s="1"/>
      <c r="T1329" s="8"/>
      <c r="U1329" s="8"/>
      <c r="V1329" s="56"/>
      <c r="W1329" s="1"/>
      <c r="X1329" s="1"/>
      <c r="Y1329" s="8"/>
      <c r="Z1329" s="8"/>
      <c r="AA1329" s="8"/>
      <c r="AB1329" s="8"/>
      <c r="AC1329" s="8"/>
      <c r="AD1329" s="8"/>
      <c r="AE1329" s="8"/>
      <c r="AF1329" s="8"/>
      <c r="AG1329" s="8"/>
      <c r="AH1329" s="8"/>
      <c r="AI1329" s="8"/>
    </row>
    <row r="1330" spans="1:35">
      <c r="A1330" s="1"/>
      <c r="B1330" s="8"/>
      <c r="C1330" s="8"/>
      <c r="D1330" s="8"/>
      <c r="E1330" s="8"/>
      <c r="F1330" s="8"/>
      <c r="G1330" s="8"/>
      <c r="H1330" s="8"/>
      <c r="I1330" s="8"/>
      <c r="J1330" s="8"/>
      <c r="K1330" s="8"/>
      <c r="L1330" s="26"/>
      <c r="M1330" s="26"/>
      <c r="N1330" s="26"/>
      <c r="O1330" s="55"/>
      <c r="P1330" s="1"/>
      <c r="Q1330" s="8"/>
      <c r="R1330" s="8"/>
      <c r="S1330" s="1"/>
      <c r="T1330" s="8"/>
      <c r="U1330" s="8"/>
      <c r="V1330" s="56"/>
      <c r="W1330" s="1"/>
      <c r="X1330" s="1"/>
      <c r="Y1330" s="8"/>
      <c r="Z1330" s="8"/>
      <c r="AA1330" s="8"/>
      <c r="AB1330" s="8"/>
      <c r="AC1330" s="8"/>
      <c r="AD1330" s="8"/>
      <c r="AE1330" s="8"/>
      <c r="AF1330" s="8"/>
      <c r="AG1330" s="8"/>
      <c r="AH1330" s="8"/>
      <c r="AI1330" s="8"/>
    </row>
    <row r="1331" spans="1:35">
      <c r="A1331" s="1"/>
      <c r="B1331" s="8"/>
      <c r="C1331" s="8"/>
      <c r="D1331" s="8"/>
      <c r="E1331" s="8"/>
      <c r="F1331" s="8"/>
      <c r="G1331" s="8"/>
      <c r="H1331" s="8"/>
      <c r="I1331" s="8"/>
      <c r="J1331" s="8"/>
      <c r="K1331" s="8"/>
      <c r="L1331" s="26"/>
      <c r="M1331" s="26"/>
      <c r="N1331" s="26"/>
      <c r="O1331" s="55"/>
      <c r="P1331" s="1"/>
      <c r="Q1331" s="8"/>
      <c r="R1331" s="8"/>
      <c r="S1331" s="1"/>
      <c r="T1331" s="8"/>
      <c r="U1331" s="8"/>
      <c r="V1331" s="56"/>
      <c r="W1331" s="1"/>
      <c r="X1331" s="1"/>
      <c r="Y1331" s="8"/>
      <c r="Z1331" s="8"/>
      <c r="AA1331" s="8"/>
      <c r="AB1331" s="8"/>
      <c r="AC1331" s="8"/>
      <c r="AD1331" s="8"/>
      <c r="AE1331" s="8"/>
      <c r="AF1331" s="8"/>
      <c r="AG1331" s="8"/>
      <c r="AH1331" s="8"/>
      <c r="AI1331" s="8"/>
    </row>
    <row r="1332" spans="1:35">
      <c r="A1332" s="1"/>
      <c r="B1332" s="8"/>
      <c r="C1332" s="8"/>
      <c r="D1332" s="8"/>
      <c r="E1332" s="8"/>
      <c r="F1332" s="8"/>
      <c r="G1332" s="8"/>
      <c r="H1332" s="8"/>
      <c r="I1332" s="8"/>
      <c r="J1332" s="8"/>
      <c r="K1332" s="8"/>
      <c r="L1332" s="26"/>
      <c r="M1332" s="26"/>
      <c r="N1332" s="26"/>
      <c r="O1332" s="55"/>
      <c r="P1332" s="1"/>
      <c r="Q1332" s="8"/>
      <c r="R1332" s="8"/>
      <c r="S1332" s="1"/>
      <c r="T1332" s="8"/>
      <c r="U1332" s="8"/>
      <c r="V1332" s="56"/>
      <c r="W1332" s="1"/>
      <c r="X1332" s="1"/>
      <c r="Y1332" s="8"/>
      <c r="Z1332" s="8"/>
      <c r="AA1332" s="8"/>
      <c r="AB1332" s="8"/>
      <c r="AC1332" s="8"/>
      <c r="AD1332" s="8"/>
      <c r="AE1332" s="8"/>
      <c r="AF1332" s="8"/>
      <c r="AG1332" s="8"/>
      <c r="AH1332" s="8"/>
      <c r="AI1332" s="8"/>
    </row>
    <row r="1333" spans="1:35">
      <c r="A1333" s="1"/>
      <c r="B1333" s="8"/>
      <c r="C1333" s="8"/>
      <c r="D1333" s="8"/>
      <c r="E1333" s="8"/>
      <c r="F1333" s="8"/>
      <c r="G1333" s="8"/>
      <c r="H1333" s="8"/>
      <c r="I1333" s="8"/>
      <c r="J1333" s="8"/>
      <c r="K1333" s="8"/>
      <c r="L1333" s="26"/>
      <c r="M1333" s="26"/>
      <c r="N1333" s="26"/>
      <c r="O1333" s="55"/>
      <c r="P1333" s="1"/>
      <c r="Q1333" s="8"/>
      <c r="R1333" s="8"/>
      <c r="S1333" s="1"/>
      <c r="T1333" s="8"/>
      <c r="U1333" s="8"/>
      <c r="V1333" s="56"/>
      <c r="W1333" s="1"/>
      <c r="X1333" s="1"/>
      <c r="Y1333" s="8"/>
      <c r="Z1333" s="8"/>
      <c r="AA1333" s="8"/>
      <c r="AB1333" s="8"/>
      <c r="AC1333" s="8"/>
      <c r="AD1333" s="8"/>
      <c r="AE1333" s="8"/>
      <c r="AF1333" s="8"/>
      <c r="AG1333" s="8"/>
      <c r="AH1333" s="8"/>
      <c r="AI1333" s="8"/>
    </row>
    <row r="1334" spans="1:35">
      <c r="A1334" s="1"/>
      <c r="B1334" s="8"/>
      <c r="C1334" s="8"/>
      <c r="D1334" s="8"/>
      <c r="E1334" s="8"/>
      <c r="F1334" s="8"/>
      <c r="G1334" s="8"/>
      <c r="H1334" s="8"/>
      <c r="I1334" s="8"/>
      <c r="J1334" s="8"/>
      <c r="K1334" s="8"/>
      <c r="L1334" s="26"/>
      <c r="M1334" s="26"/>
      <c r="N1334" s="26"/>
      <c r="O1334" s="55"/>
      <c r="P1334" s="1"/>
      <c r="Q1334" s="8"/>
      <c r="R1334" s="8"/>
      <c r="S1334" s="1"/>
      <c r="T1334" s="8"/>
      <c r="U1334" s="8"/>
      <c r="V1334" s="56"/>
      <c r="W1334" s="1"/>
      <c r="X1334" s="1"/>
      <c r="Y1334" s="8"/>
      <c r="Z1334" s="8"/>
      <c r="AA1334" s="8"/>
      <c r="AB1334" s="8"/>
      <c r="AC1334" s="8"/>
      <c r="AD1334" s="8"/>
      <c r="AE1334" s="8"/>
      <c r="AF1334" s="8"/>
      <c r="AG1334" s="8"/>
      <c r="AH1334" s="8"/>
      <c r="AI1334" s="8"/>
    </row>
    <row r="1335" spans="1:35">
      <c r="A1335" s="1"/>
      <c r="B1335" s="8"/>
      <c r="C1335" s="8"/>
      <c r="D1335" s="8"/>
      <c r="E1335" s="8"/>
      <c r="F1335" s="8"/>
      <c r="G1335" s="8"/>
      <c r="H1335" s="8"/>
      <c r="I1335" s="8"/>
      <c r="J1335" s="8"/>
      <c r="K1335" s="8"/>
      <c r="L1335" s="26"/>
      <c r="M1335" s="26"/>
      <c r="N1335" s="26"/>
      <c r="O1335" s="55"/>
      <c r="P1335" s="1"/>
      <c r="Q1335" s="8"/>
      <c r="R1335" s="8"/>
      <c r="S1335" s="1"/>
      <c r="T1335" s="8"/>
      <c r="U1335" s="8"/>
      <c r="V1335" s="56"/>
      <c r="W1335" s="1"/>
      <c r="X1335" s="1"/>
      <c r="Y1335" s="8"/>
      <c r="Z1335" s="8"/>
      <c r="AA1335" s="8"/>
      <c r="AB1335" s="8"/>
      <c r="AC1335" s="8"/>
      <c r="AD1335" s="8"/>
      <c r="AE1335" s="8"/>
      <c r="AF1335" s="8"/>
      <c r="AG1335" s="8"/>
      <c r="AH1335" s="8"/>
      <c r="AI1335" s="8"/>
    </row>
    <row r="1336" spans="1:35">
      <c r="A1336" s="1"/>
      <c r="B1336" s="8"/>
      <c r="C1336" s="8"/>
      <c r="D1336" s="8"/>
      <c r="E1336" s="8"/>
      <c r="F1336" s="8"/>
      <c r="G1336" s="8"/>
      <c r="H1336" s="8"/>
      <c r="I1336" s="8"/>
      <c r="J1336" s="8"/>
      <c r="K1336" s="8"/>
      <c r="L1336" s="26"/>
      <c r="M1336" s="26"/>
      <c r="N1336" s="26"/>
      <c r="O1336" s="55"/>
      <c r="P1336" s="1"/>
      <c r="Q1336" s="8"/>
      <c r="R1336" s="8"/>
      <c r="S1336" s="1"/>
      <c r="T1336" s="8"/>
      <c r="U1336" s="8"/>
      <c r="V1336" s="56"/>
      <c r="W1336" s="1"/>
      <c r="X1336" s="1"/>
      <c r="Y1336" s="8"/>
      <c r="Z1336" s="8"/>
      <c r="AA1336" s="8"/>
      <c r="AB1336" s="8"/>
      <c r="AC1336" s="8"/>
      <c r="AD1336" s="8"/>
      <c r="AE1336" s="8"/>
      <c r="AF1336" s="8"/>
      <c r="AG1336" s="8"/>
      <c r="AH1336" s="8"/>
      <c r="AI1336" s="8"/>
    </row>
    <row r="1337" spans="1:35">
      <c r="A1337" s="1"/>
      <c r="B1337" s="8"/>
      <c r="C1337" s="8"/>
      <c r="D1337" s="8"/>
      <c r="E1337" s="8"/>
      <c r="F1337" s="8"/>
      <c r="G1337" s="8"/>
      <c r="H1337" s="8"/>
      <c r="I1337" s="8"/>
      <c r="J1337" s="8"/>
      <c r="K1337" s="8"/>
      <c r="L1337" s="26"/>
      <c r="M1337" s="26"/>
      <c r="N1337" s="26"/>
      <c r="O1337" s="55"/>
      <c r="P1337" s="1"/>
      <c r="Q1337" s="8"/>
      <c r="R1337" s="8"/>
      <c r="S1337" s="1"/>
      <c r="T1337" s="8"/>
      <c r="U1337" s="8"/>
      <c r="V1337" s="56"/>
      <c r="W1337" s="1"/>
      <c r="X1337" s="1"/>
      <c r="Y1337" s="8"/>
      <c r="Z1337" s="8"/>
      <c r="AA1337" s="8"/>
      <c r="AB1337" s="8"/>
      <c r="AC1337" s="8"/>
      <c r="AD1337" s="8"/>
      <c r="AE1337" s="8"/>
      <c r="AF1337" s="8"/>
      <c r="AG1337" s="8"/>
      <c r="AH1337" s="8"/>
      <c r="AI1337" s="8"/>
    </row>
    <row r="1338" spans="1:35">
      <c r="A1338" s="1"/>
      <c r="B1338" s="8"/>
      <c r="C1338" s="8"/>
      <c r="D1338" s="8"/>
      <c r="E1338" s="8"/>
      <c r="F1338" s="8"/>
      <c r="G1338" s="8"/>
      <c r="H1338" s="8"/>
      <c r="I1338" s="8"/>
      <c r="J1338" s="8"/>
      <c r="K1338" s="8"/>
      <c r="L1338" s="26"/>
      <c r="M1338" s="26"/>
      <c r="N1338" s="26"/>
      <c r="O1338" s="55"/>
      <c r="P1338" s="1"/>
      <c r="Q1338" s="8"/>
      <c r="R1338" s="8"/>
      <c r="S1338" s="1"/>
      <c r="T1338" s="8"/>
      <c r="U1338" s="8"/>
      <c r="V1338" s="56"/>
      <c r="W1338" s="1"/>
      <c r="X1338" s="1"/>
      <c r="Y1338" s="8"/>
      <c r="Z1338" s="8"/>
      <c r="AA1338" s="8"/>
      <c r="AB1338" s="8"/>
      <c r="AC1338" s="8"/>
      <c r="AD1338" s="8"/>
      <c r="AE1338" s="8"/>
      <c r="AF1338" s="8"/>
      <c r="AG1338" s="8"/>
      <c r="AH1338" s="8"/>
      <c r="AI1338" s="8"/>
    </row>
    <row r="1339" spans="1:35">
      <c r="A1339" s="1"/>
      <c r="B1339" s="8"/>
      <c r="C1339" s="8"/>
      <c r="D1339" s="8"/>
      <c r="E1339" s="8"/>
      <c r="F1339" s="8"/>
      <c r="G1339" s="8"/>
      <c r="H1339" s="8"/>
      <c r="I1339" s="8"/>
      <c r="J1339" s="8"/>
      <c r="K1339" s="8"/>
      <c r="L1339" s="26"/>
      <c r="M1339" s="26"/>
      <c r="N1339" s="26"/>
      <c r="O1339" s="55"/>
      <c r="P1339" s="1"/>
      <c r="Q1339" s="8"/>
      <c r="R1339" s="8"/>
      <c r="S1339" s="1"/>
      <c r="T1339" s="8"/>
      <c r="U1339" s="8"/>
      <c r="V1339" s="56"/>
      <c r="W1339" s="1"/>
      <c r="X1339" s="1"/>
      <c r="Y1339" s="8"/>
      <c r="Z1339" s="8"/>
      <c r="AA1339" s="8"/>
      <c r="AB1339" s="8"/>
      <c r="AC1339" s="8"/>
      <c r="AD1339" s="8"/>
      <c r="AE1339" s="8"/>
      <c r="AF1339" s="8"/>
      <c r="AG1339" s="8"/>
      <c r="AH1339" s="8"/>
      <c r="AI1339" s="8"/>
    </row>
    <row r="1340" spans="1:35">
      <c r="A1340" s="1"/>
      <c r="B1340" s="8"/>
      <c r="C1340" s="8"/>
      <c r="D1340" s="8"/>
      <c r="E1340" s="8"/>
      <c r="F1340" s="8"/>
      <c r="G1340" s="8"/>
      <c r="H1340" s="8"/>
      <c r="I1340" s="8"/>
      <c r="J1340" s="8"/>
      <c r="K1340" s="8"/>
      <c r="L1340" s="26"/>
      <c r="M1340" s="26"/>
      <c r="N1340" s="26"/>
      <c r="O1340" s="55"/>
      <c r="P1340" s="1"/>
      <c r="Q1340" s="8"/>
      <c r="R1340" s="8"/>
      <c r="S1340" s="1"/>
      <c r="T1340" s="8"/>
      <c r="U1340" s="8"/>
      <c r="V1340" s="56"/>
      <c r="W1340" s="1"/>
      <c r="X1340" s="1"/>
      <c r="Y1340" s="8"/>
      <c r="Z1340" s="8"/>
      <c r="AA1340" s="8"/>
      <c r="AB1340" s="8"/>
      <c r="AC1340" s="8"/>
      <c r="AD1340" s="8"/>
      <c r="AE1340" s="8"/>
      <c r="AF1340" s="8"/>
      <c r="AG1340" s="8"/>
      <c r="AH1340" s="8"/>
      <c r="AI1340" s="8"/>
    </row>
    <row r="1341" spans="1:35">
      <c r="A1341" s="1"/>
      <c r="B1341" s="8"/>
      <c r="C1341" s="8"/>
      <c r="D1341" s="8"/>
      <c r="E1341" s="8"/>
      <c r="F1341" s="8"/>
      <c r="G1341" s="8"/>
      <c r="H1341" s="8"/>
      <c r="I1341" s="8"/>
      <c r="J1341" s="8"/>
      <c r="K1341" s="8"/>
      <c r="L1341" s="26"/>
      <c r="M1341" s="26"/>
      <c r="N1341" s="26"/>
      <c r="O1341" s="55"/>
      <c r="P1341" s="1"/>
      <c r="Q1341" s="8"/>
      <c r="R1341" s="8"/>
      <c r="S1341" s="1"/>
      <c r="T1341" s="8"/>
      <c r="U1341" s="8"/>
      <c r="V1341" s="56"/>
      <c r="W1341" s="1"/>
      <c r="X1341" s="1"/>
      <c r="Y1341" s="8"/>
      <c r="Z1341" s="8"/>
      <c r="AA1341" s="8"/>
      <c r="AB1341" s="8"/>
      <c r="AC1341" s="8"/>
      <c r="AD1341" s="8"/>
      <c r="AE1341" s="8"/>
      <c r="AF1341" s="8"/>
      <c r="AG1341" s="8"/>
      <c r="AH1341" s="8"/>
      <c r="AI1341" s="8"/>
    </row>
    <row r="1342" spans="1:35">
      <c r="A1342" s="1"/>
      <c r="B1342" s="8"/>
      <c r="C1342" s="8"/>
      <c r="D1342" s="8"/>
      <c r="E1342" s="8"/>
      <c r="F1342" s="8"/>
      <c r="G1342" s="8"/>
      <c r="H1342" s="8"/>
      <c r="I1342" s="8"/>
      <c r="J1342" s="8"/>
      <c r="K1342" s="8"/>
      <c r="L1342" s="26"/>
      <c r="M1342" s="26"/>
      <c r="N1342" s="26"/>
      <c r="O1342" s="55"/>
      <c r="P1342" s="1"/>
      <c r="Q1342" s="8"/>
      <c r="R1342" s="8"/>
      <c r="S1342" s="1"/>
      <c r="T1342" s="8"/>
      <c r="U1342" s="8"/>
      <c r="V1342" s="56"/>
      <c r="W1342" s="1"/>
      <c r="X1342" s="1"/>
      <c r="Y1342" s="8"/>
      <c r="Z1342" s="8"/>
      <c r="AA1342" s="8"/>
      <c r="AB1342" s="8"/>
      <c r="AC1342" s="8"/>
      <c r="AD1342" s="8"/>
      <c r="AE1342" s="8"/>
      <c r="AF1342" s="8"/>
      <c r="AG1342" s="8"/>
      <c r="AH1342" s="8"/>
      <c r="AI1342" s="8"/>
    </row>
    <row r="1343" spans="1:35">
      <c r="A1343" s="1"/>
      <c r="B1343" s="8"/>
      <c r="C1343" s="8"/>
      <c r="D1343" s="8"/>
      <c r="E1343" s="8"/>
      <c r="F1343" s="8"/>
      <c r="G1343" s="8"/>
      <c r="H1343" s="8"/>
      <c r="I1343" s="8"/>
      <c r="J1343" s="8"/>
      <c r="K1343" s="8"/>
      <c r="L1343" s="26"/>
      <c r="M1343" s="26"/>
      <c r="N1343" s="26"/>
      <c r="O1343" s="55"/>
      <c r="P1343" s="1"/>
      <c r="Q1343" s="8"/>
      <c r="R1343" s="8"/>
      <c r="S1343" s="1"/>
      <c r="T1343" s="8"/>
      <c r="U1343" s="8"/>
      <c r="V1343" s="56"/>
      <c r="W1343" s="1"/>
      <c r="X1343" s="1"/>
      <c r="Y1343" s="8"/>
      <c r="Z1343" s="8"/>
      <c r="AA1343" s="8"/>
      <c r="AB1343" s="8"/>
      <c r="AC1343" s="8"/>
      <c r="AD1343" s="8"/>
      <c r="AE1343" s="8"/>
      <c r="AF1343" s="8"/>
      <c r="AG1343" s="8"/>
      <c r="AH1343" s="8"/>
      <c r="AI1343" s="8"/>
    </row>
    <row r="1344" spans="1:35">
      <c r="A1344" s="1"/>
      <c r="B1344" s="8"/>
      <c r="C1344" s="8"/>
      <c r="D1344" s="8"/>
      <c r="E1344" s="8"/>
      <c r="F1344" s="8"/>
      <c r="G1344" s="8"/>
      <c r="H1344" s="8"/>
      <c r="I1344" s="8"/>
      <c r="J1344" s="8"/>
      <c r="K1344" s="8"/>
      <c r="L1344" s="26"/>
      <c r="M1344" s="26"/>
      <c r="N1344" s="26"/>
      <c r="O1344" s="55"/>
      <c r="P1344" s="1"/>
      <c r="Q1344" s="8"/>
      <c r="R1344" s="8"/>
      <c r="S1344" s="1"/>
      <c r="T1344" s="8"/>
      <c r="U1344" s="8"/>
      <c r="V1344" s="56"/>
      <c r="W1344" s="1"/>
      <c r="X1344" s="1"/>
      <c r="Y1344" s="8"/>
      <c r="Z1344" s="8"/>
      <c r="AA1344" s="8"/>
      <c r="AB1344" s="8"/>
      <c r="AC1344" s="8"/>
      <c r="AD1344" s="8"/>
      <c r="AE1344" s="8"/>
      <c r="AF1344" s="8"/>
      <c r="AG1344" s="8"/>
      <c r="AH1344" s="8"/>
      <c r="AI1344" s="8"/>
    </row>
    <row r="1345" spans="1:35">
      <c r="A1345" s="1"/>
      <c r="B1345" s="8"/>
      <c r="C1345" s="8"/>
      <c r="D1345" s="8"/>
      <c r="E1345" s="8"/>
      <c r="F1345" s="8"/>
      <c r="G1345" s="8"/>
      <c r="H1345" s="8"/>
      <c r="I1345" s="8"/>
      <c r="J1345" s="8"/>
      <c r="K1345" s="8"/>
      <c r="L1345" s="26"/>
      <c r="M1345" s="26"/>
      <c r="N1345" s="26"/>
      <c r="O1345" s="55"/>
      <c r="P1345" s="1"/>
      <c r="Q1345" s="8"/>
      <c r="R1345" s="8"/>
      <c r="S1345" s="1"/>
      <c r="T1345" s="8"/>
      <c r="U1345" s="8"/>
      <c r="V1345" s="56"/>
      <c r="W1345" s="1"/>
      <c r="X1345" s="1"/>
      <c r="Y1345" s="8"/>
      <c r="Z1345" s="8"/>
      <c r="AA1345" s="8"/>
      <c r="AB1345" s="8"/>
      <c r="AC1345" s="8"/>
      <c r="AD1345" s="8"/>
      <c r="AE1345" s="8"/>
      <c r="AF1345" s="8"/>
      <c r="AG1345" s="8"/>
      <c r="AH1345" s="8"/>
      <c r="AI1345" s="8"/>
    </row>
    <row r="1346" spans="1:35">
      <c r="A1346" s="1"/>
      <c r="B1346" s="8"/>
      <c r="C1346" s="8"/>
      <c r="D1346" s="8"/>
      <c r="E1346" s="8"/>
      <c r="F1346" s="8"/>
      <c r="G1346" s="8"/>
      <c r="H1346" s="8"/>
      <c r="I1346" s="8"/>
      <c r="J1346" s="8"/>
      <c r="K1346" s="8"/>
      <c r="L1346" s="26"/>
      <c r="M1346" s="26"/>
      <c r="N1346" s="26"/>
      <c r="O1346" s="55"/>
      <c r="P1346" s="1"/>
      <c r="Q1346" s="8"/>
      <c r="R1346" s="8"/>
      <c r="S1346" s="1"/>
      <c r="T1346" s="8"/>
      <c r="U1346" s="8"/>
      <c r="V1346" s="56"/>
      <c r="W1346" s="1"/>
      <c r="X1346" s="1"/>
      <c r="Y1346" s="8"/>
      <c r="Z1346" s="8"/>
      <c r="AA1346" s="8"/>
      <c r="AB1346" s="8"/>
      <c r="AC1346" s="8"/>
      <c r="AD1346" s="8"/>
      <c r="AE1346" s="8"/>
      <c r="AF1346" s="8"/>
      <c r="AG1346" s="8"/>
      <c r="AH1346" s="8"/>
      <c r="AI1346" s="8"/>
    </row>
    <row r="1347" spans="1:35">
      <c r="A1347" s="1"/>
      <c r="B1347" s="8"/>
      <c r="C1347" s="8"/>
      <c r="D1347" s="8"/>
      <c r="E1347" s="8"/>
      <c r="F1347" s="8"/>
      <c r="G1347" s="8"/>
      <c r="H1347" s="8"/>
      <c r="I1347" s="8"/>
      <c r="J1347" s="8"/>
      <c r="K1347" s="8"/>
      <c r="L1347" s="26"/>
      <c r="M1347" s="26"/>
      <c r="N1347" s="26"/>
      <c r="O1347" s="55"/>
      <c r="P1347" s="1"/>
      <c r="Q1347" s="8"/>
      <c r="R1347" s="8"/>
      <c r="S1347" s="1"/>
      <c r="T1347" s="8"/>
      <c r="U1347" s="8"/>
      <c r="V1347" s="56"/>
      <c r="W1347" s="1"/>
      <c r="X1347" s="1"/>
      <c r="Y1347" s="8"/>
      <c r="Z1347" s="8"/>
      <c r="AA1347" s="8"/>
      <c r="AB1347" s="8"/>
      <c r="AC1347" s="8"/>
      <c r="AD1347" s="8"/>
      <c r="AE1347" s="8"/>
      <c r="AF1347" s="8"/>
      <c r="AG1347" s="8"/>
      <c r="AH1347" s="8"/>
      <c r="AI1347" s="8"/>
    </row>
    <row r="1348" spans="1:35">
      <c r="A1348" s="1"/>
      <c r="B1348" s="8"/>
      <c r="C1348" s="8"/>
      <c r="D1348" s="8"/>
      <c r="E1348" s="8"/>
      <c r="F1348" s="8"/>
      <c r="G1348" s="8"/>
      <c r="H1348" s="8"/>
      <c r="I1348" s="8"/>
      <c r="J1348" s="8"/>
      <c r="K1348" s="8"/>
      <c r="L1348" s="26"/>
      <c r="M1348" s="26"/>
      <c r="N1348" s="26"/>
      <c r="O1348" s="55"/>
      <c r="P1348" s="1"/>
      <c r="Q1348" s="8"/>
      <c r="R1348" s="8"/>
      <c r="S1348" s="1"/>
      <c r="T1348" s="8"/>
      <c r="U1348" s="8"/>
      <c r="V1348" s="56"/>
      <c r="W1348" s="1"/>
      <c r="X1348" s="1"/>
      <c r="Y1348" s="8"/>
      <c r="Z1348" s="8"/>
      <c r="AA1348" s="8"/>
      <c r="AB1348" s="8"/>
      <c r="AC1348" s="8"/>
      <c r="AD1348" s="8"/>
      <c r="AE1348" s="8"/>
      <c r="AF1348" s="8"/>
      <c r="AG1348" s="8"/>
      <c r="AH1348" s="8"/>
      <c r="AI1348" s="8"/>
    </row>
    <row r="1349" spans="1:35">
      <c r="A1349" s="1"/>
      <c r="B1349" s="8"/>
      <c r="C1349" s="8"/>
      <c r="D1349" s="8"/>
      <c r="E1349" s="8"/>
      <c r="F1349" s="8"/>
      <c r="G1349" s="8"/>
      <c r="H1349" s="8"/>
      <c r="I1349" s="8"/>
      <c r="J1349" s="8"/>
      <c r="K1349" s="8"/>
      <c r="L1349" s="26"/>
      <c r="M1349" s="26"/>
      <c r="N1349" s="26"/>
      <c r="O1349" s="55"/>
      <c r="P1349" s="1"/>
      <c r="Q1349" s="8"/>
      <c r="R1349" s="8"/>
      <c r="S1349" s="1"/>
      <c r="T1349" s="8"/>
      <c r="U1349" s="8"/>
      <c r="V1349" s="56"/>
      <c r="W1349" s="1"/>
      <c r="X1349" s="1"/>
      <c r="Y1349" s="8"/>
      <c r="Z1349" s="8"/>
      <c r="AA1349" s="8"/>
      <c r="AB1349" s="8"/>
      <c r="AC1349" s="8"/>
      <c r="AD1349" s="8"/>
      <c r="AE1349" s="8"/>
      <c r="AF1349" s="8"/>
      <c r="AG1349" s="8"/>
      <c r="AH1349" s="8"/>
      <c r="AI1349" s="8"/>
    </row>
    <row r="1350" spans="1:35">
      <c r="A1350" s="1"/>
      <c r="B1350" s="8"/>
      <c r="C1350" s="8"/>
      <c r="D1350" s="8"/>
      <c r="E1350" s="8"/>
      <c r="F1350" s="8"/>
      <c r="G1350" s="8"/>
      <c r="H1350" s="8"/>
      <c r="I1350" s="8"/>
      <c r="J1350" s="8"/>
      <c r="K1350" s="8"/>
      <c r="L1350" s="26"/>
      <c r="M1350" s="26"/>
      <c r="N1350" s="26"/>
      <c r="O1350" s="55"/>
      <c r="P1350" s="1"/>
      <c r="Q1350" s="8"/>
      <c r="R1350" s="8"/>
      <c r="S1350" s="1"/>
      <c r="T1350" s="8"/>
      <c r="U1350" s="8"/>
      <c r="V1350" s="56"/>
      <c r="W1350" s="1"/>
      <c r="X1350" s="1"/>
      <c r="Y1350" s="8"/>
      <c r="Z1350" s="8"/>
      <c r="AA1350" s="8"/>
      <c r="AB1350" s="8"/>
      <c r="AC1350" s="8"/>
      <c r="AD1350" s="8"/>
      <c r="AE1350" s="8"/>
      <c r="AF1350" s="8"/>
      <c r="AG1350" s="8"/>
      <c r="AH1350" s="8"/>
      <c r="AI1350" s="8"/>
    </row>
    <row r="1351" spans="1:35">
      <c r="A1351" s="1"/>
      <c r="B1351" s="8"/>
      <c r="C1351" s="8"/>
      <c r="D1351" s="8"/>
      <c r="E1351" s="8"/>
      <c r="F1351" s="8"/>
      <c r="G1351" s="8"/>
      <c r="H1351" s="8"/>
      <c r="I1351" s="8"/>
      <c r="J1351" s="8"/>
      <c r="K1351" s="8"/>
      <c r="L1351" s="26"/>
      <c r="M1351" s="26"/>
      <c r="N1351" s="26"/>
      <c r="O1351" s="55"/>
      <c r="P1351" s="1"/>
      <c r="Q1351" s="8"/>
      <c r="R1351" s="8"/>
      <c r="S1351" s="1"/>
      <c r="T1351" s="8"/>
      <c r="U1351" s="8"/>
      <c r="V1351" s="56"/>
      <c r="W1351" s="1"/>
      <c r="X1351" s="1"/>
      <c r="Y1351" s="8"/>
      <c r="Z1351" s="8"/>
      <c r="AA1351" s="8"/>
      <c r="AB1351" s="8"/>
      <c r="AC1351" s="8"/>
      <c r="AD1351" s="8"/>
      <c r="AE1351" s="8"/>
      <c r="AF1351" s="8"/>
      <c r="AG1351" s="8"/>
      <c r="AH1351" s="8"/>
      <c r="AI1351" s="8"/>
    </row>
    <row r="1352" spans="1:35">
      <c r="A1352" s="1"/>
      <c r="B1352" s="8"/>
      <c r="C1352" s="8"/>
      <c r="D1352" s="8"/>
      <c r="E1352" s="8"/>
      <c r="F1352" s="8"/>
      <c r="G1352" s="8"/>
      <c r="H1352" s="8"/>
      <c r="I1352" s="8"/>
      <c r="J1352" s="8"/>
      <c r="K1352" s="8"/>
      <c r="L1352" s="26"/>
      <c r="M1352" s="26"/>
      <c r="N1352" s="26"/>
      <c r="O1352" s="55"/>
      <c r="P1352" s="1"/>
      <c r="Q1352" s="8"/>
      <c r="R1352" s="8"/>
      <c r="S1352" s="1"/>
      <c r="T1352" s="8"/>
      <c r="U1352" s="8"/>
      <c r="V1352" s="56"/>
      <c r="W1352" s="1"/>
      <c r="X1352" s="1"/>
      <c r="Y1352" s="8"/>
      <c r="Z1352" s="8"/>
      <c r="AA1352" s="8"/>
      <c r="AB1352" s="8"/>
      <c r="AC1352" s="8"/>
      <c r="AD1352" s="8"/>
      <c r="AE1352" s="8"/>
      <c r="AF1352" s="8"/>
      <c r="AG1352" s="8"/>
      <c r="AH1352" s="8"/>
      <c r="AI1352" s="8"/>
    </row>
    <row r="1353" spans="1:35">
      <c r="A1353" s="1"/>
      <c r="B1353" s="8"/>
      <c r="C1353" s="8"/>
      <c r="D1353" s="8"/>
      <c r="E1353" s="8"/>
      <c r="F1353" s="8"/>
      <c r="G1353" s="8"/>
      <c r="H1353" s="8"/>
      <c r="I1353" s="8"/>
      <c r="J1353" s="8"/>
      <c r="K1353" s="8"/>
      <c r="L1353" s="26"/>
      <c r="M1353" s="26"/>
      <c r="N1353" s="26"/>
      <c r="O1353" s="55"/>
      <c r="P1353" s="1"/>
      <c r="Q1353" s="8"/>
      <c r="R1353" s="8"/>
      <c r="S1353" s="1"/>
      <c r="T1353" s="8"/>
      <c r="U1353" s="8"/>
      <c r="V1353" s="56"/>
      <c r="W1353" s="1"/>
      <c r="X1353" s="1"/>
      <c r="Y1353" s="8"/>
      <c r="Z1353" s="8"/>
      <c r="AA1353" s="8"/>
      <c r="AB1353" s="8"/>
      <c r="AC1353" s="8"/>
      <c r="AD1353" s="8"/>
      <c r="AE1353" s="8"/>
      <c r="AF1353" s="8"/>
      <c r="AG1353" s="8"/>
      <c r="AH1353" s="8"/>
      <c r="AI1353" s="8"/>
    </row>
    <row r="1354" spans="1:35">
      <c r="A1354" s="1"/>
      <c r="B1354" s="8"/>
      <c r="C1354" s="8"/>
      <c r="D1354" s="8"/>
      <c r="E1354" s="8"/>
      <c r="F1354" s="8"/>
      <c r="G1354" s="8"/>
      <c r="H1354" s="8"/>
      <c r="I1354" s="8"/>
      <c r="J1354" s="8"/>
      <c r="K1354" s="8"/>
      <c r="L1354" s="26"/>
      <c r="M1354" s="26"/>
      <c r="N1354" s="26"/>
      <c r="O1354" s="55"/>
      <c r="P1354" s="1"/>
      <c r="Q1354" s="8"/>
      <c r="R1354" s="8"/>
      <c r="S1354" s="1"/>
      <c r="T1354" s="8"/>
      <c r="U1354" s="8"/>
      <c r="V1354" s="56"/>
      <c r="W1354" s="1"/>
      <c r="X1354" s="1"/>
      <c r="Y1354" s="8"/>
      <c r="Z1354" s="8"/>
      <c r="AA1354" s="8"/>
      <c r="AB1354" s="8"/>
      <c r="AC1354" s="8"/>
      <c r="AD1354" s="8"/>
      <c r="AE1354" s="8"/>
      <c r="AF1354" s="8"/>
      <c r="AG1354" s="8"/>
      <c r="AH1354" s="8"/>
      <c r="AI1354" s="8"/>
    </row>
    <row r="1355" spans="1:35">
      <c r="A1355" s="1"/>
      <c r="B1355" s="8"/>
      <c r="C1355" s="8"/>
      <c r="D1355" s="8"/>
      <c r="E1355" s="8"/>
      <c r="F1355" s="8"/>
      <c r="G1355" s="8"/>
      <c r="H1355" s="8"/>
      <c r="I1355" s="8"/>
      <c r="J1355" s="8"/>
      <c r="K1355" s="8"/>
      <c r="L1355" s="26"/>
      <c r="M1355" s="26"/>
      <c r="N1355" s="26"/>
      <c r="O1355" s="55"/>
      <c r="P1355" s="1"/>
      <c r="Q1355" s="8"/>
      <c r="R1355" s="8"/>
      <c r="S1355" s="1"/>
      <c r="T1355" s="8"/>
      <c r="U1355" s="8"/>
      <c r="V1355" s="56"/>
      <c r="W1355" s="1"/>
      <c r="X1355" s="1"/>
      <c r="Y1355" s="8"/>
      <c r="Z1355" s="8"/>
      <c r="AA1355" s="8"/>
      <c r="AB1355" s="8"/>
      <c r="AC1355" s="8"/>
      <c r="AD1355" s="8"/>
      <c r="AE1355" s="8"/>
      <c r="AF1355" s="8"/>
      <c r="AG1355" s="8"/>
      <c r="AH1355" s="8"/>
      <c r="AI1355" s="8"/>
    </row>
    <row r="1356" spans="1:35">
      <c r="A1356" s="1"/>
      <c r="B1356" s="8"/>
      <c r="C1356" s="8"/>
      <c r="D1356" s="8"/>
      <c r="E1356" s="8"/>
      <c r="F1356" s="8"/>
      <c r="G1356" s="8"/>
      <c r="H1356" s="8"/>
      <c r="I1356" s="8"/>
      <c r="J1356" s="8"/>
      <c r="K1356" s="8"/>
      <c r="L1356" s="26"/>
      <c r="M1356" s="26"/>
      <c r="N1356" s="26"/>
      <c r="O1356" s="55"/>
      <c r="P1356" s="1"/>
      <c r="Q1356" s="8"/>
      <c r="R1356" s="8"/>
      <c r="S1356" s="1"/>
      <c r="T1356" s="8"/>
      <c r="U1356" s="8"/>
      <c r="V1356" s="56"/>
      <c r="W1356" s="1"/>
      <c r="X1356" s="1"/>
      <c r="Y1356" s="8"/>
      <c r="Z1356" s="8"/>
      <c r="AA1356" s="8"/>
      <c r="AB1356" s="8"/>
      <c r="AC1356" s="8"/>
      <c r="AD1356" s="8"/>
      <c r="AE1356" s="8"/>
      <c r="AF1356" s="8"/>
      <c r="AG1356" s="8"/>
      <c r="AH1356" s="8"/>
      <c r="AI1356" s="8"/>
    </row>
    <row r="1357" spans="1:35">
      <c r="A1357" s="1"/>
      <c r="B1357" s="8"/>
      <c r="C1357" s="8"/>
      <c r="D1357" s="8"/>
      <c r="E1357" s="8"/>
      <c r="F1357" s="8"/>
      <c r="G1357" s="8"/>
      <c r="H1357" s="8"/>
      <c r="I1357" s="8"/>
      <c r="J1357" s="8"/>
      <c r="K1357" s="8"/>
      <c r="L1357" s="26"/>
      <c r="M1357" s="26"/>
      <c r="N1357" s="26"/>
      <c r="O1357" s="55"/>
      <c r="P1357" s="1"/>
      <c r="Q1357" s="8"/>
      <c r="R1357" s="8"/>
      <c r="S1357" s="1"/>
      <c r="T1357" s="8"/>
      <c r="U1357" s="8"/>
      <c r="V1357" s="56"/>
      <c r="W1357" s="1"/>
      <c r="X1357" s="1"/>
      <c r="Y1357" s="8"/>
      <c r="Z1357" s="8"/>
      <c r="AA1357" s="8"/>
      <c r="AB1357" s="8"/>
      <c r="AC1357" s="8"/>
      <c r="AD1357" s="8"/>
      <c r="AE1357" s="8"/>
      <c r="AF1357" s="8"/>
      <c r="AG1357" s="8"/>
      <c r="AH1357" s="8"/>
      <c r="AI1357" s="8"/>
    </row>
    <row r="1358" spans="1:35">
      <c r="A1358" s="1"/>
      <c r="B1358" s="8"/>
      <c r="C1358" s="8"/>
      <c r="D1358" s="8"/>
      <c r="E1358" s="8"/>
      <c r="F1358" s="8"/>
      <c r="G1358" s="8"/>
      <c r="H1358" s="8"/>
      <c r="I1358" s="8"/>
      <c r="J1358" s="8"/>
      <c r="K1358" s="8"/>
      <c r="L1358" s="26"/>
      <c r="M1358" s="26"/>
      <c r="N1358" s="26"/>
      <c r="O1358" s="55"/>
      <c r="P1358" s="1"/>
      <c r="Q1358" s="8"/>
      <c r="R1358" s="8"/>
      <c r="S1358" s="1"/>
      <c r="T1358" s="8"/>
      <c r="U1358" s="8"/>
      <c r="V1358" s="56"/>
      <c r="W1358" s="1"/>
      <c r="X1358" s="1"/>
      <c r="Y1358" s="8"/>
      <c r="Z1358" s="8"/>
      <c r="AA1358" s="8"/>
      <c r="AB1358" s="8"/>
      <c r="AC1358" s="8"/>
      <c r="AD1358" s="8"/>
      <c r="AE1358" s="8"/>
      <c r="AF1358" s="8"/>
      <c r="AG1358" s="8"/>
      <c r="AH1358" s="8"/>
      <c r="AI1358" s="8"/>
    </row>
    <row r="1359" spans="1:35">
      <c r="A1359" s="1"/>
      <c r="B1359" s="8"/>
      <c r="C1359" s="8"/>
      <c r="D1359" s="8"/>
      <c r="E1359" s="8"/>
      <c r="F1359" s="8"/>
      <c r="G1359" s="8"/>
      <c r="H1359" s="8"/>
      <c r="I1359" s="8"/>
      <c r="J1359" s="8"/>
      <c r="K1359" s="8"/>
      <c r="L1359" s="26"/>
      <c r="M1359" s="26"/>
      <c r="N1359" s="26"/>
      <c r="O1359" s="55"/>
      <c r="P1359" s="1"/>
      <c r="Q1359" s="8"/>
      <c r="R1359" s="8"/>
      <c r="S1359" s="1"/>
      <c r="T1359" s="8"/>
      <c r="U1359" s="8"/>
      <c r="V1359" s="56"/>
      <c r="W1359" s="1"/>
      <c r="X1359" s="1"/>
      <c r="Y1359" s="8"/>
      <c r="Z1359" s="8"/>
      <c r="AA1359" s="8"/>
      <c r="AB1359" s="8"/>
      <c r="AC1359" s="8"/>
      <c r="AD1359" s="8"/>
      <c r="AE1359" s="8"/>
      <c r="AF1359" s="8"/>
      <c r="AG1359" s="8"/>
      <c r="AH1359" s="8"/>
      <c r="AI1359" s="8"/>
    </row>
    <row r="1360" spans="1:35">
      <c r="A1360" s="1"/>
      <c r="B1360" s="8"/>
      <c r="C1360" s="8"/>
      <c r="D1360" s="8"/>
      <c r="E1360" s="8"/>
      <c r="F1360" s="8"/>
      <c r="G1360" s="8"/>
      <c r="H1360" s="8"/>
      <c r="I1360" s="8"/>
      <c r="J1360" s="8"/>
      <c r="K1360" s="8"/>
      <c r="L1360" s="26"/>
      <c r="M1360" s="26"/>
      <c r="N1360" s="26"/>
      <c r="O1360" s="55"/>
      <c r="P1360" s="1"/>
      <c r="Q1360" s="8"/>
      <c r="R1360" s="8"/>
      <c r="S1360" s="1"/>
      <c r="T1360" s="8"/>
      <c r="U1360" s="8"/>
      <c r="V1360" s="56"/>
      <c r="W1360" s="1"/>
      <c r="X1360" s="1"/>
      <c r="Y1360" s="8"/>
      <c r="Z1360" s="8"/>
      <c r="AA1360" s="8"/>
      <c r="AB1360" s="8"/>
      <c r="AC1360" s="8"/>
      <c r="AD1360" s="8"/>
      <c r="AE1360" s="8"/>
      <c r="AF1360" s="8"/>
      <c r="AG1360" s="8"/>
      <c r="AH1360" s="8"/>
      <c r="AI1360" s="8"/>
    </row>
    <row r="1361" spans="1:35">
      <c r="A1361" s="1"/>
      <c r="B1361" s="8"/>
      <c r="C1361" s="8"/>
      <c r="D1361" s="8"/>
      <c r="E1361" s="8"/>
      <c r="F1361" s="8"/>
      <c r="G1361" s="8"/>
      <c r="H1361" s="8"/>
      <c r="I1361" s="8"/>
      <c r="J1361" s="8"/>
      <c r="K1361" s="8"/>
      <c r="L1361" s="26"/>
      <c r="M1361" s="26"/>
      <c r="N1361" s="26"/>
      <c r="O1361" s="55"/>
      <c r="P1361" s="1"/>
      <c r="Q1361" s="8"/>
      <c r="R1361" s="8"/>
      <c r="S1361" s="1"/>
      <c r="T1361" s="8"/>
      <c r="U1361" s="8"/>
      <c r="V1361" s="56"/>
      <c r="W1361" s="1"/>
      <c r="X1361" s="1"/>
      <c r="Y1361" s="8"/>
      <c r="Z1361" s="8"/>
      <c r="AA1361" s="8"/>
      <c r="AB1361" s="8"/>
      <c r="AC1361" s="8"/>
      <c r="AD1361" s="8"/>
      <c r="AE1361" s="8"/>
      <c r="AF1361" s="8"/>
      <c r="AG1361" s="8"/>
      <c r="AH1361" s="8"/>
      <c r="AI1361" s="8"/>
    </row>
    <row r="1362" spans="1:35">
      <c r="A1362" s="1"/>
      <c r="B1362" s="8"/>
      <c r="C1362" s="8"/>
      <c r="D1362" s="8"/>
      <c r="E1362" s="8"/>
      <c r="F1362" s="8"/>
      <c r="G1362" s="8"/>
      <c r="H1362" s="8"/>
      <c r="I1362" s="8"/>
      <c r="J1362" s="8"/>
      <c r="K1362" s="8"/>
      <c r="L1362" s="26"/>
      <c r="M1362" s="26"/>
      <c r="N1362" s="26"/>
      <c r="O1362" s="55"/>
      <c r="P1362" s="1"/>
      <c r="Q1362" s="8"/>
      <c r="R1362" s="8"/>
      <c r="S1362" s="1"/>
      <c r="T1362" s="8"/>
      <c r="U1362" s="8"/>
      <c r="V1362" s="56"/>
      <c r="W1362" s="1"/>
      <c r="X1362" s="1"/>
      <c r="Y1362" s="8"/>
      <c r="Z1362" s="8"/>
      <c r="AA1362" s="8"/>
      <c r="AB1362" s="8"/>
      <c r="AC1362" s="8"/>
      <c r="AD1362" s="8"/>
      <c r="AE1362" s="8"/>
      <c r="AF1362" s="8"/>
      <c r="AG1362" s="8"/>
      <c r="AH1362" s="8"/>
      <c r="AI1362" s="8"/>
    </row>
    <row r="1363" spans="1:35">
      <c r="A1363" s="1"/>
      <c r="B1363" s="8"/>
      <c r="C1363" s="8"/>
      <c r="D1363" s="8"/>
      <c r="E1363" s="8"/>
      <c r="F1363" s="8"/>
      <c r="G1363" s="8"/>
      <c r="H1363" s="8"/>
      <c r="I1363" s="8"/>
      <c r="J1363" s="8"/>
      <c r="K1363" s="8"/>
      <c r="L1363" s="26"/>
      <c r="M1363" s="26"/>
      <c r="N1363" s="26"/>
      <c r="O1363" s="55"/>
      <c r="P1363" s="1"/>
      <c r="Q1363" s="8"/>
      <c r="R1363" s="8"/>
      <c r="S1363" s="1"/>
      <c r="T1363" s="8"/>
      <c r="U1363" s="8"/>
      <c r="V1363" s="56"/>
      <c r="W1363" s="1"/>
      <c r="X1363" s="1"/>
      <c r="Y1363" s="8"/>
      <c r="Z1363" s="8"/>
      <c r="AA1363" s="8"/>
      <c r="AB1363" s="8"/>
      <c r="AC1363" s="8"/>
      <c r="AD1363" s="8"/>
      <c r="AE1363" s="8"/>
      <c r="AF1363" s="8"/>
      <c r="AG1363" s="8"/>
      <c r="AH1363" s="8"/>
      <c r="AI1363" s="8"/>
    </row>
    <row r="1364" spans="1:35">
      <c r="A1364" s="1"/>
      <c r="B1364" s="8"/>
      <c r="C1364" s="8"/>
      <c r="D1364" s="8"/>
      <c r="E1364" s="8"/>
      <c r="F1364" s="8"/>
      <c r="G1364" s="8"/>
      <c r="H1364" s="8"/>
      <c r="I1364" s="8"/>
      <c r="J1364" s="8"/>
      <c r="K1364" s="8"/>
      <c r="L1364" s="26"/>
      <c r="M1364" s="26"/>
      <c r="N1364" s="26"/>
      <c r="O1364" s="55"/>
      <c r="P1364" s="1"/>
      <c r="Q1364" s="8"/>
      <c r="R1364" s="8"/>
      <c r="S1364" s="1"/>
      <c r="T1364" s="8"/>
      <c r="U1364" s="8"/>
      <c r="V1364" s="56"/>
      <c r="W1364" s="1"/>
      <c r="X1364" s="1"/>
      <c r="Y1364" s="8"/>
      <c r="Z1364" s="8"/>
      <c r="AA1364" s="8"/>
      <c r="AB1364" s="8"/>
      <c r="AC1364" s="8"/>
      <c r="AD1364" s="8"/>
      <c r="AE1364" s="8"/>
      <c r="AF1364" s="8"/>
      <c r="AG1364" s="8"/>
      <c r="AH1364" s="8"/>
      <c r="AI1364" s="8"/>
    </row>
    <row r="1365" spans="1:35">
      <c r="A1365" s="1"/>
      <c r="B1365" s="8"/>
      <c r="C1365" s="8"/>
      <c r="D1365" s="8"/>
      <c r="E1365" s="8"/>
      <c r="F1365" s="8"/>
      <c r="G1365" s="8"/>
      <c r="H1365" s="8"/>
      <c r="I1365" s="8"/>
      <c r="J1365" s="8"/>
      <c r="K1365" s="8"/>
      <c r="L1365" s="26"/>
      <c r="M1365" s="26"/>
      <c r="N1365" s="26"/>
      <c r="O1365" s="55"/>
      <c r="P1365" s="1"/>
      <c r="Q1365" s="8"/>
      <c r="R1365" s="8"/>
      <c r="S1365" s="1"/>
      <c r="T1365" s="8"/>
      <c r="U1365" s="8"/>
      <c r="V1365" s="56"/>
      <c r="W1365" s="1"/>
      <c r="X1365" s="1"/>
      <c r="Y1365" s="8"/>
      <c r="Z1365" s="8"/>
      <c r="AA1365" s="8"/>
      <c r="AB1365" s="8"/>
      <c r="AC1365" s="8"/>
      <c r="AD1365" s="8"/>
      <c r="AE1365" s="8"/>
      <c r="AF1365" s="8"/>
      <c r="AG1365" s="8"/>
      <c r="AH1365" s="8"/>
      <c r="AI1365" s="8"/>
    </row>
    <row r="1366" spans="1:35">
      <c r="A1366" s="1"/>
      <c r="B1366" s="8"/>
      <c r="C1366" s="8"/>
      <c r="D1366" s="8"/>
      <c r="E1366" s="8"/>
      <c r="F1366" s="8"/>
      <c r="G1366" s="8"/>
      <c r="H1366" s="8"/>
      <c r="I1366" s="8"/>
      <c r="J1366" s="8"/>
      <c r="K1366" s="8"/>
      <c r="L1366" s="26"/>
      <c r="M1366" s="26"/>
      <c r="N1366" s="26"/>
      <c r="O1366" s="55"/>
      <c r="P1366" s="1"/>
      <c r="Q1366" s="8"/>
      <c r="R1366" s="8"/>
      <c r="S1366" s="1"/>
      <c r="T1366" s="8"/>
      <c r="U1366" s="8"/>
      <c r="V1366" s="56"/>
      <c r="W1366" s="1"/>
      <c r="X1366" s="1"/>
      <c r="Y1366" s="8"/>
      <c r="Z1366" s="8"/>
      <c r="AA1366" s="8"/>
      <c r="AB1366" s="8"/>
      <c r="AC1366" s="8"/>
      <c r="AD1366" s="8"/>
      <c r="AE1366" s="8"/>
      <c r="AF1366" s="8"/>
      <c r="AG1366" s="8"/>
      <c r="AH1366" s="8"/>
      <c r="AI1366" s="8"/>
    </row>
    <row r="1367" spans="1:35">
      <c r="A1367" s="1"/>
      <c r="B1367" s="8"/>
      <c r="C1367" s="8"/>
      <c r="D1367" s="8"/>
      <c r="E1367" s="8"/>
      <c r="F1367" s="8"/>
      <c r="G1367" s="8"/>
      <c r="H1367" s="8"/>
      <c r="I1367" s="8"/>
      <c r="J1367" s="8"/>
      <c r="K1367" s="8"/>
      <c r="L1367" s="26"/>
      <c r="M1367" s="26"/>
      <c r="N1367" s="26"/>
      <c r="O1367" s="55"/>
      <c r="P1367" s="1"/>
      <c r="Q1367" s="8"/>
      <c r="R1367" s="8"/>
      <c r="S1367" s="1"/>
      <c r="T1367" s="8"/>
      <c r="U1367" s="8"/>
      <c r="V1367" s="56"/>
      <c r="W1367" s="1"/>
      <c r="X1367" s="1"/>
      <c r="Y1367" s="8"/>
      <c r="Z1367" s="8"/>
      <c r="AA1367" s="8"/>
      <c r="AB1367" s="8"/>
      <c r="AC1367" s="8"/>
      <c r="AD1367" s="8"/>
      <c r="AE1367" s="8"/>
      <c r="AF1367" s="8"/>
      <c r="AG1367" s="8"/>
      <c r="AH1367" s="8"/>
      <c r="AI1367" s="8"/>
    </row>
    <row r="1368" spans="1:35">
      <c r="A1368" s="1"/>
      <c r="B1368" s="8"/>
      <c r="C1368" s="8"/>
      <c r="D1368" s="8"/>
      <c r="E1368" s="8"/>
      <c r="F1368" s="8"/>
      <c r="G1368" s="8"/>
      <c r="H1368" s="8"/>
      <c r="I1368" s="8"/>
      <c r="J1368" s="8"/>
      <c r="K1368" s="8"/>
      <c r="L1368" s="26"/>
      <c r="M1368" s="26"/>
      <c r="N1368" s="26"/>
      <c r="O1368" s="55"/>
      <c r="P1368" s="1"/>
      <c r="Q1368" s="8"/>
      <c r="R1368" s="8"/>
      <c r="S1368" s="1"/>
      <c r="T1368" s="8"/>
      <c r="U1368" s="8"/>
      <c r="V1368" s="56"/>
      <c r="W1368" s="1"/>
      <c r="X1368" s="1"/>
      <c r="Y1368" s="8"/>
      <c r="Z1368" s="8"/>
      <c r="AA1368" s="8"/>
      <c r="AB1368" s="8"/>
      <c r="AC1368" s="8"/>
      <c r="AD1368" s="8"/>
      <c r="AE1368" s="8"/>
      <c r="AF1368" s="8"/>
      <c r="AG1368" s="8"/>
      <c r="AH1368" s="8"/>
      <c r="AI1368" s="8"/>
    </row>
    <row r="1369" spans="1:35">
      <c r="A1369" s="1"/>
      <c r="B1369" s="8"/>
      <c r="C1369" s="8"/>
      <c r="D1369" s="8"/>
      <c r="E1369" s="8"/>
      <c r="F1369" s="8"/>
      <c r="G1369" s="8"/>
      <c r="H1369" s="8"/>
      <c r="I1369" s="8"/>
      <c r="J1369" s="8"/>
      <c r="K1369" s="8"/>
      <c r="L1369" s="26"/>
      <c r="M1369" s="26"/>
      <c r="N1369" s="26"/>
      <c r="O1369" s="55"/>
      <c r="P1369" s="1"/>
      <c r="Q1369" s="8"/>
      <c r="R1369" s="8"/>
      <c r="S1369" s="1"/>
      <c r="T1369" s="8"/>
      <c r="U1369" s="8"/>
      <c r="V1369" s="56"/>
      <c r="W1369" s="1"/>
      <c r="X1369" s="1"/>
      <c r="Y1369" s="8"/>
      <c r="Z1369" s="8"/>
      <c r="AA1369" s="8"/>
      <c r="AB1369" s="8"/>
      <c r="AC1369" s="8"/>
      <c r="AD1369" s="8"/>
      <c r="AE1369" s="8"/>
      <c r="AF1369" s="8"/>
      <c r="AG1369" s="8"/>
      <c r="AH1369" s="8"/>
      <c r="AI1369" s="8"/>
    </row>
    <row r="1370" spans="1:35">
      <c r="A1370" s="1"/>
      <c r="B1370" s="8"/>
      <c r="C1370" s="8"/>
      <c r="D1370" s="8"/>
      <c r="E1370" s="8"/>
      <c r="F1370" s="8"/>
      <c r="G1370" s="8"/>
      <c r="H1370" s="8"/>
      <c r="I1370" s="8"/>
      <c r="J1370" s="8"/>
      <c r="K1370" s="8"/>
      <c r="L1370" s="26"/>
      <c r="M1370" s="26"/>
      <c r="N1370" s="26"/>
      <c r="O1370" s="55"/>
      <c r="P1370" s="1"/>
      <c r="Q1370" s="8"/>
      <c r="R1370" s="8"/>
      <c r="S1370" s="1"/>
      <c r="T1370" s="8"/>
      <c r="U1370" s="8"/>
      <c r="V1370" s="56"/>
      <c r="W1370" s="1"/>
      <c r="X1370" s="1"/>
      <c r="Y1370" s="8"/>
      <c r="Z1370" s="8"/>
      <c r="AA1370" s="8"/>
      <c r="AB1370" s="8"/>
      <c r="AC1370" s="8"/>
      <c r="AD1370" s="8"/>
      <c r="AE1370" s="8"/>
      <c r="AF1370" s="8"/>
      <c r="AG1370" s="8"/>
      <c r="AH1370" s="8"/>
      <c r="AI1370" s="8"/>
    </row>
    <row r="1371" spans="1:35">
      <c r="A1371" s="1"/>
      <c r="B1371" s="8"/>
      <c r="C1371" s="8"/>
      <c r="D1371" s="8"/>
      <c r="E1371" s="8"/>
      <c r="F1371" s="8"/>
      <c r="G1371" s="8"/>
      <c r="H1371" s="8"/>
      <c r="I1371" s="8"/>
      <c r="J1371" s="8"/>
      <c r="K1371" s="8"/>
      <c r="L1371" s="26"/>
      <c r="M1371" s="26"/>
      <c r="N1371" s="26"/>
      <c r="O1371" s="55"/>
      <c r="P1371" s="1"/>
      <c r="Q1371" s="8"/>
      <c r="R1371" s="8"/>
      <c r="S1371" s="1"/>
      <c r="T1371" s="8"/>
      <c r="U1371" s="8"/>
      <c r="V1371" s="56"/>
      <c r="W1371" s="1"/>
      <c r="X1371" s="1"/>
      <c r="Y1371" s="8"/>
      <c r="Z1371" s="8"/>
      <c r="AA1371" s="8"/>
      <c r="AB1371" s="8"/>
      <c r="AC1371" s="8"/>
      <c r="AD1371" s="8"/>
      <c r="AE1371" s="8"/>
      <c r="AF1371" s="8"/>
      <c r="AG1371" s="8"/>
      <c r="AH1371" s="8"/>
      <c r="AI1371" s="8"/>
    </row>
    <row r="1372" spans="1:35">
      <c r="A1372" s="1"/>
      <c r="B1372" s="8"/>
      <c r="C1372" s="8"/>
      <c r="D1372" s="8"/>
      <c r="E1372" s="8"/>
      <c r="F1372" s="8"/>
      <c r="G1372" s="8"/>
      <c r="H1372" s="8"/>
      <c r="I1372" s="8"/>
      <c r="J1372" s="8"/>
      <c r="K1372" s="8"/>
      <c r="L1372" s="26"/>
      <c r="M1372" s="26"/>
      <c r="N1372" s="26"/>
      <c r="O1372" s="55"/>
      <c r="P1372" s="1"/>
      <c r="Q1372" s="8"/>
      <c r="R1372" s="8"/>
      <c r="S1372" s="1"/>
      <c r="T1372" s="8"/>
      <c r="U1372" s="8"/>
      <c r="V1372" s="56"/>
      <c r="W1372" s="1"/>
      <c r="X1372" s="1"/>
      <c r="Y1372" s="8"/>
      <c r="Z1372" s="8"/>
      <c r="AA1372" s="8"/>
      <c r="AB1372" s="8"/>
      <c r="AC1372" s="8"/>
      <c r="AD1372" s="8"/>
      <c r="AE1372" s="8"/>
      <c r="AF1372" s="8"/>
      <c r="AG1372" s="8"/>
      <c r="AH1372" s="8"/>
      <c r="AI1372" s="8"/>
    </row>
    <row r="1373" spans="1:35">
      <c r="A1373" s="1"/>
      <c r="B1373" s="8"/>
      <c r="C1373" s="8"/>
      <c r="D1373" s="8"/>
      <c r="E1373" s="8"/>
      <c r="F1373" s="8"/>
      <c r="G1373" s="8"/>
      <c r="H1373" s="8"/>
      <c r="I1373" s="8"/>
      <c r="J1373" s="8"/>
      <c r="K1373" s="8"/>
      <c r="L1373" s="26"/>
      <c r="M1373" s="26"/>
      <c r="N1373" s="26"/>
      <c r="O1373" s="55"/>
      <c r="P1373" s="1"/>
      <c r="Q1373" s="8"/>
      <c r="R1373" s="8"/>
      <c r="S1373" s="1"/>
      <c r="T1373" s="8"/>
      <c r="U1373" s="8"/>
      <c r="V1373" s="56"/>
      <c r="W1373" s="1"/>
      <c r="X1373" s="1"/>
      <c r="Y1373" s="8"/>
      <c r="Z1373" s="8"/>
      <c r="AA1373" s="8"/>
      <c r="AB1373" s="8"/>
      <c r="AC1373" s="8"/>
      <c r="AD1373" s="8"/>
      <c r="AE1373" s="8"/>
      <c r="AF1373" s="8"/>
      <c r="AG1373" s="8"/>
      <c r="AH1373" s="8"/>
      <c r="AI1373" s="8"/>
    </row>
    <row r="1374" spans="1:35">
      <c r="A1374" s="1"/>
      <c r="B1374" s="8"/>
      <c r="C1374" s="8"/>
      <c r="D1374" s="8"/>
      <c r="E1374" s="8"/>
      <c r="F1374" s="8"/>
      <c r="G1374" s="8"/>
      <c r="H1374" s="8"/>
      <c r="I1374" s="8"/>
      <c r="J1374" s="8"/>
      <c r="K1374" s="8"/>
      <c r="L1374" s="26"/>
      <c r="M1374" s="26"/>
      <c r="N1374" s="26"/>
      <c r="O1374" s="55"/>
      <c r="P1374" s="1"/>
      <c r="Q1374" s="8"/>
      <c r="R1374" s="8"/>
      <c r="S1374" s="1"/>
      <c r="T1374" s="8"/>
      <c r="U1374" s="8"/>
      <c r="V1374" s="56"/>
      <c r="W1374" s="1"/>
      <c r="X1374" s="1"/>
      <c r="Y1374" s="8"/>
      <c r="Z1374" s="8"/>
      <c r="AA1374" s="8"/>
      <c r="AB1374" s="8"/>
      <c r="AC1374" s="8"/>
      <c r="AD1374" s="8"/>
      <c r="AE1374" s="8"/>
      <c r="AF1374" s="8"/>
      <c r="AG1374" s="8"/>
      <c r="AH1374" s="8"/>
      <c r="AI1374" s="8"/>
    </row>
    <row r="1375" spans="1:35">
      <c r="A1375" s="1"/>
      <c r="B1375" s="8"/>
      <c r="C1375" s="8"/>
      <c r="D1375" s="8"/>
      <c r="E1375" s="8"/>
      <c r="F1375" s="8"/>
      <c r="G1375" s="8"/>
      <c r="H1375" s="8"/>
      <c r="I1375" s="8"/>
      <c r="J1375" s="8"/>
      <c r="K1375" s="8"/>
      <c r="L1375" s="26"/>
      <c r="M1375" s="26"/>
      <c r="N1375" s="26"/>
      <c r="O1375" s="55"/>
      <c r="P1375" s="1"/>
      <c r="Q1375" s="8"/>
      <c r="R1375" s="8"/>
      <c r="S1375" s="1"/>
      <c r="T1375" s="8"/>
      <c r="U1375" s="8"/>
      <c r="V1375" s="56"/>
      <c r="W1375" s="1"/>
      <c r="X1375" s="1"/>
      <c r="Y1375" s="8"/>
      <c r="Z1375" s="8"/>
      <c r="AA1375" s="8"/>
      <c r="AB1375" s="8"/>
      <c r="AC1375" s="8"/>
      <c r="AD1375" s="8"/>
      <c r="AE1375" s="8"/>
      <c r="AF1375" s="8"/>
      <c r="AG1375" s="8"/>
      <c r="AH1375" s="8"/>
      <c r="AI1375" s="8"/>
    </row>
    <row r="1376" spans="1:35">
      <c r="A1376" s="1"/>
      <c r="B1376" s="8"/>
      <c r="C1376" s="8"/>
      <c r="D1376" s="8"/>
      <c r="E1376" s="8"/>
      <c r="F1376" s="8"/>
      <c r="G1376" s="8"/>
      <c r="H1376" s="8"/>
      <c r="I1376" s="8"/>
      <c r="J1376" s="8"/>
      <c r="K1376" s="8"/>
      <c r="L1376" s="26"/>
      <c r="M1376" s="26"/>
      <c r="N1376" s="26"/>
      <c r="O1376" s="55"/>
      <c r="P1376" s="1"/>
      <c r="Q1376" s="8"/>
      <c r="R1376" s="8"/>
      <c r="S1376" s="1"/>
      <c r="T1376" s="8"/>
      <c r="U1376" s="8"/>
      <c r="V1376" s="56"/>
      <c r="W1376" s="1"/>
      <c r="X1376" s="1"/>
      <c r="Y1376" s="8"/>
      <c r="Z1376" s="8"/>
      <c r="AA1376" s="8"/>
      <c r="AB1376" s="8"/>
      <c r="AC1376" s="8"/>
      <c r="AD1376" s="8"/>
      <c r="AE1376" s="8"/>
      <c r="AF1376" s="8"/>
      <c r="AG1376" s="8"/>
      <c r="AH1376" s="8"/>
      <c r="AI1376" s="8"/>
    </row>
    <row r="1377" spans="1:35">
      <c r="A1377" s="1"/>
      <c r="B1377" s="8"/>
      <c r="C1377" s="8"/>
      <c r="D1377" s="8"/>
      <c r="E1377" s="8"/>
      <c r="F1377" s="8"/>
      <c r="G1377" s="8"/>
      <c r="H1377" s="8"/>
      <c r="I1377" s="8"/>
      <c r="J1377" s="8"/>
      <c r="K1377" s="8"/>
      <c r="L1377" s="26"/>
      <c r="M1377" s="26"/>
      <c r="N1377" s="26"/>
      <c r="O1377" s="55"/>
      <c r="P1377" s="1"/>
      <c r="Q1377" s="8"/>
      <c r="R1377" s="8"/>
      <c r="S1377" s="1"/>
      <c r="T1377" s="8"/>
      <c r="U1377" s="8"/>
      <c r="V1377" s="56"/>
      <c r="W1377" s="1"/>
      <c r="X1377" s="1"/>
      <c r="Y1377" s="8"/>
      <c r="Z1377" s="8"/>
      <c r="AA1377" s="8"/>
      <c r="AB1377" s="8"/>
      <c r="AC1377" s="8"/>
      <c r="AD1377" s="8"/>
      <c r="AE1377" s="8"/>
      <c r="AF1377" s="8"/>
      <c r="AG1377" s="8"/>
      <c r="AH1377" s="8"/>
      <c r="AI1377" s="8"/>
    </row>
    <row r="1378" spans="1:35">
      <c r="A1378" s="1"/>
      <c r="B1378" s="8"/>
      <c r="C1378" s="8"/>
      <c r="D1378" s="8"/>
      <c r="E1378" s="8"/>
      <c r="F1378" s="8"/>
      <c r="G1378" s="8"/>
      <c r="H1378" s="8"/>
      <c r="I1378" s="8"/>
      <c r="J1378" s="8"/>
      <c r="K1378" s="8"/>
      <c r="L1378" s="26"/>
      <c r="M1378" s="26"/>
      <c r="N1378" s="26"/>
      <c r="O1378" s="55"/>
      <c r="P1378" s="1"/>
      <c r="Q1378" s="8"/>
      <c r="R1378" s="8"/>
      <c r="S1378" s="1"/>
      <c r="T1378" s="8"/>
      <c r="U1378" s="8"/>
      <c r="V1378" s="56"/>
      <c r="W1378" s="1"/>
      <c r="X1378" s="1"/>
      <c r="Y1378" s="8"/>
      <c r="Z1378" s="8"/>
      <c r="AA1378" s="8"/>
      <c r="AB1378" s="8"/>
      <c r="AC1378" s="8"/>
      <c r="AD1378" s="8"/>
      <c r="AE1378" s="8"/>
      <c r="AF1378" s="8"/>
      <c r="AG1378" s="8"/>
      <c r="AH1378" s="8"/>
      <c r="AI1378" s="8"/>
    </row>
    <row r="1379" spans="1:35">
      <c r="A1379" s="1"/>
      <c r="B1379" s="8"/>
      <c r="C1379" s="8"/>
      <c r="D1379" s="8"/>
      <c r="E1379" s="8"/>
      <c r="F1379" s="8"/>
      <c r="G1379" s="8"/>
      <c r="H1379" s="8"/>
      <c r="I1379" s="8"/>
      <c r="J1379" s="8"/>
      <c r="K1379" s="8"/>
      <c r="L1379" s="26"/>
      <c r="M1379" s="26"/>
      <c r="N1379" s="26"/>
      <c r="O1379" s="55"/>
      <c r="P1379" s="1"/>
      <c r="Q1379" s="8"/>
      <c r="R1379" s="8"/>
      <c r="S1379" s="1"/>
      <c r="T1379" s="8"/>
      <c r="U1379" s="8"/>
      <c r="V1379" s="56"/>
      <c r="W1379" s="1"/>
      <c r="X1379" s="1"/>
      <c r="Y1379" s="8"/>
      <c r="Z1379" s="8"/>
      <c r="AA1379" s="8"/>
      <c r="AB1379" s="8"/>
      <c r="AC1379" s="8"/>
      <c r="AD1379" s="8"/>
      <c r="AE1379" s="8"/>
      <c r="AF1379" s="8"/>
      <c r="AG1379" s="8"/>
      <c r="AH1379" s="8"/>
      <c r="AI1379" s="8"/>
    </row>
    <row r="1380" spans="1:35">
      <c r="A1380" s="1"/>
      <c r="B1380" s="8"/>
      <c r="C1380" s="8"/>
      <c r="D1380" s="8"/>
      <c r="E1380" s="8"/>
      <c r="F1380" s="8"/>
      <c r="G1380" s="8"/>
      <c r="H1380" s="8"/>
      <c r="I1380" s="8"/>
      <c r="J1380" s="8"/>
      <c r="K1380" s="8"/>
      <c r="L1380" s="26"/>
      <c r="M1380" s="26"/>
      <c r="N1380" s="26"/>
      <c r="O1380" s="55"/>
      <c r="P1380" s="1"/>
      <c r="Q1380" s="8"/>
      <c r="R1380" s="8"/>
      <c r="S1380" s="1"/>
      <c r="T1380" s="8"/>
      <c r="U1380" s="8"/>
      <c r="V1380" s="56"/>
      <c r="W1380" s="1"/>
      <c r="X1380" s="1"/>
      <c r="Y1380" s="8"/>
      <c r="Z1380" s="8"/>
      <c r="AA1380" s="8"/>
      <c r="AB1380" s="8"/>
      <c r="AC1380" s="8"/>
      <c r="AD1380" s="8"/>
      <c r="AE1380" s="8"/>
      <c r="AF1380" s="8"/>
      <c r="AG1380" s="8"/>
      <c r="AH1380" s="8"/>
      <c r="AI1380" s="8"/>
    </row>
    <row r="1381" spans="1:35">
      <c r="A1381" s="1"/>
      <c r="B1381" s="8"/>
      <c r="C1381" s="8"/>
      <c r="D1381" s="8"/>
      <c r="E1381" s="8"/>
      <c r="F1381" s="8"/>
      <c r="G1381" s="8"/>
      <c r="H1381" s="8"/>
      <c r="I1381" s="8"/>
      <c r="J1381" s="8"/>
      <c r="K1381" s="8"/>
      <c r="L1381" s="26"/>
      <c r="M1381" s="26"/>
      <c r="N1381" s="26"/>
      <c r="O1381" s="55"/>
      <c r="P1381" s="1"/>
      <c r="Q1381" s="8"/>
      <c r="R1381" s="8"/>
      <c r="S1381" s="1"/>
      <c r="T1381" s="8"/>
      <c r="U1381" s="8"/>
      <c r="V1381" s="56"/>
      <c r="W1381" s="1"/>
      <c r="X1381" s="1"/>
      <c r="Y1381" s="8"/>
      <c r="Z1381" s="8"/>
      <c r="AA1381" s="8"/>
      <c r="AB1381" s="8"/>
      <c r="AC1381" s="8"/>
      <c r="AD1381" s="8"/>
      <c r="AE1381" s="8"/>
      <c r="AF1381" s="8"/>
      <c r="AG1381" s="8"/>
      <c r="AH1381" s="8"/>
      <c r="AI1381" s="8"/>
    </row>
    <row r="1382" spans="1:35">
      <c r="A1382" s="1"/>
      <c r="B1382" s="8"/>
      <c r="C1382" s="8"/>
      <c r="D1382" s="8"/>
      <c r="E1382" s="8"/>
      <c r="F1382" s="8"/>
      <c r="G1382" s="8"/>
      <c r="H1382" s="8"/>
      <c r="I1382" s="8"/>
      <c r="J1382" s="8"/>
      <c r="K1382" s="8"/>
      <c r="L1382" s="26"/>
      <c r="M1382" s="26"/>
      <c r="N1382" s="26"/>
      <c r="O1382" s="55"/>
      <c r="P1382" s="1"/>
      <c r="Q1382" s="8"/>
      <c r="R1382" s="8"/>
      <c r="S1382" s="1"/>
      <c r="T1382" s="8"/>
      <c r="U1382" s="8"/>
      <c r="V1382" s="56"/>
      <c r="W1382" s="1"/>
      <c r="X1382" s="1"/>
      <c r="Y1382" s="8"/>
      <c r="Z1382" s="8"/>
      <c r="AA1382" s="8"/>
      <c r="AB1382" s="8"/>
      <c r="AC1382" s="8"/>
      <c r="AD1382" s="8"/>
      <c r="AE1382" s="8"/>
      <c r="AF1382" s="8"/>
      <c r="AG1382" s="8"/>
      <c r="AH1382" s="8"/>
      <c r="AI1382" s="8"/>
    </row>
    <row r="1383" spans="1:35">
      <c r="A1383" s="1"/>
      <c r="B1383" s="8"/>
      <c r="C1383" s="8"/>
      <c r="D1383" s="8"/>
      <c r="E1383" s="8"/>
      <c r="F1383" s="8"/>
      <c r="G1383" s="8"/>
      <c r="H1383" s="8"/>
      <c r="I1383" s="8"/>
      <c r="J1383" s="8"/>
      <c r="K1383" s="8"/>
      <c r="L1383" s="26"/>
      <c r="M1383" s="26"/>
      <c r="N1383" s="26"/>
      <c r="O1383" s="55"/>
      <c r="P1383" s="1"/>
      <c r="Q1383" s="8"/>
      <c r="R1383" s="8"/>
      <c r="S1383" s="1"/>
      <c r="T1383" s="8"/>
      <c r="U1383" s="8"/>
      <c r="V1383" s="56"/>
      <c r="W1383" s="1"/>
      <c r="X1383" s="1"/>
      <c r="Y1383" s="8"/>
      <c r="Z1383" s="8"/>
      <c r="AA1383" s="8"/>
      <c r="AB1383" s="8"/>
      <c r="AC1383" s="8"/>
      <c r="AD1383" s="8"/>
      <c r="AE1383" s="8"/>
      <c r="AF1383" s="8"/>
      <c r="AG1383" s="8"/>
      <c r="AH1383" s="8"/>
      <c r="AI1383" s="8"/>
    </row>
    <row r="1384" spans="1:35">
      <c r="A1384" s="1"/>
      <c r="B1384" s="8"/>
      <c r="C1384" s="8"/>
      <c r="D1384" s="8"/>
      <c r="E1384" s="8"/>
      <c r="F1384" s="8"/>
      <c r="G1384" s="8"/>
      <c r="H1384" s="8"/>
      <c r="I1384" s="8"/>
      <c r="J1384" s="8"/>
      <c r="K1384" s="8"/>
      <c r="L1384" s="26"/>
      <c r="M1384" s="26"/>
      <c r="N1384" s="26"/>
      <c r="O1384" s="55"/>
      <c r="P1384" s="1"/>
      <c r="Q1384" s="8"/>
      <c r="R1384" s="8"/>
      <c r="S1384" s="1"/>
      <c r="T1384" s="8"/>
      <c r="U1384" s="8"/>
      <c r="V1384" s="56"/>
      <c r="W1384" s="1"/>
      <c r="X1384" s="1"/>
      <c r="Y1384" s="8"/>
      <c r="Z1384" s="8"/>
      <c r="AA1384" s="8"/>
      <c r="AB1384" s="8"/>
      <c r="AC1384" s="8"/>
      <c r="AD1384" s="8"/>
      <c r="AE1384" s="8"/>
      <c r="AF1384" s="8"/>
      <c r="AG1384" s="8"/>
      <c r="AH1384" s="8"/>
      <c r="AI1384" s="8"/>
    </row>
    <row r="1385" spans="1:35">
      <c r="A1385" s="1"/>
      <c r="B1385" s="8"/>
      <c r="C1385" s="8"/>
      <c r="D1385" s="8"/>
      <c r="E1385" s="8"/>
      <c r="F1385" s="8"/>
      <c r="G1385" s="8"/>
      <c r="H1385" s="8"/>
      <c r="I1385" s="8"/>
      <c r="J1385" s="8"/>
      <c r="K1385" s="8"/>
      <c r="L1385" s="26"/>
      <c r="M1385" s="26"/>
      <c r="N1385" s="26"/>
      <c r="O1385" s="55"/>
      <c r="P1385" s="1"/>
      <c r="Q1385" s="8"/>
      <c r="R1385" s="8"/>
      <c r="S1385" s="1"/>
      <c r="T1385" s="8"/>
      <c r="U1385" s="8"/>
      <c r="V1385" s="56"/>
      <c r="W1385" s="1"/>
      <c r="X1385" s="1"/>
      <c r="Y1385" s="8"/>
      <c r="Z1385" s="8"/>
      <c r="AA1385" s="8"/>
      <c r="AB1385" s="8"/>
      <c r="AC1385" s="8"/>
      <c r="AD1385" s="8"/>
      <c r="AE1385" s="8"/>
      <c r="AF1385" s="8"/>
      <c r="AG1385" s="8"/>
      <c r="AH1385" s="8"/>
      <c r="AI1385" s="8"/>
    </row>
    <row r="1386" spans="1:35">
      <c r="A1386" s="1"/>
      <c r="B1386" s="8"/>
      <c r="C1386" s="8"/>
      <c r="D1386" s="8"/>
      <c r="E1386" s="8"/>
      <c r="F1386" s="8"/>
      <c r="G1386" s="8"/>
      <c r="H1386" s="8"/>
      <c r="I1386" s="8"/>
      <c r="J1386" s="8"/>
      <c r="K1386" s="8"/>
      <c r="L1386" s="26"/>
      <c r="M1386" s="26"/>
      <c r="N1386" s="26"/>
      <c r="O1386" s="55"/>
      <c r="P1386" s="1"/>
      <c r="Q1386" s="8"/>
      <c r="R1386" s="8"/>
      <c r="S1386" s="1"/>
      <c r="T1386" s="8"/>
      <c r="U1386" s="8"/>
      <c r="V1386" s="56"/>
      <c r="W1386" s="1"/>
      <c r="X1386" s="1"/>
      <c r="Y1386" s="8"/>
      <c r="Z1386" s="8"/>
      <c r="AA1386" s="8"/>
      <c r="AB1386" s="8"/>
      <c r="AC1386" s="8"/>
      <c r="AD1386" s="8"/>
      <c r="AE1386" s="8"/>
      <c r="AF1386" s="8"/>
      <c r="AG1386" s="8"/>
      <c r="AH1386" s="8"/>
      <c r="AI1386" s="8"/>
    </row>
    <row r="1387" spans="1:35">
      <c r="A1387" s="1"/>
      <c r="B1387" s="8"/>
      <c r="C1387" s="8"/>
      <c r="D1387" s="8"/>
      <c r="E1387" s="8"/>
      <c r="F1387" s="8"/>
      <c r="G1387" s="8"/>
      <c r="H1387" s="8"/>
      <c r="I1387" s="8"/>
      <c r="J1387" s="8"/>
      <c r="K1387" s="8"/>
      <c r="L1387" s="26"/>
      <c r="M1387" s="26"/>
      <c r="N1387" s="26"/>
      <c r="O1387" s="55"/>
      <c r="P1387" s="1"/>
      <c r="Q1387" s="8"/>
      <c r="R1387" s="8"/>
      <c r="S1387" s="1"/>
      <c r="T1387" s="8"/>
      <c r="U1387" s="8"/>
      <c r="V1387" s="56"/>
      <c r="W1387" s="1"/>
      <c r="X1387" s="1"/>
      <c r="Y1387" s="8"/>
      <c r="Z1387" s="8"/>
      <c r="AA1387" s="8"/>
      <c r="AB1387" s="8"/>
      <c r="AC1387" s="8"/>
      <c r="AD1387" s="8"/>
      <c r="AE1387" s="8"/>
      <c r="AF1387" s="8"/>
      <c r="AG1387" s="8"/>
      <c r="AH1387" s="8"/>
      <c r="AI1387" s="8"/>
    </row>
    <row r="1388" spans="1:35">
      <c r="A1388" s="1"/>
      <c r="B1388" s="8"/>
      <c r="C1388" s="8"/>
      <c r="D1388" s="8"/>
      <c r="E1388" s="8"/>
      <c r="F1388" s="8"/>
      <c r="G1388" s="8"/>
      <c r="H1388" s="8"/>
      <c r="I1388" s="8"/>
      <c r="J1388" s="8"/>
      <c r="K1388" s="8"/>
      <c r="L1388" s="26"/>
      <c r="M1388" s="26"/>
      <c r="N1388" s="26"/>
      <c r="O1388" s="55"/>
      <c r="P1388" s="1"/>
      <c r="Q1388" s="8"/>
      <c r="R1388" s="8"/>
      <c r="S1388" s="1"/>
      <c r="T1388" s="8"/>
      <c r="U1388" s="8"/>
      <c r="V1388" s="56"/>
      <c r="W1388" s="1"/>
      <c r="X1388" s="1"/>
      <c r="Y1388" s="8"/>
      <c r="Z1388" s="8"/>
      <c r="AA1388" s="8"/>
      <c r="AB1388" s="8"/>
      <c r="AC1388" s="8"/>
      <c r="AD1388" s="8"/>
      <c r="AE1388" s="8"/>
      <c r="AF1388" s="8"/>
      <c r="AG1388" s="8"/>
      <c r="AH1388" s="8"/>
      <c r="AI1388" s="8"/>
    </row>
    <row r="1389" spans="1:35">
      <c r="A1389" s="1"/>
      <c r="B1389" s="8"/>
      <c r="C1389" s="8"/>
      <c r="D1389" s="8"/>
      <c r="E1389" s="8"/>
      <c r="F1389" s="8"/>
      <c r="G1389" s="8"/>
      <c r="H1389" s="8"/>
      <c r="I1389" s="8"/>
      <c r="J1389" s="8"/>
      <c r="K1389" s="8"/>
      <c r="L1389" s="26"/>
      <c r="M1389" s="26"/>
      <c r="N1389" s="26"/>
      <c r="O1389" s="55"/>
      <c r="P1389" s="1"/>
      <c r="Q1389" s="8"/>
      <c r="R1389" s="8"/>
      <c r="S1389" s="1"/>
      <c r="T1389" s="8"/>
      <c r="U1389" s="8"/>
      <c r="V1389" s="56"/>
      <c r="W1389" s="1"/>
      <c r="X1389" s="1"/>
      <c r="Y1389" s="8"/>
      <c r="Z1389" s="8"/>
      <c r="AA1389" s="8"/>
      <c r="AB1389" s="8"/>
      <c r="AC1389" s="8"/>
      <c r="AD1389" s="8"/>
      <c r="AE1389" s="8"/>
      <c r="AF1389" s="8"/>
      <c r="AG1389" s="8"/>
      <c r="AH1389" s="8"/>
      <c r="AI1389" s="8"/>
    </row>
    <row r="1390" spans="1:35">
      <c r="A1390" s="1"/>
      <c r="B1390" s="8"/>
      <c r="C1390" s="8"/>
      <c r="D1390" s="8"/>
      <c r="E1390" s="8"/>
      <c r="F1390" s="8"/>
      <c r="G1390" s="8"/>
      <c r="H1390" s="8"/>
      <c r="I1390" s="8"/>
      <c r="J1390" s="8"/>
      <c r="K1390" s="8"/>
      <c r="L1390" s="26"/>
      <c r="M1390" s="26"/>
      <c r="N1390" s="26"/>
      <c r="O1390" s="55"/>
      <c r="P1390" s="1"/>
      <c r="Q1390" s="8"/>
      <c r="R1390" s="8"/>
      <c r="S1390" s="1"/>
      <c r="T1390" s="8"/>
      <c r="U1390" s="8"/>
      <c r="V1390" s="56"/>
      <c r="W1390" s="1"/>
      <c r="X1390" s="1"/>
      <c r="Y1390" s="8"/>
      <c r="Z1390" s="8"/>
      <c r="AA1390" s="8"/>
      <c r="AB1390" s="8"/>
      <c r="AC1390" s="8"/>
      <c r="AD1390" s="8"/>
      <c r="AE1390" s="8"/>
      <c r="AF1390" s="8"/>
      <c r="AG1390" s="8"/>
      <c r="AH1390" s="8"/>
      <c r="AI1390" s="8"/>
    </row>
    <row r="1391" spans="1:35">
      <c r="A1391" s="1"/>
      <c r="B1391" s="8"/>
      <c r="C1391" s="8"/>
      <c r="D1391" s="8"/>
      <c r="E1391" s="8"/>
      <c r="F1391" s="8"/>
      <c r="G1391" s="8"/>
      <c r="H1391" s="8"/>
      <c r="I1391" s="8"/>
      <c r="J1391" s="8"/>
      <c r="K1391" s="8"/>
      <c r="L1391" s="26"/>
      <c r="M1391" s="26"/>
      <c r="N1391" s="26"/>
      <c r="O1391" s="55"/>
      <c r="P1391" s="1"/>
      <c r="Q1391" s="8"/>
      <c r="R1391" s="8"/>
      <c r="S1391" s="1"/>
      <c r="T1391" s="8"/>
      <c r="U1391" s="8"/>
      <c r="V1391" s="56"/>
      <c r="W1391" s="1"/>
      <c r="X1391" s="1"/>
      <c r="Y1391" s="8"/>
      <c r="Z1391" s="8"/>
      <c r="AA1391" s="8"/>
      <c r="AB1391" s="8"/>
      <c r="AC1391" s="8"/>
      <c r="AD1391" s="8"/>
      <c r="AE1391" s="8"/>
      <c r="AF1391" s="8"/>
      <c r="AG1391" s="8"/>
      <c r="AH1391" s="8"/>
      <c r="AI1391" s="8"/>
    </row>
    <row r="1392" spans="1:35">
      <c r="A1392" s="1"/>
      <c r="B1392" s="8"/>
      <c r="C1392" s="8"/>
      <c r="D1392" s="8"/>
      <c r="E1392" s="8"/>
      <c r="F1392" s="8"/>
      <c r="G1392" s="8"/>
      <c r="H1392" s="8"/>
      <c r="I1392" s="8"/>
      <c r="J1392" s="8"/>
      <c r="K1392" s="8"/>
      <c r="L1392" s="26"/>
      <c r="M1392" s="26"/>
      <c r="N1392" s="26"/>
      <c r="O1392" s="55"/>
      <c r="P1392" s="1"/>
      <c r="Q1392" s="8"/>
      <c r="R1392" s="8"/>
      <c r="S1392" s="1"/>
      <c r="T1392" s="8"/>
      <c r="U1392" s="8"/>
      <c r="V1392" s="56"/>
      <c r="W1392" s="1"/>
      <c r="X1392" s="1"/>
      <c r="Y1392" s="8"/>
      <c r="Z1392" s="8"/>
      <c r="AA1392" s="8"/>
      <c r="AB1392" s="8"/>
      <c r="AC1392" s="8"/>
      <c r="AD1392" s="8"/>
      <c r="AE1392" s="8"/>
      <c r="AF1392" s="8"/>
      <c r="AG1392" s="8"/>
      <c r="AH1392" s="8"/>
      <c r="AI1392" s="8"/>
    </row>
    <row r="1393" spans="1:35">
      <c r="A1393" s="1"/>
      <c r="B1393" s="8"/>
      <c r="C1393" s="8"/>
      <c r="D1393" s="8"/>
      <c r="E1393" s="8"/>
      <c r="F1393" s="8"/>
      <c r="G1393" s="8"/>
      <c r="H1393" s="8"/>
      <c r="I1393" s="8"/>
      <c r="J1393" s="8"/>
      <c r="K1393" s="8"/>
      <c r="L1393" s="26"/>
      <c r="M1393" s="26"/>
      <c r="N1393" s="26"/>
      <c r="O1393" s="55"/>
      <c r="P1393" s="1"/>
      <c r="Q1393" s="8"/>
      <c r="R1393" s="8"/>
      <c r="S1393" s="1"/>
      <c r="T1393" s="8"/>
      <c r="U1393" s="8"/>
      <c r="V1393" s="56"/>
      <c r="W1393" s="1"/>
      <c r="X1393" s="1"/>
      <c r="Y1393" s="8"/>
      <c r="Z1393" s="8"/>
      <c r="AA1393" s="8"/>
      <c r="AB1393" s="8"/>
      <c r="AC1393" s="8"/>
      <c r="AD1393" s="8"/>
      <c r="AE1393" s="8"/>
      <c r="AF1393" s="8"/>
      <c r="AG1393" s="8"/>
      <c r="AH1393" s="8"/>
      <c r="AI1393" s="8"/>
    </row>
    <row r="1394" spans="1:35">
      <c r="A1394" s="1"/>
      <c r="B1394" s="8"/>
      <c r="C1394" s="8"/>
      <c r="D1394" s="8"/>
      <c r="E1394" s="8"/>
      <c r="F1394" s="8"/>
      <c r="G1394" s="8"/>
      <c r="H1394" s="8"/>
      <c r="I1394" s="8"/>
      <c r="J1394" s="8"/>
      <c r="K1394" s="8"/>
      <c r="L1394" s="26"/>
      <c r="M1394" s="26"/>
      <c r="N1394" s="26"/>
      <c r="O1394" s="55"/>
      <c r="P1394" s="1"/>
      <c r="Q1394" s="8"/>
      <c r="R1394" s="8"/>
      <c r="S1394" s="1"/>
      <c r="T1394" s="8"/>
      <c r="U1394" s="8"/>
      <c r="V1394" s="56"/>
      <c r="W1394" s="1"/>
      <c r="X1394" s="1"/>
      <c r="Y1394" s="8"/>
      <c r="Z1394" s="8"/>
      <c r="AA1394" s="8"/>
      <c r="AB1394" s="8"/>
      <c r="AC1394" s="8"/>
      <c r="AD1394" s="8"/>
      <c r="AE1394" s="8"/>
      <c r="AF1394" s="8"/>
      <c r="AG1394" s="8"/>
      <c r="AH1394" s="8"/>
      <c r="AI1394" s="8"/>
    </row>
    <row r="1395" spans="1:35">
      <c r="A1395" s="1"/>
      <c r="B1395" s="8"/>
      <c r="C1395" s="8"/>
      <c r="D1395" s="8"/>
      <c r="E1395" s="8"/>
      <c r="F1395" s="8"/>
      <c r="G1395" s="8"/>
      <c r="H1395" s="8"/>
      <c r="I1395" s="8"/>
      <c r="J1395" s="8"/>
      <c r="K1395" s="8"/>
      <c r="L1395" s="26"/>
      <c r="M1395" s="26"/>
      <c r="N1395" s="26"/>
      <c r="O1395" s="55"/>
      <c r="P1395" s="1"/>
      <c r="Q1395" s="8"/>
      <c r="R1395" s="8"/>
      <c r="S1395" s="1"/>
      <c r="T1395" s="8"/>
      <c r="U1395" s="8"/>
      <c r="V1395" s="56"/>
      <c r="W1395" s="1"/>
      <c r="X1395" s="1"/>
      <c r="Y1395" s="8"/>
      <c r="Z1395" s="8"/>
      <c r="AA1395" s="8"/>
      <c r="AB1395" s="8"/>
      <c r="AC1395" s="8"/>
      <c r="AD1395" s="8"/>
      <c r="AE1395" s="8"/>
      <c r="AF1395" s="8"/>
      <c r="AG1395" s="8"/>
      <c r="AH1395" s="8"/>
      <c r="AI1395" s="8"/>
    </row>
    <row r="1396" spans="1:35">
      <c r="A1396" s="1"/>
      <c r="B1396" s="8"/>
      <c r="C1396" s="8"/>
      <c r="D1396" s="8"/>
      <c r="E1396" s="8"/>
      <c r="F1396" s="8"/>
      <c r="G1396" s="8"/>
      <c r="H1396" s="8"/>
      <c r="I1396" s="8"/>
      <c r="J1396" s="8"/>
      <c r="K1396" s="8"/>
      <c r="L1396" s="26"/>
      <c r="M1396" s="26"/>
      <c r="N1396" s="26"/>
      <c r="O1396" s="55"/>
      <c r="P1396" s="1"/>
      <c r="Q1396" s="8"/>
      <c r="R1396" s="8"/>
      <c r="S1396" s="1"/>
      <c r="T1396" s="8"/>
      <c r="U1396" s="8"/>
      <c r="V1396" s="56"/>
      <c r="W1396" s="1"/>
      <c r="X1396" s="1"/>
      <c r="Y1396" s="8"/>
      <c r="Z1396" s="8"/>
      <c r="AA1396" s="8"/>
      <c r="AB1396" s="8"/>
      <c r="AC1396" s="8"/>
      <c r="AD1396" s="8"/>
      <c r="AE1396" s="8"/>
      <c r="AF1396" s="8"/>
      <c r="AG1396" s="8"/>
      <c r="AH1396" s="8"/>
      <c r="AI1396" s="8"/>
    </row>
    <row r="1397" spans="1:35">
      <c r="A1397" s="1"/>
      <c r="B1397" s="8"/>
      <c r="C1397" s="8"/>
      <c r="D1397" s="8"/>
      <c r="E1397" s="8"/>
      <c r="F1397" s="8"/>
      <c r="G1397" s="8"/>
      <c r="H1397" s="8"/>
      <c r="I1397" s="8"/>
      <c r="J1397" s="8"/>
      <c r="K1397" s="8"/>
      <c r="L1397" s="26"/>
      <c r="M1397" s="26"/>
      <c r="N1397" s="26"/>
      <c r="O1397" s="55"/>
      <c r="P1397" s="1"/>
      <c r="Q1397" s="8"/>
      <c r="R1397" s="8"/>
      <c r="S1397" s="1"/>
      <c r="T1397" s="8"/>
      <c r="U1397" s="8"/>
      <c r="V1397" s="56"/>
      <c r="W1397" s="1"/>
      <c r="X1397" s="1"/>
      <c r="Y1397" s="8"/>
      <c r="Z1397" s="8"/>
      <c r="AA1397" s="8"/>
      <c r="AB1397" s="8"/>
      <c r="AC1397" s="8"/>
      <c r="AD1397" s="8"/>
      <c r="AE1397" s="8"/>
      <c r="AF1397" s="8"/>
      <c r="AG1397" s="8"/>
      <c r="AH1397" s="8"/>
      <c r="AI1397" s="8"/>
    </row>
    <row r="1398" spans="1:35">
      <c r="A1398" s="1"/>
      <c r="B1398" s="8"/>
      <c r="C1398" s="8"/>
      <c r="D1398" s="8"/>
      <c r="E1398" s="8"/>
      <c r="F1398" s="8"/>
      <c r="G1398" s="8"/>
      <c r="H1398" s="8"/>
      <c r="I1398" s="8"/>
      <c r="J1398" s="8"/>
      <c r="K1398" s="8"/>
      <c r="L1398" s="26"/>
      <c r="M1398" s="26"/>
      <c r="N1398" s="26"/>
      <c r="O1398" s="55"/>
      <c r="P1398" s="1"/>
      <c r="Q1398" s="8"/>
      <c r="R1398" s="8"/>
      <c r="S1398" s="1"/>
      <c r="T1398" s="8"/>
      <c r="U1398" s="8"/>
      <c r="V1398" s="56"/>
      <c r="W1398" s="1"/>
      <c r="X1398" s="1"/>
      <c r="Y1398" s="8"/>
      <c r="Z1398" s="8"/>
      <c r="AA1398" s="8"/>
      <c r="AB1398" s="8"/>
      <c r="AC1398" s="8"/>
      <c r="AD1398" s="8"/>
      <c r="AE1398" s="8"/>
      <c r="AF1398" s="8"/>
      <c r="AG1398" s="8"/>
      <c r="AH1398" s="8"/>
      <c r="AI1398" s="8"/>
    </row>
    <row r="1399" spans="1:35">
      <c r="A1399" s="1"/>
      <c r="B1399" s="8"/>
      <c r="C1399" s="8"/>
      <c r="D1399" s="8"/>
      <c r="E1399" s="8"/>
      <c r="F1399" s="8"/>
      <c r="G1399" s="8"/>
      <c r="H1399" s="8"/>
      <c r="I1399" s="8"/>
      <c r="J1399" s="8"/>
      <c r="K1399" s="8"/>
      <c r="L1399" s="26"/>
      <c r="M1399" s="26"/>
      <c r="N1399" s="26"/>
      <c r="O1399" s="55"/>
      <c r="P1399" s="1"/>
      <c r="Q1399" s="8"/>
      <c r="R1399" s="8"/>
      <c r="S1399" s="1"/>
      <c r="T1399" s="8"/>
      <c r="U1399" s="8"/>
      <c r="V1399" s="56"/>
      <c r="W1399" s="1"/>
      <c r="X1399" s="1"/>
      <c r="Y1399" s="8"/>
      <c r="Z1399" s="8"/>
      <c r="AA1399" s="8"/>
      <c r="AB1399" s="8"/>
      <c r="AC1399" s="8"/>
      <c r="AD1399" s="8"/>
      <c r="AE1399" s="8"/>
      <c r="AF1399" s="8"/>
      <c r="AG1399" s="8"/>
      <c r="AH1399" s="8"/>
      <c r="AI1399" s="8"/>
    </row>
    <row r="1400" spans="1:35">
      <c r="A1400" s="1"/>
      <c r="B1400" s="8"/>
      <c r="C1400" s="8"/>
      <c r="D1400" s="8"/>
      <c r="E1400" s="8"/>
      <c r="F1400" s="8"/>
      <c r="G1400" s="8"/>
      <c r="H1400" s="8"/>
      <c r="I1400" s="8"/>
      <c r="J1400" s="8"/>
      <c r="K1400" s="8"/>
      <c r="L1400" s="26"/>
      <c r="M1400" s="26"/>
      <c r="N1400" s="26"/>
      <c r="O1400" s="55"/>
      <c r="P1400" s="1"/>
      <c r="Q1400" s="8"/>
      <c r="R1400" s="8"/>
      <c r="S1400" s="1"/>
      <c r="T1400" s="8"/>
      <c r="U1400" s="8"/>
      <c r="V1400" s="56"/>
      <c r="W1400" s="1"/>
      <c r="X1400" s="1"/>
      <c r="Y1400" s="8"/>
      <c r="Z1400" s="8"/>
      <c r="AA1400" s="8"/>
      <c r="AB1400" s="8"/>
      <c r="AC1400" s="8"/>
      <c r="AD1400" s="8"/>
      <c r="AE1400" s="8"/>
      <c r="AF1400" s="8"/>
      <c r="AG1400" s="8"/>
      <c r="AH1400" s="8"/>
      <c r="AI1400" s="8"/>
    </row>
    <row r="1401" spans="1:35">
      <c r="A1401" s="1"/>
      <c r="B1401" s="8"/>
      <c r="C1401" s="8"/>
      <c r="D1401" s="8"/>
      <c r="E1401" s="8"/>
      <c r="F1401" s="8"/>
      <c r="G1401" s="8"/>
      <c r="H1401" s="8"/>
      <c r="I1401" s="8"/>
      <c r="J1401" s="8"/>
      <c r="K1401" s="8"/>
      <c r="L1401" s="26"/>
      <c r="M1401" s="26"/>
      <c r="N1401" s="26"/>
      <c r="O1401" s="55"/>
      <c r="P1401" s="1"/>
      <c r="Q1401" s="8"/>
      <c r="R1401" s="8"/>
      <c r="S1401" s="1"/>
      <c r="T1401" s="8"/>
      <c r="U1401" s="8"/>
      <c r="V1401" s="56"/>
      <c r="W1401" s="1"/>
      <c r="X1401" s="1"/>
      <c r="Y1401" s="8"/>
      <c r="Z1401" s="8"/>
      <c r="AA1401" s="8"/>
      <c r="AB1401" s="8"/>
      <c r="AC1401" s="8"/>
      <c r="AD1401" s="8"/>
      <c r="AE1401" s="8"/>
      <c r="AF1401" s="8"/>
      <c r="AG1401" s="8"/>
      <c r="AH1401" s="8"/>
      <c r="AI1401" s="8"/>
    </row>
    <row r="1402" spans="1:35">
      <c r="A1402" s="1"/>
      <c r="B1402" s="8"/>
      <c r="C1402" s="8"/>
      <c r="D1402" s="8"/>
      <c r="E1402" s="8"/>
      <c r="F1402" s="8"/>
      <c r="G1402" s="8"/>
      <c r="H1402" s="8"/>
      <c r="I1402" s="8"/>
      <c r="J1402" s="8"/>
      <c r="K1402" s="8"/>
      <c r="L1402" s="26"/>
      <c r="M1402" s="26"/>
      <c r="N1402" s="26"/>
      <c r="O1402" s="55"/>
      <c r="P1402" s="1"/>
      <c r="Q1402" s="8"/>
      <c r="R1402" s="8"/>
      <c r="S1402" s="1"/>
      <c r="T1402" s="8"/>
      <c r="U1402" s="8"/>
      <c r="V1402" s="56"/>
      <c r="W1402" s="1"/>
      <c r="X1402" s="1"/>
      <c r="Y1402" s="8"/>
      <c r="Z1402" s="8"/>
      <c r="AA1402" s="8"/>
      <c r="AB1402" s="8"/>
      <c r="AC1402" s="8"/>
      <c r="AD1402" s="8"/>
      <c r="AE1402" s="8"/>
      <c r="AF1402" s="8"/>
      <c r="AG1402" s="8"/>
      <c r="AH1402" s="8"/>
      <c r="AI1402" s="8"/>
    </row>
    <row r="1403" spans="1:35">
      <c r="A1403" s="1"/>
      <c r="B1403" s="8"/>
      <c r="C1403" s="8"/>
      <c r="D1403" s="8"/>
      <c r="E1403" s="8"/>
      <c r="F1403" s="8"/>
      <c r="G1403" s="8"/>
      <c r="H1403" s="8"/>
      <c r="I1403" s="8"/>
      <c r="J1403" s="8"/>
      <c r="K1403" s="8"/>
      <c r="L1403" s="26"/>
      <c r="M1403" s="26"/>
      <c r="N1403" s="26"/>
      <c r="O1403" s="55"/>
      <c r="P1403" s="1"/>
      <c r="Q1403" s="8"/>
      <c r="R1403" s="8"/>
      <c r="S1403" s="1"/>
      <c r="T1403" s="8"/>
      <c r="U1403" s="8"/>
      <c r="V1403" s="56"/>
      <c r="W1403" s="1"/>
      <c r="X1403" s="1"/>
      <c r="Y1403" s="8"/>
      <c r="Z1403" s="8"/>
      <c r="AA1403" s="8"/>
      <c r="AB1403" s="8"/>
      <c r="AC1403" s="8"/>
      <c r="AD1403" s="8"/>
      <c r="AE1403" s="8"/>
      <c r="AF1403" s="8"/>
      <c r="AG1403" s="8"/>
      <c r="AH1403" s="8"/>
      <c r="AI1403" s="8"/>
    </row>
    <row r="1404" spans="1:35">
      <c r="A1404" s="1"/>
      <c r="B1404" s="8"/>
      <c r="C1404" s="8"/>
      <c r="D1404" s="8"/>
      <c r="E1404" s="8"/>
      <c r="F1404" s="8"/>
      <c r="G1404" s="8"/>
      <c r="H1404" s="8"/>
      <c r="I1404" s="8"/>
      <c r="J1404" s="8"/>
      <c r="K1404" s="8"/>
      <c r="L1404" s="26"/>
      <c r="M1404" s="26"/>
      <c r="N1404" s="26"/>
      <c r="O1404" s="55"/>
      <c r="P1404" s="1"/>
      <c r="Q1404" s="8"/>
      <c r="R1404" s="8"/>
      <c r="S1404" s="1"/>
      <c r="T1404" s="8"/>
      <c r="U1404" s="8"/>
      <c r="V1404" s="56"/>
      <c r="W1404" s="1"/>
      <c r="X1404" s="1"/>
      <c r="Y1404" s="8"/>
      <c r="Z1404" s="8"/>
      <c r="AA1404" s="8"/>
      <c r="AB1404" s="8"/>
      <c r="AC1404" s="8"/>
      <c r="AD1404" s="8"/>
      <c r="AE1404" s="8"/>
      <c r="AF1404" s="8"/>
      <c r="AG1404" s="8"/>
      <c r="AH1404" s="8"/>
      <c r="AI1404" s="8"/>
    </row>
    <row r="1405" spans="1:35">
      <c r="A1405" s="1"/>
      <c r="B1405" s="8"/>
      <c r="C1405" s="8"/>
      <c r="D1405" s="8"/>
      <c r="E1405" s="8"/>
      <c r="F1405" s="8"/>
      <c r="G1405" s="8"/>
      <c r="H1405" s="8"/>
      <c r="I1405" s="8"/>
      <c r="J1405" s="8"/>
      <c r="K1405" s="8"/>
      <c r="L1405" s="26"/>
      <c r="M1405" s="26"/>
      <c r="N1405" s="26"/>
      <c r="O1405" s="55"/>
      <c r="P1405" s="1"/>
      <c r="Q1405" s="8"/>
      <c r="R1405" s="8"/>
      <c r="S1405" s="1"/>
      <c r="T1405" s="8"/>
      <c r="U1405" s="8"/>
      <c r="V1405" s="56"/>
      <c r="W1405" s="1"/>
      <c r="X1405" s="1"/>
      <c r="Y1405" s="8"/>
      <c r="Z1405" s="8"/>
      <c r="AA1405" s="8"/>
      <c r="AB1405" s="8"/>
      <c r="AC1405" s="8"/>
      <c r="AD1405" s="8"/>
      <c r="AE1405" s="8"/>
      <c r="AF1405" s="8"/>
      <c r="AG1405" s="8"/>
      <c r="AH1405" s="8"/>
      <c r="AI1405" s="8"/>
    </row>
    <row r="1406" spans="1:35">
      <c r="A1406" s="1"/>
      <c r="B1406" s="8"/>
      <c r="C1406" s="8"/>
      <c r="D1406" s="8"/>
      <c r="E1406" s="8"/>
      <c r="F1406" s="8"/>
      <c r="G1406" s="8"/>
      <c r="H1406" s="8"/>
      <c r="I1406" s="8"/>
      <c r="J1406" s="8"/>
      <c r="K1406" s="8"/>
      <c r="L1406" s="26"/>
      <c r="M1406" s="26"/>
      <c r="N1406" s="26"/>
      <c r="O1406" s="55"/>
      <c r="P1406" s="1"/>
      <c r="Q1406" s="8"/>
      <c r="R1406" s="8"/>
      <c r="S1406" s="1"/>
      <c r="T1406" s="8"/>
      <c r="U1406" s="8"/>
      <c r="V1406" s="56"/>
      <c r="W1406" s="1"/>
      <c r="X1406" s="1"/>
      <c r="Y1406" s="8"/>
      <c r="Z1406" s="8"/>
      <c r="AA1406" s="8"/>
      <c r="AB1406" s="8"/>
      <c r="AC1406" s="8"/>
      <c r="AD1406" s="8"/>
      <c r="AE1406" s="8"/>
      <c r="AF1406" s="8"/>
      <c r="AG1406" s="8"/>
      <c r="AH1406" s="8"/>
      <c r="AI1406" s="8"/>
    </row>
    <row r="1407" spans="1:35">
      <c r="A1407" s="1"/>
      <c r="B1407" s="8"/>
      <c r="C1407" s="8"/>
      <c r="D1407" s="8"/>
      <c r="E1407" s="8"/>
      <c r="F1407" s="8"/>
      <c r="G1407" s="8"/>
      <c r="H1407" s="8"/>
      <c r="I1407" s="8"/>
      <c r="J1407" s="8"/>
      <c r="K1407" s="8"/>
      <c r="L1407" s="26"/>
      <c r="M1407" s="26"/>
      <c r="N1407" s="26"/>
      <c r="O1407" s="55"/>
      <c r="P1407" s="1"/>
      <c r="Q1407" s="8"/>
      <c r="R1407" s="8"/>
      <c r="S1407" s="1"/>
      <c r="T1407" s="8"/>
      <c r="U1407" s="8"/>
      <c r="V1407" s="56"/>
      <c r="W1407" s="1"/>
      <c r="X1407" s="1"/>
      <c r="Y1407" s="8"/>
      <c r="Z1407" s="8"/>
      <c r="AA1407" s="8"/>
      <c r="AB1407" s="8"/>
      <c r="AC1407" s="8"/>
      <c r="AD1407" s="8"/>
      <c r="AE1407" s="8"/>
      <c r="AF1407" s="8"/>
      <c r="AG1407" s="8"/>
      <c r="AH1407" s="8"/>
      <c r="AI1407" s="8"/>
    </row>
    <row r="1408" spans="1:35">
      <c r="A1408" s="1"/>
      <c r="B1408" s="8"/>
      <c r="C1408" s="8"/>
      <c r="D1408" s="8"/>
      <c r="E1408" s="8"/>
      <c r="F1408" s="8"/>
      <c r="G1408" s="8"/>
      <c r="H1408" s="8"/>
      <c r="I1408" s="8"/>
      <c r="J1408" s="8"/>
      <c r="K1408" s="8"/>
      <c r="L1408" s="26"/>
      <c r="M1408" s="26"/>
      <c r="N1408" s="26"/>
      <c r="O1408" s="55"/>
      <c r="P1408" s="1"/>
      <c r="Q1408" s="8"/>
      <c r="R1408" s="8"/>
      <c r="S1408" s="1"/>
      <c r="T1408" s="8"/>
      <c r="U1408" s="8"/>
      <c r="V1408" s="56"/>
      <c r="W1408" s="1"/>
      <c r="X1408" s="1"/>
      <c r="Y1408" s="8"/>
      <c r="Z1408" s="8"/>
      <c r="AA1408" s="8"/>
      <c r="AB1408" s="8"/>
      <c r="AC1408" s="8"/>
      <c r="AD1408" s="8"/>
      <c r="AE1408" s="8"/>
      <c r="AF1408" s="8"/>
      <c r="AG1408" s="8"/>
      <c r="AH1408" s="8"/>
      <c r="AI1408" s="8"/>
    </row>
    <row r="1409" spans="1:35">
      <c r="A1409" s="1"/>
      <c r="B1409" s="8"/>
      <c r="C1409" s="8"/>
      <c r="D1409" s="8"/>
      <c r="E1409" s="8"/>
      <c r="F1409" s="8"/>
      <c r="G1409" s="8"/>
      <c r="H1409" s="8"/>
      <c r="I1409" s="8"/>
      <c r="J1409" s="8"/>
      <c r="K1409" s="8"/>
      <c r="L1409" s="26"/>
      <c r="M1409" s="26"/>
      <c r="N1409" s="26"/>
      <c r="O1409" s="55"/>
      <c r="P1409" s="1"/>
      <c r="Q1409" s="8"/>
      <c r="R1409" s="8"/>
      <c r="S1409" s="1"/>
      <c r="T1409" s="8"/>
      <c r="U1409" s="8"/>
      <c r="V1409" s="56"/>
      <c r="W1409" s="1"/>
      <c r="X1409" s="1"/>
      <c r="Y1409" s="8"/>
      <c r="Z1409" s="8"/>
      <c r="AA1409" s="8"/>
      <c r="AB1409" s="8"/>
      <c r="AC1409" s="8"/>
      <c r="AD1409" s="8"/>
      <c r="AE1409" s="8"/>
      <c r="AF1409" s="8"/>
      <c r="AG1409" s="8"/>
      <c r="AH1409" s="8"/>
      <c r="AI1409" s="8"/>
    </row>
    <row r="1410" spans="1:35">
      <c r="A1410" s="1"/>
      <c r="B1410" s="8"/>
      <c r="C1410" s="8"/>
      <c r="D1410" s="8"/>
      <c r="E1410" s="8"/>
      <c r="F1410" s="8"/>
      <c r="G1410" s="8"/>
      <c r="H1410" s="8"/>
      <c r="I1410" s="8"/>
      <c r="J1410" s="8"/>
      <c r="K1410" s="8"/>
      <c r="L1410" s="26"/>
      <c r="M1410" s="26"/>
      <c r="N1410" s="26"/>
      <c r="O1410" s="55"/>
      <c r="P1410" s="1"/>
      <c r="Q1410" s="8"/>
      <c r="R1410" s="8"/>
      <c r="S1410" s="1"/>
      <c r="T1410" s="8"/>
      <c r="U1410" s="8"/>
      <c r="V1410" s="56"/>
      <c r="W1410" s="1"/>
      <c r="X1410" s="1"/>
      <c r="Y1410" s="8"/>
      <c r="Z1410" s="8"/>
      <c r="AA1410" s="8"/>
      <c r="AB1410" s="8"/>
      <c r="AC1410" s="8"/>
      <c r="AD1410" s="8"/>
      <c r="AE1410" s="8"/>
      <c r="AF1410" s="8"/>
      <c r="AG1410" s="8"/>
      <c r="AH1410" s="8"/>
      <c r="AI1410" s="8"/>
    </row>
    <row r="1411" spans="1:35">
      <c r="A1411" s="1"/>
      <c r="B1411" s="8"/>
      <c r="C1411" s="8"/>
      <c r="D1411" s="8"/>
      <c r="E1411" s="8"/>
      <c r="F1411" s="8"/>
      <c r="G1411" s="8"/>
      <c r="H1411" s="8"/>
      <c r="I1411" s="8"/>
      <c r="J1411" s="8"/>
      <c r="K1411" s="8"/>
      <c r="L1411" s="26"/>
      <c r="M1411" s="26"/>
      <c r="N1411" s="26"/>
      <c r="O1411" s="55"/>
      <c r="P1411" s="1"/>
      <c r="Q1411" s="8"/>
      <c r="R1411" s="8"/>
      <c r="S1411" s="1"/>
      <c r="T1411" s="8"/>
      <c r="U1411" s="8"/>
      <c r="V1411" s="56"/>
      <c r="W1411" s="1"/>
      <c r="X1411" s="1"/>
      <c r="Y1411" s="8"/>
      <c r="Z1411" s="8"/>
      <c r="AA1411" s="8"/>
      <c r="AB1411" s="8"/>
      <c r="AC1411" s="8"/>
      <c r="AD1411" s="8"/>
      <c r="AE1411" s="8"/>
      <c r="AF1411" s="8"/>
      <c r="AG1411" s="8"/>
      <c r="AH1411" s="8"/>
      <c r="AI1411" s="8"/>
    </row>
    <row r="1412" spans="1:35">
      <c r="A1412" s="1"/>
      <c r="B1412" s="8"/>
      <c r="C1412" s="8"/>
      <c r="D1412" s="8"/>
      <c r="E1412" s="8"/>
      <c r="F1412" s="8"/>
      <c r="G1412" s="8"/>
      <c r="H1412" s="8"/>
      <c r="I1412" s="8"/>
      <c r="J1412" s="8"/>
      <c r="K1412" s="8"/>
      <c r="L1412" s="26"/>
      <c r="M1412" s="26"/>
      <c r="N1412" s="26"/>
      <c r="O1412" s="55"/>
      <c r="P1412" s="1"/>
      <c r="Q1412" s="8"/>
      <c r="R1412" s="8"/>
      <c r="S1412" s="1"/>
      <c r="T1412" s="8"/>
      <c r="U1412" s="8"/>
      <c r="V1412" s="56"/>
      <c r="W1412" s="1"/>
      <c r="X1412" s="1"/>
      <c r="Y1412" s="8"/>
      <c r="Z1412" s="8"/>
      <c r="AA1412" s="8"/>
      <c r="AB1412" s="8"/>
      <c r="AC1412" s="8"/>
      <c r="AD1412" s="8"/>
      <c r="AE1412" s="8"/>
      <c r="AF1412" s="8"/>
      <c r="AG1412" s="8"/>
      <c r="AH1412" s="8"/>
      <c r="AI1412" s="8"/>
    </row>
    <row r="1413" spans="1:35">
      <c r="A1413" s="1"/>
      <c r="B1413" s="8"/>
      <c r="C1413" s="8"/>
      <c r="D1413" s="8"/>
      <c r="E1413" s="8"/>
      <c r="F1413" s="8"/>
      <c r="G1413" s="8"/>
      <c r="H1413" s="8"/>
      <c r="I1413" s="8"/>
      <c r="J1413" s="8"/>
      <c r="K1413" s="8"/>
      <c r="L1413" s="26"/>
      <c r="M1413" s="26"/>
      <c r="N1413" s="26"/>
      <c r="O1413" s="55"/>
      <c r="P1413" s="1"/>
      <c r="Q1413" s="8"/>
      <c r="R1413" s="8"/>
      <c r="S1413" s="1"/>
      <c r="T1413" s="8"/>
      <c r="U1413" s="8"/>
      <c r="V1413" s="56"/>
      <c r="W1413" s="1"/>
      <c r="X1413" s="1"/>
      <c r="Y1413" s="8"/>
      <c r="Z1413" s="8"/>
      <c r="AA1413" s="8"/>
      <c r="AB1413" s="8"/>
      <c r="AC1413" s="8"/>
      <c r="AD1413" s="8"/>
      <c r="AE1413" s="8"/>
      <c r="AF1413" s="8"/>
      <c r="AG1413" s="8"/>
      <c r="AH1413" s="8"/>
      <c r="AI1413" s="8"/>
    </row>
    <row r="1414" spans="1:35">
      <c r="A1414" s="1"/>
      <c r="B1414" s="8"/>
      <c r="C1414" s="8"/>
      <c r="D1414" s="8"/>
      <c r="E1414" s="8"/>
      <c r="F1414" s="8"/>
      <c r="G1414" s="8"/>
      <c r="H1414" s="8"/>
      <c r="I1414" s="8"/>
      <c r="J1414" s="8"/>
      <c r="K1414" s="8"/>
      <c r="L1414" s="26"/>
      <c r="M1414" s="26"/>
      <c r="N1414" s="26"/>
      <c r="O1414" s="55"/>
      <c r="P1414" s="1"/>
      <c r="Q1414" s="8"/>
      <c r="R1414" s="8"/>
      <c r="S1414" s="1"/>
      <c r="T1414" s="8"/>
      <c r="U1414" s="8"/>
      <c r="V1414" s="56"/>
      <c r="W1414" s="1"/>
      <c r="X1414" s="1"/>
      <c r="Y1414" s="8"/>
      <c r="Z1414" s="8"/>
      <c r="AA1414" s="8"/>
      <c r="AB1414" s="8"/>
      <c r="AC1414" s="8"/>
      <c r="AD1414" s="8"/>
      <c r="AE1414" s="8"/>
      <c r="AF1414" s="8"/>
      <c r="AG1414" s="8"/>
      <c r="AH1414" s="8"/>
      <c r="AI1414" s="8"/>
    </row>
    <row r="1415" spans="1:35">
      <c r="A1415" s="1"/>
      <c r="B1415" s="8"/>
      <c r="C1415" s="8"/>
      <c r="D1415" s="8"/>
      <c r="E1415" s="8"/>
      <c r="F1415" s="8"/>
      <c r="G1415" s="8"/>
      <c r="H1415" s="8"/>
      <c r="I1415" s="8"/>
      <c r="J1415" s="8"/>
      <c r="K1415" s="8"/>
      <c r="L1415" s="26"/>
      <c r="M1415" s="26"/>
      <c r="N1415" s="26"/>
      <c r="O1415" s="55"/>
      <c r="P1415" s="1"/>
      <c r="Q1415" s="8"/>
      <c r="R1415" s="8"/>
      <c r="S1415" s="1"/>
      <c r="T1415" s="8"/>
      <c r="U1415" s="8"/>
      <c r="V1415" s="56"/>
      <c r="W1415" s="1"/>
      <c r="X1415" s="1"/>
      <c r="Y1415" s="8"/>
      <c r="Z1415" s="8"/>
      <c r="AA1415" s="8"/>
      <c r="AB1415" s="8"/>
      <c r="AC1415" s="8"/>
      <c r="AD1415" s="8"/>
      <c r="AE1415" s="8"/>
      <c r="AF1415" s="8"/>
      <c r="AG1415" s="8"/>
      <c r="AH1415" s="8"/>
      <c r="AI1415" s="8"/>
    </row>
    <row r="1416" spans="1:35">
      <c r="A1416" s="1"/>
      <c r="B1416" s="8"/>
      <c r="C1416" s="8"/>
      <c r="D1416" s="8"/>
      <c r="E1416" s="8"/>
      <c r="F1416" s="8"/>
      <c r="G1416" s="8"/>
      <c r="H1416" s="8"/>
      <c r="I1416" s="8"/>
      <c r="J1416" s="8"/>
      <c r="K1416" s="8"/>
      <c r="L1416" s="26"/>
      <c r="M1416" s="26"/>
      <c r="N1416" s="26"/>
      <c r="O1416" s="55"/>
      <c r="P1416" s="1"/>
      <c r="Q1416" s="8"/>
      <c r="R1416" s="8"/>
      <c r="S1416" s="1"/>
      <c r="T1416" s="8"/>
      <c r="U1416" s="8"/>
      <c r="V1416" s="56"/>
      <c r="W1416" s="1"/>
      <c r="X1416" s="1"/>
      <c r="Y1416" s="8"/>
      <c r="Z1416" s="8"/>
      <c r="AA1416" s="8"/>
      <c r="AB1416" s="8"/>
      <c r="AC1416" s="8"/>
      <c r="AD1416" s="8"/>
      <c r="AE1416" s="8"/>
      <c r="AF1416" s="8"/>
      <c r="AG1416" s="8"/>
      <c r="AH1416" s="8"/>
      <c r="AI1416" s="8"/>
    </row>
    <row r="1417" spans="1:35">
      <c r="A1417" s="1"/>
      <c r="B1417" s="8"/>
      <c r="C1417" s="8"/>
      <c r="D1417" s="8"/>
      <c r="E1417" s="8"/>
      <c r="F1417" s="8"/>
      <c r="G1417" s="8"/>
      <c r="H1417" s="8"/>
      <c r="I1417" s="8"/>
      <c r="J1417" s="8"/>
      <c r="K1417" s="8"/>
      <c r="L1417" s="26"/>
      <c r="M1417" s="26"/>
      <c r="N1417" s="26"/>
      <c r="O1417" s="55"/>
      <c r="P1417" s="1"/>
      <c r="Q1417" s="8"/>
      <c r="R1417" s="8"/>
      <c r="S1417" s="1"/>
      <c r="T1417" s="8"/>
      <c r="U1417" s="8"/>
      <c r="V1417" s="56"/>
      <c r="W1417" s="1"/>
      <c r="X1417" s="1"/>
      <c r="Y1417" s="8"/>
      <c r="Z1417" s="8"/>
      <c r="AA1417" s="8"/>
      <c r="AB1417" s="8"/>
      <c r="AC1417" s="8"/>
      <c r="AD1417" s="8"/>
      <c r="AE1417" s="8"/>
      <c r="AF1417" s="8"/>
      <c r="AG1417" s="8"/>
      <c r="AH1417" s="8"/>
      <c r="AI1417" s="8"/>
    </row>
    <row r="1418" spans="1:35">
      <c r="A1418" s="1"/>
      <c r="B1418" s="8"/>
      <c r="C1418" s="8"/>
      <c r="D1418" s="8"/>
      <c r="E1418" s="8"/>
      <c r="F1418" s="8"/>
      <c r="G1418" s="8"/>
      <c r="H1418" s="8"/>
      <c r="I1418" s="8"/>
      <c r="J1418" s="8"/>
      <c r="K1418" s="8"/>
      <c r="L1418" s="26"/>
      <c r="M1418" s="26"/>
      <c r="N1418" s="26"/>
      <c r="O1418" s="55"/>
      <c r="P1418" s="1"/>
      <c r="Q1418" s="8"/>
      <c r="R1418" s="8"/>
      <c r="S1418" s="1"/>
      <c r="T1418" s="8"/>
      <c r="U1418" s="8"/>
      <c r="V1418" s="56"/>
      <c r="W1418" s="1"/>
      <c r="X1418" s="1"/>
      <c r="Y1418" s="8"/>
      <c r="Z1418" s="8"/>
      <c r="AA1418" s="8"/>
      <c r="AB1418" s="8"/>
      <c r="AC1418" s="8"/>
      <c r="AD1418" s="8"/>
      <c r="AE1418" s="8"/>
      <c r="AF1418" s="8"/>
      <c r="AG1418" s="8"/>
      <c r="AH1418" s="8"/>
      <c r="AI1418" s="8"/>
    </row>
    <row r="1419" spans="1:35">
      <c r="A1419" s="1"/>
      <c r="B1419" s="8"/>
      <c r="C1419" s="8"/>
      <c r="D1419" s="8"/>
      <c r="E1419" s="8"/>
      <c r="F1419" s="8"/>
      <c r="G1419" s="8"/>
      <c r="H1419" s="8"/>
      <c r="I1419" s="8"/>
      <c r="J1419" s="8"/>
      <c r="K1419" s="8"/>
      <c r="L1419" s="26"/>
      <c r="M1419" s="26"/>
      <c r="N1419" s="26"/>
      <c r="O1419" s="55"/>
      <c r="P1419" s="1"/>
      <c r="Q1419" s="8"/>
      <c r="R1419" s="8"/>
      <c r="S1419" s="1"/>
      <c r="T1419" s="8"/>
      <c r="U1419" s="8"/>
      <c r="V1419" s="56"/>
      <c r="W1419" s="1"/>
      <c r="X1419" s="1"/>
      <c r="Y1419" s="8"/>
      <c r="Z1419" s="8"/>
      <c r="AA1419" s="8"/>
      <c r="AB1419" s="8"/>
      <c r="AC1419" s="8"/>
      <c r="AD1419" s="8"/>
      <c r="AE1419" s="8"/>
      <c r="AF1419" s="8"/>
      <c r="AG1419" s="8"/>
      <c r="AH1419" s="8"/>
      <c r="AI1419" s="8"/>
    </row>
    <row r="1420" spans="1:35">
      <c r="A1420" s="1"/>
      <c r="B1420" s="8"/>
      <c r="C1420" s="8"/>
      <c r="D1420" s="8"/>
      <c r="E1420" s="8"/>
      <c r="F1420" s="8"/>
      <c r="G1420" s="8"/>
      <c r="H1420" s="8"/>
      <c r="I1420" s="8"/>
      <c r="J1420" s="8"/>
      <c r="K1420" s="8"/>
      <c r="L1420" s="26"/>
      <c r="M1420" s="26"/>
      <c r="N1420" s="26"/>
      <c r="O1420" s="55"/>
      <c r="P1420" s="1"/>
      <c r="Q1420" s="8"/>
      <c r="R1420" s="8"/>
      <c r="S1420" s="1"/>
      <c r="T1420" s="8"/>
      <c r="U1420" s="8"/>
      <c r="V1420" s="56"/>
      <c r="W1420" s="1"/>
      <c r="X1420" s="1"/>
      <c r="Y1420" s="8"/>
      <c r="Z1420" s="8"/>
      <c r="AA1420" s="8"/>
      <c r="AB1420" s="8"/>
      <c r="AC1420" s="8"/>
      <c r="AD1420" s="8"/>
      <c r="AE1420" s="8"/>
      <c r="AF1420" s="8"/>
      <c r="AG1420" s="8"/>
      <c r="AH1420" s="8"/>
      <c r="AI1420" s="8"/>
    </row>
    <row r="1421" spans="1:35">
      <c r="A1421" s="1"/>
      <c r="B1421" s="8"/>
      <c r="C1421" s="8"/>
      <c r="D1421" s="8"/>
      <c r="E1421" s="8"/>
      <c r="F1421" s="8"/>
      <c r="G1421" s="8"/>
      <c r="H1421" s="8"/>
      <c r="I1421" s="8"/>
      <c r="J1421" s="8"/>
      <c r="K1421" s="8"/>
      <c r="L1421" s="26"/>
      <c r="M1421" s="26"/>
      <c r="N1421" s="26"/>
      <c r="O1421" s="55"/>
      <c r="P1421" s="1"/>
      <c r="Q1421" s="8"/>
      <c r="R1421" s="8"/>
      <c r="S1421" s="1"/>
      <c r="T1421" s="8"/>
      <c r="U1421" s="8"/>
      <c r="V1421" s="56"/>
      <c r="W1421" s="1"/>
      <c r="X1421" s="1"/>
      <c r="Y1421" s="8"/>
      <c r="Z1421" s="8"/>
      <c r="AA1421" s="8"/>
      <c r="AB1421" s="8"/>
      <c r="AC1421" s="8"/>
      <c r="AD1421" s="8"/>
      <c r="AE1421" s="8"/>
      <c r="AF1421" s="8"/>
      <c r="AG1421" s="8"/>
      <c r="AH1421" s="8"/>
      <c r="AI1421" s="8"/>
    </row>
    <row r="1422" spans="1:35">
      <c r="A1422" s="1"/>
      <c r="B1422" s="8"/>
      <c r="C1422" s="8"/>
      <c r="D1422" s="8"/>
      <c r="E1422" s="8"/>
      <c r="F1422" s="8"/>
      <c r="G1422" s="8"/>
      <c r="H1422" s="8"/>
      <c r="I1422" s="8"/>
      <c r="J1422" s="8"/>
      <c r="K1422" s="8"/>
      <c r="L1422" s="26"/>
      <c r="M1422" s="26"/>
      <c r="N1422" s="26"/>
      <c r="O1422" s="55"/>
      <c r="P1422" s="1"/>
      <c r="Q1422" s="8"/>
      <c r="R1422" s="8"/>
      <c r="S1422" s="1"/>
      <c r="T1422" s="8"/>
      <c r="U1422" s="8"/>
      <c r="V1422" s="56"/>
      <c r="W1422" s="1"/>
      <c r="X1422" s="1"/>
      <c r="Y1422" s="8"/>
      <c r="Z1422" s="8"/>
      <c r="AA1422" s="8"/>
      <c r="AB1422" s="8"/>
      <c r="AC1422" s="8"/>
      <c r="AD1422" s="8"/>
      <c r="AE1422" s="8"/>
      <c r="AF1422" s="8"/>
      <c r="AG1422" s="8"/>
      <c r="AH1422" s="8"/>
      <c r="AI1422" s="8"/>
    </row>
    <row r="1423" spans="1:35">
      <c r="A1423" s="1"/>
      <c r="B1423" s="8"/>
      <c r="C1423" s="8"/>
      <c r="D1423" s="8"/>
      <c r="E1423" s="8"/>
      <c r="F1423" s="8"/>
      <c r="G1423" s="8"/>
      <c r="H1423" s="8"/>
      <c r="I1423" s="8"/>
      <c r="J1423" s="8"/>
      <c r="K1423" s="8"/>
      <c r="L1423" s="26"/>
      <c r="M1423" s="26"/>
      <c r="N1423" s="26"/>
      <c r="O1423" s="55"/>
      <c r="P1423" s="1"/>
      <c r="Q1423" s="8"/>
      <c r="R1423" s="8"/>
      <c r="S1423" s="1"/>
      <c r="T1423" s="8"/>
      <c r="U1423" s="8"/>
      <c r="V1423" s="56"/>
      <c r="W1423" s="1"/>
      <c r="X1423" s="1"/>
      <c r="Y1423" s="8"/>
      <c r="Z1423" s="8"/>
      <c r="AA1423" s="8"/>
      <c r="AB1423" s="8"/>
      <c r="AC1423" s="8"/>
      <c r="AD1423" s="8"/>
      <c r="AE1423" s="8"/>
      <c r="AF1423" s="8"/>
      <c r="AG1423" s="8"/>
      <c r="AH1423" s="8"/>
      <c r="AI1423" s="8"/>
    </row>
    <row r="1424" spans="1:35">
      <c r="A1424" s="1"/>
      <c r="B1424" s="8"/>
      <c r="C1424" s="8"/>
      <c r="D1424" s="8"/>
      <c r="E1424" s="8"/>
      <c r="F1424" s="8"/>
      <c r="G1424" s="8"/>
      <c r="H1424" s="8"/>
      <c r="I1424" s="8"/>
      <c r="J1424" s="8"/>
      <c r="K1424" s="8"/>
      <c r="L1424" s="26"/>
      <c r="M1424" s="26"/>
      <c r="N1424" s="26"/>
      <c r="O1424" s="55"/>
      <c r="P1424" s="1"/>
      <c r="Q1424" s="8"/>
      <c r="R1424" s="8"/>
      <c r="S1424" s="1"/>
      <c r="T1424" s="8"/>
      <c r="U1424" s="8"/>
      <c r="V1424" s="56"/>
      <c r="W1424" s="1"/>
      <c r="X1424" s="1"/>
      <c r="Y1424" s="8"/>
      <c r="Z1424" s="8"/>
      <c r="AA1424" s="8"/>
      <c r="AB1424" s="8"/>
      <c r="AC1424" s="8"/>
      <c r="AD1424" s="8"/>
      <c r="AE1424" s="8"/>
      <c r="AF1424" s="8"/>
      <c r="AG1424" s="8"/>
      <c r="AH1424" s="8"/>
      <c r="AI1424" s="8"/>
    </row>
    <row r="1425" spans="1:35">
      <c r="A1425" s="1"/>
      <c r="B1425" s="8"/>
      <c r="C1425" s="8"/>
      <c r="D1425" s="8"/>
      <c r="E1425" s="8"/>
      <c r="F1425" s="8"/>
      <c r="G1425" s="8"/>
      <c r="H1425" s="8"/>
      <c r="I1425" s="8"/>
      <c r="J1425" s="8"/>
      <c r="K1425" s="8"/>
      <c r="L1425" s="26"/>
      <c r="M1425" s="26"/>
      <c r="N1425" s="26"/>
      <c r="O1425" s="55"/>
      <c r="P1425" s="1"/>
      <c r="Q1425" s="8"/>
      <c r="R1425" s="8"/>
      <c r="S1425" s="1"/>
      <c r="T1425" s="8"/>
      <c r="U1425" s="8"/>
      <c r="V1425" s="56"/>
      <c r="W1425" s="1"/>
      <c r="X1425" s="1"/>
      <c r="Y1425" s="8"/>
      <c r="Z1425" s="8"/>
      <c r="AA1425" s="8"/>
      <c r="AB1425" s="8"/>
      <c r="AC1425" s="8"/>
      <c r="AD1425" s="8"/>
      <c r="AE1425" s="8"/>
      <c r="AF1425" s="8"/>
      <c r="AG1425" s="8"/>
      <c r="AH1425" s="8"/>
      <c r="AI1425" s="8"/>
    </row>
    <row r="1426" spans="1:35">
      <c r="A1426" s="1"/>
      <c r="B1426" s="8"/>
      <c r="C1426" s="8"/>
      <c r="D1426" s="8"/>
      <c r="E1426" s="8"/>
      <c r="F1426" s="8"/>
      <c r="G1426" s="8"/>
      <c r="H1426" s="8"/>
      <c r="I1426" s="8"/>
      <c r="J1426" s="8"/>
      <c r="K1426" s="8"/>
      <c r="L1426" s="26"/>
      <c r="M1426" s="26"/>
      <c r="N1426" s="26"/>
      <c r="O1426" s="55"/>
      <c r="P1426" s="1"/>
      <c r="Q1426" s="8"/>
      <c r="R1426" s="8"/>
      <c r="S1426" s="1"/>
      <c r="T1426" s="8"/>
      <c r="U1426" s="8"/>
      <c r="V1426" s="56"/>
      <c r="W1426" s="1"/>
      <c r="X1426" s="1"/>
      <c r="Y1426" s="8"/>
      <c r="Z1426" s="8"/>
      <c r="AA1426" s="8"/>
      <c r="AB1426" s="8"/>
      <c r="AC1426" s="8"/>
      <c r="AD1426" s="8"/>
      <c r="AE1426" s="8"/>
      <c r="AF1426" s="8"/>
      <c r="AG1426" s="8"/>
      <c r="AH1426" s="8"/>
      <c r="AI1426" s="8"/>
    </row>
    <row r="1427" spans="1:35">
      <c r="A1427" s="1"/>
      <c r="B1427" s="8"/>
      <c r="C1427" s="8"/>
      <c r="D1427" s="8"/>
      <c r="E1427" s="8"/>
      <c r="F1427" s="8"/>
      <c r="G1427" s="8"/>
      <c r="H1427" s="8"/>
      <c r="I1427" s="8"/>
      <c r="J1427" s="8"/>
      <c r="K1427" s="8"/>
      <c r="L1427" s="26"/>
      <c r="M1427" s="26"/>
      <c r="N1427" s="26"/>
      <c r="O1427" s="55"/>
      <c r="P1427" s="1"/>
      <c r="Q1427" s="8"/>
      <c r="R1427" s="8"/>
      <c r="S1427" s="1"/>
      <c r="T1427" s="8"/>
      <c r="U1427" s="8"/>
      <c r="V1427" s="56"/>
      <c r="W1427" s="1"/>
      <c r="X1427" s="1"/>
      <c r="Y1427" s="8"/>
      <c r="Z1427" s="8"/>
      <c r="AA1427" s="8"/>
      <c r="AB1427" s="8"/>
      <c r="AC1427" s="8"/>
      <c r="AD1427" s="8"/>
      <c r="AE1427" s="8"/>
      <c r="AF1427" s="8"/>
      <c r="AG1427" s="8"/>
      <c r="AH1427" s="8"/>
      <c r="AI1427" s="8"/>
    </row>
    <row r="1428" spans="1:35">
      <c r="A1428" s="1"/>
      <c r="B1428" s="8"/>
      <c r="C1428" s="8"/>
      <c r="D1428" s="8"/>
      <c r="E1428" s="8"/>
      <c r="F1428" s="8"/>
      <c r="G1428" s="8"/>
      <c r="H1428" s="8"/>
      <c r="I1428" s="8"/>
      <c r="J1428" s="8"/>
      <c r="K1428" s="8"/>
      <c r="L1428" s="26"/>
      <c r="M1428" s="26"/>
      <c r="N1428" s="26"/>
      <c r="O1428" s="55"/>
      <c r="P1428" s="1"/>
      <c r="Q1428" s="8"/>
      <c r="R1428" s="8"/>
      <c r="S1428" s="1"/>
      <c r="T1428" s="8"/>
      <c r="U1428" s="8"/>
      <c r="V1428" s="56"/>
      <c r="W1428" s="1"/>
      <c r="X1428" s="1"/>
      <c r="Y1428" s="8"/>
      <c r="Z1428" s="8"/>
      <c r="AA1428" s="8"/>
      <c r="AB1428" s="8"/>
      <c r="AC1428" s="8"/>
      <c r="AD1428" s="8"/>
      <c r="AE1428" s="8"/>
      <c r="AF1428" s="8"/>
      <c r="AG1428" s="8"/>
      <c r="AH1428" s="8"/>
      <c r="AI1428" s="8"/>
    </row>
    <row r="1429" spans="1:35">
      <c r="A1429" s="1"/>
      <c r="B1429" s="8"/>
      <c r="C1429" s="8"/>
      <c r="D1429" s="8"/>
      <c r="E1429" s="8"/>
      <c r="F1429" s="8"/>
      <c r="G1429" s="8"/>
      <c r="H1429" s="8"/>
      <c r="I1429" s="8"/>
      <c r="J1429" s="8"/>
      <c r="K1429" s="8"/>
      <c r="L1429" s="26"/>
      <c r="M1429" s="26"/>
      <c r="N1429" s="26"/>
      <c r="O1429" s="55"/>
      <c r="P1429" s="1"/>
      <c r="Q1429" s="8"/>
      <c r="R1429" s="8"/>
      <c r="S1429" s="1"/>
      <c r="T1429" s="8"/>
      <c r="U1429" s="8"/>
      <c r="V1429" s="56"/>
      <c r="W1429" s="1"/>
      <c r="X1429" s="1"/>
      <c r="Y1429" s="8"/>
      <c r="Z1429" s="8"/>
      <c r="AA1429" s="8"/>
      <c r="AB1429" s="8"/>
      <c r="AC1429" s="8"/>
      <c r="AD1429" s="8"/>
      <c r="AE1429" s="8"/>
      <c r="AF1429" s="8"/>
      <c r="AG1429" s="8"/>
      <c r="AH1429" s="8"/>
      <c r="AI1429" s="8"/>
    </row>
    <row r="1430" spans="1:35">
      <c r="A1430" s="1"/>
      <c r="B1430" s="8"/>
      <c r="C1430" s="8"/>
      <c r="D1430" s="8"/>
      <c r="E1430" s="8"/>
      <c r="F1430" s="8"/>
      <c r="G1430" s="8"/>
      <c r="H1430" s="8"/>
      <c r="I1430" s="8"/>
      <c r="J1430" s="8"/>
      <c r="K1430" s="8"/>
      <c r="L1430" s="26"/>
      <c r="M1430" s="26"/>
      <c r="N1430" s="26"/>
      <c r="O1430" s="55"/>
      <c r="P1430" s="1"/>
      <c r="Q1430" s="8"/>
      <c r="R1430" s="8"/>
      <c r="S1430" s="1"/>
      <c r="T1430" s="8"/>
      <c r="U1430" s="8"/>
      <c r="V1430" s="56"/>
      <c r="W1430" s="1"/>
      <c r="X1430" s="1"/>
      <c r="Y1430" s="8"/>
      <c r="Z1430" s="8"/>
      <c r="AA1430" s="8"/>
      <c r="AB1430" s="8"/>
      <c r="AC1430" s="8"/>
      <c r="AD1430" s="8"/>
      <c r="AE1430" s="8"/>
      <c r="AF1430" s="8"/>
      <c r="AG1430" s="8"/>
      <c r="AH1430" s="8"/>
      <c r="AI1430" s="8"/>
    </row>
    <row r="1431" spans="1:35">
      <c r="A1431" s="1"/>
      <c r="B1431" s="8"/>
      <c r="C1431" s="8"/>
      <c r="D1431" s="8"/>
      <c r="E1431" s="8"/>
      <c r="F1431" s="8"/>
      <c r="G1431" s="8"/>
      <c r="H1431" s="8"/>
      <c r="I1431" s="8"/>
      <c r="J1431" s="8"/>
      <c r="K1431" s="8"/>
      <c r="L1431" s="26"/>
      <c r="M1431" s="26"/>
      <c r="N1431" s="26"/>
      <c r="O1431" s="55"/>
      <c r="P1431" s="1"/>
      <c r="Q1431" s="8"/>
      <c r="R1431" s="8"/>
      <c r="S1431" s="1"/>
      <c r="T1431" s="8"/>
      <c r="U1431" s="8"/>
      <c r="V1431" s="56"/>
      <c r="W1431" s="1"/>
      <c r="X1431" s="1"/>
      <c r="Y1431" s="8"/>
      <c r="Z1431" s="8"/>
      <c r="AA1431" s="8"/>
      <c r="AB1431" s="8"/>
      <c r="AC1431" s="8"/>
      <c r="AD1431" s="8"/>
      <c r="AE1431" s="8"/>
      <c r="AF1431" s="8"/>
      <c r="AG1431" s="8"/>
      <c r="AH1431" s="8"/>
      <c r="AI1431" s="8"/>
    </row>
    <row r="1432" spans="1:35">
      <c r="A1432" s="1"/>
      <c r="B1432" s="8"/>
      <c r="C1432" s="8"/>
      <c r="D1432" s="8"/>
      <c r="E1432" s="8"/>
      <c r="F1432" s="8"/>
      <c r="G1432" s="8"/>
      <c r="H1432" s="8"/>
      <c r="I1432" s="8"/>
      <c r="J1432" s="8"/>
      <c r="K1432" s="8"/>
      <c r="L1432" s="26"/>
      <c r="M1432" s="26"/>
      <c r="N1432" s="26"/>
      <c r="O1432" s="55"/>
      <c r="P1432" s="1"/>
      <c r="Q1432" s="8"/>
      <c r="R1432" s="8"/>
      <c r="S1432" s="1"/>
      <c r="T1432" s="8"/>
      <c r="U1432" s="8"/>
      <c r="V1432" s="56"/>
      <c r="W1432" s="1"/>
      <c r="X1432" s="1"/>
      <c r="Y1432" s="8"/>
      <c r="Z1432" s="8"/>
      <c r="AA1432" s="8"/>
      <c r="AB1432" s="8"/>
      <c r="AC1432" s="8"/>
      <c r="AD1432" s="8"/>
      <c r="AE1432" s="8"/>
      <c r="AF1432" s="8"/>
      <c r="AG1432" s="8"/>
      <c r="AH1432" s="8"/>
      <c r="AI1432" s="8"/>
    </row>
    <row r="1433" spans="1:35">
      <c r="A1433" s="1"/>
      <c r="B1433" s="8"/>
      <c r="C1433" s="8"/>
      <c r="D1433" s="8"/>
      <c r="E1433" s="8"/>
      <c r="F1433" s="8"/>
      <c r="G1433" s="8"/>
      <c r="H1433" s="8"/>
      <c r="I1433" s="8"/>
      <c r="J1433" s="8"/>
      <c r="K1433" s="8"/>
      <c r="L1433" s="26"/>
      <c r="M1433" s="26"/>
      <c r="N1433" s="26"/>
      <c r="O1433" s="55"/>
      <c r="P1433" s="1"/>
      <c r="Q1433" s="8"/>
      <c r="R1433" s="8"/>
      <c r="S1433" s="1"/>
      <c r="T1433" s="8"/>
      <c r="U1433" s="8"/>
      <c r="V1433" s="56"/>
      <c r="W1433" s="1"/>
      <c r="X1433" s="1"/>
      <c r="Y1433" s="8"/>
      <c r="Z1433" s="8"/>
      <c r="AA1433" s="8"/>
      <c r="AB1433" s="8"/>
      <c r="AC1433" s="8"/>
      <c r="AD1433" s="8"/>
      <c r="AE1433" s="8"/>
      <c r="AF1433" s="8"/>
      <c r="AG1433" s="8"/>
      <c r="AH1433" s="8"/>
      <c r="AI1433" s="8"/>
    </row>
    <row r="1434" spans="1:35">
      <c r="A1434" s="1"/>
      <c r="B1434" s="8"/>
      <c r="C1434" s="8"/>
      <c r="D1434" s="8"/>
      <c r="E1434" s="8"/>
      <c r="F1434" s="8"/>
      <c r="G1434" s="8"/>
      <c r="H1434" s="8"/>
      <c r="I1434" s="8"/>
      <c r="J1434" s="8"/>
      <c r="K1434" s="8"/>
      <c r="L1434" s="26"/>
      <c r="M1434" s="26"/>
      <c r="N1434" s="26"/>
      <c r="O1434" s="55"/>
      <c r="P1434" s="1"/>
      <c r="Q1434" s="8"/>
      <c r="R1434" s="8"/>
      <c r="S1434" s="1"/>
      <c r="T1434" s="8"/>
      <c r="U1434" s="8"/>
      <c r="V1434" s="56"/>
      <c r="W1434" s="1"/>
      <c r="X1434" s="1"/>
      <c r="Y1434" s="8"/>
      <c r="Z1434" s="8"/>
      <c r="AA1434" s="8"/>
      <c r="AB1434" s="8"/>
      <c r="AC1434" s="8"/>
      <c r="AD1434" s="8"/>
      <c r="AE1434" s="8"/>
      <c r="AF1434" s="8"/>
      <c r="AG1434" s="8"/>
      <c r="AH1434" s="8"/>
      <c r="AI1434" s="8"/>
    </row>
    <row r="1435" spans="1:35">
      <c r="A1435" s="1"/>
      <c r="B1435" s="8"/>
      <c r="C1435" s="8"/>
      <c r="D1435" s="8"/>
      <c r="E1435" s="8"/>
      <c r="F1435" s="8"/>
      <c r="G1435" s="8"/>
      <c r="H1435" s="8"/>
      <c r="I1435" s="8"/>
      <c r="J1435" s="8"/>
      <c r="K1435" s="8"/>
      <c r="L1435" s="26"/>
      <c r="M1435" s="26"/>
      <c r="N1435" s="26"/>
      <c r="O1435" s="55"/>
      <c r="P1435" s="1"/>
      <c r="Q1435" s="8"/>
      <c r="R1435" s="8"/>
      <c r="S1435" s="1"/>
      <c r="T1435" s="8"/>
      <c r="U1435" s="8"/>
      <c r="V1435" s="56"/>
      <c r="W1435" s="1"/>
      <c r="X1435" s="1"/>
      <c r="Y1435" s="8"/>
      <c r="Z1435" s="8"/>
      <c r="AA1435" s="8"/>
      <c r="AB1435" s="8"/>
      <c r="AC1435" s="8"/>
      <c r="AD1435" s="8"/>
      <c r="AE1435" s="8"/>
      <c r="AF1435" s="8"/>
      <c r="AG1435" s="8"/>
      <c r="AH1435" s="8"/>
      <c r="AI1435" s="8"/>
    </row>
    <row r="1436" spans="1:35">
      <c r="A1436" s="1"/>
      <c r="B1436" s="8"/>
      <c r="C1436" s="8"/>
      <c r="D1436" s="8"/>
      <c r="E1436" s="8"/>
      <c r="F1436" s="8"/>
      <c r="G1436" s="8"/>
      <c r="H1436" s="8"/>
      <c r="I1436" s="8"/>
      <c r="J1436" s="8"/>
      <c r="K1436" s="8"/>
      <c r="L1436" s="26"/>
      <c r="M1436" s="26"/>
      <c r="N1436" s="26"/>
      <c r="O1436" s="55"/>
      <c r="P1436" s="1"/>
      <c r="Q1436" s="8"/>
      <c r="R1436" s="8"/>
      <c r="S1436" s="1"/>
      <c r="T1436" s="8"/>
      <c r="U1436" s="8"/>
      <c r="V1436" s="56"/>
      <c r="W1436" s="1"/>
      <c r="X1436" s="1"/>
      <c r="Y1436" s="8"/>
      <c r="Z1436" s="8"/>
      <c r="AA1436" s="8"/>
      <c r="AB1436" s="8"/>
      <c r="AC1436" s="8"/>
      <c r="AD1436" s="8"/>
      <c r="AE1436" s="8"/>
      <c r="AF1436" s="8"/>
      <c r="AG1436" s="8"/>
      <c r="AH1436" s="8"/>
      <c r="AI1436" s="8"/>
    </row>
    <row r="1437" spans="1:35">
      <c r="A1437" s="1"/>
      <c r="B1437" s="8"/>
      <c r="C1437" s="8"/>
      <c r="D1437" s="8"/>
      <c r="E1437" s="8"/>
      <c r="F1437" s="8"/>
      <c r="G1437" s="8"/>
      <c r="H1437" s="8"/>
      <c r="I1437" s="8"/>
      <c r="J1437" s="8"/>
      <c r="K1437" s="8"/>
      <c r="L1437" s="26"/>
      <c r="M1437" s="26"/>
      <c r="N1437" s="26"/>
      <c r="O1437" s="55"/>
      <c r="P1437" s="1"/>
      <c r="Q1437" s="8"/>
      <c r="R1437" s="8"/>
      <c r="S1437" s="1"/>
      <c r="T1437" s="8"/>
      <c r="U1437" s="8"/>
      <c r="V1437" s="56"/>
      <c r="W1437" s="1"/>
      <c r="X1437" s="1"/>
      <c r="Y1437" s="8"/>
      <c r="Z1437" s="8"/>
      <c r="AA1437" s="8"/>
      <c r="AB1437" s="8"/>
      <c r="AC1437" s="8"/>
      <c r="AD1437" s="8"/>
      <c r="AE1437" s="8"/>
      <c r="AF1437" s="8"/>
      <c r="AG1437" s="8"/>
      <c r="AH1437" s="8"/>
      <c r="AI1437" s="8"/>
    </row>
    <row r="1438" spans="1:35">
      <c r="A1438" s="1"/>
      <c r="B1438" s="8"/>
      <c r="C1438" s="8"/>
      <c r="D1438" s="8"/>
      <c r="E1438" s="8"/>
      <c r="F1438" s="8"/>
      <c r="G1438" s="8"/>
      <c r="H1438" s="8"/>
      <c r="I1438" s="8"/>
      <c r="J1438" s="8"/>
      <c r="K1438" s="8"/>
      <c r="L1438" s="26"/>
      <c r="M1438" s="26"/>
      <c r="N1438" s="26"/>
      <c r="O1438" s="55"/>
      <c r="P1438" s="1"/>
      <c r="Q1438" s="8"/>
      <c r="R1438" s="8"/>
      <c r="S1438" s="1"/>
      <c r="T1438" s="8"/>
      <c r="U1438" s="8"/>
      <c r="V1438" s="56"/>
      <c r="W1438" s="1"/>
      <c r="X1438" s="1"/>
      <c r="Y1438" s="8"/>
      <c r="Z1438" s="8"/>
      <c r="AA1438" s="8"/>
      <c r="AB1438" s="8"/>
      <c r="AC1438" s="8"/>
      <c r="AD1438" s="8"/>
      <c r="AE1438" s="8"/>
      <c r="AF1438" s="8"/>
      <c r="AG1438" s="8"/>
      <c r="AH1438" s="8"/>
      <c r="AI1438" s="8"/>
    </row>
    <row r="1439" spans="1:35">
      <c r="A1439" s="1"/>
      <c r="B1439" s="8"/>
      <c r="C1439" s="8"/>
      <c r="D1439" s="8"/>
      <c r="E1439" s="8"/>
      <c r="F1439" s="8"/>
      <c r="G1439" s="8"/>
      <c r="H1439" s="8"/>
      <c r="I1439" s="8"/>
      <c r="J1439" s="8"/>
      <c r="K1439" s="8"/>
      <c r="L1439" s="26"/>
      <c r="M1439" s="26"/>
      <c r="N1439" s="26"/>
      <c r="O1439" s="55"/>
      <c r="P1439" s="1"/>
      <c r="Q1439" s="8"/>
      <c r="R1439" s="8"/>
      <c r="S1439" s="1"/>
      <c r="T1439" s="8"/>
      <c r="U1439" s="8"/>
      <c r="V1439" s="56"/>
      <c r="W1439" s="1"/>
      <c r="X1439" s="1"/>
      <c r="Y1439" s="8"/>
      <c r="Z1439" s="8"/>
      <c r="AA1439" s="8"/>
      <c r="AB1439" s="8"/>
      <c r="AC1439" s="8"/>
      <c r="AD1439" s="8"/>
      <c r="AE1439" s="8"/>
      <c r="AF1439" s="8"/>
      <c r="AG1439" s="8"/>
      <c r="AH1439" s="8"/>
      <c r="AI1439" s="8"/>
    </row>
    <row r="1440" spans="1:35">
      <c r="A1440" s="1"/>
      <c r="B1440" s="8"/>
      <c r="C1440" s="8"/>
      <c r="D1440" s="8"/>
      <c r="E1440" s="8"/>
      <c r="F1440" s="8"/>
      <c r="G1440" s="8"/>
      <c r="H1440" s="8"/>
      <c r="I1440" s="8"/>
      <c r="J1440" s="8"/>
      <c r="K1440" s="8"/>
      <c r="L1440" s="26"/>
      <c r="M1440" s="26"/>
      <c r="N1440" s="26"/>
      <c r="O1440" s="55"/>
      <c r="P1440" s="1"/>
      <c r="Q1440" s="8"/>
      <c r="R1440" s="8"/>
      <c r="S1440" s="1"/>
      <c r="T1440" s="8"/>
      <c r="U1440" s="8"/>
      <c r="V1440" s="56"/>
      <c r="W1440" s="1"/>
      <c r="X1440" s="1"/>
      <c r="Y1440" s="8"/>
      <c r="Z1440" s="8"/>
      <c r="AA1440" s="8"/>
      <c r="AB1440" s="8"/>
      <c r="AC1440" s="8"/>
      <c r="AD1440" s="8"/>
      <c r="AE1440" s="8"/>
      <c r="AF1440" s="8"/>
      <c r="AG1440" s="8"/>
      <c r="AH1440" s="8"/>
      <c r="AI1440" s="8"/>
    </row>
    <row r="1441" spans="1:35">
      <c r="A1441" s="1"/>
      <c r="B1441" s="8"/>
      <c r="C1441" s="8"/>
      <c r="D1441" s="8"/>
      <c r="E1441" s="8"/>
      <c r="F1441" s="8"/>
      <c r="G1441" s="8"/>
      <c r="H1441" s="8"/>
      <c r="I1441" s="8"/>
      <c r="J1441" s="8"/>
      <c r="K1441" s="8"/>
      <c r="L1441" s="26"/>
      <c r="M1441" s="26"/>
      <c r="N1441" s="26"/>
      <c r="O1441" s="55"/>
      <c r="P1441" s="1"/>
      <c r="Q1441" s="8"/>
      <c r="R1441" s="8"/>
      <c r="S1441" s="1"/>
      <c r="T1441" s="8"/>
      <c r="U1441" s="8"/>
      <c r="V1441" s="56"/>
      <c r="W1441" s="1"/>
      <c r="X1441" s="1"/>
      <c r="Y1441" s="8"/>
      <c r="Z1441" s="8"/>
      <c r="AA1441" s="8"/>
      <c r="AB1441" s="8"/>
      <c r="AC1441" s="8"/>
      <c r="AD1441" s="8"/>
      <c r="AE1441" s="8"/>
      <c r="AF1441" s="8"/>
      <c r="AG1441" s="8"/>
      <c r="AH1441" s="8"/>
      <c r="AI1441" s="8"/>
    </row>
    <row r="1442" spans="1:35">
      <c r="A1442" s="1"/>
      <c r="B1442" s="8"/>
      <c r="C1442" s="8"/>
      <c r="D1442" s="8"/>
      <c r="E1442" s="8"/>
      <c r="F1442" s="8"/>
      <c r="G1442" s="8"/>
      <c r="H1442" s="8"/>
      <c r="I1442" s="8"/>
      <c r="J1442" s="8"/>
      <c r="K1442" s="8"/>
      <c r="L1442" s="26"/>
      <c r="M1442" s="26"/>
      <c r="N1442" s="26"/>
      <c r="O1442" s="55"/>
      <c r="P1442" s="1"/>
      <c r="Q1442" s="8"/>
      <c r="R1442" s="8"/>
      <c r="S1442" s="1"/>
      <c r="T1442" s="8"/>
      <c r="U1442" s="8"/>
      <c r="V1442" s="56"/>
      <c r="W1442" s="1"/>
      <c r="X1442" s="1"/>
      <c r="Y1442" s="8"/>
      <c r="Z1442" s="8"/>
      <c r="AA1442" s="8"/>
      <c r="AB1442" s="8"/>
      <c r="AC1442" s="8"/>
      <c r="AD1442" s="8"/>
      <c r="AE1442" s="8"/>
      <c r="AF1442" s="8"/>
      <c r="AG1442" s="8"/>
      <c r="AH1442" s="8"/>
      <c r="AI1442" s="8"/>
    </row>
    <row r="1443" spans="1:35">
      <c r="A1443" s="1"/>
      <c r="B1443" s="8"/>
      <c r="C1443" s="8"/>
      <c r="D1443" s="8"/>
      <c r="E1443" s="8"/>
      <c r="F1443" s="8"/>
      <c r="G1443" s="8"/>
      <c r="H1443" s="8"/>
      <c r="I1443" s="8"/>
      <c r="J1443" s="8"/>
      <c r="K1443" s="8"/>
      <c r="L1443" s="26"/>
      <c r="M1443" s="26"/>
      <c r="N1443" s="26"/>
      <c r="O1443" s="55"/>
      <c r="P1443" s="1"/>
      <c r="Q1443" s="8"/>
      <c r="R1443" s="8"/>
      <c r="S1443" s="1"/>
      <c r="T1443" s="8"/>
      <c r="U1443" s="8"/>
      <c r="V1443" s="56"/>
      <c r="W1443" s="1"/>
      <c r="X1443" s="1"/>
      <c r="Y1443" s="8"/>
      <c r="Z1443" s="8"/>
      <c r="AA1443" s="8"/>
      <c r="AB1443" s="8"/>
      <c r="AC1443" s="8"/>
      <c r="AD1443" s="8"/>
      <c r="AE1443" s="8"/>
      <c r="AF1443" s="8"/>
      <c r="AG1443" s="8"/>
      <c r="AH1443" s="8"/>
      <c r="AI1443" s="8"/>
    </row>
    <row r="1444" spans="1:35">
      <c r="A1444" s="1"/>
      <c r="B1444" s="8"/>
      <c r="C1444" s="8"/>
      <c r="D1444" s="8"/>
      <c r="E1444" s="8"/>
      <c r="F1444" s="8"/>
      <c r="G1444" s="8"/>
      <c r="H1444" s="8"/>
      <c r="I1444" s="8"/>
      <c r="J1444" s="8"/>
      <c r="K1444" s="8"/>
      <c r="L1444" s="26"/>
      <c r="M1444" s="26"/>
      <c r="N1444" s="26"/>
      <c r="O1444" s="55"/>
      <c r="P1444" s="1"/>
      <c r="Q1444" s="8"/>
      <c r="R1444" s="8"/>
      <c r="S1444" s="1"/>
      <c r="T1444" s="8"/>
      <c r="U1444" s="8"/>
      <c r="V1444" s="56"/>
      <c r="W1444" s="1"/>
      <c r="X1444" s="1"/>
      <c r="Y1444" s="8"/>
      <c r="Z1444" s="8"/>
      <c r="AA1444" s="8"/>
      <c r="AB1444" s="8"/>
      <c r="AC1444" s="8"/>
      <c r="AD1444" s="8"/>
      <c r="AE1444" s="8"/>
      <c r="AF1444" s="8"/>
      <c r="AG1444" s="8"/>
      <c r="AH1444" s="8"/>
      <c r="AI1444" s="8"/>
    </row>
    <row r="1445" spans="1:35">
      <c r="A1445" s="1"/>
      <c r="B1445" s="8"/>
      <c r="C1445" s="8"/>
      <c r="D1445" s="8"/>
      <c r="E1445" s="8"/>
      <c r="F1445" s="8"/>
      <c r="G1445" s="8"/>
      <c r="H1445" s="8"/>
      <c r="I1445" s="8"/>
      <c r="J1445" s="8"/>
      <c r="K1445" s="8"/>
      <c r="L1445" s="26"/>
      <c r="M1445" s="26"/>
      <c r="N1445" s="26"/>
      <c r="O1445" s="55"/>
      <c r="P1445" s="1"/>
      <c r="Q1445" s="8"/>
      <c r="R1445" s="8"/>
      <c r="S1445" s="1"/>
      <c r="T1445" s="8"/>
      <c r="U1445" s="8"/>
      <c r="V1445" s="56"/>
      <c r="W1445" s="1"/>
      <c r="X1445" s="1"/>
      <c r="Y1445" s="8"/>
      <c r="Z1445" s="8"/>
      <c r="AA1445" s="8"/>
      <c r="AB1445" s="8"/>
      <c r="AC1445" s="8"/>
      <c r="AD1445" s="8"/>
      <c r="AE1445" s="8"/>
      <c r="AF1445" s="8"/>
      <c r="AG1445" s="8"/>
      <c r="AH1445" s="8"/>
      <c r="AI1445" s="8"/>
    </row>
    <row r="1446" spans="1:35">
      <c r="A1446" s="1"/>
      <c r="B1446" s="8"/>
      <c r="C1446" s="8"/>
      <c r="D1446" s="8"/>
      <c r="E1446" s="8"/>
      <c r="F1446" s="8"/>
      <c r="G1446" s="8"/>
      <c r="H1446" s="8"/>
      <c r="I1446" s="8"/>
      <c r="J1446" s="8"/>
      <c r="K1446" s="8"/>
      <c r="L1446" s="26"/>
      <c r="M1446" s="26"/>
      <c r="N1446" s="26"/>
      <c r="O1446" s="55"/>
      <c r="P1446" s="1"/>
      <c r="Q1446" s="8"/>
      <c r="R1446" s="8"/>
      <c r="S1446" s="1"/>
      <c r="T1446" s="8"/>
      <c r="U1446" s="8"/>
      <c r="V1446" s="56"/>
      <c r="W1446" s="1"/>
      <c r="X1446" s="1"/>
      <c r="Y1446" s="8"/>
      <c r="Z1446" s="8"/>
      <c r="AA1446" s="8"/>
      <c r="AB1446" s="8"/>
      <c r="AC1446" s="8"/>
      <c r="AD1446" s="8"/>
      <c r="AE1446" s="8"/>
      <c r="AF1446" s="8"/>
      <c r="AG1446" s="8"/>
      <c r="AH1446" s="8"/>
      <c r="AI1446" s="8"/>
    </row>
    <row r="1447" spans="1:35">
      <c r="A1447" s="1"/>
      <c r="B1447" s="8"/>
      <c r="C1447" s="8"/>
      <c r="D1447" s="8"/>
      <c r="E1447" s="8"/>
      <c r="F1447" s="8"/>
      <c r="G1447" s="8"/>
      <c r="H1447" s="8"/>
      <c r="I1447" s="8"/>
      <c r="J1447" s="8"/>
      <c r="K1447" s="8"/>
      <c r="L1447" s="26"/>
      <c r="M1447" s="26"/>
      <c r="N1447" s="26"/>
      <c r="O1447" s="55"/>
      <c r="P1447" s="1"/>
      <c r="Q1447" s="8"/>
      <c r="R1447" s="8"/>
      <c r="S1447" s="1"/>
      <c r="T1447" s="8"/>
      <c r="U1447" s="8"/>
      <c r="V1447" s="56"/>
      <c r="W1447" s="1"/>
      <c r="X1447" s="1"/>
      <c r="Y1447" s="8"/>
      <c r="Z1447" s="8"/>
      <c r="AA1447" s="8"/>
      <c r="AB1447" s="8"/>
      <c r="AC1447" s="8"/>
      <c r="AD1447" s="8"/>
      <c r="AE1447" s="8"/>
      <c r="AF1447" s="8"/>
      <c r="AG1447" s="8"/>
      <c r="AH1447" s="8"/>
      <c r="AI1447" s="8"/>
    </row>
    <row r="1448" spans="1:35">
      <c r="A1448" s="1"/>
      <c r="B1448" s="8"/>
      <c r="C1448" s="8"/>
      <c r="D1448" s="8"/>
      <c r="E1448" s="8"/>
      <c r="F1448" s="8"/>
      <c r="G1448" s="8"/>
      <c r="H1448" s="8"/>
      <c r="I1448" s="8"/>
      <c r="J1448" s="8"/>
      <c r="K1448" s="8"/>
      <c r="L1448" s="26"/>
      <c r="M1448" s="26"/>
      <c r="N1448" s="26"/>
      <c r="O1448" s="55"/>
      <c r="P1448" s="1"/>
      <c r="Q1448" s="8"/>
      <c r="R1448" s="8"/>
      <c r="S1448" s="1"/>
      <c r="T1448" s="8"/>
      <c r="U1448" s="8"/>
      <c r="V1448" s="56"/>
      <c r="W1448" s="1"/>
      <c r="X1448" s="1"/>
      <c r="Y1448" s="8"/>
      <c r="Z1448" s="8"/>
      <c r="AA1448" s="8"/>
      <c r="AB1448" s="8"/>
      <c r="AC1448" s="8"/>
      <c r="AD1448" s="8"/>
      <c r="AE1448" s="8"/>
      <c r="AF1448" s="8"/>
      <c r="AG1448" s="8"/>
      <c r="AH1448" s="8"/>
      <c r="AI1448" s="8"/>
    </row>
    <row r="1449" spans="1:35">
      <c r="A1449" s="1"/>
      <c r="B1449" s="8"/>
      <c r="C1449" s="8"/>
      <c r="D1449" s="8"/>
      <c r="E1449" s="8"/>
      <c r="F1449" s="8"/>
      <c r="G1449" s="8"/>
      <c r="H1449" s="8"/>
      <c r="I1449" s="8"/>
      <c r="J1449" s="8"/>
      <c r="K1449" s="8"/>
      <c r="L1449" s="26"/>
      <c r="M1449" s="26"/>
      <c r="N1449" s="26"/>
      <c r="O1449" s="55"/>
      <c r="P1449" s="1"/>
      <c r="Q1449" s="8"/>
      <c r="R1449" s="8"/>
      <c r="S1449" s="1"/>
      <c r="T1449" s="8"/>
      <c r="U1449" s="8"/>
      <c r="V1449" s="56"/>
      <c r="W1449" s="1"/>
      <c r="X1449" s="1"/>
      <c r="Y1449" s="8"/>
      <c r="Z1449" s="8"/>
      <c r="AA1449" s="8"/>
      <c r="AB1449" s="8"/>
      <c r="AC1449" s="8"/>
      <c r="AD1449" s="8"/>
      <c r="AE1449" s="8"/>
      <c r="AF1449" s="8"/>
      <c r="AG1449" s="8"/>
      <c r="AH1449" s="8"/>
      <c r="AI1449" s="8"/>
    </row>
    <row r="1450" spans="1:35">
      <c r="A1450" s="1"/>
      <c r="B1450" s="8"/>
      <c r="C1450" s="8"/>
      <c r="D1450" s="8"/>
      <c r="E1450" s="8"/>
      <c r="F1450" s="8"/>
      <c r="G1450" s="8"/>
      <c r="H1450" s="8"/>
      <c r="I1450" s="8"/>
      <c r="J1450" s="8"/>
      <c r="K1450" s="8"/>
      <c r="L1450" s="26"/>
      <c r="M1450" s="26"/>
      <c r="N1450" s="26"/>
      <c r="O1450" s="55"/>
      <c r="P1450" s="1"/>
      <c r="Q1450" s="8"/>
      <c r="R1450" s="8"/>
      <c r="S1450" s="1"/>
      <c r="T1450" s="8"/>
      <c r="U1450" s="8"/>
      <c r="V1450" s="56"/>
      <c r="W1450" s="1"/>
      <c r="X1450" s="1"/>
      <c r="Y1450" s="8"/>
      <c r="Z1450" s="8"/>
      <c r="AA1450" s="8"/>
      <c r="AB1450" s="8"/>
      <c r="AC1450" s="8"/>
      <c r="AD1450" s="8"/>
      <c r="AE1450" s="8"/>
      <c r="AF1450" s="8"/>
      <c r="AG1450" s="8"/>
      <c r="AH1450" s="8"/>
      <c r="AI1450" s="8"/>
    </row>
    <row r="1451" spans="1:35">
      <c r="A1451" s="1"/>
      <c r="B1451" s="8"/>
      <c r="C1451" s="8"/>
      <c r="D1451" s="8"/>
      <c r="E1451" s="8"/>
      <c r="F1451" s="8"/>
      <c r="G1451" s="8"/>
      <c r="H1451" s="8"/>
      <c r="I1451" s="8"/>
      <c r="J1451" s="8"/>
      <c r="K1451" s="8"/>
      <c r="L1451" s="26"/>
      <c r="M1451" s="26"/>
      <c r="N1451" s="26"/>
      <c r="O1451" s="55"/>
      <c r="P1451" s="1"/>
      <c r="Q1451" s="8"/>
      <c r="R1451" s="8"/>
      <c r="S1451" s="1"/>
      <c r="T1451" s="8"/>
      <c r="U1451" s="8"/>
      <c r="V1451" s="56"/>
      <c r="W1451" s="1"/>
      <c r="X1451" s="1"/>
      <c r="Y1451" s="8"/>
      <c r="Z1451" s="8"/>
      <c r="AA1451" s="8"/>
      <c r="AB1451" s="8"/>
      <c r="AC1451" s="8"/>
      <c r="AD1451" s="8"/>
      <c r="AE1451" s="8"/>
      <c r="AF1451" s="8"/>
      <c r="AG1451" s="8"/>
      <c r="AH1451" s="8"/>
      <c r="AI1451" s="8"/>
    </row>
    <row r="1452" spans="1:35">
      <c r="A1452" s="1"/>
      <c r="B1452" s="8"/>
      <c r="C1452" s="8"/>
      <c r="D1452" s="8"/>
      <c r="E1452" s="8"/>
      <c r="F1452" s="8"/>
      <c r="G1452" s="8"/>
      <c r="H1452" s="8"/>
      <c r="I1452" s="8"/>
      <c r="J1452" s="8"/>
      <c r="K1452" s="8"/>
      <c r="L1452" s="26"/>
      <c r="M1452" s="26"/>
      <c r="N1452" s="26"/>
      <c r="O1452" s="55"/>
      <c r="P1452" s="1"/>
      <c r="Q1452" s="8"/>
      <c r="R1452" s="8"/>
      <c r="S1452" s="1"/>
      <c r="T1452" s="8"/>
      <c r="U1452" s="8"/>
      <c r="V1452" s="56"/>
      <c r="W1452" s="1"/>
      <c r="X1452" s="1"/>
      <c r="Y1452" s="8"/>
      <c r="Z1452" s="8"/>
      <c r="AA1452" s="8"/>
      <c r="AB1452" s="8"/>
      <c r="AC1452" s="8"/>
      <c r="AD1452" s="8"/>
      <c r="AE1452" s="8"/>
      <c r="AF1452" s="8"/>
      <c r="AG1452" s="8"/>
      <c r="AH1452" s="8"/>
      <c r="AI1452" s="8"/>
    </row>
    <row r="1453" spans="1:35">
      <c r="A1453" s="1"/>
      <c r="B1453" s="8"/>
      <c r="C1453" s="8"/>
      <c r="D1453" s="8"/>
      <c r="E1453" s="8"/>
      <c r="F1453" s="8"/>
      <c r="G1453" s="8"/>
      <c r="H1453" s="8"/>
      <c r="I1453" s="8"/>
      <c r="J1453" s="8"/>
      <c r="K1453" s="8"/>
      <c r="L1453" s="26"/>
      <c r="M1453" s="26"/>
      <c r="N1453" s="26"/>
      <c r="O1453" s="55"/>
      <c r="P1453" s="1"/>
      <c r="Q1453" s="8"/>
      <c r="R1453" s="8"/>
      <c r="S1453" s="1"/>
      <c r="T1453" s="8"/>
      <c r="U1453" s="8"/>
      <c r="V1453" s="56"/>
      <c r="W1453" s="1"/>
      <c r="X1453" s="1"/>
      <c r="Y1453" s="8"/>
      <c r="Z1453" s="8"/>
      <c r="AA1453" s="8"/>
      <c r="AB1453" s="8"/>
      <c r="AC1453" s="8"/>
      <c r="AD1453" s="8"/>
      <c r="AE1453" s="8"/>
      <c r="AF1453" s="8"/>
      <c r="AG1453" s="8"/>
      <c r="AH1453" s="8"/>
      <c r="AI1453" s="8"/>
    </row>
    <row r="1454" spans="1:35">
      <c r="A1454" s="1"/>
      <c r="B1454" s="8"/>
      <c r="C1454" s="8"/>
      <c r="D1454" s="8"/>
      <c r="E1454" s="8"/>
      <c r="F1454" s="8"/>
      <c r="G1454" s="8"/>
      <c r="H1454" s="8"/>
      <c r="I1454" s="8"/>
      <c r="J1454" s="8"/>
      <c r="K1454" s="8"/>
      <c r="L1454" s="26"/>
      <c r="M1454" s="26"/>
      <c r="N1454" s="26"/>
      <c r="O1454" s="55"/>
      <c r="P1454" s="1"/>
      <c r="Q1454" s="8"/>
      <c r="R1454" s="8"/>
      <c r="S1454" s="1"/>
      <c r="T1454" s="8"/>
      <c r="U1454" s="8"/>
      <c r="V1454" s="56"/>
      <c r="W1454" s="1"/>
      <c r="X1454" s="1"/>
      <c r="Y1454" s="8"/>
      <c r="Z1454" s="8"/>
      <c r="AA1454" s="8"/>
      <c r="AB1454" s="8"/>
      <c r="AC1454" s="8"/>
      <c r="AD1454" s="8"/>
      <c r="AE1454" s="8"/>
      <c r="AF1454" s="8"/>
      <c r="AG1454" s="8"/>
      <c r="AH1454" s="8"/>
      <c r="AI1454" s="8"/>
    </row>
    <row r="1455" spans="1:35">
      <c r="A1455" s="1"/>
      <c r="B1455" s="8"/>
      <c r="C1455" s="8"/>
      <c r="D1455" s="8"/>
      <c r="E1455" s="8"/>
      <c r="F1455" s="8"/>
      <c r="G1455" s="8"/>
      <c r="H1455" s="8"/>
      <c r="I1455" s="8"/>
      <c r="J1455" s="8"/>
      <c r="K1455" s="8"/>
      <c r="L1455" s="26"/>
      <c r="M1455" s="26"/>
      <c r="N1455" s="26"/>
      <c r="O1455" s="55"/>
      <c r="P1455" s="1"/>
      <c r="Q1455" s="8"/>
      <c r="R1455" s="8"/>
      <c r="S1455" s="1"/>
      <c r="T1455" s="8"/>
      <c r="U1455" s="8"/>
      <c r="V1455" s="56"/>
      <c r="W1455" s="1"/>
      <c r="X1455" s="1"/>
      <c r="Y1455" s="8"/>
      <c r="Z1455" s="8"/>
      <c r="AA1455" s="8"/>
      <c r="AB1455" s="8"/>
      <c r="AC1455" s="8"/>
      <c r="AD1455" s="8"/>
      <c r="AE1455" s="8"/>
      <c r="AF1455" s="8"/>
      <c r="AG1455" s="8"/>
      <c r="AH1455" s="8"/>
      <c r="AI1455" s="8"/>
    </row>
    <row r="1456" spans="1:35">
      <c r="A1456" s="1"/>
      <c r="B1456" s="8"/>
      <c r="C1456" s="8"/>
      <c r="D1456" s="8"/>
      <c r="E1456" s="8"/>
      <c r="F1456" s="8"/>
      <c r="G1456" s="8"/>
      <c r="H1456" s="8"/>
      <c r="I1456" s="8"/>
      <c r="J1456" s="8"/>
      <c r="K1456" s="8"/>
      <c r="L1456" s="26"/>
      <c r="M1456" s="26"/>
      <c r="N1456" s="26"/>
      <c r="O1456" s="55"/>
      <c r="P1456" s="1"/>
      <c r="Q1456" s="8"/>
      <c r="R1456" s="8"/>
      <c r="S1456" s="1"/>
      <c r="T1456" s="8"/>
      <c r="U1456" s="8"/>
      <c r="V1456" s="56"/>
      <c r="W1456" s="1"/>
      <c r="X1456" s="1"/>
      <c r="Y1456" s="8"/>
      <c r="Z1456" s="8"/>
      <c r="AA1456" s="8"/>
      <c r="AB1456" s="8"/>
      <c r="AC1456" s="8"/>
      <c r="AD1456" s="8"/>
      <c r="AE1456" s="8"/>
      <c r="AF1456" s="8"/>
      <c r="AG1456" s="8"/>
      <c r="AH1456" s="8"/>
      <c r="AI1456" s="8"/>
    </row>
    <row r="1457" spans="1:35">
      <c r="A1457" s="1"/>
      <c r="B1457" s="8"/>
      <c r="C1457" s="8"/>
      <c r="D1457" s="8"/>
      <c r="E1457" s="8"/>
      <c r="F1457" s="8"/>
      <c r="G1457" s="8"/>
      <c r="H1457" s="8"/>
      <c r="I1457" s="8"/>
      <c r="J1457" s="8"/>
      <c r="K1457" s="8"/>
      <c r="L1457" s="26"/>
      <c r="M1457" s="26"/>
      <c r="N1457" s="26"/>
      <c r="O1457" s="55"/>
      <c r="P1457" s="1"/>
      <c r="Q1457" s="8"/>
      <c r="R1457" s="8"/>
      <c r="S1457" s="1"/>
      <c r="T1457" s="8"/>
      <c r="U1457" s="8"/>
      <c r="V1457" s="56"/>
      <c r="W1457" s="1"/>
      <c r="X1457" s="1"/>
      <c r="Y1457" s="8"/>
      <c r="Z1457" s="8"/>
      <c r="AA1457" s="8"/>
      <c r="AB1457" s="8"/>
      <c r="AC1457" s="8"/>
      <c r="AD1457" s="8"/>
      <c r="AE1457" s="8"/>
      <c r="AF1457" s="8"/>
      <c r="AG1457" s="8"/>
      <c r="AH1457" s="8"/>
      <c r="AI1457" s="8"/>
    </row>
    <row r="1458" spans="1:35">
      <c r="A1458" s="1"/>
      <c r="B1458" s="8"/>
      <c r="C1458" s="8"/>
      <c r="D1458" s="8"/>
      <c r="E1458" s="8"/>
      <c r="F1458" s="8"/>
      <c r="G1458" s="8"/>
      <c r="H1458" s="8"/>
      <c r="I1458" s="8"/>
      <c r="J1458" s="8"/>
      <c r="K1458" s="8"/>
      <c r="L1458" s="26"/>
      <c r="M1458" s="26"/>
      <c r="N1458" s="26"/>
      <c r="O1458" s="55"/>
      <c r="P1458" s="1"/>
      <c r="Q1458" s="8"/>
      <c r="R1458" s="8"/>
      <c r="S1458" s="1"/>
      <c r="T1458" s="8"/>
      <c r="U1458" s="8"/>
      <c r="V1458" s="56"/>
      <c r="W1458" s="1"/>
      <c r="X1458" s="1"/>
      <c r="Y1458" s="8"/>
      <c r="Z1458" s="8"/>
      <c r="AA1458" s="8"/>
      <c r="AB1458" s="8"/>
      <c r="AC1458" s="8"/>
      <c r="AD1458" s="8"/>
      <c r="AE1458" s="8"/>
      <c r="AF1458" s="8"/>
      <c r="AG1458" s="8"/>
      <c r="AH1458" s="8"/>
      <c r="AI1458" s="8"/>
    </row>
    <row r="1459" spans="1:35">
      <c r="A1459" s="1"/>
      <c r="B1459" s="8"/>
      <c r="C1459" s="8"/>
      <c r="D1459" s="8"/>
      <c r="E1459" s="8"/>
      <c r="F1459" s="8"/>
      <c r="G1459" s="8"/>
      <c r="H1459" s="8"/>
      <c r="I1459" s="8"/>
      <c r="J1459" s="8"/>
      <c r="K1459" s="8"/>
      <c r="L1459" s="26"/>
      <c r="M1459" s="26"/>
      <c r="N1459" s="26"/>
      <c r="O1459" s="55"/>
      <c r="P1459" s="1"/>
      <c r="Q1459" s="8"/>
      <c r="R1459" s="8"/>
      <c r="S1459" s="1"/>
      <c r="T1459" s="8"/>
      <c r="U1459" s="8"/>
      <c r="V1459" s="56"/>
      <c r="W1459" s="1"/>
      <c r="X1459" s="1"/>
      <c r="Y1459" s="8"/>
      <c r="Z1459" s="8"/>
      <c r="AA1459" s="8"/>
      <c r="AB1459" s="8"/>
      <c r="AC1459" s="8"/>
      <c r="AD1459" s="8"/>
      <c r="AE1459" s="8"/>
      <c r="AF1459" s="8"/>
      <c r="AG1459" s="8"/>
      <c r="AH1459" s="8"/>
      <c r="AI1459" s="8"/>
    </row>
    <row r="1460" spans="1:35">
      <c r="A1460" s="1"/>
      <c r="B1460" s="8"/>
      <c r="C1460" s="8"/>
      <c r="D1460" s="8"/>
      <c r="E1460" s="8"/>
      <c r="F1460" s="8"/>
      <c r="G1460" s="8"/>
      <c r="H1460" s="8"/>
      <c r="I1460" s="8"/>
      <c r="J1460" s="8"/>
      <c r="K1460" s="8"/>
      <c r="L1460" s="26"/>
      <c r="M1460" s="26"/>
      <c r="N1460" s="26"/>
      <c r="O1460" s="55"/>
      <c r="P1460" s="1"/>
      <c r="Q1460" s="8"/>
      <c r="R1460" s="8"/>
      <c r="S1460" s="1"/>
      <c r="T1460" s="8"/>
      <c r="U1460" s="8"/>
      <c r="V1460" s="56"/>
      <c r="W1460" s="1"/>
      <c r="X1460" s="1"/>
      <c r="Y1460" s="8"/>
      <c r="Z1460" s="8"/>
      <c r="AA1460" s="8"/>
      <c r="AB1460" s="8"/>
      <c r="AC1460" s="8"/>
      <c r="AD1460" s="8"/>
      <c r="AE1460" s="8"/>
      <c r="AF1460" s="8"/>
      <c r="AG1460" s="8"/>
      <c r="AH1460" s="8"/>
      <c r="AI1460" s="8"/>
    </row>
    <row r="1461" spans="1:35">
      <c r="A1461" s="1"/>
      <c r="B1461" s="8"/>
      <c r="C1461" s="8"/>
      <c r="D1461" s="8"/>
      <c r="E1461" s="8"/>
      <c r="F1461" s="8"/>
      <c r="G1461" s="8"/>
      <c r="H1461" s="8"/>
      <c r="I1461" s="8"/>
      <c r="J1461" s="8"/>
      <c r="K1461" s="8"/>
      <c r="L1461" s="26"/>
      <c r="M1461" s="26"/>
      <c r="N1461" s="26"/>
      <c r="O1461" s="55"/>
      <c r="P1461" s="1"/>
      <c r="Q1461" s="8"/>
      <c r="R1461" s="8"/>
      <c r="S1461" s="1"/>
      <c r="T1461" s="8"/>
      <c r="U1461" s="8"/>
      <c r="V1461" s="56"/>
      <c r="W1461" s="1"/>
      <c r="X1461" s="1"/>
      <c r="Y1461" s="8"/>
      <c r="Z1461" s="8"/>
      <c r="AA1461" s="8"/>
      <c r="AB1461" s="8"/>
      <c r="AC1461" s="8"/>
      <c r="AD1461" s="8"/>
      <c r="AE1461" s="8"/>
      <c r="AF1461" s="8"/>
      <c r="AG1461" s="8"/>
      <c r="AH1461" s="8"/>
      <c r="AI1461" s="8"/>
    </row>
    <row r="1462" spans="1:35">
      <c r="A1462" s="1"/>
      <c r="B1462" s="8"/>
      <c r="C1462" s="8"/>
      <c r="D1462" s="8"/>
      <c r="E1462" s="8"/>
      <c r="F1462" s="8"/>
      <c r="G1462" s="8"/>
      <c r="H1462" s="8"/>
      <c r="I1462" s="8"/>
      <c r="J1462" s="8"/>
      <c r="K1462" s="8"/>
      <c r="L1462" s="26"/>
      <c r="M1462" s="26"/>
      <c r="N1462" s="26"/>
      <c r="O1462" s="55"/>
      <c r="P1462" s="1"/>
      <c r="Q1462" s="8"/>
      <c r="R1462" s="8"/>
      <c r="S1462" s="1"/>
      <c r="T1462" s="8"/>
      <c r="U1462" s="8"/>
      <c r="V1462" s="56"/>
      <c r="W1462" s="1"/>
      <c r="X1462" s="1"/>
      <c r="Y1462" s="8"/>
      <c r="Z1462" s="8"/>
      <c r="AA1462" s="8"/>
      <c r="AB1462" s="8"/>
      <c r="AC1462" s="8"/>
      <c r="AD1462" s="8"/>
      <c r="AE1462" s="8"/>
      <c r="AF1462" s="8"/>
      <c r="AG1462" s="8"/>
      <c r="AH1462" s="8"/>
      <c r="AI1462" s="8"/>
    </row>
    <row r="1463" spans="1:35">
      <c r="A1463" s="1"/>
      <c r="B1463" s="8"/>
      <c r="C1463" s="8"/>
      <c r="D1463" s="8"/>
      <c r="E1463" s="8"/>
      <c r="F1463" s="8"/>
      <c r="G1463" s="8"/>
      <c r="H1463" s="8"/>
      <c r="I1463" s="8"/>
      <c r="J1463" s="8"/>
      <c r="K1463" s="8"/>
      <c r="L1463" s="26"/>
      <c r="M1463" s="26"/>
      <c r="N1463" s="26"/>
      <c r="O1463" s="55"/>
      <c r="P1463" s="1"/>
      <c r="Q1463" s="8"/>
      <c r="R1463" s="8"/>
      <c r="S1463" s="1"/>
      <c r="T1463" s="8"/>
      <c r="U1463" s="8"/>
      <c r="V1463" s="56"/>
      <c r="W1463" s="1"/>
      <c r="X1463" s="1"/>
      <c r="Y1463" s="8"/>
      <c r="Z1463" s="8"/>
      <c r="AA1463" s="8"/>
      <c r="AB1463" s="8"/>
      <c r="AC1463" s="8"/>
      <c r="AD1463" s="8"/>
      <c r="AE1463" s="8"/>
      <c r="AF1463" s="8"/>
      <c r="AG1463" s="8"/>
      <c r="AH1463" s="8"/>
      <c r="AI1463" s="8"/>
    </row>
    <row r="1464" spans="1:35">
      <c r="A1464" s="1"/>
      <c r="B1464" s="8"/>
      <c r="C1464" s="8"/>
      <c r="D1464" s="8"/>
      <c r="E1464" s="8"/>
      <c r="F1464" s="8"/>
      <c r="G1464" s="8"/>
      <c r="H1464" s="8"/>
      <c r="I1464" s="8"/>
      <c r="J1464" s="8"/>
      <c r="K1464" s="8"/>
      <c r="L1464" s="26"/>
      <c r="M1464" s="26"/>
      <c r="N1464" s="26"/>
      <c r="O1464" s="55"/>
      <c r="P1464" s="1"/>
      <c r="Q1464" s="8"/>
      <c r="R1464" s="8"/>
      <c r="S1464" s="1"/>
      <c r="T1464" s="8"/>
      <c r="U1464" s="8"/>
      <c r="V1464" s="56"/>
      <c r="W1464" s="1"/>
      <c r="X1464" s="1"/>
      <c r="Y1464" s="8"/>
      <c r="Z1464" s="8"/>
      <c r="AA1464" s="8"/>
      <c r="AB1464" s="8"/>
      <c r="AC1464" s="8"/>
      <c r="AD1464" s="8"/>
      <c r="AE1464" s="8"/>
      <c r="AF1464" s="8"/>
      <c r="AG1464" s="8"/>
      <c r="AH1464" s="8"/>
      <c r="AI1464" s="8"/>
    </row>
    <row r="1465" spans="1:35">
      <c r="A1465" s="1"/>
      <c r="B1465" s="8"/>
      <c r="C1465" s="8"/>
      <c r="D1465" s="8"/>
      <c r="E1465" s="8"/>
      <c r="F1465" s="8"/>
      <c r="G1465" s="8"/>
      <c r="H1465" s="8"/>
      <c r="I1465" s="8"/>
      <c r="J1465" s="8"/>
      <c r="K1465" s="8"/>
      <c r="L1465" s="26"/>
      <c r="M1465" s="26"/>
      <c r="N1465" s="26"/>
      <c r="O1465" s="55"/>
      <c r="P1465" s="1"/>
      <c r="Q1465" s="8"/>
      <c r="R1465" s="8"/>
      <c r="S1465" s="1"/>
      <c r="T1465" s="8"/>
      <c r="U1465" s="8"/>
      <c r="V1465" s="56"/>
      <c r="W1465" s="1"/>
      <c r="X1465" s="1"/>
      <c r="Y1465" s="8"/>
      <c r="Z1465" s="8"/>
      <c r="AA1465" s="8"/>
      <c r="AB1465" s="8"/>
      <c r="AC1465" s="8"/>
      <c r="AD1465" s="8"/>
      <c r="AE1465" s="8"/>
      <c r="AF1465" s="8"/>
      <c r="AG1465" s="8"/>
      <c r="AH1465" s="8"/>
      <c r="AI1465" s="8"/>
    </row>
    <row r="1466" spans="1:35">
      <c r="A1466" s="1"/>
      <c r="B1466" s="8"/>
      <c r="C1466" s="8"/>
      <c r="D1466" s="8"/>
      <c r="E1466" s="8"/>
      <c r="F1466" s="8"/>
      <c r="G1466" s="8"/>
      <c r="H1466" s="8"/>
      <c r="I1466" s="8"/>
      <c r="J1466" s="8"/>
      <c r="K1466" s="8"/>
      <c r="L1466" s="26"/>
      <c r="M1466" s="26"/>
      <c r="N1466" s="26"/>
      <c r="O1466" s="55"/>
      <c r="P1466" s="1"/>
      <c r="Q1466" s="8"/>
      <c r="R1466" s="8"/>
      <c r="S1466" s="1"/>
      <c r="T1466" s="8"/>
      <c r="U1466" s="8"/>
      <c r="V1466" s="56"/>
      <c r="W1466" s="1"/>
      <c r="X1466" s="1"/>
      <c r="Y1466" s="8"/>
      <c r="Z1466" s="8"/>
      <c r="AA1466" s="8"/>
      <c r="AB1466" s="8"/>
      <c r="AC1466" s="8"/>
      <c r="AD1466" s="8"/>
      <c r="AE1466" s="8"/>
      <c r="AF1466" s="8"/>
      <c r="AG1466" s="8"/>
      <c r="AH1466" s="8"/>
      <c r="AI1466" s="8"/>
    </row>
    <row r="1467" spans="1:35">
      <c r="A1467" s="1"/>
      <c r="B1467" s="8"/>
      <c r="C1467" s="8"/>
      <c r="D1467" s="8"/>
      <c r="E1467" s="8"/>
      <c r="F1467" s="8"/>
      <c r="G1467" s="8"/>
      <c r="H1467" s="8"/>
      <c r="I1467" s="8"/>
      <c r="J1467" s="8"/>
      <c r="K1467" s="8"/>
      <c r="L1467" s="26"/>
      <c r="M1467" s="26"/>
      <c r="N1467" s="26"/>
      <c r="O1467" s="55"/>
      <c r="P1467" s="1"/>
      <c r="Q1467" s="8"/>
      <c r="R1467" s="8"/>
      <c r="S1467" s="1"/>
      <c r="T1467" s="8"/>
      <c r="U1467" s="8"/>
      <c r="V1467" s="56"/>
      <c r="W1467" s="1"/>
      <c r="X1467" s="1"/>
      <c r="Y1467" s="8"/>
      <c r="Z1467" s="8"/>
      <c r="AA1467" s="8"/>
      <c r="AB1467" s="8"/>
      <c r="AC1467" s="8"/>
      <c r="AD1467" s="8"/>
      <c r="AE1467" s="8"/>
      <c r="AF1467" s="8"/>
      <c r="AG1467" s="8"/>
      <c r="AH1467" s="8"/>
      <c r="AI1467" s="8"/>
    </row>
    <row r="1468" spans="1:35">
      <c r="A1468" s="1"/>
      <c r="B1468" s="8"/>
      <c r="C1468" s="8"/>
      <c r="D1468" s="8"/>
      <c r="E1468" s="8"/>
      <c r="F1468" s="8"/>
      <c r="G1468" s="8"/>
      <c r="H1468" s="8"/>
      <c r="I1468" s="8"/>
      <c r="J1468" s="8"/>
      <c r="K1468" s="8"/>
      <c r="L1468" s="26"/>
      <c r="M1468" s="26"/>
      <c r="N1468" s="26"/>
      <c r="O1468" s="55"/>
      <c r="P1468" s="1"/>
      <c r="Q1468" s="8"/>
      <c r="R1468" s="8"/>
      <c r="S1468" s="1"/>
      <c r="T1468" s="8"/>
      <c r="U1468" s="8"/>
      <c r="V1468" s="56"/>
      <c r="W1468" s="1"/>
      <c r="X1468" s="1"/>
      <c r="Y1468" s="8"/>
      <c r="Z1468" s="8"/>
      <c r="AA1468" s="8"/>
      <c r="AB1468" s="8"/>
      <c r="AC1468" s="8"/>
      <c r="AD1468" s="8"/>
      <c r="AE1468" s="8"/>
      <c r="AF1468" s="8"/>
      <c r="AG1468" s="8"/>
      <c r="AH1468" s="8"/>
      <c r="AI1468" s="8"/>
    </row>
    <row r="1469" spans="1:35">
      <c r="A1469" s="1"/>
      <c r="B1469" s="8"/>
      <c r="C1469" s="8"/>
      <c r="D1469" s="8"/>
      <c r="E1469" s="8"/>
      <c r="F1469" s="8"/>
      <c r="G1469" s="8"/>
      <c r="H1469" s="8"/>
      <c r="I1469" s="8"/>
      <c r="J1469" s="8"/>
      <c r="K1469" s="8"/>
      <c r="L1469" s="26"/>
      <c r="M1469" s="26"/>
      <c r="N1469" s="26"/>
      <c r="O1469" s="55"/>
      <c r="P1469" s="1"/>
      <c r="Q1469" s="8"/>
      <c r="R1469" s="8"/>
      <c r="S1469" s="1"/>
      <c r="T1469" s="8"/>
      <c r="U1469" s="8"/>
      <c r="V1469" s="56"/>
      <c r="W1469" s="1"/>
      <c r="X1469" s="1"/>
      <c r="Y1469" s="8"/>
      <c r="Z1469" s="8"/>
      <c r="AA1469" s="8"/>
      <c r="AB1469" s="8"/>
      <c r="AC1469" s="8"/>
      <c r="AD1469" s="8"/>
      <c r="AE1469" s="8"/>
      <c r="AF1469" s="8"/>
      <c r="AG1469" s="8"/>
      <c r="AH1469" s="8"/>
      <c r="AI1469" s="8"/>
    </row>
    <row r="1470" spans="1:35">
      <c r="A1470" s="1"/>
      <c r="B1470" s="8"/>
      <c r="C1470" s="8"/>
      <c r="D1470" s="8"/>
      <c r="E1470" s="8"/>
      <c r="F1470" s="8"/>
      <c r="G1470" s="8"/>
      <c r="H1470" s="8"/>
      <c r="I1470" s="8"/>
      <c r="J1470" s="8"/>
      <c r="K1470" s="8"/>
      <c r="L1470" s="26"/>
      <c r="M1470" s="26"/>
      <c r="N1470" s="26"/>
      <c r="O1470" s="55"/>
      <c r="P1470" s="1"/>
      <c r="Q1470" s="8"/>
      <c r="R1470" s="8"/>
      <c r="S1470" s="1"/>
      <c r="T1470" s="8"/>
      <c r="U1470" s="8"/>
      <c r="V1470" s="56"/>
      <c r="W1470" s="1"/>
      <c r="X1470" s="1"/>
      <c r="Y1470" s="8"/>
      <c r="Z1470" s="8"/>
      <c r="AA1470" s="8"/>
      <c r="AB1470" s="8"/>
      <c r="AC1470" s="8"/>
      <c r="AD1470" s="8"/>
      <c r="AE1470" s="8"/>
      <c r="AF1470" s="8"/>
      <c r="AG1470" s="8"/>
      <c r="AH1470" s="8"/>
      <c r="AI1470" s="8"/>
    </row>
    <row r="1471" spans="1:35">
      <c r="A1471" s="1"/>
      <c r="B1471" s="8"/>
      <c r="C1471" s="8"/>
      <c r="D1471" s="8"/>
      <c r="E1471" s="8"/>
      <c r="F1471" s="8"/>
      <c r="G1471" s="8"/>
      <c r="H1471" s="8"/>
      <c r="I1471" s="8"/>
      <c r="J1471" s="8"/>
      <c r="K1471" s="8"/>
      <c r="L1471" s="26"/>
      <c r="M1471" s="26"/>
      <c r="N1471" s="26"/>
      <c r="O1471" s="55"/>
      <c r="P1471" s="1"/>
      <c r="Q1471" s="8"/>
      <c r="R1471" s="8"/>
      <c r="S1471" s="1"/>
      <c r="T1471" s="8"/>
      <c r="U1471" s="8"/>
      <c r="V1471" s="56"/>
      <c r="W1471" s="1"/>
      <c r="X1471" s="1"/>
      <c r="Y1471" s="8"/>
      <c r="Z1471" s="8"/>
      <c r="AA1471" s="8"/>
      <c r="AB1471" s="8"/>
      <c r="AC1471" s="8"/>
      <c r="AD1471" s="8"/>
      <c r="AE1471" s="8"/>
      <c r="AF1471" s="8"/>
      <c r="AG1471" s="8"/>
      <c r="AH1471" s="8"/>
      <c r="AI1471" s="8"/>
    </row>
    <row r="1472" spans="1:35">
      <c r="A1472" s="1"/>
      <c r="B1472" s="8"/>
      <c r="C1472" s="8"/>
      <c r="D1472" s="8"/>
      <c r="E1472" s="8"/>
      <c r="F1472" s="8"/>
      <c r="G1472" s="8"/>
      <c r="H1472" s="8"/>
      <c r="I1472" s="8"/>
      <c r="J1472" s="8"/>
      <c r="K1472" s="8"/>
      <c r="L1472" s="26"/>
      <c r="M1472" s="26"/>
      <c r="N1472" s="26"/>
      <c r="O1472" s="55"/>
      <c r="P1472" s="1"/>
      <c r="Q1472" s="8"/>
      <c r="R1472" s="8"/>
      <c r="S1472" s="1"/>
      <c r="T1472" s="8"/>
      <c r="U1472" s="8"/>
      <c r="V1472" s="56"/>
      <c r="W1472" s="1"/>
      <c r="X1472" s="1"/>
      <c r="Y1472" s="8"/>
      <c r="Z1472" s="8"/>
      <c r="AA1472" s="8"/>
      <c r="AB1472" s="8"/>
      <c r="AC1472" s="8"/>
      <c r="AD1472" s="8"/>
      <c r="AE1472" s="8"/>
      <c r="AF1472" s="8"/>
      <c r="AG1472" s="8"/>
      <c r="AH1472" s="8"/>
      <c r="AI1472" s="8"/>
    </row>
    <row r="1473" spans="1:35">
      <c r="A1473" s="1"/>
      <c r="B1473" s="8"/>
      <c r="C1473" s="8"/>
      <c r="D1473" s="8"/>
      <c r="E1473" s="8"/>
      <c r="F1473" s="8"/>
      <c r="G1473" s="8"/>
      <c r="H1473" s="8"/>
      <c r="I1473" s="8"/>
      <c r="J1473" s="8"/>
      <c r="K1473" s="8"/>
      <c r="L1473" s="26"/>
      <c r="M1473" s="26"/>
      <c r="N1473" s="26"/>
      <c r="O1473" s="55"/>
      <c r="P1473" s="1"/>
      <c r="Q1473" s="8"/>
      <c r="R1473" s="8"/>
      <c r="S1473" s="1"/>
      <c r="T1473" s="8"/>
      <c r="U1473" s="8"/>
      <c r="V1473" s="56"/>
      <c r="W1473" s="1"/>
      <c r="X1473" s="1"/>
      <c r="Y1473" s="8"/>
      <c r="Z1473" s="8"/>
      <c r="AA1473" s="8"/>
      <c r="AB1473" s="8"/>
      <c r="AC1473" s="8"/>
      <c r="AD1473" s="8"/>
      <c r="AE1473" s="8"/>
      <c r="AF1473" s="8"/>
      <c r="AG1473" s="8"/>
      <c r="AH1473" s="8"/>
      <c r="AI1473" s="8"/>
    </row>
    <row r="1474" spans="1:35">
      <c r="A1474" s="1"/>
      <c r="B1474" s="8"/>
      <c r="C1474" s="8"/>
      <c r="D1474" s="8"/>
      <c r="E1474" s="8"/>
      <c r="F1474" s="8"/>
      <c r="G1474" s="8"/>
      <c r="H1474" s="8"/>
      <c r="I1474" s="8"/>
      <c r="J1474" s="8"/>
      <c r="K1474" s="8"/>
      <c r="L1474" s="26"/>
      <c r="M1474" s="26"/>
      <c r="N1474" s="26"/>
      <c r="O1474" s="55"/>
      <c r="P1474" s="1"/>
      <c r="Q1474" s="8"/>
      <c r="R1474" s="8"/>
      <c r="S1474" s="1"/>
      <c r="T1474" s="8"/>
      <c r="U1474" s="8"/>
      <c r="V1474" s="56"/>
      <c r="W1474" s="1"/>
      <c r="X1474" s="1"/>
      <c r="Y1474" s="8"/>
      <c r="Z1474" s="8"/>
      <c r="AA1474" s="8"/>
      <c r="AB1474" s="8"/>
      <c r="AC1474" s="8"/>
      <c r="AD1474" s="8"/>
      <c r="AE1474" s="8"/>
      <c r="AF1474" s="8"/>
      <c r="AG1474" s="8"/>
      <c r="AH1474" s="8"/>
      <c r="AI1474" s="8"/>
    </row>
    <row r="1475" spans="1:35">
      <c r="A1475" s="1"/>
      <c r="B1475" s="8"/>
      <c r="C1475" s="8"/>
      <c r="D1475" s="8"/>
      <c r="E1475" s="8"/>
      <c r="F1475" s="8"/>
      <c r="G1475" s="8"/>
      <c r="H1475" s="8"/>
      <c r="I1475" s="8"/>
      <c r="J1475" s="8"/>
      <c r="K1475" s="8"/>
      <c r="L1475" s="26"/>
      <c r="M1475" s="26"/>
      <c r="N1475" s="26"/>
      <c r="O1475" s="55"/>
      <c r="P1475" s="1"/>
      <c r="Q1475" s="8"/>
      <c r="R1475" s="8"/>
      <c r="S1475" s="1"/>
      <c r="T1475" s="8"/>
      <c r="U1475" s="8"/>
      <c r="V1475" s="56"/>
      <c r="W1475" s="1"/>
      <c r="X1475" s="1"/>
      <c r="Y1475" s="8"/>
      <c r="Z1475" s="8"/>
      <c r="AA1475" s="8"/>
      <c r="AB1475" s="8"/>
      <c r="AC1475" s="8"/>
      <c r="AD1475" s="8"/>
      <c r="AE1475" s="8"/>
      <c r="AF1475" s="8"/>
      <c r="AG1475" s="8"/>
      <c r="AH1475" s="8"/>
      <c r="AI1475" s="8"/>
    </row>
    <row r="1476" spans="1:35">
      <c r="A1476" s="1"/>
      <c r="B1476" s="8"/>
      <c r="C1476" s="8"/>
      <c r="D1476" s="8"/>
      <c r="E1476" s="8"/>
      <c r="F1476" s="8"/>
      <c r="G1476" s="8"/>
      <c r="H1476" s="8"/>
      <c r="I1476" s="8"/>
      <c r="J1476" s="8"/>
      <c r="K1476" s="8"/>
      <c r="L1476" s="26"/>
      <c r="M1476" s="26"/>
      <c r="N1476" s="26"/>
      <c r="O1476" s="55"/>
      <c r="P1476" s="1"/>
      <c r="Q1476" s="8"/>
      <c r="R1476" s="8"/>
      <c r="S1476" s="1"/>
      <c r="T1476" s="8"/>
      <c r="U1476" s="8"/>
      <c r="V1476" s="56"/>
      <c r="W1476" s="1"/>
      <c r="X1476" s="1"/>
      <c r="Y1476" s="8"/>
      <c r="Z1476" s="8"/>
      <c r="AA1476" s="8"/>
      <c r="AB1476" s="8"/>
      <c r="AC1476" s="8"/>
      <c r="AD1476" s="8"/>
      <c r="AE1476" s="8"/>
      <c r="AF1476" s="8"/>
      <c r="AG1476" s="8"/>
      <c r="AH1476" s="8"/>
      <c r="AI1476" s="8"/>
    </row>
    <row r="1477" spans="1:35">
      <c r="A1477" s="1"/>
      <c r="B1477" s="8"/>
      <c r="C1477" s="8"/>
      <c r="D1477" s="8"/>
      <c r="E1477" s="8"/>
      <c r="F1477" s="8"/>
      <c r="G1477" s="8"/>
      <c r="H1477" s="8"/>
      <c r="I1477" s="8"/>
      <c r="J1477" s="8"/>
      <c r="K1477" s="8"/>
      <c r="L1477" s="26"/>
      <c r="M1477" s="26"/>
      <c r="N1477" s="26"/>
      <c r="O1477" s="55"/>
      <c r="P1477" s="1"/>
      <c r="Q1477" s="8"/>
      <c r="R1477" s="8"/>
      <c r="S1477" s="1"/>
      <c r="T1477" s="8"/>
      <c r="U1477" s="8"/>
      <c r="V1477" s="56"/>
      <c r="W1477" s="1"/>
      <c r="X1477" s="1"/>
      <c r="Y1477" s="8"/>
      <c r="Z1477" s="8"/>
      <c r="AA1477" s="8"/>
      <c r="AB1477" s="8"/>
      <c r="AC1477" s="8"/>
      <c r="AD1477" s="8"/>
      <c r="AE1477" s="8"/>
      <c r="AF1477" s="8"/>
      <c r="AG1477" s="8"/>
      <c r="AH1477" s="8"/>
      <c r="AI1477" s="8"/>
    </row>
    <row r="1478" spans="1:35">
      <c r="A1478" s="1"/>
      <c r="B1478" s="8"/>
      <c r="C1478" s="8"/>
      <c r="D1478" s="8"/>
      <c r="E1478" s="8"/>
      <c r="F1478" s="8"/>
      <c r="G1478" s="8"/>
      <c r="H1478" s="8"/>
      <c r="I1478" s="8"/>
      <c r="J1478" s="8"/>
      <c r="K1478" s="8"/>
      <c r="L1478" s="26"/>
      <c r="M1478" s="26"/>
      <c r="N1478" s="26"/>
      <c r="O1478" s="55"/>
      <c r="P1478" s="1"/>
      <c r="Q1478" s="8"/>
      <c r="R1478" s="8"/>
      <c r="S1478" s="1"/>
      <c r="T1478" s="8"/>
      <c r="U1478" s="8"/>
      <c r="V1478" s="56"/>
      <c r="W1478" s="1"/>
      <c r="X1478" s="1"/>
      <c r="Y1478" s="8"/>
      <c r="Z1478" s="8"/>
      <c r="AA1478" s="8"/>
      <c r="AB1478" s="8"/>
      <c r="AC1478" s="8"/>
      <c r="AD1478" s="8"/>
      <c r="AE1478" s="8"/>
      <c r="AF1478" s="8"/>
      <c r="AG1478" s="8"/>
      <c r="AH1478" s="8"/>
      <c r="AI1478" s="8"/>
    </row>
    <row r="1479" spans="1:35">
      <c r="A1479" s="1"/>
      <c r="B1479" s="8"/>
      <c r="C1479" s="8"/>
      <c r="D1479" s="8"/>
      <c r="E1479" s="8"/>
      <c r="F1479" s="8"/>
      <c r="G1479" s="8"/>
      <c r="H1479" s="8"/>
      <c r="I1479" s="8"/>
      <c r="J1479" s="8"/>
      <c r="K1479" s="8"/>
      <c r="L1479" s="26"/>
      <c r="M1479" s="26"/>
      <c r="N1479" s="26"/>
      <c r="O1479" s="55"/>
      <c r="P1479" s="1"/>
      <c r="Q1479" s="8"/>
      <c r="R1479" s="8"/>
      <c r="S1479" s="1"/>
      <c r="T1479" s="8"/>
      <c r="U1479" s="8"/>
      <c r="V1479" s="56"/>
      <c r="W1479" s="1"/>
      <c r="X1479" s="1"/>
      <c r="Y1479" s="8"/>
      <c r="Z1479" s="8"/>
      <c r="AA1479" s="8"/>
      <c r="AB1479" s="8"/>
      <c r="AC1479" s="8"/>
      <c r="AD1479" s="8"/>
      <c r="AE1479" s="8"/>
      <c r="AF1479" s="8"/>
      <c r="AG1479" s="8"/>
      <c r="AH1479" s="8"/>
      <c r="AI1479" s="8"/>
    </row>
    <row r="1480" spans="1:35">
      <c r="A1480" s="1"/>
      <c r="B1480" s="8"/>
      <c r="C1480" s="8"/>
      <c r="D1480" s="8"/>
      <c r="E1480" s="8"/>
      <c r="F1480" s="8"/>
      <c r="G1480" s="8"/>
      <c r="H1480" s="8"/>
      <c r="I1480" s="8"/>
      <c r="J1480" s="8"/>
      <c r="K1480" s="8"/>
      <c r="L1480" s="26"/>
      <c r="M1480" s="26"/>
      <c r="N1480" s="26"/>
      <c r="O1480" s="55"/>
      <c r="P1480" s="1"/>
      <c r="Q1480" s="8"/>
      <c r="R1480" s="8"/>
      <c r="S1480" s="1"/>
      <c r="T1480" s="8"/>
      <c r="U1480" s="8"/>
      <c r="V1480" s="56"/>
      <c r="W1480" s="1"/>
      <c r="X1480" s="1"/>
      <c r="Y1480" s="8"/>
      <c r="Z1480" s="8"/>
      <c r="AA1480" s="8"/>
      <c r="AB1480" s="8"/>
      <c r="AC1480" s="8"/>
      <c r="AD1480" s="8"/>
      <c r="AE1480" s="8"/>
      <c r="AF1480" s="8"/>
      <c r="AG1480" s="8"/>
      <c r="AH1480" s="8"/>
      <c r="AI1480" s="8"/>
    </row>
    <row r="1481" spans="1:35">
      <c r="A1481" s="1"/>
      <c r="B1481" s="8"/>
      <c r="C1481" s="8"/>
      <c r="D1481" s="8"/>
      <c r="E1481" s="8"/>
      <c r="F1481" s="8"/>
      <c r="G1481" s="8"/>
      <c r="H1481" s="8"/>
      <c r="I1481" s="8"/>
      <c r="J1481" s="8"/>
      <c r="K1481" s="8"/>
      <c r="L1481" s="26"/>
      <c r="M1481" s="26"/>
      <c r="N1481" s="26"/>
      <c r="O1481" s="55"/>
      <c r="P1481" s="1"/>
      <c r="Q1481" s="8"/>
      <c r="R1481" s="8"/>
      <c r="S1481" s="1"/>
      <c r="T1481" s="8"/>
      <c r="U1481" s="8"/>
      <c r="V1481" s="56"/>
      <c r="W1481" s="1"/>
      <c r="X1481" s="1"/>
      <c r="Y1481" s="8"/>
      <c r="Z1481" s="8"/>
      <c r="AA1481" s="8"/>
      <c r="AB1481" s="8"/>
      <c r="AC1481" s="8"/>
      <c r="AD1481" s="8"/>
      <c r="AE1481" s="8"/>
      <c r="AF1481" s="8"/>
      <c r="AG1481" s="8"/>
      <c r="AH1481" s="8"/>
      <c r="AI1481" s="8"/>
    </row>
    <row r="1482" spans="1:35">
      <c r="A1482" s="1"/>
      <c r="B1482" s="8"/>
      <c r="C1482" s="8"/>
      <c r="D1482" s="8"/>
      <c r="E1482" s="8"/>
      <c r="F1482" s="8"/>
      <c r="G1482" s="8"/>
      <c r="H1482" s="8"/>
      <c r="I1482" s="8"/>
      <c r="J1482" s="8"/>
      <c r="K1482" s="8"/>
      <c r="L1482" s="26"/>
      <c r="M1482" s="26"/>
      <c r="N1482" s="26"/>
      <c r="O1482" s="55"/>
      <c r="P1482" s="1"/>
      <c r="Q1482" s="8"/>
      <c r="R1482" s="8"/>
      <c r="S1482" s="1"/>
      <c r="T1482" s="8"/>
      <c r="U1482" s="8"/>
      <c r="V1482" s="56"/>
      <c r="W1482" s="1"/>
      <c r="X1482" s="1"/>
      <c r="Y1482" s="8"/>
      <c r="Z1482" s="8"/>
      <c r="AA1482" s="8"/>
      <c r="AB1482" s="8"/>
      <c r="AC1482" s="8"/>
      <c r="AD1482" s="8"/>
      <c r="AE1482" s="8"/>
      <c r="AF1482" s="8"/>
      <c r="AG1482" s="8"/>
      <c r="AH1482" s="8"/>
      <c r="AI1482" s="8"/>
    </row>
    <row r="1483" spans="1:35">
      <c r="A1483" s="1"/>
      <c r="B1483" s="8"/>
      <c r="C1483" s="8"/>
      <c r="D1483" s="8"/>
      <c r="E1483" s="8"/>
      <c r="F1483" s="8"/>
      <c r="G1483" s="8"/>
      <c r="H1483" s="8"/>
      <c r="I1483" s="8"/>
      <c r="J1483" s="8"/>
      <c r="K1483" s="8"/>
      <c r="L1483" s="26"/>
      <c r="M1483" s="26"/>
      <c r="N1483" s="26"/>
      <c r="O1483" s="55"/>
      <c r="P1483" s="1"/>
      <c r="Q1483" s="8"/>
      <c r="R1483" s="8"/>
      <c r="S1483" s="1"/>
      <c r="T1483" s="8"/>
      <c r="U1483" s="8"/>
      <c r="V1483" s="56"/>
      <c r="W1483" s="1"/>
      <c r="X1483" s="1"/>
      <c r="Y1483" s="8"/>
      <c r="Z1483" s="8"/>
      <c r="AA1483" s="8"/>
      <c r="AB1483" s="8"/>
      <c r="AC1483" s="8"/>
      <c r="AD1483" s="8"/>
      <c r="AE1483" s="8"/>
      <c r="AF1483" s="8"/>
      <c r="AG1483" s="8"/>
      <c r="AH1483" s="8"/>
      <c r="AI1483" s="8"/>
    </row>
    <row r="1484" spans="1:35">
      <c r="A1484" s="1"/>
      <c r="B1484" s="8"/>
      <c r="C1484" s="8"/>
      <c r="D1484" s="8"/>
      <c r="E1484" s="8"/>
      <c r="F1484" s="8"/>
      <c r="G1484" s="8"/>
      <c r="H1484" s="8"/>
      <c r="I1484" s="8"/>
      <c r="J1484" s="8"/>
      <c r="K1484" s="8"/>
      <c r="L1484" s="26"/>
      <c r="M1484" s="26"/>
      <c r="N1484" s="26"/>
      <c r="O1484" s="55"/>
      <c r="P1484" s="1"/>
      <c r="Q1484" s="8"/>
      <c r="R1484" s="8"/>
      <c r="S1484" s="1"/>
      <c r="T1484" s="8"/>
      <c r="U1484" s="8"/>
      <c r="V1484" s="56"/>
      <c r="W1484" s="1"/>
      <c r="X1484" s="1"/>
      <c r="Y1484" s="8"/>
      <c r="Z1484" s="8"/>
      <c r="AA1484" s="8"/>
      <c r="AB1484" s="8"/>
      <c r="AC1484" s="8"/>
      <c r="AD1484" s="8"/>
      <c r="AE1484" s="8"/>
      <c r="AF1484" s="8"/>
      <c r="AG1484" s="8"/>
      <c r="AH1484" s="8"/>
      <c r="AI1484" s="8"/>
    </row>
    <row r="1485" spans="1:35">
      <c r="A1485" s="1"/>
      <c r="B1485" s="8"/>
      <c r="C1485" s="8"/>
      <c r="D1485" s="8"/>
      <c r="E1485" s="8"/>
      <c r="F1485" s="8"/>
      <c r="G1485" s="8"/>
      <c r="H1485" s="8"/>
      <c r="I1485" s="8"/>
      <c r="J1485" s="8"/>
      <c r="K1485" s="8"/>
      <c r="L1485" s="26"/>
      <c r="M1485" s="26"/>
      <c r="N1485" s="26"/>
      <c r="O1485" s="55"/>
      <c r="P1485" s="1"/>
      <c r="Q1485" s="8"/>
      <c r="R1485" s="8"/>
      <c r="S1485" s="1"/>
      <c r="T1485" s="8"/>
      <c r="U1485" s="8"/>
      <c r="V1485" s="56"/>
      <c r="W1485" s="1"/>
      <c r="X1485" s="1"/>
      <c r="Y1485" s="8"/>
      <c r="Z1485" s="8"/>
      <c r="AA1485" s="8"/>
      <c r="AB1485" s="8"/>
      <c r="AC1485" s="8"/>
      <c r="AD1485" s="8"/>
      <c r="AE1485" s="8"/>
      <c r="AF1485" s="8"/>
      <c r="AG1485" s="8"/>
      <c r="AH1485" s="8"/>
      <c r="AI1485" s="8"/>
    </row>
    <row r="1486" spans="1:35">
      <c r="A1486" s="1"/>
      <c r="B1486" s="8"/>
      <c r="C1486" s="8"/>
      <c r="D1486" s="8"/>
      <c r="E1486" s="8"/>
      <c r="F1486" s="8"/>
      <c r="G1486" s="8"/>
      <c r="H1486" s="8"/>
      <c r="I1486" s="8"/>
      <c r="J1486" s="8"/>
      <c r="K1486" s="8"/>
      <c r="L1486" s="26"/>
      <c r="M1486" s="26"/>
      <c r="N1486" s="26"/>
      <c r="O1486" s="55"/>
      <c r="P1486" s="1"/>
      <c r="Q1486" s="8"/>
      <c r="R1486" s="8"/>
      <c r="S1486" s="1"/>
      <c r="T1486" s="8"/>
      <c r="U1486" s="8"/>
      <c r="V1486" s="56"/>
      <c r="W1486" s="1"/>
      <c r="X1486" s="1"/>
      <c r="Y1486" s="8"/>
      <c r="Z1486" s="8"/>
      <c r="AA1486" s="8"/>
      <c r="AB1486" s="8"/>
      <c r="AC1486" s="8"/>
      <c r="AD1486" s="8"/>
      <c r="AE1486" s="8"/>
      <c r="AF1486" s="8"/>
      <c r="AG1486" s="8"/>
      <c r="AH1486" s="8"/>
      <c r="AI1486" s="8"/>
    </row>
    <row r="1487" spans="1:35">
      <c r="A1487" s="1"/>
      <c r="B1487" s="8"/>
      <c r="C1487" s="8"/>
      <c r="D1487" s="8"/>
      <c r="E1487" s="8"/>
      <c r="F1487" s="8"/>
      <c r="G1487" s="8"/>
      <c r="H1487" s="8"/>
      <c r="I1487" s="8"/>
      <c r="J1487" s="8"/>
      <c r="K1487" s="8"/>
      <c r="L1487" s="26"/>
      <c r="M1487" s="26"/>
      <c r="N1487" s="26"/>
      <c r="O1487" s="55"/>
      <c r="P1487" s="1"/>
      <c r="Q1487" s="8"/>
      <c r="R1487" s="8"/>
      <c r="S1487" s="1"/>
      <c r="T1487" s="8"/>
      <c r="U1487" s="8"/>
      <c r="V1487" s="56"/>
      <c r="W1487" s="1"/>
      <c r="X1487" s="1"/>
      <c r="Y1487" s="8"/>
      <c r="Z1487" s="8"/>
      <c r="AA1487" s="8"/>
      <c r="AB1487" s="8"/>
      <c r="AC1487" s="8"/>
      <c r="AD1487" s="8"/>
      <c r="AE1487" s="8"/>
      <c r="AF1487" s="8"/>
      <c r="AG1487" s="8"/>
      <c r="AH1487" s="8"/>
      <c r="AI1487" s="8"/>
    </row>
    <row r="1488" spans="1:35">
      <c r="A1488" s="1"/>
      <c r="B1488" s="8"/>
      <c r="C1488" s="8"/>
      <c r="D1488" s="8"/>
      <c r="E1488" s="8"/>
      <c r="F1488" s="8"/>
      <c r="G1488" s="8"/>
      <c r="H1488" s="8"/>
      <c r="I1488" s="8"/>
      <c r="J1488" s="8"/>
      <c r="K1488" s="8"/>
      <c r="L1488" s="26"/>
      <c r="M1488" s="26"/>
      <c r="N1488" s="26"/>
      <c r="O1488" s="55"/>
      <c r="P1488" s="1"/>
      <c r="Q1488" s="8"/>
      <c r="R1488" s="8"/>
      <c r="S1488" s="1"/>
      <c r="T1488" s="8"/>
      <c r="U1488" s="8"/>
      <c r="V1488" s="56"/>
      <c r="W1488" s="1"/>
      <c r="X1488" s="1"/>
      <c r="Y1488" s="8"/>
      <c r="Z1488" s="8"/>
      <c r="AA1488" s="8"/>
      <c r="AB1488" s="8"/>
      <c r="AC1488" s="8"/>
      <c r="AD1488" s="8"/>
      <c r="AE1488" s="8"/>
      <c r="AF1488" s="8"/>
      <c r="AG1488" s="8"/>
      <c r="AH1488" s="8"/>
      <c r="AI1488" s="8"/>
    </row>
    <row r="1489" spans="1:35">
      <c r="A1489" s="1"/>
      <c r="B1489" s="8"/>
      <c r="C1489" s="8"/>
      <c r="D1489" s="8"/>
      <c r="E1489" s="8"/>
      <c r="F1489" s="8"/>
      <c r="G1489" s="8"/>
      <c r="H1489" s="8"/>
      <c r="I1489" s="8"/>
      <c r="J1489" s="8"/>
      <c r="K1489" s="8"/>
      <c r="L1489" s="26"/>
      <c r="M1489" s="26"/>
      <c r="N1489" s="26"/>
      <c r="O1489" s="55"/>
      <c r="P1489" s="1"/>
      <c r="Q1489" s="8"/>
      <c r="R1489" s="8"/>
      <c r="S1489" s="1"/>
      <c r="T1489" s="8"/>
      <c r="U1489" s="8"/>
      <c r="V1489" s="56"/>
      <c r="W1489" s="1"/>
      <c r="X1489" s="1"/>
      <c r="Y1489" s="8"/>
      <c r="Z1489" s="8"/>
      <c r="AA1489" s="8"/>
      <c r="AB1489" s="8"/>
      <c r="AC1489" s="8"/>
      <c r="AD1489" s="8"/>
      <c r="AE1489" s="8"/>
      <c r="AF1489" s="8"/>
      <c r="AG1489" s="8"/>
      <c r="AH1489" s="8"/>
      <c r="AI1489" s="8"/>
    </row>
    <row r="1490" spans="1:35">
      <c r="A1490" s="1"/>
      <c r="B1490" s="8"/>
      <c r="C1490" s="8"/>
      <c r="D1490" s="8"/>
      <c r="E1490" s="8"/>
      <c r="F1490" s="8"/>
      <c r="G1490" s="8"/>
      <c r="H1490" s="8"/>
      <c r="I1490" s="8"/>
      <c r="J1490" s="8"/>
      <c r="K1490" s="8"/>
      <c r="L1490" s="26"/>
      <c r="M1490" s="26"/>
      <c r="N1490" s="26"/>
      <c r="O1490" s="55"/>
      <c r="P1490" s="1"/>
      <c r="Q1490" s="8"/>
      <c r="R1490" s="8"/>
      <c r="S1490" s="1"/>
      <c r="T1490" s="8"/>
      <c r="U1490" s="8"/>
      <c r="V1490" s="56"/>
      <c r="W1490" s="1"/>
      <c r="X1490" s="1"/>
      <c r="Y1490" s="8"/>
      <c r="Z1490" s="8"/>
      <c r="AA1490" s="8"/>
      <c r="AB1490" s="8"/>
      <c r="AC1490" s="8"/>
      <c r="AD1490" s="8"/>
      <c r="AE1490" s="8"/>
      <c r="AF1490" s="8"/>
      <c r="AG1490" s="8"/>
      <c r="AH1490" s="8"/>
      <c r="AI1490" s="8"/>
    </row>
    <row r="1491" spans="1:35">
      <c r="A1491" s="1"/>
      <c r="B1491" s="8"/>
      <c r="C1491" s="8"/>
      <c r="D1491" s="8"/>
      <c r="E1491" s="8"/>
      <c r="F1491" s="8"/>
      <c r="G1491" s="8"/>
      <c r="H1491" s="8"/>
      <c r="I1491" s="8"/>
      <c r="J1491" s="8"/>
      <c r="K1491" s="8"/>
      <c r="L1491" s="26"/>
      <c r="M1491" s="26"/>
      <c r="N1491" s="26"/>
      <c r="O1491" s="55"/>
      <c r="P1491" s="1"/>
      <c r="Q1491" s="8"/>
      <c r="R1491" s="8"/>
      <c r="S1491" s="1"/>
      <c r="T1491" s="8"/>
      <c r="U1491" s="8"/>
      <c r="V1491" s="56"/>
      <c r="W1491" s="1"/>
      <c r="X1491" s="1"/>
      <c r="Y1491" s="8"/>
      <c r="Z1491" s="8"/>
      <c r="AA1491" s="8"/>
      <c r="AB1491" s="8"/>
      <c r="AC1491" s="8"/>
      <c r="AD1491" s="8"/>
      <c r="AE1491" s="8"/>
      <c r="AF1491" s="8"/>
      <c r="AG1491" s="8"/>
      <c r="AH1491" s="8"/>
      <c r="AI1491" s="8"/>
    </row>
    <row r="1492" spans="1:35">
      <c r="A1492" s="1"/>
      <c r="B1492" s="8"/>
      <c r="C1492" s="8"/>
      <c r="D1492" s="8"/>
      <c r="E1492" s="8"/>
      <c r="F1492" s="8"/>
      <c r="G1492" s="8"/>
      <c r="H1492" s="8"/>
      <c r="I1492" s="8"/>
      <c r="J1492" s="8"/>
      <c r="K1492" s="8"/>
      <c r="L1492" s="26"/>
      <c r="M1492" s="26"/>
      <c r="N1492" s="26"/>
      <c r="O1492" s="55"/>
      <c r="P1492" s="1"/>
      <c r="Q1492" s="8"/>
      <c r="R1492" s="8"/>
      <c r="S1492" s="1"/>
      <c r="T1492" s="8"/>
      <c r="U1492" s="8"/>
      <c r="V1492" s="56"/>
      <c r="W1492" s="1"/>
      <c r="X1492" s="1"/>
      <c r="Y1492" s="8"/>
      <c r="Z1492" s="8"/>
      <c r="AA1492" s="8"/>
      <c r="AB1492" s="8"/>
      <c r="AC1492" s="8"/>
      <c r="AD1492" s="8"/>
      <c r="AE1492" s="8"/>
      <c r="AF1492" s="8"/>
      <c r="AG1492" s="8"/>
      <c r="AH1492" s="8"/>
      <c r="AI1492" s="8"/>
    </row>
    <row r="1493" spans="1:35">
      <c r="A1493" s="1"/>
      <c r="B1493" s="8"/>
      <c r="C1493" s="8"/>
      <c r="D1493" s="8"/>
      <c r="E1493" s="8"/>
      <c r="F1493" s="8"/>
      <c r="G1493" s="8"/>
      <c r="H1493" s="8"/>
      <c r="I1493" s="8"/>
      <c r="J1493" s="8"/>
      <c r="K1493" s="8"/>
      <c r="L1493" s="26"/>
      <c r="M1493" s="26"/>
      <c r="N1493" s="26"/>
      <c r="O1493" s="55"/>
      <c r="P1493" s="1"/>
      <c r="Q1493" s="8"/>
      <c r="R1493" s="8"/>
      <c r="S1493" s="1"/>
      <c r="T1493" s="8"/>
      <c r="U1493" s="8"/>
      <c r="V1493" s="56"/>
      <c r="W1493" s="1"/>
      <c r="X1493" s="1"/>
      <c r="Y1493" s="8"/>
      <c r="Z1493" s="8"/>
      <c r="AA1493" s="8"/>
      <c r="AB1493" s="8"/>
      <c r="AC1493" s="8"/>
      <c r="AD1493" s="8"/>
      <c r="AE1493" s="8"/>
      <c r="AF1493" s="8"/>
      <c r="AG1493" s="8"/>
      <c r="AH1493" s="8"/>
      <c r="AI1493" s="8"/>
    </row>
    <row r="1494" spans="1:35">
      <c r="A1494" s="1"/>
      <c r="B1494" s="8"/>
      <c r="C1494" s="8"/>
      <c r="D1494" s="8"/>
      <c r="E1494" s="8"/>
      <c r="F1494" s="8"/>
      <c r="G1494" s="8"/>
      <c r="H1494" s="8"/>
      <c r="I1494" s="8"/>
      <c r="J1494" s="8"/>
      <c r="K1494" s="8"/>
      <c r="L1494" s="26"/>
      <c r="M1494" s="26"/>
      <c r="N1494" s="26"/>
      <c r="O1494" s="55"/>
      <c r="P1494" s="1"/>
      <c r="Q1494" s="8"/>
      <c r="R1494" s="8"/>
      <c r="S1494" s="1"/>
      <c r="T1494" s="8"/>
      <c r="U1494" s="8"/>
      <c r="V1494" s="56"/>
      <c r="W1494" s="1"/>
      <c r="X1494" s="1"/>
      <c r="Y1494" s="8"/>
      <c r="Z1494" s="8"/>
      <c r="AA1494" s="8"/>
      <c r="AB1494" s="8"/>
      <c r="AC1494" s="8"/>
      <c r="AD1494" s="8"/>
      <c r="AE1494" s="8"/>
      <c r="AF1494" s="8"/>
      <c r="AG1494" s="8"/>
      <c r="AH1494" s="8"/>
      <c r="AI1494" s="8"/>
    </row>
    <row r="1495" spans="1:35">
      <c r="A1495" s="1"/>
      <c r="B1495" s="8"/>
      <c r="C1495" s="8"/>
      <c r="D1495" s="8"/>
      <c r="E1495" s="8"/>
      <c r="F1495" s="8"/>
      <c r="G1495" s="8"/>
      <c r="H1495" s="8"/>
      <c r="I1495" s="8"/>
      <c r="J1495" s="8"/>
      <c r="K1495" s="8"/>
      <c r="L1495" s="26"/>
      <c r="M1495" s="26"/>
      <c r="N1495" s="26"/>
      <c r="O1495" s="55"/>
      <c r="P1495" s="1"/>
      <c r="Q1495" s="8"/>
      <c r="R1495" s="8"/>
      <c r="S1495" s="1"/>
      <c r="T1495" s="8"/>
      <c r="U1495" s="8"/>
      <c r="V1495" s="56"/>
      <c r="W1495" s="1"/>
      <c r="X1495" s="1"/>
      <c r="Y1495" s="8"/>
      <c r="Z1495" s="8"/>
      <c r="AA1495" s="8"/>
      <c r="AB1495" s="8"/>
      <c r="AC1495" s="8"/>
      <c r="AD1495" s="8"/>
      <c r="AE1495" s="8"/>
      <c r="AF1495" s="8"/>
      <c r="AG1495" s="8"/>
      <c r="AH1495" s="8"/>
      <c r="AI1495" s="8"/>
    </row>
    <row r="1496" spans="1:35">
      <c r="A1496" s="1"/>
      <c r="B1496" s="8"/>
      <c r="C1496" s="8"/>
      <c r="D1496" s="8"/>
      <c r="E1496" s="8"/>
      <c r="F1496" s="8"/>
      <c r="G1496" s="8"/>
      <c r="H1496" s="8"/>
      <c r="I1496" s="8"/>
      <c r="J1496" s="8"/>
      <c r="K1496" s="8"/>
      <c r="L1496" s="26"/>
      <c r="M1496" s="26"/>
      <c r="N1496" s="26"/>
      <c r="O1496" s="55"/>
      <c r="P1496" s="1"/>
      <c r="Q1496" s="8"/>
      <c r="R1496" s="8"/>
      <c r="S1496" s="1"/>
      <c r="T1496" s="8"/>
      <c r="U1496" s="8"/>
      <c r="V1496" s="56"/>
      <c r="W1496" s="1"/>
      <c r="X1496" s="1"/>
      <c r="Y1496" s="8"/>
      <c r="Z1496" s="8"/>
      <c r="AA1496" s="8"/>
      <c r="AB1496" s="8"/>
      <c r="AC1496" s="8"/>
      <c r="AD1496" s="8"/>
      <c r="AE1496" s="8"/>
      <c r="AF1496" s="8"/>
      <c r="AG1496" s="8"/>
      <c r="AH1496" s="8"/>
      <c r="AI1496" s="8"/>
    </row>
    <row r="1497" spans="1:35">
      <c r="A1497" s="1"/>
      <c r="B1497" s="8"/>
      <c r="C1497" s="8"/>
      <c r="D1497" s="8"/>
      <c r="E1497" s="8"/>
      <c r="F1497" s="8"/>
      <c r="G1497" s="8"/>
      <c r="H1497" s="8"/>
      <c r="I1497" s="8"/>
      <c r="J1497" s="8"/>
      <c r="K1497" s="8"/>
      <c r="L1497" s="26"/>
      <c r="M1497" s="26"/>
      <c r="N1497" s="26"/>
      <c r="O1497" s="55"/>
      <c r="P1497" s="1"/>
      <c r="Q1497" s="8"/>
      <c r="R1497" s="8"/>
      <c r="S1497" s="1"/>
      <c r="T1497" s="8"/>
      <c r="U1497" s="8"/>
      <c r="V1497" s="56"/>
      <c r="W1497" s="1"/>
      <c r="X1497" s="1"/>
      <c r="Y1497" s="8"/>
      <c r="Z1497" s="8"/>
      <c r="AA1497" s="8"/>
      <c r="AB1497" s="8"/>
      <c r="AC1497" s="8"/>
      <c r="AD1497" s="8"/>
      <c r="AE1497" s="8"/>
      <c r="AF1497" s="8"/>
      <c r="AG1497" s="8"/>
      <c r="AH1497" s="8"/>
      <c r="AI1497" s="8"/>
    </row>
    <row r="1498" spans="1:35">
      <c r="A1498" s="1"/>
      <c r="B1498" s="8"/>
      <c r="C1498" s="8"/>
      <c r="D1498" s="8"/>
      <c r="E1498" s="8"/>
      <c r="F1498" s="8"/>
      <c r="G1498" s="8"/>
      <c r="H1498" s="8"/>
      <c r="I1498" s="8"/>
      <c r="J1498" s="8"/>
      <c r="K1498" s="8"/>
      <c r="L1498" s="26"/>
      <c r="M1498" s="26"/>
      <c r="N1498" s="26"/>
      <c r="O1498" s="55"/>
      <c r="P1498" s="1"/>
      <c r="Q1498" s="8"/>
      <c r="R1498" s="8"/>
      <c r="S1498" s="1"/>
      <c r="T1498" s="8"/>
      <c r="U1498" s="8"/>
      <c r="V1498" s="56"/>
      <c r="W1498" s="1"/>
      <c r="X1498" s="1"/>
      <c r="Y1498" s="8"/>
      <c r="Z1498" s="8"/>
      <c r="AA1498" s="8"/>
      <c r="AB1498" s="8"/>
      <c r="AC1498" s="8"/>
      <c r="AD1498" s="8"/>
      <c r="AE1498" s="8"/>
      <c r="AF1498" s="8"/>
      <c r="AG1498" s="8"/>
      <c r="AH1498" s="8"/>
      <c r="AI1498" s="8"/>
    </row>
    <row r="1499" spans="1:35">
      <c r="A1499" s="1"/>
      <c r="B1499" s="8"/>
      <c r="C1499" s="8"/>
      <c r="D1499" s="8"/>
      <c r="E1499" s="8"/>
      <c r="F1499" s="8"/>
      <c r="G1499" s="8"/>
      <c r="H1499" s="8"/>
      <c r="I1499" s="8"/>
      <c r="J1499" s="8"/>
      <c r="K1499" s="8"/>
      <c r="L1499" s="26"/>
      <c r="M1499" s="26"/>
      <c r="N1499" s="26"/>
      <c r="O1499" s="55"/>
      <c r="P1499" s="1"/>
      <c r="Q1499" s="8"/>
      <c r="R1499" s="8"/>
      <c r="S1499" s="1"/>
      <c r="T1499" s="8"/>
      <c r="U1499" s="8"/>
      <c r="V1499" s="56"/>
      <c r="W1499" s="1"/>
      <c r="X1499" s="1"/>
      <c r="Y1499" s="8"/>
      <c r="Z1499" s="8"/>
      <c r="AA1499" s="8"/>
      <c r="AB1499" s="8"/>
      <c r="AC1499" s="8"/>
      <c r="AD1499" s="8"/>
      <c r="AE1499" s="8"/>
      <c r="AF1499" s="8"/>
      <c r="AG1499" s="8"/>
      <c r="AH1499" s="8"/>
      <c r="AI1499" s="8"/>
    </row>
    <row r="1500" spans="1:35">
      <c r="A1500" s="1"/>
      <c r="B1500" s="8"/>
      <c r="C1500" s="8"/>
      <c r="D1500" s="8"/>
      <c r="E1500" s="8"/>
      <c r="F1500" s="8"/>
      <c r="G1500" s="8"/>
      <c r="H1500" s="8"/>
      <c r="I1500" s="8"/>
      <c r="J1500" s="8"/>
      <c r="K1500" s="8"/>
      <c r="L1500" s="26"/>
      <c r="M1500" s="26"/>
      <c r="N1500" s="26"/>
      <c r="O1500" s="55"/>
      <c r="P1500" s="1"/>
      <c r="Q1500" s="8"/>
      <c r="R1500" s="8"/>
      <c r="S1500" s="1"/>
      <c r="T1500" s="8"/>
      <c r="U1500" s="8"/>
      <c r="V1500" s="56"/>
      <c r="W1500" s="1"/>
      <c r="X1500" s="1"/>
      <c r="Y1500" s="8"/>
      <c r="Z1500" s="8"/>
      <c r="AA1500" s="8"/>
      <c r="AB1500" s="8"/>
      <c r="AC1500" s="8"/>
      <c r="AD1500" s="8"/>
      <c r="AE1500" s="8"/>
      <c r="AF1500" s="8"/>
      <c r="AG1500" s="8"/>
      <c r="AH1500" s="8"/>
      <c r="AI1500" s="8"/>
    </row>
    <row r="1501" spans="1:35">
      <c r="A1501" s="1"/>
      <c r="B1501" s="8"/>
      <c r="C1501" s="8"/>
      <c r="D1501" s="8"/>
      <c r="E1501" s="8"/>
      <c r="F1501" s="8"/>
      <c r="G1501" s="8"/>
      <c r="H1501" s="8"/>
      <c r="I1501" s="8"/>
      <c r="J1501" s="8"/>
      <c r="K1501" s="8"/>
      <c r="L1501" s="26"/>
      <c r="M1501" s="26"/>
      <c r="N1501" s="26"/>
      <c r="O1501" s="55"/>
      <c r="P1501" s="1"/>
      <c r="Q1501" s="8"/>
      <c r="R1501" s="8"/>
      <c r="S1501" s="1"/>
      <c r="T1501" s="8"/>
      <c r="U1501" s="8"/>
      <c r="V1501" s="56"/>
      <c r="W1501" s="1"/>
      <c r="X1501" s="1"/>
      <c r="Y1501" s="8"/>
      <c r="Z1501" s="8"/>
      <c r="AA1501" s="8"/>
      <c r="AB1501" s="8"/>
      <c r="AC1501" s="8"/>
      <c r="AD1501" s="8"/>
      <c r="AE1501" s="8"/>
      <c r="AF1501" s="8"/>
      <c r="AG1501" s="8"/>
      <c r="AH1501" s="8"/>
      <c r="AI1501" s="8"/>
    </row>
    <row r="1502" spans="1:35">
      <c r="A1502" s="1"/>
      <c r="B1502" s="8"/>
      <c r="C1502" s="8"/>
      <c r="D1502" s="8"/>
      <c r="E1502" s="8"/>
      <c r="F1502" s="8"/>
      <c r="G1502" s="8"/>
      <c r="H1502" s="8"/>
      <c r="I1502" s="8"/>
      <c r="J1502" s="8"/>
      <c r="K1502" s="8"/>
      <c r="L1502" s="26"/>
      <c r="M1502" s="26"/>
      <c r="N1502" s="26"/>
      <c r="O1502" s="55"/>
      <c r="P1502" s="1"/>
      <c r="Q1502" s="8"/>
      <c r="R1502" s="8"/>
      <c r="S1502" s="1"/>
      <c r="T1502" s="8"/>
      <c r="U1502" s="8"/>
      <c r="V1502" s="56"/>
      <c r="W1502" s="1"/>
      <c r="X1502" s="1"/>
      <c r="Y1502" s="8"/>
      <c r="Z1502" s="8"/>
      <c r="AA1502" s="8"/>
      <c r="AB1502" s="8"/>
      <c r="AC1502" s="8"/>
      <c r="AD1502" s="8"/>
      <c r="AE1502" s="8"/>
      <c r="AF1502" s="8"/>
      <c r="AG1502" s="8"/>
      <c r="AH1502" s="8"/>
      <c r="AI1502" s="8"/>
    </row>
    <row r="1503" spans="1:35">
      <c r="A1503" s="1"/>
      <c r="B1503" s="8"/>
      <c r="C1503" s="8"/>
      <c r="D1503" s="8"/>
      <c r="E1503" s="8"/>
      <c r="F1503" s="8"/>
      <c r="G1503" s="8"/>
      <c r="H1503" s="8"/>
      <c r="I1503" s="8"/>
      <c r="J1503" s="8"/>
      <c r="K1503" s="8"/>
      <c r="L1503" s="26"/>
      <c r="M1503" s="26"/>
      <c r="N1503" s="26"/>
      <c r="O1503" s="55"/>
      <c r="P1503" s="1"/>
      <c r="Q1503" s="8"/>
      <c r="R1503" s="8"/>
      <c r="S1503" s="1"/>
      <c r="T1503" s="8"/>
      <c r="U1503" s="8"/>
      <c r="V1503" s="56"/>
      <c r="W1503" s="1"/>
      <c r="X1503" s="1"/>
      <c r="Y1503" s="8"/>
      <c r="Z1503" s="8"/>
      <c r="AA1503" s="8"/>
      <c r="AB1503" s="8"/>
      <c r="AC1503" s="8"/>
      <c r="AD1503" s="8"/>
      <c r="AE1503" s="8"/>
      <c r="AF1503" s="8"/>
      <c r="AG1503" s="8"/>
      <c r="AH1503" s="8"/>
      <c r="AI1503" s="8"/>
    </row>
    <row r="1504" spans="1:35">
      <c r="A1504" s="1"/>
      <c r="B1504" s="8"/>
      <c r="C1504" s="8"/>
      <c r="D1504" s="8"/>
      <c r="E1504" s="8"/>
      <c r="F1504" s="8"/>
      <c r="G1504" s="8"/>
      <c r="H1504" s="8"/>
      <c r="I1504" s="8"/>
      <c r="J1504" s="8"/>
      <c r="K1504" s="8"/>
      <c r="L1504" s="26"/>
      <c r="M1504" s="26"/>
      <c r="N1504" s="26"/>
      <c r="O1504" s="55"/>
      <c r="P1504" s="1"/>
      <c r="Q1504" s="8"/>
      <c r="R1504" s="8"/>
      <c r="S1504" s="1"/>
      <c r="T1504" s="8"/>
      <c r="U1504" s="8"/>
      <c r="V1504" s="56"/>
      <c r="W1504" s="1"/>
      <c r="X1504" s="1"/>
      <c r="Y1504" s="8"/>
      <c r="Z1504" s="8"/>
      <c r="AA1504" s="8"/>
      <c r="AB1504" s="8"/>
      <c r="AC1504" s="8"/>
      <c r="AD1504" s="8"/>
      <c r="AE1504" s="8"/>
      <c r="AF1504" s="8"/>
      <c r="AG1504" s="8"/>
      <c r="AH1504" s="8"/>
      <c r="AI1504" s="8"/>
    </row>
    <row r="1505" spans="1:35">
      <c r="A1505" s="1"/>
      <c r="B1505" s="8"/>
      <c r="C1505" s="8"/>
      <c r="D1505" s="8"/>
      <c r="E1505" s="8"/>
      <c r="F1505" s="8"/>
      <c r="G1505" s="8"/>
      <c r="H1505" s="8"/>
      <c r="I1505" s="8"/>
      <c r="J1505" s="8"/>
      <c r="K1505" s="8"/>
      <c r="L1505" s="26"/>
      <c r="M1505" s="26"/>
      <c r="N1505" s="26"/>
      <c r="O1505" s="55"/>
      <c r="P1505" s="1"/>
      <c r="Q1505" s="8"/>
      <c r="R1505" s="8"/>
      <c r="S1505" s="1"/>
      <c r="T1505" s="8"/>
      <c r="U1505" s="8"/>
      <c r="V1505" s="56"/>
      <c r="W1505" s="1"/>
      <c r="X1505" s="1"/>
      <c r="Y1505" s="8"/>
      <c r="Z1505" s="8"/>
      <c r="AA1505" s="8"/>
      <c r="AB1505" s="8"/>
      <c r="AC1505" s="8"/>
      <c r="AD1505" s="8"/>
      <c r="AE1505" s="8"/>
      <c r="AF1505" s="8"/>
      <c r="AG1505" s="8"/>
      <c r="AH1505" s="8"/>
      <c r="AI1505" s="8"/>
    </row>
    <row r="1506" spans="1:35">
      <c r="A1506" s="1"/>
      <c r="B1506" s="8"/>
      <c r="C1506" s="8"/>
      <c r="D1506" s="8"/>
      <c r="E1506" s="8"/>
      <c r="F1506" s="8"/>
      <c r="G1506" s="8"/>
      <c r="H1506" s="8"/>
      <c r="I1506" s="8"/>
      <c r="J1506" s="8"/>
      <c r="K1506" s="8"/>
      <c r="L1506" s="26"/>
      <c r="M1506" s="26"/>
      <c r="N1506" s="26"/>
      <c r="O1506" s="55"/>
      <c r="P1506" s="1"/>
      <c r="Q1506" s="8"/>
      <c r="R1506" s="8"/>
      <c r="S1506" s="1"/>
      <c r="T1506" s="8"/>
      <c r="U1506" s="8"/>
      <c r="V1506" s="56"/>
      <c r="W1506" s="1"/>
      <c r="X1506" s="1"/>
      <c r="Y1506" s="8"/>
      <c r="Z1506" s="8"/>
      <c r="AA1506" s="8"/>
      <c r="AB1506" s="8"/>
      <c r="AC1506" s="8"/>
      <c r="AD1506" s="8"/>
      <c r="AE1506" s="8"/>
      <c r="AF1506" s="8"/>
      <c r="AG1506" s="8"/>
      <c r="AH1506" s="8"/>
      <c r="AI1506" s="8"/>
    </row>
    <row r="1507" spans="1:35">
      <c r="A1507" s="1"/>
      <c r="B1507" s="8"/>
      <c r="C1507" s="8"/>
      <c r="D1507" s="8"/>
      <c r="E1507" s="8"/>
      <c r="F1507" s="8"/>
      <c r="G1507" s="8"/>
      <c r="H1507" s="8"/>
      <c r="I1507" s="8"/>
      <c r="J1507" s="8"/>
      <c r="K1507" s="8"/>
      <c r="L1507" s="26"/>
      <c r="M1507" s="26"/>
      <c r="N1507" s="26"/>
      <c r="O1507" s="55"/>
      <c r="P1507" s="1"/>
      <c r="Q1507" s="8"/>
      <c r="R1507" s="8"/>
      <c r="S1507" s="1"/>
      <c r="T1507" s="8"/>
      <c r="U1507" s="8"/>
      <c r="V1507" s="56"/>
      <c r="W1507" s="1"/>
      <c r="X1507" s="1"/>
      <c r="Y1507" s="8"/>
      <c r="Z1507" s="8"/>
      <c r="AA1507" s="8"/>
      <c r="AB1507" s="8"/>
      <c r="AC1507" s="8"/>
      <c r="AD1507" s="8"/>
      <c r="AE1507" s="8"/>
      <c r="AF1507" s="8"/>
      <c r="AG1507" s="8"/>
      <c r="AH1507" s="8"/>
      <c r="AI1507" s="8"/>
    </row>
    <row r="1508" spans="1:35">
      <c r="A1508" s="1"/>
      <c r="B1508" s="8"/>
      <c r="C1508" s="8"/>
      <c r="D1508" s="8"/>
      <c r="E1508" s="8"/>
      <c r="F1508" s="8"/>
      <c r="G1508" s="8"/>
      <c r="H1508" s="8"/>
      <c r="I1508" s="8"/>
      <c r="J1508" s="8"/>
      <c r="K1508" s="8"/>
      <c r="L1508" s="26"/>
      <c r="M1508" s="26"/>
      <c r="N1508" s="26"/>
      <c r="O1508" s="55"/>
      <c r="P1508" s="1"/>
      <c r="Q1508" s="8"/>
      <c r="R1508" s="8"/>
      <c r="S1508" s="1"/>
      <c r="T1508" s="8"/>
      <c r="U1508" s="8"/>
      <c r="V1508" s="56"/>
      <c r="W1508" s="1"/>
      <c r="X1508" s="1"/>
      <c r="Y1508" s="8"/>
      <c r="Z1508" s="8"/>
      <c r="AA1508" s="8"/>
      <c r="AB1508" s="8"/>
      <c r="AC1508" s="8"/>
      <c r="AD1508" s="8"/>
      <c r="AE1508" s="8"/>
      <c r="AF1508" s="8"/>
      <c r="AG1508" s="8"/>
      <c r="AH1508" s="8"/>
      <c r="AI1508" s="8"/>
    </row>
    <row r="1509" spans="1:35">
      <c r="A1509" s="1"/>
      <c r="B1509" s="8"/>
      <c r="C1509" s="8"/>
      <c r="D1509" s="8"/>
      <c r="E1509" s="8"/>
      <c r="F1509" s="8"/>
      <c r="G1509" s="8"/>
      <c r="H1509" s="8"/>
      <c r="I1509" s="8"/>
      <c r="J1509" s="8"/>
      <c r="K1509" s="8"/>
      <c r="L1509" s="26"/>
      <c r="M1509" s="26"/>
      <c r="N1509" s="26"/>
      <c r="O1509" s="55"/>
      <c r="P1509" s="1"/>
      <c r="Q1509" s="8"/>
      <c r="R1509" s="8"/>
      <c r="S1509" s="1"/>
      <c r="T1509" s="8"/>
      <c r="U1509" s="8"/>
      <c r="V1509" s="56"/>
      <c r="W1509" s="1"/>
      <c r="X1509" s="1"/>
      <c r="Y1509" s="8"/>
      <c r="Z1509" s="8"/>
      <c r="AA1509" s="8"/>
      <c r="AB1509" s="8"/>
      <c r="AC1509" s="8"/>
      <c r="AD1509" s="8"/>
      <c r="AE1509" s="8"/>
      <c r="AF1509" s="8"/>
      <c r="AG1509" s="8"/>
      <c r="AH1509" s="8"/>
      <c r="AI1509" s="8"/>
    </row>
    <row r="1510" spans="1:35">
      <c r="A1510" s="1"/>
      <c r="B1510" s="8"/>
      <c r="C1510" s="8"/>
      <c r="D1510" s="8"/>
      <c r="E1510" s="8"/>
      <c r="F1510" s="8"/>
      <c r="G1510" s="8"/>
      <c r="H1510" s="8"/>
      <c r="I1510" s="8"/>
      <c r="J1510" s="8"/>
      <c r="K1510" s="8"/>
      <c r="L1510" s="26"/>
      <c r="M1510" s="26"/>
      <c r="N1510" s="26"/>
      <c r="O1510" s="55"/>
      <c r="P1510" s="1"/>
      <c r="Q1510" s="8"/>
      <c r="R1510" s="8"/>
      <c r="S1510" s="1"/>
      <c r="T1510" s="8"/>
      <c r="U1510" s="8"/>
      <c r="V1510" s="56"/>
      <c r="W1510" s="1"/>
      <c r="X1510" s="1"/>
      <c r="Y1510" s="8"/>
      <c r="Z1510" s="8"/>
      <c r="AA1510" s="8"/>
      <c r="AB1510" s="8"/>
      <c r="AC1510" s="8"/>
      <c r="AD1510" s="8"/>
      <c r="AE1510" s="8"/>
      <c r="AF1510" s="8"/>
      <c r="AG1510" s="8"/>
      <c r="AH1510" s="8"/>
      <c r="AI1510" s="8"/>
    </row>
    <row r="1511" spans="1:35">
      <c r="A1511" s="1"/>
      <c r="B1511" s="8"/>
      <c r="C1511" s="8"/>
      <c r="D1511" s="8"/>
      <c r="E1511" s="8"/>
      <c r="F1511" s="8"/>
      <c r="G1511" s="8"/>
      <c r="H1511" s="8"/>
      <c r="I1511" s="8"/>
      <c r="J1511" s="8"/>
      <c r="K1511" s="8"/>
      <c r="L1511" s="26"/>
      <c r="M1511" s="26"/>
      <c r="N1511" s="26"/>
      <c r="O1511" s="55"/>
      <c r="P1511" s="1"/>
      <c r="Q1511" s="8"/>
      <c r="R1511" s="8"/>
      <c r="S1511" s="1"/>
      <c r="T1511" s="8"/>
      <c r="U1511" s="8"/>
      <c r="V1511" s="56"/>
      <c r="W1511" s="1"/>
      <c r="X1511" s="1"/>
      <c r="Y1511" s="8"/>
      <c r="Z1511" s="8"/>
      <c r="AA1511" s="8"/>
      <c r="AB1511" s="8"/>
      <c r="AC1511" s="8"/>
      <c r="AD1511" s="8"/>
      <c r="AE1511" s="8"/>
      <c r="AF1511" s="8"/>
      <c r="AG1511" s="8"/>
      <c r="AH1511" s="8"/>
      <c r="AI1511" s="8"/>
    </row>
    <row r="1512" spans="1:35">
      <c r="A1512" s="1"/>
      <c r="B1512" s="8"/>
      <c r="C1512" s="8"/>
      <c r="D1512" s="8"/>
      <c r="E1512" s="8"/>
      <c r="F1512" s="8"/>
      <c r="G1512" s="8"/>
      <c r="H1512" s="8"/>
      <c r="I1512" s="8"/>
      <c r="J1512" s="8"/>
      <c r="K1512" s="8"/>
      <c r="L1512" s="26"/>
      <c r="M1512" s="26"/>
      <c r="N1512" s="26"/>
      <c r="O1512" s="55"/>
      <c r="P1512" s="1"/>
      <c r="Q1512" s="8"/>
      <c r="R1512" s="8"/>
      <c r="S1512" s="1"/>
      <c r="T1512" s="8"/>
      <c r="U1512" s="8"/>
      <c r="V1512" s="56"/>
      <c r="W1512" s="1"/>
      <c r="X1512" s="1"/>
      <c r="Y1512" s="8"/>
      <c r="Z1512" s="8"/>
      <c r="AA1512" s="8"/>
      <c r="AB1512" s="8"/>
      <c r="AC1512" s="8"/>
      <c r="AD1512" s="8"/>
      <c r="AE1512" s="8"/>
      <c r="AF1512" s="8"/>
      <c r="AG1512" s="8"/>
      <c r="AH1512" s="8"/>
      <c r="AI1512" s="8"/>
    </row>
    <row r="1513" spans="1:35">
      <c r="A1513" s="1"/>
      <c r="B1513" s="8"/>
      <c r="C1513" s="8"/>
      <c r="D1513" s="8"/>
      <c r="E1513" s="8"/>
      <c r="F1513" s="8"/>
      <c r="G1513" s="8"/>
      <c r="H1513" s="8"/>
      <c r="I1513" s="8"/>
      <c r="J1513" s="8"/>
      <c r="K1513" s="8"/>
      <c r="L1513" s="26"/>
      <c r="M1513" s="26"/>
      <c r="N1513" s="26"/>
      <c r="O1513" s="55"/>
      <c r="P1513" s="1"/>
      <c r="Q1513" s="8"/>
      <c r="R1513" s="8"/>
      <c r="S1513" s="1"/>
      <c r="T1513" s="8"/>
      <c r="U1513" s="8"/>
      <c r="V1513" s="56"/>
      <c r="W1513" s="1"/>
      <c r="X1513" s="1"/>
      <c r="Y1513" s="8"/>
      <c r="Z1513" s="8"/>
      <c r="AA1513" s="8"/>
      <c r="AB1513" s="8"/>
      <c r="AC1513" s="8"/>
      <c r="AD1513" s="8"/>
      <c r="AE1513" s="8"/>
      <c r="AF1513" s="8"/>
      <c r="AG1513" s="8"/>
      <c r="AH1513" s="8"/>
      <c r="AI1513" s="8"/>
    </row>
    <row r="1514" spans="1:35">
      <c r="A1514" s="1"/>
      <c r="B1514" s="8"/>
      <c r="C1514" s="8"/>
      <c r="D1514" s="8"/>
      <c r="E1514" s="8"/>
      <c r="F1514" s="8"/>
      <c r="G1514" s="8"/>
      <c r="H1514" s="8"/>
      <c r="I1514" s="8"/>
      <c r="J1514" s="8"/>
      <c r="K1514" s="8"/>
      <c r="L1514" s="26"/>
      <c r="M1514" s="26"/>
      <c r="N1514" s="26"/>
      <c r="O1514" s="55"/>
      <c r="P1514" s="1"/>
      <c r="Q1514" s="8"/>
      <c r="R1514" s="8"/>
      <c r="S1514" s="1"/>
      <c r="T1514" s="8"/>
      <c r="U1514" s="8"/>
      <c r="V1514" s="56"/>
      <c r="W1514" s="1"/>
      <c r="X1514" s="1"/>
      <c r="Y1514" s="8"/>
      <c r="Z1514" s="8"/>
      <c r="AA1514" s="8"/>
      <c r="AB1514" s="8"/>
      <c r="AC1514" s="8"/>
      <c r="AD1514" s="8"/>
      <c r="AE1514" s="8"/>
      <c r="AF1514" s="8"/>
      <c r="AG1514" s="8"/>
      <c r="AH1514" s="8"/>
      <c r="AI1514" s="8"/>
    </row>
    <row r="1515" spans="1:35">
      <c r="A1515" s="1"/>
      <c r="B1515" s="8"/>
      <c r="C1515" s="8"/>
      <c r="D1515" s="8"/>
      <c r="E1515" s="8"/>
      <c r="F1515" s="8"/>
      <c r="G1515" s="8"/>
      <c r="H1515" s="8"/>
      <c r="I1515" s="8"/>
      <c r="J1515" s="8"/>
      <c r="K1515" s="8"/>
      <c r="L1515" s="26"/>
      <c r="M1515" s="26"/>
      <c r="N1515" s="26"/>
      <c r="O1515" s="55"/>
      <c r="P1515" s="1"/>
      <c r="Q1515" s="8"/>
      <c r="R1515" s="8"/>
      <c r="S1515" s="1"/>
      <c r="T1515" s="8"/>
      <c r="U1515" s="8"/>
      <c r="V1515" s="56"/>
      <c r="W1515" s="1"/>
      <c r="X1515" s="1"/>
      <c r="Y1515" s="8"/>
      <c r="Z1515" s="8"/>
      <c r="AA1515" s="8"/>
      <c r="AB1515" s="8"/>
      <c r="AC1515" s="8"/>
      <c r="AD1515" s="8"/>
      <c r="AE1515" s="8"/>
      <c r="AF1515" s="8"/>
      <c r="AG1515" s="8"/>
      <c r="AH1515" s="8"/>
      <c r="AI1515" s="8"/>
    </row>
    <row r="1516" spans="1:35">
      <c r="A1516" s="1"/>
      <c r="B1516" s="8"/>
      <c r="C1516" s="8"/>
      <c r="D1516" s="8"/>
      <c r="E1516" s="8"/>
      <c r="F1516" s="8"/>
      <c r="G1516" s="8"/>
      <c r="H1516" s="8"/>
      <c r="I1516" s="8"/>
      <c r="J1516" s="8"/>
      <c r="K1516" s="8"/>
      <c r="L1516" s="26"/>
      <c r="M1516" s="26"/>
      <c r="N1516" s="26"/>
      <c r="O1516" s="55"/>
      <c r="P1516" s="1"/>
      <c r="Q1516" s="8"/>
      <c r="R1516" s="8"/>
      <c r="S1516" s="1"/>
      <c r="T1516" s="8"/>
      <c r="U1516" s="8"/>
      <c r="V1516" s="56"/>
      <c r="W1516" s="1"/>
      <c r="X1516" s="1"/>
      <c r="Y1516" s="8"/>
      <c r="Z1516" s="8"/>
      <c r="AA1516" s="8"/>
      <c r="AB1516" s="8"/>
      <c r="AC1516" s="8"/>
      <c r="AD1516" s="8"/>
      <c r="AE1516" s="8"/>
      <c r="AF1516" s="8"/>
      <c r="AG1516" s="8"/>
      <c r="AH1516" s="8"/>
      <c r="AI1516" s="8"/>
    </row>
    <row r="1517" spans="1:35">
      <c r="A1517" s="1"/>
      <c r="B1517" s="8"/>
      <c r="C1517" s="8"/>
      <c r="D1517" s="8"/>
      <c r="E1517" s="8"/>
      <c r="F1517" s="8"/>
      <c r="G1517" s="8"/>
      <c r="H1517" s="8"/>
      <c r="I1517" s="8"/>
      <c r="J1517" s="8"/>
      <c r="K1517" s="8"/>
      <c r="L1517" s="26"/>
      <c r="M1517" s="26"/>
      <c r="N1517" s="26"/>
      <c r="O1517" s="55"/>
      <c r="P1517" s="1"/>
      <c r="Q1517" s="8"/>
      <c r="R1517" s="8"/>
      <c r="S1517" s="1"/>
      <c r="T1517" s="8"/>
      <c r="U1517" s="8"/>
      <c r="V1517" s="56"/>
      <c r="W1517" s="1"/>
      <c r="X1517" s="1"/>
      <c r="Y1517" s="8"/>
      <c r="Z1517" s="8"/>
      <c r="AA1517" s="8"/>
      <c r="AB1517" s="8"/>
      <c r="AC1517" s="8"/>
      <c r="AD1517" s="8"/>
      <c r="AE1517" s="8"/>
      <c r="AF1517" s="8"/>
      <c r="AG1517" s="8"/>
      <c r="AH1517" s="8"/>
      <c r="AI1517" s="8"/>
    </row>
    <row r="1518" spans="1:35">
      <c r="A1518" s="1"/>
      <c r="B1518" s="8"/>
      <c r="C1518" s="8"/>
      <c r="D1518" s="8"/>
      <c r="E1518" s="8"/>
      <c r="F1518" s="8"/>
      <c r="G1518" s="8"/>
      <c r="H1518" s="8"/>
      <c r="I1518" s="8"/>
      <c r="J1518" s="8"/>
      <c r="K1518" s="8"/>
      <c r="L1518" s="26"/>
      <c r="M1518" s="26"/>
      <c r="N1518" s="26"/>
      <c r="O1518" s="55"/>
      <c r="P1518" s="1"/>
      <c r="Q1518" s="8"/>
      <c r="R1518" s="8"/>
      <c r="S1518" s="1"/>
      <c r="T1518" s="8"/>
      <c r="U1518" s="8"/>
      <c r="V1518" s="56"/>
      <c r="W1518" s="1"/>
      <c r="X1518" s="1"/>
      <c r="Y1518" s="8"/>
      <c r="Z1518" s="8"/>
      <c r="AA1518" s="8"/>
      <c r="AB1518" s="8"/>
      <c r="AC1518" s="8"/>
      <c r="AD1518" s="8"/>
      <c r="AE1518" s="8"/>
      <c r="AF1518" s="8"/>
      <c r="AG1518" s="8"/>
      <c r="AH1518" s="8"/>
      <c r="AI1518" s="8"/>
    </row>
    <row r="1519" spans="1:35">
      <c r="A1519" s="1"/>
      <c r="B1519" s="8"/>
      <c r="C1519" s="8"/>
      <c r="D1519" s="8"/>
      <c r="E1519" s="8"/>
      <c r="F1519" s="8"/>
      <c r="G1519" s="8"/>
      <c r="H1519" s="8"/>
      <c r="I1519" s="8"/>
      <c r="J1519" s="8"/>
      <c r="K1519" s="8"/>
      <c r="L1519" s="26"/>
      <c r="M1519" s="26"/>
      <c r="N1519" s="26"/>
      <c r="O1519" s="55"/>
      <c r="P1519" s="1"/>
      <c r="Q1519" s="8"/>
      <c r="R1519" s="8"/>
      <c r="S1519" s="1"/>
      <c r="T1519" s="8"/>
      <c r="U1519" s="8"/>
      <c r="V1519" s="56"/>
      <c r="W1519" s="1"/>
      <c r="X1519" s="1"/>
      <c r="Y1519" s="8"/>
      <c r="Z1519" s="8"/>
      <c r="AA1519" s="8"/>
      <c r="AB1519" s="8"/>
      <c r="AC1519" s="8"/>
      <c r="AD1519" s="8"/>
      <c r="AE1519" s="8"/>
      <c r="AF1519" s="8"/>
      <c r="AG1519" s="8"/>
      <c r="AH1519" s="8"/>
      <c r="AI1519" s="8"/>
    </row>
    <row r="1520" spans="1:35">
      <c r="A1520" s="1"/>
      <c r="B1520" s="8"/>
      <c r="C1520" s="8"/>
      <c r="D1520" s="8"/>
      <c r="E1520" s="8"/>
      <c r="F1520" s="8"/>
      <c r="G1520" s="8"/>
      <c r="H1520" s="8"/>
      <c r="I1520" s="8"/>
      <c r="J1520" s="8"/>
      <c r="K1520" s="8"/>
      <c r="L1520" s="26"/>
      <c r="M1520" s="26"/>
      <c r="N1520" s="26"/>
      <c r="O1520" s="55"/>
      <c r="P1520" s="1"/>
      <c r="Q1520" s="8"/>
      <c r="R1520" s="8"/>
      <c r="S1520" s="1"/>
      <c r="T1520" s="8"/>
      <c r="U1520" s="8"/>
      <c r="V1520" s="56"/>
      <c r="W1520" s="1"/>
      <c r="X1520" s="1"/>
      <c r="Y1520" s="8"/>
      <c r="Z1520" s="8"/>
      <c r="AA1520" s="8"/>
      <c r="AB1520" s="8"/>
      <c r="AC1520" s="8"/>
      <c r="AD1520" s="8"/>
      <c r="AE1520" s="8"/>
      <c r="AF1520" s="8"/>
      <c r="AG1520" s="8"/>
      <c r="AH1520" s="8"/>
      <c r="AI1520" s="8"/>
    </row>
    <row r="1521" spans="1:35">
      <c r="A1521" s="1"/>
      <c r="B1521" s="8"/>
      <c r="C1521" s="8"/>
      <c r="D1521" s="8"/>
      <c r="E1521" s="8"/>
      <c r="F1521" s="8"/>
      <c r="G1521" s="8"/>
      <c r="H1521" s="8"/>
      <c r="I1521" s="8"/>
      <c r="J1521" s="8"/>
      <c r="K1521" s="8"/>
      <c r="L1521" s="26"/>
      <c r="M1521" s="26"/>
      <c r="N1521" s="26"/>
      <c r="O1521" s="55"/>
      <c r="P1521" s="1"/>
      <c r="Q1521" s="8"/>
      <c r="R1521" s="8"/>
      <c r="S1521" s="1"/>
      <c r="T1521" s="8"/>
      <c r="U1521" s="8"/>
      <c r="V1521" s="56"/>
      <c r="W1521" s="1"/>
      <c r="X1521" s="1"/>
      <c r="Y1521" s="8"/>
      <c r="Z1521" s="8"/>
      <c r="AA1521" s="8"/>
      <c r="AB1521" s="8"/>
      <c r="AC1521" s="8"/>
      <c r="AD1521" s="8"/>
      <c r="AE1521" s="8"/>
      <c r="AF1521" s="8"/>
      <c r="AG1521" s="8"/>
      <c r="AH1521" s="8"/>
      <c r="AI1521" s="8"/>
    </row>
    <row r="1522" spans="1:35">
      <c r="A1522" s="1"/>
      <c r="B1522" s="8"/>
      <c r="C1522" s="8"/>
      <c r="D1522" s="8"/>
      <c r="E1522" s="8"/>
      <c r="F1522" s="8"/>
      <c r="G1522" s="8"/>
      <c r="H1522" s="8"/>
      <c r="I1522" s="8"/>
      <c r="J1522" s="8"/>
      <c r="K1522" s="8"/>
      <c r="L1522" s="26"/>
      <c r="M1522" s="26"/>
      <c r="N1522" s="26"/>
      <c r="O1522" s="55"/>
      <c r="P1522" s="1"/>
      <c r="Q1522" s="8"/>
      <c r="R1522" s="8"/>
      <c r="S1522" s="1"/>
      <c r="T1522" s="8"/>
      <c r="U1522" s="8"/>
      <c r="V1522" s="56"/>
      <c r="W1522" s="1"/>
      <c r="X1522" s="1"/>
      <c r="Y1522" s="8"/>
      <c r="Z1522" s="8"/>
      <c r="AA1522" s="8"/>
      <c r="AB1522" s="8"/>
      <c r="AC1522" s="8"/>
      <c r="AD1522" s="8"/>
      <c r="AE1522" s="8"/>
      <c r="AF1522" s="8"/>
      <c r="AG1522" s="8"/>
      <c r="AH1522" s="8"/>
      <c r="AI1522" s="8"/>
    </row>
    <row r="1523" spans="1:35">
      <c r="A1523" s="1"/>
      <c r="B1523" s="8"/>
      <c r="C1523" s="8"/>
      <c r="D1523" s="8"/>
      <c r="E1523" s="8"/>
      <c r="F1523" s="8"/>
      <c r="G1523" s="8"/>
      <c r="H1523" s="8"/>
      <c r="I1523" s="8"/>
      <c r="J1523" s="8"/>
      <c r="K1523" s="8"/>
      <c r="L1523" s="26"/>
      <c r="M1523" s="26"/>
      <c r="N1523" s="26"/>
      <c r="O1523" s="55"/>
      <c r="P1523" s="1"/>
      <c r="Q1523" s="8"/>
      <c r="R1523" s="8"/>
      <c r="S1523" s="1"/>
      <c r="T1523" s="8"/>
      <c r="U1523" s="8"/>
      <c r="V1523" s="56"/>
      <c r="W1523" s="1"/>
      <c r="X1523" s="1"/>
      <c r="Y1523" s="8"/>
      <c r="Z1523" s="8"/>
      <c r="AA1523" s="8"/>
      <c r="AB1523" s="8"/>
      <c r="AC1523" s="8"/>
      <c r="AD1523" s="8"/>
      <c r="AE1523" s="8"/>
      <c r="AF1523" s="8"/>
      <c r="AG1523" s="8"/>
      <c r="AH1523" s="8"/>
      <c r="AI1523" s="8"/>
    </row>
    <row r="1524" spans="1:35">
      <c r="A1524" s="1"/>
      <c r="B1524" s="8"/>
      <c r="C1524" s="8"/>
      <c r="D1524" s="8"/>
      <c r="E1524" s="8"/>
      <c r="F1524" s="8"/>
      <c r="G1524" s="8"/>
      <c r="H1524" s="8"/>
      <c r="I1524" s="8"/>
      <c r="J1524" s="8"/>
      <c r="K1524" s="8"/>
      <c r="L1524" s="26"/>
      <c r="M1524" s="26"/>
      <c r="N1524" s="26"/>
      <c r="O1524" s="55"/>
      <c r="P1524" s="1"/>
      <c r="Q1524" s="8"/>
      <c r="R1524" s="8"/>
      <c r="S1524" s="1"/>
      <c r="T1524" s="8"/>
      <c r="U1524" s="8"/>
      <c r="V1524" s="56"/>
      <c r="W1524" s="1"/>
      <c r="X1524" s="1"/>
      <c r="Y1524" s="8"/>
      <c r="Z1524" s="8"/>
      <c r="AA1524" s="8"/>
      <c r="AB1524" s="8"/>
      <c r="AC1524" s="8"/>
      <c r="AD1524" s="8"/>
      <c r="AE1524" s="8"/>
      <c r="AF1524" s="8"/>
      <c r="AG1524" s="8"/>
      <c r="AH1524" s="8"/>
      <c r="AI1524" s="8"/>
    </row>
    <row r="1525" spans="1:35">
      <c r="A1525" s="1"/>
      <c r="B1525" s="8"/>
      <c r="C1525" s="8"/>
      <c r="D1525" s="8"/>
      <c r="E1525" s="8"/>
      <c r="F1525" s="8"/>
      <c r="G1525" s="8"/>
      <c r="H1525" s="8"/>
      <c r="I1525" s="8"/>
      <c r="J1525" s="8"/>
      <c r="K1525" s="8"/>
      <c r="L1525" s="26"/>
      <c r="M1525" s="26"/>
      <c r="N1525" s="26"/>
      <c r="O1525" s="55"/>
      <c r="P1525" s="1"/>
      <c r="Q1525" s="8"/>
      <c r="R1525" s="8"/>
      <c r="S1525" s="1"/>
      <c r="T1525" s="8"/>
      <c r="U1525" s="8"/>
      <c r="V1525" s="56"/>
      <c r="W1525" s="1"/>
      <c r="X1525" s="1"/>
      <c r="Y1525" s="8"/>
      <c r="Z1525" s="8"/>
      <c r="AA1525" s="8"/>
      <c r="AB1525" s="8"/>
      <c r="AC1525" s="8"/>
      <c r="AD1525" s="8"/>
      <c r="AE1525" s="8"/>
      <c r="AF1525" s="8"/>
      <c r="AG1525" s="8"/>
      <c r="AH1525" s="8"/>
      <c r="AI1525" s="8"/>
    </row>
    <row r="1526" spans="1:35">
      <c r="A1526" s="1"/>
      <c r="B1526" s="8"/>
      <c r="C1526" s="8"/>
      <c r="D1526" s="8"/>
      <c r="E1526" s="8"/>
      <c r="F1526" s="8"/>
      <c r="G1526" s="8"/>
      <c r="H1526" s="8"/>
      <c r="I1526" s="8"/>
      <c r="J1526" s="8"/>
      <c r="K1526" s="8"/>
      <c r="L1526" s="26"/>
      <c r="M1526" s="26"/>
      <c r="N1526" s="26"/>
      <c r="O1526" s="55"/>
      <c r="P1526" s="1"/>
      <c r="Q1526" s="8"/>
      <c r="R1526" s="8"/>
      <c r="S1526" s="1"/>
      <c r="T1526" s="8"/>
      <c r="U1526" s="8"/>
      <c r="V1526" s="56"/>
      <c r="W1526" s="1"/>
      <c r="X1526" s="1"/>
      <c r="Y1526" s="8"/>
      <c r="Z1526" s="8"/>
      <c r="AA1526" s="8"/>
      <c r="AB1526" s="8"/>
      <c r="AC1526" s="8"/>
      <c r="AD1526" s="8"/>
      <c r="AE1526" s="8"/>
      <c r="AF1526" s="8"/>
      <c r="AG1526" s="8"/>
      <c r="AH1526" s="8"/>
      <c r="AI1526" s="8"/>
    </row>
    <row r="1527" spans="1:35">
      <c r="A1527" s="1"/>
      <c r="B1527" s="8"/>
      <c r="C1527" s="8"/>
      <c r="D1527" s="8"/>
      <c r="E1527" s="8"/>
      <c r="F1527" s="8"/>
      <c r="G1527" s="8"/>
      <c r="H1527" s="8"/>
      <c r="I1527" s="8"/>
      <c r="J1527" s="8"/>
      <c r="K1527" s="8"/>
      <c r="L1527" s="26"/>
      <c r="M1527" s="26"/>
      <c r="N1527" s="26"/>
      <c r="O1527" s="55"/>
      <c r="P1527" s="1"/>
      <c r="Q1527" s="8"/>
      <c r="R1527" s="8"/>
      <c r="S1527" s="1"/>
      <c r="T1527" s="8"/>
      <c r="U1527" s="8"/>
      <c r="V1527" s="56"/>
      <c r="W1527" s="1"/>
      <c r="X1527" s="1"/>
      <c r="Y1527" s="8"/>
      <c r="Z1527" s="8"/>
      <c r="AA1527" s="8"/>
      <c r="AB1527" s="8"/>
      <c r="AC1527" s="8"/>
      <c r="AD1527" s="8"/>
      <c r="AE1527" s="8"/>
      <c r="AF1527" s="8"/>
      <c r="AG1527" s="8"/>
      <c r="AH1527" s="8"/>
      <c r="AI1527" s="8"/>
    </row>
    <row r="1528" spans="1:35">
      <c r="A1528" s="1"/>
      <c r="B1528" s="8"/>
      <c r="C1528" s="8"/>
      <c r="D1528" s="8"/>
      <c r="E1528" s="8"/>
      <c r="F1528" s="8"/>
      <c r="G1528" s="8"/>
      <c r="H1528" s="8"/>
      <c r="I1528" s="8"/>
      <c r="J1528" s="8"/>
      <c r="K1528" s="8"/>
      <c r="L1528" s="26"/>
      <c r="M1528" s="26"/>
      <c r="N1528" s="26"/>
      <c r="O1528" s="55"/>
      <c r="P1528" s="1"/>
      <c r="Q1528" s="8"/>
      <c r="R1528" s="8"/>
      <c r="S1528" s="1"/>
      <c r="T1528" s="8"/>
      <c r="U1528" s="8"/>
      <c r="V1528" s="56"/>
      <c r="W1528" s="1"/>
      <c r="X1528" s="1"/>
      <c r="Y1528" s="8"/>
      <c r="Z1528" s="8"/>
      <c r="AA1528" s="8"/>
      <c r="AB1528" s="8"/>
      <c r="AC1528" s="8"/>
      <c r="AD1528" s="8"/>
      <c r="AE1528" s="8"/>
      <c r="AF1528" s="8"/>
      <c r="AG1528" s="8"/>
      <c r="AH1528" s="8"/>
      <c r="AI1528" s="8"/>
    </row>
    <row r="1529" spans="1:35">
      <c r="A1529" s="1"/>
      <c r="B1529" s="8"/>
      <c r="C1529" s="8"/>
      <c r="D1529" s="8"/>
      <c r="E1529" s="8"/>
      <c r="F1529" s="8"/>
      <c r="G1529" s="8"/>
      <c r="H1529" s="8"/>
      <c r="I1529" s="8"/>
      <c r="J1529" s="8"/>
      <c r="K1529" s="8"/>
      <c r="L1529" s="26"/>
      <c r="M1529" s="26"/>
      <c r="N1529" s="26"/>
      <c r="O1529" s="55"/>
      <c r="P1529" s="1"/>
      <c r="Q1529" s="8"/>
      <c r="R1529" s="8"/>
      <c r="S1529" s="1"/>
      <c r="T1529" s="8"/>
      <c r="U1529" s="8"/>
      <c r="V1529" s="56"/>
      <c r="W1529" s="1"/>
      <c r="X1529" s="1"/>
      <c r="Y1529" s="8"/>
      <c r="Z1529" s="8"/>
      <c r="AA1529" s="8"/>
      <c r="AB1529" s="8"/>
      <c r="AC1529" s="8"/>
      <c r="AD1529" s="8"/>
      <c r="AE1529" s="8"/>
      <c r="AF1529" s="8"/>
      <c r="AG1529" s="8"/>
      <c r="AH1529" s="8"/>
      <c r="AI1529" s="8"/>
    </row>
    <row r="1530" spans="1:35">
      <c r="A1530" s="1"/>
      <c r="B1530" s="8"/>
      <c r="C1530" s="8"/>
      <c r="D1530" s="8"/>
      <c r="E1530" s="8"/>
      <c r="F1530" s="8"/>
      <c r="G1530" s="8"/>
      <c r="H1530" s="8"/>
      <c r="I1530" s="8"/>
      <c r="J1530" s="8"/>
      <c r="K1530" s="8"/>
      <c r="L1530" s="26"/>
      <c r="M1530" s="26"/>
      <c r="N1530" s="26"/>
      <c r="O1530" s="55"/>
      <c r="P1530" s="1"/>
      <c r="Q1530" s="8"/>
      <c r="R1530" s="8"/>
      <c r="S1530" s="1"/>
      <c r="T1530" s="8"/>
      <c r="U1530" s="8"/>
      <c r="V1530" s="56"/>
      <c r="W1530" s="1"/>
      <c r="X1530" s="1"/>
      <c r="Y1530" s="8"/>
      <c r="Z1530" s="8"/>
      <c r="AA1530" s="8"/>
      <c r="AB1530" s="8"/>
      <c r="AC1530" s="8"/>
      <c r="AD1530" s="8"/>
      <c r="AE1530" s="8"/>
      <c r="AF1530" s="8"/>
      <c r="AG1530" s="8"/>
      <c r="AH1530" s="8"/>
      <c r="AI1530" s="8"/>
    </row>
    <row r="1531" spans="1:35">
      <c r="A1531" s="1"/>
      <c r="B1531" s="8"/>
      <c r="C1531" s="8"/>
      <c r="D1531" s="8"/>
      <c r="E1531" s="8"/>
      <c r="F1531" s="8"/>
      <c r="G1531" s="8"/>
      <c r="H1531" s="8"/>
      <c r="I1531" s="8"/>
      <c r="J1531" s="8"/>
      <c r="K1531" s="8"/>
      <c r="L1531" s="26"/>
      <c r="M1531" s="26"/>
      <c r="N1531" s="26"/>
      <c r="O1531" s="55"/>
      <c r="P1531" s="1"/>
      <c r="Q1531" s="8"/>
      <c r="R1531" s="8"/>
      <c r="S1531" s="1"/>
      <c r="T1531" s="8"/>
      <c r="U1531" s="8"/>
      <c r="V1531" s="56"/>
      <c r="W1531" s="1"/>
      <c r="X1531" s="1"/>
      <c r="Y1531" s="8"/>
      <c r="Z1531" s="8"/>
      <c r="AA1531" s="8"/>
      <c r="AB1531" s="8"/>
      <c r="AC1531" s="8"/>
      <c r="AD1531" s="8"/>
      <c r="AE1531" s="8"/>
      <c r="AF1531" s="8"/>
      <c r="AG1531" s="8"/>
      <c r="AH1531" s="8"/>
      <c r="AI1531" s="8"/>
    </row>
    <row r="1532" spans="1:35">
      <c r="A1532" s="1"/>
      <c r="B1532" s="8"/>
      <c r="C1532" s="8"/>
      <c r="D1532" s="8"/>
      <c r="E1532" s="8"/>
      <c r="F1532" s="8"/>
      <c r="G1532" s="8"/>
      <c r="H1532" s="8"/>
      <c r="I1532" s="8"/>
      <c r="J1532" s="8"/>
      <c r="K1532" s="8"/>
      <c r="L1532" s="26"/>
      <c r="M1532" s="26"/>
      <c r="N1532" s="26"/>
      <c r="O1532" s="55"/>
      <c r="P1532" s="1"/>
      <c r="Q1532" s="8"/>
      <c r="R1532" s="8"/>
      <c r="S1532" s="1"/>
      <c r="T1532" s="8"/>
      <c r="U1532" s="8"/>
      <c r="V1532" s="56"/>
      <c r="W1532" s="1"/>
      <c r="X1532" s="1"/>
      <c r="Y1532" s="8"/>
      <c r="Z1532" s="8"/>
      <c r="AA1532" s="8"/>
      <c r="AB1532" s="8"/>
      <c r="AC1532" s="8"/>
      <c r="AD1532" s="8"/>
      <c r="AE1532" s="8"/>
      <c r="AF1532" s="8"/>
      <c r="AG1532" s="8"/>
      <c r="AH1532" s="8"/>
      <c r="AI1532" s="8"/>
    </row>
    <row r="1533" spans="1:35">
      <c r="A1533" s="1"/>
      <c r="B1533" s="8"/>
      <c r="C1533" s="8"/>
      <c r="D1533" s="8"/>
      <c r="E1533" s="8"/>
      <c r="F1533" s="8"/>
      <c r="G1533" s="8"/>
      <c r="H1533" s="8"/>
      <c r="I1533" s="8"/>
      <c r="J1533" s="8"/>
      <c r="K1533" s="8"/>
      <c r="L1533" s="26"/>
      <c r="M1533" s="26"/>
      <c r="N1533" s="26"/>
      <c r="O1533" s="55"/>
      <c r="P1533" s="1"/>
      <c r="Q1533" s="8"/>
      <c r="R1533" s="8"/>
      <c r="S1533" s="1"/>
      <c r="T1533" s="8"/>
      <c r="U1533" s="8"/>
      <c r="V1533" s="56"/>
      <c r="W1533" s="1"/>
      <c r="X1533" s="1"/>
      <c r="Y1533" s="8"/>
      <c r="Z1533" s="8"/>
      <c r="AA1533" s="8"/>
      <c r="AB1533" s="8"/>
      <c r="AC1533" s="8"/>
      <c r="AD1533" s="8"/>
      <c r="AE1533" s="8"/>
      <c r="AF1533" s="8"/>
      <c r="AG1533" s="8"/>
      <c r="AH1533" s="8"/>
      <c r="AI1533" s="8"/>
    </row>
    <row r="1534" spans="1:35">
      <c r="A1534" s="1"/>
      <c r="B1534" s="8"/>
      <c r="C1534" s="8"/>
      <c r="D1534" s="8"/>
      <c r="E1534" s="8"/>
      <c r="F1534" s="8"/>
      <c r="G1534" s="8"/>
      <c r="H1534" s="8"/>
      <c r="I1534" s="8"/>
      <c r="J1534" s="8"/>
      <c r="K1534" s="8"/>
      <c r="L1534" s="26"/>
      <c r="M1534" s="26"/>
      <c r="N1534" s="26"/>
      <c r="O1534" s="55"/>
      <c r="P1534" s="1"/>
      <c r="Q1534" s="8"/>
      <c r="R1534" s="8"/>
      <c r="S1534" s="1"/>
      <c r="T1534" s="8"/>
      <c r="U1534" s="8"/>
      <c r="V1534" s="56"/>
      <c r="W1534" s="1"/>
      <c r="X1534" s="1"/>
      <c r="Y1534" s="8"/>
      <c r="Z1534" s="8"/>
      <c r="AA1534" s="8"/>
      <c r="AB1534" s="8"/>
      <c r="AC1534" s="8"/>
      <c r="AD1534" s="8"/>
      <c r="AE1534" s="8"/>
      <c r="AF1534" s="8"/>
      <c r="AG1534" s="8"/>
      <c r="AH1534" s="8"/>
      <c r="AI1534" s="8"/>
    </row>
    <row r="1535" spans="1:35">
      <c r="A1535" s="1"/>
      <c r="B1535" s="8"/>
      <c r="C1535" s="8"/>
      <c r="D1535" s="8"/>
      <c r="E1535" s="8"/>
      <c r="F1535" s="8"/>
      <c r="G1535" s="8"/>
      <c r="H1535" s="8"/>
      <c r="I1535" s="8"/>
      <c r="J1535" s="8"/>
      <c r="K1535" s="8"/>
      <c r="L1535" s="26"/>
      <c r="M1535" s="26"/>
      <c r="N1535" s="26"/>
      <c r="O1535" s="55"/>
      <c r="P1535" s="1"/>
      <c r="Q1535" s="8"/>
      <c r="R1535" s="8"/>
      <c r="S1535" s="1"/>
      <c r="T1535" s="8"/>
      <c r="U1535" s="8"/>
      <c r="V1535" s="56"/>
      <c r="W1535" s="1"/>
      <c r="X1535" s="1"/>
      <c r="Y1535" s="8"/>
      <c r="Z1535" s="8"/>
      <c r="AA1535" s="8"/>
      <c r="AB1535" s="8"/>
      <c r="AC1535" s="8"/>
      <c r="AD1535" s="8"/>
      <c r="AE1535" s="8"/>
      <c r="AF1535" s="8"/>
      <c r="AG1535" s="8"/>
      <c r="AH1535" s="8"/>
      <c r="AI1535" s="8"/>
    </row>
    <row r="1536" spans="1:35">
      <c r="A1536" s="1"/>
      <c r="B1536" s="8"/>
      <c r="C1536" s="8"/>
      <c r="D1536" s="8"/>
      <c r="E1536" s="8"/>
      <c r="F1536" s="8"/>
      <c r="G1536" s="8"/>
      <c r="H1536" s="8"/>
      <c r="I1536" s="8"/>
      <c r="J1536" s="8"/>
      <c r="K1536" s="8"/>
      <c r="L1536" s="26"/>
      <c r="M1536" s="26"/>
      <c r="N1536" s="26"/>
      <c r="O1536" s="55"/>
      <c r="P1536" s="1"/>
      <c r="Q1536" s="8"/>
      <c r="R1536" s="8"/>
      <c r="S1536" s="1"/>
      <c r="T1536" s="8"/>
      <c r="U1536" s="8"/>
      <c r="V1536" s="56"/>
      <c r="W1536" s="1"/>
      <c r="X1536" s="1"/>
      <c r="Y1536" s="8"/>
      <c r="Z1536" s="8"/>
      <c r="AA1536" s="8"/>
      <c r="AB1536" s="8"/>
      <c r="AC1536" s="8"/>
      <c r="AD1536" s="8"/>
      <c r="AE1536" s="8"/>
      <c r="AF1536" s="8"/>
      <c r="AG1536" s="8"/>
      <c r="AH1536" s="8"/>
      <c r="AI1536" s="8"/>
    </row>
    <row r="1537" spans="1:35">
      <c r="A1537" s="1"/>
      <c r="B1537" s="8"/>
      <c r="C1537" s="8"/>
      <c r="D1537" s="8"/>
      <c r="E1537" s="8"/>
      <c r="F1537" s="8"/>
      <c r="G1537" s="8"/>
      <c r="H1537" s="8"/>
      <c r="I1537" s="8"/>
      <c r="J1537" s="8"/>
      <c r="K1537" s="8"/>
      <c r="L1537" s="26"/>
      <c r="M1537" s="26"/>
      <c r="N1537" s="26"/>
      <c r="O1537" s="55"/>
      <c r="P1537" s="1"/>
      <c r="Q1537" s="8"/>
      <c r="R1537" s="8"/>
      <c r="S1537" s="1"/>
      <c r="T1537" s="8"/>
      <c r="U1537" s="8"/>
      <c r="V1537" s="56"/>
      <c r="W1537" s="1"/>
      <c r="X1537" s="1"/>
      <c r="Y1537" s="8"/>
      <c r="Z1537" s="8"/>
      <c r="AA1537" s="8"/>
      <c r="AB1537" s="8"/>
      <c r="AC1537" s="8"/>
      <c r="AD1537" s="8"/>
      <c r="AE1537" s="8"/>
      <c r="AF1537" s="8"/>
      <c r="AG1537" s="8"/>
      <c r="AH1537" s="8"/>
      <c r="AI1537" s="8"/>
    </row>
    <row r="1538" spans="1:35">
      <c r="A1538" s="1"/>
      <c r="B1538" s="8"/>
      <c r="C1538" s="8"/>
      <c r="D1538" s="8"/>
      <c r="E1538" s="8"/>
      <c r="F1538" s="8"/>
      <c r="G1538" s="8"/>
      <c r="H1538" s="8"/>
      <c r="I1538" s="8"/>
      <c r="J1538" s="8"/>
      <c r="K1538" s="8"/>
      <c r="L1538" s="26"/>
      <c r="M1538" s="26"/>
      <c r="N1538" s="26"/>
      <c r="O1538" s="55"/>
      <c r="P1538" s="1"/>
      <c r="Q1538" s="8"/>
      <c r="R1538" s="8"/>
      <c r="S1538" s="1"/>
      <c r="T1538" s="8"/>
      <c r="U1538" s="8"/>
      <c r="V1538" s="56"/>
      <c r="W1538" s="1"/>
      <c r="X1538" s="1"/>
      <c r="Y1538" s="8"/>
      <c r="Z1538" s="8"/>
      <c r="AA1538" s="8"/>
      <c r="AB1538" s="8"/>
      <c r="AC1538" s="8"/>
      <c r="AD1538" s="8"/>
      <c r="AE1538" s="8"/>
      <c r="AF1538" s="8"/>
      <c r="AG1538" s="8"/>
      <c r="AH1538" s="8"/>
      <c r="AI1538" s="8"/>
    </row>
    <row r="1539" spans="1:35">
      <c r="A1539" s="1"/>
      <c r="B1539" s="8"/>
      <c r="C1539" s="8"/>
      <c r="D1539" s="8"/>
      <c r="E1539" s="8"/>
      <c r="F1539" s="8"/>
      <c r="G1539" s="8"/>
      <c r="H1539" s="8"/>
      <c r="I1539" s="8"/>
      <c r="J1539" s="8"/>
      <c r="K1539" s="8"/>
      <c r="L1539" s="26"/>
      <c r="M1539" s="26"/>
      <c r="N1539" s="26"/>
      <c r="O1539" s="55"/>
      <c r="P1539" s="1"/>
      <c r="Q1539" s="8"/>
      <c r="R1539" s="8"/>
      <c r="S1539" s="1"/>
      <c r="T1539" s="8"/>
      <c r="U1539" s="8"/>
      <c r="V1539" s="56"/>
      <c r="W1539" s="1"/>
      <c r="X1539" s="1"/>
      <c r="Y1539" s="8"/>
      <c r="Z1539" s="8"/>
      <c r="AA1539" s="8"/>
      <c r="AB1539" s="8"/>
      <c r="AC1539" s="8"/>
      <c r="AD1539" s="8"/>
      <c r="AE1539" s="8"/>
      <c r="AF1539" s="8"/>
      <c r="AG1539" s="8"/>
      <c r="AH1539" s="8"/>
      <c r="AI1539" s="8"/>
    </row>
    <row r="1540" spans="1:35">
      <c r="A1540" s="1"/>
      <c r="B1540" s="8"/>
      <c r="C1540" s="8"/>
      <c r="D1540" s="8"/>
      <c r="E1540" s="8"/>
      <c r="F1540" s="8"/>
      <c r="G1540" s="8"/>
      <c r="H1540" s="8"/>
      <c r="I1540" s="8"/>
      <c r="J1540" s="8"/>
      <c r="K1540" s="8"/>
      <c r="L1540" s="26"/>
      <c r="M1540" s="26"/>
      <c r="N1540" s="26"/>
      <c r="O1540" s="55"/>
      <c r="P1540" s="1"/>
      <c r="Q1540" s="8"/>
      <c r="R1540" s="8"/>
      <c r="S1540" s="1"/>
      <c r="T1540" s="8"/>
      <c r="U1540" s="8"/>
      <c r="V1540" s="56"/>
      <c r="W1540" s="1"/>
      <c r="X1540" s="1"/>
      <c r="Y1540" s="8"/>
      <c r="Z1540" s="8"/>
      <c r="AA1540" s="8"/>
      <c r="AB1540" s="8"/>
      <c r="AC1540" s="8"/>
      <c r="AD1540" s="8"/>
      <c r="AE1540" s="8"/>
      <c r="AF1540" s="8"/>
      <c r="AG1540" s="8"/>
      <c r="AH1540" s="8"/>
      <c r="AI1540" s="8"/>
    </row>
    <row r="1541" spans="1:35">
      <c r="A1541" s="1"/>
      <c r="B1541" s="8"/>
      <c r="C1541" s="8"/>
      <c r="D1541" s="8"/>
      <c r="E1541" s="8"/>
      <c r="F1541" s="8"/>
      <c r="G1541" s="8"/>
      <c r="H1541" s="8"/>
      <c r="I1541" s="8"/>
      <c r="J1541" s="8"/>
      <c r="K1541" s="8"/>
      <c r="L1541" s="26"/>
      <c r="M1541" s="26"/>
      <c r="N1541" s="26"/>
      <c r="O1541" s="55"/>
      <c r="P1541" s="1"/>
      <c r="Q1541" s="8"/>
      <c r="R1541" s="8"/>
      <c r="S1541" s="1"/>
      <c r="T1541" s="8"/>
      <c r="U1541" s="8"/>
      <c r="V1541" s="56"/>
      <c r="W1541" s="1"/>
      <c r="X1541" s="1"/>
      <c r="Y1541" s="8"/>
      <c r="Z1541" s="8"/>
      <c r="AA1541" s="8"/>
      <c r="AB1541" s="8"/>
      <c r="AC1541" s="8"/>
      <c r="AD1541" s="8"/>
      <c r="AE1541" s="8"/>
      <c r="AF1541" s="8"/>
      <c r="AG1541" s="8"/>
      <c r="AH1541" s="8"/>
      <c r="AI1541" s="8"/>
    </row>
    <row r="1542" spans="1:35">
      <c r="A1542" s="1"/>
      <c r="B1542" s="8"/>
      <c r="C1542" s="8"/>
      <c r="D1542" s="8"/>
      <c r="E1542" s="8"/>
      <c r="F1542" s="8"/>
      <c r="G1542" s="8"/>
      <c r="H1542" s="8"/>
      <c r="I1542" s="8"/>
      <c r="J1542" s="8"/>
      <c r="K1542" s="8"/>
      <c r="L1542" s="26"/>
      <c r="M1542" s="26"/>
      <c r="N1542" s="26"/>
      <c r="O1542" s="55"/>
      <c r="P1542" s="1"/>
      <c r="Q1542" s="8"/>
      <c r="R1542" s="8"/>
      <c r="S1542" s="1"/>
      <c r="T1542" s="8"/>
      <c r="U1542" s="8"/>
      <c r="V1542" s="56"/>
      <c r="W1542" s="1"/>
      <c r="X1542" s="1"/>
      <c r="Y1542" s="8"/>
      <c r="Z1542" s="8"/>
      <c r="AA1542" s="8"/>
      <c r="AB1542" s="8"/>
      <c r="AC1542" s="8"/>
      <c r="AD1542" s="8"/>
      <c r="AE1542" s="8"/>
      <c r="AF1542" s="8"/>
      <c r="AG1542" s="8"/>
      <c r="AH1542" s="8"/>
      <c r="AI1542" s="8"/>
    </row>
    <row r="1543" spans="1:35">
      <c r="A1543" s="1"/>
      <c r="B1543" s="8"/>
      <c r="C1543" s="8"/>
      <c r="D1543" s="8"/>
      <c r="E1543" s="8"/>
      <c r="F1543" s="8"/>
      <c r="G1543" s="8"/>
      <c r="H1543" s="8"/>
      <c r="I1543" s="8"/>
      <c r="J1543" s="8"/>
      <c r="K1543" s="8"/>
      <c r="L1543" s="26"/>
      <c r="M1543" s="26"/>
      <c r="N1543" s="26"/>
      <c r="O1543" s="55"/>
      <c r="P1543" s="1"/>
      <c r="Q1543" s="8"/>
      <c r="R1543" s="8"/>
      <c r="S1543" s="1"/>
      <c r="T1543" s="8"/>
      <c r="U1543" s="8"/>
      <c r="V1543" s="56"/>
      <c r="W1543" s="1"/>
      <c r="X1543" s="1"/>
      <c r="Y1543" s="8"/>
      <c r="Z1543" s="8"/>
      <c r="AA1543" s="8"/>
      <c r="AB1543" s="8"/>
      <c r="AC1543" s="8"/>
      <c r="AD1543" s="8"/>
      <c r="AE1543" s="8"/>
      <c r="AF1543" s="8"/>
      <c r="AG1543" s="8"/>
      <c r="AH1543" s="8"/>
      <c r="AI1543" s="8"/>
    </row>
    <row r="1544" spans="1:35">
      <c r="A1544" s="1"/>
      <c r="B1544" s="8"/>
      <c r="C1544" s="8"/>
      <c r="D1544" s="8"/>
      <c r="E1544" s="8"/>
      <c r="F1544" s="8"/>
      <c r="G1544" s="8"/>
      <c r="H1544" s="8"/>
      <c r="I1544" s="8"/>
      <c r="J1544" s="8"/>
      <c r="K1544" s="8"/>
      <c r="L1544" s="26"/>
      <c r="M1544" s="26"/>
      <c r="N1544" s="26"/>
      <c r="O1544" s="55"/>
      <c r="P1544" s="1"/>
      <c r="Q1544" s="8"/>
      <c r="R1544" s="8"/>
      <c r="S1544" s="1"/>
      <c r="T1544" s="8"/>
      <c r="U1544" s="8"/>
      <c r="V1544" s="56"/>
      <c r="W1544" s="1"/>
      <c r="X1544" s="1"/>
      <c r="Y1544" s="8"/>
      <c r="Z1544" s="8"/>
      <c r="AA1544" s="8"/>
      <c r="AB1544" s="8"/>
      <c r="AC1544" s="8"/>
      <c r="AD1544" s="8"/>
      <c r="AE1544" s="8"/>
      <c r="AF1544" s="8"/>
      <c r="AG1544" s="8"/>
      <c r="AH1544" s="8"/>
      <c r="AI1544" s="8"/>
    </row>
    <row r="1545" spans="1:35">
      <c r="A1545" s="1"/>
      <c r="B1545" s="8"/>
      <c r="C1545" s="8"/>
      <c r="D1545" s="8"/>
      <c r="E1545" s="8"/>
      <c r="F1545" s="8"/>
      <c r="G1545" s="8"/>
      <c r="H1545" s="8"/>
      <c r="I1545" s="8"/>
      <c r="J1545" s="8"/>
      <c r="K1545" s="8"/>
      <c r="L1545" s="26"/>
      <c r="M1545" s="26"/>
      <c r="N1545" s="26"/>
      <c r="O1545" s="55"/>
      <c r="P1545" s="1"/>
      <c r="Q1545" s="8"/>
      <c r="R1545" s="8"/>
      <c r="S1545" s="1"/>
      <c r="T1545" s="8"/>
      <c r="U1545" s="8"/>
      <c r="V1545" s="56"/>
      <c r="W1545" s="1"/>
      <c r="X1545" s="1"/>
      <c r="Y1545" s="8"/>
      <c r="Z1545" s="8"/>
      <c r="AA1545" s="8"/>
      <c r="AB1545" s="8"/>
      <c r="AC1545" s="8"/>
      <c r="AD1545" s="8"/>
      <c r="AE1545" s="8"/>
      <c r="AF1545" s="8"/>
      <c r="AG1545" s="8"/>
      <c r="AH1545" s="8"/>
      <c r="AI1545" s="8"/>
    </row>
    <row r="1546" spans="1:35">
      <c r="A1546" s="1"/>
      <c r="B1546" s="8"/>
      <c r="C1546" s="8"/>
      <c r="D1546" s="8"/>
      <c r="E1546" s="8"/>
      <c r="F1546" s="8"/>
      <c r="G1546" s="8"/>
      <c r="H1546" s="8"/>
      <c r="I1546" s="8"/>
      <c r="J1546" s="8"/>
      <c r="K1546" s="8"/>
      <c r="L1546" s="26"/>
      <c r="M1546" s="26"/>
      <c r="N1546" s="26"/>
      <c r="O1546" s="55"/>
      <c r="P1546" s="1"/>
      <c r="Q1546" s="8"/>
      <c r="R1546" s="8"/>
      <c r="S1546" s="1"/>
      <c r="T1546" s="8"/>
      <c r="U1546" s="8"/>
      <c r="V1546" s="56"/>
      <c r="W1546" s="1"/>
      <c r="X1546" s="1"/>
      <c r="Y1546" s="8"/>
      <c r="Z1546" s="8"/>
      <c r="AA1546" s="8"/>
      <c r="AB1546" s="8"/>
      <c r="AC1546" s="8"/>
      <c r="AD1546" s="8"/>
      <c r="AE1546" s="8"/>
      <c r="AF1546" s="8"/>
      <c r="AG1546" s="8"/>
      <c r="AH1546" s="8"/>
      <c r="AI1546" s="8"/>
    </row>
    <row r="1547" spans="1:35">
      <c r="A1547" s="1"/>
      <c r="B1547" s="8"/>
      <c r="C1547" s="8"/>
      <c r="D1547" s="8"/>
      <c r="E1547" s="8"/>
      <c r="F1547" s="8"/>
      <c r="G1547" s="8"/>
      <c r="H1547" s="8"/>
      <c r="I1547" s="8"/>
      <c r="J1547" s="8"/>
      <c r="K1547" s="8"/>
      <c r="L1547" s="26"/>
      <c r="M1547" s="26"/>
      <c r="N1547" s="26"/>
      <c r="O1547" s="55"/>
      <c r="P1547" s="1"/>
      <c r="Q1547" s="8"/>
      <c r="R1547" s="8"/>
      <c r="S1547" s="1"/>
      <c r="T1547" s="8"/>
      <c r="U1547" s="8"/>
      <c r="V1547" s="56"/>
      <c r="W1547" s="1"/>
      <c r="X1547" s="1"/>
      <c r="Y1547" s="8"/>
      <c r="Z1547" s="8"/>
      <c r="AA1547" s="8"/>
      <c r="AB1547" s="8"/>
      <c r="AC1547" s="8"/>
      <c r="AD1547" s="8"/>
      <c r="AE1547" s="8"/>
      <c r="AF1547" s="8"/>
      <c r="AG1547" s="8"/>
      <c r="AH1547" s="8"/>
      <c r="AI1547" s="8"/>
    </row>
    <row r="1548" spans="1:35">
      <c r="A1548" s="1"/>
      <c r="B1548" s="8"/>
      <c r="C1548" s="8"/>
      <c r="D1548" s="8"/>
      <c r="E1548" s="8"/>
      <c r="F1548" s="8"/>
      <c r="G1548" s="8"/>
      <c r="H1548" s="8"/>
      <c r="I1548" s="8"/>
      <c r="J1548" s="8"/>
      <c r="K1548" s="8"/>
      <c r="L1548" s="26"/>
      <c r="M1548" s="26"/>
      <c r="N1548" s="26"/>
      <c r="O1548" s="55"/>
      <c r="P1548" s="1"/>
      <c r="Q1548" s="8"/>
      <c r="R1548" s="8"/>
      <c r="S1548" s="1"/>
      <c r="T1548" s="8"/>
      <c r="U1548" s="8"/>
      <c r="V1548" s="56"/>
      <c r="W1548" s="1"/>
      <c r="X1548" s="1"/>
      <c r="Y1548" s="8"/>
      <c r="Z1548" s="8"/>
      <c r="AA1548" s="8"/>
      <c r="AB1548" s="8"/>
      <c r="AC1548" s="8"/>
      <c r="AD1548" s="8"/>
      <c r="AE1548" s="8"/>
      <c r="AF1548" s="8"/>
      <c r="AG1548" s="8"/>
      <c r="AH1548" s="8"/>
      <c r="AI1548" s="8"/>
    </row>
    <row r="1549" spans="1:35">
      <c r="A1549" s="1"/>
      <c r="B1549" s="8"/>
      <c r="C1549" s="8"/>
      <c r="D1549" s="8"/>
      <c r="E1549" s="8"/>
      <c r="F1549" s="8"/>
      <c r="G1549" s="8"/>
      <c r="H1549" s="8"/>
      <c r="I1549" s="8"/>
      <c r="J1549" s="8"/>
      <c r="K1549" s="8"/>
      <c r="L1549" s="26"/>
      <c r="M1549" s="26"/>
      <c r="N1549" s="26"/>
      <c r="O1549" s="55"/>
      <c r="P1549" s="1"/>
      <c r="Q1549" s="8"/>
      <c r="R1549" s="8"/>
      <c r="S1549" s="1"/>
      <c r="T1549" s="8"/>
      <c r="U1549" s="8"/>
      <c r="V1549" s="56"/>
      <c r="W1549" s="1"/>
      <c r="X1549" s="1"/>
      <c r="Y1549" s="8"/>
      <c r="Z1549" s="8"/>
      <c r="AA1549" s="8"/>
      <c r="AB1549" s="8"/>
      <c r="AC1549" s="8"/>
      <c r="AD1549" s="8"/>
      <c r="AE1549" s="8"/>
      <c r="AF1549" s="8"/>
      <c r="AG1549" s="8"/>
      <c r="AH1549" s="8"/>
      <c r="AI1549" s="8"/>
    </row>
    <row r="1550" spans="1:35">
      <c r="A1550" s="1"/>
      <c r="B1550" s="8"/>
      <c r="C1550" s="8"/>
      <c r="D1550" s="8"/>
      <c r="E1550" s="8"/>
      <c r="F1550" s="8"/>
      <c r="G1550" s="8"/>
      <c r="H1550" s="8"/>
      <c r="I1550" s="8"/>
      <c r="J1550" s="8"/>
      <c r="K1550" s="8"/>
      <c r="L1550" s="26"/>
      <c r="M1550" s="26"/>
      <c r="N1550" s="26"/>
      <c r="O1550" s="55"/>
      <c r="P1550" s="1"/>
      <c r="Q1550" s="8"/>
      <c r="R1550" s="8"/>
      <c r="S1550" s="1"/>
      <c r="T1550" s="8"/>
      <c r="U1550" s="8"/>
      <c r="V1550" s="56"/>
      <c r="W1550" s="1"/>
      <c r="X1550" s="1"/>
      <c r="Y1550" s="8"/>
      <c r="Z1550" s="8"/>
      <c r="AA1550" s="8"/>
      <c r="AB1550" s="8"/>
      <c r="AC1550" s="8"/>
      <c r="AD1550" s="8"/>
      <c r="AE1550" s="8"/>
      <c r="AF1550" s="8"/>
      <c r="AG1550" s="8"/>
      <c r="AH1550" s="8"/>
      <c r="AI1550" s="8"/>
    </row>
    <row r="1551" spans="1:35">
      <c r="A1551" s="1"/>
      <c r="B1551" s="8"/>
      <c r="C1551" s="8"/>
      <c r="D1551" s="8"/>
      <c r="E1551" s="8"/>
      <c r="F1551" s="8"/>
      <c r="G1551" s="8"/>
      <c r="H1551" s="8"/>
      <c r="I1551" s="8"/>
      <c r="J1551" s="8"/>
      <c r="K1551" s="8"/>
      <c r="L1551" s="26"/>
      <c r="M1551" s="26"/>
      <c r="N1551" s="26"/>
      <c r="O1551" s="55"/>
      <c r="P1551" s="1"/>
      <c r="Q1551" s="8"/>
      <c r="R1551" s="8"/>
      <c r="S1551" s="1"/>
      <c r="T1551" s="8"/>
      <c r="U1551" s="8"/>
      <c r="V1551" s="56"/>
      <c r="W1551" s="1"/>
      <c r="X1551" s="1"/>
      <c r="Y1551" s="8"/>
      <c r="Z1551" s="8"/>
      <c r="AA1551" s="8"/>
      <c r="AB1551" s="8"/>
      <c r="AC1551" s="8"/>
      <c r="AD1551" s="8"/>
      <c r="AE1551" s="8"/>
      <c r="AF1551" s="8"/>
      <c r="AG1551" s="8"/>
      <c r="AH1551" s="8"/>
      <c r="AI1551" s="8"/>
    </row>
    <row r="1552" spans="1:35">
      <c r="A1552" s="1"/>
      <c r="B1552" s="8"/>
      <c r="C1552" s="8"/>
      <c r="D1552" s="8"/>
      <c r="E1552" s="8"/>
      <c r="F1552" s="8"/>
      <c r="G1552" s="8"/>
      <c r="H1552" s="8"/>
      <c r="I1552" s="8"/>
      <c r="J1552" s="8"/>
      <c r="K1552" s="8"/>
      <c r="L1552" s="26"/>
      <c r="M1552" s="26"/>
      <c r="N1552" s="26"/>
      <c r="O1552" s="55"/>
      <c r="P1552" s="1"/>
      <c r="Q1552" s="8"/>
      <c r="R1552" s="8"/>
      <c r="S1552" s="1"/>
      <c r="T1552" s="8"/>
      <c r="U1552" s="8"/>
      <c r="V1552" s="56"/>
      <c r="W1552" s="1"/>
      <c r="X1552" s="1"/>
      <c r="Y1552" s="8"/>
      <c r="Z1552" s="8"/>
      <c r="AA1552" s="8"/>
      <c r="AB1552" s="8"/>
      <c r="AC1552" s="8"/>
      <c r="AD1552" s="8"/>
      <c r="AE1552" s="8"/>
      <c r="AF1552" s="8"/>
      <c r="AG1552" s="8"/>
      <c r="AH1552" s="8"/>
      <c r="AI1552" s="8"/>
    </row>
    <row r="1553" spans="1:35">
      <c r="A1553" s="1"/>
      <c r="B1553" s="8"/>
      <c r="C1553" s="8"/>
      <c r="D1553" s="8"/>
      <c r="E1553" s="8"/>
      <c r="F1553" s="8"/>
      <c r="G1553" s="8"/>
      <c r="H1553" s="8"/>
      <c r="I1553" s="8"/>
      <c r="J1553" s="8"/>
      <c r="K1553" s="8"/>
      <c r="L1553" s="26"/>
      <c r="M1553" s="26"/>
      <c r="N1553" s="26"/>
      <c r="O1553" s="55"/>
      <c r="P1553" s="1"/>
      <c r="Q1553" s="8"/>
      <c r="R1553" s="8"/>
      <c r="S1553" s="1"/>
      <c r="T1553" s="8"/>
      <c r="U1553" s="8"/>
      <c r="V1553" s="56"/>
      <c r="W1553" s="1"/>
      <c r="X1553" s="1"/>
      <c r="Y1553" s="8"/>
      <c r="Z1553" s="8"/>
      <c r="AA1553" s="8"/>
      <c r="AB1553" s="8"/>
      <c r="AC1553" s="8"/>
      <c r="AD1553" s="8"/>
      <c r="AE1553" s="8"/>
      <c r="AF1553" s="8"/>
      <c r="AG1553" s="8"/>
      <c r="AH1553" s="8"/>
      <c r="AI1553" s="8"/>
    </row>
    <row r="1554" spans="1:35">
      <c r="A1554" s="1"/>
      <c r="B1554" s="8"/>
      <c r="C1554" s="8"/>
      <c r="D1554" s="8"/>
      <c r="E1554" s="8"/>
      <c r="F1554" s="8"/>
      <c r="G1554" s="8"/>
      <c r="H1554" s="8"/>
      <c r="I1554" s="8"/>
      <c r="J1554" s="8"/>
      <c r="K1554" s="8"/>
      <c r="L1554" s="26"/>
      <c r="M1554" s="26"/>
      <c r="N1554" s="26"/>
      <c r="O1554" s="55"/>
      <c r="P1554" s="1"/>
      <c r="Q1554" s="8"/>
      <c r="R1554" s="8"/>
      <c r="S1554" s="1"/>
      <c r="T1554" s="8"/>
      <c r="U1554" s="8"/>
      <c r="V1554" s="56"/>
      <c r="W1554" s="1"/>
      <c r="X1554" s="1"/>
      <c r="Y1554" s="8"/>
      <c r="Z1554" s="8"/>
      <c r="AA1554" s="8"/>
      <c r="AB1554" s="8"/>
      <c r="AC1554" s="8"/>
      <c r="AD1554" s="8"/>
      <c r="AE1554" s="8"/>
      <c r="AF1554" s="8"/>
      <c r="AG1554" s="8"/>
      <c r="AH1554" s="8"/>
      <c r="AI1554" s="8"/>
    </row>
    <row r="1555" spans="1:35">
      <c r="A1555" s="1"/>
      <c r="B1555" s="8"/>
      <c r="C1555" s="8"/>
      <c r="D1555" s="8"/>
      <c r="E1555" s="8"/>
      <c r="F1555" s="8"/>
      <c r="G1555" s="8"/>
      <c r="H1555" s="8"/>
      <c r="I1555" s="8"/>
      <c r="J1555" s="8"/>
      <c r="K1555" s="8"/>
      <c r="L1555" s="26"/>
      <c r="M1555" s="26"/>
      <c r="N1555" s="26"/>
      <c r="O1555" s="55"/>
      <c r="P1555" s="1"/>
      <c r="Q1555" s="8"/>
      <c r="R1555" s="8"/>
      <c r="S1555" s="1"/>
      <c r="T1555" s="8"/>
      <c r="U1555" s="8"/>
      <c r="V1555" s="56"/>
      <c r="W1555" s="1"/>
      <c r="X1555" s="1"/>
      <c r="Y1555" s="8"/>
      <c r="Z1555" s="8"/>
      <c r="AA1555" s="8"/>
      <c r="AB1555" s="8"/>
      <c r="AC1555" s="8"/>
      <c r="AD1555" s="8"/>
      <c r="AE1555" s="8"/>
      <c r="AF1555" s="8"/>
      <c r="AG1555" s="8"/>
      <c r="AH1555" s="8"/>
      <c r="AI1555" s="8"/>
    </row>
    <row r="1556" spans="1:35">
      <c r="A1556" s="1"/>
      <c r="B1556" s="8"/>
      <c r="C1556" s="8"/>
      <c r="D1556" s="8"/>
      <c r="E1556" s="8"/>
      <c r="F1556" s="8"/>
      <c r="G1556" s="8"/>
      <c r="H1556" s="8"/>
      <c r="I1556" s="8"/>
      <c r="J1556" s="8"/>
      <c r="K1556" s="8"/>
      <c r="L1556" s="26"/>
      <c r="M1556" s="26"/>
      <c r="N1556" s="26"/>
      <c r="O1556" s="55"/>
      <c r="P1556" s="1"/>
      <c r="Q1556" s="8"/>
      <c r="R1556" s="8"/>
      <c r="S1556" s="1"/>
      <c r="T1556" s="8"/>
      <c r="U1556" s="8"/>
      <c r="V1556" s="56"/>
      <c r="W1556" s="1"/>
      <c r="X1556" s="1"/>
      <c r="Y1556" s="8"/>
      <c r="Z1556" s="8"/>
      <c r="AA1556" s="8"/>
      <c r="AB1556" s="8"/>
      <c r="AC1556" s="8"/>
      <c r="AD1556" s="8"/>
      <c r="AE1556" s="8"/>
      <c r="AF1556" s="8"/>
      <c r="AG1556" s="8"/>
      <c r="AH1556" s="8"/>
      <c r="AI1556" s="8"/>
    </row>
    <row r="1557" spans="1:35">
      <c r="A1557" s="1"/>
      <c r="B1557" s="8"/>
      <c r="C1557" s="8"/>
      <c r="D1557" s="8"/>
      <c r="E1557" s="8"/>
      <c r="F1557" s="8"/>
      <c r="G1557" s="8"/>
      <c r="H1557" s="8"/>
      <c r="I1557" s="8"/>
      <c r="J1557" s="8"/>
      <c r="K1557" s="8"/>
      <c r="L1557" s="26"/>
      <c r="M1557" s="26"/>
      <c r="N1557" s="26"/>
      <c r="O1557" s="55"/>
      <c r="P1557" s="1"/>
      <c r="Q1557" s="8"/>
      <c r="R1557" s="8"/>
      <c r="S1557" s="1"/>
      <c r="T1557" s="8"/>
      <c r="U1557" s="8"/>
      <c r="V1557" s="56"/>
      <c r="W1557" s="1"/>
      <c r="X1557" s="1"/>
      <c r="Y1557" s="8"/>
      <c r="Z1557" s="8"/>
      <c r="AA1557" s="8"/>
      <c r="AB1557" s="8"/>
      <c r="AC1557" s="8"/>
      <c r="AD1557" s="8"/>
      <c r="AE1557" s="8"/>
      <c r="AF1557" s="8"/>
      <c r="AG1557" s="8"/>
      <c r="AH1557" s="8"/>
      <c r="AI1557" s="8"/>
    </row>
    <row r="1558" spans="1:35">
      <c r="A1558" s="1"/>
      <c r="B1558" s="8"/>
      <c r="C1558" s="8"/>
      <c r="D1558" s="8"/>
      <c r="E1558" s="8"/>
      <c r="F1558" s="8"/>
      <c r="G1558" s="8"/>
      <c r="H1558" s="8"/>
      <c r="I1558" s="8"/>
      <c r="J1558" s="8"/>
      <c r="K1558" s="8"/>
      <c r="L1558" s="26"/>
      <c r="M1558" s="26"/>
      <c r="N1558" s="26"/>
      <c r="O1558" s="55"/>
      <c r="P1558" s="1"/>
      <c r="Q1558" s="8"/>
      <c r="R1558" s="8"/>
      <c r="S1558" s="1"/>
      <c r="T1558" s="8"/>
      <c r="U1558" s="8"/>
      <c r="V1558" s="56"/>
      <c r="W1558" s="1"/>
      <c r="X1558" s="1"/>
      <c r="Y1558" s="8"/>
      <c r="Z1558" s="8"/>
      <c r="AA1558" s="8"/>
      <c r="AB1558" s="8"/>
      <c r="AC1558" s="8"/>
      <c r="AD1558" s="8"/>
      <c r="AE1558" s="8"/>
      <c r="AF1558" s="8"/>
      <c r="AG1558" s="8"/>
      <c r="AH1558" s="8"/>
      <c r="AI1558" s="8"/>
    </row>
    <row r="1559" spans="1:35">
      <c r="A1559" s="1"/>
      <c r="B1559" s="8"/>
      <c r="C1559" s="8"/>
      <c r="D1559" s="8"/>
      <c r="E1559" s="8"/>
      <c r="F1559" s="8"/>
      <c r="G1559" s="8"/>
      <c r="H1559" s="8"/>
      <c r="I1559" s="8"/>
      <c r="J1559" s="8"/>
      <c r="K1559" s="8"/>
      <c r="L1559" s="26"/>
      <c r="M1559" s="26"/>
      <c r="N1559" s="26"/>
      <c r="O1559" s="55"/>
      <c r="P1559" s="1"/>
      <c r="Q1559" s="8"/>
      <c r="R1559" s="8"/>
      <c r="S1559" s="1"/>
      <c r="T1559" s="8"/>
      <c r="U1559" s="8"/>
      <c r="V1559" s="56"/>
      <c r="W1559" s="1"/>
      <c r="X1559" s="1"/>
      <c r="Y1559" s="8"/>
      <c r="Z1559" s="8"/>
      <c r="AA1559" s="8"/>
      <c r="AB1559" s="8"/>
      <c r="AC1559" s="8"/>
      <c r="AD1559" s="8"/>
      <c r="AE1559" s="8"/>
      <c r="AF1559" s="8"/>
      <c r="AG1559" s="8"/>
      <c r="AH1559" s="8"/>
      <c r="AI1559" s="8"/>
    </row>
    <row r="1560" spans="1:35">
      <c r="A1560" s="1"/>
      <c r="B1560" s="8"/>
      <c r="C1560" s="8"/>
      <c r="D1560" s="8"/>
      <c r="E1560" s="8"/>
      <c r="F1560" s="8"/>
      <c r="G1560" s="8"/>
      <c r="H1560" s="8"/>
      <c r="I1560" s="8"/>
      <c r="J1560" s="8"/>
      <c r="K1560" s="8"/>
      <c r="L1560" s="26"/>
      <c r="M1560" s="26"/>
      <c r="N1560" s="26"/>
      <c r="O1560" s="55"/>
      <c r="P1560" s="1"/>
      <c r="Q1560" s="8"/>
      <c r="R1560" s="8"/>
      <c r="S1560" s="1"/>
      <c r="T1560" s="8"/>
      <c r="U1560" s="8"/>
      <c r="V1560" s="56"/>
      <c r="W1560" s="1"/>
      <c r="X1560" s="1"/>
      <c r="Y1560" s="8"/>
      <c r="Z1560" s="8"/>
      <c r="AA1560" s="8"/>
      <c r="AB1560" s="8"/>
      <c r="AC1560" s="8"/>
      <c r="AD1560" s="8"/>
      <c r="AE1560" s="8"/>
      <c r="AF1560" s="8"/>
      <c r="AG1560" s="8"/>
      <c r="AH1560" s="8"/>
      <c r="AI1560" s="8"/>
    </row>
    <row r="1561" spans="1:35">
      <c r="A1561" s="1"/>
      <c r="B1561" s="8"/>
      <c r="C1561" s="8"/>
      <c r="D1561" s="8"/>
      <c r="E1561" s="8"/>
      <c r="F1561" s="8"/>
      <c r="G1561" s="8"/>
      <c r="H1561" s="8"/>
      <c r="I1561" s="8"/>
      <c r="J1561" s="8"/>
      <c r="K1561" s="8"/>
      <c r="L1561" s="26"/>
      <c r="M1561" s="26"/>
      <c r="N1561" s="26"/>
      <c r="O1561" s="55"/>
      <c r="P1561" s="1"/>
      <c r="Q1561" s="8"/>
      <c r="R1561" s="8"/>
      <c r="S1561" s="1"/>
      <c r="T1561" s="8"/>
      <c r="U1561" s="8"/>
      <c r="V1561" s="56"/>
      <c r="W1561" s="1"/>
      <c r="X1561" s="1"/>
      <c r="Y1561" s="8"/>
      <c r="Z1561" s="8"/>
      <c r="AA1561" s="8"/>
      <c r="AB1561" s="8"/>
      <c r="AC1561" s="8"/>
      <c r="AD1561" s="8"/>
      <c r="AE1561" s="8"/>
      <c r="AF1561" s="8"/>
      <c r="AG1561" s="8"/>
      <c r="AH1561" s="8"/>
      <c r="AI1561" s="8"/>
    </row>
    <row r="1562" spans="1:35">
      <c r="A1562" s="1"/>
      <c r="B1562" s="8"/>
      <c r="C1562" s="8"/>
      <c r="D1562" s="8"/>
      <c r="E1562" s="8"/>
      <c r="F1562" s="8"/>
      <c r="G1562" s="8"/>
      <c r="H1562" s="8"/>
      <c r="I1562" s="8"/>
      <c r="J1562" s="8"/>
      <c r="K1562" s="8"/>
      <c r="L1562" s="26"/>
      <c r="M1562" s="26"/>
      <c r="N1562" s="26"/>
      <c r="O1562" s="55"/>
      <c r="P1562" s="1"/>
      <c r="Q1562" s="8"/>
      <c r="R1562" s="8"/>
      <c r="S1562" s="1"/>
      <c r="T1562" s="8"/>
      <c r="U1562" s="8"/>
      <c r="V1562" s="56"/>
      <c r="W1562" s="1"/>
      <c r="X1562" s="1"/>
      <c r="Y1562" s="8"/>
      <c r="Z1562" s="8"/>
      <c r="AA1562" s="8"/>
      <c r="AB1562" s="8"/>
      <c r="AC1562" s="8"/>
      <c r="AD1562" s="8"/>
      <c r="AE1562" s="8"/>
      <c r="AF1562" s="8"/>
      <c r="AG1562" s="8"/>
      <c r="AH1562" s="8"/>
      <c r="AI1562" s="8"/>
    </row>
    <row r="1563" spans="1:35">
      <c r="A1563" s="1"/>
      <c r="B1563" s="8"/>
      <c r="C1563" s="8"/>
      <c r="D1563" s="8"/>
      <c r="E1563" s="8"/>
      <c r="F1563" s="8"/>
      <c r="G1563" s="8"/>
      <c r="H1563" s="8"/>
      <c r="I1563" s="8"/>
      <c r="J1563" s="8"/>
      <c r="K1563" s="8"/>
      <c r="L1563" s="26"/>
      <c r="M1563" s="26"/>
      <c r="N1563" s="26"/>
      <c r="O1563" s="55"/>
      <c r="P1563" s="1"/>
      <c r="Q1563" s="8"/>
      <c r="R1563" s="8"/>
      <c r="S1563" s="1"/>
      <c r="T1563" s="8"/>
      <c r="U1563" s="8"/>
      <c r="V1563" s="56"/>
      <c r="W1563" s="1"/>
      <c r="X1563" s="1"/>
      <c r="Y1563" s="8"/>
      <c r="Z1563" s="8"/>
      <c r="AA1563" s="8"/>
      <c r="AB1563" s="8"/>
      <c r="AC1563" s="8"/>
      <c r="AD1563" s="8"/>
      <c r="AE1563" s="8"/>
      <c r="AF1563" s="8"/>
      <c r="AG1563" s="8"/>
      <c r="AH1563" s="8"/>
      <c r="AI1563" s="8"/>
    </row>
    <row r="1564" spans="1:35">
      <c r="A1564" s="1"/>
      <c r="B1564" s="8"/>
      <c r="C1564" s="8"/>
      <c r="D1564" s="8"/>
      <c r="E1564" s="8"/>
      <c r="F1564" s="8"/>
      <c r="G1564" s="8"/>
      <c r="H1564" s="8"/>
      <c r="I1564" s="8"/>
      <c r="J1564" s="8"/>
      <c r="K1564" s="8"/>
      <c r="L1564" s="26"/>
      <c r="M1564" s="26"/>
      <c r="N1564" s="26"/>
      <c r="O1564" s="55"/>
      <c r="P1564" s="1"/>
      <c r="Q1564" s="8"/>
      <c r="R1564" s="8"/>
      <c r="S1564" s="1"/>
      <c r="T1564" s="8"/>
      <c r="U1564" s="8"/>
      <c r="V1564" s="56"/>
      <c r="W1564" s="1"/>
      <c r="X1564" s="1"/>
      <c r="Y1564" s="8"/>
      <c r="Z1564" s="8"/>
      <c r="AA1564" s="8"/>
      <c r="AB1564" s="8"/>
      <c r="AC1564" s="8"/>
      <c r="AD1564" s="8"/>
      <c r="AE1564" s="8"/>
      <c r="AF1564" s="8"/>
      <c r="AG1564" s="8"/>
      <c r="AH1564" s="8"/>
      <c r="AI1564" s="8"/>
    </row>
    <row r="1565" spans="1:35">
      <c r="A1565" s="1"/>
      <c r="B1565" s="8"/>
      <c r="C1565" s="8"/>
      <c r="D1565" s="8"/>
      <c r="E1565" s="8"/>
      <c r="F1565" s="8"/>
      <c r="G1565" s="8"/>
      <c r="H1565" s="8"/>
      <c r="I1565" s="8"/>
      <c r="J1565" s="8"/>
      <c r="K1565" s="8"/>
      <c r="L1565" s="26"/>
      <c r="M1565" s="26"/>
      <c r="N1565" s="26"/>
      <c r="O1565" s="55"/>
      <c r="P1565" s="1"/>
      <c r="Q1565" s="8"/>
      <c r="R1565" s="8"/>
      <c r="S1565" s="1"/>
      <c r="T1565" s="8"/>
      <c r="U1565" s="8"/>
      <c r="V1565" s="56"/>
      <c r="W1565" s="1"/>
      <c r="X1565" s="1"/>
      <c r="Y1565" s="8"/>
      <c r="Z1565" s="8"/>
      <c r="AA1565" s="8"/>
      <c r="AB1565" s="8"/>
      <c r="AC1565" s="8"/>
      <c r="AD1565" s="8"/>
      <c r="AE1565" s="8"/>
      <c r="AF1565" s="8"/>
      <c r="AG1565" s="8"/>
      <c r="AH1565" s="8"/>
      <c r="AI1565" s="8"/>
    </row>
    <row r="1566" spans="1:35">
      <c r="A1566" s="1"/>
      <c r="B1566" s="8"/>
      <c r="C1566" s="8"/>
      <c r="D1566" s="8"/>
      <c r="E1566" s="8"/>
      <c r="F1566" s="8"/>
      <c r="G1566" s="8"/>
      <c r="H1566" s="8"/>
      <c r="I1566" s="8"/>
      <c r="J1566" s="8"/>
      <c r="K1566" s="8"/>
      <c r="L1566" s="26"/>
      <c r="M1566" s="26"/>
      <c r="N1566" s="26"/>
      <c r="O1566" s="55"/>
      <c r="P1566" s="1"/>
      <c r="Q1566" s="8"/>
      <c r="R1566" s="8"/>
      <c r="S1566" s="1"/>
      <c r="T1566" s="8"/>
      <c r="U1566" s="8"/>
      <c r="V1566" s="56"/>
      <c r="W1566" s="1"/>
      <c r="X1566" s="1"/>
      <c r="Y1566" s="8"/>
      <c r="Z1566" s="8"/>
      <c r="AA1566" s="8"/>
      <c r="AB1566" s="8"/>
      <c r="AC1566" s="8"/>
      <c r="AD1566" s="8"/>
      <c r="AE1566" s="8"/>
      <c r="AF1566" s="8"/>
      <c r="AG1566" s="8"/>
      <c r="AH1566" s="8"/>
      <c r="AI1566" s="8"/>
    </row>
    <row r="1567" spans="1:35">
      <c r="A1567" s="1"/>
      <c r="B1567" s="8"/>
      <c r="C1567" s="8"/>
      <c r="D1567" s="8"/>
      <c r="E1567" s="8"/>
      <c r="F1567" s="8"/>
      <c r="G1567" s="8"/>
      <c r="H1567" s="8"/>
      <c r="I1567" s="8"/>
      <c r="J1567" s="8"/>
      <c r="K1567" s="8"/>
      <c r="L1567" s="26"/>
      <c r="M1567" s="26"/>
      <c r="N1567" s="26"/>
      <c r="O1567" s="55"/>
      <c r="P1567" s="1"/>
      <c r="Q1567" s="8"/>
      <c r="R1567" s="8"/>
      <c r="S1567" s="1"/>
      <c r="T1567" s="8"/>
      <c r="U1567" s="8"/>
      <c r="V1567" s="56"/>
      <c r="W1567" s="1"/>
      <c r="X1567" s="1"/>
      <c r="Y1567" s="8"/>
      <c r="Z1567" s="8"/>
      <c r="AA1567" s="8"/>
      <c r="AB1567" s="8"/>
      <c r="AC1567" s="8"/>
      <c r="AD1567" s="8"/>
      <c r="AE1567" s="8"/>
      <c r="AF1567" s="8"/>
      <c r="AG1567" s="8"/>
      <c r="AH1567" s="8"/>
      <c r="AI1567" s="8"/>
    </row>
    <row r="1568" spans="1:35">
      <c r="A1568" s="1"/>
      <c r="B1568" s="8"/>
      <c r="C1568" s="8"/>
      <c r="D1568" s="8"/>
      <c r="E1568" s="8"/>
      <c r="F1568" s="8"/>
      <c r="G1568" s="8"/>
      <c r="H1568" s="8"/>
      <c r="I1568" s="8"/>
      <c r="J1568" s="8"/>
      <c r="K1568" s="8"/>
      <c r="L1568" s="26"/>
      <c r="M1568" s="26"/>
      <c r="N1568" s="26"/>
      <c r="O1568" s="55"/>
      <c r="P1568" s="1"/>
      <c r="Q1568" s="8"/>
      <c r="R1568" s="8"/>
      <c r="S1568" s="1"/>
      <c r="T1568" s="8"/>
      <c r="U1568" s="8"/>
      <c r="V1568" s="56"/>
      <c r="W1568" s="1"/>
      <c r="X1568" s="1"/>
      <c r="Y1568" s="8"/>
      <c r="Z1568" s="8"/>
      <c r="AA1568" s="8"/>
      <c r="AB1568" s="8"/>
      <c r="AC1568" s="8"/>
      <c r="AD1568" s="8"/>
      <c r="AE1568" s="8"/>
      <c r="AF1568" s="8"/>
      <c r="AG1568" s="8"/>
      <c r="AH1568" s="8"/>
      <c r="AI1568" s="8"/>
    </row>
    <row r="1569" spans="1:35">
      <c r="A1569" s="1"/>
      <c r="B1569" s="8"/>
      <c r="C1569" s="8"/>
      <c r="D1569" s="8"/>
      <c r="E1569" s="8"/>
      <c r="F1569" s="8"/>
      <c r="G1569" s="8"/>
      <c r="H1569" s="8"/>
      <c r="I1569" s="8"/>
      <c r="J1569" s="8"/>
      <c r="K1569" s="8"/>
      <c r="L1569" s="26"/>
      <c r="M1569" s="26"/>
      <c r="N1569" s="26"/>
      <c r="O1569" s="55"/>
      <c r="P1569" s="1"/>
      <c r="Q1569" s="8"/>
      <c r="R1569" s="8"/>
      <c r="S1569" s="1"/>
      <c r="T1569" s="8"/>
      <c r="U1569" s="8"/>
      <c r="V1569" s="56"/>
      <c r="W1569" s="1"/>
      <c r="X1569" s="1"/>
      <c r="Y1569" s="8"/>
      <c r="Z1569" s="8"/>
      <c r="AA1569" s="8"/>
      <c r="AB1569" s="8"/>
      <c r="AC1569" s="8"/>
      <c r="AD1569" s="8"/>
      <c r="AE1569" s="8"/>
      <c r="AF1569" s="8"/>
      <c r="AG1569" s="8"/>
      <c r="AH1569" s="8"/>
      <c r="AI1569" s="8"/>
    </row>
    <row r="1570" spans="1:35">
      <c r="A1570" s="1"/>
      <c r="B1570" s="8"/>
      <c r="C1570" s="8"/>
      <c r="D1570" s="8"/>
      <c r="E1570" s="8"/>
      <c r="F1570" s="8"/>
      <c r="G1570" s="8"/>
      <c r="H1570" s="8"/>
      <c r="I1570" s="8"/>
      <c r="J1570" s="8"/>
      <c r="K1570" s="8"/>
      <c r="L1570" s="26"/>
      <c r="M1570" s="26"/>
      <c r="N1570" s="26"/>
      <c r="O1570" s="55"/>
      <c r="P1570" s="1"/>
      <c r="Q1570" s="8"/>
      <c r="R1570" s="8"/>
      <c r="S1570" s="1"/>
      <c r="T1570" s="8"/>
      <c r="U1570" s="8"/>
      <c r="V1570" s="56"/>
      <c r="W1570" s="1"/>
      <c r="X1570" s="1"/>
      <c r="Y1570" s="8"/>
      <c r="Z1570" s="8"/>
      <c r="AA1570" s="8"/>
      <c r="AB1570" s="8"/>
      <c r="AC1570" s="8"/>
      <c r="AD1570" s="8"/>
      <c r="AE1570" s="8"/>
      <c r="AF1570" s="8"/>
      <c r="AG1570" s="8"/>
      <c r="AH1570" s="8"/>
      <c r="AI1570" s="8"/>
    </row>
    <row r="1571" spans="1:35">
      <c r="A1571" s="1"/>
      <c r="B1571" s="8"/>
      <c r="C1571" s="8"/>
      <c r="D1571" s="8"/>
      <c r="E1571" s="8"/>
      <c r="F1571" s="8"/>
      <c r="G1571" s="8"/>
      <c r="H1571" s="8"/>
      <c r="I1571" s="8"/>
      <c r="J1571" s="8"/>
      <c r="K1571" s="8"/>
      <c r="L1571" s="26"/>
      <c r="M1571" s="26"/>
      <c r="N1571" s="26"/>
      <c r="O1571" s="55"/>
      <c r="P1571" s="1"/>
      <c r="Q1571" s="8"/>
      <c r="R1571" s="8"/>
      <c r="S1571" s="1"/>
      <c r="T1571" s="8"/>
      <c r="U1571" s="8"/>
      <c r="V1571" s="56"/>
      <c r="W1571" s="1"/>
      <c r="X1571" s="1"/>
      <c r="Y1571" s="8"/>
      <c r="Z1571" s="8"/>
      <c r="AA1571" s="8"/>
      <c r="AB1571" s="8"/>
      <c r="AC1571" s="8"/>
      <c r="AD1571" s="8"/>
      <c r="AE1571" s="8"/>
      <c r="AF1571" s="8"/>
      <c r="AG1571" s="8"/>
      <c r="AH1571" s="8"/>
      <c r="AI1571" s="8"/>
    </row>
    <row r="1572" spans="1:35">
      <c r="A1572" s="1"/>
      <c r="B1572" s="8"/>
      <c r="C1572" s="8"/>
      <c r="D1572" s="8"/>
      <c r="E1572" s="8"/>
      <c r="F1572" s="8"/>
      <c r="G1572" s="8"/>
      <c r="H1572" s="8"/>
      <c r="I1572" s="8"/>
      <c r="J1572" s="8"/>
      <c r="K1572" s="8"/>
      <c r="L1572" s="26"/>
      <c r="M1572" s="26"/>
      <c r="N1572" s="26"/>
      <c r="O1572" s="55"/>
      <c r="P1572" s="1"/>
      <c r="Q1572" s="8"/>
      <c r="R1572" s="8"/>
      <c r="S1572" s="1"/>
      <c r="T1572" s="8"/>
      <c r="U1572" s="8"/>
      <c r="V1572" s="56"/>
      <c r="W1572" s="1"/>
      <c r="X1572" s="1"/>
      <c r="Y1572" s="8"/>
      <c r="Z1572" s="8"/>
      <c r="AA1572" s="8"/>
      <c r="AB1572" s="8"/>
      <c r="AC1572" s="8"/>
      <c r="AD1572" s="8"/>
      <c r="AE1572" s="8"/>
      <c r="AF1572" s="8"/>
      <c r="AG1572" s="8"/>
      <c r="AH1572" s="8"/>
      <c r="AI1572" s="8"/>
    </row>
    <row r="1573" spans="1:35">
      <c r="A1573" s="1"/>
      <c r="B1573" s="8"/>
      <c r="C1573" s="8"/>
      <c r="D1573" s="8"/>
      <c r="E1573" s="8"/>
      <c r="F1573" s="8"/>
      <c r="G1573" s="8"/>
      <c r="H1573" s="8"/>
      <c r="I1573" s="8"/>
      <c r="J1573" s="8"/>
      <c r="K1573" s="8"/>
      <c r="L1573" s="26"/>
      <c r="M1573" s="26"/>
      <c r="N1573" s="26"/>
      <c r="O1573" s="55"/>
      <c r="P1573" s="1"/>
      <c r="Q1573" s="8"/>
      <c r="R1573" s="8"/>
      <c r="S1573" s="1"/>
      <c r="T1573" s="8"/>
      <c r="U1573" s="8"/>
      <c r="V1573" s="56"/>
      <c r="W1573" s="1"/>
      <c r="X1573" s="1"/>
      <c r="Y1573" s="8"/>
      <c r="Z1573" s="8"/>
      <c r="AA1573" s="8"/>
      <c r="AB1573" s="8"/>
      <c r="AC1573" s="8"/>
      <c r="AD1573" s="8"/>
      <c r="AE1573" s="8"/>
      <c r="AF1573" s="8"/>
      <c r="AG1573" s="8"/>
      <c r="AH1573" s="8"/>
      <c r="AI1573" s="8"/>
    </row>
    <row r="1574" spans="1:35">
      <c r="A1574" s="1"/>
      <c r="B1574" s="8"/>
      <c r="C1574" s="8"/>
      <c r="D1574" s="8"/>
      <c r="E1574" s="8"/>
      <c r="F1574" s="8"/>
      <c r="G1574" s="8"/>
      <c r="H1574" s="8"/>
      <c r="I1574" s="8"/>
      <c r="J1574" s="8"/>
      <c r="K1574" s="8"/>
      <c r="L1574" s="26"/>
      <c r="M1574" s="26"/>
      <c r="N1574" s="26"/>
      <c r="O1574" s="55"/>
      <c r="P1574" s="1"/>
      <c r="Q1574" s="8"/>
      <c r="R1574" s="8"/>
      <c r="S1574" s="1"/>
      <c r="T1574" s="8"/>
      <c r="U1574" s="8"/>
      <c r="V1574" s="56"/>
      <c r="W1574" s="1"/>
      <c r="X1574" s="1"/>
      <c r="Y1574" s="8"/>
      <c r="Z1574" s="8"/>
      <c r="AA1574" s="8"/>
      <c r="AB1574" s="8"/>
      <c r="AC1574" s="8"/>
      <c r="AD1574" s="8"/>
      <c r="AE1574" s="8"/>
      <c r="AF1574" s="8"/>
      <c r="AG1574" s="8"/>
      <c r="AH1574" s="8"/>
      <c r="AI1574" s="8"/>
    </row>
    <row r="1575" spans="1:35">
      <c r="A1575" s="1"/>
      <c r="B1575" s="8"/>
      <c r="C1575" s="8"/>
      <c r="D1575" s="8"/>
      <c r="E1575" s="8"/>
      <c r="F1575" s="8"/>
      <c r="G1575" s="8"/>
      <c r="H1575" s="8"/>
      <c r="I1575" s="8"/>
      <c r="J1575" s="8"/>
      <c r="K1575" s="8"/>
      <c r="L1575" s="26"/>
      <c r="M1575" s="26"/>
      <c r="N1575" s="26"/>
      <c r="O1575" s="55"/>
      <c r="P1575" s="1"/>
      <c r="Q1575" s="8"/>
      <c r="R1575" s="8"/>
      <c r="S1575" s="1"/>
      <c r="T1575" s="8"/>
      <c r="U1575" s="8"/>
      <c r="V1575" s="56"/>
      <c r="W1575" s="1"/>
      <c r="X1575" s="1"/>
      <c r="Y1575" s="8"/>
      <c r="Z1575" s="8"/>
      <c r="AA1575" s="8"/>
      <c r="AB1575" s="8"/>
      <c r="AC1575" s="8"/>
      <c r="AD1575" s="8"/>
      <c r="AE1575" s="8"/>
      <c r="AF1575" s="8"/>
      <c r="AG1575" s="8"/>
      <c r="AH1575" s="8"/>
      <c r="AI1575" s="8"/>
    </row>
    <row r="1576" spans="1:35">
      <c r="A1576" s="1"/>
      <c r="B1576" s="8"/>
      <c r="C1576" s="8"/>
      <c r="D1576" s="8"/>
      <c r="E1576" s="8"/>
      <c r="F1576" s="8"/>
      <c r="G1576" s="8"/>
      <c r="H1576" s="8"/>
      <c r="I1576" s="8"/>
      <c r="J1576" s="8"/>
      <c r="K1576" s="8"/>
      <c r="L1576" s="26"/>
      <c r="M1576" s="26"/>
      <c r="N1576" s="26"/>
      <c r="O1576" s="55"/>
      <c r="P1576" s="1"/>
      <c r="Q1576" s="8"/>
      <c r="R1576" s="8"/>
      <c r="S1576" s="1"/>
      <c r="T1576" s="8"/>
      <c r="U1576" s="8"/>
      <c r="V1576" s="56"/>
      <c r="W1576" s="1"/>
      <c r="X1576" s="1"/>
      <c r="Y1576" s="8"/>
      <c r="Z1576" s="8"/>
      <c r="AA1576" s="8"/>
      <c r="AB1576" s="8"/>
      <c r="AC1576" s="8"/>
      <c r="AD1576" s="8"/>
      <c r="AE1576" s="8"/>
      <c r="AF1576" s="8"/>
      <c r="AG1576" s="8"/>
      <c r="AH1576" s="8"/>
      <c r="AI1576" s="8"/>
    </row>
    <row r="1577" spans="1:35">
      <c r="A1577" s="1"/>
      <c r="B1577" s="8"/>
      <c r="C1577" s="8"/>
      <c r="D1577" s="8"/>
      <c r="E1577" s="8"/>
      <c r="F1577" s="8"/>
      <c r="G1577" s="8"/>
      <c r="H1577" s="8"/>
      <c r="I1577" s="8"/>
      <c r="J1577" s="8"/>
      <c r="K1577" s="8"/>
      <c r="L1577" s="26"/>
      <c r="M1577" s="26"/>
      <c r="N1577" s="26"/>
      <c r="O1577" s="55"/>
      <c r="P1577" s="1"/>
      <c r="Q1577" s="8"/>
      <c r="R1577" s="8"/>
      <c r="S1577" s="1"/>
      <c r="T1577" s="8"/>
      <c r="U1577" s="8"/>
      <c r="V1577" s="56"/>
      <c r="W1577" s="1"/>
      <c r="X1577" s="1"/>
      <c r="Y1577" s="8"/>
      <c r="Z1577" s="8"/>
      <c r="AA1577" s="8"/>
      <c r="AB1577" s="8"/>
      <c r="AC1577" s="8"/>
      <c r="AD1577" s="8"/>
      <c r="AE1577" s="8"/>
      <c r="AF1577" s="8"/>
      <c r="AG1577" s="8"/>
      <c r="AH1577" s="8"/>
      <c r="AI1577" s="8"/>
    </row>
    <row r="1578" spans="1:35">
      <c r="A1578" s="1"/>
      <c r="B1578" s="8"/>
      <c r="C1578" s="8"/>
      <c r="D1578" s="8"/>
      <c r="E1578" s="8"/>
      <c r="F1578" s="8"/>
      <c r="G1578" s="8"/>
      <c r="H1578" s="8"/>
      <c r="I1578" s="8"/>
      <c r="J1578" s="8"/>
      <c r="K1578" s="8"/>
      <c r="L1578" s="26"/>
      <c r="M1578" s="26"/>
      <c r="N1578" s="26"/>
      <c r="O1578" s="55"/>
      <c r="P1578" s="1"/>
      <c r="Q1578" s="8"/>
      <c r="R1578" s="8"/>
      <c r="S1578" s="1"/>
      <c r="T1578" s="8"/>
      <c r="U1578" s="8"/>
      <c r="V1578" s="56"/>
      <c r="W1578" s="1"/>
      <c r="X1578" s="1"/>
      <c r="Y1578" s="8"/>
      <c r="Z1578" s="8"/>
      <c r="AA1578" s="8"/>
      <c r="AB1578" s="8"/>
      <c r="AC1578" s="8"/>
      <c r="AD1578" s="8"/>
      <c r="AE1578" s="8"/>
      <c r="AF1578" s="8"/>
      <c r="AG1578" s="8"/>
      <c r="AH1578" s="8"/>
      <c r="AI1578" s="8"/>
    </row>
    <row r="1579" spans="1:35">
      <c r="A1579" s="1"/>
      <c r="B1579" s="8"/>
      <c r="C1579" s="8"/>
      <c r="D1579" s="8"/>
      <c r="E1579" s="8"/>
      <c r="F1579" s="8"/>
      <c r="G1579" s="8"/>
      <c r="H1579" s="8"/>
      <c r="I1579" s="8"/>
      <c r="J1579" s="8"/>
      <c r="K1579" s="8"/>
      <c r="L1579" s="26"/>
      <c r="M1579" s="26"/>
      <c r="N1579" s="26"/>
      <c r="O1579" s="55"/>
      <c r="P1579" s="1"/>
      <c r="Q1579" s="8"/>
      <c r="R1579" s="8"/>
      <c r="S1579" s="1"/>
      <c r="T1579" s="8"/>
      <c r="U1579" s="8"/>
      <c r="V1579" s="56"/>
      <c r="W1579" s="1"/>
      <c r="X1579" s="1"/>
      <c r="Y1579" s="8"/>
      <c r="Z1579" s="8"/>
      <c r="AA1579" s="8"/>
      <c r="AB1579" s="8"/>
      <c r="AC1579" s="8"/>
      <c r="AD1579" s="8"/>
      <c r="AE1579" s="8"/>
      <c r="AF1579" s="8"/>
      <c r="AG1579" s="8"/>
      <c r="AH1579" s="8"/>
      <c r="AI1579" s="8"/>
    </row>
    <row r="1580" spans="1:35">
      <c r="A1580" s="1"/>
      <c r="B1580" s="8"/>
      <c r="C1580" s="8"/>
      <c r="D1580" s="8"/>
      <c r="E1580" s="8"/>
      <c r="F1580" s="8"/>
      <c r="G1580" s="8"/>
      <c r="H1580" s="8"/>
      <c r="I1580" s="8"/>
      <c r="J1580" s="8"/>
      <c r="K1580" s="8"/>
      <c r="L1580" s="26"/>
      <c r="M1580" s="26"/>
      <c r="N1580" s="26"/>
      <c r="O1580" s="55"/>
      <c r="P1580" s="1"/>
      <c r="Q1580" s="8"/>
      <c r="R1580" s="8"/>
      <c r="S1580" s="1"/>
      <c r="T1580" s="8"/>
      <c r="U1580" s="8"/>
      <c r="V1580" s="56"/>
      <c r="W1580" s="1"/>
      <c r="X1580" s="1"/>
      <c r="Y1580" s="8"/>
      <c r="Z1580" s="8"/>
      <c r="AA1580" s="8"/>
      <c r="AB1580" s="8"/>
      <c r="AC1580" s="8"/>
      <c r="AD1580" s="8"/>
      <c r="AE1580" s="8"/>
      <c r="AF1580" s="8"/>
      <c r="AG1580" s="8"/>
      <c r="AH1580" s="8"/>
      <c r="AI1580" s="8"/>
    </row>
    <row r="1581" spans="1:35">
      <c r="A1581" s="1"/>
      <c r="B1581" s="8"/>
      <c r="C1581" s="8"/>
      <c r="D1581" s="8"/>
      <c r="E1581" s="8"/>
      <c r="F1581" s="8"/>
      <c r="G1581" s="8"/>
      <c r="H1581" s="8"/>
      <c r="I1581" s="8"/>
      <c r="J1581" s="8"/>
      <c r="K1581" s="8"/>
      <c r="L1581" s="26"/>
      <c r="M1581" s="26"/>
      <c r="N1581" s="26"/>
      <c r="O1581" s="55"/>
      <c r="P1581" s="1"/>
      <c r="Q1581" s="8"/>
      <c r="R1581" s="8"/>
      <c r="S1581" s="1"/>
      <c r="T1581" s="8"/>
      <c r="U1581" s="8"/>
      <c r="V1581" s="56"/>
      <c r="W1581" s="1"/>
      <c r="X1581" s="1"/>
      <c r="Y1581" s="8"/>
      <c r="Z1581" s="8"/>
      <c r="AA1581" s="8"/>
      <c r="AB1581" s="8"/>
      <c r="AC1581" s="8"/>
      <c r="AD1581" s="8"/>
      <c r="AE1581" s="8"/>
      <c r="AF1581" s="8"/>
      <c r="AG1581" s="8"/>
      <c r="AH1581" s="8"/>
      <c r="AI1581" s="8"/>
    </row>
    <row r="1582" spans="1:35">
      <c r="A1582" s="1"/>
      <c r="B1582" s="8"/>
      <c r="C1582" s="8"/>
      <c r="D1582" s="8"/>
      <c r="E1582" s="8"/>
      <c r="F1582" s="8"/>
      <c r="G1582" s="8"/>
      <c r="H1582" s="8"/>
      <c r="I1582" s="8"/>
      <c r="J1582" s="8"/>
      <c r="K1582" s="8"/>
      <c r="L1582" s="26"/>
      <c r="M1582" s="26"/>
      <c r="N1582" s="26"/>
      <c r="O1582" s="55"/>
      <c r="P1582" s="1"/>
      <c r="Q1582" s="8"/>
      <c r="R1582" s="8"/>
      <c r="S1582" s="1"/>
      <c r="T1582" s="8"/>
      <c r="U1582" s="8"/>
      <c r="V1582" s="56"/>
      <c r="W1582" s="1"/>
      <c r="X1582" s="1"/>
      <c r="Y1582" s="8"/>
      <c r="Z1582" s="8"/>
      <c r="AA1582" s="8"/>
      <c r="AB1582" s="8"/>
      <c r="AC1582" s="8"/>
      <c r="AD1582" s="8"/>
      <c r="AE1582" s="8"/>
      <c r="AF1582" s="8"/>
      <c r="AG1582" s="8"/>
      <c r="AH1582" s="8"/>
      <c r="AI1582" s="8"/>
    </row>
    <row r="1583" spans="1:35">
      <c r="A1583" s="1"/>
      <c r="B1583" s="8"/>
      <c r="C1583" s="8"/>
      <c r="D1583" s="8"/>
      <c r="E1583" s="8"/>
      <c r="F1583" s="8"/>
      <c r="G1583" s="8"/>
      <c r="H1583" s="8"/>
      <c r="I1583" s="8"/>
      <c r="J1583" s="8"/>
      <c r="K1583" s="8"/>
      <c r="L1583" s="26"/>
      <c r="M1583" s="26"/>
      <c r="N1583" s="26"/>
      <c r="O1583" s="55"/>
      <c r="P1583" s="1"/>
      <c r="Q1583" s="8"/>
      <c r="R1583" s="8"/>
      <c r="S1583" s="1"/>
      <c r="T1583" s="8"/>
      <c r="U1583" s="8"/>
      <c r="V1583" s="56"/>
      <c r="W1583" s="1"/>
      <c r="X1583" s="1"/>
      <c r="Y1583" s="8"/>
      <c r="Z1583" s="8"/>
      <c r="AA1583" s="8"/>
      <c r="AB1583" s="8"/>
      <c r="AC1583" s="8"/>
      <c r="AD1583" s="8"/>
      <c r="AE1583" s="8"/>
      <c r="AF1583" s="8"/>
      <c r="AG1583" s="8"/>
      <c r="AH1583" s="8"/>
      <c r="AI1583" s="8"/>
    </row>
    <row r="1584" spans="1:35">
      <c r="A1584" s="1"/>
      <c r="B1584" s="8"/>
      <c r="C1584" s="8"/>
      <c r="D1584" s="8"/>
      <c r="E1584" s="8"/>
      <c r="F1584" s="8"/>
      <c r="G1584" s="8"/>
      <c r="H1584" s="8"/>
      <c r="I1584" s="8"/>
      <c r="J1584" s="8"/>
      <c r="K1584" s="8"/>
      <c r="L1584" s="26"/>
      <c r="M1584" s="26"/>
      <c r="N1584" s="26"/>
      <c r="O1584" s="55"/>
      <c r="P1584" s="1"/>
      <c r="Q1584" s="8"/>
      <c r="R1584" s="8"/>
      <c r="S1584" s="1"/>
      <c r="T1584" s="8"/>
      <c r="U1584" s="8"/>
      <c r="V1584" s="56"/>
      <c r="W1584" s="1"/>
      <c r="X1584" s="1"/>
      <c r="Y1584" s="8"/>
      <c r="Z1584" s="8"/>
      <c r="AA1584" s="8"/>
      <c r="AB1584" s="8"/>
      <c r="AC1584" s="8"/>
      <c r="AD1584" s="8"/>
      <c r="AE1584" s="8"/>
      <c r="AF1584" s="8"/>
      <c r="AG1584" s="8"/>
      <c r="AH1584" s="8"/>
      <c r="AI1584" s="8"/>
    </row>
    <row r="1585" spans="1:35">
      <c r="A1585" s="1"/>
      <c r="B1585" s="8"/>
      <c r="C1585" s="8"/>
      <c r="D1585" s="8"/>
      <c r="E1585" s="8"/>
      <c r="F1585" s="8"/>
      <c r="G1585" s="8"/>
      <c r="H1585" s="8"/>
      <c r="I1585" s="8"/>
      <c r="J1585" s="8"/>
      <c r="K1585" s="8"/>
      <c r="L1585" s="26"/>
      <c r="M1585" s="26"/>
      <c r="N1585" s="26"/>
      <c r="O1585" s="55"/>
      <c r="P1585" s="1"/>
      <c r="Q1585" s="8"/>
      <c r="R1585" s="8"/>
      <c r="S1585" s="1"/>
      <c r="T1585" s="8"/>
      <c r="U1585" s="8"/>
      <c r="V1585" s="56"/>
      <c r="W1585" s="1"/>
      <c r="X1585" s="1"/>
      <c r="Y1585" s="8"/>
      <c r="Z1585" s="8"/>
      <c r="AA1585" s="8"/>
      <c r="AB1585" s="8"/>
      <c r="AC1585" s="8"/>
      <c r="AD1585" s="8"/>
      <c r="AE1585" s="8"/>
      <c r="AF1585" s="8"/>
      <c r="AG1585" s="8"/>
      <c r="AH1585" s="8"/>
      <c r="AI1585" s="8"/>
    </row>
    <row r="1586" spans="1:35">
      <c r="A1586" s="1"/>
      <c r="B1586" s="8"/>
      <c r="C1586" s="8"/>
      <c r="D1586" s="8"/>
      <c r="E1586" s="8"/>
      <c r="F1586" s="8"/>
      <c r="G1586" s="8"/>
      <c r="H1586" s="8"/>
      <c r="I1586" s="8"/>
      <c r="J1586" s="8"/>
      <c r="K1586" s="8"/>
      <c r="L1586" s="26"/>
      <c r="M1586" s="26"/>
      <c r="N1586" s="26"/>
      <c r="O1586" s="55"/>
      <c r="P1586" s="1"/>
      <c r="Q1586" s="8"/>
      <c r="R1586" s="8"/>
      <c r="S1586" s="1"/>
      <c r="T1586" s="8"/>
      <c r="U1586" s="8"/>
      <c r="V1586" s="56"/>
      <c r="W1586" s="1"/>
      <c r="X1586" s="1"/>
      <c r="Y1586" s="8"/>
      <c r="Z1586" s="8"/>
      <c r="AA1586" s="8"/>
      <c r="AB1586" s="8"/>
      <c r="AC1586" s="8"/>
      <c r="AD1586" s="8"/>
      <c r="AE1586" s="8"/>
      <c r="AF1586" s="8"/>
      <c r="AG1586" s="8"/>
      <c r="AH1586" s="8"/>
      <c r="AI1586" s="8"/>
    </row>
    <row r="1587" spans="1:35">
      <c r="A1587" s="1"/>
      <c r="B1587" s="8"/>
      <c r="C1587" s="8"/>
      <c r="D1587" s="8"/>
      <c r="E1587" s="8"/>
      <c r="F1587" s="8"/>
      <c r="G1587" s="8"/>
      <c r="H1587" s="8"/>
      <c r="I1587" s="8"/>
      <c r="J1587" s="8"/>
      <c r="K1587" s="8"/>
      <c r="L1587" s="26"/>
      <c r="M1587" s="26"/>
      <c r="N1587" s="26"/>
      <c r="O1587" s="55"/>
      <c r="P1587" s="1"/>
      <c r="Q1587" s="8"/>
      <c r="R1587" s="8"/>
      <c r="S1587" s="1"/>
      <c r="T1587" s="8"/>
      <c r="U1587" s="8"/>
      <c r="V1587" s="56"/>
      <c r="W1587" s="1"/>
      <c r="X1587" s="1"/>
      <c r="Y1587" s="8"/>
      <c r="Z1587" s="8"/>
      <c r="AA1587" s="8"/>
      <c r="AB1587" s="8"/>
      <c r="AC1587" s="8"/>
      <c r="AD1587" s="8"/>
      <c r="AE1587" s="8"/>
      <c r="AF1587" s="8"/>
      <c r="AG1587" s="8"/>
      <c r="AH1587" s="8"/>
      <c r="AI1587" s="8"/>
    </row>
    <row r="1588" spans="1:35">
      <c r="A1588" s="1"/>
      <c r="B1588" s="8"/>
      <c r="C1588" s="8"/>
      <c r="D1588" s="8"/>
      <c r="E1588" s="8"/>
      <c r="F1588" s="8"/>
      <c r="G1588" s="8"/>
      <c r="H1588" s="8"/>
      <c r="I1588" s="8"/>
      <c r="J1588" s="8"/>
      <c r="K1588" s="8"/>
      <c r="L1588" s="26"/>
      <c r="M1588" s="26"/>
      <c r="N1588" s="26"/>
      <c r="O1588" s="55"/>
      <c r="P1588" s="1"/>
      <c r="Q1588" s="8"/>
      <c r="R1588" s="8"/>
      <c r="S1588" s="1"/>
      <c r="T1588" s="8"/>
      <c r="U1588" s="8"/>
      <c r="V1588" s="56"/>
      <c r="W1588" s="1"/>
      <c r="X1588" s="1"/>
      <c r="Y1588" s="8"/>
      <c r="Z1588" s="8"/>
      <c r="AA1588" s="8"/>
      <c r="AB1588" s="8"/>
      <c r="AC1588" s="8"/>
      <c r="AD1588" s="8"/>
      <c r="AE1588" s="8"/>
      <c r="AF1588" s="8"/>
      <c r="AG1588" s="8"/>
      <c r="AH1588" s="8"/>
      <c r="AI1588" s="8"/>
    </row>
    <row r="1589" spans="1:35">
      <c r="A1589" s="1"/>
      <c r="B1589" s="8"/>
      <c r="C1589" s="8"/>
      <c r="D1589" s="8"/>
      <c r="E1589" s="8"/>
      <c r="F1589" s="8"/>
      <c r="G1589" s="8"/>
      <c r="H1589" s="8"/>
      <c r="I1589" s="8"/>
      <c r="J1589" s="8"/>
      <c r="K1589" s="8"/>
      <c r="L1589" s="26"/>
      <c r="M1589" s="26"/>
      <c r="N1589" s="26"/>
      <c r="O1589" s="55"/>
      <c r="P1589" s="1"/>
      <c r="Q1589" s="8"/>
      <c r="R1589" s="8"/>
      <c r="S1589" s="1"/>
      <c r="T1589" s="8"/>
      <c r="U1589" s="8"/>
      <c r="V1589" s="56"/>
      <c r="W1589" s="1"/>
      <c r="X1589" s="1"/>
      <c r="Y1589" s="8"/>
      <c r="Z1589" s="8"/>
      <c r="AA1589" s="8"/>
      <c r="AB1589" s="8"/>
      <c r="AC1589" s="8"/>
      <c r="AD1589" s="8"/>
      <c r="AE1589" s="8"/>
      <c r="AF1589" s="8"/>
      <c r="AG1589" s="8"/>
      <c r="AH1589" s="8"/>
      <c r="AI1589" s="8"/>
    </row>
    <row r="1590" spans="1:35">
      <c r="A1590" s="1"/>
      <c r="B1590" s="8"/>
      <c r="C1590" s="8"/>
      <c r="D1590" s="8"/>
      <c r="E1590" s="8"/>
      <c r="F1590" s="8"/>
      <c r="G1590" s="8"/>
      <c r="H1590" s="8"/>
      <c r="I1590" s="8"/>
      <c r="J1590" s="8"/>
      <c r="K1590" s="8"/>
      <c r="L1590" s="26"/>
      <c r="M1590" s="26"/>
      <c r="N1590" s="26"/>
      <c r="O1590" s="55"/>
      <c r="P1590" s="1"/>
      <c r="Q1590" s="8"/>
      <c r="R1590" s="8"/>
      <c r="S1590" s="1"/>
      <c r="T1590" s="8"/>
      <c r="U1590" s="8"/>
      <c r="V1590" s="56"/>
      <c r="W1590" s="1"/>
      <c r="X1590" s="1"/>
      <c r="Y1590" s="8"/>
      <c r="Z1590" s="8"/>
      <c r="AA1590" s="8"/>
      <c r="AB1590" s="8"/>
      <c r="AC1590" s="8"/>
      <c r="AD1590" s="8"/>
      <c r="AE1590" s="8"/>
      <c r="AF1590" s="8"/>
      <c r="AG1590" s="8"/>
      <c r="AH1590" s="8"/>
      <c r="AI1590" s="8"/>
    </row>
    <row r="1591" spans="1:35">
      <c r="A1591" s="1"/>
      <c r="B1591" s="8"/>
      <c r="C1591" s="8"/>
      <c r="D1591" s="8"/>
      <c r="E1591" s="8"/>
      <c r="F1591" s="8"/>
      <c r="G1591" s="8"/>
      <c r="H1591" s="8"/>
      <c r="I1591" s="8"/>
      <c r="J1591" s="8"/>
      <c r="K1591" s="8"/>
      <c r="L1591" s="26"/>
      <c r="M1591" s="26"/>
      <c r="N1591" s="26"/>
      <c r="O1591" s="55"/>
      <c r="P1591" s="1"/>
      <c r="Q1591" s="8"/>
      <c r="R1591" s="8"/>
      <c r="S1591" s="1"/>
      <c r="T1591" s="8"/>
      <c r="U1591" s="8"/>
      <c r="V1591" s="56"/>
      <c r="W1591" s="1"/>
      <c r="X1591" s="1"/>
      <c r="Y1591" s="8"/>
      <c r="Z1591" s="8"/>
      <c r="AA1591" s="8"/>
      <c r="AB1591" s="8"/>
      <c r="AC1591" s="8"/>
      <c r="AD1591" s="8"/>
      <c r="AE1591" s="8"/>
      <c r="AF1591" s="8"/>
      <c r="AG1591" s="8"/>
      <c r="AH1591" s="8"/>
      <c r="AI1591" s="8"/>
    </row>
    <row r="1592" spans="1:35">
      <c r="A1592" s="1"/>
      <c r="B1592" s="8"/>
      <c r="C1592" s="8"/>
      <c r="D1592" s="8"/>
      <c r="E1592" s="8"/>
      <c r="F1592" s="8"/>
      <c r="G1592" s="8"/>
      <c r="H1592" s="8"/>
      <c r="I1592" s="8"/>
      <c r="J1592" s="8"/>
      <c r="K1592" s="8"/>
      <c r="L1592" s="26"/>
      <c r="M1592" s="26"/>
      <c r="N1592" s="26"/>
      <c r="O1592" s="55"/>
      <c r="P1592" s="1"/>
      <c r="Q1592" s="8"/>
      <c r="R1592" s="8"/>
      <c r="S1592" s="1"/>
      <c r="T1592" s="8"/>
      <c r="U1592" s="8"/>
      <c r="V1592" s="56"/>
      <c r="W1592" s="1"/>
      <c r="X1592" s="1"/>
      <c r="Y1592" s="8"/>
      <c r="Z1592" s="8"/>
      <c r="AA1592" s="8"/>
      <c r="AB1592" s="8"/>
      <c r="AC1592" s="8"/>
      <c r="AD1592" s="8"/>
      <c r="AE1592" s="8"/>
      <c r="AF1592" s="8"/>
      <c r="AG1592" s="8"/>
      <c r="AH1592" s="8"/>
      <c r="AI1592" s="8"/>
    </row>
    <row r="1593" spans="1:35">
      <c r="A1593" s="1"/>
      <c r="B1593" s="8"/>
      <c r="C1593" s="8"/>
      <c r="D1593" s="8"/>
      <c r="E1593" s="8"/>
      <c r="F1593" s="8"/>
      <c r="G1593" s="8"/>
      <c r="H1593" s="8"/>
      <c r="I1593" s="8"/>
      <c r="J1593" s="8"/>
      <c r="K1593" s="8"/>
      <c r="L1593" s="26"/>
      <c r="M1593" s="26"/>
      <c r="N1593" s="26"/>
      <c r="O1593" s="55"/>
      <c r="P1593" s="1"/>
      <c r="Q1593" s="8"/>
      <c r="R1593" s="8"/>
      <c r="S1593" s="1"/>
      <c r="T1593" s="8"/>
      <c r="U1593" s="8"/>
      <c r="V1593" s="56"/>
      <c r="W1593" s="1"/>
      <c r="X1593" s="1"/>
      <c r="Y1593" s="8"/>
      <c r="Z1593" s="8"/>
      <c r="AA1593" s="8"/>
      <c r="AB1593" s="8"/>
      <c r="AC1593" s="8"/>
      <c r="AD1593" s="8"/>
      <c r="AE1593" s="8"/>
      <c r="AF1593" s="8"/>
      <c r="AG1593" s="8"/>
      <c r="AH1593" s="8"/>
      <c r="AI1593" s="8"/>
    </row>
    <row r="1594" spans="1:35">
      <c r="A1594" s="1"/>
      <c r="B1594" s="8"/>
      <c r="C1594" s="8"/>
      <c r="D1594" s="8"/>
      <c r="E1594" s="8"/>
      <c r="F1594" s="8"/>
      <c r="G1594" s="8"/>
      <c r="H1594" s="8"/>
      <c r="I1594" s="8"/>
      <c r="J1594" s="8"/>
      <c r="K1594" s="8"/>
      <c r="L1594" s="26"/>
      <c r="M1594" s="26"/>
      <c r="N1594" s="26"/>
      <c r="O1594" s="55"/>
      <c r="P1594" s="1"/>
      <c r="Q1594" s="8"/>
      <c r="R1594" s="8"/>
      <c r="S1594" s="1"/>
      <c r="T1594" s="8"/>
      <c r="U1594" s="8"/>
      <c r="V1594" s="56"/>
      <c r="W1594" s="1"/>
      <c r="X1594" s="1"/>
      <c r="Y1594" s="8"/>
      <c r="Z1594" s="8"/>
      <c r="AA1594" s="8"/>
      <c r="AB1594" s="8"/>
      <c r="AC1594" s="8"/>
      <c r="AD1594" s="8"/>
      <c r="AE1594" s="8"/>
      <c r="AF1594" s="8"/>
      <c r="AG1594" s="8"/>
      <c r="AH1594" s="8"/>
      <c r="AI1594" s="8"/>
    </row>
    <row r="1595" spans="1:35">
      <c r="A1595" s="1"/>
      <c r="B1595" s="8"/>
      <c r="C1595" s="8"/>
      <c r="D1595" s="8"/>
      <c r="E1595" s="8"/>
      <c r="F1595" s="8"/>
      <c r="G1595" s="8"/>
      <c r="H1595" s="8"/>
      <c r="I1595" s="8"/>
      <c r="J1595" s="8"/>
      <c r="K1595" s="8"/>
      <c r="L1595" s="26"/>
      <c r="M1595" s="26"/>
      <c r="N1595" s="26"/>
      <c r="O1595" s="55"/>
      <c r="P1595" s="1"/>
      <c r="Q1595" s="8"/>
      <c r="R1595" s="8"/>
      <c r="S1595" s="1"/>
      <c r="T1595" s="8"/>
      <c r="U1595" s="8"/>
      <c r="V1595" s="56"/>
      <c r="W1595" s="1"/>
      <c r="X1595" s="1"/>
      <c r="Y1595" s="8"/>
      <c r="Z1595" s="8"/>
      <c r="AA1595" s="8"/>
      <c r="AB1595" s="8"/>
      <c r="AC1595" s="8"/>
      <c r="AD1595" s="8"/>
      <c r="AE1595" s="8"/>
      <c r="AF1595" s="8"/>
      <c r="AG1595" s="8"/>
      <c r="AH1595" s="8"/>
      <c r="AI1595" s="8"/>
    </row>
    <row r="1596" spans="1:35">
      <c r="A1596" s="1"/>
      <c r="B1596" s="8"/>
      <c r="C1596" s="8"/>
      <c r="D1596" s="8"/>
      <c r="E1596" s="8"/>
      <c r="F1596" s="8"/>
      <c r="G1596" s="8"/>
      <c r="H1596" s="8"/>
      <c r="I1596" s="8"/>
      <c r="J1596" s="8"/>
      <c r="K1596" s="8"/>
      <c r="L1596" s="26"/>
      <c r="M1596" s="26"/>
      <c r="N1596" s="26"/>
      <c r="O1596" s="55"/>
      <c r="P1596" s="1"/>
      <c r="Q1596" s="8"/>
      <c r="R1596" s="8"/>
      <c r="S1596" s="1"/>
      <c r="T1596" s="8"/>
      <c r="U1596" s="8"/>
      <c r="V1596" s="56"/>
      <c r="W1596" s="1"/>
      <c r="X1596" s="1"/>
      <c r="Y1596" s="8"/>
      <c r="Z1596" s="8"/>
      <c r="AA1596" s="8"/>
      <c r="AB1596" s="8"/>
      <c r="AC1596" s="8"/>
      <c r="AD1596" s="8"/>
      <c r="AE1596" s="8"/>
      <c r="AF1596" s="8"/>
      <c r="AG1596" s="8"/>
      <c r="AH1596" s="8"/>
      <c r="AI1596" s="8"/>
    </row>
    <row r="1597" spans="1:35">
      <c r="A1597" s="1"/>
      <c r="B1597" s="8"/>
      <c r="C1597" s="8"/>
      <c r="D1597" s="8"/>
      <c r="E1597" s="8"/>
      <c r="F1597" s="8"/>
      <c r="G1597" s="8"/>
      <c r="H1597" s="8"/>
      <c r="I1597" s="8"/>
      <c r="J1597" s="8"/>
      <c r="K1597" s="8"/>
      <c r="L1597" s="26"/>
      <c r="M1597" s="26"/>
      <c r="N1597" s="26"/>
      <c r="O1597" s="55"/>
      <c r="P1597" s="1"/>
      <c r="Q1597" s="8"/>
      <c r="R1597" s="8"/>
      <c r="S1597" s="1"/>
      <c r="T1597" s="8"/>
      <c r="U1597" s="8"/>
      <c r="V1597" s="56"/>
      <c r="W1597" s="1"/>
      <c r="X1597" s="1"/>
      <c r="Y1597" s="8"/>
      <c r="Z1597" s="8"/>
      <c r="AA1597" s="8"/>
      <c r="AB1597" s="8"/>
      <c r="AC1597" s="8"/>
      <c r="AD1597" s="8"/>
      <c r="AE1597" s="8"/>
      <c r="AF1597" s="8"/>
      <c r="AG1597" s="8"/>
      <c r="AH1597" s="8"/>
      <c r="AI1597" s="8"/>
    </row>
    <row r="1598" spans="1:35">
      <c r="A1598" s="1"/>
      <c r="B1598" s="8"/>
      <c r="C1598" s="8"/>
      <c r="D1598" s="8"/>
      <c r="E1598" s="8"/>
      <c r="F1598" s="8"/>
      <c r="G1598" s="8"/>
      <c r="H1598" s="8"/>
      <c r="I1598" s="8"/>
      <c r="J1598" s="8"/>
      <c r="K1598" s="8"/>
      <c r="L1598" s="26"/>
      <c r="M1598" s="26"/>
      <c r="N1598" s="26"/>
      <c r="O1598" s="55"/>
      <c r="P1598" s="1"/>
      <c r="Q1598" s="8"/>
      <c r="R1598" s="8"/>
      <c r="S1598" s="1"/>
      <c r="T1598" s="8"/>
      <c r="U1598" s="8"/>
      <c r="V1598" s="56"/>
      <c r="W1598" s="1"/>
      <c r="X1598" s="1"/>
      <c r="Y1598" s="8"/>
      <c r="Z1598" s="8"/>
      <c r="AA1598" s="8"/>
      <c r="AB1598" s="8"/>
      <c r="AC1598" s="8"/>
      <c r="AD1598" s="8"/>
      <c r="AE1598" s="8"/>
      <c r="AF1598" s="8"/>
      <c r="AG1598" s="8"/>
      <c r="AH1598" s="8"/>
      <c r="AI1598" s="8"/>
    </row>
    <row r="1599" spans="1:35">
      <c r="A1599" s="1"/>
      <c r="B1599" s="8"/>
      <c r="C1599" s="8"/>
      <c r="D1599" s="8"/>
      <c r="E1599" s="8"/>
      <c r="F1599" s="8"/>
      <c r="G1599" s="8"/>
      <c r="H1599" s="8"/>
      <c r="I1599" s="8"/>
      <c r="J1599" s="8"/>
      <c r="K1599" s="8"/>
      <c r="L1599" s="26"/>
      <c r="M1599" s="26"/>
      <c r="N1599" s="26"/>
      <c r="O1599" s="55"/>
      <c r="P1599" s="1"/>
      <c r="Q1599" s="8"/>
      <c r="R1599" s="8"/>
      <c r="S1599" s="1"/>
      <c r="T1599" s="8"/>
      <c r="U1599" s="8"/>
      <c r="V1599" s="56"/>
      <c r="W1599" s="1"/>
      <c r="X1599" s="1"/>
      <c r="Y1599" s="8"/>
      <c r="Z1599" s="8"/>
      <c r="AA1599" s="8"/>
      <c r="AB1599" s="8"/>
      <c r="AC1599" s="8"/>
      <c r="AD1599" s="8"/>
      <c r="AE1599" s="8"/>
      <c r="AF1599" s="8"/>
      <c r="AG1599" s="8"/>
      <c r="AH1599" s="8"/>
      <c r="AI1599" s="8"/>
    </row>
    <row r="1600" spans="1:35">
      <c r="A1600" s="1"/>
      <c r="B1600" s="8"/>
      <c r="C1600" s="8"/>
      <c r="D1600" s="8"/>
      <c r="E1600" s="8"/>
      <c r="F1600" s="8"/>
      <c r="G1600" s="8"/>
      <c r="H1600" s="8"/>
      <c r="I1600" s="8"/>
      <c r="J1600" s="8"/>
      <c r="K1600" s="8"/>
      <c r="L1600" s="26"/>
      <c r="M1600" s="26"/>
      <c r="N1600" s="26"/>
      <c r="O1600" s="55"/>
      <c r="P1600" s="1"/>
      <c r="Q1600" s="8"/>
      <c r="R1600" s="8"/>
      <c r="S1600" s="1"/>
      <c r="T1600" s="8"/>
      <c r="U1600" s="8"/>
      <c r="V1600" s="56"/>
      <c r="W1600" s="1"/>
      <c r="X1600" s="1"/>
      <c r="Y1600" s="8"/>
      <c r="Z1600" s="8"/>
      <c r="AA1600" s="8"/>
      <c r="AB1600" s="8"/>
      <c r="AC1600" s="8"/>
      <c r="AD1600" s="8"/>
      <c r="AE1600" s="8"/>
      <c r="AF1600" s="8"/>
      <c r="AG1600" s="8"/>
      <c r="AH1600" s="8"/>
      <c r="AI1600" s="8"/>
    </row>
    <row r="1601" spans="1:35">
      <c r="A1601" s="1"/>
      <c r="B1601" s="8"/>
      <c r="C1601" s="8"/>
      <c r="D1601" s="8"/>
      <c r="E1601" s="8"/>
      <c r="F1601" s="8"/>
      <c r="G1601" s="8"/>
      <c r="H1601" s="8"/>
      <c r="I1601" s="8"/>
      <c r="J1601" s="8"/>
      <c r="K1601" s="8"/>
      <c r="L1601" s="26"/>
      <c r="M1601" s="26"/>
      <c r="N1601" s="26"/>
      <c r="O1601" s="55"/>
      <c r="P1601" s="1"/>
      <c r="Q1601" s="8"/>
      <c r="R1601" s="8"/>
      <c r="S1601" s="1"/>
      <c r="T1601" s="8"/>
      <c r="U1601" s="8"/>
      <c r="V1601" s="56"/>
      <c r="W1601" s="1"/>
      <c r="X1601" s="1"/>
      <c r="Y1601" s="8"/>
      <c r="Z1601" s="8"/>
      <c r="AA1601" s="8"/>
      <c r="AB1601" s="8"/>
      <c r="AC1601" s="8"/>
      <c r="AD1601" s="8"/>
      <c r="AE1601" s="8"/>
      <c r="AF1601" s="8"/>
      <c r="AG1601" s="8"/>
      <c r="AH1601" s="8"/>
      <c r="AI1601" s="8"/>
    </row>
    <row r="1602" spans="1:35">
      <c r="A1602" s="1"/>
      <c r="B1602" s="8"/>
      <c r="C1602" s="8"/>
      <c r="D1602" s="8"/>
      <c r="E1602" s="8"/>
      <c r="F1602" s="8"/>
      <c r="G1602" s="8"/>
      <c r="H1602" s="8"/>
      <c r="I1602" s="8"/>
      <c r="J1602" s="8"/>
      <c r="K1602" s="8"/>
      <c r="L1602" s="26"/>
      <c r="M1602" s="26"/>
      <c r="N1602" s="26"/>
      <c r="O1602" s="55"/>
      <c r="P1602" s="1"/>
      <c r="Q1602" s="8"/>
      <c r="R1602" s="8"/>
      <c r="S1602" s="1"/>
      <c r="T1602" s="8"/>
      <c r="U1602" s="8"/>
      <c r="V1602" s="56"/>
      <c r="W1602" s="1"/>
      <c r="X1602" s="1"/>
      <c r="Y1602" s="8"/>
      <c r="Z1602" s="8"/>
      <c r="AA1602" s="8"/>
      <c r="AB1602" s="8"/>
      <c r="AC1602" s="8"/>
      <c r="AD1602" s="8"/>
      <c r="AE1602" s="8"/>
      <c r="AF1602" s="8"/>
      <c r="AG1602" s="8"/>
      <c r="AH1602" s="8"/>
      <c r="AI1602" s="8"/>
    </row>
    <row r="1603" spans="1:35">
      <c r="A1603" s="1"/>
      <c r="B1603" s="8"/>
      <c r="C1603" s="8"/>
      <c r="D1603" s="8"/>
      <c r="E1603" s="8"/>
      <c r="F1603" s="8"/>
      <c r="G1603" s="8"/>
      <c r="H1603" s="8"/>
      <c r="I1603" s="8"/>
      <c r="J1603" s="8"/>
      <c r="K1603" s="8"/>
      <c r="L1603" s="26"/>
      <c r="M1603" s="26"/>
      <c r="N1603" s="26"/>
      <c r="O1603" s="55"/>
      <c r="P1603" s="1"/>
      <c r="Q1603" s="8"/>
      <c r="R1603" s="8"/>
      <c r="S1603" s="1"/>
      <c r="T1603" s="8"/>
      <c r="U1603" s="8"/>
      <c r="V1603" s="56"/>
      <c r="W1603" s="1"/>
      <c r="X1603" s="1"/>
      <c r="Y1603" s="8"/>
      <c r="Z1603" s="8"/>
      <c r="AA1603" s="8"/>
      <c r="AB1603" s="8"/>
      <c r="AC1603" s="8"/>
      <c r="AD1603" s="8"/>
      <c r="AE1603" s="8"/>
      <c r="AF1603" s="8"/>
      <c r="AG1603" s="8"/>
      <c r="AH1603" s="8"/>
      <c r="AI1603" s="8"/>
    </row>
    <row r="1604" spans="1:35">
      <c r="A1604" s="1"/>
      <c r="B1604" s="8"/>
      <c r="C1604" s="8"/>
      <c r="D1604" s="8"/>
      <c r="E1604" s="8"/>
      <c r="F1604" s="8"/>
      <c r="G1604" s="8"/>
      <c r="H1604" s="8"/>
      <c r="I1604" s="8"/>
      <c r="J1604" s="8"/>
      <c r="K1604" s="8"/>
      <c r="L1604" s="26"/>
      <c r="M1604" s="26"/>
      <c r="N1604" s="26"/>
      <c r="O1604" s="55"/>
      <c r="P1604" s="1"/>
      <c r="Q1604" s="8"/>
      <c r="R1604" s="8"/>
      <c r="S1604" s="1"/>
      <c r="T1604" s="8"/>
      <c r="U1604" s="8"/>
      <c r="V1604" s="56"/>
      <c r="W1604" s="1"/>
      <c r="X1604" s="1"/>
      <c r="Y1604" s="8"/>
      <c r="Z1604" s="8"/>
      <c r="AA1604" s="8"/>
      <c r="AB1604" s="8"/>
      <c r="AC1604" s="8"/>
      <c r="AD1604" s="8"/>
      <c r="AE1604" s="8"/>
      <c r="AF1604" s="8"/>
      <c r="AG1604" s="8"/>
      <c r="AH1604" s="8"/>
      <c r="AI1604" s="8"/>
    </row>
    <row r="1605" spans="1:35">
      <c r="A1605" s="1"/>
      <c r="B1605" s="8"/>
      <c r="C1605" s="8"/>
      <c r="D1605" s="8"/>
      <c r="E1605" s="8"/>
      <c r="F1605" s="8"/>
      <c r="G1605" s="8"/>
      <c r="H1605" s="8"/>
      <c r="I1605" s="8"/>
      <c r="J1605" s="8"/>
      <c r="K1605" s="8"/>
      <c r="L1605" s="26"/>
      <c r="M1605" s="26"/>
      <c r="N1605" s="26"/>
      <c r="O1605" s="55"/>
      <c r="P1605" s="1"/>
      <c r="Q1605" s="8"/>
      <c r="R1605" s="8"/>
      <c r="S1605" s="1"/>
      <c r="T1605" s="8"/>
      <c r="U1605" s="8"/>
      <c r="V1605" s="56"/>
      <c r="W1605" s="1"/>
      <c r="X1605" s="1"/>
      <c r="Y1605" s="8"/>
      <c r="Z1605" s="8"/>
      <c r="AA1605" s="8"/>
      <c r="AB1605" s="8"/>
      <c r="AC1605" s="8"/>
      <c r="AD1605" s="8"/>
      <c r="AE1605" s="8"/>
      <c r="AF1605" s="8"/>
      <c r="AG1605" s="8"/>
      <c r="AH1605" s="8"/>
      <c r="AI1605" s="8"/>
    </row>
    <row r="1606" spans="1:35">
      <c r="A1606" s="1"/>
      <c r="B1606" s="8"/>
      <c r="C1606" s="8"/>
      <c r="D1606" s="8"/>
      <c r="E1606" s="8"/>
      <c r="F1606" s="8"/>
      <c r="G1606" s="8"/>
      <c r="H1606" s="8"/>
      <c r="I1606" s="8"/>
      <c r="J1606" s="8"/>
      <c r="K1606" s="8"/>
      <c r="L1606" s="26"/>
      <c r="M1606" s="26"/>
      <c r="N1606" s="26"/>
      <c r="O1606" s="55"/>
      <c r="P1606" s="1"/>
      <c r="Q1606" s="8"/>
      <c r="R1606" s="8"/>
      <c r="S1606" s="1"/>
      <c r="T1606" s="8"/>
      <c r="U1606" s="8"/>
      <c r="V1606" s="56"/>
      <c r="W1606" s="1"/>
      <c r="X1606" s="1"/>
      <c r="Y1606" s="8"/>
      <c r="Z1606" s="8"/>
      <c r="AA1606" s="8"/>
      <c r="AB1606" s="8"/>
      <c r="AC1606" s="8"/>
      <c r="AD1606" s="8"/>
      <c r="AE1606" s="8"/>
      <c r="AF1606" s="8"/>
      <c r="AG1606" s="8"/>
      <c r="AH1606" s="8"/>
      <c r="AI1606" s="8"/>
    </row>
    <row r="1607" spans="1:35">
      <c r="A1607" s="1"/>
      <c r="B1607" s="8"/>
      <c r="C1607" s="8"/>
      <c r="D1607" s="8"/>
      <c r="E1607" s="8"/>
      <c r="F1607" s="8"/>
      <c r="G1607" s="8"/>
      <c r="H1607" s="8"/>
      <c r="I1607" s="8"/>
      <c r="J1607" s="8"/>
      <c r="K1607" s="8"/>
      <c r="L1607" s="26"/>
      <c r="M1607" s="26"/>
      <c r="N1607" s="26"/>
      <c r="O1607" s="55"/>
      <c r="P1607" s="1"/>
      <c r="Q1607" s="8"/>
      <c r="R1607" s="8"/>
      <c r="S1607" s="1"/>
      <c r="T1607" s="8"/>
      <c r="U1607" s="8"/>
      <c r="V1607" s="56"/>
      <c r="W1607" s="1"/>
      <c r="X1607" s="1"/>
      <c r="Y1607" s="8"/>
      <c r="Z1607" s="8"/>
      <c r="AA1607" s="8"/>
      <c r="AB1607" s="8"/>
      <c r="AC1607" s="8"/>
      <c r="AD1607" s="8"/>
      <c r="AE1607" s="8"/>
      <c r="AF1607" s="8"/>
      <c r="AG1607" s="8"/>
      <c r="AH1607" s="8"/>
      <c r="AI1607" s="8"/>
    </row>
    <row r="1608" spans="1:35">
      <c r="A1608" s="1"/>
      <c r="B1608" s="8"/>
      <c r="C1608" s="8"/>
      <c r="D1608" s="8"/>
      <c r="E1608" s="8"/>
      <c r="F1608" s="8"/>
      <c r="G1608" s="8"/>
      <c r="H1608" s="8"/>
      <c r="I1608" s="8"/>
      <c r="J1608" s="8"/>
      <c r="K1608" s="8"/>
      <c r="L1608" s="26"/>
      <c r="M1608" s="26"/>
      <c r="N1608" s="26"/>
      <c r="O1608" s="55"/>
      <c r="P1608" s="1"/>
      <c r="Q1608" s="8"/>
      <c r="R1608" s="8"/>
      <c r="S1608" s="1"/>
      <c r="T1608" s="8"/>
      <c r="U1608" s="8"/>
      <c r="V1608" s="56"/>
      <c r="W1608" s="1"/>
      <c r="X1608" s="1"/>
      <c r="Y1608" s="8"/>
      <c r="Z1608" s="8"/>
      <c r="AA1608" s="8"/>
      <c r="AB1608" s="8"/>
      <c r="AC1608" s="8"/>
      <c r="AD1608" s="8"/>
      <c r="AE1608" s="8"/>
      <c r="AF1608" s="8"/>
      <c r="AG1608" s="8"/>
      <c r="AH1608" s="8"/>
      <c r="AI1608" s="8"/>
    </row>
    <row r="1609" spans="1:35">
      <c r="A1609" s="1"/>
      <c r="B1609" s="8"/>
      <c r="C1609" s="8"/>
      <c r="D1609" s="8"/>
      <c r="E1609" s="8"/>
      <c r="F1609" s="8"/>
      <c r="G1609" s="8"/>
      <c r="H1609" s="8"/>
      <c r="I1609" s="8"/>
      <c r="J1609" s="8"/>
      <c r="K1609" s="8"/>
      <c r="L1609" s="26"/>
      <c r="M1609" s="26"/>
      <c r="N1609" s="26"/>
      <c r="O1609" s="55"/>
      <c r="P1609" s="1"/>
      <c r="Q1609" s="8"/>
      <c r="R1609" s="8"/>
      <c r="S1609" s="1"/>
      <c r="T1609" s="8"/>
      <c r="U1609" s="8"/>
      <c r="V1609" s="56"/>
      <c r="W1609" s="1"/>
      <c r="X1609" s="1"/>
      <c r="Y1609" s="8"/>
      <c r="Z1609" s="8"/>
      <c r="AA1609" s="8"/>
      <c r="AB1609" s="8"/>
      <c r="AC1609" s="8"/>
      <c r="AD1609" s="8"/>
      <c r="AE1609" s="8"/>
      <c r="AF1609" s="8"/>
      <c r="AG1609" s="8"/>
      <c r="AH1609" s="8"/>
      <c r="AI1609" s="8"/>
    </row>
    <row r="1610" spans="1:35">
      <c r="A1610" s="1"/>
      <c r="B1610" s="8"/>
      <c r="C1610" s="8"/>
      <c r="D1610" s="8"/>
      <c r="E1610" s="8"/>
      <c r="F1610" s="8"/>
      <c r="G1610" s="8"/>
      <c r="H1610" s="8"/>
      <c r="I1610" s="8"/>
      <c r="J1610" s="8"/>
      <c r="K1610" s="8"/>
      <c r="L1610" s="26"/>
      <c r="M1610" s="26"/>
      <c r="N1610" s="26"/>
      <c r="O1610" s="55"/>
      <c r="P1610" s="1"/>
      <c r="Q1610" s="8"/>
      <c r="R1610" s="8"/>
      <c r="S1610" s="1"/>
      <c r="T1610" s="8"/>
      <c r="U1610" s="8"/>
      <c r="V1610" s="56"/>
      <c r="W1610" s="1"/>
      <c r="X1610" s="1"/>
      <c r="Y1610" s="8"/>
      <c r="Z1610" s="8"/>
      <c r="AA1610" s="8"/>
      <c r="AB1610" s="8"/>
      <c r="AC1610" s="8"/>
      <c r="AD1610" s="8"/>
      <c r="AE1610" s="8"/>
      <c r="AF1610" s="8"/>
      <c r="AG1610" s="8"/>
      <c r="AH1610" s="8"/>
      <c r="AI1610" s="8"/>
    </row>
    <row r="1611" spans="1:35">
      <c r="A1611" s="1"/>
      <c r="B1611" s="8"/>
      <c r="C1611" s="8"/>
      <c r="D1611" s="8"/>
      <c r="E1611" s="8"/>
      <c r="F1611" s="8"/>
      <c r="G1611" s="8"/>
      <c r="H1611" s="8"/>
      <c r="I1611" s="8"/>
      <c r="J1611" s="8"/>
      <c r="K1611" s="8"/>
      <c r="L1611" s="26"/>
      <c r="M1611" s="26"/>
      <c r="N1611" s="26"/>
      <c r="O1611" s="55"/>
      <c r="P1611" s="1"/>
      <c r="Q1611" s="8"/>
      <c r="R1611" s="8"/>
      <c r="S1611" s="1"/>
      <c r="T1611" s="8"/>
      <c r="U1611" s="8"/>
      <c r="V1611" s="56"/>
      <c r="W1611" s="1"/>
      <c r="X1611" s="1"/>
      <c r="Y1611" s="8"/>
      <c r="Z1611" s="8"/>
      <c r="AA1611" s="8"/>
      <c r="AB1611" s="8"/>
      <c r="AC1611" s="8"/>
      <c r="AD1611" s="8"/>
      <c r="AE1611" s="8"/>
      <c r="AF1611" s="8"/>
      <c r="AG1611" s="8"/>
      <c r="AH1611" s="8"/>
      <c r="AI1611" s="8"/>
    </row>
    <row r="1612" spans="1:35">
      <c r="A1612" s="1"/>
      <c r="B1612" s="8"/>
      <c r="C1612" s="8"/>
      <c r="D1612" s="8"/>
      <c r="E1612" s="8"/>
      <c r="F1612" s="8"/>
      <c r="G1612" s="8"/>
      <c r="H1612" s="8"/>
      <c r="I1612" s="8"/>
      <c r="J1612" s="8"/>
      <c r="K1612" s="8"/>
      <c r="L1612" s="26"/>
      <c r="M1612" s="26"/>
      <c r="N1612" s="26"/>
      <c r="O1612" s="55"/>
      <c r="P1612" s="1"/>
      <c r="Q1612" s="8"/>
      <c r="R1612" s="8"/>
      <c r="S1612" s="1"/>
      <c r="T1612" s="8"/>
      <c r="U1612" s="8"/>
      <c r="V1612" s="56"/>
      <c r="W1612" s="1"/>
      <c r="X1612" s="1"/>
      <c r="Y1612" s="8"/>
      <c r="Z1612" s="8"/>
      <c r="AA1612" s="8"/>
      <c r="AB1612" s="8"/>
      <c r="AC1612" s="8"/>
      <c r="AD1612" s="8"/>
      <c r="AE1612" s="8"/>
      <c r="AF1612" s="8"/>
      <c r="AG1612" s="8"/>
      <c r="AH1612" s="8"/>
      <c r="AI1612" s="8"/>
    </row>
    <row r="1613" spans="1:35">
      <c r="A1613" s="1"/>
      <c r="B1613" s="8"/>
      <c r="C1613" s="8"/>
      <c r="D1613" s="8"/>
      <c r="E1613" s="8"/>
      <c r="F1613" s="8"/>
      <c r="G1613" s="8"/>
      <c r="H1613" s="8"/>
      <c r="I1613" s="8"/>
      <c r="J1613" s="8"/>
      <c r="K1613" s="8"/>
      <c r="L1613" s="26"/>
      <c r="M1613" s="26"/>
      <c r="N1613" s="26"/>
      <c r="O1613" s="55"/>
      <c r="P1613" s="1"/>
      <c r="Q1613" s="8"/>
      <c r="R1613" s="8"/>
      <c r="S1613" s="1"/>
      <c r="T1613" s="8"/>
      <c r="U1613" s="8"/>
      <c r="V1613" s="56"/>
      <c r="W1613" s="1"/>
      <c r="X1613" s="1"/>
      <c r="Y1613" s="8"/>
      <c r="Z1613" s="8"/>
      <c r="AA1613" s="8"/>
      <c r="AB1613" s="8"/>
      <c r="AC1613" s="8"/>
      <c r="AD1613" s="8"/>
      <c r="AE1613" s="8"/>
      <c r="AF1613" s="8"/>
      <c r="AG1613" s="8"/>
      <c r="AH1613" s="8"/>
      <c r="AI1613" s="8"/>
    </row>
    <row r="1614" spans="1:35">
      <c r="A1614" s="1"/>
      <c r="B1614" s="8"/>
      <c r="C1614" s="8"/>
      <c r="D1614" s="8"/>
      <c r="E1614" s="8"/>
      <c r="F1614" s="8"/>
      <c r="G1614" s="8"/>
      <c r="H1614" s="8"/>
      <c r="I1614" s="8"/>
      <c r="J1614" s="8"/>
      <c r="K1614" s="8"/>
      <c r="L1614" s="26"/>
      <c r="M1614" s="26"/>
      <c r="N1614" s="26"/>
      <c r="O1614" s="55"/>
      <c r="P1614" s="1"/>
      <c r="Q1614" s="8"/>
      <c r="R1614" s="8"/>
      <c r="S1614" s="1"/>
      <c r="T1614" s="8"/>
      <c r="U1614" s="8"/>
      <c r="V1614" s="56"/>
      <c r="W1614" s="1"/>
      <c r="X1614" s="1"/>
      <c r="Y1614" s="8"/>
      <c r="Z1614" s="8"/>
      <c r="AA1614" s="8"/>
      <c r="AB1614" s="8"/>
      <c r="AC1614" s="8"/>
      <c r="AD1614" s="8"/>
      <c r="AE1614" s="8"/>
      <c r="AF1614" s="8"/>
      <c r="AG1614" s="8"/>
      <c r="AH1614" s="8"/>
      <c r="AI1614" s="8"/>
    </row>
    <row r="1615" spans="1:35">
      <c r="A1615" s="1"/>
      <c r="B1615" s="8"/>
      <c r="C1615" s="8"/>
      <c r="D1615" s="8"/>
      <c r="E1615" s="8"/>
      <c r="F1615" s="8"/>
      <c r="G1615" s="8"/>
      <c r="H1615" s="8"/>
      <c r="I1615" s="8"/>
      <c r="J1615" s="8"/>
      <c r="K1615" s="8"/>
      <c r="L1615" s="26"/>
      <c r="M1615" s="26"/>
      <c r="N1615" s="26"/>
      <c r="O1615" s="55"/>
      <c r="P1615" s="1"/>
      <c r="Q1615" s="8"/>
      <c r="R1615" s="8"/>
      <c r="S1615" s="1"/>
      <c r="T1615" s="8"/>
      <c r="U1615" s="8"/>
      <c r="V1615" s="56"/>
      <c r="W1615" s="1"/>
      <c r="X1615" s="1"/>
      <c r="Y1615" s="8"/>
      <c r="Z1615" s="8"/>
      <c r="AA1615" s="8"/>
      <c r="AB1615" s="8"/>
      <c r="AC1615" s="8"/>
      <c r="AD1615" s="8"/>
      <c r="AE1615" s="8"/>
      <c r="AF1615" s="8"/>
      <c r="AG1615" s="8"/>
      <c r="AH1615" s="8"/>
      <c r="AI1615" s="8"/>
    </row>
    <row r="1616" spans="1:35">
      <c r="A1616" s="1"/>
      <c r="B1616" s="8"/>
      <c r="C1616" s="8"/>
      <c r="D1616" s="8"/>
      <c r="E1616" s="8"/>
      <c r="F1616" s="8"/>
      <c r="G1616" s="8"/>
      <c r="H1616" s="8"/>
      <c r="I1616" s="8"/>
      <c r="J1616" s="8"/>
      <c r="K1616" s="8"/>
      <c r="L1616" s="26"/>
      <c r="M1616" s="26"/>
      <c r="N1616" s="26"/>
      <c r="O1616" s="55"/>
      <c r="P1616" s="1"/>
      <c r="Q1616" s="8"/>
      <c r="R1616" s="8"/>
      <c r="S1616" s="1"/>
      <c r="T1616" s="8"/>
      <c r="U1616" s="8"/>
      <c r="V1616" s="56"/>
      <c r="W1616" s="1"/>
      <c r="X1616" s="1"/>
      <c r="Y1616" s="8"/>
      <c r="Z1616" s="8"/>
      <c r="AA1616" s="8"/>
      <c r="AB1616" s="8"/>
      <c r="AC1616" s="8"/>
      <c r="AD1616" s="8"/>
      <c r="AE1616" s="8"/>
      <c r="AF1616" s="8"/>
      <c r="AG1616" s="8"/>
      <c r="AH1616" s="8"/>
      <c r="AI1616" s="8"/>
    </row>
    <row r="1617" spans="1:35">
      <c r="A1617" s="1"/>
      <c r="B1617" s="8"/>
      <c r="C1617" s="8"/>
      <c r="D1617" s="8"/>
      <c r="E1617" s="8"/>
      <c r="F1617" s="8"/>
      <c r="G1617" s="8"/>
      <c r="H1617" s="8"/>
      <c r="I1617" s="8"/>
      <c r="J1617" s="8"/>
      <c r="K1617" s="8"/>
      <c r="L1617" s="26"/>
      <c r="M1617" s="26"/>
      <c r="N1617" s="26"/>
      <c r="O1617" s="55"/>
      <c r="P1617" s="1"/>
      <c r="Q1617" s="8"/>
      <c r="R1617" s="8"/>
      <c r="S1617" s="1"/>
      <c r="T1617" s="8"/>
      <c r="U1617" s="8"/>
      <c r="V1617" s="56"/>
      <c r="W1617" s="1"/>
      <c r="X1617" s="1"/>
      <c r="Y1617" s="8"/>
      <c r="Z1617" s="8"/>
      <c r="AA1617" s="8"/>
      <c r="AB1617" s="8"/>
      <c r="AC1617" s="8"/>
      <c r="AD1617" s="8"/>
      <c r="AE1617" s="8"/>
      <c r="AF1617" s="8"/>
      <c r="AG1617" s="8"/>
      <c r="AH1617" s="8"/>
      <c r="AI1617" s="8"/>
    </row>
    <row r="1618" spans="1:35">
      <c r="A1618" s="1"/>
      <c r="B1618" s="8"/>
      <c r="C1618" s="8"/>
      <c r="D1618" s="8"/>
      <c r="E1618" s="8"/>
      <c r="F1618" s="8"/>
      <c r="G1618" s="8"/>
      <c r="H1618" s="8"/>
      <c r="I1618" s="8"/>
      <c r="J1618" s="8"/>
      <c r="K1618" s="8"/>
      <c r="L1618" s="26"/>
      <c r="M1618" s="26"/>
      <c r="N1618" s="26"/>
      <c r="O1618" s="55"/>
      <c r="P1618" s="1"/>
      <c r="Q1618" s="8"/>
      <c r="R1618" s="8"/>
      <c r="S1618" s="1"/>
      <c r="T1618" s="8"/>
      <c r="U1618" s="8"/>
      <c r="V1618" s="56"/>
      <c r="W1618" s="1"/>
      <c r="X1618" s="1"/>
      <c r="Y1618" s="8"/>
      <c r="Z1618" s="8"/>
      <c r="AA1618" s="8"/>
      <c r="AB1618" s="8"/>
      <c r="AC1618" s="8"/>
      <c r="AD1618" s="8"/>
      <c r="AE1618" s="8"/>
      <c r="AF1618" s="8"/>
      <c r="AG1618" s="8"/>
      <c r="AH1618" s="8"/>
      <c r="AI1618" s="8"/>
    </row>
    <row r="1619" spans="1:35">
      <c r="A1619" s="1"/>
      <c r="B1619" s="8"/>
      <c r="C1619" s="8"/>
      <c r="D1619" s="8"/>
      <c r="E1619" s="8"/>
      <c r="F1619" s="8"/>
      <c r="G1619" s="8"/>
      <c r="H1619" s="8"/>
      <c r="I1619" s="8"/>
      <c r="J1619" s="8"/>
      <c r="K1619" s="8"/>
      <c r="L1619" s="26"/>
      <c r="M1619" s="26"/>
      <c r="N1619" s="26"/>
      <c r="O1619" s="55"/>
      <c r="P1619" s="1"/>
      <c r="Q1619" s="8"/>
      <c r="R1619" s="8"/>
      <c r="S1619" s="1"/>
      <c r="T1619" s="8"/>
      <c r="U1619" s="8"/>
      <c r="V1619" s="56"/>
      <c r="W1619" s="1"/>
      <c r="X1619" s="1"/>
      <c r="Y1619" s="8"/>
      <c r="Z1619" s="8"/>
      <c r="AA1619" s="8"/>
      <c r="AB1619" s="8"/>
      <c r="AC1619" s="8"/>
      <c r="AD1619" s="8"/>
      <c r="AE1619" s="8"/>
      <c r="AF1619" s="8"/>
      <c r="AG1619" s="8"/>
      <c r="AH1619" s="8"/>
      <c r="AI1619" s="8"/>
    </row>
    <row r="1620" spans="1:35">
      <c r="A1620" s="1"/>
      <c r="B1620" s="8"/>
      <c r="C1620" s="8"/>
      <c r="D1620" s="8"/>
      <c r="E1620" s="8"/>
      <c r="F1620" s="8"/>
      <c r="G1620" s="8"/>
      <c r="H1620" s="8"/>
      <c r="I1620" s="8"/>
      <c r="J1620" s="8"/>
      <c r="K1620" s="8"/>
      <c r="L1620" s="26"/>
      <c r="M1620" s="26"/>
      <c r="N1620" s="26"/>
      <c r="O1620" s="55"/>
      <c r="P1620" s="1"/>
      <c r="Q1620" s="8"/>
      <c r="R1620" s="8"/>
      <c r="S1620" s="1"/>
      <c r="T1620" s="8"/>
      <c r="U1620" s="8"/>
      <c r="V1620" s="56"/>
      <c r="W1620" s="1"/>
      <c r="X1620" s="1"/>
      <c r="Y1620" s="8"/>
      <c r="Z1620" s="8"/>
      <c r="AA1620" s="8"/>
      <c r="AB1620" s="8"/>
      <c r="AC1620" s="8"/>
      <c r="AD1620" s="8"/>
      <c r="AE1620" s="8"/>
      <c r="AF1620" s="8"/>
      <c r="AG1620" s="8"/>
      <c r="AH1620" s="8"/>
      <c r="AI1620" s="8"/>
    </row>
    <row r="1621" spans="1:35">
      <c r="A1621" s="1"/>
      <c r="B1621" s="8"/>
      <c r="C1621" s="8"/>
      <c r="D1621" s="8"/>
      <c r="E1621" s="8"/>
      <c r="F1621" s="8"/>
      <c r="G1621" s="8"/>
      <c r="H1621" s="8"/>
      <c r="I1621" s="8"/>
      <c r="J1621" s="8"/>
      <c r="K1621" s="8"/>
      <c r="L1621" s="26"/>
      <c r="M1621" s="26"/>
      <c r="N1621" s="26"/>
      <c r="O1621" s="55"/>
      <c r="P1621" s="1"/>
      <c r="Q1621" s="8"/>
      <c r="R1621" s="8"/>
      <c r="S1621" s="1"/>
      <c r="T1621" s="8"/>
      <c r="U1621" s="8"/>
      <c r="V1621" s="56"/>
      <c r="W1621" s="1"/>
      <c r="X1621" s="1"/>
      <c r="Y1621" s="8"/>
      <c r="Z1621" s="8"/>
      <c r="AA1621" s="8"/>
      <c r="AB1621" s="8"/>
      <c r="AC1621" s="8"/>
      <c r="AD1621" s="8"/>
      <c r="AE1621" s="8"/>
      <c r="AF1621" s="8"/>
      <c r="AG1621" s="8"/>
      <c r="AH1621" s="8"/>
      <c r="AI1621" s="8"/>
    </row>
    <row r="1622" spans="1:35">
      <c r="A1622" s="1"/>
      <c r="B1622" s="8"/>
      <c r="C1622" s="8"/>
      <c r="D1622" s="8"/>
      <c r="E1622" s="8"/>
      <c r="F1622" s="8"/>
      <c r="G1622" s="8"/>
      <c r="H1622" s="8"/>
      <c r="I1622" s="8"/>
      <c r="J1622" s="8"/>
      <c r="K1622" s="8"/>
      <c r="L1622" s="26"/>
      <c r="M1622" s="26"/>
      <c r="N1622" s="26"/>
      <c r="O1622" s="55"/>
      <c r="P1622" s="1"/>
      <c r="Q1622" s="8"/>
      <c r="R1622" s="8"/>
      <c r="S1622" s="1"/>
      <c r="T1622" s="8"/>
      <c r="U1622" s="8"/>
      <c r="V1622" s="56"/>
      <c r="W1622" s="1"/>
      <c r="X1622" s="1"/>
      <c r="Y1622" s="8"/>
      <c r="Z1622" s="8"/>
      <c r="AA1622" s="8"/>
      <c r="AB1622" s="8"/>
      <c r="AC1622" s="8"/>
      <c r="AD1622" s="8"/>
      <c r="AE1622" s="8"/>
      <c r="AF1622" s="8"/>
      <c r="AG1622" s="8"/>
      <c r="AH1622" s="8"/>
      <c r="AI1622" s="8"/>
    </row>
    <row r="1623" spans="1:35">
      <c r="A1623" s="1"/>
      <c r="B1623" s="8"/>
      <c r="C1623" s="8"/>
      <c r="D1623" s="8"/>
      <c r="E1623" s="8"/>
      <c r="F1623" s="8"/>
      <c r="G1623" s="8"/>
      <c r="H1623" s="8"/>
      <c r="I1623" s="8"/>
      <c r="J1623" s="8"/>
      <c r="K1623" s="8"/>
      <c r="L1623" s="26"/>
      <c r="M1623" s="26"/>
      <c r="N1623" s="26"/>
      <c r="O1623" s="55"/>
      <c r="P1623" s="1"/>
      <c r="Q1623" s="8"/>
      <c r="R1623" s="8"/>
      <c r="S1623" s="1"/>
      <c r="T1623" s="8"/>
      <c r="U1623" s="8"/>
      <c r="V1623" s="56"/>
      <c r="W1623" s="1"/>
      <c r="X1623" s="1"/>
      <c r="Y1623" s="8"/>
      <c r="Z1623" s="8"/>
      <c r="AA1623" s="8"/>
      <c r="AB1623" s="8"/>
      <c r="AC1623" s="8"/>
      <c r="AD1623" s="8"/>
      <c r="AE1623" s="8"/>
      <c r="AF1623" s="8"/>
      <c r="AG1623" s="8"/>
      <c r="AH1623" s="8"/>
      <c r="AI1623" s="8"/>
    </row>
    <row r="1624" spans="1:35">
      <c r="A1624" s="1"/>
      <c r="B1624" s="8"/>
      <c r="C1624" s="8"/>
      <c r="D1624" s="8"/>
      <c r="E1624" s="8"/>
      <c r="F1624" s="8"/>
      <c r="G1624" s="8"/>
      <c r="H1624" s="8"/>
      <c r="I1624" s="8"/>
      <c r="J1624" s="8"/>
      <c r="K1624" s="8"/>
      <c r="L1624" s="26"/>
      <c r="M1624" s="26"/>
      <c r="N1624" s="26"/>
      <c r="O1624" s="55"/>
      <c r="P1624" s="1"/>
      <c r="Q1624" s="8"/>
      <c r="R1624" s="8"/>
      <c r="S1624" s="1"/>
      <c r="T1624" s="8"/>
      <c r="U1624" s="8"/>
      <c r="V1624" s="56"/>
      <c r="W1624" s="1"/>
      <c r="X1624" s="1"/>
      <c r="Y1624" s="8"/>
      <c r="Z1624" s="8"/>
      <c r="AA1624" s="8"/>
      <c r="AB1624" s="8"/>
      <c r="AC1624" s="8"/>
      <c r="AD1624" s="8"/>
      <c r="AE1624" s="8"/>
      <c r="AF1624" s="8"/>
      <c r="AG1624" s="8"/>
      <c r="AH1624" s="8"/>
      <c r="AI1624" s="8"/>
    </row>
    <row r="1625" spans="1:35">
      <c r="A1625" s="1"/>
      <c r="B1625" s="8"/>
      <c r="C1625" s="8"/>
      <c r="D1625" s="8"/>
      <c r="E1625" s="8"/>
      <c r="F1625" s="8"/>
      <c r="G1625" s="8"/>
      <c r="H1625" s="8"/>
      <c r="I1625" s="8"/>
      <c r="J1625" s="8"/>
      <c r="K1625" s="8"/>
      <c r="L1625" s="26"/>
      <c r="M1625" s="26"/>
      <c r="N1625" s="26"/>
      <c r="O1625" s="55"/>
      <c r="P1625" s="1"/>
      <c r="Q1625" s="8"/>
      <c r="R1625" s="8"/>
      <c r="S1625" s="1"/>
      <c r="T1625" s="8"/>
      <c r="U1625" s="8"/>
      <c r="V1625" s="56"/>
      <c r="W1625" s="1"/>
      <c r="X1625" s="1"/>
      <c r="Y1625" s="8"/>
      <c r="Z1625" s="8"/>
      <c r="AA1625" s="8"/>
      <c r="AB1625" s="8"/>
      <c r="AC1625" s="8"/>
      <c r="AD1625" s="8"/>
      <c r="AE1625" s="8"/>
      <c r="AF1625" s="8"/>
      <c r="AG1625" s="8"/>
      <c r="AH1625" s="8"/>
      <c r="AI1625" s="8"/>
    </row>
    <row r="1626" spans="1:35">
      <c r="A1626" s="1"/>
      <c r="B1626" s="8"/>
      <c r="C1626" s="8"/>
      <c r="D1626" s="8"/>
      <c r="E1626" s="8"/>
      <c r="F1626" s="8"/>
      <c r="G1626" s="8"/>
      <c r="H1626" s="8"/>
      <c r="I1626" s="8"/>
      <c r="J1626" s="8"/>
      <c r="K1626" s="8"/>
      <c r="L1626" s="26"/>
      <c r="M1626" s="26"/>
      <c r="N1626" s="26"/>
      <c r="O1626" s="55"/>
      <c r="P1626" s="1"/>
      <c r="Q1626" s="8"/>
      <c r="R1626" s="8"/>
      <c r="S1626" s="1"/>
      <c r="T1626" s="8"/>
      <c r="U1626" s="8"/>
      <c r="V1626" s="56"/>
      <c r="W1626" s="1"/>
      <c r="X1626" s="1"/>
      <c r="Y1626" s="8"/>
      <c r="Z1626" s="8"/>
      <c r="AA1626" s="8"/>
      <c r="AB1626" s="8"/>
      <c r="AC1626" s="8"/>
      <c r="AD1626" s="8"/>
      <c r="AE1626" s="8"/>
      <c r="AF1626" s="8"/>
      <c r="AG1626" s="8"/>
      <c r="AH1626" s="8"/>
      <c r="AI1626" s="8"/>
    </row>
    <row r="1627" spans="1:35">
      <c r="A1627" s="1"/>
      <c r="B1627" s="8"/>
      <c r="C1627" s="8"/>
      <c r="D1627" s="8"/>
      <c r="E1627" s="8"/>
      <c r="F1627" s="8"/>
      <c r="G1627" s="8"/>
      <c r="H1627" s="8"/>
      <c r="I1627" s="8"/>
      <c r="J1627" s="8"/>
      <c r="K1627" s="8"/>
      <c r="L1627" s="26"/>
      <c r="M1627" s="26"/>
      <c r="N1627" s="26"/>
      <c r="O1627" s="55"/>
      <c r="P1627" s="1"/>
      <c r="Q1627" s="8"/>
      <c r="R1627" s="8"/>
      <c r="S1627" s="1"/>
      <c r="T1627" s="8"/>
      <c r="U1627" s="8"/>
      <c r="V1627" s="56"/>
      <c r="W1627" s="1"/>
      <c r="X1627" s="1"/>
      <c r="Y1627" s="8"/>
      <c r="Z1627" s="8"/>
      <c r="AA1627" s="8"/>
      <c r="AB1627" s="8"/>
      <c r="AC1627" s="8"/>
      <c r="AD1627" s="8"/>
      <c r="AE1627" s="8"/>
      <c r="AF1627" s="8"/>
      <c r="AG1627" s="8"/>
      <c r="AH1627" s="8"/>
      <c r="AI1627" s="8"/>
    </row>
    <row r="1628" spans="1:35">
      <c r="A1628" s="1"/>
      <c r="B1628" s="8"/>
      <c r="C1628" s="8"/>
      <c r="D1628" s="8"/>
      <c r="E1628" s="8"/>
      <c r="F1628" s="8"/>
      <c r="G1628" s="8"/>
      <c r="H1628" s="8"/>
      <c r="I1628" s="8"/>
      <c r="J1628" s="8"/>
      <c r="K1628" s="8"/>
      <c r="L1628" s="26"/>
      <c r="M1628" s="26"/>
      <c r="N1628" s="26"/>
      <c r="O1628" s="55"/>
      <c r="P1628" s="1"/>
      <c r="Q1628" s="8"/>
      <c r="R1628" s="8"/>
      <c r="S1628" s="1"/>
      <c r="T1628" s="8"/>
      <c r="U1628" s="8"/>
      <c r="V1628" s="56"/>
      <c r="W1628" s="1"/>
      <c r="X1628" s="1"/>
      <c r="Y1628" s="8"/>
      <c r="Z1628" s="8"/>
      <c r="AA1628" s="8"/>
      <c r="AB1628" s="8"/>
      <c r="AC1628" s="8"/>
      <c r="AD1628" s="8"/>
      <c r="AE1628" s="8"/>
      <c r="AF1628" s="8"/>
      <c r="AG1628" s="8"/>
      <c r="AH1628" s="8"/>
      <c r="AI1628" s="8"/>
    </row>
    <row r="1629" spans="1:35">
      <c r="A1629" s="1"/>
      <c r="B1629" s="8"/>
      <c r="C1629" s="8"/>
      <c r="D1629" s="8"/>
      <c r="E1629" s="8"/>
      <c r="F1629" s="8"/>
      <c r="G1629" s="8"/>
      <c r="H1629" s="8"/>
      <c r="I1629" s="8"/>
      <c r="J1629" s="8"/>
      <c r="K1629" s="8"/>
      <c r="L1629" s="26"/>
      <c r="M1629" s="26"/>
      <c r="N1629" s="26"/>
      <c r="O1629" s="55"/>
      <c r="P1629" s="1"/>
      <c r="Q1629" s="8"/>
      <c r="R1629" s="8"/>
      <c r="S1629" s="1"/>
      <c r="T1629" s="8"/>
      <c r="U1629" s="8"/>
      <c r="V1629" s="56"/>
      <c r="W1629" s="1"/>
      <c r="X1629" s="1"/>
      <c r="Y1629" s="8"/>
      <c r="Z1629" s="8"/>
      <c r="AA1629" s="8"/>
      <c r="AB1629" s="8"/>
      <c r="AC1629" s="8"/>
      <c r="AD1629" s="8"/>
      <c r="AE1629" s="8"/>
      <c r="AF1629" s="8"/>
      <c r="AG1629" s="8"/>
      <c r="AH1629" s="8"/>
      <c r="AI1629" s="8"/>
    </row>
    <row r="1630" spans="1:35">
      <c r="A1630" s="1"/>
      <c r="B1630" s="8"/>
      <c r="C1630" s="8"/>
      <c r="D1630" s="8"/>
      <c r="E1630" s="8"/>
      <c r="F1630" s="8"/>
      <c r="G1630" s="8"/>
      <c r="H1630" s="8"/>
      <c r="I1630" s="8"/>
      <c r="J1630" s="8"/>
      <c r="K1630" s="8"/>
      <c r="L1630" s="26"/>
      <c r="M1630" s="26"/>
      <c r="N1630" s="26"/>
      <c r="O1630" s="55"/>
      <c r="P1630" s="1"/>
      <c r="Q1630" s="8"/>
      <c r="R1630" s="8"/>
      <c r="S1630" s="1"/>
      <c r="T1630" s="8"/>
      <c r="U1630" s="8"/>
      <c r="V1630" s="56"/>
      <c r="W1630" s="1"/>
      <c r="X1630" s="1"/>
      <c r="Y1630" s="8"/>
      <c r="Z1630" s="8"/>
      <c r="AA1630" s="8"/>
      <c r="AB1630" s="8"/>
      <c r="AC1630" s="8"/>
      <c r="AD1630" s="8"/>
      <c r="AE1630" s="8"/>
      <c r="AF1630" s="8"/>
      <c r="AG1630" s="8"/>
      <c r="AH1630" s="8"/>
      <c r="AI1630" s="8"/>
    </row>
    <row r="1631" spans="1:35">
      <c r="A1631" s="1"/>
      <c r="B1631" s="8"/>
      <c r="C1631" s="8"/>
      <c r="D1631" s="8"/>
      <c r="E1631" s="8"/>
      <c r="F1631" s="8"/>
      <c r="G1631" s="8"/>
      <c r="H1631" s="8"/>
      <c r="I1631" s="8"/>
      <c r="J1631" s="8"/>
      <c r="K1631" s="8"/>
      <c r="L1631" s="26"/>
      <c r="M1631" s="26"/>
      <c r="N1631" s="26"/>
      <c r="O1631" s="55"/>
      <c r="P1631" s="1"/>
      <c r="Q1631" s="8"/>
      <c r="R1631" s="8"/>
      <c r="S1631" s="1"/>
      <c r="T1631" s="8"/>
      <c r="U1631" s="8"/>
      <c r="V1631" s="56"/>
      <c r="W1631" s="1"/>
      <c r="X1631" s="1"/>
      <c r="Y1631" s="8"/>
      <c r="Z1631" s="8"/>
      <c r="AA1631" s="8"/>
      <c r="AB1631" s="8"/>
      <c r="AC1631" s="8"/>
      <c r="AD1631" s="8"/>
      <c r="AE1631" s="8"/>
      <c r="AF1631" s="8"/>
      <c r="AG1631" s="8"/>
      <c r="AH1631" s="8"/>
      <c r="AI1631" s="8"/>
    </row>
    <row r="1632" spans="1:35">
      <c r="A1632" s="1"/>
      <c r="B1632" s="8"/>
      <c r="C1632" s="8"/>
      <c r="D1632" s="8"/>
      <c r="E1632" s="8"/>
      <c r="F1632" s="8"/>
      <c r="G1632" s="8"/>
      <c r="H1632" s="8"/>
      <c r="I1632" s="8"/>
      <c r="J1632" s="8"/>
      <c r="K1632" s="8"/>
      <c r="L1632" s="26"/>
      <c r="M1632" s="26"/>
      <c r="N1632" s="26"/>
      <c r="O1632" s="55"/>
      <c r="P1632" s="1"/>
      <c r="Q1632" s="8"/>
      <c r="R1632" s="8"/>
      <c r="S1632" s="1"/>
      <c r="T1632" s="8"/>
      <c r="U1632" s="8"/>
      <c r="V1632" s="56"/>
      <c r="W1632" s="1"/>
      <c r="X1632" s="1"/>
      <c r="Y1632" s="8"/>
      <c r="Z1632" s="8"/>
      <c r="AA1632" s="8"/>
      <c r="AB1632" s="8"/>
      <c r="AC1632" s="8"/>
      <c r="AD1632" s="8"/>
      <c r="AE1632" s="8"/>
      <c r="AF1632" s="8"/>
      <c r="AG1632" s="8"/>
      <c r="AH1632" s="8"/>
      <c r="AI1632" s="8"/>
    </row>
    <row r="1633" spans="1:35">
      <c r="A1633" s="1"/>
      <c r="B1633" s="8"/>
      <c r="C1633" s="8"/>
      <c r="D1633" s="8"/>
      <c r="E1633" s="8"/>
      <c r="F1633" s="8"/>
      <c r="G1633" s="8"/>
      <c r="H1633" s="8"/>
      <c r="I1633" s="8"/>
      <c r="J1633" s="8"/>
      <c r="K1633" s="8"/>
      <c r="L1633" s="26"/>
      <c r="M1633" s="26"/>
      <c r="N1633" s="26"/>
      <c r="O1633" s="55"/>
      <c r="P1633" s="1"/>
      <c r="Q1633" s="8"/>
      <c r="R1633" s="8"/>
      <c r="S1633" s="1"/>
      <c r="T1633" s="8"/>
      <c r="U1633" s="8"/>
      <c r="V1633" s="56"/>
      <c r="W1633" s="1"/>
      <c r="X1633" s="1"/>
      <c r="Y1633" s="8"/>
      <c r="Z1633" s="8"/>
      <c r="AA1633" s="8"/>
      <c r="AB1633" s="8"/>
      <c r="AC1633" s="8"/>
      <c r="AD1633" s="8"/>
      <c r="AE1633" s="8"/>
      <c r="AF1633" s="8"/>
      <c r="AG1633" s="8"/>
      <c r="AH1633" s="8"/>
      <c r="AI1633" s="8"/>
    </row>
    <row r="1634" spans="1:35">
      <c r="A1634" s="1"/>
      <c r="B1634" s="8"/>
      <c r="C1634" s="8"/>
      <c r="D1634" s="8"/>
      <c r="E1634" s="8"/>
      <c r="F1634" s="8"/>
      <c r="G1634" s="8"/>
      <c r="H1634" s="8"/>
      <c r="I1634" s="8"/>
      <c r="J1634" s="8"/>
      <c r="K1634" s="8"/>
      <c r="L1634" s="26"/>
      <c r="M1634" s="26"/>
      <c r="N1634" s="26"/>
      <c r="O1634" s="55"/>
      <c r="P1634" s="1"/>
      <c r="Q1634" s="8"/>
      <c r="R1634" s="8"/>
      <c r="S1634" s="1"/>
      <c r="T1634" s="8"/>
      <c r="U1634" s="8"/>
      <c r="V1634" s="56"/>
      <c r="W1634" s="1"/>
      <c r="X1634" s="1"/>
      <c r="Y1634" s="8"/>
      <c r="Z1634" s="8"/>
      <c r="AA1634" s="8"/>
      <c r="AB1634" s="8"/>
      <c r="AC1634" s="8"/>
      <c r="AD1634" s="8"/>
      <c r="AE1634" s="8"/>
      <c r="AF1634" s="8"/>
      <c r="AG1634" s="8"/>
      <c r="AH1634" s="8"/>
      <c r="AI1634" s="8"/>
    </row>
    <row r="1635" spans="1:35">
      <c r="A1635" s="1"/>
      <c r="B1635" s="8"/>
      <c r="C1635" s="8"/>
      <c r="D1635" s="8"/>
      <c r="E1635" s="8"/>
      <c r="F1635" s="8"/>
      <c r="G1635" s="8"/>
      <c r="H1635" s="8"/>
      <c r="I1635" s="8"/>
      <c r="J1635" s="8"/>
      <c r="K1635" s="8"/>
      <c r="L1635" s="26"/>
      <c r="M1635" s="26"/>
      <c r="N1635" s="26"/>
      <c r="O1635" s="55"/>
      <c r="P1635" s="1"/>
      <c r="Q1635" s="8"/>
      <c r="R1635" s="8"/>
      <c r="S1635" s="1"/>
      <c r="T1635" s="8"/>
      <c r="U1635" s="8"/>
      <c r="V1635" s="56"/>
      <c r="W1635" s="1"/>
      <c r="X1635" s="1"/>
      <c r="Y1635" s="8"/>
      <c r="Z1635" s="8"/>
      <c r="AA1635" s="8"/>
      <c r="AB1635" s="8"/>
      <c r="AC1635" s="8"/>
      <c r="AD1635" s="8"/>
      <c r="AE1635" s="8"/>
      <c r="AF1635" s="8"/>
      <c r="AG1635" s="8"/>
      <c r="AH1635" s="8"/>
      <c r="AI1635" s="8"/>
    </row>
    <row r="1636" spans="1:35">
      <c r="A1636" s="1"/>
      <c r="B1636" s="8"/>
      <c r="C1636" s="8"/>
      <c r="D1636" s="8"/>
      <c r="E1636" s="8"/>
      <c r="F1636" s="8"/>
      <c r="G1636" s="8"/>
      <c r="H1636" s="8"/>
      <c r="I1636" s="8"/>
      <c r="J1636" s="8"/>
      <c r="K1636" s="8"/>
      <c r="L1636" s="26"/>
      <c r="M1636" s="26"/>
      <c r="N1636" s="26"/>
      <c r="O1636" s="55"/>
      <c r="P1636" s="1"/>
      <c r="Q1636" s="8"/>
      <c r="R1636" s="8"/>
      <c r="S1636" s="1"/>
      <c r="T1636" s="8"/>
      <c r="U1636" s="8"/>
      <c r="V1636" s="56"/>
      <c r="W1636" s="1"/>
      <c r="X1636" s="1"/>
      <c r="Y1636" s="8"/>
      <c r="Z1636" s="8"/>
      <c r="AA1636" s="8"/>
      <c r="AB1636" s="8"/>
      <c r="AC1636" s="8"/>
      <c r="AD1636" s="8"/>
      <c r="AE1636" s="8"/>
      <c r="AF1636" s="8"/>
      <c r="AG1636" s="8"/>
      <c r="AH1636" s="8"/>
      <c r="AI1636" s="8"/>
    </row>
    <row r="1637" spans="1:35">
      <c r="A1637" s="1"/>
      <c r="B1637" s="8"/>
      <c r="C1637" s="8"/>
      <c r="D1637" s="8"/>
      <c r="E1637" s="8"/>
      <c r="F1637" s="8"/>
      <c r="G1637" s="8"/>
      <c r="H1637" s="8"/>
      <c r="I1637" s="8"/>
      <c r="J1637" s="8"/>
      <c r="K1637" s="8"/>
      <c r="L1637" s="26"/>
      <c r="M1637" s="26"/>
      <c r="N1637" s="26"/>
      <c r="O1637" s="55"/>
      <c r="P1637" s="1"/>
      <c r="Q1637" s="8"/>
      <c r="R1637" s="8"/>
      <c r="S1637" s="1"/>
      <c r="T1637" s="8"/>
      <c r="U1637" s="8"/>
      <c r="V1637" s="56"/>
      <c r="W1637" s="1"/>
      <c r="X1637" s="1"/>
      <c r="Y1637" s="8"/>
      <c r="Z1637" s="8"/>
      <c r="AA1637" s="8"/>
      <c r="AB1637" s="8"/>
      <c r="AC1637" s="8"/>
      <c r="AD1637" s="8"/>
      <c r="AE1637" s="8"/>
      <c r="AF1637" s="8"/>
      <c r="AG1637" s="8"/>
      <c r="AH1637" s="8"/>
      <c r="AI1637" s="8"/>
    </row>
    <row r="1638" spans="1:35">
      <c r="A1638" s="1"/>
      <c r="B1638" s="8"/>
      <c r="C1638" s="8"/>
      <c r="D1638" s="8"/>
      <c r="E1638" s="8"/>
      <c r="F1638" s="8"/>
      <c r="G1638" s="8"/>
      <c r="H1638" s="8"/>
      <c r="I1638" s="8"/>
      <c r="J1638" s="8"/>
      <c r="K1638" s="8"/>
      <c r="L1638" s="26"/>
      <c r="M1638" s="26"/>
      <c r="N1638" s="26"/>
      <c r="O1638" s="55"/>
      <c r="P1638" s="1"/>
      <c r="Q1638" s="8"/>
      <c r="R1638" s="8"/>
      <c r="S1638" s="1"/>
      <c r="T1638" s="8"/>
      <c r="U1638" s="8"/>
      <c r="V1638" s="56"/>
      <c r="W1638" s="1"/>
      <c r="X1638" s="1"/>
      <c r="Y1638" s="8"/>
      <c r="Z1638" s="8"/>
      <c r="AA1638" s="8"/>
      <c r="AB1638" s="8"/>
      <c r="AC1638" s="8"/>
      <c r="AD1638" s="8"/>
      <c r="AE1638" s="8"/>
      <c r="AF1638" s="8"/>
      <c r="AG1638" s="8"/>
      <c r="AH1638" s="8"/>
      <c r="AI1638" s="8"/>
    </row>
    <row r="1639" spans="1:35">
      <c r="A1639" s="1"/>
      <c r="B1639" s="8"/>
      <c r="C1639" s="8"/>
      <c r="D1639" s="8"/>
      <c r="E1639" s="8"/>
      <c r="F1639" s="8"/>
      <c r="G1639" s="8"/>
      <c r="H1639" s="8"/>
      <c r="I1639" s="8"/>
      <c r="J1639" s="8"/>
      <c r="K1639" s="8"/>
      <c r="L1639" s="26"/>
      <c r="M1639" s="26"/>
      <c r="N1639" s="26"/>
      <c r="O1639" s="55"/>
      <c r="P1639" s="1"/>
      <c r="Q1639" s="8"/>
      <c r="R1639" s="8"/>
      <c r="S1639" s="1"/>
      <c r="T1639" s="8"/>
      <c r="U1639" s="8"/>
      <c r="V1639" s="56"/>
      <c r="W1639" s="1"/>
      <c r="X1639" s="1"/>
      <c r="Y1639" s="8"/>
      <c r="Z1639" s="8"/>
      <c r="AA1639" s="8"/>
      <c r="AB1639" s="8"/>
      <c r="AC1639" s="8"/>
      <c r="AD1639" s="8"/>
      <c r="AE1639" s="8"/>
      <c r="AF1639" s="8"/>
      <c r="AG1639" s="8"/>
      <c r="AH1639" s="8"/>
      <c r="AI1639" s="8"/>
    </row>
    <row r="1640" spans="1:35">
      <c r="A1640" s="1"/>
      <c r="B1640" s="8"/>
      <c r="C1640" s="8"/>
      <c r="D1640" s="8"/>
      <c r="E1640" s="8"/>
      <c r="F1640" s="8"/>
      <c r="G1640" s="8"/>
      <c r="H1640" s="8"/>
      <c r="I1640" s="8"/>
      <c r="J1640" s="8"/>
      <c r="K1640" s="8"/>
      <c r="L1640" s="26"/>
      <c r="M1640" s="26"/>
      <c r="N1640" s="26"/>
      <c r="O1640" s="55"/>
      <c r="P1640" s="1"/>
      <c r="Q1640" s="8"/>
      <c r="R1640" s="8"/>
      <c r="S1640" s="1"/>
      <c r="T1640" s="8"/>
      <c r="U1640" s="8"/>
      <c r="V1640" s="56"/>
      <c r="W1640" s="1"/>
      <c r="X1640" s="1"/>
      <c r="Y1640" s="8"/>
      <c r="Z1640" s="8"/>
      <c r="AA1640" s="8"/>
      <c r="AB1640" s="8"/>
      <c r="AC1640" s="8"/>
      <c r="AD1640" s="8"/>
      <c r="AE1640" s="8"/>
      <c r="AF1640" s="8"/>
      <c r="AG1640" s="8"/>
      <c r="AH1640" s="8"/>
      <c r="AI1640" s="8"/>
    </row>
    <row r="1641" spans="1:35">
      <c r="A1641" s="1"/>
      <c r="B1641" s="8"/>
      <c r="C1641" s="8"/>
      <c r="D1641" s="8"/>
      <c r="E1641" s="8"/>
      <c r="F1641" s="8"/>
      <c r="G1641" s="8"/>
      <c r="H1641" s="8"/>
      <c r="I1641" s="8"/>
      <c r="J1641" s="8"/>
      <c r="K1641" s="8"/>
      <c r="L1641" s="26"/>
      <c r="M1641" s="26"/>
      <c r="N1641" s="26"/>
      <c r="O1641" s="55"/>
      <c r="P1641" s="1"/>
      <c r="Q1641" s="8"/>
      <c r="R1641" s="8"/>
      <c r="S1641" s="1"/>
      <c r="T1641" s="8"/>
      <c r="U1641" s="8"/>
      <c r="V1641" s="56"/>
      <c r="W1641" s="1"/>
      <c r="X1641" s="1"/>
      <c r="Y1641" s="8"/>
      <c r="Z1641" s="8"/>
      <c r="AA1641" s="8"/>
      <c r="AB1641" s="8"/>
      <c r="AC1641" s="8"/>
      <c r="AD1641" s="8"/>
      <c r="AE1641" s="8"/>
      <c r="AF1641" s="8"/>
      <c r="AG1641" s="8"/>
      <c r="AH1641" s="8"/>
      <c r="AI1641" s="8"/>
    </row>
    <row r="1642" spans="1:35">
      <c r="A1642" s="1"/>
      <c r="B1642" s="8"/>
      <c r="C1642" s="8"/>
      <c r="D1642" s="8"/>
      <c r="E1642" s="8"/>
      <c r="F1642" s="8"/>
      <c r="G1642" s="8"/>
      <c r="H1642" s="8"/>
      <c r="I1642" s="8"/>
      <c r="J1642" s="8"/>
      <c r="K1642" s="8"/>
      <c r="L1642" s="26"/>
      <c r="M1642" s="26"/>
      <c r="N1642" s="26"/>
      <c r="O1642" s="55"/>
      <c r="P1642" s="1"/>
      <c r="Q1642" s="8"/>
      <c r="R1642" s="8"/>
      <c r="S1642" s="1"/>
      <c r="T1642" s="8"/>
      <c r="U1642" s="8"/>
      <c r="V1642" s="56"/>
      <c r="W1642" s="1"/>
      <c r="X1642" s="1"/>
      <c r="Y1642" s="8"/>
      <c r="Z1642" s="8"/>
      <c r="AA1642" s="8"/>
      <c r="AB1642" s="8"/>
      <c r="AC1642" s="8"/>
      <c r="AD1642" s="8"/>
      <c r="AE1642" s="8"/>
      <c r="AF1642" s="8"/>
      <c r="AG1642" s="8"/>
      <c r="AH1642" s="8"/>
      <c r="AI1642" s="8"/>
    </row>
    <row r="1643" spans="1:35">
      <c r="A1643" s="1"/>
      <c r="B1643" s="8"/>
      <c r="C1643" s="8"/>
      <c r="D1643" s="8"/>
      <c r="E1643" s="8"/>
      <c r="F1643" s="8"/>
      <c r="G1643" s="8"/>
      <c r="H1643" s="8"/>
      <c r="I1643" s="8"/>
      <c r="J1643" s="8"/>
      <c r="K1643" s="8"/>
      <c r="L1643" s="26"/>
      <c r="M1643" s="26"/>
      <c r="N1643" s="26"/>
      <c r="O1643" s="55"/>
      <c r="P1643" s="1"/>
      <c r="Q1643" s="8"/>
      <c r="R1643" s="8"/>
      <c r="S1643" s="1"/>
      <c r="T1643" s="8"/>
      <c r="U1643" s="8"/>
      <c r="V1643" s="56"/>
      <c r="W1643" s="1"/>
      <c r="X1643" s="1"/>
      <c r="Y1643" s="8"/>
      <c r="Z1643" s="8"/>
      <c r="AA1643" s="8"/>
      <c r="AB1643" s="8"/>
      <c r="AC1643" s="8"/>
      <c r="AD1643" s="8"/>
      <c r="AE1643" s="8"/>
      <c r="AF1643" s="8"/>
      <c r="AG1643" s="8"/>
      <c r="AH1643" s="8"/>
      <c r="AI1643" s="8"/>
    </row>
    <row r="1644" spans="1:35">
      <c r="A1644" s="1"/>
      <c r="B1644" s="8"/>
      <c r="C1644" s="8"/>
      <c r="D1644" s="8"/>
      <c r="E1644" s="8"/>
      <c r="F1644" s="8"/>
      <c r="G1644" s="8"/>
      <c r="H1644" s="8"/>
      <c r="I1644" s="8"/>
      <c r="J1644" s="8"/>
      <c r="K1644" s="8"/>
      <c r="L1644" s="26"/>
      <c r="M1644" s="26"/>
      <c r="N1644" s="26"/>
      <c r="O1644" s="55"/>
      <c r="P1644" s="1"/>
      <c r="Q1644" s="8"/>
      <c r="R1644" s="8"/>
      <c r="S1644" s="1"/>
      <c r="T1644" s="8"/>
      <c r="U1644" s="8"/>
      <c r="V1644" s="56"/>
      <c r="W1644" s="1"/>
      <c r="X1644" s="1"/>
      <c r="Y1644" s="8"/>
      <c r="Z1644" s="8"/>
      <c r="AA1644" s="8"/>
      <c r="AB1644" s="8"/>
      <c r="AC1644" s="8"/>
      <c r="AD1644" s="8"/>
      <c r="AE1644" s="8"/>
      <c r="AF1644" s="8"/>
      <c r="AG1644" s="8"/>
      <c r="AH1644" s="8"/>
      <c r="AI1644" s="8"/>
    </row>
    <row r="1645" spans="1:35">
      <c r="A1645" s="1"/>
      <c r="B1645" s="8"/>
      <c r="C1645" s="8"/>
      <c r="D1645" s="8"/>
      <c r="E1645" s="8"/>
      <c r="F1645" s="8"/>
      <c r="G1645" s="8"/>
      <c r="H1645" s="8"/>
      <c r="I1645" s="8"/>
      <c r="J1645" s="8"/>
      <c r="K1645" s="8"/>
      <c r="L1645" s="26"/>
      <c r="M1645" s="26"/>
      <c r="N1645" s="26"/>
      <c r="O1645" s="55"/>
      <c r="P1645" s="1"/>
      <c r="Q1645" s="8"/>
      <c r="R1645" s="8"/>
      <c r="S1645" s="1"/>
      <c r="T1645" s="8"/>
      <c r="U1645" s="8"/>
      <c r="V1645" s="56"/>
      <c r="W1645" s="1"/>
      <c r="X1645" s="1"/>
      <c r="Y1645" s="8"/>
      <c r="Z1645" s="8"/>
      <c r="AA1645" s="8"/>
      <c r="AB1645" s="8"/>
      <c r="AC1645" s="8"/>
      <c r="AD1645" s="8"/>
      <c r="AE1645" s="8"/>
      <c r="AF1645" s="8"/>
      <c r="AG1645" s="8"/>
      <c r="AH1645" s="8"/>
      <c r="AI1645" s="8"/>
    </row>
    <row r="1646" spans="1:35">
      <c r="A1646" s="1"/>
      <c r="B1646" s="8"/>
      <c r="C1646" s="8"/>
      <c r="D1646" s="8"/>
      <c r="E1646" s="8"/>
      <c r="F1646" s="8"/>
      <c r="G1646" s="8"/>
      <c r="H1646" s="8"/>
      <c r="I1646" s="8"/>
      <c r="J1646" s="8"/>
      <c r="K1646" s="8"/>
      <c r="L1646" s="26"/>
      <c r="M1646" s="26"/>
      <c r="N1646" s="26"/>
      <c r="O1646" s="55"/>
      <c r="P1646" s="1"/>
      <c r="Q1646" s="8"/>
      <c r="R1646" s="8"/>
      <c r="S1646" s="1"/>
      <c r="T1646" s="8"/>
      <c r="U1646" s="8"/>
      <c r="V1646" s="56"/>
      <c r="W1646" s="1"/>
      <c r="X1646" s="1"/>
      <c r="Y1646" s="8"/>
      <c r="Z1646" s="8"/>
      <c r="AA1646" s="8"/>
      <c r="AB1646" s="8"/>
      <c r="AC1646" s="8"/>
      <c r="AD1646" s="8"/>
      <c r="AE1646" s="8"/>
      <c r="AF1646" s="8"/>
      <c r="AG1646" s="8"/>
      <c r="AH1646" s="8"/>
      <c r="AI1646" s="8"/>
    </row>
    <row r="1647" spans="1:35">
      <c r="A1647" s="1"/>
      <c r="B1647" s="8"/>
      <c r="C1647" s="8"/>
      <c r="D1647" s="8"/>
      <c r="E1647" s="8"/>
      <c r="F1647" s="8"/>
      <c r="G1647" s="8"/>
      <c r="H1647" s="8"/>
      <c r="I1647" s="8"/>
      <c r="J1647" s="8"/>
      <c r="K1647" s="8"/>
      <c r="L1647" s="26"/>
      <c r="M1647" s="26"/>
      <c r="N1647" s="26"/>
      <c r="O1647" s="55"/>
      <c r="P1647" s="1"/>
      <c r="Q1647" s="8"/>
      <c r="R1647" s="8"/>
      <c r="S1647" s="1"/>
      <c r="T1647" s="8"/>
      <c r="U1647" s="8"/>
      <c r="V1647" s="56"/>
      <c r="W1647" s="1"/>
      <c r="X1647" s="1"/>
      <c r="Y1647" s="8"/>
      <c r="Z1647" s="8"/>
      <c r="AA1647" s="8"/>
      <c r="AB1647" s="8"/>
      <c r="AC1647" s="8"/>
      <c r="AD1647" s="8"/>
      <c r="AE1647" s="8"/>
      <c r="AF1647" s="8"/>
      <c r="AG1647" s="8"/>
      <c r="AH1647" s="8"/>
      <c r="AI1647" s="8"/>
    </row>
    <row r="1648" spans="1:35">
      <c r="A1648" s="1"/>
      <c r="B1648" s="8"/>
      <c r="C1648" s="8"/>
      <c r="D1648" s="8"/>
      <c r="E1648" s="8"/>
      <c r="F1648" s="8"/>
      <c r="G1648" s="8"/>
      <c r="H1648" s="8"/>
      <c r="I1648" s="8"/>
      <c r="J1648" s="8"/>
      <c r="K1648" s="8"/>
      <c r="L1648" s="26"/>
      <c r="M1648" s="26"/>
      <c r="N1648" s="26"/>
      <c r="O1648" s="55"/>
      <c r="P1648" s="1"/>
      <c r="Q1648" s="8"/>
      <c r="R1648" s="8"/>
      <c r="S1648" s="1"/>
      <c r="T1648" s="8"/>
      <c r="U1648" s="8"/>
      <c r="V1648" s="56"/>
      <c r="W1648" s="1"/>
      <c r="X1648" s="1"/>
      <c r="Y1648" s="8"/>
      <c r="Z1648" s="8"/>
      <c r="AA1648" s="8"/>
      <c r="AB1648" s="8"/>
      <c r="AC1648" s="8"/>
      <c r="AD1648" s="8"/>
      <c r="AE1648" s="8"/>
      <c r="AF1648" s="8"/>
      <c r="AG1648" s="8"/>
      <c r="AH1648" s="8"/>
      <c r="AI1648" s="8"/>
    </row>
    <row r="1649" spans="1:35">
      <c r="A1649" s="1"/>
      <c r="B1649" s="8"/>
      <c r="C1649" s="8"/>
      <c r="D1649" s="8"/>
      <c r="E1649" s="8"/>
      <c r="F1649" s="8"/>
      <c r="G1649" s="8"/>
      <c r="H1649" s="8"/>
      <c r="I1649" s="8"/>
      <c r="J1649" s="8"/>
      <c r="K1649" s="8"/>
      <c r="L1649" s="26"/>
      <c r="M1649" s="26"/>
      <c r="N1649" s="26"/>
      <c r="O1649" s="55"/>
      <c r="P1649" s="1"/>
      <c r="Q1649" s="8"/>
      <c r="R1649" s="8"/>
      <c r="S1649" s="1"/>
      <c r="T1649" s="8"/>
      <c r="U1649" s="8"/>
      <c r="V1649" s="56"/>
      <c r="W1649" s="1"/>
      <c r="X1649" s="1"/>
      <c r="Y1649" s="8"/>
      <c r="Z1649" s="8"/>
      <c r="AA1649" s="8"/>
      <c r="AB1649" s="8"/>
      <c r="AC1649" s="8"/>
      <c r="AD1649" s="8"/>
      <c r="AE1649" s="8"/>
      <c r="AF1649" s="8"/>
      <c r="AG1649" s="8"/>
      <c r="AH1649" s="8"/>
      <c r="AI1649" s="8"/>
    </row>
    <row r="1650" spans="1:35">
      <c r="A1650" s="1"/>
      <c r="B1650" s="8"/>
      <c r="C1650" s="8"/>
      <c r="D1650" s="8"/>
      <c r="E1650" s="8"/>
      <c r="F1650" s="8"/>
      <c r="G1650" s="8"/>
      <c r="H1650" s="8"/>
      <c r="I1650" s="8"/>
      <c r="J1650" s="8"/>
      <c r="K1650" s="8"/>
      <c r="L1650" s="26"/>
      <c r="M1650" s="26"/>
      <c r="N1650" s="26"/>
      <c r="O1650" s="55"/>
      <c r="P1650" s="1"/>
      <c r="Q1650" s="8"/>
      <c r="R1650" s="8"/>
      <c r="S1650" s="1"/>
      <c r="T1650" s="8"/>
      <c r="U1650" s="8"/>
      <c r="V1650" s="56"/>
      <c r="W1650" s="1"/>
      <c r="X1650" s="1"/>
      <c r="Y1650" s="8"/>
      <c r="Z1650" s="8"/>
      <c r="AA1650" s="8"/>
      <c r="AB1650" s="8"/>
      <c r="AC1650" s="8"/>
      <c r="AD1650" s="8"/>
      <c r="AE1650" s="8"/>
      <c r="AF1650" s="8"/>
      <c r="AG1650" s="8"/>
      <c r="AH1650" s="8"/>
      <c r="AI1650" s="8"/>
    </row>
    <row r="1651" spans="1:35">
      <c r="A1651" s="1"/>
      <c r="B1651" s="8"/>
      <c r="C1651" s="8"/>
      <c r="D1651" s="8"/>
      <c r="E1651" s="8"/>
      <c r="F1651" s="8"/>
      <c r="G1651" s="8"/>
      <c r="H1651" s="8"/>
      <c r="I1651" s="8"/>
      <c r="J1651" s="8"/>
      <c r="K1651" s="8"/>
      <c r="L1651" s="26"/>
      <c r="M1651" s="26"/>
      <c r="N1651" s="26"/>
      <c r="O1651" s="55"/>
      <c r="P1651" s="1"/>
      <c r="Q1651" s="8"/>
      <c r="R1651" s="8"/>
      <c r="S1651" s="1"/>
      <c r="T1651" s="8"/>
      <c r="U1651" s="8"/>
      <c r="V1651" s="56"/>
      <c r="W1651" s="1"/>
      <c r="X1651" s="1"/>
      <c r="Y1651" s="8"/>
      <c r="Z1651" s="8"/>
      <c r="AA1651" s="8"/>
      <c r="AB1651" s="8"/>
      <c r="AC1651" s="8"/>
      <c r="AD1651" s="8"/>
      <c r="AE1651" s="8"/>
      <c r="AF1651" s="8"/>
      <c r="AG1651" s="8"/>
      <c r="AH1651" s="8"/>
      <c r="AI1651" s="8"/>
    </row>
    <row r="1652" spans="1:35">
      <c r="A1652" s="1"/>
      <c r="B1652" s="8"/>
      <c r="C1652" s="8"/>
      <c r="D1652" s="8"/>
      <c r="E1652" s="8"/>
      <c r="F1652" s="8"/>
      <c r="G1652" s="8"/>
      <c r="H1652" s="8"/>
      <c r="I1652" s="8"/>
      <c r="J1652" s="8"/>
      <c r="K1652" s="8"/>
      <c r="L1652" s="26"/>
      <c r="M1652" s="26"/>
      <c r="N1652" s="26"/>
      <c r="O1652" s="55"/>
      <c r="P1652" s="1"/>
      <c r="Q1652" s="8"/>
      <c r="R1652" s="8"/>
      <c r="S1652" s="1"/>
      <c r="T1652" s="8"/>
      <c r="U1652" s="8"/>
      <c r="V1652" s="56"/>
      <c r="W1652" s="1"/>
      <c r="X1652" s="1"/>
      <c r="Y1652" s="8"/>
      <c r="Z1652" s="8"/>
      <c r="AA1652" s="8"/>
      <c r="AB1652" s="8"/>
      <c r="AC1652" s="8"/>
      <c r="AD1652" s="8"/>
      <c r="AE1652" s="8"/>
      <c r="AF1652" s="8"/>
      <c r="AG1652" s="8"/>
      <c r="AH1652" s="8"/>
      <c r="AI1652" s="8"/>
    </row>
    <row r="1653" spans="1:35">
      <c r="A1653" s="1"/>
      <c r="B1653" s="8"/>
      <c r="C1653" s="8"/>
      <c r="D1653" s="8"/>
      <c r="E1653" s="8"/>
      <c r="F1653" s="8"/>
      <c r="G1653" s="8"/>
      <c r="H1653" s="8"/>
      <c r="I1653" s="8"/>
      <c r="J1653" s="8"/>
      <c r="K1653" s="8"/>
      <c r="L1653" s="26"/>
      <c r="M1653" s="26"/>
      <c r="N1653" s="26"/>
      <c r="O1653" s="55"/>
      <c r="P1653" s="1"/>
      <c r="Q1653" s="8"/>
      <c r="R1653" s="8"/>
      <c r="S1653" s="1"/>
      <c r="T1653" s="8"/>
      <c r="U1653" s="8"/>
      <c r="V1653" s="56"/>
      <c r="W1653" s="1"/>
      <c r="X1653" s="1"/>
      <c r="Y1653" s="8"/>
      <c r="Z1653" s="8"/>
      <c r="AA1653" s="8"/>
      <c r="AB1653" s="8"/>
      <c r="AC1653" s="8"/>
      <c r="AD1653" s="8"/>
      <c r="AE1653" s="8"/>
      <c r="AF1653" s="8"/>
      <c r="AG1653" s="8"/>
      <c r="AH1653" s="8"/>
      <c r="AI1653" s="8"/>
    </row>
    <row r="1654" spans="1:35">
      <c r="A1654" s="1"/>
      <c r="B1654" s="8"/>
      <c r="C1654" s="8"/>
      <c r="D1654" s="8"/>
      <c r="E1654" s="8"/>
      <c r="F1654" s="8"/>
      <c r="G1654" s="8"/>
      <c r="H1654" s="8"/>
      <c r="I1654" s="8"/>
      <c r="J1654" s="8"/>
      <c r="K1654" s="8"/>
      <c r="L1654" s="26"/>
      <c r="M1654" s="26"/>
      <c r="N1654" s="26"/>
      <c r="O1654" s="55"/>
      <c r="P1654" s="1"/>
      <c r="Q1654" s="8"/>
      <c r="R1654" s="8"/>
      <c r="S1654" s="1"/>
      <c r="T1654" s="8"/>
      <c r="U1654" s="8"/>
      <c r="V1654" s="56"/>
      <c r="W1654" s="1"/>
      <c r="X1654" s="1"/>
      <c r="Y1654" s="8"/>
      <c r="Z1654" s="8"/>
      <c r="AA1654" s="8"/>
      <c r="AB1654" s="8"/>
      <c r="AC1654" s="8"/>
      <c r="AD1654" s="8"/>
      <c r="AE1654" s="8"/>
      <c r="AF1654" s="8"/>
      <c r="AG1654" s="8"/>
      <c r="AH1654" s="8"/>
      <c r="AI1654" s="8"/>
    </row>
    <row r="1655" spans="1:35">
      <c r="A1655" s="1"/>
      <c r="B1655" s="8"/>
      <c r="C1655" s="8"/>
      <c r="D1655" s="8"/>
      <c r="E1655" s="8"/>
      <c r="F1655" s="8"/>
      <c r="G1655" s="8"/>
      <c r="H1655" s="8"/>
      <c r="I1655" s="8"/>
      <c r="J1655" s="8"/>
      <c r="K1655" s="8"/>
      <c r="L1655" s="26"/>
      <c r="M1655" s="26"/>
      <c r="N1655" s="26"/>
      <c r="O1655" s="55"/>
      <c r="P1655" s="1"/>
      <c r="Q1655" s="8"/>
      <c r="R1655" s="8"/>
      <c r="S1655" s="1"/>
      <c r="T1655" s="8"/>
      <c r="U1655" s="8"/>
      <c r="V1655" s="56"/>
      <c r="W1655" s="1"/>
      <c r="X1655" s="1"/>
      <c r="Y1655" s="8"/>
      <c r="Z1655" s="8"/>
      <c r="AA1655" s="8"/>
      <c r="AB1655" s="8"/>
      <c r="AC1655" s="8"/>
      <c r="AD1655" s="8"/>
      <c r="AE1655" s="8"/>
      <c r="AF1655" s="8"/>
      <c r="AG1655" s="8"/>
      <c r="AH1655" s="8"/>
      <c r="AI1655" s="8"/>
    </row>
    <row r="1656" spans="1:35">
      <c r="A1656" s="1"/>
      <c r="B1656" s="8"/>
      <c r="C1656" s="8"/>
      <c r="D1656" s="8"/>
      <c r="E1656" s="8"/>
      <c r="F1656" s="8"/>
      <c r="G1656" s="8"/>
      <c r="H1656" s="8"/>
      <c r="I1656" s="8"/>
      <c r="J1656" s="8"/>
      <c r="K1656" s="8"/>
      <c r="L1656" s="26"/>
      <c r="M1656" s="26"/>
      <c r="N1656" s="26"/>
      <c r="O1656" s="55"/>
      <c r="P1656" s="1"/>
      <c r="Q1656" s="8"/>
      <c r="R1656" s="8"/>
      <c r="S1656" s="1"/>
      <c r="T1656" s="8"/>
      <c r="U1656" s="8"/>
      <c r="V1656" s="56"/>
      <c r="W1656" s="1"/>
      <c r="X1656" s="1"/>
      <c r="Y1656" s="8"/>
      <c r="Z1656" s="8"/>
      <c r="AA1656" s="8"/>
      <c r="AB1656" s="8"/>
      <c r="AC1656" s="8"/>
      <c r="AD1656" s="8"/>
      <c r="AE1656" s="8"/>
      <c r="AF1656" s="8"/>
      <c r="AG1656" s="8"/>
      <c r="AH1656" s="8"/>
      <c r="AI1656" s="8"/>
    </row>
    <row r="1657" spans="1:35">
      <c r="A1657" s="1"/>
      <c r="B1657" s="8"/>
      <c r="C1657" s="8"/>
      <c r="D1657" s="8"/>
      <c r="E1657" s="8"/>
      <c r="F1657" s="8"/>
      <c r="G1657" s="8"/>
      <c r="H1657" s="8"/>
      <c r="I1657" s="8"/>
      <c r="J1657" s="8"/>
      <c r="K1657" s="8"/>
      <c r="L1657" s="26"/>
      <c r="M1657" s="26"/>
      <c r="N1657" s="26"/>
      <c r="O1657" s="55"/>
      <c r="P1657" s="1"/>
      <c r="Q1657" s="8"/>
      <c r="R1657" s="8"/>
      <c r="S1657" s="1"/>
      <c r="T1657" s="8"/>
      <c r="U1657" s="8"/>
      <c r="V1657" s="56"/>
      <c r="W1657" s="1"/>
      <c r="X1657" s="1"/>
      <c r="Y1657" s="8"/>
      <c r="Z1657" s="8"/>
      <c r="AA1657" s="8"/>
      <c r="AB1657" s="8"/>
      <c r="AC1657" s="8"/>
      <c r="AD1657" s="8"/>
      <c r="AE1657" s="8"/>
      <c r="AF1657" s="8"/>
      <c r="AG1657" s="8"/>
      <c r="AH1657" s="8"/>
      <c r="AI1657" s="8"/>
    </row>
    <row r="1658" spans="1:35">
      <c r="A1658" s="1"/>
      <c r="B1658" s="8"/>
      <c r="C1658" s="8"/>
      <c r="D1658" s="8"/>
      <c r="E1658" s="8"/>
      <c r="F1658" s="8"/>
      <c r="G1658" s="8"/>
      <c r="H1658" s="8"/>
      <c r="I1658" s="8"/>
      <c r="J1658" s="8"/>
      <c r="K1658" s="8"/>
      <c r="L1658" s="26"/>
      <c r="M1658" s="26"/>
      <c r="N1658" s="26"/>
      <c r="O1658" s="55"/>
      <c r="P1658" s="1"/>
      <c r="Q1658" s="8"/>
      <c r="R1658" s="8"/>
      <c r="S1658" s="1"/>
      <c r="T1658" s="8"/>
      <c r="U1658" s="8"/>
      <c r="V1658" s="56"/>
      <c r="W1658" s="1"/>
      <c r="X1658" s="1"/>
      <c r="Y1658" s="8"/>
      <c r="Z1658" s="8"/>
      <c r="AA1658" s="8"/>
      <c r="AB1658" s="8"/>
      <c r="AC1658" s="8"/>
      <c r="AD1658" s="8"/>
      <c r="AE1658" s="8"/>
      <c r="AF1658" s="8"/>
      <c r="AG1658" s="8"/>
      <c r="AH1658" s="8"/>
      <c r="AI1658" s="8"/>
    </row>
    <row r="1659" spans="1:35">
      <c r="A1659" s="1"/>
      <c r="B1659" s="8"/>
      <c r="C1659" s="8"/>
      <c r="D1659" s="8"/>
      <c r="E1659" s="8"/>
      <c r="F1659" s="8"/>
      <c r="G1659" s="8"/>
      <c r="H1659" s="8"/>
      <c r="I1659" s="8"/>
      <c r="J1659" s="8"/>
      <c r="K1659" s="8"/>
      <c r="L1659" s="26"/>
      <c r="M1659" s="26"/>
      <c r="N1659" s="26"/>
      <c r="O1659" s="55"/>
      <c r="P1659" s="1"/>
      <c r="Q1659" s="8"/>
      <c r="R1659" s="8"/>
      <c r="S1659" s="1"/>
      <c r="T1659" s="8"/>
      <c r="U1659" s="8"/>
      <c r="V1659" s="56"/>
      <c r="W1659" s="1"/>
      <c r="X1659" s="1"/>
      <c r="Y1659" s="8"/>
      <c r="Z1659" s="8"/>
      <c r="AA1659" s="8"/>
      <c r="AB1659" s="8"/>
      <c r="AC1659" s="8"/>
      <c r="AD1659" s="8"/>
      <c r="AE1659" s="8"/>
      <c r="AF1659" s="8"/>
      <c r="AG1659" s="8"/>
      <c r="AH1659" s="8"/>
      <c r="AI1659" s="8"/>
    </row>
    <row r="1660" spans="1:35">
      <c r="A1660" s="1"/>
      <c r="B1660" s="8"/>
      <c r="C1660" s="8"/>
      <c r="D1660" s="8"/>
      <c r="E1660" s="8"/>
      <c r="F1660" s="8"/>
      <c r="G1660" s="8"/>
      <c r="H1660" s="8"/>
      <c r="I1660" s="8"/>
      <c r="J1660" s="8"/>
      <c r="K1660" s="8"/>
      <c r="L1660" s="26"/>
      <c r="M1660" s="26"/>
      <c r="N1660" s="26"/>
      <c r="O1660" s="55"/>
      <c r="P1660" s="1"/>
      <c r="Q1660" s="8"/>
      <c r="R1660" s="8"/>
      <c r="S1660" s="1"/>
      <c r="T1660" s="8"/>
      <c r="U1660" s="8"/>
      <c r="V1660" s="56"/>
      <c r="W1660" s="1"/>
      <c r="X1660" s="1"/>
      <c r="Y1660" s="8"/>
      <c r="Z1660" s="8"/>
      <c r="AA1660" s="8"/>
      <c r="AB1660" s="8"/>
      <c r="AC1660" s="8"/>
      <c r="AD1660" s="8"/>
      <c r="AE1660" s="8"/>
      <c r="AF1660" s="8"/>
      <c r="AG1660" s="8"/>
      <c r="AH1660" s="8"/>
      <c r="AI1660" s="8"/>
    </row>
    <row r="1661" spans="1:35">
      <c r="A1661" s="1"/>
      <c r="B1661" s="8"/>
      <c r="C1661" s="8"/>
      <c r="D1661" s="8"/>
      <c r="E1661" s="8"/>
      <c r="F1661" s="8"/>
      <c r="G1661" s="8"/>
      <c r="H1661" s="8"/>
      <c r="I1661" s="8"/>
      <c r="J1661" s="8"/>
      <c r="K1661" s="8"/>
      <c r="L1661" s="26"/>
      <c r="M1661" s="26"/>
      <c r="N1661" s="26"/>
      <c r="O1661" s="55"/>
      <c r="P1661" s="1"/>
      <c r="Q1661" s="8"/>
      <c r="R1661" s="8"/>
      <c r="S1661" s="1"/>
      <c r="T1661" s="8"/>
      <c r="U1661" s="8"/>
      <c r="V1661" s="56"/>
      <c r="W1661" s="1"/>
      <c r="X1661" s="1"/>
      <c r="Y1661" s="8"/>
      <c r="Z1661" s="8"/>
      <c r="AA1661" s="8"/>
      <c r="AB1661" s="8"/>
      <c r="AC1661" s="8"/>
      <c r="AD1661" s="8"/>
      <c r="AE1661" s="8"/>
      <c r="AF1661" s="8"/>
      <c r="AG1661" s="8"/>
      <c r="AH1661" s="8"/>
      <c r="AI1661" s="8"/>
    </row>
    <row r="1662" spans="1:35">
      <c r="A1662" s="1"/>
      <c r="B1662" s="8"/>
      <c r="C1662" s="8"/>
      <c r="D1662" s="8"/>
      <c r="E1662" s="8"/>
      <c r="F1662" s="8"/>
      <c r="G1662" s="8"/>
      <c r="H1662" s="8"/>
      <c r="I1662" s="8"/>
      <c r="J1662" s="8"/>
      <c r="K1662" s="8"/>
      <c r="L1662" s="26"/>
      <c r="M1662" s="26"/>
      <c r="N1662" s="26"/>
      <c r="O1662" s="55"/>
      <c r="P1662" s="1"/>
      <c r="Q1662" s="8"/>
      <c r="R1662" s="8"/>
      <c r="S1662" s="1"/>
      <c r="T1662" s="8"/>
      <c r="U1662" s="8"/>
      <c r="V1662" s="56"/>
      <c r="W1662" s="1"/>
      <c r="X1662" s="1"/>
      <c r="Y1662" s="8"/>
      <c r="Z1662" s="8"/>
      <c r="AA1662" s="8"/>
      <c r="AB1662" s="8"/>
      <c r="AC1662" s="8"/>
      <c r="AD1662" s="8"/>
      <c r="AE1662" s="8"/>
      <c r="AF1662" s="8"/>
      <c r="AG1662" s="8"/>
      <c r="AH1662" s="8"/>
      <c r="AI1662" s="8"/>
    </row>
    <row r="1663" spans="1:35">
      <c r="A1663" s="1"/>
      <c r="B1663" s="8"/>
      <c r="C1663" s="8"/>
      <c r="D1663" s="8"/>
      <c r="E1663" s="8"/>
      <c r="F1663" s="8"/>
      <c r="G1663" s="8"/>
      <c r="H1663" s="8"/>
      <c r="I1663" s="8"/>
      <c r="J1663" s="8"/>
      <c r="K1663" s="8"/>
      <c r="L1663" s="26"/>
      <c r="M1663" s="26"/>
      <c r="N1663" s="26"/>
      <c r="O1663" s="55"/>
      <c r="P1663" s="1"/>
      <c r="Q1663" s="8"/>
      <c r="R1663" s="8"/>
      <c r="S1663" s="1"/>
      <c r="T1663" s="8"/>
      <c r="U1663" s="8"/>
      <c r="V1663" s="56"/>
      <c r="W1663" s="1"/>
      <c r="X1663" s="1"/>
      <c r="Y1663" s="8"/>
      <c r="Z1663" s="8"/>
      <c r="AA1663" s="8"/>
      <c r="AB1663" s="8"/>
      <c r="AC1663" s="8"/>
      <c r="AD1663" s="8"/>
      <c r="AE1663" s="8"/>
      <c r="AF1663" s="8"/>
      <c r="AG1663" s="8"/>
      <c r="AH1663" s="8"/>
      <c r="AI1663" s="8"/>
    </row>
    <row r="1664" spans="1:35">
      <c r="A1664" s="1"/>
      <c r="B1664" s="8"/>
      <c r="C1664" s="8"/>
      <c r="D1664" s="8"/>
      <c r="E1664" s="8"/>
      <c r="F1664" s="8"/>
      <c r="G1664" s="8"/>
      <c r="H1664" s="8"/>
      <c r="I1664" s="8"/>
      <c r="J1664" s="8"/>
      <c r="K1664" s="8"/>
      <c r="L1664" s="26"/>
      <c r="M1664" s="26"/>
      <c r="N1664" s="26"/>
      <c r="O1664" s="55"/>
      <c r="P1664" s="1"/>
      <c r="Q1664" s="8"/>
      <c r="R1664" s="8"/>
      <c r="S1664" s="1"/>
      <c r="T1664" s="8"/>
      <c r="U1664" s="8"/>
      <c r="V1664" s="56"/>
      <c r="W1664" s="1"/>
      <c r="X1664" s="1"/>
      <c r="Y1664" s="8"/>
      <c r="Z1664" s="8"/>
      <c r="AA1664" s="8"/>
      <c r="AB1664" s="8"/>
      <c r="AC1664" s="8"/>
      <c r="AD1664" s="8"/>
      <c r="AE1664" s="8"/>
      <c r="AF1664" s="8"/>
      <c r="AG1664" s="8"/>
      <c r="AH1664" s="8"/>
      <c r="AI1664" s="8"/>
    </row>
    <row r="1665" spans="1:35">
      <c r="A1665" s="1"/>
      <c r="B1665" s="8"/>
      <c r="C1665" s="8"/>
      <c r="D1665" s="8"/>
      <c r="E1665" s="8"/>
      <c r="F1665" s="8"/>
      <c r="G1665" s="8"/>
      <c r="H1665" s="8"/>
      <c r="I1665" s="8"/>
      <c r="J1665" s="8"/>
      <c r="K1665" s="8"/>
      <c r="L1665" s="26"/>
      <c r="M1665" s="26"/>
      <c r="N1665" s="26"/>
      <c r="O1665" s="55"/>
      <c r="P1665" s="1"/>
      <c r="Q1665" s="8"/>
      <c r="R1665" s="8"/>
      <c r="S1665" s="1"/>
      <c r="T1665" s="8"/>
      <c r="U1665" s="8"/>
      <c r="V1665" s="56"/>
      <c r="W1665" s="1"/>
      <c r="X1665" s="1"/>
      <c r="Y1665" s="8"/>
      <c r="Z1665" s="8"/>
      <c r="AA1665" s="8"/>
      <c r="AB1665" s="8"/>
      <c r="AC1665" s="8"/>
      <c r="AD1665" s="8"/>
      <c r="AE1665" s="8"/>
      <c r="AF1665" s="8"/>
      <c r="AG1665" s="8"/>
      <c r="AH1665" s="8"/>
      <c r="AI1665" s="8"/>
    </row>
    <row r="1666" spans="1:35">
      <c r="A1666" s="1"/>
      <c r="B1666" s="8"/>
      <c r="C1666" s="8"/>
      <c r="D1666" s="8"/>
      <c r="E1666" s="8"/>
      <c r="F1666" s="8"/>
      <c r="G1666" s="8"/>
      <c r="H1666" s="8"/>
      <c r="I1666" s="8"/>
      <c r="J1666" s="8"/>
      <c r="K1666" s="8"/>
      <c r="L1666" s="26"/>
      <c r="M1666" s="26"/>
      <c r="N1666" s="26"/>
      <c r="O1666" s="55"/>
      <c r="P1666" s="1"/>
      <c r="Q1666" s="8"/>
      <c r="R1666" s="8"/>
      <c r="S1666" s="1"/>
      <c r="T1666" s="8"/>
      <c r="U1666" s="8"/>
      <c r="V1666" s="56"/>
      <c r="W1666" s="1"/>
      <c r="X1666" s="1"/>
      <c r="Y1666" s="8"/>
      <c r="Z1666" s="8"/>
      <c r="AA1666" s="8"/>
      <c r="AB1666" s="8"/>
      <c r="AC1666" s="8"/>
      <c r="AD1666" s="8"/>
      <c r="AE1666" s="8"/>
      <c r="AF1666" s="8"/>
      <c r="AG1666" s="8"/>
      <c r="AH1666" s="8"/>
      <c r="AI1666" s="8"/>
    </row>
    <row r="1667" spans="1:35">
      <c r="A1667" s="1"/>
      <c r="B1667" s="8"/>
      <c r="C1667" s="8"/>
      <c r="D1667" s="8"/>
      <c r="E1667" s="8"/>
      <c r="F1667" s="8"/>
      <c r="G1667" s="8"/>
      <c r="H1667" s="8"/>
      <c r="I1667" s="8"/>
      <c r="J1667" s="8"/>
      <c r="K1667" s="8"/>
      <c r="L1667" s="26"/>
      <c r="M1667" s="26"/>
      <c r="N1667" s="26"/>
      <c r="O1667" s="55"/>
      <c r="P1667" s="1"/>
      <c r="Q1667" s="8"/>
      <c r="R1667" s="8"/>
      <c r="S1667" s="1"/>
      <c r="T1667" s="8"/>
      <c r="U1667" s="8"/>
      <c r="V1667" s="56"/>
      <c r="W1667" s="1"/>
      <c r="X1667" s="1"/>
      <c r="Y1667" s="8"/>
      <c r="Z1667" s="8"/>
      <c r="AA1667" s="8"/>
      <c r="AB1667" s="8"/>
      <c r="AC1667" s="8"/>
      <c r="AD1667" s="8"/>
      <c r="AE1667" s="8"/>
      <c r="AF1667" s="8"/>
      <c r="AG1667" s="8"/>
      <c r="AH1667" s="8"/>
      <c r="AI1667" s="8"/>
    </row>
    <row r="1668" spans="1:35">
      <c r="A1668" s="1"/>
      <c r="B1668" s="8"/>
      <c r="C1668" s="8"/>
      <c r="D1668" s="8"/>
      <c r="E1668" s="8"/>
      <c r="F1668" s="8"/>
      <c r="G1668" s="8"/>
      <c r="H1668" s="8"/>
      <c r="I1668" s="8"/>
      <c r="J1668" s="8"/>
      <c r="K1668" s="8"/>
      <c r="L1668" s="26"/>
      <c r="M1668" s="26"/>
      <c r="N1668" s="26"/>
      <c r="O1668" s="55"/>
      <c r="P1668" s="1"/>
      <c r="Q1668" s="8"/>
      <c r="R1668" s="8"/>
      <c r="S1668" s="1"/>
      <c r="T1668" s="8"/>
      <c r="U1668" s="8"/>
      <c r="V1668" s="56"/>
      <c r="W1668" s="1"/>
      <c r="X1668" s="1"/>
      <c r="Y1668" s="8"/>
      <c r="Z1668" s="8"/>
      <c r="AA1668" s="8"/>
      <c r="AB1668" s="8"/>
      <c r="AC1668" s="8"/>
      <c r="AD1668" s="8"/>
      <c r="AE1668" s="8"/>
      <c r="AF1668" s="8"/>
      <c r="AG1668" s="8"/>
      <c r="AH1668" s="8"/>
      <c r="AI1668" s="8"/>
    </row>
    <row r="1669" spans="1:35">
      <c r="A1669" s="1"/>
      <c r="B1669" s="8"/>
      <c r="C1669" s="8"/>
      <c r="D1669" s="8"/>
      <c r="E1669" s="8"/>
      <c r="F1669" s="8"/>
      <c r="G1669" s="8"/>
      <c r="H1669" s="8"/>
      <c r="I1669" s="8"/>
      <c r="J1669" s="8"/>
      <c r="K1669" s="8"/>
      <c r="L1669" s="26"/>
      <c r="M1669" s="26"/>
      <c r="N1669" s="26"/>
      <c r="O1669" s="55"/>
      <c r="P1669" s="1"/>
      <c r="Q1669" s="8"/>
      <c r="R1669" s="8"/>
      <c r="S1669" s="1"/>
      <c r="T1669" s="8"/>
      <c r="U1669" s="8"/>
      <c r="V1669" s="56"/>
      <c r="W1669" s="1"/>
      <c r="X1669" s="1"/>
      <c r="Y1669" s="8"/>
      <c r="Z1669" s="8"/>
      <c r="AA1669" s="8"/>
      <c r="AB1669" s="8"/>
      <c r="AC1669" s="8"/>
      <c r="AD1669" s="8"/>
      <c r="AE1669" s="8"/>
      <c r="AF1669" s="8"/>
      <c r="AG1669" s="8"/>
      <c r="AH1669" s="8"/>
      <c r="AI1669" s="8"/>
    </row>
    <row r="1670" spans="1:35">
      <c r="A1670" s="1"/>
      <c r="B1670" s="8"/>
      <c r="C1670" s="8"/>
      <c r="D1670" s="8"/>
      <c r="E1670" s="8"/>
      <c r="F1670" s="8"/>
      <c r="G1670" s="8"/>
      <c r="H1670" s="8"/>
      <c r="I1670" s="8"/>
      <c r="J1670" s="8"/>
      <c r="K1670" s="8"/>
      <c r="L1670" s="26"/>
      <c r="M1670" s="26"/>
      <c r="N1670" s="26"/>
      <c r="O1670" s="55"/>
      <c r="P1670" s="1"/>
      <c r="Q1670" s="8"/>
      <c r="R1670" s="8"/>
      <c r="S1670" s="1"/>
      <c r="T1670" s="8"/>
      <c r="U1670" s="8"/>
      <c r="V1670" s="56"/>
      <c r="W1670" s="1"/>
      <c r="X1670" s="1"/>
      <c r="Y1670" s="8"/>
      <c r="Z1670" s="8"/>
      <c r="AA1670" s="8"/>
      <c r="AB1670" s="8"/>
      <c r="AC1670" s="8"/>
      <c r="AD1670" s="8"/>
      <c r="AE1670" s="8"/>
      <c r="AF1670" s="8"/>
      <c r="AG1670" s="8"/>
      <c r="AH1670" s="8"/>
      <c r="AI1670" s="8"/>
    </row>
    <row r="1671" spans="1:35">
      <c r="A1671" s="1"/>
      <c r="B1671" s="8"/>
      <c r="C1671" s="8"/>
      <c r="D1671" s="8"/>
      <c r="E1671" s="8"/>
      <c r="F1671" s="8"/>
      <c r="G1671" s="8"/>
      <c r="H1671" s="8"/>
      <c r="I1671" s="8"/>
      <c r="J1671" s="8"/>
      <c r="K1671" s="8"/>
      <c r="L1671" s="26"/>
      <c r="M1671" s="26"/>
      <c r="N1671" s="26"/>
      <c r="O1671" s="55"/>
      <c r="P1671" s="1"/>
      <c r="Q1671" s="8"/>
      <c r="R1671" s="8"/>
      <c r="S1671" s="1"/>
      <c r="T1671" s="8"/>
      <c r="U1671" s="8"/>
      <c r="V1671" s="56"/>
      <c r="W1671" s="1"/>
      <c r="X1671" s="1"/>
      <c r="Y1671" s="8"/>
      <c r="Z1671" s="8"/>
      <c r="AA1671" s="8"/>
      <c r="AB1671" s="8"/>
      <c r="AC1671" s="8"/>
      <c r="AD1671" s="8"/>
      <c r="AE1671" s="8"/>
      <c r="AF1671" s="8"/>
      <c r="AG1671" s="8"/>
      <c r="AH1671" s="8"/>
      <c r="AI1671" s="8"/>
    </row>
    <row r="1672" spans="1:35">
      <c r="A1672" s="1"/>
      <c r="B1672" s="8"/>
      <c r="C1672" s="8"/>
      <c r="D1672" s="8"/>
      <c r="E1672" s="8"/>
      <c r="F1672" s="8"/>
      <c r="G1672" s="8"/>
      <c r="H1672" s="8"/>
      <c r="I1672" s="8"/>
      <c r="J1672" s="8"/>
      <c r="K1672" s="8"/>
      <c r="L1672" s="26"/>
      <c r="M1672" s="26"/>
      <c r="N1672" s="26"/>
      <c r="O1672" s="55"/>
      <c r="P1672" s="1"/>
      <c r="Q1672" s="8"/>
      <c r="R1672" s="8"/>
      <c r="S1672" s="1"/>
      <c r="T1672" s="8"/>
      <c r="U1672" s="8"/>
      <c r="V1672" s="56"/>
      <c r="W1672" s="1"/>
      <c r="X1672" s="1"/>
      <c r="Y1672" s="8"/>
      <c r="Z1672" s="8"/>
      <c r="AA1672" s="8"/>
      <c r="AB1672" s="8"/>
      <c r="AC1672" s="8"/>
      <c r="AD1672" s="8"/>
      <c r="AE1672" s="8"/>
      <c r="AF1672" s="8"/>
      <c r="AG1672" s="8"/>
      <c r="AH1672" s="8"/>
      <c r="AI1672" s="8"/>
    </row>
    <row r="1673" spans="1:35">
      <c r="A1673" s="1"/>
      <c r="B1673" s="8"/>
      <c r="C1673" s="8"/>
      <c r="D1673" s="8"/>
      <c r="E1673" s="8"/>
      <c r="F1673" s="8"/>
      <c r="G1673" s="8"/>
      <c r="H1673" s="8"/>
      <c r="I1673" s="8"/>
      <c r="J1673" s="8"/>
      <c r="K1673" s="8"/>
      <c r="L1673" s="26"/>
      <c r="M1673" s="26"/>
      <c r="N1673" s="26"/>
      <c r="O1673" s="55"/>
      <c r="P1673" s="1"/>
      <c r="Q1673" s="8"/>
      <c r="R1673" s="8"/>
      <c r="S1673" s="1"/>
      <c r="T1673" s="8"/>
      <c r="U1673" s="8"/>
      <c r="V1673" s="56"/>
      <c r="W1673" s="1"/>
      <c r="X1673" s="1"/>
      <c r="Y1673" s="8"/>
      <c r="Z1673" s="8"/>
      <c r="AA1673" s="8"/>
      <c r="AB1673" s="8"/>
      <c r="AC1673" s="8"/>
      <c r="AD1673" s="8"/>
      <c r="AE1673" s="8"/>
      <c r="AF1673" s="8"/>
      <c r="AG1673" s="8"/>
      <c r="AH1673" s="8"/>
      <c r="AI1673" s="8"/>
    </row>
    <row r="1674" spans="1:35">
      <c r="A1674" s="1"/>
      <c r="B1674" s="8"/>
      <c r="C1674" s="8"/>
      <c r="D1674" s="8"/>
      <c r="E1674" s="8"/>
      <c r="F1674" s="8"/>
      <c r="G1674" s="8"/>
      <c r="H1674" s="8"/>
      <c r="I1674" s="8"/>
      <c r="J1674" s="8"/>
      <c r="K1674" s="8"/>
      <c r="L1674" s="26"/>
      <c r="M1674" s="26"/>
      <c r="N1674" s="26"/>
      <c r="O1674" s="55"/>
      <c r="P1674" s="1"/>
      <c r="Q1674" s="8"/>
      <c r="R1674" s="8"/>
      <c r="S1674" s="1"/>
      <c r="T1674" s="8"/>
      <c r="U1674" s="8"/>
      <c r="V1674" s="56"/>
      <c r="W1674" s="1"/>
      <c r="X1674" s="1"/>
      <c r="Y1674" s="8"/>
      <c r="Z1674" s="8"/>
      <c r="AA1674" s="8"/>
      <c r="AB1674" s="8"/>
      <c r="AC1674" s="8"/>
      <c r="AD1674" s="8"/>
      <c r="AE1674" s="8"/>
      <c r="AF1674" s="8"/>
      <c r="AG1674" s="8"/>
      <c r="AH1674" s="8"/>
      <c r="AI1674" s="8"/>
    </row>
    <row r="1675" spans="1:35">
      <c r="A1675" s="1"/>
      <c r="B1675" s="8"/>
      <c r="C1675" s="8"/>
      <c r="D1675" s="8"/>
      <c r="E1675" s="8"/>
      <c r="F1675" s="8"/>
      <c r="G1675" s="8"/>
      <c r="H1675" s="8"/>
      <c r="I1675" s="8"/>
      <c r="J1675" s="8"/>
      <c r="K1675" s="8"/>
      <c r="L1675" s="26"/>
      <c r="M1675" s="26"/>
      <c r="N1675" s="26"/>
      <c r="O1675" s="55"/>
      <c r="P1675" s="1"/>
      <c r="Q1675" s="8"/>
      <c r="R1675" s="8"/>
      <c r="S1675" s="1"/>
      <c r="T1675" s="8"/>
      <c r="U1675" s="8"/>
      <c r="V1675" s="56"/>
      <c r="W1675" s="1"/>
      <c r="X1675" s="1"/>
      <c r="Y1675" s="8"/>
      <c r="Z1675" s="8"/>
      <c r="AA1675" s="8"/>
      <c r="AB1675" s="8"/>
      <c r="AC1675" s="8"/>
      <c r="AD1675" s="8"/>
      <c r="AE1675" s="8"/>
      <c r="AF1675" s="8"/>
      <c r="AG1675" s="8"/>
      <c r="AH1675" s="8"/>
      <c r="AI1675" s="8"/>
    </row>
    <row r="1676" spans="1:35">
      <c r="A1676" s="1"/>
      <c r="B1676" s="8"/>
      <c r="C1676" s="8"/>
      <c r="D1676" s="8"/>
      <c r="E1676" s="8"/>
      <c r="F1676" s="8"/>
      <c r="G1676" s="8"/>
      <c r="H1676" s="8"/>
      <c r="I1676" s="8"/>
      <c r="J1676" s="8"/>
      <c r="K1676" s="8"/>
      <c r="L1676" s="26"/>
      <c r="M1676" s="26"/>
      <c r="N1676" s="26"/>
      <c r="O1676" s="55"/>
      <c r="P1676" s="1"/>
      <c r="Q1676" s="8"/>
      <c r="R1676" s="8"/>
      <c r="S1676" s="1"/>
      <c r="T1676" s="8"/>
      <c r="U1676" s="8"/>
      <c r="V1676" s="56"/>
      <c r="W1676" s="1"/>
      <c r="X1676" s="1"/>
      <c r="Y1676" s="8"/>
      <c r="Z1676" s="8"/>
      <c r="AA1676" s="8"/>
      <c r="AB1676" s="8"/>
      <c r="AC1676" s="8"/>
      <c r="AD1676" s="8"/>
      <c r="AE1676" s="8"/>
      <c r="AF1676" s="8"/>
      <c r="AG1676" s="8"/>
      <c r="AH1676" s="8"/>
      <c r="AI1676" s="8"/>
    </row>
    <row r="1677" spans="1:35">
      <c r="A1677" s="1"/>
      <c r="B1677" s="8"/>
      <c r="C1677" s="8"/>
      <c r="D1677" s="8"/>
      <c r="E1677" s="8"/>
      <c r="F1677" s="8"/>
      <c r="G1677" s="8"/>
      <c r="H1677" s="8"/>
      <c r="I1677" s="8"/>
      <c r="J1677" s="8"/>
      <c r="K1677" s="8"/>
      <c r="L1677" s="26"/>
      <c r="M1677" s="26"/>
      <c r="N1677" s="26"/>
      <c r="O1677" s="55"/>
      <c r="P1677" s="1"/>
      <c r="Q1677" s="8"/>
      <c r="R1677" s="8"/>
      <c r="S1677" s="1"/>
      <c r="T1677" s="8"/>
      <c r="U1677" s="8"/>
      <c r="V1677" s="56"/>
      <c r="W1677" s="1"/>
      <c r="X1677" s="1"/>
      <c r="Y1677" s="8"/>
      <c r="Z1677" s="8"/>
      <c r="AA1677" s="8"/>
      <c r="AB1677" s="8"/>
      <c r="AC1677" s="8"/>
      <c r="AD1677" s="8"/>
      <c r="AE1677" s="8"/>
      <c r="AF1677" s="8"/>
      <c r="AG1677" s="8"/>
      <c r="AH1677" s="8"/>
      <c r="AI1677" s="8"/>
    </row>
    <row r="1678" spans="1:35">
      <c r="A1678" s="1"/>
      <c r="B1678" s="8"/>
      <c r="C1678" s="8"/>
      <c r="D1678" s="8"/>
      <c r="E1678" s="8"/>
      <c r="F1678" s="8"/>
      <c r="G1678" s="8"/>
      <c r="H1678" s="8"/>
      <c r="I1678" s="8"/>
      <c r="J1678" s="8"/>
      <c r="K1678" s="8"/>
      <c r="L1678" s="26"/>
      <c r="M1678" s="26"/>
      <c r="N1678" s="26"/>
      <c r="O1678" s="55"/>
      <c r="P1678" s="1"/>
      <c r="Q1678" s="8"/>
      <c r="R1678" s="8"/>
      <c r="S1678" s="1"/>
      <c r="T1678" s="8"/>
      <c r="U1678" s="8"/>
      <c r="V1678" s="56"/>
      <c r="W1678" s="1"/>
      <c r="X1678" s="1"/>
      <c r="Y1678" s="8"/>
      <c r="Z1678" s="8"/>
      <c r="AA1678" s="8"/>
      <c r="AB1678" s="8"/>
      <c r="AC1678" s="8"/>
      <c r="AD1678" s="8"/>
      <c r="AE1678" s="8"/>
      <c r="AF1678" s="8"/>
      <c r="AG1678" s="8"/>
      <c r="AH1678" s="8"/>
      <c r="AI1678" s="8"/>
    </row>
    <row r="1679" spans="1:35">
      <c r="A1679" s="1"/>
      <c r="B1679" s="8"/>
      <c r="C1679" s="8"/>
      <c r="D1679" s="8"/>
      <c r="E1679" s="8"/>
      <c r="F1679" s="8"/>
      <c r="G1679" s="8"/>
      <c r="H1679" s="8"/>
      <c r="I1679" s="8"/>
      <c r="J1679" s="8"/>
      <c r="K1679" s="8"/>
      <c r="L1679" s="26"/>
      <c r="M1679" s="26"/>
      <c r="N1679" s="26"/>
      <c r="O1679" s="55"/>
      <c r="P1679" s="1"/>
      <c r="Q1679" s="8"/>
      <c r="R1679" s="8"/>
      <c r="S1679" s="1"/>
      <c r="T1679" s="8"/>
      <c r="U1679" s="8"/>
      <c r="V1679" s="56"/>
      <c r="W1679" s="1"/>
      <c r="X1679" s="1"/>
      <c r="Y1679" s="8"/>
      <c r="Z1679" s="8"/>
      <c r="AA1679" s="8"/>
      <c r="AB1679" s="8"/>
      <c r="AC1679" s="8"/>
      <c r="AD1679" s="8"/>
      <c r="AE1679" s="8"/>
      <c r="AF1679" s="8"/>
      <c r="AG1679" s="8"/>
      <c r="AH1679" s="8"/>
      <c r="AI1679" s="8"/>
    </row>
    <row r="1680" spans="1:35">
      <c r="A1680" s="1"/>
      <c r="B1680" s="8"/>
      <c r="C1680" s="8"/>
      <c r="D1680" s="8"/>
      <c r="E1680" s="8"/>
      <c r="F1680" s="8"/>
      <c r="G1680" s="8"/>
      <c r="H1680" s="8"/>
      <c r="I1680" s="8"/>
      <c r="J1680" s="8"/>
      <c r="K1680" s="8"/>
      <c r="L1680" s="26"/>
      <c r="M1680" s="26"/>
      <c r="N1680" s="26"/>
      <c r="O1680" s="55"/>
      <c r="P1680" s="1"/>
      <c r="Q1680" s="8"/>
      <c r="R1680" s="8"/>
      <c r="S1680" s="1"/>
      <c r="T1680" s="8"/>
      <c r="U1680" s="8"/>
      <c r="V1680" s="56"/>
      <c r="W1680" s="1"/>
      <c r="X1680" s="1"/>
      <c r="Y1680" s="8"/>
      <c r="Z1680" s="8"/>
      <c r="AA1680" s="8"/>
      <c r="AB1680" s="8"/>
      <c r="AC1680" s="8"/>
      <c r="AD1680" s="8"/>
      <c r="AE1680" s="8"/>
      <c r="AF1680" s="8"/>
      <c r="AG1680" s="8"/>
      <c r="AH1680" s="8"/>
      <c r="AI1680" s="8"/>
    </row>
    <row r="1681" spans="1:35">
      <c r="A1681" s="1"/>
      <c r="B1681" s="8"/>
      <c r="C1681" s="8"/>
      <c r="D1681" s="8"/>
      <c r="E1681" s="8"/>
      <c r="F1681" s="8"/>
      <c r="G1681" s="8"/>
      <c r="H1681" s="8"/>
      <c r="I1681" s="8"/>
      <c r="J1681" s="8"/>
      <c r="K1681" s="8"/>
      <c r="L1681" s="26"/>
      <c r="M1681" s="26"/>
      <c r="N1681" s="26"/>
      <c r="O1681" s="55"/>
      <c r="P1681" s="1"/>
      <c r="Q1681" s="8"/>
      <c r="R1681" s="8"/>
      <c r="S1681" s="1"/>
      <c r="T1681" s="8"/>
      <c r="U1681" s="8"/>
      <c r="V1681" s="56"/>
      <c r="W1681" s="1"/>
      <c r="X1681" s="1"/>
      <c r="Y1681" s="8"/>
      <c r="Z1681" s="8"/>
      <c r="AA1681" s="8"/>
      <c r="AB1681" s="8"/>
      <c r="AC1681" s="8"/>
      <c r="AD1681" s="8"/>
      <c r="AE1681" s="8"/>
      <c r="AF1681" s="8"/>
      <c r="AG1681" s="8"/>
      <c r="AH1681" s="8"/>
      <c r="AI1681" s="8"/>
    </row>
    <row r="1682" spans="1:35">
      <c r="A1682" s="1"/>
      <c r="B1682" s="8"/>
      <c r="C1682" s="8"/>
      <c r="D1682" s="8"/>
      <c r="E1682" s="8"/>
      <c r="F1682" s="8"/>
      <c r="G1682" s="8"/>
      <c r="H1682" s="8"/>
      <c r="I1682" s="8"/>
      <c r="J1682" s="8"/>
      <c r="K1682" s="8"/>
      <c r="L1682" s="26"/>
      <c r="M1682" s="26"/>
      <c r="N1682" s="26"/>
      <c r="O1682" s="55"/>
      <c r="P1682" s="1"/>
      <c r="Q1682" s="8"/>
      <c r="R1682" s="8"/>
      <c r="S1682" s="1"/>
      <c r="T1682" s="8"/>
      <c r="U1682" s="8"/>
      <c r="V1682" s="56"/>
      <c r="W1682" s="1"/>
      <c r="X1682" s="1"/>
      <c r="Y1682" s="8"/>
      <c r="Z1682" s="8"/>
      <c r="AA1682" s="8"/>
      <c r="AB1682" s="8"/>
      <c r="AC1682" s="8"/>
      <c r="AD1682" s="8"/>
      <c r="AE1682" s="8"/>
      <c r="AF1682" s="8"/>
      <c r="AG1682" s="8"/>
      <c r="AH1682" s="8"/>
      <c r="AI1682" s="8"/>
    </row>
    <row r="1683" spans="1:35">
      <c r="A1683" s="1"/>
      <c r="B1683" s="8"/>
      <c r="C1683" s="8"/>
      <c r="D1683" s="8"/>
      <c r="E1683" s="8"/>
      <c r="F1683" s="8"/>
      <c r="G1683" s="8"/>
      <c r="H1683" s="8"/>
      <c r="I1683" s="8"/>
      <c r="J1683" s="8"/>
      <c r="K1683" s="8"/>
      <c r="L1683" s="26"/>
      <c r="M1683" s="26"/>
      <c r="N1683" s="26"/>
      <c r="O1683" s="55"/>
      <c r="P1683" s="1"/>
      <c r="Q1683" s="8"/>
      <c r="R1683" s="8"/>
      <c r="S1683" s="1"/>
      <c r="T1683" s="8"/>
      <c r="U1683" s="8"/>
      <c r="V1683" s="56"/>
      <c r="W1683" s="1"/>
      <c r="X1683" s="1"/>
      <c r="Y1683" s="8"/>
      <c r="Z1683" s="8"/>
      <c r="AA1683" s="8"/>
      <c r="AB1683" s="8"/>
      <c r="AC1683" s="8"/>
      <c r="AD1683" s="8"/>
      <c r="AE1683" s="8"/>
      <c r="AF1683" s="8"/>
      <c r="AG1683" s="8"/>
      <c r="AH1683" s="8"/>
      <c r="AI1683" s="8"/>
    </row>
    <row r="1684" spans="1:35">
      <c r="A1684" s="1"/>
      <c r="B1684" s="8"/>
      <c r="C1684" s="8"/>
      <c r="D1684" s="8"/>
      <c r="E1684" s="8"/>
      <c r="F1684" s="8"/>
      <c r="G1684" s="8"/>
      <c r="H1684" s="8"/>
      <c r="I1684" s="8"/>
      <c r="J1684" s="8"/>
      <c r="K1684" s="8"/>
      <c r="L1684" s="26"/>
      <c r="M1684" s="26"/>
      <c r="N1684" s="26"/>
      <c r="O1684" s="55"/>
      <c r="P1684" s="1"/>
      <c r="Q1684" s="8"/>
      <c r="R1684" s="8"/>
      <c r="S1684" s="1"/>
      <c r="T1684" s="8"/>
      <c r="U1684" s="8"/>
      <c r="V1684" s="56"/>
      <c r="W1684" s="1"/>
      <c r="X1684" s="1"/>
      <c r="Y1684" s="8"/>
      <c r="Z1684" s="8"/>
      <c r="AA1684" s="8"/>
      <c r="AB1684" s="8"/>
      <c r="AC1684" s="8"/>
      <c r="AD1684" s="8"/>
      <c r="AE1684" s="8"/>
      <c r="AF1684" s="8"/>
      <c r="AG1684" s="8"/>
      <c r="AH1684" s="8"/>
      <c r="AI1684" s="8"/>
    </row>
    <row r="1685" spans="1:35">
      <c r="A1685" s="1"/>
      <c r="B1685" s="8"/>
      <c r="C1685" s="8"/>
      <c r="D1685" s="8"/>
      <c r="E1685" s="8"/>
      <c r="F1685" s="8"/>
      <c r="G1685" s="8"/>
      <c r="H1685" s="8"/>
      <c r="I1685" s="8"/>
      <c r="J1685" s="8"/>
      <c r="K1685" s="8"/>
      <c r="L1685" s="26"/>
      <c r="M1685" s="26"/>
      <c r="N1685" s="26"/>
      <c r="O1685" s="55"/>
      <c r="P1685" s="1"/>
      <c r="Q1685" s="8"/>
      <c r="R1685" s="8"/>
      <c r="S1685" s="1"/>
      <c r="T1685" s="8"/>
      <c r="U1685" s="8"/>
      <c r="V1685" s="56"/>
      <c r="W1685" s="1"/>
      <c r="X1685" s="1"/>
      <c r="Y1685" s="8"/>
      <c r="Z1685" s="8"/>
      <c r="AA1685" s="8"/>
      <c r="AB1685" s="8"/>
      <c r="AC1685" s="8"/>
      <c r="AD1685" s="8"/>
      <c r="AE1685" s="8"/>
      <c r="AF1685" s="8"/>
      <c r="AG1685" s="8"/>
      <c r="AH1685" s="8"/>
      <c r="AI1685" s="8"/>
    </row>
    <row r="1686" spans="1:35">
      <c r="A1686" s="1"/>
      <c r="B1686" s="8"/>
      <c r="C1686" s="8"/>
      <c r="D1686" s="8"/>
      <c r="E1686" s="8"/>
      <c r="F1686" s="8"/>
      <c r="G1686" s="8"/>
      <c r="H1686" s="8"/>
      <c r="I1686" s="8"/>
      <c r="J1686" s="8"/>
      <c r="K1686" s="8"/>
      <c r="L1686" s="26"/>
      <c r="M1686" s="26"/>
      <c r="N1686" s="26"/>
      <c r="O1686" s="55"/>
      <c r="P1686" s="1"/>
      <c r="Q1686" s="8"/>
      <c r="R1686" s="8"/>
      <c r="S1686" s="1"/>
      <c r="T1686" s="8"/>
      <c r="U1686" s="8"/>
      <c r="V1686" s="56"/>
      <c r="W1686" s="1"/>
      <c r="X1686" s="1"/>
      <c r="Y1686" s="8"/>
      <c r="Z1686" s="8"/>
      <c r="AA1686" s="8"/>
      <c r="AB1686" s="8"/>
      <c r="AC1686" s="8"/>
      <c r="AD1686" s="8"/>
      <c r="AE1686" s="8"/>
      <c r="AF1686" s="8"/>
      <c r="AG1686" s="8"/>
      <c r="AH1686" s="8"/>
      <c r="AI1686" s="8"/>
    </row>
    <row r="1687" spans="1:35">
      <c r="A1687" s="1"/>
      <c r="B1687" s="8"/>
      <c r="C1687" s="8"/>
      <c r="D1687" s="8"/>
      <c r="E1687" s="8"/>
      <c r="F1687" s="8"/>
      <c r="G1687" s="8"/>
      <c r="H1687" s="8"/>
      <c r="I1687" s="8"/>
      <c r="J1687" s="8"/>
      <c r="K1687" s="8"/>
      <c r="L1687" s="26"/>
      <c r="M1687" s="26"/>
      <c r="N1687" s="26"/>
      <c r="O1687" s="55"/>
      <c r="P1687" s="1"/>
      <c r="Q1687" s="8"/>
      <c r="R1687" s="8"/>
      <c r="S1687" s="1"/>
      <c r="T1687" s="8"/>
      <c r="U1687" s="8"/>
      <c r="V1687" s="56"/>
      <c r="W1687" s="1"/>
      <c r="X1687" s="1"/>
      <c r="Y1687" s="8"/>
      <c r="Z1687" s="8"/>
      <c r="AA1687" s="8"/>
      <c r="AB1687" s="8"/>
      <c r="AC1687" s="8"/>
      <c r="AD1687" s="8"/>
      <c r="AE1687" s="8"/>
      <c r="AF1687" s="8"/>
      <c r="AG1687" s="8"/>
      <c r="AH1687" s="8"/>
      <c r="AI1687" s="8"/>
    </row>
    <row r="1688" spans="1:35">
      <c r="A1688" s="1"/>
      <c r="B1688" s="8"/>
      <c r="C1688" s="8"/>
      <c r="D1688" s="8"/>
      <c r="E1688" s="8"/>
      <c r="F1688" s="8"/>
      <c r="G1688" s="8"/>
      <c r="H1688" s="8"/>
      <c r="I1688" s="8"/>
      <c r="J1688" s="8"/>
      <c r="K1688" s="8"/>
      <c r="L1688" s="26"/>
      <c r="M1688" s="26"/>
      <c r="N1688" s="26"/>
      <c r="O1688" s="55"/>
      <c r="P1688" s="1"/>
      <c r="Q1688" s="8"/>
      <c r="R1688" s="8"/>
      <c r="S1688" s="1"/>
      <c r="T1688" s="8"/>
      <c r="U1688" s="8"/>
      <c r="V1688" s="56"/>
      <c r="W1688" s="1"/>
      <c r="X1688" s="1"/>
      <c r="Y1688" s="8"/>
      <c r="Z1688" s="8"/>
      <c r="AA1688" s="8"/>
      <c r="AB1688" s="8"/>
      <c r="AC1688" s="8"/>
      <c r="AD1688" s="8"/>
      <c r="AE1688" s="8"/>
      <c r="AF1688" s="8"/>
      <c r="AG1688" s="8"/>
      <c r="AH1688" s="8"/>
      <c r="AI1688" s="8"/>
    </row>
    <row r="1689" spans="1:35">
      <c r="A1689" s="1"/>
      <c r="B1689" s="8"/>
      <c r="C1689" s="8"/>
      <c r="D1689" s="8"/>
      <c r="E1689" s="8"/>
      <c r="F1689" s="8"/>
      <c r="G1689" s="8"/>
      <c r="H1689" s="8"/>
      <c r="I1689" s="8"/>
      <c r="J1689" s="8"/>
      <c r="K1689" s="8"/>
      <c r="L1689" s="26"/>
      <c r="M1689" s="26"/>
      <c r="N1689" s="26"/>
      <c r="O1689" s="55"/>
      <c r="P1689" s="1"/>
      <c r="Q1689" s="8"/>
      <c r="R1689" s="8"/>
      <c r="S1689" s="1"/>
      <c r="T1689" s="8"/>
      <c r="U1689" s="8"/>
      <c r="V1689" s="56"/>
      <c r="W1689" s="1"/>
      <c r="X1689" s="1"/>
      <c r="Y1689" s="8"/>
      <c r="Z1689" s="8"/>
      <c r="AA1689" s="8"/>
      <c r="AB1689" s="8"/>
      <c r="AC1689" s="8"/>
      <c r="AD1689" s="8"/>
      <c r="AE1689" s="8"/>
      <c r="AF1689" s="8"/>
      <c r="AG1689" s="8"/>
      <c r="AH1689" s="8"/>
      <c r="AI1689" s="8"/>
    </row>
    <row r="1690" spans="1:35">
      <c r="A1690" s="1"/>
      <c r="B1690" s="8"/>
      <c r="C1690" s="8"/>
      <c r="D1690" s="8"/>
      <c r="E1690" s="8"/>
      <c r="F1690" s="8"/>
      <c r="G1690" s="8"/>
      <c r="H1690" s="8"/>
      <c r="I1690" s="8"/>
      <c r="J1690" s="8"/>
      <c r="K1690" s="8"/>
      <c r="L1690" s="26"/>
      <c r="M1690" s="26"/>
      <c r="N1690" s="26"/>
      <c r="O1690" s="55"/>
      <c r="P1690" s="1"/>
      <c r="Q1690" s="8"/>
      <c r="R1690" s="8"/>
      <c r="S1690" s="1"/>
      <c r="T1690" s="8"/>
      <c r="U1690" s="8"/>
      <c r="V1690" s="56"/>
      <c r="W1690" s="1"/>
      <c r="X1690" s="1"/>
      <c r="Y1690" s="8"/>
      <c r="Z1690" s="8"/>
      <c r="AA1690" s="8"/>
      <c r="AB1690" s="8"/>
      <c r="AC1690" s="8"/>
      <c r="AD1690" s="8"/>
      <c r="AE1690" s="8"/>
      <c r="AF1690" s="8"/>
      <c r="AG1690" s="8"/>
      <c r="AH1690" s="8"/>
      <c r="AI1690" s="8"/>
    </row>
    <row r="1691" spans="1:35">
      <c r="A1691" s="1"/>
      <c r="B1691" s="8"/>
      <c r="C1691" s="8"/>
      <c r="D1691" s="8"/>
      <c r="E1691" s="8"/>
      <c r="F1691" s="8"/>
      <c r="G1691" s="8"/>
      <c r="H1691" s="8"/>
      <c r="I1691" s="8"/>
      <c r="J1691" s="8"/>
      <c r="K1691" s="8"/>
      <c r="L1691" s="26"/>
      <c r="M1691" s="26"/>
      <c r="N1691" s="26"/>
      <c r="O1691" s="55"/>
      <c r="P1691" s="1"/>
      <c r="Q1691" s="8"/>
      <c r="R1691" s="8"/>
      <c r="S1691" s="1"/>
      <c r="T1691" s="8"/>
      <c r="U1691" s="8"/>
      <c r="V1691" s="56"/>
      <c r="W1691" s="1"/>
      <c r="X1691" s="1"/>
      <c r="Y1691" s="8"/>
      <c r="Z1691" s="8"/>
      <c r="AA1691" s="8"/>
      <c r="AB1691" s="8"/>
      <c r="AC1691" s="8"/>
      <c r="AD1691" s="8"/>
      <c r="AE1691" s="8"/>
      <c r="AF1691" s="8"/>
      <c r="AG1691" s="8"/>
      <c r="AH1691" s="8"/>
      <c r="AI1691" s="8"/>
    </row>
    <row r="1692" spans="1:35">
      <c r="A1692" s="1"/>
      <c r="B1692" s="8"/>
      <c r="C1692" s="8"/>
      <c r="D1692" s="8"/>
      <c r="E1692" s="8"/>
      <c r="F1692" s="8"/>
      <c r="G1692" s="8"/>
      <c r="H1692" s="8"/>
      <c r="I1692" s="8"/>
      <c r="J1692" s="8"/>
      <c r="K1692" s="8"/>
      <c r="L1692" s="26"/>
      <c r="M1692" s="26"/>
      <c r="N1692" s="26"/>
      <c r="O1692" s="55"/>
      <c r="P1692" s="1"/>
      <c r="Q1692" s="8"/>
      <c r="R1692" s="8"/>
      <c r="S1692" s="1"/>
      <c r="T1692" s="8"/>
      <c r="U1692" s="8"/>
      <c r="V1692" s="56"/>
      <c r="W1692" s="1"/>
      <c r="X1692" s="1"/>
      <c r="Y1692" s="8"/>
      <c r="Z1692" s="8"/>
      <c r="AA1692" s="8"/>
      <c r="AB1692" s="8"/>
      <c r="AC1692" s="8"/>
      <c r="AD1692" s="8"/>
      <c r="AE1692" s="8"/>
      <c r="AF1692" s="8"/>
      <c r="AG1692" s="8"/>
      <c r="AH1692" s="8"/>
      <c r="AI1692" s="8"/>
    </row>
    <row r="1693" spans="1:35">
      <c r="A1693" s="1"/>
      <c r="B1693" s="8"/>
      <c r="C1693" s="8"/>
      <c r="D1693" s="8"/>
      <c r="E1693" s="8"/>
      <c r="F1693" s="8"/>
      <c r="G1693" s="8"/>
      <c r="H1693" s="8"/>
      <c r="I1693" s="8"/>
      <c r="J1693" s="8"/>
      <c r="K1693" s="8"/>
      <c r="L1693" s="26"/>
      <c r="M1693" s="26"/>
      <c r="N1693" s="26"/>
      <c r="O1693" s="55"/>
      <c r="P1693" s="1"/>
      <c r="Q1693" s="8"/>
      <c r="R1693" s="8"/>
      <c r="S1693" s="1"/>
      <c r="T1693" s="8"/>
      <c r="U1693" s="8"/>
      <c r="V1693" s="56"/>
      <c r="W1693" s="1"/>
      <c r="X1693" s="1"/>
      <c r="Y1693" s="8"/>
      <c r="Z1693" s="8"/>
      <c r="AA1693" s="8"/>
      <c r="AB1693" s="8"/>
      <c r="AC1693" s="8"/>
      <c r="AD1693" s="8"/>
      <c r="AE1693" s="8"/>
      <c r="AF1693" s="8"/>
      <c r="AG1693" s="8"/>
      <c r="AH1693" s="8"/>
      <c r="AI1693" s="8"/>
    </row>
    <row r="1694" spans="1:35">
      <c r="A1694" s="1"/>
      <c r="B1694" s="8"/>
      <c r="C1694" s="8"/>
      <c r="D1694" s="8"/>
      <c r="E1694" s="8"/>
      <c r="F1694" s="8"/>
      <c r="G1694" s="8"/>
      <c r="H1694" s="8"/>
      <c r="I1694" s="8"/>
      <c r="J1694" s="8"/>
      <c r="K1694" s="8"/>
      <c r="L1694" s="26"/>
      <c r="M1694" s="26"/>
      <c r="N1694" s="26"/>
      <c r="O1694" s="55"/>
      <c r="P1694" s="1"/>
      <c r="Q1694" s="8"/>
      <c r="R1694" s="8"/>
      <c r="S1694" s="1"/>
      <c r="T1694" s="8"/>
      <c r="U1694" s="8"/>
      <c r="V1694" s="56"/>
      <c r="W1694" s="1"/>
      <c r="X1694" s="1"/>
      <c r="Y1694" s="8"/>
      <c r="Z1694" s="8"/>
      <c r="AA1694" s="8"/>
      <c r="AB1694" s="8"/>
      <c r="AC1694" s="8"/>
      <c r="AD1694" s="8"/>
      <c r="AE1694" s="8"/>
      <c r="AF1694" s="8"/>
      <c r="AG1694" s="8"/>
      <c r="AH1694" s="8"/>
      <c r="AI1694" s="8"/>
    </row>
    <row r="1695" spans="1:35">
      <c r="A1695" s="1"/>
      <c r="B1695" s="8"/>
      <c r="C1695" s="8"/>
      <c r="D1695" s="8"/>
      <c r="E1695" s="8"/>
      <c r="F1695" s="8"/>
      <c r="G1695" s="8"/>
      <c r="H1695" s="8"/>
      <c r="I1695" s="8"/>
      <c r="J1695" s="8"/>
      <c r="K1695" s="8"/>
      <c r="L1695" s="26"/>
      <c r="M1695" s="26"/>
      <c r="N1695" s="26"/>
      <c r="O1695" s="55"/>
      <c r="P1695" s="1"/>
      <c r="Q1695" s="8"/>
      <c r="R1695" s="8"/>
      <c r="S1695" s="1"/>
      <c r="T1695" s="8"/>
      <c r="U1695" s="8"/>
      <c r="V1695" s="56"/>
      <c r="W1695" s="1"/>
      <c r="X1695" s="1"/>
      <c r="Y1695" s="8"/>
      <c r="Z1695" s="8"/>
      <c r="AA1695" s="8"/>
      <c r="AB1695" s="8"/>
      <c r="AC1695" s="8"/>
      <c r="AD1695" s="8"/>
      <c r="AE1695" s="8"/>
      <c r="AF1695" s="8"/>
      <c r="AG1695" s="8"/>
      <c r="AH1695" s="8"/>
      <c r="AI1695" s="8"/>
    </row>
    <row r="1696" spans="1:35">
      <c r="A1696" s="1"/>
      <c r="B1696" s="8"/>
      <c r="C1696" s="8"/>
      <c r="D1696" s="8"/>
      <c r="E1696" s="8"/>
      <c r="F1696" s="8"/>
      <c r="G1696" s="8"/>
      <c r="H1696" s="8"/>
      <c r="I1696" s="8"/>
      <c r="J1696" s="8"/>
      <c r="K1696" s="8"/>
      <c r="L1696" s="26"/>
      <c r="M1696" s="26"/>
      <c r="N1696" s="26"/>
      <c r="O1696" s="55"/>
      <c r="P1696" s="1"/>
      <c r="Q1696" s="8"/>
      <c r="R1696" s="8"/>
      <c r="S1696" s="1"/>
      <c r="T1696" s="8"/>
      <c r="U1696" s="8"/>
      <c r="V1696" s="56"/>
      <c r="W1696" s="1"/>
      <c r="X1696" s="1"/>
      <c r="Y1696" s="8"/>
      <c r="Z1696" s="8"/>
      <c r="AA1696" s="8"/>
      <c r="AB1696" s="8"/>
      <c r="AC1696" s="8"/>
      <c r="AD1696" s="8"/>
      <c r="AE1696" s="8"/>
      <c r="AF1696" s="8"/>
      <c r="AG1696" s="8"/>
      <c r="AH1696" s="8"/>
      <c r="AI1696" s="8"/>
    </row>
    <row r="1697" spans="1:35">
      <c r="A1697" s="1"/>
      <c r="B1697" s="8"/>
      <c r="C1697" s="8"/>
      <c r="D1697" s="8"/>
      <c r="E1697" s="8"/>
      <c r="F1697" s="8"/>
      <c r="G1697" s="8"/>
      <c r="H1697" s="8"/>
      <c r="I1697" s="8"/>
      <c r="J1697" s="8"/>
      <c r="K1697" s="8"/>
      <c r="L1697" s="26"/>
      <c r="M1697" s="26"/>
      <c r="N1697" s="26"/>
      <c r="O1697" s="55"/>
      <c r="P1697" s="1"/>
      <c r="Q1697" s="8"/>
      <c r="R1697" s="8"/>
      <c r="S1697" s="1"/>
      <c r="T1697" s="8"/>
      <c r="U1697" s="8"/>
      <c r="V1697" s="56"/>
      <c r="W1697" s="1"/>
      <c r="X1697" s="1"/>
      <c r="Y1697" s="8"/>
      <c r="Z1697" s="8"/>
      <c r="AA1697" s="8"/>
      <c r="AB1697" s="8"/>
      <c r="AC1697" s="8"/>
      <c r="AD1697" s="8"/>
      <c r="AE1697" s="8"/>
      <c r="AF1697" s="8"/>
      <c r="AG1697" s="8"/>
      <c r="AH1697" s="8"/>
      <c r="AI1697" s="8"/>
    </row>
    <row r="1698" spans="1:35">
      <c r="A1698" s="1"/>
      <c r="B1698" s="8"/>
      <c r="C1698" s="8"/>
      <c r="D1698" s="8"/>
      <c r="E1698" s="8"/>
      <c r="F1698" s="8"/>
      <c r="G1698" s="8"/>
      <c r="H1698" s="8"/>
      <c r="I1698" s="8"/>
      <c r="J1698" s="8"/>
      <c r="K1698" s="8"/>
      <c r="L1698" s="26"/>
      <c r="M1698" s="26"/>
      <c r="N1698" s="26"/>
      <c r="O1698" s="55"/>
      <c r="P1698" s="1"/>
      <c r="Q1698" s="8"/>
      <c r="R1698" s="8"/>
      <c r="S1698" s="1"/>
      <c r="T1698" s="8"/>
      <c r="U1698" s="8"/>
      <c r="V1698" s="56"/>
      <c r="W1698" s="1"/>
      <c r="X1698" s="1"/>
      <c r="Y1698" s="8"/>
      <c r="Z1698" s="8"/>
      <c r="AA1698" s="8"/>
      <c r="AB1698" s="8"/>
      <c r="AC1698" s="8"/>
      <c r="AD1698" s="8"/>
      <c r="AE1698" s="8"/>
      <c r="AF1698" s="8"/>
      <c r="AG1698" s="8"/>
      <c r="AH1698" s="8"/>
      <c r="AI1698" s="8"/>
    </row>
    <row r="1699" spans="1:35">
      <c r="A1699" s="1"/>
      <c r="B1699" s="8"/>
      <c r="C1699" s="8"/>
      <c r="D1699" s="8"/>
      <c r="E1699" s="8"/>
      <c r="F1699" s="8"/>
      <c r="G1699" s="8"/>
      <c r="H1699" s="8"/>
      <c r="I1699" s="8"/>
      <c r="J1699" s="8"/>
      <c r="K1699" s="8"/>
      <c r="L1699" s="26"/>
      <c r="M1699" s="26"/>
      <c r="N1699" s="26"/>
      <c r="O1699" s="55"/>
      <c r="P1699" s="1"/>
      <c r="Q1699" s="8"/>
      <c r="R1699" s="8"/>
      <c r="S1699" s="1"/>
      <c r="T1699" s="8"/>
      <c r="U1699" s="8"/>
      <c r="V1699" s="56"/>
      <c r="W1699" s="1"/>
      <c r="X1699" s="1"/>
      <c r="Y1699" s="8"/>
      <c r="Z1699" s="8"/>
      <c r="AA1699" s="8"/>
      <c r="AB1699" s="8"/>
      <c r="AC1699" s="8"/>
      <c r="AD1699" s="8"/>
      <c r="AE1699" s="8"/>
      <c r="AF1699" s="8"/>
      <c r="AG1699" s="8"/>
      <c r="AH1699" s="8"/>
      <c r="AI1699" s="8"/>
    </row>
    <row r="1700" spans="1:35">
      <c r="A1700" s="1"/>
      <c r="B1700" s="8"/>
      <c r="C1700" s="8"/>
      <c r="D1700" s="8"/>
      <c r="E1700" s="8"/>
      <c r="F1700" s="8"/>
      <c r="G1700" s="8"/>
      <c r="H1700" s="8"/>
      <c r="I1700" s="8"/>
      <c r="J1700" s="8"/>
      <c r="K1700" s="8"/>
      <c r="L1700" s="26"/>
      <c r="M1700" s="26"/>
      <c r="N1700" s="26"/>
      <c r="O1700" s="55"/>
      <c r="P1700" s="1"/>
      <c r="Q1700" s="8"/>
      <c r="R1700" s="8"/>
      <c r="S1700" s="1"/>
      <c r="T1700" s="8"/>
      <c r="U1700" s="8"/>
      <c r="V1700" s="56"/>
      <c r="W1700" s="1"/>
      <c r="X1700" s="1"/>
      <c r="Y1700" s="8"/>
      <c r="Z1700" s="8"/>
      <c r="AA1700" s="8"/>
      <c r="AB1700" s="8"/>
      <c r="AC1700" s="8"/>
      <c r="AD1700" s="8"/>
      <c r="AE1700" s="8"/>
      <c r="AF1700" s="8"/>
      <c r="AG1700" s="8"/>
      <c r="AH1700" s="8"/>
      <c r="AI1700" s="8"/>
    </row>
    <row r="1701" spans="1:35">
      <c r="A1701" s="1"/>
      <c r="B1701" s="8"/>
      <c r="C1701" s="8"/>
      <c r="D1701" s="8"/>
      <c r="E1701" s="8"/>
      <c r="F1701" s="8"/>
      <c r="G1701" s="8"/>
      <c r="H1701" s="8"/>
      <c r="I1701" s="8"/>
      <c r="J1701" s="8"/>
      <c r="K1701" s="8"/>
      <c r="L1701" s="26"/>
      <c r="M1701" s="26"/>
      <c r="N1701" s="26"/>
      <c r="O1701" s="55"/>
      <c r="P1701" s="1"/>
      <c r="Q1701" s="8"/>
      <c r="R1701" s="8"/>
      <c r="S1701" s="1"/>
      <c r="T1701" s="8"/>
      <c r="U1701" s="8"/>
      <c r="V1701" s="56"/>
      <c r="W1701" s="1"/>
      <c r="X1701" s="1"/>
      <c r="Y1701" s="8"/>
      <c r="Z1701" s="8"/>
      <c r="AA1701" s="8"/>
      <c r="AB1701" s="8"/>
      <c r="AC1701" s="8"/>
      <c r="AD1701" s="8"/>
      <c r="AE1701" s="8"/>
      <c r="AF1701" s="8"/>
      <c r="AG1701" s="8"/>
      <c r="AH1701" s="8"/>
      <c r="AI1701" s="8"/>
    </row>
    <row r="1702" spans="1:35">
      <c r="A1702" s="1"/>
      <c r="B1702" s="8"/>
      <c r="C1702" s="8"/>
      <c r="D1702" s="8"/>
      <c r="E1702" s="8"/>
      <c r="F1702" s="8"/>
      <c r="G1702" s="8"/>
      <c r="H1702" s="8"/>
      <c r="I1702" s="8"/>
      <c r="J1702" s="8"/>
      <c r="K1702" s="8"/>
      <c r="L1702" s="26"/>
      <c r="M1702" s="26"/>
      <c r="N1702" s="26"/>
      <c r="O1702" s="55"/>
      <c r="P1702" s="1"/>
      <c r="Q1702" s="8"/>
      <c r="R1702" s="8"/>
      <c r="S1702" s="1"/>
      <c r="T1702" s="8"/>
      <c r="U1702" s="8"/>
      <c r="V1702" s="56"/>
      <c r="W1702" s="1"/>
      <c r="X1702" s="1"/>
      <c r="Y1702" s="8"/>
      <c r="Z1702" s="8"/>
      <c r="AA1702" s="8"/>
      <c r="AB1702" s="8"/>
      <c r="AC1702" s="8"/>
      <c r="AD1702" s="8"/>
      <c r="AE1702" s="8"/>
      <c r="AF1702" s="8"/>
      <c r="AG1702" s="8"/>
      <c r="AH1702" s="8"/>
      <c r="AI1702" s="8"/>
    </row>
    <row r="1703" spans="1:35">
      <c r="A1703" s="1"/>
      <c r="B1703" s="8"/>
      <c r="C1703" s="8"/>
      <c r="D1703" s="8"/>
      <c r="E1703" s="8"/>
      <c r="F1703" s="8"/>
      <c r="G1703" s="8"/>
      <c r="H1703" s="8"/>
      <c r="I1703" s="8"/>
      <c r="J1703" s="8"/>
      <c r="K1703" s="8"/>
      <c r="L1703" s="26"/>
      <c r="M1703" s="26"/>
      <c r="N1703" s="26"/>
      <c r="O1703" s="55"/>
      <c r="P1703" s="1"/>
      <c r="Q1703" s="8"/>
      <c r="R1703" s="8"/>
      <c r="S1703" s="1"/>
      <c r="T1703" s="8"/>
      <c r="U1703" s="8"/>
      <c r="V1703" s="56"/>
      <c r="W1703" s="1"/>
      <c r="X1703" s="1"/>
      <c r="Y1703" s="8"/>
      <c r="Z1703" s="8"/>
      <c r="AA1703" s="8"/>
      <c r="AB1703" s="8"/>
      <c r="AC1703" s="8"/>
      <c r="AD1703" s="8"/>
      <c r="AE1703" s="8"/>
      <c r="AF1703" s="8"/>
      <c r="AG1703" s="8"/>
      <c r="AH1703" s="8"/>
      <c r="AI1703" s="8"/>
    </row>
    <row r="1704" spans="1:35">
      <c r="A1704" s="1"/>
      <c r="B1704" s="8"/>
      <c r="C1704" s="8"/>
      <c r="D1704" s="8"/>
      <c r="E1704" s="8"/>
      <c r="F1704" s="8"/>
      <c r="G1704" s="8"/>
      <c r="H1704" s="8"/>
      <c r="I1704" s="8"/>
      <c r="J1704" s="8"/>
      <c r="K1704" s="8"/>
      <c r="L1704" s="26"/>
      <c r="M1704" s="26"/>
      <c r="N1704" s="26"/>
      <c r="O1704" s="55"/>
      <c r="P1704" s="1"/>
      <c r="Q1704" s="8"/>
      <c r="R1704" s="8"/>
      <c r="S1704" s="1"/>
      <c r="T1704" s="8"/>
      <c r="U1704" s="8"/>
      <c r="V1704" s="56"/>
      <c r="W1704" s="1"/>
      <c r="X1704" s="1"/>
      <c r="Y1704" s="8"/>
      <c r="Z1704" s="8"/>
      <c r="AA1704" s="8"/>
      <c r="AB1704" s="8"/>
      <c r="AC1704" s="8"/>
      <c r="AD1704" s="8"/>
      <c r="AE1704" s="8"/>
      <c r="AF1704" s="8"/>
      <c r="AG1704" s="8"/>
      <c r="AH1704" s="8"/>
      <c r="AI1704" s="8"/>
    </row>
    <row r="1705" spans="1:35">
      <c r="A1705" s="1"/>
      <c r="B1705" s="8"/>
      <c r="C1705" s="8"/>
      <c r="D1705" s="8"/>
      <c r="E1705" s="8"/>
      <c r="F1705" s="8"/>
      <c r="G1705" s="8"/>
      <c r="H1705" s="8"/>
      <c r="I1705" s="8"/>
      <c r="J1705" s="8"/>
      <c r="K1705" s="8"/>
      <c r="L1705" s="26"/>
      <c r="M1705" s="26"/>
      <c r="N1705" s="26"/>
      <c r="O1705" s="55"/>
      <c r="P1705" s="1"/>
      <c r="Q1705" s="8"/>
      <c r="R1705" s="8"/>
      <c r="S1705" s="1"/>
      <c r="T1705" s="8"/>
      <c r="U1705" s="8"/>
      <c r="V1705" s="56"/>
      <c r="W1705" s="1"/>
      <c r="X1705" s="1"/>
      <c r="Y1705" s="8"/>
      <c r="Z1705" s="8"/>
      <c r="AA1705" s="8"/>
      <c r="AB1705" s="8"/>
      <c r="AC1705" s="8"/>
      <c r="AD1705" s="8"/>
      <c r="AE1705" s="8"/>
      <c r="AF1705" s="8"/>
      <c r="AG1705" s="8"/>
      <c r="AH1705" s="8"/>
      <c r="AI1705" s="8"/>
    </row>
    <row r="1706" spans="1:35">
      <c r="A1706" s="1"/>
      <c r="B1706" s="8"/>
      <c r="C1706" s="8"/>
      <c r="D1706" s="8"/>
      <c r="E1706" s="8"/>
      <c r="F1706" s="8"/>
      <c r="G1706" s="8"/>
      <c r="H1706" s="8"/>
      <c r="I1706" s="8"/>
      <c r="J1706" s="8"/>
      <c r="K1706" s="8"/>
      <c r="L1706" s="26"/>
      <c r="M1706" s="26"/>
      <c r="N1706" s="26"/>
      <c r="O1706" s="55"/>
      <c r="P1706" s="1"/>
      <c r="Q1706" s="8"/>
      <c r="R1706" s="8"/>
      <c r="S1706" s="1"/>
      <c r="T1706" s="8"/>
      <c r="U1706" s="8"/>
      <c r="V1706" s="56"/>
      <c r="W1706" s="1"/>
      <c r="X1706" s="1"/>
      <c r="Y1706" s="8"/>
      <c r="Z1706" s="8"/>
      <c r="AA1706" s="8"/>
      <c r="AB1706" s="8"/>
      <c r="AC1706" s="8"/>
      <c r="AD1706" s="8"/>
      <c r="AE1706" s="8"/>
      <c r="AF1706" s="8"/>
      <c r="AG1706" s="8"/>
      <c r="AH1706" s="8"/>
      <c r="AI1706" s="8"/>
    </row>
    <row r="1707" spans="1:35">
      <c r="A1707" s="1"/>
      <c r="B1707" s="8"/>
      <c r="C1707" s="8"/>
      <c r="D1707" s="8"/>
      <c r="E1707" s="8"/>
      <c r="F1707" s="8"/>
      <c r="G1707" s="8"/>
      <c r="H1707" s="8"/>
      <c r="I1707" s="8"/>
      <c r="J1707" s="8"/>
      <c r="K1707" s="8"/>
      <c r="L1707" s="26"/>
      <c r="M1707" s="26"/>
      <c r="N1707" s="26"/>
      <c r="O1707" s="55"/>
      <c r="P1707" s="1"/>
      <c r="Q1707" s="8"/>
      <c r="R1707" s="8"/>
      <c r="S1707" s="1"/>
      <c r="T1707" s="8"/>
      <c r="U1707" s="8"/>
      <c r="V1707" s="56"/>
      <c r="W1707" s="1"/>
      <c r="X1707" s="1"/>
      <c r="Y1707" s="8"/>
      <c r="Z1707" s="8"/>
      <c r="AA1707" s="8"/>
      <c r="AB1707" s="8"/>
      <c r="AC1707" s="8"/>
      <c r="AD1707" s="8"/>
      <c r="AE1707" s="8"/>
      <c r="AF1707" s="8"/>
      <c r="AG1707" s="8"/>
      <c r="AH1707" s="8"/>
      <c r="AI1707" s="8"/>
    </row>
    <row r="1708" spans="1:35">
      <c r="A1708" s="1"/>
      <c r="B1708" s="8"/>
      <c r="C1708" s="8"/>
      <c r="D1708" s="8"/>
      <c r="E1708" s="8"/>
      <c r="F1708" s="8"/>
      <c r="G1708" s="8"/>
      <c r="H1708" s="8"/>
      <c r="I1708" s="8"/>
      <c r="J1708" s="8"/>
      <c r="K1708" s="8"/>
      <c r="L1708" s="26"/>
      <c r="M1708" s="26"/>
      <c r="N1708" s="26"/>
      <c r="O1708" s="55"/>
      <c r="P1708" s="1"/>
      <c r="Q1708" s="8"/>
      <c r="R1708" s="8"/>
      <c r="S1708" s="1"/>
      <c r="T1708" s="8"/>
      <c r="U1708" s="8"/>
      <c r="V1708" s="56"/>
      <c r="W1708" s="1"/>
      <c r="X1708" s="1"/>
      <c r="Y1708" s="8"/>
      <c r="Z1708" s="8"/>
      <c r="AA1708" s="8"/>
      <c r="AB1708" s="8"/>
      <c r="AC1708" s="8"/>
      <c r="AD1708" s="8"/>
      <c r="AE1708" s="8"/>
      <c r="AF1708" s="8"/>
      <c r="AG1708" s="8"/>
      <c r="AH1708" s="8"/>
      <c r="AI1708" s="8"/>
    </row>
    <row r="1709" spans="1:35">
      <c r="A1709" s="1"/>
      <c r="B1709" s="8"/>
      <c r="C1709" s="8"/>
      <c r="D1709" s="8"/>
      <c r="E1709" s="8"/>
      <c r="F1709" s="8"/>
      <c r="G1709" s="8"/>
      <c r="H1709" s="8"/>
      <c r="I1709" s="8"/>
      <c r="J1709" s="8"/>
      <c r="K1709" s="8"/>
      <c r="L1709" s="26"/>
      <c r="M1709" s="26"/>
      <c r="N1709" s="26"/>
      <c r="O1709" s="55"/>
      <c r="P1709" s="1"/>
      <c r="Q1709" s="8"/>
      <c r="R1709" s="8"/>
      <c r="S1709" s="1"/>
      <c r="T1709" s="8"/>
      <c r="U1709" s="8"/>
      <c r="V1709" s="56"/>
      <c r="W1709" s="1"/>
      <c r="X1709" s="1"/>
      <c r="Y1709" s="8"/>
      <c r="Z1709" s="8"/>
      <c r="AA1709" s="8"/>
      <c r="AB1709" s="8"/>
      <c r="AC1709" s="8"/>
      <c r="AD1709" s="8"/>
      <c r="AE1709" s="8"/>
      <c r="AF1709" s="8"/>
      <c r="AG1709" s="8"/>
      <c r="AH1709" s="8"/>
      <c r="AI1709" s="8"/>
    </row>
    <row r="1710" spans="1:35">
      <c r="A1710" s="1"/>
      <c r="B1710" s="8"/>
      <c r="C1710" s="8"/>
      <c r="D1710" s="8"/>
      <c r="E1710" s="8"/>
      <c r="F1710" s="8"/>
      <c r="G1710" s="8"/>
      <c r="H1710" s="8"/>
      <c r="I1710" s="8"/>
      <c r="J1710" s="8"/>
      <c r="K1710" s="8"/>
      <c r="L1710" s="26"/>
      <c r="M1710" s="26"/>
      <c r="N1710" s="26"/>
      <c r="O1710" s="55"/>
      <c r="P1710" s="1"/>
      <c r="Q1710" s="8"/>
      <c r="R1710" s="8"/>
      <c r="S1710" s="1"/>
      <c r="T1710" s="8"/>
      <c r="U1710" s="8"/>
      <c r="V1710" s="56"/>
      <c r="W1710" s="1"/>
      <c r="X1710" s="1"/>
      <c r="Y1710" s="8"/>
      <c r="Z1710" s="8"/>
      <c r="AA1710" s="8"/>
      <c r="AB1710" s="8"/>
      <c r="AC1710" s="8"/>
      <c r="AD1710" s="8"/>
      <c r="AE1710" s="8"/>
      <c r="AF1710" s="8"/>
      <c r="AG1710" s="8"/>
      <c r="AH1710" s="8"/>
      <c r="AI1710" s="8"/>
    </row>
    <row r="1711" spans="1:35">
      <c r="A1711" s="1"/>
      <c r="B1711" s="8"/>
      <c r="C1711" s="8"/>
      <c r="D1711" s="8"/>
      <c r="E1711" s="8"/>
      <c r="F1711" s="8"/>
      <c r="G1711" s="8"/>
      <c r="H1711" s="8"/>
      <c r="I1711" s="8"/>
      <c r="J1711" s="8"/>
      <c r="K1711" s="8"/>
      <c r="L1711" s="26"/>
      <c r="M1711" s="26"/>
      <c r="N1711" s="26"/>
      <c r="O1711" s="55"/>
      <c r="P1711" s="1"/>
      <c r="Q1711" s="8"/>
      <c r="R1711" s="8"/>
      <c r="S1711" s="1"/>
      <c r="T1711" s="8"/>
      <c r="U1711" s="8"/>
      <c r="V1711" s="56"/>
      <c r="W1711" s="1"/>
      <c r="X1711" s="1"/>
      <c r="Y1711" s="8"/>
      <c r="Z1711" s="8"/>
      <c r="AA1711" s="8"/>
      <c r="AB1711" s="8"/>
      <c r="AC1711" s="8"/>
      <c r="AD1711" s="8"/>
      <c r="AE1711" s="8"/>
      <c r="AF1711" s="8"/>
      <c r="AG1711" s="8"/>
      <c r="AH1711" s="8"/>
      <c r="AI1711" s="8"/>
    </row>
    <row r="1712" spans="1:35">
      <c r="A1712" s="1"/>
      <c r="B1712" s="8"/>
      <c r="C1712" s="8"/>
      <c r="D1712" s="8"/>
      <c r="E1712" s="8"/>
      <c r="F1712" s="8"/>
      <c r="G1712" s="8"/>
      <c r="H1712" s="8"/>
      <c r="I1712" s="8"/>
      <c r="J1712" s="8"/>
      <c r="K1712" s="8"/>
      <c r="L1712" s="26"/>
      <c r="M1712" s="26"/>
      <c r="N1712" s="26"/>
      <c r="O1712" s="55"/>
      <c r="P1712" s="1"/>
      <c r="Q1712" s="8"/>
      <c r="R1712" s="8"/>
      <c r="S1712" s="1"/>
      <c r="T1712" s="8"/>
      <c r="U1712" s="8"/>
      <c r="V1712" s="56"/>
      <c r="W1712" s="1"/>
      <c r="X1712" s="1"/>
      <c r="Y1712" s="8"/>
      <c r="Z1712" s="8"/>
      <c r="AA1712" s="8"/>
      <c r="AB1712" s="8"/>
      <c r="AC1712" s="8"/>
      <c r="AD1712" s="8"/>
      <c r="AE1712" s="8"/>
      <c r="AF1712" s="8"/>
      <c r="AG1712" s="8"/>
      <c r="AH1712" s="8"/>
      <c r="AI1712" s="8"/>
    </row>
    <row r="1713" spans="1:35">
      <c r="A1713" s="1"/>
      <c r="B1713" s="8"/>
      <c r="C1713" s="8"/>
      <c r="D1713" s="8"/>
      <c r="E1713" s="8"/>
      <c r="F1713" s="8"/>
      <c r="G1713" s="8"/>
      <c r="H1713" s="8"/>
      <c r="I1713" s="8"/>
      <c r="J1713" s="8"/>
      <c r="K1713" s="8"/>
      <c r="L1713" s="26"/>
      <c r="M1713" s="26"/>
      <c r="N1713" s="26"/>
      <c r="O1713" s="55"/>
      <c r="P1713" s="1"/>
      <c r="Q1713" s="8"/>
      <c r="R1713" s="8"/>
      <c r="S1713" s="1"/>
      <c r="T1713" s="8"/>
      <c r="U1713" s="8"/>
      <c r="V1713" s="56"/>
      <c r="W1713" s="1"/>
      <c r="X1713" s="1"/>
      <c r="Y1713" s="8"/>
      <c r="Z1713" s="8"/>
      <c r="AA1713" s="8"/>
      <c r="AB1713" s="8"/>
      <c r="AC1713" s="8"/>
      <c r="AD1713" s="8"/>
      <c r="AE1713" s="8"/>
      <c r="AF1713" s="8"/>
      <c r="AG1713" s="8"/>
      <c r="AH1713" s="8"/>
      <c r="AI1713" s="8"/>
    </row>
    <row r="1714" spans="1:35">
      <c r="A1714" s="1"/>
      <c r="B1714" s="8"/>
      <c r="C1714" s="8"/>
      <c r="D1714" s="8"/>
      <c r="E1714" s="8"/>
      <c r="F1714" s="8"/>
      <c r="G1714" s="8"/>
      <c r="H1714" s="8"/>
      <c r="I1714" s="8"/>
      <c r="J1714" s="8"/>
      <c r="K1714" s="8"/>
      <c r="L1714" s="26"/>
      <c r="M1714" s="26"/>
      <c r="N1714" s="26"/>
      <c r="O1714" s="55"/>
      <c r="P1714" s="1"/>
      <c r="Q1714" s="8"/>
      <c r="R1714" s="8"/>
      <c r="S1714" s="1"/>
      <c r="T1714" s="8"/>
      <c r="U1714" s="8"/>
      <c r="V1714" s="56"/>
      <c r="W1714" s="1"/>
      <c r="X1714" s="1"/>
      <c r="Y1714" s="8"/>
      <c r="Z1714" s="8"/>
      <c r="AA1714" s="8"/>
      <c r="AB1714" s="8"/>
      <c r="AC1714" s="8"/>
      <c r="AD1714" s="8"/>
      <c r="AE1714" s="8"/>
      <c r="AF1714" s="8"/>
      <c r="AG1714" s="8"/>
      <c r="AH1714" s="8"/>
      <c r="AI1714" s="8"/>
    </row>
    <row r="1715" spans="1:35">
      <c r="A1715" s="1"/>
      <c r="B1715" s="8"/>
      <c r="C1715" s="8"/>
      <c r="D1715" s="8"/>
      <c r="E1715" s="8"/>
      <c r="F1715" s="8"/>
      <c r="G1715" s="8"/>
      <c r="H1715" s="8"/>
      <c r="I1715" s="8"/>
      <c r="J1715" s="8"/>
      <c r="K1715" s="8"/>
      <c r="L1715" s="26"/>
      <c r="M1715" s="26"/>
      <c r="N1715" s="26"/>
      <c r="O1715" s="55"/>
      <c r="P1715" s="1"/>
      <c r="Q1715" s="8"/>
      <c r="R1715" s="8"/>
      <c r="S1715" s="1"/>
      <c r="T1715" s="8"/>
      <c r="U1715" s="8"/>
      <c r="V1715" s="56"/>
      <c r="W1715" s="1"/>
      <c r="X1715" s="1"/>
      <c r="Y1715" s="8"/>
      <c r="Z1715" s="8"/>
      <c r="AA1715" s="8"/>
      <c r="AB1715" s="8"/>
      <c r="AC1715" s="8"/>
      <c r="AD1715" s="8"/>
      <c r="AE1715" s="8"/>
      <c r="AF1715" s="8"/>
      <c r="AG1715" s="8"/>
      <c r="AH1715" s="8"/>
      <c r="AI1715" s="8"/>
    </row>
    <row r="1716" spans="1:35">
      <c r="A1716" s="1"/>
      <c r="B1716" s="8"/>
      <c r="C1716" s="8"/>
      <c r="D1716" s="8"/>
      <c r="E1716" s="8"/>
      <c r="F1716" s="8"/>
      <c r="G1716" s="8"/>
      <c r="H1716" s="8"/>
      <c r="I1716" s="8"/>
      <c r="J1716" s="8"/>
      <c r="K1716" s="8"/>
      <c r="L1716" s="26"/>
      <c r="M1716" s="26"/>
      <c r="N1716" s="26"/>
      <c r="O1716" s="55"/>
      <c r="P1716" s="1"/>
      <c r="Q1716" s="8"/>
      <c r="R1716" s="8"/>
      <c r="S1716" s="1"/>
      <c r="T1716" s="8"/>
      <c r="U1716" s="8"/>
      <c r="V1716" s="56"/>
      <c r="W1716" s="1"/>
      <c r="X1716" s="1"/>
      <c r="Y1716" s="8"/>
      <c r="Z1716" s="8"/>
      <c r="AA1716" s="8"/>
      <c r="AB1716" s="8"/>
      <c r="AC1716" s="8"/>
      <c r="AD1716" s="8"/>
      <c r="AE1716" s="8"/>
      <c r="AF1716" s="8"/>
      <c r="AG1716" s="8"/>
      <c r="AH1716" s="8"/>
      <c r="AI1716" s="8"/>
    </row>
    <row r="1717" spans="1:35">
      <c r="A1717" s="1"/>
      <c r="B1717" s="8"/>
      <c r="C1717" s="8"/>
      <c r="D1717" s="8"/>
      <c r="E1717" s="8"/>
      <c r="F1717" s="8"/>
      <c r="G1717" s="8"/>
      <c r="H1717" s="8"/>
      <c r="I1717" s="8"/>
      <c r="J1717" s="8"/>
      <c r="K1717" s="8"/>
      <c r="L1717" s="26"/>
      <c r="M1717" s="26"/>
      <c r="N1717" s="26"/>
      <c r="O1717" s="55"/>
      <c r="P1717" s="1"/>
      <c r="Q1717" s="8"/>
      <c r="R1717" s="8"/>
      <c r="S1717" s="1"/>
      <c r="T1717" s="8"/>
      <c r="U1717" s="8"/>
      <c r="V1717" s="56"/>
      <c r="W1717" s="1"/>
      <c r="X1717" s="1"/>
      <c r="Y1717" s="8"/>
      <c r="Z1717" s="8"/>
      <c r="AA1717" s="8"/>
      <c r="AB1717" s="8"/>
      <c r="AC1717" s="8"/>
      <c r="AD1717" s="8"/>
      <c r="AE1717" s="8"/>
      <c r="AF1717" s="8"/>
      <c r="AG1717" s="8"/>
      <c r="AH1717" s="8"/>
      <c r="AI1717" s="8"/>
    </row>
    <row r="1718" spans="1:35">
      <c r="A1718" s="1"/>
      <c r="B1718" s="8"/>
      <c r="C1718" s="8"/>
      <c r="D1718" s="8"/>
      <c r="E1718" s="8"/>
      <c r="F1718" s="8"/>
      <c r="G1718" s="8"/>
      <c r="H1718" s="8"/>
      <c r="I1718" s="8"/>
      <c r="J1718" s="8"/>
      <c r="K1718" s="8"/>
      <c r="L1718" s="26"/>
      <c r="M1718" s="26"/>
      <c r="N1718" s="26"/>
      <c r="O1718" s="55"/>
      <c r="P1718" s="1"/>
      <c r="Q1718" s="8"/>
      <c r="R1718" s="8"/>
      <c r="S1718" s="1"/>
      <c r="T1718" s="8"/>
      <c r="U1718" s="8"/>
      <c r="V1718" s="56"/>
      <c r="W1718" s="1"/>
      <c r="X1718" s="1"/>
      <c r="Y1718" s="8"/>
      <c r="Z1718" s="8"/>
      <c r="AA1718" s="8"/>
      <c r="AB1718" s="8"/>
      <c r="AC1718" s="8"/>
      <c r="AD1718" s="8"/>
      <c r="AE1718" s="8"/>
      <c r="AF1718" s="8"/>
      <c r="AG1718" s="8"/>
      <c r="AH1718" s="8"/>
      <c r="AI1718" s="8"/>
    </row>
    <row r="1719" spans="1:35">
      <c r="A1719" s="1"/>
      <c r="B1719" s="8"/>
      <c r="C1719" s="8"/>
      <c r="D1719" s="8"/>
      <c r="E1719" s="8"/>
      <c r="F1719" s="8"/>
      <c r="G1719" s="8"/>
      <c r="H1719" s="8"/>
      <c r="I1719" s="8"/>
      <c r="J1719" s="8"/>
      <c r="K1719" s="8"/>
      <c r="L1719" s="26"/>
      <c r="M1719" s="26"/>
      <c r="N1719" s="26"/>
      <c r="O1719" s="55"/>
      <c r="P1719" s="1"/>
      <c r="Q1719" s="8"/>
      <c r="R1719" s="8"/>
      <c r="S1719" s="1"/>
      <c r="T1719" s="8"/>
      <c r="U1719" s="8"/>
      <c r="V1719" s="56"/>
      <c r="W1719" s="1"/>
      <c r="X1719" s="1"/>
      <c r="Y1719" s="8"/>
      <c r="Z1719" s="8"/>
      <c r="AA1719" s="8"/>
      <c r="AB1719" s="8"/>
      <c r="AC1719" s="8"/>
      <c r="AD1719" s="8"/>
      <c r="AE1719" s="8"/>
      <c r="AF1719" s="8"/>
      <c r="AG1719" s="8"/>
      <c r="AH1719" s="8"/>
      <c r="AI1719" s="8"/>
    </row>
    <row r="1720" spans="1:35">
      <c r="A1720" s="1"/>
      <c r="B1720" s="8"/>
      <c r="C1720" s="8"/>
      <c r="D1720" s="8"/>
      <c r="E1720" s="8"/>
      <c r="F1720" s="8"/>
      <c r="G1720" s="8"/>
      <c r="H1720" s="8"/>
      <c r="I1720" s="8"/>
      <c r="J1720" s="8"/>
      <c r="K1720" s="8"/>
      <c r="L1720" s="26"/>
      <c r="M1720" s="26"/>
      <c r="N1720" s="26"/>
      <c r="O1720" s="55"/>
      <c r="P1720" s="1"/>
      <c r="Q1720" s="8"/>
      <c r="R1720" s="8"/>
      <c r="S1720" s="1"/>
      <c r="T1720" s="8"/>
      <c r="U1720" s="8"/>
      <c r="V1720" s="56"/>
      <c r="W1720" s="1"/>
      <c r="X1720" s="1"/>
      <c r="Y1720" s="8"/>
      <c r="Z1720" s="8"/>
      <c r="AA1720" s="8"/>
      <c r="AB1720" s="8"/>
      <c r="AC1720" s="8"/>
      <c r="AD1720" s="8"/>
      <c r="AE1720" s="8"/>
      <c r="AF1720" s="8"/>
      <c r="AG1720" s="8"/>
      <c r="AH1720" s="8"/>
      <c r="AI1720" s="8"/>
    </row>
    <row r="1721" spans="1:35">
      <c r="A1721" s="1"/>
      <c r="B1721" s="8"/>
      <c r="C1721" s="8"/>
      <c r="D1721" s="8"/>
      <c r="E1721" s="8"/>
      <c r="F1721" s="8"/>
      <c r="G1721" s="8"/>
      <c r="H1721" s="8"/>
      <c r="I1721" s="8"/>
      <c r="J1721" s="8"/>
      <c r="K1721" s="8"/>
      <c r="L1721" s="26"/>
      <c r="M1721" s="26"/>
      <c r="N1721" s="26"/>
      <c r="O1721" s="55"/>
      <c r="P1721" s="1"/>
      <c r="Q1721" s="8"/>
      <c r="R1721" s="8"/>
      <c r="S1721" s="1"/>
      <c r="T1721" s="8"/>
      <c r="U1721" s="8"/>
      <c r="V1721" s="56"/>
      <c r="W1721" s="1"/>
      <c r="X1721" s="1"/>
      <c r="Y1721" s="8"/>
      <c r="Z1721" s="8"/>
      <c r="AA1721" s="8"/>
      <c r="AB1721" s="8"/>
      <c r="AC1721" s="8"/>
      <c r="AD1721" s="8"/>
      <c r="AE1721" s="8"/>
      <c r="AF1721" s="8"/>
      <c r="AG1721" s="8"/>
      <c r="AH1721" s="8"/>
      <c r="AI1721" s="8"/>
    </row>
    <row r="1722" spans="1:35">
      <c r="A1722" s="1"/>
      <c r="B1722" s="8"/>
      <c r="C1722" s="8"/>
      <c r="D1722" s="8"/>
      <c r="E1722" s="8"/>
      <c r="F1722" s="8"/>
      <c r="G1722" s="8"/>
      <c r="H1722" s="8"/>
      <c r="I1722" s="8"/>
      <c r="J1722" s="8"/>
      <c r="K1722" s="8"/>
      <c r="L1722" s="26"/>
      <c r="M1722" s="26"/>
      <c r="N1722" s="26"/>
      <c r="O1722" s="55"/>
      <c r="P1722" s="1"/>
      <c r="Q1722" s="8"/>
      <c r="R1722" s="8"/>
      <c r="S1722" s="1"/>
      <c r="T1722" s="8"/>
      <c r="U1722" s="8"/>
      <c r="V1722" s="56"/>
      <c r="W1722" s="1"/>
      <c r="X1722" s="1"/>
      <c r="Y1722" s="8"/>
      <c r="Z1722" s="8"/>
      <c r="AA1722" s="8"/>
      <c r="AB1722" s="8"/>
      <c r="AC1722" s="8"/>
      <c r="AD1722" s="8"/>
      <c r="AE1722" s="8"/>
      <c r="AF1722" s="8"/>
      <c r="AG1722" s="8"/>
      <c r="AH1722" s="8"/>
      <c r="AI1722" s="8"/>
    </row>
    <row r="1723" spans="1:35">
      <c r="A1723" s="1"/>
      <c r="B1723" s="8"/>
      <c r="C1723" s="8"/>
      <c r="D1723" s="8"/>
      <c r="E1723" s="8"/>
      <c r="F1723" s="8"/>
      <c r="G1723" s="8"/>
      <c r="H1723" s="8"/>
      <c r="I1723" s="8"/>
      <c r="J1723" s="8"/>
      <c r="K1723" s="8"/>
      <c r="L1723" s="26"/>
      <c r="M1723" s="26"/>
      <c r="N1723" s="26"/>
      <c r="O1723" s="55"/>
      <c r="P1723" s="1"/>
      <c r="Q1723" s="8"/>
      <c r="R1723" s="8"/>
      <c r="S1723" s="1"/>
      <c r="T1723" s="8"/>
      <c r="U1723" s="8"/>
      <c r="V1723" s="56"/>
      <c r="W1723" s="1"/>
      <c r="X1723" s="1"/>
      <c r="Y1723" s="8"/>
      <c r="Z1723" s="8"/>
      <c r="AA1723" s="8"/>
      <c r="AB1723" s="8"/>
      <c r="AC1723" s="8"/>
      <c r="AD1723" s="8"/>
      <c r="AE1723" s="8"/>
      <c r="AF1723" s="8"/>
      <c r="AG1723" s="8"/>
      <c r="AH1723" s="8"/>
      <c r="AI1723" s="8"/>
    </row>
    <row r="1724" spans="1:35">
      <c r="A1724" s="1"/>
      <c r="B1724" s="8"/>
      <c r="C1724" s="8"/>
      <c r="D1724" s="8"/>
      <c r="E1724" s="8"/>
      <c r="F1724" s="8"/>
      <c r="G1724" s="8"/>
      <c r="H1724" s="8"/>
      <c r="I1724" s="8"/>
      <c r="J1724" s="8"/>
      <c r="K1724" s="8"/>
      <c r="L1724" s="26"/>
      <c r="M1724" s="26"/>
      <c r="N1724" s="26"/>
      <c r="O1724" s="55"/>
      <c r="P1724" s="1"/>
      <c r="Q1724" s="8"/>
      <c r="R1724" s="8"/>
      <c r="S1724" s="1"/>
      <c r="T1724" s="8"/>
      <c r="U1724" s="8"/>
      <c r="V1724" s="56"/>
      <c r="W1724" s="1"/>
      <c r="X1724" s="1"/>
      <c r="Y1724" s="8"/>
      <c r="Z1724" s="8"/>
      <c r="AA1724" s="8"/>
      <c r="AB1724" s="8"/>
      <c r="AC1724" s="8"/>
      <c r="AD1724" s="8"/>
      <c r="AE1724" s="8"/>
      <c r="AF1724" s="8"/>
      <c r="AG1724" s="8"/>
      <c r="AH1724" s="8"/>
      <c r="AI1724" s="8"/>
    </row>
    <row r="1725" spans="1:35">
      <c r="A1725" s="1"/>
      <c r="B1725" s="8"/>
      <c r="C1725" s="8"/>
      <c r="D1725" s="8"/>
      <c r="E1725" s="8"/>
      <c r="F1725" s="8"/>
      <c r="G1725" s="8"/>
      <c r="H1725" s="8"/>
      <c r="I1725" s="8"/>
      <c r="J1725" s="8"/>
      <c r="K1725" s="8"/>
      <c r="L1725" s="26"/>
      <c r="M1725" s="26"/>
      <c r="N1725" s="26"/>
      <c r="O1725" s="55"/>
      <c r="P1725" s="1"/>
      <c r="Q1725" s="8"/>
      <c r="R1725" s="8"/>
      <c r="S1725" s="1"/>
      <c r="T1725" s="8"/>
      <c r="U1725" s="8"/>
      <c r="V1725" s="56"/>
      <c r="W1725" s="1"/>
      <c r="X1725" s="1"/>
      <c r="Y1725" s="8"/>
      <c r="Z1725" s="8"/>
      <c r="AA1725" s="8"/>
      <c r="AB1725" s="8"/>
      <c r="AC1725" s="8"/>
      <c r="AD1725" s="8"/>
      <c r="AE1725" s="8"/>
      <c r="AF1725" s="8"/>
      <c r="AG1725" s="8"/>
      <c r="AH1725" s="8"/>
      <c r="AI1725" s="8"/>
    </row>
    <row r="1726" spans="1:35">
      <c r="A1726" s="1"/>
      <c r="B1726" s="8"/>
      <c r="C1726" s="8"/>
      <c r="D1726" s="8"/>
      <c r="E1726" s="8"/>
      <c r="F1726" s="8"/>
      <c r="G1726" s="8"/>
      <c r="H1726" s="8"/>
      <c r="I1726" s="8"/>
      <c r="J1726" s="8"/>
      <c r="K1726" s="8"/>
      <c r="L1726" s="26"/>
      <c r="M1726" s="26"/>
      <c r="N1726" s="26"/>
      <c r="O1726" s="55"/>
      <c r="P1726" s="1"/>
      <c r="Q1726" s="8"/>
      <c r="R1726" s="8"/>
      <c r="S1726" s="1"/>
      <c r="T1726" s="8"/>
      <c r="U1726" s="8"/>
      <c r="V1726" s="56"/>
      <c r="W1726" s="1"/>
      <c r="X1726" s="1"/>
      <c r="Y1726" s="8"/>
      <c r="Z1726" s="8"/>
      <c r="AA1726" s="8"/>
      <c r="AB1726" s="8"/>
      <c r="AC1726" s="8"/>
      <c r="AD1726" s="8"/>
      <c r="AE1726" s="8"/>
      <c r="AF1726" s="8"/>
      <c r="AG1726" s="8"/>
      <c r="AH1726" s="8"/>
      <c r="AI1726" s="8"/>
    </row>
    <row r="1727" spans="1:35">
      <c r="A1727" s="1"/>
      <c r="B1727" s="8"/>
      <c r="C1727" s="8"/>
      <c r="D1727" s="8"/>
      <c r="E1727" s="8"/>
      <c r="F1727" s="8"/>
      <c r="G1727" s="8"/>
      <c r="H1727" s="8"/>
      <c r="I1727" s="8"/>
      <c r="J1727" s="8"/>
      <c r="K1727" s="8"/>
      <c r="L1727" s="26"/>
      <c r="M1727" s="26"/>
      <c r="N1727" s="26"/>
      <c r="O1727" s="55"/>
      <c r="P1727" s="1"/>
      <c r="Q1727" s="8"/>
      <c r="R1727" s="8"/>
      <c r="S1727" s="1"/>
      <c r="T1727" s="8"/>
      <c r="U1727" s="8"/>
      <c r="V1727" s="56"/>
      <c r="W1727" s="1"/>
      <c r="X1727" s="1"/>
      <c r="Y1727" s="8"/>
      <c r="Z1727" s="8"/>
      <c r="AA1727" s="8"/>
      <c r="AB1727" s="8"/>
      <c r="AC1727" s="8"/>
      <c r="AD1727" s="8"/>
      <c r="AE1727" s="8"/>
      <c r="AF1727" s="8"/>
      <c r="AG1727" s="8"/>
      <c r="AH1727" s="8"/>
      <c r="AI1727" s="8"/>
    </row>
    <row r="1728" spans="1:35">
      <c r="A1728" s="1"/>
      <c r="B1728" s="8"/>
      <c r="C1728" s="8"/>
      <c r="D1728" s="8"/>
      <c r="E1728" s="8"/>
      <c r="F1728" s="8"/>
      <c r="G1728" s="8"/>
      <c r="H1728" s="8"/>
      <c r="I1728" s="8"/>
      <c r="J1728" s="8"/>
      <c r="K1728" s="8"/>
      <c r="L1728" s="26"/>
      <c r="M1728" s="26"/>
      <c r="N1728" s="26"/>
      <c r="O1728" s="55"/>
      <c r="P1728" s="1"/>
      <c r="Q1728" s="8"/>
      <c r="R1728" s="8"/>
      <c r="S1728" s="1"/>
      <c r="T1728" s="8"/>
      <c r="U1728" s="8"/>
      <c r="V1728" s="56"/>
      <c r="W1728" s="1"/>
      <c r="X1728" s="1"/>
      <c r="Y1728" s="8"/>
      <c r="Z1728" s="8"/>
      <c r="AA1728" s="8"/>
      <c r="AB1728" s="8"/>
      <c r="AC1728" s="8"/>
      <c r="AD1728" s="8"/>
      <c r="AE1728" s="8"/>
      <c r="AF1728" s="8"/>
      <c r="AG1728" s="8"/>
      <c r="AH1728" s="8"/>
      <c r="AI1728" s="8"/>
    </row>
    <row r="1729" spans="1:35">
      <c r="A1729" s="1"/>
      <c r="B1729" s="8"/>
      <c r="C1729" s="8"/>
      <c r="D1729" s="8"/>
      <c r="E1729" s="8"/>
      <c r="F1729" s="8"/>
      <c r="G1729" s="8"/>
      <c r="H1729" s="8"/>
      <c r="I1729" s="8"/>
      <c r="J1729" s="8"/>
      <c r="K1729" s="8"/>
      <c r="L1729" s="26"/>
      <c r="M1729" s="26"/>
      <c r="N1729" s="26"/>
      <c r="O1729" s="55"/>
      <c r="P1729" s="1"/>
      <c r="Q1729" s="8"/>
      <c r="R1729" s="8"/>
      <c r="S1729" s="1"/>
      <c r="T1729" s="8"/>
      <c r="U1729" s="8"/>
      <c r="V1729" s="56"/>
      <c r="W1729" s="1"/>
      <c r="X1729" s="1"/>
      <c r="Y1729" s="8"/>
      <c r="Z1729" s="8"/>
      <c r="AA1729" s="8"/>
      <c r="AB1729" s="8"/>
      <c r="AC1729" s="8"/>
      <c r="AD1729" s="8"/>
      <c r="AE1729" s="8"/>
      <c r="AF1729" s="8"/>
      <c r="AG1729" s="8"/>
      <c r="AH1729" s="8"/>
      <c r="AI1729" s="8"/>
    </row>
    <row r="1730" spans="1:35">
      <c r="A1730" s="1"/>
      <c r="B1730" s="8"/>
      <c r="C1730" s="8"/>
      <c r="D1730" s="8"/>
      <c r="E1730" s="8"/>
      <c r="F1730" s="8"/>
      <c r="G1730" s="8"/>
      <c r="H1730" s="8"/>
      <c r="I1730" s="8"/>
      <c r="J1730" s="8"/>
      <c r="K1730" s="8"/>
      <c r="L1730" s="26"/>
      <c r="M1730" s="26"/>
      <c r="N1730" s="26"/>
      <c r="O1730" s="55"/>
      <c r="P1730" s="1"/>
      <c r="Q1730" s="8"/>
      <c r="R1730" s="8"/>
      <c r="S1730" s="1"/>
      <c r="T1730" s="8"/>
      <c r="U1730" s="8"/>
      <c r="V1730" s="56"/>
      <c r="W1730" s="1"/>
      <c r="X1730" s="1"/>
      <c r="Y1730" s="8"/>
      <c r="Z1730" s="8"/>
      <c r="AA1730" s="8"/>
      <c r="AB1730" s="8"/>
      <c r="AC1730" s="8"/>
      <c r="AD1730" s="8"/>
      <c r="AE1730" s="8"/>
      <c r="AF1730" s="8"/>
      <c r="AG1730" s="8"/>
      <c r="AH1730" s="8"/>
      <c r="AI1730" s="8"/>
    </row>
    <row r="1731" spans="1:35">
      <c r="A1731" s="1"/>
      <c r="B1731" s="8"/>
      <c r="C1731" s="8"/>
      <c r="D1731" s="8"/>
      <c r="E1731" s="8"/>
      <c r="F1731" s="8"/>
      <c r="G1731" s="8"/>
      <c r="H1731" s="8"/>
      <c r="I1731" s="8"/>
      <c r="J1731" s="8"/>
      <c r="K1731" s="8"/>
      <c r="L1731" s="26"/>
      <c r="M1731" s="26"/>
      <c r="N1731" s="26"/>
      <c r="O1731" s="55"/>
      <c r="P1731" s="1"/>
      <c r="Q1731" s="8"/>
      <c r="R1731" s="8"/>
      <c r="S1731" s="1"/>
      <c r="T1731" s="8"/>
      <c r="U1731" s="8"/>
      <c r="V1731" s="56"/>
      <c r="W1731" s="1"/>
      <c r="X1731" s="1"/>
      <c r="Y1731" s="8"/>
      <c r="Z1731" s="8"/>
      <c r="AA1731" s="8"/>
      <c r="AB1731" s="8"/>
      <c r="AC1731" s="8"/>
      <c r="AD1731" s="8"/>
      <c r="AE1731" s="8"/>
      <c r="AF1731" s="8"/>
      <c r="AG1731" s="8"/>
      <c r="AH1731" s="8"/>
      <c r="AI1731" s="8"/>
    </row>
    <row r="1732" spans="1:35">
      <c r="A1732" s="1"/>
      <c r="B1732" s="8"/>
      <c r="C1732" s="8"/>
      <c r="D1732" s="8"/>
      <c r="E1732" s="8"/>
      <c r="F1732" s="8"/>
      <c r="G1732" s="8"/>
      <c r="H1732" s="8"/>
      <c r="I1732" s="8"/>
      <c r="J1732" s="8"/>
      <c r="K1732" s="8"/>
      <c r="L1732" s="26"/>
      <c r="M1732" s="26"/>
      <c r="N1732" s="26"/>
      <c r="O1732" s="55"/>
      <c r="P1732" s="1"/>
      <c r="Q1732" s="8"/>
      <c r="R1732" s="8"/>
      <c r="S1732" s="1"/>
      <c r="T1732" s="8"/>
      <c r="U1732" s="8"/>
      <c r="V1732" s="56"/>
      <c r="W1732" s="1"/>
      <c r="X1732" s="1"/>
      <c r="Y1732" s="8"/>
      <c r="Z1732" s="8"/>
      <c r="AA1732" s="8"/>
      <c r="AB1732" s="8"/>
      <c r="AC1732" s="8"/>
      <c r="AD1732" s="8"/>
      <c r="AE1732" s="8"/>
      <c r="AF1732" s="8"/>
      <c r="AG1732" s="8"/>
      <c r="AH1732" s="8"/>
      <c r="AI1732" s="8"/>
    </row>
    <row r="1733" spans="1:35">
      <c r="A1733" s="1"/>
      <c r="B1733" s="8"/>
      <c r="C1733" s="8"/>
      <c r="D1733" s="8"/>
      <c r="E1733" s="8"/>
      <c r="F1733" s="8"/>
      <c r="G1733" s="8"/>
      <c r="H1733" s="8"/>
      <c r="I1733" s="8"/>
      <c r="J1733" s="8"/>
      <c r="K1733" s="8"/>
      <c r="L1733" s="26"/>
      <c r="M1733" s="26"/>
      <c r="N1733" s="26"/>
      <c r="O1733" s="55"/>
      <c r="P1733" s="1"/>
      <c r="Q1733" s="8"/>
      <c r="R1733" s="8"/>
      <c r="S1733" s="1"/>
      <c r="T1733" s="8"/>
      <c r="U1733" s="8"/>
      <c r="V1733" s="56"/>
      <c r="W1733" s="1"/>
      <c r="X1733" s="1"/>
      <c r="Y1733" s="8"/>
      <c r="Z1733" s="8"/>
      <c r="AA1733" s="8"/>
      <c r="AB1733" s="8"/>
      <c r="AC1733" s="8"/>
      <c r="AD1733" s="8"/>
      <c r="AE1733" s="8"/>
      <c r="AF1733" s="8"/>
      <c r="AG1733" s="8"/>
      <c r="AH1733" s="8"/>
      <c r="AI1733" s="8"/>
    </row>
    <row r="1734" spans="1:35">
      <c r="A1734" s="1"/>
      <c r="B1734" s="8"/>
      <c r="C1734" s="8"/>
      <c r="D1734" s="8"/>
      <c r="E1734" s="8"/>
      <c r="F1734" s="8"/>
      <c r="G1734" s="8"/>
      <c r="H1734" s="8"/>
      <c r="I1734" s="8"/>
      <c r="J1734" s="8"/>
      <c r="K1734" s="8"/>
      <c r="L1734" s="26"/>
      <c r="M1734" s="26"/>
      <c r="N1734" s="26"/>
      <c r="O1734" s="55"/>
      <c r="P1734" s="1"/>
      <c r="Q1734" s="8"/>
      <c r="R1734" s="8"/>
      <c r="S1734" s="1"/>
      <c r="T1734" s="8"/>
      <c r="U1734" s="8"/>
      <c r="V1734" s="56"/>
      <c r="W1734" s="1"/>
      <c r="X1734" s="1"/>
      <c r="Y1734" s="8"/>
      <c r="Z1734" s="8"/>
      <c r="AA1734" s="8"/>
      <c r="AB1734" s="8"/>
      <c r="AC1734" s="8"/>
      <c r="AD1734" s="8"/>
      <c r="AE1734" s="8"/>
      <c r="AF1734" s="8"/>
      <c r="AG1734" s="8"/>
      <c r="AH1734" s="8"/>
      <c r="AI1734" s="8"/>
    </row>
    <row r="1735" spans="1:35">
      <c r="A1735" s="1"/>
      <c r="B1735" s="8"/>
      <c r="C1735" s="8"/>
      <c r="D1735" s="8"/>
      <c r="E1735" s="8"/>
      <c r="F1735" s="8"/>
      <c r="G1735" s="8"/>
      <c r="H1735" s="8"/>
      <c r="I1735" s="8"/>
      <c r="J1735" s="8"/>
      <c r="K1735" s="8"/>
      <c r="L1735" s="26"/>
      <c r="M1735" s="26"/>
      <c r="N1735" s="26"/>
      <c r="O1735" s="55"/>
      <c r="P1735" s="1"/>
      <c r="Q1735" s="8"/>
      <c r="R1735" s="8"/>
      <c r="S1735" s="1"/>
      <c r="T1735" s="8"/>
      <c r="U1735" s="8"/>
      <c r="V1735" s="56"/>
      <c r="W1735" s="1"/>
      <c r="X1735" s="1"/>
      <c r="Y1735" s="8"/>
      <c r="Z1735" s="8"/>
      <c r="AA1735" s="8"/>
      <c r="AB1735" s="8"/>
      <c r="AC1735" s="8"/>
      <c r="AD1735" s="8"/>
      <c r="AE1735" s="8"/>
      <c r="AF1735" s="8"/>
      <c r="AG1735" s="8"/>
      <c r="AH1735" s="8"/>
      <c r="AI1735" s="8"/>
    </row>
    <row r="1736" spans="1:35">
      <c r="A1736" s="1"/>
      <c r="B1736" s="8"/>
      <c r="C1736" s="8"/>
      <c r="D1736" s="8"/>
      <c r="E1736" s="8"/>
      <c r="F1736" s="8"/>
      <c r="G1736" s="8"/>
      <c r="H1736" s="8"/>
      <c r="I1736" s="8"/>
      <c r="J1736" s="8"/>
      <c r="K1736" s="8"/>
      <c r="L1736" s="26"/>
      <c r="M1736" s="26"/>
      <c r="N1736" s="26"/>
      <c r="O1736" s="55"/>
      <c r="P1736" s="1"/>
      <c r="Q1736" s="8"/>
      <c r="R1736" s="8"/>
      <c r="S1736" s="1"/>
      <c r="T1736" s="8"/>
      <c r="U1736" s="8"/>
      <c r="V1736" s="56"/>
      <c r="W1736" s="1"/>
      <c r="X1736" s="1"/>
      <c r="Y1736" s="8"/>
      <c r="Z1736" s="8"/>
      <c r="AA1736" s="8"/>
      <c r="AB1736" s="8"/>
      <c r="AC1736" s="8"/>
      <c r="AD1736" s="8"/>
      <c r="AE1736" s="8"/>
      <c r="AF1736" s="8"/>
      <c r="AG1736" s="8"/>
      <c r="AH1736" s="8"/>
      <c r="AI1736" s="8"/>
    </row>
    <row r="1737" spans="1:35">
      <c r="A1737" s="1"/>
      <c r="B1737" s="8"/>
      <c r="C1737" s="8"/>
      <c r="D1737" s="8"/>
      <c r="E1737" s="8"/>
      <c r="F1737" s="8"/>
      <c r="G1737" s="8"/>
      <c r="H1737" s="8"/>
      <c r="I1737" s="8"/>
      <c r="J1737" s="8"/>
      <c r="K1737" s="8"/>
      <c r="L1737" s="26"/>
      <c r="M1737" s="26"/>
      <c r="N1737" s="26"/>
      <c r="O1737" s="55"/>
      <c r="P1737" s="1"/>
      <c r="Q1737" s="8"/>
      <c r="R1737" s="8"/>
      <c r="S1737" s="1"/>
      <c r="T1737" s="8"/>
      <c r="U1737" s="8"/>
      <c r="V1737" s="56"/>
      <c r="W1737" s="1"/>
      <c r="X1737" s="1"/>
      <c r="Y1737" s="8"/>
      <c r="Z1737" s="8"/>
      <c r="AA1737" s="8"/>
      <c r="AB1737" s="8"/>
      <c r="AC1737" s="8"/>
      <c r="AD1737" s="8"/>
      <c r="AE1737" s="8"/>
      <c r="AF1737" s="8"/>
      <c r="AG1737" s="8"/>
      <c r="AH1737" s="8"/>
      <c r="AI1737" s="8"/>
    </row>
    <row r="1738" spans="1:35">
      <c r="A1738" s="1"/>
      <c r="B1738" s="8"/>
      <c r="C1738" s="8"/>
      <c r="D1738" s="8"/>
      <c r="E1738" s="8"/>
      <c r="F1738" s="8"/>
      <c r="G1738" s="8"/>
      <c r="H1738" s="8"/>
      <c r="I1738" s="8"/>
      <c r="J1738" s="8"/>
      <c r="K1738" s="8"/>
      <c r="L1738" s="26"/>
      <c r="M1738" s="26"/>
      <c r="N1738" s="26"/>
      <c r="O1738" s="55"/>
      <c r="P1738" s="1"/>
      <c r="Q1738" s="8"/>
      <c r="R1738" s="8"/>
      <c r="S1738" s="1"/>
      <c r="T1738" s="8"/>
      <c r="U1738" s="8"/>
      <c r="V1738" s="56"/>
      <c r="W1738" s="1"/>
      <c r="X1738" s="1"/>
      <c r="Y1738" s="8"/>
      <c r="Z1738" s="8"/>
      <c r="AA1738" s="8"/>
      <c r="AB1738" s="8"/>
      <c r="AC1738" s="8"/>
      <c r="AD1738" s="8"/>
      <c r="AE1738" s="8"/>
      <c r="AF1738" s="8"/>
      <c r="AG1738" s="8"/>
      <c r="AH1738" s="8"/>
      <c r="AI1738" s="8"/>
    </row>
    <row r="1739" spans="1:35">
      <c r="A1739" s="1"/>
      <c r="B1739" s="8"/>
      <c r="C1739" s="8"/>
      <c r="D1739" s="8"/>
      <c r="E1739" s="8"/>
      <c r="F1739" s="8"/>
      <c r="G1739" s="8"/>
      <c r="H1739" s="8"/>
      <c r="I1739" s="8"/>
      <c r="J1739" s="8"/>
      <c r="K1739" s="8"/>
      <c r="L1739" s="26"/>
      <c r="M1739" s="26"/>
      <c r="N1739" s="26"/>
      <c r="O1739" s="55"/>
      <c r="P1739" s="1"/>
      <c r="Q1739" s="8"/>
      <c r="R1739" s="8"/>
      <c r="S1739" s="1"/>
      <c r="T1739" s="8"/>
      <c r="U1739" s="8"/>
      <c r="V1739" s="56"/>
      <c r="W1739" s="1"/>
      <c r="X1739" s="1"/>
      <c r="Y1739" s="8"/>
      <c r="Z1739" s="8"/>
      <c r="AA1739" s="8"/>
      <c r="AB1739" s="8"/>
      <c r="AC1739" s="8"/>
      <c r="AD1739" s="8"/>
      <c r="AE1739" s="8"/>
      <c r="AF1739" s="8"/>
      <c r="AG1739" s="8"/>
      <c r="AH1739" s="8"/>
      <c r="AI1739" s="8"/>
    </row>
    <row r="1740" spans="1:35">
      <c r="A1740" s="1"/>
      <c r="B1740" s="8"/>
      <c r="C1740" s="8"/>
      <c r="D1740" s="8"/>
      <c r="E1740" s="8"/>
      <c r="F1740" s="8"/>
      <c r="G1740" s="8"/>
      <c r="H1740" s="8"/>
      <c r="I1740" s="8"/>
      <c r="J1740" s="8"/>
      <c r="K1740" s="8"/>
      <c r="L1740" s="26"/>
      <c r="M1740" s="26"/>
      <c r="N1740" s="26"/>
      <c r="O1740" s="55"/>
      <c r="P1740" s="1"/>
      <c r="Q1740" s="8"/>
      <c r="R1740" s="8"/>
      <c r="S1740" s="1"/>
      <c r="T1740" s="8"/>
      <c r="U1740" s="8"/>
      <c r="V1740" s="56"/>
      <c r="W1740" s="1"/>
      <c r="X1740" s="1"/>
      <c r="Y1740" s="8"/>
      <c r="Z1740" s="8"/>
      <c r="AA1740" s="8"/>
      <c r="AB1740" s="8"/>
      <c r="AC1740" s="8"/>
      <c r="AD1740" s="8"/>
      <c r="AE1740" s="8"/>
      <c r="AF1740" s="8"/>
      <c r="AG1740" s="8"/>
      <c r="AH1740" s="8"/>
      <c r="AI1740" s="8"/>
    </row>
    <row r="1741" spans="1:35">
      <c r="A1741" s="1"/>
      <c r="B1741" s="8"/>
      <c r="C1741" s="8"/>
      <c r="D1741" s="8"/>
      <c r="E1741" s="8"/>
      <c r="F1741" s="8"/>
      <c r="G1741" s="8"/>
      <c r="H1741" s="8"/>
      <c r="I1741" s="8"/>
      <c r="J1741" s="8"/>
      <c r="K1741" s="8"/>
      <c r="L1741" s="26"/>
      <c r="M1741" s="26"/>
      <c r="N1741" s="26"/>
      <c r="O1741" s="55"/>
      <c r="P1741" s="1"/>
      <c r="Q1741" s="8"/>
      <c r="R1741" s="8"/>
      <c r="S1741" s="1"/>
      <c r="T1741" s="8"/>
      <c r="U1741" s="8"/>
      <c r="V1741" s="56"/>
      <c r="W1741" s="1"/>
      <c r="X1741" s="1"/>
      <c r="Y1741" s="8"/>
      <c r="Z1741" s="8"/>
      <c r="AA1741" s="8"/>
      <c r="AB1741" s="8"/>
      <c r="AC1741" s="8"/>
      <c r="AD1741" s="8"/>
      <c r="AE1741" s="8"/>
      <c r="AF1741" s="8"/>
      <c r="AG1741" s="8"/>
      <c r="AH1741" s="8"/>
      <c r="AI1741" s="8"/>
    </row>
    <row r="1742" spans="1:35">
      <c r="A1742" s="1"/>
      <c r="B1742" s="8"/>
      <c r="C1742" s="8"/>
      <c r="D1742" s="8"/>
      <c r="E1742" s="8"/>
      <c r="F1742" s="8"/>
      <c r="G1742" s="8"/>
      <c r="H1742" s="8"/>
      <c r="I1742" s="8"/>
      <c r="J1742" s="8"/>
      <c r="K1742" s="8"/>
      <c r="L1742" s="26"/>
      <c r="M1742" s="26"/>
      <c r="N1742" s="26"/>
      <c r="O1742" s="55"/>
      <c r="P1742" s="1"/>
      <c r="Q1742" s="8"/>
      <c r="R1742" s="8"/>
      <c r="S1742" s="1"/>
      <c r="T1742" s="8"/>
      <c r="U1742" s="8"/>
      <c r="V1742" s="56"/>
      <c r="W1742" s="1"/>
      <c r="X1742" s="1"/>
      <c r="Y1742" s="8"/>
      <c r="Z1742" s="8"/>
      <c r="AA1742" s="8"/>
      <c r="AB1742" s="8"/>
      <c r="AC1742" s="8"/>
      <c r="AD1742" s="8"/>
      <c r="AE1742" s="8"/>
      <c r="AF1742" s="8"/>
      <c r="AG1742" s="8"/>
      <c r="AH1742" s="8"/>
      <c r="AI1742" s="8"/>
    </row>
    <row r="1743" spans="1:35">
      <c r="A1743" s="1"/>
      <c r="B1743" s="8"/>
      <c r="C1743" s="8"/>
      <c r="D1743" s="8"/>
      <c r="E1743" s="8"/>
      <c r="F1743" s="8"/>
      <c r="G1743" s="8"/>
      <c r="H1743" s="8"/>
      <c r="I1743" s="8"/>
      <c r="J1743" s="8"/>
      <c r="K1743" s="8"/>
      <c r="L1743" s="26"/>
      <c r="M1743" s="26"/>
      <c r="N1743" s="26"/>
      <c r="O1743" s="55"/>
      <c r="P1743" s="1"/>
      <c r="Q1743" s="8"/>
      <c r="R1743" s="8"/>
      <c r="S1743" s="1"/>
      <c r="T1743" s="8"/>
      <c r="U1743" s="8"/>
      <c r="V1743" s="56"/>
      <c r="W1743" s="1"/>
      <c r="X1743" s="1"/>
      <c r="Y1743" s="8"/>
      <c r="Z1743" s="8"/>
      <c r="AA1743" s="8"/>
      <c r="AB1743" s="8"/>
      <c r="AC1743" s="8"/>
      <c r="AD1743" s="8"/>
      <c r="AE1743" s="8"/>
      <c r="AF1743" s="8"/>
      <c r="AG1743" s="8"/>
      <c r="AH1743" s="8"/>
      <c r="AI1743" s="8"/>
    </row>
    <row r="1744" spans="1:35">
      <c r="A1744" s="1"/>
      <c r="B1744" s="8"/>
      <c r="C1744" s="8"/>
      <c r="D1744" s="8"/>
      <c r="E1744" s="8"/>
      <c r="F1744" s="8"/>
      <c r="G1744" s="8"/>
      <c r="H1744" s="8"/>
      <c r="I1744" s="8"/>
      <c r="J1744" s="8"/>
      <c r="K1744" s="8"/>
      <c r="L1744" s="26"/>
      <c r="M1744" s="26"/>
      <c r="N1744" s="26"/>
      <c r="O1744" s="55"/>
      <c r="P1744" s="1"/>
      <c r="Q1744" s="8"/>
      <c r="R1744" s="8"/>
      <c r="S1744" s="1"/>
      <c r="T1744" s="8"/>
      <c r="U1744" s="8"/>
      <c r="V1744" s="56"/>
      <c r="W1744" s="1"/>
      <c r="X1744" s="1"/>
      <c r="Y1744" s="8"/>
      <c r="Z1744" s="8"/>
      <c r="AA1744" s="8"/>
      <c r="AB1744" s="8"/>
      <c r="AC1744" s="8"/>
      <c r="AD1744" s="8"/>
      <c r="AE1744" s="8"/>
      <c r="AF1744" s="8"/>
      <c r="AG1744" s="8"/>
      <c r="AH1744" s="8"/>
      <c r="AI1744" s="8"/>
    </row>
    <row r="1745" spans="1:35">
      <c r="A1745" s="1"/>
      <c r="B1745" s="8"/>
      <c r="C1745" s="8"/>
      <c r="D1745" s="8"/>
      <c r="E1745" s="8"/>
      <c r="F1745" s="8"/>
      <c r="G1745" s="8"/>
      <c r="H1745" s="8"/>
      <c r="I1745" s="8"/>
      <c r="J1745" s="8"/>
      <c r="K1745" s="8"/>
      <c r="L1745" s="26"/>
      <c r="M1745" s="26"/>
      <c r="N1745" s="26"/>
      <c r="O1745" s="55"/>
      <c r="P1745" s="1"/>
      <c r="Q1745" s="8"/>
      <c r="R1745" s="8"/>
      <c r="S1745" s="1"/>
      <c r="T1745" s="8"/>
      <c r="U1745" s="8"/>
      <c r="V1745" s="56"/>
      <c r="W1745" s="1"/>
      <c r="X1745" s="1"/>
      <c r="Y1745" s="8"/>
      <c r="Z1745" s="8"/>
      <c r="AA1745" s="8"/>
      <c r="AB1745" s="8"/>
      <c r="AC1745" s="8"/>
      <c r="AD1745" s="8"/>
      <c r="AE1745" s="8"/>
      <c r="AF1745" s="8"/>
      <c r="AG1745" s="8"/>
      <c r="AH1745" s="8"/>
      <c r="AI1745" s="8"/>
    </row>
    <row r="1746" spans="1:35">
      <c r="A1746" s="1"/>
      <c r="B1746" s="8"/>
      <c r="C1746" s="8"/>
      <c r="D1746" s="8"/>
      <c r="E1746" s="8"/>
      <c r="F1746" s="8"/>
      <c r="G1746" s="8"/>
      <c r="H1746" s="8"/>
      <c r="I1746" s="8"/>
      <c r="J1746" s="8"/>
      <c r="K1746" s="8"/>
      <c r="L1746" s="26"/>
      <c r="M1746" s="26"/>
      <c r="N1746" s="26"/>
      <c r="O1746" s="55"/>
      <c r="P1746" s="1"/>
      <c r="Q1746" s="8"/>
      <c r="R1746" s="8"/>
      <c r="S1746" s="1"/>
      <c r="T1746" s="8"/>
      <c r="U1746" s="8"/>
      <c r="V1746" s="56"/>
      <c r="W1746" s="1"/>
      <c r="X1746" s="1"/>
      <c r="Y1746" s="8"/>
      <c r="Z1746" s="8"/>
      <c r="AA1746" s="8"/>
      <c r="AB1746" s="8"/>
      <c r="AC1746" s="8"/>
      <c r="AD1746" s="8"/>
      <c r="AE1746" s="8"/>
      <c r="AF1746" s="8"/>
      <c r="AG1746" s="8"/>
      <c r="AH1746" s="8"/>
      <c r="AI1746" s="8"/>
    </row>
    <row r="1747" spans="1:35">
      <c r="A1747" s="1"/>
      <c r="B1747" s="8"/>
      <c r="C1747" s="8"/>
      <c r="D1747" s="8"/>
      <c r="E1747" s="8"/>
      <c r="F1747" s="8"/>
      <c r="G1747" s="8"/>
      <c r="H1747" s="8"/>
      <c r="I1747" s="8"/>
      <c r="J1747" s="8"/>
      <c r="K1747" s="8"/>
      <c r="L1747" s="26"/>
      <c r="M1747" s="26"/>
      <c r="N1747" s="26"/>
      <c r="O1747" s="55"/>
      <c r="P1747" s="1"/>
      <c r="Q1747" s="8"/>
      <c r="R1747" s="8"/>
      <c r="S1747" s="1"/>
      <c r="T1747" s="8"/>
      <c r="U1747" s="8"/>
      <c r="V1747" s="56"/>
      <c r="W1747" s="1"/>
      <c r="X1747" s="1"/>
      <c r="Y1747" s="8"/>
      <c r="Z1747" s="8"/>
      <c r="AA1747" s="8"/>
      <c r="AB1747" s="8"/>
      <c r="AC1747" s="8"/>
      <c r="AD1747" s="8"/>
      <c r="AE1747" s="8"/>
      <c r="AF1747" s="8"/>
      <c r="AG1747" s="8"/>
      <c r="AH1747" s="8"/>
      <c r="AI1747" s="8"/>
    </row>
    <row r="1748" spans="1:35">
      <c r="A1748" s="1"/>
      <c r="B1748" s="8"/>
      <c r="C1748" s="8"/>
      <c r="D1748" s="8"/>
      <c r="E1748" s="8"/>
      <c r="F1748" s="8"/>
      <c r="G1748" s="8"/>
      <c r="H1748" s="8"/>
      <c r="I1748" s="8"/>
      <c r="J1748" s="8"/>
      <c r="K1748" s="8"/>
      <c r="L1748" s="26"/>
      <c r="M1748" s="26"/>
      <c r="N1748" s="26"/>
      <c r="O1748" s="55"/>
      <c r="P1748" s="1"/>
      <c r="Q1748" s="8"/>
      <c r="R1748" s="8"/>
      <c r="S1748" s="1"/>
      <c r="T1748" s="8"/>
      <c r="U1748" s="8"/>
      <c r="V1748" s="56"/>
      <c r="W1748" s="1"/>
      <c r="X1748" s="1"/>
      <c r="Y1748" s="8"/>
      <c r="Z1748" s="8"/>
      <c r="AA1748" s="8"/>
      <c r="AB1748" s="8"/>
      <c r="AC1748" s="8"/>
      <c r="AD1748" s="8"/>
      <c r="AE1748" s="8"/>
      <c r="AF1748" s="8"/>
      <c r="AG1748" s="8"/>
      <c r="AH1748" s="8"/>
      <c r="AI1748" s="8"/>
    </row>
    <row r="1749" spans="1:35">
      <c r="A1749" s="1"/>
      <c r="B1749" s="8"/>
      <c r="C1749" s="8"/>
      <c r="D1749" s="8"/>
      <c r="E1749" s="8"/>
      <c r="F1749" s="8"/>
      <c r="G1749" s="8"/>
      <c r="H1749" s="8"/>
      <c r="I1749" s="8"/>
      <c r="J1749" s="8"/>
      <c r="K1749" s="8"/>
      <c r="L1749" s="26"/>
      <c r="M1749" s="26"/>
      <c r="N1749" s="26"/>
      <c r="O1749" s="55"/>
      <c r="P1749" s="1"/>
      <c r="Q1749" s="8"/>
      <c r="R1749" s="8"/>
      <c r="S1749" s="1"/>
      <c r="T1749" s="8"/>
      <c r="U1749" s="8"/>
      <c r="V1749" s="56"/>
      <c r="W1749" s="1"/>
      <c r="X1749" s="1"/>
      <c r="Y1749" s="8"/>
      <c r="Z1749" s="8"/>
      <c r="AA1749" s="8"/>
      <c r="AB1749" s="8"/>
      <c r="AC1749" s="8"/>
      <c r="AD1749" s="8"/>
      <c r="AE1749" s="8"/>
      <c r="AF1749" s="8"/>
      <c r="AG1749" s="8"/>
      <c r="AH1749" s="8"/>
      <c r="AI1749" s="8"/>
    </row>
    <row r="1750" spans="1:35">
      <c r="A1750" s="1"/>
      <c r="B1750" s="8"/>
      <c r="C1750" s="8"/>
      <c r="D1750" s="8"/>
      <c r="E1750" s="8"/>
      <c r="F1750" s="8"/>
      <c r="G1750" s="8"/>
      <c r="H1750" s="8"/>
      <c r="I1750" s="8"/>
      <c r="J1750" s="8"/>
      <c r="K1750" s="8"/>
      <c r="L1750" s="26"/>
      <c r="M1750" s="26"/>
      <c r="N1750" s="26"/>
      <c r="O1750" s="55"/>
      <c r="P1750" s="1"/>
      <c r="Q1750" s="8"/>
      <c r="R1750" s="8"/>
      <c r="S1750" s="1"/>
      <c r="T1750" s="8"/>
      <c r="U1750" s="8"/>
      <c r="V1750" s="56"/>
      <c r="W1750" s="1"/>
      <c r="X1750" s="1"/>
      <c r="Y1750" s="8"/>
      <c r="Z1750" s="8"/>
      <c r="AA1750" s="8"/>
      <c r="AB1750" s="8"/>
      <c r="AC1750" s="8"/>
      <c r="AD1750" s="8"/>
      <c r="AE1750" s="8"/>
      <c r="AF1750" s="8"/>
      <c r="AG1750" s="8"/>
      <c r="AH1750" s="8"/>
      <c r="AI1750" s="8"/>
    </row>
    <row r="1751" spans="1:35">
      <c r="A1751" s="1"/>
      <c r="B1751" s="8"/>
      <c r="C1751" s="8"/>
      <c r="D1751" s="8"/>
      <c r="E1751" s="8"/>
      <c r="F1751" s="8"/>
      <c r="G1751" s="8"/>
      <c r="H1751" s="8"/>
      <c r="I1751" s="8"/>
      <c r="J1751" s="8"/>
      <c r="K1751" s="8"/>
      <c r="L1751" s="26"/>
      <c r="M1751" s="26"/>
      <c r="N1751" s="26"/>
      <c r="O1751" s="55"/>
      <c r="P1751" s="1"/>
      <c r="Q1751" s="8"/>
      <c r="R1751" s="8"/>
      <c r="S1751" s="1"/>
      <c r="T1751" s="8"/>
      <c r="U1751" s="8"/>
      <c r="V1751" s="56"/>
      <c r="W1751" s="1"/>
      <c r="X1751" s="1"/>
      <c r="Y1751" s="8"/>
      <c r="Z1751" s="8"/>
      <c r="AA1751" s="8"/>
      <c r="AB1751" s="8"/>
      <c r="AC1751" s="8"/>
      <c r="AD1751" s="8"/>
      <c r="AE1751" s="8"/>
      <c r="AF1751" s="8"/>
      <c r="AG1751" s="8"/>
      <c r="AH1751" s="8"/>
      <c r="AI1751" s="8"/>
    </row>
    <row r="1752" spans="1:35">
      <c r="A1752" s="1"/>
      <c r="B1752" s="8"/>
      <c r="C1752" s="8"/>
      <c r="D1752" s="8"/>
      <c r="E1752" s="8"/>
      <c r="F1752" s="8"/>
      <c r="G1752" s="8"/>
      <c r="H1752" s="8"/>
      <c r="I1752" s="8"/>
      <c r="J1752" s="8"/>
      <c r="K1752" s="8"/>
      <c r="L1752" s="26"/>
      <c r="M1752" s="26"/>
      <c r="N1752" s="26"/>
      <c r="O1752" s="55"/>
      <c r="P1752" s="1"/>
      <c r="Q1752" s="8"/>
      <c r="R1752" s="8"/>
      <c r="S1752" s="1"/>
      <c r="T1752" s="8"/>
      <c r="U1752" s="8"/>
      <c r="V1752" s="56"/>
      <c r="W1752" s="1"/>
      <c r="X1752" s="1"/>
      <c r="Y1752" s="8"/>
      <c r="Z1752" s="8"/>
      <c r="AA1752" s="8"/>
      <c r="AB1752" s="8"/>
      <c r="AC1752" s="8"/>
      <c r="AD1752" s="8"/>
      <c r="AE1752" s="8"/>
      <c r="AF1752" s="8"/>
      <c r="AG1752" s="8"/>
      <c r="AH1752" s="8"/>
      <c r="AI1752" s="8"/>
    </row>
    <row r="1753" spans="1:35">
      <c r="A1753" s="1"/>
      <c r="B1753" s="8"/>
      <c r="C1753" s="8"/>
      <c r="D1753" s="8"/>
      <c r="E1753" s="8"/>
      <c r="F1753" s="8"/>
      <c r="G1753" s="8"/>
      <c r="H1753" s="8"/>
      <c r="I1753" s="8"/>
      <c r="J1753" s="8"/>
      <c r="K1753" s="8"/>
      <c r="L1753" s="26"/>
      <c r="M1753" s="26"/>
      <c r="N1753" s="26"/>
      <c r="O1753" s="55"/>
      <c r="P1753" s="1"/>
      <c r="Q1753" s="8"/>
      <c r="R1753" s="8"/>
      <c r="S1753" s="1"/>
      <c r="T1753" s="8"/>
      <c r="U1753" s="8"/>
      <c r="V1753" s="56"/>
      <c r="W1753" s="1"/>
      <c r="X1753" s="1"/>
      <c r="Y1753" s="8"/>
      <c r="Z1753" s="8"/>
      <c r="AA1753" s="8"/>
      <c r="AB1753" s="8"/>
      <c r="AC1753" s="8"/>
      <c r="AD1753" s="8"/>
      <c r="AE1753" s="8"/>
      <c r="AF1753" s="8"/>
      <c r="AG1753" s="8"/>
      <c r="AH1753" s="8"/>
      <c r="AI1753" s="8"/>
    </row>
    <row r="1754" spans="1:35">
      <c r="A1754" s="1"/>
      <c r="B1754" s="8"/>
      <c r="C1754" s="8"/>
      <c r="D1754" s="8"/>
      <c r="E1754" s="8"/>
      <c r="F1754" s="8"/>
      <c r="G1754" s="8"/>
      <c r="H1754" s="8"/>
      <c r="I1754" s="8"/>
      <c r="J1754" s="8"/>
      <c r="K1754" s="8"/>
      <c r="L1754" s="26"/>
      <c r="M1754" s="26"/>
      <c r="N1754" s="26"/>
      <c r="O1754" s="55"/>
      <c r="P1754" s="1"/>
      <c r="Q1754" s="8"/>
      <c r="R1754" s="8"/>
      <c r="S1754" s="1"/>
      <c r="T1754" s="8"/>
      <c r="U1754" s="8"/>
      <c r="V1754" s="56"/>
      <c r="W1754" s="1"/>
      <c r="X1754" s="1"/>
      <c r="Y1754" s="8"/>
      <c r="Z1754" s="8"/>
      <c r="AA1754" s="8"/>
      <c r="AB1754" s="8"/>
      <c r="AC1754" s="8"/>
      <c r="AD1754" s="8"/>
      <c r="AE1754" s="8"/>
      <c r="AF1754" s="8"/>
      <c r="AG1754" s="8"/>
      <c r="AH1754" s="8"/>
      <c r="AI1754" s="8"/>
    </row>
    <row r="1755" spans="1:35">
      <c r="A1755" s="1"/>
      <c r="B1755" s="8"/>
      <c r="C1755" s="8"/>
      <c r="D1755" s="8"/>
      <c r="E1755" s="8"/>
      <c r="F1755" s="8"/>
      <c r="G1755" s="8"/>
      <c r="H1755" s="8"/>
      <c r="I1755" s="8"/>
      <c r="J1755" s="8"/>
      <c r="K1755" s="8"/>
      <c r="L1755" s="26"/>
      <c r="M1755" s="26"/>
      <c r="N1755" s="26"/>
      <c r="O1755" s="55"/>
      <c r="P1755" s="1"/>
      <c r="Q1755" s="8"/>
      <c r="R1755" s="8"/>
      <c r="S1755" s="1"/>
      <c r="T1755" s="8"/>
      <c r="U1755" s="8"/>
      <c r="V1755" s="56"/>
      <c r="W1755" s="1"/>
      <c r="X1755" s="1"/>
      <c r="Y1755" s="8"/>
      <c r="Z1755" s="8"/>
      <c r="AA1755" s="8"/>
      <c r="AB1755" s="8"/>
      <c r="AC1755" s="8"/>
      <c r="AD1755" s="8"/>
      <c r="AE1755" s="8"/>
      <c r="AF1755" s="8"/>
      <c r="AG1755" s="8"/>
      <c r="AH1755" s="8"/>
      <c r="AI1755" s="8"/>
    </row>
    <row r="1756" spans="1:35">
      <c r="A1756" s="1"/>
      <c r="B1756" s="8"/>
      <c r="C1756" s="8"/>
      <c r="D1756" s="8"/>
      <c r="E1756" s="8"/>
      <c r="F1756" s="8"/>
      <c r="G1756" s="8"/>
      <c r="H1756" s="8"/>
      <c r="I1756" s="8"/>
      <c r="J1756" s="8"/>
      <c r="K1756" s="8"/>
      <c r="L1756" s="26"/>
      <c r="M1756" s="26"/>
      <c r="N1756" s="26"/>
      <c r="O1756" s="55"/>
      <c r="P1756" s="1"/>
      <c r="Q1756" s="8"/>
      <c r="R1756" s="8"/>
      <c r="S1756" s="1"/>
      <c r="T1756" s="8"/>
      <c r="U1756" s="8"/>
      <c r="V1756" s="56"/>
      <c r="W1756" s="1"/>
      <c r="X1756" s="1"/>
      <c r="Y1756" s="8"/>
      <c r="Z1756" s="8"/>
      <c r="AA1756" s="8"/>
      <c r="AB1756" s="8"/>
      <c r="AC1756" s="8"/>
      <c r="AD1756" s="8"/>
      <c r="AE1756" s="8"/>
      <c r="AF1756" s="8"/>
      <c r="AG1756" s="8"/>
      <c r="AH1756" s="8"/>
      <c r="AI1756" s="8"/>
    </row>
    <row r="1757" spans="1:35">
      <c r="A1757" s="1"/>
      <c r="B1757" s="8"/>
      <c r="C1757" s="8"/>
      <c r="D1757" s="8"/>
      <c r="E1757" s="8"/>
      <c r="F1757" s="8"/>
      <c r="G1757" s="8"/>
      <c r="H1757" s="8"/>
      <c r="I1757" s="8"/>
      <c r="J1757" s="8"/>
      <c r="K1757" s="8"/>
      <c r="L1757" s="26"/>
      <c r="M1757" s="26"/>
      <c r="N1757" s="26"/>
      <c r="O1757" s="55"/>
      <c r="P1757" s="1"/>
      <c r="Q1757" s="8"/>
      <c r="R1757" s="8"/>
      <c r="S1757" s="1"/>
      <c r="T1757" s="8"/>
      <c r="U1757" s="8"/>
      <c r="V1757" s="56"/>
      <c r="W1757" s="1"/>
      <c r="X1757" s="1"/>
      <c r="Y1757" s="8"/>
      <c r="Z1757" s="8"/>
      <c r="AA1757" s="8"/>
      <c r="AB1757" s="8"/>
      <c r="AC1757" s="8"/>
      <c r="AD1757" s="8"/>
      <c r="AE1757" s="8"/>
      <c r="AF1757" s="8"/>
      <c r="AG1757" s="8"/>
      <c r="AH1757" s="8"/>
      <c r="AI1757" s="8"/>
    </row>
    <row r="1758" spans="1:35">
      <c r="A1758" s="1"/>
      <c r="B1758" s="8"/>
      <c r="C1758" s="8"/>
      <c r="D1758" s="8"/>
      <c r="E1758" s="8"/>
      <c r="F1758" s="8"/>
      <c r="G1758" s="8"/>
      <c r="H1758" s="8"/>
      <c r="I1758" s="8"/>
      <c r="J1758" s="8"/>
      <c r="K1758" s="8"/>
      <c r="L1758" s="26"/>
      <c r="M1758" s="26"/>
      <c r="N1758" s="26"/>
      <c r="O1758" s="55"/>
      <c r="P1758" s="1"/>
      <c r="Q1758" s="8"/>
      <c r="R1758" s="8"/>
      <c r="S1758" s="1"/>
      <c r="T1758" s="8"/>
      <c r="U1758" s="8"/>
      <c r="V1758" s="56"/>
      <c r="W1758" s="1"/>
      <c r="X1758" s="1"/>
      <c r="Y1758" s="8"/>
      <c r="Z1758" s="8"/>
      <c r="AA1758" s="8"/>
      <c r="AB1758" s="8"/>
      <c r="AC1758" s="8"/>
      <c r="AD1758" s="8"/>
      <c r="AE1758" s="8"/>
      <c r="AF1758" s="8"/>
      <c r="AG1758" s="8"/>
      <c r="AH1758" s="8"/>
      <c r="AI1758" s="8"/>
    </row>
    <row r="1759" spans="1:35">
      <c r="A1759" s="1"/>
      <c r="B1759" s="8"/>
      <c r="C1759" s="8"/>
      <c r="D1759" s="8"/>
      <c r="E1759" s="8"/>
      <c r="F1759" s="8"/>
      <c r="G1759" s="8"/>
      <c r="H1759" s="8"/>
      <c r="I1759" s="8"/>
      <c r="J1759" s="8"/>
      <c r="K1759" s="8"/>
      <c r="L1759" s="26"/>
      <c r="M1759" s="26"/>
      <c r="N1759" s="26"/>
      <c r="O1759" s="55"/>
      <c r="P1759" s="1"/>
      <c r="Q1759" s="8"/>
      <c r="R1759" s="8"/>
      <c r="S1759" s="1"/>
      <c r="T1759" s="8"/>
      <c r="U1759" s="8"/>
      <c r="V1759" s="56"/>
      <c r="W1759" s="1"/>
      <c r="X1759" s="1"/>
      <c r="Y1759" s="8"/>
      <c r="Z1759" s="8"/>
      <c r="AA1759" s="8"/>
      <c r="AB1759" s="8"/>
      <c r="AC1759" s="8"/>
      <c r="AD1759" s="8"/>
      <c r="AE1759" s="8"/>
      <c r="AF1759" s="8"/>
      <c r="AG1759" s="8"/>
      <c r="AH1759" s="8"/>
      <c r="AI1759" s="8"/>
    </row>
    <row r="1760" spans="1:35">
      <c r="A1760" s="1"/>
      <c r="B1760" s="8"/>
      <c r="C1760" s="8"/>
      <c r="D1760" s="8"/>
      <c r="E1760" s="8"/>
      <c r="F1760" s="8"/>
      <c r="G1760" s="8"/>
      <c r="H1760" s="8"/>
      <c r="I1760" s="8"/>
      <c r="J1760" s="8"/>
      <c r="K1760" s="8"/>
      <c r="L1760" s="26"/>
      <c r="M1760" s="26"/>
      <c r="N1760" s="26"/>
      <c r="O1760" s="55"/>
      <c r="P1760" s="1"/>
      <c r="Q1760" s="8"/>
      <c r="R1760" s="8"/>
      <c r="S1760" s="1"/>
      <c r="T1760" s="8"/>
      <c r="U1760" s="8"/>
      <c r="V1760" s="56"/>
      <c r="W1760" s="1"/>
      <c r="X1760" s="1"/>
      <c r="Y1760" s="8"/>
      <c r="Z1760" s="8"/>
      <c r="AA1760" s="8"/>
      <c r="AB1760" s="8"/>
      <c r="AC1760" s="8"/>
      <c r="AD1760" s="8"/>
      <c r="AE1760" s="8"/>
      <c r="AF1760" s="8"/>
      <c r="AG1760" s="8"/>
      <c r="AH1760" s="8"/>
      <c r="AI1760" s="8"/>
    </row>
    <row r="1761" spans="1:35">
      <c r="A1761" s="1"/>
      <c r="B1761" s="8"/>
      <c r="C1761" s="8"/>
      <c r="D1761" s="8"/>
      <c r="E1761" s="8"/>
      <c r="F1761" s="8"/>
      <c r="G1761" s="8"/>
      <c r="H1761" s="8"/>
      <c r="I1761" s="8"/>
      <c r="J1761" s="8"/>
      <c r="K1761" s="8"/>
      <c r="L1761" s="26"/>
      <c r="M1761" s="26"/>
      <c r="N1761" s="26"/>
      <c r="O1761" s="55"/>
      <c r="P1761" s="1"/>
      <c r="Q1761" s="8"/>
      <c r="R1761" s="8"/>
      <c r="S1761" s="1"/>
      <c r="T1761" s="8"/>
      <c r="U1761" s="8"/>
      <c r="V1761" s="56"/>
      <c r="W1761" s="1"/>
      <c r="X1761" s="1"/>
      <c r="Y1761" s="8"/>
      <c r="Z1761" s="8"/>
      <c r="AA1761" s="8"/>
      <c r="AB1761" s="8"/>
      <c r="AC1761" s="8"/>
      <c r="AD1761" s="8"/>
      <c r="AE1761" s="8"/>
      <c r="AF1761" s="8"/>
      <c r="AG1761" s="8"/>
      <c r="AH1761" s="8"/>
      <c r="AI1761" s="8"/>
    </row>
    <row r="1762" spans="1:35">
      <c r="A1762" s="1"/>
      <c r="B1762" s="8"/>
      <c r="C1762" s="8"/>
      <c r="D1762" s="8"/>
      <c r="E1762" s="8"/>
      <c r="F1762" s="8"/>
      <c r="G1762" s="8"/>
      <c r="H1762" s="8"/>
      <c r="I1762" s="8"/>
      <c r="J1762" s="8"/>
      <c r="K1762" s="8"/>
      <c r="L1762" s="26"/>
      <c r="M1762" s="26"/>
      <c r="N1762" s="26"/>
      <c r="O1762" s="55"/>
      <c r="P1762" s="1"/>
      <c r="Q1762" s="8"/>
      <c r="R1762" s="8"/>
      <c r="S1762" s="1"/>
      <c r="T1762" s="8"/>
      <c r="U1762" s="8"/>
      <c r="V1762" s="56"/>
      <c r="W1762" s="1"/>
      <c r="X1762" s="1"/>
      <c r="Y1762" s="8"/>
      <c r="Z1762" s="8"/>
      <c r="AA1762" s="8"/>
      <c r="AB1762" s="8"/>
      <c r="AC1762" s="8"/>
      <c r="AD1762" s="8"/>
      <c r="AE1762" s="8"/>
      <c r="AF1762" s="8"/>
      <c r="AG1762" s="8"/>
      <c r="AH1762" s="8"/>
      <c r="AI1762" s="8"/>
    </row>
    <row r="1763" spans="1:35">
      <c r="A1763" s="1"/>
      <c r="B1763" s="8"/>
      <c r="C1763" s="8"/>
      <c r="D1763" s="8"/>
      <c r="E1763" s="8"/>
      <c r="F1763" s="8"/>
      <c r="G1763" s="8"/>
      <c r="H1763" s="8"/>
      <c r="I1763" s="8"/>
      <c r="J1763" s="8"/>
      <c r="K1763" s="8"/>
      <c r="L1763" s="26"/>
      <c r="M1763" s="26"/>
      <c r="N1763" s="26"/>
      <c r="O1763" s="55"/>
      <c r="P1763" s="1"/>
      <c r="Q1763" s="8"/>
      <c r="R1763" s="8"/>
      <c r="S1763" s="1"/>
      <c r="T1763" s="8"/>
      <c r="U1763" s="8"/>
      <c r="V1763" s="56"/>
      <c r="W1763" s="1"/>
      <c r="X1763" s="1"/>
      <c r="Y1763" s="8"/>
      <c r="Z1763" s="8"/>
      <c r="AA1763" s="8"/>
      <c r="AB1763" s="8"/>
      <c r="AC1763" s="8"/>
      <c r="AD1763" s="8"/>
      <c r="AE1763" s="8"/>
      <c r="AF1763" s="8"/>
      <c r="AG1763" s="8"/>
      <c r="AH1763" s="8"/>
      <c r="AI1763" s="8"/>
    </row>
    <row r="1764" spans="1:35">
      <c r="A1764" s="1"/>
      <c r="B1764" s="8"/>
      <c r="C1764" s="8"/>
      <c r="D1764" s="8"/>
      <c r="E1764" s="8"/>
      <c r="F1764" s="8"/>
      <c r="G1764" s="8"/>
      <c r="H1764" s="8"/>
      <c r="I1764" s="8"/>
      <c r="J1764" s="8"/>
      <c r="K1764" s="8"/>
      <c r="L1764" s="26"/>
      <c r="M1764" s="26"/>
      <c r="N1764" s="26"/>
      <c r="O1764" s="55"/>
      <c r="P1764" s="1"/>
      <c r="Q1764" s="8"/>
      <c r="R1764" s="8"/>
      <c r="S1764" s="1"/>
      <c r="T1764" s="8"/>
      <c r="U1764" s="8"/>
      <c r="V1764" s="56"/>
      <c r="W1764" s="1"/>
      <c r="X1764" s="1"/>
      <c r="Y1764" s="8"/>
      <c r="Z1764" s="8"/>
      <c r="AA1764" s="8"/>
      <c r="AB1764" s="8"/>
      <c r="AC1764" s="8"/>
      <c r="AD1764" s="8"/>
      <c r="AE1764" s="8"/>
      <c r="AF1764" s="8"/>
      <c r="AG1764" s="8"/>
      <c r="AH1764" s="8"/>
      <c r="AI1764" s="8"/>
    </row>
    <row r="1765" spans="1:35">
      <c r="A1765" s="1"/>
      <c r="B1765" s="8"/>
      <c r="C1765" s="8"/>
      <c r="D1765" s="8"/>
      <c r="E1765" s="8"/>
      <c r="F1765" s="8"/>
      <c r="G1765" s="8"/>
      <c r="H1765" s="8"/>
      <c r="I1765" s="8"/>
      <c r="J1765" s="8"/>
      <c r="K1765" s="8"/>
      <c r="L1765" s="26"/>
      <c r="M1765" s="26"/>
      <c r="N1765" s="26"/>
      <c r="O1765" s="55"/>
      <c r="P1765" s="1"/>
      <c r="Q1765" s="8"/>
      <c r="R1765" s="8"/>
      <c r="S1765" s="1"/>
      <c r="T1765" s="8"/>
      <c r="U1765" s="8"/>
      <c r="V1765" s="56"/>
      <c r="W1765" s="1"/>
      <c r="X1765" s="1"/>
      <c r="Y1765" s="8"/>
      <c r="Z1765" s="8"/>
      <c r="AA1765" s="8"/>
      <c r="AB1765" s="8"/>
      <c r="AC1765" s="8"/>
      <c r="AD1765" s="8"/>
      <c r="AE1765" s="8"/>
      <c r="AF1765" s="8"/>
      <c r="AG1765" s="8"/>
      <c r="AH1765" s="8"/>
      <c r="AI1765" s="8"/>
    </row>
    <row r="1766" spans="1:35">
      <c r="A1766" s="1"/>
      <c r="B1766" s="8"/>
      <c r="C1766" s="8"/>
      <c r="D1766" s="8"/>
      <c r="E1766" s="8"/>
      <c r="F1766" s="8"/>
      <c r="G1766" s="8"/>
      <c r="H1766" s="8"/>
      <c r="I1766" s="8"/>
      <c r="J1766" s="8"/>
      <c r="K1766" s="8"/>
      <c r="L1766" s="26"/>
      <c r="M1766" s="26"/>
      <c r="N1766" s="26"/>
      <c r="O1766" s="55"/>
      <c r="P1766" s="1"/>
      <c r="Q1766" s="8"/>
      <c r="R1766" s="8"/>
      <c r="S1766" s="1"/>
      <c r="T1766" s="8"/>
      <c r="U1766" s="8"/>
      <c r="V1766" s="56"/>
      <c r="W1766" s="1"/>
      <c r="X1766" s="1"/>
      <c r="Y1766" s="8"/>
      <c r="Z1766" s="8"/>
      <c r="AA1766" s="8"/>
      <c r="AB1766" s="8"/>
      <c r="AC1766" s="8"/>
      <c r="AD1766" s="8"/>
      <c r="AE1766" s="8"/>
      <c r="AF1766" s="8"/>
      <c r="AG1766" s="8"/>
      <c r="AH1766" s="8"/>
      <c r="AI1766" s="8"/>
    </row>
    <row r="1767" spans="1:35">
      <c r="A1767" s="1"/>
      <c r="B1767" s="8"/>
      <c r="C1767" s="8"/>
      <c r="D1767" s="8"/>
      <c r="E1767" s="8"/>
      <c r="F1767" s="8"/>
      <c r="G1767" s="8"/>
      <c r="H1767" s="8"/>
      <c r="I1767" s="8"/>
      <c r="J1767" s="8"/>
      <c r="K1767" s="8"/>
      <c r="L1767" s="26"/>
      <c r="M1767" s="26"/>
      <c r="N1767" s="26"/>
      <c r="O1767" s="55"/>
      <c r="P1767" s="1"/>
      <c r="Q1767" s="8"/>
      <c r="R1767" s="8"/>
      <c r="S1767" s="1"/>
      <c r="T1767" s="8"/>
      <c r="U1767" s="8"/>
      <c r="V1767" s="56"/>
      <c r="W1767" s="1"/>
      <c r="X1767" s="1"/>
      <c r="Y1767" s="8"/>
      <c r="Z1767" s="8"/>
      <c r="AA1767" s="8"/>
      <c r="AB1767" s="8"/>
      <c r="AC1767" s="8"/>
      <c r="AD1767" s="8"/>
      <c r="AE1767" s="8"/>
      <c r="AF1767" s="8"/>
      <c r="AG1767" s="8"/>
      <c r="AH1767" s="8"/>
      <c r="AI1767" s="8"/>
    </row>
    <row r="1768" spans="1:35">
      <c r="A1768" s="1"/>
      <c r="B1768" s="8"/>
      <c r="C1768" s="8"/>
      <c r="D1768" s="8"/>
      <c r="E1768" s="8"/>
      <c r="F1768" s="8"/>
      <c r="G1768" s="8"/>
      <c r="H1768" s="8"/>
      <c r="I1768" s="8"/>
      <c r="J1768" s="8"/>
      <c r="K1768" s="8"/>
      <c r="L1768" s="26"/>
      <c r="M1768" s="26"/>
      <c r="N1768" s="26"/>
      <c r="O1768" s="55"/>
      <c r="P1768" s="1"/>
      <c r="Q1768" s="8"/>
      <c r="R1768" s="8"/>
      <c r="S1768" s="1"/>
      <c r="T1768" s="8"/>
      <c r="U1768" s="8"/>
      <c r="V1768" s="56"/>
      <c r="W1768" s="1"/>
      <c r="X1768" s="1"/>
      <c r="Y1768" s="8"/>
      <c r="Z1768" s="8"/>
      <c r="AA1768" s="8"/>
      <c r="AB1768" s="8"/>
      <c r="AC1768" s="8"/>
      <c r="AD1768" s="8"/>
      <c r="AE1768" s="8"/>
      <c r="AF1768" s="8"/>
      <c r="AG1768" s="8"/>
      <c r="AH1768" s="8"/>
      <c r="AI1768" s="8"/>
    </row>
    <row r="1769" spans="1:35">
      <c r="A1769" s="1"/>
      <c r="B1769" s="8"/>
      <c r="C1769" s="8"/>
      <c r="D1769" s="8"/>
      <c r="E1769" s="8"/>
      <c r="F1769" s="8"/>
      <c r="G1769" s="8"/>
      <c r="H1769" s="8"/>
      <c r="I1769" s="8"/>
      <c r="J1769" s="8"/>
      <c r="K1769" s="8"/>
      <c r="L1769" s="26"/>
      <c r="M1769" s="26"/>
      <c r="N1769" s="26"/>
      <c r="O1769" s="55"/>
      <c r="P1769" s="1"/>
      <c r="Q1769" s="8"/>
      <c r="R1769" s="8"/>
      <c r="S1769" s="1"/>
      <c r="T1769" s="8"/>
      <c r="U1769" s="8"/>
      <c r="V1769" s="56"/>
      <c r="W1769" s="1"/>
      <c r="X1769" s="1"/>
      <c r="Y1769" s="8"/>
      <c r="Z1769" s="8"/>
      <c r="AA1769" s="8"/>
      <c r="AB1769" s="8"/>
      <c r="AC1769" s="8"/>
      <c r="AD1769" s="8"/>
      <c r="AE1769" s="8"/>
      <c r="AF1769" s="8"/>
      <c r="AG1769" s="8"/>
      <c r="AH1769" s="8"/>
      <c r="AI1769" s="8"/>
    </row>
    <row r="1770" spans="1:35">
      <c r="A1770" s="1"/>
      <c r="B1770" s="8"/>
      <c r="C1770" s="8"/>
      <c r="D1770" s="8"/>
      <c r="E1770" s="8"/>
      <c r="F1770" s="8"/>
      <c r="G1770" s="8"/>
      <c r="H1770" s="8"/>
      <c r="I1770" s="8"/>
      <c r="J1770" s="8"/>
      <c r="K1770" s="8"/>
      <c r="L1770" s="26"/>
      <c r="M1770" s="26"/>
      <c r="N1770" s="26"/>
      <c r="O1770" s="55"/>
      <c r="P1770" s="1"/>
      <c r="Q1770" s="8"/>
      <c r="R1770" s="8"/>
      <c r="S1770" s="1"/>
      <c r="T1770" s="8"/>
      <c r="U1770" s="8"/>
      <c r="V1770" s="56"/>
      <c r="W1770" s="1"/>
      <c r="X1770" s="1"/>
      <c r="Y1770" s="8"/>
      <c r="Z1770" s="8"/>
      <c r="AA1770" s="8"/>
      <c r="AB1770" s="8"/>
      <c r="AC1770" s="8"/>
      <c r="AD1770" s="8"/>
      <c r="AE1770" s="8"/>
      <c r="AF1770" s="8"/>
      <c r="AG1770" s="8"/>
      <c r="AH1770" s="8"/>
      <c r="AI1770" s="8"/>
    </row>
    <row r="1771" spans="1:35">
      <c r="A1771" s="1"/>
      <c r="B1771" s="8"/>
      <c r="C1771" s="8"/>
      <c r="D1771" s="8"/>
      <c r="E1771" s="8"/>
      <c r="F1771" s="8"/>
      <c r="G1771" s="8"/>
      <c r="H1771" s="8"/>
      <c r="I1771" s="8"/>
      <c r="J1771" s="8"/>
      <c r="K1771" s="8"/>
      <c r="L1771" s="26"/>
      <c r="M1771" s="26"/>
      <c r="N1771" s="26"/>
      <c r="O1771" s="55"/>
      <c r="P1771" s="1"/>
      <c r="Q1771" s="8"/>
      <c r="R1771" s="8"/>
      <c r="S1771" s="1"/>
      <c r="T1771" s="8"/>
      <c r="U1771" s="8"/>
      <c r="V1771" s="56"/>
      <c r="W1771" s="1"/>
      <c r="X1771" s="1"/>
      <c r="Y1771" s="8"/>
      <c r="Z1771" s="8"/>
      <c r="AA1771" s="8"/>
      <c r="AB1771" s="8"/>
      <c r="AC1771" s="8"/>
      <c r="AD1771" s="8"/>
      <c r="AE1771" s="8"/>
      <c r="AF1771" s="8"/>
      <c r="AG1771" s="8"/>
      <c r="AH1771" s="8"/>
      <c r="AI1771" s="8"/>
    </row>
    <row r="1772" spans="1:35">
      <c r="A1772" s="1"/>
      <c r="B1772" s="8"/>
      <c r="C1772" s="8"/>
      <c r="D1772" s="8"/>
      <c r="E1772" s="8"/>
      <c r="F1772" s="8"/>
      <c r="G1772" s="8"/>
      <c r="H1772" s="8"/>
      <c r="I1772" s="8"/>
      <c r="J1772" s="8"/>
      <c r="K1772" s="8"/>
      <c r="L1772" s="26"/>
      <c r="M1772" s="26"/>
      <c r="N1772" s="26"/>
      <c r="O1772" s="55"/>
      <c r="P1772" s="1"/>
      <c r="Q1772" s="8"/>
      <c r="R1772" s="8"/>
      <c r="S1772" s="1"/>
      <c r="T1772" s="8"/>
      <c r="U1772" s="8"/>
      <c r="V1772" s="56"/>
      <c r="W1772" s="1"/>
      <c r="X1772" s="1"/>
      <c r="Y1772" s="8"/>
      <c r="Z1772" s="8"/>
      <c r="AA1772" s="8"/>
      <c r="AB1772" s="8"/>
      <c r="AC1772" s="8"/>
      <c r="AD1772" s="8"/>
      <c r="AE1772" s="8"/>
      <c r="AF1772" s="8"/>
      <c r="AG1772" s="8"/>
      <c r="AH1772" s="8"/>
      <c r="AI1772" s="8"/>
    </row>
    <row r="1773" spans="1:35">
      <c r="A1773" s="1"/>
      <c r="B1773" s="8"/>
      <c r="C1773" s="8"/>
      <c r="D1773" s="8"/>
      <c r="E1773" s="8"/>
      <c r="F1773" s="8"/>
      <c r="G1773" s="8"/>
      <c r="H1773" s="8"/>
      <c r="I1773" s="8"/>
      <c r="J1773" s="8"/>
      <c r="K1773" s="8"/>
      <c r="L1773" s="26"/>
      <c r="M1773" s="26"/>
      <c r="N1773" s="26"/>
      <c r="O1773" s="55"/>
      <c r="P1773" s="1"/>
      <c r="Q1773" s="8"/>
      <c r="R1773" s="8"/>
      <c r="S1773" s="1"/>
      <c r="T1773" s="8"/>
      <c r="U1773" s="8"/>
      <c r="V1773" s="56"/>
      <c r="W1773" s="1"/>
      <c r="X1773" s="1"/>
      <c r="Y1773" s="8"/>
      <c r="Z1773" s="8"/>
      <c r="AA1773" s="8"/>
      <c r="AB1773" s="8"/>
      <c r="AC1773" s="8"/>
      <c r="AD1773" s="8"/>
      <c r="AE1773" s="8"/>
      <c r="AF1773" s="8"/>
      <c r="AG1773" s="8"/>
      <c r="AH1773" s="8"/>
      <c r="AI1773" s="8"/>
    </row>
    <row r="1774" spans="1:35">
      <c r="A1774" s="1"/>
      <c r="B1774" s="8"/>
      <c r="C1774" s="8"/>
      <c r="D1774" s="8"/>
      <c r="E1774" s="8"/>
      <c r="F1774" s="8"/>
      <c r="G1774" s="8"/>
      <c r="H1774" s="8"/>
      <c r="I1774" s="8"/>
      <c r="J1774" s="8"/>
      <c r="K1774" s="8"/>
      <c r="L1774" s="26"/>
      <c r="M1774" s="26"/>
      <c r="N1774" s="26"/>
      <c r="O1774" s="55"/>
      <c r="P1774" s="1"/>
      <c r="Q1774" s="8"/>
      <c r="R1774" s="8"/>
      <c r="S1774" s="1"/>
      <c r="T1774" s="8"/>
      <c r="U1774" s="8"/>
      <c r="V1774" s="56"/>
      <c r="W1774" s="1"/>
      <c r="X1774" s="1"/>
      <c r="Y1774" s="8"/>
      <c r="Z1774" s="8"/>
      <c r="AA1774" s="8"/>
      <c r="AB1774" s="8"/>
      <c r="AC1774" s="8"/>
      <c r="AD1774" s="8"/>
      <c r="AE1774" s="8"/>
      <c r="AF1774" s="8"/>
      <c r="AG1774" s="8"/>
      <c r="AH1774" s="8"/>
      <c r="AI1774" s="8"/>
    </row>
    <row r="1775" spans="1:35">
      <c r="A1775" s="1"/>
      <c r="B1775" s="8"/>
      <c r="C1775" s="8"/>
      <c r="D1775" s="8"/>
      <c r="E1775" s="8"/>
      <c r="F1775" s="8"/>
      <c r="G1775" s="8"/>
      <c r="H1775" s="8"/>
      <c r="I1775" s="8"/>
      <c r="J1775" s="8"/>
      <c r="K1775" s="8"/>
      <c r="L1775" s="26"/>
      <c r="M1775" s="26"/>
      <c r="N1775" s="26"/>
      <c r="O1775" s="55"/>
      <c r="P1775" s="1"/>
      <c r="Q1775" s="8"/>
      <c r="R1775" s="8"/>
      <c r="S1775" s="1"/>
      <c r="T1775" s="8"/>
      <c r="U1775" s="8"/>
      <c r="V1775" s="56"/>
      <c r="W1775" s="1"/>
      <c r="X1775" s="1"/>
      <c r="Y1775" s="8"/>
      <c r="Z1775" s="8"/>
      <c r="AA1775" s="8"/>
      <c r="AB1775" s="8"/>
      <c r="AC1775" s="8"/>
      <c r="AD1775" s="8"/>
      <c r="AE1775" s="8"/>
      <c r="AF1775" s="8"/>
      <c r="AG1775" s="8"/>
      <c r="AH1775" s="8"/>
      <c r="AI1775" s="8"/>
    </row>
    <row r="1776" spans="1:35">
      <c r="A1776" s="1"/>
      <c r="B1776" s="8"/>
      <c r="C1776" s="8"/>
      <c r="D1776" s="8"/>
      <c r="E1776" s="8"/>
      <c r="F1776" s="8"/>
      <c r="G1776" s="8"/>
      <c r="H1776" s="8"/>
      <c r="I1776" s="8"/>
      <c r="J1776" s="8"/>
      <c r="K1776" s="8"/>
      <c r="L1776" s="26"/>
      <c r="M1776" s="26"/>
      <c r="N1776" s="26"/>
      <c r="O1776" s="55"/>
      <c r="P1776" s="1"/>
      <c r="Q1776" s="8"/>
      <c r="R1776" s="8"/>
      <c r="S1776" s="1"/>
      <c r="T1776" s="8"/>
      <c r="U1776" s="8"/>
      <c r="V1776" s="56"/>
      <c r="W1776" s="1"/>
      <c r="X1776" s="1"/>
      <c r="Y1776" s="8"/>
      <c r="Z1776" s="8"/>
      <c r="AA1776" s="8"/>
      <c r="AB1776" s="8"/>
      <c r="AC1776" s="8"/>
      <c r="AD1776" s="8"/>
      <c r="AE1776" s="8"/>
      <c r="AF1776" s="8"/>
      <c r="AG1776" s="8"/>
      <c r="AH1776" s="8"/>
      <c r="AI1776" s="8"/>
    </row>
    <row r="1777" spans="1:35">
      <c r="A1777" s="1"/>
      <c r="B1777" s="8"/>
      <c r="C1777" s="8"/>
      <c r="D1777" s="8"/>
      <c r="E1777" s="8"/>
      <c r="F1777" s="8"/>
      <c r="G1777" s="8"/>
      <c r="H1777" s="8"/>
      <c r="I1777" s="8"/>
      <c r="J1777" s="8"/>
      <c r="K1777" s="8"/>
      <c r="L1777" s="26"/>
      <c r="M1777" s="26"/>
      <c r="N1777" s="26"/>
      <c r="O1777" s="55"/>
      <c r="P1777" s="1"/>
      <c r="Q1777" s="8"/>
      <c r="R1777" s="8"/>
      <c r="S1777" s="1"/>
      <c r="T1777" s="8"/>
      <c r="U1777" s="8"/>
      <c r="V1777" s="56"/>
      <c r="W1777" s="1"/>
      <c r="X1777" s="1"/>
      <c r="Y1777" s="8"/>
      <c r="Z1777" s="8"/>
      <c r="AA1777" s="8"/>
      <c r="AB1777" s="8"/>
      <c r="AC1777" s="8"/>
      <c r="AD1777" s="8"/>
      <c r="AE1777" s="8"/>
      <c r="AF1777" s="8"/>
      <c r="AG1777" s="8"/>
      <c r="AH1777" s="8"/>
      <c r="AI1777" s="8"/>
    </row>
    <row r="1778" spans="1:35">
      <c r="A1778" s="1"/>
      <c r="B1778" s="8"/>
      <c r="C1778" s="8"/>
      <c r="D1778" s="8"/>
      <c r="E1778" s="8"/>
      <c r="F1778" s="8"/>
      <c r="G1778" s="8"/>
      <c r="H1778" s="8"/>
      <c r="I1778" s="8"/>
      <c r="J1778" s="8"/>
      <c r="K1778" s="8"/>
      <c r="L1778" s="26"/>
      <c r="M1778" s="26"/>
      <c r="N1778" s="26"/>
      <c r="O1778" s="55"/>
      <c r="P1778" s="1"/>
      <c r="Q1778" s="8"/>
      <c r="R1778" s="8"/>
      <c r="S1778" s="1"/>
      <c r="T1778" s="8"/>
      <c r="U1778" s="8"/>
      <c r="V1778" s="56"/>
      <c r="W1778" s="1"/>
      <c r="X1778" s="1"/>
      <c r="Y1778" s="8"/>
      <c r="Z1778" s="8"/>
      <c r="AA1778" s="8"/>
      <c r="AB1778" s="8"/>
      <c r="AC1778" s="8"/>
      <c r="AD1778" s="8"/>
      <c r="AE1778" s="8"/>
      <c r="AF1778" s="8"/>
      <c r="AG1778" s="8"/>
      <c r="AH1778" s="8"/>
      <c r="AI1778" s="8"/>
    </row>
    <row r="1779" spans="1:35">
      <c r="A1779" s="1"/>
      <c r="B1779" s="8"/>
      <c r="C1779" s="8"/>
      <c r="D1779" s="8"/>
      <c r="E1779" s="8"/>
      <c r="F1779" s="8"/>
      <c r="G1779" s="8"/>
      <c r="H1779" s="8"/>
      <c r="I1779" s="8"/>
      <c r="J1779" s="8"/>
      <c r="K1779" s="8"/>
      <c r="L1779" s="26"/>
      <c r="M1779" s="26"/>
      <c r="N1779" s="26"/>
      <c r="O1779" s="55"/>
      <c r="P1779" s="1"/>
      <c r="Q1779" s="8"/>
      <c r="R1779" s="8"/>
      <c r="S1779" s="1"/>
      <c r="T1779" s="8"/>
      <c r="U1779" s="8"/>
      <c r="V1779" s="56"/>
      <c r="W1779" s="1"/>
      <c r="X1779" s="1"/>
      <c r="Y1779" s="8"/>
      <c r="Z1779" s="8"/>
      <c r="AA1779" s="8"/>
      <c r="AB1779" s="8"/>
      <c r="AC1779" s="8"/>
      <c r="AD1779" s="8"/>
      <c r="AE1779" s="8"/>
      <c r="AF1779" s="8"/>
      <c r="AG1779" s="8"/>
      <c r="AH1779" s="8"/>
      <c r="AI1779" s="8"/>
    </row>
    <row r="1780" spans="1:35">
      <c r="A1780" s="1"/>
      <c r="B1780" s="8"/>
      <c r="C1780" s="8"/>
      <c r="D1780" s="8"/>
      <c r="E1780" s="8"/>
      <c r="F1780" s="8"/>
      <c r="G1780" s="8"/>
      <c r="H1780" s="8"/>
      <c r="I1780" s="8"/>
      <c r="J1780" s="8"/>
      <c r="K1780" s="8"/>
      <c r="L1780" s="26"/>
      <c r="M1780" s="26"/>
      <c r="N1780" s="26"/>
      <c r="O1780" s="55"/>
      <c r="P1780" s="1"/>
      <c r="Q1780" s="8"/>
      <c r="R1780" s="8"/>
      <c r="S1780" s="1"/>
      <c r="T1780" s="8"/>
      <c r="U1780" s="8"/>
      <c r="V1780" s="56"/>
      <c r="W1780" s="1"/>
      <c r="X1780" s="1"/>
      <c r="Y1780" s="8"/>
      <c r="Z1780" s="8"/>
      <c r="AA1780" s="8"/>
      <c r="AB1780" s="8"/>
      <c r="AC1780" s="8"/>
      <c r="AD1780" s="8"/>
      <c r="AE1780" s="8"/>
      <c r="AF1780" s="8"/>
      <c r="AG1780" s="8"/>
      <c r="AH1780" s="8"/>
      <c r="AI1780" s="8"/>
    </row>
    <row r="1781" spans="1:35">
      <c r="A1781" s="1"/>
      <c r="B1781" s="8"/>
      <c r="C1781" s="8"/>
      <c r="D1781" s="8"/>
      <c r="E1781" s="8"/>
      <c r="F1781" s="8"/>
      <c r="G1781" s="8"/>
      <c r="H1781" s="8"/>
      <c r="I1781" s="8"/>
      <c r="J1781" s="8"/>
      <c r="K1781" s="8"/>
      <c r="L1781" s="26"/>
      <c r="M1781" s="26"/>
      <c r="N1781" s="26"/>
      <c r="O1781" s="55"/>
      <c r="P1781" s="1"/>
      <c r="Q1781" s="8"/>
      <c r="R1781" s="8"/>
      <c r="S1781" s="1"/>
      <c r="T1781" s="8"/>
      <c r="U1781" s="8"/>
      <c r="V1781" s="56"/>
      <c r="W1781" s="1"/>
      <c r="X1781" s="1"/>
      <c r="Y1781" s="8"/>
      <c r="Z1781" s="8"/>
      <c r="AA1781" s="8"/>
      <c r="AB1781" s="8"/>
      <c r="AC1781" s="8"/>
      <c r="AD1781" s="8"/>
      <c r="AE1781" s="8"/>
      <c r="AF1781" s="8"/>
      <c r="AG1781" s="8"/>
      <c r="AH1781" s="8"/>
      <c r="AI1781" s="8"/>
    </row>
    <row r="1782" spans="1:35">
      <c r="A1782" s="1"/>
      <c r="B1782" s="8"/>
      <c r="C1782" s="8"/>
      <c r="D1782" s="8"/>
      <c r="E1782" s="8"/>
      <c r="F1782" s="8"/>
      <c r="G1782" s="8"/>
      <c r="H1782" s="8"/>
      <c r="I1782" s="8"/>
      <c r="J1782" s="8"/>
      <c r="K1782" s="8"/>
      <c r="L1782" s="26"/>
      <c r="M1782" s="26"/>
      <c r="N1782" s="26"/>
      <c r="O1782" s="55"/>
      <c r="P1782" s="1"/>
      <c r="Q1782" s="8"/>
      <c r="R1782" s="8"/>
      <c r="S1782" s="1"/>
      <c r="T1782" s="8"/>
      <c r="U1782" s="8"/>
      <c r="V1782" s="56"/>
      <c r="W1782" s="1"/>
      <c r="X1782" s="1"/>
      <c r="Y1782" s="8"/>
      <c r="Z1782" s="8"/>
      <c r="AA1782" s="8"/>
      <c r="AB1782" s="8"/>
      <c r="AC1782" s="8"/>
      <c r="AD1782" s="8"/>
      <c r="AE1782" s="8"/>
      <c r="AF1782" s="8"/>
      <c r="AG1782" s="8"/>
      <c r="AH1782" s="8"/>
      <c r="AI1782" s="8"/>
    </row>
    <row r="1783" spans="1:35">
      <c r="A1783" s="1"/>
      <c r="B1783" s="8"/>
      <c r="C1783" s="8"/>
      <c r="D1783" s="8"/>
      <c r="E1783" s="8"/>
      <c r="F1783" s="8"/>
      <c r="G1783" s="8"/>
      <c r="H1783" s="8"/>
      <c r="I1783" s="8"/>
      <c r="J1783" s="8"/>
      <c r="K1783" s="8"/>
      <c r="L1783" s="26"/>
      <c r="M1783" s="26"/>
      <c r="N1783" s="26"/>
      <c r="O1783" s="55"/>
      <c r="P1783" s="1"/>
      <c r="Q1783" s="8"/>
      <c r="R1783" s="8"/>
      <c r="S1783" s="1"/>
      <c r="T1783" s="8"/>
      <c r="U1783" s="8"/>
      <c r="V1783" s="56"/>
      <c r="W1783" s="1"/>
      <c r="X1783" s="1"/>
      <c r="Y1783" s="8"/>
      <c r="Z1783" s="8"/>
      <c r="AA1783" s="8"/>
      <c r="AB1783" s="8"/>
      <c r="AC1783" s="8"/>
      <c r="AD1783" s="8"/>
      <c r="AE1783" s="8"/>
      <c r="AF1783" s="8"/>
      <c r="AG1783" s="8"/>
      <c r="AH1783" s="8"/>
      <c r="AI1783" s="8"/>
    </row>
    <row r="1784" spans="1:35">
      <c r="A1784" s="1"/>
      <c r="B1784" s="8"/>
      <c r="C1784" s="8"/>
      <c r="D1784" s="8"/>
      <c r="E1784" s="8"/>
      <c r="F1784" s="8"/>
      <c r="G1784" s="8"/>
      <c r="H1784" s="8"/>
      <c r="I1784" s="8"/>
      <c r="J1784" s="8"/>
      <c r="K1784" s="8"/>
      <c r="L1784" s="26"/>
      <c r="M1784" s="26"/>
      <c r="N1784" s="26"/>
      <c r="O1784" s="55"/>
      <c r="P1784" s="1"/>
      <c r="Q1784" s="8"/>
      <c r="R1784" s="8"/>
      <c r="S1784" s="1"/>
      <c r="T1784" s="8"/>
      <c r="U1784" s="8"/>
      <c r="V1784" s="56"/>
      <c r="W1784" s="1"/>
      <c r="X1784" s="1"/>
      <c r="Y1784" s="8"/>
      <c r="Z1784" s="8"/>
      <c r="AA1784" s="8"/>
      <c r="AB1784" s="8"/>
      <c r="AC1784" s="8"/>
      <c r="AD1784" s="8"/>
      <c r="AE1784" s="8"/>
      <c r="AF1784" s="8"/>
      <c r="AG1784" s="8"/>
      <c r="AH1784" s="8"/>
      <c r="AI1784" s="8"/>
    </row>
    <row r="1785" spans="1:35">
      <c r="A1785" s="1"/>
      <c r="B1785" s="8"/>
      <c r="C1785" s="8"/>
      <c r="D1785" s="8"/>
      <c r="E1785" s="8"/>
      <c r="F1785" s="8"/>
      <c r="G1785" s="8"/>
      <c r="H1785" s="8"/>
      <c r="I1785" s="8"/>
      <c r="J1785" s="8"/>
      <c r="K1785" s="8"/>
      <c r="L1785" s="26"/>
      <c r="M1785" s="26"/>
      <c r="N1785" s="26"/>
      <c r="O1785" s="55"/>
      <c r="P1785" s="1"/>
      <c r="Q1785" s="8"/>
      <c r="R1785" s="8"/>
      <c r="S1785" s="1"/>
      <c r="T1785" s="8"/>
      <c r="U1785" s="8"/>
      <c r="V1785" s="56"/>
      <c r="W1785" s="1"/>
      <c r="X1785" s="1"/>
      <c r="Y1785" s="8"/>
      <c r="Z1785" s="8"/>
      <c r="AA1785" s="8"/>
      <c r="AB1785" s="8"/>
      <c r="AC1785" s="8"/>
      <c r="AD1785" s="8"/>
      <c r="AE1785" s="8"/>
      <c r="AF1785" s="8"/>
      <c r="AG1785" s="8"/>
      <c r="AH1785" s="8"/>
      <c r="AI1785" s="8"/>
    </row>
    <row r="1786" spans="1:35">
      <c r="A1786" s="1"/>
      <c r="B1786" s="8"/>
      <c r="C1786" s="8"/>
      <c r="D1786" s="8"/>
      <c r="E1786" s="8"/>
      <c r="F1786" s="8"/>
      <c r="G1786" s="8"/>
      <c r="H1786" s="8"/>
      <c r="I1786" s="8"/>
      <c r="J1786" s="8"/>
      <c r="K1786" s="8"/>
      <c r="L1786" s="26"/>
      <c r="M1786" s="26"/>
      <c r="N1786" s="26"/>
      <c r="O1786" s="55"/>
      <c r="P1786" s="1"/>
      <c r="Q1786" s="8"/>
      <c r="R1786" s="8"/>
      <c r="S1786" s="1"/>
      <c r="T1786" s="8"/>
      <c r="U1786" s="8"/>
      <c r="V1786" s="56"/>
      <c r="W1786" s="1"/>
      <c r="X1786" s="1"/>
      <c r="Y1786" s="8"/>
      <c r="Z1786" s="8"/>
      <c r="AA1786" s="8"/>
      <c r="AB1786" s="8"/>
      <c r="AC1786" s="8"/>
      <c r="AD1786" s="8"/>
      <c r="AE1786" s="8"/>
      <c r="AF1786" s="8"/>
      <c r="AG1786" s="8"/>
      <c r="AH1786" s="8"/>
      <c r="AI1786" s="8"/>
    </row>
    <row r="1787" spans="1:35">
      <c r="A1787" s="1"/>
      <c r="B1787" s="8"/>
      <c r="C1787" s="8"/>
      <c r="D1787" s="8"/>
      <c r="E1787" s="8"/>
      <c r="F1787" s="8"/>
      <c r="G1787" s="8"/>
      <c r="H1787" s="8"/>
      <c r="I1787" s="8"/>
      <c r="J1787" s="8"/>
      <c r="K1787" s="8"/>
      <c r="L1787" s="26"/>
      <c r="M1787" s="26"/>
      <c r="N1787" s="26"/>
      <c r="O1787" s="55"/>
      <c r="P1787" s="1"/>
      <c r="Q1787" s="1"/>
      <c r="R1787" s="8"/>
      <c r="S1787" s="8"/>
      <c r="T1787" s="8"/>
      <c r="U1787" s="1"/>
      <c r="V1787" s="56"/>
      <c r="W1787" s="1"/>
      <c r="X1787" s="1"/>
      <c r="Y1787" s="8"/>
      <c r="Z1787" s="8"/>
      <c r="AA1787" s="8"/>
      <c r="AB1787" s="8"/>
      <c r="AC1787" s="8"/>
      <c r="AD1787" s="8"/>
      <c r="AE1787" s="8"/>
      <c r="AF1787" s="8"/>
      <c r="AG1787" s="8"/>
      <c r="AH1787" s="8"/>
      <c r="AI1787" s="8"/>
    </row>
  </sheetData>
  <mergeCells count="377">
    <mergeCell ref="F383:F387"/>
    <mergeCell ref="G383:G387"/>
    <mergeCell ref="H383:H387"/>
    <mergeCell ref="I383:I387"/>
    <mergeCell ref="J383:J387"/>
    <mergeCell ref="K383:K387"/>
    <mergeCell ref="L383:L387"/>
    <mergeCell ref="F388:F392"/>
    <mergeCell ref="G388:G392"/>
    <mergeCell ref="H388:H392"/>
    <mergeCell ref="I388:I392"/>
    <mergeCell ref="J388:J392"/>
    <mergeCell ref="K388:K392"/>
    <mergeCell ref="L388:L392"/>
    <mergeCell ref="H408:H412"/>
    <mergeCell ref="I408:I412"/>
    <mergeCell ref="J408:J412"/>
    <mergeCell ref="K408:K412"/>
    <mergeCell ref="L408:L412"/>
    <mergeCell ref="F393:F397"/>
    <mergeCell ref="G393:G397"/>
    <mergeCell ref="H393:H397"/>
    <mergeCell ref="I393:I397"/>
    <mergeCell ref="J393:J397"/>
    <mergeCell ref="K393:K397"/>
    <mergeCell ref="L393:L397"/>
    <mergeCell ref="F398:F402"/>
    <mergeCell ref="G398:G402"/>
    <mergeCell ref="H398:H402"/>
    <mergeCell ref="I398:I402"/>
    <mergeCell ref="J398:J402"/>
    <mergeCell ref="K398:K402"/>
    <mergeCell ref="L398:L402"/>
    <mergeCell ref="H1:H2"/>
    <mergeCell ref="I1:I2"/>
    <mergeCell ref="J1:J2"/>
    <mergeCell ref="K1:K2"/>
    <mergeCell ref="L1:L2"/>
    <mergeCell ref="M1:M2"/>
    <mergeCell ref="N1:N2"/>
    <mergeCell ref="V1:V2"/>
    <mergeCell ref="W1:W2"/>
    <mergeCell ref="X1:X2"/>
    <mergeCell ref="Y1:Y2"/>
    <mergeCell ref="O1:O2"/>
    <mergeCell ref="P1:P2"/>
    <mergeCell ref="Q1:Q2"/>
    <mergeCell ref="R1:R2"/>
    <mergeCell ref="S1:S2"/>
    <mergeCell ref="T1:T2"/>
    <mergeCell ref="U1:U2"/>
    <mergeCell ref="A1:A2"/>
    <mergeCell ref="B1:B2"/>
    <mergeCell ref="C1:C2"/>
    <mergeCell ref="D1:D2"/>
    <mergeCell ref="E1:E2"/>
    <mergeCell ref="F1:F2"/>
    <mergeCell ref="G1:G2"/>
    <mergeCell ref="F378:F382"/>
    <mergeCell ref="G378:G382"/>
    <mergeCell ref="H378:H382"/>
    <mergeCell ref="I378:I382"/>
    <mergeCell ref="J378:J382"/>
    <mergeCell ref="K378:K382"/>
    <mergeCell ref="L378:L382"/>
    <mergeCell ref="B413:B417"/>
    <mergeCell ref="B418:B422"/>
    <mergeCell ref="B378:B382"/>
    <mergeCell ref="B383:B387"/>
    <mergeCell ref="B388:B392"/>
    <mergeCell ref="B393:B397"/>
    <mergeCell ref="B398:B402"/>
    <mergeCell ref="B403:B407"/>
    <mergeCell ref="B408:B412"/>
    <mergeCell ref="F418:F422"/>
    <mergeCell ref="F403:F407"/>
    <mergeCell ref="G403:G407"/>
    <mergeCell ref="H403:H407"/>
    <mergeCell ref="I403:I407"/>
    <mergeCell ref="J403:J407"/>
    <mergeCell ref="K403:K407"/>
    <mergeCell ref="L403:L407"/>
    <mergeCell ref="F408:F412"/>
    <mergeCell ref="G408:G412"/>
    <mergeCell ref="K443:K447"/>
    <mergeCell ref="L443:L447"/>
    <mergeCell ref="J438:J442"/>
    <mergeCell ref="K438:K442"/>
    <mergeCell ref="F443:F447"/>
    <mergeCell ref="G443:G447"/>
    <mergeCell ref="H443:H447"/>
    <mergeCell ref="I443:I447"/>
    <mergeCell ref="J443:J447"/>
    <mergeCell ref="F448:F452"/>
    <mergeCell ref="G448:G452"/>
    <mergeCell ref="H448:H452"/>
    <mergeCell ref="I448:I452"/>
    <mergeCell ref="J448:J452"/>
    <mergeCell ref="K448:K452"/>
    <mergeCell ref="L448:L452"/>
    <mergeCell ref="F468:F472"/>
    <mergeCell ref="G468:G472"/>
    <mergeCell ref="H468:H472"/>
    <mergeCell ref="I468:I472"/>
    <mergeCell ref="J468:J472"/>
    <mergeCell ref="K468:K472"/>
    <mergeCell ref="L468:L472"/>
    <mergeCell ref="F453:F457"/>
    <mergeCell ref="G453:G457"/>
    <mergeCell ref="H453:H457"/>
    <mergeCell ref="I453:I457"/>
    <mergeCell ref="J453:J457"/>
    <mergeCell ref="K453:K457"/>
    <mergeCell ref="L453:L457"/>
    <mergeCell ref="F463:F467"/>
    <mergeCell ref="G463:G467"/>
    <mergeCell ref="H463:H467"/>
    <mergeCell ref="B463:B467"/>
    <mergeCell ref="B468:B472"/>
    <mergeCell ref="B428:B432"/>
    <mergeCell ref="B433:B437"/>
    <mergeCell ref="B438:B442"/>
    <mergeCell ref="B443:B447"/>
    <mergeCell ref="B448:B452"/>
    <mergeCell ref="B453:B457"/>
    <mergeCell ref="B458:B462"/>
    <mergeCell ref="B478:B482"/>
    <mergeCell ref="G478:G482"/>
    <mergeCell ref="H478:H482"/>
    <mergeCell ref="I478:I482"/>
    <mergeCell ref="I483:I487"/>
    <mergeCell ref="F473:F477"/>
    <mergeCell ref="I473:I477"/>
    <mergeCell ref="J473:J477"/>
    <mergeCell ref="K473:K477"/>
    <mergeCell ref="F493:F497"/>
    <mergeCell ref="G493:G497"/>
    <mergeCell ref="H493:H497"/>
    <mergeCell ref="I493:I497"/>
    <mergeCell ref="J493:J497"/>
    <mergeCell ref="K493:K497"/>
    <mergeCell ref="L493:L497"/>
    <mergeCell ref="B483:B487"/>
    <mergeCell ref="B488:B492"/>
    <mergeCell ref="B493:B497"/>
    <mergeCell ref="K488:K492"/>
    <mergeCell ref="L488:L492"/>
    <mergeCell ref="F483:F487"/>
    <mergeCell ref="F488:F492"/>
    <mergeCell ref="G488:G492"/>
    <mergeCell ref="H488:H492"/>
    <mergeCell ref="I488:I492"/>
    <mergeCell ref="J488:J492"/>
    <mergeCell ref="G483:G487"/>
    <mergeCell ref="H483:H487"/>
    <mergeCell ref="J483:J487"/>
    <mergeCell ref="K483:K487"/>
    <mergeCell ref="L483:L487"/>
    <mergeCell ref="J543:J547"/>
    <mergeCell ref="K543:K547"/>
    <mergeCell ref="L543:L547"/>
    <mergeCell ref="B498:B502"/>
    <mergeCell ref="B503:B507"/>
    <mergeCell ref="B508:B512"/>
    <mergeCell ref="B513:B517"/>
    <mergeCell ref="B533:B537"/>
    <mergeCell ref="J528:J532"/>
    <mergeCell ref="K528:K532"/>
    <mergeCell ref="L528:L532"/>
    <mergeCell ref="J533:J537"/>
    <mergeCell ref="K533:K537"/>
    <mergeCell ref="L533:L537"/>
    <mergeCell ref="B518:B522"/>
    <mergeCell ref="B523:B527"/>
    <mergeCell ref="B528:B532"/>
    <mergeCell ref="F528:F532"/>
    <mergeCell ref="G528:G532"/>
    <mergeCell ref="H528:H532"/>
    <mergeCell ref="I528:I532"/>
    <mergeCell ref="F498:F502"/>
    <mergeCell ref="G498:G502"/>
    <mergeCell ref="H498:H502"/>
    <mergeCell ref="B543:B547"/>
    <mergeCell ref="B548:B552"/>
    <mergeCell ref="B553:B557"/>
    <mergeCell ref="B558:B562"/>
    <mergeCell ref="F533:F537"/>
    <mergeCell ref="G533:G537"/>
    <mergeCell ref="H533:H537"/>
    <mergeCell ref="I533:I537"/>
    <mergeCell ref="B538:B542"/>
    <mergeCell ref="G538:G542"/>
    <mergeCell ref="I543:I547"/>
    <mergeCell ref="H538:H542"/>
    <mergeCell ref="I538:I542"/>
    <mergeCell ref="G543:G547"/>
    <mergeCell ref="H543:H547"/>
    <mergeCell ref="K548:K552"/>
    <mergeCell ref="L548:L552"/>
    <mergeCell ref="H558:H562"/>
    <mergeCell ref="I558:I562"/>
    <mergeCell ref="J558:J562"/>
    <mergeCell ref="K558:K562"/>
    <mergeCell ref="L558:L562"/>
    <mergeCell ref="F538:F542"/>
    <mergeCell ref="F543:F547"/>
    <mergeCell ref="F548:F552"/>
    <mergeCell ref="G548:G552"/>
    <mergeCell ref="H548:H552"/>
    <mergeCell ref="I548:I552"/>
    <mergeCell ref="J548:J552"/>
    <mergeCell ref="F553:F557"/>
    <mergeCell ref="G553:G557"/>
    <mergeCell ref="H553:H557"/>
    <mergeCell ref="I553:I557"/>
    <mergeCell ref="J553:J557"/>
    <mergeCell ref="K553:K557"/>
    <mergeCell ref="L553:L557"/>
    <mergeCell ref="J538:J542"/>
    <mergeCell ref="K538:K542"/>
    <mergeCell ref="L538:L542"/>
    <mergeCell ref="H593:H597"/>
    <mergeCell ref="I593:I597"/>
    <mergeCell ref="J593:J597"/>
    <mergeCell ref="K593:K597"/>
    <mergeCell ref="L593:L597"/>
    <mergeCell ref="F588:F592"/>
    <mergeCell ref="G588:G592"/>
    <mergeCell ref="H588:H592"/>
    <mergeCell ref="I588:I592"/>
    <mergeCell ref="J588:J592"/>
    <mergeCell ref="K588:K592"/>
    <mergeCell ref="L588:L592"/>
    <mergeCell ref="B573:B577"/>
    <mergeCell ref="B578:B582"/>
    <mergeCell ref="B583:B587"/>
    <mergeCell ref="B588:B592"/>
    <mergeCell ref="B593:B597"/>
    <mergeCell ref="F558:F562"/>
    <mergeCell ref="G558:G562"/>
    <mergeCell ref="B563:B567"/>
    <mergeCell ref="G563:G567"/>
    <mergeCell ref="F583:F587"/>
    <mergeCell ref="G583:G587"/>
    <mergeCell ref="G568:G572"/>
    <mergeCell ref="B568:B572"/>
    <mergeCell ref="F593:F597"/>
    <mergeCell ref="G593:G597"/>
    <mergeCell ref="K573:K577"/>
    <mergeCell ref="L573:L577"/>
    <mergeCell ref="F563:F567"/>
    <mergeCell ref="F568:F572"/>
    <mergeCell ref="F573:F577"/>
    <mergeCell ref="G573:G577"/>
    <mergeCell ref="H573:H577"/>
    <mergeCell ref="I573:I577"/>
    <mergeCell ref="J573:J577"/>
    <mergeCell ref="J563:J567"/>
    <mergeCell ref="K563:K567"/>
    <mergeCell ref="L563:L567"/>
    <mergeCell ref="H568:H572"/>
    <mergeCell ref="J568:J572"/>
    <mergeCell ref="K568:K572"/>
    <mergeCell ref="L568:L572"/>
    <mergeCell ref="H563:H567"/>
    <mergeCell ref="I563:I567"/>
    <mergeCell ref="I568:I572"/>
    <mergeCell ref="H438:H442"/>
    <mergeCell ref="I438:I442"/>
    <mergeCell ref="L433:L437"/>
    <mergeCell ref="L438:L442"/>
    <mergeCell ref="G423:G427"/>
    <mergeCell ref="H423:H427"/>
    <mergeCell ref="G433:G437"/>
    <mergeCell ref="H433:H437"/>
    <mergeCell ref="I433:I437"/>
    <mergeCell ref="J433:J437"/>
    <mergeCell ref="K433:K437"/>
    <mergeCell ref="G428:G432"/>
    <mergeCell ref="H428:H432"/>
    <mergeCell ref="I428:I432"/>
    <mergeCell ref="J428:J432"/>
    <mergeCell ref="K428:K432"/>
    <mergeCell ref="L428:L432"/>
    <mergeCell ref="B473:B477"/>
    <mergeCell ref="F413:F417"/>
    <mergeCell ref="G413:G417"/>
    <mergeCell ref="H413:H417"/>
    <mergeCell ref="I413:I417"/>
    <mergeCell ref="J413:J417"/>
    <mergeCell ref="K413:K417"/>
    <mergeCell ref="L413:L417"/>
    <mergeCell ref="I423:I427"/>
    <mergeCell ref="J423:J427"/>
    <mergeCell ref="K423:K427"/>
    <mergeCell ref="L423:L427"/>
    <mergeCell ref="G418:G422"/>
    <mergeCell ref="H418:H422"/>
    <mergeCell ref="I418:I422"/>
    <mergeCell ref="J418:J422"/>
    <mergeCell ref="K418:K422"/>
    <mergeCell ref="L418:L422"/>
    <mergeCell ref="B423:B427"/>
    <mergeCell ref="F428:F432"/>
    <mergeCell ref="F423:F427"/>
    <mergeCell ref="F433:F437"/>
    <mergeCell ref="F438:F442"/>
    <mergeCell ref="G438:G442"/>
    <mergeCell ref="F458:F462"/>
    <mergeCell ref="G458:G462"/>
    <mergeCell ref="H458:H462"/>
    <mergeCell ref="I458:I462"/>
    <mergeCell ref="J458:J462"/>
    <mergeCell ref="K458:K462"/>
    <mergeCell ref="L458:L462"/>
    <mergeCell ref="J478:J482"/>
    <mergeCell ref="K478:K482"/>
    <mergeCell ref="L478:L482"/>
    <mergeCell ref="I463:I467"/>
    <mergeCell ref="J463:J467"/>
    <mergeCell ref="K463:K467"/>
    <mergeCell ref="L463:L467"/>
    <mergeCell ref="F478:F482"/>
    <mergeCell ref="G473:G477"/>
    <mergeCell ref="H473:H477"/>
    <mergeCell ref="L473:L477"/>
    <mergeCell ref="L498:L502"/>
    <mergeCell ref="F503:F507"/>
    <mergeCell ref="G503:G507"/>
    <mergeCell ref="H503:H507"/>
    <mergeCell ref="I503:I507"/>
    <mergeCell ref="J503:J507"/>
    <mergeCell ref="K503:K507"/>
    <mergeCell ref="L503:L507"/>
    <mergeCell ref="F508:F512"/>
    <mergeCell ref="G508:G512"/>
    <mergeCell ref="H508:H512"/>
    <mergeCell ref="I508:I512"/>
    <mergeCell ref="J508:J512"/>
    <mergeCell ref="K508:K512"/>
    <mergeCell ref="L508:L512"/>
    <mergeCell ref="I498:I502"/>
    <mergeCell ref="J498:J502"/>
    <mergeCell ref="K498:K502"/>
    <mergeCell ref="F513:F517"/>
    <mergeCell ref="G513:G517"/>
    <mergeCell ref="H513:H517"/>
    <mergeCell ref="I513:I517"/>
    <mergeCell ref="J513:J517"/>
    <mergeCell ref="K513:K517"/>
    <mergeCell ref="L513:L517"/>
    <mergeCell ref="F523:F527"/>
    <mergeCell ref="G523:G527"/>
    <mergeCell ref="H523:H527"/>
    <mergeCell ref="I523:I527"/>
    <mergeCell ref="J523:J527"/>
    <mergeCell ref="K523:K527"/>
    <mergeCell ref="L523:L527"/>
    <mergeCell ref="F518:F522"/>
    <mergeCell ref="G518:G522"/>
    <mergeCell ref="H518:H522"/>
    <mergeCell ref="I518:I522"/>
    <mergeCell ref="J518:J522"/>
    <mergeCell ref="K518:K522"/>
    <mergeCell ref="L518:L522"/>
    <mergeCell ref="H583:H587"/>
    <mergeCell ref="I583:I587"/>
    <mergeCell ref="J583:J587"/>
    <mergeCell ref="K583:K587"/>
    <mergeCell ref="L583:L587"/>
    <mergeCell ref="F578:F582"/>
    <mergeCell ref="G578:G582"/>
    <mergeCell ref="H578:H582"/>
    <mergeCell ref="I578:I582"/>
    <mergeCell ref="J578:J582"/>
    <mergeCell ref="K578:K582"/>
    <mergeCell ref="L578:L582"/>
  </mergeCells>
  <conditionalFormatting sqref="U1:U40 P3:Q40">
    <cfRule type="containsBlanks" dxfId="4" priority="1">
      <formula>LEN(TRIM(U1))=0</formula>
    </cfRule>
  </conditionalFormatting>
  <hyperlinks>
    <hyperlink ref="W3" r:id="rId1" xr:uid="{00000000-0004-0000-0800-000000000000}"/>
    <hyperlink ref="W4" r:id="rId2" xr:uid="{00000000-0004-0000-0800-000001000000}"/>
    <hyperlink ref="W5" r:id="rId3" xr:uid="{00000000-0004-0000-0800-000002000000}"/>
    <hyperlink ref="W6" r:id="rId4" xr:uid="{00000000-0004-0000-0800-000003000000}"/>
    <hyperlink ref="W7" r:id="rId5" xr:uid="{00000000-0004-0000-0800-000004000000}"/>
    <hyperlink ref="W8" r:id="rId6" xr:uid="{00000000-0004-0000-0800-000005000000}"/>
    <hyperlink ref="W9" r:id="rId7" xr:uid="{00000000-0004-0000-0800-000006000000}"/>
    <hyperlink ref="W10" r:id="rId8" xr:uid="{00000000-0004-0000-0800-000007000000}"/>
    <hyperlink ref="W11" r:id="rId9" xr:uid="{00000000-0004-0000-0800-000008000000}"/>
    <hyperlink ref="W12" r:id="rId10" xr:uid="{00000000-0004-0000-0800-000009000000}"/>
    <hyperlink ref="W13" r:id="rId11" xr:uid="{00000000-0004-0000-0800-00000A000000}"/>
    <hyperlink ref="W14" r:id="rId12" xr:uid="{00000000-0004-0000-0800-00000B000000}"/>
    <hyperlink ref="W15" r:id="rId13" xr:uid="{00000000-0004-0000-0800-00000C000000}"/>
    <hyperlink ref="W16" r:id="rId14" xr:uid="{00000000-0004-0000-0800-00000D000000}"/>
    <hyperlink ref="W17" r:id="rId15" xr:uid="{00000000-0004-0000-0800-00000E000000}"/>
    <hyperlink ref="W18" r:id="rId16" xr:uid="{00000000-0004-0000-0800-00000F000000}"/>
    <hyperlink ref="W19" r:id="rId17" xr:uid="{00000000-0004-0000-0800-000010000000}"/>
    <hyperlink ref="W20" r:id="rId18" xr:uid="{00000000-0004-0000-0800-000011000000}"/>
    <hyperlink ref="W21" r:id="rId19" xr:uid="{00000000-0004-0000-0800-000012000000}"/>
    <hyperlink ref="U22" r:id="rId20" xr:uid="{00000000-0004-0000-0800-000013000000}"/>
    <hyperlink ref="W22" r:id="rId21" xr:uid="{00000000-0004-0000-0800-000014000000}"/>
    <hyperlink ref="U23" r:id="rId22" xr:uid="{00000000-0004-0000-0800-000015000000}"/>
    <hyperlink ref="W23" r:id="rId23" xr:uid="{00000000-0004-0000-0800-000016000000}"/>
    <hyperlink ref="U24" r:id="rId24" xr:uid="{00000000-0004-0000-0800-000017000000}"/>
    <hyperlink ref="W24" r:id="rId25" xr:uid="{00000000-0004-0000-0800-000018000000}"/>
    <hyperlink ref="U25" r:id="rId26" xr:uid="{00000000-0004-0000-0800-000019000000}"/>
    <hyperlink ref="W25" r:id="rId27" xr:uid="{00000000-0004-0000-0800-00001A000000}"/>
    <hyperlink ref="U26" r:id="rId28" xr:uid="{00000000-0004-0000-0800-00001B000000}"/>
    <hyperlink ref="W26" r:id="rId29" xr:uid="{00000000-0004-0000-0800-00001C000000}"/>
    <hyperlink ref="U27" r:id="rId30" xr:uid="{00000000-0004-0000-0800-00001D000000}"/>
    <hyperlink ref="W27" r:id="rId31" xr:uid="{00000000-0004-0000-0800-00001E000000}"/>
    <hyperlink ref="U28" r:id="rId32" xr:uid="{00000000-0004-0000-0800-00001F000000}"/>
    <hyperlink ref="W28" r:id="rId33" xr:uid="{00000000-0004-0000-0800-000020000000}"/>
    <hyperlink ref="U29" r:id="rId34" xr:uid="{00000000-0004-0000-0800-000021000000}"/>
    <hyperlink ref="W29" r:id="rId35" xr:uid="{00000000-0004-0000-0800-000022000000}"/>
    <hyperlink ref="U30" r:id="rId36" xr:uid="{00000000-0004-0000-0800-000023000000}"/>
    <hyperlink ref="W30" r:id="rId37" xr:uid="{00000000-0004-0000-0800-000024000000}"/>
    <hyperlink ref="U31" r:id="rId38" xr:uid="{00000000-0004-0000-0800-000025000000}"/>
    <hyperlink ref="W31" r:id="rId39" xr:uid="{00000000-0004-0000-0800-000026000000}"/>
    <hyperlink ref="U32" r:id="rId40" xr:uid="{00000000-0004-0000-0800-000027000000}"/>
    <hyperlink ref="W32" r:id="rId41" xr:uid="{00000000-0004-0000-0800-000028000000}"/>
    <hyperlink ref="U33" r:id="rId42" xr:uid="{00000000-0004-0000-0800-000029000000}"/>
    <hyperlink ref="W33" r:id="rId43" xr:uid="{00000000-0004-0000-0800-00002A000000}"/>
    <hyperlink ref="U34" r:id="rId44" xr:uid="{00000000-0004-0000-0800-00002B000000}"/>
    <hyperlink ref="W34" r:id="rId45" xr:uid="{00000000-0004-0000-0800-00002C000000}"/>
    <hyperlink ref="U35" r:id="rId46" xr:uid="{00000000-0004-0000-0800-00002D000000}"/>
    <hyperlink ref="W35" r:id="rId47" xr:uid="{00000000-0004-0000-0800-00002E000000}"/>
    <hyperlink ref="U36" r:id="rId48" xr:uid="{00000000-0004-0000-0800-00002F000000}"/>
    <hyperlink ref="W36" r:id="rId49" xr:uid="{00000000-0004-0000-0800-000030000000}"/>
    <hyperlink ref="U37" r:id="rId50" xr:uid="{00000000-0004-0000-0800-000031000000}"/>
    <hyperlink ref="W37" r:id="rId51" xr:uid="{00000000-0004-0000-0800-000032000000}"/>
    <hyperlink ref="U38" r:id="rId52" xr:uid="{00000000-0004-0000-0800-000033000000}"/>
    <hyperlink ref="W38" r:id="rId53" xr:uid="{00000000-0004-0000-0800-000034000000}"/>
    <hyperlink ref="U39" r:id="rId54" xr:uid="{00000000-0004-0000-0800-000035000000}"/>
    <hyperlink ref="W39" r:id="rId55" xr:uid="{00000000-0004-0000-0800-000036000000}"/>
    <hyperlink ref="U40" r:id="rId56" xr:uid="{00000000-0004-0000-0800-000037000000}"/>
    <hyperlink ref="W40" r:id="rId57" xr:uid="{00000000-0004-0000-0800-000038000000}"/>
  </hyperlinks>
  <pageMargins left="0" right="0" top="0" bottom="0" header="0" footer="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A1787"/>
  <sheetViews>
    <sheetView workbookViewId="0">
      <pane xSplit="3" ySplit="2" topLeftCell="D3" activePane="bottomRight" state="frozen"/>
      <selection pane="topRight" activeCell="D1" sqref="D1"/>
      <selection pane="bottomLeft" activeCell="A3" sqref="A3"/>
      <selection pane="bottomRight" activeCell="D3" sqref="D3"/>
    </sheetView>
  </sheetViews>
  <sheetFormatPr defaultColWidth="14.44140625" defaultRowHeight="15" customHeight="1"/>
  <cols>
    <col min="1" max="1" width="6.109375" customWidth="1"/>
    <col min="3" max="3" width="20.44140625" customWidth="1"/>
    <col min="6" max="6" width="43.88671875" customWidth="1"/>
    <col min="8" max="10" width="14.44140625" hidden="1"/>
    <col min="11" max="11" width="24.33203125" hidden="1" customWidth="1"/>
    <col min="12" max="12" width="22.6640625" hidden="1" customWidth="1"/>
    <col min="13" max="14" width="17.44140625" customWidth="1"/>
    <col min="15" max="15" width="14.44140625" hidden="1"/>
    <col min="19" max="19" width="69.6640625" customWidth="1"/>
    <col min="20" max="20" width="14.44140625" hidden="1"/>
    <col min="21" max="21" width="54.5546875" customWidth="1"/>
    <col min="22" max="22" width="29.109375" customWidth="1"/>
    <col min="23" max="23" width="24" customWidth="1"/>
    <col min="24" max="24" width="19.88671875" customWidth="1"/>
  </cols>
  <sheetData>
    <row r="1" spans="1:27" ht="14.4">
      <c r="A1" s="98" t="s">
        <v>840</v>
      </c>
      <c r="B1" s="96" t="s">
        <v>841</v>
      </c>
      <c r="C1" s="104" t="s">
        <v>842</v>
      </c>
      <c r="D1" s="104" t="s">
        <v>843</v>
      </c>
      <c r="E1" s="104" t="s">
        <v>844</v>
      </c>
      <c r="F1" s="104" t="s">
        <v>845</v>
      </c>
      <c r="G1" s="104" t="s">
        <v>846</v>
      </c>
      <c r="H1" s="104" t="s">
        <v>847</v>
      </c>
      <c r="I1" s="104" t="s">
        <v>848</v>
      </c>
      <c r="J1" s="104" t="s">
        <v>849</v>
      </c>
      <c r="K1" s="96" t="s">
        <v>850</v>
      </c>
      <c r="L1" s="96" t="s">
        <v>851</v>
      </c>
      <c r="M1" s="96" t="s">
        <v>852</v>
      </c>
      <c r="N1" s="96" t="s">
        <v>853</v>
      </c>
      <c r="O1" s="96" t="s">
        <v>854</v>
      </c>
      <c r="P1" s="95" t="s">
        <v>855</v>
      </c>
      <c r="Q1" s="106" t="s">
        <v>856</v>
      </c>
      <c r="R1" s="108" t="s">
        <v>857</v>
      </c>
      <c r="S1" s="95" t="s">
        <v>858</v>
      </c>
      <c r="T1" s="108" t="s">
        <v>859</v>
      </c>
      <c r="U1" s="95" t="s">
        <v>860</v>
      </c>
      <c r="V1" s="96" t="s">
        <v>861</v>
      </c>
      <c r="W1" s="96" t="s">
        <v>862</v>
      </c>
      <c r="X1" s="95" t="s">
        <v>863</v>
      </c>
      <c r="Y1" s="57"/>
      <c r="Z1" s="57"/>
      <c r="AA1" s="57"/>
    </row>
    <row r="2" spans="1:27" ht="14.4">
      <c r="A2" s="97"/>
      <c r="B2" s="97"/>
      <c r="C2" s="105"/>
      <c r="D2" s="105"/>
      <c r="E2" s="105"/>
      <c r="F2" s="105"/>
      <c r="G2" s="105"/>
      <c r="H2" s="105"/>
      <c r="I2" s="105"/>
      <c r="J2" s="105"/>
      <c r="K2" s="97"/>
      <c r="L2" s="97"/>
      <c r="M2" s="97"/>
      <c r="N2" s="97"/>
      <c r="O2" s="97"/>
      <c r="P2" s="94"/>
      <c r="Q2" s="107"/>
      <c r="R2" s="94"/>
      <c r="S2" s="94"/>
      <c r="T2" s="94"/>
      <c r="U2" s="94"/>
      <c r="V2" s="97"/>
      <c r="W2" s="97"/>
      <c r="X2" s="94"/>
    </row>
    <row r="3" spans="1:27" ht="69">
      <c r="A3" s="15">
        <v>1</v>
      </c>
      <c r="B3" s="15">
        <f ca="1">IFERROR(__xludf.DUMMYFUNCTION("query(Rekap!A2:AD1787,""Select B,E,F,G,D,H,U,V,W where C='PKM Riset Eksakta'"")"),3478)</f>
        <v>3478</v>
      </c>
      <c r="C3" s="16" t="str">
        <f ca="1">IFERROR(__xludf.DUMMYFUNCTION("""COMPUTED_VALUE"""),"Heni Masitoh")</f>
        <v>Heni Masitoh</v>
      </c>
      <c r="D3" s="16" t="str">
        <f ca="1">IFERROR(__xludf.DUMMYFUNCTION("""COMPUTED_VALUE"""),"01211940000034")</f>
        <v>01211940000034</v>
      </c>
      <c r="E3" s="16" t="str">
        <f ca="1">IFERROR(__xludf.DUMMYFUNCTION("""COMPUTED_VALUE"""),"Departemen Kimia")</f>
        <v>Departemen Kimia</v>
      </c>
      <c r="F3" s="16" t="str">
        <f ca="1">IFERROR(__xludf.DUMMYFUNCTION("""COMPUTED_VALUE"""),"Sitotoksisitas Nanopartikel Selenium Hasil Fitosintesis dengan Ekstrak Buah Tomat (Solanum lycopersicum) yang Terdoping Perak terhadap Sel Kanker Payudara MCF-7 ")</f>
        <v xml:space="preserve">Sitotoksisitas Nanopartikel Selenium Hasil Fitosintesis dengan Ekstrak Buah Tomat (Solanum lycopersicum) yang Terdoping Perak terhadap Sel Kanker Payudara MCF-7 </v>
      </c>
      <c r="G3" s="16" t="str">
        <f ca="1">IFERROR(__xludf.DUMMYFUNCTION("""COMPUTED_VALUE"""),"Arif Fadlan, S.Si., M.Si., D.Sc")</f>
        <v>Arif Fadlan, S.Si., M.Si., D.Sc</v>
      </c>
      <c r="H3" s="16" t="str">
        <f ca="1">IFERROR(__xludf.DUMMYFUNCTION("""COMPUTED_VALUE"""),"Dr.-Ing. Doty Dewi Risanti, S.T., M.T.")</f>
        <v>Dr.-Ing. Doty Dewi Risanti, S.T., M.T.</v>
      </c>
      <c r="I3" s="16" t="str">
        <f ca="1">IFERROR(__xludf.DUMMYFUNCTION("""COMPUTED_VALUE"""),"Hamdan Dwi Rizqi, S.Si., M.Si.")</f>
        <v>Hamdan Dwi Rizqi, S.Si., M.Si.</v>
      </c>
      <c r="J3" s="16"/>
      <c r="K3" s="17" t="s">
        <v>1098</v>
      </c>
      <c r="L3" s="17" t="s">
        <v>1099</v>
      </c>
      <c r="M3" s="19" t="b">
        <v>0</v>
      </c>
      <c r="N3" s="19" t="b">
        <v>0</v>
      </c>
      <c r="O3" s="1" t="s">
        <v>1100</v>
      </c>
      <c r="P3" s="7" t="str">
        <f ca="1">IFERROR(__xludf.DUMMYFUNCTION("iferror(vlookup(B3,importrange(""https://docs.google.com/spreadsheets/d/1boHyJQ4e2FU0QG8MHwEi6qjX4hvZWVCHcFfXjq7bbMc/edit?resourcekey#gid=923248883"",""Prop!$C$1:$M""),11,0),IFERROR(vlookup(B3,importrange(""https://docs.google.com/spreadsheets/d/1boHyJQ4e"&amp;"2FU0QG8MHwEi6qjX4hvZWVCHcFfXjq7bbMc/edit?resourcekey#gid=923248883"",""Prop!$N$1:$X""),11,0),iferror(vlookup(B3,importrange(""https://docs.google.com/spreadsheets/d/1boHyJQ4e2FU0QG8MHwEi6qjX4hvZWVCHcFfXjq7bbMc/edit?resourcekey#gid=923248883"",""Prop!$Y$1:"&amp;"$AI""),11,0),iferror(vlookup(B3,importrange(""https://docs.google.com/spreadsheets/d/1boHyJQ4e2FU0QG8MHwEi6qjX4hvZWVCHcFfXjq7bbMc/edit?resourcekey#gid=923248883"",""Prop!$AJ$1:$AT""),11,0),iferror(vlookup(B3,importrange(""https://docs.google.com/spreadshe"&amp;"ets/d/1boHyJQ4e2FU0QG8MHwEi6qjX4hvZWVCHcFfXjq7bbMc/edit?resourcekey#gid=923248883"",""Prop!$AU$1:$BE""),11,0),iferror(vlookup(B3,importrange(""https://docs.google.com/spreadsheets/d/1boHyJQ4e2FU0QG8MHwEi6qjX4hvZWVCHcFfXjq7bbMc/edit?resourcekey#gid=9232488"&amp;"83"",""Prop!$BF$1:$BP""),11,0),iferror(vlookup(B3,importrange(""https://docs.google.com/spreadsheets/d/1boHyJQ4e2FU0QG8MHwEi6qjX4hvZWVCHcFfXjq7bbMc/edit?resourcekey#gid=923248883"",""Prop!$BQ$1:$CA""),11,0),iferror(vlookup(B3,importrange(""https://docs.go"&amp;"ogle.com/spreadsheets/d/1boHyJQ4e2FU0QG8MHwEi6qjX4hvZWVCHcFfXjq7bbMc/edit?resourcekey#gid=923248883"",""Prop!$CB$1:$CL""),11,0),iferror(vlookup(B3,importrange(""https://docs.google.com/spreadsheets/d/1boHyJQ4e2FU0QG8MHwEi6qjX4hvZWVCHcFfXjq7bbMc/edit?resou"&amp;"rcekey#gid=923248883"",""Prop!$CM$1:$CX""),12,0),iferror(vlookup(B3,importrange(""https://docs.google.com/spreadsheets/d/1boHyJQ4e2FU0QG8MHwEi6qjX4hvZWVCHcFfXjq7bbMc/edit?resourcekey#gid=923248883"",""Prop!$CV$1:$DI""),11,0)))))))))))"),"https://drive.google.com/open?id=1gCEe4fFWRp_4l78kvsBclef737fYr_zS")</f>
        <v>https://drive.google.com/open?id=1gCEe4fFWRp_4l78kvsBclef737fYr_zS</v>
      </c>
      <c r="Q3" s="50" t="str">
        <f ca="1">IFERROR(__xludf.DUMMYFUNCTION("iferror(vlookup(B3,importrange(""https://docs.google.com/spreadsheets/d/1p53T2AuvvIqhP7Nf-bo3Uhj8cbKYRPpZdsrBv3x3bAQ/edit?resourcekey#gid=1321652304"",""Prop!$C$1:$M""),11,0),IFERROR(vlookup(B3,importrange(""https://docs.google.com/spreadsheets/d/1p53T2Au"&amp;"vvIqhP7Nf-bo3Uhj8cbKYRPpZdsrBv3x3bAQ/edit?resourcekey#gid=1321652304"",""Prop!$N$1:$X""),11,0),iferror(vlookup(B3,importrange(""https://docs.google.com/spreadsheets/d/1p53T2AuvvIqhP7Nf-bo3Uhj8cbKYRPpZdsrBv3x3bAQ/edit?resourcekey#gid=1321652304"",""Prop!$Y"&amp;"$1:$AI""),11,0),iferror(vlookup(B3,importrange(""https://docs.google.com/spreadsheets/d/1p53T2AuvvIqhP7Nf-bo3Uhj8cbKYRPpZdsrBv3x3bAQ/edit?resourcekey#gid=1321652304"",""Prop!$AJ$1:$AT""),11,0),iferror(vlookup(B3,importrange(""https://docs.google.com/sprea"&amp;"dsheets/d/1p53T2AuvvIqhP7Nf-bo3Uhj8cbKYRPpZdsrBv3x3bAQ/edit?resourcekey#gid=1321652304"",""Prop!$AU$1:$BE""),11,0),iferror(vlookup(B3,importrange(""https://docs.google.com/spreadsheets/d/1p53T2AuvvIqhP7Nf-bo3Uhj8cbKYRPpZdsrBv3x3bAQ/edit?resourcekey#gid=13"&amp;"21652304"",""Prop!$BF$1:$BP""),11,0),iferror(vlookup(B3,importrange(""https://docs.google.com/spreadsheets/d/1p53T2AuvvIqhP7Nf-bo3Uhj8cbKYRPpZdsrBv3x3bAQ/edit?resourcekey#gid=1321652304"",""Prop!$BQ$1:$CA""),11,0),iferror(vlookup(B3,importrange(""https://"&amp;"docs.google.com/spreadsheets/d/1p53T2AuvvIqhP7Nf-bo3Uhj8cbKYRPpZdsrBv3x3bAQ/edit?resourcekey#gid=1321652304"",""Prop!$CB$1:$CL""),11,0),iferror(vlookup(B3,importrange(""https://docs.google.com/spreadsheets/d/1p53T2AuvvIqhP7Nf-bo3Uhj8cbKYRPpZdsrBv3x3bAQ/ed"&amp;"it?resourcekey#gid=1321652304"",""Prop!$CM$1:$CX""),12,0),iferror(vlookup(B3,importrange(""https://docs.google.com/spreadsheets/d/1p53T2AuvvIqhP7Nf-bo3Uhj8cbKYRPpZdsrBv3x3bAQ/edit?resourcekey#gid=1321652304"",""Prop!$CY$1:$DI""),11,0)))))))))))"),"https://drive.google.com/open?id=1bHspHl112yrnPwzJNM_4xuE8Qio4O2F1")</f>
        <v>https://drive.google.com/open?id=1bHspHl112yrnPwzJNM_4xuE8Qio4O2F1</v>
      </c>
      <c r="R3" s="88" t="s">
        <v>1101</v>
      </c>
      <c r="S3" s="20" t="str">
        <f ca="1">IFERROR(__xludf.DUMMYFUNCTION("IFERROR(vlookup(B3,IMPORTRANGE(""https://docs.google.com/spreadsheets/d/1g_jfYYK_KeipEDNDUgqgrsxK94XiocfNQIcP-v1QVhI/edit?resourcekey#gid=233272945"",""Nilai!B:CT""),57,0),"" "")"),"tidak melakukan perbaikan RAB sesuai bikom sebelumnya")</f>
        <v>tidak melakukan perbaikan RAB sesuai bikom sebelumnya</v>
      </c>
      <c r="T3" s="20" t="str">
        <f ca="1">IFERROR(__xludf.DUMMYFUNCTION("IFERROR(vlookup(B3,IMPORTRANGE(""https://docs.google.com/spreadsheets/d/1g_jfYYK_KeipEDNDUgqgrsxK94XiocfNQIcP-v1QVhI/edit?resourcekey#gid=233272945"",""Nilai!B:CT""),97,0),"" "")"),"LAYAK UPLOAD KE SIMBELMAWA DENGAN REVISI")</f>
        <v>LAYAK UPLOAD KE SIMBELMAWA DENGAN REVISI</v>
      </c>
      <c r="U3" s="21" t="s">
        <v>660</v>
      </c>
      <c r="V3" s="85" t="s">
        <v>1102</v>
      </c>
      <c r="W3" s="17" t="s">
        <v>1103</v>
      </c>
      <c r="X3" s="53" t="s">
        <v>949</v>
      </c>
    </row>
    <row r="4" spans="1:27" ht="69">
      <c r="A4" s="15">
        <v>2</v>
      </c>
      <c r="B4" s="15">
        <f ca="1">IFERROR(__xludf.DUMMYFUNCTION("""COMPUTED_VALUE"""),2767)</f>
        <v>2767</v>
      </c>
      <c r="C4" s="16" t="str">
        <f ca="1">IFERROR(__xludf.DUMMYFUNCTION("""COMPUTED_VALUE"""),"ADIBAH QONITANTI")</f>
        <v>ADIBAH QONITANTI</v>
      </c>
      <c r="D4" s="16" t="str">
        <f ca="1">IFERROR(__xludf.DUMMYFUNCTION("""COMPUTED_VALUE"""),"10411810000058")</f>
        <v>10411810000058</v>
      </c>
      <c r="E4" s="16" t="str">
        <f ca="1">IFERROR(__xludf.DUMMYFUNCTION("""COMPUTED_VALUE"""),"Departemen Teknik Kimia Industri")</f>
        <v>Departemen Teknik Kimia Industri</v>
      </c>
      <c r="F4" s="16" t="str">
        <f ca="1">IFERROR(__xludf.DUMMYFUNCTION("""COMPUTED_VALUE"""),"Pemanfaatan Cangkang Rajungan (Portunus pelagicus) Sebagai Bahan Baku Hidroksiapatit Untuk Pembuatan Spesimen Implan Tulang Dengan Kombinasi Polycaprolactone berbasis 3D Printing")</f>
        <v>Pemanfaatan Cangkang Rajungan (Portunus pelagicus) Sebagai Bahan Baku Hidroksiapatit Untuk Pembuatan Spesimen Implan Tulang Dengan Kombinasi Polycaprolactone berbasis 3D Printing</v>
      </c>
      <c r="G4" s="16" t="str">
        <f ca="1">IFERROR(__xludf.DUMMYFUNCTION("""COMPUTED_VALUE"""),"Dr. Eng. Eva Oktavia Ningrum, S.T., M.S.")</f>
        <v>Dr. Eng. Eva Oktavia Ningrum, S.T., M.S.</v>
      </c>
      <c r="H4" s="16" t="str">
        <f ca="1">IFERROR(__xludf.DUMMYFUNCTION("""COMPUTED_VALUE"""),"Dr.Eng. Siti Machmudah, S.T., M.Eng.")</f>
        <v>Dr.Eng. Siti Machmudah, S.T., M.Eng.</v>
      </c>
      <c r="I4" s="16" t="str">
        <f ca="1">IFERROR(__xludf.DUMMYFUNCTION("""COMPUTED_VALUE"""),"Dr. Candra Irawan, S.T., M.T.")</f>
        <v>Dr. Candra Irawan, S.T., M.T.</v>
      </c>
      <c r="J4" s="16"/>
      <c r="K4" s="17" t="s">
        <v>1098</v>
      </c>
      <c r="L4" s="17" t="s">
        <v>1099</v>
      </c>
      <c r="M4" s="19" t="b">
        <v>1</v>
      </c>
      <c r="N4" s="19" t="b">
        <v>1</v>
      </c>
      <c r="O4" s="1" t="s">
        <v>1104</v>
      </c>
      <c r="P4" s="7" t="str">
        <f ca="1">IFERROR(__xludf.DUMMYFUNCTION("iferror(vlookup(B4,importrange(""https://docs.google.com/spreadsheets/d/1boHyJQ4e2FU0QG8MHwEi6qjX4hvZWVCHcFfXjq7bbMc/edit?resourcekey#gid=923248883"",""Prop!$C$1:$M""),11,0),IFERROR(vlookup(B4,importrange(""https://docs.google.com/spreadsheets/d/1boHyJQ4e"&amp;"2FU0QG8MHwEi6qjX4hvZWVCHcFfXjq7bbMc/edit?resourcekey#gid=923248883"",""Prop!$N$1:$X""),11,0),iferror(vlookup(B4,importrange(""https://docs.google.com/spreadsheets/d/1boHyJQ4e2FU0QG8MHwEi6qjX4hvZWVCHcFfXjq7bbMc/edit?resourcekey#gid=923248883"",""Prop!$Y$1:"&amp;"$AI""),11,0),iferror(vlookup(B4,importrange(""https://docs.google.com/spreadsheets/d/1boHyJQ4e2FU0QG8MHwEi6qjX4hvZWVCHcFfXjq7bbMc/edit?resourcekey#gid=923248883"",""Prop!$AJ$1:$AT""),11,0),iferror(vlookup(B4,importrange(""https://docs.google.com/spreadshe"&amp;"ets/d/1boHyJQ4e2FU0QG8MHwEi6qjX4hvZWVCHcFfXjq7bbMc/edit?resourcekey#gid=923248883"",""Prop!$AU$1:$BE""),11,0),iferror(vlookup(B4,importrange(""https://docs.google.com/spreadsheets/d/1boHyJQ4e2FU0QG8MHwEi6qjX4hvZWVCHcFfXjq7bbMc/edit?resourcekey#gid=9232488"&amp;"83"",""Prop!$BF$1:$BP""),11,0),iferror(vlookup(B4,importrange(""https://docs.google.com/spreadsheets/d/1boHyJQ4e2FU0QG8MHwEi6qjX4hvZWVCHcFfXjq7bbMc/edit?resourcekey#gid=923248883"",""Prop!$BQ$1:$CA""),11,0),iferror(vlookup(B4,importrange(""https://docs.go"&amp;"ogle.com/spreadsheets/d/1boHyJQ4e2FU0QG8MHwEi6qjX4hvZWVCHcFfXjq7bbMc/edit?resourcekey#gid=923248883"",""Prop!$CB$1:$CL""),11,0),iferror(vlookup(B4,importrange(""https://docs.google.com/spreadsheets/d/1boHyJQ4e2FU0QG8MHwEi6qjX4hvZWVCHcFfXjq7bbMc/edit?resou"&amp;"rcekey#gid=923248883"",""Prop!$CM$1:$CX""),12,0),iferror(vlookup(B4,importrange(""https://docs.google.com/spreadsheets/d/1boHyJQ4e2FU0QG8MHwEi6qjX4hvZWVCHcFfXjq7bbMc/edit?resourcekey#gid=923248883"",""Prop!$CV$1:$DI""),11,0)))))))))))"),"https://drive.google.com/open?id=1-aJxYbjcjbA5RHwuwfNRkZ7En_m7R1VI")</f>
        <v>https://drive.google.com/open?id=1-aJxYbjcjbA5RHwuwfNRkZ7En_m7R1VI</v>
      </c>
      <c r="Q4" s="50" t="str">
        <f ca="1">IFERROR(__xludf.DUMMYFUNCTION("iferror(vlookup(B4,importrange(""https://docs.google.com/spreadsheets/d/1p53T2AuvvIqhP7Nf-bo3Uhj8cbKYRPpZdsrBv3x3bAQ/edit?resourcekey#gid=1321652304"",""Prop!$C$1:$M""),11,0),IFERROR(vlookup(B4,importrange(""https://docs.google.com/spreadsheets/d/1p53T2Au"&amp;"vvIqhP7Nf-bo3Uhj8cbKYRPpZdsrBv3x3bAQ/edit?resourcekey#gid=1321652304"",""Prop!$N$1:$X""),11,0),iferror(vlookup(B4,importrange(""https://docs.google.com/spreadsheets/d/1p53T2AuvvIqhP7Nf-bo3Uhj8cbKYRPpZdsrBv3x3bAQ/edit?resourcekey#gid=1321652304"",""Prop!$Y"&amp;"$1:$AI""),11,0),iferror(vlookup(B4,importrange(""https://docs.google.com/spreadsheets/d/1p53T2AuvvIqhP7Nf-bo3Uhj8cbKYRPpZdsrBv3x3bAQ/edit?resourcekey#gid=1321652304"",""Prop!$AJ$1:$AT""),11,0),iferror(vlookup(B4,importrange(""https://docs.google.com/sprea"&amp;"dsheets/d/1p53T2AuvvIqhP7Nf-bo3Uhj8cbKYRPpZdsrBv3x3bAQ/edit?resourcekey#gid=1321652304"",""Prop!$AU$1:$BE""),11,0),iferror(vlookup(B4,importrange(""https://docs.google.com/spreadsheets/d/1p53T2AuvvIqhP7Nf-bo3Uhj8cbKYRPpZdsrBv3x3bAQ/edit?resourcekey#gid=13"&amp;"21652304"",""Prop!$BF$1:$BP""),11,0),iferror(vlookup(B4,importrange(""https://docs.google.com/spreadsheets/d/1p53T2AuvvIqhP7Nf-bo3Uhj8cbKYRPpZdsrBv3x3bAQ/edit?resourcekey#gid=1321652304"",""Prop!$BQ$1:$CA""),11,0),iferror(vlookup(B4,importrange(""https://"&amp;"docs.google.com/spreadsheets/d/1p53T2AuvvIqhP7Nf-bo3Uhj8cbKYRPpZdsrBv3x3bAQ/edit?resourcekey#gid=1321652304"",""Prop!$CB$1:$CL""),11,0),iferror(vlookup(B4,importrange(""https://docs.google.com/spreadsheets/d/1p53T2AuvvIqhP7Nf-bo3Uhj8cbKYRPpZdsrBv3x3bAQ/ed"&amp;"it?resourcekey#gid=1321652304"",""Prop!$CM$1:$CX""),12,0),iferror(vlookup(B4,importrange(""https://docs.google.com/spreadsheets/d/1p53T2AuvvIqhP7Nf-bo3Uhj8cbKYRPpZdsrBv3x3bAQ/edit?resourcekey#gid=1321652304"",""Prop!$CY$1:$DI""),11,0)))))))))))"),"https://drive.google.com/open?id=1Pq_bU8S4Ym7slaHGEIXgnRODXETWAAPg")</f>
        <v>https://drive.google.com/open?id=1Pq_bU8S4Ym7slaHGEIXgnRODXETWAAPg</v>
      </c>
      <c r="R4" s="88" t="s">
        <v>1101</v>
      </c>
      <c r="S4" s="20" t="str">
        <f ca="1">IFERROR(__xludf.DUMMYFUNCTION("IFERROR(vlookup(B4,IMPORTRANGE(""https://docs.google.com/spreadsheets/d/1g_jfYYK_KeipEDNDUgqgrsxK94XiocfNQIcP-v1QVhI/edit?resourcekey#gid=233272945"",""Nilai!B:CT""),57,0),"" "")"),"RAB belum menuliskan keterangan in cash dari PT (tabel 4.1) dan blm ada keterangan dipakai di item mana di lampiran 2, tanda tangan biodata mahasiswa dan dosen masih februari 2022")</f>
        <v>RAB belum menuliskan keterangan in cash dari PT (tabel 4.1) dan blm ada keterangan dipakai di item mana di lampiran 2, tanda tangan biodata mahasiswa dan dosen masih februari 2022</v>
      </c>
      <c r="T4" s="20" t="str">
        <f ca="1">IFERROR(__xludf.DUMMYFUNCTION("IFERROR(vlookup(B4,IMPORTRANGE(""https://docs.google.com/spreadsheets/d/1g_jfYYK_KeipEDNDUgqgrsxK94XiocfNQIcP-v1QVhI/edit?resourcekey#gid=233272945"",""Nilai!B:CT""),97,0),"" "")"),"LAYAK UPLOAD KE SIMBELMAWA DENGAN REVISI")</f>
        <v>LAYAK UPLOAD KE SIMBELMAWA DENGAN REVISI</v>
      </c>
      <c r="U4" s="21" t="s">
        <v>660</v>
      </c>
      <c r="V4" s="85" t="s">
        <v>1102</v>
      </c>
      <c r="W4" s="17" t="s">
        <v>1103</v>
      </c>
      <c r="X4" s="53" t="s">
        <v>949</v>
      </c>
    </row>
    <row r="5" spans="1:27" ht="69">
      <c r="A5" s="15">
        <v>3</v>
      </c>
      <c r="B5" s="15">
        <f ca="1">IFERROR(__xludf.DUMMYFUNCTION("""COMPUTED_VALUE"""),3557)</f>
        <v>3557</v>
      </c>
      <c r="C5" s="16" t="str">
        <f ca="1">IFERROR(__xludf.DUMMYFUNCTION("""COMPUTED_VALUE"""),"Muhammad Zidan Chisa Faqih")</f>
        <v>Muhammad Zidan Chisa Faqih</v>
      </c>
      <c r="D5" s="16" t="str">
        <f ca="1">IFERROR(__xludf.DUMMYFUNCTION("""COMPUTED_VALUE"""),"01211940000021")</f>
        <v>01211940000021</v>
      </c>
      <c r="E5" s="16" t="str">
        <f ca="1">IFERROR(__xludf.DUMMYFUNCTION("""COMPUTED_VALUE"""),"Departemen Kimia")</f>
        <v>Departemen Kimia</v>
      </c>
      <c r="F5" s="16" t="str">
        <f ca="1">IFERROR(__xludf.DUMMYFUNCTION("""COMPUTED_VALUE"""),"Potensi Antibakteri pada Luka Diabetes Terinfeksi MRSA oleh Nanopartikel Seng Oksida Hasil Biosintesis dengan Ekstrak Daun Melinjo yang Terdoping Perak")</f>
        <v>Potensi Antibakteri pada Luka Diabetes Terinfeksi MRSA oleh Nanopartikel Seng Oksida Hasil Biosintesis dengan Ekstrak Daun Melinjo yang Terdoping Perak</v>
      </c>
      <c r="G5" s="16" t="str">
        <f ca="1">IFERROR(__xludf.DUMMYFUNCTION("""COMPUTED_VALUE"""),"Arif Fadlan, S.Si., M.Si., D.Sc")</f>
        <v>Arif Fadlan, S.Si., M.Si., D.Sc</v>
      </c>
      <c r="H5" s="16" t="str">
        <f ca="1">IFERROR(__xludf.DUMMYFUNCTION("""COMPUTED_VALUE"""),"Dr.Eng. Siti Machmudah, S.T., M.Eng.")</f>
        <v>Dr.Eng. Siti Machmudah, S.T., M.Eng.</v>
      </c>
      <c r="I5" s="16" t="str">
        <f ca="1">IFERROR(__xludf.DUMMYFUNCTION("""COMPUTED_VALUE"""),"Hamdan Dwi Rizqi, S.Si., M.Si.")</f>
        <v>Hamdan Dwi Rizqi, S.Si., M.Si.</v>
      </c>
      <c r="J5" s="16"/>
      <c r="K5" s="17" t="s">
        <v>1098</v>
      </c>
      <c r="L5" s="17" t="s">
        <v>1099</v>
      </c>
      <c r="M5" s="19" t="b">
        <v>1</v>
      </c>
      <c r="N5" s="19" t="b">
        <v>1</v>
      </c>
      <c r="O5" s="1" t="s">
        <v>1104</v>
      </c>
      <c r="P5" s="7" t="str">
        <f ca="1">IFERROR(__xludf.DUMMYFUNCTION("iferror(vlookup(B5,importrange(""https://docs.google.com/spreadsheets/d/1boHyJQ4e2FU0QG8MHwEi6qjX4hvZWVCHcFfXjq7bbMc/edit?resourcekey#gid=923248883"",""Prop!$C$1:$M""),11,0),IFERROR(vlookup(B5,importrange(""https://docs.google.com/spreadsheets/d/1boHyJQ4e"&amp;"2FU0QG8MHwEi6qjX4hvZWVCHcFfXjq7bbMc/edit?resourcekey#gid=923248883"",""Prop!$N$1:$X""),11,0),iferror(vlookup(B5,importrange(""https://docs.google.com/spreadsheets/d/1boHyJQ4e2FU0QG8MHwEi6qjX4hvZWVCHcFfXjq7bbMc/edit?resourcekey#gid=923248883"",""Prop!$Y$1:"&amp;"$AI""),11,0),iferror(vlookup(B5,importrange(""https://docs.google.com/spreadsheets/d/1boHyJQ4e2FU0QG8MHwEi6qjX4hvZWVCHcFfXjq7bbMc/edit?resourcekey#gid=923248883"",""Prop!$AJ$1:$AT""),11,0),iferror(vlookup(B5,importrange(""https://docs.google.com/spreadshe"&amp;"ets/d/1boHyJQ4e2FU0QG8MHwEi6qjX4hvZWVCHcFfXjq7bbMc/edit?resourcekey#gid=923248883"",""Prop!$AU$1:$BE""),11,0),iferror(vlookup(B5,importrange(""https://docs.google.com/spreadsheets/d/1boHyJQ4e2FU0QG8MHwEi6qjX4hvZWVCHcFfXjq7bbMc/edit?resourcekey#gid=9232488"&amp;"83"",""Prop!$BF$1:$BP""),11,0),iferror(vlookup(B5,importrange(""https://docs.google.com/spreadsheets/d/1boHyJQ4e2FU0QG8MHwEi6qjX4hvZWVCHcFfXjq7bbMc/edit?resourcekey#gid=923248883"",""Prop!$BQ$1:$CA""),11,0),iferror(vlookup(B5,importrange(""https://docs.go"&amp;"ogle.com/spreadsheets/d/1boHyJQ4e2FU0QG8MHwEi6qjX4hvZWVCHcFfXjq7bbMc/edit?resourcekey#gid=923248883"",""Prop!$CB$1:$CL""),11,0),iferror(vlookup(B5,importrange(""https://docs.google.com/spreadsheets/d/1boHyJQ4e2FU0QG8MHwEi6qjX4hvZWVCHcFfXjq7bbMc/edit?resou"&amp;"rcekey#gid=923248883"",""Prop!$CM$1:$CX""),12,0),iferror(vlookup(B5,importrange(""https://docs.google.com/spreadsheets/d/1boHyJQ4e2FU0QG8MHwEi6qjX4hvZWVCHcFfXjq7bbMc/edit?resourcekey#gid=923248883"",""Prop!$CV$1:$DI""),11,0)))))))))))"),"https://drive.google.com/open?id=1SfrE_Py-ByYZC2jS2KytdiTjl7Hxvgbu")</f>
        <v>https://drive.google.com/open?id=1SfrE_Py-ByYZC2jS2KytdiTjl7Hxvgbu</v>
      </c>
      <c r="Q5" s="50" t="str">
        <f ca="1">IFERROR(__xludf.DUMMYFUNCTION("iferror(vlookup(B5,importrange(""https://docs.google.com/spreadsheets/d/1p53T2AuvvIqhP7Nf-bo3Uhj8cbKYRPpZdsrBv3x3bAQ/edit?resourcekey#gid=1321652304"",""Prop!$C$1:$M""),11,0),IFERROR(vlookup(B5,importrange(""https://docs.google.com/spreadsheets/d/1p53T2Au"&amp;"vvIqhP7Nf-bo3Uhj8cbKYRPpZdsrBv3x3bAQ/edit?resourcekey#gid=1321652304"",""Prop!$N$1:$X""),11,0),iferror(vlookup(B5,importrange(""https://docs.google.com/spreadsheets/d/1p53T2AuvvIqhP7Nf-bo3Uhj8cbKYRPpZdsrBv3x3bAQ/edit?resourcekey#gid=1321652304"",""Prop!$Y"&amp;"$1:$AI""),11,0),iferror(vlookup(B5,importrange(""https://docs.google.com/spreadsheets/d/1p53T2AuvvIqhP7Nf-bo3Uhj8cbKYRPpZdsrBv3x3bAQ/edit?resourcekey#gid=1321652304"",""Prop!$AJ$1:$AT""),11,0),iferror(vlookup(B5,importrange(""https://docs.google.com/sprea"&amp;"dsheets/d/1p53T2AuvvIqhP7Nf-bo3Uhj8cbKYRPpZdsrBv3x3bAQ/edit?resourcekey#gid=1321652304"",""Prop!$AU$1:$BE""),11,0),iferror(vlookup(B5,importrange(""https://docs.google.com/spreadsheets/d/1p53T2AuvvIqhP7Nf-bo3Uhj8cbKYRPpZdsrBv3x3bAQ/edit?resourcekey#gid=13"&amp;"21652304"",""Prop!$BF$1:$BP""),11,0),iferror(vlookup(B5,importrange(""https://docs.google.com/spreadsheets/d/1p53T2AuvvIqhP7Nf-bo3Uhj8cbKYRPpZdsrBv3x3bAQ/edit?resourcekey#gid=1321652304"",""Prop!$BQ$1:$CA""),11,0),iferror(vlookup(B5,importrange(""https://"&amp;"docs.google.com/spreadsheets/d/1p53T2AuvvIqhP7Nf-bo3Uhj8cbKYRPpZdsrBv3x3bAQ/edit?resourcekey#gid=1321652304"",""Prop!$CB$1:$CL""),11,0),iferror(vlookup(B5,importrange(""https://docs.google.com/spreadsheets/d/1p53T2AuvvIqhP7Nf-bo3Uhj8cbKYRPpZdsrBv3x3bAQ/ed"&amp;"it?resourcekey#gid=1321652304"",""Prop!$CM$1:$CX""),12,0),iferror(vlookup(B5,importrange(""https://docs.google.com/spreadsheets/d/1p53T2AuvvIqhP7Nf-bo3Uhj8cbKYRPpZdsrBv3x3bAQ/edit?resourcekey#gid=1321652304"",""Prop!$CY$1:$DI""),11,0)))))))))))"),"https://drive.google.com/open?id=1PoatgyJO13KH4DkVgBsFXHgaLyYKqZOJ")</f>
        <v>https://drive.google.com/open?id=1PoatgyJO13KH4DkVgBsFXHgaLyYKqZOJ</v>
      </c>
      <c r="R5" s="88" t="s">
        <v>1101</v>
      </c>
      <c r="S5" s="20" t="str">
        <f ca="1">IFERROR(__xludf.DUMMYFUNCTION("IFERROR(vlookup(B5,IMPORTRANGE(""https://docs.google.com/spreadsheets/d/1g_jfYYK_KeipEDNDUgqgrsxK94XiocfNQIcP-v1QVhI/edit?resourcekey#gid=233272945"",""Nilai!B:CT""),57,0),"" "")"),"RAB diperbaiki beri keterangan in cash pada dana dari PT (tabel 4.1) dan beri keterangan item yang dibeli dengan dana PT (lampiran 2), jumlah halaman lebih dari 10, tidak ada publikasi (Luaran dan anggaran), biodata anggota masih Februari 2022, biodata do"&amp;"sen belum diupdate (tanggal dan tabel riwayat pendidikan)")</f>
        <v>RAB diperbaiki beri keterangan in cash pada dana dari PT (tabel 4.1) dan beri keterangan item yang dibeli dengan dana PT (lampiran 2), jumlah halaman lebih dari 10, tidak ada publikasi (Luaran dan anggaran), biodata anggota masih Februari 2022, biodata dosen belum diupdate (tanggal dan tabel riwayat pendidikan)</v>
      </c>
      <c r="T5" s="20" t="str">
        <f ca="1">IFERROR(__xludf.DUMMYFUNCTION("IFERROR(vlookup(B5,IMPORTRANGE(""https://docs.google.com/spreadsheets/d/1g_jfYYK_KeipEDNDUgqgrsxK94XiocfNQIcP-v1QVhI/edit?resourcekey#gid=233272945"",""Nilai!B:CT""),97,0),"" "")"),"LAYAK UPLOAD KE SIMBELMAWA DENGAN REVISI")</f>
        <v>LAYAK UPLOAD KE SIMBELMAWA DENGAN REVISI</v>
      </c>
      <c r="U5" s="21" t="s">
        <v>660</v>
      </c>
      <c r="V5" s="85" t="s">
        <v>1102</v>
      </c>
      <c r="W5" s="17" t="s">
        <v>1103</v>
      </c>
      <c r="X5" s="53" t="s">
        <v>949</v>
      </c>
    </row>
    <row r="6" spans="1:27" ht="96.6">
      <c r="A6" s="15">
        <v>4</v>
      </c>
      <c r="B6" s="15">
        <f ca="1">IFERROR(__xludf.DUMMYFUNCTION("""COMPUTED_VALUE"""),2491)</f>
        <v>2491</v>
      </c>
      <c r="C6" s="16" t="str">
        <f ca="1">IFERROR(__xludf.DUMMYFUNCTION("""COMPUTED_VALUE"""),"MOH. HABIB DWI FEBRIANTO")</f>
        <v>MOH. HABIB DWI FEBRIANTO</v>
      </c>
      <c r="D6" s="16" t="str">
        <f ca="1">IFERROR(__xludf.DUMMYFUNCTION("""COMPUTED_VALUE"""),"5005201054")</f>
        <v>5005201054</v>
      </c>
      <c r="E6" s="16" t="str">
        <f ca="1">IFERROR(__xludf.DUMMYFUNCTION("""COMPUTED_VALUE"""),"Departemen Biologi")</f>
        <v>Departemen Biologi</v>
      </c>
      <c r="F6" s="16" t="str">
        <f ca="1">IFERROR(__xludf.DUMMYFUNCTION("""COMPUTED_VALUE"""),"Potensi Senyawa Flavonoid Daun Putri Malu (Mimosa Pudica) Sebagai Anti Asma Tertarget Interleukin 5 (IL-5) Secara In Silico")</f>
        <v>Potensi Senyawa Flavonoid Daun Putri Malu (Mimosa Pudica) Sebagai Anti Asma Tertarget Interleukin 5 (IL-5) Secara In Silico</v>
      </c>
      <c r="G6" s="16" t="str">
        <f ca="1">IFERROR(__xludf.DUMMYFUNCTION("""COMPUTED_VALUE"""),"Dr.rer.nat. Arif Luqman, S.Si., M.T.")</f>
        <v>Dr.rer.nat. Arif Luqman, S.Si., M.T.</v>
      </c>
      <c r="H6" s="16" t="str">
        <f ca="1">IFERROR(__xludf.DUMMYFUNCTION("""COMPUTED_VALUE"""),"Ahmad Fauzan Adziimaa, S.T., M.Sc.")</f>
        <v>Ahmad Fauzan Adziimaa, S.T., M.Sc.</v>
      </c>
      <c r="I6" s="16" t="str">
        <f ca="1">IFERROR(__xludf.DUMMYFUNCTION("""COMPUTED_VALUE"""),"Tri Vicca Kusumadewi, S.T., M.Sc.")</f>
        <v>Tri Vicca Kusumadewi, S.T., M.Sc.</v>
      </c>
      <c r="J6" s="16"/>
      <c r="K6" s="17" t="s">
        <v>1098</v>
      </c>
      <c r="L6" s="17" t="s">
        <v>1099</v>
      </c>
      <c r="M6" s="19" t="b">
        <v>1</v>
      </c>
      <c r="N6" s="19" t="b">
        <v>1</v>
      </c>
      <c r="O6" s="1" t="s">
        <v>1100</v>
      </c>
      <c r="P6" s="7" t="str">
        <f ca="1">IFERROR(__xludf.DUMMYFUNCTION("iferror(vlookup(B6,importrange(""https://docs.google.com/spreadsheets/d/1boHyJQ4e2FU0QG8MHwEi6qjX4hvZWVCHcFfXjq7bbMc/edit?resourcekey#gid=923248883"",""Prop!$C$1:$M""),11,0),IFERROR(vlookup(B6,importrange(""https://docs.google.com/spreadsheets/d/1boHyJQ4e"&amp;"2FU0QG8MHwEi6qjX4hvZWVCHcFfXjq7bbMc/edit?resourcekey#gid=923248883"",""Prop!$N$1:$X""),11,0),iferror(vlookup(B6,importrange(""https://docs.google.com/spreadsheets/d/1boHyJQ4e2FU0QG8MHwEi6qjX4hvZWVCHcFfXjq7bbMc/edit?resourcekey#gid=923248883"",""Prop!$Y$1:"&amp;"$AI""),11,0),iferror(vlookup(B6,importrange(""https://docs.google.com/spreadsheets/d/1boHyJQ4e2FU0QG8MHwEi6qjX4hvZWVCHcFfXjq7bbMc/edit?resourcekey#gid=923248883"",""Prop!$AJ$1:$AT""),11,0),iferror(vlookup(B6,importrange(""https://docs.google.com/spreadshe"&amp;"ets/d/1boHyJQ4e2FU0QG8MHwEi6qjX4hvZWVCHcFfXjq7bbMc/edit?resourcekey#gid=923248883"",""Prop!$AU$1:$BE""),11,0),iferror(vlookup(B6,importrange(""https://docs.google.com/spreadsheets/d/1boHyJQ4e2FU0QG8MHwEi6qjX4hvZWVCHcFfXjq7bbMc/edit?resourcekey#gid=9232488"&amp;"83"",""Prop!$BF$1:$BP""),11,0),iferror(vlookup(B6,importrange(""https://docs.google.com/spreadsheets/d/1boHyJQ4e2FU0QG8MHwEi6qjX4hvZWVCHcFfXjq7bbMc/edit?resourcekey#gid=923248883"",""Prop!$BQ$1:$CA""),11,0),iferror(vlookup(B6,importrange(""https://docs.go"&amp;"ogle.com/spreadsheets/d/1boHyJQ4e2FU0QG8MHwEi6qjX4hvZWVCHcFfXjq7bbMc/edit?resourcekey#gid=923248883"",""Prop!$CB$1:$CL""),11,0),iferror(vlookup(B6,importrange(""https://docs.google.com/spreadsheets/d/1boHyJQ4e2FU0QG8MHwEi6qjX4hvZWVCHcFfXjq7bbMc/edit?resou"&amp;"rcekey#gid=923248883"",""Prop!$CM$1:$CX""),12,0),iferror(vlookup(B6,importrange(""https://docs.google.com/spreadsheets/d/1boHyJQ4e2FU0QG8MHwEi6qjX4hvZWVCHcFfXjq7bbMc/edit?resourcekey#gid=923248883"",""Prop!$CV$1:$DI""),11,0)))))))))))"),"https://drive.google.com/open?id=1lfY8CJ83ElDzMtFJoOSpTuxJcwnMrwca")</f>
        <v>https://drive.google.com/open?id=1lfY8CJ83ElDzMtFJoOSpTuxJcwnMrwca</v>
      </c>
      <c r="Q6" s="50" t="str">
        <f ca="1">IFERROR(__xludf.DUMMYFUNCTION("iferror(vlookup(B6,importrange(""https://docs.google.com/spreadsheets/d/1p53T2AuvvIqhP7Nf-bo3Uhj8cbKYRPpZdsrBv3x3bAQ/edit?resourcekey#gid=1321652304"",""Prop!$C$1:$M""),11,0),IFERROR(vlookup(B6,importrange(""https://docs.google.com/spreadsheets/d/1p53T2Au"&amp;"vvIqhP7Nf-bo3Uhj8cbKYRPpZdsrBv3x3bAQ/edit?resourcekey#gid=1321652304"",""Prop!$N$1:$X""),11,0),iferror(vlookup(B6,importrange(""https://docs.google.com/spreadsheets/d/1p53T2AuvvIqhP7Nf-bo3Uhj8cbKYRPpZdsrBv3x3bAQ/edit?resourcekey#gid=1321652304"",""Prop!$Y"&amp;"$1:$AI""),11,0),iferror(vlookup(B6,importrange(""https://docs.google.com/spreadsheets/d/1p53T2AuvvIqhP7Nf-bo3Uhj8cbKYRPpZdsrBv3x3bAQ/edit?resourcekey#gid=1321652304"",""Prop!$AJ$1:$AT""),11,0),iferror(vlookup(B6,importrange(""https://docs.google.com/sprea"&amp;"dsheets/d/1p53T2AuvvIqhP7Nf-bo3Uhj8cbKYRPpZdsrBv3x3bAQ/edit?resourcekey#gid=1321652304"",""Prop!$AU$1:$BE""),11,0),iferror(vlookup(B6,importrange(""https://docs.google.com/spreadsheets/d/1p53T2AuvvIqhP7Nf-bo3Uhj8cbKYRPpZdsrBv3x3bAQ/edit?resourcekey#gid=13"&amp;"21652304"",""Prop!$BF$1:$BP""),11,0),iferror(vlookup(B6,importrange(""https://docs.google.com/spreadsheets/d/1p53T2AuvvIqhP7Nf-bo3Uhj8cbKYRPpZdsrBv3x3bAQ/edit?resourcekey#gid=1321652304"",""Prop!$BQ$1:$CA""),11,0),iferror(vlookup(B6,importrange(""https://"&amp;"docs.google.com/spreadsheets/d/1p53T2AuvvIqhP7Nf-bo3Uhj8cbKYRPpZdsrBv3x3bAQ/edit?resourcekey#gid=1321652304"",""Prop!$CB$1:$CL""),11,0),iferror(vlookup(B6,importrange(""https://docs.google.com/spreadsheets/d/1p53T2AuvvIqhP7Nf-bo3Uhj8cbKYRPpZdsrBv3x3bAQ/ed"&amp;"it?resourcekey#gid=1321652304"",""Prop!$CM$1:$CX""),12,0),iferror(vlookup(B6,importrange(""https://docs.google.com/spreadsheets/d/1p53T2AuvvIqhP7Nf-bo3Uhj8cbKYRPpZdsrBv3x3bAQ/edit?resourcekey#gid=1321652304"",""Prop!$CY$1:$DI""),11,0)))))))))))"),"https://drive.google.com/open?id=165wHFTgfDHcu8Ohfu45A25St_GJqdsXb")</f>
        <v>https://drive.google.com/open?id=165wHFTgfDHcu8Ohfu45A25St_GJqdsXb</v>
      </c>
      <c r="R6" s="88" t="s">
        <v>1101</v>
      </c>
      <c r="S6" s="20" t="str">
        <f ca="1">IFERROR(__xludf.DUMMYFUNCTION("IFERROR(vlookup(B6,IMPORTRANGE(""https://docs.google.com/spreadsheets/d/1g_jfYYK_KeipEDNDUgqgrsxK94XiocfNQIcP-v1QVhI/edit?resourcekey#gid=233272945"",""Nilai!B:CT""),57,0),"" "")"),"masih ada tulisan kegiatan daring di metode, tidak ada kegiatan luring disintesis di lab?? tabel 4.1 ditambah baris instansi lain (besar dana 0 rupiah), beri keterangan untuk dana perguruan tinggi --&gt; (in cash), ada pembelian di atas 1 juta (sewa lab) seb"&amp;"aiknya dipisah menjadi 2 item, format tabel lampiran 2 belum sepenuhnya mengikuti pedoman, beri keterangan item mana yang dibeli dengan dana Perguruan Tinggi sesuai dengan tabel 4.1, tidak boleh ada publikasi artikel ilmiah")</f>
        <v>masih ada tulisan kegiatan daring di metode, tidak ada kegiatan luring disintesis di lab?? tabel 4.1 ditambah baris instansi lain (besar dana 0 rupiah), beri keterangan untuk dana perguruan tinggi --&gt; (in cash), ada pembelian di atas 1 juta (sewa lab) sebaiknya dipisah menjadi 2 item, format tabel lampiran 2 belum sepenuhnya mengikuti pedoman, beri keterangan item mana yang dibeli dengan dana Perguruan Tinggi sesuai dengan tabel 4.1, tidak boleh ada publikasi artikel ilmiah</v>
      </c>
      <c r="T6" s="20" t="str">
        <f ca="1">IFERROR(__xludf.DUMMYFUNCTION("IFERROR(vlookup(B6,IMPORTRANGE(""https://docs.google.com/spreadsheets/d/1g_jfYYK_KeipEDNDUgqgrsxK94XiocfNQIcP-v1QVhI/edit?resourcekey#gid=233272945"",""Nilai!B:CT""),97,0),"" "")"),"LAYAK UPLOAD KE SIMBELMAWA DENGAN REVISI")</f>
        <v>LAYAK UPLOAD KE SIMBELMAWA DENGAN REVISI</v>
      </c>
      <c r="U6" s="21" t="s">
        <v>660</v>
      </c>
      <c r="V6" s="85" t="s">
        <v>1102</v>
      </c>
      <c r="W6" s="17" t="s">
        <v>1103</v>
      </c>
      <c r="X6" s="53" t="s">
        <v>949</v>
      </c>
    </row>
    <row r="7" spans="1:27" ht="69">
      <c r="A7" s="15">
        <v>5</v>
      </c>
      <c r="B7" s="15">
        <f ca="1">IFERROR(__xludf.DUMMYFUNCTION("""COMPUTED_VALUE"""),3220)</f>
        <v>3220</v>
      </c>
      <c r="C7" s="16" t="str">
        <f ca="1">IFERROR(__xludf.DUMMYFUNCTION("""COMPUTED_VALUE"""),"Fariz Risqi Maulana")</f>
        <v>Fariz Risqi Maulana</v>
      </c>
      <c r="D7" s="16" t="str">
        <f ca="1">IFERROR(__xludf.DUMMYFUNCTION("""COMPUTED_VALUE"""),"02311840000015")</f>
        <v>02311840000015</v>
      </c>
      <c r="E7" s="16" t="str">
        <f ca="1">IFERROR(__xludf.DUMMYFUNCTION("""COMPUTED_VALUE"""),"Departemen Teknik Fisika")</f>
        <v>Departemen Teknik Fisika</v>
      </c>
      <c r="F7" s="16" t="str">
        <f ca="1">IFERROR(__xludf.DUMMYFUNCTION("""COMPUTED_VALUE"""),"Studi Analisis Potensi Listrik dan Termal Energi Hidrogen yang Dihasilkan Oleh Limbah Aluminium dengan Metode Reaksi Alumunium-Air")</f>
        <v>Studi Analisis Potensi Listrik dan Termal Energi Hidrogen yang Dihasilkan Oleh Limbah Aluminium dengan Metode Reaksi Alumunium-Air</v>
      </c>
      <c r="G7" s="16" t="str">
        <f ca="1">IFERROR(__xludf.DUMMYFUNCTION("""COMPUTED_VALUE"""),"Dr.-Ing. Doty Dewi Risanti, S.T., M.T.")</f>
        <v>Dr.-Ing. Doty Dewi Risanti, S.T., M.T.</v>
      </c>
      <c r="H7" s="16" t="str">
        <f ca="1">IFERROR(__xludf.DUMMYFUNCTION("""COMPUTED_VALUE"""),"Dr.Eng. Siti Machmudah, S.T., M.Eng.")</f>
        <v>Dr.Eng. Siti Machmudah, S.T., M.Eng.</v>
      </c>
      <c r="I7" s="16" t="str">
        <f ca="1">IFERROR(__xludf.DUMMYFUNCTION("""COMPUTED_VALUE"""),"Dr. Candra Irawan, S.T., M.T.")</f>
        <v>Dr. Candra Irawan, S.T., M.T.</v>
      </c>
      <c r="J7" s="16"/>
      <c r="K7" s="17" t="s">
        <v>1098</v>
      </c>
      <c r="L7" s="17" t="s">
        <v>1099</v>
      </c>
      <c r="M7" s="19" t="b">
        <v>1</v>
      </c>
      <c r="N7" s="19" t="b">
        <v>1</v>
      </c>
      <c r="O7" s="1" t="s">
        <v>1104</v>
      </c>
      <c r="P7" s="7" t="str">
        <f ca="1">IFERROR(__xludf.DUMMYFUNCTION("iferror(vlookup(B7,importrange(""https://docs.google.com/spreadsheets/d/1boHyJQ4e2FU0QG8MHwEi6qjX4hvZWVCHcFfXjq7bbMc/edit?resourcekey#gid=923248883"",""Prop!$C$1:$M""),11,0),IFERROR(vlookup(B7,importrange(""https://docs.google.com/spreadsheets/d/1boHyJQ4e"&amp;"2FU0QG8MHwEi6qjX4hvZWVCHcFfXjq7bbMc/edit?resourcekey#gid=923248883"",""Prop!$N$1:$X""),11,0),iferror(vlookup(B7,importrange(""https://docs.google.com/spreadsheets/d/1boHyJQ4e2FU0QG8MHwEi6qjX4hvZWVCHcFfXjq7bbMc/edit?resourcekey#gid=923248883"",""Prop!$Y$1:"&amp;"$AI""),11,0),iferror(vlookup(B7,importrange(""https://docs.google.com/spreadsheets/d/1boHyJQ4e2FU0QG8MHwEi6qjX4hvZWVCHcFfXjq7bbMc/edit?resourcekey#gid=923248883"",""Prop!$AJ$1:$AT""),11,0),iferror(vlookup(B7,importrange(""https://docs.google.com/spreadshe"&amp;"ets/d/1boHyJQ4e2FU0QG8MHwEi6qjX4hvZWVCHcFfXjq7bbMc/edit?resourcekey#gid=923248883"",""Prop!$AU$1:$BE""),11,0),iferror(vlookup(B7,importrange(""https://docs.google.com/spreadsheets/d/1boHyJQ4e2FU0QG8MHwEi6qjX4hvZWVCHcFfXjq7bbMc/edit?resourcekey#gid=9232488"&amp;"83"",""Prop!$BF$1:$BP""),11,0),iferror(vlookup(B7,importrange(""https://docs.google.com/spreadsheets/d/1boHyJQ4e2FU0QG8MHwEi6qjX4hvZWVCHcFfXjq7bbMc/edit?resourcekey#gid=923248883"",""Prop!$BQ$1:$CA""),11,0),iferror(vlookup(B7,importrange(""https://docs.go"&amp;"ogle.com/spreadsheets/d/1boHyJQ4e2FU0QG8MHwEi6qjX4hvZWVCHcFfXjq7bbMc/edit?resourcekey#gid=923248883"",""Prop!$CB$1:$CL""),11,0),iferror(vlookup(B7,importrange(""https://docs.google.com/spreadsheets/d/1boHyJQ4e2FU0QG8MHwEi6qjX4hvZWVCHcFfXjq7bbMc/edit?resou"&amp;"rcekey#gid=923248883"",""Prop!$CM$1:$CX""),12,0),iferror(vlookup(B7,importrange(""https://docs.google.com/spreadsheets/d/1boHyJQ4e2FU0QG8MHwEi6qjX4hvZWVCHcFfXjq7bbMc/edit?resourcekey#gid=923248883"",""Prop!$CV$1:$DI""),11,0)))))))))))"),"https://drive.google.com/open?id=1bVon9gHwqxlzWnNoKg_xpyt6eY4dxqrN")</f>
        <v>https://drive.google.com/open?id=1bVon9gHwqxlzWnNoKg_xpyt6eY4dxqrN</v>
      </c>
      <c r="Q7" s="50" t="str">
        <f ca="1">IFERROR(__xludf.DUMMYFUNCTION("iferror(vlookup(B7,importrange(""https://docs.google.com/spreadsheets/d/1p53T2AuvvIqhP7Nf-bo3Uhj8cbKYRPpZdsrBv3x3bAQ/edit?resourcekey#gid=1321652304"",""Prop!$C$1:$M""),11,0),IFERROR(vlookup(B7,importrange(""https://docs.google.com/spreadsheets/d/1p53T2Au"&amp;"vvIqhP7Nf-bo3Uhj8cbKYRPpZdsrBv3x3bAQ/edit?resourcekey#gid=1321652304"",""Prop!$N$1:$X""),11,0),iferror(vlookup(B7,importrange(""https://docs.google.com/spreadsheets/d/1p53T2AuvvIqhP7Nf-bo3Uhj8cbKYRPpZdsrBv3x3bAQ/edit?resourcekey#gid=1321652304"",""Prop!$Y"&amp;"$1:$AI""),11,0),iferror(vlookup(B7,importrange(""https://docs.google.com/spreadsheets/d/1p53T2AuvvIqhP7Nf-bo3Uhj8cbKYRPpZdsrBv3x3bAQ/edit?resourcekey#gid=1321652304"",""Prop!$AJ$1:$AT""),11,0),iferror(vlookup(B7,importrange(""https://docs.google.com/sprea"&amp;"dsheets/d/1p53T2AuvvIqhP7Nf-bo3Uhj8cbKYRPpZdsrBv3x3bAQ/edit?resourcekey#gid=1321652304"",""Prop!$AU$1:$BE""),11,0),iferror(vlookup(B7,importrange(""https://docs.google.com/spreadsheets/d/1p53T2AuvvIqhP7Nf-bo3Uhj8cbKYRPpZdsrBv3x3bAQ/edit?resourcekey#gid=13"&amp;"21652304"",""Prop!$BF$1:$BP""),11,0),iferror(vlookup(B7,importrange(""https://docs.google.com/spreadsheets/d/1p53T2AuvvIqhP7Nf-bo3Uhj8cbKYRPpZdsrBv3x3bAQ/edit?resourcekey#gid=1321652304"",""Prop!$BQ$1:$CA""),11,0),iferror(vlookup(B7,importrange(""https://"&amp;"docs.google.com/spreadsheets/d/1p53T2AuvvIqhP7Nf-bo3Uhj8cbKYRPpZdsrBv3x3bAQ/edit?resourcekey#gid=1321652304"",""Prop!$CB$1:$CL""),11,0),iferror(vlookup(B7,importrange(""https://docs.google.com/spreadsheets/d/1p53T2AuvvIqhP7Nf-bo3Uhj8cbKYRPpZdsrBv3x3bAQ/ed"&amp;"it?resourcekey#gid=1321652304"",""Prop!$CM$1:$CX""),12,0),iferror(vlookup(B7,importrange(""https://docs.google.com/spreadsheets/d/1p53T2AuvvIqhP7Nf-bo3Uhj8cbKYRPpZdsrBv3x3bAQ/edit?resourcekey#gid=1321652304"",""Prop!$CY$1:$DI""),11,0)))))))))))"),"https://drive.google.com/open?id=1BYYgkG2jUGuH9iGMGIl32QEEUPuKKOgy")</f>
        <v>https://drive.google.com/open?id=1BYYgkG2jUGuH9iGMGIl32QEEUPuKKOgy</v>
      </c>
      <c r="R7" s="88" t="s">
        <v>1101</v>
      </c>
      <c r="S7" s="20" t="str">
        <f ca="1">IFERROR(__xludf.DUMMYFUNCTION("IFERROR(vlookup(B7,IMPORTRANGE(""https://docs.google.com/spreadsheets/d/1g_jfYYK_KeipEDNDUgqgrsxK94XiocfNQIcP-v1QVhI/edit?resourcekey#gid=233272945"",""Nilai!B:CT""),57,0),"" "")"),"kualitas scan biodata diperbaiki, tambahkan produk riset berupa reaktor air-aluminium terkoneksi sel tunam ")</f>
        <v xml:space="preserve">kualitas scan biodata diperbaiki, tambahkan produk riset berupa reaktor air-aluminium terkoneksi sel tunam </v>
      </c>
      <c r="T7" s="20" t="str">
        <f ca="1">IFERROR(__xludf.DUMMYFUNCTION("IFERROR(vlookup(B7,IMPORTRANGE(""https://docs.google.com/spreadsheets/d/1g_jfYYK_KeipEDNDUgqgrsxK94XiocfNQIcP-v1QVhI/edit?resourcekey#gid=233272945"",""Nilai!B:CT""),97,0),"" "")"),"LAYAK UPLOAD KE SIMBELMAWA DENGAN REVISI")</f>
        <v>LAYAK UPLOAD KE SIMBELMAWA DENGAN REVISI</v>
      </c>
      <c r="U7" s="21" t="s">
        <v>660</v>
      </c>
      <c r="V7" s="85" t="s">
        <v>1102</v>
      </c>
      <c r="W7" s="17" t="s">
        <v>1105</v>
      </c>
      <c r="X7" s="53" t="b">
        <v>0</v>
      </c>
    </row>
    <row r="8" spans="1:27" ht="69">
      <c r="A8" s="15">
        <v>6</v>
      </c>
      <c r="B8" s="15">
        <f ca="1">IFERROR(__xludf.DUMMYFUNCTION("""COMPUTED_VALUE"""),2533)</f>
        <v>2533</v>
      </c>
      <c r="C8" s="16" t="str">
        <f ca="1">IFERROR(__xludf.DUMMYFUNCTION("""COMPUTED_VALUE"""),"Fazafi Izzul Maruf")</f>
        <v>Fazafi Izzul Maruf</v>
      </c>
      <c r="D8" s="16" t="str">
        <f ca="1">IFERROR(__xludf.DUMMYFUNCTION("""COMPUTED_VALUE"""),"02511840007001")</f>
        <v>02511840007001</v>
      </c>
      <c r="E8" s="16" t="str">
        <f ca="1">IFERROR(__xludf.DUMMYFUNCTION("""COMPUTED_VALUE"""),"Departemen Teknik Material dan Metalurgi")</f>
        <v>Departemen Teknik Material dan Metalurgi</v>
      </c>
      <c r="F8" s="16" t="str">
        <f ca="1">IFERROR(__xludf.DUMMYFUNCTION("""COMPUTED_VALUE"""),"“Sintesis Kristal NiSO4.6H2O Dengan Bahan Baku Ferronikel Melalui Proses Hidrometalurgi Sebagai Material Katoda Baterai Nickel Manganese Cobalt (NMC).”")</f>
        <v>“Sintesis Kristal NiSO4.6H2O Dengan Bahan Baku Ferronikel Melalui Proses Hidrometalurgi Sebagai Material Katoda Baterai Nickel Manganese Cobalt (NMC).”</v>
      </c>
      <c r="G8" s="16" t="str">
        <f ca="1">IFERROR(__xludf.DUMMYFUNCTION("""COMPUTED_VALUE"""),"Dr. Sungging Pintowantoro, S.T., M.T.")</f>
        <v>Dr. Sungging Pintowantoro, S.T., M.T.</v>
      </c>
      <c r="H8" s="16" t="str">
        <f ca="1">IFERROR(__xludf.DUMMYFUNCTION("""COMPUTED_VALUE"""),"Ahmad Fauzan Adziimaa, S.T., M.Sc.")</f>
        <v>Ahmad Fauzan Adziimaa, S.T., M.Sc.</v>
      </c>
      <c r="I8" s="16" t="str">
        <f ca="1">IFERROR(__xludf.DUMMYFUNCTION("""COMPUTED_VALUE"""),"Tri Vicca Kusumadewi, S.T., M.Sc.")</f>
        <v>Tri Vicca Kusumadewi, S.T., M.Sc.</v>
      </c>
      <c r="J8" s="16"/>
      <c r="K8" s="17" t="s">
        <v>1098</v>
      </c>
      <c r="L8" s="17" t="s">
        <v>1106</v>
      </c>
      <c r="M8" s="19" t="b">
        <v>1</v>
      </c>
      <c r="N8" s="19" t="b">
        <v>1</v>
      </c>
      <c r="O8" s="1" t="s">
        <v>1100</v>
      </c>
      <c r="P8" s="7" t="str">
        <f ca="1">IFERROR(__xludf.DUMMYFUNCTION("iferror(vlookup(B8,importrange(""https://docs.google.com/spreadsheets/d/1boHyJQ4e2FU0QG8MHwEi6qjX4hvZWVCHcFfXjq7bbMc/edit?resourcekey#gid=923248883"",""Prop!$C$1:$M""),11,0),IFERROR(vlookup(B8,importrange(""https://docs.google.com/spreadsheets/d/1boHyJQ4e"&amp;"2FU0QG8MHwEi6qjX4hvZWVCHcFfXjq7bbMc/edit?resourcekey#gid=923248883"",""Prop!$N$1:$X""),11,0),iferror(vlookup(B8,importrange(""https://docs.google.com/spreadsheets/d/1boHyJQ4e2FU0QG8MHwEi6qjX4hvZWVCHcFfXjq7bbMc/edit?resourcekey#gid=923248883"",""Prop!$Y$1:"&amp;"$AI""),11,0),iferror(vlookup(B8,importrange(""https://docs.google.com/spreadsheets/d/1boHyJQ4e2FU0QG8MHwEi6qjX4hvZWVCHcFfXjq7bbMc/edit?resourcekey#gid=923248883"",""Prop!$AJ$1:$AT""),11,0),iferror(vlookup(B8,importrange(""https://docs.google.com/spreadshe"&amp;"ets/d/1boHyJQ4e2FU0QG8MHwEi6qjX4hvZWVCHcFfXjq7bbMc/edit?resourcekey#gid=923248883"",""Prop!$AU$1:$BE""),11,0),iferror(vlookup(B8,importrange(""https://docs.google.com/spreadsheets/d/1boHyJQ4e2FU0QG8MHwEi6qjX4hvZWVCHcFfXjq7bbMc/edit?resourcekey#gid=9232488"&amp;"83"",""Prop!$BF$1:$BP""),11,0),iferror(vlookup(B8,importrange(""https://docs.google.com/spreadsheets/d/1boHyJQ4e2FU0QG8MHwEi6qjX4hvZWVCHcFfXjq7bbMc/edit?resourcekey#gid=923248883"",""Prop!$BQ$1:$CA""),11,0),iferror(vlookup(B8,importrange(""https://docs.go"&amp;"ogle.com/spreadsheets/d/1boHyJQ4e2FU0QG8MHwEi6qjX4hvZWVCHcFfXjq7bbMc/edit?resourcekey#gid=923248883"",""Prop!$CB$1:$CL""),11,0),iferror(vlookup(B8,importrange(""https://docs.google.com/spreadsheets/d/1boHyJQ4e2FU0QG8MHwEi6qjX4hvZWVCHcFfXjq7bbMc/edit?resou"&amp;"rcekey#gid=923248883"",""Prop!$CM$1:$CX""),12,0),iferror(vlookup(B8,importrange(""https://docs.google.com/spreadsheets/d/1boHyJQ4e2FU0QG8MHwEi6qjX4hvZWVCHcFfXjq7bbMc/edit?resourcekey#gid=923248883"",""Prop!$CV$1:$DI""),11,0)))))))))))"),"https://drive.google.com/open?id=1sdCZgpdxf6b8DnaErX0ZxzlGEbZBWIHK")</f>
        <v>https://drive.google.com/open?id=1sdCZgpdxf6b8DnaErX0ZxzlGEbZBWIHK</v>
      </c>
      <c r="Q8" s="7" t="str">
        <f ca="1">IFERROR(__xludf.DUMMYFUNCTION("iferror(vlookup(B8,importrange(""https://docs.google.com/spreadsheets/d/1p53T2AuvvIqhP7Nf-bo3Uhj8cbKYRPpZdsrBv3x3bAQ/edit?resourcekey#gid=1321652304"",""Prop!$C$1:$M""),11,0),IFERROR(vlookup(B8,importrange(""https://docs.google.com/spreadsheets/d/1p53T2Au"&amp;"vvIqhP7Nf-bo3Uhj8cbKYRPpZdsrBv3x3bAQ/edit?resourcekey#gid=1321652304"",""Prop!$N$1:$X""),11,0),iferror(vlookup(B8,importrange(""https://docs.google.com/spreadsheets/d/1p53T2AuvvIqhP7Nf-bo3Uhj8cbKYRPpZdsrBv3x3bAQ/edit?resourcekey#gid=1321652304"",""Prop!$Y"&amp;"$1:$AI""),11,0),iferror(vlookup(B8,importrange(""https://docs.google.com/spreadsheets/d/1p53T2AuvvIqhP7Nf-bo3Uhj8cbKYRPpZdsrBv3x3bAQ/edit?resourcekey#gid=1321652304"",""Prop!$AJ$1:$AT""),11,0),iferror(vlookup(B8,importrange(""https://docs.google.com/sprea"&amp;"dsheets/d/1p53T2AuvvIqhP7Nf-bo3Uhj8cbKYRPpZdsrBv3x3bAQ/edit?resourcekey#gid=1321652304"",""Prop!$AU$1:$BE""),11,0),iferror(vlookup(B8,importrange(""https://docs.google.com/spreadsheets/d/1p53T2AuvvIqhP7Nf-bo3Uhj8cbKYRPpZdsrBv3x3bAQ/edit?resourcekey#gid=13"&amp;"21652304"",""Prop!$BF$1:$BP""),11,0),iferror(vlookup(B8,importrange(""https://docs.google.com/spreadsheets/d/1p53T2AuvvIqhP7Nf-bo3Uhj8cbKYRPpZdsrBv3x3bAQ/edit?resourcekey#gid=1321652304"",""Prop!$BQ$1:$CA""),11,0),iferror(vlookup(B8,importrange(""https://"&amp;"docs.google.com/spreadsheets/d/1p53T2AuvvIqhP7Nf-bo3Uhj8cbKYRPpZdsrBv3x3bAQ/edit?resourcekey#gid=1321652304"",""Prop!$CB$1:$CL""),11,0),iferror(vlookup(B8,importrange(""https://docs.google.com/spreadsheets/d/1p53T2AuvvIqhP7Nf-bo3Uhj8cbKYRPpZdsrBv3x3bAQ/ed"&amp;"it?resourcekey#gid=1321652304"",""Prop!$CM$1:$CX""),12,0),iferror(vlookup(B8,importrange(""https://docs.google.com/spreadsheets/d/1p53T2AuvvIqhP7Nf-bo3Uhj8cbKYRPpZdsrBv3x3bAQ/edit?resourcekey#gid=1321652304"",""Prop!$CY$1:$DI""),11,0)))))))))))"),"https://drive.google.com/open?id=1Xvw1GMH1nlJ_4V_JBKF32oY-27_ZmKzi")</f>
        <v>https://drive.google.com/open?id=1Xvw1GMH1nlJ_4V_JBKF32oY-27_ZmKzi</v>
      </c>
      <c r="R8" s="88" t="s">
        <v>1101</v>
      </c>
      <c r="S8" s="20" t="str">
        <f ca="1">IFERROR(__xludf.DUMMYFUNCTION("IFERROR(vlookup(B8,IMPORTRANGE(""https://docs.google.com/spreadsheets/d/1g_jfYYK_KeipEDNDUgqgrsxK94XiocfNQIcP-v1QVhI/edit?resourcekey#gid=233272945"",""Nilai!B:CT""),57,0),"" "")"),"butuh banyak sekali perbaikan (nilai hampir tidak layak unggah)")</f>
        <v>butuh banyak sekali perbaikan (nilai hampir tidak layak unggah)</v>
      </c>
      <c r="T8" s="20" t="str">
        <f ca="1">IFERROR(__xludf.DUMMYFUNCTION("IFERROR(vlookup(B8,IMPORTRANGE(""https://docs.google.com/spreadsheets/d/1g_jfYYK_KeipEDNDUgqgrsxK94XiocfNQIcP-v1QVhI/edit?resourcekey#gid=233272945"",""Nilai!B:CT""),97,0),"" "")"),"LAYAK UPLOAD KE SIMBELMAWA DENGAN REVISI")</f>
        <v>LAYAK UPLOAD KE SIMBELMAWA DENGAN REVISI</v>
      </c>
      <c r="U8" s="21" t="s">
        <v>660</v>
      </c>
      <c r="V8" s="85" t="s">
        <v>1102</v>
      </c>
      <c r="W8" s="17" t="s">
        <v>1105</v>
      </c>
      <c r="X8" s="53" t="s">
        <v>949</v>
      </c>
    </row>
    <row r="9" spans="1:27" ht="69">
      <c r="A9" s="15">
        <v>7</v>
      </c>
      <c r="B9" s="15">
        <f ca="1">IFERROR(__xludf.DUMMYFUNCTION("""COMPUTED_VALUE"""),2605)</f>
        <v>2605</v>
      </c>
      <c r="C9" s="16" t="str">
        <f ca="1">IFERROR(__xludf.DUMMYFUNCTION("""COMPUTED_VALUE"""),"KARENINA ANISYA PRATIWI")</f>
        <v>KARENINA ANISYA PRATIWI</v>
      </c>
      <c r="D9" s="16" t="str">
        <f ca="1">IFERROR(__xludf.DUMMYFUNCTION("""COMPUTED_VALUE"""),"10411810000050")</f>
        <v>10411810000050</v>
      </c>
      <c r="E9" s="16" t="str">
        <f ca="1">IFERROR(__xludf.DUMMYFUNCTION("""COMPUTED_VALUE"""),"Departemen Teknik Kimia Industri")</f>
        <v>Departemen Teknik Kimia Industri</v>
      </c>
      <c r="F9" s="16" t="str">
        <f ca="1">IFERROR(__xludf.DUMMYFUNCTION("""COMPUTED_VALUE"""),"Immobilisasi Sel Ragi dan Enzim Invertase dalam Na-Alginat Untuk Produksi Bioetanol dari Limbah Cair Industri Gula Merah")</f>
        <v>Immobilisasi Sel Ragi dan Enzim Invertase dalam Na-Alginat Untuk Produksi Bioetanol dari Limbah Cair Industri Gula Merah</v>
      </c>
      <c r="G9" s="16" t="str">
        <f ca="1">IFERROR(__xludf.DUMMYFUNCTION("""COMPUTED_VALUE"""),"Dr. Afan Hamzah, S.T.")</f>
        <v>Dr. Afan Hamzah, S.T.</v>
      </c>
      <c r="H9" s="16" t="str">
        <f ca="1">IFERROR(__xludf.DUMMYFUNCTION("""COMPUTED_VALUE"""),"Dr.-Ing. Doty Dewi Risanti, S.T., M.T.")</f>
        <v>Dr.-Ing. Doty Dewi Risanti, S.T., M.T.</v>
      </c>
      <c r="I9" s="16" t="str">
        <f ca="1">IFERROR(__xludf.DUMMYFUNCTION("""COMPUTED_VALUE"""),"Dr. Candra Irawan, S.T., M.T.")</f>
        <v>Dr. Candra Irawan, S.T., M.T.</v>
      </c>
      <c r="J9" s="16"/>
      <c r="K9" s="17" t="s">
        <v>1098</v>
      </c>
      <c r="L9" s="17" t="s">
        <v>1106</v>
      </c>
      <c r="M9" s="19" t="b">
        <v>1</v>
      </c>
      <c r="N9" s="19" t="b">
        <v>1</v>
      </c>
      <c r="O9" s="1" t="s">
        <v>1100</v>
      </c>
      <c r="P9" s="7" t="str">
        <f ca="1">IFERROR(__xludf.DUMMYFUNCTION("iferror(vlookup(B9,importrange(""https://docs.google.com/spreadsheets/d/1boHyJQ4e2FU0QG8MHwEi6qjX4hvZWVCHcFfXjq7bbMc/edit?resourcekey#gid=923248883"",""Prop!$C$1:$M""),11,0),IFERROR(vlookup(B9,importrange(""https://docs.google.com/spreadsheets/d/1boHyJQ4e"&amp;"2FU0QG8MHwEi6qjX4hvZWVCHcFfXjq7bbMc/edit?resourcekey#gid=923248883"",""Prop!$N$1:$X""),11,0),iferror(vlookup(B9,importrange(""https://docs.google.com/spreadsheets/d/1boHyJQ4e2FU0QG8MHwEi6qjX4hvZWVCHcFfXjq7bbMc/edit?resourcekey#gid=923248883"",""Prop!$Y$1:"&amp;"$AI""),11,0),iferror(vlookup(B9,importrange(""https://docs.google.com/spreadsheets/d/1boHyJQ4e2FU0QG8MHwEi6qjX4hvZWVCHcFfXjq7bbMc/edit?resourcekey#gid=923248883"",""Prop!$AJ$1:$AT""),11,0),iferror(vlookup(B9,importrange(""https://docs.google.com/spreadshe"&amp;"ets/d/1boHyJQ4e2FU0QG8MHwEi6qjX4hvZWVCHcFfXjq7bbMc/edit?resourcekey#gid=923248883"",""Prop!$AU$1:$BE""),11,0),iferror(vlookup(B9,importrange(""https://docs.google.com/spreadsheets/d/1boHyJQ4e2FU0QG8MHwEi6qjX4hvZWVCHcFfXjq7bbMc/edit?resourcekey#gid=9232488"&amp;"83"",""Prop!$BF$1:$BP""),11,0),iferror(vlookup(B9,importrange(""https://docs.google.com/spreadsheets/d/1boHyJQ4e2FU0QG8MHwEi6qjX4hvZWVCHcFfXjq7bbMc/edit?resourcekey#gid=923248883"",""Prop!$BQ$1:$CA""),11,0),iferror(vlookup(B9,importrange(""https://docs.go"&amp;"ogle.com/spreadsheets/d/1boHyJQ4e2FU0QG8MHwEi6qjX4hvZWVCHcFfXjq7bbMc/edit?resourcekey#gid=923248883"",""Prop!$CB$1:$CL""),11,0),iferror(vlookup(B9,importrange(""https://docs.google.com/spreadsheets/d/1boHyJQ4e2FU0QG8MHwEi6qjX4hvZWVCHcFfXjq7bbMc/edit?resou"&amp;"rcekey#gid=923248883"",""Prop!$CM$1:$CX""),12,0),iferror(vlookup(B9,importrange(""https://docs.google.com/spreadsheets/d/1boHyJQ4e2FU0QG8MHwEi6qjX4hvZWVCHcFfXjq7bbMc/edit?resourcekey#gid=923248883"",""Prop!$CV$1:$DI""),11,0)))))))))))"),"https://drive.google.com/open?id=1lH4mjsHFxIHBsTIdmWtFWvQM1P0Y92WJ")</f>
        <v>https://drive.google.com/open?id=1lH4mjsHFxIHBsTIdmWtFWvQM1P0Y92WJ</v>
      </c>
      <c r="Q9" s="50" t="str">
        <f ca="1">IFERROR(__xludf.DUMMYFUNCTION("iferror(vlookup(B9,importrange(""https://docs.google.com/spreadsheets/d/1p53T2AuvvIqhP7Nf-bo3Uhj8cbKYRPpZdsrBv3x3bAQ/edit?resourcekey#gid=1321652304"",""Prop!$C$1:$M""),11,0),IFERROR(vlookup(B9,importrange(""https://docs.google.com/spreadsheets/d/1p53T2Au"&amp;"vvIqhP7Nf-bo3Uhj8cbKYRPpZdsrBv3x3bAQ/edit?resourcekey#gid=1321652304"",""Prop!$N$1:$X""),11,0),iferror(vlookup(B9,importrange(""https://docs.google.com/spreadsheets/d/1p53T2AuvvIqhP7Nf-bo3Uhj8cbKYRPpZdsrBv3x3bAQ/edit?resourcekey#gid=1321652304"",""Prop!$Y"&amp;"$1:$AI""),11,0),iferror(vlookup(B9,importrange(""https://docs.google.com/spreadsheets/d/1p53T2AuvvIqhP7Nf-bo3Uhj8cbKYRPpZdsrBv3x3bAQ/edit?resourcekey#gid=1321652304"",""Prop!$AJ$1:$AT""),11,0),iferror(vlookup(B9,importrange(""https://docs.google.com/sprea"&amp;"dsheets/d/1p53T2AuvvIqhP7Nf-bo3Uhj8cbKYRPpZdsrBv3x3bAQ/edit?resourcekey#gid=1321652304"",""Prop!$AU$1:$BE""),11,0),iferror(vlookup(B9,importrange(""https://docs.google.com/spreadsheets/d/1p53T2AuvvIqhP7Nf-bo3Uhj8cbKYRPpZdsrBv3x3bAQ/edit?resourcekey#gid=13"&amp;"21652304"",""Prop!$BF$1:$BP""),11,0),iferror(vlookup(B9,importrange(""https://docs.google.com/spreadsheets/d/1p53T2AuvvIqhP7Nf-bo3Uhj8cbKYRPpZdsrBv3x3bAQ/edit?resourcekey#gid=1321652304"",""Prop!$BQ$1:$CA""),11,0),iferror(vlookup(B9,importrange(""https://"&amp;"docs.google.com/spreadsheets/d/1p53T2AuvvIqhP7Nf-bo3Uhj8cbKYRPpZdsrBv3x3bAQ/edit?resourcekey#gid=1321652304"",""Prop!$CB$1:$CL""),11,0),iferror(vlookup(B9,importrange(""https://docs.google.com/spreadsheets/d/1p53T2AuvvIqhP7Nf-bo3Uhj8cbKYRPpZdsrBv3x3bAQ/ed"&amp;"it?resourcekey#gid=1321652304"",""Prop!$CM$1:$CX""),12,0),iferror(vlookup(B9,importrange(""https://docs.google.com/spreadsheets/d/1p53T2AuvvIqhP7Nf-bo3Uhj8cbKYRPpZdsrBv3x3bAQ/edit?resourcekey#gid=1321652304"",""Prop!$CY$1:$DI""),11,0)))))))))))"),"https://drive.google.com/open?id=1NBf69YmOiAUcK1gcVHeITB66U3us2VeI")</f>
        <v>https://drive.google.com/open?id=1NBf69YmOiAUcK1gcVHeITB66U3us2VeI</v>
      </c>
      <c r="R9" s="88" t="s">
        <v>1101</v>
      </c>
      <c r="S9" s="20" t="str">
        <f ca="1">IFERROR(__xludf.DUMMYFUNCTION("IFERROR(vlookup(B9,IMPORTRANGE(""https://docs.google.com/spreadsheets/d/1g_jfYYK_KeipEDNDUgqgrsxK94XiocfNQIcP-v1QVhI/edit?resourcekey#gid=233272945"",""Nilai!B:CT""),57,0),"" "")"),"RAB diberi tanda item mana saja yang dibeli dengan dana dari PT (lampiran 2)")</f>
        <v>RAB diberi tanda item mana saja yang dibeli dengan dana dari PT (lampiran 2)</v>
      </c>
      <c r="T9" s="20" t="str">
        <f ca="1">IFERROR(__xludf.DUMMYFUNCTION("IFERROR(vlookup(B9,IMPORTRANGE(""https://docs.google.com/spreadsheets/d/1g_jfYYK_KeipEDNDUgqgrsxK94XiocfNQIcP-v1QVhI/edit?resourcekey#gid=233272945"",""Nilai!B:CT""),97,0),"" "")"),"LAYAK UPLOAD KE SIMBELMAWA DENGAN REVISI")</f>
        <v>LAYAK UPLOAD KE SIMBELMAWA DENGAN REVISI</v>
      </c>
      <c r="U9" s="21" t="s">
        <v>660</v>
      </c>
      <c r="V9" s="85" t="s">
        <v>1102</v>
      </c>
      <c r="W9" s="17" t="s">
        <v>1105</v>
      </c>
      <c r="X9" s="53" t="s">
        <v>949</v>
      </c>
    </row>
    <row r="10" spans="1:27" ht="69">
      <c r="A10" s="15">
        <v>8</v>
      </c>
      <c r="B10" s="15">
        <f ca="1">IFERROR(__xludf.DUMMYFUNCTION("""COMPUTED_VALUE"""),3839)</f>
        <v>3839</v>
      </c>
      <c r="C10" s="16" t="str">
        <f ca="1">IFERROR(__xludf.DUMMYFUNCTION("""COMPUTED_VALUE"""),"FADHLURRAHMAN MUHARRIK")</f>
        <v>FADHLURRAHMAN MUHARRIK</v>
      </c>
      <c r="D10" s="16" t="str">
        <f ca="1">IFERROR(__xludf.DUMMYFUNCTION("""COMPUTED_VALUE"""),"02211840000087")</f>
        <v>02211840000087</v>
      </c>
      <c r="E10" s="16" t="str">
        <f ca="1">IFERROR(__xludf.DUMMYFUNCTION("""COMPUTED_VALUE"""),"Departemen Teknik Kimia")</f>
        <v>Departemen Teknik Kimia</v>
      </c>
      <c r="F10" s="16" t="str">
        <f ca="1">IFERROR(__xludf.DUMMYFUNCTION("""COMPUTED_VALUE"""),"Delignifikasi Limbah Serbuk Kayu Sengon Menggunakan Jamur Pelapuk Putih Dengan Bantuan Ultrasonik Sebagai Proses yang Ramah Lingkungan")</f>
        <v>Delignifikasi Limbah Serbuk Kayu Sengon Menggunakan Jamur Pelapuk Putih Dengan Bantuan Ultrasonik Sebagai Proses yang Ramah Lingkungan</v>
      </c>
      <c r="G10" s="16" t="str">
        <f ca="1">IFERROR(__xludf.DUMMYFUNCTION("""COMPUTED_VALUE"""),"Dr. Ir. Sumarno, M.Eng.")</f>
        <v>Dr. Ir. Sumarno, M.Eng.</v>
      </c>
      <c r="H10" s="16" t="str">
        <f ca="1">IFERROR(__xludf.DUMMYFUNCTION("""COMPUTED_VALUE"""),"Dr. Dhany Arifianto, S.T., M.Eng.")</f>
        <v>Dr. Dhany Arifianto, S.T., M.Eng.</v>
      </c>
      <c r="I10" s="16" t="str">
        <f ca="1">IFERROR(__xludf.DUMMYFUNCTION("""COMPUTED_VALUE"""),"Dra. Ratna Ediati, MS., Ph.D.")</f>
        <v>Dra. Ratna Ediati, MS., Ph.D.</v>
      </c>
      <c r="J10" s="16"/>
      <c r="K10" s="17" t="s">
        <v>1098</v>
      </c>
      <c r="L10" s="17" t="s">
        <v>1106</v>
      </c>
      <c r="M10" s="19" t="b">
        <v>1</v>
      </c>
      <c r="N10" s="19" t="b">
        <v>1</v>
      </c>
      <c r="O10" s="1" t="s">
        <v>1100</v>
      </c>
      <c r="P10" s="7" t="str">
        <f ca="1">IFERROR(__xludf.DUMMYFUNCTION("iferror(vlookup(B10,importrange(""https://docs.google.com/spreadsheets/d/1boHyJQ4e2FU0QG8MHwEi6qjX4hvZWVCHcFfXjq7bbMc/edit?resourcekey#gid=923248883"",""Prop!$C$1:$M""),11,0),IFERROR(vlookup(B10,importrange(""https://docs.google.com/spreadsheets/d/1boHyJQ"&amp;"4e2FU0QG8MHwEi6qjX4hvZWVCHcFfXjq7bbMc/edit?resourcekey#gid=923248883"",""Prop!$N$1:$X""),11,0),iferror(vlookup(B10,importrange(""https://docs.google.com/spreadsheets/d/1boHyJQ4e2FU0QG8MHwEi6qjX4hvZWVCHcFfXjq7bbMc/edit?resourcekey#gid=923248883"",""Prop!$Y"&amp;"$1:$AI""),11,0),iferror(vlookup(B10,importrange(""https://docs.google.com/spreadsheets/d/1boHyJQ4e2FU0QG8MHwEi6qjX4hvZWVCHcFfXjq7bbMc/edit?resourcekey#gid=923248883"",""Prop!$AJ$1:$AT""),11,0),iferror(vlookup(B10,importrange(""https://docs.google.com/spre"&amp;"adsheets/d/1boHyJQ4e2FU0QG8MHwEi6qjX4hvZWVCHcFfXjq7bbMc/edit?resourcekey#gid=923248883"",""Prop!$AU$1:$BE""),11,0),iferror(vlookup(B10,importrange(""https://docs.google.com/spreadsheets/d/1boHyJQ4e2FU0QG8MHwEi6qjX4hvZWVCHcFfXjq7bbMc/edit?resourcekey#gid=9"&amp;"23248883"",""Prop!$BF$1:$BP""),11,0),iferror(vlookup(B10,importrange(""https://docs.google.com/spreadsheets/d/1boHyJQ4e2FU0QG8MHwEi6qjX4hvZWVCHcFfXjq7bbMc/edit?resourcekey#gid=923248883"",""Prop!$BQ$1:$CA""),11,0),iferror(vlookup(B10,importrange(""https:/"&amp;"/docs.google.com/spreadsheets/d/1boHyJQ4e2FU0QG8MHwEi6qjX4hvZWVCHcFfXjq7bbMc/edit?resourcekey#gid=923248883"",""Prop!$CB$1:$CL""),11,0),iferror(vlookup(B10,importrange(""https://docs.google.com/spreadsheets/d/1boHyJQ4e2FU0QG8MHwEi6qjX4hvZWVCHcFfXjq7bbMc/e"&amp;"dit?resourcekey#gid=923248883"",""Prop!$CM$1:$CX""),12,0),iferror(vlookup(B10,importrange(""https://docs.google.com/spreadsheets/d/1boHyJQ4e2FU0QG8MHwEi6qjX4hvZWVCHcFfXjq7bbMc/edit?resourcekey#gid=923248883"",""Prop!$CV$1:$DI""),11,0)))))))))))"),"https://drive.google.com/open?id=1EsJXnZ3yOMMnKnOYJfGwFtEAZsuQJ7KP")</f>
        <v>https://drive.google.com/open?id=1EsJXnZ3yOMMnKnOYJfGwFtEAZsuQJ7KP</v>
      </c>
      <c r="Q10" s="50" t="str">
        <f ca="1">IFERROR(__xludf.DUMMYFUNCTION("iferror(vlookup(B10,importrange(""https://docs.google.com/spreadsheets/d/1p53T2AuvvIqhP7Nf-bo3Uhj8cbKYRPpZdsrBv3x3bAQ/edit?resourcekey#gid=1321652304"",""Prop!$C$1:$M""),11,0),IFERROR(vlookup(B10,importrange(""https://docs.google.com/spreadsheets/d/1p53T2"&amp;"AuvvIqhP7Nf-bo3Uhj8cbKYRPpZdsrBv3x3bAQ/edit?resourcekey#gid=1321652304"",""Prop!$N$1:$X""),11,0),iferror(vlookup(B10,importrange(""https://docs.google.com/spreadsheets/d/1p53T2AuvvIqhP7Nf-bo3Uhj8cbKYRPpZdsrBv3x3bAQ/edit?resourcekey#gid=1321652304"",""Prop"&amp;"!$Y$1:$AI""),11,0),iferror(vlookup(B10,importrange(""https://docs.google.com/spreadsheets/d/1p53T2AuvvIqhP7Nf-bo3Uhj8cbKYRPpZdsrBv3x3bAQ/edit?resourcekey#gid=1321652304"",""Prop!$AJ$1:$AT""),11,0),iferror(vlookup(B10,importrange(""https://docs.google.com/"&amp;"spreadsheets/d/1p53T2AuvvIqhP7Nf-bo3Uhj8cbKYRPpZdsrBv3x3bAQ/edit?resourcekey#gid=1321652304"",""Prop!$AU$1:$BE""),11,0),iferror(vlookup(B10,importrange(""https://docs.google.com/spreadsheets/d/1p53T2AuvvIqhP7Nf-bo3Uhj8cbKYRPpZdsrBv3x3bAQ/edit?resourcekey#"&amp;"gid=1321652304"",""Prop!$BF$1:$BP""),11,0),iferror(vlookup(B10,importrange(""https://docs.google.com/spreadsheets/d/1p53T2AuvvIqhP7Nf-bo3Uhj8cbKYRPpZdsrBv3x3bAQ/edit?resourcekey#gid=1321652304"",""Prop!$BQ$1:$CA""),11,0),iferror(vlookup(B10,importrange("""&amp;"https://docs.google.com/spreadsheets/d/1p53T2AuvvIqhP7Nf-bo3Uhj8cbKYRPpZdsrBv3x3bAQ/edit?resourcekey#gid=1321652304"",""Prop!$CB$1:$CL""),11,0),iferror(vlookup(B10,importrange(""https://docs.google.com/spreadsheets/d/1p53T2AuvvIqhP7Nf-bo3Uhj8cbKYRPpZdsrBv"&amp;"3x3bAQ/edit?resourcekey#gid=1321652304"",""Prop!$CM$1:$CX""),12,0),iferror(vlookup(B10,importrange(""https://docs.google.com/spreadsheets/d/1p53T2AuvvIqhP7Nf-bo3Uhj8cbKYRPpZdsrBv3x3bAQ/edit?resourcekey#gid=1321652304"",""Prop!$CY$1:$DI""),11,0)))))))))))"),"https://drive.google.com/open?id=10Ocw3pmJaIMR4CUFNnGjZZ4OUQs1hY20")</f>
        <v>https://drive.google.com/open?id=10Ocw3pmJaIMR4CUFNnGjZZ4OUQs1hY20</v>
      </c>
      <c r="R10" s="88" t="s">
        <v>1101</v>
      </c>
      <c r="S10" s="20" t="str">
        <f ca="1">IFERROR(__xludf.DUMMYFUNCTION("IFERROR(vlookup(B10,IMPORTRANGE(""https://docs.google.com/spreadsheets/d/1g_jfYYK_KeipEDNDUgqgrsxK94XiocfNQIcP-v1QVhI/edit?resourcekey#gid=233272945"",""Nilai!B:CT""),57,0),"" "")"),"Lampiran 3 belum ada NRP, Lampiran 2 belum ada keterangan item mana yang dibeli dengan dana PT,  daftar pustaka tahun tidak diberi kurung, tabel 4.1 di samping tulisan Perguruan Tinggi diberi --&gt; (in cash), riset terdahulu apa tidak ada yang tahunnya lebi"&amp;"h baru?, nomor halaman daftar isi ada di kanan bawah")</f>
        <v>Lampiran 3 belum ada NRP, Lampiran 2 belum ada keterangan item mana yang dibeli dengan dana PT,  daftar pustaka tahun tidak diberi kurung, tabel 4.1 di samping tulisan Perguruan Tinggi diberi --&gt; (in cash), riset terdahulu apa tidak ada yang tahunnya lebih baru?, nomor halaman daftar isi ada di kanan bawah</v>
      </c>
      <c r="T10" s="20" t="str">
        <f ca="1">IFERROR(__xludf.DUMMYFUNCTION("IFERROR(vlookup(B10,IMPORTRANGE(""https://docs.google.com/spreadsheets/d/1g_jfYYK_KeipEDNDUgqgrsxK94XiocfNQIcP-v1QVhI/edit?resourcekey#gid=233272945"",""Nilai!B:CT""),97,0),"" "")"),"LAYAK UPLOAD KE SIMBELMAWA DENGAN REVISI")</f>
        <v>LAYAK UPLOAD KE SIMBELMAWA DENGAN REVISI</v>
      </c>
      <c r="U10" s="21" t="s">
        <v>660</v>
      </c>
      <c r="V10" s="85" t="s">
        <v>1102</v>
      </c>
      <c r="W10" s="17" t="s">
        <v>1105</v>
      </c>
      <c r="X10" s="53" t="s">
        <v>949</v>
      </c>
    </row>
    <row r="11" spans="1:27" ht="82.8">
      <c r="A11" s="15">
        <v>9</v>
      </c>
      <c r="B11" s="15">
        <f ca="1">IFERROR(__xludf.DUMMYFUNCTION("""COMPUTED_VALUE"""),2105)</f>
        <v>2105</v>
      </c>
      <c r="C11" s="16" t="str">
        <f ca="1">IFERROR(__xludf.DUMMYFUNCTION("""COMPUTED_VALUE"""),"ELSABELLA ADIGUNA")</f>
        <v>ELSABELLA ADIGUNA</v>
      </c>
      <c r="D11" s="16" t="str">
        <f ca="1">IFERROR(__xludf.DUMMYFUNCTION("""COMPUTED_VALUE"""),"10411810000032")</f>
        <v>10411810000032</v>
      </c>
      <c r="E11" s="16" t="str">
        <f ca="1">IFERROR(__xludf.DUMMYFUNCTION("""COMPUTED_VALUE"""),"Departemen Teknik Kimia Industri")</f>
        <v>Departemen Teknik Kimia Industri</v>
      </c>
      <c r="F11" s="16" t="str">
        <f ca="1">IFERROR(__xludf.DUMMYFUNCTION("""COMPUTED_VALUE"""),"Modifikasi Biomaterial Anchoring Screw Supraspinatus Berbasis Kombinasi Polycaprolactone dan Hidroksiapatit Cangkang Rajungan Untuk Meningkatkan Karakteristik Biocompatibility dan Bioactivity")</f>
        <v>Modifikasi Biomaterial Anchoring Screw Supraspinatus Berbasis Kombinasi Polycaprolactone dan Hidroksiapatit Cangkang Rajungan Untuk Meningkatkan Karakteristik Biocompatibility dan Bioactivity</v>
      </c>
      <c r="G11" s="16" t="str">
        <f ca="1">IFERROR(__xludf.DUMMYFUNCTION("""COMPUTED_VALUE"""),"Dr. Eng. Eva Oktavia Ningrum, S.T., M.S.")</f>
        <v>Dr. Eng. Eva Oktavia Ningrum, S.T., M.S.</v>
      </c>
      <c r="H11" s="16" t="str">
        <f ca="1">IFERROR(__xludf.DUMMYFUNCTION("""COMPUTED_VALUE"""),"Dr. Awik Puji Dyah Nurhayati, S.Si., M.Si.")</f>
        <v>Dr. Awik Puji Dyah Nurhayati, S.Si., M.Si.</v>
      </c>
      <c r="I11" s="16" t="str">
        <f ca="1">IFERROR(__xludf.DUMMYFUNCTION("""COMPUTED_VALUE"""),"Iska Desmawati, S.Si., M.Si.")</f>
        <v>Iska Desmawati, S.Si., M.Si.</v>
      </c>
      <c r="J11" s="16"/>
      <c r="K11" s="17" t="s">
        <v>1098</v>
      </c>
      <c r="L11" s="17" t="s">
        <v>1106</v>
      </c>
      <c r="M11" s="19" t="b">
        <v>1</v>
      </c>
      <c r="N11" s="19" t="b">
        <v>1</v>
      </c>
      <c r="O11" s="1" t="s">
        <v>1100</v>
      </c>
      <c r="P11" s="7" t="str">
        <f ca="1">IFERROR(__xludf.DUMMYFUNCTION("iferror(vlookup(B11,importrange(""https://docs.google.com/spreadsheets/d/1boHyJQ4e2FU0QG8MHwEi6qjX4hvZWVCHcFfXjq7bbMc/edit?resourcekey#gid=923248883"",""Prop!$C$1:$M""),11,0),IFERROR(vlookup(B11,importrange(""https://docs.google.com/spreadsheets/d/1boHyJQ"&amp;"4e2FU0QG8MHwEi6qjX4hvZWVCHcFfXjq7bbMc/edit?resourcekey#gid=923248883"",""Prop!$N$1:$X""),11,0),iferror(vlookup(B11,importrange(""https://docs.google.com/spreadsheets/d/1boHyJQ4e2FU0QG8MHwEi6qjX4hvZWVCHcFfXjq7bbMc/edit?resourcekey#gid=923248883"",""Prop!$Y"&amp;"$1:$AI""),11,0),iferror(vlookup(B11,importrange(""https://docs.google.com/spreadsheets/d/1boHyJQ4e2FU0QG8MHwEi6qjX4hvZWVCHcFfXjq7bbMc/edit?resourcekey#gid=923248883"",""Prop!$AJ$1:$AT""),11,0),iferror(vlookup(B11,importrange(""https://docs.google.com/spre"&amp;"adsheets/d/1boHyJQ4e2FU0QG8MHwEi6qjX4hvZWVCHcFfXjq7bbMc/edit?resourcekey#gid=923248883"",""Prop!$AU$1:$BE""),11,0),iferror(vlookup(B11,importrange(""https://docs.google.com/spreadsheets/d/1boHyJQ4e2FU0QG8MHwEi6qjX4hvZWVCHcFfXjq7bbMc/edit?resourcekey#gid=9"&amp;"23248883"",""Prop!$BF$1:$BP""),11,0),iferror(vlookup(B11,importrange(""https://docs.google.com/spreadsheets/d/1boHyJQ4e2FU0QG8MHwEi6qjX4hvZWVCHcFfXjq7bbMc/edit?resourcekey#gid=923248883"",""Prop!$BQ$1:$CA""),11,0),iferror(vlookup(B11,importrange(""https:/"&amp;"/docs.google.com/spreadsheets/d/1boHyJQ4e2FU0QG8MHwEi6qjX4hvZWVCHcFfXjq7bbMc/edit?resourcekey#gid=923248883"",""Prop!$CB$1:$CL""),11,0),iferror(vlookup(B11,importrange(""https://docs.google.com/spreadsheets/d/1boHyJQ4e2FU0QG8MHwEi6qjX4hvZWVCHcFfXjq7bbMc/e"&amp;"dit?resourcekey#gid=923248883"",""Prop!$CM$1:$CX""),12,0),iferror(vlookup(B11,importrange(""https://docs.google.com/spreadsheets/d/1boHyJQ4e2FU0QG8MHwEi6qjX4hvZWVCHcFfXjq7bbMc/edit?resourcekey#gid=923248883"",""Prop!$CV$1:$DI""),11,0)))))))))))"),"https://drive.google.com/open?id=1wVU1YQ_PFI78SDIQ_c_dbIaB6-5cMetQ")</f>
        <v>https://drive.google.com/open?id=1wVU1YQ_PFI78SDIQ_c_dbIaB6-5cMetQ</v>
      </c>
      <c r="Q11" s="50" t="str">
        <f ca="1">IFERROR(__xludf.DUMMYFUNCTION("iferror(vlookup(B11,importrange(""https://docs.google.com/spreadsheets/d/1p53T2AuvvIqhP7Nf-bo3Uhj8cbKYRPpZdsrBv3x3bAQ/edit?resourcekey#gid=1321652304"",""Prop!$C$1:$M""),11,0),IFERROR(vlookup(B11,importrange(""https://docs.google.com/spreadsheets/d/1p53T2"&amp;"AuvvIqhP7Nf-bo3Uhj8cbKYRPpZdsrBv3x3bAQ/edit?resourcekey#gid=1321652304"",""Prop!$N$1:$X""),11,0),iferror(vlookup(B11,importrange(""https://docs.google.com/spreadsheets/d/1p53T2AuvvIqhP7Nf-bo3Uhj8cbKYRPpZdsrBv3x3bAQ/edit?resourcekey#gid=1321652304"",""Prop"&amp;"!$Y$1:$AI""),11,0),iferror(vlookup(B11,importrange(""https://docs.google.com/spreadsheets/d/1p53T2AuvvIqhP7Nf-bo3Uhj8cbKYRPpZdsrBv3x3bAQ/edit?resourcekey#gid=1321652304"",""Prop!$AJ$1:$AT""),11,0),iferror(vlookup(B11,importrange(""https://docs.google.com/"&amp;"spreadsheets/d/1p53T2AuvvIqhP7Nf-bo3Uhj8cbKYRPpZdsrBv3x3bAQ/edit?resourcekey#gid=1321652304"",""Prop!$AU$1:$BE""),11,0),iferror(vlookup(B11,importrange(""https://docs.google.com/spreadsheets/d/1p53T2AuvvIqhP7Nf-bo3Uhj8cbKYRPpZdsrBv3x3bAQ/edit?resourcekey#"&amp;"gid=1321652304"",""Prop!$BF$1:$BP""),11,0),iferror(vlookup(B11,importrange(""https://docs.google.com/spreadsheets/d/1p53T2AuvvIqhP7Nf-bo3Uhj8cbKYRPpZdsrBv3x3bAQ/edit?resourcekey#gid=1321652304"",""Prop!$BQ$1:$CA""),11,0),iferror(vlookup(B11,importrange("""&amp;"https://docs.google.com/spreadsheets/d/1p53T2AuvvIqhP7Nf-bo3Uhj8cbKYRPpZdsrBv3x3bAQ/edit?resourcekey#gid=1321652304"",""Prop!$CB$1:$CL""),11,0),iferror(vlookup(B11,importrange(""https://docs.google.com/spreadsheets/d/1p53T2AuvvIqhP7Nf-bo3Uhj8cbKYRPpZdsrBv"&amp;"3x3bAQ/edit?resourcekey#gid=1321652304"",""Prop!$CM$1:$CX""),12,0),iferror(vlookup(B11,importrange(""https://docs.google.com/spreadsheets/d/1p53T2AuvvIqhP7Nf-bo3Uhj8cbKYRPpZdsrBv3x3bAQ/edit?resourcekey#gid=1321652304"",""Prop!$CY$1:$DI""),11,0)))))))))))"),"https://drive.google.com/open?id=1uOk0z67gjYjdvMeODWmroTBs00oAjn80")</f>
        <v>https://drive.google.com/open?id=1uOk0z67gjYjdvMeODWmroTBs00oAjn80</v>
      </c>
      <c r="R11" s="88" t="s">
        <v>1101</v>
      </c>
      <c r="S11" s="20" t="str">
        <f ca="1">IFERROR(__xludf.DUMMYFUNCTION("IFERROR(vlookup(B11,IMPORTRANGE(""https://docs.google.com/spreadsheets/d/1g_jfYYK_KeipEDNDUgqgrsxK94XiocfNQIcP-v1QVhI/edit?resourcekey#gid=233272945"",""Nilai!B:CT""),57,0),"" "")"),"Justifikasi anggaran belum diberi tanda item mana yang dibeli dengan dana dari PT,  kuota internet masuk ke lain-lain atau bahan habis, daftar pustaka masih spasi 1 seharusnya 1.15, pada tabel 4.2 keterangan luring dan daring dihapus, tabel 4.1 ditambahi "&amp;"di samping tulisan Perguruan Tinggi --&gt; in cash,  metode riset dikerjakan secara luring saja, tabel 2.1 ukuran huruf dan spasi tidak TNR 12 dan 1.15 pt. ")</f>
        <v xml:space="preserve">Justifikasi anggaran belum diberi tanda item mana yang dibeli dengan dana dari PT,  kuota internet masuk ke lain-lain atau bahan habis, daftar pustaka masih spasi 1 seharusnya 1.15, pada tabel 4.2 keterangan luring dan daring dihapus, tabel 4.1 ditambahi di samping tulisan Perguruan Tinggi --&gt; in cash,  metode riset dikerjakan secara luring saja, tabel 2.1 ukuran huruf dan spasi tidak TNR 12 dan 1.15 pt. </v>
      </c>
      <c r="T11" s="20" t="str">
        <f ca="1">IFERROR(__xludf.DUMMYFUNCTION("IFERROR(vlookup(B11,IMPORTRANGE(""https://docs.google.com/spreadsheets/d/1g_jfYYK_KeipEDNDUgqgrsxK94XiocfNQIcP-v1QVhI/edit?resourcekey#gid=233272945"",""Nilai!B:CT""),97,0),"" "")"),"LAYAK UPLOAD KE SIMBELMAWA DENGAN REVISI")</f>
        <v>LAYAK UPLOAD KE SIMBELMAWA DENGAN REVISI</v>
      </c>
      <c r="U11" s="21" t="s">
        <v>660</v>
      </c>
      <c r="V11" s="85" t="s">
        <v>1102</v>
      </c>
      <c r="W11" s="17" t="s">
        <v>1107</v>
      </c>
      <c r="X11" s="53" t="s">
        <v>949</v>
      </c>
    </row>
    <row r="12" spans="1:27" ht="69">
      <c r="A12" s="15">
        <v>10</v>
      </c>
      <c r="B12" s="15">
        <f ca="1">IFERROR(__xludf.DUMMYFUNCTION("""COMPUTED_VALUE"""),4001)</f>
        <v>4001</v>
      </c>
      <c r="C12" s="16" t="str">
        <f ca="1">IFERROR(__xludf.DUMMYFUNCTION("""COMPUTED_VALUE"""),"Febiola Putri Utami")</f>
        <v>Febiola Putri Utami</v>
      </c>
      <c r="D12" s="16" t="str">
        <f ca="1">IFERROR(__xludf.DUMMYFUNCTION("""COMPUTED_VALUE"""),"01211940000015")</f>
        <v>01211940000015</v>
      </c>
      <c r="E12" s="16" t="str">
        <f ca="1">IFERROR(__xludf.DUMMYFUNCTION("""COMPUTED_VALUE"""),"Departemen Kimia")</f>
        <v>Departemen Kimia</v>
      </c>
      <c r="F12" s="16" t="str">
        <f ca="1">IFERROR(__xludf.DUMMYFUNCTION("""COMPUTED_VALUE"""),"Potensi UiO-66 Termodifikasi MCM-41 Disintesis dari Lumpur Lapindo Sebagai Adsorben Limbah Antibiotik Sulfonamida")</f>
        <v>Potensi UiO-66 Termodifikasi MCM-41 Disintesis dari Lumpur Lapindo Sebagai Adsorben Limbah Antibiotik Sulfonamida</v>
      </c>
      <c r="G12" s="16" t="str">
        <f ca="1">IFERROR(__xludf.DUMMYFUNCTION("""COMPUTED_VALUE"""),"Dra. Ratna Ediati, MS., Ph.D.")</f>
        <v>Dra. Ratna Ediati, MS., Ph.D.</v>
      </c>
      <c r="H12" s="16" t="str">
        <f ca="1">IFERROR(__xludf.DUMMYFUNCTION("""COMPUTED_VALUE"""),"Dr. Awik Puji Dyah Nurhayati, S.Si., M.Si.")</f>
        <v>Dr. Awik Puji Dyah Nurhayati, S.Si., M.Si.</v>
      </c>
      <c r="I12" s="16" t="str">
        <f ca="1">IFERROR(__xludf.DUMMYFUNCTION("""COMPUTED_VALUE"""),"Iska Desmawati, S.Si., M.Si.")</f>
        <v>Iska Desmawati, S.Si., M.Si.</v>
      </c>
      <c r="J12" s="16"/>
      <c r="K12" s="17" t="s">
        <v>1098</v>
      </c>
      <c r="L12" s="17" t="s">
        <v>1106</v>
      </c>
      <c r="M12" s="19" t="b">
        <v>1</v>
      </c>
      <c r="N12" s="19" t="b">
        <v>1</v>
      </c>
      <c r="O12" s="1" t="s">
        <v>1100</v>
      </c>
      <c r="P12" s="7" t="str">
        <f ca="1">IFERROR(__xludf.DUMMYFUNCTION("iferror(vlookup(B12,importrange(""https://docs.google.com/spreadsheets/d/1boHyJQ4e2FU0QG8MHwEi6qjX4hvZWVCHcFfXjq7bbMc/edit?resourcekey#gid=923248883"",""Prop!$C$1:$M""),11,0),IFERROR(vlookup(B12,importrange(""https://docs.google.com/spreadsheets/d/1boHyJQ"&amp;"4e2FU0QG8MHwEi6qjX4hvZWVCHcFfXjq7bbMc/edit?resourcekey#gid=923248883"",""Prop!$N$1:$X""),11,0),iferror(vlookup(B12,importrange(""https://docs.google.com/spreadsheets/d/1boHyJQ4e2FU0QG8MHwEi6qjX4hvZWVCHcFfXjq7bbMc/edit?resourcekey#gid=923248883"",""Prop!$Y"&amp;"$1:$AI""),11,0),iferror(vlookup(B12,importrange(""https://docs.google.com/spreadsheets/d/1boHyJQ4e2FU0QG8MHwEi6qjX4hvZWVCHcFfXjq7bbMc/edit?resourcekey#gid=923248883"",""Prop!$AJ$1:$AT""),11,0),iferror(vlookup(B12,importrange(""https://docs.google.com/spre"&amp;"adsheets/d/1boHyJQ4e2FU0QG8MHwEi6qjX4hvZWVCHcFfXjq7bbMc/edit?resourcekey#gid=923248883"",""Prop!$AU$1:$BE""),11,0),iferror(vlookup(B12,importrange(""https://docs.google.com/spreadsheets/d/1boHyJQ4e2FU0QG8MHwEi6qjX4hvZWVCHcFfXjq7bbMc/edit?resourcekey#gid=9"&amp;"23248883"",""Prop!$BF$1:$BP""),11,0),iferror(vlookup(B12,importrange(""https://docs.google.com/spreadsheets/d/1boHyJQ4e2FU0QG8MHwEi6qjX4hvZWVCHcFfXjq7bbMc/edit?resourcekey#gid=923248883"",""Prop!$BQ$1:$CA""),11,0),iferror(vlookup(B12,importrange(""https:/"&amp;"/docs.google.com/spreadsheets/d/1boHyJQ4e2FU0QG8MHwEi6qjX4hvZWVCHcFfXjq7bbMc/edit?resourcekey#gid=923248883"",""Prop!$CB$1:$CL""),11,0),iferror(vlookup(B12,importrange(""https://docs.google.com/spreadsheets/d/1boHyJQ4e2FU0QG8MHwEi6qjX4hvZWVCHcFfXjq7bbMc/e"&amp;"dit?resourcekey#gid=923248883"",""Prop!$CM$1:$CX""),12,0),iferror(vlookup(B12,importrange(""https://docs.google.com/spreadsheets/d/1boHyJQ4e2FU0QG8MHwEi6qjX4hvZWVCHcFfXjq7bbMc/edit?resourcekey#gid=923248883"",""Prop!$CV$1:$DI""),11,0)))))))))))"),"https://drive.google.com/open?id=1rYV-_uzldfm0r1kuo_O6jSQ8lU85LMsa")</f>
        <v>https://drive.google.com/open?id=1rYV-_uzldfm0r1kuo_O6jSQ8lU85LMsa</v>
      </c>
      <c r="Q12" s="50" t="str">
        <f ca="1">IFERROR(__xludf.DUMMYFUNCTION("iferror(vlookup(B12,importrange(""https://docs.google.com/spreadsheets/d/1p53T2AuvvIqhP7Nf-bo3Uhj8cbKYRPpZdsrBv3x3bAQ/edit?resourcekey#gid=1321652304"",""Prop!$C$1:$M""),11,0),IFERROR(vlookup(B12,importrange(""https://docs.google.com/spreadsheets/d/1p53T2"&amp;"AuvvIqhP7Nf-bo3Uhj8cbKYRPpZdsrBv3x3bAQ/edit?resourcekey#gid=1321652304"",""Prop!$N$1:$X""),11,0),iferror(vlookup(B12,importrange(""https://docs.google.com/spreadsheets/d/1p53T2AuvvIqhP7Nf-bo3Uhj8cbKYRPpZdsrBv3x3bAQ/edit?resourcekey#gid=1321652304"",""Prop"&amp;"!$Y$1:$AI""),11,0),iferror(vlookup(B12,importrange(""https://docs.google.com/spreadsheets/d/1p53T2AuvvIqhP7Nf-bo3Uhj8cbKYRPpZdsrBv3x3bAQ/edit?resourcekey#gid=1321652304"",""Prop!$AJ$1:$AT""),11,0),iferror(vlookup(B12,importrange(""https://docs.google.com/"&amp;"spreadsheets/d/1p53T2AuvvIqhP7Nf-bo3Uhj8cbKYRPpZdsrBv3x3bAQ/edit?resourcekey#gid=1321652304"",""Prop!$AU$1:$BE""),11,0),iferror(vlookup(B12,importrange(""https://docs.google.com/spreadsheets/d/1p53T2AuvvIqhP7Nf-bo3Uhj8cbKYRPpZdsrBv3x3bAQ/edit?resourcekey#"&amp;"gid=1321652304"",""Prop!$BF$1:$BP""),11,0),iferror(vlookup(B12,importrange(""https://docs.google.com/spreadsheets/d/1p53T2AuvvIqhP7Nf-bo3Uhj8cbKYRPpZdsrBv3x3bAQ/edit?resourcekey#gid=1321652304"",""Prop!$BQ$1:$CA""),11,0),iferror(vlookup(B12,importrange("""&amp;"https://docs.google.com/spreadsheets/d/1p53T2AuvvIqhP7Nf-bo3Uhj8cbKYRPpZdsrBv3x3bAQ/edit?resourcekey#gid=1321652304"",""Prop!$CB$1:$CL""),11,0),iferror(vlookup(B12,importrange(""https://docs.google.com/spreadsheets/d/1p53T2AuvvIqhP7Nf-bo3Uhj8cbKYRPpZdsrBv"&amp;"3x3bAQ/edit?resourcekey#gid=1321652304"",""Prop!$CM$1:$CX""),12,0),iferror(vlookup(B12,importrange(""https://docs.google.com/spreadsheets/d/1p53T2AuvvIqhP7Nf-bo3Uhj8cbKYRPpZdsrBv3x3bAQ/edit?resourcekey#gid=1321652304"",""Prop!$CY$1:$DI""),11,0)))))))))))"),"https://drive.google.com/open?id=18PR7_tkwIcT9DCAd50Zr4s1vI7mjBA00")</f>
        <v>https://drive.google.com/open?id=18PR7_tkwIcT9DCAd50Zr4s1vI7mjBA00</v>
      </c>
      <c r="R12" s="88" t="s">
        <v>1101</v>
      </c>
      <c r="S12" s="20" t="str">
        <f ca="1">IFERROR(__xludf.DUMMYFUNCTION("IFERROR(vlookup(B12,IMPORTRANGE(""https://docs.google.com/spreadsheets/d/1g_jfYYK_KeipEDNDUgqgrsxK94XiocfNQIcP-v1QVhI/edit?resourcekey#gid=233272945"",""Nilai!B:CT""),57,0),"" "")"),"tabel 4.1 tidak ada baris instansi lain, untuk perguruan tinggi dituliskan --&gt; (in cash) lihat temannya, Lampiran 2 justifikasi gunakan tabel format terbaru kemudian ditandai item mana yang dibeli dg dana PT dan beri keterangan di bawah tabel, Lampiran 4 "&amp;"kok tidak ada NRPnya?? ")</f>
        <v xml:space="preserve">tabel 4.1 tidak ada baris instansi lain, untuk perguruan tinggi dituliskan --&gt; (in cash) lihat temannya, Lampiran 2 justifikasi gunakan tabel format terbaru kemudian ditandai item mana yang dibeli dg dana PT dan beri keterangan di bawah tabel, Lampiran 4 kok tidak ada NRPnya?? </v>
      </c>
      <c r="T12" s="20" t="str">
        <f ca="1">IFERROR(__xludf.DUMMYFUNCTION("IFERROR(vlookup(B12,IMPORTRANGE(""https://docs.google.com/spreadsheets/d/1g_jfYYK_KeipEDNDUgqgrsxK94XiocfNQIcP-v1QVhI/edit?resourcekey#gid=233272945"",""Nilai!B:CT""),97,0),"" "")"),"LAYAK UPLOAD KE SIMBELMAWA DENGAN REVISI")</f>
        <v>LAYAK UPLOAD KE SIMBELMAWA DENGAN REVISI</v>
      </c>
      <c r="U12" s="21" t="s">
        <v>660</v>
      </c>
      <c r="V12" s="85" t="s">
        <v>1102</v>
      </c>
      <c r="W12" s="17" t="s">
        <v>1107</v>
      </c>
      <c r="X12" s="53" t="s">
        <v>949</v>
      </c>
    </row>
    <row r="13" spans="1:27" ht="82.8">
      <c r="A13" s="15">
        <v>11</v>
      </c>
      <c r="B13" s="15">
        <f ca="1">IFERROR(__xludf.DUMMYFUNCTION("""COMPUTED_VALUE"""),2883)</f>
        <v>2883</v>
      </c>
      <c r="C13" s="16" t="str">
        <f ca="1">IFERROR(__xludf.DUMMYFUNCTION("""COMPUTED_VALUE"""),"MOHAMMAD HELMI ARRAFII")</f>
        <v>MOHAMMAD HELMI ARRAFII</v>
      </c>
      <c r="D13" s="16" t="str">
        <f ca="1">IFERROR(__xludf.DUMMYFUNCTION("""COMPUTED_VALUE"""),"01211940000074")</f>
        <v>01211940000074</v>
      </c>
      <c r="E13" s="16" t="str">
        <f ca="1">IFERROR(__xludf.DUMMYFUNCTION("""COMPUTED_VALUE"""),"Departemen Kimia")</f>
        <v>Departemen Kimia</v>
      </c>
      <c r="F13" s="16" t="str">
        <f ca="1">IFERROR(__xludf.DUMMYFUNCTION("""COMPUTED_VALUE"""),"Sintesis, Karakterisasi, dan Aplikasi TiO2/NiSe/Karbon Mesopori Terdoping N sebagai Fotokatalis untuk Produksi Bahan Bakar Hidrogen melalui Water Splitting")</f>
        <v>Sintesis, Karakterisasi, dan Aplikasi TiO2/NiSe/Karbon Mesopori Terdoping N sebagai Fotokatalis untuk Produksi Bahan Bakar Hidrogen melalui Water Splitting</v>
      </c>
      <c r="G13" s="16" t="str">
        <f ca="1">IFERROR(__xludf.DUMMYFUNCTION("""COMPUTED_VALUE"""),"Dr. Yuly Kusumawati, S.Si., M.Si.")</f>
        <v>Dr. Yuly Kusumawati, S.Si., M.Si.</v>
      </c>
      <c r="H13" s="16" t="str">
        <f ca="1">IFERROR(__xludf.DUMMYFUNCTION("""COMPUTED_VALUE"""),"Dr. Awik Puji Dyah Nurhayati, S.Si., M.Si.")</f>
        <v>Dr. Awik Puji Dyah Nurhayati, S.Si., M.Si.</v>
      </c>
      <c r="I13" s="16" t="str">
        <f ca="1">IFERROR(__xludf.DUMMYFUNCTION("""COMPUTED_VALUE"""),"Sena Safarina , S.Si., M.Sc., D.Sc")</f>
        <v>Sena Safarina , S.Si., M.Sc., D.Sc</v>
      </c>
      <c r="J13" s="16"/>
      <c r="K13" s="17" t="s">
        <v>1108</v>
      </c>
      <c r="L13" s="17" t="s">
        <v>1109</v>
      </c>
      <c r="M13" s="19" t="b">
        <v>1</v>
      </c>
      <c r="N13" s="19" t="b">
        <v>1</v>
      </c>
      <c r="O13" s="1" t="s">
        <v>1100</v>
      </c>
      <c r="P13" s="7" t="str">
        <f ca="1">IFERROR(__xludf.DUMMYFUNCTION("iferror(vlookup(B13,importrange(""https://docs.google.com/spreadsheets/d/1boHyJQ4e2FU0QG8MHwEi6qjX4hvZWVCHcFfXjq7bbMc/edit?resourcekey#gid=923248883"",""Prop!$C$1:$M""),11,0),IFERROR(vlookup(B13,importrange(""https://docs.google.com/spreadsheets/d/1boHyJQ"&amp;"4e2FU0QG8MHwEi6qjX4hvZWVCHcFfXjq7bbMc/edit?resourcekey#gid=923248883"",""Prop!$N$1:$X""),11,0),iferror(vlookup(B13,importrange(""https://docs.google.com/spreadsheets/d/1boHyJQ4e2FU0QG8MHwEi6qjX4hvZWVCHcFfXjq7bbMc/edit?resourcekey#gid=923248883"",""Prop!$Y"&amp;"$1:$AI""),11,0),iferror(vlookup(B13,importrange(""https://docs.google.com/spreadsheets/d/1boHyJQ4e2FU0QG8MHwEi6qjX4hvZWVCHcFfXjq7bbMc/edit?resourcekey#gid=923248883"",""Prop!$AJ$1:$AT""),11,0),iferror(vlookup(B13,importrange(""https://docs.google.com/spre"&amp;"adsheets/d/1boHyJQ4e2FU0QG8MHwEi6qjX4hvZWVCHcFfXjq7bbMc/edit?resourcekey#gid=923248883"",""Prop!$AU$1:$BE""),11,0),iferror(vlookup(B13,importrange(""https://docs.google.com/spreadsheets/d/1boHyJQ4e2FU0QG8MHwEi6qjX4hvZWVCHcFfXjq7bbMc/edit?resourcekey#gid=9"&amp;"23248883"",""Prop!$BF$1:$BP""),11,0),iferror(vlookup(B13,importrange(""https://docs.google.com/spreadsheets/d/1boHyJQ4e2FU0QG8MHwEi6qjX4hvZWVCHcFfXjq7bbMc/edit?resourcekey#gid=923248883"",""Prop!$BQ$1:$CA""),11,0),iferror(vlookup(B13,importrange(""https:/"&amp;"/docs.google.com/spreadsheets/d/1boHyJQ4e2FU0QG8MHwEi6qjX4hvZWVCHcFfXjq7bbMc/edit?resourcekey#gid=923248883"",""Prop!$CB$1:$CL""),11,0),iferror(vlookup(B13,importrange(""https://docs.google.com/spreadsheets/d/1boHyJQ4e2FU0QG8MHwEi6qjX4hvZWVCHcFfXjq7bbMc/e"&amp;"dit?resourcekey#gid=923248883"",""Prop!$CM$1:$CX""),12,0),iferror(vlookup(B13,importrange(""https://docs.google.com/spreadsheets/d/1boHyJQ4e2FU0QG8MHwEi6qjX4hvZWVCHcFfXjq7bbMc/edit?resourcekey#gid=923248883"",""Prop!$CV$1:$DI""),11,0)))))))))))"),"https://drive.google.com/open?id=1dkFtrIYxwYdrooZ1Q530Ts6QkjRSTLHc")</f>
        <v>https://drive.google.com/open?id=1dkFtrIYxwYdrooZ1Q530Ts6QkjRSTLHc</v>
      </c>
      <c r="Q13" s="50" t="str">
        <f ca="1">IFERROR(__xludf.DUMMYFUNCTION("iferror(vlookup(B13,importrange(""https://docs.google.com/spreadsheets/d/1p53T2AuvvIqhP7Nf-bo3Uhj8cbKYRPpZdsrBv3x3bAQ/edit?resourcekey#gid=1321652304"",""Prop!$C$1:$M""),11,0),IFERROR(vlookup(B13,importrange(""https://docs.google.com/spreadsheets/d/1p53T2"&amp;"AuvvIqhP7Nf-bo3Uhj8cbKYRPpZdsrBv3x3bAQ/edit?resourcekey#gid=1321652304"",""Prop!$N$1:$X""),11,0),iferror(vlookup(B13,importrange(""https://docs.google.com/spreadsheets/d/1p53T2AuvvIqhP7Nf-bo3Uhj8cbKYRPpZdsrBv3x3bAQ/edit?resourcekey#gid=1321652304"",""Prop"&amp;"!$Y$1:$AI""),11,0),iferror(vlookup(B13,importrange(""https://docs.google.com/spreadsheets/d/1p53T2AuvvIqhP7Nf-bo3Uhj8cbKYRPpZdsrBv3x3bAQ/edit?resourcekey#gid=1321652304"",""Prop!$AJ$1:$AT""),11,0),iferror(vlookup(B13,importrange(""https://docs.google.com/"&amp;"spreadsheets/d/1p53T2AuvvIqhP7Nf-bo3Uhj8cbKYRPpZdsrBv3x3bAQ/edit?resourcekey#gid=1321652304"",""Prop!$AU$1:$BE""),11,0),iferror(vlookup(B13,importrange(""https://docs.google.com/spreadsheets/d/1p53T2AuvvIqhP7Nf-bo3Uhj8cbKYRPpZdsrBv3x3bAQ/edit?resourcekey#"&amp;"gid=1321652304"",""Prop!$BF$1:$BP""),11,0),iferror(vlookup(B13,importrange(""https://docs.google.com/spreadsheets/d/1p53T2AuvvIqhP7Nf-bo3Uhj8cbKYRPpZdsrBv3x3bAQ/edit?resourcekey#gid=1321652304"",""Prop!$BQ$1:$CA""),11,0),iferror(vlookup(B13,importrange("""&amp;"https://docs.google.com/spreadsheets/d/1p53T2AuvvIqhP7Nf-bo3Uhj8cbKYRPpZdsrBv3x3bAQ/edit?resourcekey#gid=1321652304"",""Prop!$CB$1:$CL""),11,0),iferror(vlookup(B13,importrange(""https://docs.google.com/spreadsheets/d/1p53T2AuvvIqhP7Nf-bo3Uhj8cbKYRPpZdsrBv"&amp;"3x3bAQ/edit?resourcekey#gid=1321652304"",""Prop!$CM$1:$CX""),12,0),iferror(vlookup(B13,importrange(""https://docs.google.com/spreadsheets/d/1p53T2AuvvIqhP7Nf-bo3Uhj8cbKYRPpZdsrBv3x3bAQ/edit?resourcekey#gid=1321652304"",""Prop!$CY$1:$DI""),11,0)))))))))))"),"https://drive.google.com/open?id=1pi91PKoyN8gJE2aJXBWq6682WTTXsTWK")</f>
        <v>https://drive.google.com/open?id=1pi91PKoyN8gJE2aJXBWq6682WTTXsTWK</v>
      </c>
      <c r="R13" s="88" t="s">
        <v>1101</v>
      </c>
      <c r="S13" s="20" t="str">
        <f ca="1">IFERROR(__xludf.DUMMYFUNCTION("IFERROR(vlookup(B13,IMPORTRANGE(""https://docs.google.com/spreadsheets/d/1g_jfYYK_KeipEDNDUgqgrsxK94XiocfNQIcP-v1QVhI/edit?resourcekey#gid=233272945"",""Nilai!B:CT""),57,0),"" "")"),"tambahkan subbab kontribusi riset, produk riset pada luaran, referensi/standar pada prosedur, tabel 4.1. diberi keterangan ..&gt; in cash pada Perguruan Tinggi, daftar pustaka dimiringkan untuk nama jurnal (cek pedoman), tabel riwayat pendidikan dosen belum "&amp;"diganti yang baru, tanggal biodata dosen belum maret 2022, tabel lampiran 2 belum diberi keterangan item mana yang dibeli dengan dana PT, ")</f>
        <v xml:space="preserve">tambahkan subbab kontribusi riset, produk riset pada luaran, referensi/standar pada prosedur, tabel 4.1. diberi keterangan ..&gt; in cash pada Perguruan Tinggi, daftar pustaka dimiringkan untuk nama jurnal (cek pedoman), tabel riwayat pendidikan dosen belum diganti yang baru, tanggal biodata dosen belum maret 2022, tabel lampiran 2 belum diberi keterangan item mana yang dibeli dengan dana PT, </v>
      </c>
      <c r="T13" s="20" t="str">
        <f ca="1">IFERROR(__xludf.DUMMYFUNCTION("IFERROR(vlookup(B13,IMPORTRANGE(""https://docs.google.com/spreadsheets/d/1g_jfYYK_KeipEDNDUgqgrsxK94XiocfNQIcP-v1QVhI/edit?resourcekey#gid=233272945"",""Nilai!B:CT""),97,0),"" "")"),"LAYAK UPLOAD KE SIMBELMAWA DENGAN REVISI")</f>
        <v>LAYAK UPLOAD KE SIMBELMAWA DENGAN REVISI</v>
      </c>
      <c r="U13" s="21" t="s">
        <v>660</v>
      </c>
      <c r="V13" s="85" t="s">
        <v>1102</v>
      </c>
      <c r="W13" s="17" t="s">
        <v>1107</v>
      </c>
      <c r="X13" s="53" t="s">
        <v>949</v>
      </c>
    </row>
    <row r="14" spans="1:27" ht="69">
      <c r="A14" s="15">
        <v>12</v>
      </c>
      <c r="B14" s="15">
        <f ca="1">IFERROR(__xludf.DUMMYFUNCTION("""COMPUTED_VALUE"""),3992)</f>
        <v>3992</v>
      </c>
      <c r="C14" s="16" t="str">
        <f ca="1">IFERROR(__xludf.DUMMYFUNCTION("""COMPUTED_VALUE"""),"ACHMAD UMAR SA`ID")</f>
        <v>ACHMAD UMAR SA`ID</v>
      </c>
      <c r="D14" s="16" t="str">
        <f ca="1">IFERROR(__xludf.DUMMYFUNCTION("""COMPUTED_VALUE"""),"5011201035")</f>
        <v>5011201035</v>
      </c>
      <c r="E14" s="16" t="str">
        <f ca="1">IFERROR(__xludf.DUMMYFUNCTION("""COMPUTED_VALUE"""),"Departemen Teknik Material dan Metalurgi")</f>
        <v>Departemen Teknik Material dan Metalurgi</v>
      </c>
      <c r="F14" s="16" t="str">
        <f ca="1">IFERROR(__xludf.DUMMYFUNCTION("""COMPUTED_VALUE"""),"Daur Ulang Katoda LiFePO4 Pada Limbah Baterai Berbasis Direct Regeneration Method Sebagai Sumber Bahan Baku Baterai Litium")</f>
        <v>Daur Ulang Katoda LiFePO4 Pada Limbah Baterai Berbasis Direct Regeneration Method Sebagai Sumber Bahan Baku Baterai Litium</v>
      </c>
      <c r="G14" s="16" t="str">
        <f ca="1">IFERROR(__xludf.DUMMYFUNCTION("""COMPUTED_VALUE"""),"Lukman Noerochim , S.T., M.Sc.(Eng).,Ph.D")</f>
        <v>Lukman Noerochim , S.T., M.Sc.(Eng).,Ph.D</v>
      </c>
      <c r="H14" s="16" t="str">
        <f ca="1">IFERROR(__xludf.DUMMYFUNCTION("""COMPUTED_VALUE"""),"Dr. Awik Puji Dyah Nurhayati, S.Si., M.Si.")</f>
        <v>Dr. Awik Puji Dyah Nurhayati, S.Si., M.Si.</v>
      </c>
      <c r="I14" s="16" t="str">
        <f ca="1">IFERROR(__xludf.DUMMYFUNCTION("""COMPUTED_VALUE"""),"Iska Desmawati, S.Si., M.Si.")</f>
        <v>Iska Desmawati, S.Si., M.Si.</v>
      </c>
      <c r="J14" s="16"/>
      <c r="K14" s="17" t="s">
        <v>1108</v>
      </c>
      <c r="L14" s="17" t="s">
        <v>1109</v>
      </c>
      <c r="M14" s="19" t="b">
        <v>1</v>
      </c>
      <c r="N14" s="19" t="b">
        <v>1</v>
      </c>
      <c r="O14" s="1" t="s">
        <v>1100</v>
      </c>
      <c r="P14" s="7" t="str">
        <f ca="1">IFERROR(__xludf.DUMMYFUNCTION("iferror(vlookup(B14,importrange(""https://docs.google.com/spreadsheets/d/1boHyJQ4e2FU0QG8MHwEi6qjX4hvZWVCHcFfXjq7bbMc/edit?resourcekey#gid=923248883"",""Prop!$C$1:$M""),11,0),IFERROR(vlookup(B14,importrange(""https://docs.google.com/spreadsheets/d/1boHyJQ"&amp;"4e2FU0QG8MHwEi6qjX4hvZWVCHcFfXjq7bbMc/edit?resourcekey#gid=923248883"",""Prop!$N$1:$X""),11,0),iferror(vlookup(B14,importrange(""https://docs.google.com/spreadsheets/d/1boHyJQ4e2FU0QG8MHwEi6qjX4hvZWVCHcFfXjq7bbMc/edit?resourcekey#gid=923248883"",""Prop!$Y"&amp;"$1:$AI""),11,0),iferror(vlookup(B14,importrange(""https://docs.google.com/spreadsheets/d/1boHyJQ4e2FU0QG8MHwEi6qjX4hvZWVCHcFfXjq7bbMc/edit?resourcekey#gid=923248883"",""Prop!$AJ$1:$AT""),11,0),iferror(vlookup(B14,importrange(""https://docs.google.com/spre"&amp;"adsheets/d/1boHyJQ4e2FU0QG8MHwEi6qjX4hvZWVCHcFfXjq7bbMc/edit?resourcekey#gid=923248883"",""Prop!$AU$1:$BE""),11,0),iferror(vlookup(B14,importrange(""https://docs.google.com/spreadsheets/d/1boHyJQ4e2FU0QG8MHwEi6qjX4hvZWVCHcFfXjq7bbMc/edit?resourcekey#gid=9"&amp;"23248883"",""Prop!$BF$1:$BP""),11,0),iferror(vlookup(B14,importrange(""https://docs.google.com/spreadsheets/d/1boHyJQ4e2FU0QG8MHwEi6qjX4hvZWVCHcFfXjq7bbMc/edit?resourcekey#gid=923248883"",""Prop!$BQ$1:$CA""),11,0),iferror(vlookup(B14,importrange(""https:/"&amp;"/docs.google.com/spreadsheets/d/1boHyJQ4e2FU0QG8MHwEi6qjX4hvZWVCHcFfXjq7bbMc/edit?resourcekey#gid=923248883"",""Prop!$CB$1:$CL""),11,0),iferror(vlookup(B14,importrange(""https://docs.google.com/spreadsheets/d/1boHyJQ4e2FU0QG8MHwEi6qjX4hvZWVCHcFfXjq7bbMc/e"&amp;"dit?resourcekey#gid=923248883"",""Prop!$CM$1:$CX""),12,0),iferror(vlookup(B14,importrange(""https://docs.google.com/spreadsheets/d/1boHyJQ4e2FU0QG8MHwEi6qjX4hvZWVCHcFfXjq7bbMc/edit?resourcekey#gid=923248883"",""Prop!$CV$1:$DI""),11,0)))))))))))"),"https://drive.google.com/open?id=15dyxnFMJQWf03utJ76b_D8Lq31LYsX4X")</f>
        <v>https://drive.google.com/open?id=15dyxnFMJQWf03utJ76b_D8Lq31LYsX4X</v>
      </c>
      <c r="Q14" s="7" t="str">
        <f ca="1">IFERROR(__xludf.DUMMYFUNCTION("iferror(vlookup(B14,importrange(""https://docs.google.com/spreadsheets/d/1p53T2AuvvIqhP7Nf-bo3Uhj8cbKYRPpZdsrBv3x3bAQ/edit?resourcekey#gid=1321652304"",""Prop!$C$1:$M""),11,0),IFERROR(vlookup(B14,importrange(""https://docs.google.com/spreadsheets/d/1p53T2"&amp;"AuvvIqhP7Nf-bo3Uhj8cbKYRPpZdsrBv3x3bAQ/edit?resourcekey#gid=1321652304"",""Prop!$N$1:$X""),11,0),iferror(vlookup(B14,importrange(""https://docs.google.com/spreadsheets/d/1p53T2AuvvIqhP7Nf-bo3Uhj8cbKYRPpZdsrBv3x3bAQ/edit?resourcekey#gid=1321652304"",""Prop"&amp;"!$Y$1:$AI""),11,0),iferror(vlookup(B14,importrange(""https://docs.google.com/spreadsheets/d/1p53T2AuvvIqhP7Nf-bo3Uhj8cbKYRPpZdsrBv3x3bAQ/edit?resourcekey#gid=1321652304"",""Prop!$AJ$1:$AT""),11,0),iferror(vlookup(B14,importrange(""https://docs.google.com/"&amp;"spreadsheets/d/1p53T2AuvvIqhP7Nf-bo3Uhj8cbKYRPpZdsrBv3x3bAQ/edit?resourcekey#gid=1321652304"",""Prop!$AU$1:$BE""),11,0),iferror(vlookup(B14,importrange(""https://docs.google.com/spreadsheets/d/1p53T2AuvvIqhP7Nf-bo3Uhj8cbKYRPpZdsrBv3x3bAQ/edit?resourcekey#"&amp;"gid=1321652304"",""Prop!$BF$1:$BP""),11,0),iferror(vlookup(B14,importrange(""https://docs.google.com/spreadsheets/d/1p53T2AuvvIqhP7Nf-bo3Uhj8cbKYRPpZdsrBv3x3bAQ/edit?resourcekey#gid=1321652304"",""Prop!$BQ$1:$CA""),11,0),iferror(vlookup(B14,importrange("""&amp;"https://docs.google.com/spreadsheets/d/1p53T2AuvvIqhP7Nf-bo3Uhj8cbKYRPpZdsrBv3x3bAQ/edit?resourcekey#gid=1321652304"",""Prop!$CB$1:$CL""),11,0),iferror(vlookup(B14,importrange(""https://docs.google.com/spreadsheets/d/1p53T2AuvvIqhP7Nf-bo3Uhj8cbKYRPpZdsrBv"&amp;"3x3bAQ/edit?resourcekey#gid=1321652304"",""Prop!$CM$1:$CX""),12,0),iferror(vlookup(B14,importrange(""https://docs.google.com/spreadsheets/d/1p53T2AuvvIqhP7Nf-bo3Uhj8cbKYRPpZdsrBv3x3bAQ/edit?resourcekey#gid=1321652304"",""Prop!$CY$1:$DI""),11,0)))))))))))"),"https://drive.google.com/open?id=1oMacN46IWozBM7vzL0PM14uoIeTDDBG4")</f>
        <v>https://drive.google.com/open?id=1oMacN46IWozBM7vzL0PM14uoIeTDDBG4</v>
      </c>
      <c r="R14" s="88" t="s">
        <v>1101</v>
      </c>
      <c r="S14" s="20" t="str">
        <f ca="1">IFERROR(__xludf.DUMMYFUNCTION("IFERROR(vlookup(B14,IMPORTRANGE(""https://docs.google.com/spreadsheets/d/1g_jfYYK_KeipEDNDUgqgrsxK94XiocfNQIcP-v1QVhI/edit?resourcekey#gid=233272945"",""Nilai!B:CT""),57,0),"" "")"),"very minor revision")</f>
        <v>very minor revision</v>
      </c>
      <c r="T14" s="20" t="str">
        <f ca="1">IFERROR(__xludf.DUMMYFUNCTION("IFERROR(vlookup(B14,IMPORTRANGE(""https://docs.google.com/spreadsheets/d/1g_jfYYK_KeipEDNDUgqgrsxK94XiocfNQIcP-v1QVhI/edit?resourcekey#gid=233272945"",""Nilai!B:CT""),97,0),"" "")"),"LAYAK UPLOAD KE SIMBELMAWA DENGAN REVISI")</f>
        <v>LAYAK UPLOAD KE SIMBELMAWA DENGAN REVISI</v>
      </c>
      <c r="U14" s="21" t="s">
        <v>660</v>
      </c>
      <c r="V14" s="85" t="s">
        <v>1102</v>
      </c>
      <c r="W14" s="17" t="s">
        <v>1107</v>
      </c>
      <c r="X14" s="53" t="s">
        <v>949</v>
      </c>
    </row>
    <row r="15" spans="1:27" ht="69">
      <c r="A15" s="15">
        <v>13</v>
      </c>
      <c r="B15" s="15">
        <f ca="1">IFERROR(__xludf.DUMMYFUNCTION("""COMPUTED_VALUE"""),4138)</f>
        <v>4138</v>
      </c>
      <c r="C15" s="16" t="str">
        <f ca="1">IFERROR(__xludf.DUMMYFUNCTION("""COMPUTED_VALUE"""),"SINTA EKA SEPTA SARI")</f>
        <v>SINTA EKA SEPTA SARI</v>
      </c>
      <c r="D15" s="16" t="str">
        <f ca="1">IFERROR(__xludf.DUMMYFUNCTION("""COMPUTED_VALUE"""),"01211940000073")</f>
        <v>01211940000073</v>
      </c>
      <c r="E15" s="16" t="str">
        <f ca="1">IFERROR(__xludf.DUMMYFUNCTION("""COMPUTED_VALUE"""),"Departemen Kimia")</f>
        <v>Departemen Kimia</v>
      </c>
      <c r="F15" s="16" t="str">
        <f ca="1">IFERROR(__xludf.DUMMYFUNCTION("""COMPUTED_VALUE"""),"Aplikasi Ekstrak Kulit Durian sebagai Material Pelapis Logam secara Dip Coating")</f>
        <v>Aplikasi Ekstrak Kulit Durian sebagai Material Pelapis Logam secara Dip Coating</v>
      </c>
      <c r="G15" s="16" t="str">
        <f ca="1">IFERROR(__xludf.DUMMYFUNCTION("""COMPUTED_VALUE"""),"Prof. Dr.rer.nat. Fredy Kurniawan, S.Si., M.Si.")</f>
        <v>Prof. Dr.rer.nat. Fredy Kurniawan, S.Si., M.Si.</v>
      </c>
      <c r="H15" s="16" t="str">
        <f ca="1">IFERROR(__xludf.DUMMYFUNCTION("""COMPUTED_VALUE"""),"Alief Wikarta, ST., MSc.Eng. Ph.D")</f>
        <v>Alief Wikarta, ST., MSc.Eng. Ph.D</v>
      </c>
      <c r="I15" s="16" t="str">
        <f ca="1">IFERROR(__xludf.DUMMYFUNCTION("""COMPUTED_VALUE"""),"Juan Pandu Gya Nur Rochman, S.Si., M.T.")</f>
        <v>Juan Pandu Gya Nur Rochman, S.Si., M.T.</v>
      </c>
      <c r="J15" s="16"/>
      <c r="K15" s="17" t="s">
        <v>1108</v>
      </c>
      <c r="L15" s="17" t="s">
        <v>1109</v>
      </c>
      <c r="M15" s="19" t="b">
        <v>0</v>
      </c>
      <c r="N15" s="19" t="b">
        <v>0</v>
      </c>
      <c r="O15" s="1" t="s">
        <v>1100</v>
      </c>
      <c r="P15" s="7" t="str">
        <f ca="1">IFERROR(__xludf.DUMMYFUNCTION("iferror(vlookup(B15,importrange(""https://docs.google.com/spreadsheets/d/1boHyJQ4e2FU0QG8MHwEi6qjX4hvZWVCHcFfXjq7bbMc/edit?resourcekey#gid=923248883"",""Prop!$C$1:$M""),11,0),IFERROR(vlookup(B15,importrange(""https://docs.google.com/spreadsheets/d/1boHyJQ"&amp;"4e2FU0QG8MHwEi6qjX4hvZWVCHcFfXjq7bbMc/edit?resourcekey#gid=923248883"",""Prop!$N$1:$X""),11,0),iferror(vlookup(B15,importrange(""https://docs.google.com/spreadsheets/d/1boHyJQ4e2FU0QG8MHwEi6qjX4hvZWVCHcFfXjq7bbMc/edit?resourcekey#gid=923248883"",""Prop!$Y"&amp;"$1:$AI""),11,0),iferror(vlookup(B15,importrange(""https://docs.google.com/spreadsheets/d/1boHyJQ4e2FU0QG8MHwEi6qjX4hvZWVCHcFfXjq7bbMc/edit?resourcekey#gid=923248883"",""Prop!$AJ$1:$AT""),11,0),iferror(vlookup(B15,importrange(""https://docs.google.com/spre"&amp;"adsheets/d/1boHyJQ4e2FU0QG8MHwEi6qjX4hvZWVCHcFfXjq7bbMc/edit?resourcekey#gid=923248883"",""Prop!$AU$1:$BE""),11,0),iferror(vlookup(B15,importrange(""https://docs.google.com/spreadsheets/d/1boHyJQ4e2FU0QG8MHwEi6qjX4hvZWVCHcFfXjq7bbMc/edit?resourcekey#gid=9"&amp;"23248883"",""Prop!$BF$1:$BP""),11,0),iferror(vlookup(B15,importrange(""https://docs.google.com/spreadsheets/d/1boHyJQ4e2FU0QG8MHwEi6qjX4hvZWVCHcFfXjq7bbMc/edit?resourcekey#gid=923248883"",""Prop!$BQ$1:$CA""),11,0),iferror(vlookup(B15,importrange(""https:/"&amp;"/docs.google.com/spreadsheets/d/1boHyJQ4e2FU0QG8MHwEi6qjX4hvZWVCHcFfXjq7bbMc/edit?resourcekey#gid=923248883"",""Prop!$CB$1:$CL""),11,0),iferror(vlookup(B15,importrange(""https://docs.google.com/spreadsheets/d/1boHyJQ4e2FU0QG8MHwEi6qjX4hvZWVCHcFfXjq7bbMc/e"&amp;"dit?resourcekey#gid=923248883"",""Prop!$CM$1:$CX""),12,0),iferror(vlookup(B15,importrange(""https://docs.google.com/spreadsheets/d/1boHyJQ4e2FU0QG8MHwEi6qjX4hvZWVCHcFfXjq7bbMc/edit?resourcekey#gid=923248883"",""Prop!$CV$1:$DI""),11,0)))))))))))"),"https://drive.google.com/open?id=1GCD8fMfj3gIuFEaiukgTSXHmdo_0d9l4")</f>
        <v>https://drive.google.com/open?id=1GCD8fMfj3gIuFEaiukgTSXHmdo_0d9l4</v>
      </c>
      <c r="Q15" s="50" t="str">
        <f ca="1">IFERROR(__xludf.DUMMYFUNCTION("iferror(vlookup(B15,importrange(""https://docs.google.com/spreadsheets/d/1p53T2AuvvIqhP7Nf-bo3Uhj8cbKYRPpZdsrBv3x3bAQ/edit?resourcekey#gid=1321652304"",""Prop!$C$1:$M""),11,0),IFERROR(vlookup(B15,importrange(""https://docs.google.com/spreadsheets/d/1p53T2"&amp;"AuvvIqhP7Nf-bo3Uhj8cbKYRPpZdsrBv3x3bAQ/edit?resourcekey#gid=1321652304"",""Prop!$N$1:$X""),11,0),iferror(vlookup(B15,importrange(""https://docs.google.com/spreadsheets/d/1p53T2AuvvIqhP7Nf-bo3Uhj8cbKYRPpZdsrBv3x3bAQ/edit?resourcekey#gid=1321652304"",""Prop"&amp;"!$Y$1:$AI""),11,0),iferror(vlookup(B15,importrange(""https://docs.google.com/spreadsheets/d/1p53T2AuvvIqhP7Nf-bo3Uhj8cbKYRPpZdsrBv3x3bAQ/edit?resourcekey#gid=1321652304"",""Prop!$AJ$1:$AT""),11,0),iferror(vlookup(B15,importrange(""https://docs.google.com/"&amp;"spreadsheets/d/1p53T2AuvvIqhP7Nf-bo3Uhj8cbKYRPpZdsrBv3x3bAQ/edit?resourcekey#gid=1321652304"",""Prop!$AU$1:$BE""),11,0),iferror(vlookup(B15,importrange(""https://docs.google.com/spreadsheets/d/1p53T2AuvvIqhP7Nf-bo3Uhj8cbKYRPpZdsrBv3x3bAQ/edit?resourcekey#"&amp;"gid=1321652304"",""Prop!$BF$1:$BP""),11,0),iferror(vlookup(B15,importrange(""https://docs.google.com/spreadsheets/d/1p53T2AuvvIqhP7Nf-bo3Uhj8cbKYRPpZdsrBv3x3bAQ/edit?resourcekey#gid=1321652304"",""Prop!$BQ$1:$CA""),11,0),iferror(vlookup(B15,importrange("""&amp;"https://docs.google.com/spreadsheets/d/1p53T2AuvvIqhP7Nf-bo3Uhj8cbKYRPpZdsrBv3x3bAQ/edit?resourcekey#gid=1321652304"",""Prop!$CB$1:$CL""),11,0),iferror(vlookup(B15,importrange(""https://docs.google.com/spreadsheets/d/1p53T2AuvvIqhP7Nf-bo3Uhj8cbKYRPpZdsrBv"&amp;"3x3bAQ/edit?resourcekey#gid=1321652304"",""Prop!$CM$1:$CX""),12,0),iferror(vlookup(B15,importrange(""https://docs.google.com/spreadsheets/d/1p53T2AuvvIqhP7Nf-bo3Uhj8cbKYRPpZdsrBv3x3bAQ/edit?resourcekey#gid=1321652304"",""Prop!$CY$1:$DI""),11,0)))))))))))"),"https://drive.google.com/open?id=11RkHENmox8_1JQ_VcOI11S9gTk7ByVuK")</f>
        <v>https://drive.google.com/open?id=11RkHENmox8_1JQ_VcOI11S9gTk7ByVuK</v>
      </c>
      <c r="R15" s="88" t="s">
        <v>1101</v>
      </c>
      <c r="S15" s="20" t="str">
        <f ca="1">IFERROR(__xludf.DUMMYFUNCTION("IFERROR(vlookup(B15,IMPORTRANGE(""https://docs.google.com/spreadsheets/d/1g_jfYYK_KeipEDNDUgqgrsxK94XiocfNQIcP-v1QVhI/edit?resourcekey#gid=233272945"",""Nilai!B:CT""),57,0),"" "")"),"RAB, daftar pustaka diperbaiki")</f>
        <v>RAB, daftar pustaka diperbaiki</v>
      </c>
      <c r="T15" s="20" t="str">
        <f ca="1">IFERROR(__xludf.DUMMYFUNCTION("IFERROR(vlookup(B15,IMPORTRANGE(""https://docs.google.com/spreadsheets/d/1g_jfYYK_KeipEDNDUgqgrsxK94XiocfNQIcP-v1QVhI/edit?resourcekey#gid=233272945"",""Nilai!B:CT""),97,0),"" "")"),"LAYAK UPLOAD KE SIMBELMAWA DENGAN REVISI")</f>
        <v>LAYAK UPLOAD KE SIMBELMAWA DENGAN REVISI</v>
      </c>
      <c r="U15" s="21" t="s">
        <v>660</v>
      </c>
      <c r="V15" s="85" t="s">
        <v>1102</v>
      </c>
      <c r="W15" s="17" t="s">
        <v>1110</v>
      </c>
      <c r="X15" s="53" t="s">
        <v>949</v>
      </c>
    </row>
    <row r="16" spans="1:27" ht="96.6">
      <c r="A16" s="15">
        <v>14</v>
      </c>
      <c r="B16" s="15">
        <f ca="1">IFERROR(__xludf.DUMMYFUNCTION("""COMPUTED_VALUE"""),2393)</f>
        <v>2393</v>
      </c>
      <c r="C16" s="16" t="str">
        <f ca="1">IFERROR(__xludf.DUMMYFUNCTION("""COMPUTED_VALUE"""),"OKA SHINTA SEKAR KIRANA")</f>
        <v>OKA SHINTA SEKAR KIRANA</v>
      </c>
      <c r="D16" s="16" t="str">
        <f ca="1">IFERROR(__xludf.DUMMYFUNCTION("""COMPUTED_VALUE"""),"01211940000038")</f>
        <v>01211940000038</v>
      </c>
      <c r="E16" s="16" t="str">
        <f ca="1">IFERROR(__xludf.DUMMYFUNCTION("""COMPUTED_VALUE"""),"Departemen Kimia")</f>
        <v>Departemen Kimia</v>
      </c>
      <c r="F16" s="16" t="str">
        <f ca="1">IFERROR(__xludf.DUMMYFUNCTION("""COMPUTED_VALUE"""),"Penambahan Ekstrak Belimbing Wuluh dan Kulit Nanas Untuk Mempercepat Fermentasi Pada Tempe Terfortifikasi Serbuk Kulit Udang")</f>
        <v>Penambahan Ekstrak Belimbing Wuluh dan Kulit Nanas Untuk Mempercepat Fermentasi Pada Tempe Terfortifikasi Serbuk Kulit Udang</v>
      </c>
      <c r="G16" s="16" t="str">
        <f ca="1">IFERROR(__xludf.DUMMYFUNCTION("""COMPUTED_VALUE"""),"Zjahra Vianita Nugraheni, S.Si, M.Si.")</f>
        <v>Zjahra Vianita Nugraheni, S.Si, M.Si.</v>
      </c>
      <c r="H16" s="16" t="str">
        <f ca="1">IFERROR(__xludf.DUMMYFUNCTION("""COMPUTED_VALUE"""),"Dr.-Ing. Doty Dewi Risanti, S.T., M.T.")</f>
        <v>Dr.-Ing. Doty Dewi Risanti, S.T., M.T.</v>
      </c>
      <c r="I16" s="16" t="str">
        <f ca="1">IFERROR(__xludf.DUMMYFUNCTION("""COMPUTED_VALUE"""),"Dr. Candra Irawan, S.T., M.T.")</f>
        <v>Dr. Candra Irawan, S.T., M.T.</v>
      </c>
      <c r="J16" s="16"/>
      <c r="K16" s="17" t="s">
        <v>1108</v>
      </c>
      <c r="L16" s="17" t="s">
        <v>1109</v>
      </c>
      <c r="M16" s="19" t="b">
        <v>0</v>
      </c>
      <c r="N16" s="19" t="b">
        <v>0</v>
      </c>
      <c r="O16" s="1" t="s">
        <v>1100</v>
      </c>
      <c r="P16" s="7" t="str">
        <f ca="1">IFERROR(__xludf.DUMMYFUNCTION("iferror(vlookup(B16,importrange(""https://docs.google.com/spreadsheets/d/1boHyJQ4e2FU0QG8MHwEi6qjX4hvZWVCHcFfXjq7bbMc/edit?resourcekey#gid=923248883"",""Prop!$C$1:$M""),11,0),IFERROR(vlookup(B16,importrange(""https://docs.google.com/spreadsheets/d/1boHyJQ"&amp;"4e2FU0QG8MHwEi6qjX4hvZWVCHcFfXjq7bbMc/edit?resourcekey#gid=923248883"",""Prop!$N$1:$X""),11,0),iferror(vlookup(B16,importrange(""https://docs.google.com/spreadsheets/d/1boHyJQ4e2FU0QG8MHwEi6qjX4hvZWVCHcFfXjq7bbMc/edit?resourcekey#gid=923248883"",""Prop!$Y"&amp;"$1:$AI""),11,0),iferror(vlookup(B16,importrange(""https://docs.google.com/spreadsheets/d/1boHyJQ4e2FU0QG8MHwEi6qjX4hvZWVCHcFfXjq7bbMc/edit?resourcekey#gid=923248883"",""Prop!$AJ$1:$AT""),11,0),iferror(vlookup(B16,importrange(""https://docs.google.com/spre"&amp;"adsheets/d/1boHyJQ4e2FU0QG8MHwEi6qjX4hvZWVCHcFfXjq7bbMc/edit?resourcekey#gid=923248883"",""Prop!$AU$1:$BE""),11,0),iferror(vlookup(B16,importrange(""https://docs.google.com/spreadsheets/d/1boHyJQ4e2FU0QG8MHwEi6qjX4hvZWVCHcFfXjq7bbMc/edit?resourcekey#gid=9"&amp;"23248883"",""Prop!$BF$1:$BP""),11,0),iferror(vlookup(B16,importrange(""https://docs.google.com/spreadsheets/d/1boHyJQ4e2FU0QG8MHwEi6qjX4hvZWVCHcFfXjq7bbMc/edit?resourcekey#gid=923248883"",""Prop!$BQ$1:$CA""),11,0),iferror(vlookup(B16,importrange(""https:/"&amp;"/docs.google.com/spreadsheets/d/1boHyJQ4e2FU0QG8MHwEi6qjX4hvZWVCHcFfXjq7bbMc/edit?resourcekey#gid=923248883"",""Prop!$CB$1:$CL""),11,0),iferror(vlookup(B16,importrange(""https://docs.google.com/spreadsheets/d/1boHyJQ4e2FU0QG8MHwEi6qjX4hvZWVCHcFfXjq7bbMc/e"&amp;"dit?resourcekey#gid=923248883"",""Prop!$CM$1:$CX""),12,0),iferror(vlookup(B16,importrange(""https://docs.google.com/spreadsheets/d/1boHyJQ4e2FU0QG8MHwEi6qjX4hvZWVCHcFfXjq7bbMc/edit?resourcekey#gid=923248883"",""Prop!$CV$1:$DI""),11,0)))))))))))"),"https://drive.google.com/open?id=1qpQhH1X2wJ8W8vQmvn6LLgVZeudlKwaB")</f>
        <v>https://drive.google.com/open?id=1qpQhH1X2wJ8W8vQmvn6LLgVZeudlKwaB</v>
      </c>
      <c r="Q16" s="50" t="str">
        <f ca="1">IFERROR(__xludf.DUMMYFUNCTION("iferror(vlookup(B16,importrange(""https://docs.google.com/spreadsheets/d/1p53T2AuvvIqhP7Nf-bo3Uhj8cbKYRPpZdsrBv3x3bAQ/edit?resourcekey#gid=1321652304"",""Prop!$C$1:$M""),11,0),IFERROR(vlookup(B16,importrange(""https://docs.google.com/spreadsheets/d/1p53T2"&amp;"AuvvIqhP7Nf-bo3Uhj8cbKYRPpZdsrBv3x3bAQ/edit?resourcekey#gid=1321652304"",""Prop!$N$1:$X""),11,0),iferror(vlookup(B16,importrange(""https://docs.google.com/spreadsheets/d/1p53T2AuvvIqhP7Nf-bo3Uhj8cbKYRPpZdsrBv3x3bAQ/edit?resourcekey#gid=1321652304"",""Prop"&amp;"!$Y$1:$AI""),11,0),iferror(vlookup(B16,importrange(""https://docs.google.com/spreadsheets/d/1p53T2AuvvIqhP7Nf-bo3Uhj8cbKYRPpZdsrBv3x3bAQ/edit?resourcekey#gid=1321652304"",""Prop!$AJ$1:$AT""),11,0),iferror(vlookup(B16,importrange(""https://docs.google.com/"&amp;"spreadsheets/d/1p53T2AuvvIqhP7Nf-bo3Uhj8cbKYRPpZdsrBv3x3bAQ/edit?resourcekey#gid=1321652304"",""Prop!$AU$1:$BE""),11,0),iferror(vlookup(B16,importrange(""https://docs.google.com/spreadsheets/d/1p53T2AuvvIqhP7Nf-bo3Uhj8cbKYRPpZdsrBv3x3bAQ/edit?resourcekey#"&amp;"gid=1321652304"",""Prop!$BF$1:$BP""),11,0),iferror(vlookup(B16,importrange(""https://docs.google.com/spreadsheets/d/1p53T2AuvvIqhP7Nf-bo3Uhj8cbKYRPpZdsrBv3x3bAQ/edit?resourcekey#gid=1321652304"",""Prop!$BQ$1:$CA""),11,0),iferror(vlookup(B16,importrange("""&amp;"https://docs.google.com/spreadsheets/d/1p53T2AuvvIqhP7Nf-bo3Uhj8cbKYRPpZdsrBv3x3bAQ/edit?resourcekey#gid=1321652304"",""Prop!$CB$1:$CL""),11,0),iferror(vlookup(B16,importrange(""https://docs.google.com/spreadsheets/d/1p53T2AuvvIqhP7Nf-bo3Uhj8cbKYRPpZdsrBv"&amp;"3x3bAQ/edit?resourcekey#gid=1321652304"",""Prop!$CM$1:$CX""),12,0),iferror(vlookup(B16,importrange(""https://docs.google.com/spreadsheets/d/1p53T2AuvvIqhP7Nf-bo3Uhj8cbKYRPpZdsrBv3x3bAQ/edit?resourcekey#gid=1321652304"",""Prop!$CY$1:$DI""),11,0)))))))))))"),"https://drive.google.com/open?id=1k_elAc6K7rT7viXrxEtdz1l4lvjfiiab")</f>
        <v>https://drive.google.com/open?id=1k_elAc6K7rT7viXrxEtdz1l4lvjfiiab</v>
      </c>
      <c r="R16" s="88" t="s">
        <v>1101</v>
      </c>
      <c r="S16" s="20" t="str">
        <f ca="1">IFERROR(__xludf.DUMMYFUNCTION("IFERROR(vlookup(B16,IMPORTRANGE(""https://docs.google.com/spreadsheets/d/1g_jfYYK_KeipEDNDUgqgrsxK94XiocfNQIcP-v1QVhI/edit?resourcekey#gid=233272945"",""Nilai!B:CT""),57,0),"" "")"),"Luaran tidak boleh ada publikasi seminar/jurnal, judul BAB 3 --&gt; METODE RISET, metode kurang menjelaskan apa yang  dilakukan, tabel 4.1 tulisan 75 dan 25 di samping belmawa dan perguruan tinggi dihapus, di samping perguruan tinggi ditulis in cash, nama di"&amp;" tabel 4.2 jangan disingkat, spasi daftar pustaka 1.15,  lampiran 2 gunakan sesuai peruntukan bila bahan habis ya untuk bahan habis bukan yang lain dst, beri tanda item mana yang menggunakan dana PT,  surat pernyataan belum ada materai")</f>
        <v>Luaran tidak boleh ada publikasi seminar/jurnal, judul BAB 3 --&gt; METODE RISET, metode kurang menjelaskan apa yang  dilakukan, tabel 4.1 tulisan 75 dan 25 di samping belmawa dan perguruan tinggi dihapus, di samping perguruan tinggi ditulis in cash, nama di tabel 4.2 jangan disingkat, spasi daftar pustaka 1.15,  lampiran 2 gunakan sesuai peruntukan bila bahan habis ya untuk bahan habis bukan yang lain dst, beri tanda item mana yang menggunakan dana PT,  surat pernyataan belum ada materai</v>
      </c>
      <c r="T16" s="20" t="str">
        <f ca="1">IFERROR(__xludf.DUMMYFUNCTION("IFERROR(vlookup(B16,IMPORTRANGE(""https://docs.google.com/spreadsheets/d/1g_jfYYK_KeipEDNDUgqgrsxK94XiocfNQIcP-v1QVhI/edit?resourcekey#gid=233272945"",""Nilai!B:CT""),97,0),"" "")"),"LAYAK UPLOAD KE SIMBELMAWA DENGAN REVISI")</f>
        <v>LAYAK UPLOAD KE SIMBELMAWA DENGAN REVISI</v>
      </c>
      <c r="U16" s="21" t="s">
        <v>660</v>
      </c>
      <c r="V16" s="85" t="s">
        <v>1102</v>
      </c>
      <c r="W16" s="17" t="s">
        <v>1110</v>
      </c>
      <c r="X16" s="53" t="b">
        <v>0</v>
      </c>
    </row>
    <row r="17" spans="1:27" ht="96.6">
      <c r="A17" s="15">
        <v>15</v>
      </c>
      <c r="B17" s="15">
        <f ca="1">IFERROR(__xludf.DUMMYFUNCTION("""COMPUTED_VALUE"""),3564)</f>
        <v>3564</v>
      </c>
      <c r="C17" s="16" t="str">
        <f ca="1">IFERROR(__xludf.DUMMYFUNCTION("""COMPUTED_VALUE"""),"FAJAR NURHARYADI DWIYONO")</f>
        <v>FAJAR NURHARYADI DWIYONO</v>
      </c>
      <c r="D17" s="16" t="str">
        <f ca="1">IFERROR(__xludf.DUMMYFUNCTION("""COMPUTED_VALUE"""),"01211940000039")</f>
        <v>01211940000039</v>
      </c>
      <c r="E17" s="16" t="str">
        <f ca="1">IFERROR(__xludf.DUMMYFUNCTION("""COMPUTED_VALUE"""),"Departemen Kimia")</f>
        <v>Departemen Kimia</v>
      </c>
      <c r="F17" s="16" t="str">
        <f ca="1">IFERROR(__xludf.DUMMYFUNCTION("""COMPUTED_VALUE"""),"Potensi pemanfaatan selulosa asetat dari limbah jerami yang termodifikasi UiO-66  sebagai membran ultrafiltrasi mikroplastik")</f>
        <v>Potensi pemanfaatan selulosa asetat dari limbah jerami yang termodifikasi UiO-66  sebagai membran ultrafiltrasi mikroplastik</v>
      </c>
      <c r="G17" s="16" t="str">
        <f ca="1">IFERROR(__xludf.DUMMYFUNCTION("""COMPUTED_VALUE"""),"Dr. Triyanda Gunawan, S.Si.")</f>
        <v>Dr. Triyanda Gunawan, S.Si.</v>
      </c>
      <c r="H17" s="16" t="str">
        <f ca="1">IFERROR(__xludf.DUMMYFUNCTION("""COMPUTED_VALUE"""),"Dr. Dhany Arifianto, S.T., M.Eng.")</f>
        <v>Dr. Dhany Arifianto, S.T., M.Eng.</v>
      </c>
      <c r="I17" s="16" t="str">
        <f ca="1">IFERROR(__xludf.DUMMYFUNCTION("""COMPUTED_VALUE"""),"Hamdan Dwi Rizqi, S.Si., M.Si.")</f>
        <v>Hamdan Dwi Rizqi, S.Si., M.Si.</v>
      </c>
      <c r="J17" s="16"/>
      <c r="K17" s="17" t="s">
        <v>1108</v>
      </c>
      <c r="L17" s="17" t="s">
        <v>1109</v>
      </c>
      <c r="M17" s="19" t="b">
        <v>0</v>
      </c>
      <c r="N17" s="19" t="b">
        <v>0</v>
      </c>
      <c r="O17" s="1" t="s">
        <v>1100</v>
      </c>
      <c r="P17" s="7" t="str">
        <f ca="1">IFERROR(__xludf.DUMMYFUNCTION("iferror(vlookup(B17,importrange(""https://docs.google.com/spreadsheets/d/1boHyJQ4e2FU0QG8MHwEi6qjX4hvZWVCHcFfXjq7bbMc/edit?resourcekey#gid=923248883"",""Prop!$C$1:$M""),11,0),IFERROR(vlookup(B17,importrange(""https://docs.google.com/spreadsheets/d/1boHyJQ"&amp;"4e2FU0QG8MHwEi6qjX4hvZWVCHcFfXjq7bbMc/edit?resourcekey#gid=923248883"",""Prop!$N$1:$X""),11,0),iferror(vlookup(B17,importrange(""https://docs.google.com/spreadsheets/d/1boHyJQ4e2FU0QG8MHwEi6qjX4hvZWVCHcFfXjq7bbMc/edit?resourcekey#gid=923248883"",""Prop!$Y"&amp;"$1:$AI""),11,0),iferror(vlookup(B17,importrange(""https://docs.google.com/spreadsheets/d/1boHyJQ4e2FU0QG8MHwEi6qjX4hvZWVCHcFfXjq7bbMc/edit?resourcekey#gid=923248883"",""Prop!$AJ$1:$AT""),11,0),iferror(vlookup(B17,importrange(""https://docs.google.com/spre"&amp;"adsheets/d/1boHyJQ4e2FU0QG8MHwEi6qjX4hvZWVCHcFfXjq7bbMc/edit?resourcekey#gid=923248883"",""Prop!$AU$1:$BE""),11,0),iferror(vlookup(B17,importrange(""https://docs.google.com/spreadsheets/d/1boHyJQ4e2FU0QG8MHwEi6qjX4hvZWVCHcFfXjq7bbMc/edit?resourcekey#gid=9"&amp;"23248883"",""Prop!$BF$1:$BP""),11,0),iferror(vlookup(B17,importrange(""https://docs.google.com/spreadsheets/d/1boHyJQ4e2FU0QG8MHwEi6qjX4hvZWVCHcFfXjq7bbMc/edit?resourcekey#gid=923248883"",""Prop!$BQ$1:$CA""),11,0),iferror(vlookup(B17,importrange(""https:/"&amp;"/docs.google.com/spreadsheets/d/1boHyJQ4e2FU0QG8MHwEi6qjX4hvZWVCHcFfXjq7bbMc/edit?resourcekey#gid=923248883"",""Prop!$CB$1:$CL""),11,0),iferror(vlookup(B17,importrange(""https://docs.google.com/spreadsheets/d/1boHyJQ4e2FU0QG8MHwEi6qjX4hvZWVCHcFfXjq7bbMc/e"&amp;"dit?resourcekey#gid=923248883"",""Prop!$CM$1:$CX""),12,0),iferror(vlookup(B17,importrange(""https://docs.google.com/spreadsheets/d/1boHyJQ4e2FU0QG8MHwEi6qjX4hvZWVCHcFfXjq7bbMc/edit?resourcekey#gid=923248883"",""Prop!$CV$1:$DI""),11,0)))))))))))"),"https://drive.google.com/open?id=1OsXLiAKrNhonRMHPXWAJNIpjz6rMhHmk")</f>
        <v>https://drive.google.com/open?id=1OsXLiAKrNhonRMHPXWAJNIpjz6rMhHmk</v>
      </c>
      <c r="Q17" s="7" t="str">
        <f ca="1">IFERROR(__xludf.DUMMYFUNCTION("iferror(vlookup(B17,importrange(""https://docs.google.com/spreadsheets/d/1p53T2AuvvIqhP7Nf-bo3Uhj8cbKYRPpZdsrBv3x3bAQ/edit?resourcekey#gid=1321652304"",""Prop!$C$1:$M""),11,0),IFERROR(vlookup(B17,importrange(""https://docs.google.com/spreadsheets/d/1p53T2"&amp;"AuvvIqhP7Nf-bo3Uhj8cbKYRPpZdsrBv3x3bAQ/edit?resourcekey#gid=1321652304"",""Prop!$N$1:$X""),11,0),iferror(vlookup(B17,importrange(""https://docs.google.com/spreadsheets/d/1p53T2AuvvIqhP7Nf-bo3Uhj8cbKYRPpZdsrBv3x3bAQ/edit?resourcekey#gid=1321652304"",""Prop"&amp;"!$Y$1:$AI""),11,0),iferror(vlookup(B17,importrange(""https://docs.google.com/spreadsheets/d/1p53T2AuvvIqhP7Nf-bo3Uhj8cbKYRPpZdsrBv3x3bAQ/edit?resourcekey#gid=1321652304"",""Prop!$AJ$1:$AT""),11,0),iferror(vlookup(B17,importrange(""https://docs.google.com/"&amp;"spreadsheets/d/1p53T2AuvvIqhP7Nf-bo3Uhj8cbKYRPpZdsrBv3x3bAQ/edit?resourcekey#gid=1321652304"",""Prop!$AU$1:$BE""),11,0),iferror(vlookup(B17,importrange(""https://docs.google.com/spreadsheets/d/1p53T2AuvvIqhP7Nf-bo3Uhj8cbKYRPpZdsrBv3x3bAQ/edit?resourcekey#"&amp;"gid=1321652304"",""Prop!$BF$1:$BP""),11,0),iferror(vlookup(B17,importrange(""https://docs.google.com/spreadsheets/d/1p53T2AuvvIqhP7Nf-bo3Uhj8cbKYRPpZdsrBv3x3bAQ/edit?resourcekey#gid=1321652304"",""Prop!$BQ$1:$CA""),11,0),iferror(vlookup(B17,importrange("""&amp;"https://docs.google.com/spreadsheets/d/1p53T2AuvvIqhP7Nf-bo3Uhj8cbKYRPpZdsrBv3x3bAQ/edit?resourcekey#gid=1321652304"",""Prop!$CB$1:$CL""),11,0),iferror(vlookup(B17,importrange(""https://docs.google.com/spreadsheets/d/1p53T2AuvvIqhP7Nf-bo3Uhj8cbKYRPpZdsrBv"&amp;"3x3bAQ/edit?resourcekey#gid=1321652304"",""Prop!$CM$1:$CX""),12,0),iferror(vlookup(B17,importrange(""https://docs.google.com/spreadsheets/d/1p53T2AuvvIqhP7Nf-bo3Uhj8cbKYRPpZdsrBv3x3bAQ/edit?resourcekey#gid=1321652304"",""Prop!$CY$1:$DI""),11,0)))))))))))"),"https://drive.google.com/open?id=18q97YTHidm4WVSVMUAkPpNw0cASb3Lrv")</f>
        <v>https://drive.google.com/open?id=18q97YTHidm4WVSVMUAkPpNw0cASb3Lrv</v>
      </c>
      <c r="R17" s="88" t="s">
        <v>1101</v>
      </c>
      <c r="S17" s="20" t="str">
        <f ca="1">IFERROR(__xludf.DUMMYFUNCTION("IFERROR(vlookup(B17,IMPORTRANGE(""https://docs.google.com/spreadsheets/d/1g_jfYYK_KeipEDNDUgqgrsxK94XiocfNQIcP-v1QVhI/edit?resourcekey#gid=233272945"",""Nilai!B:CT""),57,0),"" "")"),"daftar isi masih ada error not bookmarked, di bab 1 masih ada yang dikuning2, tambahkan subbab kontribusi riset, tabel 4.1 baris instansi lain ditambahkan dan di samping perguruan tinggi diberi tulisan in cash, daftar pustaka tanpa kurung di tahun, tabel "&amp;"riwayat pendidikan dosen diperbaiki, tanggal biodata dosen masih februari, tabel lampiran 2 belum sesuai pedoman, masih ada biaya publikasi jurnal, beri tanda item mana yang dibeli dengan dana PT, tanda tangan surat pernyataan belum ada materai ")</f>
        <v xml:space="preserve">daftar isi masih ada error not bookmarked, di bab 1 masih ada yang dikuning2, tambahkan subbab kontribusi riset, tabel 4.1 baris instansi lain ditambahkan dan di samping perguruan tinggi diberi tulisan in cash, daftar pustaka tanpa kurung di tahun, tabel riwayat pendidikan dosen diperbaiki, tanggal biodata dosen masih februari, tabel lampiran 2 belum sesuai pedoman, masih ada biaya publikasi jurnal, beri tanda item mana yang dibeli dengan dana PT, tanda tangan surat pernyataan belum ada materai </v>
      </c>
      <c r="T17" s="20" t="str">
        <f ca="1">IFERROR(__xludf.DUMMYFUNCTION("IFERROR(vlookup(B17,IMPORTRANGE(""https://docs.google.com/spreadsheets/d/1g_jfYYK_KeipEDNDUgqgrsxK94XiocfNQIcP-v1QVhI/edit?resourcekey#gid=233272945"",""Nilai!B:CT""),97,0),"" "")"),"LAYAK UPLOAD KE SIMBELMAWA DENGAN REVISI")</f>
        <v>LAYAK UPLOAD KE SIMBELMAWA DENGAN REVISI</v>
      </c>
      <c r="U17" s="21" t="s">
        <v>660</v>
      </c>
      <c r="V17" s="85" t="s">
        <v>1102</v>
      </c>
      <c r="W17" s="17" t="s">
        <v>1110</v>
      </c>
      <c r="X17" s="53" t="s">
        <v>949</v>
      </c>
    </row>
    <row r="18" spans="1:27" ht="69">
      <c r="A18" s="15">
        <v>16</v>
      </c>
      <c r="B18" s="15">
        <f ca="1">IFERROR(__xludf.DUMMYFUNCTION("""COMPUTED_VALUE"""),2696)</f>
        <v>2696</v>
      </c>
      <c r="C18" s="16" t="str">
        <f ca="1">IFERROR(__xludf.DUMMYFUNCTION("""COMPUTED_VALUE"""),"GALANG ADI SAPUTRO")</f>
        <v>GALANG ADI SAPUTRO</v>
      </c>
      <c r="D18" s="16" t="str">
        <f ca="1">IFERROR(__xludf.DUMMYFUNCTION("""COMPUTED_VALUE"""),"02111940000131")</f>
        <v>02111940000131</v>
      </c>
      <c r="E18" s="16" t="str">
        <f ca="1">IFERROR(__xludf.DUMMYFUNCTION("""COMPUTED_VALUE"""),"Departemen Teknik Mesin")</f>
        <v>Departemen Teknik Mesin</v>
      </c>
      <c r="F18" s="16" t="str">
        <f ca="1">IFERROR(__xludf.DUMMYFUNCTION("""COMPUTED_VALUE"""),"Optimasi Kinerja Turbin Angin Savonius Terintegrasi Gedung dengan Variasi Jarak Turbin Angin terhadap Dinding Gedung Melalui Studi Eksperimental")</f>
        <v>Optimasi Kinerja Turbin Angin Savonius Terintegrasi Gedung dengan Variasi Jarak Turbin Angin terhadap Dinding Gedung Melalui Studi Eksperimental</v>
      </c>
      <c r="G18" s="16" t="str">
        <f ca="1">IFERROR(__xludf.DUMMYFUNCTION("""COMPUTED_VALUE"""),"Prof. Dr. Ir. Tri Yogi Yuwono, DEA.")</f>
        <v>Prof. Dr. Ir. Tri Yogi Yuwono, DEA.</v>
      </c>
      <c r="H18" s="16" t="str">
        <f ca="1">IFERROR(__xludf.DUMMYFUNCTION("""COMPUTED_VALUE"""),"Dr.-Ing. Doty Dewi Risanti, S.T., M.T.")</f>
        <v>Dr.-Ing. Doty Dewi Risanti, S.T., M.T.</v>
      </c>
      <c r="I18" s="16" t="str">
        <f ca="1">IFERROR(__xludf.DUMMYFUNCTION("""COMPUTED_VALUE"""),"Dr. Candra Irawan, S.T., M.T.")</f>
        <v>Dr. Candra Irawan, S.T., M.T.</v>
      </c>
      <c r="J18" s="16"/>
      <c r="K18" s="17" t="s">
        <v>1108</v>
      </c>
      <c r="L18" s="17" t="s">
        <v>1109</v>
      </c>
      <c r="M18" s="19" t="b">
        <v>1</v>
      </c>
      <c r="N18" s="19" t="b">
        <v>1</v>
      </c>
      <c r="O18" s="1" t="s">
        <v>1100</v>
      </c>
      <c r="P18" s="1" t="str">
        <f ca="1">IFERROR(__xludf.DUMMYFUNCTION("iferror(vlookup(B18,importrange(""https://docs.google.com/spreadsheets/d/1boHyJQ4e2FU0QG8MHwEi6qjX4hvZWVCHcFfXjq7bbMc/edit?resourcekey#gid=923248883"",""Prop!$C$1:$M""),11,0),IFERROR(vlookup(B18,importrange(""https://docs.google.com/spreadsheets/d/1boHyJQ"&amp;"4e2FU0QG8MHwEi6qjX4hvZWVCHcFfXjq7bbMc/edit?resourcekey#gid=923248883"",""Prop!$N$1:$X""),11,0),iferror(vlookup(B18,importrange(""https://docs.google.com/spreadsheets/d/1boHyJQ4e2FU0QG8MHwEi6qjX4hvZWVCHcFfXjq7bbMc/edit?resourcekey#gid=923248883"",""Prop!$Y"&amp;"$1:$AI""),11,0),iferror(vlookup(B18,importrange(""https://docs.google.com/spreadsheets/d/1boHyJQ4e2FU0QG8MHwEi6qjX4hvZWVCHcFfXjq7bbMc/edit?resourcekey#gid=923248883"",""Prop!$AJ$1:$AT""),11,0),iferror(vlookup(B18,importrange(""https://docs.google.com/spre"&amp;"adsheets/d/1boHyJQ4e2FU0QG8MHwEi6qjX4hvZWVCHcFfXjq7bbMc/edit?resourcekey#gid=923248883"",""Prop!$AU$1:$BE""),11,0),iferror(vlookup(B18,importrange(""https://docs.google.com/spreadsheets/d/1boHyJQ4e2FU0QG8MHwEi6qjX4hvZWVCHcFfXjq7bbMc/edit?resourcekey#gid=9"&amp;"23248883"",""Prop!$BF$1:$BP""),11,0),iferror(vlookup(B18,importrange(""https://docs.google.com/spreadsheets/d/1boHyJQ4e2FU0QG8MHwEi6qjX4hvZWVCHcFfXjq7bbMc/edit?resourcekey#gid=923248883"",""Prop!$BQ$1:$CA""),11,0),iferror(vlookup(B18,importrange(""https:/"&amp;"/docs.google.com/spreadsheets/d/1boHyJQ4e2FU0QG8MHwEi6qjX4hvZWVCHcFfXjq7bbMc/edit?resourcekey#gid=923248883"",""Prop!$CB$1:$CL""),11,0),iferror(vlookup(B18,importrange(""https://docs.google.com/spreadsheets/d/1boHyJQ4e2FU0QG8MHwEi6qjX4hvZWVCHcFfXjq7bbMc/e"&amp;"dit?resourcekey#gid=923248883"",""Prop!$CM$1:$CX""),12,0),iferror(vlookup(B18,importrange(""https://docs.google.com/spreadsheets/d/1boHyJQ4e2FU0QG8MHwEi6qjX4hvZWVCHcFfXjq7bbMc/edit?resourcekey#gid=923248883"",""Prop!$CV$1:$DI""),11,0)))))))))))"),"")</f>
        <v/>
      </c>
      <c r="Q18" s="50" t="str">
        <f ca="1">IFERROR(__xludf.DUMMYFUNCTION("iferror(vlookup(B18,importrange(""https://docs.google.com/spreadsheets/d/1p53T2AuvvIqhP7Nf-bo3Uhj8cbKYRPpZdsrBv3x3bAQ/edit?resourcekey#gid=1321652304"",""Prop!$C$1:$M""),11,0),IFERROR(vlookup(B18,importrange(""https://docs.google.com/spreadsheets/d/1p53T2"&amp;"AuvvIqhP7Nf-bo3Uhj8cbKYRPpZdsrBv3x3bAQ/edit?resourcekey#gid=1321652304"",""Prop!$N$1:$X""),11,0),iferror(vlookup(B18,importrange(""https://docs.google.com/spreadsheets/d/1p53T2AuvvIqhP7Nf-bo3Uhj8cbKYRPpZdsrBv3x3bAQ/edit?resourcekey#gid=1321652304"",""Prop"&amp;"!$Y$1:$AI""),11,0),iferror(vlookup(B18,importrange(""https://docs.google.com/spreadsheets/d/1p53T2AuvvIqhP7Nf-bo3Uhj8cbKYRPpZdsrBv3x3bAQ/edit?resourcekey#gid=1321652304"",""Prop!$AJ$1:$AT""),11,0),iferror(vlookup(B18,importrange(""https://docs.google.com/"&amp;"spreadsheets/d/1p53T2AuvvIqhP7Nf-bo3Uhj8cbKYRPpZdsrBv3x3bAQ/edit?resourcekey#gid=1321652304"",""Prop!$AU$1:$BE""),11,0),iferror(vlookup(B18,importrange(""https://docs.google.com/spreadsheets/d/1p53T2AuvvIqhP7Nf-bo3Uhj8cbKYRPpZdsrBv3x3bAQ/edit?resourcekey#"&amp;"gid=1321652304"",""Prop!$BF$1:$BP""),11,0),iferror(vlookup(B18,importrange(""https://docs.google.com/spreadsheets/d/1p53T2AuvvIqhP7Nf-bo3Uhj8cbKYRPpZdsrBv3x3bAQ/edit?resourcekey#gid=1321652304"",""Prop!$BQ$1:$CA""),11,0),iferror(vlookup(B18,importrange("""&amp;"https://docs.google.com/spreadsheets/d/1p53T2AuvvIqhP7Nf-bo3Uhj8cbKYRPpZdsrBv3x3bAQ/edit?resourcekey#gid=1321652304"",""Prop!$CB$1:$CL""),11,0),iferror(vlookup(B18,importrange(""https://docs.google.com/spreadsheets/d/1p53T2AuvvIqhP7Nf-bo3Uhj8cbKYRPpZdsrBv"&amp;"3x3bAQ/edit?resourcekey#gid=1321652304"",""Prop!$CM$1:$CX""),12,0),iferror(vlookup(B18,importrange(""https://docs.google.com/spreadsheets/d/1p53T2AuvvIqhP7Nf-bo3Uhj8cbKYRPpZdsrBv3x3bAQ/edit?resourcekey#gid=1321652304"",""Prop!$CY$1:$DI""),11,0)))))))))))"),"https://drive.google.com/open?id=1L6ZwFDmwnxlr2HZJot2_cRuUtb3iL4ek")</f>
        <v>https://drive.google.com/open?id=1L6ZwFDmwnxlr2HZJot2_cRuUtb3iL4ek</v>
      </c>
      <c r="R18" s="88" t="s">
        <v>1101</v>
      </c>
      <c r="S18" s="20" t="str">
        <f ca="1">IFERROR(__xludf.DUMMYFUNCTION("IFERROR(vlookup(B18,IMPORTRANGE(""https://docs.google.com/spreadsheets/d/1g_jfYYK_KeipEDNDUgqgrsxK94XiocfNQIcP-v1QVhI/edit?resourcekey#gid=233272945"",""Nilai!B:CT""),57,0),"" "")"),"kreativitas hanya 1, tinjauan pustaka berupa definis seperti TA,RAB masih belum sesuai")</f>
        <v>kreativitas hanya 1, tinjauan pustaka berupa definis seperti TA,RAB masih belum sesuai</v>
      </c>
      <c r="T18" s="20" t="str">
        <f ca="1">IFERROR(__xludf.DUMMYFUNCTION("IFERROR(vlookup(B18,IMPORTRANGE(""https://docs.google.com/spreadsheets/d/1g_jfYYK_KeipEDNDUgqgrsxK94XiocfNQIcP-v1QVhI/edit?resourcekey#gid=233272945"",""Nilai!B:CT""),97,0),"" "")"),"LAYAK UPLOAD KE SIMBELMAWA DENGAN REVISI")</f>
        <v>LAYAK UPLOAD KE SIMBELMAWA DENGAN REVISI</v>
      </c>
      <c r="U18" s="21" t="s">
        <v>660</v>
      </c>
      <c r="V18" s="85" t="s">
        <v>1102</v>
      </c>
      <c r="W18" s="17" t="s">
        <v>1110</v>
      </c>
      <c r="X18" s="53" t="s">
        <v>949</v>
      </c>
    </row>
    <row r="19" spans="1:27" ht="69">
      <c r="A19" s="15">
        <v>17</v>
      </c>
      <c r="B19" s="15">
        <f ca="1">IFERROR(__xludf.DUMMYFUNCTION("""COMPUTED_VALUE"""),2762)</f>
        <v>2762</v>
      </c>
      <c r="C19" s="16" t="str">
        <f ca="1">IFERROR(__xludf.DUMMYFUNCTION("""COMPUTED_VALUE"""),"SARAZEN SHALAHUDDIN AKBAR")</f>
        <v>SARAZEN SHALAHUDDIN AKBAR</v>
      </c>
      <c r="D19" s="16" t="str">
        <f ca="1">IFERROR(__xludf.DUMMYFUNCTION("""COMPUTED_VALUE"""),"01211940000066")</f>
        <v>01211940000066</v>
      </c>
      <c r="E19" s="16" t="str">
        <f ca="1">IFERROR(__xludf.DUMMYFUNCTION("""COMPUTED_VALUE"""),"Departemen Kimia")</f>
        <v>Departemen Kimia</v>
      </c>
      <c r="F19" s="16" t="str">
        <f ca="1">IFERROR(__xludf.DUMMYFUNCTION("""COMPUTED_VALUE"""),"Fabrikasi dan Karakterisasi Mixed Matrix Membrane Antibakteri 6FDA-DAM Poliimida/ZIF-8 Terdoping TiZSM-5 untuk Separasi O2/N2 pada Produksi Oksigen Medis")</f>
        <v>Fabrikasi dan Karakterisasi Mixed Matrix Membrane Antibakteri 6FDA-DAM Poliimida/ZIF-8 Terdoping TiZSM-5 untuk Separasi O2/N2 pada Produksi Oksigen Medis</v>
      </c>
      <c r="G19" s="16" t="str">
        <f ca="1">IFERROR(__xludf.DUMMYFUNCTION("""COMPUTED_VALUE"""),"Dr. Triyanda Gunawan, S.Si.")</f>
        <v>Dr. Triyanda Gunawan, S.Si.</v>
      </c>
      <c r="H19" s="16" t="str">
        <f ca="1">IFERROR(__xludf.DUMMYFUNCTION("""COMPUTED_VALUE"""),"Dr.Eng. Siti Machmudah, S.T., M.Eng.")</f>
        <v>Dr.Eng. Siti Machmudah, S.T., M.Eng.</v>
      </c>
      <c r="I19" s="16" t="str">
        <f ca="1">IFERROR(__xludf.DUMMYFUNCTION("""COMPUTED_VALUE"""),"Dr. Candra Irawan, S.T., M.T.")</f>
        <v>Dr. Candra Irawan, S.T., M.T.</v>
      </c>
      <c r="J19" s="16"/>
      <c r="K19" s="17" t="s">
        <v>1108</v>
      </c>
      <c r="L19" s="17" t="s">
        <v>1111</v>
      </c>
      <c r="M19" s="19" t="b">
        <v>1</v>
      </c>
      <c r="N19" s="19" t="b">
        <v>1</v>
      </c>
      <c r="O19" s="1" t="s">
        <v>1104</v>
      </c>
      <c r="P19" s="7" t="str">
        <f ca="1">IFERROR(__xludf.DUMMYFUNCTION("iferror(vlookup(B19,importrange(""https://docs.google.com/spreadsheets/d/1boHyJQ4e2FU0QG8MHwEi6qjX4hvZWVCHcFfXjq7bbMc/edit?resourcekey#gid=923248883"",""Prop!$C$1:$M""),11,0),IFERROR(vlookup(B19,importrange(""https://docs.google.com/spreadsheets/d/1boHyJQ"&amp;"4e2FU0QG8MHwEi6qjX4hvZWVCHcFfXjq7bbMc/edit?resourcekey#gid=923248883"",""Prop!$N$1:$X""),11,0),iferror(vlookup(B19,importrange(""https://docs.google.com/spreadsheets/d/1boHyJQ4e2FU0QG8MHwEi6qjX4hvZWVCHcFfXjq7bbMc/edit?resourcekey#gid=923248883"",""Prop!$Y"&amp;"$1:$AI""),11,0),iferror(vlookup(B19,importrange(""https://docs.google.com/spreadsheets/d/1boHyJQ4e2FU0QG8MHwEi6qjX4hvZWVCHcFfXjq7bbMc/edit?resourcekey#gid=923248883"",""Prop!$AJ$1:$AT""),11,0),iferror(vlookup(B19,importrange(""https://docs.google.com/spre"&amp;"adsheets/d/1boHyJQ4e2FU0QG8MHwEi6qjX4hvZWVCHcFfXjq7bbMc/edit?resourcekey#gid=923248883"",""Prop!$AU$1:$BE""),11,0),iferror(vlookup(B19,importrange(""https://docs.google.com/spreadsheets/d/1boHyJQ4e2FU0QG8MHwEi6qjX4hvZWVCHcFfXjq7bbMc/edit?resourcekey#gid=9"&amp;"23248883"",""Prop!$BF$1:$BP""),11,0),iferror(vlookup(B19,importrange(""https://docs.google.com/spreadsheets/d/1boHyJQ4e2FU0QG8MHwEi6qjX4hvZWVCHcFfXjq7bbMc/edit?resourcekey#gid=923248883"",""Prop!$BQ$1:$CA""),11,0),iferror(vlookup(B19,importrange(""https:/"&amp;"/docs.google.com/spreadsheets/d/1boHyJQ4e2FU0QG8MHwEi6qjX4hvZWVCHcFfXjq7bbMc/edit?resourcekey#gid=923248883"",""Prop!$CB$1:$CL""),11,0),iferror(vlookup(B19,importrange(""https://docs.google.com/spreadsheets/d/1boHyJQ4e2FU0QG8MHwEi6qjX4hvZWVCHcFfXjq7bbMc/e"&amp;"dit?resourcekey#gid=923248883"",""Prop!$CM$1:$CX""),12,0),iferror(vlookup(B19,importrange(""https://docs.google.com/spreadsheets/d/1boHyJQ4e2FU0QG8MHwEi6qjX4hvZWVCHcFfXjq7bbMc/edit?resourcekey#gid=923248883"",""Prop!$CV$1:$DI""),11,0)))))))))))"),"https://drive.google.com/open?id=1zkj9F2SGyD6Y79qLaAJxxcjt15pc-WnJ")</f>
        <v>https://drive.google.com/open?id=1zkj9F2SGyD6Y79qLaAJxxcjt15pc-WnJ</v>
      </c>
      <c r="Q19" s="50" t="str">
        <f ca="1">IFERROR(__xludf.DUMMYFUNCTION("iferror(vlookup(B19,importrange(""https://docs.google.com/spreadsheets/d/1p53T2AuvvIqhP7Nf-bo3Uhj8cbKYRPpZdsrBv3x3bAQ/edit?resourcekey#gid=1321652304"",""Prop!$C$1:$M""),11,0),IFERROR(vlookup(B19,importrange(""https://docs.google.com/spreadsheets/d/1p53T2"&amp;"AuvvIqhP7Nf-bo3Uhj8cbKYRPpZdsrBv3x3bAQ/edit?resourcekey#gid=1321652304"",""Prop!$N$1:$X""),11,0),iferror(vlookup(B19,importrange(""https://docs.google.com/spreadsheets/d/1p53T2AuvvIqhP7Nf-bo3Uhj8cbKYRPpZdsrBv3x3bAQ/edit?resourcekey#gid=1321652304"",""Prop"&amp;"!$Y$1:$AI""),11,0),iferror(vlookup(B19,importrange(""https://docs.google.com/spreadsheets/d/1p53T2AuvvIqhP7Nf-bo3Uhj8cbKYRPpZdsrBv3x3bAQ/edit?resourcekey#gid=1321652304"",""Prop!$AJ$1:$AT""),11,0),iferror(vlookup(B19,importrange(""https://docs.google.com/"&amp;"spreadsheets/d/1p53T2AuvvIqhP7Nf-bo3Uhj8cbKYRPpZdsrBv3x3bAQ/edit?resourcekey#gid=1321652304"",""Prop!$AU$1:$BE""),11,0),iferror(vlookup(B19,importrange(""https://docs.google.com/spreadsheets/d/1p53T2AuvvIqhP7Nf-bo3Uhj8cbKYRPpZdsrBv3x3bAQ/edit?resourcekey#"&amp;"gid=1321652304"",""Prop!$BF$1:$BP""),11,0),iferror(vlookup(B19,importrange(""https://docs.google.com/spreadsheets/d/1p53T2AuvvIqhP7Nf-bo3Uhj8cbKYRPpZdsrBv3x3bAQ/edit?resourcekey#gid=1321652304"",""Prop!$BQ$1:$CA""),11,0),iferror(vlookup(B19,importrange("""&amp;"https://docs.google.com/spreadsheets/d/1p53T2AuvvIqhP7Nf-bo3Uhj8cbKYRPpZdsrBv3x3bAQ/edit?resourcekey#gid=1321652304"",""Prop!$CB$1:$CL""),11,0),iferror(vlookup(B19,importrange(""https://docs.google.com/spreadsheets/d/1p53T2AuvvIqhP7Nf-bo3Uhj8cbKYRPpZdsrBv"&amp;"3x3bAQ/edit?resourcekey#gid=1321652304"",""Prop!$CM$1:$CX""),12,0),iferror(vlookup(B19,importrange(""https://docs.google.com/spreadsheets/d/1p53T2AuvvIqhP7Nf-bo3Uhj8cbKYRPpZdsrBv3x3bAQ/edit?resourcekey#gid=1321652304"",""Prop!$CY$1:$DI""),11,0)))))))))))"),"https://drive.google.com/open?id=1sntqbpoJ22jid_g4DwSdO743svz6pQcd")</f>
        <v>https://drive.google.com/open?id=1sntqbpoJ22jid_g4DwSdO743svz6pQcd</v>
      </c>
      <c r="R19" s="88" t="s">
        <v>1101</v>
      </c>
      <c r="S19" s="20" t="str">
        <f ca="1">IFERROR(__xludf.DUMMYFUNCTION("IFERROR(vlookup(B19,IMPORTRANGE(""https://docs.google.com/spreadsheets/d/1g_jfYYK_KeipEDNDUgqgrsxK94XiocfNQIcP-v1QVhI/edit?resourcekey#gid=233272945"",""Nilai!B:CT""),57,0),"" "")"),"tambahkan kontribusi riset, tanggal pada biodata masih februari, tabel riwayat pendidikan dosen masih format lama, tabel lampiran justifikasi anggaran beri tanda item mana yang dibeli dengan dana PT , tanggal surat pernyataan masih februari")</f>
        <v>tambahkan kontribusi riset, tanggal pada biodata masih februari, tabel riwayat pendidikan dosen masih format lama, tabel lampiran justifikasi anggaran beri tanda item mana yang dibeli dengan dana PT , tanggal surat pernyataan masih februari</v>
      </c>
      <c r="T19" s="20" t="str">
        <f ca="1">IFERROR(__xludf.DUMMYFUNCTION("IFERROR(vlookup(B19,IMPORTRANGE(""https://docs.google.com/spreadsheets/d/1g_jfYYK_KeipEDNDUgqgrsxK94XiocfNQIcP-v1QVhI/edit?resourcekey#gid=233272945"",""Nilai!B:CT""),97,0),"" "")"),"LAYAK UPLOAD KE SIMBELMAWA DENGAN REVISI")</f>
        <v>LAYAK UPLOAD KE SIMBELMAWA DENGAN REVISI</v>
      </c>
      <c r="U19" s="21" t="s">
        <v>660</v>
      </c>
      <c r="V19" s="85" t="s">
        <v>1102</v>
      </c>
      <c r="W19" s="17" t="s">
        <v>1112</v>
      </c>
      <c r="X19" s="53" t="s">
        <v>949</v>
      </c>
    </row>
    <row r="20" spans="1:27" ht="43.2">
      <c r="A20" s="15">
        <v>18</v>
      </c>
      <c r="B20" s="15">
        <f ca="1">IFERROR(__xludf.DUMMYFUNCTION("""COMPUTED_VALUE"""),3999)</f>
        <v>3999</v>
      </c>
      <c r="C20" s="16" t="str">
        <f ca="1">IFERROR(__xludf.DUMMYFUNCTION("""COMPUTED_VALUE"""),"DIKA ERIKA VIVIANA")</f>
        <v>DIKA ERIKA VIVIANA</v>
      </c>
      <c r="D20" s="16" t="str">
        <f ca="1">IFERROR(__xludf.DUMMYFUNCTION("""COMPUTED_VALUE"""),"10411810000068")</f>
        <v>10411810000068</v>
      </c>
      <c r="E20" s="16" t="str">
        <f ca="1">IFERROR(__xludf.DUMMYFUNCTION("""COMPUTED_VALUE"""),"Departemen Teknik Kimia Industri")</f>
        <v>Departemen Teknik Kimia Industri</v>
      </c>
      <c r="F20" s="16" t="str">
        <f ca="1">IFERROR(__xludf.DUMMYFUNCTION("""COMPUTED_VALUE"""),"Variasi Bahan Pengendap pada Proses Purifikasi Enzim Bromelin dari Bonggol Nanas (Ananas Comosus L.")</f>
        <v>Variasi Bahan Pengendap pada Proses Purifikasi Enzim Bromelin dari Bonggol Nanas (Ananas Comosus L.</v>
      </c>
      <c r="G20" s="16" t="str">
        <f ca="1">IFERROR(__xludf.DUMMYFUNCTION("""COMPUTED_VALUE"""),"Warlinda Eka Triastuti, S.Si., M.T.")</f>
        <v>Warlinda Eka Triastuti, S.Si., M.T.</v>
      </c>
      <c r="H20" s="16" t="str">
        <f ca="1">IFERROR(__xludf.DUMMYFUNCTION("""COMPUTED_VALUE"""),"Dr. Awik Puji Dyah Nurhayati, S.Si., M.Si.")</f>
        <v>Dr. Awik Puji Dyah Nurhayati, S.Si., M.Si.</v>
      </c>
      <c r="I20" s="16" t="str">
        <f ca="1">IFERROR(__xludf.DUMMYFUNCTION("""COMPUTED_VALUE"""),"Iska Desmawati, S.Si., M.Si.")</f>
        <v>Iska Desmawati, S.Si., M.Si.</v>
      </c>
      <c r="J20" s="16"/>
      <c r="K20" s="17" t="s">
        <v>1108</v>
      </c>
      <c r="L20" s="17" t="s">
        <v>1111</v>
      </c>
      <c r="M20" s="19" t="b">
        <v>1</v>
      </c>
      <c r="N20" s="19" t="b">
        <v>1</v>
      </c>
      <c r="O20" s="1" t="s">
        <v>1113</v>
      </c>
      <c r="P20" s="7" t="str">
        <f ca="1">IFERROR(__xludf.DUMMYFUNCTION("iferror(vlookup(B20,importrange(""https://docs.google.com/spreadsheets/d/1boHyJQ4e2FU0QG8MHwEi6qjX4hvZWVCHcFfXjq7bbMc/edit?resourcekey#gid=923248883"",""Prop!$C$1:$M""),11,0),IFERROR(vlookup(B20,importrange(""https://docs.google.com/spreadsheets/d/1boHyJQ"&amp;"4e2FU0QG8MHwEi6qjX4hvZWVCHcFfXjq7bbMc/edit?resourcekey#gid=923248883"",""Prop!$N$1:$X""),11,0),iferror(vlookup(B20,importrange(""https://docs.google.com/spreadsheets/d/1boHyJQ4e2FU0QG8MHwEi6qjX4hvZWVCHcFfXjq7bbMc/edit?resourcekey#gid=923248883"",""Prop!$Y"&amp;"$1:$AI""),11,0),iferror(vlookup(B20,importrange(""https://docs.google.com/spreadsheets/d/1boHyJQ4e2FU0QG8MHwEi6qjX4hvZWVCHcFfXjq7bbMc/edit?resourcekey#gid=923248883"",""Prop!$AJ$1:$AT""),11,0),iferror(vlookup(B20,importrange(""https://docs.google.com/spre"&amp;"adsheets/d/1boHyJQ4e2FU0QG8MHwEi6qjX4hvZWVCHcFfXjq7bbMc/edit?resourcekey#gid=923248883"",""Prop!$AU$1:$BE""),11,0),iferror(vlookup(B20,importrange(""https://docs.google.com/spreadsheets/d/1boHyJQ4e2FU0QG8MHwEi6qjX4hvZWVCHcFfXjq7bbMc/edit?resourcekey#gid=9"&amp;"23248883"",""Prop!$BF$1:$BP""),11,0),iferror(vlookup(B20,importrange(""https://docs.google.com/spreadsheets/d/1boHyJQ4e2FU0QG8MHwEi6qjX4hvZWVCHcFfXjq7bbMc/edit?resourcekey#gid=923248883"",""Prop!$BQ$1:$CA""),11,0),iferror(vlookup(B20,importrange(""https:/"&amp;"/docs.google.com/spreadsheets/d/1boHyJQ4e2FU0QG8MHwEi6qjX4hvZWVCHcFfXjq7bbMc/edit?resourcekey#gid=923248883"",""Prop!$CB$1:$CL""),11,0),iferror(vlookup(B20,importrange(""https://docs.google.com/spreadsheets/d/1boHyJQ4e2FU0QG8MHwEi6qjX4hvZWVCHcFfXjq7bbMc/e"&amp;"dit?resourcekey#gid=923248883"",""Prop!$CM$1:$CX""),12,0),iferror(vlookup(B20,importrange(""https://docs.google.com/spreadsheets/d/1boHyJQ4e2FU0QG8MHwEi6qjX4hvZWVCHcFfXjq7bbMc/edit?resourcekey#gid=923248883"",""Prop!$CV$1:$DI""),11,0)))))))))))"),"https://drive.google.com/open?id=1adALJKGEYYEO3XFH7dBd6S2DwLO_5E6L")</f>
        <v>https://drive.google.com/open?id=1adALJKGEYYEO3XFH7dBd6S2DwLO_5E6L</v>
      </c>
      <c r="Q20" s="50" t="str">
        <f ca="1">IFERROR(__xludf.DUMMYFUNCTION("iferror(vlookup(B20,importrange(""https://docs.google.com/spreadsheets/d/1p53T2AuvvIqhP7Nf-bo3Uhj8cbKYRPpZdsrBv3x3bAQ/edit?resourcekey#gid=1321652304"",""Prop!$C$1:$M""),11,0),IFERROR(vlookup(B20,importrange(""https://docs.google.com/spreadsheets/d/1p53T2"&amp;"AuvvIqhP7Nf-bo3Uhj8cbKYRPpZdsrBv3x3bAQ/edit?resourcekey#gid=1321652304"",""Prop!$N$1:$X""),11,0),iferror(vlookup(B20,importrange(""https://docs.google.com/spreadsheets/d/1p53T2AuvvIqhP7Nf-bo3Uhj8cbKYRPpZdsrBv3x3bAQ/edit?resourcekey#gid=1321652304"",""Prop"&amp;"!$Y$1:$AI""),11,0),iferror(vlookup(B20,importrange(""https://docs.google.com/spreadsheets/d/1p53T2AuvvIqhP7Nf-bo3Uhj8cbKYRPpZdsrBv3x3bAQ/edit?resourcekey#gid=1321652304"",""Prop!$AJ$1:$AT""),11,0),iferror(vlookup(B20,importrange(""https://docs.google.com/"&amp;"spreadsheets/d/1p53T2AuvvIqhP7Nf-bo3Uhj8cbKYRPpZdsrBv3x3bAQ/edit?resourcekey#gid=1321652304"",""Prop!$AU$1:$BE""),11,0),iferror(vlookup(B20,importrange(""https://docs.google.com/spreadsheets/d/1p53T2AuvvIqhP7Nf-bo3Uhj8cbKYRPpZdsrBv3x3bAQ/edit?resourcekey#"&amp;"gid=1321652304"",""Prop!$BF$1:$BP""),11,0),iferror(vlookup(B20,importrange(""https://docs.google.com/spreadsheets/d/1p53T2AuvvIqhP7Nf-bo3Uhj8cbKYRPpZdsrBv3x3bAQ/edit?resourcekey#gid=1321652304"",""Prop!$BQ$1:$CA""),11,0),iferror(vlookup(B20,importrange("""&amp;"https://docs.google.com/spreadsheets/d/1p53T2AuvvIqhP7Nf-bo3Uhj8cbKYRPpZdsrBv3x3bAQ/edit?resourcekey#gid=1321652304"",""Prop!$CB$1:$CL""),11,0),iferror(vlookup(B20,importrange(""https://docs.google.com/spreadsheets/d/1p53T2AuvvIqhP7Nf-bo3Uhj8cbKYRPpZdsrBv"&amp;"3x3bAQ/edit?resourcekey#gid=1321652304"",""Prop!$CM$1:$CX""),12,0),iferror(vlookup(B20,importrange(""https://docs.google.com/spreadsheets/d/1p53T2AuvvIqhP7Nf-bo3Uhj8cbKYRPpZdsrBv3x3bAQ/edit?resourcekey#gid=1321652304"",""Prop!$CY$1:$DI""),11,0)))))))))))"),"https://drive.google.com/open?id=1wHS_Gg5-vHmDw_mRCvVWgMrQvwdI503Z")</f>
        <v>https://drive.google.com/open?id=1wHS_Gg5-vHmDw_mRCvVWgMrQvwdI503Z</v>
      </c>
      <c r="R20" s="88" t="s">
        <v>1101</v>
      </c>
      <c r="S20" s="20" t="str">
        <f ca="1">IFERROR(__xludf.DUMMYFUNCTION("IFERROR(vlookup(B20,IMPORTRANGE(""https://docs.google.com/spreadsheets/d/1g_jfYYK_KeipEDNDUgqgrsxK94XiocfNQIcP-v1QVhI/edit?resourcekey#gid=233272945"",""Nilai!B:CT""),57,0),"" "")"),"Luaran tidak perlu seminar/jurnal, kreativitas lemah hanya pada variasi, metode lemah, RAB formatnya masih kurang 1 baris (instansi lain), RAB di lampiran kacau")</f>
        <v>Luaran tidak perlu seminar/jurnal, kreativitas lemah hanya pada variasi, metode lemah, RAB formatnya masih kurang 1 baris (instansi lain), RAB di lampiran kacau</v>
      </c>
      <c r="T20" s="20" t="str">
        <f ca="1">IFERROR(__xludf.DUMMYFUNCTION("IFERROR(vlookup(B20,IMPORTRANGE(""https://docs.google.com/spreadsheets/d/1g_jfYYK_KeipEDNDUgqgrsxK94XiocfNQIcP-v1QVhI/edit?resourcekey#gid=233272945"",""Nilai!B:CT""),97,0),"" "")"),"TIDAK LAYAK UPLOAD KE SIMBELMAWA")</f>
        <v>TIDAK LAYAK UPLOAD KE SIMBELMAWA</v>
      </c>
      <c r="U20" s="21" t="s">
        <v>660</v>
      </c>
      <c r="V20" s="85" t="s">
        <v>1102</v>
      </c>
      <c r="W20" s="17" t="s">
        <v>1112</v>
      </c>
      <c r="X20" s="53" t="s">
        <v>949</v>
      </c>
    </row>
    <row r="21" spans="1:27" ht="69">
      <c r="A21" s="15">
        <v>19</v>
      </c>
      <c r="B21" s="15">
        <f ca="1">IFERROR(__xludf.DUMMYFUNCTION("""COMPUTED_VALUE"""),2459)</f>
        <v>2459</v>
      </c>
      <c r="C21" s="16" t="str">
        <f ca="1">IFERROR(__xludf.DUMMYFUNCTION("""COMPUTED_VALUE"""),"AGAM WIRANATA TRISNAKUSUMA")</f>
        <v>AGAM WIRANATA TRISNAKUSUMA</v>
      </c>
      <c r="D21" s="16" t="str">
        <f ca="1">IFERROR(__xludf.DUMMYFUNCTION("""COMPUTED_VALUE"""),"02111940000078")</f>
        <v>02111940000078</v>
      </c>
      <c r="E21" s="16" t="str">
        <f ca="1">IFERROR(__xludf.DUMMYFUNCTION("""COMPUTED_VALUE"""),"Departemen Teknik Mesin")</f>
        <v>Departemen Teknik Mesin</v>
      </c>
      <c r="F21" s="16" t="str">
        <f ca="1">IFERROR(__xludf.DUMMYFUNCTION("""COMPUTED_VALUE"""),"Optimasi Desain Connector Scooter Adjustable pada kursi roda dengan metode Topology Optimization dan Static Structural Guna Meningkatkan Mobilitas Tunadaksa")</f>
        <v>Optimasi Desain Connector Scooter Adjustable pada kursi roda dengan metode Topology Optimization dan Static Structural Guna Meningkatkan Mobilitas Tunadaksa</v>
      </c>
      <c r="G21" s="16" t="str">
        <f ca="1">IFERROR(__xludf.DUMMYFUNCTION("""COMPUTED_VALUE"""),"Alief Wikarta, ST., MSc.Eng. Ph.D")</f>
        <v>Alief Wikarta, ST., MSc.Eng. Ph.D</v>
      </c>
      <c r="H21" s="16" t="str">
        <f ca="1">IFERROR(__xludf.DUMMYFUNCTION("""COMPUTED_VALUE"""),"Ahmad Fauzan Adziimaa, S.T., M.Sc.")</f>
        <v>Ahmad Fauzan Adziimaa, S.T., M.Sc.</v>
      </c>
      <c r="I21" s="16" t="str">
        <f ca="1">IFERROR(__xludf.DUMMYFUNCTION("""COMPUTED_VALUE"""),"Tri Vicca Kusumadewi, S.T., M.Sc.")</f>
        <v>Tri Vicca Kusumadewi, S.T., M.Sc.</v>
      </c>
      <c r="J21" s="16"/>
      <c r="K21" s="17" t="s">
        <v>1108</v>
      </c>
      <c r="L21" s="17" t="s">
        <v>1111</v>
      </c>
      <c r="M21" s="19" t="b">
        <v>1</v>
      </c>
      <c r="N21" s="19" t="b">
        <v>1</v>
      </c>
      <c r="O21" s="1" t="s">
        <v>1113</v>
      </c>
      <c r="P21" s="7" t="str">
        <f ca="1">IFERROR(__xludf.DUMMYFUNCTION("iferror(vlookup(B21,importrange(""https://docs.google.com/spreadsheets/d/1boHyJQ4e2FU0QG8MHwEi6qjX4hvZWVCHcFfXjq7bbMc/edit?resourcekey#gid=923248883"",""Prop!$C$1:$M""),11,0),IFERROR(vlookup(B21,importrange(""https://docs.google.com/spreadsheets/d/1boHyJQ"&amp;"4e2FU0QG8MHwEi6qjX4hvZWVCHcFfXjq7bbMc/edit?resourcekey#gid=923248883"",""Prop!$N$1:$X""),11,0),iferror(vlookup(B21,importrange(""https://docs.google.com/spreadsheets/d/1boHyJQ4e2FU0QG8MHwEi6qjX4hvZWVCHcFfXjq7bbMc/edit?resourcekey#gid=923248883"",""Prop!$Y"&amp;"$1:$AI""),11,0),iferror(vlookup(B21,importrange(""https://docs.google.com/spreadsheets/d/1boHyJQ4e2FU0QG8MHwEi6qjX4hvZWVCHcFfXjq7bbMc/edit?resourcekey#gid=923248883"",""Prop!$AJ$1:$AT""),11,0),iferror(vlookup(B21,importrange(""https://docs.google.com/spre"&amp;"adsheets/d/1boHyJQ4e2FU0QG8MHwEi6qjX4hvZWVCHcFfXjq7bbMc/edit?resourcekey#gid=923248883"",""Prop!$AU$1:$BE""),11,0),iferror(vlookup(B21,importrange(""https://docs.google.com/spreadsheets/d/1boHyJQ4e2FU0QG8MHwEi6qjX4hvZWVCHcFfXjq7bbMc/edit?resourcekey#gid=9"&amp;"23248883"",""Prop!$BF$1:$BP""),11,0),iferror(vlookup(B21,importrange(""https://docs.google.com/spreadsheets/d/1boHyJQ4e2FU0QG8MHwEi6qjX4hvZWVCHcFfXjq7bbMc/edit?resourcekey#gid=923248883"",""Prop!$BQ$1:$CA""),11,0),iferror(vlookup(B21,importrange(""https:/"&amp;"/docs.google.com/spreadsheets/d/1boHyJQ4e2FU0QG8MHwEi6qjX4hvZWVCHcFfXjq7bbMc/edit?resourcekey#gid=923248883"",""Prop!$CB$1:$CL""),11,0),iferror(vlookup(B21,importrange(""https://docs.google.com/spreadsheets/d/1boHyJQ4e2FU0QG8MHwEi6qjX4hvZWVCHcFfXjq7bbMc/e"&amp;"dit?resourcekey#gid=923248883"",""Prop!$CM$1:$CX""),12,0),iferror(vlookup(B21,importrange(""https://docs.google.com/spreadsheets/d/1boHyJQ4e2FU0QG8MHwEi6qjX4hvZWVCHcFfXjq7bbMc/edit?resourcekey#gid=923248883"",""Prop!$CV$1:$DI""),11,0)))))))))))"),"https://drive.google.com/open?id=1HMJeGfcuA-JLOhyxOhkkste4S3xn9pVX")</f>
        <v>https://drive.google.com/open?id=1HMJeGfcuA-JLOhyxOhkkste4S3xn9pVX</v>
      </c>
      <c r="Q21" s="50" t="str">
        <f ca="1">IFERROR(__xludf.DUMMYFUNCTION("iferror(vlookup(B21,importrange(""https://docs.google.com/spreadsheets/d/1p53T2AuvvIqhP7Nf-bo3Uhj8cbKYRPpZdsrBv3x3bAQ/edit?resourcekey#gid=1321652304"",""Prop!$C$1:$M""),11,0),IFERROR(vlookup(B21,importrange(""https://docs.google.com/spreadsheets/d/1p53T2"&amp;"AuvvIqhP7Nf-bo3Uhj8cbKYRPpZdsrBv3x3bAQ/edit?resourcekey#gid=1321652304"",""Prop!$N$1:$X""),11,0),iferror(vlookup(B21,importrange(""https://docs.google.com/spreadsheets/d/1p53T2AuvvIqhP7Nf-bo3Uhj8cbKYRPpZdsrBv3x3bAQ/edit?resourcekey#gid=1321652304"",""Prop"&amp;"!$Y$1:$AI""),11,0),iferror(vlookup(B21,importrange(""https://docs.google.com/spreadsheets/d/1p53T2AuvvIqhP7Nf-bo3Uhj8cbKYRPpZdsrBv3x3bAQ/edit?resourcekey#gid=1321652304"",""Prop!$AJ$1:$AT""),11,0),iferror(vlookup(B21,importrange(""https://docs.google.com/"&amp;"spreadsheets/d/1p53T2AuvvIqhP7Nf-bo3Uhj8cbKYRPpZdsrBv3x3bAQ/edit?resourcekey#gid=1321652304"",""Prop!$AU$1:$BE""),11,0),iferror(vlookup(B21,importrange(""https://docs.google.com/spreadsheets/d/1p53T2AuvvIqhP7Nf-bo3Uhj8cbKYRPpZdsrBv3x3bAQ/edit?resourcekey#"&amp;"gid=1321652304"",""Prop!$BF$1:$BP""),11,0),iferror(vlookup(B21,importrange(""https://docs.google.com/spreadsheets/d/1p53T2AuvvIqhP7Nf-bo3Uhj8cbKYRPpZdsrBv3x3bAQ/edit?resourcekey#gid=1321652304"",""Prop!$BQ$1:$CA""),11,0),iferror(vlookup(B21,importrange("""&amp;"https://docs.google.com/spreadsheets/d/1p53T2AuvvIqhP7Nf-bo3Uhj8cbKYRPpZdsrBv3x3bAQ/edit?resourcekey#gid=1321652304"",""Prop!$CB$1:$CL""),11,0),iferror(vlookup(B21,importrange(""https://docs.google.com/spreadsheets/d/1p53T2AuvvIqhP7Nf-bo3Uhj8cbKYRPpZdsrBv"&amp;"3x3bAQ/edit?resourcekey#gid=1321652304"",""Prop!$CM$1:$CX""),12,0),iferror(vlookup(B21,importrange(""https://docs.google.com/spreadsheets/d/1p53T2AuvvIqhP7Nf-bo3Uhj8cbKYRPpZdsrBv3x3bAQ/edit?resourcekey#gid=1321652304"",""Prop!$CY$1:$DI""),11,0)))))))))))"),"https://drive.google.com/open?id=1cReLb-7Gv59SdQkL8bR5qvp_Kz2HGUme")</f>
        <v>https://drive.google.com/open?id=1cReLb-7Gv59SdQkL8bR5qvp_Kz2HGUme</v>
      </c>
      <c r="R21" s="88" t="s">
        <v>1101</v>
      </c>
      <c r="S21" s="20" t="str">
        <f ca="1">IFERROR(__xludf.DUMMYFUNCTION("IFERROR(vlookup(B21,IMPORTRANGE(""https://docs.google.com/spreadsheets/d/1g_jfYYK_KeipEDNDUgqgrsxK94XiocfNQIcP-v1QVhI/edit?resourcekey#gid=233272945"",""Nilai!B:CT""),57,0),"" "")"),"")</f>
        <v/>
      </c>
      <c r="T21" s="20" t="str">
        <f ca="1">IFERROR(__xludf.DUMMYFUNCTION("IFERROR(vlookup(B21,IMPORTRANGE(""https://docs.google.com/spreadsheets/d/1g_jfYYK_KeipEDNDUgqgrsxK94XiocfNQIcP-v1QVhI/edit?resourcekey#gid=233272945"",""Nilai!B:CT""),97,0),"" "")"),"LAYAK UPLOAD KE SIMBELMAWA DENGAN REVISI")</f>
        <v>LAYAK UPLOAD KE SIMBELMAWA DENGAN REVISI</v>
      </c>
      <c r="U21" s="21" t="s">
        <v>660</v>
      </c>
      <c r="V21" s="85" t="s">
        <v>1102</v>
      </c>
      <c r="W21" s="17" t="s">
        <v>1112</v>
      </c>
      <c r="X21" s="53" t="b">
        <v>0</v>
      </c>
      <c r="AA21" s="88"/>
    </row>
    <row r="22" spans="1:27" ht="69">
      <c r="A22" s="15">
        <v>20</v>
      </c>
      <c r="B22" s="15">
        <f ca="1">IFERROR(__xludf.DUMMYFUNCTION("""COMPUTED_VALUE"""),2710)</f>
        <v>2710</v>
      </c>
      <c r="C22" s="16" t="str">
        <f ca="1">IFERROR(__xludf.DUMMYFUNCTION("""COMPUTED_VALUE"""),"MOHAMMAD FISAL ALY AKBAR")</f>
        <v>MOHAMMAD FISAL ALY AKBAR</v>
      </c>
      <c r="D22" s="16" t="str">
        <f ca="1">IFERROR(__xludf.DUMMYFUNCTION("""COMPUTED_VALUE"""),"06111940000057")</f>
        <v>06111940000057</v>
      </c>
      <c r="E22" s="16" t="str">
        <f ca="1">IFERROR(__xludf.DUMMYFUNCTION("""COMPUTED_VALUE"""),"Departemen Matematika")</f>
        <v>Departemen Matematika</v>
      </c>
      <c r="F22" s="16" t="str">
        <f ca="1">IFERROR(__xludf.DUMMYFUNCTION("""COMPUTED_VALUE"""),"PENERAPAN GENETIC ALGORITHM DAN ENSEMBLE LEARNING VOTING UNTUK MENDETEKSI PENYAKIT PARU-PARU MANUSIA MENGGUNAKAN CITRA CHEST X-RAY")</f>
        <v>PENERAPAN GENETIC ALGORITHM DAN ENSEMBLE LEARNING VOTING UNTUK MENDETEKSI PENYAKIT PARU-PARU MANUSIA MENGGUNAKAN CITRA CHEST X-RAY</v>
      </c>
      <c r="G22" s="16" t="str">
        <f ca="1">IFERROR(__xludf.DUMMYFUNCTION("""COMPUTED_VALUE"""),"Dr. Dwi Ratna Sulistyaningrum, S.Si., M.T.")</f>
        <v>Dr. Dwi Ratna Sulistyaningrum, S.Si., M.T.</v>
      </c>
      <c r="H22" s="16" t="str">
        <f ca="1">IFERROR(__xludf.DUMMYFUNCTION("""COMPUTED_VALUE"""),"Dr.Eng. Siti Machmudah, S.T., M.Eng.")</f>
        <v>Dr.Eng. Siti Machmudah, S.T., M.Eng.</v>
      </c>
      <c r="I22" s="16" t="str">
        <f ca="1">IFERROR(__xludf.DUMMYFUNCTION("""COMPUTED_VALUE"""),"Dr. Candra Irawan, S.T., M.T.")</f>
        <v>Dr. Candra Irawan, S.T., M.T.</v>
      </c>
      <c r="J22" s="16"/>
      <c r="K22" s="17" t="s">
        <v>1108</v>
      </c>
      <c r="L22" s="17" t="s">
        <v>1111</v>
      </c>
      <c r="M22" s="19" t="b">
        <v>0</v>
      </c>
      <c r="N22" s="19" t="b">
        <v>0</v>
      </c>
      <c r="O22" s="1" t="s">
        <v>1113</v>
      </c>
      <c r="P22" s="7" t="str">
        <f ca="1">IFERROR(__xludf.DUMMYFUNCTION("iferror(vlookup(B22,importrange(""https://docs.google.com/spreadsheets/d/1boHyJQ4e2FU0QG8MHwEi6qjX4hvZWVCHcFfXjq7bbMc/edit?resourcekey#gid=923248883"",""Prop!$C$1:$M""),11,0),IFERROR(vlookup(B22,importrange(""https://docs.google.com/spreadsheets/d/1boHyJQ"&amp;"4e2FU0QG8MHwEi6qjX4hvZWVCHcFfXjq7bbMc/edit?resourcekey#gid=923248883"",""Prop!$N$1:$X""),11,0),iferror(vlookup(B22,importrange(""https://docs.google.com/spreadsheets/d/1boHyJQ4e2FU0QG8MHwEi6qjX4hvZWVCHcFfXjq7bbMc/edit?resourcekey#gid=923248883"",""Prop!$Y"&amp;"$1:$AI""),11,0),iferror(vlookup(B22,importrange(""https://docs.google.com/spreadsheets/d/1boHyJQ4e2FU0QG8MHwEi6qjX4hvZWVCHcFfXjq7bbMc/edit?resourcekey#gid=923248883"",""Prop!$AJ$1:$AT""),11,0),iferror(vlookup(B22,importrange(""https://docs.google.com/spre"&amp;"adsheets/d/1boHyJQ4e2FU0QG8MHwEi6qjX4hvZWVCHcFfXjq7bbMc/edit?resourcekey#gid=923248883"",""Prop!$AU$1:$BE""),11,0),iferror(vlookup(B22,importrange(""https://docs.google.com/spreadsheets/d/1boHyJQ4e2FU0QG8MHwEi6qjX4hvZWVCHcFfXjq7bbMc/edit?resourcekey#gid=9"&amp;"23248883"",""Prop!$BF$1:$BP""),11,0),iferror(vlookup(B22,importrange(""https://docs.google.com/spreadsheets/d/1boHyJQ4e2FU0QG8MHwEi6qjX4hvZWVCHcFfXjq7bbMc/edit?resourcekey#gid=923248883"",""Prop!$BQ$1:$CA""),11,0),iferror(vlookup(B22,importrange(""https:/"&amp;"/docs.google.com/spreadsheets/d/1boHyJQ4e2FU0QG8MHwEi6qjX4hvZWVCHcFfXjq7bbMc/edit?resourcekey#gid=923248883"",""Prop!$CB$1:$CL""),11,0),iferror(vlookup(B22,importrange(""https://docs.google.com/spreadsheets/d/1boHyJQ4e2FU0QG8MHwEi6qjX4hvZWVCHcFfXjq7bbMc/e"&amp;"dit?resourcekey#gid=923248883"",""Prop!$CM$1:$CX""),12,0),iferror(vlookup(B22,importrange(""https://docs.google.com/spreadsheets/d/1boHyJQ4e2FU0QG8MHwEi6qjX4hvZWVCHcFfXjq7bbMc/edit?resourcekey#gid=923248883"",""Prop!$CV$1:$DI""),11,0)))))))))))"),"https://drive.google.com/open?id=1n9vc6_Ost8T4QYRWe62WJPhMmoKhcwrl")</f>
        <v>https://drive.google.com/open?id=1n9vc6_Ost8T4QYRWe62WJPhMmoKhcwrl</v>
      </c>
      <c r="Q22" s="50" t="str">
        <f ca="1">IFERROR(__xludf.DUMMYFUNCTION("iferror(vlookup(B22,importrange(""https://docs.google.com/spreadsheets/d/1p53T2AuvvIqhP7Nf-bo3Uhj8cbKYRPpZdsrBv3x3bAQ/edit?resourcekey#gid=1321652304"",""Prop!$C$1:$M""),11,0),IFERROR(vlookup(B22,importrange(""https://docs.google.com/spreadsheets/d/1p53T2"&amp;"AuvvIqhP7Nf-bo3Uhj8cbKYRPpZdsrBv3x3bAQ/edit?resourcekey#gid=1321652304"",""Prop!$N$1:$X""),11,0),iferror(vlookup(B22,importrange(""https://docs.google.com/spreadsheets/d/1p53T2AuvvIqhP7Nf-bo3Uhj8cbKYRPpZdsrBv3x3bAQ/edit?resourcekey#gid=1321652304"",""Prop"&amp;"!$Y$1:$AI""),11,0),iferror(vlookup(B22,importrange(""https://docs.google.com/spreadsheets/d/1p53T2AuvvIqhP7Nf-bo3Uhj8cbKYRPpZdsrBv3x3bAQ/edit?resourcekey#gid=1321652304"",""Prop!$AJ$1:$AT""),11,0),iferror(vlookup(B22,importrange(""https://docs.google.com/"&amp;"spreadsheets/d/1p53T2AuvvIqhP7Nf-bo3Uhj8cbKYRPpZdsrBv3x3bAQ/edit?resourcekey#gid=1321652304"",""Prop!$AU$1:$BE""),11,0),iferror(vlookup(B22,importrange(""https://docs.google.com/spreadsheets/d/1p53T2AuvvIqhP7Nf-bo3Uhj8cbKYRPpZdsrBv3x3bAQ/edit?resourcekey#"&amp;"gid=1321652304"",""Prop!$BF$1:$BP""),11,0),iferror(vlookup(B22,importrange(""https://docs.google.com/spreadsheets/d/1p53T2AuvvIqhP7Nf-bo3Uhj8cbKYRPpZdsrBv3x3bAQ/edit?resourcekey#gid=1321652304"",""Prop!$BQ$1:$CA""),11,0),iferror(vlookup(B22,importrange("""&amp;"https://docs.google.com/spreadsheets/d/1p53T2AuvvIqhP7Nf-bo3Uhj8cbKYRPpZdsrBv3x3bAQ/edit?resourcekey#gid=1321652304"",""Prop!$CB$1:$CL""),11,0),iferror(vlookup(B22,importrange(""https://docs.google.com/spreadsheets/d/1p53T2AuvvIqhP7Nf-bo3Uhj8cbKYRPpZdsrBv"&amp;"3x3bAQ/edit?resourcekey#gid=1321652304"",""Prop!$CM$1:$CX""),12,0),iferror(vlookup(B22,importrange(""https://docs.google.com/spreadsheets/d/1p53T2AuvvIqhP7Nf-bo3Uhj8cbKYRPpZdsrBv3x3bAQ/edit?resourcekey#gid=1321652304"",""Prop!$CY$1:$DI""),11,0)))))))))))"),"https://drive.google.com/open?id=1qkU40pWLVR4iX_WZ0JjaGZXJajOUXHWP")</f>
        <v>https://drive.google.com/open?id=1qkU40pWLVR4iX_WZ0JjaGZXJajOUXHWP</v>
      </c>
      <c r="R22" s="88" t="s">
        <v>1101</v>
      </c>
      <c r="S22" s="20" t="str">
        <f ca="1">IFERROR(__xludf.DUMMYFUNCTION("IFERROR(vlookup(B22,IMPORTRANGE(""https://docs.google.com/spreadsheets/d/1g_jfYYK_KeipEDNDUgqgrsxK94XiocfNQIcP-v1QVhI/edit?resourcekey#gid=233272945"",""Nilai!B:CT""),57,0),"" "")"),"sesuai hasil bikom 4")</f>
        <v>sesuai hasil bikom 4</v>
      </c>
      <c r="T22" s="20" t="str">
        <f ca="1">IFERROR(__xludf.DUMMYFUNCTION("IFERROR(vlookup(B22,IMPORTRANGE(""https://docs.google.com/spreadsheets/d/1g_jfYYK_KeipEDNDUgqgrsxK94XiocfNQIcP-v1QVhI/edit?resourcekey#gid=233272945"",""Nilai!B:CT""),97,0),"" "")"),"LAYAK UPLOAD KE SIMBELMAWA DENGAN REVISI")</f>
        <v>LAYAK UPLOAD KE SIMBELMAWA DENGAN REVISI</v>
      </c>
      <c r="U22" s="21" t="s">
        <v>660</v>
      </c>
      <c r="V22" s="85" t="s">
        <v>1102</v>
      </c>
      <c r="W22" s="17" t="s">
        <v>1112</v>
      </c>
      <c r="X22" s="53" t="b">
        <v>0</v>
      </c>
    </row>
    <row r="23" spans="1:27" ht="69">
      <c r="A23" s="15">
        <v>21</v>
      </c>
      <c r="B23" s="15">
        <f ca="1">IFERROR(__xludf.DUMMYFUNCTION("""COMPUTED_VALUE"""),3989)</f>
        <v>3989</v>
      </c>
      <c r="C23" s="16" t="str">
        <f ca="1">IFERROR(__xludf.DUMMYFUNCTION("""COMPUTED_VALUE"""),"ABIYYU NAUFAL R.")</f>
        <v>ABIYYU NAUFAL R.</v>
      </c>
      <c r="D23" s="16" t="str">
        <f ca="1">IFERROR(__xludf.DUMMYFUNCTION("""COMPUTED_VALUE"""),"5009201142")</f>
        <v>5009201142</v>
      </c>
      <c r="E23" s="16" t="str">
        <f ca="1">IFERROR(__xludf.DUMMYFUNCTION("""COMPUTED_VALUE"""),"Departemen Teknik Fisika")</f>
        <v>Departemen Teknik Fisika</v>
      </c>
      <c r="F23" s="16" t="str">
        <f ca="1">IFERROR(__xludf.DUMMYFUNCTION("""COMPUTED_VALUE"""),"Pemodelan Jaringan Saraf Tiruan Multilayer Perceptron untuk Deteksi Dini Preeklampsia pada Ibu Hamil")</f>
        <v>Pemodelan Jaringan Saraf Tiruan Multilayer Perceptron untuk Deteksi Dini Preeklampsia pada Ibu Hamil</v>
      </c>
      <c r="G23" s="16" t="str">
        <f ca="1">IFERROR(__xludf.DUMMYFUNCTION("""COMPUTED_VALUE"""),"Dr. Dhany Arifianto, S.T., M.Eng.")</f>
        <v>Dr. Dhany Arifianto, S.T., M.Eng.</v>
      </c>
      <c r="H23" s="16" t="str">
        <f ca="1">IFERROR(__xludf.DUMMYFUNCTION("""COMPUTED_VALUE"""),"Dr. Awik Puji Dyah Nurhayati, S.Si., M.Si.")</f>
        <v>Dr. Awik Puji Dyah Nurhayati, S.Si., M.Si.</v>
      </c>
      <c r="I23" s="16" t="str">
        <f ca="1">IFERROR(__xludf.DUMMYFUNCTION("""COMPUTED_VALUE"""),"Iska Desmawati, S.Si., M.Si.")</f>
        <v>Iska Desmawati, S.Si., M.Si.</v>
      </c>
      <c r="J23" s="16"/>
      <c r="K23" s="17" t="s">
        <v>1114</v>
      </c>
      <c r="L23" s="17" t="s">
        <v>1111</v>
      </c>
      <c r="M23" s="19" t="b">
        <v>1</v>
      </c>
      <c r="N23" s="19" t="b">
        <v>1</v>
      </c>
      <c r="O23" s="1" t="s">
        <v>1113</v>
      </c>
      <c r="P23" s="7" t="str">
        <f ca="1">IFERROR(__xludf.DUMMYFUNCTION("iferror(vlookup(B23,importrange(""https://docs.google.com/spreadsheets/d/1boHyJQ4e2FU0QG8MHwEi6qjX4hvZWVCHcFfXjq7bbMc/edit?resourcekey#gid=923248883"",""Prop!$C$1:$M""),11,0),IFERROR(vlookup(B23,importrange(""https://docs.google.com/spreadsheets/d/1boHyJQ"&amp;"4e2FU0QG8MHwEi6qjX4hvZWVCHcFfXjq7bbMc/edit?resourcekey#gid=923248883"",""Prop!$N$1:$X""),11,0),iferror(vlookup(B23,importrange(""https://docs.google.com/spreadsheets/d/1boHyJQ4e2FU0QG8MHwEi6qjX4hvZWVCHcFfXjq7bbMc/edit?resourcekey#gid=923248883"",""Prop!$Y"&amp;"$1:$AI""),11,0),iferror(vlookup(B23,importrange(""https://docs.google.com/spreadsheets/d/1boHyJQ4e2FU0QG8MHwEi6qjX4hvZWVCHcFfXjq7bbMc/edit?resourcekey#gid=923248883"",""Prop!$AJ$1:$AT""),11,0),iferror(vlookup(B23,importrange(""https://docs.google.com/spre"&amp;"adsheets/d/1boHyJQ4e2FU0QG8MHwEi6qjX4hvZWVCHcFfXjq7bbMc/edit?resourcekey#gid=923248883"",""Prop!$AU$1:$BE""),11,0),iferror(vlookup(B23,importrange(""https://docs.google.com/spreadsheets/d/1boHyJQ4e2FU0QG8MHwEi6qjX4hvZWVCHcFfXjq7bbMc/edit?resourcekey#gid=9"&amp;"23248883"",""Prop!$BF$1:$BP""),11,0),iferror(vlookup(B23,importrange(""https://docs.google.com/spreadsheets/d/1boHyJQ4e2FU0QG8MHwEi6qjX4hvZWVCHcFfXjq7bbMc/edit?resourcekey#gid=923248883"",""Prop!$BQ$1:$CA""),11,0),iferror(vlookup(B23,importrange(""https:/"&amp;"/docs.google.com/spreadsheets/d/1boHyJQ4e2FU0QG8MHwEi6qjX4hvZWVCHcFfXjq7bbMc/edit?resourcekey#gid=923248883"",""Prop!$CB$1:$CL""),11,0),iferror(vlookup(B23,importrange(""https://docs.google.com/spreadsheets/d/1boHyJQ4e2FU0QG8MHwEi6qjX4hvZWVCHcFfXjq7bbMc/e"&amp;"dit?resourcekey#gid=923248883"",""Prop!$CM$1:$CX""),12,0),iferror(vlookup(B23,importrange(""https://docs.google.com/spreadsheets/d/1boHyJQ4e2FU0QG8MHwEi6qjX4hvZWVCHcFfXjq7bbMc/edit?resourcekey#gid=923248883"",""Prop!$CV$1:$DI""),11,0)))))))))))"),"https://drive.google.com/open?id=1qGDtAsBsBJg-yeiHKwQyYVyLC3AnHZPJ")</f>
        <v>https://drive.google.com/open?id=1qGDtAsBsBJg-yeiHKwQyYVyLC3AnHZPJ</v>
      </c>
      <c r="Q23" s="50" t="str">
        <f ca="1">IFERROR(__xludf.DUMMYFUNCTION("iferror(vlookup(B23,importrange(""https://docs.google.com/spreadsheets/d/1p53T2AuvvIqhP7Nf-bo3Uhj8cbKYRPpZdsrBv3x3bAQ/edit?resourcekey#gid=1321652304"",""Prop!$C$1:$M""),11,0),IFERROR(vlookup(B23,importrange(""https://docs.google.com/spreadsheets/d/1p53T2"&amp;"AuvvIqhP7Nf-bo3Uhj8cbKYRPpZdsrBv3x3bAQ/edit?resourcekey#gid=1321652304"",""Prop!$N$1:$X""),11,0),iferror(vlookup(B23,importrange(""https://docs.google.com/spreadsheets/d/1p53T2AuvvIqhP7Nf-bo3Uhj8cbKYRPpZdsrBv3x3bAQ/edit?resourcekey#gid=1321652304"",""Prop"&amp;"!$Y$1:$AI""),11,0),iferror(vlookup(B23,importrange(""https://docs.google.com/spreadsheets/d/1p53T2AuvvIqhP7Nf-bo3Uhj8cbKYRPpZdsrBv3x3bAQ/edit?resourcekey#gid=1321652304"",""Prop!$AJ$1:$AT""),11,0),iferror(vlookup(B23,importrange(""https://docs.google.com/"&amp;"spreadsheets/d/1p53T2AuvvIqhP7Nf-bo3Uhj8cbKYRPpZdsrBv3x3bAQ/edit?resourcekey#gid=1321652304"",""Prop!$AU$1:$BE""),11,0),iferror(vlookup(B23,importrange(""https://docs.google.com/spreadsheets/d/1p53T2AuvvIqhP7Nf-bo3Uhj8cbKYRPpZdsrBv3x3bAQ/edit?resourcekey#"&amp;"gid=1321652304"",""Prop!$BF$1:$BP""),11,0),iferror(vlookup(B23,importrange(""https://docs.google.com/spreadsheets/d/1p53T2AuvvIqhP7Nf-bo3Uhj8cbKYRPpZdsrBv3x3bAQ/edit?resourcekey#gid=1321652304"",""Prop!$BQ$1:$CA""),11,0),iferror(vlookup(B23,importrange("""&amp;"https://docs.google.com/spreadsheets/d/1p53T2AuvvIqhP7Nf-bo3Uhj8cbKYRPpZdsrBv3x3bAQ/edit?resourcekey#gid=1321652304"",""Prop!$CB$1:$CL""),11,0),iferror(vlookup(B23,importrange(""https://docs.google.com/spreadsheets/d/1p53T2AuvvIqhP7Nf-bo3Uhj8cbKYRPpZdsrBv"&amp;"3x3bAQ/edit?resourcekey#gid=1321652304"",""Prop!$CM$1:$CX""),12,0),iferror(vlookup(B23,importrange(""https://docs.google.com/spreadsheets/d/1p53T2AuvvIqhP7Nf-bo3Uhj8cbKYRPpZdsrBv3x3bAQ/edit?resourcekey#gid=1321652304"",""Prop!$CY$1:$DI""),11,0)))))))))))"),"https://drive.google.com/open?id=1pu4Y9QCdQmnZ1f3dsKyGeelCD4mjW5aS")</f>
        <v>https://drive.google.com/open?id=1pu4Y9QCdQmnZ1f3dsKyGeelCD4mjW5aS</v>
      </c>
      <c r="R23" s="88" t="s">
        <v>1101</v>
      </c>
      <c r="S23" s="20" t="str">
        <f ca="1">IFERROR(__xludf.DUMMYFUNCTION("IFERROR(vlookup(B23,IMPORTRANGE(""https://docs.google.com/spreadsheets/d/1g_jfYYK_KeipEDNDUgqgrsxK94XiocfNQIcP-v1QVhI/edit?resourcekey#gid=233272945"",""Nilai!B:CT""),57,0),"" "")"),"Nama disingkat, masih banyak yang belum sesuai format")</f>
        <v>Nama disingkat, masih banyak yang belum sesuai format</v>
      </c>
      <c r="T23" s="20" t="str">
        <f ca="1">IFERROR(__xludf.DUMMYFUNCTION("IFERROR(vlookup(B23,IMPORTRANGE(""https://docs.google.com/spreadsheets/d/1g_jfYYK_KeipEDNDUgqgrsxK94XiocfNQIcP-v1QVhI/edit?resourcekey#gid=233272945"",""Nilai!B:CT""),97,0),"" "")"),"LAYAK UPLOAD KE SIMBELMAWA DENGAN REVISI")</f>
        <v>LAYAK UPLOAD KE SIMBELMAWA DENGAN REVISI</v>
      </c>
      <c r="U23" s="21" t="s">
        <v>660</v>
      </c>
      <c r="V23" s="85" t="s">
        <v>1102</v>
      </c>
      <c r="W23" s="17" t="s">
        <v>1115</v>
      </c>
      <c r="X23" s="53" t="s">
        <v>949</v>
      </c>
    </row>
    <row r="24" spans="1:27" ht="69">
      <c r="A24" s="15">
        <v>22</v>
      </c>
      <c r="B24" s="15">
        <f ca="1">IFERROR(__xludf.DUMMYFUNCTION("""COMPUTED_VALUE"""),3991)</f>
        <v>3991</v>
      </c>
      <c r="C24" s="16" t="str">
        <f ca="1">IFERROR(__xludf.DUMMYFUNCTION("""COMPUTED_VALUE"""),"RISNA CITRA ANDIANI")</f>
        <v>RISNA CITRA ANDIANI</v>
      </c>
      <c r="D24" s="16" t="str">
        <f ca="1">IFERROR(__xludf.DUMMYFUNCTION("""COMPUTED_VALUE"""),"5004211047")</f>
        <v>5004211047</v>
      </c>
      <c r="E24" s="16" t="str">
        <f ca="1">IFERROR(__xludf.DUMMYFUNCTION("""COMPUTED_VALUE"""),"Departemen Kimia")</f>
        <v>Departemen Kimia</v>
      </c>
      <c r="F24" s="16" t="str">
        <f ca="1">IFERROR(__xludf.DUMMYFUNCTION("""COMPUTED_VALUE"""),"Sintesis Karbon Aktif dari Limbah Kernel Sawit melalui Metode Single-Step Carbonization-Activation Double Doping S/N untuk Adsorpsi Gas CO2 Berkapasitas Tinggi")</f>
        <v>Sintesis Karbon Aktif dari Limbah Kernel Sawit melalui Metode Single-Step Carbonization-Activation Double Doping S/N untuk Adsorpsi Gas CO2 Berkapasitas Tinggi</v>
      </c>
      <c r="G24" s="16" t="str">
        <f ca="1">IFERROR(__xludf.DUMMYFUNCTION("""COMPUTED_VALUE"""),"Hamdan Dwi Rizqi, S.Si., M.Si.")</f>
        <v>Hamdan Dwi Rizqi, S.Si., M.Si.</v>
      </c>
      <c r="H24" s="16" t="str">
        <f ca="1">IFERROR(__xludf.DUMMYFUNCTION("""COMPUTED_VALUE"""),"Dr. Awik Puji Dyah Nurhayati, S.Si., M.Si.")</f>
        <v>Dr. Awik Puji Dyah Nurhayati, S.Si., M.Si.</v>
      </c>
      <c r="I24" s="16" t="str">
        <f ca="1">IFERROR(__xludf.DUMMYFUNCTION("""COMPUTED_VALUE"""),"Iska Desmawati, S.Si., M.Si.")</f>
        <v>Iska Desmawati, S.Si., M.Si.</v>
      </c>
      <c r="J24" s="16"/>
      <c r="K24" s="17" t="s">
        <v>1114</v>
      </c>
      <c r="L24" s="17" t="s">
        <v>1111</v>
      </c>
      <c r="M24" s="19" t="b">
        <v>1</v>
      </c>
      <c r="N24" s="19" t="b">
        <v>1</v>
      </c>
      <c r="O24" s="1" t="s">
        <v>1113</v>
      </c>
      <c r="P24" s="7" t="str">
        <f ca="1">IFERROR(__xludf.DUMMYFUNCTION("iferror(vlookup(B24,importrange(""https://docs.google.com/spreadsheets/d/1boHyJQ4e2FU0QG8MHwEi6qjX4hvZWVCHcFfXjq7bbMc/edit?resourcekey#gid=923248883"",""Prop!$C$1:$M""),11,0),IFERROR(vlookup(B24,importrange(""https://docs.google.com/spreadsheets/d/1boHyJQ"&amp;"4e2FU0QG8MHwEi6qjX4hvZWVCHcFfXjq7bbMc/edit?resourcekey#gid=923248883"",""Prop!$N$1:$X""),11,0),iferror(vlookup(B24,importrange(""https://docs.google.com/spreadsheets/d/1boHyJQ4e2FU0QG8MHwEi6qjX4hvZWVCHcFfXjq7bbMc/edit?resourcekey#gid=923248883"",""Prop!$Y"&amp;"$1:$AI""),11,0),iferror(vlookup(B24,importrange(""https://docs.google.com/spreadsheets/d/1boHyJQ4e2FU0QG8MHwEi6qjX4hvZWVCHcFfXjq7bbMc/edit?resourcekey#gid=923248883"",""Prop!$AJ$1:$AT""),11,0),iferror(vlookup(B24,importrange(""https://docs.google.com/spre"&amp;"adsheets/d/1boHyJQ4e2FU0QG8MHwEi6qjX4hvZWVCHcFfXjq7bbMc/edit?resourcekey#gid=923248883"",""Prop!$AU$1:$BE""),11,0),iferror(vlookup(B24,importrange(""https://docs.google.com/spreadsheets/d/1boHyJQ4e2FU0QG8MHwEi6qjX4hvZWVCHcFfXjq7bbMc/edit?resourcekey#gid=9"&amp;"23248883"",""Prop!$BF$1:$BP""),11,0),iferror(vlookup(B24,importrange(""https://docs.google.com/spreadsheets/d/1boHyJQ4e2FU0QG8MHwEi6qjX4hvZWVCHcFfXjq7bbMc/edit?resourcekey#gid=923248883"",""Prop!$BQ$1:$CA""),11,0),iferror(vlookup(B24,importrange(""https:/"&amp;"/docs.google.com/spreadsheets/d/1boHyJQ4e2FU0QG8MHwEi6qjX4hvZWVCHcFfXjq7bbMc/edit?resourcekey#gid=923248883"",""Prop!$CB$1:$CL""),11,0),iferror(vlookup(B24,importrange(""https://docs.google.com/spreadsheets/d/1boHyJQ4e2FU0QG8MHwEi6qjX4hvZWVCHcFfXjq7bbMc/e"&amp;"dit?resourcekey#gid=923248883"",""Prop!$CM$1:$CX""),12,0),iferror(vlookup(B24,importrange(""https://docs.google.com/spreadsheets/d/1boHyJQ4e2FU0QG8MHwEi6qjX4hvZWVCHcFfXjq7bbMc/edit?resourcekey#gid=923248883"",""Prop!$CV$1:$DI""),11,0)))))))))))"),"https://drive.google.com/open?id=1Eye86KETlIG0V7UlihIABhWOkAzrlRFv")</f>
        <v>https://drive.google.com/open?id=1Eye86KETlIG0V7UlihIABhWOkAzrlRFv</v>
      </c>
      <c r="Q24" s="50" t="str">
        <f ca="1">IFERROR(__xludf.DUMMYFUNCTION("iferror(vlookup(B24,importrange(""https://docs.google.com/spreadsheets/d/1p53T2AuvvIqhP7Nf-bo3Uhj8cbKYRPpZdsrBv3x3bAQ/edit?resourcekey#gid=1321652304"",""Prop!$C$1:$M""),11,0),IFERROR(vlookup(B24,importrange(""https://docs.google.com/spreadsheets/d/1p53T2"&amp;"AuvvIqhP7Nf-bo3Uhj8cbKYRPpZdsrBv3x3bAQ/edit?resourcekey#gid=1321652304"",""Prop!$N$1:$X""),11,0),iferror(vlookup(B24,importrange(""https://docs.google.com/spreadsheets/d/1p53T2AuvvIqhP7Nf-bo3Uhj8cbKYRPpZdsrBv3x3bAQ/edit?resourcekey#gid=1321652304"",""Prop"&amp;"!$Y$1:$AI""),11,0),iferror(vlookup(B24,importrange(""https://docs.google.com/spreadsheets/d/1p53T2AuvvIqhP7Nf-bo3Uhj8cbKYRPpZdsrBv3x3bAQ/edit?resourcekey#gid=1321652304"",""Prop!$AJ$1:$AT""),11,0),iferror(vlookup(B24,importrange(""https://docs.google.com/"&amp;"spreadsheets/d/1p53T2AuvvIqhP7Nf-bo3Uhj8cbKYRPpZdsrBv3x3bAQ/edit?resourcekey#gid=1321652304"",""Prop!$AU$1:$BE""),11,0),iferror(vlookup(B24,importrange(""https://docs.google.com/spreadsheets/d/1p53T2AuvvIqhP7Nf-bo3Uhj8cbKYRPpZdsrBv3x3bAQ/edit?resourcekey#"&amp;"gid=1321652304"",""Prop!$BF$1:$BP""),11,0),iferror(vlookup(B24,importrange(""https://docs.google.com/spreadsheets/d/1p53T2AuvvIqhP7Nf-bo3Uhj8cbKYRPpZdsrBv3x3bAQ/edit?resourcekey#gid=1321652304"",""Prop!$BQ$1:$CA""),11,0),iferror(vlookup(B24,importrange("""&amp;"https://docs.google.com/spreadsheets/d/1p53T2AuvvIqhP7Nf-bo3Uhj8cbKYRPpZdsrBv3x3bAQ/edit?resourcekey#gid=1321652304"",""Prop!$CB$1:$CL""),11,0),iferror(vlookup(B24,importrange(""https://docs.google.com/spreadsheets/d/1p53T2AuvvIqhP7Nf-bo3Uhj8cbKYRPpZdsrBv"&amp;"3x3bAQ/edit?resourcekey#gid=1321652304"",""Prop!$CM$1:$CX""),12,0),iferror(vlookup(B24,importrange(""https://docs.google.com/spreadsheets/d/1p53T2AuvvIqhP7Nf-bo3Uhj8cbKYRPpZdsrBv3x3bAQ/edit?resourcekey#gid=1321652304"",""Prop!$CY$1:$DI""),11,0)))))))))))"),"https://drive.google.com/open?id=1THj-CFt7SUqbJzqPgx-cN7zNIvuaoXwt")</f>
        <v>https://drive.google.com/open?id=1THj-CFt7SUqbJzqPgx-cN7zNIvuaoXwt</v>
      </c>
      <c r="R24" s="88" t="s">
        <v>1101</v>
      </c>
      <c r="S24" s="20" t="str">
        <f ca="1">IFERROR(__xludf.DUMMYFUNCTION("IFERROR(vlookup(B24,IMPORTRANGE(""https://docs.google.com/spreadsheets/d/1g_jfYYK_KeipEDNDUgqgrsxK94XiocfNQIcP-v1QVhI/edit?resourcekey#gid=233272945"",""Nilai!B:CT""),57,0),"" "")"),"tambahkan rujukan/standar yang digunakan di metode, Lampiran 2 beri tanda * untuk item yang dibeli dengan dana PT kemudian di bawah tabel berikan keterangan dari tanda * tsb, tidak boleh ada dana untuk publikasi (lain-lain)")</f>
        <v>tambahkan rujukan/standar yang digunakan di metode, Lampiran 2 beri tanda * untuk item yang dibeli dengan dana PT kemudian di bawah tabel berikan keterangan dari tanda * tsb, tidak boleh ada dana untuk publikasi (lain-lain)</v>
      </c>
      <c r="T24" s="20" t="str">
        <f ca="1">IFERROR(__xludf.DUMMYFUNCTION("IFERROR(vlookup(B24,IMPORTRANGE(""https://docs.google.com/spreadsheets/d/1g_jfYYK_KeipEDNDUgqgrsxK94XiocfNQIcP-v1QVhI/edit?resourcekey#gid=233272945"",""Nilai!B:CT""),97,0),"" "")"),"LAYAK UPLOAD KE SIMBELMAWA DENGAN REVISI")</f>
        <v>LAYAK UPLOAD KE SIMBELMAWA DENGAN REVISI</v>
      </c>
      <c r="U24" s="21" t="s">
        <v>660</v>
      </c>
      <c r="V24" s="85" t="s">
        <v>1102</v>
      </c>
      <c r="W24" s="17" t="s">
        <v>1115</v>
      </c>
      <c r="X24" s="53" t="s">
        <v>949</v>
      </c>
    </row>
    <row r="25" spans="1:27" ht="69">
      <c r="A25" s="15">
        <v>23</v>
      </c>
      <c r="B25" s="15">
        <f ca="1">IFERROR(__xludf.DUMMYFUNCTION("""COMPUTED_VALUE"""),2718)</f>
        <v>2718</v>
      </c>
      <c r="C25" s="16" t="str">
        <f ca="1">IFERROR(__xludf.DUMMYFUNCTION("""COMPUTED_VALUE"""),"MUHAMMAD FIKRI MUMTAZ")</f>
        <v>MUHAMMAD FIKRI MUMTAZ</v>
      </c>
      <c r="D25" s="16" t="str">
        <f ca="1">IFERROR(__xludf.DUMMYFUNCTION("""COMPUTED_VALUE"""),"02311840000115")</f>
        <v>02311840000115</v>
      </c>
      <c r="E25" s="16" t="str">
        <f ca="1">IFERROR(__xludf.DUMMYFUNCTION("""COMPUTED_VALUE"""),"Departemen Teknik Fisika")</f>
        <v>Departemen Teknik Fisika</v>
      </c>
      <c r="F25" s="16" t="str">
        <f ca="1">IFERROR(__xludf.DUMMYFUNCTION("""COMPUTED_VALUE"""),"Pemanfaatan Ampas Tebu sebagai sumber carbon dots untuk Material Antibakteri dan Adsorben Ion Logam Pb2+")</f>
        <v>Pemanfaatan Ampas Tebu sebagai sumber carbon dots untuk Material Antibakteri dan Adsorben Ion Logam Pb2+</v>
      </c>
      <c r="G25" s="16" t="str">
        <f ca="1">IFERROR(__xludf.DUMMYFUNCTION("""COMPUTED_VALUE"""),"Dr.rer.nat Ruri Agung Wahyuono, S.T., M.T.")</f>
        <v>Dr.rer.nat Ruri Agung Wahyuono, S.T., M.T.</v>
      </c>
      <c r="H25" s="16" t="str">
        <f ca="1">IFERROR(__xludf.DUMMYFUNCTION("""COMPUTED_VALUE"""),"Dr.Eng. Siti Machmudah, S.T., M.Eng.")</f>
        <v>Dr.Eng. Siti Machmudah, S.T., M.Eng.</v>
      </c>
      <c r="I25" s="16" t="str">
        <f ca="1">IFERROR(__xludf.DUMMYFUNCTION("""COMPUTED_VALUE"""),"Dr. Candra Irawan, S.T., M.T.")</f>
        <v>Dr. Candra Irawan, S.T., M.T.</v>
      </c>
      <c r="J25" s="16"/>
      <c r="K25" s="17" t="s">
        <v>1114</v>
      </c>
      <c r="L25" s="17" t="s">
        <v>1116</v>
      </c>
      <c r="M25" s="19" t="b">
        <v>1</v>
      </c>
      <c r="N25" s="19" t="b">
        <v>1</v>
      </c>
      <c r="O25" s="1" t="s">
        <v>1104</v>
      </c>
      <c r="P25" s="7" t="str">
        <f ca="1">IFERROR(__xludf.DUMMYFUNCTION("iferror(vlookup(B25,importrange(""https://docs.google.com/spreadsheets/d/1boHyJQ4e2FU0QG8MHwEi6qjX4hvZWVCHcFfXjq7bbMc/edit?resourcekey#gid=923248883"",""Prop!$C$1:$M""),11,0),IFERROR(vlookup(B25,importrange(""https://docs.google.com/spreadsheets/d/1boHyJQ"&amp;"4e2FU0QG8MHwEi6qjX4hvZWVCHcFfXjq7bbMc/edit?resourcekey#gid=923248883"",""Prop!$N$1:$X""),11,0),iferror(vlookup(B25,importrange(""https://docs.google.com/spreadsheets/d/1boHyJQ4e2FU0QG8MHwEi6qjX4hvZWVCHcFfXjq7bbMc/edit?resourcekey#gid=923248883"",""Prop!$Y"&amp;"$1:$AI""),11,0),iferror(vlookup(B25,importrange(""https://docs.google.com/spreadsheets/d/1boHyJQ4e2FU0QG8MHwEi6qjX4hvZWVCHcFfXjq7bbMc/edit?resourcekey#gid=923248883"",""Prop!$AJ$1:$AT""),11,0),iferror(vlookup(B25,importrange(""https://docs.google.com/spre"&amp;"adsheets/d/1boHyJQ4e2FU0QG8MHwEi6qjX4hvZWVCHcFfXjq7bbMc/edit?resourcekey#gid=923248883"",""Prop!$AU$1:$BE""),11,0),iferror(vlookup(B25,importrange(""https://docs.google.com/spreadsheets/d/1boHyJQ4e2FU0QG8MHwEi6qjX4hvZWVCHcFfXjq7bbMc/edit?resourcekey#gid=9"&amp;"23248883"",""Prop!$BF$1:$BP""),11,0),iferror(vlookup(B25,importrange(""https://docs.google.com/spreadsheets/d/1boHyJQ4e2FU0QG8MHwEi6qjX4hvZWVCHcFfXjq7bbMc/edit?resourcekey#gid=923248883"",""Prop!$BQ$1:$CA""),11,0),iferror(vlookup(B25,importrange(""https:/"&amp;"/docs.google.com/spreadsheets/d/1boHyJQ4e2FU0QG8MHwEi6qjX4hvZWVCHcFfXjq7bbMc/edit?resourcekey#gid=923248883"",""Prop!$CB$1:$CL""),11,0),iferror(vlookup(B25,importrange(""https://docs.google.com/spreadsheets/d/1boHyJQ4e2FU0QG8MHwEi6qjX4hvZWVCHcFfXjq7bbMc/e"&amp;"dit?resourcekey#gid=923248883"",""Prop!$CM$1:$CX""),12,0),iferror(vlookup(B25,importrange(""https://docs.google.com/spreadsheets/d/1boHyJQ4e2FU0QG8MHwEi6qjX4hvZWVCHcFfXjq7bbMc/edit?resourcekey#gid=923248883"",""Prop!$CV$1:$DI""),11,0)))))))))))"),"https://drive.google.com/open?id=14jaBwKCVp2zLMyf28te-PFIsGNecNjvO")</f>
        <v>https://drive.google.com/open?id=14jaBwKCVp2zLMyf28te-PFIsGNecNjvO</v>
      </c>
      <c r="Q25" s="50" t="str">
        <f ca="1">IFERROR(__xludf.DUMMYFUNCTION("iferror(vlookup(B25,importrange(""https://docs.google.com/spreadsheets/d/1p53T2AuvvIqhP7Nf-bo3Uhj8cbKYRPpZdsrBv3x3bAQ/edit?resourcekey#gid=1321652304"",""Prop!$C$1:$M""),11,0),IFERROR(vlookup(B25,importrange(""https://docs.google.com/spreadsheets/d/1p53T2"&amp;"AuvvIqhP7Nf-bo3Uhj8cbKYRPpZdsrBv3x3bAQ/edit?resourcekey#gid=1321652304"",""Prop!$N$1:$X""),11,0),iferror(vlookup(B25,importrange(""https://docs.google.com/spreadsheets/d/1p53T2AuvvIqhP7Nf-bo3Uhj8cbKYRPpZdsrBv3x3bAQ/edit?resourcekey#gid=1321652304"",""Prop"&amp;"!$Y$1:$AI""),11,0),iferror(vlookup(B25,importrange(""https://docs.google.com/spreadsheets/d/1p53T2AuvvIqhP7Nf-bo3Uhj8cbKYRPpZdsrBv3x3bAQ/edit?resourcekey#gid=1321652304"",""Prop!$AJ$1:$AT""),11,0),iferror(vlookup(B25,importrange(""https://docs.google.com/"&amp;"spreadsheets/d/1p53T2AuvvIqhP7Nf-bo3Uhj8cbKYRPpZdsrBv3x3bAQ/edit?resourcekey#gid=1321652304"",""Prop!$AU$1:$BE""),11,0),iferror(vlookup(B25,importrange(""https://docs.google.com/spreadsheets/d/1p53T2AuvvIqhP7Nf-bo3Uhj8cbKYRPpZdsrBv3x3bAQ/edit?resourcekey#"&amp;"gid=1321652304"",""Prop!$BF$1:$BP""),11,0),iferror(vlookup(B25,importrange(""https://docs.google.com/spreadsheets/d/1p53T2AuvvIqhP7Nf-bo3Uhj8cbKYRPpZdsrBv3x3bAQ/edit?resourcekey#gid=1321652304"",""Prop!$BQ$1:$CA""),11,0),iferror(vlookup(B25,importrange("""&amp;"https://docs.google.com/spreadsheets/d/1p53T2AuvvIqhP7Nf-bo3Uhj8cbKYRPpZdsrBv3x3bAQ/edit?resourcekey#gid=1321652304"",""Prop!$CB$1:$CL""),11,0),iferror(vlookup(B25,importrange(""https://docs.google.com/spreadsheets/d/1p53T2AuvvIqhP7Nf-bo3Uhj8cbKYRPpZdsrBv"&amp;"3x3bAQ/edit?resourcekey#gid=1321652304"",""Prop!$CM$1:$CX""),12,0),iferror(vlookup(B25,importrange(""https://docs.google.com/spreadsheets/d/1p53T2AuvvIqhP7Nf-bo3Uhj8cbKYRPpZdsrBv3x3bAQ/edit?resourcekey#gid=1321652304"",""Prop!$CY$1:$DI""),11,0)))))))))))"),"https://drive.google.com/open?id=1wJbFqWmr8ScDl8d6PQOYuBxP4Q7kFZGr")</f>
        <v>https://drive.google.com/open?id=1wJbFqWmr8ScDl8d6PQOYuBxP4Q7kFZGr</v>
      </c>
      <c r="R25" s="88" t="s">
        <v>1101</v>
      </c>
      <c r="S25" s="20" t="str">
        <f ca="1">IFERROR(__xludf.DUMMYFUNCTION("IFERROR(vlookup(B25,IMPORTRANGE(""https://docs.google.com/spreadsheets/d/1g_jfYYK_KeipEDNDUgqgrsxK94XiocfNQIcP-v1QVhI/edit?resourcekey#gid=233272945"",""Nilai!B:CT""),57,0),"" "")"),"RAB diperbaiki")</f>
        <v>RAB diperbaiki</v>
      </c>
      <c r="T25" s="20" t="str">
        <f ca="1">IFERROR(__xludf.DUMMYFUNCTION("IFERROR(vlookup(B25,IMPORTRANGE(""https://docs.google.com/spreadsheets/d/1g_jfYYK_KeipEDNDUgqgrsxK94XiocfNQIcP-v1QVhI/edit?resourcekey#gid=233272945"",""Nilai!B:CT""),97,0),"" "")"),"LAYAK UPLOAD KE SIMBELMAWA DENGAN REVISI")</f>
        <v>LAYAK UPLOAD KE SIMBELMAWA DENGAN REVISI</v>
      </c>
      <c r="U25" s="21" t="s">
        <v>660</v>
      </c>
      <c r="V25" s="85" t="s">
        <v>1102</v>
      </c>
      <c r="W25" s="17" t="s">
        <v>1115</v>
      </c>
      <c r="X25" s="53" t="s">
        <v>949</v>
      </c>
    </row>
    <row r="26" spans="1:27" ht="69">
      <c r="A26" s="15">
        <v>24</v>
      </c>
      <c r="B26" s="15">
        <f ca="1">IFERROR(__xludf.DUMMYFUNCTION("""COMPUTED_VALUE"""),3493)</f>
        <v>3493</v>
      </c>
      <c r="C26" s="16" t="str">
        <f ca="1">IFERROR(__xludf.DUMMYFUNCTION("""COMPUTED_VALUE"""),"JUSTIAN IMMANUEL INTEGRITY")</f>
        <v>JUSTIAN IMMANUEL INTEGRITY</v>
      </c>
      <c r="D26" s="16" t="str">
        <f ca="1">IFERROR(__xludf.DUMMYFUNCTION("""COMPUTED_VALUE"""),"5008201179")</f>
        <v>5008201179</v>
      </c>
      <c r="E26" s="16" t="str">
        <f ca="1">IFERROR(__xludf.DUMMYFUNCTION("""COMPUTED_VALUE"""),"Departemen Teknik Kimia")</f>
        <v>Departemen Teknik Kimia</v>
      </c>
      <c r="F26" s="16" t="str">
        <f ca="1">IFERROR(__xludf.DUMMYFUNCTION("""COMPUTED_VALUE"""),"Pemanfaatan Pregnane Glicosyde pada Sansevieria trifasciata dengan Ekstraksi Maserasi Guna Optimalisasi Penurunan Kadar Polutan Kendaraan Bermotor")</f>
        <v>Pemanfaatan Pregnane Glicosyde pada Sansevieria trifasciata dengan Ekstraksi Maserasi Guna Optimalisasi Penurunan Kadar Polutan Kendaraan Bermotor</v>
      </c>
      <c r="G26" s="16" t="str">
        <f ca="1">IFERROR(__xludf.DUMMYFUNCTION("""COMPUTED_VALUE"""),"Dr. Rendra Panca Anugraha, S.T.")</f>
        <v>Dr. Rendra Panca Anugraha, S.T.</v>
      </c>
      <c r="H26" s="16" t="str">
        <f ca="1">IFERROR(__xludf.DUMMYFUNCTION("""COMPUTED_VALUE"""),"Vania Mitha Pratiwi, S.T., M.T.")</f>
        <v>Vania Mitha Pratiwi, S.T., M.T.</v>
      </c>
      <c r="I26" s="16" t="str">
        <f ca="1">IFERROR(__xludf.DUMMYFUNCTION("""COMPUTED_VALUE"""),"Dra. Ratna Ediati, MS., Ph.D.")</f>
        <v>Dra. Ratna Ediati, MS., Ph.D.</v>
      </c>
      <c r="J26" s="16"/>
      <c r="K26" s="17" t="s">
        <v>1114</v>
      </c>
      <c r="L26" s="17" t="s">
        <v>1116</v>
      </c>
      <c r="M26" s="19" t="b">
        <v>1</v>
      </c>
      <c r="N26" s="19" t="b">
        <v>1</v>
      </c>
      <c r="O26" s="1" t="s">
        <v>1117</v>
      </c>
      <c r="P26" s="7" t="str">
        <f ca="1">IFERROR(__xludf.DUMMYFUNCTION("iferror(vlookup(B26,importrange(""https://docs.google.com/spreadsheets/d/1boHyJQ4e2FU0QG8MHwEi6qjX4hvZWVCHcFfXjq7bbMc/edit?resourcekey#gid=923248883"",""Prop!$C$1:$M""),11,0),IFERROR(vlookup(B26,importrange(""https://docs.google.com/spreadsheets/d/1boHyJQ"&amp;"4e2FU0QG8MHwEi6qjX4hvZWVCHcFfXjq7bbMc/edit?resourcekey#gid=923248883"",""Prop!$N$1:$X""),11,0),iferror(vlookup(B26,importrange(""https://docs.google.com/spreadsheets/d/1boHyJQ4e2FU0QG8MHwEi6qjX4hvZWVCHcFfXjq7bbMc/edit?resourcekey#gid=923248883"",""Prop!$Y"&amp;"$1:$AI""),11,0),iferror(vlookup(B26,importrange(""https://docs.google.com/spreadsheets/d/1boHyJQ4e2FU0QG8MHwEi6qjX4hvZWVCHcFfXjq7bbMc/edit?resourcekey#gid=923248883"",""Prop!$AJ$1:$AT""),11,0),iferror(vlookup(B26,importrange(""https://docs.google.com/spre"&amp;"adsheets/d/1boHyJQ4e2FU0QG8MHwEi6qjX4hvZWVCHcFfXjq7bbMc/edit?resourcekey#gid=923248883"",""Prop!$AU$1:$BE""),11,0),iferror(vlookup(B26,importrange(""https://docs.google.com/spreadsheets/d/1boHyJQ4e2FU0QG8MHwEi6qjX4hvZWVCHcFfXjq7bbMc/edit?resourcekey#gid=9"&amp;"23248883"",""Prop!$BF$1:$BP""),11,0),iferror(vlookup(B26,importrange(""https://docs.google.com/spreadsheets/d/1boHyJQ4e2FU0QG8MHwEi6qjX4hvZWVCHcFfXjq7bbMc/edit?resourcekey#gid=923248883"",""Prop!$BQ$1:$CA""),11,0),iferror(vlookup(B26,importrange(""https:/"&amp;"/docs.google.com/spreadsheets/d/1boHyJQ4e2FU0QG8MHwEi6qjX4hvZWVCHcFfXjq7bbMc/edit?resourcekey#gid=923248883"",""Prop!$CB$1:$CL""),11,0),iferror(vlookup(B26,importrange(""https://docs.google.com/spreadsheets/d/1boHyJQ4e2FU0QG8MHwEi6qjX4hvZWVCHcFfXjq7bbMc/e"&amp;"dit?resourcekey#gid=923248883"",""Prop!$CM$1:$CX""),12,0),iferror(vlookup(B26,importrange(""https://docs.google.com/spreadsheets/d/1boHyJQ4e2FU0QG8MHwEi6qjX4hvZWVCHcFfXjq7bbMc/edit?resourcekey#gid=923248883"",""Prop!$CV$1:$DI""),11,0)))))))))))"),"https://drive.google.com/open?id=1DKMboHejoWnPq_PtkeJB_RlfJEX7-A3C")</f>
        <v>https://drive.google.com/open?id=1DKMboHejoWnPq_PtkeJB_RlfJEX7-A3C</v>
      </c>
      <c r="Q26" s="50" t="str">
        <f ca="1">IFERROR(__xludf.DUMMYFUNCTION("iferror(vlookup(B26,importrange(""https://docs.google.com/spreadsheets/d/1p53T2AuvvIqhP7Nf-bo3Uhj8cbKYRPpZdsrBv3x3bAQ/edit?resourcekey#gid=1321652304"",""Prop!$C$1:$M""),11,0),IFERROR(vlookup(B26,importrange(""https://docs.google.com/spreadsheets/d/1p53T2"&amp;"AuvvIqhP7Nf-bo3Uhj8cbKYRPpZdsrBv3x3bAQ/edit?resourcekey#gid=1321652304"",""Prop!$N$1:$X""),11,0),iferror(vlookup(B26,importrange(""https://docs.google.com/spreadsheets/d/1p53T2AuvvIqhP7Nf-bo3Uhj8cbKYRPpZdsrBv3x3bAQ/edit?resourcekey#gid=1321652304"",""Prop"&amp;"!$Y$1:$AI""),11,0),iferror(vlookup(B26,importrange(""https://docs.google.com/spreadsheets/d/1p53T2AuvvIqhP7Nf-bo3Uhj8cbKYRPpZdsrBv3x3bAQ/edit?resourcekey#gid=1321652304"",""Prop!$AJ$1:$AT""),11,0),iferror(vlookup(B26,importrange(""https://docs.google.com/"&amp;"spreadsheets/d/1p53T2AuvvIqhP7Nf-bo3Uhj8cbKYRPpZdsrBv3x3bAQ/edit?resourcekey#gid=1321652304"",""Prop!$AU$1:$BE""),11,0),iferror(vlookup(B26,importrange(""https://docs.google.com/spreadsheets/d/1p53T2AuvvIqhP7Nf-bo3Uhj8cbKYRPpZdsrBv3x3bAQ/edit?resourcekey#"&amp;"gid=1321652304"",""Prop!$BF$1:$BP""),11,0),iferror(vlookup(B26,importrange(""https://docs.google.com/spreadsheets/d/1p53T2AuvvIqhP7Nf-bo3Uhj8cbKYRPpZdsrBv3x3bAQ/edit?resourcekey#gid=1321652304"",""Prop!$BQ$1:$CA""),11,0),iferror(vlookup(B26,importrange("""&amp;"https://docs.google.com/spreadsheets/d/1p53T2AuvvIqhP7Nf-bo3Uhj8cbKYRPpZdsrBv3x3bAQ/edit?resourcekey#gid=1321652304"",""Prop!$CB$1:$CL""),11,0),iferror(vlookup(B26,importrange(""https://docs.google.com/spreadsheets/d/1p53T2AuvvIqhP7Nf-bo3Uhj8cbKYRPpZdsrBv"&amp;"3x3bAQ/edit?resourcekey#gid=1321652304"",""Prop!$CM$1:$CX""),12,0),iferror(vlookup(B26,importrange(""https://docs.google.com/spreadsheets/d/1p53T2AuvvIqhP7Nf-bo3Uhj8cbKYRPpZdsrBv3x3bAQ/edit?resourcekey#gid=1321652304"",""Prop!$CY$1:$DI""),11,0)))))))))))"),"https://drive.google.com/open?id=1xLhIrgi0PkFp--nVS3QmutqxZq4Oqzbh")</f>
        <v>https://drive.google.com/open?id=1xLhIrgi0PkFp--nVS3QmutqxZq4Oqzbh</v>
      </c>
      <c r="R26" s="88" t="s">
        <v>1101</v>
      </c>
      <c r="S26" s="20" t="str">
        <f ca="1">IFERROR(__xludf.DUMMYFUNCTION("IFERROR(vlookup(B26,IMPORTRANGE(""https://docs.google.com/spreadsheets/d/1g_jfYYK_KeipEDNDUgqgrsxK94XiocfNQIcP-v1QVhI/edit?resourcekey#gid=233272945"",""Nilai!B:CT""),57,0),"" "")"),"lihat hasil bikom 4")</f>
        <v>lihat hasil bikom 4</v>
      </c>
      <c r="T26" s="20" t="str">
        <f ca="1">IFERROR(__xludf.DUMMYFUNCTION("IFERROR(vlookup(B26,IMPORTRANGE(""https://docs.google.com/spreadsheets/d/1g_jfYYK_KeipEDNDUgqgrsxK94XiocfNQIcP-v1QVhI/edit?resourcekey#gid=233272945"",""Nilai!B:CT""),97,0),"" "")"),"LAYAK UPLOAD KE SIMBELMAWA DENGAN REVISI")</f>
        <v>LAYAK UPLOAD KE SIMBELMAWA DENGAN REVISI</v>
      </c>
      <c r="U26" s="21" t="s">
        <v>660</v>
      </c>
      <c r="V26" s="85" t="s">
        <v>1102</v>
      </c>
      <c r="W26" s="17" t="s">
        <v>1115</v>
      </c>
      <c r="X26" s="34" t="s">
        <v>949</v>
      </c>
    </row>
    <row r="27" spans="1:27" ht="69">
      <c r="A27" s="15">
        <v>25</v>
      </c>
      <c r="B27" s="15">
        <f ca="1">IFERROR(__xludf.DUMMYFUNCTION("""COMPUTED_VALUE"""),3983)</f>
        <v>3983</v>
      </c>
      <c r="C27" s="16" t="str">
        <f ca="1">IFERROR(__xludf.DUMMYFUNCTION("""COMPUTED_VALUE"""),"Irma Fitriani")</f>
        <v>Irma Fitriani</v>
      </c>
      <c r="D27" s="16" t="str">
        <f ca="1">IFERROR(__xludf.DUMMYFUNCTION("""COMPUTED_VALUE"""),"5004211111")</f>
        <v>5004211111</v>
      </c>
      <c r="E27" s="16" t="str">
        <f ca="1">IFERROR(__xludf.DUMMYFUNCTION("""COMPUTED_VALUE"""),"Departemen Kimia")</f>
        <v>Departemen Kimia</v>
      </c>
      <c r="F27" s="16" t="str">
        <f ca="1">IFERROR(__xludf.DUMMYFUNCTION("""COMPUTED_VALUE"""),"Fabrikasi Komposit C/ZnO/Fe2O3 menggunakan Bonggol Jagung sebagai Adsorben Fotokatalitik untuk Degradasi Limbah Antibiotik Azitromisin")</f>
        <v>Fabrikasi Komposit C/ZnO/Fe2O3 menggunakan Bonggol Jagung sebagai Adsorben Fotokatalitik untuk Degradasi Limbah Antibiotik Azitromisin</v>
      </c>
      <c r="G27" s="16" t="str">
        <f ca="1">IFERROR(__xludf.DUMMYFUNCTION("""COMPUTED_VALUE"""),"Dra. Ratna Ediati, MS., Ph.D.")</f>
        <v>Dra. Ratna Ediati, MS., Ph.D.</v>
      </c>
      <c r="H27" s="16" t="str">
        <f ca="1">IFERROR(__xludf.DUMMYFUNCTION("""COMPUTED_VALUE"""),"Dr. Awik Puji Dyah Nurhayati, S.Si., M.Si.")</f>
        <v>Dr. Awik Puji Dyah Nurhayati, S.Si., M.Si.</v>
      </c>
      <c r="I27" s="16" t="str">
        <f ca="1">IFERROR(__xludf.DUMMYFUNCTION("""COMPUTED_VALUE"""),"Iska Desmawati, S.Si., M.Si.")</f>
        <v>Iska Desmawati, S.Si., M.Si.</v>
      </c>
      <c r="J27" s="16"/>
      <c r="K27" s="17" t="s">
        <v>1114</v>
      </c>
      <c r="L27" s="17" t="s">
        <v>1116</v>
      </c>
      <c r="M27" s="19" t="b">
        <v>1</v>
      </c>
      <c r="N27" s="19" t="b">
        <v>1</v>
      </c>
      <c r="O27" s="1" t="s">
        <v>1118</v>
      </c>
      <c r="P27" s="7" t="str">
        <f ca="1">IFERROR(__xludf.DUMMYFUNCTION("iferror(vlookup(B27,importrange(""https://docs.google.com/spreadsheets/d/1boHyJQ4e2FU0QG8MHwEi6qjX4hvZWVCHcFfXjq7bbMc/edit?resourcekey#gid=923248883"",""Prop!$C$1:$M""),11,0),IFERROR(vlookup(B27,importrange(""https://docs.google.com/spreadsheets/d/1boHyJQ"&amp;"4e2FU0QG8MHwEi6qjX4hvZWVCHcFfXjq7bbMc/edit?resourcekey#gid=923248883"",""Prop!$N$1:$X""),11,0),iferror(vlookup(B27,importrange(""https://docs.google.com/spreadsheets/d/1boHyJQ4e2FU0QG8MHwEi6qjX4hvZWVCHcFfXjq7bbMc/edit?resourcekey#gid=923248883"",""Prop!$Y"&amp;"$1:$AI""),11,0),iferror(vlookup(B27,importrange(""https://docs.google.com/spreadsheets/d/1boHyJQ4e2FU0QG8MHwEi6qjX4hvZWVCHcFfXjq7bbMc/edit?resourcekey#gid=923248883"",""Prop!$AJ$1:$AT""),11,0),iferror(vlookup(B27,importrange(""https://docs.google.com/spre"&amp;"adsheets/d/1boHyJQ4e2FU0QG8MHwEi6qjX4hvZWVCHcFfXjq7bbMc/edit?resourcekey#gid=923248883"",""Prop!$AU$1:$BE""),11,0),iferror(vlookup(B27,importrange(""https://docs.google.com/spreadsheets/d/1boHyJQ4e2FU0QG8MHwEi6qjX4hvZWVCHcFfXjq7bbMc/edit?resourcekey#gid=9"&amp;"23248883"",""Prop!$BF$1:$BP""),11,0),iferror(vlookup(B27,importrange(""https://docs.google.com/spreadsheets/d/1boHyJQ4e2FU0QG8MHwEi6qjX4hvZWVCHcFfXjq7bbMc/edit?resourcekey#gid=923248883"",""Prop!$BQ$1:$CA""),11,0),iferror(vlookup(B27,importrange(""https:/"&amp;"/docs.google.com/spreadsheets/d/1boHyJQ4e2FU0QG8MHwEi6qjX4hvZWVCHcFfXjq7bbMc/edit?resourcekey#gid=923248883"",""Prop!$CB$1:$CL""),11,0),iferror(vlookup(B27,importrange(""https://docs.google.com/spreadsheets/d/1boHyJQ4e2FU0QG8MHwEi6qjX4hvZWVCHcFfXjq7bbMc/e"&amp;"dit?resourcekey#gid=923248883"",""Prop!$CM$1:$CX""),12,0),iferror(vlookup(B27,importrange(""https://docs.google.com/spreadsheets/d/1boHyJQ4e2FU0QG8MHwEi6qjX4hvZWVCHcFfXjq7bbMc/edit?resourcekey#gid=923248883"",""Prop!$CV$1:$DI""),11,0)))))))))))"),"https://drive.google.com/open?id=1VQimpy1HipBuDLZk_hsKbwlcVWg-q0ri")</f>
        <v>https://drive.google.com/open?id=1VQimpy1HipBuDLZk_hsKbwlcVWg-q0ri</v>
      </c>
      <c r="Q27" s="50" t="str">
        <f ca="1">IFERROR(__xludf.DUMMYFUNCTION("iferror(vlookup(B27,importrange(""https://docs.google.com/spreadsheets/d/1p53T2AuvvIqhP7Nf-bo3Uhj8cbKYRPpZdsrBv3x3bAQ/edit?resourcekey#gid=1321652304"",""Prop!$C$1:$M""),11,0),IFERROR(vlookup(B27,importrange(""https://docs.google.com/spreadsheets/d/1p53T2"&amp;"AuvvIqhP7Nf-bo3Uhj8cbKYRPpZdsrBv3x3bAQ/edit?resourcekey#gid=1321652304"",""Prop!$N$1:$X""),11,0),iferror(vlookup(B27,importrange(""https://docs.google.com/spreadsheets/d/1p53T2AuvvIqhP7Nf-bo3Uhj8cbKYRPpZdsrBv3x3bAQ/edit?resourcekey#gid=1321652304"",""Prop"&amp;"!$Y$1:$AI""),11,0),iferror(vlookup(B27,importrange(""https://docs.google.com/spreadsheets/d/1p53T2AuvvIqhP7Nf-bo3Uhj8cbKYRPpZdsrBv3x3bAQ/edit?resourcekey#gid=1321652304"",""Prop!$AJ$1:$AT""),11,0),iferror(vlookup(B27,importrange(""https://docs.google.com/"&amp;"spreadsheets/d/1p53T2AuvvIqhP7Nf-bo3Uhj8cbKYRPpZdsrBv3x3bAQ/edit?resourcekey#gid=1321652304"",""Prop!$AU$1:$BE""),11,0),iferror(vlookup(B27,importrange(""https://docs.google.com/spreadsheets/d/1p53T2AuvvIqhP7Nf-bo3Uhj8cbKYRPpZdsrBv3x3bAQ/edit?resourcekey#"&amp;"gid=1321652304"",""Prop!$BF$1:$BP""),11,0),iferror(vlookup(B27,importrange(""https://docs.google.com/spreadsheets/d/1p53T2AuvvIqhP7Nf-bo3Uhj8cbKYRPpZdsrBv3x3bAQ/edit?resourcekey#gid=1321652304"",""Prop!$BQ$1:$CA""),11,0),iferror(vlookup(B27,importrange("""&amp;"https://docs.google.com/spreadsheets/d/1p53T2AuvvIqhP7Nf-bo3Uhj8cbKYRPpZdsrBv3x3bAQ/edit?resourcekey#gid=1321652304"",""Prop!$CB$1:$CL""),11,0),iferror(vlookup(B27,importrange(""https://docs.google.com/spreadsheets/d/1p53T2AuvvIqhP7Nf-bo3Uhj8cbKYRPpZdsrBv"&amp;"3x3bAQ/edit?resourcekey#gid=1321652304"",""Prop!$CM$1:$CX""),12,0),iferror(vlookup(B27,importrange(""https://docs.google.com/spreadsheets/d/1p53T2AuvvIqhP7Nf-bo3Uhj8cbKYRPpZdsrBv3x3bAQ/edit?resourcekey#gid=1321652304"",""Prop!$CY$1:$DI""),11,0)))))))))))"),"https://drive.google.com/open?id=1siV-32B4IyefX9Sn1lEMiFXRBHFaGdx6")</f>
        <v>https://drive.google.com/open?id=1siV-32B4IyefX9Sn1lEMiFXRBHFaGdx6</v>
      </c>
      <c r="R27" s="88" t="s">
        <v>1101</v>
      </c>
      <c r="S27" s="20" t="str">
        <f ca="1">IFERROR(__xludf.DUMMYFUNCTION("IFERROR(vlookup(B27,IMPORTRANGE(""https://docs.google.com/spreadsheets/d/1g_jfYYK_KeipEDNDUgqgrsxK94XiocfNQIcP-v1QVhI/edit?resourcekey#gid=233272945"",""Nilai!B:CT""),57,0),"" "")"),"lihat saat bikom 4")</f>
        <v>lihat saat bikom 4</v>
      </c>
      <c r="T27" s="20" t="str">
        <f ca="1">IFERROR(__xludf.DUMMYFUNCTION("IFERROR(vlookup(B27,IMPORTRANGE(""https://docs.google.com/spreadsheets/d/1g_jfYYK_KeipEDNDUgqgrsxK94XiocfNQIcP-v1QVhI/edit?resourcekey#gid=233272945"",""Nilai!B:CT""),97,0),"" "")"),"LAYAK UPLOAD KE SIMBELMAWA DENGAN REVISI")</f>
        <v>LAYAK UPLOAD KE SIMBELMAWA DENGAN REVISI</v>
      </c>
      <c r="U27" s="21" t="s">
        <v>660</v>
      </c>
      <c r="V27" s="85" t="s">
        <v>1102</v>
      </c>
      <c r="W27" s="17" t="s">
        <v>1119</v>
      </c>
      <c r="X27" s="34" t="s">
        <v>949</v>
      </c>
    </row>
    <row r="28" spans="1:27" ht="43.2">
      <c r="A28" s="15">
        <v>26</v>
      </c>
      <c r="B28" s="15">
        <f ca="1">IFERROR(__xludf.DUMMYFUNCTION("""COMPUTED_VALUE"""),2107)</f>
        <v>2107</v>
      </c>
      <c r="C28" s="16" t="str">
        <f ca="1">IFERROR(__xludf.DUMMYFUNCTION("""COMPUTED_VALUE"""),"Ridinta Nabila Fitria Susilo")</f>
        <v>Ridinta Nabila Fitria Susilo</v>
      </c>
      <c r="D28" s="16" t="str">
        <f ca="1">IFERROR(__xludf.DUMMYFUNCTION("""COMPUTED_VALUE"""),"02311940000038")</f>
        <v>02311940000038</v>
      </c>
      <c r="E28" s="16" t="str">
        <f ca="1">IFERROR(__xludf.DUMMYFUNCTION("""COMPUTED_VALUE"""),"Departemen Teknik Fisika")</f>
        <v>Departemen Teknik Fisika</v>
      </c>
      <c r="F28" s="16" t="str">
        <f ca="1">IFERROR(__xludf.DUMMYFUNCTION("""COMPUTED_VALUE"""),"Smart Predictive Maintenance berbasis Digital Twin &amp; Internet of Things pada Heat Exchanger dengan Menggunakan Metode Optimasi Duelist Algorithm")</f>
        <v>Smart Predictive Maintenance berbasis Digital Twin &amp; Internet of Things pada Heat Exchanger dengan Menggunakan Metode Optimasi Duelist Algorithm</v>
      </c>
      <c r="G28" s="16" t="str">
        <f ca="1">IFERROR(__xludf.DUMMYFUNCTION("""COMPUTED_VALUE"""),"Totok Ruki Biyanto, S.T., M.T., Ph.D.")</f>
        <v>Totok Ruki Biyanto, S.T., M.T., Ph.D.</v>
      </c>
      <c r="H28" s="16" t="str">
        <f ca="1">IFERROR(__xludf.DUMMYFUNCTION("""COMPUTED_VALUE"""),"Dr. Awik Puji Dyah Nurhayati, S.Si., M.Si.")</f>
        <v>Dr. Awik Puji Dyah Nurhayati, S.Si., M.Si.</v>
      </c>
      <c r="I28" s="16" t="str">
        <f ca="1">IFERROR(__xludf.DUMMYFUNCTION("""COMPUTED_VALUE"""),"Iska Desmawati, S.Si., M.Si.")</f>
        <v>Iska Desmawati, S.Si., M.Si.</v>
      </c>
      <c r="J28" s="16"/>
      <c r="K28" s="17" t="s">
        <v>1114</v>
      </c>
      <c r="L28" s="17" t="s">
        <v>1116</v>
      </c>
      <c r="M28" s="19" t="b">
        <v>1</v>
      </c>
      <c r="N28" s="19" t="b">
        <v>1</v>
      </c>
      <c r="O28" s="1" t="s">
        <v>1118</v>
      </c>
      <c r="P28" s="7" t="str">
        <f ca="1">IFERROR(__xludf.DUMMYFUNCTION("iferror(vlookup(B28,importrange(""https://docs.google.com/spreadsheets/d/1boHyJQ4e2FU0QG8MHwEi6qjX4hvZWVCHcFfXjq7bbMc/edit?resourcekey#gid=923248883"",""Prop!$C$1:$M""),11,0),IFERROR(vlookup(B28,importrange(""https://docs.google.com/spreadsheets/d/1boHyJQ"&amp;"4e2FU0QG8MHwEi6qjX4hvZWVCHcFfXjq7bbMc/edit?resourcekey#gid=923248883"",""Prop!$N$1:$X""),11,0),iferror(vlookup(B28,importrange(""https://docs.google.com/spreadsheets/d/1boHyJQ4e2FU0QG8MHwEi6qjX4hvZWVCHcFfXjq7bbMc/edit?resourcekey#gid=923248883"",""Prop!$Y"&amp;"$1:$AI""),11,0),iferror(vlookup(B28,importrange(""https://docs.google.com/spreadsheets/d/1boHyJQ4e2FU0QG8MHwEi6qjX4hvZWVCHcFfXjq7bbMc/edit?resourcekey#gid=923248883"",""Prop!$AJ$1:$AT""),11,0),iferror(vlookup(B28,importrange(""https://docs.google.com/spre"&amp;"adsheets/d/1boHyJQ4e2FU0QG8MHwEi6qjX4hvZWVCHcFfXjq7bbMc/edit?resourcekey#gid=923248883"",""Prop!$AU$1:$BE""),11,0),iferror(vlookup(B28,importrange(""https://docs.google.com/spreadsheets/d/1boHyJQ4e2FU0QG8MHwEi6qjX4hvZWVCHcFfXjq7bbMc/edit?resourcekey#gid=9"&amp;"23248883"",""Prop!$BF$1:$BP""),11,0),iferror(vlookup(B28,importrange(""https://docs.google.com/spreadsheets/d/1boHyJQ4e2FU0QG8MHwEi6qjX4hvZWVCHcFfXjq7bbMc/edit?resourcekey#gid=923248883"",""Prop!$BQ$1:$CA""),11,0),iferror(vlookup(B28,importrange(""https:/"&amp;"/docs.google.com/spreadsheets/d/1boHyJQ4e2FU0QG8MHwEi6qjX4hvZWVCHcFfXjq7bbMc/edit?resourcekey#gid=923248883"",""Prop!$CB$1:$CL""),11,0),iferror(vlookup(B28,importrange(""https://docs.google.com/spreadsheets/d/1boHyJQ4e2FU0QG8MHwEi6qjX4hvZWVCHcFfXjq7bbMc/e"&amp;"dit?resourcekey#gid=923248883"",""Prop!$CM$1:$CX""),12,0),iferror(vlookup(B28,importrange(""https://docs.google.com/spreadsheets/d/1boHyJQ4e2FU0QG8MHwEi6qjX4hvZWVCHcFfXjq7bbMc/edit?resourcekey#gid=923248883"",""Prop!$CV$1:$DI""),11,0)))))))))))"),"https://drive.google.com/open?id=16vrj2Cl9139HOMzreIlfSy2Ds1_YQ-3U")</f>
        <v>https://drive.google.com/open?id=16vrj2Cl9139HOMzreIlfSy2Ds1_YQ-3U</v>
      </c>
      <c r="Q28" s="7" t="str">
        <f ca="1">IFERROR(__xludf.DUMMYFUNCTION("iferror(vlookup(B28,importrange(""https://docs.google.com/spreadsheets/d/1p53T2AuvvIqhP7Nf-bo3Uhj8cbKYRPpZdsrBv3x3bAQ/edit?resourcekey#gid=1321652304"",""Prop!$C$1:$M""),11,0),IFERROR(vlookup(B28,importrange(""https://docs.google.com/spreadsheets/d/1p53T2"&amp;"AuvvIqhP7Nf-bo3Uhj8cbKYRPpZdsrBv3x3bAQ/edit?resourcekey#gid=1321652304"",""Prop!$N$1:$X""),11,0),iferror(vlookup(B28,importrange(""https://docs.google.com/spreadsheets/d/1p53T2AuvvIqhP7Nf-bo3Uhj8cbKYRPpZdsrBv3x3bAQ/edit?resourcekey#gid=1321652304"",""Prop"&amp;"!$Y$1:$AI""),11,0),iferror(vlookup(B28,importrange(""https://docs.google.com/spreadsheets/d/1p53T2AuvvIqhP7Nf-bo3Uhj8cbKYRPpZdsrBv3x3bAQ/edit?resourcekey#gid=1321652304"",""Prop!$AJ$1:$AT""),11,0),iferror(vlookup(B28,importrange(""https://docs.google.com/"&amp;"spreadsheets/d/1p53T2AuvvIqhP7Nf-bo3Uhj8cbKYRPpZdsrBv3x3bAQ/edit?resourcekey#gid=1321652304"",""Prop!$AU$1:$BE""),11,0),iferror(vlookup(B28,importrange(""https://docs.google.com/spreadsheets/d/1p53T2AuvvIqhP7Nf-bo3Uhj8cbKYRPpZdsrBv3x3bAQ/edit?resourcekey#"&amp;"gid=1321652304"",""Prop!$BF$1:$BP""),11,0),iferror(vlookup(B28,importrange(""https://docs.google.com/spreadsheets/d/1p53T2AuvvIqhP7Nf-bo3Uhj8cbKYRPpZdsrBv3x3bAQ/edit?resourcekey#gid=1321652304"",""Prop!$BQ$1:$CA""),11,0),iferror(vlookup(B28,importrange("""&amp;"https://docs.google.com/spreadsheets/d/1p53T2AuvvIqhP7Nf-bo3Uhj8cbKYRPpZdsrBv3x3bAQ/edit?resourcekey#gid=1321652304"",""Prop!$CB$1:$CL""),11,0),iferror(vlookup(B28,importrange(""https://docs.google.com/spreadsheets/d/1p53T2AuvvIqhP7Nf-bo3Uhj8cbKYRPpZdsrBv"&amp;"3x3bAQ/edit?resourcekey#gid=1321652304"",""Prop!$CM$1:$CX""),12,0),iferror(vlookup(B28,importrange(""https://docs.google.com/spreadsheets/d/1p53T2AuvvIqhP7Nf-bo3Uhj8cbKYRPpZdsrBv3x3bAQ/edit?resourcekey#gid=1321652304"",""Prop!$CY$1:$DI""),11,0)))))))))))"),"https://drive.google.com/open?id=1za45Y_i02h__aGwXJJzlpojMnvx-AC3P")</f>
        <v>https://drive.google.com/open?id=1za45Y_i02h__aGwXJJzlpojMnvx-AC3P</v>
      </c>
      <c r="R28" s="88" t="s">
        <v>1101</v>
      </c>
      <c r="S28" s="20" t="str">
        <f ca="1">IFERROR(__xludf.DUMMYFUNCTION("IFERROR(vlookup(B28,IMPORTRANGE(""https://docs.google.com/spreadsheets/d/1g_jfYYK_KeipEDNDUgqgrsxK94XiocfNQIcP-v1QVhI/edit?resourcekey#gid=233272945"",""Nilai!B:CT""),57,0),"" "")")," ")</f>
        <v xml:space="preserve"> </v>
      </c>
      <c r="T28" s="20" t="str">
        <f ca="1">IFERROR(__xludf.DUMMYFUNCTION("IFERROR(vlookup(B28,IMPORTRANGE(""https://docs.google.com/spreadsheets/d/1g_jfYYK_KeipEDNDUgqgrsxK94XiocfNQIcP-v1QVhI/edit?resourcekey#gid=233272945"",""Nilai!B:CT""),97,0),"" "")")," ")</f>
        <v xml:space="preserve"> </v>
      </c>
      <c r="U28" s="21" t="s">
        <v>660</v>
      </c>
      <c r="V28" s="85" t="s">
        <v>1102</v>
      </c>
      <c r="W28" s="17" t="s">
        <v>1119</v>
      </c>
      <c r="X28" s="34" t="s">
        <v>949</v>
      </c>
    </row>
    <row r="29" spans="1:27" ht="69">
      <c r="A29" s="15">
        <v>27</v>
      </c>
      <c r="B29" s="15">
        <f ca="1">IFERROR(__xludf.DUMMYFUNCTION("""COMPUTED_VALUE"""),3113)</f>
        <v>3113</v>
      </c>
      <c r="C29" s="16" t="str">
        <f ca="1">IFERROR(__xludf.DUMMYFUNCTION("""COMPUTED_VALUE"""),"YONA MACHERY")</f>
        <v>YONA MACHERY</v>
      </c>
      <c r="D29" s="16" t="str">
        <f ca="1">IFERROR(__xludf.DUMMYFUNCTION("""COMPUTED_VALUE"""),"2035201013")</f>
        <v>2035201013</v>
      </c>
      <c r="E29" s="16" t="str">
        <f ca="1">IFERROR(__xludf.DUMMYFUNCTION("""COMPUTED_VALUE"""),"Departemen Teknik Infrastruktur Sipil")</f>
        <v>Departemen Teknik Infrastruktur Sipil</v>
      </c>
      <c r="F29" s="16" t="str">
        <f ca="1">IFERROR(__xludf.DUMMYFUNCTION("""COMPUTED_VALUE"""),"Pengaruh Fly Ash pada Stabilitas dan Permeabilitas Aspal Porus")</f>
        <v>Pengaruh Fly Ash pada Stabilitas dan Permeabilitas Aspal Porus</v>
      </c>
      <c r="G29" s="16" t="str">
        <f ca="1">IFERROR(__xludf.DUMMYFUNCTION("""COMPUTED_VALUE"""),"Amalia Firdaus Mawardi, S.T., M.T.")</f>
        <v>Amalia Firdaus Mawardi, S.T., M.T.</v>
      </c>
      <c r="H29" s="16" t="str">
        <f ca="1">IFERROR(__xludf.DUMMYFUNCTION("""COMPUTED_VALUE"""),"Ahmad Fauzan Adziimaa, S.T., M.Sc.")</f>
        <v>Ahmad Fauzan Adziimaa, S.T., M.Sc.</v>
      </c>
      <c r="I29" s="16" t="str">
        <f ca="1">IFERROR(__xludf.DUMMYFUNCTION("""COMPUTED_VALUE"""),"Azzah Dyah Pramata, S.T., M.T., M.Eng., Ph.D.")</f>
        <v>Azzah Dyah Pramata, S.T., M.T., M.Eng., Ph.D.</v>
      </c>
      <c r="J29" s="16"/>
      <c r="K29" s="17" t="s">
        <v>1114</v>
      </c>
      <c r="L29" s="17" t="s">
        <v>1116</v>
      </c>
      <c r="M29" s="19" t="b">
        <v>1</v>
      </c>
      <c r="N29" s="19" t="b">
        <v>1</v>
      </c>
      <c r="O29" s="1" t="s">
        <v>1117</v>
      </c>
      <c r="P29" s="7" t="str">
        <f ca="1">IFERROR(__xludf.DUMMYFUNCTION("iferror(vlookup(B29,importrange(""https://docs.google.com/spreadsheets/d/1boHyJQ4e2FU0QG8MHwEi6qjX4hvZWVCHcFfXjq7bbMc/edit?resourcekey#gid=923248883"",""Prop!$C$1:$M""),11,0),IFERROR(vlookup(B29,importrange(""https://docs.google.com/spreadsheets/d/1boHyJQ"&amp;"4e2FU0QG8MHwEi6qjX4hvZWVCHcFfXjq7bbMc/edit?resourcekey#gid=923248883"",""Prop!$N$1:$X""),11,0),iferror(vlookup(B29,importrange(""https://docs.google.com/spreadsheets/d/1boHyJQ4e2FU0QG8MHwEi6qjX4hvZWVCHcFfXjq7bbMc/edit?resourcekey#gid=923248883"",""Prop!$Y"&amp;"$1:$AI""),11,0),iferror(vlookup(B29,importrange(""https://docs.google.com/spreadsheets/d/1boHyJQ4e2FU0QG8MHwEi6qjX4hvZWVCHcFfXjq7bbMc/edit?resourcekey#gid=923248883"",""Prop!$AJ$1:$AT""),11,0),iferror(vlookup(B29,importrange(""https://docs.google.com/spre"&amp;"adsheets/d/1boHyJQ4e2FU0QG8MHwEi6qjX4hvZWVCHcFfXjq7bbMc/edit?resourcekey#gid=923248883"",""Prop!$AU$1:$BE""),11,0),iferror(vlookup(B29,importrange(""https://docs.google.com/spreadsheets/d/1boHyJQ4e2FU0QG8MHwEi6qjX4hvZWVCHcFfXjq7bbMc/edit?resourcekey#gid=9"&amp;"23248883"",""Prop!$BF$1:$BP""),11,0),iferror(vlookup(B29,importrange(""https://docs.google.com/spreadsheets/d/1boHyJQ4e2FU0QG8MHwEi6qjX4hvZWVCHcFfXjq7bbMc/edit?resourcekey#gid=923248883"",""Prop!$BQ$1:$CA""),11,0),iferror(vlookup(B29,importrange(""https:/"&amp;"/docs.google.com/spreadsheets/d/1boHyJQ4e2FU0QG8MHwEi6qjX4hvZWVCHcFfXjq7bbMc/edit?resourcekey#gid=923248883"",""Prop!$CB$1:$CL""),11,0),iferror(vlookup(B29,importrange(""https://docs.google.com/spreadsheets/d/1boHyJQ4e2FU0QG8MHwEi6qjX4hvZWVCHcFfXjq7bbMc/e"&amp;"dit?resourcekey#gid=923248883"",""Prop!$CM$1:$CX""),12,0),iferror(vlookup(B29,importrange(""https://docs.google.com/spreadsheets/d/1boHyJQ4e2FU0QG8MHwEi6qjX4hvZWVCHcFfXjq7bbMc/edit?resourcekey#gid=923248883"",""Prop!$CV$1:$DI""),11,0)))))))))))"),"https://drive.google.com/open?id=10A8EofvHWGhiZEGSSN-xXf-5kkYQiylw")</f>
        <v>https://drive.google.com/open?id=10A8EofvHWGhiZEGSSN-xXf-5kkYQiylw</v>
      </c>
      <c r="Q29" s="50" t="str">
        <f ca="1">IFERROR(__xludf.DUMMYFUNCTION("iferror(vlookup(B29,importrange(""https://docs.google.com/spreadsheets/d/1p53T2AuvvIqhP7Nf-bo3Uhj8cbKYRPpZdsrBv3x3bAQ/edit?resourcekey#gid=1321652304"",""Prop!$C$1:$M""),11,0),IFERROR(vlookup(B29,importrange(""https://docs.google.com/spreadsheets/d/1p53T2"&amp;"AuvvIqhP7Nf-bo3Uhj8cbKYRPpZdsrBv3x3bAQ/edit?resourcekey#gid=1321652304"",""Prop!$N$1:$X""),11,0),iferror(vlookup(B29,importrange(""https://docs.google.com/spreadsheets/d/1p53T2AuvvIqhP7Nf-bo3Uhj8cbKYRPpZdsrBv3x3bAQ/edit?resourcekey#gid=1321652304"",""Prop"&amp;"!$Y$1:$AI""),11,0),iferror(vlookup(B29,importrange(""https://docs.google.com/spreadsheets/d/1p53T2AuvvIqhP7Nf-bo3Uhj8cbKYRPpZdsrBv3x3bAQ/edit?resourcekey#gid=1321652304"",""Prop!$AJ$1:$AT""),11,0),iferror(vlookup(B29,importrange(""https://docs.google.com/"&amp;"spreadsheets/d/1p53T2AuvvIqhP7Nf-bo3Uhj8cbKYRPpZdsrBv3x3bAQ/edit?resourcekey#gid=1321652304"",""Prop!$AU$1:$BE""),11,0),iferror(vlookup(B29,importrange(""https://docs.google.com/spreadsheets/d/1p53T2AuvvIqhP7Nf-bo3Uhj8cbKYRPpZdsrBv3x3bAQ/edit?resourcekey#"&amp;"gid=1321652304"",""Prop!$BF$1:$BP""),11,0),iferror(vlookup(B29,importrange(""https://docs.google.com/spreadsheets/d/1p53T2AuvvIqhP7Nf-bo3Uhj8cbKYRPpZdsrBv3x3bAQ/edit?resourcekey#gid=1321652304"",""Prop!$BQ$1:$CA""),11,0),iferror(vlookup(B29,importrange("""&amp;"https://docs.google.com/spreadsheets/d/1p53T2AuvvIqhP7Nf-bo3Uhj8cbKYRPpZdsrBv3x3bAQ/edit?resourcekey#gid=1321652304"",""Prop!$CB$1:$CL""),11,0),iferror(vlookup(B29,importrange(""https://docs.google.com/spreadsheets/d/1p53T2AuvvIqhP7Nf-bo3Uhj8cbKYRPpZdsrBv"&amp;"3x3bAQ/edit?resourcekey#gid=1321652304"",""Prop!$CM$1:$CX""),12,0),iferror(vlookup(B29,importrange(""https://docs.google.com/spreadsheets/d/1p53T2AuvvIqhP7Nf-bo3Uhj8cbKYRPpZdsrBv3x3bAQ/edit?resourcekey#gid=1321652304"",""Prop!$CY$1:$DI""),11,0)))))))))))"),"https://drive.google.com/open?id=1JD45eB0EfqK1iIeu8ujMySIGD1x_8kcW")</f>
        <v>https://drive.google.com/open?id=1JD45eB0EfqK1iIeu8ujMySIGD1x_8kcW</v>
      </c>
      <c r="R29" s="88" t="s">
        <v>1101</v>
      </c>
      <c r="S29" s="20" t="str">
        <f ca="1">IFERROR(__xludf.DUMMYFUNCTION("IFERROR(vlookup(B29,IMPORTRANGE(""https://docs.google.com/spreadsheets/d/1g_jfYYK_KeipEDNDUgqgrsxK94XiocfNQIcP-v1QVhI/edit?resourcekey#gid=233272945"",""Nilai!B:CT""),57,0),"" "")"),"sesuai hasil bikom 4")</f>
        <v>sesuai hasil bikom 4</v>
      </c>
      <c r="T29" s="20" t="str">
        <f ca="1">IFERROR(__xludf.DUMMYFUNCTION("IFERROR(vlookup(B29,IMPORTRANGE(""https://docs.google.com/spreadsheets/d/1g_jfYYK_KeipEDNDUgqgrsxK94XiocfNQIcP-v1QVhI/edit?resourcekey#gid=233272945"",""Nilai!B:CT""),97,0),"" "")"),"LAYAK UPLOAD KE SIMBELMAWA DENGAN REVISI")</f>
        <v>LAYAK UPLOAD KE SIMBELMAWA DENGAN REVISI</v>
      </c>
      <c r="U29" s="21" t="s">
        <v>660</v>
      </c>
      <c r="V29" s="85" t="s">
        <v>1102</v>
      </c>
      <c r="W29" s="17" t="s">
        <v>1119</v>
      </c>
      <c r="X29" s="34" t="s">
        <v>949</v>
      </c>
    </row>
    <row r="30" spans="1:27" ht="69">
      <c r="A30" s="15">
        <v>28</v>
      </c>
      <c r="B30" s="15">
        <f ca="1">IFERROR(__xludf.DUMMYFUNCTION("""COMPUTED_VALUE"""),4088)</f>
        <v>4088</v>
      </c>
      <c r="C30" s="16" t="str">
        <f ca="1">IFERROR(__xludf.DUMMYFUNCTION("""COMPUTED_VALUE"""),"UMI ARIFATUS SHOIFAH")</f>
        <v>UMI ARIFATUS SHOIFAH</v>
      </c>
      <c r="D30" s="16" t="str">
        <f ca="1">IFERROR(__xludf.DUMMYFUNCTION("""COMPUTED_VALUE"""),"10111810010025")</f>
        <v>10111810010025</v>
      </c>
      <c r="E30" s="16" t="str">
        <f ca="1">IFERROR(__xludf.DUMMYFUNCTION("""COMPUTED_VALUE"""),"Departemen Teknik Infrastruktur Sipil")</f>
        <v>Departemen Teknik Infrastruktur Sipil</v>
      </c>
      <c r="F30" s="16" t="str">
        <f ca="1">IFERROR(__xludf.DUMMYFUNCTION("""COMPUTED_VALUE"""),"STUDI PENGARUH SUPERPLASTICIZER TERHADAP WORKABILITY BETON GEOPOLIMER MUTU TINGGI BERBASIS HIGH CALCIUM FLY ASH TYPE C  DENGAN METODE KERING")</f>
        <v>STUDI PENGARUH SUPERPLASTICIZER TERHADAP WORKABILITY BETON GEOPOLIMER MUTU TINGGI BERBASIS HIGH CALCIUM FLY ASH TYPE C  DENGAN METODE KERING</v>
      </c>
      <c r="G30" s="16" t="str">
        <f ca="1">IFERROR(__xludf.DUMMYFUNCTION("""COMPUTED_VALUE"""),"Dr.Eng. Yuyun Tajunnisa, S.T., M.T.")</f>
        <v>Dr.Eng. Yuyun Tajunnisa, S.T., M.T.</v>
      </c>
      <c r="H30" s="16" t="str">
        <f ca="1">IFERROR(__xludf.DUMMYFUNCTION("""COMPUTED_VALUE"""),"Dr. Awik Puji Dyah Nurhayati, S.Si., M.Si.")</f>
        <v>Dr. Awik Puji Dyah Nurhayati, S.Si., M.Si.</v>
      </c>
      <c r="I30" s="16" t="str">
        <f ca="1">IFERROR(__xludf.DUMMYFUNCTION("""COMPUTED_VALUE"""),"Sena Safarina , S.Si., M.Sc., D.Sc")</f>
        <v>Sena Safarina , S.Si., M.Sc., D.Sc</v>
      </c>
      <c r="J30" s="16"/>
      <c r="K30" s="17" t="s">
        <v>1114</v>
      </c>
      <c r="L30" s="17" t="s">
        <v>1116</v>
      </c>
      <c r="M30" s="19" t="b">
        <v>1</v>
      </c>
      <c r="N30" s="19" t="b">
        <v>1</v>
      </c>
      <c r="O30" s="1" t="s">
        <v>1117</v>
      </c>
      <c r="P30" s="7" t="str">
        <f ca="1">IFERROR(__xludf.DUMMYFUNCTION("iferror(vlookup(B30,importrange(""https://docs.google.com/spreadsheets/d/1boHyJQ4e2FU0QG8MHwEi6qjX4hvZWVCHcFfXjq7bbMc/edit?resourcekey#gid=923248883"",""Prop!$C$1:$M""),11,0),IFERROR(vlookup(B30,importrange(""https://docs.google.com/spreadsheets/d/1boHyJQ"&amp;"4e2FU0QG8MHwEi6qjX4hvZWVCHcFfXjq7bbMc/edit?resourcekey#gid=923248883"",""Prop!$N$1:$X""),11,0),iferror(vlookup(B30,importrange(""https://docs.google.com/spreadsheets/d/1boHyJQ4e2FU0QG8MHwEi6qjX4hvZWVCHcFfXjq7bbMc/edit?resourcekey#gid=923248883"",""Prop!$Y"&amp;"$1:$AI""),11,0),iferror(vlookup(B30,importrange(""https://docs.google.com/spreadsheets/d/1boHyJQ4e2FU0QG8MHwEi6qjX4hvZWVCHcFfXjq7bbMc/edit?resourcekey#gid=923248883"",""Prop!$AJ$1:$AT""),11,0),iferror(vlookup(B30,importrange(""https://docs.google.com/spre"&amp;"adsheets/d/1boHyJQ4e2FU0QG8MHwEi6qjX4hvZWVCHcFfXjq7bbMc/edit?resourcekey#gid=923248883"",""Prop!$AU$1:$BE""),11,0),iferror(vlookup(B30,importrange(""https://docs.google.com/spreadsheets/d/1boHyJQ4e2FU0QG8MHwEi6qjX4hvZWVCHcFfXjq7bbMc/edit?resourcekey#gid=9"&amp;"23248883"",""Prop!$BF$1:$BP""),11,0),iferror(vlookup(B30,importrange(""https://docs.google.com/spreadsheets/d/1boHyJQ4e2FU0QG8MHwEi6qjX4hvZWVCHcFfXjq7bbMc/edit?resourcekey#gid=923248883"",""Prop!$BQ$1:$CA""),11,0),iferror(vlookup(B30,importrange(""https:/"&amp;"/docs.google.com/spreadsheets/d/1boHyJQ4e2FU0QG8MHwEi6qjX4hvZWVCHcFfXjq7bbMc/edit?resourcekey#gid=923248883"",""Prop!$CB$1:$CL""),11,0),iferror(vlookup(B30,importrange(""https://docs.google.com/spreadsheets/d/1boHyJQ4e2FU0QG8MHwEi6qjX4hvZWVCHcFfXjq7bbMc/e"&amp;"dit?resourcekey#gid=923248883"",""Prop!$CM$1:$CX""),12,0),iferror(vlookup(B30,importrange(""https://docs.google.com/spreadsheets/d/1boHyJQ4e2FU0QG8MHwEi6qjX4hvZWVCHcFfXjq7bbMc/edit?resourcekey#gid=923248883"",""Prop!$CV$1:$DI""),11,0)))))))))))"),"https://drive.google.com/open?id=1VlmSiZSVRZNnEAkqoMYm4hRzFiVYcBXZ")</f>
        <v>https://drive.google.com/open?id=1VlmSiZSVRZNnEAkqoMYm4hRzFiVYcBXZ</v>
      </c>
      <c r="Q30" s="50" t="str">
        <f ca="1">IFERROR(__xludf.DUMMYFUNCTION("iferror(vlookup(B30,importrange(""https://docs.google.com/spreadsheets/d/1p53T2AuvvIqhP7Nf-bo3Uhj8cbKYRPpZdsrBv3x3bAQ/edit?resourcekey#gid=1321652304"",""Prop!$C$1:$M""),11,0),IFERROR(vlookup(B30,importrange(""https://docs.google.com/spreadsheets/d/1p53T2"&amp;"AuvvIqhP7Nf-bo3Uhj8cbKYRPpZdsrBv3x3bAQ/edit?resourcekey#gid=1321652304"",""Prop!$N$1:$X""),11,0),iferror(vlookup(B30,importrange(""https://docs.google.com/spreadsheets/d/1p53T2AuvvIqhP7Nf-bo3Uhj8cbKYRPpZdsrBv3x3bAQ/edit?resourcekey#gid=1321652304"",""Prop"&amp;"!$Y$1:$AI""),11,0),iferror(vlookup(B30,importrange(""https://docs.google.com/spreadsheets/d/1p53T2AuvvIqhP7Nf-bo3Uhj8cbKYRPpZdsrBv3x3bAQ/edit?resourcekey#gid=1321652304"",""Prop!$AJ$1:$AT""),11,0),iferror(vlookup(B30,importrange(""https://docs.google.com/"&amp;"spreadsheets/d/1p53T2AuvvIqhP7Nf-bo3Uhj8cbKYRPpZdsrBv3x3bAQ/edit?resourcekey#gid=1321652304"",""Prop!$AU$1:$BE""),11,0),iferror(vlookup(B30,importrange(""https://docs.google.com/spreadsheets/d/1p53T2AuvvIqhP7Nf-bo3Uhj8cbKYRPpZdsrBv3x3bAQ/edit?resourcekey#"&amp;"gid=1321652304"",""Prop!$BF$1:$BP""),11,0),iferror(vlookup(B30,importrange(""https://docs.google.com/spreadsheets/d/1p53T2AuvvIqhP7Nf-bo3Uhj8cbKYRPpZdsrBv3x3bAQ/edit?resourcekey#gid=1321652304"",""Prop!$BQ$1:$CA""),11,0),iferror(vlookup(B30,importrange("""&amp;"https://docs.google.com/spreadsheets/d/1p53T2AuvvIqhP7Nf-bo3Uhj8cbKYRPpZdsrBv3x3bAQ/edit?resourcekey#gid=1321652304"",""Prop!$CB$1:$CL""),11,0),iferror(vlookup(B30,importrange(""https://docs.google.com/spreadsheets/d/1p53T2AuvvIqhP7Nf-bo3Uhj8cbKYRPpZdsrBv"&amp;"3x3bAQ/edit?resourcekey#gid=1321652304"",""Prop!$CM$1:$CX""),12,0),iferror(vlookup(B30,importrange(""https://docs.google.com/spreadsheets/d/1p53T2AuvvIqhP7Nf-bo3Uhj8cbKYRPpZdsrBv3x3bAQ/edit?resourcekey#gid=1321652304"",""Prop!$CY$1:$DI""),11,0)))))))))))"),"https://drive.google.com/open?id=1KziH9QiIAlhbieZrSIAnYLGS-iLH48y6")</f>
        <v>https://drive.google.com/open?id=1KziH9QiIAlhbieZrSIAnYLGS-iLH48y6</v>
      </c>
      <c r="R30" s="88" t="s">
        <v>1101</v>
      </c>
      <c r="S30" s="20" t="str">
        <f ca="1">IFERROR(__xludf.DUMMYFUNCTION("IFERROR(vlookup(B30,IMPORTRANGE(""https://docs.google.com/spreadsheets/d/1g_jfYYK_KeipEDNDUgqgrsxK94XiocfNQIcP-v1QVhI/edit?resourcekey#gid=233272945"",""Nilai!B:CT""),57,0),"" "")"),"lihat pdf")</f>
        <v>lihat pdf</v>
      </c>
      <c r="T30" s="20" t="str">
        <f ca="1">IFERROR(__xludf.DUMMYFUNCTION("IFERROR(vlookup(B30,IMPORTRANGE(""https://docs.google.com/spreadsheets/d/1g_jfYYK_KeipEDNDUgqgrsxK94XiocfNQIcP-v1QVhI/edit?resourcekey#gid=233272945"",""Nilai!B:CT""),97,0),"" "")"),"LAYAK UPLOAD KE SIMBELMAWA DENGAN REVISI")</f>
        <v>LAYAK UPLOAD KE SIMBELMAWA DENGAN REVISI</v>
      </c>
      <c r="U30" s="21" t="s">
        <v>660</v>
      </c>
      <c r="V30" s="85" t="s">
        <v>1102</v>
      </c>
      <c r="W30" s="17" t="s">
        <v>1119</v>
      </c>
      <c r="X30" s="34" t="b">
        <v>0</v>
      </c>
    </row>
    <row r="31" spans="1:27" ht="43.2">
      <c r="A31" s="15">
        <v>29</v>
      </c>
      <c r="B31" s="15">
        <f ca="1">IFERROR(__xludf.DUMMYFUNCTION("""COMPUTED_VALUE"""),3550)</f>
        <v>3550</v>
      </c>
      <c r="C31" s="16" t="str">
        <f ca="1">IFERROR(__xludf.DUMMYFUNCTION("""COMPUTED_VALUE"""),"RICCO PRIMARIO LISANTO")</f>
        <v>RICCO PRIMARIO LISANTO</v>
      </c>
      <c r="D31" s="16" t="str">
        <f ca="1">IFERROR(__xludf.DUMMYFUNCTION("""COMPUTED_VALUE"""),"10411810000035")</f>
        <v>10411810000035</v>
      </c>
      <c r="E31" s="16" t="str">
        <f ca="1">IFERROR(__xludf.DUMMYFUNCTION("""COMPUTED_VALUE"""),"Departemen Teknik Kimia Industri")</f>
        <v>Departemen Teknik Kimia Industri</v>
      </c>
      <c r="F31" s="16" t="str">
        <f ca="1">IFERROR(__xludf.DUMMYFUNCTION("""COMPUTED_VALUE"""),"Pengolahan Limbah Cair Kegiatan Bengkel Menggunakan Metode 
Elektrokoagulasi")</f>
        <v>Pengolahan Limbah Cair Kegiatan Bengkel Menggunakan Metode 
Elektrokoagulasi</v>
      </c>
      <c r="G31" s="16" t="str">
        <f ca="1">IFERROR(__xludf.DUMMYFUNCTION("""COMPUTED_VALUE"""),"Prof. Dr. Ir. Soeprijanto, M.Sc.")</f>
        <v>Prof. Dr. Ir. Soeprijanto, M.Sc.</v>
      </c>
      <c r="H31" s="16" t="str">
        <f ca="1">IFERROR(__xludf.DUMMYFUNCTION("""COMPUTED_VALUE"""),"Dr.Eng. Siti Machmudah, S.T., M.Eng.")</f>
        <v>Dr.Eng. Siti Machmudah, S.T., M.Eng.</v>
      </c>
      <c r="I31" s="16" t="str">
        <f ca="1">IFERROR(__xludf.DUMMYFUNCTION("""COMPUTED_VALUE"""),"Dra. Ratna Ediati, MS., Ph.D.")</f>
        <v>Dra. Ratna Ediati, MS., Ph.D.</v>
      </c>
      <c r="J31" s="16"/>
      <c r="K31" s="17" t="s">
        <v>1114</v>
      </c>
      <c r="L31" s="17" t="s">
        <v>1120</v>
      </c>
      <c r="M31" s="19" t="b">
        <v>0</v>
      </c>
      <c r="N31" s="19" t="b">
        <v>0</v>
      </c>
      <c r="O31" s="1" t="s">
        <v>1104</v>
      </c>
      <c r="P31" s="7" t="str">
        <f ca="1">IFERROR(__xludf.DUMMYFUNCTION("iferror(vlookup(B31,importrange(""https://docs.google.com/spreadsheets/d/1boHyJQ4e2FU0QG8MHwEi6qjX4hvZWVCHcFfXjq7bbMc/edit?resourcekey#gid=923248883"",""Prop!$C$1:$M""),11,0),IFERROR(vlookup(B31,importrange(""https://docs.google.com/spreadsheets/d/1boHyJQ"&amp;"4e2FU0QG8MHwEi6qjX4hvZWVCHcFfXjq7bbMc/edit?resourcekey#gid=923248883"",""Prop!$N$1:$X""),11,0),iferror(vlookup(B31,importrange(""https://docs.google.com/spreadsheets/d/1boHyJQ4e2FU0QG8MHwEi6qjX4hvZWVCHcFfXjq7bbMc/edit?resourcekey#gid=923248883"",""Prop!$Y"&amp;"$1:$AI""),11,0),iferror(vlookup(B31,importrange(""https://docs.google.com/spreadsheets/d/1boHyJQ4e2FU0QG8MHwEi6qjX4hvZWVCHcFfXjq7bbMc/edit?resourcekey#gid=923248883"",""Prop!$AJ$1:$AT""),11,0),iferror(vlookup(B31,importrange(""https://docs.google.com/spre"&amp;"adsheets/d/1boHyJQ4e2FU0QG8MHwEi6qjX4hvZWVCHcFfXjq7bbMc/edit?resourcekey#gid=923248883"",""Prop!$AU$1:$BE""),11,0),iferror(vlookup(B31,importrange(""https://docs.google.com/spreadsheets/d/1boHyJQ4e2FU0QG8MHwEi6qjX4hvZWVCHcFfXjq7bbMc/edit?resourcekey#gid=9"&amp;"23248883"",""Prop!$BF$1:$BP""),11,0),iferror(vlookup(B31,importrange(""https://docs.google.com/spreadsheets/d/1boHyJQ4e2FU0QG8MHwEi6qjX4hvZWVCHcFfXjq7bbMc/edit?resourcekey#gid=923248883"",""Prop!$BQ$1:$CA""),11,0),iferror(vlookup(B31,importrange(""https:/"&amp;"/docs.google.com/spreadsheets/d/1boHyJQ4e2FU0QG8MHwEi6qjX4hvZWVCHcFfXjq7bbMc/edit?resourcekey#gid=923248883"",""Prop!$CB$1:$CL""),11,0),iferror(vlookup(B31,importrange(""https://docs.google.com/spreadsheets/d/1boHyJQ4e2FU0QG8MHwEi6qjX4hvZWVCHcFfXjq7bbMc/e"&amp;"dit?resourcekey#gid=923248883"",""Prop!$CM$1:$CX""),12,0),iferror(vlookup(B31,importrange(""https://docs.google.com/spreadsheets/d/1boHyJQ4e2FU0QG8MHwEi6qjX4hvZWVCHcFfXjq7bbMc/edit?resourcekey#gid=923248883"",""Prop!$CV$1:$DI""),11,0)))))))))))"),"https://drive.google.com/open?id=1JewB3Wy46E8dVsHQ2alOAwUgV2oMts3l")</f>
        <v>https://drive.google.com/open?id=1JewB3Wy46E8dVsHQ2alOAwUgV2oMts3l</v>
      </c>
      <c r="Q31" s="50" t="str">
        <f ca="1">IFERROR(__xludf.DUMMYFUNCTION("iferror(vlookup(B31,importrange(""https://docs.google.com/spreadsheets/d/1p53T2AuvvIqhP7Nf-bo3Uhj8cbKYRPpZdsrBv3x3bAQ/edit?resourcekey#gid=1321652304"",""Prop!$C$1:$M""),11,0),IFERROR(vlookup(B31,importrange(""https://docs.google.com/spreadsheets/d/1p53T2"&amp;"AuvvIqhP7Nf-bo3Uhj8cbKYRPpZdsrBv3x3bAQ/edit?resourcekey#gid=1321652304"",""Prop!$N$1:$X""),11,0),iferror(vlookup(B31,importrange(""https://docs.google.com/spreadsheets/d/1p53T2AuvvIqhP7Nf-bo3Uhj8cbKYRPpZdsrBv3x3bAQ/edit?resourcekey#gid=1321652304"",""Prop"&amp;"!$Y$1:$AI""),11,0),iferror(vlookup(B31,importrange(""https://docs.google.com/spreadsheets/d/1p53T2AuvvIqhP7Nf-bo3Uhj8cbKYRPpZdsrBv3x3bAQ/edit?resourcekey#gid=1321652304"",""Prop!$AJ$1:$AT""),11,0),iferror(vlookup(B31,importrange(""https://docs.google.com/"&amp;"spreadsheets/d/1p53T2AuvvIqhP7Nf-bo3Uhj8cbKYRPpZdsrBv3x3bAQ/edit?resourcekey#gid=1321652304"",""Prop!$AU$1:$BE""),11,0),iferror(vlookup(B31,importrange(""https://docs.google.com/spreadsheets/d/1p53T2AuvvIqhP7Nf-bo3Uhj8cbKYRPpZdsrBv3x3bAQ/edit?resourcekey#"&amp;"gid=1321652304"",""Prop!$BF$1:$BP""),11,0),iferror(vlookup(B31,importrange(""https://docs.google.com/spreadsheets/d/1p53T2AuvvIqhP7Nf-bo3Uhj8cbKYRPpZdsrBv3x3bAQ/edit?resourcekey#gid=1321652304"",""Prop!$BQ$1:$CA""),11,0),iferror(vlookup(B31,importrange("""&amp;"https://docs.google.com/spreadsheets/d/1p53T2AuvvIqhP7Nf-bo3Uhj8cbKYRPpZdsrBv3x3bAQ/edit?resourcekey#gid=1321652304"",""Prop!$CB$1:$CL""),11,0),iferror(vlookup(B31,importrange(""https://docs.google.com/spreadsheets/d/1p53T2AuvvIqhP7Nf-bo3Uhj8cbKYRPpZdsrBv"&amp;"3x3bAQ/edit?resourcekey#gid=1321652304"",""Prop!$CM$1:$CX""),12,0),iferror(vlookup(B31,importrange(""https://docs.google.com/spreadsheets/d/1p53T2AuvvIqhP7Nf-bo3Uhj8cbKYRPpZdsrBv3x3bAQ/edit?resourcekey#gid=1321652304"",""Prop!$CY$1:$DI""),11,0)))))))))))"),"https://drive.google.com/open?id=106EAT38dAzov53uXwmkkqyj3QUxYt9CF")</f>
        <v>https://drive.google.com/open?id=106EAT38dAzov53uXwmkkqyj3QUxYt9CF</v>
      </c>
      <c r="R31" s="88" t="s">
        <v>1101</v>
      </c>
      <c r="S31" s="20" t="str">
        <f ca="1">IFERROR(__xludf.DUMMYFUNCTION("IFERROR(vlookup(B31,IMPORTRANGE(""https://docs.google.com/spreadsheets/d/1g_jfYYK_KeipEDNDUgqgrsxK94XiocfNQIcP-v1QVhI/edit?resourcekey#gid=233272945"",""Nilai!B:CT""),57,0),"" "")"),"tidak ada kreativitas")</f>
        <v>tidak ada kreativitas</v>
      </c>
      <c r="T31" s="20" t="str">
        <f ca="1">IFERROR(__xludf.DUMMYFUNCTION("IFERROR(vlookup(B31,IMPORTRANGE(""https://docs.google.com/spreadsheets/d/1g_jfYYK_KeipEDNDUgqgrsxK94XiocfNQIcP-v1QVhI/edit?resourcekey#gid=233272945"",""Nilai!B:CT""),97,0),"" "")"),"TIDAK LAYAK UPLOAD KE SIMBELMAWA")</f>
        <v>TIDAK LAYAK UPLOAD KE SIMBELMAWA</v>
      </c>
      <c r="U31" s="21" t="s">
        <v>660</v>
      </c>
      <c r="V31" s="85" t="s">
        <v>1102</v>
      </c>
      <c r="W31" s="17" t="s">
        <v>1121</v>
      </c>
      <c r="X31" s="34" t="b">
        <v>0</v>
      </c>
    </row>
    <row r="32" spans="1:27" ht="57.6">
      <c r="A32" s="15">
        <v>30</v>
      </c>
      <c r="B32" s="15">
        <f ca="1">IFERROR(__xludf.DUMMYFUNCTION("""COMPUTED_VALUE"""),3491)</f>
        <v>3491</v>
      </c>
      <c r="C32" s="16" t="str">
        <f ca="1">IFERROR(__xludf.DUMMYFUNCTION("""COMPUTED_VALUE"""),"JONATHAN ARZA PUTRA")</f>
        <v>JONATHAN ARZA PUTRA</v>
      </c>
      <c r="D32" s="16" t="str">
        <f ca="1">IFERROR(__xludf.DUMMYFUNCTION("""COMPUTED_VALUE"""),"5011201075")</f>
        <v>5011201075</v>
      </c>
      <c r="E32" s="16" t="str">
        <f ca="1">IFERROR(__xludf.DUMMYFUNCTION("""COMPUTED_VALUE"""),"Departemen Teknik Material dan Metalurgi")</f>
        <v>Departemen Teknik Material dan Metalurgi</v>
      </c>
      <c r="F32" s="16" t="str">
        <f ca="1">IFERROR(__xludf.DUMMYFUNCTION("""COMPUTED_VALUE"""),"Aktivitas Konsorsium Fungi Pennicillium Crysogenum dan Rhizopus Oryzae sebagai Agen Pengekstraksi Nikel dari Bijih Logam Berkadar Rendah dengan Metode Biohydrometallurgy")</f>
        <v>Aktivitas Konsorsium Fungi Pennicillium Crysogenum dan Rhizopus Oryzae sebagai Agen Pengekstraksi Nikel dari Bijih Logam Berkadar Rendah dengan Metode Biohydrometallurgy</v>
      </c>
      <c r="G32" s="16" t="str">
        <f ca="1">IFERROR(__xludf.DUMMYFUNCTION("""COMPUTED_VALUE"""),"Dian Mughni Fellicia, ST., M.Sc")</f>
        <v>Dian Mughni Fellicia, ST., M.Sc</v>
      </c>
      <c r="H32" s="16" t="str">
        <f ca="1">IFERROR(__xludf.DUMMYFUNCTION("""COMPUTED_VALUE"""),"Muhammad Syifaul Mufid, S.Si.,M.Si")</f>
        <v>Muhammad Syifaul Mufid, S.Si.,M.Si</v>
      </c>
      <c r="I32" s="16" t="str">
        <f ca="1">IFERROR(__xludf.DUMMYFUNCTION("""COMPUTED_VALUE"""),"Dra. Ratna Ediati, MS., Ph.D.")</f>
        <v>Dra. Ratna Ediati, MS., Ph.D.</v>
      </c>
      <c r="J32" s="16"/>
      <c r="K32" s="17" t="s">
        <v>1114</v>
      </c>
      <c r="L32" s="17" t="s">
        <v>1120</v>
      </c>
      <c r="M32" s="19" t="b">
        <v>0</v>
      </c>
      <c r="N32" s="19" t="b">
        <v>1</v>
      </c>
      <c r="O32" s="1" t="s">
        <v>1122</v>
      </c>
      <c r="P32" s="7" t="str">
        <f ca="1">IFERROR(__xludf.DUMMYFUNCTION("iferror(vlookup(B32,importrange(""https://docs.google.com/spreadsheets/d/1boHyJQ4e2FU0QG8MHwEi6qjX4hvZWVCHcFfXjq7bbMc/edit?resourcekey#gid=923248883"",""Prop!$C$1:$M""),11,0),IFERROR(vlookup(B32,importrange(""https://docs.google.com/spreadsheets/d/1boHyJQ"&amp;"4e2FU0QG8MHwEi6qjX4hvZWVCHcFfXjq7bbMc/edit?resourcekey#gid=923248883"",""Prop!$N$1:$X""),11,0),iferror(vlookup(B32,importrange(""https://docs.google.com/spreadsheets/d/1boHyJQ4e2FU0QG8MHwEi6qjX4hvZWVCHcFfXjq7bbMc/edit?resourcekey#gid=923248883"",""Prop!$Y"&amp;"$1:$AI""),11,0),iferror(vlookup(B32,importrange(""https://docs.google.com/spreadsheets/d/1boHyJQ4e2FU0QG8MHwEi6qjX4hvZWVCHcFfXjq7bbMc/edit?resourcekey#gid=923248883"",""Prop!$AJ$1:$AT""),11,0),iferror(vlookup(B32,importrange(""https://docs.google.com/spre"&amp;"adsheets/d/1boHyJQ4e2FU0QG8MHwEi6qjX4hvZWVCHcFfXjq7bbMc/edit?resourcekey#gid=923248883"",""Prop!$AU$1:$BE""),11,0),iferror(vlookup(B32,importrange(""https://docs.google.com/spreadsheets/d/1boHyJQ4e2FU0QG8MHwEi6qjX4hvZWVCHcFfXjq7bbMc/edit?resourcekey#gid=9"&amp;"23248883"",""Prop!$BF$1:$BP""),11,0),iferror(vlookup(B32,importrange(""https://docs.google.com/spreadsheets/d/1boHyJQ4e2FU0QG8MHwEi6qjX4hvZWVCHcFfXjq7bbMc/edit?resourcekey#gid=923248883"",""Prop!$BQ$1:$CA""),11,0),iferror(vlookup(B32,importrange(""https:/"&amp;"/docs.google.com/spreadsheets/d/1boHyJQ4e2FU0QG8MHwEi6qjX4hvZWVCHcFfXjq7bbMc/edit?resourcekey#gid=923248883"",""Prop!$CB$1:$CL""),11,0),iferror(vlookup(B32,importrange(""https://docs.google.com/spreadsheets/d/1boHyJQ4e2FU0QG8MHwEi6qjX4hvZWVCHcFfXjq7bbMc/e"&amp;"dit?resourcekey#gid=923248883"",""Prop!$CM$1:$CX""),12,0),iferror(vlookup(B32,importrange(""https://docs.google.com/spreadsheets/d/1boHyJQ4e2FU0QG8MHwEi6qjX4hvZWVCHcFfXjq7bbMc/edit?resourcekey#gid=923248883"",""Prop!$CV$1:$DI""),11,0)))))))))))"),"https://drive.google.com/open?id=1eblCw5rWuxuLEB1Koq3-pf46DzuT3KXm")</f>
        <v>https://drive.google.com/open?id=1eblCw5rWuxuLEB1Koq3-pf46DzuT3KXm</v>
      </c>
      <c r="Q32" s="50" t="str">
        <f ca="1">IFERROR(__xludf.DUMMYFUNCTION("iferror(vlookup(B32,importrange(""https://docs.google.com/spreadsheets/d/1p53T2AuvvIqhP7Nf-bo3Uhj8cbKYRPpZdsrBv3x3bAQ/edit?resourcekey#gid=1321652304"",""Prop!$C$1:$M""),11,0),IFERROR(vlookup(B32,importrange(""https://docs.google.com/spreadsheets/d/1p53T2"&amp;"AuvvIqhP7Nf-bo3Uhj8cbKYRPpZdsrBv3x3bAQ/edit?resourcekey#gid=1321652304"",""Prop!$N$1:$X""),11,0),iferror(vlookup(B32,importrange(""https://docs.google.com/spreadsheets/d/1p53T2AuvvIqhP7Nf-bo3Uhj8cbKYRPpZdsrBv3x3bAQ/edit?resourcekey#gid=1321652304"",""Prop"&amp;"!$Y$1:$AI""),11,0),iferror(vlookup(B32,importrange(""https://docs.google.com/spreadsheets/d/1p53T2AuvvIqhP7Nf-bo3Uhj8cbKYRPpZdsrBv3x3bAQ/edit?resourcekey#gid=1321652304"",""Prop!$AJ$1:$AT""),11,0),iferror(vlookup(B32,importrange(""https://docs.google.com/"&amp;"spreadsheets/d/1p53T2AuvvIqhP7Nf-bo3Uhj8cbKYRPpZdsrBv3x3bAQ/edit?resourcekey#gid=1321652304"",""Prop!$AU$1:$BE""),11,0),iferror(vlookup(B32,importrange(""https://docs.google.com/spreadsheets/d/1p53T2AuvvIqhP7Nf-bo3Uhj8cbKYRPpZdsrBv3x3bAQ/edit?resourcekey#"&amp;"gid=1321652304"",""Prop!$BF$1:$BP""),11,0),iferror(vlookup(B32,importrange(""https://docs.google.com/spreadsheets/d/1p53T2AuvvIqhP7Nf-bo3Uhj8cbKYRPpZdsrBv3x3bAQ/edit?resourcekey#gid=1321652304"",""Prop!$BQ$1:$CA""),11,0),iferror(vlookup(B32,importrange("""&amp;"https://docs.google.com/spreadsheets/d/1p53T2AuvvIqhP7Nf-bo3Uhj8cbKYRPpZdsrBv3x3bAQ/edit?resourcekey#gid=1321652304"",""Prop!$CB$1:$CL""),11,0),iferror(vlookup(B32,importrange(""https://docs.google.com/spreadsheets/d/1p53T2AuvvIqhP7Nf-bo3Uhj8cbKYRPpZdsrBv"&amp;"3x3bAQ/edit?resourcekey#gid=1321652304"",""Prop!$CM$1:$CX""),12,0),iferror(vlookup(B32,importrange(""https://docs.google.com/spreadsheets/d/1p53T2AuvvIqhP7Nf-bo3Uhj8cbKYRPpZdsrBv3x3bAQ/edit?resourcekey#gid=1321652304"",""Prop!$CY$1:$DI""),11,0)))))))))))"),"https://drive.google.com/open?id=1OIwDLbi64pLCmwHwE2lIcMuqa0ByazCD")</f>
        <v>https://drive.google.com/open?id=1OIwDLbi64pLCmwHwE2lIcMuqa0ByazCD</v>
      </c>
      <c r="R32" s="88" t="s">
        <v>1101</v>
      </c>
      <c r="S32" s="20" t="str">
        <f ca="1">IFERROR(__xludf.DUMMYFUNCTION("IFERROR(vlookup(B32,IMPORTRANGE(""https://docs.google.com/spreadsheets/d/1g_jfYYK_KeipEDNDUgqgrsxK94XiocfNQIcP-v1QVhI/edit?resourcekey#gid=233272945"",""Nilai!B:CT""),57,0),"" "")"),"proposal tidak jelas dan secara format berantakan")</f>
        <v>proposal tidak jelas dan secara format berantakan</v>
      </c>
      <c r="T32" s="20" t="str">
        <f ca="1">IFERROR(__xludf.DUMMYFUNCTION("IFERROR(vlookup(B32,IMPORTRANGE(""https://docs.google.com/spreadsheets/d/1g_jfYYK_KeipEDNDUgqgrsxK94XiocfNQIcP-v1QVhI/edit?resourcekey#gid=233272945"",""Nilai!B:CT""),97,0),"" "")"),"TIDAK LAYAK UPLOAD KE SIMBELMAWA")</f>
        <v>TIDAK LAYAK UPLOAD KE SIMBELMAWA</v>
      </c>
      <c r="U32" s="21" t="s">
        <v>660</v>
      </c>
      <c r="V32" s="85" t="s">
        <v>1102</v>
      </c>
      <c r="W32" s="17" t="s">
        <v>1121</v>
      </c>
      <c r="X32" s="34" t="s">
        <v>949</v>
      </c>
    </row>
    <row r="33" spans="1:24" ht="69">
      <c r="A33" s="15">
        <v>31</v>
      </c>
      <c r="B33" s="15">
        <f ca="1">IFERROR(__xludf.DUMMYFUNCTION("""COMPUTED_VALUE"""),3141)</f>
        <v>3141</v>
      </c>
      <c r="C33" s="16" t="str">
        <f ca="1">IFERROR(__xludf.DUMMYFUNCTION("""COMPUTED_VALUE"""),"MUHAMMAD UBAYDHILLAH")</f>
        <v>MUHAMMAD UBAYDHILLAH</v>
      </c>
      <c r="D33" s="16" t="str">
        <f ca="1">IFERROR(__xludf.DUMMYFUNCTION("""COMPUTED_VALUE"""),"5004201062")</f>
        <v>5004201062</v>
      </c>
      <c r="E33" s="16" t="str">
        <f ca="1">IFERROR(__xludf.DUMMYFUNCTION("""COMPUTED_VALUE"""),"Departemen Kimia")</f>
        <v>Departemen Kimia</v>
      </c>
      <c r="F33" s="16" t="str">
        <f ca="1">IFERROR(__xludf.DUMMYFUNCTION("""COMPUTED_VALUE"""),"Potensi Nanokapsul Ekstrak Etanol Biji, Akar, dan Kulit Batang Jatropha curcas: Evaluasi Antioksidan dan Sitotoksisitas Terhadap Sel Kanker Payudara MCF-7")</f>
        <v>Potensi Nanokapsul Ekstrak Etanol Biji, Akar, dan Kulit Batang Jatropha curcas: Evaluasi Antioksidan dan Sitotoksisitas Terhadap Sel Kanker Payudara MCF-7</v>
      </c>
      <c r="G33" s="16" t="str">
        <f ca="1">IFERROR(__xludf.DUMMYFUNCTION("""COMPUTED_VALUE"""),"Arif Fadlan, S.Si., M.Si., D.Sc")</f>
        <v>Arif Fadlan, S.Si., M.Si., D.Sc</v>
      </c>
      <c r="H33" s="16" t="str">
        <f ca="1">IFERROR(__xludf.DUMMYFUNCTION("""COMPUTED_VALUE"""),"Ahmad Fauzan Adziimaa, S.T., M.Sc.")</f>
        <v>Ahmad Fauzan Adziimaa, S.T., M.Sc.</v>
      </c>
      <c r="I33" s="16" t="str">
        <f ca="1">IFERROR(__xludf.DUMMYFUNCTION("""COMPUTED_VALUE"""),"Azzah Dyah Pramata, S.T., M.T., M.Eng., Ph.D.")</f>
        <v>Azzah Dyah Pramata, S.T., M.T., M.Eng., Ph.D.</v>
      </c>
      <c r="J33" s="16"/>
      <c r="K33" s="17" t="s">
        <v>1114</v>
      </c>
      <c r="L33" s="17" t="s">
        <v>1120</v>
      </c>
      <c r="M33" s="19" t="b">
        <v>1</v>
      </c>
      <c r="N33" s="19" t="b">
        <v>1</v>
      </c>
      <c r="O33" s="1" t="s">
        <v>1117</v>
      </c>
      <c r="P33" s="7" t="str">
        <f ca="1">IFERROR(__xludf.DUMMYFUNCTION("iferror(vlookup(B33,importrange(""https://docs.google.com/spreadsheets/d/1boHyJQ4e2FU0QG8MHwEi6qjX4hvZWVCHcFfXjq7bbMc/edit?resourcekey#gid=923248883"",""Prop!$C$1:$M""),11,0),IFERROR(vlookup(B33,importrange(""https://docs.google.com/spreadsheets/d/1boHyJQ"&amp;"4e2FU0QG8MHwEi6qjX4hvZWVCHcFfXjq7bbMc/edit?resourcekey#gid=923248883"",""Prop!$N$1:$X""),11,0),iferror(vlookup(B33,importrange(""https://docs.google.com/spreadsheets/d/1boHyJQ4e2FU0QG8MHwEi6qjX4hvZWVCHcFfXjq7bbMc/edit?resourcekey#gid=923248883"",""Prop!$Y"&amp;"$1:$AI""),11,0),iferror(vlookup(B33,importrange(""https://docs.google.com/spreadsheets/d/1boHyJQ4e2FU0QG8MHwEi6qjX4hvZWVCHcFfXjq7bbMc/edit?resourcekey#gid=923248883"",""Prop!$AJ$1:$AT""),11,0),iferror(vlookup(B33,importrange(""https://docs.google.com/spre"&amp;"adsheets/d/1boHyJQ4e2FU0QG8MHwEi6qjX4hvZWVCHcFfXjq7bbMc/edit?resourcekey#gid=923248883"",""Prop!$AU$1:$BE""),11,0),iferror(vlookup(B33,importrange(""https://docs.google.com/spreadsheets/d/1boHyJQ4e2FU0QG8MHwEi6qjX4hvZWVCHcFfXjq7bbMc/edit?resourcekey#gid=9"&amp;"23248883"",""Prop!$BF$1:$BP""),11,0),iferror(vlookup(B33,importrange(""https://docs.google.com/spreadsheets/d/1boHyJQ4e2FU0QG8MHwEi6qjX4hvZWVCHcFfXjq7bbMc/edit?resourcekey#gid=923248883"",""Prop!$BQ$1:$CA""),11,0),iferror(vlookup(B33,importrange(""https:/"&amp;"/docs.google.com/spreadsheets/d/1boHyJQ4e2FU0QG8MHwEi6qjX4hvZWVCHcFfXjq7bbMc/edit?resourcekey#gid=923248883"",""Prop!$CB$1:$CL""),11,0),iferror(vlookup(B33,importrange(""https://docs.google.com/spreadsheets/d/1boHyJQ4e2FU0QG8MHwEi6qjX4hvZWVCHcFfXjq7bbMc/e"&amp;"dit?resourcekey#gid=923248883"",""Prop!$CM$1:$CX""),12,0),iferror(vlookup(B33,importrange(""https://docs.google.com/spreadsheets/d/1boHyJQ4e2FU0QG8MHwEi6qjX4hvZWVCHcFfXjq7bbMc/edit?resourcekey#gid=923248883"",""Prop!$CV$1:$DI""),11,0)))))))))))"),"https://drive.google.com/open?id=1_ZiQmhS104KenqSw1rtDnk0l8821a6Zs")</f>
        <v>https://drive.google.com/open?id=1_ZiQmhS104KenqSw1rtDnk0l8821a6Zs</v>
      </c>
      <c r="Q33" s="50" t="str">
        <f ca="1">IFERROR(__xludf.DUMMYFUNCTION("iferror(vlookup(B33,importrange(""https://docs.google.com/spreadsheets/d/1p53T2AuvvIqhP7Nf-bo3Uhj8cbKYRPpZdsrBv3x3bAQ/edit?resourcekey#gid=1321652304"",""Prop!$C$1:$M""),11,0),IFERROR(vlookup(B33,importrange(""https://docs.google.com/spreadsheets/d/1p53T2"&amp;"AuvvIqhP7Nf-bo3Uhj8cbKYRPpZdsrBv3x3bAQ/edit?resourcekey#gid=1321652304"",""Prop!$N$1:$X""),11,0),iferror(vlookup(B33,importrange(""https://docs.google.com/spreadsheets/d/1p53T2AuvvIqhP7Nf-bo3Uhj8cbKYRPpZdsrBv3x3bAQ/edit?resourcekey#gid=1321652304"",""Prop"&amp;"!$Y$1:$AI""),11,0),iferror(vlookup(B33,importrange(""https://docs.google.com/spreadsheets/d/1p53T2AuvvIqhP7Nf-bo3Uhj8cbKYRPpZdsrBv3x3bAQ/edit?resourcekey#gid=1321652304"",""Prop!$AJ$1:$AT""),11,0),iferror(vlookup(B33,importrange(""https://docs.google.com/"&amp;"spreadsheets/d/1p53T2AuvvIqhP7Nf-bo3Uhj8cbKYRPpZdsrBv3x3bAQ/edit?resourcekey#gid=1321652304"",""Prop!$AU$1:$BE""),11,0),iferror(vlookup(B33,importrange(""https://docs.google.com/spreadsheets/d/1p53T2AuvvIqhP7Nf-bo3Uhj8cbKYRPpZdsrBv3x3bAQ/edit?resourcekey#"&amp;"gid=1321652304"",""Prop!$BF$1:$BP""),11,0),iferror(vlookup(B33,importrange(""https://docs.google.com/spreadsheets/d/1p53T2AuvvIqhP7Nf-bo3Uhj8cbKYRPpZdsrBv3x3bAQ/edit?resourcekey#gid=1321652304"",""Prop!$BQ$1:$CA""),11,0),iferror(vlookup(B33,importrange("""&amp;"https://docs.google.com/spreadsheets/d/1p53T2AuvvIqhP7Nf-bo3Uhj8cbKYRPpZdsrBv3x3bAQ/edit?resourcekey#gid=1321652304"",""Prop!$CB$1:$CL""),11,0),iferror(vlookup(B33,importrange(""https://docs.google.com/spreadsheets/d/1p53T2AuvvIqhP7Nf-bo3Uhj8cbKYRPpZdsrBv"&amp;"3x3bAQ/edit?resourcekey#gid=1321652304"",""Prop!$CM$1:$CX""),12,0),iferror(vlookup(B33,importrange(""https://docs.google.com/spreadsheets/d/1p53T2AuvvIqhP7Nf-bo3Uhj8cbKYRPpZdsrBv3x3bAQ/edit?resourcekey#gid=1321652304"",""Prop!$CY$1:$DI""),11,0)))))))))))"),"https://drive.google.com/open?id=15j7iM_9ycWj_LmLqScs6pSk_jhMMh7U8")</f>
        <v>https://drive.google.com/open?id=15j7iM_9ycWj_LmLqScs6pSk_jhMMh7U8</v>
      </c>
      <c r="R33" s="88" t="s">
        <v>1101</v>
      </c>
      <c r="S33" s="20" t="str">
        <f ca="1">IFERROR(__xludf.DUMMYFUNCTION("IFERROR(vlookup(B33,IMPORTRANGE(""https://docs.google.com/spreadsheets/d/1g_jfYYK_KeipEDNDUgqgrsxK94XiocfNQIcP-v1QVhI/edit?resourcekey#gid=233272945"",""Nilai!B:CT""),57,0),"" "")"),"lihat hasil bikom 4")</f>
        <v>lihat hasil bikom 4</v>
      </c>
      <c r="T33" s="20" t="str">
        <f ca="1">IFERROR(__xludf.DUMMYFUNCTION("IFERROR(vlookup(B33,IMPORTRANGE(""https://docs.google.com/spreadsheets/d/1g_jfYYK_KeipEDNDUgqgrsxK94XiocfNQIcP-v1QVhI/edit?resourcekey#gid=233272945"",""Nilai!B:CT""),97,0),"" "")"),"LAYAK UPLOAD KE SIMBELMAWA DENGAN REVISI")</f>
        <v>LAYAK UPLOAD KE SIMBELMAWA DENGAN REVISI</v>
      </c>
      <c r="U33" s="21" t="s">
        <v>660</v>
      </c>
      <c r="V33" s="85" t="s">
        <v>1102</v>
      </c>
      <c r="W33" s="17" t="s">
        <v>1121</v>
      </c>
      <c r="X33" s="34" t="s">
        <v>949</v>
      </c>
    </row>
    <row r="34" spans="1:24" ht="69">
      <c r="A34" s="15">
        <v>32</v>
      </c>
      <c r="B34" s="15">
        <f ca="1">IFERROR(__xludf.DUMMYFUNCTION("""COMPUTED_VALUE"""),3274)</f>
        <v>3274</v>
      </c>
      <c r="C34" s="16" t="str">
        <f ca="1">IFERROR(__xludf.DUMMYFUNCTION("""COMPUTED_VALUE"""),"HANIF FIKRI MAULANA")</f>
        <v>HANIF FIKRI MAULANA</v>
      </c>
      <c r="D34" s="16" t="str">
        <f ca="1">IFERROR(__xludf.DUMMYFUNCTION("""COMPUTED_VALUE"""),"02511940000115")</f>
        <v>02511940000115</v>
      </c>
      <c r="E34" s="16" t="str">
        <f ca="1">IFERROR(__xludf.DUMMYFUNCTION("""COMPUTED_VALUE"""),"Departemen Teknik Material dan Metalurgi")</f>
        <v>Departemen Teknik Material dan Metalurgi</v>
      </c>
      <c r="F34" s="16" t="str">
        <f ca="1">IFERROR(__xludf.DUMMYFUNCTION("""COMPUTED_VALUE"""),"Aktivasi Karbon dari Ban Bekas untuk Anoda Ultrakapasitor dengan Metode Pirolisis Termodifikasi ZnS sebagai Peningkat Kapasitas untuk Kendaraan Listrik")</f>
        <v>Aktivasi Karbon dari Ban Bekas untuk Anoda Ultrakapasitor dengan Metode Pirolisis Termodifikasi ZnS sebagai Peningkat Kapasitas untuk Kendaraan Listrik</v>
      </c>
      <c r="G34" s="16" t="str">
        <f ca="1">IFERROR(__xludf.DUMMYFUNCTION("""COMPUTED_VALUE"""),"Sutarsis")</f>
        <v>Sutarsis</v>
      </c>
      <c r="H34" s="16" t="str">
        <f ca="1">IFERROR(__xludf.DUMMYFUNCTION("""COMPUTED_VALUE"""),"Dr.Eng. Siti Machmudah, S.T., M.Eng.")</f>
        <v>Dr.Eng. Siti Machmudah, S.T., M.Eng.</v>
      </c>
      <c r="I34" s="16" t="str">
        <f ca="1">IFERROR(__xludf.DUMMYFUNCTION("""COMPUTED_VALUE"""),"Dr. Candra Irawan, S.T., M.T.")</f>
        <v>Dr. Candra Irawan, S.T., M.T.</v>
      </c>
      <c r="J34" s="16"/>
      <c r="K34" s="17" t="s">
        <v>1114</v>
      </c>
      <c r="L34" s="17" t="s">
        <v>1120</v>
      </c>
      <c r="M34" s="19" t="b">
        <v>0</v>
      </c>
      <c r="N34" s="19" t="b">
        <v>1</v>
      </c>
      <c r="O34" s="1" t="s">
        <v>1104</v>
      </c>
      <c r="P34" s="7" t="str">
        <f ca="1">IFERROR(__xludf.DUMMYFUNCTION("iferror(vlookup(B34,importrange(""https://docs.google.com/spreadsheets/d/1boHyJQ4e2FU0QG8MHwEi6qjX4hvZWVCHcFfXjq7bbMc/edit?resourcekey#gid=923248883"",""Prop!$C$1:$M""),11,0),IFERROR(vlookup(B34,importrange(""https://docs.google.com/spreadsheets/d/1boHyJQ"&amp;"4e2FU0QG8MHwEi6qjX4hvZWVCHcFfXjq7bbMc/edit?resourcekey#gid=923248883"",""Prop!$N$1:$X""),11,0),iferror(vlookup(B34,importrange(""https://docs.google.com/spreadsheets/d/1boHyJQ4e2FU0QG8MHwEi6qjX4hvZWVCHcFfXjq7bbMc/edit?resourcekey#gid=923248883"",""Prop!$Y"&amp;"$1:$AI""),11,0),iferror(vlookup(B34,importrange(""https://docs.google.com/spreadsheets/d/1boHyJQ4e2FU0QG8MHwEi6qjX4hvZWVCHcFfXjq7bbMc/edit?resourcekey#gid=923248883"",""Prop!$AJ$1:$AT""),11,0),iferror(vlookup(B34,importrange(""https://docs.google.com/spre"&amp;"adsheets/d/1boHyJQ4e2FU0QG8MHwEi6qjX4hvZWVCHcFfXjq7bbMc/edit?resourcekey#gid=923248883"",""Prop!$AU$1:$BE""),11,0),iferror(vlookup(B34,importrange(""https://docs.google.com/spreadsheets/d/1boHyJQ4e2FU0QG8MHwEi6qjX4hvZWVCHcFfXjq7bbMc/edit?resourcekey#gid=9"&amp;"23248883"",""Prop!$BF$1:$BP""),11,0),iferror(vlookup(B34,importrange(""https://docs.google.com/spreadsheets/d/1boHyJQ4e2FU0QG8MHwEi6qjX4hvZWVCHcFfXjq7bbMc/edit?resourcekey#gid=923248883"",""Prop!$BQ$1:$CA""),11,0),iferror(vlookup(B34,importrange(""https:/"&amp;"/docs.google.com/spreadsheets/d/1boHyJQ4e2FU0QG8MHwEi6qjX4hvZWVCHcFfXjq7bbMc/edit?resourcekey#gid=923248883"",""Prop!$CB$1:$CL""),11,0),iferror(vlookup(B34,importrange(""https://docs.google.com/spreadsheets/d/1boHyJQ4e2FU0QG8MHwEi6qjX4hvZWVCHcFfXjq7bbMc/e"&amp;"dit?resourcekey#gid=923248883"",""Prop!$CM$1:$CX""),12,0),iferror(vlookup(B34,importrange(""https://docs.google.com/spreadsheets/d/1boHyJQ4e2FU0QG8MHwEi6qjX4hvZWVCHcFfXjq7bbMc/edit?resourcekey#gid=923248883"",""Prop!$CV$1:$DI""),11,0)))))))))))"),"https://drive.google.com/open?id=1AUl_2OuVsHbpwpX2ZLl9cmFYv3wvzVT6")</f>
        <v>https://drive.google.com/open?id=1AUl_2OuVsHbpwpX2ZLl9cmFYv3wvzVT6</v>
      </c>
      <c r="Q34" s="50" t="str">
        <f ca="1">IFERROR(__xludf.DUMMYFUNCTION("iferror(vlookup(B34,importrange(""https://docs.google.com/spreadsheets/d/1p53T2AuvvIqhP7Nf-bo3Uhj8cbKYRPpZdsrBv3x3bAQ/edit?resourcekey#gid=1321652304"",""Prop!$C$1:$M""),11,0),IFERROR(vlookup(B34,importrange(""https://docs.google.com/spreadsheets/d/1p53T2"&amp;"AuvvIqhP7Nf-bo3Uhj8cbKYRPpZdsrBv3x3bAQ/edit?resourcekey#gid=1321652304"",""Prop!$N$1:$X""),11,0),iferror(vlookup(B34,importrange(""https://docs.google.com/spreadsheets/d/1p53T2AuvvIqhP7Nf-bo3Uhj8cbKYRPpZdsrBv3x3bAQ/edit?resourcekey#gid=1321652304"",""Prop"&amp;"!$Y$1:$AI""),11,0),iferror(vlookup(B34,importrange(""https://docs.google.com/spreadsheets/d/1p53T2AuvvIqhP7Nf-bo3Uhj8cbKYRPpZdsrBv3x3bAQ/edit?resourcekey#gid=1321652304"",""Prop!$AJ$1:$AT""),11,0),iferror(vlookup(B34,importrange(""https://docs.google.com/"&amp;"spreadsheets/d/1p53T2AuvvIqhP7Nf-bo3Uhj8cbKYRPpZdsrBv3x3bAQ/edit?resourcekey#gid=1321652304"",""Prop!$AU$1:$BE""),11,0),iferror(vlookup(B34,importrange(""https://docs.google.com/spreadsheets/d/1p53T2AuvvIqhP7Nf-bo3Uhj8cbKYRPpZdsrBv3x3bAQ/edit?resourcekey#"&amp;"gid=1321652304"",""Prop!$BF$1:$BP""),11,0),iferror(vlookup(B34,importrange(""https://docs.google.com/spreadsheets/d/1p53T2AuvvIqhP7Nf-bo3Uhj8cbKYRPpZdsrBv3x3bAQ/edit?resourcekey#gid=1321652304"",""Prop!$BQ$1:$CA""),11,0),iferror(vlookup(B34,importrange("""&amp;"https://docs.google.com/spreadsheets/d/1p53T2AuvvIqhP7Nf-bo3Uhj8cbKYRPpZdsrBv3x3bAQ/edit?resourcekey#gid=1321652304"",""Prop!$CB$1:$CL""),11,0),iferror(vlookup(B34,importrange(""https://docs.google.com/spreadsheets/d/1p53T2AuvvIqhP7Nf-bo3Uhj8cbKYRPpZdsrBv"&amp;"3x3bAQ/edit?resourcekey#gid=1321652304"",""Prop!$CM$1:$CX""),12,0),iferror(vlookup(B34,importrange(""https://docs.google.com/spreadsheets/d/1p53T2AuvvIqhP7Nf-bo3Uhj8cbKYRPpZdsrBv3x3bAQ/edit?resourcekey#gid=1321652304"",""Prop!$CY$1:$DI""),11,0)))))))))))"),"https://drive.google.com/open?id=1-IbrGvRh5cecccjmYPVPpmxZ5tmzMgMU")</f>
        <v>https://drive.google.com/open?id=1-IbrGvRh5cecccjmYPVPpmxZ5tmzMgMU</v>
      </c>
      <c r="R34" s="88" t="s">
        <v>1101</v>
      </c>
      <c r="S34" s="20" t="str">
        <f ca="1">IFERROR(__xludf.DUMMYFUNCTION("IFERROR(vlookup(B34,IMPORTRANGE(""https://docs.google.com/spreadsheets/d/1g_jfYYK_KeipEDNDUgqgrsxK94XiocfNQIcP-v1QVhI/edit?resourcekey#gid=233272945"",""Nilai!B:CT""),57,0),"" "")"),"Perbaiki tabel 4.1, 4.2, justifikasi anggaran dan biodata dosen")</f>
        <v>Perbaiki tabel 4.1, 4.2, justifikasi anggaran dan biodata dosen</v>
      </c>
      <c r="T34" s="20" t="str">
        <f ca="1">IFERROR(__xludf.DUMMYFUNCTION("IFERROR(vlookup(B34,IMPORTRANGE(""https://docs.google.com/spreadsheets/d/1g_jfYYK_KeipEDNDUgqgrsxK94XiocfNQIcP-v1QVhI/edit?resourcekey#gid=233272945"",""Nilai!B:CT""),97,0),"" "")"),"LAYAK UPLOAD KE SIMBELMAWA DENGAN REVISI")</f>
        <v>LAYAK UPLOAD KE SIMBELMAWA DENGAN REVISI</v>
      </c>
      <c r="U34" s="21" t="s">
        <v>660</v>
      </c>
      <c r="V34" s="85" t="s">
        <v>1102</v>
      </c>
      <c r="W34" s="17" t="s">
        <v>1121</v>
      </c>
      <c r="X34" s="34" t="s">
        <v>949</v>
      </c>
    </row>
    <row r="35" spans="1:24" ht="69">
      <c r="A35" s="15">
        <v>33</v>
      </c>
      <c r="B35" s="15">
        <f ca="1">IFERROR(__xludf.DUMMYFUNCTION("""COMPUTED_VALUE"""),2487)</f>
        <v>2487</v>
      </c>
      <c r="C35" s="16" t="str">
        <f ca="1">IFERROR(__xludf.DUMMYFUNCTION("""COMPUTED_VALUE"""),"MUHAMMAD DIMAS HAFANI")</f>
        <v>MUHAMMAD DIMAS HAFANI</v>
      </c>
      <c r="D35" s="16" t="str">
        <f ca="1">IFERROR(__xludf.DUMMYFUNCTION("""COMPUTED_VALUE"""),"10411910000060")</f>
        <v>10411910000060</v>
      </c>
      <c r="E35" s="16" t="str">
        <f ca="1">IFERROR(__xludf.DUMMYFUNCTION("""COMPUTED_VALUE"""),"Departemen Teknik Kimia Industri")</f>
        <v>Departemen Teknik Kimia Industri</v>
      </c>
      <c r="F35" s="16" t="str">
        <f ca="1">IFERROR(__xludf.DUMMYFUNCTION("""COMPUTED_VALUE"""),"Efisiensi Biorefinery Processes Sugarcane Baggasse sebagai Bahan Baku Poly (L-Lactid-Acid) Menggunakan Teknik Co-Immobilisasi sebagai Agen Fermentasi dan BioCatalyst")</f>
        <v>Efisiensi Biorefinery Processes Sugarcane Baggasse sebagai Bahan Baku Poly (L-Lactid-Acid) Menggunakan Teknik Co-Immobilisasi sebagai Agen Fermentasi dan BioCatalyst</v>
      </c>
      <c r="G35" s="16" t="str">
        <f ca="1">IFERROR(__xludf.DUMMYFUNCTION("""COMPUTED_VALUE"""),"Dr. Afan Hamzah, S.T.")</f>
        <v>Dr. Afan Hamzah, S.T.</v>
      </c>
      <c r="H35" s="16" t="str">
        <f ca="1">IFERROR(__xludf.DUMMYFUNCTION("""COMPUTED_VALUE"""),"Ahmad Fauzan Adziimaa, S.T., M.Sc.")</f>
        <v>Ahmad Fauzan Adziimaa, S.T., M.Sc.</v>
      </c>
      <c r="I35" s="16" t="str">
        <f ca="1">IFERROR(__xludf.DUMMYFUNCTION("""COMPUTED_VALUE"""),"Tri Vicca Kusumadewi, S.T., M.Sc.")</f>
        <v>Tri Vicca Kusumadewi, S.T., M.Sc.</v>
      </c>
      <c r="J35" s="16"/>
      <c r="K35" s="17" t="s">
        <v>1114</v>
      </c>
      <c r="L35" s="17" t="s">
        <v>1120</v>
      </c>
      <c r="M35" s="19" t="b">
        <v>1</v>
      </c>
      <c r="N35" s="19" t="b">
        <v>1</v>
      </c>
      <c r="O35" s="1" t="s">
        <v>1117</v>
      </c>
      <c r="P35" s="7" t="str">
        <f ca="1">IFERROR(__xludf.DUMMYFUNCTION("iferror(vlookup(B35,importrange(""https://docs.google.com/spreadsheets/d/1boHyJQ4e2FU0QG8MHwEi6qjX4hvZWVCHcFfXjq7bbMc/edit?resourcekey#gid=923248883"",""Prop!$C$1:$M""),11,0),IFERROR(vlookup(B35,importrange(""https://docs.google.com/spreadsheets/d/1boHyJQ"&amp;"4e2FU0QG8MHwEi6qjX4hvZWVCHcFfXjq7bbMc/edit?resourcekey#gid=923248883"",""Prop!$N$1:$X""),11,0),iferror(vlookup(B35,importrange(""https://docs.google.com/spreadsheets/d/1boHyJQ4e2FU0QG8MHwEi6qjX4hvZWVCHcFfXjq7bbMc/edit?resourcekey#gid=923248883"",""Prop!$Y"&amp;"$1:$AI""),11,0),iferror(vlookup(B35,importrange(""https://docs.google.com/spreadsheets/d/1boHyJQ4e2FU0QG8MHwEi6qjX4hvZWVCHcFfXjq7bbMc/edit?resourcekey#gid=923248883"",""Prop!$AJ$1:$AT""),11,0),iferror(vlookup(B35,importrange(""https://docs.google.com/spre"&amp;"adsheets/d/1boHyJQ4e2FU0QG8MHwEi6qjX4hvZWVCHcFfXjq7bbMc/edit?resourcekey#gid=923248883"",""Prop!$AU$1:$BE""),11,0),iferror(vlookup(B35,importrange(""https://docs.google.com/spreadsheets/d/1boHyJQ4e2FU0QG8MHwEi6qjX4hvZWVCHcFfXjq7bbMc/edit?resourcekey#gid=9"&amp;"23248883"",""Prop!$BF$1:$BP""),11,0),iferror(vlookup(B35,importrange(""https://docs.google.com/spreadsheets/d/1boHyJQ4e2FU0QG8MHwEi6qjX4hvZWVCHcFfXjq7bbMc/edit?resourcekey#gid=923248883"",""Prop!$BQ$1:$CA""),11,0),iferror(vlookup(B35,importrange(""https:/"&amp;"/docs.google.com/spreadsheets/d/1boHyJQ4e2FU0QG8MHwEi6qjX4hvZWVCHcFfXjq7bbMc/edit?resourcekey#gid=923248883"",""Prop!$CB$1:$CL""),11,0),iferror(vlookup(B35,importrange(""https://docs.google.com/spreadsheets/d/1boHyJQ4e2FU0QG8MHwEi6qjX4hvZWVCHcFfXjq7bbMc/e"&amp;"dit?resourcekey#gid=923248883"",""Prop!$CM$1:$CX""),12,0),iferror(vlookup(B35,importrange(""https://docs.google.com/spreadsheets/d/1boHyJQ4e2FU0QG8MHwEi6qjX4hvZWVCHcFfXjq7bbMc/edit?resourcekey#gid=923248883"",""Prop!$CV$1:$DI""),11,0)))))))))))"),"https://drive.google.com/open?id=14plYVDnrmEh8e9ZENKhoCzRRjm1Gi9Z_")</f>
        <v>https://drive.google.com/open?id=14plYVDnrmEh8e9ZENKhoCzRRjm1Gi9Z_</v>
      </c>
      <c r="Q35" s="50" t="str">
        <f ca="1">IFERROR(__xludf.DUMMYFUNCTION("iferror(vlookup(B35,importrange(""https://docs.google.com/spreadsheets/d/1p53T2AuvvIqhP7Nf-bo3Uhj8cbKYRPpZdsrBv3x3bAQ/edit?resourcekey#gid=1321652304"",""Prop!$C$1:$M""),11,0),IFERROR(vlookup(B35,importrange(""https://docs.google.com/spreadsheets/d/1p53T2"&amp;"AuvvIqhP7Nf-bo3Uhj8cbKYRPpZdsrBv3x3bAQ/edit?resourcekey#gid=1321652304"",""Prop!$N$1:$X""),11,0),iferror(vlookup(B35,importrange(""https://docs.google.com/spreadsheets/d/1p53T2AuvvIqhP7Nf-bo3Uhj8cbKYRPpZdsrBv3x3bAQ/edit?resourcekey#gid=1321652304"",""Prop"&amp;"!$Y$1:$AI""),11,0),iferror(vlookup(B35,importrange(""https://docs.google.com/spreadsheets/d/1p53T2AuvvIqhP7Nf-bo3Uhj8cbKYRPpZdsrBv3x3bAQ/edit?resourcekey#gid=1321652304"",""Prop!$AJ$1:$AT""),11,0),iferror(vlookup(B35,importrange(""https://docs.google.com/"&amp;"spreadsheets/d/1p53T2AuvvIqhP7Nf-bo3Uhj8cbKYRPpZdsrBv3x3bAQ/edit?resourcekey#gid=1321652304"",""Prop!$AU$1:$BE""),11,0),iferror(vlookup(B35,importrange(""https://docs.google.com/spreadsheets/d/1p53T2AuvvIqhP7Nf-bo3Uhj8cbKYRPpZdsrBv3x3bAQ/edit?resourcekey#"&amp;"gid=1321652304"",""Prop!$BF$1:$BP""),11,0),iferror(vlookup(B35,importrange(""https://docs.google.com/spreadsheets/d/1p53T2AuvvIqhP7Nf-bo3Uhj8cbKYRPpZdsrBv3x3bAQ/edit?resourcekey#gid=1321652304"",""Prop!$BQ$1:$CA""),11,0),iferror(vlookup(B35,importrange("""&amp;"https://docs.google.com/spreadsheets/d/1p53T2AuvvIqhP7Nf-bo3Uhj8cbKYRPpZdsrBv3x3bAQ/edit?resourcekey#gid=1321652304"",""Prop!$CB$1:$CL""),11,0),iferror(vlookup(B35,importrange(""https://docs.google.com/spreadsheets/d/1p53T2AuvvIqhP7Nf-bo3Uhj8cbKYRPpZdsrBv"&amp;"3x3bAQ/edit?resourcekey#gid=1321652304"",""Prop!$CM$1:$CX""),12,0),iferror(vlookup(B35,importrange(""https://docs.google.com/spreadsheets/d/1p53T2AuvvIqhP7Nf-bo3Uhj8cbKYRPpZdsrBv3x3bAQ/edit?resourcekey#gid=1321652304"",""Prop!$CY$1:$DI""),11,0)))))))))))"),"https://drive.google.com/open?id=1hXukFEPagszlpbO4GWOFcbkNBctkUwix")</f>
        <v>https://drive.google.com/open?id=1hXukFEPagszlpbO4GWOFcbkNBctkUwix</v>
      </c>
      <c r="R35" s="88" t="s">
        <v>1101</v>
      </c>
      <c r="S35" s="20" t="str">
        <f ca="1">IFERROR(__xludf.DUMMYFUNCTION("IFERROR(vlookup(B35,IMPORTRANGE(""https://docs.google.com/spreadsheets/d/1g_jfYYK_KeipEDNDUgqgrsxK94XiocfNQIcP-v1QVhI/edit?resourcekey#gid=233272945"",""Nilai!B:CT""),57,0),"" "")"),"lihat pdf")</f>
        <v>lihat pdf</v>
      </c>
      <c r="T35" s="20" t="str">
        <f ca="1">IFERROR(__xludf.DUMMYFUNCTION("IFERROR(vlookup(B35,IMPORTRANGE(""https://docs.google.com/spreadsheets/d/1g_jfYYK_KeipEDNDUgqgrsxK94XiocfNQIcP-v1QVhI/edit?resourcekey#gid=233272945"",""Nilai!B:CT""),97,0),"" "")"),"LAYAK UPLOAD KE SIMBELMAWA DENGAN REVISI")</f>
        <v>LAYAK UPLOAD KE SIMBELMAWA DENGAN REVISI</v>
      </c>
      <c r="U35" s="21" t="s">
        <v>660</v>
      </c>
      <c r="V35" s="85" t="s">
        <v>1102</v>
      </c>
      <c r="W35" s="17" t="s">
        <v>1121</v>
      </c>
      <c r="X35" s="34" t="s">
        <v>949</v>
      </c>
    </row>
    <row r="36" spans="1:24" ht="69">
      <c r="A36" s="15">
        <v>34</v>
      </c>
      <c r="B36" s="15">
        <f ca="1">IFERROR(__xludf.DUMMYFUNCTION("""COMPUTED_VALUE"""),2734)</f>
        <v>2734</v>
      </c>
      <c r="C36" s="16" t="str">
        <f ca="1">IFERROR(__xludf.DUMMYFUNCTION("""COMPUTED_VALUE"""),"SHINTA TRIXIE M")</f>
        <v>SHINTA TRIXIE M</v>
      </c>
      <c r="D36" s="16" t="str">
        <f ca="1">IFERROR(__xludf.DUMMYFUNCTION("""COMPUTED_VALUE"""),"5004211053")</f>
        <v>5004211053</v>
      </c>
      <c r="E36" s="16" t="str">
        <f ca="1">IFERROR(__xludf.DUMMYFUNCTION("""COMPUTED_VALUE"""),"Departemen Kimia")</f>
        <v>Departemen Kimia</v>
      </c>
      <c r="F36" s="16" t="str">
        <f ca="1">IFERROR(__xludf.DUMMYFUNCTION("""COMPUTED_VALUE"""),"Pengaruh Asam Anorganik dan Organik Terhadap Nanokristal Selulosa Hasil Hidrolisis Limbah Tongkol Jagung")</f>
        <v>Pengaruh Asam Anorganik dan Organik Terhadap Nanokristal Selulosa Hasil Hidrolisis Limbah Tongkol Jagung</v>
      </c>
      <c r="G36" s="16" t="str">
        <f ca="1">IFERROR(__xludf.DUMMYFUNCTION("""COMPUTED_VALUE"""),"Arif Fadlan, S.Si., M.Si., D.Sc")</f>
        <v>Arif Fadlan, S.Si., M.Si., D.Sc</v>
      </c>
      <c r="H36" s="16" t="str">
        <f ca="1">IFERROR(__xludf.DUMMYFUNCTION("""COMPUTED_VALUE"""),"Dr.Eng. Siti Machmudah, S.T., M.Eng.")</f>
        <v>Dr.Eng. Siti Machmudah, S.T., M.Eng.</v>
      </c>
      <c r="I36" s="16" t="str">
        <f ca="1">IFERROR(__xludf.DUMMYFUNCTION("""COMPUTED_VALUE"""),"Dr. Candra Irawan, S.T., M.T.")</f>
        <v>Dr. Candra Irawan, S.T., M.T.</v>
      </c>
      <c r="J36" s="16"/>
      <c r="K36" s="17" t="s">
        <v>1114</v>
      </c>
      <c r="L36" s="17" t="s">
        <v>1123</v>
      </c>
      <c r="M36" s="19" t="b">
        <v>1</v>
      </c>
      <c r="N36" s="19" t="b">
        <v>1</v>
      </c>
      <c r="O36" s="1" t="s">
        <v>1104</v>
      </c>
      <c r="P36" s="7" t="str">
        <f ca="1">IFERROR(__xludf.DUMMYFUNCTION("iferror(vlookup(B36,importrange(""https://docs.google.com/spreadsheets/d/1boHyJQ4e2FU0QG8MHwEi6qjX4hvZWVCHcFfXjq7bbMc/edit?resourcekey#gid=923248883"",""Prop!$C$1:$M""),11,0),IFERROR(vlookup(B36,importrange(""https://docs.google.com/spreadsheets/d/1boHyJQ"&amp;"4e2FU0QG8MHwEi6qjX4hvZWVCHcFfXjq7bbMc/edit?resourcekey#gid=923248883"",""Prop!$N$1:$X""),11,0),iferror(vlookup(B36,importrange(""https://docs.google.com/spreadsheets/d/1boHyJQ4e2FU0QG8MHwEi6qjX4hvZWVCHcFfXjq7bbMc/edit?resourcekey#gid=923248883"",""Prop!$Y"&amp;"$1:$AI""),11,0),iferror(vlookup(B36,importrange(""https://docs.google.com/spreadsheets/d/1boHyJQ4e2FU0QG8MHwEi6qjX4hvZWVCHcFfXjq7bbMc/edit?resourcekey#gid=923248883"",""Prop!$AJ$1:$AT""),11,0),iferror(vlookup(B36,importrange(""https://docs.google.com/spre"&amp;"adsheets/d/1boHyJQ4e2FU0QG8MHwEi6qjX4hvZWVCHcFfXjq7bbMc/edit?resourcekey#gid=923248883"",""Prop!$AU$1:$BE""),11,0),iferror(vlookup(B36,importrange(""https://docs.google.com/spreadsheets/d/1boHyJQ4e2FU0QG8MHwEi6qjX4hvZWVCHcFfXjq7bbMc/edit?resourcekey#gid=9"&amp;"23248883"",""Prop!$BF$1:$BP""),11,0),iferror(vlookup(B36,importrange(""https://docs.google.com/spreadsheets/d/1boHyJQ4e2FU0QG8MHwEi6qjX4hvZWVCHcFfXjq7bbMc/edit?resourcekey#gid=923248883"",""Prop!$BQ$1:$CA""),11,0),iferror(vlookup(B36,importrange(""https:/"&amp;"/docs.google.com/spreadsheets/d/1boHyJQ4e2FU0QG8MHwEi6qjX4hvZWVCHcFfXjq7bbMc/edit?resourcekey#gid=923248883"",""Prop!$CB$1:$CL""),11,0),iferror(vlookup(B36,importrange(""https://docs.google.com/spreadsheets/d/1boHyJQ4e2FU0QG8MHwEi6qjX4hvZWVCHcFfXjq7bbMc/e"&amp;"dit?resourcekey#gid=923248883"",""Prop!$CM$1:$CX""),12,0),iferror(vlookup(B36,importrange(""https://docs.google.com/spreadsheets/d/1boHyJQ4e2FU0QG8MHwEi6qjX4hvZWVCHcFfXjq7bbMc/edit?resourcekey#gid=923248883"",""Prop!$CV$1:$DI""),11,0)))))))))))"),"https://drive.google.com/open?id=1cxeJ9rEi1exmNpBqFE3OQny_D1tAysS6")</f>
        <v>https://drive.google.com/open?id=1cxeJ9rEi1exmNpBqFE3OQny_D1tAysS6</v>
      </c>
      <c r="Q36" s="50" t="str">
        <f ca="1">IFERROR(__xludf.DUMMYFUNCTION("iferror(vlookup(B36,importrange(""https://docs.google.com/spreadsheets/d/1p53T2AuvvIqhP7Nf-bo3Uhj8cbKYRPpZdsrBv3x3bAQ/edit?resourcekey#gid=1321652304"",""Prop!$C$1:$M""),11,0),IFERROR(vlookup(B36,importrange(""https://docs.google.com/spreadsheets/d/1p53T2"&amp;"AuvvIqhP7Nf-bo3Uhj8cbKYRPpZdsrBv3x3bAQ/edit?resourcekey#gid=1321652304"",""Prop!$N$1:$X""),11,0),iferror(vlookup(B36,importrange(""https://docs.google.com/spreadsheets/d/1p53T2AuvvIqhP7Nf-bo3Uhj8cbKYRPpZdsrBv3x3bAQ/edit?resourcekey#gid=1321652304"",""Prop"&amp;"!$Y$1:$AI""),11,0),iferror(vlookup(B36,importrange(""https://docs.google.com/spreadsheets/d/1p53T2AuvvIqhP7Nf-bo3Uhj8cbKYRPpZdsrBv3x3bAQ/edit?resourcekey#gid=1321652304"",""Prop!$AJ$1:$AT""),11,0),iferror(vlookup(B36,importrange(""https://docs.google.com/"&amp;"spreadsheets/d/1p53T2AuvvIqhP7Nf-bo3Uhj8cbKYRPpZdsrBv3x3bAQ/edit?resourcekey#gid=1321652304"",""Prop!$AU$1:$BE""),11,0),iferror(vlookup(B36,importrange(""https://docs.google.com/spreadsheets/d/1p53T2AuvvIqhP7Nf-bo3Uhj8cbKYRPpZdsrBv3x3bAQ/edit?resourcekey#"&amp;"gid=1321652304"",""Prop!$BF$1:$BP""),11,0),iferror(vlookup(B36,importrange(""https://docs.google.com/spreadsheets/d/1p53T2AuvvIqhP7Nf-bo3Uhj8cbKYRPpZdsrBv3x3bAQ/edit?resourcekey#gid=1321652304"",""Prop!$BQ$1:$CA""),11,0),iferror(vlookup(B36,importrange("""&amp;"https://docs.google.com/spreadsheets/d/1p53T2AuvvIqhP7Nf-bo3Uhj8cbKYRPpZdsrBv3x3bAQ/edit?resourcekey#gid=1321652304"",""Prop!$CB$1:$CL""),11,0),iferror(vlookup(B36,importrange(""https://docs.google.com/spreadsheets/d/1p53T2AuvvIqhP7Nf-bo3Uhj8cbKYRPpZdsrBv"&amp;"3x3bAQ/edit?resourcekey#gid=1321652304"",""Prop!$CM$1:$CX""),12,0),iferror(vlookup(B36,importrange(""https://docs.google.com/spreadsheets/d/1p53T2AuvvIqhP7Nf-bo3Uhj8cbKYRPpZdsrBv3x3bAQ/edit?resourcekey#gid=1321652304"",""Prop!$CY$1:$DI""),11,0)))))))))))"),"https://drive.google.com/open?id=1n3Gv6FGu-moCeqmbWNkOqu9ASttkT6K4")</f>
        <v>https://drive.google.com/open?id=1n3Gv6FGu-moCeqmbWNkOqu9ASttkT6K4</v>
      </c>
      <c r="R36" s="88" t="s">
        <v>1101</v>
      </c>
      <c r="S36" s="20" t="str">
        <f ca="1">IFERROR(__xludf.DUMMYFUNCTION("IFERROR(vlookup(B36,IMPORTRANGE(""https://docs.google.com/spreadsheets/d/1g_jfYYK_KeipEDNDUgqgrsxK94XiocfNQIcP-v1QVhI/edit?resourcekey#gid=233272945"",""Nilai!B:CT""),57,0),"" "")"),"RAB diperbaiki")</f>
        <v>RAB diperbaiki</v>
      </c>
      <c r="T36" s="20" t="str">
        <f ca="1">IFERROR(__xludf.DUMMYFUNCTION("IFERROR(vlookup(B36,IMPORTRANGE(""https://docs.google.com/spreadsheets/d/1g_jfYYK_KeipEDNDUgqgrsxK94XiocfNQIcP-v1QVhI/edit?resourcekey#gid=233272945"",""Nilai!B:CT""),97,0),"" "")"),"LAYAK UPLOAD KE SIMBELMAWA DENGAN REVISI")</f>
        <v>LAYAK UPLOAD KE SIMBELMAWA DENGAN REVISI</v>
      </c>
      <c r="U36" s="21" t="s">
        <v>660</v>
      </c>
      <c r="V36" s="85" t="s">
        <v>1102</v>
      </c>
      <c r="W36" s="17" t="s">
        <v>1124</v>
      </c>
      <c r="X36" s="34" t="s">
        <v>949</v>
      </c>
    </row>
    <row r="37" spans="1:24" ht="69">
      <c r="A37" s="15">
        <v>35</v>
      </c>
      <c r="B37" s="15">
        <f ca="1">IFERROR(__xludf.DUMMYFUNCTION("""COMPUTED_VALUE"""),2100)</f>
        <v>2100</v>
      </c>
      <c r="C37" s="16" t="str">
        <f ca="1">IFERROR(__xludf.DUMMYFUNCTION("""COMPUTED_VALUE"""),"AROFATUL FEBRIANTI")</f>
        <v>AROFATUL FEBRIANTI</v>
      </c>
      <c r="D37" s="16" t="str">
        <f ca="1">IFERROR(__xludf.DUMMYFUNCTION("""COMPUTED_VALUE"""),"5022201042")</f>
        <v>5022201042</v>
      </c>
      <c r="E37" s="16" t="str">
        <f ca="1">IFERROR(__xludf.DUMMYFUNCTION("""COMPUTED_VALUE"""),"Departemen Teknik Elektro")</f>
        <v>Departemen Teknik Elektro</v>
      </c>
      <c r="F37" s="16" t="str">
        <f ca="1">IFERROR(__xludf.DUMMYFUNCTION("""COMPUTED_VALUE"""),"Pengaruh Campuran Nanopartikel TiO2 dan Fe3O4 pada Minyak Trafo untuk Isolasi")</f>
        <v>Pengaruh Campuran Nanopartikel TiO2 dan Fe3O4 pada Minyak Trafo untuk Isolasi</v>
      </c>
      <c r="G37" s="16" t="str">
        <f ca="1">IFERROR(__xludf.DUMMYFUNCTION("""COMPUTED_VALUE"""),"Dr. I Gusti Ngurah Satriyadi Hernanda, S.T., M.T.")</f>
        <v>Dr. I Gusti Ngurah Satriyadi Hernanda, S.T., M.T.</v>
      </c>
      <c r="H37" s="16" t="str">
        <f ca="1">IFERROR(__xludf.DUMMYFUNCTION("""COMPUTED_VALUE"""),"Dr. Awik Puji Dyah Nurhayati, S.Si., M.Si.")</f>
        <v>Dr. Awik Puji Dyah Nurhayati, S.Si., M.Si.</v>
      </c>
      <c r="I37" s="16" t="str">
        <f ca="1">IFERROR(__xludf.DUMMYFUNCTION("""COMPUTED_VALUE"""),"Sena Safarina , S.Si., M.Sc., D.Sc")</f>
        <v>Sena Safarina , S.Si., M.Sc., D.Sc</v>
      </c>
      <c r="J37" s="16"/>
      <c r="K37" s="17" t="s">
        <v>1114</v>
      </c>
      <c r="L37" s="17" t="s">
        <v>1123</v>
      </c>
      <c r="M37" s="19" t="b">
        <v>1</v>
      </c>
      <c r="N37" s="19" t="b">
        <v>1</v>
      </c>
      <c r="O37" s="1" t="s">
        <v>1117</v>
      </c>
      <c r="P37" s="7" t="str">
        <f ca="1">IFERROR(__xludf.DUMMYFUNCTION("iferror(vlookup(B37,importrange(""https://docs.google.com/spreadsheets/d/1boHyJQ4e2FU0QG8MHwEi6qjX4hvZWVCHcFfXjq7bbMc/edit?resourcekey#gid=923248883"",""Prop!$C$1:$M""),11,0),IFERROR(vlookup(B37,importrange(""https://docs.google.com/spreadsheets/d/1boHyJQ"&amp;"4e2FU0QG8MHwEi6qjX4hvZWVCHcFfXjq7bbMc/edit?resourcekey#gid=923248883"",""Prop!$N$1:$X""),11,0),iferror(vlookup(B37,importrange(""https://docs.google.com/spreadsheets/d/1boHyJQ4e2FU0QG8MHwEi6qjX4hvZWVCHcFfXjq7bbMc/edit?resourcekey#gid=923248883"",""Prop!$Y"&amp;"$1:$AI""),11,0),iferror(vlookup(B37,importrange(""https://docs.google.com/spreadsheets/d/1boHyJQ4e2FU0QG8MHwEi6qjX4hvZWVCHcFfXjq7bbMc/edit?resourcekey#gid=923248883"",""Prop!$AJ$1:$AT""),11,0),iferror(vlookup(B37,importrange(""https://docs.google.com/spre"&amp;"adsheets/d/1boHyJQ4e2FU0QG8MHwEi6qjX4hvZWVCHcFfXjq7bbMc/edit?resourcekey#gid=923248883"",""Prop!$AU$1:$BE""),11,0),iferror(vlookup(B37,importrange(""https://docs.google.com/spreadsheets/d/1boHyJQ4e2FU0QG8MHwEi6qjX4hvZWVCHcFfXjq7bbMc/edit?resourcekey#gid=9"&amp;"23248883"",""Prop!$BF$1:$BP""),11,0),iferror(vlookup(B37,importrange(""https://docs.google.com/spreadsheets/d/1boHyJQ4e2FU0QG8MHwEi6qjX4hvZWVCHcFfXjq7bbMc/edit?resourcekey#gid=923248883"",""Prop!$BQ$1:$CA""),11,0),iferror(vlookup(B37,importrange(""https:/"&amp;"/docs.google.com/spreadsheets/d/1boHyJQ4e2FU0QG8MHwEi6qjX4hvZWVCHcFfXjq7bbMc/edit?resourcekey#gid=923248883"",""Prop!$CB$1:$CL""),11,0),iferror(vlookup(B37,importrange(""https://docs.google.com/spreadsheets/d/1boHyJQ4e2FU0QG8MHwEi6qjX4hvZWVCHcFfXjq7bbMc/e"&amp;"dit?resourcekey#gid=923248883"",""Prop!$CM$1:$CX""),12,0),iferror(vlookup(B37,importrange(""https://docs.google.com/spreadsheets/d/1boHyJQ4e2FU0QG8MHwEi6qjX4hvZWVCHcFfXjq7bbMc/edit?resourcekey#gid=923248883"",""Prop!$CV$1:$DI""),11,0)))))))))))"),"https://drive.google.com/open?id=1aJaCpchb7xn-jCi4EOp9f-l-vcJWjcsM")</f>
        <v>https://drive.google.com/open?id=1aJaCpchb7xn-jCi4EOp9f-l-vcJWjcsM</v>
      </c>
      <c r="Q37" s="7" t="str">
        <f ca="1">IFERROR(__xludf.DUMMYFUNCTION("iferror(vlookup(B37,importrange(""https://docs.google.com/spreadsheets/d/1p53T2AuvvIqhP7Nf-bo3Uhj8cbKYRPpZdsrBv3x3bAQ/edit?resourcekey#gid=1321652304"",""Prop!$C$1:$M""),11,0),IFERROR(vlookup(B37,importrange(""https://docs.google.com/spreadsheets/d/1p53T2"&amp;"AuvvIqhP7Nf-bo3Uhj8cbKYRPpZdsrBv3x3bAQ/edit?resourcekey#gid=1321652304"",""Prop!$N$1:$X""),11,0),iferror(vlookup(B37,importrange(""https://docs.google.com/spreadsheets/d/1p53T2AuvvIqhP7Nf-bo3Uhj8cbKYRPpZdsrBv3x3bAQ/edit?resourcekey#gid=1321652304"",""Prop"&amp;"!$Y$1:$AI""),11,0),iferror(vlookup(B37,importrange(""https://docs.google.com/spreadsheets/d/1p53T2AuvvIqhP7Nf-bo3Uhj8cbKYRPpZdsrBv3x3bAQ/edit?resourcekey#gid=1321652304"",""Prop!$AJ$1:$AT""),11,0),iferror(vlookup(B37,importrange(""https://docs.google.com/"&amp;"spreadsheets/d/1p53T2AuvvIqhP7Nf-bo3Uhj8cbKYRPpZdsrBv3x3bAQ/edit?resourcekey#gid=1321652304"",""Prop!$AU$1:$BE""),11,0),iferror(vlookup(B37,importrange(""https://docs.google.com/spreadsheets/d/1p53T2AuvvIqhP7Nf-bo3Uhj8cbKYRPpZdsrBv3x3bAQ/edit?resourcekey#"&amp;"gid=1321652304"",""Prop!$BF$1:$BP""),11,0),iferror(vlookup(B37,importrange(""https://docs.google.com/spreadsheets/d/1p53T2AuvvIqhP7Nf-bo3Uhj8cbKYRPpZdsrBv3x3bAQ/edit?resourcekey#gid=1321652304"",""Prop!$BQ$1:$CA""),11,0),iferror(vlookup(B37,importrange("""&amp;"https://docs.google.com/spreadsheets/d/1p53T2AuvvIqhP7Nf-bo3Uhj8cbKYRPpZdsrBv3x3bAQ/edit?resourcekey#gid=1321652304"",""Prop!$CB$1:$CL""),11,0),iferror(vlookup(B37,importrange(""https://docs.google.com/spreadsheets/d/1p53T2AuvvIqhP7Nf-bo3Uhj8cbKYRPpZdsrBv"&amp;"3x3bAQ/edit?resourcekey#gid=1321652304"",""Prop!$CM$1:$CX""),12,0),iferror(vlookup(B37,importrange(""https://docs.google.com/spreadsheets/d/1p53T2AuvvIqhP7Nf-bo3Uhj8cbKYRPpZdsrBv3x3bAQ/edit?resourcekey#gid=1321652304"",""Prop!$CY$1:$DI""),11,0)))))))))))"),"https://drive.google.com/open?id=1zHdztogAOy_ba9UPrjMZsjgvT-teFmqV")</f>
        <v>https://drive.google.com/open?id=1zHdztogAOy_ba9UPrjMZsjgvT-teFmqV</v>
      </c>
      <c r="R37" s="88" t="s">
        <v>1101</v>
      </c>
      <c r="S37" s="20" t="str">
        <f ca="1">IFERROR(__xludf.DUMMYFUNCTION("IFERROR(vlookup(B37,IMPORTRANGE(""https://docs.google.com/spreadsheets/d/1g_jfYYK_KeipEDNDUgqgrsxK94XiocfNQIcP-v1QVhI/edit?resourcekey#gid=233272945"",""Nilai!B:CT""),57,0),"" "")"),"lihat pdf")</f>
        <v>lihat pdf</v>
      </c>
      <c r="T37" s="20" t="str">
        <f ca="1">IFERROR(__xludf.DUMMYFUNCTION("IFERROR(vlookup(B37,IMPORTRANGE(""https://docs.google.com/spreadsheets/d/1g_jfYYK_KeipEDNDUgqgrsxK94XiocfNQIcP-v1QVhI/edit?resourcekey#gid=233272945"",""Nilai!B:CT""),97,0),"" "")"),"LAYAK UPLOAD KE SIMBELMAWA DENGAN REVISI")</f>
        <v>LAYAK UPLOAD KE SIMBELMAWA DENGAN REVISI</v>
      </c>
      <c r="U37" s="21" t="s">
        <v>660</v>
      </c>
      <c r="V37" s="85" t="s">
        <v>1102</v>
      </c>
      <c r="W37" s="17" t="s">
        <v>1124</v>
      </c>
      <c r="X37" s="34" t="b">
        <v>0</v>
      </c>
    </row>
    <row r="38" spans="1:24" ht="69">
      <c r="A38" s="15">
        <v>36</v>
      </c>
      <c r="B38" s="15">
        <f ca="1">IFERROR(__xludf.DUMMYFUNCTION("""COMPUTED_VALUE"""),2476)</f>
        <v>2476</v>
      </c>
      <c r="C38" s="16" t="str">
        <f ca="1">IFERROR(__xludf.DUMMYFUNCTION("""COMPUTED_VALUE"""),"OKTAVIA MAHARANI WIDYANINGTYAS")</f>
        <v>OKTAVIA MAHARANI WIDYANINGTYAS</v>
      </c>
      <c r="D38" s="16" t="str">
        <f ca="1">IFERROR(__xludf.DUMMYFUNCTION("""COMPUTED_VALUE"""),"02511940000081")</f>
        <v>02511940000081</v>
      </c>
      <c r="E38" s="16" t="str">
        <f ca="1">IFERROR(__xludf.DUMMYFUNCTION("""COMPUTED_VALUE"""),"Departemen Teknik Material dan Metalurgi")</f>
        <v>Departemen Teknik Material dan Metalurgi</v>
      </c>
      <c r="F38" s="16" t="str">
        <f ca="1">IFERROR(__xludf.DUMMYFUNCTION("""COMPUTED_VALUE"""),"Potensi Komposit Graphene Like Structure dari Limbah Rambut Manusia/Thermally Reduced Graphene Oxide Sebagai Material Superkapasitor")</f>
        <v>Potensi Komposit Graphene Like Structure dari Limbah Rambut Manusia/Thermally Reduced Graphene Oxide Sebagai Material Superkapasitor</v>
      </c>
      <c r="G38" s="16" t="str">
        <f ca="1">IFERROR(__xludf.DUMMYFUNCTION("""COMPUTED_VALUE"""),"Haniffudin Nurdiansah, S.T., M.T.")</f>
        <v>Haniffudin Nurdiansah, S.T., M.T.</v>
      </c>
      <c r="H38" s="16" t="str">
        <f ca="1">IFERROR(__xludf.DUMMYFUNCTION("""COMPUTED_VALUE"""),"Ahmad Fauzan Adziimaa, S.T., M.Sc.")</f>
        <v>Ahmad Fauzan Adziimaa, S.T., M.Sc.</v>
      </c>
      <c r="I38" s="16" t="str">
        <f ca="1">IFERROR(__xludf.DUMMYFUNCTION("""COMPUTED_VALUE"""),"Tri Vicca Kusumadewi, S.T., M.Sc.")</f>
        <v>Tri Vicca Kusumadewi, S.T., M.Sc.</v>
      </c>
      <c r="J38" s="16"/>
      <c r="K38" s="17" t="s">
        <v>1125</v>
      </c>
      <c r="L38" s="17" t="s">
        <v>1123</v>
      </c>
      <c r="M38" s="19" t="b">
        <v>1</v>
      </c>
      <c r="N38" s="19" t="b">
        <v>1</v>
      </c>
      <c r="O38" s="1" t="s">
        <v>1117</v>
      </c>
      <c r="P38" s="7" t="str">
        <f ca="1">IFERROR(__xludf.DUMMYFUNCTION("iferror(vlookup(B38,importrange(""https://docs.google.com/spreadsheets/d/1boHyJQ4e2FU0QG8MHwEi6qjX4hvZWVCHcFfXjq7bbMc/edit?resourcekey#gid=923248883"",""Prop!$C$1:$M""),11,0),IFERROR(vlookup(B38,importrange(""https://docs.google.com/spreadsheets/d/1boHyJQ"&amp;"4e2FU0QG8MHwEi6qjX4hvZWVCHcFfXjq7bbMc/edit?resourcekey#gid=923248883"",""Prop!$N$1:$X""),11,0),iferror(vlookup(B38,importrange(""https://docs.google.com/spreadsheets/d/1boHyJQ4e2FU0QG8MHwEi6qjX4hvZWVCHcFfXjq7bbMc/edit?resourcekey#gid=923248883"",""Prop!$Y"&amp;"$1:$AI""),11,0),iferror(vlookup(B38,importrange(""https://docs.google.com/spreadsheets/d/1boHyJQ4e2FU0QG8MHwEi6qjX4hvZWVCHcFfXjq7bbMc/edit?resourcekey#gid=923248883"",""Prop!$AJ$1:$AT""),11,0),iferror(vlookup(B38,importrange(""https://docs.google.com/spre"&amp;"adsheets/d/1boHyJQ4e2FU0QG8MHwEi6qjX4hvZWVCHcFfXjq7bbMc/edit?resourcekey#gid=923248883"",""Prop!$AU$1:$BE""),11,0),iferror(vlookup(B38,importrange(""https://docs.google.com/spreadsheets/d/1boHyJQ4e2FU0QG8MHwEi6qjX4hvZWVCHcFfXjq7bbMc/edit?resourcekey#gid=9"&amp;"23248883"",""Prop!$BF$1:$BP""),11,0),iferror(vlookup(B38,importrange(""https://docs.google.com/spreadsheets/d/1boHyJQ4e2FU0QG8MHwEi6qjX4hvZWVCHcFfXjq7bbMc/edit?resourcekey#gid=923248883"",""Prop!$BQ$1:$CA""),11,0),iferror(vlookup(B38,importrange(""https:/"&amp;"/docs.google.com/spreadsheets/d/1boHyJQ4e2FU0QG8MHwEi6qjX4hvZWVCHcFfXjq7bbMc/edit?resourcekey#gid=923248883"",""Prop!$CB$1:$CL""),11,0),iferror(vlookup(B38,importrange(""https://docs.google.com/spreadsheets/d/1boHyJQ4e2FU0QG8MHwEi6qjX4hvZWVCHcFfXjq7bbMc/e"&amp;"dit?resourcekey#gid=923248883"",""Prop!$CM$1:$CX""),12,0),iferror(vlookup(B38,importrange(""https://docs.google.com/spreadsheets/d/1boHyJQ4e2FU0QG8MHwEi6qjX4hvZWVCHcFfXjq7bbMc/edit?resourcekey#gid=923248883"",""Prop!$CV$1:$DI""),11,0)))))))))))"),"https://drive.google.com/open?id=17GjpAyxuYvu6dQLGyrnidNlO0vLeo30N")</f>
        <v>https://drive.google.com/open?id=17GjpAyxuYvu6dQLGyrnidNlO0vLeo30N</v>
      </c>
      <c r="Q38" s="50" t="str">
        <f ca="1">IFERROR(__xludf.DUMMYFUNCTION("iferror(vlookup(B38,importrange(""https://docs.google.com/spreadsheets/d/1p53T2AuvvIqhP7Nf-bo3Uhj8cbKYRPpZdsrBv3x3bAQ/edit?resourcekey#gid=1321652304"",""Prop!$C$1:$M""),11,0),IFERROR(vlookup(B38,importrange(""https://docs.google.com/spreadsheets/d/1p53T2"&amp;"AuvvIqhP7Nf-bo3Uhj8cbKYRPpZdsrBv3x3bAQ/edit?resourcekey#gid=1321652304"",""Prop!$N$1:$X""),11,0),iferror(vlookup(B38,importrange(""https://docs.google.com/spreadsheets/d/1p53T2AuvvIqhP7Nf-bo3Uhj8cbKYRPpZdsrBv3x3bAQ/edit?resourcekey#gid=1321652304"",""Prop"&amp;"!$Y$1:$AI""),11,0),iferror(vlookup(B38,importrange(""https://docs.google.com/spreadsheets/d/1p53T2AuvvIqhP7Nf-bo3Uhj8cbKYRPpZdsrBv3x3bAQ/edit?resourcekey#gid=1321652304"",""Prop!$AJ$1:$AT""),11,0),iferror(vlookup(B38,importrange(""https://docs.google.com/"&amp;"spreadsheets/d/1p53T2AuvvIqhP7Nf-bo3Uhj8cbKYRPpZdsrBv3x3bAQ/edit?resourcekey#gid=1321652304"",""Prop!$AU$1:$BE""),11,0),iferror(vlookup(B38,importrange(""https://docs.google.com/spreadsheets/d/1p53T2AuvvIqhP7Nf-bo3Uhj8cbKYRPpZdsrBv3x3bAQ/edit?resourcekey#"&amp;"gid=1321652304"",""Prop!$BF$1:$BP""),11,0),iferror(vlookup(B38,importrange(""https://docs.google.com/spreadsheets/d/1p53T2AuvvIqhP7Nf-bo3Uhj8cbKYRPpZdsrBv3x3bAQ/edit?resourcekey#gid=1321652304"",""Prop!$BQ$1:$CA""),11,0),iferror(vlookup(B38,importrange("""&amp;"https://docs.google.com/spreadsheets/d/1p53T2AuvvIqhP7Nf-bo3Uhj8cbKYRPpZdsrBv3x3bAQ/edit?resourcekey#gid=1321652304"",""Prop!$CB$1:$CL""),11,0),iferror(vlookup(B38,importrange(""https://docs.google.com/spreadsheets/d/1p53T2AuvvIqhP7Nf-bo3Uhj8cbKYRPpZdsrBv"&amp;"3x3bAQ/edit?resourcekey#gid=1321652304"",""Prop!$CM$1:$CX""),12,0),iferror(vlookup(B38,importrange(""https://docs.google.com/spreadsheets/d/1p53T2AuvvIqhP7Nf-bo3Uhj8cbKYRPpZdsrBv3x3bAQ/edit?resourcekey#gid=1321652304"",""Prop!$CY$1:$DI""),11,0)))))))))))"),"https://drive.google.com/open?id=1CHZkW_uMRQcV7NZn6CfuQe4kmXeoZ4q6")</f>
        <v>https://drive.google.com/open?id=1CHZkW_uMRQcV7NZn6CfuQe4kmXeoZ4q6</v>
      </c>
      <c r="R38" s="88" t="s">
        <v>1101</v>
      </c>
      <c r="S38" s="20" t="str">
        <f ca="1">IFERROR(__xludf.DUMMYFUNCTION("IFERROR(vlookup(B38,IMPORTRANGE(""https://docs.google.com/spreadsheets/d/1g_jfYYK_KeipEDNDUgqgrsxK94XiocfNQIcP-v1QVhI/edit?resourcekey#gid=233272945"",""Nilai!B:CT""),57,0),"" "")"),"kreativitas kurang ilmiah, RAB berantakan")</f>
        <v>kreativitas kurang ilmiah, RAB berantakan</v>
      </c>
      <c r="T38" s="20" t="str">
        <f ca="1">IFERROR(__xludf.DUMMYFUNCTION("IFERROR(vlookup(B38,IMPORTRANGE(""https://docs.google.com/spreadsheets/d/1g_jfYYK_KeipEDNDUgqgrsxK94XiocfNQIcP-v1QVhI/edit?resourcekey#gid=233272945"",""Nilai!B:CT""),97,0),"" "")"),"LAYAK UPLOAD KE SIMBELMAWA DENGAN REVISI")</f>
        <v>LAYAK UPLOAD KE SIMBELMAWA DENGAN REVISI</v>
      </c>
      <c r="U38" s="21" t="s">
        <v>660</v>
      </c>
      <c r="V38" s="85" t="s">
        <v>1102</v>
      </c>
      <c r="W38" s="17" t="s">
        <v>1124</v>
      </c>
      <c r="X38" s="34" t="s">
        <v>949</v>
      </c>
    </row>
    <row r="39" spans="1:24" ht="69">
      <c r="A39" s="15">
        <v>37</v>
      </c>
      <c r="B39" s="15">
        <f ca="1">IFERROR(__xludf.DUMMYFUNCTION("""COMPUTED_VALUE"""),2700)</f>
        <v>2700</v>
      </c>
      <c r="C39" s="16" t="str">
        <f ca="1">IFERROR(__xludf.DUMMYFUNCTION("""COMPUTED_VALUE"""),"Paundra Rizky Pratama")</f>
        <v>Paundra Rizky Pratama</v>
      </c>
      <c r="D39" s="16" t="str">
        <f ca="1">IFERROR(__xludf.DUMMYFUNCTION("""COMPUTED_VALUE"""),"02511940000021")</f>
        <v>02511940000021</v>
      </c>
      <c r="E39" s="16" t="str">
        <f ca="1">IFERROR(__xludf.DUMMYFUNCTION("""COMPUTED_VALUE"""),"Departemen Teknik Material dan Metalurgi")</f>
        <v>Departemen Teknik Material dan Metalurgi</v>
      </c>
      <c r="F39" s="16" t="str">
        <f ca="1">IFERROR(__xludf.DUMMYFUNCTION("""COMPUTED_VALUE"""),"Sintesis Komposit Nano-Hydrogel Termodifikasi CuInS2 Quantum Dots Sebagai Agen Penyembuhan Luka Terhadap Ulkus Diabeticum Melalui Mekanisme Terapi Fotothermal  ")</f>
        <v xml:space="preserve">Sintesis Komposit Nano-Hydrogel Termodifikasi CuInS2 Quantum Dots Sebagai Agen Penyembuhan Luka Terhadap Ulkus Diabeticum Melalui Mekanisme Terapi Fotothermal  </v>
      </c>
      <c r="G39" s="16" t="str">
        <f ca="1">IFERROR(__xludf.DUMMYFUNCTION("""COMPUTED_VALUE"""),"Azzah Dyah Pramata, S.T., M.T., M.Eng., Ph.D.")</f>
        <v>Azzah Dyah Pramata, S.T., M.T., M.Eng., Ph.D.</v>
      </c>
      <c r="H39" s="16" t="str">
        <f ca="1">IFERROR(__xludf.DUMMYFUNCTION("""COMPUTED_VALUE"""),"Dr.-Ing. Doty Dewi Risanti, S.T., M.T.")</f>
        <v>Dr.-Ing. Doty Dewi Risanti, S.T., M.T.</v>
      </c>
      <c r="I39" s="16" t="str">
        <f ca="1">IFERROR(__xludf.DUMMYFUNCTION("""COMPUTED_VALUE"""),"Mohammad Sholikhan Arif, S.T., M.T.")</f>
        <v>Mohammad Sholikhan Arif, S.T., M.T.</v>
      </c>
      <c r="J39" s="16"/>
      <c r="K39" s="17" t="s">
        <v>1125</v>
      </c>
      <c r="L39" s="17" t="s">
        <v>1123</v>
      </c>
      <c r="M39" s="19" t="b">
        <v>1</v>
      </c>
      <c r="N39" s="19" t="b">
        <v>1</v>
      </c>
      <c r="O39" s="1" t="s">
        <v>1126</v>
      </c>
      <c r="P39" s="7" t="str">
        <f ca="1">IFERROR(__xludf.DUMMYFUNCTION("iferror(vlookup(B39,importrange(""https://docs.google.com/spreadsheets/d/1boHyJQ4e2FU0QG8MHwEi6qjX4hvZWVCHcFfXjq7bbMc/edit?resourcekey#gid=923248883"",""Prop!$C$1:$M""),11,0),IFERROR(vlookup(B39,importrange(""https://docs.google.com/spreadsheets/d/1boHyJQ"&amp;"4e2FU0QG8MHwEi6qjX4hvZWVCHcFfXjq7bbMc/edit?resourcekey#gid=923248883"",""Prop!$N$1:$X""),11,0),iferror(vlookup(B39,importrange(""https://docs.google.com/spreadsheets/d/1boHyJQ4e2FU0QG8MHwEi6qjX4hvZWVCHcFfXjq7bbMc/edit?resourcekey#gid=923248883"",""Prop!$Y"&amp;"$1:$AI""),11,0),iferror(vlookup(B39,importrange(""https://docs.google.com/spreadsheets/d/1boHyJQ4e2FU0QG8MHwEi6qjX4hvZWVCHcFfXjq7bbMc/edit?resourcekey#gid=923248883"",""Prop!$AJ$1:$AT""),11,0),iferror(vlookup(B39,importrange(""https://docs.google.com/spre"&amp;"adsheets/d/1boHyJQ4e2FU0QG8MHwEi6qjX4hvZWVCHcFfXjq7bbMc/edit?resourcekey#gid=923248883"",""Prop!$AU$1:$BE""),11,0),iferror(vlookup(B39,importrange(""https://docs.google.com/spreadsheets/d/1boHyJQ4e2FU0QG8MHwEi6qjX4hvZWVCHcFfXjq7bbMc/edit?resourcekey#gid=9"&amp;"23248883"",""Prop!$BF$1:$BP""),11,0),iferror(vlookup(B39,importrange(""https://docs.google.com/spreadsheets/d/1boHyJQ4e2FU0QG8MHwEi6qjX4hvZWVCHcFfXjq7bbMc/edit?resourcekey#gid=923248883"",""Prop!$BQ$1:$CA""),11,0),iferror(vlookup(B39,importrange(""https:/"&amp;"/docs.google.com/spreadsheets/d/1boHyJQ4e2FU0QG8MHwEi6qjX4hvZWVCHcFfXjq7bbMc/edit?resourcekey#gid=923248883"",""Prop!$CB$1:$CL""),11,0),iferror(vlookup(B39,importrange(""https://docs.google.com/spreadsheets/d/1boHyJQ4e2FU0QG8MHwEi6qjX4hvZWVCHcFfXjq7bbMc/e"&amp;"dit?resourcekey#gid=923248883"",""Prop!$CM$1:$CX""),12,0),iferror(vlookup(B39,importrange(""https://docs.google.com/spreadsheets/d/1boHyJQ4e2FU0QG8MHwEi6qjX4hvZWVCHcFfXjq7bbMc/edit?resourcekey#gid=923248883"",""Prop!$CV$1:$DI""),11,0)))))))))))"),"https://drive.google.com/open?id=1gcT14lySuZIZD90tA631yjmRrvigk3hM")</f>
        <v>https://drive.google.com/open?id=1gcT14lySuZIZD90tA631yjmRrvigk3hM</v>
      </c>
      <c r="Q39" s="50" t="str">
        <f ca="1">IFERROR(__xludf.DUMMYFUNCTION("iferror(vlookup(B39,importrange(""https://docs.google.com/spreadsheets/d/1p53T2AuvvIqhP7Nf-bo3Uhj8cbKYRPpZdsrBv3x3bAQ/edit?resourcekey#gid=1321652304"",""Prop!$C$1:$M""),11,0),IFERROR(vlookup(B39,importrange(""https://docs.google.com/spreadsheets/d/1p53T2"&amp;"AuvvIqhP7Nf-bo3Uhj8cbKYRPpZdsrBv3x3bAQ/edit?resourcekey#gid=1321652304"",""Prop!$N$1:$X""),11,0),iferror(vlookup(B39,importrange(""https://docs.google.com/spreadsheets/d/1p53T2AuvvIqhP7Nf-bo3Uhj8cbKYRPpZdsrBv3x3bAQ/edit?resourcekey#gid=1321652304"",""Prop"&amp;"!$Y$1:$AI""),11,0),iferror(vlookup(B39,importrange(""https://docs.google.com/spreadsheets/d/1p53T2AuvvIqhP7Nf-bo3Uhj8cbKYRPpZdsrBv3x3bAQ/edit?resourcekey#gid=1321652304"",""Prop!$AJ$1:$AT""),11,0),iferror(vlookup(B39,importrange(""https://docs.google.com/"&amp;"spreadsheets/d/1p53T2AuvvIqhP7Nf-bo3Uhj8cbKYRPpZdsrBv3x3bAQ/edit?resourcekey#gid=1321652304"",""Prop!$AU$1:$BE""),11,0),iferror(vlookup(B39,importrange(""https://docs.google.com/spreadsheets/d/1p53T2AuvvIqhP7Nf-bo3Uhj8cbKYRPpZdsrBv3x3bAQ/edit?resourcekey#"&amp;"gid=1321652304"",""Prop!$BF$1:$BP""),11,0),iferror(vlookup(B39,importrange(""https://docs.google.com/spreadsheets/d/1p53T2AuvvIqhP7Nf-bo3Uhj8cbKYRPpZdsrBv3x3bAQ/edit?resourcekey#gid=1321652304"",""Prop!$BQ$1:$CA""),11,0),iferror(vlookup(B39,importrange("""&amp;"https://docs.google.com/spreadsheets/d/1p53T2AuvvIqhP7Nf-bo3Uhj8cbKYRPpZdsrBv3x3bAQ/edit?resourcekey#gid=1321652304"",""Prop!$CB$1:$CL""),11,0),iferror(vlookup(B39,importrange(""https://docs.google.com/spreadsheets/d/1p53T2AuvvIqhP7Nf-bo3Uhj8cbKYRPpZdsrBv"&amp;"3x3bAQ/edit?resourcekey#gid=1321652304"",""Prop!$CM$1:$CX""),12,0),iferror(vlookup(B39,importrange(""https://docs.google.com/spreadsheets/d/1p53T2AuvvIqhP7Nf-bo3Uhj8cbKYRPpZdsrBv3x3bAQ/edit?resourcekey#gid=1321652304"",""Prop!$CY$1:$DI""),11,0)))))))))))"),"https://drive.google.com/open?id=1W7txkbWyKEBRGIt-yr_WkmVRPy0eJKmw")</f>
        <v>https://drive.google.com/open?id=1W7txkbWyKEBRGIt-yr_WkmVRPy0eJKmw</v>
      </c>
      <c r="R39" s="88" t="s">
        <v>1101</v>
      </c>
      <c r="S39" s="20" t="str">
        <f ca="1">IFERROR(__xludf.DUMMYFUNCTION("IFERROR(vlookup(B39,IMPORTRANGE(""https://docs.google.com/spreadsheets/d/1g_jfYYK_KeipEDNDUgqgrsxK94XiocfNQIcP-v1QVhI/edit?resourcekey#gid=233272945"",""Nilai!B:CT""),57,0),"" "")"),"masukan sesuai Bikom 4")</f>
        <v>masukan sesuai Bikom 4</v>
      </c>
      <c r="T39" s="20" t="str">
        <f ca="1">IFERROR(__xludf.DUMMYFUNCTION("IFERROR(vlookup(B39,IMPORTRANGE(""https://docs.google.com/spreadsheets/d/1g_jfYYK_KeipEDNDUgqgrsxK94XiocfNQIcP-v1QVhI/edit?resourcekey#gid=233272945"",""Nilai!B:CT""),97,0),"" "")"),"LAYAK UPLOAD KE SIMBELMAWA DENGAN REVISI")</f>
        <v>LAYAK UPLOAD KE SIMBELMAWA DENGAN REVISI</v>
      </c>
      <c r="U39" s="21" t="s">
        <v>660</v>
      </c>
      <c r="V39" s="85" t="s">
        <v>1102</v>
      </c>
      <c r="W39" s="17" t="s">
        <v>1124</v>
      </c>
      <c r="X39" s="34" t="s">
        <v>949</v>
      </c>
    </row>
    <row r="40" spans="1:24" ht="72">
      <c r="A40" s="15">
        <v>38</v>
      </c>
      <c r="B40" s="15">
        <f ca="1">IFERROR(__xludf.DUMMYFUNCTION("""COMPUTED_VALUE"""),3913)</f>
        <v>3913</v>
      </c>
      <c r="C40" s="16" t="str">
        <f ca="1">IFERROR(__xludf.DUMMYFUNCTION("""COMPUTED_VALUE"""),"NARENDRA YUDHA ADITAMA")</f>
        <v>NARENDRA YUDHA ADITAMA</v>
      </c>
      <c r="D40" s="16" t="str">
        <f ca="1">IFERROR(__xludf.DUMMYFUNCTION("""COMPUTED_VALUE"""),"02211940000189")</f>
        <v>02211940000189</v>
      </c>
      <c r="E40" s="16" t="str">
        <f ca="1">IFERROR(__xludf.DUMMYFUNCTION("""COMPUTED_VALUE"""),"Departemen Teknik Kimia")</f>
        <v>Departemen Teknik Kimia</v>
      </c>
      <c r="F40" s="16" t="str">
        <f ca="1">IFERROR(__xludf.DUMMYFUNCTION("""COMPUTED_VALUE"""),"Ekstraksi Glukomanan dari Umbi Porang (Amorphophallus onchophyllus) dengan Kombinasi Penambahan NaCl dan Microwave Solvent Extraction Sebagai Inovasi Substituen Stabilizer Halal")</f>
        <v>Ekstraksi Glukomanan dari Umbi Porang (Amorphophallus onchophyllus) dengan Kombinasi Penambahan NaCl dan Microwave Solvent Extraction Sebagai Inovasi Substituen Stabilizer Halal</v>
      </c>
      <c r="G40" s="16" t="str">
        <f ca="1">IFERROR(__xludf.DUMMYFUNCTION("""COMPUTED_VALUE"""),"Prof. Setiyo Gunawan, S.T., Ph.D.")</f>
        <v>Prof. Setiyo Gunawan, S.T., Ph.D.</v>
      </c>
      <c r="H40" s="16" t="str">
        <f ca="1">IFERROR(__xludf.DUMMYFUNCTION("""COMPUTED_VALUE"""),"Vania Mitha Pratiwi, S.T., M.T.")</f>
        <v>Vania Mitha Pratiwi, S.T., M.T.</v>
      </c>
      <c r="I40" s="16" t="str">
        <f ca="1">IFERROR(__xludf.DUMMYFUNCTION("""COMPUTED_VALUE"""),"Dra. Ratna Ediati, MS., Ph.D.")</f>
        <v>Dra. Ratna Ediati, MS., Ph.D.</v>
      </c>
      <c r="J40" s="16"/>
      <c r="K40" s="17" t="s">
        <v>1125</v>
      </c>
      <c r="L40" s="17" t="s">
        <v>1123</v>
      </c>
      <c r="M40" s="19" t="b">
        <v>1</v>
      </c>
      <c r="N40" s="19" t="b">
        <v>1</v>
      </c>
      <c r="O40" s="1" t="s">
        <v>1117</v>
      </c>
      <c r="P40" s="1" t="str">
        <f ca="1">IFERROR(__xludf.DUMMYFUNCTION("iferror(vlookup(B40,importrange(""https://docs.google.com/spreadsheets/d/1boHyJQ4e2FU0QG8MHwEi6qjX4hvZWVCHcFfXjq7bbMc/edit?resourcekey#gid=923248883"",""Prop!$C$1:$M""),11,0),IFERROR(vlookup(B40,importrange(""https://docs.google.com/spreadsheets/d/1boHyJQ"&amp;"4e2FU0QG8MHwEi6qjX4hvZWVCHcFfXjq7bbMc/edit?resourcekey#gid=923248883"",""Prop!$N$1:$X""),11,0),iferror(vlookup(B40,importrange(""https://docs.google.com/spreadsheets/d/1boHyJQ4e2FU0QG8MHwEi6qjX4hvZWVCHcFfXjq7bbMc/edit?resourcekey#gid=923248883"",""Prop!$Y"&amp;"$1:$AI""),11,0),iferror(vlookup(B40,importrange(""https://docs.google.com/spreadsheets/d/1boHyJQ4e2FU0QG8MHwEi6qjX4hvZWVCHcFfXjq7bbMc/edit?resourcekey#gid=923248883"",""Prop!$AJ$1:$AT""),11,0),iferror(vlookup(B40,importrange(""https://docs.google.com/spre"&amp;"adsheets/d/1boHyJQ4e2FU0QG8MHwEi6qjX4hvZWVCHcFfXjq7bbMc/edit?resourcekey#gid=923248883"",""Prop!$AU$1:$BE""),11,0),iferror(vlookup(B40,importrange(""https://docs.google.com/spreadsheets/d/1boHyJQ4e2FU0QG8MHwEi6qjX4hvZWVCHcFfXjq7bbMc/edit?resourcekey#gid=9"&amp;"23248883"",""Prop!$BF$1:$BP""),11,0),iferror(vlookup(B40,importrange(""https://docs.google.com/spreadsheets/d/1boHyJQ4e2FU0QG8MHwEi6qjX4hvZWVCHcFfXjq7bbMc/edit?resourcekey#gid=923248883"",""Prop!$BQ$1:$CA""),11,0),iferror(vlookup(B40,importrange(""https:/"&amp;"/docs.google.com/spreadsheets/d/1boHyJQ4e2FU0QG8MHwEi6qjX4hvZWVCHcFfXjq7bbMc/edit?resourcekey#gid=923248883"",""Prop!$CB$1:$CL""),11,0),iferror(vlookup(B40,importrange(""https://docs.google.com/spreadsheets/d/1boHyJQ4e2FU0QG8MHwEi6qjX4hvZWVCHcFfXjq7bbMc/e"&amp;"dit?resourcekey#gid=923248883"",""Prop!$CM$1:$CX""),12,0),iferror(vlookup(B40,importrange(""https://docs.google.com/spreadsheets/d/1boHyJQ4e2FU0QG8MHwEi6qjX4hvZWVCHcFfXjq7bbMc/edit?resourcekey#gid=923248883"",""Prop!$CV$1:$DI""),11,0)))))))))))"),"")</f>
        <v/>
      </c>
      <c r="Q40" s="7" t="str">
        <f ca="1">IFERROR(__xludf.DUMMYFUNCTION("iferror(vlookup(B40,importrange(""https://docs.google.com/spreadsheets/d/1p53T2AuvvIqhP7Nf-bo3Uhj8cbKYRPpZdsrBv3x3bAQ/edit?resourcekey#gid=1321652304"",""Prop!$C$1:$M""),11,0),IFERROR(vlookup(B40,importrange(""https://docs.google.com/spreadsheets/d/1p53T2"&amp;"AuvvIqhP7Nf-bo3Uhj8cbKYRPpZdsrBv3x3bAQ/edit?resourcekey#gid=1321652304"",""Prop!$N$1:$X""),11,0),iferror(vlookup(B40,importrange(""https://docs.google.com/spreadsheets/d/1p53T2AuvvIqhP7Nf-bo3Uhj8cbKYRPpZdsrBv3x3bAQ/edit?resourcekey#gid=1321652304"",""Prop"&amp;"!$Y$1:$AI""),11,0),iferror(vlookup(B40,importrange(""https://docs.google.com/spreadsheets/d/1p53T2AuvvIqhP7Nf-bo3Uhj8cbKYRPpZdsrBv3x3bAQ/edit?resourcekey#gid=1321652304"",""Prop!$AJ$1:$AT""),11,0),iferror(vlookup(B40,importrange(""https://docs.google.com/"&amp;"spreadsheets/d/1p53T2AuvvIqhP7Nf-bo3Uhj8cbKYRPpZdsrBv3x3bAQ/edit?resourcekey#gid=1321652304"",""Prop!$AU$1:$BE""),11,0),iferror(vlookup(B40,importrange(""https://docs.google.com/spreadsheets/d/1p53T2AuvvIqhP7Nf-bo3Uhj8cbKYRPpZdsrBv3x3bAQ/edit?resourcekey#"&amp;"gid=1321652304"",""Prop!$BF$1:$BP""),11,0),iferror(vlookup(B40,importrange(""https://docs.google.com/spreadsheets/d/1p53T2AuvvIqhP7Nf-bo3Uhj8cbKYRPpZdsrBv3x3bAQ/edit?resourcekey#gid=1321652304"",""Prop!$BQ$1:$CA""),11,0),iferror(vlookup(B40,importrange("""&amp;"https://docs.google.com/spreadsheets/d/1p53T2AuvvIqhP7Nf-bo3Uhj8cbKYRPpZdsrBv3x3bAQ/edit?resourcekey#gid=1321652304"",""Prop!$CB$1:$CL""),11,0),iferror(vlookup(B40,importrange(""https://docs.google.com/spreadsheets/d/1p53T2AuvvIqhP7Nf-bo3Uhj8cbKYRPpZdsrBv"&amp;"3x3bAQ/edit?resourcekey#gid=1321652304"",""Prop!$CM$1:$CX""),12,0),iferror(vlookup(B40,importrange(""https://docs.google.com/spreadsheets/d/1p53T2AuvvIqhP7Nf-bo3Uhj8cbKYRPpZdsrBv3x3bAQ/edit?resourcekey#gid=1321652304"",""Prop!$CY$1:$DI""),11,0)))))))))))"),"https://drive.google.com/open?id=1gtQwbFhnIIxxG53PNklQlB9prCmHG-lo")</f>
        <v>https://drive.google.com/open?id=1gtQwbFhnIIxxG53PNklQlB9prCmHG-lo</v>
      </c>
      <c r="R40" s="88" t="s">
        <v>1101</v>
      </c>
      <c r="S40" s="20" t="str">
        <f ca="1">IFERROR(__xludf.DUMMYFUNCTION("IFERROR(vlookup(B40,IMPORTRANGE(""https://docs.google.com/spreadsheets/d/1g_jfYYK_KeipEDNDUgqgrsxK94XiocfNQIcP-v1QVhI/edit?resourcekey#gid=233272945"",""Nilai!B:CT""),57,0),"" "")"),"RAB diperbaiki")</f>
        <v>RAB diperbaiki</v>
      </c>
      <c r="T40" s="20" t="str">
        <f ca="1">IFERROR(__xludf.DUMMYFUNCTION("IFERROR(vlookup(B40,IMPORTRANGE(""https://docs.google.com/spreadsheets/d/1g_jfYYK_KeipEDNDUgqgrsxK94XiocfNQIcP-v1QVhI/edit?resourcekey#gid=233272945"",""Nilai!B:CT""),97,0),"" "")"),"LAYAK UPLOAD KE SIMBELMAWA DENGAN REVISI")</f>
        <v>LAYAK UPLOAD KE SIMBELMAWA DENGAN REVISI</v>
      </c>
      <c r="U40" s="21" t="s">
        <v>660</v>
      </c>
      <c r="V40" s="85" t="s">
        <v>1102</v>
      </c>
      <c r="W40" s="17" t="s">
        <v>1124</v>
      </c>
      <c r="X40" s="34" t="s">
        <v>949</v>
      </c>
    </row>
    <row r="41" spans="1:24" ht="43.2">
      <c r="A41" s="15">
        <v>39</v>
      </c>
      <c r="B41" s="15">
        <f ca="1">IFERROR(__xludf.DUMMYFUNCTION("""COMPUTED_VALUE"""),2723)</f>
        <v>2723</v>
      </c>
      <c r="C41" s="16" t="str">
        <f ca="1">IFERROR(__xludf.DUMMYFUNCTION("""COMPUTED_VALUE"""),"Yanuar W")</f>
        <v>Yanuar W</v>
      </c>
      <c r="D41" s="16" t="str">
        <f ca="1">IFERROR(__xludf.DUMMYFUNCTION("""COMPUTED_VALUE"""),"5011211081")</f>
        <v>5011211081</v>
      </c>
      <c r="E41" s="16" t="str">
        <f ca="1">IFERROR(__xludf.DUMMYFUNCTION("""COMPUTED_VALUE"""),"Departemen Teknik Material dan Metalurgi")</f>
        <v>Departemen Teknik Material dan Metalurgi</v>
      </c>
      <c r="F41" s="16" t="str">
        <f ca="1">IFERROR(__xludf.DUMMYFUNCTION("""COMPUTED_VALUE"""),"Modifikasi Permukaan Perban Menjadi Superhidrofobik Menggunakan Kitosan dan Silika Aerogel dengan Metode Spray")</f>
        <v>Modifikasi Permukaan Perban Menjadi Superhidrofobik Menggunakan Kitosan dan Silika Aerogel dengan Metode Spray</v>
      </c>
      <c r="G41" s="16" t="str">
        <f ca="1">IFERROR(__xludf.DUMMYFUNCTION("""COMPUTED_VALUE"""),"Dr. Agung Purniawan, S.T., M.Eng.")</f>
        <v>Dr. Agung Purniawan, S.T., M.Eng.</v>
      </c>
      <c r="H41" s="16" t="str">
        <f ca="1">IFERROR(__xludf.DUMMYFUNCTION("""COMPUTED_VALUE"""),"Dr.Eng. Siti Machmudah, S.T., M.Eng.")</f>
        <v>Dr.Eng. Siti Machmudah, S.T., M.Eng.</v>
      </c>
      <c r="I41" s="16" t="str">
        <f ca="1">IFERROR(__xludf.DUMMYFUNCTION("""COMPUTED_VALUE"""),"Dr. Candra Irawan, S.T., M.T.")</f>
        <v>Dr. Candra Irawan, S.T., M.T.</v>
      </c>
      <c r="J41" s="16"/>
      <c r="K41" s="17" t="s">
        <v>1125</v>
      </c>
      <c r="L41" s="17" t="s">
        <v>1123</v>
      </c>
      <c r="M41" s="19" t="b">
        <v>1</v>
      </c>
      <c r="N41" s="19" t="b">
        <v>1</v>
      </c>
      <c r="O41" s="1" t="s">
        <v>1104</v>
      </c>
      <c r="P41" s="7" t="str">
        <f ca="1">IFERROR(__xludf.DUMMYFUNCTION("iferror(vlookup(B41,importrange(""https://docs.google.com/spreadsheets/d/1boHyJQ4e2FU0QG8MHwEi6qjX4hvZWVCHcFfXjq7bbMc/edit?resourcekey#gid=923248883"",""Prop!$C$1:$M""),11,0),IFERROR(vlookup(B41,importrange(""https://docs.google.com/spreadsheets/d/1boHyJQ"&amp;"4e2FU0QG8MHwEi6qjX4hvZWVCHcFfXjq7bbMc/edit?resourcekey#gid=923248883"",""Prop!$N$1:$X""),11,0),iferror(vlookup(B41,importrange(""https://docs.google.com/spreadsheets/d/1boHyJQ4e2FU0QG8MHwEi6qjX4hvZWVCHcFfXjq7bbMc/edit?resourcekey#gid=923248883"",""Prop!$Y"&amp;"$1:$AI""),11,0),iferror(vlookup(B41,importrange(""https://docs.google.com/spreadsheets/d/1boHyJQ4e2FU0QG8MHwEi6qjX4hvZWVCHcFfXjq7bbMc/edit?resourcekey#gid=923248883"",""Prop!$AJ$1:$AT""),11,0),iferror(vlookup(B41,importrange(""https://docs.google.com/spre"&amp;"adsheets/d/1boHyJQ4e2FU0QG8MHwEi6qjX4hvZWVCHcFfXjq7bbMc/edit?resourcekey#gid=923248883"",""Prop!$AU$1:$BE""),11,0),iferror(vlookup(B41,importrange(""https://docs.google.com/spreadsheets/d/1boHyJQ4e2FU0QG8MHwEi6qjX4hvZWVCHcFfXjq7bbMc/edit?resourcekey#gid=9"&amp;"23248883"",""Prop!$BF$1:$BP""),11,0),iferror(vlookup(B41,importrange(""https://docs.google.com/spreadsheets/d/1boHyJQ4e2FU0QG8MHwEi6qjX4hvZWVCHcFfXjq7bbMc/edit?resourcekey#gid=923248883"",""Prop!$BQ$1:$CA""),11,0),iferror(vlookup(B41,importrange(""https:/"&amp;"/docs.google.com/spreadsheets/d/1boHyJQ4e2FU0QG8MHwEi6qjX4hvZWVCHcFfXjq7bbMc/edit?resourcekey#gid=923248883"",""Prop!$CB$1:$CL""),11,0),iferror(vlookup(B41,importrange(""https://docs.google.com/spreadsheets/d/1boHyJQ4e2FU0QG8MHwEi6qjX4hvZWVCHcFfXjq7bbMc/e"&amp;"dit?resourcekey#gid=923248883"",""Prop!$CM$1:$CX""),12,0),iferror(vlookup(B41,importrange(""https://docs.google.com/spreadsheets/d/1boHyJQ4e2FU0QG8MHwEi6qjX4hvZWVCHcFfXjq7bbMc/edit?resourcekey#gid=923248883"",""Prop!$CV$1:$DI""),11,0)))))))))))"),"https://drive.google.com/open?id=1AuDFYBZ2eqcJWznZiRtRABAavH2ltNE_")</f>
        <v>https://drive.google.com/open?id=1AuDFYBZ2eqcJWznZiRtRABAavH2ltNE_</v>
      </c>
      <c r="Q41" s="50" t="str">
        <f ca="1">IFERROR(__xludf.DUMMYFUNCTION("iferror(vlookup(B41,importrange(""https://docs.google.com/spreadsheets/d/1p53T2AuvvIqhP7Nf-bo3Uhj8cbKYRPpZdsrBv3x3bAQ/edit?resourcekey#gid=1321652304"",""Prop!$C$1:$M""),11,0),IFERROR(vlookup(B41,importrange(""https://docs.google.com/spreadsheets/d/1p53T2"&amp;"AuvvIqhP7Nf-bo3Uhj8cbKYRPpZdsrBv3x3bAQ/edit?resourcekey#gid=1321652304"",""Prop!$N$1:$X""),11,0),iferror(vlookup(B41,importrange(""https://docs.google.com/spreadsheets/d/1p53T2AuvvIqhP7Nf-bo3Uhj8cbKYRPpZdsrBv3x3bAQ/edit?resourcekey#gid=1321652304"",""Prop"&amp;"!$Y$1:$AI""),11,0),iferror(vlookup(B41,importrange(""https://docs.google.com/spreadsheets/d/1p53T2AuvvIqhP7Nf-bo3Uhj8cbKYRPpZdsrBv3x3bAQ/edit?resourcekey#gid=1321652304"",""Prop!$AJ$1:$AT""),11,0),iferror(vlookup(B41,importrange(""https://docs.google.com/"&amp;"spreadsheets/d/1p53T2AuvvIqhP7Nf-bo3Uhj8cbKYRPpZdsrBv3x3bAQ/edit?resourcekey#gid=1321652304"",""Prop!$AU$1:$BE""),11,0),iferror(vlookup(B41,importrange(""https://docs.google.com/spreadsheets/d/1p53T2AuvvIqhP7Nf-bo3Uhj8cbKYRPpZdsrBv3x3bAQ/edit?resourcekey#"&amp;"gid=1321652304"",""Prop!$BF$1:$BP""),11,0),iferror(vlookup(B41,importrange(""https://docs.google.com/spreadsheets/d/1p53T2AuvvIqhP7Nf-bo3Uhj8cbKYRPpZdsrBv3x3bAQ/edit?resourcekey#gid=1321652304"",""Prop!$BQ$1:$CA""),11,0),iferror(vlookup(B41,importrange("""&amp;"https://docs.google.com/spreadsheets/d/1p53T2AuvvIqhP7Nf-bo3Uhj8cbKYRPpZdsrBv3x3bAQ/edit?resourcekey#gid=1321652304"",""Prop!$CB$1:$CL""),11,0),iferror(vlookup(B41,importrange(""https://docs.google.com/spreadsheets/d/1p53T2AuvvIqhP7Nf-bo3Uhj8cbKYRPpZdsrBv"&amp;"3x3bAQ/edit?resourcekey#gid=1321652304"",""Prop!$CM$1:$CX""),12,0),iferror(vlookup(B41,importrange(""https://docs.google.com/spreadsheets/d/1p53T2AuvvIqhP7Nf-bo3Uhj8cbKYRPpZdsrBv3x3bAQ/edit?resourcekey#gid=1321652304"",""Prop!$CY$1:$DI""),11,0)))))))))))"),"https://drive.google.com/open?id=15gd7WNp18JolDqUcE5Ybsvzak_Ttvf2a")</f>
        <v>https://drive.google.com/open?id=15gd7WNp18JolDqUcE5Ybsvzak_Ttvf2a</v>
      </c>
      <c r="R41" s="88" t="s">
        <v>1101</v>
      </c>
      <c r="S41" s="20" t="str">
        <f ca="1">IFERROR(__xludf.DUMMYFUNCTION("IFERROR(vlookup(B41,IMPORTRANGE(""https://docs.google.com/spreadsheets/d/1g_jfYYK_KeipEDNDUgqgrsxK94XiocfNQIcP-v1QVhI/edit?resourcekey#gid=233272945"",""Nilai!B:CT""),57,0),"" "")"),"kreativitas kurang, pengusul MABA")</f>
        <v>kreativitas kurang, pengusul MABA</v>
      </c>
      <c r="T41" s="20" t="str">
        <f ca="1">IFERROR(__xludf.DUMMYFUNCTION("IFERROR(vlookup(B41,IMPORTRANGE(""https://docs.google.com/spreadsheets/d/1g_jfYYK_KeipEDNDUgqgrsxK94XiocfNQIcP-v1QVhI/edit?resourcekey#gid=233272945"",""Nilai!B:CT""),97,0),"" "")"),"TIDAK LAYAK UPLOAD KE SIMBELMAWA")</f>
        <v>TIDAK LAYAK UPLOAD KE SIMBELMAWA</v>
      </c>
      <c r="U41" s="21" t="s">
        <v>660</v>
      </c>
      <c r="V41" s="85" t="s">
        <v>1102</v>
      </c>
      <c r="W41" s="17" t="s">
        <v>1127</v>
      </c>
      <c r="X41" s="34" t="s">
        <v>949</v>
      </c>
    </row>
    <row r="42" spans="1:24" ht="69">
      <c r="A42" s="15">
        <v>40</v>
      </c>
      <c r="B42" s="15">
        <f ca="1">IFERROR(__xludf.DUMMYFUNCTION("""COMPUTED_VALUE"""),2919)</f>
        <v>2919</v>
      </c>
      <c r="C42" s="16" t="str">
        <f ca="1">IFERROR(__xludf.DUMMYFUNCTION("""COMPUTED_VALUE"""),"BERLIANA NUR INDAH SARI")</f>
        <v>BERLIANA NUR INDAH SARI</v>
      </c>
      <c r="D42" s="16" t="str">
        <f ca="1">IFERROR(__xludf.DUMMYFUNCTION("""COMPUTED_VALUE"""),"02311840000099")</f>
        <v>02311840000099</v>
      </c>
      <c r="E42" s="16" t="str">
        <f ca="1">IFERROR(__xludf.DUMMYFUNCTION("""COMPUTED_VALUE"""),"Departemen Teknik Fisika")</f>
        <v>Departemen Teknik Fisika</v>
      </c>
      <c r="F42" s="16" t="str">
        <f ca="1">IFERROR(__xludf.DUMMYFUNCTION("""COMPUTED_VALUE"""),"Penyaringan Air Tercemar Mikroplastik Menggunakan Bulk Acoustic Wave")</f>
        <v>Penyaringan Air Tercemar Mikroplastik Menggunakan Bulk Acoustic Wave</v>
      </c>
      <c r="G42" s="16" t="str">
        <f ca="1">IFERROR(__xludf.DUMMYFUNCTION("""COMPUTED_VALUE"""),"Dr. Dhany Arifianto, S.T., M.Eng.")</f>
        <v>Dr. Dhany Arifianto, S.T., M.Eng.</v>
      </c>
      <c r="H42" s="16" t="str">
        <f ca="1">IFERROR(__xludf.DUMMYFUNCTION("""COMPUTED_VALUE"""),"Alief Wikarta, ST., MSc.Eng. Ph.D")</f>
        <v>Alief Wikarta, ST., MSc.Eng. Ph.D</v>
      </c>
      <c r="I42" s="16" t="str">
        <f ca="1">IFERROR(__xludf.DUMMYFUNCTION("""COMPUTED_VALUE"""),"Juan Pandu Gya Nur Rochman, S.Si., M.T.")</f>
        <v>Juan Pandu Gya Nur Rochman, S.Si., M.T.</v>
      </c>
      <c r="J42" s="16"/>
      <c r="K42" s="17" t="s">
        <v>1125</v>
      </c>
      <c r="L42" s="17" t="s">
        <v>1123</v>
      </c>
      <c r="M42" s="19" t="b">
        <v>0</v>
      </c>
      <c r="N42" s="19" t="b">
        <v>1</v>
      </c>
      <c r="O42" s="1" t="s">
        <v>1126</v>
      </c>
      <c r="P42" s="7" t="str">
        <f ca="1">IFERROR(__xludf.DUMMYFUNCTION("iferror(vlookup(B42,importrange(""https://docs.google.com/spreadsheets/d/1boHyJQ4e2FU0QG8MHwEi6qjX4hvZWVCHcFfXjq7bbMc/edit?resourcekey#gid=923248883"",""Prop!$C$1:$M""),11,0),IFERROR(vlookup(B42,importrange(""https://docs.google.com/spreadsheets/d/1boHyJQ"&amp;"4e2FU0QG8MHwEi6qjX4hvZWVCHcFfXjq7bbMc/edit?resourcekey#gid=923248883"",""Prop!$N$1:$X""),11,0),iferror(vlookup(B42,importrange(""https://docs.google.com/spreadsheets/d/1boHyJQ4e2FU0QG8MHwEi6qjX4hvZWVCHcFfXjq7bbMc/edit?resourcekey#gid=923248883"",""Prop!$Y"&amp;"$1:$AI""),11,0),iferror(vlookup(B42,importrange(""https://docs.google.com/spreadsheets/d/1boHyJQ4e2FU0QG8MHwEi6qjX4hvZWVCHcFfXjq7bbMc/edit?resourcekey#gid=923248883"",""Prop!$AJ$1:$AT""),11,0),iferror(vlookup(B42,importrange(""https://docs.google.com/spre"&amp;"adsheets/d/1boHyJQ4e2FU0QG8MHwEi6qjX4hvZWVCHcFfXjq7bbMc/edit?resourcekey#gid=923248883"",""Prop!$AU$1:$BE""),11,0),iferror(vlookup(B42,importrange(""https://docs.google.com/spreadsheets/d/1boHyJQ4e2FU0QG8MHwEi6qjX4hvZWVCHcFfXjq7bbMc/edit?resourcekey#gid=9"&amp;"23248883"",""Prop!$BF$1:$BP""),11,0),iferror(vlookup(B42,importrange(""https://docs.google.com/spreadsheets/d/1boHyJQ4e2FU0QG8MHwEi6qjX4hvZWVCHcFfXjq7bbMc/edit?resourcekey#gid=923248883"",""Prop!$BQ$1:$CA""),11,0),iferror(vlookup(B42,importrange(""https:/"&amp;"/docs.google.com/spreadsheets/d/1boHyJQ4e2FU0QG8MHwEi6qjX4hvZWVCHcFfXjq7bbMc/edit?resourcekey#gid=923248883"",""Prop!$CB$1:$CL""),11,0),iferror(vlookup(B42,importrange(""https://docs.google.com/spreadsheets/d/1boHyJQ4e2FU0QG8MHwEi6qjX4hvZWVCHcFfXjq7bbMc/e"&amp;"dit?resourcekey#gid=923248883"",""Prop!$CM$1:$CX""),12,0),iferror(vlookup(B42,importrange(""https://docs.google.com/spreadsheets/d/1boHyJQ4e2FU0QG8MHwEi6qjX4hvZWVCHcFfXjq7bbMc/edit?resourcekey#gid=923248883"",""Prop!$CV$1:$DI""),11,0)))))))))))"),"https://drive.google.com/open?id=1lt-ezHt8TFvCmcKiN78uZMxju7IG-wSs")</f>
        <v>https://drive.google.com/open?id=1lt-ezHt8TFvCmcKiN78uZMxju7IG-wSs</v>
      </c>
      <c r="Q42" s="50" t="str">
        <f ca="1">IFERROR(__xludf.DUMMYFUNCTION("iferror(vlookup(B42,importrange(""https://docs.google.com/spreadsheets/d/1p53T2AuvvIqhP7Nf-bo3Uhj8cbKYRPpZdsrBv3x3bAQ/edit?resourcekey#gid=1321652304"",""Prop!$C$1:$M""),11,0),IFERROR(vlookup(B42,importrange(""https://docs.google.com/spreadsheets/d/1p53T2"&amp;"AuvvIqhP7Nf-bo3Uhj8cbKYRPpZdsrBv3x3bAQ/edit?resourcekey#gid=1321652304"",""Prop!$N$1:$X""),11,0),iferror(vlookup(B42,importrange(""https://docs.google.com/spreadsheets/d/1p53T2AuvvIqhP7Nf-bo3Uhj8cbKYRPpZdsrBv3x3bAQ/edit?resourcekey#gid=1321652304"",""Prop"&amp;"!$Y$1:$AI""),11,0),iferror(vlookup(B42,importrange(""https://docs.google.com/spreadsheets/d/1p53T2AuvvIqhP7Nf-bo3Uhj8cbKYRPpZdsrBv3x3bAQ/edit?resourcekey#gid=1321652304"",""Prop!$AJ$1:$AT""),11,0),iferror(vlookup(B42,importrange(""https://docs.google.com/"&amp;"spreadsheets/d/1p53T2AuvvIqhP7Nf-bo3Uhj8cbKYRPpZdsrBv3x3bAQ/edit?resourcekey#gid=1321652304"",""Prop!$AU$1:$BE""),11,0),iferror(vlookup(B42,importrange(""https://docs.google.com/spreadsheets/d/1p53T2AuvvIqhP7Nf-bo3Uhj8cbKYRPpZdsrBv3x3bAQ/edit?resourcekey#"&amp;"gid=1321652304"",""Prop!$BF$1:$BP""),11,0),iferror(vlookup(B42,importrange(""https://docs.google.com/spreadsheets/d/1p53T2AuvvIqhP7Nf-bo3Uhj8cbKYRPpZdsrBv3x3bAQ/edit?resourcekey#gid=1321652304"",""Prop!$BQ$1:$CA""),11,0),iferror(vlookup(B42,importrange("""&amp;"https://docs.google.com/spreadsheets/d/1p53T2AuvvIqhP7Nf-bo3Uhj8cbKYRPpZdsrBv3x3bAQ/edit?resourcekey#gid=1321652304"",""Prop!$CB$1:$CL""),11,0),iferror(vlookup(B42,importrange(""https://docs.google.com/spreadsheets/d/1p53T2AuvvIqhP7Nf-bo3Uhj8cbKYRPpZdsrBv"&amp;"3x3bAQ/edit?resourcekey#gid=1321652304"",""Prop!$CM$1:$CX""),12,0),iferror(vlookup(B42,importrange(""https://docs.google.com/spreadsheets/d/1p53T2AuvvIqhP7Nf-bo3Uhj8cbKYRPpZdsrBv3x3bAQ/edit?resourcekey#gid=1321652304"",""Prop!$CY$1:$DI""),11,0)))))))))))"),"https://drive.google.com/open?id=1xriKcbbtlIxo3SgrYELCoYWbfZj0CEZT")</f>
        <v>https://drive.google.com/open?id=1xriKcbbtlIxo3SgrYELCoYWbfZj0CEZT</v>
      </c>
      <c r="R42" s="88" t="s">
        <v>1101</v>
      </c>
      <c r="S42" s="20" t="str">
        <f ca="1">IFERROR(__xludf.DUMMYFUNCTION("IFERROR(vlookup(B42,IMPORTRANGE(""https://docs.google.com/spreadsheets/d/1g_jfYYK_KeipEDNDUgqgrsxK94XiocfNQIcP-v1QVhI/edit?resourcekey#gid=233272945"",""Nilai!B:CT""),57,0),"" "")"),"revisi sesuai bikom 4")</f>
        <v>revisi sesuai bikom 4</v>
      </c>
      <c r="T42" s="20" t="str">
        <f ca="1">IFERROR(__xludf.DUMMYFUNCTION("IFERROR(vlookup(B42,IMPORTRANGE(""https://docs.google.com/spreadsheets/d/1g_jfYYK_KeipEDNDUgqgrsxK94XiocfNQIcP-v1QVhI/edit?resourcekey#gid=233272945"",""Nilai!B:CT""),97,0),"" "")"),"LAYAK UPLOAD KE SIMBELMAWA DENGAN REVISI")</f>
        <v>LAYAK UPLOAD KE SIMBELMAWA DENGAN REVISI</v>
      </c>
      <c r="U42" s="21" t="s">
        <v>660</v>
      </c>
      <c r="V42" s="85" t="s">
        <v>1102</v>
      </c>
      <c r="W42" s="17" t="s">
        <v>1127</v>
      </c>
      <c r="X42" s="34" t="s">
        <v>949</v>
      </c>
    </row>
    <row r="43" spans="1:24" ht="43.2">
      <c r="A43" s="15">
        <v>41</v>
      </c>
      <c r="B43" s="15">
        <f ca="1">IFERROR(__xludf.DUMMYFUNCTION("""COMPUTED_VALUE"""),3559)</f>
        <v>3559</v>
      </c>
      <c r="C43" s="16" t="str">
        <f ca="1">IFERROR(__xludf.DUMMYFUNCTION("""COMPUTED_VALUE"""),"LUTFI NUR AINI")</f>
        <v>LUTFI NUR AINI</v>
      </c>
      <c r="D43" s="16" t="str">
        <f ca="1">IFERROR(__xludf.DUMMYFUNCTION("""COMPUTED_VALUE"""),"10411910000004")</f>
        <v>10411910000004</v>
      </c>
      <c r="E43" s="16" t="str">
        <f ca="1">IFERROR(__xludf.DUMMYFUNCTION("""COMPUTED_VALUE"""),"Departemen Teknik Kimia Industri")</f>
        <v>Departemen Teknik Kimia Industri</v>
      </c>
      <c r="F43" s="16" t="str">
        <f ca="1">IFERROR(__xludf.DUMMYFUNCTION("""COMPUTED_VALUE"""),"Pembuatan Mikroba Konsorsium Terimobilisasi pada Na-Alginate untuk Pengolahan Limbah Industri Potong Ayam")</f>
        <v>Pembuatan Mikroba Konsorsium Terimobilisasi pada Na-Alginate untuk Pengolahan Limbah Industri Potong Ayam</v>
      </c>
      <c r="G43" s="16" t="str">
        <f ca="1">IFERROR(__xludf.DUMMYFUNCTION("""COMPUTED_VALUE"""),"Dr. Afan Hamzah, S.T.")</f>
        <v>Dr. Afan Hamzah, S.T.</v>
      </c>
      <c r="H43" s="16" t="str">
        <f ca="1">IFERROR(__xludf.DUMMYFUNCTION("""COMPUTED_VALUE"""),"Dr.Eng. Siti Machmudah, S.T., M.Eng.")</f>
        <v>Dr.Eng. Siti Machmudah, S.T., M.Eng.</v>
      </c>
      <c r="I43" s="16" t="str">
        <f ca="1">IFERROR(__xludf.DUMMYFUNCTION("""COMPUTED_VALUE"""),"Dra. Ratna Ediati, MS., Ph.D.")</f>
        <v>Dra. Ratna Ediati, MS., Ph.D.</v>
      </c>
      <c r="J43" s="16"/>
      <c r="K43" s="17" t="s">
        <v>1128</v>
      </c>
      <c r="L43" s="17" t="s">
        <v>1129</v>
      </c>
      <c r="M43" s="19" t="b">
        <v>1</v>
      </c>
      <c r="N43" s="19" t="b">
        <v>1</v>
      </c>
      <c r="O43" s="1" t="s">
        <v>1104</v>
      </c>
      <c r="P43" s="7" t="str">
        <f ca="1">IFERROR(__xludf.DUMMYFUNCTION("iferror(vlookup(B43,importrange(""https://docs.google.com/spreadsheets/d/1boHyJQ4e2FU0QG8MHwEi6qjX4hvZWVCHcFfXjq7bbMc/edit?resourcekey#gid=923248883"",""Prop!$C$1:$M""),11,0),IFERROR(vlookup(B43,importrange(""https://docs.google.com/spreadsheets/d/1boHyJQ"&amp;"4e2FU0QG8MHwEi6qjX4hvZWVCHcFfXjq7bbMc/edit?resourcekey#gid=923248883"",""Prop!$N$1:$X""),11,0),iferror(vlookup(B43,importrange(""https://docs.google.com/spreadsheets/d/1boHyJQ4e2FU0QG8MHwEi6qjX4hvZWVCHcFfXjq7bbMc/edit?resourcekey#gid=923248883"",""Prop!$Y"&amp;"$1:$AI""),11,0),iferror(vlookup(B43,importrange(""https://docs.google.com/spreadsheets/d/1boHyJQ4e2FU0QG8MHwEi6qjX4hvZWVCHcFfXjq7bbMc/edit?resourcekey#gid=923248883"",""Prop!$AJ$1:$AT""),11,0),iferror(vlookup(B43,importrange(""https://docs.google.com/spre"&amp;"adsheets/d/1boHyJQ4e2FU0QG8MHwEi6qjX4hvZWVCHcFfXjq7bbMc/edit?resourcekey#gid=923248883"",""Prop!$AU$1:$BE""),11,0),iferror(vlookup(B43,importrange(""https://docs.google.com/spreadsheets/d/1boHyJQ4e2FU0QG8MHwEi6qjX4hvZWVCHcFfXjq7bbMc/edit?resourcekey#gid=9"&amp;"23248883"",""Prop!$BF$1:$BP""),11,0),iferror(vlookup(B43,importrange(""https://docs.google.com/spreadsheets/d/1boHyJQ4e2FU0QG8MHwEi6qjX4hvZWVCHcFfXjq7bbMc/edit?resourcekey#gid=923248883"",""Prop!$BQ$1:$CA""),11,0),iferror(vlookup(B43,importrange(""https:/"&amp;"/docs.google.com/spreadsheets/d/1boHyJQ4e2FU0QG8MHwEi6qjX4hvZWVCHcFfXjq7bbMc/edit?resourcekey#gid=923248883"",""Prop!$CB$1:$CL""),11,0),iferror(vlookup(B43,importrange(""https://docs.google.com/spreadsheets/d/1boHyJQ4e2FU0QG8MHwEi6qjX4hvZWVCHcFfXjq7bbMc/e"&amp;"dit?resourcekey#gid=923248883"",""Prop!$CM$1:$CX""),12,0),iferror(vlookup(B43,importrange(""https://docs.google.com/spreadsheets/d/1boHyJQ4e2FU0QG8MHwEi6qjX4hvZWVCHcFfXjq7bbMc/edit?resourcekey#gid=923248883"",""Prop!$CV$1:$DI""),11,0)))))))))))"),"https://drive.google.com/open?id=1v776EFNi1rlyIe8w4yLrPTh2eNcQyq_M")</f>
        <v>https://drive.google.com/open?id=1v776EFNi1rlyIe8w4yLrPTh2eNcQyq_M</v>
      </c>
      <c r="Q43" s="7" t="str">
        <f ca="1">IFERROR(__xludf.DUMMYFUNCTION("iferror(vlookup(B43,importrange(""https://docs.google.com/spreadsheets/d/1p53T2AuvvIqhP7Nf-bo3Uhj8cbKYRPpZdsrBv3x3bAQ/edit?resourcekey#gid=1321652304"",""Prop!$C$1:$M""),11,0),IFERROR(vlookup(B43,importrange(""https://docs.google.com/spreadsheets/d/1p53T2"&amp;"AuvvIqhP7Nf-bo3Uhj8cbKYRPpZdsrBv3x3bAQ/edit?resourcekey#gid=1321652304"",""Prop!$N$1:$X""),11,0),iferror(vlookup(B43,importrange(""https://docs.google.com/spreadsheets/d/1p53T2AuvvIqhP7Nf-bo3Uhj8cbKYRPpZdsrBv3x3bAQ/edit?resourcekey#gid=1321652304"",""Prop"&amp;"!$Y$1:$AI""),11,0),iferror(vlookup(B43,importrange(""https://docs.google.com/spreadsheets/d/1p53T2AuvvIqhP7Nf-bo3Uhj8cbKYRPpZdsrBv3x3bAQ/edit?resourcekey#gid=1321652304"",""Prop!$AJ$1:$AT""),11,0),iferror(vlookup(B43,importrange(""https://docs.google.com/"&amp;"spreadsheets/d/1p53T2AuvvIqhP7Nf-bo3Uhj8cbKYRPpZdsrBv3x3bAQ/edit?resourcekey#gid=1321652304"",""Prop!$AU$1:$BE""),11,0),iferror(vlookup(B43,importrange(""https://docs.google.com/spreadsheets/d/1p53T2AuvvIqhP7Nf-bo3Uhj8cbKYRPpZdsrBv3x3bAQ/edit?resourcekey#"&amp;"gid=1321652304"",""Prop!$BF$1:$BP""),11,0),iferror(vlookup(B43,importrange(""https://docs.google.com/spreadsheets/d/1p53T2AuvvIqhP7Nf-bo3Uhj8cbKYRPpZdsrBv3x3bAQ/edit?resourcekey#gid=1321652304"",""Prop!$BQ$1:$CA""),11,0),iferror(vlookup(B43,importrange("""&amp;"https://docs.google.com/spreadsheets/d/1p53T2AuvvIqhP7Nf-bo3Uhj8cbKYRPpZdsrBv3x3bAQ/edit?resourcekey#gid=1321652304"",""Prop!$CB$1:$CL""),11,0),iferror(vlookup(B43,importrange(""https://docs.google.com/spreadsheets/d/1p53T2AuvvIqhP7Nf-bo3Uhj8cbKYRPpZdsrBv"&amp;"3x3bAQ/edit?resourcekey#gid=1321652304"",""Prop!$CM$1:$CX""),12,0),iferror(vlookup(B43,importrange(""https://docs.google.com/spreadsheets/d/1p53T2AuvvIqhP7Nf-bo3Uhj8cbKYRPpZdsrBv3x3bAQ/edit?resourcekey#gid=1321652304"",""Prop!$CY$1:$DI""),11,0)))))))))))"),"https://drive.google.com/open?id=1Ei9oJmbN5s1dLJIN0JIhZ9fvIkP87Gva")</f>
        <v>https://drive.google.com/open?id=1Ei9oJmbN5s1dLJIN0JIhZ9fvIkP87Gva</v>
      </c>
      <c r="R43" s="88" t="s">
        <v>1101</v>
      </c>
      <c r="S43" s="20" t="str">
        <f ca="1">IFERROR(__xludf.DUMMYFUNCTION("IFERROR(vlookup(B43,IMPORTRANGE(""https://docs.google.com/spreadsheets/d/1g_jfYYK_KeipEDNDUgqgrsxK94XiocfNQIcP-v1QVhI/edit?resourcekey#gid=233272945"",""Nilai!B:CT""),57,0),"" "")"),"Metode penelitian ambyar")</f>
        <v>Metode penelitian ambyar</v>
      </c>
      <c r="T43" s="20" t="str">
        <f ca="1">IFERROR(__xludf.DUMMYFUNCTION("IFERROR(vlookup(B43,IMPORTRANGE(""https://docs.google.com/spreadsheets/d/1g_jfYYK_KeipEDNDUgqgrsxK94XiocfNQIcP-v1QVhI/edit?resourcekey#gid=233272945"",""Nilai!B:CT""),97,0),"" "")"),"TIDAK LAYAK UPLOAD KE SIMBELMAWA")</f>
        <v>TIDAK LAYAK UPLOAD KE SIMBELMAWA</v>
      </c>
      <c r="U43" s="21" t="s">
        <v>660</v>
      </c>
      <c r="V43" s="85" t="s">
        <v>1102</v>
      </c>
      <c r="W43" s="17" t="s">
        <v>1127</v>
      </c>
      <c r="X43" s="34" t="s">
        <v>949</v>
      </c>
    </row>
    <row r="44" spans="1:24" ht="72">
      <c r="A44" s="15">
        <v>42</v>
      </c>
      <c r="B44" s="15">
        <f ca="1">IFERROR(__xludf.DUMMYFUNCTION("""COMPUTED_VALUE"""),2492)</f>
        <v>2492</v>
      </c>
      <c r="C44" s="16" t="str">
        <f ca="1">IFERROR(__xludf.DUMMYFUNCTION("""COMPUTED_VALUE"""),"FARCHANAH NOOR FITROH")</f>
        <v>FARCHANAH NOOR FITROH</v>
      </c>
      <c r="D44" s="16" t="str">
        <f ca="1">IFERROR(__xludf.DUMMYFUNCTION("""COMPUTED_VALUE"""),"01211940000093")</f>
        <v>01211940000093</v>
      </c>
      <c r="E44" s="16" t="str">
        <f ca="1">IFERROR(__xludf.DUMMYFUNCTION("""COMPUTED_VALUE"""),"Departemen Kimia")</f>
        <v>Departemen Kimia</v>
      </c>
      <c r="F44" s="16" t="str">
        <f ca="1">IFERROR(__xludf.DUMMYFUNCTION("""COMPUTED_VALUE"""),"Nano Silica Mesopori Termodifikasi Chalcone sebagai Adjuvant Ekstrak Flavonoid Daun Pepaya (Carica papaya) pada Sel Kanker Payudara (MCF-7 cell line)
")</f>
        <v xml:space="preserve">Nano Silica Mesopori Termodifikasi Chalcone sebagai Adjuvant Ekstrak Flavonoid Daun Pepaya (Carica papaya) pada Sel Kanker Payudara (MCF-7 cell line)
</v>
      </c>
      <c r="G44" s="16" t="str">
        <f ca="1">IFERROR(__xludf.DUMMYFUNCTION("""COMPUTED_VALUE"""),"Arif Fadlan, S.Si., M.Si., D.Sc")</f>
        <v>Arif Fadlan, S.Si., M.Si., D.Sc</v>
      </c>
      <c r="H44" s="16" t="str">
        <f ca="1">IFERROR(__xludf.DUMMYFUNCTION("""COMPUTED_VALUE"""),"Dr.-Ing. Doty Dewi Risanti, S.T., M.T.")</f>
        <v>Dr.-Ing. Doty Dewi Risanti, S.T., M.T.</v>
      </c>
      <c r="I44" s="16" t="str">
        <f ca="1">IFERROR(__xludf.DUMMYFUNCTION("""COMPUTED_VALUE"""),"Annas Wiguno, S.T., M.T.")</f>
        <v>Annas Wiguno, S.T., M.T.</v>
      </c>
      <c r="J44" s="16"/>
      <c r="K44" s="17" t="s">
        <v>1128</v>
      </c>
      <c r="L44" s="17" t="s">
        <v>1129</v>
      </c>
      <c r="M44" s="19" t="b">
        <v>0</v>
      </c>
      <c r="N44" s="19" t="b">
        <v>1</v>
      </c>
      <c r="O44" s="1" t="s">
        <v>1126</v>
      </c>
      <c r="P44" s="7" t="str">
        <f ca="1">IFERROR(__xludf.DUMMYFUNCTION("iferror(vlookup(B44,importrange(""https://docs.google.com/spreadsheets/d/1boHyJQ4e2FU0QG8MHwEi6qjX4hvZWVCHcFfXjq7bbMc/edit?resourcekey#gid=923248883"",""Prop!$C$1:$M""),11,0),IFERROR(vlookup(B44,importrange(""https://docs.google.com/spreadsheets/d/1boHyJQ"&amp;"4e2FU0QG8MHwEi6qjX4hvZWVCHcFfXjq7bbMc/edit?resourcekey#gid=923248883"",""Prop!$N$1:$X""),11,0),iferror(vlookup(B44,importrange(""https://docs.google.com/spreadsheets/d/1boHyJQ4e2FU0QG8MHwEi6qjX4hvZWVCHcFfXjq7bbMc/edit?resourcekey#gid=923248883"",""Prop!$Y"&amp;"$1:$AI""),11,0),iferror(vlookup(B44,importrange(""https://docs.google.com/spreadsheets/d/1boHyJQ4e2FU0QG8MHwEi6qjX4hvZWVCHcFfXjq7bbMc/edit?resourcekey#gid=923248883"",""Prop!$AJ$1:$AT""),11,0),iferror(vlookup(B44,importrange(""https://docs.google.com/spre"&amp;"adsheets/d/1boHyJQ4e2FU0QG8MHwEi6qjX4hvZWVCHcFfXjq7bbMc/edit?resourcekey#gid=923248883"",""Prop!$AU$1:$BE""),11,0),iferror(vlookup(B44,importrange(""https://docs.google.com/spreadsheets/d/1boHyJQ4e2FU0QG8MHwEi6qjX4hvZWVCHcFfXjq7bbMc/edit?resourcekey#gid=9"&amp;"23248883"",""Prop!$BF$1:$BP""),11,0),iferror(vlookup(B44,importrange(""https://docs.google.com/spreadsheets/d/1boHyJQ4e2FU0QG8MHwEi6qjX4hvZWVCHcFfXjq7bbMc/edit?resourcekey#gid=923248883"",""Prop!$BQ$1:$CA""),11,0),iferror(vlookup(B44,importrange(""https:/"&amp;"/docs.google.com/spreadsheets/d/1boHyJQ4e2FU0QG8MHwEi6qjX4hvZWVCHcFfXjq7bbMc/edit?resourcekey#gid=923248883"",""Prop!$CB$1:$CL""),11,0),iferror(vlookup(B44,importrange(""https://docs.google.com/spreadsheets/d/1boHyJQ4e2FU0QG8MHwEi6qjX4hvZWVCHcFfXjq7bbMc/e"&amp;"dit?resourcekey#gid=923248883"",""Prop!$CM$1:$CX""),12,0),iferror(vlookup(B44,importrange(""https://docs.google.com/spreadsheets/d/1boHyJQ4e2FU0QG8MHwEi6qjX4hvZWVCHcFfXjq7bbMc/edit?resourcekey#gid=923248883"",""Prop!$CV$1:$DI""),11,0)))))))))))"),"https://drive.google.com/open?id=1-Y019-Qvy6wxeWcOWc17neENodTPsVnW")</f>
        <v>https://drive.google.com/open?id=1-Y019-Qvy6wxeWcOWc17neENodTPsVnW</v>
      </c>
      <c r="Q44" s="50" t="str">
        <f ca="1">IFERROR(__xludf.DUMMYFUNCTION("iferror(vlookup(B44,importrange(""https://docs.google.com/spreadsheets/d/1p53T2AuvvIqhP7Nf-bo3Uhj8cbKYRPpZdsrBv3x3bAQ/edit?resourcekey#gid=1321652304"",""Prop!$C$1:$M""),11,0),IFERROR(vlookup(B44,importrange(""https://docs.google.com/spreadsheets/d/1p53T2"&amp;"AuvvIqhP7Nf-bo3Uhj8cbKYRPpZdsrBv3x3bAQ/edit?resourcekey#gid=1321652304"",""Prop!$N$1:$X""),11,0),iferror(vlookup(B44,importrange(""https://docs.google.com/spreadsheets/d/1p53T2AuvvIqhP7Nf-bo3Uhj8cbKYRPpZdsrBv3x3bAQ/edit?resourcekey#gid=1321652304"",""Prop"&amp;"!$Y$1:$AI""),11,0),iferror(vlookup(B44,importrange(""https://docs.google.com/spreadsheets/d/1p53T2AuvvIqhP7Nf-bo3Uhj8cbKYRPpZdsrBv3x3bAQ/edit?resourcekey#gid=1321652304"",""Prop!$AJ$1:$AT""),11,0),iferror(vlookup(B44,importrange(""https://docs.google.com/"&amp;"spreadsheets/d/1p53T2AuvvIqhP7Nf-bo3Uhj8cbKYRPpZdsrBv3x3bAQ/edit?resourcekey#gid=1321652304"",""Prop!$AU$1:$BE""),11,0),iferror(vlookup(B44,importrange(""https://docs.google.com/spreadsheets/d/1p53T2AuvvIqhP7Nf-bo3Uhj8cbKYRPpZdsrBv3x3bAQ/edit?resourcekey#"&amp;"gid=1321652304"",""Prop!$BF$1:$BP""),11,0),iferror(vlookup(B44,importrange(""https://docs.google.com/spreadsheets/d/1p53T2AuvvIqhP7Nf-bo3Uhj8cbKYRPpZdsrBv3x3bAQ/edit?resourcekey#gid=1321652304"",""Prop!$BQ$1:$CA""),11,0),iferror(vlookup(B44,importrange("""&amp;"https://docs.google.com/spreadsheets/d/1p53T2AuvvIqhP7Nf-bo3Uhj8cbKYRPpZdsrBv3x3bAQ/edit?resourcekey#gid=1321652304"",""Prop!$CB$1:$CL""),11,0),iferror(vlookup(B44,importrange(""https://docs.google.com/spreadsheets/d/1p53T2AuvvIqhP7Nf-bo3Uhj8cbKYRPpZdsrBv"&amp;"3x3bAQ/edit?resourcekey#gid=1321652304"",""Prop!$CM$1:$CX""),12,0),iferror(vlookup(B44,importrange(""https://docs.google.com/spreadsheets/d/1p53T2AuvvIqhP7Nf-bo3Uhj8cbKYRPpZdsrBv3x3bAQ/edit?resourcekey#gid=1321652304"",""Prop!$CY$1:$DI""),11,0)))))))))))"),"https://drive.google.com/open?id=1omxMei7NaVMgMDrsSPAZVMO-ETNJ6Soe")</f>
        <v>https://drive.google.com/open?id=1omxMei7NaVMgMDrsSPAZVMO-ETNJ6Soe</v>
      </c>
      <c r="R44" s="88" t="s">
        <v>1101</v>
      </c>
      <c r="S44" s="20" t="str">
        <f ca="1">IFERROR(__xludf.DUMMYFUNCTION("IFERROR(vlookup(B44,IMPORTRANGE(""https://docs.google.com/spreadsheets/d/1g_jfYYK_KeipEDNDUgqgrsxK94XiocfNQIcP-v1QVhI/edit?resourcekey#gid=233272945"",""Nilai!B:CT""),57,0),"" "")"),"-")</f>
        <v>-</v>
      </c>
      <c r="T44" s="20" t="str">
        <f ca="1">IFERROR(__xludf.DUMMYFUNCTION("IFERROR(vlookup(B44,IMPORTRANGE(""https://docs.google.com/spreadsheets/d/1g_jfYYK_KeipEDNDUgqgrsxK94XiocfNQIcP-v1QVhI/edit?resourcekey#gid=233272945"",""Nilai!B:CT""),97,0),"" "")"),"LAYAK UPLOAD KE SIMBELMAWA")</f>
        <v>LAYAK UPLOAD KE SIMBELMAWA</v>
      </c>
      <c r="U44" s="21" t="s">
        <v>660</v>
      </c>
      <c r="V44" s="85" t="s">
        <v>1102</v>
      </c>
      <c r="W44" s="17" t="s">
        <v>1127</v>
      </c>
      <c r="X44" s="34" t="s">
        <v>949</v>
      </c>
    </row>
    <row r="45" spans="1:24" ht="69">
      <c r="A45" s="15">
        <v>43</v>
      </c>
      <c r="B45" s="15">
        <f ca="1">IFERROR(__xludf.DUMMYFUNCTION("""COMPUTED_VALUE"""),3492)</f>
        <v>3492</v>
      </c>
      <c r="C45" s="16" t="str">
        <f ca="1">IFERROR(__xludf.DUMMYFUNCTION("""COMPUTED_VALUE"""),"AWWALIYAH NUR FADHILAH")</f>
        <v>AWWALIYAH NUR FADHILAH</v>
      </c>
      <c r="D45" s="16" t="str">
        <f ca="1">IFERROR(__xludf.DUMMYFUNCTION("""COMPUTED_VALUE"""),"06111940000050")</f>
        <v>06111940000050</v>
      </c>
      <c r="E45" s="16" t="str">
        <f ca="1">IFERROR(__xludf.DUMMYFUNCTION("""COMPUTED_VALUE"""),"Departemen Matematika")</f>
        <v>Departemen Matematika</v>
      </c>
      <c r="F45" s="16" t="str">
        <f ca="1">IFERROR(__xludf.DUMMYFUNCTION("""COMPUTED_VALUE"""),"Klasifikasi Analisis Sentimen di Media Sosial dalam Pergerakan Harga Saham Menggunakan Metode Support Vector Machine")</f>
        <v>Klasifikasi Analisis Sentimen di Media Sosial dalam Pergerakan Harga Saham Menggunakan Metode Support Vector Machine</v>
      </c>
      <c r="G45" s="16" t="str">
        <f ca="1">IFERROR(__xludf.DUMMYFUNCTION("""COMPUTED_VALUE"""),"Prof. Dr. Drs. Mohammad Isa Irawan, M.T.")</f>
        <v>Prof. Dr. Drs. Mohammad Isa Irawan, M.T.</v>
      </c>
      <c r="H45" s="16" t="str">
        <f ca="1">IFERROR(__xludf.DUMMYFUNCTION("""COMPUTED_VALUE"""),"Dr.Eng. Siti Machmudah, S.T., M.Eng.")</f>
        <v>Dr.Eng. Siti Machmudah, S.T., M.Eng.</v>
      </c>
      <c r="I45" s="16" t="str">
        <f ca="1">IFERROR(__xludf.DUMMYFUNCTION("""COMPUTED_VALUE"""),"Dra. Ratna Ediati, MS., Ph.D.")</f>
        <v>Dra. Ratna Ediati, MS., Ph.D.</v>
      </c>
      <c r="J45" s="16"/>
      <c r="K45" s="17" t="s">
        <v>1128</v>
      </c>
      <c r="L45" s="17" t="s">
        <v>1129</v>
      </c>
      <c r="M45" s="19" t="b">
        <v>1</v>
      </c>
      <c r="N45" s="19" t="b">
        <v>1</v>
      </c>
      <c r="O45" s="1" t="s">
        <v>1113</v>
      </c>
      <c r="P45" s="7" t="str">
        <f ca="1">IFERROR(__xludf.DUMMYFUNCTION("iferror(vlookup(B45,importrange(""https://docs.google.com/spreadsheets/d/1boHyJQ4e2FU0QG8MHwEi6qjX4hvZWVCHcFfXjq7bbMc/edit?resourcekey#gid=923248883"",""Prop!$C$1:$M""),11,0),IFERROR(vlookup(B45,importrange(""https://docs.google.com/spreadsheets/d/1boHyJQ"&amp;"4e2FU0QG8MHwEi6qjX4hvZWVCHcFfXjq7bbMc/edit?resourcekey#gid=923248883"",""Prop!$N$1:$X""),11,0),iferror(vlookup(B45,importrange(""https://docs.google.com/spreadsheets/d/1boHyJQ4e2FU0QG8MHwEi6qjX4hvZWVCHcFfXjq7bbMc/edit?resourcekey#gid=923248883"",""Prop!$Y"&amp;"$1:$AI""),11,0),iferror(vlookup(B45,importrange(""https://docs.google.com/spreadsheets/d/1boHyJQ4e2FU0QG8MHwEi6qjX4hvZWVCHcFfXjq7bbMc/edit?resourcekey#gid=923248883"",""Prop!$AJ$1:$AT""),11,0),iferror(vlookup(B45,importrange(""https://docs.google.com/spre"&amp;"adsheets/d/1boHyJQ4e2FU0QG8MHwEi6qjX4hvZWVCHcFfXjq7bbMc/edit?resourcekey#gid=923248883"",""Prop!$AU$1:$BE""),11,0),iferror(vlookup(B45,importrange(""https://docs.google.com/spreadsheets/d/1boHyJQ4e2FU0QG8MHwEi6qjX4hvZWVCHcFfXjq7bbMc/edit?resourcekey#gid=9"&amp;"23248883"",""Prop!$BF$1:$BP""),11,0),iferror(vlookup(B45,importrange(""https://docs.google.com/spreadsheets/d/1boHyJQ4e2FU0QG8MHwEi6qjX4hvZWVCHcFfXjq7bbMc/edit?resourcekey#gid=923248883"",""Prop!$BQ$1:$CA""),11,0),iferror(vlookup(B45,importrange(""https:/"&amp;"/docs.google.com/spreadsheets/d/1boHyJQ4e2FU0QG8MHwEi6qjX4hvZWVCHcFfXjq7bbMc/edit?resourcekey#gid=923248883"",""Prop!$CB$1:$CL""),11,0),iferror(vlookup(B45,importrange(""https://docs.google.com/spreadsheets/d/1boHyJQ4e2FU0QG8MHwEi6qjX4hvZWVCHcFfXjq7bbMc/e"&amp;"dit?resourcekey#gid=923248883"",""Prop!$CM$1:$CX""),12,0),iferror(vlookup(B45,importrange(""https://docs.google.com/spreadsheets/d/1boHyJQ4e2FU0QG8MHwEi6qjX4hvZWVCHcFfXjq7bbMc/edit?resourcekey#gid=923248883"",""Prop!$CV$1:$DI""),11,0)))))))))))"),"https://drive.google.com/open?id=1r3yS-futwFgKzNIFinl3P4EH79QuVIAO")</f>
        <v>https://drive.google.com/open?id=1r3yS-futwFgKzNIFinl3P4EH79QuVIAO</v>
      </c>
      <c r="Q45" s="50" t="str">
        <f ca="1">IFERROR(__xludf.DUMMYFUNCTION("iferror(vlookup(B45,importrange(""https://docs.google.com/spreadsheets/d/1p53T2AuvvIqhP7Nf-bo3Uhj8cbKYRPpZdsrBv3x3bAQ/edit?resourcekey#gid=1321652304"",""Prop!$C$1:$M""),11,0),IFERROR(vlookup(B45,importrange(""https://docs.google.com/spreadsheets/d/1p53T2"&amp;"AuvvIqhP7Nf-bo3Uhj8cbKYRPpZdsrBv3x3bAQ/edit?resourcekey#gid=1321652304"",""Prop!$N$1:$X""),11,0),iferror(vlookup(B45,importrange(""https://docs.google.com/spreadsheets/d/1p53T2AuvvIqhP7Nf-bo3Uhj8cbKYRPpZdsrBv3x3bAQ/edit?resourcekey#gid=1321652304"",""Prop"&amp;"!$Y$1:$AI""),11,0),iferror(vlookup(B45,importrange(""https://docs.google.com/spreadsheets/d/1p53T2AuvvIqhP7Nf-bo3Uhj8cbKYRPpZdsrBv3x3bAQ/edit?resourcekey#gid=1321652304"",""Prop!$AJ$1:$AT""),11,0),iferror(vlookup(B45,importrange(""https://docs.google.com/"&amp;"spreadsheets/d/1p53T2AuvvIqhP7Nf-bo3Uhj8cbKYRPpZdsrBv3x3bAQ/edit?resourcekey#gid=1321652304"",""Prop!$AU$1:$BE""),11,0),iferror(vlookup(B45,importrange(""https://docs.google.com/spreadsheets/d/1p53T2AuvvIqhP7Nf-bo3Uhj8cbKYRPpZdsrBv3x3bAQ/edit?resourcekey#"&amp;"gid=1321652304"",""Prop!$BF$1:$BP""),11,0),iferror(vlookup(B45,importrange(""https://docs.google.com/spreadsheets/d/1p53T2AuvvIqhP7Nf-bo3Uhj8cbKYRPpZdsrBv3x3bAQ/edit?resourcekey#gid=1321652304"",""Prop!$BQ$1:$CA""),11,0),iferror(vlookup(B45,importrange("""&amp;"https://docs.google.com/spreadsheets/d/1p53T2AuvvIqhP7Nf-bo3Uhj8cbKYRPpZdsrBv3x3bAQ/edit?resourcekey#gid=1321652304"",""Prop!$CB$1:$CL""),11,0),iferror(vlookup(B45,importrange(""https://docs.google.com/spreadsheets/d/1p53T2AuvvIqhP7Nf-bo3Uhj8cbKYRPpZdsrBv"&amp;"3x3bAQ/edit?resourcekey#gid=1321652304"",""Prop!$CM$1:$CX""),12,0),iferror(vlookup(B45,importrange(""https://docs.google.com/spreadsheets/d/1p53T2AuvvIqhP7Nf-bo3Uhj8cbKYRPpZdsrBv3x3bAQ/edit?resourcekey#gid=1321652304"",""Prop!$CY$1:$DI""),11,0)))))))))))"),"https://drive.google.com/open?id=1sndApBwqxMmNsa77RZccU1lNHGwMfu1H")</f>
        <v>https://drive.google.com/open?id=1sndApBwqxMmNsa77RZccU1lNHGwMfu1H</v>
      </c>
      <c r="R45" s="88" t="s">
        <v>1101</v>
      </c>
      <c r="S45" s="20" t="str">
        <f ca="1">IFERROR(__xludf.DUMMYFUNCTION("IFERROR(vlookup(B45,IMPORTRANGE(""https://docs.google.com/spreadsheets/d/1g_jfYYK_KeipEDNDUgqgrsxK94XiocfNQIcP-v1QVhI/edit?resourcekey#gid=233272945"",""Nilai!B:CT""),57,0),"" "")"),"masukan sesuai saat bikom")</f>
        <v>masukan sesuai saat bikom</v>
      </c>
      <c r="T45" s="20" t="str">
        <f ca="1">IFERROR(__xludf.DUMMYFUNCTION("IFERROR(vlookup(B45,IMPORTRANGE(""https://docs.google.com/spreadsheets/d/1g_jfYYK_KeipEDNDUgqgrsxK94XiocfNQIcP-v1QVhI/edit?resourcekey#gid=233272945"",""Nilai!B:CT""),97,0),"" "")"),"LAYAK UPLOAD KE SIMBELMAWA DENGAN REVISI")</f>
        <v>LAYAK UPLOAD KE SIMBELMAWA DENGAN REVISI</v>
      </c>
      <c r="U45" s="21" t="s">
        <v>660</v>
      </c>
      <c r="V45" s="85" t="s">
        <v>1102</v>
      </c>
      <c r="W45" s="17" t="s">
        <v>1130</v>
      </c>
      <c r="X45" s="34" t="s">
        <v>949</v>
      </c>
    </row>
    <row r="46" spans="1:24" ht="69">
      <c r="A46" s="15">
        <v>44</v>
      </c>
      <c r="B46" s="15">
        <f ca="1">IFERROR(__xludf.DUMMYFUNCTION("""COMPUTED_VALUE"""),2994)</f>
        <v>2994</v>
      </c>
      <c r="C46" s="16" t="str">
        <f ca="1">IFERROR(__xludf.DUMMYFUNCTION("""COMPUTED_VALUE"""),"Sri Rani Kusumaningrum")</f>
        <v>Sri Rani Kusumaningrum</v>
      </c>
      <c r="D46" s="16" t="str">
        <f ca="1">IFERROR(__xludf.DUMMYFUNCTION("""COMPUTED_VALUE"""),"02211940000014")</f>
        <v>02211940000014</v>
      </c>
      <c r="E46" s="16" t="str">
        <f ca="1">IFERROR(__xludf.DUMMYFUNCTION("""COMPUTED_VALUE"""),"Departemen Teknik Kimia")</f>
        <v>Departemen Teknik Kimia</v>
      </c>
      <c r="F46" s="16" t="str">
        <f ca="1">IFERROR(__xludf.DUMMYFUNCTION("""COMPUTED_VALUE"""),"SISTESIS FILM SELULOSA ASETAT BERBASIS LIMBAH CAIR GLUKOMANAN UMBI PORANG SEBAGAI ALTERNATIF KEMASAN RAMAH LINGKUNGAN")</f>
        <v>SISTESIS FILM SELULOSA ASETAT BERBASIS LIMBAH CAIR GLUKOMANAN UMBI PORANG SEBAGAI ALTERNATIF KEMASAN RAMAH LINGKUNGAN</v>
      </c>
      <c r="G46" s="16" t="str">
        <f ca="1">IFERROR(__xludf.DUMMYFUNCTION("""COMPUTED_VALUE"""),"Prof. Dr. Ir. Tri Widjaja, M.Eng")</f>
        <v>Prof. Dr. Ir. Tri Widjaja, M.Eng</v>
      </c>
      <c r="H46" s="16" t="str">
        <f ca="1">IFERROR(__xludf.DUMMYFUNCTION("""COMPUTED_VALUE"""),"Dr. Awik Puji Dyah Nurhayati, S.Si., M.Si.")</f>
        <v>Dr. Awik Puji Dyah Nurhayati, S.Si., M.Si.</v>
      </c>
      <c r="I46" s="16" t="str">
        <f ca="1">IFERROR(__xludf.DUMMYFUNCTION("""COMPUTED_VALUE"""),"Iska Desmawati, S.Si., M.Si.")</f>
        <v>Iska Desmawati, S.Si., M.Si.</v>
      </c>
      <c r="J46" s="16"/>
      <c r="K46" s="17" t="s">
        <v>1128</v>
      </c>
      <c r="L46" s="17" t="s">
        <v>1129</v>
      </c>
      <c r="M46" s="19" t="b">
        <v>1</v>
      </c>
      <c r="N46" s="19" t="b">
        <v>1</v>
      </c>
      <c r="O46" s="1" t="s">
        <v>1118</v>
      </c>
      <c r="P46" s="7" t="str">
        <f ca="1">IFERROR(__xludf.DUMMYFUNCTION("iferror(vlookup(B46,importrange(""https://docs.google.com/spreadsheets/d/1boHyJQ4e2FU0QG8MHwEi6qjX4hvZWVCHcFfXjq7bbMc/edit?resourcekey#gid=923248883"",""Prop!$C$1:$M""),11,0),IFERROR(vlookup(B46,importrange(""https://docs.google.com/spreadsheets/d/1boHyJQ"&amp;"4e2FU0QG8MHwEi6qjX4hvZWVCHcFfXjq7bbMc/edit?resourcekey#gid=923248883"",""Prop!$N$1:$X""),11,0),iferror(vlookup(B46,importrange(""https://docs.google.com/spreadsheets/d/1boHyJQ4e2FU0QG8MHwEi6qjX4hvZWVCHcFfXjq7bbMc/edit?resourcekey#gid=923248883"",""Prop!$Y"&amp;"$1:$AI""),11,0),iferror(vlookup(B46,importrange(""https://docs.google.com/spreadsheets/d/1boHyJQ4e2FU0QG8MHwEi6qjX4hvZWVCHcFfXjq7bbMc/edit?resourcekey#gid=923248883"",""Prop!$AJ$1:$AT""),11,0),iferror(vlookup(B46,importrange(""https://docs.google.com/spre"&amp;"adsheets/d/1boHyJQ4e2FU0QG8MHwEi6qjX4hvZWVCHcFfXjq7bbMc/edit?resourcekey#gid=923248883"",""Prop!$AU$1:$BE""),11,0),iferror(vlookup(B46,importrange(""https://docs.google.com/spreadsheets/d/1boHyJQ4e2FU0QG8MHwEi6qjX4hvZWVCHcFfXjq7bbMc/edit?resourcekey#gid=9"&amp;"23248883"",""Prop!$BF$1:$BP""),11,0),iferror(vlookup(B46,importrange(""https://docs.google.com/spreadsheets/d/1boHyJQ4e2FU0QG8MHwEi6qjX4hvZWVCHcFfXjq7bbMc/edit?resourcekey#gid=923248883"",""Prop!$BQ$1:$CA""),11,0),iferror(vlookup(B46,importrange(""https:/"&amp;"/docs.google.com/spreadsheets/d/1boHyJQ4e2FU0QG8MHwEi6qjX4hvZWVCHcFfXjq7bbMc/edit?resourcekey#gid=923248883"",""Prop!$CB$1:$CL""),11,0),iferror(vlookup(B46,importrange(""https://docs.google.com/spreadsheets/d/1boHyJQ4e2FU0QG8MHwEi6qjX4hvZWVCHcFfXjq7bbMc/e"&amp;"dit?resourcekey#gid=923248883"",""Prop!$CM$1:$CX""),12,0),iferror(vlookup(B46,importrange(""https://docs.google.com/spreadsheets/d/1boHyJQ4e2FU0QG8MHwEi6qjX4hvZWVCHcFfXjq7bbMc/edit?resourcekey#gid=923248883"",""Prop!$CV$1:$DI""),11,0)))))))))))"),"https://drive.google.com/open?id=1z4HCxBXM0jEXTnGf86XaS_Htlyv9PiYh")</f>
        <v>https://drive.google.com/open?id=1z4HCxBXM0jEXTnGf86XaS_Htlyv9PiYh</v>
      </c>
      <c r="Q46" s="7" t="str">
        <f ca="1">IFERROR(__xludf.DUMMYFUNCTION("iferror(vlookup(B46,importrange(""https://docs.google.com/spreadsheets/d/1p53T2AuvvIqhP7Nf-bo3Uhj8cbKYRPpZdsrBv3x3bAQ/edit?resourcekey#gid=1321652304"",""Prop!$C$1:$M""),11,0),IFERROR(vlookup(B46,importrange(""https://docs.google.com/spreadsheets/d/1p53T2"&amp;"AuvvIqhP7Nf-bo3Uhj8cbKYRPpZdsrBv3x3bAQ/edit?resourcekey#gid=1321652304"",""Prop!$N$1:$X""),11,0),iferror(vlookup(B46,importrange(""https://docs.google.com/spreadsheets/d/1p53T2AuvvIqhP7Nf-bo3Uhj8cbKYRPpZdsrBv3x3bAQ/edit?resourcekey#gid=1321652304"",""Prop"&amp;"!$Y$1:$AI""),11,0),iferror(vlookup(B46,importrange(""https://docs.google.com/spreadsheets/d/1p53T2AuvvIqhP7Nf-bo3Uhj8cbKYRPpZdsrBv3x3bAQ/edit?resourcekey#gid=1321652304"",""Prop!$AJ$1:$AT""),11,0),iferror(vlookup(B46,importrange(""https://docs.google.com/"&amp;"spreadsheets/d/1p53T2AuvvIqhP7Nf-bo3Uhj8cbKYRPpZdsrBv3x3bAQ/edit?resourcekey#gid=1321652304"",""Prop!$AU$1:$BE""),11,0),iferror(vlookup(B46,importrange(""https://docs.google.com/spreadsheets/d/1p53T2AuvvIqhP7Nf-bo3Uhj8cbKYRPpZdsrBv3x3bAQ/edit?resourcekey#"&amp;"gid=1321652304"",""Prop!$BF$1:$BP""),11,0),iferror(vlookup(B46,importrange(""https://docs.google.com/spreadsheets/d/1p53T2AuvvIqhP7Nf-bo3Uhj8cbKYRPpZdsrBv3x3bAQ/edit?resourcekey#gid=1321652304"",""Prop!$BQ$1:$CA""),11,0),iferror(vlookup(B46,importrange("""&amp;"https://docs.google.com/spreadsheets/d/1p53T2AuvvIqhP7Nf-bo3Uhj8cbKYRPpZdsrBv3x3bAQ/edit?resourcekey#gid=1321652304"",""Prop!$CB$1:$CL""),11,0),iferror(vlookup(B46,importrange(""https://docs.google.com/spreadsheets/d/1p53T2AuvvIqhP7Nf-bo3Uhj8cbKYRPpZdsrBv"&amp;"3x3bAQ/edit?resourcekey#gid=1321652304"",""Prop!$CM$1:$CX""),12,0),iferror(vlookup(B46,importrange(""https://docs.google.com/spreadsheets/d/1p53T2AuvvIqhP7Nf-bo3Uhj8cbKYRPpZdsrBv3x3bAQ/edit?resourcekey#gid=1321652304"",""Prop!$CY$1:$DI""),11,0)))))))))))"),"https://drive.google.com/open?id=1GxZxVMVcXYpCd1JtTk5N3R-RLqrUSFWa")</f>
        <v>https://drive.google.com/open?id=1GxZxVMVcXYpCd1JtTk5N3R-RLqrUSFWa</v>
      </c>
      <c r="R46" s="88" t="s">
        <v>1101</v>
      </c>
      <c r="S46" s="20" t="str">
        <f ca="1">IFERROR(__xludf.DUMMYFUNCTION("IFERROR(vlookup(B46,IMPORTRANGE(""https://docs.google.com/spreadsheets/d/1g_jfYYK_KeipEDNDUgqgrsxK94XiocfNQIcP-v1QVhI/edit?resourcekey#gid=233272945"",""Nilai!B:CT""),57,0),"" "")"),"RAB, bab 3, bab 2 diperbaiki, belum dapat merumuskan kontribusi riset")</f>
        <v>RAB, bab 3, bab 2 diperbaiki, belum dapat merumuskan kontribusi riset</v>
      </c>
      <c r="T46" s="20" t="str">
        <f ca="1">IFERROR(__xludf.DUMMYFUNCTION("IFERROR(vlookup(B46,IMPORTRANGE(""https://docs.google.com/spreadsheets/d/1g_jfYYK_KeipEDNDUgqgrsxK94XiocfNQIcP-v1QVhI/edit?resourcekey#gid=233272945"",""Nilai!B:CT""),97,0),"" "")"),"LAYAK UPLOAD KE SIMBELMAWA DENGAN REVISI")</f>
        <v>LAYAK UPLOAD KE SIMBELMAWA DENGAN REVISI</v>
      </c>
      <c r="U46" s="21" t="s">
        <v>660</v>
      </c>
      <c r="V46" s="85" t="s">
        <v>1102</v>
      </c>
      <c r="W46" s="17" t="s">
        <v>1130</v>
      </c>
      <c r="X46" s="34" t="s">
        <v>949</v>
      </c>
    </row>
    <row r="47" spans="1:24" ht="69">
      <c r="A47" s="15">
        <v>45</v>
      </c>
      <c r="B47" s="15">
        <f ca="1">IFERROR(__xludf.DUMMYFUNCTION("""COMPUTED_VALUE"""),3950)</f>
        <v>3950</v>
      </c>
      <c r="C47" s="16" t="str">
        <f ca="1">IFERROR(__xludf.DUMMYFUNCTION("""COMPUTED_VALUE"""),"MUHAMMAD ARIFANDY FA")</f>
        <v>MUHAMMAD ARIFANDY FA</v>
      </c>
      <c r="D47" s="16" t="str">
        <f ca="1">IFERROR(__xludf.DUMMYFUNCTION("""COMPUTED_VALUE"""),"5011211094")</f>
        <v>5011211094</v>
      </c>
      <c r="E47" s="16" t="str">
        <f ca="1">IFERROR(__xludf.DUMMYFUNCTION("""COMPUTED_VALUE"""),"Departemen Teknik Material dan Metalurgi")</f>
        <v>Departemen Teknik Material dan Metalurgi</v>
      </c>
      <c r="F47" s="16" t="str">
        <f ca="1">IFERROR(__xludf.DUMMYFUNCTION("""COMPUTED_VALUE"""),"Integrasi Penggunaan Smart Fabric Dengan Basis Biosensor Keringat sebagai pendeteksi indikator gejala kesehatan internal tubuh manusia")</f>
        <v>Integrasi Penggunaan Smart Fabric Dengan Basis Biosensor Keringat sebagai pendeteksi indikator gejala kesehatan internal tubuh manusia</v>
      </c>
      <c r="G47" s="16" t="str">
        <f ca="1">IFERROR(__xludf.DUMMYFUNCTION("""COMPUTED_VALUE"""),"Azzah Dyah Pramata, S.T., M.T., M.Eng., Ph.D.")</f>
        <v>Azzah Dyah Pramata, S.T., M.T., M.Eng., Ph.D.</v>
      </c>
      <c r="H47" s="16" t="str">
        <f ca="1">IFERROR(__xludf.DUMMYFUNCTION("""COMPUTED_VALUE"""),"Dr. Awik Puji Dyah Nurhayati, S.Si., M.Si.")</f>
        <v>Dr. Awik Puji Dyah Nurhayati, S.Si., M.Si.</v>
      </c>
      <c r="I47" s="16" t="str">
        <f ca="1">IFERROR(__xludf.DUMMYFUNCTION("""COMPUTED_VALUE"""),"Iska Desmawati, S.Si., M.Si.")</f>
        <v>Iska Desmawati, S.Si., M.Si.</v>
      </c>
      <c r="J47" s="16"/>
      <c r="K47" s="17" t="s">
        <v>1128</v>
      </c>
      <c r="L47" s="17" t="s">
        <v>1129</v>
      </c>
      <c r="M47" s="19" t="b">
        <v>0</v>
      </c>
      <c r="N47" s="19" t="b">
        <v>1</v>
      </c>
      <c r="O47" s="1" t="s">
        <v>1118</v>
      </c>
      <c r="P47" s="1" t="str">
        <f ca="1">IFERROR(__xludf.DUMMYFUNCTION("iferror(vlookup(B47,importrange(""https://docs.google.com/spreadsheets/d/1boHyJQ4e2FU0QG8MHwEi6qjX4hvZWVCHcFfXjq7bbMc/edit?resourcekey#gid=923248883"",""Prop!$C$1:$M""),11,0),IFERROR(vlookup(B47,importrange(""https://docs.google.com/spreadsheets/d/1boHyJQ"&amp;"4e2FU0QG8MHwEi6qjX4hvZWVCHcFfXjq7bbMc/edit?resourcekey#gid=923248883"",""Prop!$N$1:$X""),11,0),iferror(vlookup(B47,importrange(""https://docs.google.com/spreadsheets/d/1boHyJQ4e2FU0QG8MHwEi6qjX4hvZWVCHcFfXjq7bbMc/edit?resourcekey#gid=923248883"",""Prop!$Y"&amp;"$1:$AI""),11,0),iferror(vlookup(B47,importrange(""https://docs.google.com/spreadsheets/d/1boHyJQ4e2FU0QG8MHwEi6qjX4hvZWVCHcFfXjq7bbMc/edit?resourcekey#gid=923248883"",""Prop!$AJ$1:$AT""),11,0),iferror(vlookup(B47,importrange(""https://docs.google.com/spre"&amp;"adsheets/d/1boHyJQ4e2FU0QG8MHwEi6qjX4hvZWVCHcFfXjq7bbMc/edit?resourcekey#gid=923248883"",""Prop!$AU$1:$BE""),11,0),iferror(vlookup(B47,importrange(""https://docs.google.com/spreadsheets/d/1boHyJQ4e2FU0QG8MHwEi6qjX4hvZWVCHcFfXjq7bbMc/edit?resourcekey#gid=9"&amp;"23248883"",""Prop!$BF$1:$BP""),11,0),iferror(vlookup(B47,importrange(""https://docs.google.com/spreadsheets/d/1boHyJQ4e2FU0QG8MHwEi6qjX4hvZWVCHcFfXjq7bbMc/edit?resourcekey#gid=923248883"",""Prop!$BQ$1:$CA""),11,0),iferror(vlookup(B47,importrange(""https:/"&amp;"/docs.google.com/spreadsheets/d/1boHyJQ4e2FU0QG8MHwEi6qjX4hvZWVCHcFfXjq7bbMc/edit?resourcekey#gid=923248883"",""Prop!$CB$1:$CL""),11,0),iferror(vlookup(B47,importrange(""https://docs.google.com/spreadsheets/d/1boHyJQ4e2FU0QG8MHwEi6qjX4hvZWVCHcFfXjq7bbMc/e"&amp;"dit?resourcekey#gid=923248883"",""Prop!$CM$1:$CX""),12,0),iferror(vlookup(B47,importrange(""https://docs.google.com/spreadsheets/d/1boHyJQ4e2FU0QG8MHwEi6qjX4hvZWVCHcFfXjq7bbMc/edit?resourcekey#gid=923248883"",""Prop!$CV$1:$DI""),11,0)))))))))))"),"")</f>
        <v/>
      </c>
      <c r="Q47" s="7" t="str">
        <f ca="1">IFERROR(__xludf.DUMMYFUNCTION("iferror(vlookup(B47,importrange(""https://docs.google.com/spreadsheets/d/1p53T2AuvvIqhP7Nf-bo3Uhj8cbKYRPpZdsrBv3x3bAQ/edit?resourcekey#gid=1321652304"",""Prop!$C$1:$M""),11,0),IFERROR(vlookup(B47,importrange(""https://docs.google.com/spreadsheets/d/1p53T2"&amp;"AuvvIqhP7Nf-bo3Uhj8cbKYRPpZdsrBv3x3bAQ/edit?resourcekey#gid=1321652304"",""Prop!$N$1:$X""),11,0),iferror(vlookup(B47,importrange(""https://docs.google.com/spreadsheets/d/1p53T2AuvvIqhP7Nf-bo3Uhj8cbKYRPpZdsrBv3x3bAQ/edit?resourcekey#gid=1321652304"",""Prop"&amp;"!$Y$1:$AI""),11,0),iferror(vlookup(B47,importrange(""https://docs.google.com/spreadsheets/d/1p53T2AuvvIqhP7Nf-bo3Uhj8cbKYRPpZdsrBv3x3bAQ/edit?resourcekey#gid=1321652304"",""Prop!$AJ$1:$AT""),11,0),iferror(vlookup(B47,importrange(""https://docs.google.com/"&amp;"spreadsheets/d/1p53T2AuvvIqhP7Nf-bo3Uhj8cbKYRPpZdsrBv3x3bAQ/edit?resourcekey#gid=1321652304"",""Prop!$AU$1:$BE""),11,0),iferror(vlookup(B47,importrange(""https://docs.google.com/spreadsheets/d/1p53T2AuvvIqhP7Nf-bo3Uhj8cbKYRPpZdsrBv3x3bAQ/edit?resourcekey#"&amp;"gid=1321652304"",""Prop!$BF$1:$BP""),11,0),iferror(vlookup(B47,importrange(""https://docs.google.com/spreadsheets/d/1p53T2AuvvIqhP7Nf-bo3Uhj8cbKYRPpZdsrBv3x3bAQ/edit?resourcekey#gid=1321652304"",""Prop!$BQ$1:$CA""),11,0),iferror(vlookup(B47,importrange("""&amp;"https://docs.google.com/spreadsheets/d/1p53T2AuvvIqhP7Nf-bo3Uhj8cbKYRPpZdsrBv3x3bAQ/edit?resourcekey#gid=1321652304"",""Prop!$CB$1:$CL""),11,0),iferror(vlookup(B47,importrange(""https://docs.google.com/spreadsheets/d/1p53T2AuvvIqhP7Nf-bo3Uhj8cbKYRPpZdsrBv"&amp;"3x3bAQ/edit?resourcekey#gid=1321652304"",""Prop!$CM$1:$CX""),12,0),iferror(vlookup(B47,importrange(""https://docs.google.com/spreadsheets/d/1p53T2AuvvIqhP7Nf-bo3Uhj8cbKYRPpZdsrBv3x3bAQ/edit?resourcekey#gid=1321652304"",""Prop!$CY$1:$DI""),11,0)))))))))))"),"https://drive.google.com/open?id=1GTGhSiMyj4b0v1ZTnZJAtBDvChpXxs35")</f>
        <v>https://drive.google.com/open?id=1GTGhSiMyj4b0v1ZTnZJAtBDvChpXxs35</v>
      </c>
      <c r="R47" s="88" t="s">
        <v>1101</v>
      </c>
      <c r="S47" s="20" t="str">
        <f ca="1">IFERROR(__xludf.DUMMYFUNCTION("IFERROR(vlookup(B47,IMPORTRANGE(""https://docs.google.com/spreadsheets/d/1g_jfYYK_KeipEDNDUgqgrsxK94XiocfNQIcP-v1QVhI/edit?resourcekey#gid=233272945"",""Nilai!B:CT""),57,0),"" "")"),"diperbaiki di penulisan kreativitas dan tabel 4.2")</f>
        <v>diperbaiki di penulisan kreativitas dan tabel 4.2</v>
      </c>
      <c r="T47" s="20" t="str">
        <f ca="1">IFERROR(__xludf.DUMMYFUNCTION("IFERROR(vlookup(B47,IMPORTRANGE(""https://docs.google.com/spreadsheets/d/1g_jfYYK_KeipEDNDUgqgrsxK94XiocfNQIcP-v1QVhI/edit?resourcekey#gid=233272945"",""Nilai!B:CT""),97,0),"" "")"),"LAYAK UPLOAD KE SIMBELMAWA DENGAN REVISI")</f>
        <v>LAYAK UPLOAD KE SIMBELMAWA DENGAN REVISI</v>
      </c>
      <c r="U47" s="21" t="s">
        <v>660</v>
      </c>
      <c r="V47" s="85" t="s">
        <v>1102</v>
      </c>
      <c r="W47" s="17" t="s">
        <v>1130</v>
      </c>
      <c r="X47" s="34" t="s">
        <v>949</v>
      </c>
    </row>
    <row r="48" spans="1:24" ht="69">
      <c r="A48" s="15">
        <v>46</v>
      </c>
      <c r="B48" s="15">
        <f ca="1">IFERROR(__xludf.DUMMYFUNCTION("""COMPUTED_VALUE"""),2903)</f>
        <v>2903</v>
      </c>
      <c r="C48" s="16" t="str">
        <f ca="1">IFERROR(__xludf.DUMMYFUNCTION("""COMPUTED_VALUE"""),"Siti Khomariyah")</f>
        <v>Siti Khomariyah</v>
      </c>
      <c r="D48" s="16" t="str">
        <f ca="1">IFERROR(__xludf.DUMMYFUNCTION("""COMPUTED_VALUE"""),"01211940000024")</f>
        <v>01211940000024</v>
      </c>
      <c r="E48" s="16" t="str">
        <f ca="1">IFERROR(__xludf.DUMMYFUNCTION("""COMPUTED_VALUE"""),"Departemen Kimia")</f>
        <v>Departemen Kimia</v>
      </c>
      <c r="F48" s="16" t="str">
        <f ca="1">IFERROR(__xludf.DUMMYFUNCTION("""COMPUTED_VALUE"""),"Efisiensi Degradasi Fotokatalitik b-Naftol Menggunakan Karbon Aktif dari Tandan Kosong Kelapa Sawit yang Diaktivasi dengan Cu-ZIF-8")</f>
        <v>Efisiensi Degradasi Fotokatalitik b-Naftol Menggunakan Karbon Aktif dari Tandan Kosong Kelapa Sawit yang Diaktivasi dengan Cu-ZIF-8</v>
      </c>
      <c r="G48" s="16" t="str">
        <f ca="1">IFERROR(__xludf.DUMMYFUNCTION("""COMPUTED_VALUE"""),"Dra. Ratna Ediati, MS., Ph.D.")</f>
        <v>Dra. Ratna Ediati, MS., Ph.D.</v>
      </c>
      <c r="H48" s="16" t="str">
        <f ca="1">IFERROR(__xludf.DUMMYFUNCTION("""COMPUTED_VALUE"""),"Alief Wikarta, ST., MSc.Eng. Ph.D")</f>
        <v>Alief Wikarta, ST., MSc.Eng. Ph.D</v>
      </c>
      <c r="I48" s="16" t="str">
        <f ca="1">IFERROR(__xludf.DUMMYFUNCTION("""COMPUTED_VALUE"""),"Juan Pandu Gya Nur Rochman, S.Si., M.T.")</f>
        <v>Juan Pandu Gya Nur Rochman, S.Si., M.T.</v>
      </c>
      <c r="J48" s="16"/>
      <c r="K48" s="17" t="s">
        <v>1128</v>
      </c>
      <c r="L48" s="17" t="s">
        <v>1131</v>
      </c>
      <c r="M48" s="19" t="b">
        <v>1</v>
      </c>
      <c r="N48" s="19" t="b">
        <v>1</v>
      </c>
      <c r="O48" s="1" t="s">
        <v>1126</v>
      </c>
      <c r="P48" s="7" t="str">
        <f ca="1">IFERROR(__xludf.DUMMYFUNCTION("iferror(vlookup(B48,importrange(""https://docs.google.com/spreadsheets/d/1boHyJQ4e2FU0QG8MHwEi6qjX4hvZWVCHcFfXjq7bbMc/edit?resourcekey#gid=923248883"",""Prop!$C$1:$M""),11,0),IFERROR(vlookup(B48,importrange(""https://docs.google.com/spreadsheets/d/1boHyJQ"&amp;"4e2FU0QG8MHwEi6qjX4hvZWVCHcFfXjq7bbMc/edit?resourcekey#gid=923248883"",""Prop!$N$1:$X""),11,0),iferror(vlookup(B48,importrange(""https://docs.google.com/spreadsheets/d/1boHyJQ4e2FU0QG8MHwEi6qjX4hvZWVCHcFfXjq7bbMc/edit?resourcekey#gid=923248883"",""Prop!$Y"&amp;"$1:$AI""),11,0),iferror(vlookup(B48,importrange(""https://docs.google.com/spreadsheets/d/1boHyJQ4e2FU0QG8MHwEi6qjX4hvZWVCHcFfXjq7bbMc/edit?resourcekey#gid=923248883"",""Prop!$AJ$1:$AT""),11,0),iferror(vlookup(B48,importrange(""https://docs.google.com/spre"&amp;"adsheets/d/1boHyJQ4e2FU0QG8MHwEi6qjX4hvZWVCHcFfXjq7bbMc/edit?resourcekey#gid=923248883"",""Prop!$AU$1:$BE""),11,0),iferror(vlookup(B48,importrange(""https://docs.google.com/spreadsheets/d/1boHyJQ4e2FU0QG8MHwEi6qjX4hvZWVCHcFfXjq7bbMc/edit?resourcekey#gid=9"&amp;"23248883"",""Prop!$BF$1:$BP""),11,0),iferror(vlookup(B48,importrange(""https://docs.google.com/spreadsheets/d/1boHyJQ4e2FU0QG8MHwEi6qjX4hvZWVCHcFfXjq7bbMc/edit?resourcekey#gid=923248883"",""Prop!$BQ$1:$CA""),11,0),iferror(vlookup(B48,importrange(""https:/"&amp;"/docs.google.com/spreadsheets/d/1boHyJQ4e2FU0QG8MHwEi6qjX4hvZWVCHcFfXjq7bbMc/edit?resourcekey#gid=923248883"",""Prop!$CB$1:$CL""),11,0),iferror(vlookup(B48,importrange(""https://docs.google.com/spreadsheets/d/1boHyJQ4e2FU0QG8MHwEi6qjX4hvZWVCHcFfXjq7bbMc/e"&amp;"dit?resourcekey#gid=923248883"",""Prop!$CM$1:$CX""),12,0),iferror(vlookup(B48,importrange(""https://docs.google.com/spreadsheets/d/1boHyJQ4e2FU0QG8MHwEi6qjX4hvZWVCHcFfXjq7bbMc/edit?resourcekey#gid=923248883"",""Prop!$CV$1:$DI""),11,0)))))))))))"),"https://drive.google.com/open?id=1dNW_F2AGs7aKTL-ERHvb3pPAlED9o9NB")</f>
        <v>https://drive.google.com/open?id=1dNW_F2AGs7aKTL-ERHvb3pPAlED9o9NB</v>
      </c>
      <c r="Q48" s="50" t="str">
        <f ca="1">IFERROR(__xludf.DUMMYFUNCTION("iferror(vlookup(B48,importrange(""https://docs.google.com/spreadsheets/d/1p53T2AuvvIqhP7Nf-bo3Uhj8cbKYRPpZdsrBv3x3bAQ/edit?resourcekey#gid=1321652304"",""Prop!$C$1:$M""),11,0),IFERROR(vlookup(B48,importrange(""https://docs.google.com/spreadsheets/d/1p53T2"&amp;"AuvvIqhP7Nf-bo3Uhj8cbKYRPpZdsrBv3x3bAQ/edit?resourcekey#gid=1321652304"",""Prop!$N$1:$X""),11,0),iferror(vlookup(B48,importrange(""https://docs.google.com/spreadsheets/d/1p53T2AuvvIqhP7Nf-bo3Uhj8cbKYRPpZdsrBv3x3bAQ/edit?resourcekey#gid=1321652304"",""Prop"&amp;"!$Y$1:$AI""),11,0),iferror(vlookup(B48,importrange(""https://docs.google.com/spreadsheets/d/1p53T2AuvvIqhP7Nf-bo3Uhj8cbKYRPpZdsrBv3x3bAQ/edit?resourcekey#gid=1321652304"",""Prop!$AJ$1:$AT""),11,0),iferror(vlookup(B48,importrange(""https://docs.google.com/"&amp;"spreadsheets/d/1p53T2AuvvIqhP7Nf-bo3Uhj8cbKYRPpZdsrBv3x3bAQ/edit?resourcekey#gid=1321652304"",""Prop!$AU$1:$BE""),11,0),iferror(vlookup(B48,importrange(""https://docs.google.com/spreadsheets/d/1p53T2AuvvIqhP7Nf-bo3Uhj8cbKYRPpZdsrBv3x3bAQ/edit?resourcekey#"&amp;"gid=1321652304"",""Prop!$BF$1:$BP""),11,0),iferror(vlookup(B48,importrange(""https://docs.google.com/spreadsheets/d/1p53T2AuvvIqhP7Nf-bo3Uhj8cbKYRPpZdsrBv3x3bAQ/edit?resourcekey#gid=1321652304"",""Prop!$BQ$1:$CA""),11,0),iferror(vlookup(B48,importrange("""&amp;"https://docs.google.com/spreadsheets/d/1p53T2AuvvIqhP7Nf-bo3Uhj8cbKYRPpZdsrBv3x3bAQ/edit?resourcekey#gid=1321652304"",""Prop!$CB$1:$CL""),11,0),iferror(vlookup(B48,importrange(""https://docs.google.com/spreadsheets/d/1p53T2AuvvIqhP7Nf-bo3Uhj8cbKYRPpZdsrBv"&amp;"3x3bAQ/edit?resourcekey#gid=1321652304"",""Prop!$CM$1:$CX""),12,0),iferror(vlookup(B48,importrange(""https://docs.google.com/spreadsheets/d/1p53T2AuvvIqhP7Nf-bo3Uhj8cbKYRPpZdsrBv3x3bAQ/edit?resourcekey#gid=1321652304"",""Prop!$CY$1:$DI""),11,0)))))))))))"),"https://drive.google.com/open?id=1Fue4XEsu2SMTeOqkkjOj5qv81MrOX41J")</f>
        <v>https://drive.google.com/open?id=1Fue4XEsu2SMTeOqkkjOj5qv81MrOX41J</v>
      </c>
      <c r="R48" s="88" t="s">
        <v>1101</v>
      </c>
      <c r="S48" s="20" t="str">
        <f ca="1">IFERROR(__xludf.DUMMYFUNCTION("IFERROR(vlookup(B48,IMPORTRANGE(""https://docs.google.com/spreadsheets/d/1g_jfYYK_KeipEDNDUgqgrsxK94XiocfNQIcP-v1QVhI/edit?resourcekey#gid=233272945"",""Nilai!B:CT""),57,0),"" "")"),"RAB, Daftar Pustaka, Jumlah Halaman lebih dari 10")</f>
        <v>RAB, Daftar Pustaka, Jumlah Halaman lebih dari 10</v>
      </c>
      <c r="T48" s="20" t="str">
        <f ca="1">IFERROR(__xludf.DUMMYFUNCTION("IFERROR(vlookup(B48,IMPORTRANGE(""https://docs.google.com/spreadsheets/d/1g_jfYYK_KeipEDNDUgqgrsxK94XiocfNQIcP-v1QVhI/edit?resourcekey#gid=233272945"",""Nilai!B:CT""),97,0),"" "")"),"LAYAK UPLOAD KE SIMBELMAWA DENGAN REVISI")</f>
        <v>LAYAK UPLOAD KE SIMBELMAWA DENGAN REVISI</v>
      </c>
      <c r="U48" s="21" t="s">
        <v>660</v>
      </c>
      <c r="V48" s="85" t="s">
        <v>1102</v>
      </c>
      <c r="W48" s="17" t="s">
        <v>1130</v>
      </c>
      <c r="X48" s="34" t="s">
        <v>949</v>
      </c>
    </row>
    <row r="49" spans="1:24" ht="43.2">
      <c r="A49" s="15">
        <v>47</v>
      </c>
      <c r="B49" s="15">
        <f ca="1">IFERROR(__xludf.DUMMYFUNCTION("""COMPUTED_VALUE"""),3241)</f>
        <v>3241</v>
      </c>
      <c r="C49" s="16" t="str">
        <f ca="1">IFERROR(__xludf.DUMMYFUNCTION("""COMPUTED_VALUE"""),"Bintang Nur Rohim")</f>
        <v>Bintang Nur Rohim</v>
      </c>
      <c r="D49" s="16" t="str">
        <f ca="1">IFERROR(__xludf.DUMMYFUNCTION("""COMPUTED_VALUE"""),"5002211013")</f>
        <v>5002211013</v>
      </c>
      <c r="E49" s="16" t="str">
        <f ca="1">IFERROR(__xludf.DUMMYFUNCTION("""COMPUTED_VALUE"""),"Departemen Matematika")</f>
        <v>Departemen Matematika</v>
      </c>
      <c r="F49" s="16" t="str">
        <f ca="1">IFERROR(__xludf.DUMMYFUNCTION("""COMPUTED_VALUE"""),"Efektivitas Kombinasi Ekstrak Moringa Oleifera dan Bioaktif Peptida Soygurt Untuk Pengobatan dan Pencegahan Hipertensi")</f>
        <v>Efektivitas Kombinasi Ekstrak Moringa Oleifera dan Bioaktif Peptida Soygurt Untuk Pengobatan dan Pencegahan Hipertensi</v>
      </c>
      <c r="G49" s="16" t="str">
        <f ca="1">IFERROR(__xludf.DUMMYFUNCTION("""COMPUTED_VALUE"""),"Hamdan Dwi Rizqi, S.Si., M.Si.")</f>
        <v>Hamdan Dwi Rizqi, S.Si., M.Si.</v>
      </c>
      <c r="H49" s="16" t="str">
        <f ca="1">IFERROR(__xludf.DUMMYFUNCTION("""COMPUTED_VALUE"""),"Dr.Eng. Siti Machmudah, S.T., M.Eng.")</f>
        <v>Dr.Eng. Siti Machmudah, S.T., M.Eng.</v>
      </c>
      <c r="I49" s="16" t="str">
        <f ca="1">IFERROR(__xludf.DUMMYFUNCTION("""COMPUTED_VALUE"""),"Dr. Candra Irawan, S.T., M.T.")</f>
        <v>Dr. Candra Irawan, S.T., M.T.</v>
      </c>
      <c r="J49" s="16"/>
      <c r="K49" s="17" t="s">
        <v>1128</v>
      </c>
      <c r="L49" s="17" t="s">
        <v>1131</v>
      </c>
      <c r="M49" s="19" t="b">
        <v>1</v>
      </c>
      <c r="N49" s="19" t="b">
        <v>1</v>
      </c>
      <c r="O49" s="1" t="s">
        <v>1113</v>
      </c>
      <c r="P49" s="7" t="str">
        <f ca="1">IFERROR(__xludf.DUMMYFUNCTION("iferror(vlookup(B49,importrange(""https://docs.google.com/spreadsheets/d/1boHyJQ4e2FU0QG8MHwEi6qjX4hvZWVCHcFfXjq7bbMc/edit?resourcekey#gid=923248883"",""Prop!$C$1:$M""),11,0),IFERROR(vlookup(B49,importrange(""https://docs.google.com/spreadsheets/d/1boHyJQ"&amp;"4e2FU0QG8MHwEi6qjX4hvZWVCHcFfXjq7bbMc/edit?resourcekey#gid=923248883"",""Prop!$N$1:$X""),11,0),iferror(vlookup(B49,importrange(""https://docs.google.com/spreadsheets/d/1boHyJQ4e2FU0QG8MHwEi6qjX4hvZWVCHcFfXjq7bbMc/edit?resourcekey#gid=923248883"",""Prop!$Y"&amp;"$1:$AI""),11,0),iferror(vlookup(B49,importrange(""https://docs.google.com/spreadsheets/d/1boHyJQ4e2FU0QG8MHwEi6qjX4hvZWVCHcFfXjq7bbMc/edit?resourcekey#gid=923248883"",""Prop!$AJ$1:$AT""),11,0),iferror(vlookup(B49,importrange(""https://docs.google.com/spre"&amp;"adsheets/d/1boHyJQ4e2FU0QG8MHwEi6qjX4hvZWVCHcFfXjq7bbMc/edit?resourcekey#gid=923248883"",""Prop!$AU$1:$BE""),11,0),iferror(vlookup(B49,importrange(""https://docs.google.com/spreadsheets/d/1boHyJQ4e2FU0QG8MHwEi6qjX4hvZWVCHcFfXjq7bbMc/edit?resourcekey#gid=9"&amp;"23248883"",""Prop!$BF$1:$BP""),11,0),iferror(vlookup(B49,importrange(""https://docs.google.com/spreadsheets/d/1boHyJQ4e2FU0QG8MHwEi6qjX4hvZWVCHcFfXjq7bbMc/edit?resourcekey#gid=923248883"",""Prop!$BQ$1:$CA""),11,0),iferror(vlookup(B49,importrange(""https:/"&amp;"/docs.google.com/spreadsheets/d/1boHyJQ4e2FU0QG8MHwEi6qjX4hvZWVCHcFfXjq7bbMc/edit?resourcekey#gid=923248883"",""Prop!$CB$1:$CL""),11,0),iferror(vlookup(B49,importrange(""https://docs.google.com/spreadsheets/d/1boHyJQ4e2FU0QG8MHwEi6qjX4hvZWVCHcFfXjq7bbMc/e"&amp;"dit?resourcekey#gid=923248883"",""Prop!$CM$1:$CX""),12,0),iferror(vlookup(B49,importrange(""https://docs.google.com/spreadsheets/d/1boHyJQ4e2FU0QG8MHwEi6qjX4hvZWVCHcFfXjq7bbMc/edit?resourcekey#gid=923248883"",""Prop!$CV$1:$DI""),11,0)))))))))))"),"https://drive.google.com/open?id=12HtEnnNwtQNd7ULE5QQAbLDoC5C5IdSw")</f>
        <v>https://drive.google.com/open?id=12HtEnnNwtQNd7ULE5QQAbLDoC5C5IdSw</v>
      </c>
      <c r="Q49" s="50" t="str">
        <f ca="1">IFERROR(__xludf.DUMMYFUNCTION("iferror(vlookup(B49,importrange(""https://docs.google.com/spreadsheets/d/1p53T2AuvvIqhP7Nf-bo3Uhj8cbKYRPpZdsrBv3x3bAQ/edit?resourcekey#gid=1321652304"",""Prop!$C$1:$M""),11,0),IFERROR(vlookup(B49,importrange(""https://docs.google.com/spreadsheets/d/1p53T2"&amp;"AuvvIqhP7Nf-bo3Uhj8cbKYRPpZdsrBv3x3bAQ/edit?resourcekey#gid=1321652304"",""Prop!$N$1:$X""),11,0),iferror(vlookup(B49,importrange(""https://docs.google.com/spreadsheets/d/1p53T2AuvvIqhP7Nf-bo3Uhj8cbKYRPpZdsrBv3x3bAQ/edit?resourcekey#gid=1321652304"",""Prop"&amp;"!$Y$1:$AI""),11,0),iferror(vlookup(B49,importrange(""https://docs.google.com/spreadsheets/d/1p53T2AuvvIqhP7Nf-bo3Uhj8cbKYRPpZdsrBv3x3bAQ/edit?resourcekey#gid=1321652304"",""Prop!$AJ$1:$AT""),11,0),iferror(vlookup(B49,importrange(""https://docs.google.com/"&amp;"spreadsheets/d/1p53T2AuvvIqhP7Nf-bo3Uhj8cbKYRPpZdsrBv3x3bAQ/edit?resourcekey#gid=1321652304"",""Prop!$AU$1:$BE""),11,0),iferror(vlookup(B49,importrange(""https://docs.google.com/spreadsheets/d/1p53T2AuvvIqhP7Nf-bo3Uhj8cbKYRPpZdsrBv3x3bAQ/edit?resourcekey#"&amp;"gid=1321652304"",""Prop!$BF$1:$BP""),11,0),iferror(vlookup(B49,importrange(""https://docs.google.com/spreadsheets/d/1p53T2AuvvIqhP7Nf-bo3Uhj8cbKYRPpZdsrBv3x3bAQ/edit?resourcekey#gid=1321652304"",""Prop!$BQ$1:$CA""),11,0),iferror(vlookup(B49,importrange("""&amp;"https://docs.google.com/spreadsheets/d/1p53T2AuvvIqhP7Nf-bo3Uhj8cbKYRPpZdsrBv3x3bAQ/edit?resourcekey#gid=1321652304"",""Prop!$CB$1:$CL""),11,0),iferror(vlookup(B49,importrange(""https://docs.google.com/spreadsheets/d/1p53T2AuvvIqhP7Nf-bo3Uhj8cbKYRPpZdsrBv"&amp;"3x3bAQ/edit?resourcekey#gid=1321652304"",""Prop!$CM$1:$CX""),12,0),iferror(vlookup(B49,importrange(""https://docs.google.com/spreadsheets/d/1p53T2AuvvIqhP7Nf-bo3Uhj8cbKYRPpZdsrBv3x3bAQ/edit?resourcekey#gid=1321652304"",""Prop!$CY$1:$DI""),11,0)))))))))))"),"https://drive.google.com/open?id=1EEc_uTcA4-f2HgfS1xMry2kRMQXy5JUi")</f>
        <v>https://drive.google.com/open?id=1EEc_uTcA4-f2HgfS1xMry2kRMQXy5JUi</v>
      </c>
      <c r="R49" s="88" t="s">
        <v>1101</v>
      </c>
      <c r="S49" s="20" t="str">
        <f ca="1">IFERROR(__xludf.DUMMYFUNCTION("IFERROR(vlookup(B49,IMPORTRANGE(""https://docs.google.com/spreadsheets/d/1g_jfYYK_KeipEDNDUgqgrsxK94XiocfNQIcP-v1QVhI/edit?resourcekey#gid=233272945"",""Nilai!B:CT""),57,0),"" "")"),"kreativitas rendah, mahasiswa baru tidak sesuai bidangnya")</f>
        <v>kreativitas rendah, mahasiswa baru tidak sesuai bidangnya</v>
      </c>
      <c r="T49" s="20" t="str">
        <f ca="1">IFERROR(__xludf.DUMMYFUNCTION("IFERROR(vlookup(B49,IMPORTRANGE(""https://docs.google.com/spreadsheets/d/1g_jfYYK_KeipEDNDUgqgrsxK94XiocfNQIcP-v1QVhI/edit?resourcekey#gid=233272945"",""Nilai!B:CT""),97,0),"" "")"),"TIDAK LAYAK UPLOAD KE SIMBELMAWA")</f>
        <v>TIDAK LAYAK UPLOAD KE SIMBELMAWA</v>
      </c>
      <c r="U49" s="21" t="s">
        <v>660</v>
      </c>
      <c r="V49" s="85" t="s">
        <v>1102</v>
      </c>
      <c r="W49" s="17" t="s">
        <v>1132</v>
      </c>
      <c r="X49" s="34" t="s">
        <v>949</v>
      </c>
    </row>
    <row r="50" spans="1:24" ht="43.2">
      <c r="A50" s="15">
        <v>48</v>
      </c>
      <c r="B50" s="15">
        <f ca="1">IFERROR(__xludf.DUMMYFUNCTION("""COMPUTED_VALUE"""),2482)</f>
        <v>2482</v>
      </c>
      <c r="C50" s="16" t="str">
        <f ca="1">IFERROR(__xludf.DUMMYFUNCTION("""COMPUTED_VALUE"""),"M ILHAM NUR IMAN")</f>
        <v>M ILHAM NUR IMAN</v>
      </c>
      <c r="D50" s="16" t="str">
        <f ca="1">IFERROR(__xludf.DUMMYFUNCTION("""COMPUTED_VALUE"""),"5004211119")</f>
        <v>5004211119</v>
      </c>
      <c r="E50" s="16" t="str">
        <f ca="1">IFERROR(__xludf.DUMMYFUNCTION("""COMPUTED_VALUE"""),"Departemen Kimia")</f>
        <v>Departemen Kimia</v>
      </c>
      <c r="F50" s="16" t="str">
        <f ca="1">IFERROR(__xludf.DUMMYFUNCTION("""COMPUTED_VALUE"""),"Zelusiwall: Pemanfaatan Lumpur Sidoarjo sebagai Lapisan Dinding Anti-mikroba untuk Kamar Isolasi ")</f>
        <v xml:space="preserve">Zelusiwall: Pemanfaatan Lumpur Sidoarjo sebagai Lapisan Dinding Anti-mikroba untuk Kamar Isolasi </v>
      </c>
      <c r="G50" s="16" t="str">
        <f ca="1">IFERROR(__xludf.DUMMYFUNCTION("""COMPUTED_VALUE"""),"Dr.Eng. Januarti Jaya Ekaputri, S.T., M.T.")</f>
        <v>Dr.Eng. Januarti Jaya Ekaputri, S.T., M.T.</v>
      </c>
      <c r="H50" s="16" t="str">
        <f ca="1">IFERROR(__xludf.DUMMYFUNCTION("""COMPUTED_VALUE"""),"Ahmad Fauzan Adziimaa, S.T., M.Sc.")</f>
        <v>Ahmad Fauzan Adziimaa, S.T., M.Sc.</v>
      </c>
      <c r="I50" s="16" t="str">
        <f ca="1">IFERROR(__xludf.DUMMYFUNCTION("""COMPUTED_VALUE"""),"Tri Vicca Kusumadewi, S.T., M.Sc.")</f>
        <v>Tri Vicca Kusumadewi, S.T., M.Sc.</v>
      </c>
      <c r="J50" s="16"/>
      <c r="K50" s="17" t="s">
        <v>1128</v>
      </c>
      <c r="L50" s="17" t="s">
        <v>1131</v>
      </c>
      <c r="M50" s="19" t="b">
        <v>1</v>
      </c>
      <c r="N50" s="19" t="b">
        <v>1</v>
      </c>
      <c r="O50" s="1" t="s">
        <v>1126</v>
      </c>
      <c r="P50" s="7" t="str">
        <f ca="1">IFERROR(__xludf.DUMMYFUNCTION("iferror(vlookup(B50,importrange(""https://docs.google.com/spreadsheets/d/1boHyJQ4e2FU0QG8MHwEi6qjX4hvZWVCHcFfXjq7bbMc/edit?resourcekey#gid=923248883"",""Prop!$C$1:$M""),11,0),IFERROR(vlookup(B50,importrange(""https://docs.google.com/spreadsheets/d/1boHyJQ"&amp;"4e2FU0QG8MHwEi6qjX4hvZWVCHcFfXjq7bbMc/edit?resourcekey#gid=923248883"",""Prop!$N$1:$X""),11,0),iferror(vlookup(B50,importrange(""https://docs.google.com/spreadsheets/d/1boHyJQ4e2FU0QG8MHwEi6qjX4hvZWVCHcFfXjq7bbMc/edit?resourcekey#gid=923248883"",""Prop!$Y"&amp;"$1:$AI""),11,0),iferror(vlookup(B50,importrange(""https://docs.google.com/spreadsheets/d/1boHyJQ4e2FU0QG8MHwEi6qjX4hvZWVCHcFfXjq7bbMc/edit?resourcekey#gid=923248883"",""Prop!$AJ$1:$AT""),11,0),iferror(vlookup(B50,importrange(""https://docs.google.com/spre"&amp;"adsheets/d/1boHyJQ4e2FU0QG8MHwEi6qjX4hvZWVCHcFfXjq7bbMc/edit?resourcekey#gid=923248883"",""Prop!$AU$1:$BE""),11,0),iferror(vlookup(B50,importrange(""https://docs.google.com/spreadsheets/d/1boHyJQ4e2FU0QG8MHwEi6qjX4hvZWVCHcFfXjq7bbMc/edit?resourcekey#gid=9"&amp;"23248883"",""Prop!$BF$1:$BP""),11,0),iferror(vlookup(B50,importrange(""https://docs.google.com/spreadsheets/d/1boHyJQ4e2FU0QG8MHwEi6qjX4hvZWVCHcFfXjq7bbMc/edit?resourcekey#gid=923248883"",""Prop!$BQ$1:$CA""),11,0),iferror(vlookup(B50,importrange(""https:/"&amp;"/docs.google.com/spreadsheets/d/1boHyJQ4e2FU0QG8MHwEi6qjX4hvZWVCHcFfXjq7bbMc/edit?resourcekey#gid=923248883"",""Prop!$CB$1:$CL""),11,0),iferror(vlookup(B50,importrange(""https://docs.google.com/spreadsheets/d/1boHyJQ4e2FU0QG8MHwEi6qjX4hvZWVCHcFfXjq7bbMc/e"&amp;"dit?resourcekey#gid=923248883"",""Prop!$CM$1:$CX""),12,0),iferror(vlookup(B50,importrange(""https://docs.google.com/spreadsheets/d/1boHyJQ4e2FU0QG8MHwEi6qjX4hvZWVCHcFfXjq7bbMc/edit?resourcekey#gid=923248883"",""Prop!$CV$1:$DI""),11,0)))))))))))"),"https://drive.google.com/open?id=1EsWHYd52riBX7MkBjpp_xcPPs1ezzo12")</f>
        <v>https://drive.google.com/open?id=1EsWHYd52riBX7MkBjpp_xcPPs1ezzo12</v>
      </c>
      <c r="Q50" s="50" t="str">
        <f ca="1">IFERROR(__xludf.DUMMYFUNCTION("iferror(vlookup(B50,importrange(""https://docs.google.com/spreadsheets/d/1p53T2AuvvIqhP7Nf-bo3Uhj8cbKYRPpZdsrBv3x3bAQ/edit?resourcekey#gid=1321652304"",""Prop!$C$1:$M""),11,0),IFERROR(vlookup(B50,importrange(""https://docs.google.com/spreadsheets/d/1p53T2"&amp;"AuvvIqhP7Nf-bo3Uhj8cbKYRPpZdsrBv3x3bAQ/edit?resourcekey#gid=1321652304"",""Prop!$N$1:$X""),11,0),iferror(vlookup(B50,importrange(""https://docs.google.com/spreadsheets/d/1p53T2AuvvIqhP7Nf-bo3Uhj8cbKYRPpZdsrBv3x3bAQ/edit?resourcekey#gid=1321652304"",""Prop"&amp;"!$Y$1:$AI""),11,0),iferror(vlookup(B50,importrange(""https://docs.google.com/spreadsheets/d/1p53T2AuvvIqhP7Nf-bo3Uhj8cbKYRPpZdsrBv3x3bAQ/edit?resourcekey#gid=1321652304"",""Prop!$AJ$1:$AT""),11,0),iferror(vlookup(B50,importrange(""https://docs.google.com/"&amp;"spreadsheets/d/1p53T2AuvvIqhP7Nf-bo3Uhj8cbKYRPpZdsrBv3x3bAQ/edit?resourcekey#gid=1321652304"",""Prop!$AU$1:$BE""),11,0),iferror(vlookup(B50,importrange(""https://docs.google.com/spreadsheets/d/1p53T2AuvvIqhP7Nf-bo3Uhj8cbKYRPpZdsrBv3x3bAQ/edit?resourcekey#"&amp;"gid=1321652304"",""Prop!$BF$1:$BP""),11,0),iferror(vlookup(B50,importrange(""https://docs.google.com/spreadsheets/d/1p53T2AuvvIqhP7Nf-bo3Uhj8cbKYRPpZdsrBv3x3bAQ/edit?resourcekey#gid=1321652304"",""Prop!$BQ$1:$CA""),11,0),iferror(vlookup(B50,importrange("""&amp;"https://docs.google.com/spreadsheets/d/1p53T2AuvvIqhP7Nf-bo3Uhj8cbKYRPpZdsrBv3x3bAQ/edit?resourcekey#gid=1321652304"",""Prop!$CB$1:$CL""),11,0),iferror(vlookup(B50,importrange(""https://docs.google.com/spreadsheets/d/1p53T2AuvvIqhP7Nf-bo3Uhj8cbKYRPpZdsrBv"&amp;"3x3bAQ/edit?resourcekey#gid=1321652304"",""Prop!$CM$1:$CX""),12,0),iferror(vlookup(B50,importrange(""https://docs.google.com/spreadsheets/d/1p53T2AuvvIqhP7Nf-bo3Uhj8cbKYRPpZdsrBv3x3bAQ/edit?resourcekey#gid=1321652304"",""Prop!$CY$1:$DI""),11,0)))))))))))"),"https://drive.google.com/open?id=13lUDW9r7lyKTWH-axFDzFUxliZ1VitbY")</f>
        <v>https://drive.google.com/open?id=13lUDW9r7lyKTWH-axFDzFUxliZ1VitbY</v>
      </c>
      <c r="R50" s="88" t="s">
        <v>1101</v>
      </c>
      <c r="S50" s="20" t="str">
        <f ca="1">IFERROR(__xludf.DUMMYFUNCTION("IFERROR(vlookup(B50,IMPORTRANGE(""https://docs.google.com/spreadsheets/d/1g_jfYYK_KeipEDNDUgqgrsxK94XiocfNQIcP-v1QVhI/edit?resourcekey#gid=233272945"",""Nilai!B:CT""),57,0),"" "")"),"MABA")</f>
        <v>MABA</v>
      </c>
      <c r="T50" s="20" t="str">
        <f ca="1">IFERROR(__xludf.DUMMYFUNCTION("IFERROR(vlookup(B50,IMPORTRANGE(""https://docs.google.com/spreadsheets/d/1g_jfYYK_KeipEDNDUgqgrsxK94XiocfNQIcP-v1QVhI/edit?resourcekey#gid=233272945"",""Nilai!B:CT""),97,0),"" "")"),"TIDAK LAYAK UPLOAD KE SIMBELMAWA")</f>
        <v>TIDAK LAYAK UPLOAD KE SIMBELMAWA</v>
      </c>
      <c r="U50" s="21" t="s">
        <v>660</v>
      </c>
      <c r="V50" s="85" t="s">
        <v>1102</v>
      </c>
      <c r="W50" s="17" t="s">
        <v>1132</v>
      </c>
      <c r="X50" s="34" t="s">
        <v>949</v>
      </c>
    </row>
    <row r="51" spans="1:24" ht="57.6">
      <c r="A51" s="15">
        <v>49</v>
      </c>
      <c r="B51" s="15">
        <f ca="1">IFERROR(__xludf.DUMMYFUNCTION("""COMPUTED_VALUE"""),2629)</f>
        <v>2629</v>
      </c>
      <c r="C51" s="16" t="str">
        <f ca="1">IFERROR(__xludf.DUMMYFUNCTION("""COMPUTED_VALUE"""),"ARINDA CARENTIKA J")</f>
        <v>ARINDA CARENTIKA J</v>
      </c>
      <c r="D51" s="16" t="str">
        <f ca="1">IFERROR(__xludf.DUMMYFUNCTION("""COMPUTED_VALUE"""),"5011211098")</f>
        <v>5011211098</v>
      </c>
      <c r="E51" s="16" t="str">
        <f ca="1">IFERROR(__xludf.DUMMYFUNCTION("""COMPUTED_VALUE"""),"Departemen Teknik Material dan Metalurgi")</f>
        <v>Departemen Teknik Material dan Metalurgi</v>
      </c>
      <c r="F51" s="16" t="str">
        <f ca="1">IFERROR(__xludf.DUMMYFUNCTION("""COMPUTED_VALUE"""),"Penggunaan Agen Antibakteri Berbasis Ekstrak Kulit Pohon Pinus untuk Kemasan Aktif Gelatin Ikan Polietilen pada Daging Potong Segar ")</f>
        <v xml:space="preserve">Penggunaan Agen Antibakteri Berbasis Ekstrak Kulit Pohon Pinus untuk Kemasan Aktif Gelatin Ikan Polietilen pada Daging Potong Segar </v>
      </c>
      <c r="G51" s="16" t="str">
        <f ca="1">IFERROR(__xludf.DUMMYFUNCTION("""COMPUTED_VALUE"""),"Azzah Dyah Pramata, S.T., M.T., M.Eng., Ph.D.")</f>
        <v>Azzah Dyah Pramata, S.T., M.T., M.Eng., Ph.D.</v>
      </c>
      <c r="H51" s="16" t="str">
        <f ca="1">IFERROR(__xludf.DUMMYFUNCTION("""COMPUTED_VALUE"""),"Dr.-Ing. Doty Dewi Risanti, S.T., M.T.")</f>
        <v>Dr.-Ing. Doty Dewi Risanti, S.T., M.T.</v>
      </c>
      <c r="I51" s="16" t="str">
        <f ca="1">IFERROR(__xludf.DUMMYFUNCTION("""COMPUTED_VALUE"""),"Ir. Arino Anzip, M.Eng.Sc")</f>
        <v>Ir. Arino Anzip, M.Eng.Sc</v>
      </c>
      <c r="J51" s="16"/>
      <c r="K51" s="17" t="s">
        <v>1128</v>
      </c>
      <c r="L51" s="17" t="s">
        <v>1131</v>
      </c>
      <c r="M51" s="19" t="b">
        <v>0</v>
      </c>
      <c r="N51" s="19" t="b">
        <v>1</v>
      </c>
      <c r="O51" s="1" t="s">
        <v>1126</v>
      </c>
      <c r="P51" s="7" t="str">
        <f ca="1">IFERROR(__xludf.DUMMYFUNCTION("iferror(vlookup(B51,importrange(""https://docs.google.com/spreadsheets/d/1boHyJQ4e2FU0QG8MHwEi6qjX4hvZWVCHcFfXjq7bbMc/edit?resourcekey#gid=923248883"",""Prop!$C$1:$M""),11,0),IFERROR(vlookup(B51,importrange(""https://docs.google.com/spreadsheets/d/1boHyJQ"&amp;"4e2FU0QG8MHwEi6qjX4hvZWVCHcFfXjq7bbMc/edit?resourcekey#gid=923248883"",""Prop!$N$1:$X""),11,0),iferror(vlookup(B51,importrange(""https://docs.google.com/spreadsheets/d/1boHyJQ4e2FU0QG8MHwEi6qjX4hvZWVCHcFfXjq7bbMc/edit?resourcekey#gid=923248883"",""Prop!$Y"&amp;"$1:$AI""),11,0),iferror(vlookup(B51,importrange(""https://docs.google.com/spreadsheets/d/1boHyJQ4e2FU0QG8MHwEi6qjX4hvZWVCHcFfXjq7bbMc/edit?resourcekey#gid=923248883"",""Prop!$AJ$1:$AT""),11,0),iferror(vlookup(B51,importrange(""https://docs.google.com/spre"&amp;"adsheets/d/1boHyJQ4e2FU0QG8MHwEi6qjX4hvZWVCHcFfXjq7bbMc/edit?resourcekey#gid=923248883"",""Prop!$AU$1:$BE""),11,0),iferror(vlookup(B51,importrange(""https://docs.google.com/spreadsheets/d/1boHyJQ4e2FU0QG8MHwEi6qjX4hvZWVCHcFfXjq7bbMc/edit?resourcekey#gid=9"&amp;"23248883"",""Prop!$BF$1:$BP""),11,0),iferror(vlookup(B51,importrange(""https://docs.google.com/spreadsheets/d/1boHyJQ4e2FU0QG8MHwEi6qjX4hvZWVCHcFfXjq7bbMc/edit?resourcekey#gid=923248883"",""Prop!$BQ$1:$CA""),11,0),iferror(vlookup(B51,importrange(""https:/"&amp;"/docs.google.com/spreadsheets/d/1boHyJQ4e2FU0QG8MHwEi6qjX4hvZWVCHcFfXjq7bbMc/edit?resourcekey#gid=923248883"",""Prop!$CB$1:$CL""),11,0),iferror(vlookup(B51,importrange(""https://docs.google.com/spreadsheets/d/1boHyJQ4e2FU0QG8MHwEi6qjX4hvZWVCHcFfXjq7bbMc/e"&amp;"dit?resourcekey#gid=923248883"",""Prop!$CM$1:$CX""),12,0),iferror(vlookup(B51,importrange(""https://docs.google.com/spreadsheets/d/1boHyJQ4e2FU0QG8MHwEi6qjX4hvZWVCHcFfXjq7bbMc/edit?resourcekey#gid=923248883"",""Prop!$CV$1:$DI""),11,0)))))))))))"),"https://drive.google.com/open?id=1C9recIL1m-dzQMGnrOvmwRFlOz-fmYnM")</f>
        <v>https://drive.google.com/open?id=1C9recIL1m-dzQMGnrOvmwRFlOz-fmYnM</v>
      </c>
      <c r="Q51" s="50" t="str">
        <f ca="1">IFERROR(__xludf.DUMMYFUNCTION("iferror(vlookup(B51,importrange(""https://docs.google.com/spreadsheets/d/1p53T2AuvvIqhP7Nf-bo3Uhj8cbKYRPpZdsrBv3x3bAQ/edit?resourcekey#gid=1321652304"",""Prop!$C$1:$M""),11,0),IFERROR(vlookup(B51,importrange(""https://docs.google.com/spreadsheets/d/1p53T2"&amp;"AuvvIqhP7Nf-bo3Uhj8cbKYRPpZdsrBv3x3bAQ/edit?resourcekey#gid=1321652304"",""Prop!$N$1:$X""),11,0),iferror(vlookup(B51,importrange(""https://docs.google.com/spreadsheets/d/1p53T2AuvvIqhP7Nf-bo3Uhj8cbKYRPpZdsrBv3x3bAQ/edit?resourcekey#gid=1321652304"",""Prop"&amp;"!$Y$1:$AI""),11,0),iferror(vlookup(B51,importrange(""https://docs.google.com/spreadsheets/d/1p53T2AuvvIqhP7Nf-bo3Uhj8cbKYRPpZdsrBv3x3bAQ/edit?resourcekey#gid=1321652304"",""Prop!$AJ$1:$AT""),11,0),iferror(vlookup(B51,importrange(""https://docs.google.com/"&amp;"spreadsheets/d/1p53T2AuvvIqhP7Nf-bo3Uhj8cbKYRPpZdsrBv3x3bAQ/edit?resourcekey#gid=1321652304"",""Prop!$AU$1:$BE""),11,0),iferror(vlookup(B51,importrange(""https://docs.google.com/spreadsheets/d/1p53T2AuvvIqhP7Nf-bo3Uhj8cbKYRPpZdsrBv3x3bAQ/edit?resourcekey#"&amp;"gid=1321652304"",""Prop!$BF$1:$BP""),11,0),iferror(vlookup(B51,importrange(""https://docs.google.com/spreadsheets/d/1p53T2AuvvIqhP7Nf-bo3Uhj8cbKYRPpZdsrBv3x3bAQ/edit?resourcekey#gid=1321652304"",""Prop!$BQ$1:$CA""),11,0),iferror(vlookup(B51,importrange("""&amp;"https://docs.google.com/spreadsheets/d/1p53T2AuvvIqhP7Nf-bo3Uhj8cbKYRPpZdsrBv3x3bAQ/edit?resourcekey#gid=1321652304"",""Prop!$CB$1:$CL""),11,0),iferror(vlookup(B51,importrange(""https://docs.google.com/spreadsheets/d/1p53T2AuvvIqhP7Nf-bo3Uhj8cbKYRPpZdsrBv"&amp;"3x3bAQ/edit?resourcekey#gid=1321652304"",""Prop!$CM$1:$CX""),12,0),iferror(vlookup(B51,importrange(""https://docs.google.com/spreadsheets/d/1p53T2AuvvIqhP7Nf-bo3Uhj8cbKYRPpZdsrBv3x3bAQ/edit?resourcekey#gid=1321652304"",""Prop!$CY$1:$DI""),11,0)))))))))))"),"https://drive.google.com/open?id=13eyflR3YetESliE9p__-AKqSd-Nks6vg")</f>
        <v>https://drive.google.com/open?id=13eyflR3YetESliE9p__-AKqSd-Nks6vg</v>
      </c>
      <c r="R51" s="88" t="s">
        <v>1101</v>
      </c>
      <c r="S51" s="20" t="str">
        <f ca="1">IFERROR(__xludf.DUMMYFUNCTION("IFERROR(vlookup(B51,IMPORTRANGE(""https://docs.google.com/spreadsheets/d/1g_jfYYK_KeipEDNDUgqgrsxK94XiocfNQIcP-v1QVhI/edit?resourcekey#gid=233272945"",""Nilai!B:CT""),57,0),"" "")"),"MABA")</f>
        <v>MABA</v>
      </c>
      <c r="T51" s="20" t="str">
        <f ca="1">IFERROR(__xludf.DUMMYFUNCTION("IFERROR(vlookup(B51,IMPORTRANGE(""https://docs.google.com/spreadsheets/d/1g_jfYYK_KeipEDNDUgqgrsxK94XiocfNQIcP-v1QVhI/edit?resourcekey#gid=233272945"",""Nilai!B:CT""),97,0),"" "")"),"TIDAK LAYAK UPLOAD KE SIMBELMAWA")</f>
        <v>TIDAK LAYAK UPLOAD KE SIMBELMAWA</v>
      </c>
      <c r="U51" s="21" t="s">
        <v>660</v>
      </c>
      <c r="V51" s="85" t="s">
        <v>1102</v>
      </c>
      <c r="W51" s="17" t="s">
        <v>1132</v>
      </c>
      <c r="X51" s="34" t="s">
        <v>949</v>
      </c>
    </row>
    <row r="52" spans="1:24" ht="69">
      <c r="A52" s="15">
        <v>50</v>
      </c>
      <c r="B52" s="15">
        <f ca="1">IFERROR(__xludf.DUMMYFUNCTION("""COMPUTED_VALUE"""),3146)</f>
        <v>3146</v>
      </c>
      <c r="C52" s="16" t="str">
        <f ca="1">IFERROR(__xludf.DUMMYFUNCTION("""COMPUTED_VALUE"""),"Miftahul Jannah")</f>
        <v>Miftahul Jannah</v>
      </c>
      <c r="D52" s="16" t="str">
        <f ca="1">IFERROR(__xludf.DUMMYFUNCTION("""COMPUTED_VALUE"""),"01211940000023")</f>
        <v>01211940000023</v>
      </c>
      <c r="E52" s="16" t="str">
        <f ca="1">IFERROR(__xludf.DUMMYFUNCTION("""COMPUTED_VALUE"""),"Departemen Kimia")</f>
        <v>Departemen Kimia</v>
      </c>
      <c r="F52" s="16" t="str">
        <f ca="1">IFERROR(__xludf.DUMMYFUNCTION("""COMPUTED_VALUE"""),"Sintesis Terner Komposit NH2-UiO-66/GO/ZnO-NPs sebagai Adsorben dan Fotokatalis Limbah Antibiotik Tetrasiklin")</f>
        <v>Sintesis Terner Komposit NH2-UiO-66/GO/ZnO-NPs sebagai Adsorben dan Fotokatalis Limbah Antibiotik Tetrasiklin</v>
      </c>
      <c r="G52" s="16" t="str">
        <f ca="1">IFERROR(__xludf.DUMMYFUNCTION("""COMPUTED_VALUE"""),"Dra. Ratna Ediati, MS., Ph.D.")</f>
        <v>Dra. Ratna Ediati, MS., Ph.D.</v>
      </c>
      <c r="H52" s="16" t="str">
        <f ca="1">IFERROR(__xludf.DUMMYFUNCTION("""COMPUTED_VALUE"""),"Ahmad Fauzan Adziimaa, S.T., M.Sc.")</f>
        <v>Ahmad Fauzan Adziimaa, S.T., M.Sc.</v>
      </c>
      <c r="I52" s="16" t="str">
        <f ca="1">IFERROR(__xludf.DUMMYFUNCTION("""COMPUTED_VALUE"""),"Azzah Dyah Pramata, S.T., M.T., M.Eng., Ph.D.")</f>
        <v>Azzah Dyah Pramata, S.T., M.T., M.Eng., Ph.D.</v>
      </c>
      <c r="J52" s="16"/>
      <c r="K52" s="17" t="s">
        <v>1128</v>
      </c>
      <c r="L52" s="17" t="s">
        <v>1131</v>
      </c>
      <c r="M52" s="19" t="b">
        <v>1</v>
      </c>
      <c r="N52" s="19" t="b">
        <v>1</v>
      </c>
      <c r="O52" s="1" t="s">
        <v>1126</v>
      </c>
      <c r="P52" s="7" t="str">
        <f ca="1">IFERROR(__xludf.DUMMYFUNCTION("iferror(vlookup(B52,importrange(""https://docs.google.com/spreadsheets/d/1boHyJQ4e2FU0QG8MHwEi6qjX4hvZWVCHcFfXjq7bbMc/edit?resourcekey#gid=923248883"",""Prop!$C$1:$M""),11,0),IFERROR(vlookup(B52,importrange(""https://docs.google.com/spreadsheets/d/1boHyJQ"&amp;"4e2FU0QG8MHwEi6qjX4hvZWVCHcFfXjq7bbMc/edit?resourcekey#gid=923248883"",""Prop!$N$1:$X""),11,0),iferror(vlookup(B52,importrange(""https://docs.google.com/spreadsheets/d/1boHyJQ4e2FU0QG8MHwEi6qjX4hvZWVCHcFfXjq7bbMc/edit?resourcekey#gid=923248883"",""Prop!$Y"&amp;"$1:$AI""),11,0),iferror(vlookup(B52,importrange(""https://docs.google.com/spreadsheets/d/1boHyJQ4e2FU0QG8MHwEi6qjX4hvZWVCHcFfXjq7bbMc/edit?resourcekey#gid=923248883"",""Prop!$AJ$1:$AT""),11,0),iferror(vlookup(B52,importrange(""https://docs.google.com/spre"&amp;"adsheets/d/1boHyJQ4e2FU0QG8MHwEi6qjX4hvZWVCHcFfXjq7bbMc/edit?resourcekey#gid=923248883"",""Prop!$AU$1:$BE""),11,0),iferror(vlookup(B52,importrange(""https://docs.google.com/spreadsheets/d/1boHyJQ4e2FU0QG8MHwEi6qjX4hvZWVCHcFfXjq7bbMc/edit?resourcekey#gid=9"&amp;"23248883"",""Prop!$BF$1:$BP""),11,0),iferror(vlookup(B52,importrange(""https://docs.google.com/spreadsheets/d/1boHyJQ4e2FU0QG8MHwEi6qjX4hvZWVCHcFfXjq7bbMc/edit?resourcekey#gid=923248883"",""Prop!$BQ$1:$CA""),11,0),iferror(vlookup(B52,importrange(""https:/"&amp;"/docs.google.com/spreadsheets/d/1boHyJQ4e2FU0QG8MHwEi6qjX4hvZWVCHcFfXjq7bbMc/edit?resourcekey#gid=923248883"",""Prop!$CB$1:$CL""),11,0),iferror(vlookup(B52,importrange(""https://docs.google.com/spreadsheets/d/1boHyJQ4e2FU0QG8MHwEi6qjX4hvZWVCHcFfXjq7bbMc/e"&amp;"dit?resourcekey#gid=923248883"",""Prop!$CM$1:$CX""),12,0),iferror(vlookup(B52,importrange(""https://docs.google.com/spreadsheets/d/1boHyJQ4e2FU0QG8MHwEi6qjX4hvZWVCHcFfXjq7bbMc/edit?resourcekey#gid=923248883"",""Prop!$CV$1:$DI""),11,0)))))))))))"),"https://drive.google.com/open?id=1-1JoHskNTfnTzf9DK3-SQsDn5lW4e1X4")</f>
        <v>https://drive.google.com/open?id=1-1JoHskNTfnTzf9DK3-SQsDn5lW4e1X4</v>
      </c>
      <c r="Q52" s="50" t="str">
        <f ca="1">IFERROR(__xludf.DUMMYFUNCTION("iferror(vlookup(B52,importrange(""https://docs.google.com/spreadsheets/d/1p53T2AuvvIqhP7Nf-bo3Uhj8cbKYRPpZdsrBv3x3bAQ/edit?resourcekey#gid=1321652304"",""Prop!$C$1:$M""),11,0),IFERROR(vlookup(B52,importrange(""https://docs.google.com/spreadsheets/d/1p53T2"&amp;"AuvvIqhP7Nf-bo3Uhj8cbKYRPpZdsrBv3x3bAQ/edit?resourcekey#gid=1321652304"",""Prop!$N$1:$X""),11,0),iferror(vlookup(B52,importrange(""https://docs.google.com/spreadsheets/d/1p53T2AuvvIqhP7Nf-bo3Uhj8cbKYRPpZdsrBv3x3bAQ/edit?resourcekey#gid=1321652304"",""Prop"&amp;"!$Y$1:$AI""),11,0),iferror(vlookup(B52,importrange(""https://docs.google.com/spreadsheets/d/1p53T2AuvvIqhP7Nf-bo3Uhj8cbKYRPpZdsrBv3x3bAQ/edit?resourcekey#gid=1321652304"",""Prop!$AJ$1:$AT""),11,0),iferror(vlookup(B52,importrange(""https://docs.google.com/"&amp;"spreadsheets/d/1p53T2AuvvIqhP7Nf-bo3Uhj8cbKYRPpZdsrBv3x3bAQ/edit?resourcekey#gid=1321652304"",""Prop!$AU$1:$BE""),11,0),iferror(vlookup(B52,importrange(""https://docs.google.com/spreadsheets/d/1p53T2AuvvIqhP7Nf-bo3Uhj8cbKYRPpZdsrBv3x3bAQ/edit?resourcekey#"&amp;"gid=1321652304"",""Prop!$BF$1:$BP""),11,0),iferror(vlookup(B52,importrange(""https://docs.google.com/spreadsheets/d/1p53T2AuvvIqhP7Nf-bo3Uhj8cbKYRPpZdsrBv3x3bAQ/edit?resourcekey#gid=1321652304"",""Prop!$BQ$1:$CA""),11,0),iferror(vlookup(B52,importrange("""&amp;"https://docs.google.com/spreadsheets/d/1p53T2AuvvIqhP7Nf-bo3Uhj8cbKYRPpZdsrBv3x3bAQ/edit?resourcekey#gid=1321652304"",""Prop!$CB$1:$CL""),11,0),iferror(vlookup(B52,importrange(""https://docs.google.com/spreadsheets/d/1p53T2AuvvIqhP7Nf-bo3Uhj8cbKYRPpZdsrBv"&amp;"3x3bAQ/edit?resourcekey#gid=1321652304"",""Prop!$CM$1:$CX""),12,0),iferror(vlookup(B52,importrange(""https://docs.google.com/spreadsheets/d/1p53T2AuvvIqhP7Nf-bo3Uhj8cbKYRPpZdsrBv3x3bAQ/edit?resourcekey#gid=1321652304"",""Prop!$CY$1:$DI""),11,0)))))))))))"),"https://drive.google.com/open?id=1chJqTEQ2UMjmUUi53fieBqo2RSW062mY")</f>
        <v>https://drive.google.com/open?id=1chJqTEQ2UMjmUUi53fieBqo2RSW062mY</v>
      </c>
      <c r="R52" s="88" t="s">
        <v>1101</v>
      </c>
      <c r="S52" s="20" t="str">
        <f ca="1">IFERROR(__xludf.DUMMYFUNCTION("IFERROR(vlookup(B52,IMPORTRANGE(""https://docs.google.com/spreadsheets/d/1g_jfYYK_KeipEDNDUgqgrsxK94XiocfNQIcP-v1QVhI/edit?resourcekey#gid=233272945"",""Nilai!B:CT""),57,0),"" "")"),"RAB, metode, dan kontribusi riset (jumlah halaman lebih dari 10, daftar belum sesuai, biodata dosen belum sesuai)")</f>
        <v>RAB, metode, dan kontribusi riset (jumlah halaman lebih dari 10, daftar belum sesuai, biodata dosen belum sesuai)</v>
      </c>
      <c r="T52" s="20" t="str">
        <f ca="1">IFERROR(__xludf.DUMMYFUNCTION("IFERROR(vlookup(B52,IMPORTRANGE(""https://docs.google.com/spreadsheets/d/1g_jfYYK_KeipEDNDUgqgrsxK94XiocfNQIcP-v1QVhI/edit?resourcekey#gid=233272945"",""Nilai!B:CT""),97,0),"" "")"),"LAYAK UPLOAD KE SIMBELMAWA DENGAN REVISI")</f>
        <v>LAYAK UPLOAD KE SIMBELMAWA DENGAN REVISI</v>
      </c>
      <c r="U52" s="21" t="s">
        <v>660</v>
      </c>
      <c r="V52" s="85" t="s">
        <v>1102</v>
      </c>
      <c r="W52" s="17" t="s">
        <v>1132</v>
      </c>
      <c r="X52" s="34" t="s">
        <v>949</v>
      </c>
    </row>
    <row r="53" spans="1:24" ht="69">
      <c r="A53" s="15">
        <v>51</v>
      </c>
      <c r="B53" s="15">
        <f ca="1">IFERROR(__xludf.DUMMYFUNCTION("""COMPUTED_VALUE"""),2314)</f>
        <v>2314</v>
      </c>
      <c r="C53" s="16" t="str">
        <f ca="1">IFERROR(__xludf.DUMMYFUNCTION("""COMPUTED_VALUE"""),"ADINDA LUTLYTA NAIFA NIBRAS")</f>
        <v>ADINDA LUTLYTA NAIFA NIBRAS</v>
      </c>
      <c r="D53" s="16" t="str">
        <f ca="1">IFERROR(__xludf.DUMMYFUNCTION("""COMPUTED_VALUE"""),"10411910000067")</f>
        <v>10411910000067</v>
      </c>
      <c r="E53" s="16" t="str">
        <f ca="1">IFERROR(__xludf.DUMMYFUNCTION("""COMPUTED_VALUE"""),"Departemen Teknik Kimia Industri")</f>
        <v>Departemen Teknik Kimia Industri</v>
      </c>
      <c r="F53" s="16" t="str">
        <f ca="1">IFERROR(__xludf.DUMMYFUNCTION("""COMPUTED_VALUE"""),"Modifikasi Coating Antimikroabial Pada Permukaan Implan Ti6Al4VELI Berbasis Kombinasi Hidroksiapatit Cangkang Rajungan dan Polycaprolactone")</f>
        <v>Modifikasi Coating Antimikroabial Pada Permukaan Implan Ti6Al4VELI Berbasis Kombinasi Hidroksiapatit Cangkang Rajungan dan Polycaprolactone</v>
      </c>
      <c r="G53" s="16" t="str">
        <f ca="1">IFERROR(__xludf.DUMMYFUNCTION("""COMPUTED_VALUE"""),"Dr. Eng. Eva Oktavia Ningrum, S.T., M.S.")</f>
        <v>Dr. Eng. Eva Oktavia Ningrum, S.T., M.S.</v>
      </c>
      <c r="H53" s="16" t="str">
        <f ca="1">IFERROR(__xludf.DUMMYFUNCTION("""COMPUTED_VALUE"""),"Dr. Dhany Arifianto, S.T., M.Eng.")</f>
        <v>Dr. Dhany Arifianto, S.T., M.Eng.</v>
      </c>
      <c r="I53" s="16" t="str">
        <f ca="1">IFERROR(__xludf.DUMMYFUNCTION("""COMPUTED_VALUE"""),"Hamdan Dwi Rizqi, S.Si., M.Si.")</f>
        <v>Hamdan Dwi Rizqi, S.Si., M.Si.</v>
      </c>
      <c r="J53" s="16"/>
      <c r="K53" s="17" t="s">
        <v>1128</v>
      </c>
      <c r="L53" s="17" t="s">
        <v>1133</v>
      </c>
      <c r="M53" s="19" t="b">
        <v>0</v>
      </c>
      <c r="N53" s="19" t="b">
        <v>1</v>
      </c>
      <c r="O53" s="1" t="s">
        <v>1126</v>
      </c>
      <c r="P53" s="7" t="str">
        <f ca="1">IFERROR(__xludf.DUMMYFUNCTION("iferror(vlookup(B53,importrange(""https://docs.google.com/spreadsheets/d/1boHyJQ4e2FU0QG8MHwEi6qjX4hvZWVCHcFfXjq7bbMc/edit?resourcekey#gid=923248883"",""Prop!$C$1:$M""),11,0),IFERROR(vlookup(B53,importrange(""https://docs.google.com/spreadsheets/d/1boHyJQ"&amp;"4e2FU0QG8MHwEi6qjX4hvZWVCHcFfXjq7bbMc/edit?resourcekey#gid=923248883"",""Prop!$N$1:$X""),11,0),iferror(vlookup(B53,importrange(""https://docs.google.com/spreadsheets/d/1boHyJQ4e2FU0QG8MHwEi6qjX4hvZWVCHcFfXjq7bbMc/edit?resourcekey#gid=923248883"",""Prop!$Y"&amp;"$1:$AI""),11,0),iferror(vlookup(B53,importrange(""https://docs.google.com/spreadsheets/d/1boHyJQ4e2FU0QG8MHwEi6qjX4hvZWVCHcFfXjq7bbMc/edit?resourcekey#gid=923248883"",""Prop!$AJ$1:$AT""),11,0),iferror(vlookup(B53,importrange(""https://docs.google.com/spre"&amp;"adsheets/d/1boHyJQ4e2FU0QG8MHwEi6qjX4hvZWVCHcFfXjq7bbMc/edit?resourcekey#gid=923248883"",""Prop!$AU$1:$BE""),11,0),iferror(vlookup(B53,importrange(""https://docs.google.com/spreadsheets/d/1boHyJQ4e2FU0QG8MHwEi6qjX4hvZWVCHcFfXjq7bbMc/edit?resourcekey#gid=9"&amp;"23248883"",""Prop!$BF$1:$BP""),11,0),iferror(vlookup(B53,importrange(""https://docs.google.com/spreadsheets/d/1boHyJQ4e2FU0QG8MHwEi6qjX4hvZWVCHcFfXjq7bbMc/edit?resourcekey#gid=923248883"",""Prop!$BQ$1:$CA""),11,0),iferror(vlookup(B53,importrange(""https:/"&amp;"/docs.google.com/spreadsheets/d/1boHyJQ4e2FU0QG8MHwEi6qjX4hvZWVCHcFfXjq7bbMc/edit?resourcekey#gid=923248883"",""Prop!$CB$1:$CL""),11,0),iferror(vlookup(B53,importrange(""https://docs.google.com/spreadsheets/d/1boHyJQ4e2FU0QG8MHwEi6qjX4hvZWVCHcFfXjq7bbMc/e"&amp;"dit?resourcekey#gid=923248883"",""Prop!$CM$1:$CX""),12,0),iferror(vlookup(B53,importrange(""https://docs.google.com/spreadsheets/d/1boHyJQ4e2FU0QG8MHwEi6qjX4hvZWVCHcFfXjq7bbMc/edit?resourcekey#gid=923248883"",""Prop!$CV$1:$DI""),11,0)))))))))))"),"https://drive.google.com/open?id=1Ak0GP-4zAebNvwNpR2piO0iCyq-gH9o1")</f>
        <v>https://drive.google.com/open?id=1Ak0GP-4zAebNvwNpR2piO0iCyq-gH9o1</v>
      </c>
      <c r="Q53" s="7" t="str">
        <f ca="1">IFERROR(__xludf.DUMMYFUNCTION("iferror(vlookup(B53,importrange(""https://docs.google.com/spreadsheets/d/1p53T2AuvvIqhP7Nf-bo3Uhj8cbKYRPpZdsrBv3x3bAQ/edit?resourcekey#gid=1321652304"",""Prop!$C$1:$M""),11,0),IFERROR(vlookup(B53,importrange(""https://docs.google.com/spreadsheets/d/1p53T2"&amp;"AuvvIqhP7Nf-bo3Uhj8cbKYRPpZdsrBv3x3bAQ/edit?resourcekey#gid=1321652304"",""Prop!$N$1:$X""),11,0),iferror(vlookup(B53,importrange(""https://docs.google.com/spreadsheets/d/1p53T2AuvvIqhP7Nf-bo3Uhj8cbKYRPpZdsrBv3x3bAQ/edit?resourcekey#gid=1321652304"",""Prop"&amp;"!$Y$1:$AI""),11,0),iferror(vlookup(B53,importrange(""https://docs.google.com/spreadsheets/d/1p53T2AuvvIqhP7Nf-bo3Uhj8cbKYRPpZdsrBv3x3bAQ/edit?resourcekey#gid=1321652304"",""Prop!$AJ$1:$AT""),11,0),iferror(vlookup(B53,importrange(""https://docs.google.com/"&amp;"spreadsheets/d/1p53T2AuvvIqhP7Nf-bo3Uhj8cbKYRPpZdsrBv3x3bAQ/edit?resourcekey#gid=1321652304"",""Prop!$AU$1:$BE""),11,0),iferror(vlookup(B53,importrange(""https://docs.google.com/spreadsheets/d/1p53T2AuvvIqhP7Nf-bo3Uhj8cbKYRPpZdsrBv3x3bAQ/edit?resourcekey#"&amp;"gid=1321652304"",""Prop!$BF$1:$BP""),11,0),iferror(vlookup(B53,importrange(""https://docs.google.com/spreadsheets/d/1p53T2AuvvIqhP7Nf-bo3Uhj8cbKYRPpZdsrBv3x3bAQ/edit?resourcekey#gid=1321652304"",""Prop!$BQ$1:$CA""),11,0),iferror(vlookup(B53,importrange("""&amp;"https://docs.google.com/spreadsheets/d/1p53T2AuvvIqhP7Nf-bo3Uhj8cbKYRPpZdsrBv3x3bAQ/edit?resourcekey#gid=1321652304"",""Prop!$CB$1:$CL""),11,0),iferror(vlookup(B53,importrange(""https://docs.google.com/spreadsheets/d/1p53T2AuvvIqhP7Nf-bo3Uhj8cbKYRPpZdsrBv"&amp;"3x3bAQ/edit?resourcekey#gid=1321652304"",""Prop!$CM$1:$CX""),12,0),iferror(vlookup(B53,importrange(""https://docs.google.com/spreadsheets/d/1p53T2AuvvIqhP7Nf-bo3Uhj8cbKYRPpZdsrBv3x3bAQ/edit?resourcekey#gid=1321652304"",""Prop!$CY$1:$DI""),11,0)))))))))))"),"https://drive.google.com/open?id=1DMyixOuiH3EhIx_regD0o7nRQhU41jFk")</f>
        <v>https://drive.google.com/open?id=1DMyixOuiH3EhIx_regD0o7nRQhU41jFk</v>
      </c>
      <c r="R53" s="88" t="s">
        <v>1101</v>
      </c>
      <c r="S53" s="20" t="str">
        <f ca="1">IFERROR(__xludf.DUMMYFUNCTION("IFERROR(vlookup(B53,IMPORTRANGE(""https://docs.google.com/spreadsheets/d/1g_jfYYK_KeipEDNDUgqgrsxK94XiocfNQIcP-v1QVhI/edit?resourcekey#gid=233272945"",""Nilai!B:CT""),57,0),"" "")"),"lihat pdf, kreativitas kurang")</f>
        <v>lihat pdf, kreativitas kurang</v>
      </c>
      <c r="T53" s="20" t="str">
        <f ca="1">IFERROR(__xludf.DUMMYFUNCTION("IFERROR(vlookup(B53,IMPORTRANGE(""https://docs.google.com/spreadsheets/d/1g_jfYYK_KeipEDNDUgqgrsxK94XiocfNQIcP-v1QVhI/edit?resourcekey#gid=233272945"",""Nilai!B:CT""),97,0),"" "")"),"LAYAK UPLOAD KE SIMBELMAWA DENGAN REVISI")</f>
        <v>LAYAK UPLOAD KE SIMBELMAWA DENGAN REVISI</v>
      </c>
      <c r="U53" s="21" t="s">
        <v>660</v>
      </c>
      <c r="V53" s="85" t="s">
        <v>1102</v>
      </c>
      <c r="W53" s="17" t="s">
        <v>1134</v>
      </c>
      <c r="X53" s="34" t="s">
        <v>949</v>
      </c>
    </row>
    <row r="54" spans="1:24" ht="69">
      <c r="A54" s="15">
        <v>52</v>
      </c>
      <c r="B54" s="15">
        <f ca="1">IFERROR(__xludf.DUMMYFUNCTION("""COMPUTED_VALUE"""),4113)</f>
        <v>4113</v>
      </c>
      <c r="C54" s="16" t="str">
        <f ca="1">IFERROR(__xludf.DUMMYFUNCTION("""COMPUTED_VALUE"""),"RAFI SURYA GHANI")</f>
        <v>RAFI SURYA GHANI</v>
      </c>
      <c r="D54" s="16" t="str">
        <f ca="1">IFERROR(__xludf.DUMMYFUNCTION("""COMPUTED_VALUE"""),"5009201018")</f>
        <v>5009201018</v>
      </c>
      <c r="E54" s="16" t="str">
        <f ca="1">IFERROR(__xludf.DUMMYFUNCTION("""COMPUTED_VALUE"""),"Departemen Teknik Fisika")</f>
        <v>Departemen Teknik Fisika</v>
      </c>
      <c r="F54" s="16" t="str">
        <f ca="1">IFERROR(__xludf.DUMMYFUNCTION("""COMPUTED_VALUE"""),"Optimalisasi Karakteristik Edible Film Menggunakan Pektin Kulit Labu Siam dan Campuran Albumin-Kasein sebagai Bahan Kemasan Makanan yang Ramah Lingkungan")</f>
        <v>Optimalisasi Karakteristik Edible Film Menggunakan Pektin Kulit Labu Siam dan Campuran Albumin-Kasein sebagai Bahan Kemasan Makanan yang Ramah Lingkungan</v>
      </c>
      <c r="G54" s="16" t="str">
        <f ca="1">IFERROR(__xludf.DUMMYFUNCTION("""COMPUTED_VALUE"""),"Dyah Sawitri, S.T., M.T.")</f>
        <v>Dyah Sawitri, S.T., M.T.</v>
      </c>
      <c r="H54" s="16" t="str">
        <f ca="1">IFERROR(__xludf.DUMMYFUNCTION("""COMPUTED_VALUE"""),"Dr. Awik Puji Dyah Nurhayati, S.Si., M.Si.")</f>
        <v>Dr. Awik Puji Dyah Nurhayati, S.Si., M.Si.</v>
      </c>
      <c r="I54" s="16" t="str">
        <f ca="1">IFERROR(__xludf.DUMMYFUNCTION("""COMPUTED_VALUE"""),"Sena Safarina , S.Si., M.Sc., D.Sc")</f>
        <v>Sena Safarina , S.Si., M.Sc., D.Sc</v>
      </c>
      <c r="J54" s="16"/>
      <c r="K54" s="17" t="s">
        <v>1128</v>
      </c>
      <c r="L54" s="17" t="s">
        <v>1133</v>
      </c>
      <c r="M54" s="19" t="b">
        <v>1</v>
      </c>
      <c r="N54" s="19" t="b">
        <v>1</v>
      </c>
      <c r="O54" s="1" t="s">
        <v>1135</v>
      </c>
      <c r="P54" s="7" t="str">
        <f ca="1">IFERROR(__xludf.DUMMYFUNCTION("iferror(vlookup(B54,importrange(""https://docs.google.com/spreadsheets/d/1boHyJQ4e2FU0QG8MHwEi6qjX4hvZWVCHcFfXjq7bbMc/edit?resourcekey#gid=923248883"",""Prop!$C$1:$M""),11,0),IFERROR(vlookup(B54,importrange(""https://docs.google.com/spreadsheets/d/1boHyJQ"&amp;"4e2FU0QG8MHwEi6qjX4hvZWVCHcFfXjq7bbMc/edit?resourcekey#gid=923248883"",""Prop!$N$1:$X""),11,0),iferror(vlookup(B54,importrange(""https://docs.google.com/spreadsheets/d/1boHyJQ4e2FU0QG8MHwEi6qjX4hvZWVCHcFfXjq7bbMc/edit?resourcekey#gid=923248883"",""Prop!$Y"&amp;"$1:$AI""),11,0),iferror(vlookup(B54,importrange(""https://docs.google.com/spreadsheets/d/1boHyJQ4e2FU0QG8MHwEi6qjX4hvZWVCHcFfXjq7bbMc/edit?resourcekey#gid=923248883"",""Prop!$AJ$1:$AT""),11,0),iferror(vlookup(B54,importrange(""https://docs.google.com/spre"&amp;"adsheets/d/1boHyJQ4e2FU0QG8MHwEi6qjX4hvZWVCHcFfXjq7bbMc/edit?resourcekey#gid=923248883"",""Prop!$AU$1:$BE""),11,0),iferror(vlookup(B54,importrange(""https://docs.google.com/spreadsheets/d/1boHyJQ4e2FU0QG8MHwEi6qjX4hvZWVCHcFfXjq7bbMc/edit?resourcekey#gid=9"&amp;"23248883"",""Prop!$BF$1:$BP""),11,0),iferror(vlookup(B54,importrange(""https://docs.google.com/spreadsheets/d/1boHyJQ4e2FU0QG8MHwEi6qjX4hvZWVCHcFfXjq7bbMc/edit?resourcekey#gid=923248883"",""Prop!$BQ$1:$CA""),11,0),iferror(vlookup(B54,importrange(""https:/"&amp;"/docs.google.com/spreadsheets/d/1boHyJQ4e2FU0QG8MHwEi6qjX4hvZWVCHcFfXjq7bbMc/edit?resourcekey#gid=923248883"",""Prop!$CB$1:$CL""),11,0),iferror(vlookup(B54,importrange(""https://docs.google.com/spreadsheets/d/1boHyJQ4e2FU0QG8MHwEi6qjX4hvZWVCHcFfXjq7bbMc/e"&amp;"dit?resourcekey#gid=923248883"",""Prop!$CM$1:$CX""),12,0),iferror(vlookup(B54,importrange(""https://docs.google.com/spreadsheets/d/1boHyJQ4e2FU0QG8MHwEi6qjX4hvZWVCHcFfXjq7bbMc/edit?resourcekey#gid=923248883"",""Prop!$CV$1:$DI""),11,0)))))))))))"),"https://drive.google.com/open?id=1df5xEdKO3S2PIXAje-Uw6f2g4jGKH6kb")</f>
        <v>https://drive.google.com/open?id=1df5xEdKO3S2PIXAje-Uw6f2g4jGKH6kb</v>
      </c>
      <c r="Q54" s="50" t="str">
        <f ca="1">IFERROR(__xludf.DUMMYFUNCTION("iferror(vlookup(B54,importrange(""https://docs.google.com/spreadsheets/d/1p53T2AuvvIqhP7Nf-bo3Uhj8cbKYRPpZdsrBv3x3bAQ/edit?resourcekey#gid=1321652304"",""Prop!$C$1:$M""),11,0),IFERROR(vlookup(B54,importrange(""https://docs.google.com/spreadsheets/d/1p53T2"&amp;"AuvvIqhP7Nf-bo3Uhj8cbKYRPpZdsrBv3x3bAQ/edit?resourcekey#gid=1321652304"",""Prop!$N$1:$X""),11,0),iferror(vlookup(B54,importrange(""https://docs.google.com/spreadsheets/d/1p53T2AuvvIqhP7Nf-bo3Uhj8cbKYRPpZdsrBv3x3bAQ/edit?resourcekey#gid=1321652304"",""Prop"&amp;"!$Y$1:$AI""),11,0),iferror(vlookup(B54,importrange(""https://docs.google.com/spreadsheets/d/1p53T2AuvvIqhP7Nf-bo3Uhj8cbKYRPpZdsrBv3x3bAQ/edit?resourcekey#gid=1321652304"",""Prop!$AJ$1:$AT""),11,0),iferror(vlookup(B54,importrange(""https://docs.google.com/"&amp;"spreadsheets/d/1p53T2AuvvIqhP7Nf-bo3Uhj8cbKYRPpZdsrBv3x3bAQ/edit?resourcekey#gid=1321652304"",""Prop!$AU$1:$BE""),11,0),iferror(vlookup(B54,importrange(""https://docs.google.com/spreadsheets/d/1p53T2AuvvIqhP7Nf-bo3Uhj8cbKYRPpZdsrBv3x3bAQ/edit?resourcekey#"&amp;"gid=1321652304"",""Prop!$BF$1:$BP""),11,0),iferror(vlookup(B54,importrange(""https://docs.google.com/spreadsheets/d/1p53T2AuvvIqhP7Nf-bo3Uhj8cbKYRPpZdsrBv3x3bAQ/edit?resourcekey#gid=1321652304"",""Prop!$BQ$1:$CA""),11,0),iferror(vlookup(B54,importrange("""&amp;"https://docs.google.com/spreadsheets/d/1p53T2AuvvIqhP7Nf-bo3Uhj8cbKYRPpZdsrBv3x3bAQ/edit?resourcekey#gid=1321652304"",""Prop!$CB$1:$CL""),11,0),iferror(vlookup(B54,importrange(""https://docs.google.com/spreadsheets/d/1p53T2AuvvIqhP7Nf-bo3Uhj8cbKYRPpZdsrBv"&amp;"3x3bAQ/edit?resourcekey#gid=1321652304"",""Prop!$CM$1:$CX""),12,0),iferror(vlookup(B54,importrange(""https://docs.google.com/spreadsheets/d/1p53T2AuvvIqhP7Nf-bo3Uhj8cbKYRPpZdsrBv3x3bAQ/edit?resourcekey#gid=1321652304"",""Prop!$CY$1:$DI""),11,0)))))))))))"),"https://drive.google.com/open?id=154fxTd-k96UWGMZ7WbPqqAbNtkQLnTeW")</f>
        <v>https://drive.google.com/open?id=154fxTd-k96UWGMZ7WbPqqAbNtkQLnTeW</v>
      </c>
      <c r="R54" s="88" t="s">
        <v>1101</v>
      </c>
      <c r="S54" s="20" t="str">
        <f ca="1">IFERROR(__xludf.DUMMYFUNCTION("IFERROR(vlookup(B54,IMPORTRANGE(""https://docs.google.com/spreadsheets/d/1g_jfYYK_KeipEDNDUgqgrsxK94XiocfNQIcP-v1QVhI/edit?resourcekey#gid=233272945"",""Nilai!B:CT""),57,0),"" "")"),"lihat pdf")</f>
        <v>lihat pdf</v>
      </c>
      <c r="T54" s="20" t="str">
        <f ca="1">IFERROR(__xludf.DUMMYFUNCTION("IFERROR(vlookup(B54,IMPORTRANGE(""https://docs.google.com/spreadsheets/d/1g_jfYYK_KeipEDNDUgqgrsxK94XiocfNQIcP-v1QVhI/edit?resourcekey#gid=233272945"",""Nilai!B:CT""),97,0),"" "")"),"LAYAK UPLOAD KE SIMBELMAWA DENGAN REVISI")</f>
        <v>LAYAK UPLOAD KE SIMBELMAWA DENGAN REVISI</v>
      </c>
      <c r="U54" s="21" t="s">
        <v>660</v>
      </c>
      <c r="V54" s="85" t="s">
        <v>1102</v>
      </c>
      <c r="W54" s="17" t="s">
        <v>1134</v>
      </c>
      <c r="X54" s="34" t="s">
        <v>949</v>
      </c>
    </row>
    <row r="55" spans="1:24" ht="69">
      <c r="A55" s="15">
        <v>53</v>
      </c>
      <c r="B55" s="15">
        <f ca="1">IFERROR(__xludf.DUMMYFUNCTION("""COMPUTED_VALUE"""),2321)</f>
        <v>2321</v>
      </c>
      <c r="C55" s="16" t="str">
        <f ca="1">IFERROR(__xludf.DUMMYFUNCTION("""COMPUTED_VALUE"""),"ZAHROTUTS TSANIYAH")</f>
        <v>ZAHROTUTS TSANIYAH</v>
      </c>
      <c r="D55" s="16" t="str">
        <f ca="1">IFERROR(__xludf.DUMMYFUNCTION("""COMPUTED_VALUE"""),"03411940000033")</f>
        <v>03411940000033</v>
      </c>
      <c r="E55" s="16" t="str">
        <f ca="1">IFERROR(__xludf.DUMMYFUNCTION("""COMPUTED_VALUE"""),"Departemen Teknik Geofisika")</f>
        <v>Departemen Teknik Geofisika</v>
      </c>
      <c r="F55" s="16" t="str">
        <f ca="1">IFERROR(__xludf.DUMMYFUNCTION("""COMPUTED_VALUE"""),"Analisis Spasial Daerah Rawan Gempa di Kabupaten Sukabumi Berdasarkan Hasil Assessment Risiko Gempa Menggunakan Metode Fuzzy Logic")</f>
        <v>Analisis Spasial Daerah Rawan Gempa di Kabupaten Sukabumi Berdasarkan Hasil Assessment Risiko Gempa Menggunakan Metode Fuzzy Logic</v>
      </c>
      <c r="G55" s="16" t="str">
        <f ca="1">IFERROR(__xludf.DUMMYFUNCTION("""COMPUTED_VALUE"""),"Dr. Ir. Amien Widodo, M.Si.")</f>
        <v>Dr. Ir. Amien Widodo, M.Si.</v>
      </c>
      <c r="H55" s="16" t="str">
        <f ca="1">IFERROR(__xludf.DUMMYFUNCTION("""COMPUTED_VALUE"""),"Dr. Dhany Arifianto, S.T., M.Eng.")</f>
        <v>Dr. Dhany Arifianto, S.T., M.Eng.</v>
      </c>
      <c r="I55" s="16" t="str">
        <f ca="1">IFERROR(__xludf.DUMMYFUNCTION("""COMPUTED_VALUE"""),"Dra. Ratna Ediati, MS., Ph.D.")</f>
        <v>Dra. Ratna Ediati, MS., Ph.D.</v>
      </c>
      <c r="J55" s="16"/>
      <c r="K55" s="17" t="s">
        <v>1128</v>
      </c>
      <c r="L55" s="17" t="s">
        <v>1133</v>
      </c>
      <c r="M55" s="19" t="b">
        <v>1</v>
      </c>
      <c r="N55" s="19" t="b">
        <v>1</v>
      </c>
      <c r="O55" s="1" t="s">
        <v>1135</v>
      </c>
      <c r="P55" s="7" t="str">
        <f ca="1">IFERROR(__xludf.DUMMYFUNCTION("iferror(vlookup(B55,importrange(""https://docs.google.com/spreadsheets/d/1boHyJQ4e2FU0QG8MHwEi6qjX4hvZWVCHcFfXjq7bbMc/edit?resourcekey#gid=923248883"",""Prop!$C$1:$M""),11,0),IFERROR(vlookup(B55,importrange(""https://docs.google.com/spreadsheets/d/1boHyJQ"&amp;"4e2FU0QG8MHwEi6qjX4hvZWVCHcFfXjq7bbMc/edit?resourcekey#gid=923248883"",""Prop!$N$1:$X""),11,0),iferror(vlookup(B55,importrange(""https://docs.google.com/spreadsheets/d/1boHyJQ4e2FU0QG8MHwEi6qjX4hvZWVCHcFfXjq7bbMc/edit?resourcekey#gid=923248883"",""Prop!$Y"&amp;"$1:$AI""),11,0),iferror(vlookup(B55,importrange(""https://docs.google.com/spreadsheets/d/1boHyJQ4e2FU0QG8MHwEi6qjX4hvZWVCHcFfXjq7bbMc/edit?resourcekey#gid=923248883"",""Prop!$AJ$1:$AT""),11,0),iferror(vlookup(B55,importrange(""https://docs.google.com/spre"&amp;"adsheets/d/1boHyJQ4e2FU0QG8MHwEi6qjX4hvZWVCHcFfXjq7bbMc/edit?resourcekey#gid=923248883"",""Prop!$AU$1:$BE""),11,0),iferror(vlookup(B55,importrange(""https://docs.google.com/spreadsheets/d/1boHyJQ4e2FU0QG8MHwEi6qjX4hvZWVCHcFfXjq7bbMc/edit?resourcekey#gid=9"&amp;"23248883"",""Prop!$BF$1:$BP""),11,0),iferror(vlookup(B55,importrange(""https://docs.google.com/spreadsheets/d/1boHyJQ4e2FU0QG8MHwEi6qjX4hvZWVCHcFfXjq7bbMc/edit?resourcekey#gid=923248883"",""Prop!$BQ$1:$CA""),11,0),iferror(vlookup(B55,importrange(""https:/"&amp;"/docs.google.com/spreadsheets/d/1boHyJQ4e2FU0QG8MHwEi6qjX4hvZWVCHcFfXjq7bbMc/edit?resourcekey#gid=923248883"",""Prop!$CB$1:$CL""),11,0),iferror(vlookup(B55,importrange(""https://docs.google.com/spreadsheets/d/1boHyJQ4e2FU0QG8MHwEi6qjX4hvZWVCHcFfXjq7bbMc/e"&amp;"dit?resourcekey#gid=923248883"",""Prop!$CM$1:$CX""),12,0),iferror(vlookup(B55,importrange(""https://docs.google.com/spreadsheets/d/1boHyJQ4e2FU0QG8MHwEi6qjX4hvZWVCHcFfXjq7bbMc/edit?resourcekey#gid=923248883"",""Prop!$CV$1:$DI""),11,0)))))))))))"),"https://drive.google.com/open?id=1fv11eQVEorrg_UyW1A9dG4GJ_TdArGln")</f>
        <v>https://drive.google.com/open?id=1fv11eQVEorrg_UyW1A9dG4GJ_TdArGln</v>
      </c>
      <c r="Q55" s="7" t="str">
        <f ca="1">IFERROR(__xludf.DUMMYFUNCTION("iferror(vlookup(B55,importrange(""https://docs.google.com/spreadsheets/d/1p53T2AuvvIqhP7Nf-bo3Uhj8cbKYRPpZdsrBv3x3bAQ/edit?resourcekey#gid=1321652304"",""Prop!$C$1:$M""),11,0),IFERROR(vlookup(B55,importrange(""https://docs.google.com/spreadsheets/d/1p53T2"&amp;"AuvvIqhP7Nf-bo3Uhj8cbKYRPpZdsrBv3x3bAQ/edit?resourcekey#gid=1321652304"",""Prop!$N$1:$X""),11,0),iferror(vlookup(B55,importrange(""https://docs.google.com/spreadsheets/d/1p53T2AuvvIqhP7Nf-bo3Uhj8cbKYRPpZdsrBv3x3bAQ/edit?resourcekey#gid=1321652304"",""Prop"&amp;"!$Y$1:$AI""),11,0),iferror(vlookup(B55,importrange(""https://docs.google.com/spreadsheets/d/1p53T2AuvvIqhP7Nf-bo3Uhj8cbKYRPpZdsrBv3x3bAQ/edit?resourcekey#gid=1321652304"",""Prop!$AJ$1:$AT""),11,0),iferror(vlookup(B55,importrange(""https://docs.google.com/"&amp;"spreadsheets/d/1p53T2AuvvIqhP7Nf-bo3Uhj8cbKYRPpZdsrBv3x3bAQ/edit?resourcekey#gid=1321652304"",""Prop!$AU$1:$BE""),11,0),iferror(vlookup(B55,importrange(""https://docs.google.com/spreadsheets/d/1p53T2AuvvIqhP7Nf-bo3Uhj8cbKYRPpZdsrBv3x3bAQ/edit?resourcekey#"&amp;"gid=1321652304"",""Prop!$BF$1:$BP""),11,0),iferror(vlookup(B55,importrange(""https://docs.google.com/spreadsheets/d/1p53T2AuvvIqhP7Nf-bo3Uhj8cbKYRPpZdsrBv3x3bAQ/edit?resourcekey#gid=1321652304"",""Prop!$BQ$1:$CA""),11,0),iferror(vlookup(B55,importrange("""&amp;"https://docs.google.com/spreadsheets/d/1p53T2AuvvIqhP7Nf-bo3Uhj8cbKYRPpZdsrBv3x3bAQ/edit?resourcekey#gid=1321652304"",""Prop!$CB$1:$CL""),11,0),iferror(vlookup(B55,importrange(""https://docs.google.com/spreadsheets/d/1p53T2AuvvIqhP7Nf-bo3Uhj8cbKYRPpZdsrBv"&amp;"3x3bAQ/edit?resourcekey#gid=1321652304"",""Prop!$CM$1:$CX""),12,0),iferror(vlookup(B55,importrange(""https://docs.google.com/spreadsheets/d/1p53T2AuvvIqhP7Nf-bo3Uhj8cbKYRPpZdsrBv3x3bAQ/edit?resourcekey#gid=1321652304"",""Prop!$CY$1:$DI""),11,0)))))))))))"),"https://drive.google.com/open?id=1-2JRamYB74heHff-2L0ONLcKwNSpGOdG")</f>
        <v>https://drive.google.com/open?id=1-2JRamYB74heHff-2L0ONLcKwNSpGOdG</v>
      </c>
      <c r="R55" s="88" t="s">
        <v>1101</v>
      </c>
      <c r="S55" s="20" t="str">
        <f ca="1">IFERROR(__xludf.DUMMYFUNCTION("IFERROR(vlookup(B55,IMPORTRANGE(""https://docs.google.com/spreadsheets/d/1g_jfYYK_KeipEDNDUgqgrsxK94XiocfNQIcP-v1QVhI/edit?resourcekey#gid=233272945"",""Nilai!B:CT""),57,0),"" "")"),"RAB disesuaikan, cari lokasi survey yg dekat")</f>
        <v>RAB disesuaikan, cari lokasi survey yg dekat</v>
      </c>
      <c r="T55" s="20" t="str">
        <f ca="1">IFERROR(__xludf.DUMMYFUNCTION("IFERROR(vlookup(B55,IMPORTRANGE(""https://docs.google.com/spreadsheets/d/1g_jfYYK_KeipEDNDUgqgrsxK94XiocfNQIcP-v1QVhI/edit?resourcekey#gid=233272945"",""Nilai!B:CT""),97,0),"" "")"),"LAYAK UPLOAD KE SIMBELMAWA DENGAN REVISI")</f>
        <v>LAYAK UPLOAD KE SIMBELMAWA DENGAN REVISI</v>
      </c>
      <c r="U55" s="21" t="s">
        <v>660</v>
      </c>
      <c r="V55" s="85" t="s">
        <v>1102</v>
      </c>
      <c r="W55" s="17" t="s">
        <v>1134</v>
      </c>
      <c r="X55" s="34" t="s">
        <v>949</v>
      </c>
    </row>
    <row r="56" spans="1:24" ht="69">
      <c r="A56" s="15">
        <v>54</v>
      </c>
      <c r="B56" s="15">
        <f ca="1">IFERROR(__xludf.DUMMYFUNCTION("""COMPUTED_VALUE"""),3578)</f>
        <v>3578</v>
      </c>
      <c r="C56" s="16" t="str">
        <f ca="1">IFERROR(__xludf.DUMMYFUNCTION("""COMPUTED_VALUE"""),"MOCH. NURHASAN")</f>
        <v>MOCH. NURHASAN</v>
      </c>
      <c r="D56" s="16" t="str">
        <f ca="1">IFERROR(__xludf.DUMMYFUNCTION("""COMPUTED_VALUE"""),"01211940000040")</f>
        <v>01211940000040</v>
      </c>
      <c r="E56" s="16" t="str">
        <f ca="1">IFERROR(__xludf.DUMMYFUNCTION("""COMPUTED_VALUE"""),"Departemen Kimia")</f>
        <v>Departemen Kimia</v>
      </c>
      <c r="F56" s="16" t="str">
        <f ca="1">IFERROR(__xludf.DUMMYFUNCTION("""COMPUTED_VALUE"""),"Sintesis Mesoporous Silica Nanoparticles (MSN) Termodifikasi Hidrazon sebagai Material Penghantar Doxorubicin terhadap Sel Kanker Hati Huh7it")</f>
        <v>Sintesis Mesoporous Silica Nanoparticles (MSN) Termodifikasi Hidrazon sebagai Material Penghantar Doxorubicin terhadap Sel Kanker Hati Huh7it</v>
      </c>
      <c r="G56" s="16" t="str">
        <f ca="1">IFERROR(__xludf.DUMMYFUNCTION("""COMPUTED_VALUE"""),"Arif Fadlan, S.Si., M.Si., D.Sc")</f>
        <v>Arif Fadlan, S.Si., M.Si., D.Sc</v>
      </c>
      <c r="H56" s="16" t="str">
        <f ca="1">IFERROR(__xludf.DUMMYFUNCTION("""COMPUTED_VALUE"""),"Dr.-Ing. Doty Dewi Risanti, S.T., M.T.")</f>
        <v>Dr.-Ing. Doty Dewi Risanti, S.T., M.T.</v>
      </c>
      <c r="I56" s="16" t="str">
        <f ca="1">IFERROR(__xludf.DUMMYFUNCTION("""COMPUTED_VALUE"""),"Annas Wiguno, S.T., M.T.")</f>
        <v>Annas Wiguno, S.T., M.T.</v>
      </c>
      <c r="J56" s="16"/>
      <c r="K56" s="17" t="s">
        <v>1128</v>
      </c>
      <c r="L56" s="17" t="s">
        <v>1133</v>
      </c>
      <c r="M56" s="19" t="b">
        <v>1</v>
      </c>
      <c r="N56" s="19" t="b">
        <v>1</v>
      </c>
      <c r="O56" s="1" t="s">
        <v>1135</v>
      </c>
      <c r="P56" s="7" t="str">
        <f ca="1">IFERROR(__xludf.DUMMYFUNCTION("iferror(vlookup(B56,importrange(""https://docs.google.com/spreadsheets/d/1boHyJQ4e2FU0QG8MHwEi6qjX4hvZWVCHcFfXjq7bbMc/edit?resourcekey#gid=923248883"",""Prop!$C$1:$M""),11,0),IFERROR(vlookup(B56,importrange(""https://docs.google.com/spreadsheets/d/1boHyJQ"&amp;"4e2FU0QG8MHwEi6qjX4hvZWVCHcFfXjq7bbMc/edit?resourcekey#gid=923248883"",""Prop!$N$1:$X""),11,0),iferror(vlookup(B56,importrange(""https://docs.google.com/spreadsheets/d/1boHyJQ4e2FU0QG8MHwEi6qjX4hvZWVCHcFfXjq7bbMc/edit?resourcekey#gid=923248883"",""Prop!$Y"&amp;"$1:$AI""),11,0),iferror(vlookup(B56,importrange(""https://docs.google.com/spreadsheets/d/1boHyJQ4e2FU0QG8MHwEi6qjX4hvZWVCHcFfXjq7bbMc/edit?resourcekey#gid=923248883"",""Prop!$AJ$1:$AT""),11,0),iferror(vlookup(B56,importrange(""https://docs.google.com/spre"&amp;"adsheets/d/1boHyJQ4e2FU0QG8MHwEi6qjX4hvZWVCHcFfXjq7bbMc/edit?resourcekey#gid=923248883"",""Prop!$AU$1:$BE""),11,0),iferror(vlookup(B56,importrange(""https://docs.google.com/spreadsheets/d/1boHyJQ4e2FU0QG8MHwEi6qjX4hvZWVCHcFfXjq7bbMc/edit?resourcekey#gid=9"&amp;"23248883"",""Prop!$BF$1:$BP""),11,0),iferror(vlookup(B56,importrange(""https://docs.google.com/spreadsheets/d/1boHyJQ4e2FU0QG8MHwEi6qjX4hvZWVCHcFfXjq7bbMc/edit?resourcekey#gid=923248883"",""Prop!$BQ$1:$CA""),11,0),iferror(vlookup(B56,importrange(""https:/"&amp;"/docs.google.com/spreadsheets/d/1boHyJQ4e2FU0QG8MHwEi6qjX4hvZWVCHcFfXjq7bbMc/edit?resourcekey#gid=923248883"",""Prop!$CB$1:$CL""),11,0),iferror(vlookup(B56,importrange(""https://docs.google.com/spreadsheets/d/1boHyJQ4e2FU0QG8MHwEi6qjX4hvZWVCHcFfXjq7bbMc/e"&amp;"dit?resourcekey#gid=923248883"",""Prop!$CM$1:$CX""),12,0),iferror(vlookup(B56,importrange(""https://docs.google.com/spreadsheets/d/1boHyJQ4e2FU0QG8MHwEi6qjX4hvZWVCHcFfXjq7bbMc/edit?resourcekey#gid=923248883"",""Prop!$CV$1:$DI""),11,0)))))))))))"),"https://drive.google.com/open?id=1o4VX9NpjIhE7E2MkxXcvZYfwBy5_Xp2u")</f>
        <v>https://drive.google.com/open?id=1o4VX9NpjIhE7E2MkxXcvZYfwBy5_Xp2u</v>
      </c>
      <c r="Q56" s="50" t="str">
        <f ca="1">IFERROR(__xludf.DUMMYFUNCTION("iferror(vlookup(B56,importrange(""https://docs.google.com/spreadsheets/d/1p53T2AuvvIqhP7Nf-bo3Uhj8cbKYRPpZdsrBv3x3bAQ/edit?resourcekey#gid=1321652304"",""Prop!$C$1:$M""),11,0),IFERROR(vlookup(B56,importrange(""https://docs.google.com/spreadsheets/d/1p53T2"&amp;"AuvvIqhP7Nf-bo3Uhj8cbKYRPpZdsrBv3x3bAQ/edit?resourcekey#gid=1321652304"",""Prop!$N$1:$X""),11,0),iferror(vlookup(B56,importrange(""https://docs.google.com/spreadsheets/d/1p53T2AuvvIqhP7Nf-bo3Uhj8cbKYRPpZdsrBv3x3bAQ/edit?resourcekey#gid=1321652304"",""Prop"&amp;"!$Y$1:$AI""),11,0),iferror(vlookup(B56,importrange(""https://docs.google.com/spreadsheets/d/1p53T2AuvvIqhP7Nf-bo3Uhj8cbKYRPpZdsrBv3x3bAQ/edit?resourcekey#gid=1321652304"",""Prop!$AJ$1:$AT""),11,0),iferror(vlookup(B56,importrange(""https://docs.google.com/"&amp;"spreadsheets/d/1p53T2AuvvIqhP7Nf-bo3Uhj8cbKYRPpZdsrBv3x3bAQ/edit?resourcekey#gid=1321652304"",""Prop!$AU$1:$BE""),11,0),iferror(vlookup(B56,importrange(""https://docs.google.com/spreadsheets/d/1p53T2AuvvIqhP7Nf-bo3Uhj8cbKYRPpZdsrBv3x3bAQ/edit?resourcekey#"&amp;"gid=1321652304"",""Prop!$BF$1:$BP""),11,0),iferror(vlookup(B56,importrange(""https://docs.google.com/spreadsheets/d/1p53T2AuvvIqhP7Nf-bo3Uhj8cbKYRPpZdsrBv3x3bAQ/edit?resourcekey#gid=1321652304"",""Prop!$BQ$1:$CA""),11,0),iferror(vlookup(B56,importrange("""&amp;"https://docs.google.com/spreadsheets/d/1p53T2AuvvIqhP7Nf-bo3Uhj8cbKYRPpZdsrBv3x3bAQ/edit?resourcekey#gid=1321652304"",""Prop!$CB$1:$CL""),11,0),iferror(vlookup(B56,importrange(""https://docs.google.com/spreadsheets/d/1p53T2AuvvIqhP7Nf-bo3Uhj8cbKYRPpZdsrBv"&amp;"3x3bAQ/edit?resourcekey#gid=1321652304"",""Prop!$CM$1:$CX""),12,0),iferror(vlookup(B56,importrange(""https://docs.google.com/spreadsheets/d/1p53T2AuvvIqhP7Nf-bo3Uhj8cbKYRPpZdsrBv3x3bAQ/edit?resourcekey#gid=1321652304"",""Prop!$CY$1:$DI""),11,0)))))))))))"),"https://drive.google.com/open?id=1cRY2VzrNXiiKZ9t8m6FmoY5JPYsIfXKL")</f>
        <v>https://drive.google.com/open?id=1cRY2VzrNXiiKZ9t8m6FmoY5JPYsIfXKL</v>
      </c>
      <c r="R56" s="88" t="s">
        <v>1101</v>
      </c>
      <c r="S56" s="20" t="str">
        <f ca="1">IFERROR(__xludf.DUMMYFUNCTION("IFERROR(vlookup(B56,IMPORTRANGE(""https://docs.google.com/spreadsheets/d/1g_jfYYK_KeipEDNDUgqgrsxK94XiocfNQIcP-v1QVhI/edit?resourcekey#gid=233272945"",""Nilai!B:CT""),57,0),"" "")"),"lihat pdf")</f>
        <v>lihat pdf</v>
      </c>
      <c r="T56" s="20" t="str">
        <f ca="1">IFERROR(__xludf.DUMMYFUNCTION("IFERROR(vlookup(B56,IMPORTRANGE(""https://docs.google.com/spreadsheets/d/1g_jfYYK_KeipEDNDUgqgrsxK94XiocfNQIcP-v1QVhI/edit?resourcekey#gid=233272945"",""Nilai!B:CT""),97,0),"" "")"),"LAYAK UPLOAD KE SIMBELMAWA DENGAN REVISI")</f>
        <v>LAYAK UPLOAD KE SIMBELMAWA DENGAN REVISI</v>
      </c>
      <c r="U56" s="21" t="s">
        <v>660</v>
      </c>
      <c r="V56" s="85" t="s">
        <v>1102</v>
      </c>
      <c r="W56" s="17" t="s">
        <v>1134</v>
      </c>
      <c r="X56" s="34" t="s">
        <v>949</v>
      </c>
    </row>
    <row r="57" spans="1:24" ht="57.6">
      <c r="A57" s="15">
        <v>55</v>
      </c>
      <c r="B57" s="15">
        <f ca="1">IFERROR(__xludf.DUMMYFUNCTION("""COMPUTED_VALUE"""),2584)</f>
        <v>2584</v>
      </c>
      <c r="C57" s="16" t="str">
        <f ca="1">IFERROR(__xludf.DUMMYFUNCTION("""COMPUTED_VALUE"""),"MARCELLINO EFFELINUS")</f>
        <v>MARCELLINO EFFELINUS</v>
      </c>
      <c r="D57" s="16" t="str">
        <f ca="1">IFERROR(__xludf.DUMMYFUNCTION("""COMPUTED_VALUE"""),"5007201080")</f>
        <v>5007201080</v>
      </c>
      <c r="E57" s="16" t="str">
        <f ca="1">IFERROR(__xludf.DUMMYFUNCTION("""COMPUTED_VALUE"""),"Departemen Teknik Mesin")</f>
        <v>Departemen Teknik Mesin</v>
      </c>
      <c r="F57" s="16" t="str">
        <f ca="1">IFERROR(__xludf.DUMMYFUNCTION("""COMPUTED_VALUE"""),"Studi Eksperimental Material Hybrid Rubber-Serbuk Batok Kelapa terhadap Laju Keausan Ban Mecanum pada Kursi Roda untuk Meningkatkan Umur Pakainya.")</f>
        <v>Studi Eksperimental Material Hybrid Rubber-Serbuk Batok Kelapa terhadap Laju Keausan Ban Mecanum pada Kursi Roda untuk Meningkatkan Umur Pakainya.</v>
      </c>
      <c r="G57" s="16" t="str">
        <f ca="1">IFERROR(__xludf.DUMMYFUNCTION("""COMPUTED_VALUE"""),"Dr.Eng. Yohanes, S.T., M.Sc.")</f>
        <v>Dr.Eng. Yohanes, S.T., M.Sc.</v>
      </c>
      <c r="H57" s="16" t="str">
        <f ca="1">IFERROR(__xludf.DUMMYFUNCTION("""COMPUTED_VALUE"""),"Ahmad Fauzan Adziimaa, S.T., M.Sc.")</f>
        <v>Ahmad Fauzan Adziimaa, S.T., M.Sc.</v>
      </c>
      <c r="I57" s="16" t="str">
        <f ca="1">IFERROR(__xludf.DUMMYFUNCTION("""COMPUTED_VALUE"""),"Azzah Dyah Pramata, S.T., M.T., M.Eng., Ph.D.")</f>
        <v>Azzah Dyah Pramata, S.T., M.T., M.Eng., Ph.D.</v>
      </c>
      <c r="J57" s="16"/>
      <c r="K57" s="17" t="s">
        <v>1128</v>
      </c>
      <c r="L57" s="17" t="s">
        <v>1133</v>
      </c>
      <c r="M57" s="19" t="b">
        <v>0</v>
      </c>
      <c r="N57" s="19" t="b">
        <v>0</v>
      </c>
      <c r="O57" s="1" t="s">
        <v>1135</v>
      </c>
      <c r="P57" s="7" t="str">
        <f ca="1">IFERROR(__xludf.DUMMYFUNCTION("iferror(vlookup(B57,importrange(""https://docs.google.com/spreadsheets/d/1boHyJQ4e2FU0QG8MHwEi6qjX4hvZWVCHcFfXjq7bbMc/edit?resourcekey#gid=923248883"",""Prop!$C$1:$M""),11,0),IFERROR(vlookup(B57,importrange(""https://docs.google.com/spreadsheets/d/1boHyJQ"&amp;"4e2FU0QG8MHwEi6qjX4hvZWVCHcFfXjq7bbMc/edit?resourcekey#gid=923248883"",""Prop!$N$1:$X""),11,0),iferror(vlookup(B57,importrange(""https://docs.google.com/spreadsheets/d/1boHyJQ4e2FU0QG8MHwEi6qjX4hvZWVCHcFfXjq7bbMc/edit?resourcekey#gid=923248883"",""Prop!$Y"&amp;"$1:$AI""),11,0),iferror(vlookup(B57,importrange(""https://docs.google.com/spreadsheets/d/1boHyJQ4e2FU0QG8MHwEi6qjX4hvZWVCHcFfXjq7bbMc/edit?resourcekey#gid=923248883"",""Prop!$AJ$1:$AT""),11,0),iferror(vlookup(B57,importrange(""https://docs.google.com/spre"&amp;"adsheets/d/1boHyJQ4e2FU0QG8MHwEi6qjX4hvZWVCHcFfXjq7bbMc/edit?resourcekey#gid=923248883"",""Prop!$AU$1:$BE""),11,0),iferror(vlookup(B57,importrange(""https://docs.google.com/spreadsheets/d/1boHyJQ4e2FU0QG8MHwEi6qjX4hvZWVCHcFfXjq7bbMc/edit?resourcekey#gid=9"&amp;"23248883"",""Prop!$BF$1:$BP""),11,0),iferror(vlookup(B57,importrange(""https://docs.google.com/spreadsheets/d/1boHyJQ4e2FU0QG8MHwEi6qjX4hvZWVCHcFfXjq7bbMc/edit?resourcekey#gid=923248883"",""Prop!$BQ$1:$CA""),11,0),iferror(vlookup(B57,importrange(""https:/"&amp;"/docs.google.com/spreadsheets/d/1boHyJQ4e2FU0QG8MHwEi6qjX4hvZWVCHcFfXjq7bbMc/edit?resourcekey#gid=923248883"",""Prop!$CB$1:$CL""),11,0),iferror(vlookup(B57,importrange(""https://docs.google.com/spreadsheets/d/1boHyJQ4e2FU0QG8MHwEi6qjX4hvZWVCHcFfXjq7bbMc/e"&amp;"dit?resourcekey#gid=923248883"",""Prop!$CM$1:$CX""),12,0),iferror(vlookup(B57,importrange(""https://docs.google.com/spreadsheets/d/1boHyJQ4e2FU0QG8MHwEi6qjX4hvZWVCHcFfXjq7bbMc/edit?resourcekey#gid=923248883"",""Prop!$CV$1:$DI""),11,0)))))))))))"),"https://drive.google.com/open?id=1nj6IZCuYYLc86geyVdRqTXIrzCFvq7pA")</f>
        <v>https://drive.google.com/open?id=1nj6IZCuYYLc86geyVdRqTXIrzCFvq7pA</v>
      </c>
      <c r="Q57" s="50" t="str">
        <f ca="1">IFERROR(__xludf.DUMMYFUNCTION("iferror(vlookup(B57,importrange(""https://docs.google.com/spreadsheets/d/1p53T2AuvvIqhP7Nf-bo3Uhj8cbKYRPpZdsrBv3x3bAQ/edit?resourcekey#gid=1321652304"",""Prop!$C$1:$M""),11,0),IFERROR(vlookup(B57,importrange(""https://docs.google.com/spreadsheets/d/1p53T2"&amp;"AuvvIqhP7Nf-bo3Uhj8cbKYRPpZdsrBv3x3bAQ/edit?resourcekey#gid=1321652304"",""Prop!$N$1:$X""),11,0),iferror(vlookup(B57,importrange(""https://docs.google.com/spreadsheets/d/1p53T2AuvvIqhP7Nf-bo3Uhj8cbKYRPpZdsrBv3x3bAQ/edit?resourcekey#gid=1321652304"",""Prop"&amp;"!$Y$1:$AI""),11,0),iferror(vlookup(B57,importrange(""https://docs.google.com/spreadsheets/d/1p53T2AuvvIqhP7Nf-bo3Uhj8cbKYRPpZdsrBv3x3bAQ/edit?resourcekey#gid=1321652304"",""Prop!$AJ$1:$AT""),11,0),iferror(vlookup(B57,importrange(""https://docs.google.com/"&amp;"spreadsheets/d/1p53T2AuvvIqhP7Nf-bo3Uhj8cbKYRPpZdsrBv3x3bAQ/edit?resourcekey#gid=1321652304"",""Prop!$AU$1:$BE""),11,0),iferror(vlookup(B57,importrange(""https://docs.google.com/spreadsheets/d/1p53T2AuvvIqhP7Nf-bo3Uhj8cbKYRPpZdsrBv3x3bAQ/edit?resourcekey#"&amp;"gid=1321652304"",""Prop!$BF$1:$BP""),11,0),iferror(vlookup(B57,importrange(""https://docs.google.com/spreadsheets/d/1p53T2AuvvIqhP7Nf-bo3Uhj8cbKYRPpZdsrBv3x3bAQ/edit?resourcekey#gid=1321652304"",""Prop!$BQ$1:$CA""),11,0),iferror(vlookup(B57,importrange("""&amp;"https://docs.google.com/spreadsheets/d/1p53T2AuvvIqhP7Nf-bo3Uhj8cbKYRPpZdsrBv3x3bAQ/edit?resourcekey#gid=1321652304"",""Prop!$CB$1:$CL""),11,0),iferror(vlookup(B57,importrange(""https://docs.google.com/spreadsheets/d/1p53T2AuvvIqhP7Nf-bo3Uhj8cbKYRPpZdsrBv"&amp;"3x3bAQ/edit?resourcekey#gid=1321652304"",""Prop!$CM$1:$CX""),12,0),iferror(vlookup(B57,importrange(""https://docs.google.com/spreadsheets/d/1p53T2AuvvIqhP7Nf-bo3Uhj8cbKYRPpZdsrBv3x3bAQ/edit?resourcekey#gid=1321652304"",""Prop!$CY$1:$DI""),11,0)))))))))))"),"https://drive.google.com/open?id=1Z3BxJICfey326cs_2lQZUdYl2MKtyuRE")</f>
        <v>https://drive.google.com/open?id=1Z3BxJICfey326cs_2lQZUdYl2MKtyuRE</v>
      </c>
      <c r="R57" s="88" t="s">
        <v>1101</v>
      </c>
      <c r="S57" s="20" t="str">
        <f ca="1">IFERROR(__xludf.DUMMYFUNCTION("IFERROR(vlookup(B57,IMPORTRANGE(""https://docs.google.com/spreadsheets/d/1g_jfYYK_KeipEDNDUgqgrsxK94XiocfNQIcP-v1QVhI/edit?resourcekey#gid=233272945"",""Nilai!B:CT""),57,0),"" "")"),"lihat di pdf, concern terbesar saya adalah keilmuan mahasiswa belum cukup")</f>
        <v>lihat di pdf, concern terbesar saya adalah keilmuan mahasiswa belum cukup</v>
      </c>
      <c r="T57" s="20" t="str">
        <f ca="1">IFERROR(__xludf.DUMMYFUNCTION("IFERROR(vlookup(B57,IMPORTRANGE(""https://docs.google.com/spreadsheets/d/1g_jfYYK_KeipEDNDUgqgrsxK94XiocfNQIcP-v1QVhI/edit?resourcekey#gid=233272945"",""Nilai!B:CT""),97,0),"" "")"),"TIDAK LAYAK UPLOAD KE SIMBELMAWA")</f>
        <v>TIDAK LAYAK UPLOAD KE SIMBELMAWA</v>
      </c>
      <c r="U57" s="21" t="s">
        <v>660</v>
      </c>
      <c r="V57" s="85" t="s">
        <v>1102</v>
      </c>
      <c r="W57" s="17" t="s">
        <v>1136</v>
      </c>
      <c r="X57" s="34" t="b">
        <v>0</v>
      </c>
    </row>
    <row r="58" spans="1:24" ht="57.6">
      <c r="A58" s="15">
        <v>56</v>
      </c>
      <c r="B58" s="15">
        <f ca="1">IFERROR(__xludf.DUMMYFUNCTION("""COMPUTED_VALUE"""),2560)</f>
        <v>2560</v>
      </c>
      <c r="C58" s="16" t="str">
        <f ca="1">IFERROR(__xludf.DUMMYFUNCTION("""COMPUTED_VALUE"""),"UNIEKA MIROATUL INSANA")</f>
        <v>UNIEKA MIROATUL INSANA</v>
      </c>
      <c r="D58" s="16" t="str">
        <f ca="1">IFERROR(__xludf.DUMMYFUNCTION("""COMPUTED_VALUE"""),"10411910000058")</f>
        <v>10411910000058</v>
      </c>
      <c r="E58" s="16" t="str">
        <f ca="1">IFERROR(__xludf.DUMMYFUNCTION("""COMPUTED_VALUE"""),"Departemen Teknik Kimia Industri")</f>
        <v>Departemen Teknik Kimia Industri</v>
      </c>
      <c r="F58" s="16" t="str">
        <f ca="1">IFERROR(__xludf.DUMMYFUNCTION("""COMPUTED_VALUE"""),"PEMISAHAN ETHANOL DENGAN BANTUAN BIOLOGICAL BUFFER SEBAGAI GREEN AUXILIARY AGENT DENGAN METODE EKSTRAKSI CAIR-CAIR")</f>
        <v>PEMISAHAN ETHANOL DENGAN BANTUAN BIOLOGICAL BUFFER SEBAGAI GREEN AUXILIARY AGENT DENGAN METODE EKSTRAKSI CAIR-CAIR</v>
      </c>
      <c r="G58" s="16" t="str">
        <f ca="1">IFERROR(__xludf.DUMMYFUNCTION("""COMPUTED_VALUE"""),"Saidah Altway, S.T., M.T.")</f>
        <v>Saidah Altway, S.T., M.T.</v>
      </c>
      <c r="H58" s="16" t="str">
        <f ca="1">IFERROR(__xludf.DUMMYFUNCTION("""COMPUTED_VALUE"""),"Ahmad Fauzan Adziimaa, S.T., M.Sc.")</f>
        <v>Ahmad Fauzan Adziimaa, S.T., M.Sc.</v>
      </c>
      <c r="I58" s="16" t="str">
        <f ca="1">IFERROR(__xludf.DUMMYFUNCTION("""COMPUTED_VALUE"""),"Azzah Dyah Pramata, S.T., M.T., M.Eng., Ph.D.")</f>
        <v>Azzah Dyah Pramata, S.T., M.T., M.Eng., Ph.D.</v>
      </c>
      <c r="J58" s="16"/>
      <c r="K58" s="17" t="s">
        <v>1137</v>
      </c>
      <c r="L58" s="17" t="s">
        <v>1138</v>
      </c>
      <c r="M58" s="19" t="b">
        <v>1</v>
      </c>
      <c r="N58" s="19" t="b">
        <v>1</v>
      </c>
      <c r="O58" s="1" t="s">
        <v>1135</v>
      </c>
      <c r="P58" s="7" t="str">
        <f ca="1">IFERROR(__xludf.DUMMYFUNCTION("iferror(vlookup(B58,importrange(""https://docs.google.com/spreadsheets/d/1boHyJQ4e2FU0QG8MHwEi6qjX4hvZWVCHcFfXjq7bbMc/edit?resourcekey#gid=923248883"",""Prop!$C$1:$M""),11,0),IFERROR(vlookup(B58,importrange(""https://docs.google.com/spreadsheets/d/1boHyJQ"&amp;"4e2FU0QG8MHwEi6qjX4hvZWVCHcFfXjq7bbMc/edit?resourcekey#gid=923248883"",""Prop!$N$1:$X""),11,0),iferror(vlookup(B58,importrange(""https://docs.google.com/spreadsheets/d/1boHyJQ4e2FU0QG8MHwEi6qjX4hvZWVCHcFfXjq7bbMc/edit?resourcekey#gid=923248883"",""Prop!$Y"&amp;"$1:$AI""),11,0),iferror(vlookup(B58,importrange(""https://docs.google.com/spreadsheets/d/1boHyJQ4e2FU0QG8MHwEi6qjX4hvZWVCHcFfXjq7bbMc/edit?resourcekey#gid=923248883"",""Prop!$AJ$1:$AT""),11,0),iferror(vlookup(B58,importrange(""https://docs.google.com/spre"&amp;"adsheets/d/1boHyJQ4e2FU0QG8MHwEi6qjX4hvZWVCHcFfXjq7bbMc/edit?resourcekey#gid=923248883"",""Prop!$AU$1:$BE""),11,0),iferror(vlookup(B58,importrange(""https://docs.google.com/spreadsheets/d/1boHyJQ4e2FU0QG8MHwEi6qjX4hvZWVCHcFfXjq7bbMc/edit?resourcekey#gid=9"&amp;"23248883"",""Prop!$BF$1:$BP""),11,0),iferror(vlookup(B58,importrange(""https://docs.google.com/spreadsheets/d/1boHyJQ4e2FU0QG8MHwEi6qjX4hvZWVCHcFfXjq7bbMc/edit?resourcekey#gid=923248883"",""Prop!$BQ$1:$CA""),11,0),iferror(vlookup(B58,importrange(""https:/"&amp;"/docs.google.com/spreadsheets/d/1boHyJQ4e2FU0QG8MHwEi6qjX4hvZWVCHcFfXjq7bbMc/edit?resourcekey#gid=923248883"",""Prop!$CB$1:$CL""),11,0),iferror(vlookup(B58,importrange(""https://docs.google.com/spreadsheets/d/1boHyJQ4e2FU0QG8MHwEi6qjX4hvZWVCHcFfXjq7bbMc/e"&amp;"dit?resourcekey#gid=923248883"",""Prop!$CM$1:$CX""),12,0),iferror(vlookup(B58,importrange(""https://docs.google.com/spreadsheets/d/1boHyJQ4e2FU0QG8MHwEi6qjX4hvZWVCHcFfXjq7bbMc/edit?resourcekey#gid=923248883"",""Prop!$CV$1:$DI""),11,0)))))))))))"),"https://drive.google.com/open?id=1p6KqEMIH3Tyt788zhBNeUvRrmLX1uq_F")</f>
        <v>https://drive.google.com/open?id=1p6KqEMIH3Tyt788zhBNeUvRrmLX1uq_F</v>
      </c>
      <c r="Q58" s="7" t="str">
        <f ca="1">IFERROR(__xludf.DUMMYFUNCTION("iferror(vlookup(B58,importrange(""https://docs.google.com/spreadsheets/d/1p53T2AuvvIqhP7Nf-bo3Uhj8cbKYRPpZdsrBv3x3bAQ/edit?resourcekey#gid=1321652304"",""Prop!$C$1:$M""),11,0),IFERROR(vlookup(B58,importrange(""https://docs.google.com/spreadsheets/d/1p53T2"&amp;"AuvvIqhP7Nf-bo3Uhj8cbKYRPpZdsrBv3x3bAQ/edit?resourcekey#gid=1321652304"",""Prop!$N$1:$X""),11,0),iferror(vlookup(B58,importrange(""https://docs.google.com/spreadsheets/d/1p53T2AuvvIqhP7Nf-bo3Uhj8cbKYRPpZdsrBv3x3bAQ/edit?resourcekey#gid=1321652304"",""Prop"&amp;"!$Y$1:$AI""),11,0),iferror(vlookup(B58,importrange(""https://docs.google.com/spreadsheets/d/1p53T2AuvvIqhP7Nf-bo3Uhj8cbKYRPpZdsrBv3x3bAQ/edit?resourcekey#gid=1321652304"",""Prop!$AJ$1:$AT""),11,0),iferror(vlookup(B58,importrange(""https://docs.google.com/"&amp;"spreadsheets/d/1p53T2AuvvIqhP7Nf-bo3Uhj8cbKYRPpZdsrBv3x3bAQ/edit?resourcekey#gid=1321652304"",""Prop!$AU$1:$BE""),11,0),iferror(vlookup(B58,importrange(""https://docs.google.com/spreadsheets/d/1p53T2AuvvIqhP7Nf-bo3Uhj8cbKYRPpZdsrBv3x3bAQ/edit?resourcekey#"&amp;"gid=1321652304"",""Prop!$BF$1:$BP""),11,0),iferror(vlookup(B58,importrange(""https://docs.google.com/spreadsheets/d/1p53T2AuvvIqhP7Nf-bo3Uhj8cbKYRPpZdsrBv3x3bAQ/edit?resourcekey#gid=1321652304"",""Prop!$BQ$1:$CA""),11,0),iferror(vlookup(B58,importrange("""&amp;"https://docs.google.com/spreadsheets/d/1p53T2AuvvIqhP7Nf-bo3Uhj8cbKYRPpZdsrBv3x3bAQ/edit?resourcekey#gid=1321652304"",""Prop!$CB$1:$CL""),11,0),iferror(vlookup(B58,importrange(""https://docs.google.com/spreadsheets/d/1p53T2AuvvIqhP7Nf-bo3Uhj8cbKYRPpZdsrBv"&amp;"3x3bAQ/edit?resourcekey#gid=1321652304"",""Prop!$CM$1:$CX""),12,0),iferror(vlookup(B58,importrange(""https://docs.google.com/spreadsheets/d/1p53T2AuvvIqhP7Nf-bo3Uhj8cbKYRPpZdsrBv3x3bAQ/edit?resourcekey#gid=1321652304"",""Prop!$CY$1:$DI""),11,0)))))))))))"),"https://drive.google.com/open?id=1wN3ELKR0In1ECBLIKK5CR4pZGM_WUzxy")</f>
        <v>https://drive.google.com/open?id=1wN3ELKR0In1ECBLIKK5CR4pZGM_WUzxy</v>
      </c>
      <c r="R58" s="88" t="s">
        <v>1101</v>
      </c>
      <c r="S58" s="20" t="str">
        <f ca="1">IFERROR(__xludf.DUMMYFUNCTION("IFERROR(vlookup(B58,IMPORTRANGE(""https://docs.google.com/spreadsheets/d/1g_jfYYK_KeipEDNDUgqgrsxK94XiocfNQIcP-v1QVhI/edit?resourcekey#gid=233272945"",""Nilai!B:CT""),57,0),"" "")"),"lihat file pdf")</f>
        <v>lihat file pdf</v>
      </c>
      <c r="T58" s="20" t="str">
        <f ca="1">IFERROR(__xludf.DUMMYFUNCTION("IFERROR(vlookup(B58,IMPORTRANGE(""https://docs.google.com/spreadsheets/d/1g_jfYYK_KeipEDNDUgqgrsxK94XiocfNQIcP-v1QVhI/edit?resourcekey#gid=233272945"",""Nilai!B:CT""),97,0),"" "")"),"TIDAK LAYAK UPLOAD KE SIMBELMAWA")</f>
        <v>TIDAK LAYAK UPLOAD KE SIMBELMAWA</v>
      </c>
      <c r="U58" s="21" t="s">
        <v>660</v>
      </c>
      <c r="V58" s="85" t="s">
        <v>1102</v>
      </c>
      <c r="W58" s="17" t="s">
        <v>1136</v>
      </c>
      <c r="X58" s="34" t="b">
        <v>0</v>
      </c>
    </row>
    <row r="59" spans="1:24" ht="69">
      <c r="A59" s="15">
        <v>57</v>
      </c>
      <c r="B59" s="15">
        <f ca="1">IFERROR(__xludf.DUMMYFUNCTION("""COMPUTED_VALUE"""),3348)</f>
        <v>3348</v>
      </c>
      <c r="C59" s="16" t="str">
        <f ca="1">IFERROR(__xludf.DUMMYFUNCTION("""COMPUTED_VALUE"""),"REYNAL RESTU AFFANDI")</f>
        <v>REYNAL RESTU AFFANDI</v>
      </c>
      <c r="D59" s="16" t="str">
        <f ca="1">IFERROR(__xludf.DUMMYFUNCTION("""COMPUTED_VALUE"""),"01211940000056")</f>
        <v>01211940000056</v>
      </c>
      <c r="E59" s="16" t="str">
        <f ca="1">IFERROR(__xludf.DUMMYFUNCTION("""COMPUTED_VALUE"""),"Departemen Kimia")</f>
        <v>Departemen Kimia</v>
      </c>
      <c r="F59" s="16" t="str">
        <f ca="1">IFERROR(__xludf.DUMMYFUNCTION("""COMPUTED_VALUE"""),"Pengembangan Imidazol Tergeranilasi dan Terprenilasi sebagai Agen Antibakteri Baru dalam Upaya Mengurangi Bahaya Antibiotik")</f>
        <v>Pengembangan Imidazol Tergeranilasi dan Terprenilasi sebagai Agen Antibakteri Baru dalam Upaya Mengurangi Bahaya Antibiotik</v>
      </c>
      <c r="G59" s="16" t="str">
        <f ca="1">IFERROR(__xludf.DUMMYFUNCTION("""COMPUTED_VALUE"""),"Arif Fadlan, S.Si., M.Si., D.Sc")</f>
        <v>Arif Fadlan, S.Si., M.Si., D.Sc</v>
      </c>
      <c r="H59" s="16" t="str">
        <f ca="1">IFERROR(__xludf.DUMMYFUNCTION("""COMPUTED_VALUE"""),"Ahmad Fauzan Adziimaa, S.T., M.Sc.")</f>
        <v>Ahmad Fauzan Adziimaa, S.T., M.Sc.</v>
      </c>
      <c r="I59" s="16" t="str">
        <f ca="1">IFERROR(__xludf.DUMMYFUNCTION("""COMPUTED_VALUE"""),"Muhammad Syifaul Mufid, S.Si.,M.Si")</f>
        <v>Muhammad Syifaul Mufid, S.Si.,M.Si</v>
      </c>
      <c r="J59" s="16"/>
      <c r="K59" s="17" t="s">
        <v>1137</v>
      </c>
      <c r="L59" s="17" t="s">
        <v>1138</v>
      </c>
      <c r="M59" s="19" t="b">
        <v>1</v>
      </c>
      <c r="N59" s="19" t="b">
        <v>1</v>
      </c>
      <c r="O59" s="1" t="s">
        <v>1122</v>
      </c>
      <c r="P59" s="7" t="str">
        <f ca="1">IFERROR(__xludf.DUMMYFUNCTION("iferror(vlookup(B59,importrange(""https://docs.google.com/spreadsheets/d/1boHyJQ4e2FU0QG8MHwEi6qjX4hvZWVCHcFfXjq7bbMc/edit?resourcekey#gid=923248883"",""Prop!$C$1:$M""),11,0),IFERROR(vlookup(B59,importrange(""https://docs.google.com/spreadsheets/d/1boHyJQ"&amp;"4e2FU0QG8MHwEi6qjX4hvZWVCHcFfXjq7bbMc/edit?resourcekey#gid=923248883"",""Prop!$N$1:$X""),11,0),iferror(vlookup(B59,importrange(""https://docs.google.com/spreadsheets/d/1boHyJQ4e2FU0QG8MHwEi6qjX4hvZWVCHcFfXjq7bbMc/edit?resourcekey#gid=923248883"",""Prop!$Y"&amp;"$1:$AI""),11,0),iferror(vlookup(B59,importrange(""https://docs.google.com/spreadsheets/d/1boHyJQ4e2FU0QG8MHwEi6qjX4hvZWVCHcFfXjq7bbMc/edit?resourcekey#gid=923248883"",""Prop!$AJ$1:$AT""),11,0),iferror(vlookup(B59,importrange(""https://docs.google.com/spre"&amp;"adsheets/d/1boHyJQ4e2FU0QG8MHwEi6qjX4hvZWVCHcFfXjq7bbMc/edit?resourcekey#gid=923248883"",""Prop!$AU$1:$BE""),11,0),iferror(vlookup(B59,importrange(""https://docs.google.com/spreadsheets/d/1boHyJQ4e2FU0QG8MHwEi6qjX4hvZWVCHcFfXjq7bbMc/edit?resourcekey#gid=9"&amp;"23248883"",""Prop!$BF$1:$BP""),11,0),iferror(vlookup(B59,importrange(""https://docs.google.com/spreadsheets/d/1boHyJQ4e2FU0QG8MHwEi6qjX4hvZWVCHcFfXjq7bbMc/edit?resourcekey#gid=923248883"",""Prop!$BQ$1:$CA""),11,0),iferror(vlookup(B59,importrange(""https:/"&amp;"/docs.google.com/spreadsheets/d/1boHyJQ4e2FU0QG8MHwEi6qjX4hvZWVCHcFfXjq7bbMc/edit?resourcekey#gid=923248883"",""Prop!$CB$1:$CL""),11,0),iferror(vlookup(B59,importrange(""https://docs.google.com/spreadsheets/d/1boHyJQ4e2FU0QG8MHwEi6qjX4hvZWVCHcFfXjq7bbMc/e"&amp;"dit?resourcekey#gid=923248883"",""Prop!$CM$1:$CX""),12,0),iferror(vlookup(B59,importrange(""https://docs.google.com/spreadsheets/d/1boHyJQ4e2FU0QG8MHwEi6qjX4hvZWVCHcFfXjq7bbMc/edit?resourcekey#gid=923248883"",""Prop!$CV$1:$DI""),11,0)))))))))))"),"https://drive.google.com/open?id=1g8WkY7n-hOjP60NBPQwViRf8A3944iLs")</f>
        <v>https://drive.google.com/open?id=1g8WkY7n-hOjP60NBPQwViRf8A3944iLs</v>
      </c>
      <c r="Q59" s="7" t="str">
        <f ca="1">IFERROR(__xludf.DUMMYFUNCTION("iferror(vlookup(B59,importrange(""https://docs.google.com/spreadsheets/d/1p53T2AuvvIqhP7Nf-bo3Uhj8cbKYRPpZdsrBv3x3bAQ/edit?resourcekey#gid=1321652304"",""Prop!$C$1:$M""),11,0),IFERROR(vlookup(B59,importrange(""https://docs.google.com/spreadsheets/d/1p53T2"&amp;"AuvvIqhP7Nf-bo3Uhj8cbKYRPpZdsrBv3x3bAQ/edit?resourcekey#gid=1321652304"",""Prop!$N$1:$X""),11,0),iferror(vlookup(B59,importrange(""https://docs.google.com/spreadsheets/d/1p53T2AuvvIqhP7Nf-bo3Uhj8cbKYRPpZdsrBv3x3bAQ/edit?resourcekey#gid=1321652304"",""Prop"&amp;"!$Y$1:$AI""),11,0),iferror(vlookup(B59,importrange(""https://docs.google.com/spreadsheets/d/1p53T2AuvvIqhP7Nf-bo3Uhj8cbKYRPpZdsrBv3x3bAQ/edit?resourcekey#gid=1321652304"",""Prop!$AJ$1:$AT""),11,0),iferror(vlookup(B59,importrange(""https://docs.google.com/"&amp;"spreadsheets/d/1p53T2AuvvIqhP7Nf-bo3Uhj8cbKYRPpZdsrBv3x3bAQ/edit?resourcekey#gid=1321652304"",""Prop!$AU$1:$BE""),11,0),iferror(vlookup(B59,importrange(""https://docs.google.com/spreadsheets/d/1p53T2AuvvIqhP7Nf-bo3Uhj8cbKYRPpZdsrBv3x3bAQ/edit?resourcekey#"&amp;"gid=1321652304"",""Prop!$BF$1:$BP""),11,0),iferror(vlookup(B59,importrange(""https://docs.google.com/spreadsheets/d/1p53T2AuvvIqhP7Nf-bo3Uhj8cbKYRPpZdsrBv3x3bAQ/edit?resourcekey#gid=1321652304"",""Prop!$BQ$1:$CA""),11,0),iferror(vlookup(B59,importrange("""&amp;"https://docs.google.com/spreadsheets/d/1p53T2AuvvIqhP7Nf-bo3Uhj8cbKYRPpZdsrBv3x3bAQ/edit?resourcekey#gid=1321652304"",""Prop!$CB$1:$CL""),11,0),iferror(vlookup(B59,importrange(""https://docs.google.com/spreadsheets/d/1p53T2AuvvIqhP7Nf-bo3Uhj8cbKYRPpZdsrBv"&amp;"3x3bAQ/edit?resourcekey#gid=1321652304"",""Prop!$CM$1:$CX""),12,0),iferror(vlookup(B59,importrange(""https://docs.google.com/spreadsheets/d/1p53T2AuvvIqhP7Nf-bo3Uhj8cbKYRPpZdsrBv3x3bAQ/edit?resourcekey#gid=1321652304"",""Prop!$CY$1:$DI""),11,0)))))))))))"),"https://drive.google.com/open?id=1r7cUohb3GFgqInLZd5iGLBWewhVPsk9v")</f>
        <v>https://drive.google.com/open?id=1r7cUohb3GFgqInLZd5iGLBWewhVPsk9v</v>
      </c>
      <c r="R59" s="88" t="s">
        <v>1101</v>
      </c>
      <c r="S59" s="20" t="str">
        <f ca="1">IFERROR(__xludf.DUMMYFUNCTION("IFERROR(vlookup(B59,IMPORTRANGE(""https://docs.google.com/spreadsheets/d/1g_jfYYK_KeipEDNDUgqgrsxK94XiocfNQIcP-v1QVhI/edit?resourcekey#gid=233272945"",""Nilai!B:CT""),57,0),"" "")"),"jumlah halaman masih lebih dari 10")</f>
        <v>jumlah halaman masih lebih dari 10</v>
      </c>
      <c r="T59" s="20" t="str">
        <f ca="1">IFERROR(__xludf.DUMMYFUNCTION("IFERROR(vlookup(B59,IMPORTRANGE(""https://docs.google.com/spreadsheets/d/1g_jfYYK_KeipEDNDUgqgrsxK94XiocfNQIcP-v1QVhI/edit?resourcekey#gid=233272945"",""Nilai!B:CT""),97,0),"" "")"),"LAYAK UPLOAD KE SIMBELMAWA DENGAN REVISI")</f>
        <v>LAYAK UPLOAD KE SIMBELMAWA DENGAN REVISI</v>
      </c>
      <c r="U59" s="36" t="s">
        <v>825</v>
      </c>
      <c r="V59" s="85" t="s">
        <v>1102</v>
      </c>
      <c r="W59" s="17" t="s">
        <v>1136</v>
      </c>
      <c r="X59" s="34" t="s">
        <v>949</v>
      </c>
    </row>
    <row r="60" spans="1:24" ht="69">
      <c r="A60" s="15">
        <v>58</v>
      </c>
      <c r="B60" s="15">
        <f ca="1">IFERROR(__xludf.DUMMYFUNCTION("""COMPUTED_VALUE"""),2522)</f>
        <v>2522</v>
      </c>
      <c r="C60" s="16" t="str">
        <f ca="1">IFERROR(__xludf.DUMMYFUNCTION("""COMPUTED_VALUE"""),"NABILA FIRDAUSI NUZULA")</f>
        <v>NABILA FIRDAUSI NUZULA</v>
      </c>
      <c r="D60" s="16" t="str">
        <f ca="1">IFERROR(__xludf.DUMMYFUNCTION("""COMPUTED_VALUE"""),"5011201071")</f>
        <v>5011201071</v>
      </c>
      <c r="E60" s="16" t="str">
        <f ca="1">IFERROR(__xludf.DUMMYFUNCTION("""COMPUTED_VALUE"""),"Departemen Teknik Material dan Metalurgi")</f>
        <v>Departemen Teknik Material dan Metalurgi</v>
      </c>
      <c r="F60" s="16" t="str">
        <f ca="1">IFERROR(__xludf.DUMMYFUNCTION("""COMPUTED_VALUE"""),"Sintesis Sulphur-Phosporus-Doped Porous Carbon dari Limbah Surgical Mask untuk Aplikasi Superkapasitor")</f>
        <v>Sintesis Sulphur-Phosporus-Doped Porous Carbon dari Limbah Surgical Mask untuk Aplikasi Superkapasitor</v>
      </c>
      <c r="G60" s="16" t="str">
        <f ca="1">IFERROR(__xludf.DUMMYFUNCTION("""COMPUTED_VALUE"""),"Haniffudin Nurdiansah, S.T., M.T.")</f>
        <v>Haniffudin Nurdiansah, S.T., M.T.</v>
      </c>
      <c r="H60" s="16" t="str">
        <f ca="1">IFERROR(__xludf.DUMMYFUNCTION("""COMPUTED_VALUE"""),"Dr.-Ing. Doty Dewi Risanti, S.T., M.T.")</f>
        <v>Dr.-Ing. Doty Dewi Risanti, S.T., M.T.</v>
      </c>
      <c r="I60" s="16" t="str">
        <f ca="1">IFERROR(__xludf.DUMMYFUNCTION("""COMPUTED_VALUE"""),"Mohammad Sholikhan Arif, S.T., M.T.")</f>
        <v>Mohammad Sholikhan Arif, S.T., M.T.</v>
      </c>
      <c r="J60" s="16"/>
      <c r="K60" s="17" t="s">
        <v>1137</v>
      </c>
      <c r="L60" s="17" t="s">
        <v>1138</v>
      </c>
      <c r="M60" s="19" t="b">
        <v>1</v>
      </c>
      <c r="N60" s="19" t="b">
        <v>1</v>
      </c>
      <c r="O60" s="1" t="s">
        <v>1139</v>
      </c>
      <c r="P60" s="7" t="str">
        <f ca="1">IFERROR(__xludf.DUMMYFUNCTION("iferror(vlookup(B60,importrange(""https://docs.google.com/spreadsheets/d/1boHyJQ4e2FU0QG8MHwEi6qjX4hvZWVCHcFfXjq7bbMc/edit?resourcekey#gid=923248883"",""Prop!$C$1:$M""),11,0),IFERROR(vlookup(B60,importrange(""https://docs.google.com/spreadsheets/d/1boHyJQ"&amp;"4e2FU0QG8MHwEi6qjX4hvZWVCHcFfXjq7bbMc/edit?resourcekey#gid=923248883"",""Prop!$N$1:$X""),11,0),iferror(vlookup(B60,importrange(""https://docs.google.com/spreadsheets/d/1boHyJQ4e2FU0QG8MHwEi6qjX4hvZWVCHcFfXjq7bbMc/edit?resourcekey#gid=923248883"",""Prop!$Y"&amp;"$1:$AI""),11,0),iferror(vlookup(B60,importrange(""https://docs.google.com/spreadsheets/d/1boHyJQ4e2FU0QG8MHwEi6qjX4hvZWVCHcFfXjq7bbMc/edit?resourcekey#gid=923248883"",""Prop!$AJ$1:$AT""),11,0),iferror(vlookup(B60,importrange(""https://docs.google.com/spre"&amp;"adsheets/d/1boHyJQ4e2FU0QG8MHwEi6qjX4hvZWVCHcFfXjq7bbMc/edit?resourcekey#gid=923248883"",""Prop!$AU$1:$BE""),11,0),iferror(vlookup(B60,importrange(""https://docs.google.com/spreadsheets/d/1boHyJQ4e2FU0QG8MHwEi6qjX4hvZWVCHcFfXjq7bbMc/edit?resourcekey#gid=9"&amp;"23248883"",""Prop!$BF$1:$BP""),11,0),iferror(vlookup(B60,importrange(""https://docs.google.com/spreadsheets/d/1boHyJQ4e2FU0QG8MHwEi6qjX4hvZWVCHcFfXjq7bbMc/edit?resourcekey#gid=923248883"",""Prop!$BQ$1:$CA""),11,0),iferror(vlookup(B60,importrange(""https:/"&amp;"/docs.google.com/spreadsheets/d/1boHyJQ4e2FU0QG8MHwEi6qjX4hvZWVCHcFfXjq7bbMc/edit?resourcekey#gid=923248883"",""Prop!$CB$1:$CL""),11,0),iferror(vlookup(B60,importrange(""https://docs.google.com/spreadsheets/d/1boHyJQ4e2FU0QG8MHwEi6qjX4hvZWVCHcFfXjq7bbMc/e"&amp;"dit?resourcekey#gid=923248883"",""Prop!$CM$1:$CX""),12,0),iferror(vlookup(B60,importrange(""https://docs.google.com/spreadsheets/d/1boHyJQ4e2FU0QG8MHwEi6qjX4hvZWVCHcFfXjq7bbMc/edit?resourcekey#gid=923248883"",""Prop!$CV$1:$DI""),11,0)))))))))))"),"https://drive.google.com/open?id=14EvuNZg5xKgE86Gk5FCZwn5Z5-qbga7f")</f>
        <v>https://drive.google.com/open?id=14EvuNZg5xKgE86Gk5FCZwn5Z5-qbga7f</v>
      </c>
      <c r="Q60" s="7" t="str">
        <f ca="1">IFERROR(__xludf.DUMMYFUNCTION("iferror(vlookup(B60,importrange(""https://docs.google.com/spreadsheets/d/1p53T2AuvvIqhP7Nf-bo3Uhj8cbKYRPpZdsrBv3x3bAQ/edit?resourcekey#gid=1321652304"",""Prop!$C$1:$M""),11,0),IFERROR(vlookup(B60,importrange(""https://docs.google.com/spreadsheets/d/1p53T2"&amp;"AuvvIqhP7Nf-bo3Uhj8cbKYRPpZdsrBv3x3bAQ/edit?resourcekey#gid=1321652304"",""Prop!$N$1:$X""),11,0),iferror(vlookup(B60,importrange(""https://docs.google.com/spreadsheets/d/1p53T2AuvvIqhP7Nf-bo3Uhj8cbKYRPpZdsrBv3x3bAQ/edit?resourcekey#gid=1321652304"",""Prop"&amp;"!$Y$1:$AI""),11,0),iferror(vlookup(B60,importrange(""https://docs.google.com/spreadsheets/d/1p53T2AuvvIqhP7Nf-bo3Uhj8cbKYRPpZdsrBv3x3bAQ/edit?resourcekey#gid=1321652304"",""Prop!$AJ$1:$AT""),11,0),iferror(vlookup(B60,importrange(""https://docs.google.com/"&amp;"spreadsheets/d/1p53T2AuvvIqhP7Nf-bo3Uhj8cbKYRPpZdsrBv3x3bAQ/edit?resourcekey#gid=1321652304"",""Prop!$AU$1:$BE""),11,0),iferror(vlookup(B60,importrange(""https://docs.google.com/spreadsheets/d/1p53T2AuvvIqhP7Nf-bo3Uhj8cbKYRPpZdsrBv3x3bAQ/edit?resourcekey#"&amp;"gid=1321652304"",""Prop!$BF$1:$BP""),11,0),iferror(vlookup(B60,importrange(""https://docs.google.com/spreadsheets/d/1p53T2AuvvIqhP7Nf-bo3Uhj8cbKYRPpZdsrBv3x3bAQ/edit?resourcekey#gid=1321652304"",""Prop!$BQ$1:$CA""),11,0),iferror(vlookup(B60,importrange("""&amp;"https://docs.google.com/spreadsheets/d/1p53T2AuvvIqhP7Nf-bo3Uhj8cbKYRPpZdsrBv3x3bAQ/edit?resourcekey#gid=1321652304"",""Prop!$CB$1:$CL""),11,0),iferror(vlookup(B60,importrange(""https://docs.google.com/spreadsheets/d/1p53T2AuvvIqhP7Nf-bo3Uhj8cbKYRPpZdsrBv"&amp;"3x3bAQ/edit?resourcekey#gid=1321652304"",""Prop!$CM$1:$CX""),11,0),iferror(vlookup(B60,importrange(""https://docs.google.com/spreadsheets/d/1p53T2AuvvIqhP7Nf-bo3Uhj8cbKYRPpZdsrBv3x3bAQ/edit?resourcekey#gid=1321652304"",""Prop!$CY$1:$DI""),11,0)))))))))))"),"https://drive.google.com/open?id=1XatlOqIi2EygtjnVnUysK1uBiTaTSyx9")</f>
        <v>https://drive.google.com/open?id=1XatlOqIi2EygtjnVnUysK1uBiTaTSyx9</v>
      </c>
      <c r="R60" s="88" t="s">
        <v>1101</v>
      </c>
      <c r="S60" s="20" t="str">
        <f ca="1">IFERROR(__xludf.DUMMYFUNCTION("IFERROR(vlookup(B60,IMPORTRANGE(""https://docs.google.com/spreadsheets/d/1g_jfYYK_KeipEDNDUgqgrsxK94XiocfNQIcP-v1QVhI/edit?resourcekey#gid=233272945"",""Nilai!B:CT""),57,0),"" "")"),"lihat pdf")</f>
        <v>lihat pdf</v>
      </c>
      <c r="T60" s="20" t="str">
        <f ca="1">IFERROR(__xludf.DUMMYFUNCTION("IFERROR(vlookup(B60,IMPORTRANGE(""https://docs.google.com/spreadsheets/d/1g_jfYYK_KeipEDNDUgqgrsxK94XiocfNQIcP-v1QVhI/edit?resourcekey#gid=233272945"",""Nilai!B:CT""),97,0),"" "")"),"LAYAK UPLOAD KE SIMBELMAWA DENGAN REVISI")</f>
        <v>LAYAK UPLOAD KE SIMBELMAWA DENGAN REVISI</v>
      </c>
      <c r="U60" s="36" t="s">
        <v>825</v>
      </c>
      <c r="V60" s="85" t="s">
        <v>1102</v>
      </c>
      <c r="W60" s="17" t="s">
        <v>1136</v>
      </c>
      <c r="X60" s="34" t="s">
        <v>949</v>
      </c>
    </row>
    <row r="61" spans="1:24" ht="69">
      <c r="A61" s="15">
        <v>59</v>
      </c>
      <c r="B61" s="15">
        <f ca="1">IFERROR(__xludf.DUMMYFUNCTION("""COMPUTED_VALUE"""),3339)</f>
        <v>3339</v>
      </c>
      <c r="C61" s="16" t="str">
        <f ca="1">IFERROR(__xludf.DUMMYFUNCTION("""COMPUTED_VALUE"""),"Wafiq Azhar Rizaldi")</f>
        <v>Wafiq Azhar Rizaldi</v>
      </c>
      <c r="D61" s="16" t="str">
        <f ca="1">IFERROR(__xludf.DUMMYFUNCTION("""COMPUTED_VALUE"""),"02511940000005")</f>
        <v>02511940000005</v>
      </c>
      <c r="E61" s="16" t="str">
        <f ca="1">IFERROR(__xludf.DUMMYFUNCTION("""COMPUTED_VALUE"""),"Departemen Teknik Material dan Metalurgi")</f>
        <v>Departemen Teknik Material dan Metalurgi</v>
      </c>
      <c r="F61" s="16" t="str">
        <f ca="1">IFERROR(__xludf.DUMMYFUNCTION("""COMPUTED_VALUE"""),"Rekayasa Permukaan Tip Nose Cone dengan Radome Material pada Roket Sonde 2 Tingkat")</f>
        <v>Rekayasa Permukaan Tip Nose Cone dengan Radome Material pada Roket Sonde 2 Tingkat</v>
      </c>
      <c r="G61" s="16" t="str">
        <f ca="1">IFERROR(__xludf.DUMMYFUNCTION("""COMPUTED_VALUE"""),"Dr. Widyastuti, S.Si., M.Si.")</f>
        <v>Dr. Widyastuti, S.Si., M.Si.</v>
      </c>
      <c r="H61" s="16" t="str">
        <f ca="1">IFERROR(__xludf.DUMMYFUNCTION("""COMPUTED_VALUE"""),"Dr.-Ing. Doty Dewi Risanti, S.T., M.T.")</f>
        <v>Dr.-Ing. Doty Dewi Risanti, S.T., M.T.</v>
      </c>
      <c r="I61" s="16" t="str">
        <f ca="1">IFERROR(__xludf.DUMMYFUNCTION("""COMPUTED_VALUE"""),"Mahardika F. Rois, S.T, M.T")</f>
        <v>Mahardika F. Rois, S.T, M.T</v>
      </c>
      <c r="J61" s="16"/>
      <c r="K61" s="17" t="s">
        <v>1137</v>
      </c>
      <c r="L61" s="17" t="s">
        <v>1138</v>
      </c>
      <c r="M61" s="19" t="b">
        <v>0</v>
      </c>
      <c r="N61" s="19" t="b">
        <v>1</v>
      </c>
      <c r="O61" s="1" t="s">
        <v>1135</v>
      </c>
      <c r="P61" s="7" t="str">
        <f ca="1">IFERROR(__xludf.DUMMYFUNCTION("iferror(vlookup(B61,importrange(""https://docs.google.com/spreadsheets/d/1boHyJQ4e2FU0QG8MHwEi6qjX4hvZWVCHcFfXjq7bbMc/edit?resourcekey#gid=923248883"",""Prop!$C$1:$M""),11,0),IFERROR(vlookup(B61,importrange(""https://docs.google.com/spreadsheets/d/1boHyJQ"&amp;"4e2FU0QG8MHwEi6qjX4hvZWVCHcFfXjq7bbMc/edit?resourcekey#gid=923248883"",""Prop!$N$1:$X""),11,0),iferror(vlookup(B61,importrange(""https://docs.google.com/spreadsheets/d/1boHyJQ4e2FU0QG8MHwEi6qjX4hvZWVCHcFfXjq7bbMc/edit?resourcekey#gid=923248883"",""Prop!$Y"&amp;"$1:$AI""),11,0),iferror(vlookup(B61,importrange(""https://docs.google.com/spreadsheets/d/1boHyJQ4e2FU0QG8MHwEi6qjX4hvZWVCHcFfXjq7bbMc/edit?resourcekey#gid=923248883"",""Prop!$AJ$1:$AT""),11,0),iferror(vlookup(B61,importrange(""https://docs.google.com/spre"&amp;"adsheets/d/1boHyJQ4e2FU0QG8MHwEi6qjX4hvZWVCHcFfXjq7bbMc/edit?resourcekey#gid=923248883"",""Prop!$AU$1:$BE""),11,0),iferror(vlookup(B61,importrange(""https://docs.google.com/spreadsheets/d/1boHyJQ4e2FU0QG8MHwEi6qjX4hvZWVCHcFfXjq7bbMc/edit?resourcekey#gid=9"&amp;"23248883"",""Prop!$BF$1:$BP""),11,0),iferror(vlookup(B61,importrange(""https://docs.google.com/spreadsheets/d/1boHyJQ4e2FU0QG8MHwEi6qjX4hvZWVCHcFfXjq7bbMc/edit?resourcekey#gid=923248883"",""Prop!$BQ$1:$CA""),11,0),iferror(vlookup(B61,importrange(""https:/"&amp;"/docs.google.com/spreadsheets/d/1boHyJQ4e2FU0QG8MHwEi6qjX4hvZWVCHcFfXjq7bbMc/edit?resourcekey#gid=923248883"",""Prop!$CB$1:$CL""),11,0),iferror(vlookup(B61,importrange(""https://docs.google.com/spreadsheets/d/1boHyJQ4e2FU0QG8MHwEi6qjX4hvZWVCHcFfXjq7bbMc/e"&amp;"dit?resourcekey#gid=923248883"",""Prop!$CM$1:$CX""),12,0),iferror(vlookup(B61,importrange(""https://docs.google.com/spreadsheets/d/1boHyJQ4e2FU0QG8MHwEi6qjX4hvZWVCHcFfXjq7bbMc/edit?resourcekey#gid=923248883"",""Prop!$CV$1:$DI""),11,0)))))))))))"),"https://drive.google.com/open?id=1GlVioi0Ckk4m4qZeglLK-jSbC7c3mIe3")</f>
        <v>https://drive.google.com/open?id=1GlVioi0Ckk4m4qZeglLK-jSbC7c3mIe3</v>
      </c>
      <c r="Q61" s="7" t="str">
        <f ca="1">IFERROR(__xludf.DUMMYFUNCTION("iferror(vlookup(B61,importrange(""https://docs.google.com/spreadsheets/d/1p53T2AuvvIqhP7Nf-bo3Uhj8cbKYRPpZdsrBv3x3bAQ/edit?resourcekey#gid=1321652304"",""Prop!$C$1:$M""),11,0),IFERROR(vlookup(B61,importrange(""https://docs.google.com/spreadsheets/d/1p53T2"&amp;"AuvvIqhP7Nf-bo3Uhj8cbKYRPpZdsrBv3x3bAQ/edit?resourcekey#gid=1321652304"",""Prop!$N$1:$X""),11,0),iferror(vlookup(B61,importrange(""https://docs.google.com/spreadsheets/d/1p53T2AuvvIqhP7Nf-bo3Uhj8cbKYRPpZdsrBv3x3bAQ/edit?resourcekey#gid=1321652304"",""Prop"&amp;"!$Y$1:$AI""),11,0),iferror(vlookup(B61,importrange(""https://docs.google.com/spreadsheets/d/1p53T2AuvvIqhP7Nf-bo3Uhj8cbKYRPpZdsrBv3x3bAQ/edit?resourcekey#gid=1321652304"",""Prop!$AJ$1:$AT""),11,0),iferror(vlookup(B61,importrange(""https://docs.google.com/"&amp;"spreadsheets/d/1p53T2AuvvIqhP7Nf-bo3Uhj8cbKYRPpZdsrBv3x3bAQ/edit?resourcekey#gid=1321652304"",""Prop!$AU$1:$BE""),11,0),iferror(vlookup(B61,importrange(""https://docs.google.com/spreadsheets/d/1p53T2AuvvIqhP7Nf-bo3Uhj8cbKYRPpZdsrBv3x3bAQ/edit?resourcekey#"&amp;"gid=1321652304"",""Prop!$BF$1:$BP""),11,0),iferror(vlookup(B61,importrange(""https://docs.google.com/spreadsheets/d/1p53T2AuvvIqhP7Nf-bo3Uhj8cbKYRPpZdsrBv3x3bAQ/edit?resourcekey#gid=1321652304"",""Prop!$BQ$1:$CA""),11,0),iferror(vlookup(B61,importrange("""&amp;"https://docs.google.com/spreadsheets/d/1p53T2AuvvIqhP7Nf-bo3Uhj8cbKYRPpZdsrBv3x3bAQ/edit?resourcekey#gid=1321652304"",""Prop!$CB$1:$CL""),11,0),iferror(vlookup(B61,importrange(""https://docs.google.com/spreadsheets/d/1p53T2AuvvIqhP7Nf-bo3Uhj8cbKYRPpZdsrBv"&amp;"3x3bAQ/edit?resourcekey#gid=1321652304"",""Prop!$CM$1:$CX""),11,0),iferror(vlookup(B61,importrange(""https://docs.google.com/spreadsheets/d/1p53T2AuvvIqhP7Nf-bo3Uhj8cbKYRPpZdsrBv3x3bAQ/edit?resourcekey#gid=1321652304"",""Prop!$CY$1:$DI""),11,0)))))))))))"),"https://drive.google.com/open?id=1xFWPBJuyrtXYHSI6aZUsxUxT-Br_Pcd_")</f>
        <v>https://drive.google.com/open?id=1xFWPBJuyrtXYHSI6aZUsxUxT-Br_Pcd_</v>
      </c>
      <c r="R61" s="88" t="s">
        <v>1101</v>
      </c>
      <c r="S61" s="20" t="str">
        <f ca="1">IFERROR(__xludf.DUMMYFUNCTION("IFERROR(vlookup(B61,IMPORTRANGE(""https://docs.google.com/spreadsheets/d/1g_jfYYK_KeipEDNDUgqgrsxK94XiocfNQIcP-v1QVhI/edit?resourcekey#gid=233272945"",""Nilai!B:CT""),57,0),"" "")"),"lihat pdf")</f>
        <v>lihat pdf</v>
      </c>
      <c r="T61" s="20" t="str">
        <f ca="1">IFERROR(__xludf.DUMMYFUNCTION("IFERROR(vlookup(B61,IMPORTRANGE(""https://docs.google.com/spreadsheets/d/1g_jfYYK_KeipEDNDUgqgrsxK94XiocfNQIcP-v1QVhI/edit?resourcekey#gid=233272945"",""Nilai!B:CT""),97,0),"" "")"),"LAYAK UPLOAD KE SIMBELMAWA DENGAN REVISI")</f>
        <v>LAYAK UPLOAD KE SIMBELMAWA DENGAN REVISI</v>
      </c>
      <c r="U61" s="36" t="s">
        <v>825</v>
      </c>
      <c r="V61" s="85" t="s">
        <v>1102</v>
      </c>
      <c r="W61" s="17" t="s">
        <v>1140</v>
      </c>
      <c r="X61" s="34" t="s">
        <v>949</v>
      </c>
    </row>
    <row r="62" spans="1:24" ht="69">
      <c r="A62" s="15">
        <v>60</v>
      </c>
      <c r="B62" s="15">
        <f ca="1">IFERROR(__xludf.DUMMYFUNCTION("""COMPUTED_VALUE"""),3275)</f>
        <v>3275</v>
      </c>
      <c r="C62" s="16" t="str">
        <f ca="1">IFERROR(__xludf.DUMMYFUNCTION("""COMPUTED_VALUE"""),"ARWINDA ARIBAH CAHYANI")</f>
        <v>ARWINDA ARIBAH CAHYANI</v>
      </c>
      <c r="D62" s="16" t="str">
        <f ca="1">IFERROR(__xludf.DUMMYFUNCTION("""COMPUTED_VALUE"""),"10111810013003")</f>
        <v>10111810013003</v>
      </c>
      <c r="E62" s="16" t="str">
        <f ca="1">IFERROR(__xludf.DUMMYFUNCTION("""COMPUTED_VALUE"""),"Departemen Teknik Infrastruktur Sipil")</f>
        <v>Departemen Teknik Infrastruktur Sipil</v>
      </c>
      <c r="F62" s="16" t="str">
        <f ca="1">IFERROR(__xludf.DUMMYFUNCTION("""COMPUTED_VALUE"""),"SCGC : Studi pengaruh variasi Superplasicizer terhadap Self-Compacting Geopolymer Concrete mutu tinggi berbasis High Calcium Fly Ash")</f>
        <v>SCGC : Studi pengaruh variasi Superplasicizer terhadap Self-Compacting Geopolymer Concrete mutu tinggi berbasis High Calcium Fly Ash</v>
      </c>
      <c r="G62" s="16" t="str">
        <f ca="1">IFERROR(__xludf.DUMMYFUNCTION("""COMPUTED_VALUE"""),"Dr.Eng. Yuyun Tajunnisa, S.T., M.T.")</f>
        <v>Dr.Eng. Yuyun Tajunnisa, S.T., M.T.</v>
      </c>
      <c r="H62" s="16" t="str">
        <f ca="1">IFERROR(__xludf.DUMMYFUNCTION("""COMPUTED_VALUE"""),"Dr.Eng. Siti Machmudah, S.T., M.Eng.")</f>
        <v>Dr.Eng. Siti Machmudah, S.T., M.Eng.</v>
      </c>
      <c r="I62" s="16" t="str">
        <f ca="1">IFERROR(__xludf.DUMMYFUNCTION("""COMPUTED_VALUE"""),"Dr. Candra Irawan, S.T., M.T.")</f>
        <v>Dr. Candra Irawan, S.T., M.T.</v>
      </c>
      <c r="J62" s="16"/>
      <c r="K62" s="17" t="s">
        <v>1137</v>
      </c>
      <c r="L62" s="17" t="s">
        <v>1138</v>
      </c>
      <c r="M62" s="19" t="b">
        <v>1</v>
      </c>
      <c r="N62" s="19" t="b">
        <v>1</v>
      </c>
      <c r="O62" s="1" t="s">
        <v>1113</v>
      </c>
      <c r="P62" s="7" t="str">
        <f ca="1">IFERROR(__xludf.DUMMYFUNCTION("iferror(vlookup(B62,importrange(""https://docs.google.com/spreadsheets/d/1boHyJQ4e2FU0QG8MHwEi6qjX4hvZWVCHcFfXjq7bbMc/edit?resourcekey#gid=923248883"",""Prop!$C$1:$M""),11,0),IFERROR(vlookup(B62,importrange(""https://docs.google.com/spreadsheets/d/1boHyJQ"&amp;"4e2FU0QG8MHwEi6qjX4hvZWVCHcFfXjq7bbMc/edit?resourcekey#gid=923248883"",""Prop!$N$1:$X""),11,0),iferror(vlookup(B62,importrange(""https://docs.google.com/spreadsheets/d/1boHyJQ4e2FU0QG8MHwEi6qjX4hvZWVCHcFfXjq7bbMc/edit?resourcekey#gid=923248883"",""Prop!$Y"&amp;"$1:$AI""),11,0),iferror(vlookup(B62,importrange(""https://docs.google.com/spreadsheets/d/1boHyJQ4e2FU0QG8MHwEi6qjX4hvZWVCHcFfXjq7bbMc/edit?resourcekey#gid=923248883"",""Prop!$AJ$1:$AT""),11,0),iferror(vlookup(B62,importrange(""https://docs.google.com/spre"&amp;"adsheets/d/1boHyJQ4e2FU0QG8MHwEi6qjX4hvZWVCHcFfXjq7bbMc/edit?resourcekey#gid=923248883"",""Prop!$AU$1:$BE""),11,0),iferror(vlookup(B62,importrange(""https://docs.google.com/spreadsheets/d/1boHyJQ4e2FU0QG8MHwEi6qjX4hvZWVCHcFfXjq7bbMc/edit?resourcekey#gid=9"&amp;"23248883"",""Prop!$BF$1:$BP""),11,0),iferror(vlookup(B62,importrange(""https://docs.google.com/spreadsheets/d/1boHyJQ4e2FU0QG8MHwEi6qjX4hvZWVCHcFfXjq7bbMc/edit?resourcekey#gid=923248883"",""Prop!$BQ$1:$CA""),11,0),iferror(vlookup(B62,importrange(""https:/"&amp;"/docs.google.com/spreadsheets/d/1boHyJQ4e2FU0QG8MHwEi6qjX4hvZWVCHcFfXjq7bbMc/edit?resourcekey#gid=923248883"",""Prop!$CB$1:$CL""),11,0),iferror(vlookup(B62,importrange(""https://docs.google.com/spreadsheets/d/1boHyJQ4e2FU0QG8MHwEi6qjX4hvZWVCHcFfXjq7bbMc/e"&amp;"dit?resourcekey#gid=923248883"",""Prop!$CM$1:$CX""),12,0),iferror(vlookup(B62,importrange(""https://docs.google.com/spreadsheets/d/1boHyJQ4e2FU0QG8MHwEi6qjX4hvZWVCHcFfXjq7bbMc/edit?resourcekey#gid=923248883"",""Prop!$CV$1:$DI""),11,0)))))))))))"),"https://drive.google.com/open?id=1JI0aqNe0qaamRyWbRxam1DX13h4NOjfB")</f>
        <v>https://drive.google.com/open?id=1JI0aqNe0qaamRyWbRxam1DX13h4NOjfB</v>
      </c>
      <c r="Q62" s="7" t="str">
        <f ca="1">IFERROR(__xludf.DUMMYFUNCTION("iferror(vlookup(B62,importrange(""https://docs.google.com/spreadsheets/d/1p53T2AuvvIqhP7Nf-bo3Uhj8cbKYRPpZdsrBv3x3bAQ/edit?resourcekey#gid=1321652304"",""Prop!$C$1:$M""),11,0),IFERROR(vlookup(B62,importrange(""https://docs.google.com/spreadsheets/d/1p53T2"&amp;"AuvvIqhP7Nf-bo3Uhj8cbKYRPpZdsrBv3x3bAQ/edit?resourcekey#gid=1321652304"",""Prop!$N$1:$X""),11,0),iferror(vlookup(B62,importrange(""https://docs.google.com/spreadsheets/d/1p53T2AuvvIqhP7Nf-bo3Uhj8cbKYRPpZdsrBv3x3bAQ/edit?resourcekey#gid=1321652304"",""Prop"&amp;"!$Y$1:$AI""),11,0),iferror(vlookup(B62,importrange(""https://docs.google.com/spreadsheets/d/1p53T2AuvvIqhP7Nf-bo3Uhj8cbKYRPpZdsrBv3x3bAQ/edit?resourcekey#gid=1321652304"",""Prop!$AJ$1:$AT""),11,0),iferror(vlookup(B62,importrange(""https://docs.google.com/"&amp;"spreadsheets/d/1p53T2AuvvIqhP7Nf-bo3Uhj8cbKYRPpZdsrBv3x3bAQ/edit?resourcekey#gid=1321652304"",""Prop!$AU$1:$BE""),11,0),iferror(vlookup(B62,importrange(""https://docs.google.com/spreadsheets/d/1p53T2AuvvIqhP7Nf-bo3Uhj8cbKYRPpZdsrBv3x3bAQ/edit?resourcekey#"&amp;"gid=1321652304"",""Prop!$BF$1:$BP""),11,0),iferror(vlookup(B62,importrange(""https://docs.google.com/spreadsheets/d/1p53T2AuvvIqhP7Nf-bo3Uhj8cbKYRPpZdsrBv3x3bAQ/edit?resourcekey#gid=1321652304"",""Prop!$BQ$1:$CA""),11,0),iferror(vlookup(B62,importrange("""&amp;"https://docs.google.com/spreadsheets/d/1p53T2AuvvIqhP7Nf-bo3Uhj8cbKYRPpZdsrBv3x3bAQ/edit?resourcekey#gid=1321652304"",""Prop!$CB$1:$CL""),11,0),iferror(vlookup(B62,importrange(""https://docs.google.com/spreadsheets/d/1p53T2AuvvIqhP7Nf-bo3Uhj8cbKYRPpZdsrBv"&amp;"3x3bAQ/edit?resourcekey#gid=1321652304"",""Prop!$CM$1:$CX""),11,0),iferror(vlookup(B62,importrange(""https://docs.google.com/spreadsheets/d/1p53T2AuvvIqhP7Nf-bo3Uhj8cbKYRPpZdsrBv3x3bAQ/edit?resourcekey#gid=1321652304"",""Prop!$CY$1:$DI""),11,0)))))))))))"),"https://drive.google.com/open?id=19_sSPyJTwSHKj5a_SPdZSljGaUPt9JS-")</f>
        <v>https://drive.google.com/open?id=19_sSPyJTwSHKj5a_SPdZSljGaUPt9JS-</v>
      </c>
      <c r="R62" s="88" t="s">
        <v>1101</v>
      </c>
      <c r="S62" s="20" t="str">
        <f ca="1">IFERROR(__xludf.DUMMYFUNCTION("IFERROR(vlookup(B62,IMPORTRANGE(""https://docs.google.com/spreadsheets/d/1g_jfYYK_KeipEDNDUgqgrsxK94XiocfNQIcP-v1QVhI/edit?resourcekey#gid=233272945"",""Nilai!B:CT""),57,0),"" "")"),"Literatur pada bab 2 lebih dominan standar daripada jurnal, jumlah jurnal sebaiknya ditambah, penulisan daftar pustaka perlu diperbaiki
")</f>
        <v xml:space="preserve">Literatur pada bab 2 lebih dominan standar daripada jurnal, jumlah jurnal sebaiknya ditambah, penulisan daftar pustaka perlu diperbaiki
</v>
      </c>
      <c r="T62" s="20" t="str">
        <f ca="1">IFERROR(__xludf.DUMMYFUNCTION("IFERROR(vlookup(B62,IMPORTRANGE(""https://docs.google.com/spreadsheets/d/1g_jfYYK_KeipEDNDUgqgrsxK94XiocfNQIcP-v1QVhI/edit?resourcekey#gid=233272945"",""Nilai!B:CT""),97,0),"" "")"),"LAYAK UPLOAD KE SIMBELMAWA DENGAN REVISI")</f>
        <v>LAYAK UPLOAD KE SIMBELMAWA DENGAN REVISI</v>
      </c>
      <c r="U62" s="36" t="s">
        <v>825</v>
      </c>
      <c r="V62" s="85" t="s">
        <v>1102</v>
      </c>
      <c r="W62" s="17" t="s">
        <v>1140</v>
      </c>
      <c r="X62" s="34" t="s">
        <v>949</v>
      </c>
    </row>
    <row r="63" spans="1:24" ht="69">
      <c r="A63" s="15">
        <v>61</v>
      </c>
      <c r="B63" s="15">
        <f ca="1">IFERROR(__xludf.DUMMYFUNCTION("""COMPUTED_VALUE"""),2027)</f>
        <v>2027</v>
      </c>
      <c r="C63" s="16" t="str">
        <f ca="1">IFERROR(__xludf.DUMMYFUNCTION("""COMPUTED_VALUE"""),"PRADNYA PARAMITHA")</f>
        <v>PRADNYA PARAMITHA</v>
      </c>
      <c r="D63" s="16" t="str">
        <f ca="1">IFERROR(__xludf.DUMMYFUNCTION("""COMPUTED_VALUE"""),"2041201096")</f>
        <v>2041201096</v>
      </c>
      <c r="E63" s="16" t="str">
        <f ca="1">IFERROR(__xludf.DUMMYFUNCTION("""COMPUTED_VALUE"""),"Departemen Teknik Kimia Industri")</f>
        <v>Departemen Teknik Kimia Industri</v>
      </c>
      <c r="F63" s="16" t="str">
        <f ca="1">IFERROR(__xludf.DUMMYFUNCTION("""COMPUTED_VALUE"""),"Pengaruh Penambahan Hidroksiapatit (HA) Terhadap Wound Dressing Berbasis Selulosa Asetat-Kitosan Dari Kulit Singkong")</f>
        <v>Pengaruh Penambahan Hidroksiapatit (HA) Terhadap Wound Dressing Berbasis Selulosa Asetat-Kitosan Dari Kulit Singkong</v>
      </c>
      <c r="G63" s="16" t="str">
        <f ca="1">IFERROR(__xludf.DUMMYFUNCTION("""COMPUTED_VALUE"""),"Dr. Lailatul Qomariyah, S.T.")</f>
        <v>Dr. Lailatul Qomariyah, S.T.</v>
      </c>
      <c r="H63" s="16" t="str">
        <f ca="1">IFERROR(__xludf.DUMMYFUNCTION("""COMPUTED_VALUE"""),"Dr.-Ing. Doty Dewi Risanti, S.T., M.T.")</f>
        <v>Dr.-Ing. Doty Dewi Risanti, S.T., M.T.</v>
      </c>
      <c r="I63" s="16" t="str">
        <f ca="1">IFERROR(__xludf.DUMMYFUNCTION("""COMPUTED_VALUE"""),"Annas Wiguno, S.T., M.T.")</f>
        <v>Annas Wiguno, S.T., M.T.</v>
      </c>
      <c r="J63" s="16"/>
      <c r="K63" s="17" t="s">
        <v>1141</v>
      </c>
      <c r="L63" s="17" t="s">
        <v>1142</v>
      </c>
      <c r="M63" s="19" t="b">
        <v>1</v>
      </c>
      <c r="N63" s="19" t="b">
        <v>1</v>
      </c>
      <c r="O63" s="1" t="s">
        <v>1135</v>
      </c>
      <c r="P63" s="7" t="str">
        <f ca="1">IFERROR(__xludf.DUMMYFUNCTION("iferror(vlookup(B63,importrange(""https://docs.google.com/spreadsheets/d/1boHyJQ4e2FU0QG8MHwEi6qjX4hvZWVCHcFfXjq7bbMc/edit?resourcekey#gid=923248883"",""Prop!$C$1:$M""),11,0),IFERROR(vlookup(B63,importrange(""https://docs.google.com/spreadsheets/d/1boHyJQ"&amp;"4e2FU0QG8MHwEi6qjX4hvZWVCHcFfXjq7bbMc/edit?resourcekey#gid=923248883"",""Prop!$N$1:$X""),11,0),iferror(vlookup(B63,importrange(""https://docs.google.com/spreadsheets/d/1boHyJQ4e2FU0QG8MHwEi6qjX4hvZWVCHcFfXjq7bbMc/edit?resourcekey#gid=923248883"",""Prop!$Y"&amp;"$1:$AI""),11,0),iferror(vlookup(B63,importrange(""https://docs.google.com/spreadsheets/d/1boHyJQ4e2FU0QG8MHwEi6qjX4hvZWVCHcFfXjq7bbMc/edit?resourcekey#gid=923248883"",""Prop!$AJ$1:$AT""),11,0),iferror(vlookup(B63,importrange(""https://docs.google.com/spre"&amp;"adsheets/d/1boHyJQ4e2FU0QG8MHwEi6qjX4hvZWVCHcFfXjq7bbMc/edit?resourcekey#gid=923248883"",""Prop!$AU$1:$BE""),11,0),iferror(vlookup(B63,importrange(""https://docs.google.com/spreadsheets/d/1boHyJQ4e2FU0QG8MHwEi6qjX4hvZWVCHcFfXjq7bbMc/edit?resourcekey#gid=9"&amp;"23248883"",""Prop!$BF$1:$BP""),11,0),iferror(vlookup(B63,importrange(""https://docs.google.com/spreadsheets/d/1boHyJQ4e2FU0QG8MHwEi6qjX4hvZWVCHcFfXjq7bbMc/edit?resourcekey#gid=923248883"",""Prop!$BQ$1:$CA""),11,0),iferror(vlookup(B63,importrange(""https:/"&amp;"/docs.google.com/spreadsheets/d/1boHyJQ4e2FU0QG8MHwEi6qjX4hvZWVCHcFfXjq7bbMc/edit?resourcekey#gid=923248883"",""Prop!$CB$1:$CL""),11,0),iferror(vlookup(B63,importrange(""https://docs.google.com/spreadsheets/d/1boHyJQ4e2FU0QG8MHwEi6qjX4hvZWVCHcFfXjq7bbMc/e"&amp;"dit?resourcekey#gid=923248883"",""Prop!$CM$1:$CX""),12,0),iferror(vlookup(B63,importrange(""https://docs.google.com/spreadsheets/d/1boHyJQ4e2FU0QG8MHwEi6qjX4hvZWVCHcFfXjq7bbMc/edit?resourcekey#gid=923248883"",""Prop!$CV$1:$DI""),11,0)))))))))))"),"https://drive.google.com/open?id=1oIb-_D9nEJ7Kx2lEO3jwKv46FTWCenqC")</f>
        <v>https://drive.google.com/open?id=1oIb-_D9nEJ7Kx2lEO3jwKv46FTWCenqC</v>
      </c>
      <c r="Q63" s="7" t="str">
        <f ca="1">IFERROR(__xludf.DUMMYFUNCTION("iferror(vlookup(B63,importrange(""https://docs.google.com/spreadsheets/d/1p53T2AuvvIqhP7Nf-bo3Uhj8cbKYRPpZdsrBv3x3bAQ/edit?resourcekey#gid=1321652304"",""Prop!$C$1:$M""),11,0),IFERROR(vlookup(B63,importrange(""https://docs.google.com/spreadsheets/d/1p53T2"&amp;"AuvvIqhP7Nf-bo3Uhj8cbKYRPpZdsrBv3x3bAQ/edit?resourcekey#gid=1321652304"",""Prop!$N$1:$X""),11,0),iferror(vlookup(B63,importrange(""https://docs.google.com/spreadsheets/d/1p53T2AuvvIqhP7Nf-bo3Uhj8cbKYRPpZdsrBv3x3bAQ/edit?resourcekey#gid=1321652304"",""Prop"&amp;"!$Y$1:$AI""),11,0),iferror(vlookup(B63,importrange(""https://docs.google.com/spreadsheets/d/1p53T2AuvvIqhP7Nf-bo3Uhj8cbKYRPpZdsrBv3x3bAQ/edit?resourcekey#gid=1321652304"",""Prop!$AJ$1:$AT""),11,0),iferror(vlookup(B63,importrange(""https://docs.google.com/"&amp;"spreadsheets/d/1p53T2AuvvIqhP7Nf-bo3Uhj8cbKYRPpZdsrBv3x3bAQ/edit?resourcekey#gid=1321652304"",""Prop!$AU$1:$BE""),11,0),iferror(vlookup(B63,importrange(""https://docs.google.com/spreadsheets/d/1p53T2AuvvIqhP7Nf-bo3Uhj8cbKYRPpZdsrBv3x3bAQ/edit?resourcekey#"&amp;"gid=1321652304"",""Prop!$BF$1:$BP""),11,0),iferror(vlookup(B63,importrange(""https://docs.google.com/spreadsheets/d/1p53T2AuvvIqhP7Nf-bo3Uhj8cbKYRPpZdsrBv3x3bAQ/edit?resourcekey#gid=1321652304"",""Prop!$BQ$1:$CA""),11,0),iferror(vlookup(B63,importrange("""&amp;"https://docs.google.com/spreadsheets/d/1p53T2AuvvIqhP7Nf-bo3Uhj8cbKYRPpZdsrBv3x3bAQ/edit?resourcekey#gid=1321652304"",""Prop!$CB$1:$CL""),11,0),iferror(vlookup(B63,importrange(""https://docs.google.com/spreadsheets/d/1p53T2AuvvIqhP7Nf-bo3Uhj8cbKYRPpZdsrBv"&amp;"3x3bAQ/edit?resourcekey#gid=1321652304"",""Prop!$CM$1:$CX""),11,0),iferror(vlookup(B63,importrange(""https://docs.google.com/spreadsheets/d/1p53T2AuvvIqhP7Nf-bo3Uhj8cbKYRPpZdsrBv3x3bAQ/edit?resourcekey#gid=1321652304"",""Prop!$CY$1:$DI""),11,0)))))))))))"),"https://drive.google.com/open?id=1bphzhwgyiuU04-9OoeEc2ipECpsS8Trt")</f>
        <v>https://drive.google.com/open?id=1bphzhwgyiuU04-9OoeEc2ipECpsS8Trt</v>
      </c>
      <c r="R63" s="88" t="s">
        <v>1101</v>
      </c>
      <c r="S63" s="20" t="str">
        <f ca="1">IFERROR(__xludf.DUMMYFUNCTION("IFERROR(vlookup(B63,IMPORTRANGE(""https://docs.google.com/spreadsheets/d/1g_jfYYK_KeipEDNDUgqgrsxK94XiocfNQIcP-v1QVhI/edit?resourcekey#gid=233272945"",""Nilai!B:CT""),57,0),"" "")"),"Penelitian lebih fokus pada karakterisasi, variabel penelitian cuma 1")</f>
        <v>Penelitian lebih fokus pada karakterisasi, variabel penelitian cuma 1</v>
      </c>
      <c r="T63" s="20" t="str">
        <f ca="1">IFERROR(__xludf.DUMMYFUNCTION("IFERROR(vlookup(B63,IMPORTRANGE(""https://docs.google.com/spreadsheets/d/1g_jfYYK_KeipEDNDUgqgrsxK94XiocfNQIcP-v1QVhI/edit?resourcekey#gid=233272945"",""Nilai!B:CT""),97,0),"" "")"),"LAYAK UPLOAD KE SIMBELMAWA DENGAN REVISI")</f>
        <v>LAYAK UPLOAD KE SIMBELMAWA DENGAN REVISI</v>
      </c>
      <c r="U63" s="36" t="s">
        <v>825</v>
      </c>
      <c r="V63" s="85" t="s">
        <v>1102</v>
      </c>
      <c r="W63" s="17" t="s">
        <v>1140</v>
      </c>
      <c r="X63" s="34" t="s">
        <v>949</v>
      </c>
    </row>
    <row r="64" spans="1:24" ht="72">
      <c r="A64" s="15">
        <v>62</v>
      </c>
      <c r="B64" s="15">
        <f ca="1">IFERROR(__xludf.DUMMYFUNCTION("""COMPUTED_VALUE"""),2252)</f>
        <v>2252</v>
      </c>
      <c r="C64" s="16" t="str">
        <f ca="1">IFERROR(__xludf.DUMMYFUNCTION("""COMPUTED_VALUE"""),"FITRIYAH SARASWATI")</f>
        <v>FITRIYAH SARASWATI</v>
      </c>
      <c r="D64" s="16" t="str">
        <f ca="1">IFERROR(__xludf.DUMMYFUNCTION("""COMPUTED_VALUE"""),"5011201093")</f>
        <v>5011201093</v>
      </c>
      <c r="E64" s="16" t="str">
        <f ca="1">IFERROR(__xludf.DUMMYFUNCTION("""COMPUTED_VALUE"""),"Departemen Teknik Material dan Metalurgi")</f>
        <v>Departemen Teknik Material dan Metalurgi</v>
      </c>
      <c r="F64" s="16" t="str">
        <f ca="1">IFERROR(__xludf.DUMMYFUNCTION("""COMPUTED_VALUE"""),"Sintesis nanofiber selulosa/PVA berbasis limbah sekam padi sebagai filter masker medis dengan penambahan kitin yang antimikroba dan biodagradable
")</f>
        <v xml:space="preserve">Sintesis nanofiber selulosa/PVA berbasis limbah sekam padi sebagai filter masker medis dengan penambahan kitin yang antimikroba dan biodagradable
</v>
      </c>
      <c r="G64" s="16" t="str">
        <f ca="1">IFERROR(__xludf.DUMMYFUNCTION("""COMPUTED_VALUE"""),"Azzah Dyah Pramata, S.T., M.T., M.Eng., Ph.D.")</f>
        <v>Azzah Dyah Pramata, S.T., M.T., M.Eng., Ph.D.</v>
      </c>
      <c r="H64" s="16" t="str">
        <f ca="1">IFERROR(__xludf.DUMMYFUNCTION("""COMPUTED_VALUE"""),"Ahmad Fauzan Adziimaa, S.T., M.Sc.")</f>
        <v>Ahmad Fauzan Adziimaa, S.T., M.Sc.</v>
      </c>
      <c r="I64" s="16" t="str">
        <f ca="1">IFERROR(__xludf.DUMMYFUNCTION("""COMPUTED_VALUE"""),"Mahardika F. Rois, S.T, M.T")</f>
        <v>Mahardika F. Rois, S.T, M.T</v>
      </c>
      <c r="J64" s="16"/>
      <c r="K64" s="17" t="s">
        <v>1141</v>
      </c>
      <c r="L64" s="17" t="s">
        <v>1142</v>
      </c>
      <c r="M64" s="19" t="b">
        <v>1</v>
      </c>
      <c r="N64" s="19" t="b">
        <v>1</v>
      </c>
      <c r="O64" s="1" t="s">
        <v>1143</v>
      </c>
      <c r="P64" s="7" t="str">
        <f ca="1">IFERROR(__xludf.DUMMYFUNCTION("iferror(vlookup(B64,importrange(""https://docs.google.com/spreadsheets/d/1boHyJQ4e2FU0QG8MHwEi6qjX4hvZWVCHcFfXjq7bbMc/edit?resourcekey#gid=923248883"",""Prop!$C$1:$M""),11,0),IFERROR(vlookup(B64,importrange(""https://docs.google.com/spreadsheets/d/1boHyJQ"&amp;"4e2FU0QG8MHwEi6qjX4hvZWVCHcFfXjq7bbMc/edit?resourcekey#gid=923248883"",""Prop!$N$1:$X""),11,0),iferror(vlookup(B64,importrange(""https://docs.google.com/spreadsheets/d/1boHyJQ4e2FU0QG8MHwEi6qjX4hvZWVCHcFfXjq7bbMc/edit?resourcekey#gid=923248883"",""Prop!$Y"&amp;"$1:$AI""),11,0),iferror(vlookup(B64,importrange(""https://docs.google.com/spreadsheets/d/1boHyJQ4e2FU0QG8MHwEi6qjX4hvZWVCHcFfXjq7bbMc/edit?resourcekey#gid=923248883"",""Prop!$AJ$1:$AT""),11,0),iferror(vlookup(B64,importrange(""https://docs.google.com/spre"&amp;"adsheets/d/1boHyJQ4e2FU0QG8MHwEi6qjX4hvZWVCHcFfXjq7bbMc/edit?resourcekey#gid=923248883"",""Prop!$AU$1:$BE""),11,0),iferror(vlookup(B64,importrange(""https://docs.google.com/spreadsheets/d/1boHyJQ4e2FU0QG8MHwEi6qjX4hvZWVCHcFfXjq7bbMc/edit?resourcekey#gid=9"&amp;"23248883"",""Prop!$BF$1:$BP""),11,0),iferror(vlookup(B64,importrange(""https://docs.google.com/spreadsheets/d/1boHyJQ4e2FU0QG8MHwEi6qjX4hvZWVCHcFfXjq7bbMc/edit?resourcekey#gid=923248883"",""Prop!$BQ$1:$CA""),11,0),iferror(vlookup(B64,importrange(""https:/"&amp;"/docs.google.com/spreadsheets/d/1boHyJQ4e2FU0QG8MHwEi6qjX4hvZWVCHcFfXjq7bbMc/edit?resourcekey#gid=923248883"",""Prop!$CB$1:$CL""),11,0),iferror(vlookup(B64,importrange(""https://docs.google.com/spreadsheets/d/1boHyJQ4e2FU0QG8MHwEi6qjX4hvZWVCHcFfXjq7bbMc/e"&amp;"dit?resourcekey#gid=923248883"",""Prop!$CM$1:$CX""),12,0),iferror(vlookup(B64,importrange(""https://docs.google.com/spreadsheets/d/1boHyJQ4e2FU0QG8MHwEi6qjX4hvZWVCHcFfXjq7bbMc/edit?resourcekey#gid=923248883"",""Prop!$CV$1:$DI""),11,0)))))))))))"),"https://drive.google.com/open?id=1PNeES-ql_oxV4N7v8XDWgL-vRVpF6vaW")</f>
        <v>https://drive.google.com/open?id=1PNeES-ql_oxV4N7v8XDWgL-vRVpF6vaW</v>
      </c>
      <c r="Q64" s="7" t="str">
        <f ca="1">IFERROR(__xludf.DUMMYFUNCTION("iferror(vlookup(B64,importrange(""https://docs.google.com/spreadsheets/d/1p53T2AuvvIqhP7Nf-bo3Uhj8cbKYRPpZdsrBv3x3bAQ/edit?resourcekey#gid=1321652304"",""Prop!$C$1:$M""),11,0),IFERROR(vlookup(B64,importrange(""https://docs.google.com/spreadsheets/d/1p53T2"&amp;"AuvvIqhP7Nf-bo3Uhj8cbKYRPpZdsrBv3x3bAQ/edit?resourcekey#gid=1321652304"",""Prop!$N$1:$X""),11,0),iferror(vlookup(B64,importrange(""https://docs.google.com/spreadsheets/d/1p53T2AuvvIqhP7Nf-bo3Uhj8cbKYRPpZdsrBv3x3bAQ/edit?resourcekey#gid=1321652304"",""Prop"&amp;"!$Y$1:$AI""),11,0),iferror(vlookup(B64,importrange(""https://docs.google.com/spreadsheets/d/1p53T2AuvvIqhP7Nf-bo3Uhj8cbKYRPpZdsrBv3x3bAQ/edit?resourcekey#gid=1321652304"",""Prop!$AJ$1:$AT""),11,0),iferror(vlookup(B64,importrange(""https://docs.google.com/"&amp;"spreadsheets/d/1p53T2AuvvIqhP7Nf-bo3Uhj8cbKYRPpZdsrBv3x3bAQ/edit?resourcekey#gid=1321652304"",""Prop!$AU$1:$BE""),11,0),iferror(vlookup(B64,importrange(""https://docs.google.com/spreadsheets/d/1p53T2AuvvIqhP7Nf-bo3Uhj8cbKYRPpZdsrBv3x3bAQ/edit?resourcekey#"&amp;"gid=1321652304"",""Prop!$BF$1:$BP""),11,0),iferror(vlookup(B64,importrange(""https://docs.google.com/spreadsheets/d/1p53T2AuvvIqhP7Nf-bo3Uhj8cbKYRPpZdsrBv3x3bAQ/edit?resourcekey#gid=1321652304"",""Prop!$BQ$1:$CA""),11,0),iferror(vlookup(B64,importrange("""&amp;"https://docs.google.com/spreadsheets/d/1p53T2AuvvIqhP7Nf-bo3Uhj8cbKYRPpZdsrBv3x3bAQ/edit?resourcekey#gid=1321652304"",""Prop!$CB$1:$CL""),11,0),iferror(vlookup(B64,importrange(""https://docs.google.com/spreadsheets/d/1p53T2AuvvIqhP7Nf-bo3Uhj8cbKYRPpZdsrBv"&amp;"3x3bAQ/edit?resourcekey#gid=1321652304"",""Prop!$CM$1:$CX""),11,0),iferror(vlookup(B64,importrange(""https://docs.google.com/spreadsheets/d/1p53T2AuvvIqhP7Nf-bo3Uhj8cbKYRPpZdsrBv3x3bAQ/edit?resourcekey#gid=1321652304"",""Prop!$CY$1:$DI""),11,0)))))))))))"),"https://drive.google.com/open?id=1t6KS9dwWImWWf6LXfG62IiqlKH3MFEQP")</f>
        <v>https://drive.google.com/open?id=1t6KS9dwWImWWf6LXfG62IiqlKH3MFEQP</v>
      </c>
      <c r="R64" s="88" t="s">
        <v>1101</v>
      </c>
      <c r="S64" s="20" t="str">
        <f ca="1">IFERROR(__xludf.DUMMYFUNCTION("IFERROR(vlookup(B64,IMPORTRANGE(""https://docs.google.com/spreadsheets/d/1g_jfYYK_KeipEDNDUgqgrsxK94XiocfNQIcP-v1QVhI/edit?resourcekey#gid=233272945"",""Nilai!B:CT""),57,0),"" "")"),"Latar belakang kurang spesifik, Bab 2 masih dominan dasar teori, metode penelitian masih terbaca hanya 1 variabel, diagram penelitian kurang bisa dibaca penelitian")</f>
        <v>Latar belakang kurang spesifik, Bab 2 masih dominan dasar teori, metode penelitian masih terbaca hanya 1 variabel, diagram penelitian kurang bisa dibaca penelitian</v>
      </c>
      <c r="T64" s="20" t="str">
        <f ca="1">IFERROR(__xludf.DUMMYFUNCTION("IFERROR(vlookup(B64,IMPORTRANGE(""https://docs.google.com/spreadsheets/d/1g_jfYYK_KeipEDNDUgqgrsxK94XiocfNQIcP-v1QVhI/edit?resourcekey#gid=233272945"",""Nilai!B:CT""),97,0),"" "")"),"LAYAK UPLOAD KE SIMBELMAWA DENGAN REVISI")</f>
        <v>LAYAK UPLOAD KE SIMBELMAWA DENGAN REVISI</v>
      </c>
      <c r="U64" s="36" t="s">
        <v>825</v>
      </c>
      <c r="V64" s="85" t="s">
        <v>1102</v>
      </c>
      <c r="W64" s="17" t="s">
        <v>1140</v>
      </c>
      <c r="X64" s="34" t="b">
        <v>0</v>
      </c>
    </row>
    <row r="65" spans="1:24" ht="69">
      <c r="A65" s="15">
        <v>63</v>
      </c>
      <c r="B65" s="15">
        <f ca="1">IFERROR(__xludf.DUMMYFUNCTION("""COMPUTED_VALUE"""),2394)</f>
        <v>2394</v>
      </c>
      <c r="C65" s="16" t="str">
        <f ca="1">IFERROR(__xludf.DUMMYFUNCTION("""COMPUTED_VALUE"""),"AULIA MARTA LESTARI")</f>
        <v>AULIA MARTA LESTARI</v>
      </c>
      <c r="D65" s="16" t="str">
        <f ca="1">IFERROR(__xludf.DUMMYFUNCTION("""COMPUTED_VALUE"""),"01211940000068")</f>
        <v>01211940000068</v>
      </c>
      <c r="E65" s="16" t="str">
        <f ca="1">IFERROR(__xludf.DUMMYFUNCTION("""COMPUTED_VALUE"""),"Departemen Kimia")</f>
        <v>Departemen Kimia</v>
      </c>
      <c r="F65" s="16" t="str">
        <f ca="1">IFERROR(__xludf.DUMMYFUNCTION("""COMPUTED_VALUE"""),"Produksi Prebiotik (Manooligosakarida) dari Umbi Porang Dengan Hidrolisis Manase Sterptomyces Sp Sebagai Material Fortifikasi Pada Makanan Pendamping Air Susu Ibu")</f>
        <v>Produksi Prebiotik (Manooligosakarida) dari Umbi Porang Dengan Hidrolisis Manase Sterptomyces Sp Sebagai Material Fortifikasi Pada Makanan Pendamping Air Susu Ibu</v>
      </c>
      <c r="G65" s="16" t="str">
        <f ca="1">IFERROR(__xludf.DUMMYFUNCTION("""COMPUTED_VALUE"""),"Herdayanto Sulistyo Putro, S.Si., M.Si.")</f>
        <v>Herdayanto Sulistyo Putro, S.Si., M.Si.</v>
      </c>
      <c r="H65" s="16" t="str">
        <f ca="1">IFERROR(__xludf.DUMMYFUNCTION("""COMPUTED_VALUE"""),"Dr.-Ing. Doty Dewi Risanti, S.T., M.T.")</f>
        <v>Dr.-Ing. Doty Dewi Risanti, S.T., M.T.</v>
      </c>
      <c r="I65" s="16" t="str">
        <f ca="1">IFERROR(__xludf.DUMMYFUNCTION("""COMPUTED_VALUE"""),"Dr. Candra Irawan, S.T., M.T.")</f>
        <v>Dr. Candra Irawan, S.T., M.T.</v>
      </c>
      <c r="J65" s="16"/>
      <c r="K65" s="17" t="s">
        <v>1141</v>
      </c>
      <c r="L65" s="17" t="s">
        <v>1142</v>
      </c>
      <c r="M65" s="19" t="b">
        <v>1</v>
      </c>
      <c r="N65" s="19" t="b">
        <v>1</v>
      </c>
      <c r="O65" s="1" t="s">
        <v>1143</v>
      </c>
      <c r="P65" s="7" t="str">
        <f ca="1">IFERROR(__xludf.DUMMYFUNCTION("iferror(vlookup(B65,importrange(""https://docs.google.com/spreadsheets/d/1boHyJQ4e2FU0QG8MHwEi6qjX4hvZWVCHcFfXjq7bbMc/edit?resourcekey#gid=923248883"",""Prop!$C$1:$M""),11,0),IFERROR(vlookup(B65,importrange(""https://docs.google.com/spreadsheets/d/1boHyJQ"&amp;"4e2FU0QG8MHwEi6qjX4hvZWVCHcFfXjq7bbMc/edit?resourcekey#gid=923248883"",""Prop!$N$1:$X""),11,0),iferror(vlookup(B65,importrange(""https://docs.google.com/spreadsheets/d/1boHyJQ4e2FU0QG8MHwEi6qjX4hvZWVCHcFfXjq7bbMc/edit?resourcekey#gid=923248883"",""Prop!$Y"&amp;"$1:$AI""),11,0),iferror(vlookup(B65,importrange(""https://docs.google.com/spreadsheets/d/1boHyJQ4e2FU0QG8MHwEi6qjX4hvZWVCHcFfXjq7bbMc/edit?resourcekey#gid=923248883"",""Prop!$AJ$1:$AT""),11,0),iferror(vlookup(B65,importrange(""https://docs.google.com/spre"&amp;"adsheets/d/1boHyJQ4e2FU0QG8MHwEi6qjX4hvZWVCHcFfXjq7bbMc/edit?resourcekey#gid=923248883"",""Prop!$AU$1:$BE""),11,0),iferror(vlookup(B65,importrange(""https://docs.google.com/spreadsheets/d/1boHyJQ4e2FU0QG8MHwEi6qjX4hvZWVCHcFfXjq7bbMc/edit?resourcekey#gid=9"&amp;"23248883"",""Prop!$BF$1:$BP""),11,0),iferror(vlookup(B65,importrange(""https://docs.google.com/spreadsheets/d/1boHyJQ4e2FU0QG8MHwEi6qjX4hvZWVCHcFfXjq7bbMc/edit?resourcekey#gid=923248883"",""Prop!$BQ$1:$CA""),11,0),iferror(vlookup(B65,importrange(""https:/"&amp;"/docs.google.com/spreadsheets/d/1boHyJQ4e2FU0QG8MHwEi6qjX4hvZWVCHcFfXjq7bbMc/edit?resourcekey#gid=923248883"",""Prop!$CB$1:$CL""),11,0),iferror(vlookup(B65,importrange(""https://docs.google.com/spreadsheets/d/1boHyJQ4e2FU0QG8MHwEi6qjX4hvZWVCHcFfXjq7bbMc/e"&amp;"dit?resourcekey#gid=923248883"",""Prop!$CM$1:$CX""),12,0),iferror(vlookup(B65,importrange(""https://docs.google.com/spreadsheets/d/1boHyJQ4e2FU0QG8MHwEi6qjX4hvZWVCHcFfXjq7bbMc/edit?resourcekey#gid=923248883"",""Prop!$CV$1:$DI""),11,0)))))))))))"),"https://drive.google.com/open?id=1e0s-LvByDBCQpHAbZ_SFnky2W5JFzWcg")</f>
        <v>https://drive.google.com/open?id=1e0s-LvByDBCQpHAbZ_SFnky2W5JFzWcg</v>
      </c>
      <c r="Q65" s="7" t="str">
        <f ca="1">IFERROR(__xludf.DUMMYFUNCTION("iferror(vlookup(B65,importrange(""https://docs.google.com/spreadsheets/d/1p53T2AuvvIqhP7Nf-bo3Uhj8cbKYRPpZdsrBv3x3bAQ/edit?resourcekey#gid=1321652304"",""Prop!$C$1:$M""),11,0),IFERROR(vlookup(B65,importrange(""https://docs.google.com/spreadsheets/d/1p53T2"&amp;"AuvvIqhP7Nf-bo3Uhj8cbKYRPpZdsrBv3x3bAQ/edit?resourcekey#gid=1321652304"",""Prop!$N$1:$X""),11,0),iferror(vlookup(B65,importrange(""https://docs.google.com/spreadsheets/d/1p53T2AuvvIqhP7Nf-bo3Uhj8cbKYRPpZdsrBv3x3bAQ/edit?resourcekey#gid=1321652304"",""Prop"&amp;"!$Y$1:$AI""),11,0),iferror(vlookup(B65,importrange(""https://docs.google.com/spreadsheets/d/1p53T2AuvvIqhP7Nf-bo3Uhj8cbKYRPpZdsrBv3x3bAQ/edit?resourcekey#gid=1321652304"",""Prop!$AJ$1:$AT""),11,0),iferror(vlookup(B65,importrange(""https://docs.google.com/"&amp;"spreadsheets/d/1p53T2AuvvIqhP7Nf-bo3Uhj8cbKYRPpZdsrBv3x3bAQ/edit?resourcekey#gid=1321652304"",""Prop!$AU$1:$BE""),11,0),iferror(vlookup(B65,importrange(""https://docs.google.com/spreadsheets/d/1p53T2AuvvIqhP7Nf-bo3Uhj8cbKYRPpZdsrBv3x3bAQ/edit?resourcekey#"&amp;"gid=1321652304"",""Prop!$BF$1:$BP""),11,0),iferror(vlookup(B65,importrange(""https://docs.google.com/spreadsheets/d/1p53T2AuvvIqhP7Nf-bo3Uhj8cbKYRPpZdsrBv3x3bAQ/edit?resourcekey#gid=1321652304"",""Prop!$BQ$1:$CA""),11,0),iferror(vlookup(B65,importrange("""&amp;"https://docs.google.com/spreadsheets/d/1p53T2AuvvIqhP7Nf-bo3Uhj8cbKYRPpZdsrBv3x3bAQ/edit?resourcekey#gid=1321652304"",""Prop!$CB$1:$CL""),11,0),iferror(vlookup(B65,importrange(""https://docs.google.com/spreadsheets/d/1p53T2AuvvIqhP7Nf-bo3Uhj8cbKYRPpZdsrBv"&amp;"3x3bAQ/edit?resourcekey#gid=1321652304"",""Prop!$CM$1:$CX""),11,0),iferror(vlookup(B65,importrange(""https://docs.google.com/spreadsheets/d/1p53T2AuvvIqhP7Nf-bo3Uhj8cbKYRPpZdsrBv3x3bAQ/edit?resourcekey#gid=1321652304"",""Prop!$CY$1:$DI""),11,0)))))))))))"),"https://drive.google.com/open?id=1iFDqyNF1Y2yFSQ7JuNzd4erILr2fsPMd")</f>
        <v>https://drive.google.com/open?id=1iFDqyNF1Y2yFSQ7JuNzd4erILr2fsPMd</v>
      </c>
      <c r="R65" s="88" t="s">
        <v>1101</v>
      </c>
      <c r="S65" s="20" t="str">
        <f ca="1">IFERROR(__xludf.DUMMYFUNCTION("IFERROR(vlookup(B65,IMPORTRANGE(""https://docs.google.com/spreadsheets/d/1g_jfYYK_KeipEDNDUgqgrsxK94XiocfNQIcP-v1QVhI/edit?resourcekey#gid=233272945"",""Nilai!B:CT""),57,0),"" "")"),"Format penulisan beberapa belum rapi (spasi, margin), latar belakang kurang kuat, Tinjauan pustaka tidak berbasis penelitian terdahulu, kecuali pada tabel tetapi informasi juga tidak ada")</f>
        <v>Format penulisan beberapa belum rapi (spasi, margin), latar belakang kurang kuat, Tinjauan pustaka tidak berbasis penelitian terdahulu, kecuali pada tabel tetapi informasi juga tidak ada</v>
      </c>
      <c r="T65" s="20" t="str">
        <f ca="1">IFERROR(__xludf.DUMMYFUNCTION("IFERROR(vlookup(B65,IMPORTRANGE(""https://docs.google.com/spreadsheets/d/1g_jfYYK_KeipEDNDUgqgrsxK94XiocfNQIcP-v1QVhI/edit?resourcekey#gid=233272945"",""Nilai!B:CT""),97,0),"" "")"),"LAYAK UPLOAD KE SIMBELMAWA DENGAN REVISI")</f>
        <v>LAYAK UPLOAD KE SIMBELMAWA DENGAN REVISI</v>
      </c>
      <c r="U65" s="36" t="s">
        <v>825</v>
      </c>
      <c r="V65" s="85" t="s">
        <v>1102</v>
      </c>
      <c r="W65" s="17" t="s">
        <v>1140</v>
      </c>
      <c r="X65" s="34" t="b">
        <v>0</v>
      </c>
    </row>
    <row r="66" spans="1:24" ht="57.6">
      <c r="A66" s="15">
        <v>64</v>
      </c>
      <c r="B66" s="15">
        <f ca="1">IFERROR(__xludf.DUMMYFUNCTION("""COMPUTED_VALUE"""),2450)</f>
        <v>2450</v>
      </c>
      <c r="C66" s="16" t="str">
        <f ca="1">IFERROR(__xludf.DUMMYFUNCTION("""COMPUTED_VALUE"""),"IMMANUEL N. LBN GAOL")</f>
        <v>IMMANUEL N. LBN GAOL</v>
      </c>
      <c r="D66" s="16" t="str">
        <f ca="1">IFERROR(__xludf.DUMMYFUNCTION("""COMPUTED_VALUE"""),"5004211006")</f>
        <v>5004211006</v>
      </c>
      <c r="E66" s="16" t="str">
        <f ca="1">IFERROR(__xludf.DUMMYFUNCTION("""COMPUTED_VALUE"""),"Departemen Kimia")</f>
        <v>Departemen Kimia</v>
      </c>
      <c r="F66" s="16" t="str">
        <f ca="1">IFERROR(__xludf.DUMMYFUNCTION("""COMPUTED_VALUE"""),"Pemanfaatan Ester Minyak Nyamplung berbasis TMP dengan Katalis K2CO3 untuk Bioaditif Peningkat Lubrisitas Mesin Diesel Berkadar Sulfur Rendah")</f>
        <v>Pemanfaatan Ester Minyak Nyamplung berbasis TMP dengan Katalis K2CO3 untuk Bioaditif Peningkat Lubrisitas Mesin Diesel Berkadar Sulfur Rendah</v>
      </c>
      <c r="G66" s="16" t="str">
        <f ca="1">IFERROR(__xludf.DUMMYFUNCTION("""COMPUTED_VALUE"""),"Dr. Dra. Yulfi Zetra, M.Sc.")</f>
        <v>Dr. Dra. Yulfi Zetra, M.Sc.</v>
      </c>
      <c r="H66" s="16" t="str">
        <f ca="1">IFERROR(__xludf.DUMMYFUNCTION("""COMPUTED_VALUE"""),"Ahmad Fauzan Adziimaa, S.T., M.Sc.")</f>
        <v>Ahmad Fauzan Adziimaa, S.T., M.Sc.</v>
      </c>
      <c r="I66" s="16" t="str">
        <f ca="1">IFERROR(__xludf.DUMMYFUNCTION("""COMPUTED_VALUE"""),"Tri Vicca Kusumadewi, S.T., M.Sc.")</f>
        <v>Tri Vicca Kusumadewi, S.T., M.Sc.</v>
      </c>
      <c r="J66" s="16"/>
      <c r="K66" s="17" t="s">
        <v>1141</v>
      </c>
      <c r="L66" s="17" t="s">
        <v>1144</v>
      </c>
      <c r="M66" s="19" t="b">
        <v>1</v>
      </c>
      <c r="N66" s="19" t="b">
        <v>1</v>
      </c>
      <c r="O66" s="1" t="s">
        <v>1143</v>
      </c>
      <c r="P66" s="7" t="str">
        <f ca="1">IFERROR(__xludf.DUMMYFUNCTION("iferror(vlookup(B66,importrange(""https://docs.google.com/spreadsheets/d/1boHyJQ4e2FU0QG8MHwEi6qjX4hvZWVCHcFfXjq7bbMc/edit?resourcekey#gid=923248883"",""Prop!$C$1:$M""),11,0),IFERROR(vlookup(B66,importrange(""https://docs.google.com/spreadsheets/d/1boHyJQ"&amp;"4e2FU0QG8MHwEi6qjX4hvZWVCHcFfXjq7bbMc/edit?resourcekey#gid=923248883"",""Prop!$N$1:$X""),11,0),iferror(vlookup(B66,importrange(""https://docs.google.com/spreadsheets/d/1boHyJQ4e2FU0QG8MHwEi6qjX4hvZWVCHcFfXjq7bbMc/edit?resourcekey#gid=923248883"",""Prop!$Y"&amp;"$1:$AI""),11,0),iferror(vlookup(B66,importrange(""https://docs.google.com/spreadsheets/d/1boHyJQ4e2FU0QG8MHwEi6qjX4hvZWVCHcFfXjq7bbMc/edit?resourcekey#gid=923248883"",""Prop!$AJ$1:$AT""),11,0),iferror(vlookup(B66,importrange(""https://docs.google.com/spre"&amp;"adsheets/d/1boHyJQ4e2FU0QG8MHwEi6qjX4hvZWVCHcFfXjq7bbMc/edit?resourcekey#gid=923248883"",""Prop!$AU$1:$BE""),11,0),iferror(vlookup(B66,importrange(""https://docs.google.com/spreadsheets/d/1boHyJQ4e2FU0QG8MHwEi6qjX4hvZWVCHcFfXjq7bbMc/edit?resourcekey#gid=9"&amp;"23248883"",""Prop!$BF$1:$BP""),11,0),iferror(vlookup(B66,importrange(""https://docs.google.com/spreadsheets/d/1boHyJQ4e2FU0QG8MHwEi6qjX4hvZWVCHcFfXjq7bbMc/edit?resourcekey#gid=923248883"",""Prop!$BQ$1:$CA""),11,0),iferror(vlookup(B66,importrange(""https:/"&amp;"/docs.google.com/spreadsheets/d/1boHyJQ4e2FU0QG8MHwEi6qjX4hvZWVCHcFfXjq7bbMc/edit?resourcekey#gid=923248883"",""Prop!$CB$1:$CL""),11,0),iferror(vlookup(B66,importrange(""https://docs.google.com/spreadsheets/d/1boHyJQ4e2FU0QG8MHwEi6qjX4hvZWVCHcFfXjq7bbMc/e"&amp;"dit?resourcekey#gid=923248883"",""Prop!$CM$1:$CX""),12,0),iferror(vlookup(B66,importrange(""https://docs.google.com/spreadsheets/d/1boHyJQ4e2FU0QG8MHwEi6qjX4hvZWVCHcFfXjq7bbMc/edit?resourcekey#gid=923248883"",""Prop!$CV$1:$DI""),11,0)))))))))))"),"https://drive.google.com/open?id=13-2S8KzuYNH_4FFcYlpZlDQVcGkFNzuk")</f>
        <v>https://drive.google.com/open?id=13-2S8KzuYNH_4FFcYlpZlDQVcGkFNzuk</v>
      </c>
      <c r="Q66" s="7" t="str">
        <f ca="1">IFERROR(__xludf.DUMMYFUNCTION("iferror(vlookup(B66,importrange(""https://docs.google.com/spreadsheets/d/1p53T2AuvvIqhP7Nf-bo3Uhj8cbKYRPpZdsrBv3x3bAQ/edit?resourcekey#gid=1321652304"",""Prop!$C$1:$M""),11,0),IFERROR(vlookup(B66,importrange(""https://docs.google.com/spreadsheets/d/1p53T2"&amp;"AuvvIqhP7Nf-bo3Uhj8cbKYRPpZdsrBv3x3bAQ/edit?resourcekey#gid=1321652304"",""Prop!$N$1:$X""),11,0),iferror(vlookup(B66,importrange(""https://docs.google.com/spreadsheets/d/1p53T2AuvvIqhP7Nf-bo3Uhj8cbKYRPpZdsrBv3x3bAQ/edit?resourcekey#gid=1321652304"",""Prop"&amp;"!$Y$1:$AI""),11,0),iferror(vlookup(B66,importrange(""https://docs.google.com/spreadsheets/d/1p53T2AuvvIqhP7Nf-bo3Uhj8cbKYRPpZdsrBv3x3bAQ/edit?resourcekey#gid=1321652304"",""Prop!$AJ$1:$AT""),11,0),iferror(vlookup(B66,importrange(""https://docs.google.com/"&amp;"spreadsheets/d/1p53T2AuvvIqhP7Nf-bo3Uhj8cbKYRPpZdsrBv3x3bAQ/edit?resourcekey#gid=1321652304"",""Prop!$AU$1:$BE""),11,0),iferror(vlookup(B66,importrange(""https://docs.google.com/spreadsheets/d/1p53T2AuvvIqhP7Nf-bo3Uhj8cbKYRPpZdsrBv3x3bAQ/edit?resourcekey#"&amp;"gid=1321652304"",""Prop!$BF$1:$BP""),11,0),iferror(vlookup(B66,importrange(""https://docs.google.com/spreadsheets/d/1p53T2AuvvIqhP7Nf-bo3Uhj8cbKYRPpZdsrBv3x3bAQ/edit?resourcekey#gid=1321652304"",""Prop!$BQ$1:$CA""),11,0),iferror(vlookup(B66,importrange("""&amp;"https://docs.google.com/spreadsheets/d/1p53T2AuvvIqhP7Nf-bo3Uhj8cbKYRPpZdsrBv3x3bAQ/edit?resourcekey#gid=1321652304"",""Prop!$CB$1:$CL""),11,0),iferror(vlookup(B66,importrange(""https://docs.google.com/spreadsheets/d/1p53T2AuvvIqhP7Nf-bo3Uhj8cbKYRPpZdsrBv"&amp;"3x3bAQ/edit?resourcekey#gid=1321652304"",""Prop!$CM$1:$CX""),11,0),iferror(vlookup(B66,importrange(""https://docs.google.com/spreadsheets/d/1p53T2AuvvIqhP7Nf-bo3Uhj8cbKYRPpZdsrBv3x3bAQ/edit?resourcekey#gid=1321652304"",""Prop!$CY$1:$DI""),11,0)))))))))))"),"https://drive.google.com/open?id=1uDZRGG_NkL6_YgtrtO56OvvPE0dJrd6z")</f>
        <v>https://drive.google.com/open?id=1uDZRGG_NkL6_YgtrtO56OvvPE0dJrd6z</v>
      </c>
      <c r="R66" s="88" t="s">
        <v>1101</v>
      </c>
      <c r="S66" s="20" t="str">
        <f ca="1">IFERROR(__xludf.DUMMYFUNCTION("IFERROR(vlookup(B66,IMPORTRANGE(""https://docs.google.com/spreadsheets/d/1g_jfYYK_KeipEDNDUgqgrsxK94XiocfNQIcP-v1QVhI/edit?resourcekey#gid=233272945"",""Nilai!B:CT""),57,0),"" "")"),"kreatifitas rendah, masih maba 2021")</f>
        <v>kreatifitas rendah, masih maba 2021</v>
      </c>
      <c r="T66" s="20" t="str">
        <f ca="1">IFERROR(__xludf.DUMMYFUNCTION("IFERROR(vlookup(B66,IMPORTRANGE(""https://docs.google.com/spreadsheets/d/1g_jfYYK_KeipEDNDUgqgrsxK94XiocfNQIcP-v1QVhI/edit?resourcekey#gid=233272945"",""Nilai!B:CT""),97,0),"" "")"),"TIDAK LAYAK UPLOAD KE SIMBELMAWA")</f>
        <v>TIDAK LAYAK UPLOAD KE SIMBELMAWA</v>
      </c>
      <c r="U66" s="36" t="s">
        <v>825</v>
      </c>
      <c r="V66" s="85" t="s">
        <v>1102</v>
      </c>
      <c r="W66" s="17" t="s">
        <v>1145</v>
      </c>
      <c r="X66" s="34" t="s">
        <v>949</v>
      </c>
    </row>
    <row r="67" spans="1:24" ht="72">
      <c r="A67" s="15">
        <v>65</v>
      </c>
      <c r="B67" s="15">
        <f ca="1">IFERROR(__xludf.DUMMYFUNCTION("""COMPUTED_VALUE"""),3352)</f>
        <v>3352</v>
      </c>
      <c r="C67" s="16" t="str">
        <f ca="1">IFERROR(__xludf.DUMMYFUNCTION("""COMPUTED_VALUE"""),"MUKHLIS SHOLEHUDIN")</f>
        <v>MUKHLIS SHOLEHUDIN</v>
      </c>
      <c r="D67" s="16" t="str">
        <f ca="1">IFERROR(__xludf.DUMMYFUNCTION("""COMPUTED_VALUE"""),"02211940000122")</f>
        <v>02211940000122</v>
      </c>
      <c r="E67" s="16" t="str">
        <f ca="1">IFERROR(__xludf.DUMMYFUNCTION("""COMPUTED_VALUE"""),"Departemen Teknik Kimia")</f>
        <v>Departemen Teknik Kimia</v>
      </c>
      <c r="F67" s="16" t="str">
        <f ca="1">IFERROR(__xludf.DUMMYFUNCTION("""COMPUTED_VALUE"""),"Optimalisasi Pembuatan Biodiesel dari Minyak Jelantah Menggunakan Metode Kombinasi Microwave Assisted Extraction - Batchwise Solvent Extraction")</f>
        <v>Optimalisasi Pembuatan Biodiesel dari Minyak Jelantah Menggunakan Metode Kombinasi Microwave Assisted Extraction - Batchwise Solvent Extraction</v>
      </c>
      <c r="G67" s="16" t="str">
        <f ca="1">IFERROR(__xludf.DUMMYFUNCTION("""COMPUTED_VALUE"""),"Hakun Wirawasista Aparamarta, S.T., M.MT., Ph.D.")</f>
        <v>Hakun Wirawasista Aparamarta, S.T., M.MT., Ph.D.</v>
      </c>
      <c r="H67" s="16" t="str">
        <f ca="1">IFERROR(__xludf.DUMMYFUNCTION("""COMPUTED_VALUE"""),"Ahmad Fauzan Adziimaa, S.T., M.Sc.")</f>
        <v>Ahmad Fauzan Adziimaa, S.T., M.Sc.</v>
      </c>
      <c r="I67" s="16" t="str">
        <f ca="1">IFERROR(__xludf.DUMMYFUNCTION("""COMPUTED_VALUE"""),"Muhammad Syifaul Mufid, S.Si.,M.Si")</f>
        <v>Muhammad Syifaul Mufid, S.Si.,M.Si</v>
      </c>
      <c r="J67" s="16"/>
      <c r="K67" s="17" t="s">
        <v>1141</v>
      </c>
      <c r="L67" s="17" t="s">
        <v>1144</v>
      </c>
      <c r="M67" s="19" t="b">
        <v>1</v>
      </c>
      <c r="N67" s="19" t="b">
        <v>1</v>
      </c>
      <c r="O67" s="1" t="s">
        <v>1113</v>
      </c>
      <c r="P67" s="7" t="str">
        <f ca="1">IFERROR(__xludf.DUMMYFUNCTION("iferror(vlookup(B67,importrange(""https://docs.google.com/spreadsheets/d/1boHyJQ4e2FU0QG8MHwEi6qjX4hvZWVCHcFfXjq7bbMc/edit?resourcekey#gid=923248883"",""Prop!$C$1:$M""),11,0),IFERROR(vlookup(B67,importrange(""https://docs.google.com/spreadsheets/d/1boHyJQ"&amp;"4e2FU0QG8MHwEi6qjX4hvZWVCHcFfXjq7bbMc/edit?resourcekey#gid=923248883"",""Prop!$N$1:$X""),11,0),iferror(vlookup(B67,importrange(""https://docs.google.com/spreadsheets/d/1boHyJQ4e2FU0QG8MHwEi6qjX4hvZWVCHcFfXjq7bbMc/edit?resourcekey#gid=923248883"",""Prop!$Y"&amp;"$1:$AI""),11,0),iferror(vlookup(B67,importrange(""https://docs.google.com/spreadsheets/d/1boHyJQ4e2FU0QG8MHwEi6qjX4hvZWVCHcFfXjq7bbMc/edit?resourcekey#gid=923248883"",""Prop!$AJ$1:$AT""),11,0),iferror(vlookup(B67,importrange(""https://docs.google.com/spre"&amp;"adsheets/d/1boHyJQ4e2FU0QG8MHwEi6qjX4hvZWVCHcFfXjq7bbMc/edit?resourcekey#gid=923248883"",""Prop!$AU$1:$BE""),11,0),iferror(vlookup(B67,importrange(""https://docs.google.com/spreadsheets/d/1boHyJQ4e2FU0QG8MHwEi6qjX4hvZWVCHcFfXjq7bbMc/edit?resourcekey#gid=9"&amp;"23248883"",""Prop!$BF$1:$BP""),11,0),iferror(vlookup(B67,importrange(""https://docs.google.com/spreadsheets/d/1boHyJQ4e2FU0QG8MHwEi6qjX4hvZWVCHcFfXjq7bbMc/edit?resourcekey#gid=923248883"",""Prop!$BQ$1:$CA""),11,0),iferror(vlookup(B67,importrange(""https:/"&amp;"/docs.google.com/spreadsheets/d/1boHyJQ4e2FU0QG8MHwEi6qjX4hvZWVCHcFfXjq7bbMc/edit?resourcekey#gid=923248883"",""Prop!$CB$1:$CL""),11,0),iferror(vlookup(B67,importrange(""https://docs.google.com/spreadsheets/d/1boHyJQ4e2FU0QG8MHwEi6qjX4hvZWVCHcFfXjq7bbMc/e"&amp;"dit?resourcekey#gid=923248883"",""Prop!$CM$1:$CX""),12,0),iferror(vlookup(B67,importrange(""https://docs.google.com/spreadsheets/d/1boHyJQ4e2FU0QG8MHwEi6qjX4hvZWVCHcFfXjq7bbMc/edit?resourcekey#gid=923248883"",""Prop!$CV$1:$DI""),11,0)))))))))))"),"https://drive.google.com/open?id=1BHOmVx9oCzsG6MoEKcagM-8vfrDkN0VU")</f>
        <v>https://drive.google.com/open?id=1BHOmVx9oCzsG6MoEKcagM-8vfrDkN0VU</v>
      </c>
      <c r="Q67" s="7" t="str">
        <f ca="1">IFERROR(__xludf.DUMMYFUNCTION("iferror(vlookup(B67,importrange(""https://docs.google.com/spreadsheets/d/1p53T2AuvvIqhP7Nf-bo3Uhj8cbKYRPpZdsrBv3x3bAQ/edit?resourcekey#gid=1321652304"",""Prop!$C$1:$M""),11,0),IFERROR(vlookup(B67,importrange(""https://docs.google.com/spreadsheets/d/1p53T2"&amp;"AuvvIqhP7Nf-bo3Uhj8cbKYRPpZdsrBv3x3bAQ/edit?resourcekey#gid=1321652304"",""Prop!$N$1:$X""),11,0),iferror(vlookup(B67,importrange(""https://docs.google.com/spreadsheets/d/1p53T2AuvvIqhP7Nf-bo3Uhj8cbKYRPpZdsrBv3x3bAQ/edit?resourcekey#gid=1321652304"",""Prop"&amp;"!$Y$1:$AI""),11,0),iferror(vlookup(B67,importrange(""https://docs.google.com/spreadsheets/d/1p53T2AuvvIqhP7Nf-bo3Uhj8cbKYRPpZdsrBv3x3bAQ/edit?resourcekey#gid=1321652304"",""Prop!$AJ$1:$AT""),11,0),iferror(vlookup(B67,importrange(""https://docs.google.com/"&amp;"spreadsheets/d/1p53T2AuvvIqhP7Nf-bo3Uhj8cbKYRPpZdsrBv3x3bAQ/edit?resourcekey#gid=1321652304"",""Prop!$AU$1:$BE""),11,0),iferror(vlookup(B67,importrange(""https://docs.google.com/spreadsheets/d/1p53T2AuvvIqhP7Nf-bo3Uhj8cbKYRPpZdsrBv3x3bAQ/edit?resourcekey#"&amp;"gid=1321652304"",""Prop!$BF$1:$BP""),11,0),iferror(vlookup(B67,importrange(""https://docs.google.com/spreadsheets/d/1p53T2AuvvIqhP7Nf-bo3Uhj8cbKYRPpZdsrBv3x3bAQ/edit?resourcekey#gid=1321652304"",""Prop!$BQ$1:$CA""),11,0),iferror(vlookup(B67,importrange("""&amp;"https://docs.google.com/spreadsheets/d/1p53T2AuvvIqhP7Nf-bo3Uhj8cbKYRPpZdsrBv3x3bAQ/edit?resourcekey#gid=1321652304"",""Prop!$CB$1:$CL""),11,0),iferror(vlookup(B67,importrange(""https://docs.google.com/spreadsheets/d/1p53T2AuvvIqhP7Nf-bo3Uhj8cbKYRPpZdsrBv"&amp;"3x3bAQ/edit?resourcekey#gid=1321652304"",""Prop!$CM$1:$CX""),11,0),iferror(vlookup(B67,importrange(""https://docs.google.com/spreadsheets/d/1p53T2AuvvIqhP7Nf-bo3Uhj8cbKYRPpZdsrBv3x3bAQ/edit?resourcekey#gid=1321652304"",""Prop!$CY$1:$DI""),11,0)))))))))))"),"https://drive.google.com/open?id=10Y1xjSZDgSiovv4IAY4BR2RyxCSpkFfK")</f>
        <v>https://drive.google.com/open?id=10Y1xjSZDgSiovv4IAY4BR2RyxCSpkFfK</v>
      </c>
      <c r="R67" s="88" t="s">
        <v>1101</v>
      </c>
      <c r="S67" s="20" t="str">
        <f ca="1">IFERROR(__xludf.DUMMYFUNCTION("IFERROR(vlookup(B67,IMPORTRANGE(""https://docs.google.com/spreadsheets/d/1g_jfYYK_KeipEDNDUgqgrsxK94XiocfNQIcP-v1QVhI/edit?resourcekey#gid=233272945"",""Nilai!B:CT""),57,0),"" "")"),"-")</f>
        <v>-</v>
      </c>
      <c r="T67" s="20" t="str">
        <f ca="1">IFERROR(__xludf.DUMMYFUNCTION("IFERROR(vlookup(B67,IMPORTRANGE(""https://docs.google.com/spreadsheets/d/1g_jfYYK_KeipEDNDUgqgrsxK94XiocfNQIcP-v1QVhI/edit?resourcekey#gid=233272945"",""Nilai!B:CT""),97,0),"" "")"),"LAYAK UPLOAD KE SIMBELMAWA")</f>
        <v>LAYAK UPLOAD KE SIMBELMAWA</v>
      </c>
      <c r="U67" s="36" t="s">
        <v>825</v>
      </c>
      <c r="V67" s="85" t="s">
        <v>1102</v>
      </c>
      <c r="W67" s="17" t="s">
        <v>1145</v>
      </c>
      <c r="X67" s="34" t="s">
        <v>949</v>
      </c>
    </row>
    <row r="68" spans="1:24" ht="69">
      <c r="A68" s="15">
        <v>66</v>
      </c>
      <c r="B68" s="15">
        <f ca="1">IFERROR(__xludf.DUMMYFUNCTION("""COMPUTED_VALUE"""),3311)</f>
        <v>3311</v>
      </c>
      <c r="C68" s="16" t="str">
        <f ca="1">IFERROR(__xludf.DUMMYFUNCTION("""COMPUTED_VALUE"""),"ILMI ROHMAD FAUZANNA")</f>
        <v>ILMI ROHMAD FAUZANNA</v>
      </c>
      <c r="D68" s="16" t="str">
        <f ca="1">IFERROR(__xludf.DUMMYFUNCTION("""COMPUTED_VALUE"""),"02311940000093")</f>
        <v>02311940000093</v>
      </c>
      <c r="E68" s="16" t="str">
        <f ca="1">IFERROR(__xludf.DUMMYFUNCTION("""COMPUTED_VALUE"""),"Departemen Teknik Fisika")</f>
        <v>Departemen Teknik Fisika</v>
      </c>
      <c r="F68" s="16" t="str">
        <f ca="1">IFERROR(__xludf.DUMMYFUNCTION("""COMPUTED_VALUE"""),"Deteksi penyakit Alzheimer Berdasarkan Suara Wicara Menggunakan Deep Learning")</f>
        <v>Deteksi penyakit Alzheimer Berdasarkan Suara Wicara Menggunakan Deep Learning</v>
      </c>
      <c r="G68" s="16" t="str">
        <f ca="1">IFERROR(__xludf.DUMMYFUNCTION("""COMPUTED_VALUE"""),"Bagus Tris Atmaja, S.T., M.T.")</f>
        <v>Bagus Tris Atmaja, S.T., M.T.</v>
      </c>
      <c r="H68" s="16" t="str">
        <f ca="1">IFERROR(__xludf.DUMMYFUNCTION("""COMPUTED_VALUE"""),"Alief Wikarta, ST., MSc.Eng. Ph.D")</f>
        <v>Alief Wikarta, ST., MSc.Eng. Ph.D</v>
      </c>
      <c r="I68" s="16" t="str">
        <f ca="1">IFERROR(__xludf.DUMMYFUNCTION("""COMPUTED_VALUE"""),"Muhammad Syifaul Mufid, S.Si.,M.Si")</f>
        <v>Muhammad Syifaul Mufid, S.Si.,M.Si</v>
      </c>
      <c r="J68" s="16"/>
      <c r="K68" s="17" t="s">
        <v>1141</v>
      </c>
      <c r="L68" s="17" t="s">
        <v>1144</v>
      </c>
      <c r="M68" s="19" t="b">
        <v>0</v>
      </c>
      <c r="N68" s="19" t="b">
        <v>0</v>
      </c>
      <c r="O68" s="1" t="s">
        <v>1122</v>
      </c>
      <c r="P68" s="7" t="str">
        <f ca="1">IFERROR(__xludf.DUMMYFUNCTION("iferror(vlookup(B68,importrange(""https://docs.google.com/spreadsheets/d/1boHyJQ4e2FU0QG8MHwEi6qjX4hvZWVCHcFfXjq7bbMc/edit?resourcekey#gid=923248883"",""Prop!$C$1:$M""),11,0),IFERROR(vlookup(B68,importrange(""https://docs.google.com/spreadsheets/d/1boHyJQ"&amp;"4e2FU0QG8MHwEi6qjX4hvZWVCHcFfXjq7bbMc/edit?resourcekey#gid=923248883"",""Prop!$N$1:$X""),11,0),iferror(vlookup(B68,importrange(""https://docs.google.com/spreadsheets/d/1boHyJQ4e2FU0QG8MHwEi6qjX4hvZWVCHcFfXjq7bbMc/edit?resourcekey#gid=923248883"",""Prop!$Y"&amp;"$1:$AI""),11,0),iferror(vlookup(B68,importrange(""https://docs.google.com/spreadsheets/d/1boHyJQ4e2FU0QG8MHwEi6qjX4hvZWVCHcFfXjq7bbMc/edit?resourcekey#gid=923248883"",""Prop!$AJ$1:$AT""),11,0),iferror(vlookup(B68,importrange(""https://docs.google.com/spre"&amp;"adsheets/d/1boHyJQ4e2FU0QG8MHwEi6qjX4hvZWVCHcFfXjq7bbMc/edit?resourcekey#gid=923248883"",""Prop!$AU$1:$BE""),11,0),iferror(vlookup(B68,importrange(""https://docs.google.com/spreadsheets/d/1boHyJQ4e2FU0QG8MHwEi6qjX4hvZWVCHcFfXjq7bbMc/edit?resourcekey#gid=9"&amp;"23248883"",""Prop!$BF$1:$BP""),11,0),iferror(vlookup(B68,importrange(""https://docs.google.com/spreadsheets/d/1boHyJQ4e2FU0QG8MHwEi6qjX4hvZWVCHcFfXjq7bbMc/edit?resourcekey#gid=923248883"",""Prop!$BQ$1:$CA""),11,0),iferror(vlookup(B68,importrange(""https:/"&amp;"/docs.google.com/spreadsheets/d/1boHyJQ4e2FU0QG8MHwEi6qjX4hvZWVCHcFfXjq7bbMc/edit?resourcekey#gid=923248883"",""Prop!$CB$1:$CL""),11,0),iferror(vlookup(B68,importrange(""https://docs.google.com/spreadsheets/d/1boHyJQ4e2FU0QG8MHwEi6qjX4hvZWVCHcFfXjq7bbMc/e"&amp;"dit?resourcekey#gid=923248883"",""Prop!$CM$1:$CX""),12,0),iferror(vlookup(B68,importrange(""https://docs.google.com/spreadsheets/d/1boHyJQ4e2FU0QG8MHwEi6qjX4hvZWVCHcFfXjq7bbMc/edit?resourcekey#gid=923248883"",""Prop!$CV$1:$DI""),11,0)))))))))))"),"https://drive.google.com/open?id=1xW9VE_-loWMFHyLQEruBbUkRa9z_7J3U")</f>
        <v>https://drive.google.com/open?id=1xW9VE_-loWMFHyLQEruBbUkRa9z_7J3U</v>
      </c>
      <c r="Q68" s="7" t="str">
        <f ca="1">IFERROR(__xludf.DUMMYFUNCTION("iferror(vlookup(B68,importrange(""https://docs.google.com/spreadsheets/d/1p53T2AuvvIqhP7Nf-bo3Uhj8cbKYRPpZdsrBv3x3bAQ/edit?resourcekey#gid=1321652304"",""Prop!$C$1:$M""),11,0),IFERROR(vlookup(B68,importrange(""https://docs.google.com/spreadsheets/d/1p53T2"&amp;"AuvvIqhP7Nf-bo3Uhj8cbKYRPpZdsrBv3x3bAQ/edit?resourcekey#gid=1321652304"",""Prop!$N$1:$X""),11,0),iferror(vlookup(B68,importrange(""https://docs.google.com/spreadsheets/d/1p53T2AuvvIqhP7Nf-bo3Uhj8cbKYRPpZdsrBv3x3bAQ/edit?resourcekey#gid=1321652304"",""Prop"&amp;"!$Y$1:$AI""),11,0),iferror(vlookup(B68,importrange(""https://docs.google.com/spreadsheets/d/1p53T2AuvvIqhP7Nf-bo3Uhj8cbKYRPpZdsrBv3x3bAQ/edit?resourcekey#gid=1321652304"",""Prop!$AJ$1:$AT""),11,0),iferror(vlookup(B68,importrange(""https://docs.google.com/"&amp;"spreadsheets/d/1p53T2AuvvIqhP7Nf-bo3Uhj8cbKYRPpZdsrBv3x3bAQ/edit?resourcekey#gid=1321652304"",""Prop!$AU$1:$BE""),11,0),iferror(vlookup(B68,importrange(""https://docs.google.com/spreadsheets/d/1p53T2AuvvIqhP7Nf-bo3Uhj8cbKYRPpZdsrBv3x3bAQ/edit?resourcekey#"&amp;"gid=1321652304"",""Prop!$BF$1:$BP""),11,0),iferror(vlookup(B68,importrange(""https://docs.google.com/spreadsheets/d/1p53T2AuvvIqhP7Nf-bo3Uhj8cbKYRPpZdsrBv3x3bAQ/edit?resourcekey#gid=1321652304"",""Prop!$BQ$1:$CA""),11,0),iferror(vlookup(B68,importrange("""&amp;"https://docs.google.com/spreadsheets/d/1p53T2AuvvIqhP7Nf-bo3Uhj8cbKYRPpZdsrBv3x3bAQ/edit?resourcekey#gid=1321652304"",""Prop!$CB$1:$CL""),11,0),iferror(vlookup(B68,importrange(""https://docs.google.com/spreadsheets/d/1p53T2AuvvIqhP7Nf-bo3Uhj8cbKYRPpZdsrBv"&amp;"3x3bAQ/edit?resourcekey#gid=1321652304"",""Prop!$CM$1:$CX""),11,0),iferror(vlookup(B68,importrange(""https://docs.google.com/spreadsheets/d/1p53T2AuvvIqhP7Nf-bo3Uhj8cbKYRPpZdsrBv3x3bAQ/edit?resourcekey#gid=1321652304"",""Prop!$CY$1:$DI""),11,0)))))))))))"),"https://drive.google.com/open?id=1e-FycEn7FsyyQ6GgV4BeADcd2KBamUSM")</f>
        <v>https://drive.google.com/open?id=1e-FycEn7FsyyQ6GgV4BeADcd2KBamUSM</v>
      </c>
      <c r="R68" s="88" t="s">
        <v>1101</v>
      </c>
      <c r="S68" s="20" t="str">
        <f ca="1">IFERROR(__xludf.DUMMYFUNCTION("IFERROR(vlookup(B68,IMPORTRANGE(""https://docs.google.com/spreadsheets/d/1g_jfYYK_KeipEDNDUgqgrsxK94XiocfNQIcP-v1QVhI/edit?resourcekey#gid=233272945"",""Nilai!B:CT""),57,0),"" "")"),"lihat pdf")</f>
        <v>lihat pdf</v>
      </c>
      <c r="T68" s="20" t="str">
        <f ca="1">IFERROR(__xludf.DUMMYFUNCTION("IFERROR(vlookup(B68,IMPORTRANGE(""https://docs.google.com/spreadsheets/d/1g_jfYYK_KeipEDNDUgqgrsxK94XiocfNQIcP-v1QVhI/edit?resourcekey#gid=233272945"",""Nilai!B:CT""),97,0),"" "")"),"LAYAK UPLOAD KE SIMBELMAWA DENGAN REVISI")</f>
        <v>LAYAK UPLOAD KE SIMBELMAWA DENGAN REVISI</v>
      </c>
      <c r="U68" s="36" t="s">
        <v>825</v>
      </c>
      <c r="V68" s="85" t="s">
        <v>1102</v>
      </c>
      <c r="W68" s="17" t="s">
        <v>1145</v>
      </c>
      <c r="X68" s="34" t="b">
        <v>0</v>
      </c>
    </row>
    <row r="69" spans="1:24" ht="57.6">
      <c r="A69" s="15">
        <v>67</v>
      </c>
      <c r="B69" s="15">
        <f ca="1">IFERROR(__xludf.DUMMYFUNCTION("""COMPUTED_VALUE"""),2222)</f>
        <v>2222</v>
      </c>
      <c r="C69" s="16" t="str">
        <f ca="1">IFERROR(__xludf.DUMMYFUNCTION("""COMPUTED_VALUE"""),"RIFQI NADHIF ARRAFID")</f>
        <v>RIFQI NADHIF ARRAFID</v>
      </c>
      <c r="D69" s="16" t="str">
        <f ca="1">IFERROR(__xludf.DUMMYFUNCTION("""COMPUTED_VALUE"""),"10111810013012")</f>
        <v>10111810013012</v>
      </c>
      <c r="E69" s="16" t="str">
        <f ca="1">IFERROR(__xludf.DUMMYFUNCTION("""COMPUTED_VALUE"""),"Departemen Teknik Infrastruktur Sipil")</f>
        <v>Departemen Teknik Infrastruktur Sipil</v>
      </c>
      <c r="F69" s="16" t="str">
        <f ca="1">IFERROR(__xludf.DUMMYFUNCTION("""COMPUTED_VALUE"""),"Studi Pengaruh Penambahan Xilitol dan Sorbitol Terhadap workability dan kuat tekan mortar geopolimer")</f>
        <v>Studi Pengaruh Penambahan Xilitol dan Sorbitol Terhadap workability dan kuat tekan mortar geopolimer</v>
      </c>
      <c r="G69" s="16" t="str">
        <f ca="1">IFERROR(__xludf.DUMMYFUNCTION("""COMPUTED_VALUE"""),"Dr.Eng. Yuyun Tajunnisa, S.T., M.T.")</f>
        <v>Dr.Eng. Yuyun Tajunnisa, S.T., M.T.</v>
      </c>
      <c r="H69" s="16" t="str">
        <f ca="1">IFERROR(__xludf.DUMMYFUNCTION("""COMPUTED_VALUE"""),"Ahmad Fauzan Adziimaa, S.T., M.Sc.")</f>
        <v>Ahmad Fauzan Adziimaa, S.T., M.Sc.</v>
      </c>
      <c r="I69" s="16" t="str">
        <f ca="1">IFERROR(__xludf.DUMMYFUNCTION("""COMPUTED_VALUE"""),"Mahardika F. Rois, S.T, M.T")</f>
        <v>Mahardika F. Rois, S.T, M.T</v>
      </c>
      <c r="J69" s="16"/>
      <c r="K69" s="17" t="s">
        <v>1141</v>
      </c>
      <c r="L69" s="17" t="s">
        <v>1144</v>
      </c>
      <c r="M69" s="19" t="b">
        <v>0</v>
      </c>
      <c r="N69" s="19" t="b">
        <v>0</v>
      </c>
      <c r="O69" s="1" t="s">
        <v>1122</v>
      </c>
      <c r="P69" s="7" t="str">
        <f ca="1">IFERROR(__xludf.DUMMYFUNCTION("iferror(vlookup(B69,importrange(""https://docs.google.com/spreadsheets/d/1boHyJQ4e2FU0QG8MHwEi6qjX4hvZWVCHcFfXjq7bbMc/edit?resourcekey#gid=923248883"",""Prop!$C$1:$M""),11,0),IFERROR(vlookup(B69,importrange(""https://docs.google.com/spreadsheets/d/1boHyJQ"&amp;"4e2FU0QG8MHwEi6qjX4hvZWVCHcFfXjq7bbMc/edit?resourcekey#gid=923248883"",""Prop!$N$1:$X""),11,0),iferror(vlookup(B69,importrange(""https://docs.google.com/spreadsheets/d/1boHyJQ4e2FU0QG8MHwEi6qjX4hvZWVCHcFfXjq7bbMc/edit?resourcekey#gid=923248883"",""Prop!$Y"&amp;"$1:$AI""),11,0),iferror(vlookup(B69,importrange(""https://docs.google.com/spreadsheets/d/1boHyJQ4e2FU0QG8MHwEi6qjX4hvZWVCHcFfXjq7bbMc/edit?resourcekey#gid=923248883"",""Prop!$AJ$1:$AT""),11,0),iferror(vlookup(B69,importrange(""https://docs.google.com/spre"&amp;"adsheets/d/1boHyJQ4e2FU0QG8MHwEi6qjX4hvZWVCHcFfXjq7bbMc/edit?resourcekey#gid=923248883"",""Prop!$AU$1:$BE""),11,0),iferror(vlookup(B69,importrange(""https://docs.google.com/spreadsheets/d/1boHyJQ4e2FU0QG8MHwEi6qjX4hvZWVCHcFfXjq7bbMc/edit?resourcekey#gid=9"&amp;"23248883"",""Prop!$BF$1:$BP""),11,0),iferror(vlookup(B69,importrange(""https://docs.google.com/spreadsheets/d/1boHyJQ4e2FU0QG8MHwEi6qjX4hvZWVCHcFfXjq7bbMc/edit?resourcekey#gid=923248883"",""Prop!$BQ$1:$CA""),11,0),iferror(vlookup(B69,importrange(""https:/"&amp;"/docs.google.com/spreadsheets/d/1boHyJQ4e2FU0QG8MHwEi6qjX4hvZWVCHcFfXjq7bbMc/edit?resourcekey#gid=923248883"",""Prop!$CB$1:$CL""),11,0),iferror(vlookup(B69,importrange(""https://docs.google.com/spreadsheets/d/1boHyJQ4e2FU0QG8MHwEi6qjX4hvZWVCHcFfXjq7bbMc/e"&amp;"dit?resourcekey#gid=923248883"",""Prop!$CM$1:$CX""),12,0),iferror(vlookup(B69,importrange(""https://docs.google.com/spreadsheets/d/1boHyJQ4e2FU0QG8MHwEi6qjX4hvZWVCHcFfXjq7bbMc/edit?resourcekey#gid=923248883"",""Prop!$CV$1:$DI""),11,0)))))))))))"),"https://drive.google.com/open?id=1lpHHFN_4ljtAGgS6ggmcpJHx19YSLfhm")</f>
        <v>https://drive.google.com/open?id=1lpHHFN_4ljtAGgS6ggmcpJHx19YSLfhm</v>
      </c>
      <c r="Q69" s="8" t="str">
        <f ca="1">IFERROR(__xludf.DUMMYFUNCTION("iferror(vlookup(B69,importrange(""https://docs.google.com/spreadsheets/d/1p53T2AuvvIqhP7Nf-bo3Uhj8cbKYRPpZdsrBv3x3bAQ/edit?resourcekey#gid=1321652304"",""Prop!$C$1:$M""),11,0),IFERROR(vlookup(B69,importrange(""https://docs.google.com/spreadsheets/d/1p53T2"&amp;"AuvvIqhP7Nf-bo3Uhj8cbKYRPpZdsrBv3x3bAQ/edit?resourcekey#gid=1321652304"",""Prop!$N$1:$X""),11,0),iferror(vlookup(B69,importrange(""https://docs.google.com/spreadsheets/d/1p53T2AuvvIqhP7Nf-bo3Uhj8cbKYRPpZdsrBv3x3bAQ/edit?resourcekey#gid=1321652304"",""Prop"&amp;"!$Y$1:$AI""),11,0),iferror(vlookup(B69,importrange(""https://docs.google.com/spreadsheets/d/1p53T2AuvvIqhP7Nf-bo3Uhj8cbKYRPpZdsrBv3x3bAQ/edit?resourcekey#gid=1321652304"",""Prop!$AJ$1:$AT""),11,0),iferror(vlookup(B69,importrange(""https://docs.google.com/"&amp;"spreadsheets/d/1p53T2AuvvIqhP7Nf-bo3Uhj8cbKYRPpZdsrBv3x3bAQ/edit?resourcekey#gid=1321652304"",""Prop!$AU$1:$BE""),11,0),iferror(vlookup(B69,importrange(""https://docs.google.com/spreadsheets/d/1p53T2AuvvIqhP7Nf-bo3Uhj8cbKYRPpZdsrBv3x3bAQ/edit?resourcekey#"&amp;"gid=1321652304"",""Prop!$BF$1:$BP""),11,0),iferror(vlookup(B69,importrange(""https://docs.google.com/spreadsheets/d/1p53T2AuvvIqhP7Nf-bo3Uhj8cbKYRPpZdsrBv3x3bAQ/edit?resourcekey#gid=1321652304"",""Prop!$BQ$1:$CA""),11,0),iferror(vlookup(B69,importrange("""&amp;"https://docs.google.com/spreadsheets/d/1p53T2AuvvIqhP7Nf-bo3Uhj8cbKYRPpZdsrBv3x3bAQ/edit?resourcekey#gid=1321652304"",""Prop!$CB$1:$CL""),11,0),iferror(vlookup(B69,importrange(""https://docs.google.com/spreadsheets/d/1p53T2AuvvIqhP7Nf-bo3Uhj8cbKYRPpZdsrBv"&amp;"3x3bAQ/edit?resourcekey#gid=1321652304"",""Prop!$CM$1:$CX""),11,0),iferror(vlookup(B69,importrange(""https://docs.google.com/spreadsheets/d/1p53T2AuvvIqhP7Nf-bo3Uhj8cbKYRPpZdsrBv3x3bAQ/edit?resourcekey#gid=1321652304"",""Prop!$CY$1:$DI""),11,0)))))))))))"),"")</f>
        <v/>
      </c>
      <c r="R69" s="88" t="s">
        <v>1101</v>
      </c>
      <c r="S69" s="20" t="str">
        <f ca="1">IFERROR(__xludf.DUMMYFUNCTION("IFERROR(vlookup(B69,IMPORTRANGE(""https://docs.google.com/spreadsheets/d/1g_jfYYK_KeipEDNDUgqgrsxK94XiocfNQIcP-v1QVhI/edit?resourcekey#gid=233272945"",""Nilai!B:CT""),57,0),"" "")"),"")</f>
        <v/>
      </c>
      <c r="T69" s="20" t="str">
        <f ca="1">IFERROR(__xludf.DUMMYFUNCTION("IFERROR(vlookup(B69,IMPORTRANGE(""https://docs.google.com/spreadsheets/d/1g_jfYYK_KeipEDNDUgqgrsxK94XiocfNQIcP-v1QVhI/edit?resourcekey#gid=233272945"",""Nilai!B:CT""),97,0),"" "")")," ")</f>
        <v xml:space="preserve"> </v>
      </c>
      <c r="U69" s="36" t="s">
        <v>825</v>
      </c>
      <c r="V69" s="85" t="s">
        <v>1102</v>
      </c>
      <c r="W69" s="17" t="s">
        <v>1145</v>
      </c>
      <c r="X69" s="34" t="b">
        <v>0</v>
      </c>
    </row>
    <row r="70" spans="1:24" ht="69">
      <c r="A70" s="15">
        <v>68</v>
      </c>
      <c r="B70" s="15">
        <f ca="1">IFERROR(__xludf.DUMMYFUNCTION("""COMPUTED_VALUE"""),3998)</f>
        <v>3998</v>
      </c>
      <c r="C70" s="16" t="str">
        <f ca="1">IFERROR(__xludf.DUMMYFUNCTION("""COMPUTED_VALUE"""),"ADHIMAS NURUL MUSTOFA")</f>
        <v>ADHIMAS NURUL MUSTOFA</v>
      </c>
      <c r="D70" s="16" t="str">
        <f ca="1">IFERROR(__xludf.DUMMYFUNCTION("""COMPUTED_VALUE"""),"01211840000049")</f>
        <v>01211840000049</v>
      </c>
      <c r="E70" s="16" t="str">
        <f ca="1">IFERROR(__xludf.DUMMYFUNCTION("""COMPUTED_VALUE"""),"Departemen Kimia")</f>
        <v>Departemen Kimia</v>
      </c>
      <c r="F70" s="16" t="str">
        <f ca="1">IFERROR(__xludf.DUMMYFUNCTION("""COMPUTED_VALUE"""),"Pengaruh enkapsulasi silika pada MOF ZIF-8/TiO2 berbasis beads alginat untuk fotokatalis tetrasiklin")</f>
        <v>Pengaruh enkapsulasi silika pada MOF ZIF-8/TiO2 berbasis beads alginat untuk fotokatalis tetrasiklin</v>
      </c>
      <c r="G70" s="16" t="str">
        <f ca="1">IFERROR(__xludf.DUMMYFUNCTION("""COMPUTED_VALUE"""),"Dra. Ratna Ediati, MS., Ph.D.")</f>
        <v>Dra. Ratna Ediati, MS., Ph.D.</v>
      </c>
      <c r="H70" s="16" t="str">
        <f ca="1">IFERROR(__xludf.DUMMYFUNCTION("""COMPUTED_VALUE"""),"Dr. Awik Puji Dyah Nurhayati, S.Si., M.Si.")</f>
        <v>Dr. Awik Puji Dyah Nurhayati, S.Si., M.Si.</v>
      </c>
      <c r="I70" s="16" t="str">
        <f ca="1">IFERROR(__xludf.DUMMYFUNCTION("""COMPUTED_VALUE"""),"Iska Desmawati, S.Si., M.Si.")</f>
        <v>Iska Desmawati, S.Si., M.Si.</v>
      </c>
      <c r="J70" s="16"/>
      <c r="K70" s="17" t="s">
        <v>1141</v>
      </c>
      <c r="L70" s="17" t="s">
        <v>1144</v>
      </c>
      <c r="M70" s="19" t="b">
        <v>0</v>
      </c>
      <c r="N70" s="19" t="b">
        <v>0</v>
      </c>
      <c r="O70" s="1" t="s">
        <v>1143</v>
      </c>
      <c r="P70" s="1" t="str">
        <f ca="1">IFERROR(__xludf.DUMMYFUNCTION("iferror(vlookup(B70,importrange(""https://docs.google.com/spreadsheets/d/1boHyJQ4e2FU0QG8MHwEi6qjX4hvZWVCHcFfXjq7bbMc/edit?resourcekey#gid=923248883"",""Prop!$C$1:$M""),11,0),IFERROR(vlookup(B70,importrange(""https://docs.google.com/spreadsheets/d/1boHyJQ"&amp;"4e2FU0QG8MHwEi6qjX4hvZWVCHcFfXjq7bbMc/edit?resourcekey#gid=923248883"",""Prop!$N$1:$X""),11,0),iferror(vlookup(B70,importrange(""https://docs.google.com/spreadsheets/d/1boHyJQ4e2FU0QG8MHwEi6qjX4hvZWVCHcFfXjq7bbMc/edit?resourcekey#gid=923248883"",""Prop!$Y"&amp;"$1:$AI""),11,0),iferror(vlookup(B70,importrange(""https://docs.google.com/spreadsheets/d/1boHyJQ4e2FU0QG8MHwEi6qjX4hvZWVCHcFfXjq7bbMc/edit?resourcekey#gid=923248883"",""Prop!$AJ$1:$AT""),11,0),iferror(vlookup(B70,importrange(""https://docs.google.com/spre"&amp;"adsheets/d/1boHyJQ4e2FU0QG8MHwEi6qjX4hvZWVCHcFfXjq7bbMc/edit?resourcekey#gid=923248883"",""Prop!$AU$1:$BE""),11,0),iferror(vlookup(B70,importrange(""https://docs.google.com/spreadsheets/d/1boHyJQ4e2FU0QG8MHwEi6qjX4hvZWVCHcFfXjq7bbMc/edit?resourcekey#gid=9"&amp;"23248883"",""Prop!$BF$1:$BP""),11,0),iferror(vlookup(B70,importrange(""https://docs.google.com/spreadsheets/d/1boHyJQ4e2FU0QG8MHwEi6qjX4hvZWVCHcFfXjq7bbMc/edit?resourcekey#gid=923248883"",""Prop!$BQ$1:$CA""),11,0),iferror(vlookup(B70,importrange(""https:/"&amp;"/docs.google.com/spreadsheets/d/1boHyJQ4e2FU0QG8MHwEi6qjX4hvZWVCHcFfXjq7bbMc/edit?resourcekey#gid=923248883"",""Prop!$CB$1:$CL""),11,0),iferror(vlookup(B70,importrange(""https://docs.google.com/spreadsheets/d/1boHyJQ4e2FU0QG8MHwEi6qjX4hvZWVCHcFfXjq7bbMc/e"&amp;"dit?resourcekey#gid=923248883"",""Prop!$CM$1:$CX""),12,0),iferror(vlookup(B70,importrange(""https://docs.google.com/spreadsheets/d/1boHyJQ4e2FU0QG8MHwEi6qjX4hvZWVCHcFfXjq7bbMc/edit?resourcekey#gid=923248883"",""Prop!$CV$1:$DI""),11,0)))))))))))"),"")</f>
        <v/>
      </c>
      <c r="Q70" s="7" t="str">
        <f ca="1">IFERROR(__xludf.DUMMYFUNCTION("iferror(vlookup(B70,importrange(""https://docs.google.com/spreadsheets/d/1p53T2AuvvIqhP7Nf-bo3Uhj8cbKYRPpZdsrBv3x3bAQ/edit?resourcekey#gid=1321652304"",""Prop!$C$1:$M""),11,0),IFERROR(vlookup(B70,importrange(""https://docs.google.com/spreadsheets/d/1p53T2"&amp;"AuvvIqhP7Nf-bo3Uhj8cbKYRPpZdsrBv3x3bAQ/edit?resourcekey#gid=1321652304"",""Prop!$N$1:$X""),11,0),iferror(vlookup(B70,importrange(""https://docs.google.com/spreadsheets/d/1p53T2AuvvIqhP7Nf-bo3Uhj8cbKYRPpZdsrBv3x3bAQ/edit?resourcekey#gid=1321652304"",""Prop"&amp;"!$Y$1:$AI""),11,0),iferror(vlookup(B70,importrange(""https://docs.google.com/spreadsheets/d/1p53T2AuvvIqhP7Nf-bo3Uhj8cbKYRPpZdsrBv3x3bAQ/edit?resourcekey#gid=1321652304"",""Prop!$AJ$1:$AT""),11,0),iferror(vlookup(B70,importrange(""https://docs.google.com/"&amp;"spreadsheets/d/1p53T2AuvvIqhP7Nf-bo3Uhj8cbKYRPpZdsrBv3x3bAQ/edit?resourcekey#gid=1321652304"",""Prop!$AU$1:$BE""),11,0),iferror(vlookup(B70,importrange(""https://docs.google.com/spreadsheets/d/1p53T2AuvvIqhP7Nf-bo3Uhj8cbKYRPpZdsrBv3x3bAQ/edit?resourcekey#"&amp;"gid=1321652304"",""Prop!$BF$1:$BP""),11,0),iferror(vlookup(B70,importrange(""https://docs.google.com/spreadsheets/d/1p53T2AuvvIqhP7Nf-bo3Uhj8cbKYRPpZdsrBv3x3bAQ/edit?resourcekey#gid=1321652304"",""Prop!$BQ$1:$CA""),11,0),iferror(vlookup(B70,importrange("""&amp;"https://docs.google.com/spreadsheets/d/1p53T2AuvvIqhP7Nf-bo3Uhj8cbKYRPpZdsrBv3x3bAQ/edit?resourcekey#gid=1321652304"",""Prop!$CB$1:$CL""),11,0),iferror(vlookup(B70,importrange(""https://docs.google.com/spreadsheets/d/1p53T2AuvvIqhP7Nf-bo3Uhj8cbKYRPpZdsrBv"&amp;"3x3bAQ/edit?resourcekey#gid=1321652304"",""Prop!$CM$1:$CX""),11,0),iferror(vlookup(B70,importrange(""https://docs.google.com/spreadsheets/d/1p53T2AuvvIqhP7Nf-bo3Uhj8cbKYRPpZdsrBv3x3bAQ/edit?resourcekey#gid=1321652304"",""Prop!$CY$1:$DI""),11,0)))))))))))"),"https://drive.google.com/open?id=1nko9WaMgXaAnmf4zf8G42BC_ElP9UD3G")</f>
        <v>https://drive.google.com/open?id=1nko9WaMgXaAnmf4zf8G42BC_ElP9UD3G</v>
      </c>
      <c r="R70" s="88" t="s">
        <v>1101</v>
      </c>
      <c r="S70" s="20" t="str">
        <f ca="1">IFERROR(__xludf.DUMMYFUNCTION("IFERROR(vlookup(B70,IMPORTRANGE(""https://docs.google.com/spreadsheets/d/1g_jfYYK_KeipEDNDUgqgrsxK94XiocfNQIcP-v1QVhI/edit?resourcekey#gid=233272945"",""Nilai!B:CT""),57,0),"" "")"),"Gambar state of the art tidak terbaca dan salah judul, variabel penelitian tidak terlihat referensi dari penelitian terdahulu, RAB dari PT disesuaikan menurut ITS
")</f>
        <v xml:space="preserve">Gambar state of the art tidak terbaca dan salah judul, variabel penelitian tidak terlihat referensi dari penelitian terdahulu, RAB dari PT disesuaikan menurut ITS
</v>
      </c>
      <c r="T70" s="20" t="str">
        <f ca="1">IFERROR(__xludf.DUMMYFUNCTION("IFERROR(vlookup(B70,IMPORTRANGE(""https://docs.google.com/spreadsheets/d/1g_jfYYK_KeipEDNDUgqgrsxK94XiocfNQIcP-v1QVhI/edit?resourcekey#gid=233272945"",""Nilai!B:CT""),97,0),"" "")"),"LAYAK UPLOAD KE SIMBELMAWA DENGAN REVISI")</f>
        <v>LAYAK UPLOAD KE SIMBELMAWA DENGAN REVISI</v>
      </c>
      <c r="U70" s="36" t="s">
        <v>825</v>
      </c>
      <c r="V70" s="85" t="s">
        <v>1102</v>
      </c>
      <c r="W70" s="17" t="s">
        <v>1146</v>
      </c>
      <c r="X70" s="34" t="s">
        <v>949</v>
      </c>
    </row>
    <row r="71" spans="1:24" ht="69">
      <c r="A71" s="15">
        <v>69</v>
      </c>
      <c r="B71" s="15">
        <f ca="1">IFERROR(__xludf.DUMMYFUNCTION("""COMPUTED_VALUE"""),2094)</f>
        <v>2094</v>
      </c>
      <c r="C71" s="16" t="str">
        <f ca="1">IFERROR(__xludf.DUMMYFUNCTION("""COMPUTED_VALUE"""),"MUHAMMAD ALVIN HIDAYATULLAH")</f>
        <v>MUHAMMAD ALVIN HIDAYATULLAH</v>
      </c>
      <c r="D71" s="16" t="str">
        <f ca="1">IFERROR(__xludf.DUMMYFUNCTION("""COMPUTED_VALUE"""),"10411810000027")</f>
        <v>10411810000027</v>
      </c>
      <c r="E71" s="16" t="str">
        <f ca="1">IFERROR(__xludf.DUMMYFUNCTION("""COMPUTED_VALUE"""),"Departemen Teknik Kimia Industri")</f>
        <v>Departemen Teknik Kimia Industri</v>
      </c>
      <c r="F71" s="16" t="str">
        <f ca="1">IFERROR(__xludf.DUMMYFUNCTION("""COMPUTED_VALUE"""),"SINTESIS HIDROKSIAPATIT DARI LIMBAH CANGKANG KEONG SAWAH DENGAN KOMBINASI POLYCAPROLACTONE (PCL) SEBAGAI SUTURE ANCHOR BERBASIS 3D PRINTING ")</f>
        <v xml:space="preserve">SINTESIS HIDROKSIAPATIT DARI LIMBAH CANGKANG KEONG SAWAH DENGAN KOMBINASI POLYCAPROLACTONE (PCL) SEBAGAI SUTURE ANCHOR BERBASIS 3D PRINTING </v>
      </c>
      <c r="G71" s="16" t="str">
        <f ca="1">IFERROR(__xludf.DUMMYFUNCTION("""COMPUTED_VALUE"""),"Dr. Eng. Achmad Dwitama Karisma, S.T., M.T.")</f>
        <v>Dr. Eng. Achmad Dwitama Karisma, S.T., M.T.</v>
      </c>
      <c r="H71" s="16" t="str">
        <f ca="1">IFERROR(__xludf.DUMMYFUNCTION("""COMPUTED_VALUE"""),"Dr. Awik Puji Dyah Nurhayati, S.Si., M.Si.")</f>
        <v>Dr. Awik Puji Dyah Nurhayati, S.Si., M.Si.</v>
      </c>
      <c r="I71" s="16" t="str">
        <f ca="1">IFERROR(__xludf.DUMMYFUNCTION("""COMPUTED_VALUE"""),"Sena Safarina , S.Si., M.Sc., D.Sc")</f>
        <v>Sena Safarina , S.Si., M.Sc., D.Sc</v>
      </c>
      <c r="J71" s="16"/>
      <c r="K71" s="17" t="s">
        <v>1141</v>
      </c>
      <c r="L71" s="17" t="s">
        <v>1147</v>
      </c>
      <c r="M71" s="19" t="b">
        <v>1</v>
      </c>
      <c r="N71" s="19" t="b">
        <v>1</v>
      </c>
      <c r="O71" s="1" t="s">
        <v>1118</v>
      </c>
      <c r="P71" s="7" t="str">
        <f ca="1">IFERROR(__xludf.DUMMYFUNCTION("iferror(vlookup(B71,importrange(""https://docs.google.com/spreadsheets/d/1boHyJQ4e2FU0QG8MHwEi6qjX4hvZWVCHcFfXjq7bbMc/edit?resourcekey#gid=923248883"",""Prop!$C$1:$M""),11,0),IFERROR(vlookup(B71,importrange(""https://docs.google.com/spreadsheets/d/1boHyJQ"&amp;"4e2FU0QG8MHwEi6qjX4hvZWVCHcFfXjq7bbMc/edit?resourcekey#gid=923248883"",""Prop!$N$1:$X""),11,0),iferror(vlookup(B71,importrange(""https://docs.google.com/spreadsheets/d/1boHyJQ4e2FU0QG8MHwEi6qjX4hvZWVCHcFfXjq7bbMc/edit?resourcekey#gid=923248883"",""Prop!$Y"&amp;"$1:$AI""),11,0),iferror(vlookup(B71,importrange(""https://docs.google.com/spreadsheets/d/1boHyJQ4e2FU0QG8MHwEi6qjX4hvZWVCHcFfXjq7bbMc/edit?resourcekey#gid=923248883"",""Prop!$AJ$1:$AT""),11,0),iferror(vlookup(B71,importrange(""https://docs.google.com/spre"&amp;"adsheets/d/1boHyJQ4e2FU0QG8MHwEi6qjX4hvZWVCHcFfXjq7bbMc/edit?resourcekey#gid=923248883"",""Prop!$AU$1:$BE""),11,0),iferror(vlookup(B71,importrange(""https://docs.google.com/spreadsheets/d/1boHyJQ4e2FU0QG8MHwEi6qjX4hvZWVCHcFfXjq7bbMc/edit?resourcekey#gid=9"&amp;"23248883"",""Prop!$BF$1:$BP""),11,0),iferror(vlookup(B71,importrange(""https://docs.google.com/spreadsheets/d/1boHyJQ4e2FU0QG8MHwEi6qjX4hvZWVCHcFfXjq7bbMc/edit?resourcekey#gid=923248883"",""Prop!$BQ$1:$CA""),11,0),iferror(vlookup(B71,importrange(""https:/"&amp;"/docs.google.com/spreadsheets/d/1boHyJQ4e2FU0QG8MHwEi6qjX4hvZWVCHcFfXjq7bbMc/edit?resourcekey#gid=923248883"",""Prop!$CB$1:$CL""),11,0),iferror(vlookup(B71,importrange(""https://docs.google.com/spreadsheets/d/1boHyJQ4e2FU0QG8MHwEi6qjX4hvZWVCHcFfXjq7bbMc/e"&amp;"dit?resourcekey#gid=923248883"",""Prop!$CM$1:$CX""),12,0),iferror(vlookup(B71,importrange(""https://docs.google.com/spreadsheets/d/1boHyJQ4e2FU0QG8MHwEi6qjX4hvZWVCHcFfXjq7bbMc/edit?resourcekey#gid=923248883"",""Prop!$CV$1:$DI""),11,0)))))))))))"),"https://drive.google.com/open?id=1iTZbUeou1fnMOm67snLXQz_nDdVA6w5y")</f>
        <v>https://drive.google.com/open?id=1iTZbUeou1fnMOm67snLXQz_nDdVA6w5y</v>
      </c>
      <c r="Q71" s="7" t="str">
        <f ca="1">IFERROR(__xludf.DUMMYFUNCTION("iferror(vlookup(B71,importrange(""https://docs.google.com/spreadsheets/d/1p53T2AuvvIqhP7Nf-bo3Uhj8cbKYRPpZdsrBv3x3bAQ/edit?resourcekey#gid=1321652304"",""Prop!$C$1:$M""),11,0),IFERROR(vlookup(B71,importrange(""https://docs.google.com/spreadsheets/d/1p53T2"&amp;"AuvvIqhP7Nf-bo3Uhj8cbKYRPpZdsrBv3x3bAQ/edit?resourcekey#gid=1321652304"",""Prop!$N$1:$X""),11,0),iferror(vlookup(B71,importrange(""https://docs.google.com/spreadsheets/d/1p53T2AuvvIqhP7Nf-bo3Uhj8cbKYRPpZdsrBv3x3bAQ/edit?resourcekey#gid=1321652304"",""Prop"&amp;"!$Y$1:$AI""),11,0),iferror(vlookup(B71,importrange(""https://docs.google.com/spreadsheets/d/1p53T2AuvvIqhP7Nf-bo3Uhj8cbKYRPpZdsrBv3x3bAQ/edit?resourcekey#gid=1321652304"",""Prop!$AJ$1:$AT""),11,0),iferror(vlookup(B71,importrange(""https://docs.google.com/"&amp;"spreadsheets/d/1p53T2AuvvIqhP7Nf-bo3Uhj8cbKYRPpZdsrBv3x3bAQ/edit?resourcekey#gid=1321652304"",""Prop!$AU$1:$BE""),11,0),iferror(vlookup(B71,importrange(""https://docs.google.com/spreadsheets/d/1p53T2AuvvIqhP7Nf-bo3Uhj8cbKYRPpZdsrBv3x3bAQ/edit?resourcekey#"&amp;"gid=1321652304"",""Prop!$BF$1:$BP""),11,0),iferror(vlookup(B71,importrange(""https://docs.google.com/spreadsheets/d/1p53T2AuvvIqhP7Nf-bo3Uhj8cbKYRPpZdsrBv3x3bAQ/edit?resourcekey#gid=1321652304"",""Prop!$BQ$1:$CA""),11,0),iferror(vlookup(B71,importrange("""&amp;"https://docs.google.com/spreadsheets/d/1p53T2AuvvIqhP7Nf-bo3Uhj8cbKYRPpZdsrBv3x3bAQ/edit?resourcekey#gid=1321652304"",""Prop!$CB$1:$CL""),11,0),iferror(vlookup(B71,importrange(""https://docs.google.com/spreadsheets/d/1p53T2AuvvIqhP7Nf-bo3Uhj8cbKYRPpZdsrBv"&amp;"3x3bAQ/edit?resourcekey#gid=1321652304"",""Prop!$CM$1:$CX""),11,0),iferror(vlookup(B71,importrange(""https://docs.google.com/spreadsheets/d/1p53T2AuvvIqhP7Nf-bo3Uhj8cbKYRPpZdsrBv3x3bAQ/edit?resourcekey#gid=1321652304"",""Prop!$CY$1:$DI""),11,0)))))))))))"),"https://drive.google.com/open?id=12-k-b8Hq81lFYZIlZ1xseOZw8_eimIri")</f>
        <v>https://drive.google.com/open?id=12-k-b8Hq81lFYZIlZ1xseOZw8_eimIri</v>
      </c>
      <c r="R71" s="88" t="s">
        <v>1101</v>
      </c>
      <c r="S71" s="20" t="str">
        <f ca="1">IFERROR(__xludf.DUMMYFUNCTION("IFERROR(vlookup(B71,IMPORTRANGE(""https://docs.google.com/spreadsheets/d/1g_jfYYK_KeipEDNDUgqgrsxK94XiocfNQIcP-v1QVhI/edit?resourcekey#gid=233272945"",""Nilai!B:CT""),57,0),"" "")"),"lihat pdf")</f>
        <v>lihat pdf</v>
      </c>
      <c r="T71" s="20" t="str">
        <f ca="1">IFERROR(__xludf.DUMMYFUNCTION("IFERROR(vlookup(B71,IMPORTRANGE(""https://docs.google.com/spreadsheets/d/1g_jfYYK_KeipEDNDUgqgrsxK94XiocfNQIcP-v1QVhI/edit?resourcekey#gid=233272945"",""Nilai!B:CT""),97,0),"" "")"),"LAYAK UPLOAD KE SIMBELMAWA DENGAN REVISI")</f>
        <v>LAYAK UPLOAD KE SIMBELMAWA DENGAN REVISI</v>
      </c>
      <c r="U71" s="36" t="s">
        <v>825</v>
      </c>
      <c r="V71" s="85" t="s">
        <v>1102</v>
      </c>
      <c r="W71" s="17" t="s">
        <v>1146</v>
      </c>
      <c r="X71" s="34" t="s">
        <v>949</v>
      </c>
    </row>
    <row r="72" spans="1:24" ht="57.6">
      <c r="A72" s="15">
        <v>70</v>
      </c>
      <c r="B72" s="15">
        <f ca="1">IFERROR(__xludf.DUMMYFUNCTION("""COMPUTED_VALUE"""),2078)</f>
        <v>2078</v>
      </c>
      <c r="C72" s="16" t="str">
        <f ca="1">IFERROR(__xludf.DUMMYFUNCTION("""COMPUTED_VALUE"""),"ARWINDA ARIBAH CAHYANI")</f>
        <v>ARWINDA ARIBAH CAHYANI</v>
      </c>
      <c r="D72" s="16" t="str">
        <f ca="1">IFERROR(__xludf.DUMMYFUNCTION("""COMPUTED_VALUE"""),"10111810013003")</f>
        <v>10111810013003</v>
      </c>
      <c r="E72" s="16" t="str">
        <f ca="1">IFERROR(__xludf.DUMMYFUNCTION("""COMPUTED_VALUE"""),"Departemen Teknik Infrastruktur Sipil")</f>
        <v>Departemen Teknik Infrastruktur Sipil</v>
      </c>
      <c r="F72" s="16" t="str">
        <f ca="1">IFERROR(__xludf.DUMMYFUNCTION("""COMPUTED_VALUE"""),"Pengaruh Kuat Tekan Terhadap Workability Self-Compacting Geopolymer Concrete (SCGC) Berbasis High Calsium Fly Ash Pencampuran Metode Kering")</f>
        <v>Pengaruh Kuat Tekan Terhadap Workability Self-Compacting Geopolymer Concrete (SCGC) Berbasis High Calsium Fly Ash Pencampuran Metode Kering</v>
      </c>
      <c r="G72" s="16" t="str">
        <f ca="1">IFERROR(__xludf.DUMMYFUNCTION("""COMPUTED_VALUE"""),"Dr.Eng. Yuyun Tajunnisa, S.T., M.T.")</f>
        <v>Dr.Eng. Yuyun Tajunnisa, S.T., M.T.</v>
      </c>
      <c r="H72" s="16" t="str">
        <f ca="1">IFERROR(__xludf.DUMMYFUNCTION("""COMPUTED_VALUE"""),"Dr.-Ing. Doty Dewi Risanti, S.T., M.T.")</f>
        <v>Dr.-Ing. Doty Dewi Risanti, S.T., M.T.</v>
      </c>
      <c r="I72" s="16" t="str">
        <f ca="1">IFERROR(__xludf.DUMMYFUNCTION("""COMPUTED_VALUE"""),"Annas Wiguno, S.T., M.T.")</f>
        <v>Annas Wiguno, S.T., M.T.</v>
      </c>
      <c r="J72" s="16"/>
      <c r="K72" s="17" t="s">
        <v>1141</v>
      </c>
      <c r="L72" s="17" t="s">
        <v>1147</v>
      </c>
      <c r="M72" s="19" t="b">
        <v>0</v>
      </c>
      <c r="N72" s="19" t="b">
        <v>0</v>
      </c>
      <c r="O72" s="1" t="s">
        <v>1139</v>
      </c>
      <c r="P72" s="7" t="str">
        <f ca="1">IFERROR(__xludf.DUMMYFUNCTION("iferror(vlookup(B72,importrange(""https://docs.google.com/spreadsheets/d/1boHyJQ4e2FU0QG8MHwEi6qjX4hvZWVCHcFfXjq7bbMc/edit?resourcekey#gid=923248883"",""Prop!$C$1:$M""),11,0),IFERROR(vlookup(B72,importrange(""https://docs.google.com/spreadsheets/d/1boHyJQ"&amp;"4e2FU0QG8MHwEi6qjX4hvZWVCHcFfXjq7bbMc/edit?resourcekey#gid=923248883"",""Prop!$N$1:$X""),11,0),iferror(vlookup(B72,importrange(""https://docs.google.com/spreadsheets/d/1boHyJQ4e2FU0QG8MHwEi6qjX4hvZWVCHcFfXjq7bbMc/edit?resourcekey#gid=923248883"",""Prop!$Y"&amp;"$1:$AI""),11,0),iferror(vlookup(B72,importrange(""https://docs.google.com/spreadsheets/d/1boHyJQ4e2FU0QG8MHwEi6qjX4hvZWVCHcFfXjq7bbMc/edit?resourcekey#gid=923248883"",""Prop!$AJ$1:$AT""),11,0),iferror(vlookup(B72,importrange(""https://docs.google.com/spre"&amp;"adsheets/d/1boHyJQ4e2FU0QG8MHwEi6qjX4hvZWVCHcFfXjq7bbMc/edit?resourcekey#gid=923248883"",""Prop!$AU$1:$BE""),11,0),iferror(vlookup(B72,importrange(""https://docs.google.com/spreadsheets/d/1boHyJQ4e2FU0QG8MHwEi6qjX4hvZWVCHcFfXjq7bbMc/edit?resourcekey#gid=9"&amp;"23248883"",""Prop!$BF$1:$BP""),11,0),iferror(vlookup(B72,importrange(""https://docs.google.com/spreadsheets/d/1boHyJQ4e2FU0QG8MHwEi6qjX4hvZWVCHcFfXjq7bbMc/edit?resourcekey#gid=923248883"",""Prop!$BQ$1:$CA""),11,0),iferror(vlookup(B72,importrange(""https:/"&amp;"/docs.google.com/spreadsheets/d/1boHyJQ4e2FU0QG8MHwEi6qjX4hvZWVCHcFfXjq7bbMc/edit?resourcekey#gid=923248883"",""Prop!$CB$1:$CL""),11,0),iferror(vlookup(B72,importrange(""https://docs.google.com/spreadsheets/d/1boHyJQ4e2FU0QG8MHwEi6qjX4hvZWVCHcFfXjq7bbMc/e"&amp;"dit?resourcekey#gid=923248883"",""Prop!$CM$1:$CX""),12,0),iferror(vlookup(B72,importrange(""https://docs.google.com/spreadsheets/d/1boHyJQ4e2FU0QG8MHwEi6qjX4hvZWVCHcFfXjq7bbMc/edit?resourcekey#gid=923248883"",""Prop!$CV$1:$DI""),11,0)))))))))))"),"https://drive.google.com/open?id=1V2_WVjCoixXC39s7u2UiSTI63WKO-HYx")</f>
        <v>https://drive.google.com/open?id=1V2_WVjCoixXC39s7u2UiSTI63WKO-HYx</v>
      </c>
      <c r="Q72" s="7" t="str">
        <f ca="1">IFERROR(__xludf.DUMMYFUNCTION("iferror(vlookup(B72,importrange(""https://docs.google.com/spreadsheets/d/1p53T2AuvvIqhP7Nf-bo3Uhj8cbKYRPpZdsrBv3x3bAQ/edit?resourcekey#gid=1321652304"",""Prop!$C$1:$M""),11,0),IFERROR(vlookup(B72,importrange(""https://docs.google.com/spreadsheets/d/1p53T2"&amp;"AuvvIqhP7Nf-bo3Uhj8cbKYRPpZdsrBv3x3bAQ/edit?resourcekey#gid=1321652304"",""Prop!$N$1:$X""),11,0),iferror(vlookup(B72,importrange(""https://docs.google.com/spreadsheets/d/1p53T2AuvvIqhP7Nf-bo3Uhj8cbKYRPpZdsrBv3x3bAQ/edit?resourcekey#gid=1321652304"",""Prop"&amp;"!$Y$1:$AI""),11,0),iferror(vlookup(B72,importrange(""https://docs.google.com/spreadsheets/d/1p53T2AuvvIqhP7Nf-bo3Uhj8cbKYRPpZdsrBv3x3bAQ/edit?resourcekey#gid=1321652304"",""Prop!$AJ$1:$AT""),11,0),iferror(vlookup(B72,importrange(""https://docs.google.com/"&amp;"spreadsheets/d/1p53T2AuvvIqhP7Nf-bo3Uhj8cbKYRPpZdsrBv3x3bAQ/edit?resourcekey#gid=1321652304"",""Prop!$AU$1:$BE""),11,0),iferror(vlookup(B72,importrange(""https://docs.google.com/spreadsheets/d/1p53T2AuvvIqhP7Nf-bo3Uhj8cbKYRPpZdsrBv3x3bAQ/edit?resourcekey#"&amp;"gid=1321652304"",""Prop!$BF$1:$BP""),11,0),iferror(vlookup(B72,importrange(""https://docs.google.com/spreadsheets/d/1p53T2AuvvIqhP7Nf-bo3Uhj8cbKYRPpZdsrBv3x3bAQ/edit?resourcekey#gid=1321652304"",""Prop!$BQ$1:$CA""),11,0),iferror(vlookup(B72,importrange("""&amp;"https://docs.google.com/spreadsheets/d/1p53T2AuvvIqhP7Nf-bo3Uhj8cbKYRPpZdsrBv3x3bAQ/edit?resourcekey#gid=1321652304"",""Prop!$CB$1:$CL""),11,0),iferror(vlookup(B72,importrange(""https://docs.google.com/spreadsheets/d/1p53T2AuvvIqhP7Nf-bo3Uhj8cbKYRPpZdsrBv"&amp;"3x3bAQ/edit?resourcekey#gid=1321652304"",""Prop!$CM$1:$CX""),11,0),iferror(vlookup(B72,importrange(""https://docs.google.com/spreadsheets/d/1p53T2AuvvIqhP7Nf-bo3Uhj8cbKYRPpZdsrBv3x3bAQ/edit?resourcekey#gid=1321652304"",""Prop!$CY$1:$DI""),11,0)))))))))))"),"https://drive.google.com/open?id=1C77_ScHOvpselbtjG1LfBp-caADaLzJu")</f>
        <v>https://drive.google.com/open?id=1C77_ScHOvpselbtjG1LfBp-caADaLzJu</v>
      </c>
      <c r="R72" s="88" t="s">
        <v>1101</v>
      </c>
      <c r="S72" s="20" t="str">
        <f ca="1">IFERROR(__xludf.DUMMYFUNCTION("IFERROR(vlookup(B72,IMPORTRANGE(""https://docs.google.com/spreadsheets/d/1g_jfYYK_KeipEDNDUgqgrsxK94XiocfNQIcP-v1QVhI/edit?resourcekey#gid=233272945"",""Nilai!B:CT""),57,0),"" "")"),"Double proposal/penilaian pada ID 3275
")</f>
        <v xml:space="preserve">Double proposal/penilaian pada ID 3275
</v>
      </c>
      <c r="T72" s="20" t="str">
        <f ca="1">IFERROR(__xludf.DUMMYFUNCTION("IFERROR(vlookup(B72,IMPORTRANGE(""https://docs.google.com/spreadsheets/d/1g_jfYYK_KeipEDNDUgqgrsxK94XiocfNQIcP-v1QVhI/edit?resourcekey#gid=233272945"",""Nilai!B:CT""),97,0),"" "")"),"TIDAK LAYAK UPLOAD KE SIMBELMAWA")</f>
        <v>TIDAK LAYAK UPLOAD KE SIMBELMAWA</v>
      </c>
      <c r="U72" s="36" t="s">
        <v>825</v>
      </c>
      <c r="V72" s="85" t="s">
        <v>1102</v>
      </c>
      <c r="W72" s="17" t="s">
        <v>1146</v>
      </c>
      <c r="X72" s="34" t="b">
        <v>0</v>
      </c>
    </row>
    <row r="73" spans="1:24" ht="69">
      <c r="A73" s="15">
        <v>71</v>
      </c>
      <c r="B73" s="15">
        <f ca="1">IFERROR(__xludf.DUMMYFUNCTION("""COMPUTED_VALUE"""),2859)</f>
        <v>2859</v>
      </c>
      <c r="C73" s="16" t="str">
        <f ca="1">IFERROR(__xludf.DUMMYFUNCTION("""COMPUTED_VALUE"""),"MUHAMMAD FARHAN NABHAN")</f>
        <v>MUHAMMAD FARHAN NABHAN</v>
      </c>
      <c r="D73" s="16" t="str">
        <f ca="1">IFERROR(__xludf.DUMMYFUNCTION("""COMPUTED_VALUE"""),"10411810000078")</f>
        <v>10411810000078</v>
      </c>
      <c r="E73" s="16" t="str">
        <f ca="1">IFERROR(__xludf.DUMMYFUNCTION("""COMPUTED_VALUE"""),"Departemen Teknik Kimia Industri")</f>
        <v>Departemen Teknik Kimia Industri</v>
      </c>
      <c r="F73" s="16" t="str">
        <f ca="1">IFERROR(__xludf.DUMMYFUNCTION("""COMPUTED_VALUE"""),"Sintesis Zeolite A dari Abu Sekam Padi dengan Radiasi Gelombang Mikro Sebagai Builder Agent pada Deterjen Ramah Lingkungan")</f>
        <v>Sintesis Zeolite A dari Abu Sekam Padi dengan Radiasi Gelombang Mikro Sebagai Builder Agent pada Deterjen Ramah Lingkungan</v>
      </c>
      <c r="G73" s="16" t="str">
        <f ca="1">IFERROR(__xludf.DUMMYFUNCTION("""COMPUTED_VALUE"""),"Ir. Elly Agustiani, M.Eng")</f>
        <v>Ir. Elly Agustiani, M.Eng</v>
      </c>
      <c r="H73" s="16" t="str">
        <f ca="1">IFERROR(__xludf.DUMMYFUNCTION("""COMPUTED_VALUE"""),"Dr. Awik Puji Dyah Nurhayati, S.Si., M.Si.")</f>
        <v>Dr. Awik Puji Dyah Nurhayati, S.Si., M.Si.</v>
      </c>
      <c r="I73" s="16" t="str">
        <f ca="1">IFERROR(__xludf.DUMMYFUNCTION("""COMPUTED_VALUE"""),"Sena Safarina , S.Si., M.Sc., D.Sc")</f>
        <v>Sena Safarina , S.Si., M.Sc., D.Sc</v>
      </c>
      <c r="J73" s="16"/>
      <c r="K73" s="17" t="s">
        <v>1148</v>
      </c>
      <c r="L73" s="17" t="s">
        <v>1147</v>
      </c>
      <c r="M73" s="19" t="b">
        <v>1</v>
      </c>
      <c r="N73" s="19" t="b">
        <v>1</v>
      </c>
      <c r="O73" s="1" t="s">
        <v>1139</v>
      </c>
      <c r="P73" s="7" t="str">
        <f ca="1">IFERROR(__xludf.DUMMYFUNCTION("iferror(vlookup(B73,importrange(""https://docs.google.com/spreadsheets/d/1boHyJQ4e2FU0QG8MHwEi6qjX4hvZWVCHcFfXjq7bbMc/edit?resourcekey#gid=923248883"",""Prop!$C$1:$M""),11,0),IFERROR(vlookup(B73,importrange(""https://docs.google.com/spreadsheets/d/1boHyJQ"&amp;"4e2FU0QG8MHwEi6qjX4hvZWVCHcFfXjq7bbMc/edit?resourcekey#gid=923248883"",""Prop!$N$1:$X""),11,0),iferror(vlookup(B73,importrange(""https://docs.google.com/spreadsheets/d/1boHyJQ4e2FU0QG8MHwEi6qjX4hvZWVCHcFfXjq7bbMc/edit?resourcekey#gid=923248883"",""Prop!$Y"&amp;"$1:$AI""),11,0),iferror(vlookup(B73,importrange(""https://docs.google.com/spreadsheets/d/1boHyJQ4e2FU0QG8MHwEi6qjX4hvZWVCHcFfXjq7bbMc/edit?resourcekey#gid=923248883"",""Prop!$AJ$1:$AT""),11,0),iferror(vlookup(B73,importrange(""https://docs.google.com/spre"&amp;"adsheets/d/1boHyJQ4e2FU0QG8MHwEi6qjX4hvZWVCHcFfXjq7bbMc/edit?resourcekey#gid=923248883"",""Prop!$AU$1:$BE""),11,0),iferror(vlookup(B73,importrange(""https://docs.google.com/spreadsheets/d/1boHyJQ4e2FU0QG8MHwEi6qjX4hvZWVCHcFfXjq7bbMc/edit?resourcekey#gid=9"&amp;"23248883"",""Prop!$BF$1:$BP""),11,0),iferror(vlookup(B73,importrange(""https://docs.google.com/spreadsheets/d/1boHyJQ4e2FU0QG8MHwEi6qjX4hvZWVCHcFfXjq7bbMc/edit?resourcekey#gid=923248883"",""Prop!$BQ$1:$CA""),11,0),iferror(vlookup(B73,importrange(""https:/"&amp;"/docs.google.com/spreadsheets/d/1boHyJQ4e2FU0QG8MHwEi6qjX4hvZWVCHcFfXjq7bbMc/edit?resourcekey#gid=923248883"",""Prop!$CB$1:$CL""),11,0),iferror(vlookup(B73,importrange(""https://docs.google.com/spreadsheets/d/1boHyJQ4e2FU0QG8MHwEi6qjX4hvZWVCHcFfXjq7bbMc/e"&amp;"dit?resourcekey#gid=923248883"",""Prop!$CM$1:$CX""),12,0),iferror(vlookup(B73,importrange(""https://docs.google.com/spreadsheets/d/1boHyJQ4e2FU0QG8MHwEi6qjX4hvZWVCHcFfXjq7bbMc/edit?resourcekey#gid=923248883"",""Prop!$CV$1:$DI""),11,0)))))))))))"),"https://drive.google.com/open?id=11w5Cwbwp_LAlxA4nIqpq_N4L5GcTW73_")</f>
        <v>https://drive.google.com/open?id=11w5Cwbwp_LAlxA4nIqpq_N4L5GcTW73_</v>
      </c>
      <c r="Q73" s="7" t="str">
        <f ca="1">IFERROR(__xludf.DUMMYFUNCTION("iferror(vlookup(B73,importrange(""https://docs.google.com/spreadsheets/d/1p53T2AuvvIqhP7Nf-bo3Uhj8cbKYRPpZdsrBv3x3bAQ/edit?resourcekey#gid=1321652304"",""Prop!$C$1:$M""),11,0),IFERROR(vlookup(B73,importrange(""https://docs.google.com/spreadsheets/d/1p53T2"&amp;"AuvvIqhP7Nf-bo3Uhj8cbKYRPpZdsrBv3x3bAQ/edit?resourcekey#gid=1321652304"",""Prop!$N$1:$X""),11,0),iferror(vlookup(B73,importrange(""https://docs.google.com/spreadsheets/d/1p53T2AuvvIqhP7Nf-bo3Uhj8cbKYRPpZdsrBv3x3bAQ/edit?resourcekey#gid=1321652304"",""Prop"&amp;"!$Y$1:$AI""),11,0),iferror(vlookup(B73,importrange(""https://docs.google.com/spreadsheets/d/1p53T2AuvvIqhP7Nf-bo3Uhj8cbKYRPpZdsrBv3x3bAQ/edit?resourcekey#gid=1321652304"",""Prop!$AJ$1:$AT""),11,0),iferror(vlookup(B73,importrange(""https://docs.google.com/"&amp;"spreadsheets/d/1p53T2AuvvIqhP7Nf-bo3Uhj8cbKYRPpZdsrBv3x3bAQ/edit?resourcekey#gid=1321652304"",""Prop!$AU$1:$BE""),11,0),iferror(vlookup(B73,importrange(""https://docs.google.com/spreadsheets/d/1p53T2AuvvIqhP7Nf-bo3Uhj8cbKYRPpZdsrBv3x3bAQ/edit?resourcekey#"&amp;"gid=1321652304"",""Prop!$BF$1:$BP""),11,0),iferror(vlookup(B73,importrange(""https://docs.google.com/spreadsheets/d/1p53T2AuvvIqhP7Nf-bo3Uhj8cbKYRPpZdsrBv3x3bAQ/edit?resourcekey#gid=1321652304"",""Prop!$BQ$1:$CA""),11,0),iferror(vlookup(B73,importrange("""&amp;"https://docs.google.com/spreadsheets/d/1p53T2AuvvIqhP7Nf-bo3Uhj8cbKYRPpZdsrBv3x3bAQ/edit?resourcekey#gid=1321652304"",""Prop!$CB$1:$CL""),11,0),iferror(vlookup(B73,importrange(""https://docs.google.com/spreadsheets/d/1p53T2AuvvIqhP7Nf-bo3Uhj8cbKYRPpZdsrBv"&amp;"3x3bAQ/edit?resourcekey#gid=1321652304"",""Prop!$CM$1:$CX""),11,0),iferror(vlookup(B73,importrange(""https://docs.google.com/spreadsheets/d/1p53T2AuvvIqhP7Nf-bo3Uhj8cbKYRPpZdsrBv3x3bAQ/edit?resourcekey#gid=1321652304"",""Prop!$CY$1:$DI""),11,0)))))))))))"),"https://drive.google.com/open?id=1145-hyW-JfO3Zdt8g8SN_yV9pLMfzhm1")</f>
        <v>https://drive.google.com/open?id=1145-hyW-JfO3Zdt8g8SN_yV9pLMfzhm1</v>
      </c>
      <c r="R73" s="88" t="s">
        <v>1101</v>
      </c>
      <c r="S73" s="20" t="str">
        <f ca="1">IFERROR(__xludf.DUMMYFUNCTION("IFERROR(vlookup(B73,IMPORTRANGE(""https://docs.google.com/spreadsheets/d/1g_jfYYK_KeipEDNDUgqgrsxK94XiocfNQIcP-v1QVhI/edit?resourcekey#gid=233272945"",""Nilai!B:CT""),57,0),"" "")"),"Penulisan jadwal kegiatan dirapikan, RAB disesuaikan dengan ITS
")</f>
        <v xml:space="preserve">Penulisan jadwal kegiatan dirapikan, RAB disesuaikan dengan ITS
</v>
      </c>
      <c r="T73" s="20" t="str">
        <f ca="1">IFERROR(__xludf.DUMMYFUNCTION("IFERROR(vlookup(B73,IMPORTRANGE(""https://docs.google.com/spreadsheets/d/1g_jfYYK_KeipEDNDUgqgrsxK94XiocfNQIcP-v1QVhI/edit?resourcekey#gid=233272945"",""Nilai!B:CT""),97,0),"" "")"),"LAYAK UPLOAD KE SIMBELMAWA DENGAN REVISI")</f>
        <v>LAYAK UPLOAD KE SIMBELMAWA DENGAN REVISI</v>
      </c>
      <c r="U73" s="36" t="s">
        <v>825</v>
      </c>
      <c r="V73" s="85" t="s">
        <v>1102</v>
      </c>
      <c r="W73" s="17" t="s">
        <v>1149</v>
      </c>
      <c r="X73" s="34" t="s">
        <v>949</v>
      </c>
    </row>
    <row r="74" spans="1:24" ht="72">
      <c r="A74" s="15">
        <v>72</v>
      </c>
      <c r="B74" s="15">
        <f ca="1">IFERROR(__xludf.DUMMYFUNCTION("""COMPUTED_VALUE"""),2990)</f>
        <v>2990</v>
      </c>
      <c r="C74" s="16" t="str">
        <f ca="1">IFERROR(__xludf.DUMMYFUNCTION("""COMPUTED_VALUE"""),"ANGGUN SEKAR MADHANI")</f>
        <v>ANGGUN SEKAR MADHANI</v>
      </c>
      <c r="D74" s="16" t="str">
        <f ca="1">IFERROR(__xludf.DUMMYFUNCTION("""COMPUTED_VALUE"""),"5008201087")</f>
        <v>5008201087</v>
      </c>
      <c r="E74" s="16" t="str">
        <f ca="1">IFERROR(__xludf.DUMMYFUNCTION("""COMPUTED_VALUE"""),"Departemen Teknik Kimia")</f>
        <v>Departemen Teknik Kimia</v>
      </c>
      <c r="F74" s="16" t="str">
        <f ca="1">IFERROR(__xludf.DUMMYFUNCTION("""COMPUTED_VALUE"""),"MINYAK GORENG SEHAT DARI CRUDE PALM OIL (CPO) DENGAN METODE KOMBINASI MICROWAVE ASSISTED EXTRACTION (MAE)-BATCHWISE SOLVENT EXTRACTION (BSE)")</f>
        <v>MINYAK GORENG SEHAT DARI CRUDE PALM OIL (CPO) DENGAN METODE KOMBINASI MICROWAVE ASSISTED EXTRACTION (MAE)-BATCHWISE SOLVENT EXTRACTION (BSE)</v>
      </c>
      <c r="G74" s="16" t="str">
        <f ca="1">IFERROR(__xludf.DUMMYFUNCTION("""COMPUTED_VALUE"""),"Hakun Wirawasista Aparamarta, S.T., M.MT., Ph.D.")</f>
        <v>Hakun Wirawasista Aparamarta, S.T., M.MT., Ph.D.</v>
      </c>
      <c r="H74" s="16" t="str">
        <f ca="1">IFERROR(__xludf.DUMMYFUNCTION("""COMPUTED_VALUE"""),"Dr. Awik Puji Dyah Nurhayati, S.Si., M.Si.")</f>
        <v>Dr. Awik Puji Dyah Nurhayati, S.Si., M.Si.</v>
      </c>
      <c r="I74" s="16" t="str">
        <f ca="1">IFERROR(__xludf.DUMMYFUNCTION("""COMPUTED_VALUE"""),"Sena Safarina , S.Si., M.Sc., D.Sc")</f>
        <v>Sena Safarina , S.Si., M.Sc., D.Sc</v>
      </c>
      <c r="J74" s="16"/>
      <c r="K74" s="17" t="s">
        <v>1148</v>
      </c>
      <c r="L74" s="17" t="s">
        <v>1147</v>
      </c>
      <c r="M74" s="19" t="b">
        <v>1</v>
      </c>
      <c r="N74" s="19" t="b">
        <v>1</v>
      </c>
      <c r="O74" s="1" t="s">
        <v>1150</v>
      </c>
      <c r="P74" s="7" t="str">
        <f ca="1">IFERROR(__xludf.DUMMYFUNCTION("iferror(vlookup(B74,importrange(""https://docs.google.com/spreadsheets/d/1boHyJQ4e2FU0QG8MHwEi6qjX4hvZWVCHcFfXjq7bbMc/edit?resourcekey#gid=923248883"",""Prop!$C$1:$M""),11,0),IFERROR(vlookup(B74,importrange(""https://docs.google.com/spreadsheets/d/1boHyJQ"&amp;"4e2FU0QG8MHwEi6qjX4hvZWVCHcFfXjq7bbMc/edit?resourcekey#gid=923248883"",""Prop!$N$1:$X""),11,0),iferror(vlookup(B74,importrange(""https://docs.google.com/spreadsheets/d/1boHyJQ4e2FU0QG8MHwEi6qjX4hvZWVCHcFfXjq7bbMc/edit?resourcekey#gid=923248883"",""Prop!$Y"&amp;"$1:$AI""),11,0),iferror(vlookup(B74,importrange(""https://docs.google.com/spreadsheets/d/1boHyJQ4e2FU0QG8MHwEi6qjX4hvZWVCHcFfXjq7bbMc/edit?resourcekey#gid=923248883"",""Prop!$AJ$1:$AT""),11,0),iferror(vlookup(B74,importrange(""https://docs.google.com/spre"&amp;"adsheets/d/1boHyJQ4e2FU0QG8MHwEi6qjX4hvZWVCHcFfXjq7bbMc/edit?resourcekey#gid=923248883"",""Prop!$AU$1:$BE""),11,0),iferror(vlookup(B74,importrange(""https://docs.google.com/spreadsheets/d/1boHyJQ4e2FU0QG8MHwEi6qjX4hvZWVCHcFfXjq7bbMc/edit?resourcekey#gid=9"&amp;"23248883"",""Prop!$BF$1:$BP""),11,0),iferror(vlookup(B74,importrange(""https://docs.google.com/spreadsheets/d/1boHyJQ4e2FU0QG8MHwEi6qjX4hvZWVCHcFfXjq7bbMc/edit?resourcekey#gid=923248883"",""Prop!$BQ$1:$CA""),11,0),iferror(vlookup(B74,importrange(""https:/"&amp;"/docs.google.com/spreadsheets/d/1boHyJQ4e2FU0QG8MHwEi6qjX4hvZWVCHcFfXjq7bbMc/edit?resourcekey#gid=923248883"",""Prop!$CB$1:$CL""),11,0),iferror(vlookup(B74,importrange(""https://docs.google.com/spreadsheets/d/1boHyJQ4e2FU0QG8MHwEi6qjX4hvZWVCHcFfXjq7bbMc/e"&amp;"dit?resourcekey#gid=923248883"",""Prop!$CM$1:$CX""),12,0),iferror(vlookup(B74,importrange(""https://docs.google.com/spreadsheets/d/1boHyJQ4e2FU0QG8MHwEi6qjX4hvZWVCHcFfXjq7bbMc/edit?resourcekey#gid=923248883"",""Prop!$CV$1:$DI""),11,0)))))))))))"),"https://drive.google.com/open?id=1ZwFPqM59bJWMCml-OMe8ydUGKDNDhFQz")</f>
        <v>https://drive.google.com/open?id=1ZwFPqM59bJWMCml-OMe8ydUGKDNDhFQz</v>
      </c>
      <c r="Q74" s="7" t="str">
        <f ca="1">IFERROR(__xludf.DUMMYFUNCTION("iferror(vlookup(B74,importrange(""https://docs.google.com/spreadsheets/d/1p53T2AuvvIqhP7Nf-bo3Uhj8cbKYRPpZdsrBv3x3bAQ/edit?resourcekey#gid=1321652304"",""Prop!$C$1:$M""),11,0),IFERROR(vlookup(B74,importrange(""https://docs.google.com/spreadsheets/d/1p53T2"&amp;"AuvvIqhP7Nf-bo3Uhj8cbKYRPpZdsrBv3x3bAQ/edit?resourcekey#gid=1321652304"",""Prop!$N$1:$X""),11,0),iferror(vlookup(B74,importrange(""https://docs.google.com/spreadsheets/d/1p53T2AuvvIqhP7Nf-bo3Uhj8cbKYRPpZdsrBv3x3bAQ/edit?resourcekey#gid=1321652304"",""Prop"&amp;"!$Y$1:$AI""),11,0),iferror(vlookup(B74,importrange(""https://docs.google.com/spreadsheets/d/1p53T2AuvvIqhP7Nf-bo3Uhj8cbKYRPpZdsrBv3x3bAQ/edit?resourcekey#gid=1321652304"",""Prop!$AJ$1:$AT""),11,0),iferror(vlookup(B74,importrange(""https://docs.google.com/"&amp;"spreadsheets/d/1p53T2AuvvIqhP7Nf-bo3Uhj8cbKYRPpZdsrBv3x3bAQ/edit?resourcekey#gid=1321652304"",""Prop!$AU$1:$BE""),11,0),iferror(vlookup(B74,importrange(""https://docs.google.com/spreadsheets/d/1p53T2AuvvIqhP7Nf-bo3Uhj8cbKYRPpZdsrBv3x3bAQ/edit?resourcekey#"&amp;"gid=1321652304"",""Prop!$BF$1:$BP""),11,0),iferror(vlookup(B74,importrange(""https://docs.google.com/spreadsheets/d/1p53T2AuvvIqhP7Nf-bo3Uhj8cbKYRPpZdsrBv3x3bAQ/edit?resourcekey#gid=1321652304"",""Prop!$BQ$1:$CA""),11,0),iferror(vlookup(B74,importrange("""&amp;"https://docs.google.com/spreadsheets/d/1p53T2AuvvIqhP7Nf-bo3Uhj8cbKYRPpZdsrBv3x3bAQ/edit?resourcekey#gid=1321652304"",""Prop!$CB$1:$CL""),11,0),iferror(vlookup(B74,importrange(""https://docs.google.com/spreadsheets/d/1p53T2AuvvIqhP7Nf-bo3Uhj8cbKYRPpZdsrBv"&amp;"3x3bAQ/edit?resourcekey#gid=1321652304"",""Prop!$CM$1:$CX""),11,0),iferror(vlookup(B74,importrange(""https://docs.google.com/spreadsheets/d/1p53T2AuvvIqhP7Nf-bo3Uhj8cbKYRPpZdsrBv3x3bAQ/edit?resourcekey#gid=1321652304"",""Prop!$CY$1:$DI""),11,0)))))))))))"),"https://drive.google.com/open?id=1S4B94NZS2gmAnvJ_d636S2rT2VFYvuVy")</f>
        <v>https://drive.google.com/open?id=1S4B94NZS2gmAnvJ_d636S2rT2VFYvuVy</v>
      </c>
      <c r="R74" s="88" t="s">
        <v>1101</v>
      </c>
      <c r="S74" s="20" t="str">
        <f ca="1">IFERROR(__xludf.DUMMYFUNCTION("IFERROR(vlookup(B74,IMPORTRANGE(""https://docs.google.com/spreadsheets/d/1g_jfYYK_KeipEDNDUgqgrsxK94XiocfNQIcP-v1QVhI/edit?resourcekey#gid=233272945"",""Nilai!B:CT""),57,0),"" "")"),"tinjauan pustaka dan metode, RAB diperbaiki")</f>
        <v>tinjauan pustaka dan metode, RAB diperbaiki</v>
      </c>
      <c r="T74" s="20" t="str">
        <f ca="1">IFERROR(__xludf.DUMMYFUNCTION("IFERROR(vlookup(B74,IMPORTRANGE(""https://docs.google.com/spreadsheets/d/1g_jfYYK_KeipEDNDUgqgrsxK94XiocfNQIcP-v1QVhI/edit?resourcekey#gid=233272945"",""Nilai!B:CT""),97,0),"" "")"),"LAYAK UPLOAD KE SIMBELMAWA DENGAN REVISI")</f>
        <v>LAYAK UPLOAD KE SIMBELMAWA DENGAN REVISI</v>
      </c>
      <c r="U74" s="36" t="s">
        <v>825</v>
      </c>
      <c r="V74" s="85" t="s">
        <v>1102</v>
      </c>
      <c r="W74" s="17" t="s">
        <v>1149</v>
      </c>
      <c r="X74" s="34" t="s">
        <v>949</v>
      </c>
    </row>
    <row r="75" spans="1:24" ht="72">
      <c r="A75" s="15">
        <v>73</v>
      </c>
      <c r="B75" s="15">
        <f ca="1">IFERROR(__xludf.DUMMYFUNCTION("""COMPUTED_VALUE"""),3060)</f>
        <v>3060</v>
      </c>
      <c r="C75" s="16" t="str">
        <f ca="1">IFERROR(__xludf.DUMMYFUNCTION("""COMPUTED_VALUE"""),"YOSEPH MEIDYANTO H.")</f>
        <v>YOSEPH MEIDYANTO H.</v>
      </c>
      <c r="D75" s="16" t="str">
        <f ca="1">IFERROR(__xludf.DUMMYFUNCTION("""COMPUTED_VALUE"""),"2041211044")</f>
        <v>2041211044</v>
      </c>
      <c r="E75" s="16" t="str">
        <f ca="1">IFERROR(__xludf.DUMMYFUNCTION("""COMPUTED_VALUE"""),"Departemen Teknik Kimia Industri")</f>
        <v>Departemen Teknik Kimia Industri</v>
      </c>
      <c r="F75" s="16" t="str">
        <f ca="1">IFERROR(__xludf.DUMMYFUNCTION("""COMPUTED_VALUE"""),"ALTERNATIF EDIBLE FILM PEKTIN MODIFIKASI BERBASIS KULIT LABU KUNING SEBAGAI INOVASI KEMASAN RAMAH LINGKUNGAN
")</f>
        <v xml:space="preserve">ALTERNATIF EDIBLE FILM PEKTIN MODIFIKASI BERBASIS KULIT LABU KUNING SEBAGAI INOVASI KEMASAN RAMAH LINGKUNGAN
</v>
      </c>
      <c r="G75" s="16" t="str">
        <f ca="1">IFERROR(__xludf.DUMMYFUNCTION("""COMPUTED_VALUE"""),"Ir. Agus Surono, M.T.")</f>
        <v>Ir. Agus Surono, M.T.</v>
      </c>
      <c r="H75" s="16" t="str">
        <f ca="1">IFERROR(__xludf.DUMMYFUNCTION("""COMPUTED_VALUE"""),"Dr. Dhany Arifianto, S.T., M.Eng.")</f>
        <v>Dr. Dhany Arifianto, S.T., M.Eng.</v>
      </c>
      <c r="I75" s="16" t="str">
        <f ca="1">IFERROR(__xludf.DUMMYFUNCTION("""COMPUTED_VALUE"""),"Dra. Ratna Ediati, MS., Ph.D.")</f>
        <v>Dra. Ratna Ediati, MS., Ph.D.</v>
      </c>
      <c r="J75" s="16"/>
      <c r="K75" s="17" t="s">
        <v>1148</v>
      </c>
      <c r="L75" s="17" t="s">
        <v>1147</v>
      </c>
      <c r="M75" s="19" t="b">
        <v>0</v>
      </c>
      <c r="N75" s="19" t="b">
        <v>0</v>
      </c>
      <c r="O75" s="1" t="s">
        <v>1150</v>
      </c>
      <c r="P75" s="7" t="str">
        <f ca="1">IFERROR(__xludf.DUMMYFUNCTION("iferror(vlookup(B75,importrange(""https://docs.google.com/spreadsheets/d/1boHyJQ4e2FU0QG8MHwEi6qjX4hvZWVCHcFfXjq7bbMc/edit?resourcekey#gid=923248883"",""Prop!$C$1:$M""),11,0),IFERROR(vlookup(B75,importrange(""https://docs.google.com/spreadsheets/d/1boHyJQ"&amp;"4e2FU0QG8MHwEi6qjX4hvZWVCHcFfXjq7bbMc/edit?resourcekey#gid=923248883"",""Prop!$N$1:$X""),11,0),iferror(vlookup(B75,importrange(""https://docs.google.com/spreadsheets/d/1boHyJQ4e2FU0QG8MHwEi6qjX4hvZWVCHcFfXjq7bbMc/edit?resourcekey#gid=923248883"",""Prop!$Y"&amp;"$1:$AI""),11,0),iferror(vlookup(B75,importrange(""https://docs.google.com/spreadsheets/d/1boHyJQ4e2FU0QG8MHwEi6qjX4hvZWVCHcFfXjq7bbMc/edit?resourcekey#gid=923248883"",""Prop!$AJ$1:$AT""),11,0),iferror(vlookup(B75,importrange(""https://docs.google.com/spre"&amp;"adsheets/d/1boHyJQ4e2FU0QG8MHwEi6qjX4hvZWVCHcFfXjq7bbMc/edit?resourcekey#gid=923248883"",""Prop!$AU$1:$BE""),11,0),iferror(vlookup(B75,importrange(""https://docs.google.com/spreadsheets/d/1boHyJQ4e2FU0QG8MHwEi6qjX4hvZWVCHcFfXjq7bbMc/edit?resourcekey#gid=9"&amp;"23248883"",""Prop!$BF$1:$BP""),11,0),iferror(vlookup(B75,importrange(""https://docs.google.com/spreadsheets/d/1boHyJQ4e2FU0QG8MHwEi6qjX4hvZWVCHcFfXjq7bbMc/edit?resourcekey#gid=923248883"",""Prop!$BQ$1:$CA""),11,0),iferror(vlookup(B75,importrange(""https:/"&amp;"/docs.google.com/spreadsheets/d/1boHyJQ4e2FU0QG8MHwEi6qjX4hvZWVCHcFfXjq7bbMc/edit?resourcekey#gid=923248883"",""Prop!$CB$1:$CL""),11,0),iferror(vlookup(B75,importrange(""https://docs.google.com/spreadsheets/d/1boHyJQ4e2FU0QG8MHwEi6qjX4hvZWVCHcFfXjq7bbMc/e"&amp;"dit?resourcekey#gid=923248883"",""Prop!$CM$1:$CX""),12,0),iferror(vlookup(B75,importrange(""https://docs.google.com/spreadsheets/d/1boHyJQ4e2FU0QG8MHwEi6qjX4hvZWVCHcFfXjq7bbMc/edit?resourcekey#gid=923248883"",""Prop!$CV$1:$DI""),11,0)))))))))))"),"https://drive.google.com/open?id=1kZV5aLUxLeMxBK6O0HTj6ZX4YZpOQf5v")</f>
        <v>https://drive.google.com/open?id=1kZV5aLUxLeMxBK6O0HTj6ZX4YZpOQf5v</v>
      </c>
      <c r="Q75" s="7" t="str">
        <f ca="1">IFERROR(__xludf.DUMMYFUNCTION("iferror(vlookup(B75,importrange(""https://docs.google.com/spreadsheets/d/1p53T2AuvvIqhP7Nf-bo3Uhj8cbKYRPpZdsrBv3x3bAQ/edit?resourcekey#gid=1321652304"",""Prop!$C$1:$M""),11,0),IFERROR(vlookup(B75,importrange(""https://docs.google.com/spreadsheets/d/1p53T2"&amp;"AuvvIqhP7Nf-bo3Uhj8cbKYRPpZdsrBv3x3bAQ/edit?resourcekey#gid=1321652304"",""Prop!$N$1:$X""),11,0),iferror(vlookup(B75,importrange(""https://docs.google.com/spreadsheets/d/1p53T2AuvvIqhP7Nf-bo3Uhj8cbKYRPpZdsrBv3x3bAQ/edit?resourcekey#gid=1321652304"",""Prop"&amp;"!$Y$1:$AI""),11,0),iferror(vlookup(B75,importrange(""https://docs.google.com/spreadsheets/d/1p53T2AuvvIqhP7Nf-bo3Uhj8cbKYRPpZdsrBv3x3bAQ/edit?resourcekey#gid=1321652304"",""Prop!$AJ$1:$AT""),11,0),iferror(vlookup(B75,importrange(""https://docs.google.com/"&amp;"spreadsheets/d/1p53T2AuvvIqhP7Nf-bo3Uhj8cbKYRPpZdsrBv3x3bAQ/edit?resourcekey#gid=1321652304"",""Prop!$AU$1:$BE""),11,0),iferror(vlookup(B75,importrange(""https://docs.google.com/spreadsheets/d/1p53T2AuvvIqhP7Nf-bo3Uhj8cbKYRPpZdsrBv3x3bAQ/edit?resourcekey#"&amp;"gid=1321652304"",""Prop!$BF$1:$BP""),11,0),iferror(vlookup(B75,importrange(""https://docs.google.com/spreadsheets/d/1p53T2AuvvIqhP7Nf-bo3Uhj8cbKYRPpZdsrBv3x3bAQ/edit?resourcekey#gid=1321652304"",""Prop!$BQ$1:$CA""),11,0),iferror(vlookup(B75,importrange("""&amp;"https://docs.google.com/spreadsheets/d/1p53T2AuvvIqhP7Nf-bo3Uhj8cbKYRPpZdsrBv3x3bAQ/edit?resourcekey#gid=1321652304"",""Prop!$CB$1:$CL""),11,0),iferror(vlookup(B75,importrange(""https://docs.google.com/spreadsheets/d/1p53T2AuvvIqhP7Nf-bo3Uhj8cbKYRPpZdsrBv"&amp;"3x3bAQ/edit?resourcekey#gid=1321652304"",""Prop!$CM$1:$CX""),11,0),iferror(vlookup(B75,importrange(""https://docs.google.com/spreadsheets/d/1p53T2AuvvIqhP7Nf-bo3Uhj8cbKYRPpZdsrBv3x3bAQ/edit?resourcekey#gid=1321652304"",""Prop!$CY$1:$DI""),11,0)))))))))))"),"https://drive.google.com/open?id=1miv--YeoPr9xLFqN33RdLQIJoZvu4wiq")</f>
        <v>https://drive.google.com/open?id=1miv--YeoPr9xLFqN33RdLQIJoZvu4wiq</v>
      </c>
      <c r="R75" s="88" t="s">
        <v>1101</v>
      </c>
      <c r="S75" s="20" t="str">
        <f ca="1">IFERROR(__xludf.DUMMYFUNCTION("IFERROR(vlookup(B75,IMPORTRANGE(""https://docs.google.com/spreadsheets/d/1g_jfYYK_KeipEDNDUgqgrsxK94XiocfNQIcP-v1QVhI/edit?resourcekey#gid=233272945"",""Nilai!B:CT""),57,0),"" "")"),"MABA")</f>
        <v>MABA</v>
      </c>
      <c r="T75" s="20" t="str">
        <f ca="1">IFERROR(__xludf.DUMMYFUNCTION("IFERROR(vlookup(B75,IMPORTRANGE(""https://docs.google.com/spreadsheets/d/1g_jfYYK_KeipEDNDUgqgrsxK94XiocfNQIcP-v1QVhI/edit?resourcekey#gid=233272945"",""Nilai!B:CT""),97,0),"" "")"),"TIDAK LAYAK UPLOAD KE SIMBELMAWA")</f>
        <v>TIDAK LAYAK UPLOAD KE SIMBELMAWA</v>
      </c>
      <c r="U75" s="36" t="s">
        <v>825</v>
      </c>
      <c r="V75" s="85" t="s">
        <v>1102</v>
      </c>
      <c r="W75" s="17" t="s">
        <v>1149</v>
      </c>
      <c r="X75" s="34" t="b">
        <v>0</v>
      </c>
    </row>
    <row r="76" spans="1:24" ht="69">
      <c r="A76" s="15">
        <v>74</v>
      </c>
      <c r="B76" s="15">
        <f ca="1">IFERROR(__xludf.DUMMYFUNCTION("""COMPUTED_VALUE"""),3381)</f>
        <v>3381</v>
      </c>
      <c r="C76" s="16" t="str">
        <f ca="1">IFERROR(__xludf.DUMMYFUNCTION("""COMPUTED_VALUE"""),"KHAIRUNNISA AFIFAH AWWALIYYAH QOTHRUNNADA")</f>
        <v>KHAIRUNNISA AFIFAH AWWALIYYAH QOTHRUNNADA</v>
      </c>
      <c r="D76" s="16" t="str">
        <f ca="1">IFERROR(__xludf.DUMMYFUNCTION("""COMPUTED_VALUE"""),"10411910000072")</f>
        <v>10411910000072</v>
      </c>
      <c r="E76" s="16" t="str">
        <f ca="1">IFERROR(__xludf.DUMMYFUNCTION("""COMPUTED_VALUE"""),"Departemen Teknik Kimia Industri")</f>
        <v>Departemen Teknik Kimia Industri</v>
      </c>
      <c r="F76" s="16" t="str">
        <f ca="1">IFERROR(__xludf.DUMMYFUNCTION("""COMPUTED_VALUE"""),"Efektivitas Mikroba Konsorsium Terimobilisasi pada Na-Alginat untuk Pengolahan Limbah Industri Tahu")</f>
        <v>Efektivitas Mikroba Konsorsium Terimobilisasi pada Na-Alginat untuk Pengolahan Limbah Industri Tahu</v>
      </c>
      <c r="G76" s="16" t="str">
        <f ca="1">IFERROR(__xludf.DUMMYFUNCTION("""COMPUTED_VALUE"""),"Dr. Afan Hamzah, S.T.")</f>
        <v>Dr. Afan Hamzah, S.T.</v>
      </c>
      <c r="H76" s="16" t="str">
        <f ca="1">IFERROR(__xludf.DUMMYFUNCTION("""COMPUTED_VALUE"""),"Ahmad Fauzan Adziimaa, S.T., M.Sc.")</f>
        <v>Ahmad Fauzan Adziimaa, S.T., M.Sc.</v>
      </c>
      <c r="I76" s="16" t="str">
        <f ca="1">IFERROR(__xludf.DUMMYFUNCTION("""COMPUTED_VALUE"""),"Sena Safarina , S.Si., M.Sc., D.Sc")</f>
        <v>Sena Safarina , S.Si., M.Sc., D.Sc</v>
      </c>
      <c r="J76" s="16"/>
      <c r="K76" s="17" t="s">
        <v>1148</v>
      </c>
      <c r="L76" s="17" t="s">
        <v>1151</v>
      </c>
      <c r="M76" s="19" t="b">
        <v>1</v>
      </c>
      <c r="N76" s="19" t="b">
        <v>1</v>
      </c>
      <c r="O76" s="1" t="s">
        <v>1150</v>
      </c>
      <c r="P76" s="7" t="str">
        <f ca="1">IFERROR(__xludf.DUMMYFUNCTION("iferror(vlookup(B76,importrange(""https://docs.google.com/spreadsheets/d/1boHyJQ4e2FU0QG8MHwEi6qjX4hvZWVCHcFfXjq7bbMc/edit?resourcekey#gid=923248883"",""Prop!$C$1:$M""),11,0),IFERROR(vlookup(B76,importrange(""https://docs.google.com/spreadsheets/d/1boHyJQ"&amp;"4e2FU0QG8MHwEi6qjX4hvZWVCHcFfXjq7bbMc/edit?resourcekey#gid=923248883"",""Prop!$N$1:$X""),11,0),iferror(vlookup(B76,importrange(""https://docs.google.com/spreadsheets/d/1boHyJQ4e2FU0QG8MHwEi6qjX4hvZWVCHcFfXjq7bbMc/edit?resourcekey#gid=923248883"",""Prop!$Y"&amp;"$1:$AI""),11,0),iferror(vlookup(B76,importrange(""https://docs.google.com/spreadsheets/d/1boHyJQ4e2FU0QG8MHwEi6qjX4hvZWVCHcFfXjq7bbMc/edit?resourcekey#gid=923248883"",""Prop!$AJ$1:$AT""),11,0),iferror(vlookup(B76,importrange(""https://docs.google.com/spre"&amp;"adsheets/d/1boHyJQ4e2FU0QG8MHwEi6qjX4hvZWVCHcFfXjq7bbMc/edit?resourcekey#gid=923248883"",""Prop!$AU$1:$BE""),11,0),iferror(vlookup(B76,importrange(""https://docs.google.com/spreadsheets/d/1boHyJQ4e2FU0QG8MHwEi6qjX4hvZWVCHcFfXjq7bbMc/edit?resourcekey#gid=9"&amp;"23248883"",""Prop!$BF$1:$BP""),11,0),iferror(vlookup(B76,importrange(""https://docs.google.com/spreadsheets/d/1boHyJQ4e2FU0QG8MHwEi6qjX4hvZWVCHcFfXjq7bbMc/edit?resourcekey#gid=923248883"",""Prop!$BQ$1:$CA""),11,0),iferror(vlookup(B76,importrange(""https:/"&amp;"/docs.google.com/spreadsheets/d/1boHyJQ4e2FU0QG8MHwEi6qjX4hvZWVCHcFfXjq7bbMc/edit?resourcekey#gid=923248883"",""Prop!$CB$1:$CL""),11,0),iferror(vlookup(B76,importrange(""https://docs.google.com/spreadsheets/d/1boHyJQ4e2FU0QG8MHwEi6qjX4hvZWVCHcFfXjq7bbMc/e"&amp;"dit?resourcekey#gid=923248883"",""Prop!$CM$1:$CX""),12,0),iferror(vlookup(B76,importrange(""https://docs.google.com/spreadsheets/d/1boHyJQ4e2FU0QG8MHwEi6qjX4hvZWVCHcFfXjq7bbMc/edit?resourcekey#gid=923248883"",""Prop!$CV$1:$DI""),11,0)))))))))))"),"https://drive.google.com/open?id=1ai4sd47yqMM-WKUuTI55tJ1dZqvddgcI")</f>
        <v>https://drive.google.com/open?id=1ai4sd47yqMM-WKUuTI55tJ1dZqvddgcI</v>
      </c>
      <c r="Q76" s="7" t="str">
        <f ca="1">IFERROR(__xludf.DUMMYFUNCTION("iferror(vlookup(B76,importrange(""https://docs.google.com/spreadsheets/d/1p53T2AuvvIqhP7Nf-bo3Uhj8cbKYRPpZdsrBv3x3bAQ/edit?resourcekey#gid=1321652304"",""Prop!$C$1:$M""),11,0),IFERROR(vlookup(B76,importrange(""https://docs.google.com/spreadsheets/d/1p53T2"&amp;"AuvvIqhP7Nf-bo3Uhj8cbKYRPpZdsrBv3x3bAQ/edit?resourcekey#gid=1321652304"",""Prop!$N$1:$X""),11,0),iferror(vlookup(B76,importrange(""https://docs.google.com/spreadsheets/d/1p53T2AuvvIqhP7Nf-bo3Uhj8cbKYRPpZdsrBv3x3bAQ/edit?resourcekey#gid=1321652304"",""Prop"&amp;"!$Y$1:$AI""),11,0),iferror(vlookup(B76,importrange(""https://docs.google.com/spreadsheets/d/1p53T2AuvvIqhP7Nf-bo3Uhj8cbKYRPpZdsrBv3x3bAQ/edit?resourcekey#gid=1321652304"",""Prop!$AJ$1:$AT""),11,0),iferror(vlookup(B76,importrange(""https://docs.google.com/"&amp;"spreadsheets/d/1p53T2AuvvIqhP7Nf-bo3Uhj8cbKYRPpZdsrBv3x3bAQ/edit?resourcekey#gid=1321652304"",""Prop!$AU$1:$BE""),11,0),iferror(vlookup(B76,importrange(""https://docs.google.com/spreadsheets/d/1p53T2AuvvIqhP7Nf-bo3Uhj8cbKYRPpZdsrBv3x3bAQ/edit?resourcekey#"&amp;"gid=1321652304"",""Prop!$BF$1:$BP""),11,0),iferror(vlookup(B76,importrange(""https://docs.google.com/spreadsheets/d/1p53T2AuvvIqhP7Nf-bo3Uhj8cbKYRPpZdsrBv3x3bAQ/edit?resourcekey#gid=1321652304"",""Prop!$BQ$1:$CA""),11,0),iferror(vlookup(B76,importrange("""&amp;"https://docs.google.com/spreadsheets/d/1p53T2AuvvIqhP7Nf-bo3Uhj8cbKYRPpZdsrBv3x3bAQ/edit?resourcekey#gid=1321652304"",""Prop!$CB$1:$CL""),11,0),iferror(vlookup(B76,importrange(""https://docs.google.com/spreadsheets/d/1p53T2AuvvIqhP7Nf-bo3Uhj8cbKYRPpZdsrBv"&amp;"3x3bAQ/edit?resourcekey#gid=1321652304"",""Prop!$CM$1:$CX""),11,0),iferror(vlookup(B76,importrange(""https://docs.google.com/spreadsheets/d/1p53T2AuvvIqhP7Nf-bo3Uhj8cbKYRPpZdsrBv3x3bAQ/edit?resourcekey#gid=1321652304"",""Prop!$CY$1:$DI""),11,0)))))))))))"),"https://drive.google.com/open?id=1Je2gyiuXfig4OfNSy49R2Z3yYFmijupX")</f>
        <v>https://drive.google.com/open?id=1Je2gyiuXfig4OfNSy49R2Z3yYFmijupX</v>
      </c>
      <c r="R76" s="88" t="s">
        <v>1101</v>
      </c>
      <c r="S76" s="20" t="str">
        <f ca="1">IFERROR(__xludf.DUMMYFUNCTION("IFERROR(vlookup(B76,IMPORTRANGE(""https://docs.google.com/spreadsheets/d/1g_jfYYK_KeipEDNDUgqgrsxK94XiocfNQIcP-v1QVhI/edit?resourcekey#gid=233272945"",""Nilai!B:CT""),57,0),"" "")"),"Bab 2 hanya dasar teori, termasuk tabel penelitian penelitian terdahulu tidak ada kontribusinya terhadap metode penelitian, metode analisis data penelitian belum ada")</f>
        <v>Bab 2 hanya dasar teori, termasuk tabel penelitian penelitian terdahulu tidak ada kontribusinya terhadap metode penelitian, metode analisis data penelitian belum ada</v>
      </c>
      <c r="T76" s="20" t="str">
        <f ca="1">IFERROR(__xludf.DUMMYFUNCTION("IFERROR(vlookup(B76,IMPORTRANGE(""https://docs.google.com/spreadsheets/d/1g_jfYYK_KeipEDNDUgqgrsxK94XiocfNQIcP-v1QVhI/edit?resourcekey#gid=233272945"",""Nilai!B:CT""),97,0),"" "")"),"LAYAK UPLOAD KE SIMBELMAWA DENGAN REVISI")</f>
        <v>LAYAK UPLOAD KE SIMBELMAWA DENGAN REVISI</v>
      </c>
      <c r="U76" s="36" t="s">
        <v>825</v>
      </c>
      <c r="V76" s="85" t="s">
        <v>1102</v>
      </c>
      <c r="W76" s="17" t="s">
        <v>1152</v>
      </c>
      <c r="X76" s="34" t="s">
        <v>949</v>
      </c>
    </row>
    <row r="77" spans="1:24" ht="57.6">
      <c r="A77" s="15">
        <v>75</v>
      </c>
      <c r="B77" s="15">
        <f ca="1">IFERROR(__xludf.DUMMYFUNCTION("""COMPUTED_VALUE"""),2194)</f>
        <v>2194</v>
      </c>
      <c r="C77" s="16" t="str">
        <f ca="1">IFERROR(__xludf.DUMMYFUNCTION("""COMPUTED_VALUE"""),"Hanifah Isma Qurattu`ain")</f>
        <v>Hanifah Isma Qurattu`ain</v>
      </c>
      <c r="D77" s="16" t="str">
        <f ca="1">IFERROR(__xludf.DUMMYFUNCTION("""COMPUTED_VALUE"""),"02511940000027")</f>
        <v>02511940000027</v>
      </c>
      <c r="E77" s="16" t="str">
        <f ca="1">IFERROR(__xludf.DUMMYFUNCTION("""COMPUTED_VALUE"""),"Departemen Teknik Material dan Metalurgi")</f>
        <v>Departemen Teknik Material dan Metalurgi</v>
      </c>
      <c r="F77" s="16" t="str">
        <f ca="1">IFERROR(__xludf.DUMMYFUNCTION("""COMPUTED_VALUE"""),"Analisis Komposisi dan Feed Rate Terhadap Ketahanan Termal dan Kekuatan Lekat Komposit Si3N4/SiC Aplikasi Tip Nosecone Roket untuk Kemandirian Negara")</f>
        <v>Analisis Komposisi dan Feed Rate Terhadap Ketahanan Termal dan Kekuatan Lekat Komposit Si3N4/SiC Aplikasi Tip Nosecone Roket untuk Kemandirian Negara</v>
      </c>
      <c r="G77" s="16" t="str">
        <f ca="1">IFERROR(__xludf.DUMMYFUNCTION("""COMPUTED_VALUE"""),"Dr. Widyastuti, S.Si., M.Si.")</f>
        <v>Dr. Widyastuti, S.Si., M.Si.</v>
      </c>
      <c r="H77" s="16" t="str">
        <f ca="1">IFERROR(__xludf.DUMMYFUNCTION("""COMPUTED_VALUE"""),"Alief Wikarta, ST., MSc.Eng. Ph.D")</f>
        <v>Alief Wikarta, ST., MSc.Eng. Ph.D</v>
      </c>
      <c r="I77" s="16" t="str">
        <f ca="1">IFERROR(__xludf.DUMMYFUNCTION("""COMPUTED_VALUE"""),"Juan Pandu Gya Nur Rochman, S.Si., M.T.")</f>
        <v>Juan Pandu Gya Nur Rochman, S.Si., M.T.</v>
      </c>
      <c r="J77" s="16"/>
      <c r="K77" s="17" t="s">
        <v>1148</v>
      </c>
      <c r="L77" s="17" t="s">
        <v>1151</v>
      </c>
      <c r="M77" s="19" t="b">
        <v>1</v>
      </c>
      <c r="N77" s="19" t="b">
        <v>1</v>
      </c>
      <c r="O77" s="1" t="s">
        <v>1150</v>
      </c>
      <c r="P77" s="7" t="str">
        <f ca="1">IFERROR(__xludf.DUMMYFUNCTION("iferror(vlookup(B77,importrange(""https://docs.google.com/spreadsheets/d/1boHyJQ4e2FU0QG8MHwEi6qjX4hvZWVCHcFfXjq7bbMc/edit?resourcekey#gid=923248883"",""Prop!$C$1:$M""),11,0),IFERROR(vlookup(B77,importrange(""https://docs.google.com/spreadsheets/d/1boHyJQ"&amp;"4e2FU0QG8MHwEi6qjX4hvZWVCHcFfXjq7bbMc/edit?resourcekey#gid=923248883"",""Prop!$N$1:$X""),11,0),iferror(vlookup(B77,importrange(""https://docs.google.com/spreadsheets/d/1boHyJQ4e2FU0QG8MHwEi6qjX4hvZWVCHcFfXjq7bbMc/edit?resourcekey#gid=923248883"",""Prop!$Y"&amp;"$1:$AI""),11,0),iferror(vlookup(B77,importrange(""https://docs.google.com/spreadsheets/d/1boHyJQ4e2FU0QG8MHwEi6qjX4hvZWVCHcFfXjq7bbMc/edit?resourcekey#gid=923248883"",""Prop!$AJ$1:$AT""),11,0),iferror(vlookup(B77,importrange(""https://docs.google.com/spre"&amp;"adsheets/d/1boHyJQ4e2FU0QG8MHwEi6qjX4hvZWVCHcFfXjq7bbMc/edit?resourcekey#gid=923248883"",""Prop!$AU$1:$BE""),11,0),iferror(vlookup(B77,importrange(""https://docs.google.com/spreadsheets/d/1boHyJQ4e2FU0QG8MHwEi6qjX4hvZWVCHcFfXjq7bbMc/edit?resourcekey#gid=9"&amp;"23248883"",""Prop!$BF$1:$BP""),11,0),iferror(vlookup(B77,importrange(""https://docs.google.com/spreadsheets/d/1boHyJQ4e2FU0QG8MHwEi6qjX4hvZWVCHcFfXjq7bbMc/edit?resourcekey#gid=923248883"",""Prop!$BQ$1:$CA""),11,0),iferror(vlookup(B77,importrange(""https:/"&amp;"/docs.google.com/spreadsheets/d/1boHyJQ4e2FU0QG8MHwEi6qjX4hvZWVCHcFfXjq7bbMc/edit?resourcekey#gid=923248883"",""Prop!$CB$1:$CL""),11,0),iferror(vlookup(B77,importrange(""https://docs.google.com/spreadsheets/d/1boHyJQ4e2FU0QG8MHwEi6qjX4hvZWVCHcFfXjq7bbMc/e"&amp;"dit?resourcekey#gid=923248883"",""Prop!$CM$1:$CX""),12,0),iferror(vlookup(B77,importrange(""https://docs.google.com/spreadsheets/d/1boHyJQ4e2FU0QG8MHwEi6qjX4hvZWVCHcFfXjq7bbMc/edit?resourcekey#gid=923248883"",""Prop!$CV$1:$DI""),11,0)))))))))))"),"https://drive.google.com/open?id=19xl3oxUUqQuleQgBd4s-qcfuxl1tf-G1")</f>
        <v>https://drive.google.com/open?id=19xl3oxUUqQuleQgBd4s-qcfuxl1tf-G1</v>
      </c>
      <c r="Q77" s="7" t="str">
        <f ca="1">IFERROR(__xludf.DUMMYFUNCTION("iferror(vlookup(B77,importrange(""https://docs.google.com/spreadsheets/d/1p53T2AuvvIqhP7Nf-bo3Uhj8cbKYRPpZdsrBv3x3bAQ/edit?resourcekey#gid=1321652304"",""Prop!$C$1:$M""),11,0),IFERROR(vlookup(B77,importrange(""https://docs.google.com/spreadsheets/d/1p53T2"&amp;"AuvvIqhP7Nf-bo3Uhj8cbKYRPpZdsrBv3x3bAQ/edit?resourcekey#gid=1321652304"",""Prop!$N$1:$X""),11,0),iferror(vlookup(B77,importrange(""https://docs.google.com/spreadsheets/d/1p53T2AuvvIqhP7Nf-bo3Uhj8cbKYRPpZdsrBv3x3bAQ/edit?resourcekey#gid=1321652304"",""Prop"&amp;"!$Y$1:$AI""),11,0),iferror(vlookup(B77,importrange(""https://docs.google.com/spreadsheets/d/1p53T2AuvvIqhP7Nf-bo3Uhj8cbKYRPpZdsrBv3x3bAQ/edit?resourcekey#gid=1321652304"",""Prop!$AJ$1:$AT""),11,0),iferror(vlookup(B77,importrange(""https://docs.google.com/"&amp;"spreadsheets/d/1p53T2AuvvIqhP7Nf-bo3Uhj8cbKYRPpZdsrBv3x3bAQ/edit?resourcekey#gid=1321652304"",""Prop!$AU$1:$BE""),11,0),iferror(vlookup(B77,importrange(""https://docs.google.com/spreadsheets/d/1p53T2AuvvIqhP7Nf-bo3Uhj8cbKYRPpZdsrBv3x3bAQ/edit?resourcekey#"&amp;"gid=1321652304"",""Prop!$BF$1:$BP""),11,0),iferror(vlookup(B77,importrange(""https://docs.google.com/spreadsheets/d/1p53T2AuvvIqhP7Nf-bo3Uhj8cbKYRPpZdsrBv3x3bAQ/edit?resourcekey#gid=1321652304"",""Prop!$BQ$1:$CA""),11,0),iferror(vlookup(B77,importrange("""&amp;"https://docs.google.com/spreadsheets/d/1p53T2AuvvIqhP7Nf-bo3Uhj8cbKYRPpZdsrBv3x3bAQ/edit?resourcekey#gid=1321652304"",""Prop!$CB$1:$CL""),11,0),iferror(vlookup(B77,importrange(""https://docs.google.com/spreadsheets/d/1p53T2AuvvIqhP7Nf-bo3Uhj8cbKYRPpZdsrBv"&amp;"3x3bAQ/edit?resourcekey#gid=1321652304"",""Prop!$CM$1:$CX""),11,0),iferror(vlookup(B77,importrange(""https://docs.google.com/spreadsheets/d/1p53T2AuvvIqhP7Nf-bo3Uhj8cbKYRPpZdsrBv3x3bAQ/edit?resourcekey#gid=1321652304"",""Prop!$CY$1:$DI""),11,0)))))))))))"),"https://drive.google.com/open?id=1pbN5kui56vfQe1Una4GAJeuv3ciHbZHn")</f>
        <v>https://drive.google.com/open?id=1pbN5kui56vfQe1Una4GAJeuv3ciHbZHn</v>
      </c>
      <c r="R77" s="88" t="s">
        <v>1101</v>
      </c>
      <c r="S77" s="20" t="str">
        <f ca="1">IFERROR(__xludf.DUMMYFUNCTION("IFERROR(vlookup(B77,IMPORTRANGE(""https://docs.google.com/spreadsheets/d/1g_jfYYK_KeipEDNDUgqgrsxK94XiocfNQIcP-v1QVhI/edit?resourcekey#gid=233272945"",""Nilai!B:CT""),57,0),"" "")"),"Kreativitas rendah, RAB tidak jelas")</f>
        <v>Kreativitas rendah, RAB tidak jelas</v>
      </c>
      <c r="T77" s="20" t="str">
        <f ca="1">IFERROR(__xludf.DUMMYFUNCTION("IFERROR(vlookup(B77,IMPORTRANGE(""https://docs.google.com/spreadsheets/d/1g_jfYYK_KeipEDNDUgqgrsxK94XiocfNQIcP-v1QVhI/edit?resourcekey#gid=233272945"",""Nilai!B:CT""),97,0),"" "")"),"TIDAK LAYAK UPLOAD KE SIMBELMAWA")</f>
        <v>TIDAK LAYAK UPLOAD KE SIMBELMAWA</v>
      </c>
      <c r="U77" s="36" t="s">
        <v>825</v>
      </c>
      <c r="V77" s="85" t="s">
        <v>1102</v>
      </c>
      <c r="W77" s="17" t="s">
        <v>1152</v>
      </c>
      <c r="X77" s="34" t="s">
        <v>949</v>
      </c>
    </row>
    <row r="78" spans="1:24" ht="43.2">
      <c r="A78" s="15">
        <v>76</v>
      </c>
      <c r="B78" s="15">
        <f ca="1">IFERROR(__xludf.DUMMYFUNCTION("""COMPUTED_VALUE"""),2709)</f>
        <v>2709</v>
      </c>
      <c r="C78" s="16" t="str">
        <f ca="1">IFERROR(__xludf.DUMMYFUNCTION("""COMPUTED_VALUE"""),"JHAGAS HANA WINAYA")</f>
        <v>JHAGAS HANA WINAYA</v>
      </c>
      <c r="D78" s="16" t="str">
        <f ca="1">IFERROR(__xludf.DUMMYFUNCTION("""COMPUTED_VALUE"""),"5001201017")</f>
        <v>5001201017</v>
      </c>
      <c r="E78" s="16" t="str">
        <f ca="1">IFERROR(__xludf.DUMMYFUNCTION("""COMPUTED_VALUE"""),"Departemen Fisika")</f>
        <v>Departemen Fisika</v>
      </c>
      <c r="F78" s="16" t="str">
        <f ca="1">IFERROR(__xludf.DUMMYFUNCTION("""COMPUTED_VALUE"""),"Tenebrio Molitor L. Sebagai Pengurai Limbah Styrofoam")</f>
        <v>Tenebrio Molitor L. Sebagai Pengurai Limbah Styrofoam</v>
      </c>
      <c r="G78" s="16" t="str">
        <f ca="1">IFERROR(__xludf.DUMMYFUNCTION("""COMPUTED_VALUE"""),"Drs. Bachtera Indarto, M.Si.")</f>
        <v>Drs. Bachtera Indarto, M.Si.</v>
      </c>
      <c r="H78" s="16" t="str">
        <f ca="1">IFERROR(__xludf.DUMMYFUNCTION("""COMPUTED_VALUE"""),"Dr.Eng. Siti Machmudah, S.T., M.Eng.")</f>
        <v>Dr.Eng. Siti Machmudah, S.T., M.Eng.</v>
      </c>
      <c r="I78" s="16" t="str">
        <f ca="1">IFERROR(__xludf.DUMMYFUNCTION("""COMPUTED_VALUE"""),"Dr. Candra Irawan, S.T., M.T.")</f>
        <v>Dr. Candra Irawan, S.T., M.T.</v>
      </c>
      <c r="J78" s="16"/>
      <c r="K78" s="17" t="s">
        <v>1153</v>
      </c>
      <c r="L78" s="17" t="s">
        <v>1151</v>
      </c>
      <c r="M78" s="19" t="b">
        <v>0</v>
      </c>
      <c r="N78" s="19" t="b">
        <v>0</v>
      </c>
      <c r="O78" s="1" t="s">
        <v>1150</v>
      </c>
      <c r="P78" s="1" t="str">
        <f ca="1">IFERROR(__xludf.DUMMYFUNCTION("iferror(vlookup(B78,importrange(""https://docs.google.com/spreadsheets/d/1boHyJQ4e2FU0QG8MHwEi6qjX4hvZWVCHcFfXjq7bbMc/edit?resourcekey#gid=923248883"",""Prop!$C$1:$M""),11,0),IFERROR(vlookup(B78,importrange(""https://docs.google.com/spreadsheets/d/1boHyJQ"&amp;"4e2FU0QG8MHwEi6qjX4hvZWVCHcFfXjq7bbMc/edit?resourcekey#gid=923248883"",""Prop!$N$1:$X""),11,0),iferror(vlookup(B78,importrange(""https://docs.google.com/spreadsheets/d/1boHyJQ4e2FU0QG8MHwEi6qjX4hvZWVCHcFfXjq7bbMc/edit?resourcekey#gid=923248883"",""Prop!$Y"&amp;"$1:$AI""),11,0),iferror(vlookup(B78,importrange(""https://docs.google.com/spreadsheets/d/1boHyJQ4e2FU0QG8MHwEi6qjX4hvZWVCHcFfXjq7bbMc/edit?resourcekey#gid=923248883"",""Prop!$AJ$1:$AT""),11,0),iferror(vlookup(B78,importrange(""https://docs.google.com/spre"&amp;"adsheets/d/1boHyJQ4e2FU0QG8MHwEi6qjX4hvZWVCHcFfXjq7bbMc/edit?resourcekey#gid=923248883"",""Prop!$AU$1:$BE""),11,0),iferror(vlookup(B78,importrange(""https://docs.google.com/spreadsheets/d/1boHyJQ4e2FU0QG8MHwEi6qjX4hvZWVCHcFfXjq7bbMc/edit?resourcekey#gid=9"&amp;"23248883"",""Prop!$BF$1:$BP""),11,0),iferror(vlookup(B78,importrange(""https://docs.google.com/spreadsheets/d/1boHyJQ4e2FU0QG8MHwEi6qjX4hvZWVCHcFfXjq7bbMc/edit?resourcekey#gid=923248883"",""Prop!$BQ$1:$CA""),11,0),iferror(vlookup(B78,importrange(""https:/"&amp;"/docs.google.com/spreadsheets/d/1boHyJQ4e2FU0QG8MHwEi6qjX4hvZWVCHcFfXjq7bbMc/edit?resourcekey#gid=923248883"",""Prop!$CB$1:$CL""),11,0),iferror(vlookup(B78,importrange(""https://docs.google.com/spreadsheets/d/1boHyJQ4e2FU0QG8MHwEi6qjX4hvZWVCHcFfXjq7bbMc/e"&amp;"dit?resourcekey#gid=923248883"",""Prop!$CM$1:$CX""),12,0),iferror(vlookup(B78,importrange(""https://docs.google.com/spreadsheets/d/1boHyJQ4e2FU0QG8MHwEi6qjX4hvZWVCHcFfXjq7bbMc/edit?resourcekey#gid=923248883"",""Prop!$CV$1:$DI""),11,0)))))))))))"),"")</f>
        <v/>
      </c>
      <c r="Q78" s="8" t="str">
        <f ca="1">IFERROR(__xludf.DUMMYFUNCTION("iferror(vlookup(B78,importrange(""https://docs.google.com/spreadsheets/d/1p53T2AuvvIqhP7Nf-bo3Uhj8cbKYRPpZdsrBv3x3bAQ/edit?resourcekey#gid=1321652304"",""Prop!$C$1:$M""),11,0),IFERROR(vlookup(B78,importrange(""https://docs.google.com/spreadsheets/d/1p53T2"&amp;"AuvvIqhP7Nf-bo3Uhj8cbKYRPpZdsrBv3x3bAQ/edit?resourcekey#gid=1321652304"",""Prop!$N$1:$X""),11,0),iferror(vlookup(B78,importrange(""https://docs.google.com/spreadsheets/d/1p53T2AuvvIqhP7Nf-bo3Uhj8cbKYRPpZdsrBv3x3bAQ/edit?resourcekey#gid=1321652304"",""Prop"&amp;"!$Y$1:$AI""),11,0),iferror(vlookup(B78,importrange(""https://docs.google.com/spreadsheets/d/1p53T2AuvvIqhP7Nf-bo3Uhj8cbKYRPpZdsrBv3x3bAQ/edit?resourcekey#gid=1321652304"",""Prop!$AJ$1:$AT""),11,0),iferror(vlookup(B78,importrange(""https://docs.google.com/"&amp;"spreadsheets/d/1p53T2AuvvIqhP7Nf-bo3Uhj8cbKYRPpZdsrBv3x3bAQ/edit?resourcekey#gid=1321652304"",""Prop!$AU$1:$BE""),11,0),iferror(vlookup(B78,importrange(""https://docs.google.com/spreadsheets/d/1p53T2AuvvIqhP7Nf-bo3Uhj8cbKYRPpZdsrBv3x3bAQ/edit?resourcekey#"&amp;"gid=1321652304"",""Prop!$BF$1:$BP""),11,0),iferror(vlookup(B78,importrange(""https://docs.google.com/spreadsheets/d/1p53T2AuvvIqhP7Nf-bo3Uhj8cbKYRPpZdsrBv3x3bAQ/edit?resourcekey#gid=1321652304"",""Prop!$BQ$1:$CA""),11,0),iferror(vlookup(B78,importrange("""&amp;"https://docs.google.com/spreadsheets/d/1p53T2AuvvIqhP7Nf-bo3Uhj8cbKYRPpZdsrBv3x3bAQ/edit?resourcekey#gid=1321652304"",""Prop!$CB$1:$CL""),11,0),iferror(vlookup(B78,importrange(""https://docs.google.com/spreadsheets/d/1p53T2AuvvIqhP7Nf-bo3Uhj8cbKYRPpZdsrBv"&amp;"3x3bAQ/edit?resourcekey#gid=1321652304"",""Prop!$CM$1:$CX""),11,0),iferror(vlookup(B78,importrange(""https://docs.google.com/spreadsheets/d/1p53T2AuvvIqhP7Nf-bo3Uhj8cbKYRPpZdsrBv3x3bAQ/edit?resourcekey#gid=1321652304"",""Prop!$CY$1:$DI""),11,0)))))))))))"),"")</f>
        <v/>
      </c>
      <c r="R78" s="88" t="s">
        <v>1101</v>
      </c>
      <c r="S78" s="20" t="str">
        <f ca="1">IFERROR(__xludf.DUMMYFUNCTION("IFERROR(vlookup(B78,IMPORTRANGE(""https://docs.google.com/spreadsheets/d/1g_jfYYK_KeipEDNDUgqgrsxK94XiocfNQIcP-v1QVhI/edit?resourcekey#gid=233272945"",""Nilai!B:CT""),57,0),"" "")"),"")</f>
        <v/>
      </c>
      <c r="T78" s="20" t="str">
        <f ca="1">IFERROR(__xludf.DUMMYFUNCTION("IFERROR(vlookup(B78,IMPORTRANGE(""https://docs.google.com/spreadsheets/d/1g_jfYYK_KeipEDNDUgqgrsxK94XiocfNQIcP-v1QVhI/edit?resourcekey#gid=233272945"",""Nilai!B:CT""),97,0),"" "")")," ")</f>
        <v xml:space="preserve"> </v>
      </c>
      <c r="U78" s="36" t="s">
        <v>825</v>
      </c>
      <c r="V78" s="85" t="s">
        <v>1102</v>
      </c>
      <c r="W78" s="17" t="s">
        <v>1152</v>
      </c>
      <c r="X78" s="34" t="b">
        <v>0</v>
      </c>
    </row>
    <row r="79" spans="1:24" ht="57.6">
      <c r="A79" s="15">
        <v>77</v>
      </c>
      <c r="B79" s="15">
        <f ca="1">IFERROR(__xludf.DUMMYFUNCTION("""COMPUTED_VALUE"""),3571)</f>
        <v>3571</v>
      </c>
      <c r="C79" s="16" t="str">
        <f ca="1">IFERROR(__xludf.DUMMYFUNCTION("""COMPUTED_VALUE"""),"LULUK WARDATUL JANNAH")</f>
        <v>LULUK WARDATUL JANNAH</v>
      </c>
      <c r="D79" s="16" t="str">
        <f ca="1">IFERROR(__xludf.DUMMYFUNCTION("""COMPUTED_VALUE"""),"06111940000049")</f>
        <v>06111940000049</v>
      </c>
      <c r="E79" s="16" t="str">
        <f ca="1">IFERROR(__xludf.DUMMYFUNCTION("""COMPUTED_VALUE"""),"Departemen Matematika")</f>
        <v>Departemen Matematika</v>
      </c>
      <c r="F79" s="16" t="str">
        <f ca="1">IFERROR(__xludf.DUMMYFUNCTION("""COMPUTED_VALUE"""),"Optimalisasi Portofolio Saham Menggunakan Model Predictive Control Berdasarkan Hasil Prediksi Harga Saham dengan Metode Holt Winter's Exponential Smoothing")</f>
        <v>Optimalisasi Portofolio Saham Menggunakan Model Predictive Control Berdasarkan Hasil Prediksi Harga Saham dengan Metode Holt Winter's Exponential Smoothing</v>
      </c>
      <c r="G79" s="16" t="str">
        <f ca="1">IFERROR(__xludf.DUMMYFUNCTION("""COMPUTED_VALUE"""),"Subchan, S.Si., M.Sc., Ph.D.")</f>
        <v>Subchan, S.Si., M.Sc., Ph.D.</v>
      </c>
      <c r="H79" s="16" t="str">
        <f ca="1">IFERROR(__xludf.DUMMYFUNCTION("""COMPUTED_VALUE"""),"Dr. Dhany Arifianto, S.T., M.Eng.")</f>
        <v>Dr. Dhany Arifianto, S.T., M.Eng.</v>
      </c>
      <c r="I79" s="16" t="str">
        <f ca="1">IFERROR(__xludf.DUMMYFUNCTION("""COMPUTED_VALUE"""),"Dra. Ratna Ediati, MS., Ph.D.")</f>
        <v>Dra. Ratna Ediati, MS., Ph.D.</v>
      </c>
      <c r="J79" s="16"/>
      <c r="K79" s="17" t="s">
        <v>1153</v>
      </c>
      <c r="L79" s="17" t="s">
        <v>1151</v>
      </c>
      <c r="M79" s="19" t="b">
        <v>0</v>
      </c>
      <c r="N79" s="19" t="b">
        <v>0</v>
      </c>
      <c r="O79" s="1" t="s">
        <v>1113</v>
      </c>
      <c r="P79" s="1" t="str">
        <f ca="1">IFERROR(__xludf.DUMMYFUNCTION("iferror(vlookup(B79,importrange(""https://docs.google.com/spreadsheets/d/1boHyJQ4e2FU0QG8MHwEi6qjX4hvZWVCHcFfXjq7bbMc/edit?resourcekey#gid=923248883"",""Prop!$C$1:$M""),11,0),IFERROR(vlookup(B79,importrange(""https://docs.google.com/spreadsheets/d/1boHyJQ"&amp;"4e2FU0QG8MHwEi6qjX4hvZWVCHcFfXjq7bbMc/edit?resourcekey#gid=923248883"",""Prop!$N$1:$X""),11,0),iferror(vlookup(B79,importrange(""https://docs.google.com/spreadsheets/d/1boHyJQ4e2FU0QG8MHwEi6qjX4hvZWVCHcFfXjq7bbMc/edit?resourcekey#gid=923248883"",""Prop!$Y"&amp;"$1:$AI""),11,0),iferror(vlookup(B79,importrange(""https://docs.google.com/spreadsheets/d/1boHyJQ4e2FU0QG8MHwEi6qjX4hvZWVCHcFfXjq7bbMc/edit?resourcekey#gid=923248883"",""Prop!$AJ$1:$AT""),11,0),iferror(vlookup(B79,importrange(""https://docs.google.com/spre"&amp;"adsheets/d/1boHyJQ4e2FU0QG8MHwEi6qjX4hvZWVCHcFfXjq7bbMc/edit?resourcekey#gid=923248883"",""Prop!$AU$1:$BE""),11,0),iferror(vlookup(B79,importrange(""https://docs.google.com/spreadsheets/d/1boHyJQ4e2FU0QG8MHwEi6qjX4hvZWVCHcFfXjq7bbMc/edit?resourcekey#gid=9"&amp;"23248883"",""Prop!$BF$1:$BP""),11,0),iferror(vlookup(B79,importrange(""https://docs.google.com/spreadsheets/d/1boHyJQ4e2FU0QG8MHwEi6qjX4hvZWVCHcFfXjq7bbMc/edit?resourcekey#gid=923248883"",""Prop!$BQ$1:$CA""),11,0),iferror(vlookup(B79,importrange(""https:/"&amp;"/docs.google.com/spreadsheets/d/1boHyJQ4e2FU0QG8MHwEi6qjX4hvZWVCHcFfXjq7bbMc/edit?resourcekey#gid=923248883"",""Prop!$CB$1:$CL""),11,0),iferror(vlookup(B79,importrange(""https://docs.google.com/spreadsheets/d/1boHyJQ4e2FU0QG8MHwEi6qjX4hvZWVCHcFfXjq7bbMc/e"&amp;"dit?resourcekey#gid=923248883"",""Prop!$CM$1:$CX""),12,0),iferror(vlookup(B79,importrange(""https://docs.google.com/spreadsheets/d/1boHyJQ4e2FU0QG8MHwEi6qjX4hvZWVCHcFfXjq7bbMc/edit?resourcekey#gid=923248883"",""Prop!$CV$1:$DI""),11,0)))))))))))"),"")</f>
        <v/>
      </c>
      <c r="Q79" s="8" t="str">
        <f ca="1">IFERROR(__xludf.DUMMYFUNCTION("iferror(vlookup(B79,importrange(""https://docs.google.com/spreadsheets/d/1p53T2AuvvIqhP7Nf-bo3Uhj8cbKYRPpZdsrBv3x3bAQ/edit?resourcekey#gid=1321652304"",""Prop!$C$1:$M""),11,0),IFERROR(vlookup(B79,importrange(""https://docs.google.com/spreadsheets/d/1p53T2"&amp;"AuvvIqhP7Nf-bo3Uhj8cbKYRPpZdsrBv3x3bAQ/edit?resourcekey#gid=1321652304"",""Prop!$N$1:$X""),11,0),iferror(vlookup(B79,importrange(""https://docs.google.com/spreadsheets/d/1p53T2AuvvIqhP7Nf-bo3Uhj8cbKYRPpZdsrBv3x3bAQ/edit?resourcekey#gid=1321652304"",""Prop"&amp;"!$Y$1:$AI""),11,0),iferror(vlookup(B79,importrange(""https://docs.google.com/spreadsheets/d/1p53T2AuvvIqhP7Nf-bo3Uhj8cbKYRPpZdsrBv3x3bAQ/edit?resourcekey#gid=1321652304"",""Prop!$AJ$1:$AT""),11,0),iferror(vlookup(B79,importrange(""https://docs.google.com/"&amp;"spreadsheets/d/1p53T2AuvvIqhP7Nf-bo3Uhj8cbKYRPpZdsrBv3x3bAQ/edit?resourcekey#gid=1321652304"",""Prop!$AU$1:$BE""),11,0),iferror(vlookup(B79,importrange(""https://docs.google.com/spreadsheets/d/1p53T2AuvvIqhP7Nf-bo3Uhj8cbKYRPpZdsrBv3x3bAQ/edit?resourcekey#"&amp;"gid=1321652304"",""Prop!$BF$1:$BP""),11,0),iferror(vlookup(B79,importrange(""https://docs.google.com/spreadsheets/d/1p53T2AuvvIqhP7Nf-bo3Uhj8cbKYRPpZdsrBv3x3bAQ/edit?resourcekey#gid=1321652304"",""Prop!$BQ$1:$CA""),11,0),iferror(vlookup(B79,importrange("""&amp;"https://docs.google.com/spreadsheets/d/1p53T2AuvvIqhP7Nf-bo3Uhj8cbKYRPpZdsrBv3x3bAQ/edit?resourcekey#gid=1321652304"",""Prop!$CB$1:$CL""),11,0),iferror(vlookup(B79,importrange(""https://docs.google.com/spreadsheets/d/1p53T2AuvvIqhP7Nf-bo3Uhj8cbKYRPpZdsrBv"&amp;"3x3bAQ/edit?resourcekey#gid=1321652304"",""Prop!$CM$1:$CX""),11,0),iferror(vlookup(B79,importrange(""https://docs.google.com/spreadsheets/d/1p53T2AuvvIqhP7Nf-bo3Uhj8cbKYRPpZdsrBv3x3bAQ/edit?resourcekey#gid=1321652304"",""Prop!$CY$1:$DI""),11,0)))))))))))"),"")</f>
        <v/>
      </c>
      <c r="R79" s="88" t="s">
        <v>1101</v>
      </c>
      <c r="S79" s="20" t="str">
        <f ca="1">IFERROR(__xludf.DUMMYFUNCTION("IFERROR(vlookup(B79,IMPORTRANGE(""https://docs.google.com/spreadsheets/d/1g_jfYYK_KeipEDNDUgqgrsxK94XiocfNQIcP-v1QVhI/edit?resourcekey#gid=233272945"",""Nilai!B:CT""),57,0),"" "")"),"")</f>
        <v/>
      </c>
      <c r="T79" s="20" t="str">
        <f ca="1">IFERROR(__xludf.DUMMYFUNCTION("IFERROR(vlookup(B79,IMPORTRANGE(""https://docs.google.com/spreadsheets/d/1g_jfYYK_KeipEDNDUgqgrsxK94XiocfNQIcP-v1QVhI/edit?resourcekey#gid=233272945"",""Nilai!B:CT""),97,0),"" "")")," ")</f>
        <v xml:space="preserve"> </v>
      </c>
      <c r="U79" s="36" t="s">
        <v>825</v>
      </c>
      <c r="V79" s="85" t="s">
        <v>1102</v>
      </c>
      <c r="W79" s="17" t="s">
        <v>1152</v>
      </c>
      <c r="X79" s="34" t="b">
        <v>0</v>
      </c>
    </row>
    <row r="80" spans="1:24" ht="69">
      <c r="A80" s="15">
        <v>78</v>
      </c>
      <c r="B80" s="15">
        <f ca="1">IFERROR(__xludf.DUMMYFUNCTION("""COMPUTED_VALUE"""),2204)</f>
        <v>2204</v>
      </c>
      <c r="C80" s="16" t="str">
        <f ca="1">IFERROR(__xludf.DUMMYFUNCTION("""COMPUTED_VALUE"""),"YAYAN DWI PUTRA")</f>
        <v>YAYAN DWI PUTRA</v>
      </c>
      <c r="D80" s="16" t="str">
        <f ca="1">IFERROR(__xludf.DUMMYFUNCTION("""COMPUTED_VALUE"""),"10411910000027")</f>
        <v>10411910000027</v>
      </c>
      <c r="E80" s="16" t="str">
        <f ca="1">IFERROR(__xludf.DUMMYFUNCTION("""COMPUTED_VALUE"""),"Departemen Teknik Kimia Industri")</f>
        <v>Departemen Teknik Kimia Industri</v>
      </c>
      <c r="F80" s="16" t="str">
        <f ca="1">IFERROR(__xludf.DUMMYFUNCTION("""COMPUTED_VALUE"""),"Rekayasa Proses Hidrolisis dan Fermentasi untuk Produksi Bioetanol  Berbasis Limbah Cair Industri Gula Merah Sebagai Alternatif Bahan Bakar Minyak")</f>
        <v>Rekayasa Proses Hidrolisis dan Fermentasi untuk Produksi Bioetanol  Berbasis Limbah Cair Industri Gula Merah Sebagai Alternatif Bahan Bakar Minyak</v>
      </c>
      <c r="G80" s="16" t="str">
        <f ca="1">IFERROR(__xludf.DUMMYFUNCTION("""COMPUTED_VALUE"""),"Prof. Dr. Ir. Soeprijanto, M.Sc.")</f>
        <v>Prof. Dr. Ir. Soeprijanto, M.Sc.</v>
      </c>
      <c r="H80" s="16" t="str">
        <f ca="1">IFERROR(__xludf.DUMMYFUNCTION("""COMPUTED_VALUE"""),"Hamdan Dwi Rizqi, S.Si., M.Si.")</f>
        <v>Hamdan Dwi Rizqi, S.Si., M.Si.</v>
      </c>
      <c r="I80" s="16" t="str">
        <f ca="1">IFERROR(__xludf.DUMMYFUNCTION("""COMPUTED_VALUE"""),"Juan Pandu Gya Nur Rochman, S.Si., M.T.")</f>
        <v>Juan Pandu Gya Nur Rochman, S.Si., M.T.</v>
      </c>
      <c r="J80" s="16"/>
      <c r="K80" s="17" t="s">
        <v>1153</v>
      </c>
      <c r="L80" s="17" t="s">
        <v>1151</v>
      </c>
      <c r="M80" s="19" t="b">
        <v>0</v>
      </c>
      <c r="N80" s="19" t="b">
        <v>0</v>
      </c>
      <c r="O80" s="1" t="s">
        <v>1150</v>
      </c>
      <c r="P80" s="7" t="str">
        <f ca="1">IFERROR(__xludf.DUMMYFUNCTION("iferror(vlookup(B80,importrange(""https://docs.google.com/spreadsheets/d/1boHyJQ4e2FU0QG8MHwEi6qjX4hvZWVCHcFfXjq7bbMc/edit?resourcekey#gid=923248883"",""Prop!$C$1:$M""),11,0),IFERROR(vlookup(B80,importrange(""https://docs.google.com/spreadsheets/d/1boHyJQ"&amp;"4e2FU0QG8MHwEi6qjX4hvZWVCHcFfXjq7bbMc/edit?resourcekey#gid=923248883"",""Prop!$N$1:$X""),11,0),iferror(vlookup(B80,importrange(""https://docs.google.com/spreadsheets/d/1boHyJQ4e2FU0QG8MHwEi6qjX4hvZWVCHcFfXjq7bbMc/edit?resourcekey#gid=923248883"",""Prop!$Y"&amp;"$1:$AI""),11,0),iferror(vlookup(B80,importrange(""https://docs.google.com/spreadsheets/d/1boHyJQ4e2FU0QG8MHwEi6qjX4hvZWVCHcFfXjq7bbMc/edit?resourcekey#gid=923248883"",""Prop!$AJ$1:$AT""),11,0),iferror(vlookup(B80,importrange(""https://docs.google.com/spre"&amp;"adsheets/d/1boHyJQ4e2FU0QG8MHwEi6qjX4hvZWVCHcFfXjq7bbMc/edit?resourcekey#gid=923248883"",""Prop!$AU$1:$BE""),11,0),iferror(vlookup(B80,importrange(""https://docs.google.com/spreadsheets/d/1boHyJQ4e2FU0QG8MHwEi6qjX4hvZWVCHcFfXjq7bbMc/edit?resourcekey#gid=9"&amp;"23248883"",""Prop!$BF$1:$BP""),11,0),iferror(vlookup(B80,importrange(""https://docs.google.com/spreadsheets/d/1boHyJQ4e2FU0QG8MHwEi6qjX4hvZWVCHcFfXjq7bbMc/edit?resourcekey#gid=923248883"",""Prop!$BQ$1:$CA""),11,0),iferror(vlookup(B80,importrange(""https:/"&amp;"/docs.google.com/spreadsheets/d/1boHyJQ4e2FU0QG8MHwEi6qjX4hvZWVCHcFfXjq7bbMc/edit?resourcekey#gid=923248883"",""Prop!$CB$1:$CL""),11,0),iferror(vlookup(B80,importrange(""https://docs.google.com/spreadsheets/d/1boHyJQ4e2FU0QG8MHwEi6qjX4hvZWVCHcFfXjq7bbMc/e"&amp;"dit?resourcekey#gid=923248883"",""Prop!$CM$1:$CX""),12,0),iferror(vlookup(B80,importrange(""https://docs.google.com/spreadsheets/d/1boHyJQ4e2FU0QG8MHwEi6qjX4hvZWVCHcFfXjq7bbMc/edit?resourcekey#gid=923248883"",""Prop!$CV$1:$DI""),11,0)))))))))))"),"https://drive.google.com/open?id=12Or-ZITU1ja6piLdgza_lmJ-iZj29Yx4")</f>
        <v>https://drive.google.com/open?id=12Or-ZITU1ja6piLdgza_lmJ-iZj29Yx4</v>
      </c>
      <c r="Q80" s="7" t="str">
        <f ca="1">IFERROR(__xludf.DUMMYFUNCTION("iferror(vlookup(B80,importrange(""https://docs.google.com/spreadsheets/d/1p53T2AuvvIqhP7Nf-bo3Uhj8cbKYRPpZdsrBv3x3bAQ/edit?resourcekey#gid=1321652304"",""Prop!$C$1:$M""),11,0),IFERROR(vlookup(B80,importrange(""https://docs.google.com/spreadsheets/d/1p53T2"&amp;"AuvvIqhP7Nf-bo3Uhj8cbKYRPpZdsrBv3x3bAQ/edit?resourcekey#gid=1321652304"",""Prop!$N$1:$X""),11,0),iferror(vlookup(B80,importrange(""https://docs.google.com/spreadsheets/d/1p53T2AuvvIqhP7Nf-bo3Uhj8cbKYRPpZdsrBv3x3bAQ/edit?resourcekey#gid=1321652304"",""Prop"&amp;"!$Y$1:$AI""),11,0),iferror(vlookup(B80,importrange(""https://docs.google.com/spreadsheets/d/1p53T2AuvvIqhP7Nf-bo3Uhj8cbKYRPpZdsrBv3x3bAQ/edit?resourcekey#gid=1321652304"",""Prop!$AJ$1:$AT""),11,0),iferror(vlookup(B80,importrange(""https://docs.google.com/"&amp;"spreadsheets/d/1p53T2AuvvIqhP7Nf-bo3Uhj8cbKYRPpZdsrBv3x3bAQ/edit?resourcekey#gid=1321652304"",""Prop!$AU$1:$BE""),11,0),iferror(vlookup(B80,importrange(""https://docs.google.com/spreadsheets/d/1p53T2AuvvIqhP7Nf-bo3Uhj8cbKYRPpZdsrBv3x3bAQ/edit?resourcekey#"&amp;"gid=1321652304"",""Prop!$BF$1:$BP""),11,0),iferror(vlookup(B80,importrange(""https://docs.google.com/spreadsheets/d/1p53T2AuvvIqhP7Nf-bo3Uhj8cbKYRPpZdsrBv3x3bAQ/edit?resourcekey#gid=1321652304"",""Prop!$BQ$1:$CA""),11,0),iferror(vlookup(B80,importrange("""&amp;"https://docs.google.com/spreadsheets/d/1p53T2AuvvIqhP7Nf-bo3Uhj8cbKYRPpZdsrBv3x3bAQ/edit?resourcekey#gid=1321652304"",""Prop!$CB$1:$CL""),11,0),iferror(vlookup(B80,importrange(""https://docs.google.com/spreadsheets/d/1p53T2AuvvIqhP7Nf-bo3Uhj8cbKYRPpZdsrBv"&amp;"3x3bAQ/edit?resourcekey#gid=1321652304"",""Prop!$CM$1:$CX""),11,0),iferror(vlookup(B80,importrange(""https://docs.google.com/spreadsheets/d/1p53T2AuvvIqhP7Nf-bo3Uhj8cbKYRPpZdsrBv3x3bAQ/edit?resourcekey#gid=1321652304"",""Prop!$CY$1:$DI""),11,0)))))))))))"),"https://drive.google.com/open?id=1kT3iYhbVHTUSaZkZcflGxo3iLvraNJKx")</f>
        <v>https://drive.google.com/open?id=1kT3iYhbVHTUSaZkZcflGxo3iLvraNJKx</v>
      </c>
      <c r="R80" s="88" t="s">
        <v>1101</v>
      </c>
      <c r="S80" s="20" t="str">
        <f ca="1">IFERROR(__xludf.DUMMYFUNCTION("IFERROR(vlookup(B80,IMPORTRANGE(""https://docs.google.com/spreadsheets/d/1g_jfYYK_KeipEDNDUgqgrsxK94XiocfNQIcP-v1QVhI/edit?resourcekey#gid=233272945"",""Nilai!B:CT""),57,0),"" "")"),"Kreativitas tidak nampak, metode perlu diperbaiki, RAB berantakan, lampiran masih belum mengikuti pedoman")</f>
        <v>Kreativitas tidak nampak, metode perlu diperbaiki, RAB berantakan, lampiran masih belum mengikuti pedoman</v>
      </c>
      <c r="T80" s="20" t="str">
        <f ca="1">IFERROR(__xludf.DUMMYFUNCTION("IFERROR(vlookup(B80,IMPORTRANGE(""https://docs.google.com/spreadsheets/d/1g_jfYYK_KeipEDNDUgqgrsxK94XiocfNQIcP-v1QVhI/edit?resourcekey#gid=233272945"",""Nilai!B:CT""),97,0),"" "")"),"LAYAK UPLOAD KE SIMBELMAWA DENGAN REVISI")</f>
        <v>LAYAK UPLOAD KE SIMBELMAWA DENGAN REVISI</v>
      </c>
      <c r="U80" s="36" t="s">
        <v>825</v>
      </c>
      <c r="V80" s="85" t="s">
        <v>1102</v>
      </c>
      <c r="W80" s="17" t="s">
        <v>1154</v>
      </c>
      <c r="X80" s="34" t="b">
        <v>0</v>
      </c>
    </row>
    <row r="81" spans="1:24" ht="69">
      <c r="A81" s="15">
        <v>79</v>
      </c>
      <c r="B81" s="15">
        <f ca="1">IFERROR(__xludf.DUMMYFUNCTION("""COMPUTED_VALUE"""),2562)</f>
        <v>2562</v>
      </c>
      <c r="C81" s="16" t="str">
        <f ca="1">IFERROR(__xludf.DUMMYFUNCTION("""COMPUTED_VALUE"""),"Athif Afisga Mathoyah")</f>
        <v>Athif Afisga Mathoyah</v>
      </c>
      <c r="D81" s="16" t="str">
        <f ca="1">IFERROR(__xludf.DUMMYFUNCTION("""COMPUTED_VALUE"""),"02211940000002")</f>
        <v>02211940000002</v>
      </c>
      <c r="E81" s="16" t="str">
        <f ca="1">IFERROR(__xludf.DUMMYFUNCTION("""COMPUTED_VALUE"""),"Departemen Teknik Kimia")</f>
        <v>Departemen Teknik Kimia</v>
      </c>
      <c r="F81" s="16" t="str">
        <f ca="1">IFERROR(__xludf.DUMMYFUNCTION("""COMPUTED_VALUE"""),"Ekstraksi Minyak Terpentin dari Getah Pinus (Pinus Merkusii) dengan Metode Microwave Hydrodiffusion Gravity (MHG)")</f>
        <v>Ekstraksi Minyak Terpentin dari Getah Pinus (Pinus Merkusii) dengan Metode Microwave Hydrodiffusion Gravity (MHG)</v>
      </c>
      <c r="G81" s="16" t="str">
        <f ca="1">IFERROR(__xludf.DUMMYFUNCTION("""COMPUTED_VALUE"""),"Dr. Lailatul Qadariyah, S.T., M.T.")</f>
        <v>Dr. Lailatul Qadariyah, S.T., M.T.</v>
      </c>
      <c r="H81" s="16" t="str">
        <f ca="1">IFERROR(__xludf.DUMMYFUNCTION("""COMPUTED_VALUE"""),"Ahmad Fauzan Adziimaa, S.T., M.Sc.")</f>
        <v>Ahmad Fauzan Adziimaa, S.T., M.Sc.</v>
      </c>
      <c r="I81" s="16" t="str">
        <f ca="1">IFERROR(__xludf.DUMMYFUNCTION("""COMPUTED_VALUE"""),"Azzah Dyah Pramata, S.T., M.T., M.Eng., Ph.D.")</f>
        <v>Azzah Dyah Pramata, S.T., M.T., M.Eng., Ph.D.</v>
      </c>
      <c r="J81" s="16"/>
      <c r="K81" s="17" t="s">
        <v>1153</v>
      </c>
      <c r="L81" s="17" t="s">
        <v>1155</v>
      </c>
      <c r="M81" s="19" t="b">
        <v>0</v>
      </c>
      <c r="N81" s="19" t="b">
        <v>1</v>
      </c>
      <c r="O81" s="1" t="s">
        <v>1139</v>
      </c>
      <c r="P81" s="7" t="str">
        <f ca="1">IFERROR(__xludf.DUMMYFUNCTION("iferror(vlookup(B81,importrange(""https://docs.google.com/spreadsheets/d/1boHyJQ4e2FU0QG8MHwEi6qjX4hvZWVCHcFfXjq7bbMc/edit?resourcekey#gid=923248883"",""Prop!$C$1:$M""),11,0),IFERROR(vlookup(B81,importrange(""https://docs.google.com/spreadsheets/d/1boHyJQ"&amp;"4e2FU0QG8MHwEi6qjX4hvZWVCHcFfXjq7bbMc/edit?resourcekey#gid=923248883"",""Prop!$N$1:$X""),11,0),iferror(vlookup(B81,importrange(""https://docs.google.com/spreadsheets/d/1boHyJQ4e2FU0QG8MHwEi6qjX4hvZWVCHcFfXjq7bbMc/edit?resourcekey#gid=923248883"",""Prop!$Y"&amp;"$1:$AI""),11,0),iferror(vlookup(B81,importrange(""https://docs.google.com/spreadsheets/d/1boHyJQ4e2FU0QG8MHwEi6qjX4hvZWVCHcFfXjq7bbMc/edit?resourcekey#gid=923248883"",""Prop!$AJ$1:$AT""),11,0),iferror(vlookup(B81,importrange(""https://docs.google.com/spre"&amp;"adsheets/d/1boHyJQ4e2FU0QG8MHwEi6qjX4hvZWVCHcFfXjq7bbMc/edit?resourcekey#gid=923248883"",""Prop!$AU$1:$BE""),11,0),iferror(vlookup(B81,importrange(""https://docs.google.com/spreadsheets/d/1boHyJQ4e2FU0QG8MHwEi6qjX4hvZWVCHcFfXjq7bbMc/edit?resourcekey#gid=9"&amp;"23248883"",""Prop!$BF$1:$BP""),11,0),iferror(vlookup(B81,importrange(""https://docs.google.com/spreadsheets/d/1boHyJQ4e2FU0QG8MHwEi6qjX4hvZWVCHcFfXjq7bbMc/edit?resourcekey#gid=923248883"",""Prop!$BQ$1:$CA""),11,0),iferror(vlookup(B81,importrange(""https:/"&amp;"/docs.google.com/spreadsheets/d/1boHyJQ4e2FU0QG8MHwEi6qjX4hvZWVCHcFfXjq7bbMc/edit?resourcekey#gid=923248883"",""Prop!$CB$1:$CL""),11,0),iferror(vlookup(B81,importrange(""https://docs.google.com/spreadsheets/d/1boHyJQ4e2FU0QG8MHwEi6qjX4hvZWVCHcFfXjq7bbMc/e"&amp;"dit?resourcekey#gid=923248883"",""Prop!$CM$1:$CX""),12,0),iferror(vlookup(B81,importrange(""https://docs.google.com/spreadsheets/d/1boHyJQ4e2FU0QG8MHwEi6qjX4hvZWVCHcFfXjq7bbMc/edit?resourcekey#gid=923248883"",""Prop!$CV$1:$DI""),11,0)))))))))))"),"https://drive.google.com/open?id=1yBAS-NOZMfxIZB5IowjLLpz-HTmblivN")</f>
        <v>https://drive.google.com/open?id=1yBAS-NOZMfxIZB5IowjLLpz-HTmblivN</v>
      </c>
      <c r="Q81" s="7" t="str">
        <f ca="1">IFERROR(__xludf.DUMMYFUNCTION("iferror(vlookup(B81,importrange(""https://docs.google.com/spreadsheets/d/1p53T2AuvvIqhP7Nf-bo3Uhj8cbKYRPpZdsrBv3x3bAQ/edit?resourcekey#gid=1321652304"",""Prop!$C$1:$M""),11,0),IFERROR(vlookup(B81,importrange(""https://docs.google.com/spreadsheets/d/1p53T2"&amp;"AuvvIqhP7Nf-bo3Uhj8cbKYRPpZdsrBv3x3bAQ/edit?resourcekey#gid=1321652304"",""Prop!$N$1:$X""),11,0),iferror(vlookup(B81,importrange(""https://docs.google.com/spreadsheets/d/1p53T2AuvvIqhP7Nf-bo3Uhj8cbKYRPpZdsrBv3x3bAQ/edit?resourcekey#gid=1321652304"",""Prop"&amp;"!$Y$1:$AI""),11,0),iferror(vlookup(B81,importrange(""https://docs.google.com/spreadsheets/d/1p53T2AuvvIqhP7Nf-bo3Uhj8cbKYRPpZdsrBv3x3bAQ/edit?resourcekey#gid=1321652304"",""Prop!$AJ$1:$AT""),11,0),iferror(vlookup(B81,importrange(""https://docs.google.com/"&amp;"spreadsheets/d/1p53T2AuvvIqhP7Nf-bo3Uhj8cbKYRPpZdsrBv3x3bAQ/edit?resourcekey#gid=1321652304"",""Prop!$AU$1:$BE""),11,0),iferror(vlookup(B81,importrange(""https://docs.google.com/spreadsheets/d/1p53T2AuvvIqhP7Nf-bo3Uhj8cbKYRPpZdsrBv3x3bAQ/edit?resourcekey#"&amp;"gid=1321652304"",""Prop!$BF$1:$BP""),11,0),iferror(vlookup(B81,importrange(""https://docs.google.com/spreadsheets/d/1p53T2AuvvIqhP7Nf-bo3Uhj8cbKYRPpZdsrBv3x3bAQ/edit?resourcekey#gid=1321652304"",""Prop!$BQ$1:$CA""),11,0),iferror(vlookup(B81,importrange("""&amp;"https://docs.google.com/spreadsheets/d/1p53T2AuvvIqhP7Nf-bo3Uhj8cbKYRPpZdsrBv3x3bAQ/edit?resourcekey#gid=1321652304"",""Prop!$CB$1:$CL""),11,0),iferror(vlookup(B81,importrange(""https://docs.google.com/spreadsheets/d/1p53T2AuvvIqhP7Nf-bo3Uhj8cbKYRPpZdsrBv"&amp;"3x3bAQ/edit?resourcekey#gid=1321652304"",""Prop!$CM$1:$CX""),11,0),iferror(vlookup(B81,importrange(""https://docs.google.com/spreadsheets/d/1p53T2AuvvIqhP7Nf-bo3Uhj8cbKYRPpZdsrBv3x3bAQ/edit?resourcekey#gid=1321652304"",""Prop!$CY$1:$DI""),11,0)))))))))))"),"https://drive.google.com/open?id=1d8qZvLHJ0PzSlj417h70szFR4F438Dr2")</f>
        <v>https://drive.google.com/open?id=1d8qZvLHJ0PzSlj417h70szFR4F438Dr2</v>
      </c>
      <c r="R81" s="88" t="s">
        <v>1101</v>
      </c>
      <c r="S81" s="20" t="str">
        <f ca="1">IFERROR(__xludf.DUMMYFUNCTION("IFERROR(vlookup(B81,IMPORTRANGE(""https://docs.google.com/spreadsheets/d/1g_jfYYK_KeipEDNDUgqgrsxK94XiocfNQIcP-v1QVhI/edit?resourcekey#gid=233272945"",""Nilai!B:CT""),57,0),"" "")"),"Tinjauan pustaka tidak berbasis penelitian terdahulu, kecuali pada tabel, metode penelitian beluan ada metode analisis dan pembahasan data, kualitas literatur rendah")</f>
        <v>Tinjauan pustaka tidak berbasis penelitian terdahulu, kecuali pada tabel, metode penelitian beluan ada metode analisis dan pembahasan data, kualitas literatur rendah</v>
      </c>
      <c r="T81" s="20" t="str">
        <f ca="1">IFERROR(__xludf.DUMMYFUNCTION("IFERROR(vlookup(B81,IMPORTRANGE(""https://docs.google.com/spreadsheets/d/1g_jfYYK_KeipEDNDUgqgrsxK94XiocfNQIcP-v1QVhI/edit?resourcekey#gid=233272945"",""Nilai!B:CT""),97,0),"" "")"),"LAYAK UPLOAD KE SIMBELMAWA DENGAN REVISI")</f>
        <v>LAYAK UPLOAD KE SIMBELMAWA DENGAN REVISI</v>
      </c>
      <c r="U81" s="36" t="s">
        <v>825</v>
      </c>
      <c r="V81" s="85" t="s">
        <v>1102</v>
      </c>
      <c r="W81" s="17" t="s">
        <v>1154</v>
      </c>
      <c r="X81" s="34" t="s">
        <v>949</v>
      </c>
    </row>
    <row r="82" spans="1:24" ht="72">
      <c r="A82" s="15">
        <v>80</v>
      </c>
      <c r="B82" s="15">
        <f ca="1">IFERROR(__xludf.DUMMYFUNCTION("""COMPUTED_VALUE"""),2671)</f>
        <v>2671</v>
      </c>
      <c r="C82" s="16" t="str">
        <f ca="1">IFERROR(__xludf.DUMMYFUNCTION("""COMPUTED_VALUE"""),"LULU SEKAR TAJI")</f>
        <v>LULU SEKAR TAJI</v>
      </c>
      <c r="D82" s="16" t="str">
        <f ca="1">IFERROR(__xludf.DUMMYFUNCTION("""COMPUTED_VALUE"""),"10411910000046")</f>
        <v>10411910000046</v>
      </c>
      <c r="E82" s="16" t="str">
        <f ca="1">IFERROR(__xludf.DUMMYFUNCTION("""COMPUTED_VALUE"""),"Departemen Teknik Kimia Industri")</f>
        <v>Departemen Teknik Kimia Industri</v>
      </c>
      <c r="F82" s="16" t="str">
        <f ca="1">IFERROR(__xludf.DUMMYFUNCTION("""COMPUTED_VALUE"""),"Pelapisan Biofungsional Nanokomposit Hydroxiapatite-Poly(e-Caprolactone) Berbasis Cangkang Rajungan (Portunus pelagicus) untuk Menurunkan Toksisitas Implan Tulang Titanium Alloy (Ti-6Al-4V ELI)")</f>
        <v>Pelapisan Biofungsional Nanokomposit Hydroxiapatite-Poly(e-Caprolactone) Berbasis Cangkang Rajungan (Portunus pelagicus) untuk Menurunkan Toksisitas Implan Tulang Titanium Alloy (Ti-6Al-4V ELI)</v>
      </c>
      <c r="G82" s="16" t="str">
        <f ca="1">IFERROR(__xludf.DUMMYFUNCTION("""COMPUTED_VALUE"""),"Dr. Eng. Eva Oktavia Ningrum, S.T., M.S.")</f>
        <v>Dr. Eng. Eva Oktavia Ningrum, S.T., M.S.</v>
      </c>
      <c r="H82" s="16" t="str">
        <f ca="1">IFERROR(__xludf.DUMMYFUNCTION("""COMPUTED_VALUE"""),"Dr.-Ing. Doty Dewi Risanti, S.T., M.T.")</f>
        <v>Dr.-Ing. Doty Dewi Risanti, S.T., M.T.</v>
      </c>
      <c r="I82" s="16" t="str">
        <f ca="1">IFERROR(__xludf.DUMMYFUNCTION("""COMPUTED_VALUE"""),"Dr. Gunawan Nugroho, S.T., M.T.")</f>
        <v>Dr. Gunawan Nugroho, S.T., M.T.</v>
      </c>
      <c r="J82" s="16"/>
      <c r="K82" s="17" t="s">
        <v>1153</v>
      </c>
      <c r="L82" s="17" t="s">
        <v>1155</v>
      </c>
      <c r="M82" s="19" t="b">
        <v>1</v>
      </c>
      <c r="N82" s="19" t="b">
        <v>1</v>
      </c>
      <c r="O82" s="1" t="s">
        <v>1139</v>
      </c>
      <c r="P82" s="7" t="str">
        <f ca="1">IFERROR(__xludf.DUMMYFUNCTION("iferror(vlookup(B82,importrange(""https://docs.google.com/spreadsheets/d/1boHyJQ4e2FU0QG8MHwEi6qjX4hvZWVCHcFfXjq7bbMc/edit?resourcekey#gid=923248883"",""Prop!$C$1:$M""),11,0),IFERROR(vlookup(B82,importrange(""https://docs.google.com/spreadsheets/d/1boHyJQ"&amp;"4e2FU0QG8MHwEi6qjX4hvZWVCHcFfXjq7bbMc/edit?resourcekey#gid=923248883"",""Prop!$N$1:$X""),11,0),iferror(vlookup(B82,importrange(""https://docs.google.com/spreadsheets/d/1boHyJQ4e2FU0QG8MHwEi6qjX4hvZWVCHcFfXjq7bbMc/edit?resourcekey#gid=923248883"",""Prop!$Y"&amp;"$1:$AI""),11,0),iferror(vlookup(B82,importrange(""https://docs.google.com/spreadsheets/d/1boHyJQ4e2FU0QG8MHwEi6qjX4hvZWVCHcFfXjq7bbMc/edit?resourcekey#gid=923248883"",""Prop!$AJ$1:$AT""),11,0),iferror(vlookup(B82,importrange(""https://docs.google.com/spre"&amp;"adsheets/d/1boHyJQ4e2FU0QG8MHwEi6qjX4hvZWVCHcFfXjq7bbMc/edit?resourcekey#gid=923248883"",""Prop!$AU$1:$BE""),11,0),iferror(vlookup(B82,importrange(""https://docs.google.com/spreadsheets/d/1boHyJQ4e2FU0QG8MHwEi6qjX4hvZWVCHcFfXjq7bbMc/edit?resourcekey#gid=9"&amp;"23248883"",""Prop!$BF$1:$BP""),11,0),iferror(vlookup(B82,importrange(""https://docs.google.com/spreadsheets/d/1boHyJQ4e2FU0QG8MHwEi6qjX4hvZWVCHcFfXjq7bbMc/edit?resourcekey#gid=923248883"",""Prop!$BQ$1:$CA""),11,0),iferror(vlookup(B82,importrange(""https:/"&amp;"/docs.google.com/spreadsheets/d/1boHyJQ4e2FU0QG8MHwEi6qjX4hvZWVCHcFfXjq7bbMc/edit?resourcekey#gid=923248883"",""Prop!$CB$1:$CL""),11,0),iferror(vlookup(B82,importrange(""https://docs.google.com/spreadsheets/d/1boHyJQ4e2FU0QG8MHwEi6qjX4hvZWVCHcFfXjq7bbMc/e"&amp;"dit?resourcekey#gid=923248883"",""Prop!$CM$1:$CX""),12,0),iferror(vlookup(B82,importrange(""https://docs.google.com/spreadsheets/d/1boHyJQ4e2FU0QG8MHwEi6qjX4hvZWVCHcFfXjq7bbMc/edit?resourcekey#gid=923248883"",""Prop!$CV$1:$DI""),11,0)))))))))))"),"https://drive.google.com/open?id=1cTkmcVR__DkxjKCRa8QVfbII6OBB7Jrh")</f>
        <v>https://drive.google.com/open?id=1cTkmcVR__DkxjKCRa8QVfbII6OBB7Jrh</v>
      </c>
      <c r="Q82" s="7" t="str">
        <f ca="1">IFERROR(__xludf.DUMMYFUNCTION("iferror(vlookup(B82,importrange(""https://docs.google.com/spreadsheets/d/1p53T2AuvvIqhP7Nf-bo3Uhj8cbKYRPpZdsrBv3x3bAQ/edit?resourcekey#gid=1321652304"",""Prop!$C$1:$M""),11,0),IFERROR(vlookup(B82,importrange(""https://docs.google.com/spreadsheets/d/1p53T2"&amp;"AuvvIqhP7Nf-bo3Uhj8cbKYRPpZdsrBv3x3bAQ/edit?resourcekey#gid=1321652304"",""Prop!$N$1:$X""),11,0),iferror(vlookup(B82,importrange(""https://docs.google.com/spreadsheets/d/1p53T2AuvvIqhP7Nf-bo3Uhj8cbKYRPpZdsrBv3x3bAQ/edit?resourcekey#gid=1321652304"",""Prop"&amp;"!$Y$1:$AI""),11,0),iferror(vlookup(B82,importrange(""https://docs.google.com/spreadsheets/d/1p53T2AuvvIqhP7Nf-bo3Uhj8cbKYRPpZdsrBv3x3bAQ/edit?resourcekey#gid=1321652304"",""Prop!$AJ$1:$AT""),11,0),iferror(vlookup(B82,importrange(""https://docs.google.com/"&amp;"spreadsheets/d/1p53T2AuvvIqhP7Nf-bo3Uhj8cbKYRPpZdsrBv3x3bAQ/edit?resourcekey#gid=1321652304"",""Prop!$AU$1:$BE""),11,0),iferror(vlookup(B82,importrange(""https://docs.google.com/spreadsheets/d/1p53T2AuvvIqhP7Nf-bo3Uhj8cbKYRPpZdsrBv3x3bAQ/edit?resourcekey#"&amp;"gid=1321652304"",""Prop!$BF$1:$BP""),11,0),iferror(vlookup(B82,importrange(""https://docs.google.com/spreadsheets/d/1p53T2AuvvIqhP7Nf-bo3Uhj8cbKYRPpZdsrBv3x3bAQ/edit?resourcekey#gid=1321652304"",""Prop!$BQ$1:$CA""),11,0),iferror(vlookup(B82,importrange("""&amp;"https://docs.google.com/spreadsheets/d/1p53T2AuvvIqhP7Nf-bo3Uhj8cbKYRPpZdsrBv3x3bAQ/edit?resourcekey#gid=1321652304"",""Prop!$CB$1:$CL""),11,0),iferror(vlookup(B82,importrange(""https://docs.google.com/spreadsheets/d/1p53T2AuvvIqhP7Nf-bo3Uhj8cbKYRPpZdsrBv"&amp;"3x3bAQ/edit?resourcekey#gid=1321652304"",""Prop!$CM$1:$CX""),11,0),iferror(vlookup(B82,importrange(""https://docs.google.com/spreadsheets/d/1p53T2AuvvIqhP7Nf-bo3Uhj8cbKYRPpZdsrBv3x3bAQ/edit?resourcekey#gid=1321652304"",""Prop!$CY$1:$DI""),11,0)))))))))))"),"https://drive.google.com/open?id=1ymfJN-URyDUPSDU_D-e23w6nrXCxhSnX")</f>
        <v>https://drive.google.com/open?id=1ymfJN-URyDUPSDU_D-e23w6nrXCxhSnX</v>
      </c>
      <c r="R82" s="88" t="s">
        <v>1101</v>
      </c>
      <c r="S82" s="20" t="str">
        <f ca="1">IFERROR(__xludf.DUMMYFUNCTION("IFERROR(vlookup(B82,IMPORTRANGE(""https://docs.google.com/spreadsheets/d/1g_jfYYK_KeipEDNDUgqgrsxK94XiocfNQIcP-v1QVhI/edit?resourcekey#gid=233272945"",""Nilai!B:CT""),57,0),"" "")"),"Tinjauan pustaka kurang, metode perlu diperbaiki, RAB masih acak adul, lampiran2 belum lengkap")</f>
        <v>Tinjauan pustaka kurang, metode perlu diperbaiki, RAB masih acak adul, lampiran2 belum lengkap</v>
      </c>
      <c r="T82" s="20" t="str">
        <f ca="1">IFERROR(__xludf.DUMMYFUNCTION("IFERROR(vlookup(B82,IMPORTRANGE(""https://docs.google.com/spreadsheets/d/1g_jfYYK_KeipEDNDUgqgrsxK94XiocfNQIcP-v1QVhI/edit?resourcekey#gid=233272945"",""Nilai!B:CT""),97,0),"" "")"),"LAYAK UPLOAD KE SIMBELMAWA DENGAN REVISI")</f>
        <v>LAYAK UPLOAD KE SIMBELMAWA DENGAN REVISI</v>
      </c>
      <c r="U82" s="36" t="s">
        <v>825</v>
      </c>
      <c r="V82" s="85" t="s">
        <v>1102</v>
      </c>
      <c r="W82" s="17" t="s">
        <v>1154</v>
      </c>
      <c r="X82" s="34" t="s">
        <v>949</v>
      </c>
    </row>
    <row r="83" spans="1:24" ht="69">
      <c r="A83" s="15">
        <v>81</v>
      </c>
      <c r="B83" s="15">
        <f ca="1">IFERROR(__xludf.DUMMYFUNCTION("""COMPUTED_VALUE"""),3239)</f>
        <v>3239</v>
      </c>
      <c r="C83" s="16" t="str">
        <f ca="1">IFERROR(__xludf.DUMMYFUNCTION("""COMPUTED_VALUE"""),"Pratama Tegar Parderio")</f>
        <v>Pratama Tegar Parderio</v>
      </c>
      <c r="D83" s="16" t="str">
        <f ca="1">IFERROR(__xludf.DUMMYFUNCTION("""COMPUTED_VALUE"""),"02211840000030")</f>
        <v>02211840000030</v>
      </c>
      <c r="E83" s="16" t="str">
        <f ca="1">IFERROR(__xludf.DUMMYFUNCTION("""COMPUTED_VALUE"""),"Departemen Teknik Kimia")</f>
        <v>Departemen Teknik Kimia</v>
      </c>
      <c r="F83" s="16" t="str">
        <f ca="1">IFERROR(__xludf.DUMMYFUNCTION("""COMPUTED_VALUE"""),"Proses Sintesis Diethyl Carbonate dengan Utilisasi CO2 Untuk Menangani Global Warming yang Diakibatkan oleh Gas Rumah Kaca")</f>
        <v>Proses Sintesis Diethyl Carbonate dengan Utilisasi CO2 Untuk Menangani Global Warming yang Diakibatkan oleh Gas Rumah Kaca</v>
      </c>
      <c r="G83" s="16" t="str">
        <f ca="1">IFERROR(__xludf.DUMMYFUNCTION("""COMPUTED_VALUE"""),"Annas Wiguno, S.T., M.T.")</f>
        <v>Annas Wiguno, S.T., M.T.</v>
      </c>
      <c r="H83" s="16" t="str">
        <f ca="1">IFERROR(__xludf.DUMMYFUNCTION("""COMPUTED_VALUE"""),"Vania Mitha Pratiwi, S.T., M.T.")</f>
        <v>Vania Mitha Pratiwi, S.T., M.T.</v>
      </c>
      <c r="I83" s="16" t="str">
        <f ca="1">IFERROR(__xludf.DUMMYFUNCTION("""COMPUTED_VALUE"""),"Dr. Candra Irawan, S.T., M.T.")</f>
        <v>Dr. Candra Irawan, S.T., M.T.</v>
      </c>
      <c r="J83" s="16"/>
      <c r="K83" s="17" t="s">
        <v>1156</v>
      </c>
      <c r="L83" s="17" t="s">
        <v>1155</v>
      </c>
      <c r="M83" s="19" t="b">
        <v>1</v>
      </c>
      <c r="N83" s="19" t="b">
        <v>1</v>
      </c>
      <c r="O83" s="1" t="s">
        <v>1139</v>
      </c>
      <c r="P83" s="7" t="str">
        <f ca="1">IFERROR(__xludf.DUMMYFUNCTION("iferror(vlookup(B83,importrange(""https://docs.google.com/spreadsheets/d/1boHyJQ4e2FU0QG8MHwEi6qjX4hvZWVCHcFfXjq7bbMc/edit?resourcekey#gid=923248883"",""Prop!$C$1:$M""),11,0),IFERROR(vlookup(B83,importrange(""https://docs.google.com/spreadsheets/d/1boHyJQ"&amp;"4e2FU0QG8MHwEi6qjX4hvZWVCHcFfXjq7bbMc/edit?resourcekey#gid=923248883"",""Prop!$N$1:$X""),11,0),iferror(vlookup(B83,importrange(""https://docs.google.com/spreadsheets/d/1boHyJQ4e2FU0QG8MHwEi6qjX4hvZWVCHcFfXjq7bbMc/edit?resourcekey#gid=923248883"",""Prop!$Y"&amp;"$1:$AI""),11,0),iferror(vlookup(B83,importrange(""https://docs.google.com/spreadsheets/d/1boHyJQ4e2FU0QG8MHwEi6qjX4hvZWVCHcFfXjq7bbMc/edit?resourcekey#gid=923248883"",""Prop!$AJ$1:$AT""),11,0),iferror(vlookup(B83,importrange(""https://docs.google.com/spre"&amp;"adsheets/d/1boHyJQ4e2FU0QG8MHwEi6qjX4hvZWVCHcFfXjq7bbMc/edit?resourcekey#gid=923248883"",""Prop!$AU$1:$BE""),11,0),iferror(vlookup(B83,importrange(""https://docs.google.com/spreadsheets/d/1boHyJQ4e2FU0QG8MHwEi6qjX4hvZWVCHcFfXjq7bbMc/edit?resourcekey#gid=9"&amp;"23248883"",""Prop!$BF$1:$BP""),11,0),iferror(vlookup(B83,importrange(""https://docs.google.com/spreadsheets/d/1boHyJQ4e2FU0QG8MHwEi6qjX4hvZWVCHcFfXjq7bbMc/edit?resourcekey#gid=923248883"",""Prop!$BQ$1:$CA""),11,0),iferror(vlookup(B83,importrange(""https:/"&amp;"/docs.google.com/spreadsheets/d/1boHyJQ4e2FU0QG8MHwEi6qjX4hvZWVCHcFfXjq7bbMc/edit?resourcekey#gid=923248883"",""Prop!$CB$1:$CL""),11,0),iferror(vlookup(B83,importrange(""https://docs.google.com/spreadsheets/d/1boHyJQ4e2FU0QG8MHwEi6qjX4hvZWVCHcFfXjq7bbMc/e"&amp;"dit?resourcekey#gid=923248883"",""Prop!$CM$1:$CX""),12,0),iferror(vlookup(B83,importrange(""https://docs.google.com/spreadsheets/d/1boHyJQ4e2FU0QG8MHwEi6qjX4hvZWVCHcFfXjq7bbMc/edit?resourcekey#gid=923248883"",""Prop!$CV$1:$DI""),11,0)))))))))))"),"https://drive.google.com/open?id=1mruqh1MgKHTG73fq-UW9BTodQV64RqJD")</f>
        <v>https://drive.google.com/open?id=1mruqh1MgKHTG73fq-UW9BTodQV64RqJD</v>
      </c>
      <c r="Q83" s="7" t="str">
        <f ca="1">IFERROR(__xludf.DUMMYFUNCTION("iferror(vlookup(B83,importrange(""https://docs.google.com/spreadsheets/d/1p53T2AuvvIqhP7Nf-bo3Uhj8cbKYRPpZdsrBv3x3bAQ/edit?resourcekey#gid=1321652304"",""Prop!$C$1:$M""),11,0),IFERROR(vlookup(B83,importrange(""https://docs.google.com/spreadsheets/d/1p53T2"&amp;"AuvvIqhP7Nf-bo3Uhj8cbKYRPpZdsrBv3x3bAQ/edit?resourcekey#gid=1321652304"",""Prop!$N$1:$X""),11,0),iferror(vlookup(B83,importrange(""https://docs.google.com/spreadsheets/d/1p53T2AuvvIqhP7Nf-bo3Uhj8cbKYRPpZdsrBv3x3bAQ/edit?resourcekey#gid=1321652304"",""Prop"&amp;"!$Y$1:$AI""),11,0),iferror(vlookup(B83,importrange(""https://docs.google.com/spreadsheets/d/1p53T2AuvvIqhP7Nf-bo3Uhj8cbKYRPpZdsrBv3x3bAQ/edit?resourcekey#gid=1321652304"",""Prop!$AJ$1:$AT""),11,0),iferror(vlookup(B83,importrange(""https://docs.google.com/"&amp;"spreadsheets/d/1p53T2AuvvIqhP7Nf-bo3Uhj8cbKYRPpZdsrBv3x3bAQ/edit?resourcekey#gid=1321652304"",""Prop!$AU$1:$BE""),11,0),iferror(vlookup(B83,importrange(""https://docs.google.com/spreadsheets/d/1p53T2AuvvIqhP7Nf-bo3Uhj8cbKYRPpZdsrBv3x3bAQ/edit?resourcekey#"&amp;"gid=1321652304"",""Prop!$BF$1:$BP""),11,0),iferror(vlookup(B83,importrange(""https://docs.google.com/spreadsheets/d/1p53T2AuvvIqhP7Nf-bo3Uhj8cbKYRPpZdsrBv3x3bAQ/edit?resourcekey#gid=1321652304"",""Prop!$BQ$1:$CA""),11,0),iferror(vlookup(B83,importrange("""&amp;"https://docs.google.com/spreadsheets/d/1p53T2AuvvIqhP7Nf-bo3Uhj8cbKYRPpZdsrBv3x3bAQ/edit?resourcekey#gid=1321652304"",""Prop!$CB$1:$CL""),11,0),iferror(vlookup(B83,importrange(""https://docs.google.com/spreadsheets/d/1p53T2AuvvIqhP7Nf-bo3Uhj8cbKYRPpZdsrBv"&amp;"3x3bAQ/edit?resourcekey#gid=1321652304"",""Prop!$CM$1:$CX""),11,0),iferror(vlookup(B83,importrange(""https://docs.google.com/spreadsheets/d/1p53T2AuvvIqhP7Nf-bo3Uhj8cbKYRPpZdsrBv3x3bAQ/edit?resourcekey#gid=1321652304"",""Prop!$CY$1:$DI""),11,0)))))))))))"),"https://drive.google.com/open?id=1KDkO3QcZfWLiTtY1KlK7RKpoQZatCc30")</f>
        <v>https://drive.google.com/open?id=1KDkO3QcZfWLiTtY1KlK7RKpoQZatCc30</v>
      </c>
      <c r="R83" s="88" t="s">
        <v>1101</v>
      </c>
      <c r="S83" s="20" t="str">
        <f ca="1">IFERROR(__xludf.DUMMYFUNCTION("IFERROR(vlookup(B83,IMPORTRANGE(""https://docs.google.com/spreadsheets/d/1g_jfYYK_KeipEDNDUgqgrsxK94XiocfNQIcP-v1QVhI/edit?resourcekey#gid=233272945"",""Nilai!B:CT""),57,0),"" "")"),"Metode analisis data perlu dicantumkan")</f>
        <v>Metode analisis data perlu dicantumkan</v>
      </c>
      <c r="T83" s="20" t="str">
        <f ca="1">IFERROR(__xludf.DUMMYFUNCTION("IFERROR(vlookup(B83,IMPORTRANGE(""https://docs.google.com/spreadsheets/d/1g_jfYYK_KeipEDNDUgqgrsxK94XiocfNQIcP-v1QVhI/edit?resourcekey#gid=233272945"",""Nilai!B:CT""),97,0),"" "")"),"LAYAK UPLOAD KE SIMBELMAWA DENGAN REVISI")</f>
        <v>LAYAK UPLOAD KE SIMBELMAWA DENGAN REVISI</v>
      </c>
      <c r="U83" s="36" t="s">
        <v>825</v>
      </c>
      <c r="V83" s="85" t="s">
        <v>1102</v>
      </c>
      <c r="W83" s="17" t="s">
        <v>1154</v>
      </c>
      <c r="X83" s="34" t="s">
        <v>949</v>
      </c>
    </row>
    <row r="84" spans="1:24" ht="72">
      <c r="A84" s="15">
        <v>82</v>
      </c>
      <c r="B84" s="15">
        <f ca="1">IFERROR(__xludf.DUMMYFUNCTION("""COMPUTED_VALUE"""),3792)</f>
        <v>3792</v>
      </c>
      <c r="C84" s="16" t="str">
        <f ca="1">IFERROR(__xludf.DUMMYFUNCTION("""COMPUTED_VALUE"""),"FATIMAH FA`UZUL ROSYADA")</f>
        <v>FATIMAH FA`UZUL ROSYADA</v>
      </c>
      <c r="D84" s="16" t="str">
        <f ca="1">IFERROR(__xludf.DUMMYFUNCTION("""COMPUTED_VALUE"""),"5008201084")</f>
        <v>5008201084</v>
      </c>
      <c r="E84" s="16" t="str">
        <f ca="1">IFERROR(__xludf.DUMMYFUNCTION("""COMPUTED_VALUE"""),"Departemen Teknik Kimia")</f>
        <v>Departemen Teknik Kimia</v>
      </c>
      <c r="F84" s="16" t="str">
        <f ca="1">IFERROR(__xludf.DUMMYFUNCTION("""COMPUTED_VALUE"""),"Ekstraksi Glukomanan pada Umbi Porang dengan Metode Microwave Assisted Extraction (MAE) sebagai Alternatif Pangan untuk Mengurangi Stunting di Indonesia")</f>
        <v>Ekstraksi Glukomanan pada Umbi Porang dengan Metode Microwave Assisted Extraction (MAE) sebagai Alternatif Pangan untuk Mengurangi Stunting di Indonesia</v>
      </c>
      <c r="G84" s="16" t="str">
        <f ca="1">IFERROR(__xludf.DUMMYFUNCTION("""COMPUTED_VALUE"""),"Hakun Wirawasista Aparamarta, S.T., M.MT., Ph.D.")</f>
        <v>Hakun Wirawasista Aparamarta, S.T., M.MT., Ph.D.</v>
      </c>
      <c r="H84" s="16" t="str">
        <f ca="1">IFERROR(__xludf.DUMMYFUNCTION("""COMPUTED_VALUE"""),"Vania Mitha Pratiwi, S.T., M.T.")</f>
        <v>Vania Mitha Pratiwi, S.T., M.T.</v>
      </c>
      <c r="I84" s="16" t="str">
        <f ca="1">IFERROR(__xludf.DUMMYFUNCTION("""COMPUTED_VALUE"""),"Dr. Candra Irawan, S.T., M.T.")</f>
        <v>Dr. Candra Irawan, S.T., M.T.</v>
      </c>
      <c r="J84" s="16"/>
      <c r="K84" s="17" t="s">
        <v>1156</v>
      </c>
      <c r="L84" s="17" t="s">
        <v>1155</v>
      </c>
      <c r="M84" s="19" t="b">
        <v>0</v>
      </c>
      <c r="N84" s="19" t="b">
        <v>1</v>
      </c>
      <c r="O84" s="1" t="s">
        <v>1139</v>
      </c>
      <c r="P84" s="7" t="str">
        <f ca="1">IFERROR(__xludf.DUMMYFUNCTION("iferror(vlookup(B84,importrange(""https://docs.google.com/spreadsheets/d/1boHyJQ4e2FU0QG8MHwEi6qjX4hvZWVCHcFfXjq7bbMc/edit?resourcekey#gid=923248883"",""Prop!$C$1:$M""),11,0),IFERROR(vlookup(B84,importrange(""https://docs.google.com/spreadsheets/d/1boHyJQ"&amp;"4e2FU0QG8MHwEi6qjX4hvZWVCHcFfXjq7bbMc/edit?resourcekey#gid=923248883"",""Prop!$N$1:$X""),11,0),iferror(vlookup(B84,importrange(""https://docs.google.com/spreadsheets/d/1boHyJQ4e2FU0QG8MHwEi6qjX4hvZWVCHcFfXjq7bbMc/edit?resourcekey#gid=923248883"",""Prop!$Y"&amp;"$1:$AI""),11,0),iferror(vlookup(B84,importrange(""https://docs.google.com/spreadsheets/d/1boHyJQ4e2FU0QG8MHwEi6qjX4hvZWVCHcFfXjq7bbMc/edit?resourcekey#gid=923248883"",""Prop!$AJ$1:$AT""),11,0),iferror(vlookup(B84,importrange(""https://docs.google.com/spre"&amp;"adsheets/d/1boHyJQ4e2FU0QG8MHwEi6qjX4hvZWVCHcFfXjq7bbMc/edit?resourcekey#gid=923248883"",""Prop!$AU$1:$BE""),11,0),iferror(vlookup(B84,importrange(""https://docs.google.com/spreadsheets/d/1boHyJQ4e2FU0QG8MHwEi6qjX4hvZWVCHcFfXjq7bbMc/edit?resourcekey#gid=9"&amp;"23248883"",""Prop!$BF$1:$BP""),11,0),iferror(vlookup(B84,importrange(""https://docs.google.com/spreadsheets/d/1boHyJQ4e2FU0QG8MHwEi6qjX4hvZWVCHcFfXjq7bbMc/edit?resourcekey#gid=923248883"",""Prop!$BQ$1:$CA""),11,0),iferror(vlookup(B84,importrange(""https:/"&amp;"/docs.google.com/spreadsheets/d/1boHyJQ4e2FU0QG8MHwEi6qjX4hvZWVCHcFfXjq7bbMc/edit?resourcekey#gid=923248883"",""Prop!$CB$1:$CL""),11,0),iferror(vlookup(B84,importrange(""https://docs.google.com/spreadsheets/d/1boHyJQ4e2FU0QG8MHwEi6qjX4hvZWVCHcFfXjq7bbMc/e"&amp;"dit?resourcekey#gid=923248883"",""Prop!$CM$1:$CX""),12,0),iferror(vlookup(B84,importrange(""https://docs.google.com/spreadsheets/d/1boHyJQ4e2FU0QG8MHwEi6qjX4hvZWVCHcFfXjq7bbMc/edit?resourcekey#gid=923248883"",""Prop!$CV$1:$DI""),11,0)))))))))))"),"https://drive.google.com/open?id=1yggOLa7bjulN-wul9XLySkEpJzR1BJo2")</f>
        <v>https://drive.google.com/open?id=1yggOLa7bjulN-wul9XLySkEpJzR1BJo2</v>
      </c>
      <c r="Q84" s="7" t="str">
        <f ca="1">IFERROR(__xludf.DUMMYFUNCTION("iferror(vlookup(B84,importrange(""https://docs.google.com/spreadsheets/d/1p53T2AuvvIqhP7Nf-bo3Uhj8cbKYRPpZdsrBv3x3bAQ/edit?resourcekey#gid=1321652304"",""Prop!$C$1:$M""),11,0),IFERROR(vlookup(B84,importrange(""https://docs.google.com/spreadsheets/d/1p53T2"&amp;"AuvvIqhP7Nf-bo3Uhj8cbKYRPpZdsrBv3x3bAQ/edit?resourcekey#gid=1321652304"",""Prop!$N$1:$X""),11,0),iferror(vlookup(B84,importrange(""https://docs.google.com/spreadsheets/d/1p53T2AuvvIqhP7Nf-bo3Uhj8cbKYRPpZdsrBv3x3bAQ/edit?resourcekey#gid=1321652304"",""Prop"&amp;"!$Y$1:$AI""),11,0),iferror(vlookup(B84,importrange(""https://docs.google.com/spreadsheets/d/1p53T2AuvvIqhP7Nf-bo3Uhj8cbKYRPpZdsrBv3x3bAQ/edit?resourcekey#gid=1321652304"",""Prop!$AJ$1:$AT""),11,0),iferror(vlookup(B84,importrange(""https://docs.google.com/"&amp;"spreadsheets/d/1p53T2AuvvIqhP7Nf-bo3Uhj8cbKYRPpZdsrBv3x3bAQ/edit?resourcekey#gid=1321652304"",""Prop!$AU$1:$BE""),11,0),iferror(vlookup(B84,importrange(""https://docs.google.com/spreadsheets/d/1p53T2AuvvIqhP7Nf-bo3Uhj8cbKYRPpZdsrBv3x3bAQ/edit?resourcekey#"&amp;"gid=1321652304"",""Prop!$BF$1:$BP""),11,0),iferror(vlookup(B84,importrange(""https://docs.google.com/spreadsheets/d/1p53T2AuvvIqhP7Nf-bo3Uhj8cbKYRPpZdsrBv3x3bAQ/edit?resourcekey#gid=1321652304"",""Prop!$BQ$1:$CA""),11,0),iferror(vlookup(B84,importrange("""&amp;"https://docs.google.com/spreadsheets/d/1p53T2AuvvIqhP7Nf-bo3Uhj8cbKYRPpZdsrBv3x3bAQ/edit?resourcekey#gid=1321652304"",""Prop!$CB$1:$CL""),11,0),iferror(vlookup(B84,importrange(""https://docs.google.com/spreadsheets/d/1p53T2AuvvIqhP7Nf-bo3Uhj8cbKYRPpZdsrBv"&amp;"3x3bAQ/edit?resourcekey#gid=1321652304"",""Prop!$CM$1:$CX""),11,0),iferror(vlookup(B84,importrange(""https://docs.google.com/spreadsheets/d/1p53T2AuvvIqhP7Nf-bo3Uhj8cbKYRPpZdsrBv3x3bAQ/edit?resourcekey#gid=1321652304"",""Prop!$CY$1:$DI""),11,0)))))))))))"),"https://drive.google.com/open?id=10pDRD-nTrlxwTNhBCbtBBWqURcMXhYwB")</f>
        <v>https://drive.google.com/open?id=10pDRD-nTrlxwTNhBCbtBBWqURcMXhYwB</v>
      </c>
      <c r="R84" s="88" t="s">
        <v>1101</v>
      </c>
      <c r="S84" s="20" t="str">
        <f ca="1">IFERROR(__xludf.DUMMYFUNCTION("IFERROR(vlookup(B84,IMPORTRANGE(""https://docs.google.com/spreadsheets/d/1g_jfYYK_KeipEDNDUgqgrsxK94XiocfNQIcP-v1QVhI/edit?resourcekey#gid=233272945"",""Nilai!B:CT""),57,0),"" "")"),"")</f>
        <v/>
      </c>
      <c r="T84" s="20" t="str">
        <f ca="1">IFERROR(__xludf.DUMMYFUNCTION("IFERROR(vlookup(B84,IMPORTRANGE(""https://docs.google.com/spreadsheets/d/1g_jfYYK_KeipEDNDUgqgrsxK94XiocfNQIcP-v1QVhI/edit?resourcekey#gid=233272945"",""Nilai!B:CT""),97,0),"" "")"),"LAYAK UPLOAD KE SIMBELMAWA DENGAN REVISI")</f>
        <v>LAYAK UPLOAD KE SIMBELMAWA DENGAN REVISI</v>
      </c>
      <c r="U84" s="36" t="s">
        <v>825</v>
      </c>
      <c r="V84" s="85" t="s">
        <v>1102</v>
      </c>
      <c r="W84" s="17" t="s">
        <v>1157</v>
      </c>
      <c r="X84" s="34" t="s">
        <v>949</v>
      </c>
    </row>
    <row r="85" spans="1:24" ht="69">
      <c r="A85" s="15">
        <v>83</v>
      </c>
      <c r="B85" s="15">
        <f ca="1">IFERROR(__xludf.DUMMYFUNCTION("""COMPUTED_VALUE"""),3740)</f>
        <v>3740</v>
      </c>
      <c r="C85" s="16" t="str">
        <f ca="1">IFERROR(__xludf.DUMMYFUNCTION("""COMPUTED_VALUE"""),"WIDYA ANASTASYA NINGTIYAS")</f>
        <v>WIDYA ANASTASYA NINGTIYAS</v>
      </c>
      <c r="D85" s="16" t="str">
        <f ca="1">IFERROR(__xludf.DUMMYFUNCTION("""COMPUTED_VALUE"""),"01211940000070")</f>
        <v>01211940000070</v>
      </c>
      <c r="E85" s="16" t="str">
        <f ca="1">IFERROR(__xludf.DUMMYFUNCTION("""COMPUTED_VALUE"""),"Departemen Kimia")</f>
        <v>Departemen Kimia</v>
      </c>
      <c r="F85" s="16" t="str">
        <f ca="1">IFERROR(__xludf.DUMMYFUNCTION("""COMPUTED_VALUE"""),"Modifikasi Zr-NDC MOF dengan Kitosan dari Limbah Cangkang Kepiting sebagai Material Drug Delivery System Parasetamol dengan Pelepasan Terkontrol dan Berkepanjangan")</f>
        <v>Modifikasi Zr-NDC MOF dengan Kitosan dari Limbah Cangkang Kepiting sebagai Material Drug Delivery System Parasetamol dengan Pelepasan Terkontrol dan Berkepanjangan</v>
      </c>
      <c r="G85" s="16" t="str">
        <f ca="1">IFERROR(__xludf.DUMMYFUNCTION("""COMPUTED_VALUE"""),"Dra. Ratna Ediati, MS., Ph.D.")</f>
        <v>Dra. Ratna Ediati, MS., Ph.D.</v>
      </c>
      <c r="H85" s="16" t="str">
        <f ca="1">IFERROR(__xludf.DUMMYFUNCTION("""COMPUTED_VALUE"""),"Vania Mitha Pratiwi, S.T., M.T.")</f>
        <v>Vania Mitha Pratiwi, S.T., M.T.</v>
      </c>
      <c r="I85" s="16" t="str">
        <f ca="1">IFERROR(__xludf.DUMMYFUNCTION("""COMPUTED_VALUE"""),"Hamdan Dwi Rizqi, S.Si., M.Si.")</f>
        <v>Hamdan Dwi Rizqi, S.Si., M.Si.</v>
      </c>
      <c r="J85" s="16"/>
      <c r="K85" s="17" t="s">
        <v>1156</v>
      </c>
      <c r="L85" s="17" t="s">
        <v>1155</v>
      </c>
      <c r="M85" s="19" t="b">
        <v>0</v>
      </c>
      <c r="N85" s="19" t="b">
        <v>0</v>
      </c>
      <c r="O85" s="1" t="s">
        <v>1158</v>
      </c>
      <c r="P85" s="7" t="str">
        <f ca="1">IFERROR(__xludf.DUMMYFUNCTION("iferror(vlookup(B85,importrange(""https://docs.google.com/spreadsheets/d/1boHyJQ4e2FU0QG8MHwEi6qjX4hvZWVCHcFfXjq7bbMc/edit?resourcekey#gid=923248883"",""Prop!$C$1:$M""),11,0),IFERROR(vlookup(B85,importrange(""https://docs.google.com/spreadsheets/d/1boHyJQ"&amp;"4e2FU0QG8MHwEi6qjX4hvZWVCHcFfXjq7bbMc/edit?resourcekey#gid=923248883"",""Prop!$N$1:$X""),11,0),iferror(vlookup(B85,importrange(""https://docs.google.com/spreadsheets/d/1boHyJQ4e2FU0QG8MHwEi6qjX4hvZWVCHcFfXjq7bbMc/edit?resourcekey#gid=923248883"",""Prop!$Y"&amp;"$1:$AI""),11,0),iferror(vlookup(B85,importrange(""https://docs.google.com/spreadsheets/d/1boHyJQ4e2FU0QG8MHwEi6qjX4hvZWVCHcFfXjq7bbMc/edit?resourcekey#gid=923248883"",""Prop!$AJ$1:$AT""),11,0),iferror(vlookup(B85,importrange(""https://docs.google.com/spre"&amp;"adsheets/d/1boHyJQ4e2FU0QG8MHwEi6qjX4hvZWVCHcFfXjq7bbMc/edit?resourcekey#gid=923248883"",""Prop!$AU$1:$BE""),11,0),iferror(vlookup(B85,importrange(""https://docs.google.com/spreadsheets/d/1boHyJQ4e2FU0QG8MHwEi6qjX4hvZWVCHcFfXjq7bbMc/edit?resourcekey#gid=9"&amp;"23248883"",""Prop!$BF$1:$BP""),11,0),iferror(vlookup(B85,importrange(""https://docs.google.com/spreadsheets/d/1boHyJQ4e2FU0QG8MHwEi6qjX4hvZWVCHcFfXjq7bbMc/edit?resourcekey#gid=923248883"",""Prop!$BQ$1:$CA""),11,0),iferror(vlookup(B85,importrange(""https:/"&amp;"/docs.google.com/spreadsheets/d/1boHyJQ4e2FU0QG8MHwEi6qjX4hvZWVCHcFfXjq7bbMc/edit?resourcekey#gid=923248883"",""Prop!$CB$1:$CL""),11,0),iferror(vlookup(B85,importrange(""https://docs.google.com/spreadsheets/d/1boHyJQ4e2FU0QG8MHwEi6qjX4hvZWVCHcFfXjq7bbMc/e"&amp;"dit?resourcekey#gid=923248883"",""Prop!$CM$1:$CX""),12,0),iferror(vlookup(B85,importrange(""https://docs.google.com/spreadsheets/d/1boHyJQ4e2FU0QG8MHwEi6qjX4hvZWVCHcFfXjq7bbMc/edit?resourcekey#gid=923248883"",""Prop!$CV$1:$DI""),11,0)))))))))))"),"https://drive.google.com/open?id=1dkwAIbYm_ADSxfwivvFPxVRCfG-zbpzB")</f>
        <v>https://drive.google.com/open?id=1dkwAIbYm_ADSxfwivvFPxVRCfG-zbpzB</v>
      </c>
      <c r="Q85" s="7" t="str">
        <f ca="1">IFERROR(__xludf.DUMMYFUNCTION("iferror(vlookup(B85,importrange(""https://docs.google.com/spreadsheets/d/1p53T2AuvvIqhP7Nf-bo3Uhj8cbKYRPpZdsrBv3x3bAQ/edit?resourcekey#gid=1321652304"",""Prop!$C$1:$M""),11,0),IFERROR(vlookup(B85,importrange(""https://docs.google.com/spreadsheets/d/1p53T2"&amp;"AuvvIqhP7Nf-bo3Uhj8cbKYRPpZdsrBv3x3bAQ/edit?resourcekey#gid=1321652304"",""Prop!$N$1:$X""),11,0),iferror(vlookup(B85,importrange(""https://docs.google.com/spreadsheets/d/1p53T2AuvvIqhP7Nf-bo3Uhj8cbKYRPpZdsrBv3x3bAQ/edit?resourcekey#gid=1321652304"",""Prop"&amp;"!$Y$1:$AI""),11,0),iferror(vlookup(B85,importrange(""https://docs.google.com/spreadsheets/d/1p53T2AuvvIqhP7Nf-bo3Uhj8cbKYRPpZdsrBv3x3bAQ/edit?resourcekey#gid=1321652304"",""Prop!$AJ$1:$AT""),11,0),iferror(vlookup(B85,importrange(""https://docs.google.com/"&amp;"spreadsheets/d/1p53T2AuvvIqhP7Nf-bo3Uhj8cbKYRPpZdsrBv3x3bAQ/edit?resourcekey#gid=1321652304"",""Prop!$AU$1:$BE""),11,0),iferror(vlookup(B85,importrange(""https://docs.google.com/spreadsheets/d/1p53T2AuvvIqhP7Nf-bo3Uhj8cbKYRPpZdsrBv3x3bAQ/edit?resourcekey#"&amp;"gid=1321652304"",""Prop!$BF$1:$BP""),11,0),iferror(vlookup(B85,importrange(""https://docs.google.com/spreadsheets/d/1p53T2AuvvIqhP7Nf-bo3Uhj8cbKYRPpZdsrBv3x3bAQ/edit?resourcekey#gid=1321652304"",""Prop!$BQ$1:$CA""),11,0),iferror(vlookup(B85,importrange("""&amp;"https://docs.google.com/spreadsheets/d/1p53T2AuvvIqhP7Nf-bo3Uhj8cbKYRPpZdsrBv3x3bAQ/edit?resourcekey#gid=1321652304"",""Prop!$CB$1:$CL""),11,0),iferror(vlookup(B85,importrange(""https://docs.google.com/spreadsheets/d/1p53T2AuvvIqhP7Nf-bo3Uhj8cbKYRPpZdsrBv"&amp;"3x3bAQ/edit?resourcekey#gid=1321652304"",""Prop!$CM$1:$CX""),11,0),iferror(vlookup(B85,importrange(""https://docs.google.com/spreadsheets/d/1p53T2AuvvIqhP7Nf-bo3Uhj8cbKYRPpZdsrBv3x3bAQ/edit?resourcekey#gid=1321652304"",""Prop!$CY$1:$DI""),11,0)))))))))))"),"https://drive.google.com/open?id=1lYFi80wbe0kjkOIwPh_xJcZGiMUXu7iF")</f>
        <v>https://drive.google.com/open?id=1lYFi80wbe0kjkOIwPh_xJcZGiMUXu7iF</v>
      </c>
      <c r="R85" s="88" t="s">
        <v>1101</v>
      </c>
      <c r="S85" s="20" t="str">
        <f ca="1">IFERROR(__xludf.DUMMYFUNCTION("IFERROR(vlookup(B85,IMPORTRANGE(""https://docs.google.com/spreadsheets/d/1g_jfYYK_KeipEDNDUgqgrsxK94XiocfNQIcP-v1QVhI/edit?resourcekey#gid=233272945"",""Nilai!B:CT""),57,0),"" "")"),"")</f>
        <v/>
      </c>
      <c r="T85" s="20" t="str">
        <f ca="1">IFERROR(__xludf.DUMMYFUNCTION("IFERROR(vlookup(B85,IMPORTRANGE(""https://docs.google.com/spreadsheets/d/1g_jfYYK_KeipEDNDUgqgrsxK94XiocfNQIcP-v1QVhI/edit?resourcekey#gid=233272945"",""Nilai!B:CT""),97,0),"" "")"),"LAYAK UPLOAD KE SIMBELMAWA DENGAN REVISI")</f>
        <v>LAYAK UPLOAD KE SIMBELMAWA DENGAN REVISI</v>
      </c>
      <c r="U85" s="36" t="s">
        <v>825</v>
      </c>
      <c r="V85" s="85" t="s">
        <v>1102</v>
      </c>
      <c r="W85" s="17" t="s">
        <v>1157</v>
      </c>
      <c r="X85" s="34" t="s">
        <v>949</v>
      </c>
    </row>
    <row r="86" spans="1:24" ht="57.6">
      <c r="A86" s="15">
        <v>84</v>
      </c>
      <c r="B86" s="15">
        <f ca="1">IFERROR(__xludf.DUMMYFUNCTION("""COMPUTED_VALUE"""),3447)</f>
        <v>3447</v>
      </c>
      <c r="C86" s="16" t="str">
        <f ca="1">IFERROR(__xludf.DUMMYFUNCTION("""COMPUTED_VALUE"""),"Ferdiansyah Iqbil Qouli")</f>
        <v>Ferdiansyah Iqbil Qouli</v>
      </c>
      <c r="D86" s="16" t="str">
        <f ca="1">IFERROR(__xludf.DUMMYFUNCTION("""COMPUTED_VALUE"""),"02211940000044")</f>
        <v>02211940000044</v>
      </c>
      <c r="E86" s="16" t="str">
        <f ca="1">IFERROR(__xludf.DUMMYFUNCTION("""COMPUTED_VALUE"""),"Departemen Teknik Kimia")</f>
        <v>Departemen Teknik Kimia</v>
      </c>
      <c r="F86" s="16" t="str">
        <f ca="1">IFERROR(__xludf.DUMMYFUNCTION("""COMPUTED_VALUE"""),"Bioenergi Alternatif dari Pemurnian Biobutanol Metode Ekstraksi Cair-Cair dan Distilasi Bertingkat dari Hasil Fermentasi ABE Limbah Tandan Kosong Kelapa Sawit")</f>
        <v>Bioenergi Alternatif dari Pemurnian Biobutanol Metode Ekstraksi Cair-Cair dan Distilasi Bertingkat dari Hasil Fermentasi ABE Limbah Tandan Kosong Kelapa Sawit</v>
      </c>
      <c r="G86" s="16" t="str">
        <f ca="1">IFERROR(__xludf.DUMMYFUNCTION("""COMPUTED_VALUE"""),"Prof. Dr. Ir. Tri Widjaja, M.Eng")</f>
        <v>Prof. Dr. Ir. Tri Widjaja, M.Eng</v>
      </c>
      <c r="H86" s="16" t="str">
        <f ca="1">IFERROR(__xludf.DUMMYFUNCTION("""COMPUTED_VALUE"""),"Vania Mitha Pratiwi, S.T., M.T.")</f>
        <v>Vania Mitha Pratiwi, S.T., M.T.</v>
      </c>
      <c r="I86" s="16" t="str">
        <f ca="1">IFERROR(__xludf.DUMMYFUNCTION("""COMPUTED_VALUE"""),"Hamdan Dwi Rizqi, S.Si., M.Si.")</f>
        <v>Hamdan Dwi Rizqi, S.Si., M.Si.</v>
      </c>
      <c r="J86" s="16"/>
      <c r="K86" s="17" t="s">
        <v>1156</v>
      </c>
      <c r="L86" s="17" t="s">
        <v>1159</v>
      </c>
      <c r="M86" s="19" t="b">
        <v>1</v>
      </c>
      <c r="N86" s="19" t="b">
        <v>1</v>
      </c>
      <c r="O86" s="1" t="s">
        <v>1158</v>
      </c>
      <c r="P86" s="7" t="str">
        <f ca="1">IFERROR(__xludf.DUMMYFUNCTION("iferror(vlookup(B86,importrange(""https://docs.google.com/spreadsheets/d/1boHyJQ4e2FU0QG8MHwEi6qjX4hvZWVCHcFfXjq7bbMc/edit?resourcekey#gid=923248883"",""Prop!$C$1:$M""),11,0),IFERROR(vlookup(B86,importrange(""https://docs.google.com/spreadsheets/d/1boHyJQ"&amp;"4e2FU0QG8MHwEi6qjX4hvZWVCHcFfXjq7bbMc/edit?resourcekey#gid=923248883"",""Prop!$N$1:$X""),11,0),iferror(vlookup(B86,importrange(""https://docs.google.com/spreadsheets/d/1boHyJQ4e2FU0QG8MHwEi6qjX4hvZWVCHcFfXjq7bbMc/edit?resourcekey#gid=923248883"",""Prop!$Y"&amp;"$1:$AI""),11,0),iferror(vlookup(B86,importrange(""https://docs.google.com/spreadsheets/d/1boHyJQ4e2FU0QG8MHwEi6qjX4hvZWVCHcFfXjq7bbMc/edit?resourcekey#gid=923248883"",""Prop!$AJ$1:$AT""),11,0),iferror(vlookup(B86,importrange(""https://docs.google.com/spre"&amp;"adsheets/d/1boHyJQ4e2FU0QG8MHwEi6qjX4hvZWVCHcFfXjq7bbMc/edit?resourcekey#gid=923248883"",""Prop!$AU$1:$BE""),11,0),iferror(vlookup(B86,importrange(""https://docs.google.com/spreadsheets/d/1boHyJQ4e2FU0QG8MHwEi6qjX4hvZWVCHcFfXjq7bbMc/edit?resourcekey#gid=9"&amp;"23248883"",""Prop!$BF$1:$BP""),11,0),iferror(vlookup(B86,importrange(""https://docs.google.com/spreadsheets/d/1boHyJQ4e2FU0QG8MHwEi6qjX4hvZWVCHcFfXjq7bbMc/edit?resourcekey#gid=923248883"",""Prop!$BQ$1:$CA""),11,0),iferror(vlookup(B86,importrange(""https:/"&amp;"/docs.google.com/spreadsheets/d/1boHyJQ4e2FU0QG8MHwEi6qjX4hvZWVCHcFfXjq7bbMc/edit?resourcekey#gid=923248883"",""Prop!$CB$1:$CL""),11,0),iferror(vlookup(B86,importrange(""https://docs.google.com/spreadsheets/d/1boHyJQ4e2FU0QG8MHwEi6qjX4hvZWVCHcFfXjq7bbMc/e"&amp;"dit?resourcekey#gid=923248883"",""Prop!$CM$1:$CX""),12,0),iferror(vlookup(B86,importrange(""https://docs.google.com/spreadsheets/d/1boHyJQ4e2FU0QG8MHwEi6qjX4hvZWVCHcFfXjq7bbMc/edit?resourcekey#gid=923248883"",""Prop!$CV$1:$DI""),11,0)))))))))))"),"https://drive.google.com/open?id=1NqDUz4DU6AaD-1QHWeWID8qUQztU7JCA")</f>
        <v>https://drive.google.com/open?id=1NqDUz4DU6AaD-1QHWeWID8qUQztU7JCA</v>
      </c>
      <c r="Q86" s="7" t="str">
        <f ca="1">IFERROR(__xludf.DUMMYFUNCTION("iferror(vlookup(B86,importrange(""https://docs.google.com/spreadsheets/d/1p53T2AuvvIqhP7Nf-bo3Uhj8cbKYRPpZdsrBv3x3bAQ/edit?resourcekey#gid=1321652304"",""Prop!$C$1:$M""),11,0),IFERROR(vlookup(B86,importrange(""https://docs.google.com/spreadsheets/d/1p53T2"&amp;"AuvvIqhP7Nf-bo3Uhj8cbKYRPpZdsrBv3x3bAQ/edit?resourcekey#gid=1321652304"",""Prop!$N$1:$X""),11,0),iferror(vlookup(B86,importrange(""https://docs.google.com/spreadsheets/d/1p53T2AuvvIqhP7Nf-bo3Uhj8cbKYRPpZdsrBv3x3bAQ/edit?resourcekey#gid=1321652304"",""Prop"&amp;"!$Y$1:$AI""),11,0),iferror(vlookup(B86,importrange(""https://docs.google.com/spreadsheets/d/1p53T2AuvvIqhP7Nf-bo3Uhj8cbKYRPpZdsrBv3x3bAQ/edit?resourcekey#gid=1321652304"",""Prop!$AJ$1:$AT""),11,0),iferror(vlookup(B86,importrange(""https://docs.google.com/"&amp;"spreadsheets/d/1p53T2AuvvIqhP7Nf-bo3Uhj8cbKYRPpZdsrBv3x3bAQ/edit?resourcekey#gid=1321652304"",""Prop!$AU$1:$BE""),11,0),iferror(vlookup(B86,importrange(""https://docs.google.com/spreadsheets/d/1p53T2AuvvIqhP7Nf-bo3Uhj8cbKYRPpZdsrBv3x3bAQ/edit?resourcekey#"&amp;"gid=1321652304"",""Prop!$BF$1:$BP""),11,0),iferror(vlookup(B86,importrange(""https://docs.google.com/spreadsheets/d/1p53T2AuvvIqhP7Nf-bo3Uhj8cbKYRPpZdsrBv3x3bAQ/edit?resourcekey#gid=1321652304"",""Prop!$BQ$1:$CA""),11,0),iferror(vlookup(B86,importrange("""&amp;"https://docs.google.com/spreadsheets/d/1p53T2AuvvIqhP7Nf-bo3Uhj8cbKYRPpZdsrBv3x3bAQ/edit?resourcekey#gid=1321652304"",""Prop!$CB$1:$CL""),11,0),iferror(vlookup(B86,importrange(""https://docs.google.com/spreadsheets/d/1p53T2AuvvIqhP7Nf-bo3Uhj8cbKYRPpZdsrBv"&amp;"3x3bAQ/edit?resourcekey#gid=1321652304"",""Prop!$CM$1:$CX""),11,0),iferror(vlookup(B86,importrange(""https://docs.google.com/spreadsheets/d/1p53T2AuvvIqhP7Nf-bo3Uhj8cbKYRPpZdsrBv3x3bAQ/edit?resourcekey#gid=1321652304"",""Prop!$CY$1:$DI""),11,0)))))))))))"),"https://drive.google.com/open?id=14J6w4nxUrKLJzMq7mVqNRYRUWYuV3k9B")</f>
        <v>https://drive.google.com/open?id=14J6w4nxUrKLJzMq7mVqNRYRUWYuV3k9B</v>
      </c>
      <c r="R86" s="88" t="s">
        <v>1101</v>
      </c>
      <c r="S86" s="20" t="str">
        <f ca="1">IFERROR(__xludf.DUMMYFUNCTION("IFERROR(vlookup(B86,IMPORTRANGE(""https://docs.google.com/spreadsheets/d/1g_jfYYK_KeipEDNDUgqgrsxK94XiocfNQIcP-v1QVhI/edit?resourcekey#gid=233272945"",""Nilai!B:CT""),57,0),"" "")"),"Kreativitas kurang, pengujian di metode dan RAB tidak sinkron")</f>
        <v>Kreativitas kurang, pengujian di metode dan RAB tidak sinkron</v>
      </c>
      <c r="T86" s="20" t="str">
        <f ca="1">IFERROR(__xludf.DUMMYFUNCTION("IFERROR(vlookup(B86,IMPORTRANGE(""https://docs.google.com/spreadsheets/d/1g_jfYYK_KeipEDNDUgqgrsxK94XiocfNQIcP-v1QVhI/edit?resourcekey#gid=233272945"",""Nilai!B:CT""),97,0),"" "")"),"TIDAK LAYAK UPLOAD KE SIMBELMAWA")</f>
        <v>TIDAK LAYAK UPLOAD KE SIMBELMAWA</v>
      </c>
      <c r="U86" s="36" t="s">
        <v>825</v>
      </c>
      <c r="V86" s="85" t="s">
        <v>1102</v>
      </c>
      <c r="W86" s="17" t="s">
        <v>1157</v>
      </c>
      <c r="X86" s="34" t="s">
        <v>949</v>
      </c>
    </row>
    <row r="87" spans="1:24" ht="69">
      <c r="A87" s="15">
        <v>85</v>
      </c>
      <c r="B87" s="15">
        <f ca="1">IFERROR(__xludf.DUMMYFUNCTION("""COMPUTED_VALUE"""),2285)</f>
        <v>2285</v>
      </c>
      <c r="C87" s="16" t="str">
        <f ca="1">IFERROR(__xludf.DUMMYFUNCTION("""COMPUTED_VALUE"""),"ADIV GAYU ATHALLAH")</f>
        <v>ADIV GAYU ATHALLAH</v>
      </c>
      <c r="D87" s="16" t="str">
        <f ca="1">IFERROR(__xludf.DUMMYFUNCTION("""COMPUTED_VALUE"""),"04311940000047")</f>
        <v>04311940000047</v>
      </c>
      <c r="E87" s="16" t="str">
        <f ca="1">IFERROR(__xludf.DUMMYFUNCTION("""COMPUTED_VALUE"""),"Departemen Teknik Kelautan")</f>
        <v>Departemen Teknik Kelautan</v>
      </c>
      <c r="F87" s="16" t="str">
        <f ca="1">IFERROR(__xludf.DUMMYFUNCTION("""COMPUTED_VALUE"""),"Performa Hidrodinamis Struktur Keramba Jaring Apung Berjenis Kapal untuk Budidaya Ikan Lepas Pantai Berdasarkan Metode Pemodelan Numerik")</f>
        <v>Performa Hidrodinamis Struktur Keramba Jaring Apung Berjenis Kapal untuk Budidaya Ikan Lepas Pantai Berdasarkan Metode Pemodelan Numerik</v>
      </c>
      <c r="G87" s="16" t="str">
        <f ca="1">IFERROR(__xludf.DUMMYFUNCTION("""COMPUTED_VALUE"""),"Ir. Murdjito, M.Sc")</f>
        <v>Ir. Murdjito, M.Sc</v>
      </c>
      <c r="H87" s="16" t="str">
        <f ca="1">IFERROR(__xludf.DUMMYFUNCTION("""COMPUTED_VALUE"""),"Vania Mitha Pratiwi, S.T., M.T.")</f>
        <v>Vania Mitha Pratiwi, S.T., M.T.</v>
      </c>
      <c r="I87" s="16" t="str">
        <f ca="1">IFERROR(__xludf.DUMMYFUNCTION("""COMPUTED_VALUE"""),"Hamdan Dwi Rizqi, S.Si., M.Si.")</f>
        <v>Hamdan Dwi Rizqi, S.Si., M.Si.</v>
      </c>
      <c r="J87" s="16"/>
      <c r="K87" s="17" t="s">
        <v>1156</v>
      </c>
      <c r="L87" s="17" t="s">
        <v>1159</v>
      </c>
      <c r="M87" s="19" t="b">
        <v>0</v>
      </c>
      <c r="N87" s="19" t="b">
        <v>0</v>
      </c>
      <c r="O87" s="1" t="s">
        <v>1158</v>
      </c>
      <c r="P87" s="7" t="str">
        <f ca="1">IFERROR(__xludf.DUMMYFUNCTION("iferror(vlookup(B87,importrange(""https://docs.google.com/spreadsheets/d/1boHyJQ4e2FU0QG8MHwEi6qjX4hvZWVCHcFfXjq7bbMc/edit?resourcekey#gid=923248883"",""Prop!$C$1:$M""),11,0),IFERROR(vlookup(B87,importrange(""https://docs.google.com/spreadsheets/d/1boHyJQ"&amp;"4e2FU0QG8MHwEi6qjX4hvZWVCHcFfXjq7bbMc/edit?resourcekey#gid=923248883"",""Prop!$N$1:$X""),11,0),iferror(vlookup(B87,importrange(""https://docs.google.com/spreadsheets/d/1boHyJQ4e2FU0QG8MHwEi6qjX4hvZWVCHcFfXjq7bbMc/edit?resourcekey#gid=923248883"",""Prop!$Y"&amp;"$1:$AI""),11,0),iferror(vlookup(B87,importrange(""https://docs.google.com/spreadsheets/d/1boHyJQ4e2FU0QG8MHwEi6qjX4hvZWVCHcFfXjq7bbMc/edit?resourcekey#gid=923248883"",""Prop!$AJ$1:$AT""),11,0),iferror(vlookup(B87,importrange(""https://docs.google.com/spre"&amp;"adsheets/d/1boHyJQ4e2FU0QG8MHwEi6qjX4hvZWVCHcFfXjq7bbMc/edit?resourcekey#gid=923248883"",""Prop!$AU$1:$BE""),11,0),iferror(vlookup(B87,importrange(""https://docs.google.com/spreadsheets/d/1boHyJQ4e2FU0QG8MHwEi6qjX4hvZWVCHcFfXjq7bbMc/edit?resourcekey#gid=9"&amp;"23248883"",""Prop!$BF$1:$BP""),11,0),iferror(vlookup(B87,importrange(""https://docs.google.com/spreadsheets/d/1boHyJQ4e2FU0QG8MHwEi6qjX4hvZWVCHcFfXjq7bbMc/edit?resourcekey#gid=923248883"",""Prop!$BQ$1:$CA""),11,0),iferror(vlookup(B87,importrange(""https:/"&amp;"/docs.google.com/spreadsheets/d/1boHyJQ4e2FU0QG8MHwEi6qjX4hvZWVCHcFfXjq7bbMc/edit?resourcekey#gid=923248883"",""Prop!$CB$1:$CL""),11,0),iferror(vlookup(B87,importrange(""https://docs.google.com/spreadsheets/d/1boHyJQ4e2FU0QG8MHwEi6qjX4hvZWVCHcFfXjq7bbMc/e"&amp;"dit?resourcekey#gid=923248883"",""Prop!$CM$1:$CX""),12,0),iferror(vlookup(B87,importrange(""https://docs.google.com/spreadsheets/d/1boHyJQ4e2FU0QG8MHwEi6qjX4hvZWVCHcFfXjq7bbMc/edit?resourcekey#gid=923248883"",""Prop!$CV$1:$DI""),11,0)))))))))))"),"https://drive.google.com/open?id=1dXeUuDJIvMMvwWJvSSEgsbVDCOIN1HDl")</f>
        <v>https://drive.google.com/open?id=1dXeUuDJIvMMvwWJvSSEgsbVDCOIN1HDl</v>
      </c>
      <c r="Q87" s="7" t="str">
        <f ca="1">IFERROR(__xludf.DUMMYFUNCTION("iferror(vlookup(B87,importrange(""https://docs.google.com/spreadsheets/d/1p53T2AuvvIqhP7Nf-bo3Uhj8cbKYRPpZdsrBv3x3bAQ/edit?resourcekey#gid=1321652304"",""Prop!$C$1:$M""),11,0),IFERROR(vlookup(B87,importrange(""https://docs.google.com/spreadsheets/d/1p53T2"&amp;"AuvvIqhP7Nf-bo3Uhj8cbKYRPpZdsrBv3x3bAQ/edit?resourcekey#gid=1321652304"",""Prop!$N$1:$X""),11,0),iferror(vlookup(B87,importrange(""https://docs.google.com/spreadsheets/d/1p53T2AuvvIqhP7Nf-bo3Uhj8cbKYRPpZdsrBv3x3bAQ/edit?resourcekey#gid=1321652304"",""Prop"&amp;"!$Y$1:$AI""),11,0),iferror(vlookup(B87,importrange(""https://docs.google.com/spreadsheets/d/1p53T2AuvvIqhP7Nf-bo3Uhj8cbKYRPpZdsrBv3x3bAQ/edit?resourcekey#gid=1321652304"",""Prop!$AJ$1:$AT""),11,0),iferror(vlookup(B87,importrange(""https://docs.google.com/"&amp;"spreadsheets/d/1p53T2AuvvIqhP7Nf-bo3Uhj8cbKYRPpZdsrBv3x3bAQ/edit?resourcekey#gid=1321652304"",""Prop!$AU$1:$BE""),11,0),iferror(vlookup(B87,importrange(""https://docs.google.com/spreadsheets/d/1p53T2AuvvIqhP7Nf-bo3Uhj8cbKYRPpZdsrBv3x3bAQ/edit?resourcekey#"&amp;"gid=1321652304"",""Prop!$BF$1:$BP""),11,0),iferror(vlookup(B87,importrange(""https://docs.google.com/spreadsheets/d/1p53T2AuvvIqhP7Nf-bo3Uhj8cbKYRPpZdsrBv3x3bAQ/edit?resourcekey#gid=1321652304"",""Prop!$BQ$1:$CA""),11,0),iferror(vlookup(B87,importrange("""&amp;"https://docs.google.com/spreadsheets/d/1p53T2AuvvIqhP7Nf-bo3Uhj8cbKYRPpZdsrBv3x3bAQ/edit?resourcekey#gid=1321652304"",""Prop!$CB$1:$CL""),11,0),iferror(vlookup(B87,importrange(""https://docs.google.com/spreadsheets/d/1p53T2AuvvIqhP7Nf-bo3Uhj8cbKYRPpZdsrBv"&amp;"3x3bAQ/edit?resourcekey#gid=1321652304"",""Prop!$CM$1:$CX""),11,0),iferror(vlookup(B87,importrange(""https://docs.google.com/spreadsheets/d/1p53T2AuvvIqhP7Nf-bo3Uhj8cbKYRPpZdsrBv3x3bAQ/edit?resourcekey#gid=1321652304"",""Prop!$CY$1:$DI""),11,0)))))))))))"),"https://drive.google.com/open?id=1Y_3YHEbqLtsuuhMaAXOmD-9EQJepIvLu")</f>
        <v>https://drive.google.com/open?id=1Y_3YHEbqLtsuuhMaAXOmD-9EQJepIvLu</v>
      </c>
      <c r="R87" s="88" t="s">
        <v>1101</v>
      </c>
      <c r="S87" s="20" t="str">
        <f ca="1">IFERROR(__xludf.DUMMYFUNCTION("IFERROR(vlookup(B87,IMPORTRANGE(""https://docs.google.com/spreadsheets/d/1g_jfYYK_KeipEDNDUgqgrsxK94XiocfNQIcP-v1QVhI/edit?resourcekey#gid=233272945"",""Nilai!B:CT""),57,0),"" "")"),"Hanya fokus pada permodelan/simulasi, tampak pada RAB biaya tinggi hanya untuk software")</f>
        <v>Hanya fokus pada permodelan/simulasi, tampak pada RAB biaya tinggi hanya untuk software</v>
      </c>
      <c r="T87" s="20" t="str">
        <f ca="1">IFERROR(__xludf.DUMMYFUNCTION("IFERROR(vlookup(B87,IMPORTRANGE(""https://docs.google.com/spreadsheets/d/1g_jfYYK_KeipEDNDUgqgrsxK94XiocfNQIcP-v1QVhI/edit?resourcekey#gid=233272945"",""Nilai!B:CT""),97,0),"" "")"),"LAYAK UPLOAD KE SIMBELMAWA DENGAN REVISI")</f>
        <v>LAYAK UPLOAD KE SIMBELMAWA DENGAN REVISI</v>
      </c>
      <c r="U87" s="36" t="s">
        <v>825</v>
      </c>
      <c r="V87" s="85" t="s">
        <v>1102</v>
      </c>
      <c r="W87" s="17" t="s">
        <v>1157</v>
      </c>
      <c r="X87" s="34" t="s">
        <v>949</v>
      </c>
    </row>
    <row r="88" spans="1:24" ht="69">
      <c r="A88" s="15">
        <v>86</v>
      </c>
      <c r="B88" s="15">
        <f ca="1">IFERROR(__xludf.DUMMYFUNCTION("""COMPUTED_VALUE"""),3443)</f>
        <v>3443</v>
      </c>
      <c r="C88" s="16" t="str">
        <f ca="1">IFERROR(__xludf.DUMMYFUNCTION("""COMPUTED_VALUE"""),"AYU LESTARI SEPTIANI MANURUNG")</f>
        <v>AYU LESTARI SEPTIANI MANURUNG</v>
      </c>
      <c r="D88" s="16" t="str">
        <f ca="1">IFERROR(__xludf.DUMMYFUNCTION("""COMPUTED_VALUE"""),"10411810000034")</f>
        <v>10411810000034</v>
      </c>
      <c r="E88" s="16" t="str">
        <f ca="1">IFERROR(__xludf.DUMMYFUNCTION("""COMPUTED_VALUE"""),"Departemen Teknik Kimia Industri")</f>
        <v>Departemen Teknik Kimia Industri</v>
      </c>
      <c r="F88" s="16" t="str">
        <f ca="1">IFERROR(__xludf.DUMMYFUNCTION("""COMPUTED_VALUE"""),"Modifikasi Proses Pemurnian Glukomanan dari Tepung Umbi Porang (Amorphophallius muelleri Blume) secara Enzimatis-Kimiawi")</f>
        <v>Modifikasi Proses Pemurnian Glukomanan dari Tepung Umbi Porang (Amorphophallius muelleri Blume) secara Enzimatis-Kimiawi</v>
      </c>
      <c r="G88" s="16" t="str">
        <f ca="1">IFERROR(__xludf.DUMMYFUNCTION("""COMPUTED_VALUE"""),"Dr.Ir. Niniek Fajar Puspita, M.Eng.")</f>
        <v>Dr.Ir. Niniek Fajar Puspita, M.Eng.</v>
      </c>
      <c r="H88" s="16" t="str">
        <f ca="1">IFERROR(__xludf.DUMMYFUNCTION("""COMPUTED_VALUE"""),"Vania Mitha Pratiwi, S.T., M.T.")</f>
        <v>Vania Mitha Pratiwi, S.T., M.T.</v>
      </c>
      <c r="I88" s="16" t="str">
        <f ca="1">IFERROR(__xludf.DUMMYFUNCTION("""COMPUTED_VALUE"""),"Hamdan Dwi Rizqi, S.Si., M.Si.")</f>
        <v>Hamdan Dwi Rizqi, S.Si., M.Si.</v>
      </c>
      <c r="J88" s="16"/>
      <c r="K88" s="17" t="s">
        <v>1156</v>
      </c>
      <c r="L88" s="17" t="s">
        <v>1159</v>
      </c>
      <c r="M88" s="19" t="b">
        <v>1</v>
      </c>
      <c r="N88" s="19" t="b">
        <v>1</v>
      </c>
      <c r="O88" s="1" t="s">
        <v>1160</v>
      </c>
      <c r="P88" s="7" t="str">
        <f ca="1">IFERROR(__xludf.DUMMYFUNCTION("iferror(vlookup(B88,importrange(""https://docs.google.com/spreadsheets/d/1boHyJQ4e2FU0QG8MHwEi6qjX4hvZWVCHcFfXjq7bbMc/edit?resourcekey#gid=923248883"",""Prop!$C$1:$M""),11,0),IFERROR(vlookup(B88,importrange(""https://docs.google.com/spreadsheets/d/1boHyJQ"&amp;"4e2FU0QG8MHwEi6qjX4hvZWVCHcFfXjq7bbMc/edit?resourcekey#gid=923248883"",""Prop!$N$1:$X""),11,0),iferror(vlookup(B88,importrange(""https://docs.google.com/spreadsheets/d/1boHyJQ4e2FU0QG8MHwEi6qjX4hvZWVCHcFfXjq7bbMc/edit?resourcekey#gid=923248883"",""Prop!$Y"&amp;"$1:$AI""),11,0),iferror(vlookup(B88,importrange(""https://docs.google.com/spreadsheets/d/1boHyJQ4e2FU0QG8MHwEi6qjX4hvZWVCHcFfXjq7bbMc/edit?resourcekey#gid=923248883"",""Prop!$AJ$1:$AT""),11,0),iferror(vlookup(B88,importrange(""https://docs.google.com/spre"&amp;"adsheets/d/1boHyJQ4e2FU0QG8MHwEi6qjX4hvZWVCHcFfXjq7bbMc/edit?resourcekey#gid=923248883"",""Prop!$AU$1:$BE""),11,0),iferror(vlookup(B88,importrange(""https://docs.google.com/spreadsheets/d/1boHyJQ4e2FU0QG8MHwEi6qjX4hvZWVCHcFfXjq7bbMc/edit?resourcekey#gid=9"&amp;"23248883"",""Prop!$BF$1:$BP""),11,0),iferror(vlookup(B88,importrange(""https://docs.google.com/spreadsheets/d/1boHyJQ4e2FU0QG8MHwEi6qjX4hvZWVCHcFfXjq7bbMc/edit?resourcekey#gid=923248883"",""Prop!$BQ$1:$CA""),11,0),iferror(vlookup(B88,importrange(""https:/"&amp;"/docs.google.com/spreadsheets/d/1boHyJQ4e2FU0QG8MHwEi6qjX4hvZWVCHcFfXjq7bbMc/edit?resourcekey#gid=923248883"",""Prop!$CB$1:$CL""),11,0),iferror(vlookup(B88,importrange(""https://docs.google.com/spreadsheets/d/1boHyJQ4e2FU0QG8MHwEi6qjX4hvZWVCHcFfXjq7bbMc/e"&amp;"dit?resourcekey#gid=923248883"",""Prop!$CM$1:$CX""),12,0),iferror(vlookup(B88,importrange(""https://docs.google.com/spreadsheets/d/1boHyJQ4e2FU0QG8MHwEi6qjX4hvZWVCHcFfXjq7bbMc/edit?resourcekey#gid=923248883"",""Prop!$CV$1:$DI""),11,0)))))))))))"),"https://drive.google.com/open?id=1Y8VKI6F-MjPfjysVakbzvoYOYOCik6np")</f>
        <v>https://drive.google.com/open?id=1Y8VKI6F-MjPfjysVakbzvoYOYOCik6np</v>
      </c>
      <c r="Q88" s="7" t="str">
        <f ca="1">IFERROR(__xludf.DUMMYFUNCTION("iferror(vlookup(B88,importrange(""https://docs.google.com/spreadsheets/d/1p53T2AuvvIqhP7Nf-bo3Uhj8cbKYRPpZdsrBv3x3bAQ/edit?resourcekey#gid=1321652304"",""Prop!$C$1:$M""),11,0),IFERROR(vlookup(B88,importrange(""https://docs.google.com/spreadsheets/d/1p53T2"&amp;"AuvvIqhP7Nf-bo3Uhj8cbKYRPpZdsrBv3x3bAQ/edit?resourcekey#gid=1321652304"",""Prop!$N$1:$X""),11,0),iferror(vlookup(B88,importrange(""https://docs.google.com/spreadsheets/d/1p53T2AuvvIqhP7Nf-bo3Uhj8cbKYRPpZdsrBv3x3bAQ/edit?resourcekey#gid=1321652304"",""Prop"&amp;"!$Y$1:$AI""),11,0),iferror(vlookup(B88,importrange(""https://docs.google.com/spreadsheets/d/1p53T2AuvvIqhP7Nf-bo3Uhj8cbKYRPpZdsrBv3x3bAQ/edit?resourcekey#gid=1321652304"",""Prop!$AJ$1:$AT""),11,0),iferror(vlookup(B88,importrange(""https://docs.google.com/"&amp;"spreadsheets/d/1p53T2AuvvIqhP7Nf-bo3Uhj8cbKYRPpZdsrBv3x3bAQ/edit?resourcekey#gid=1321652304"",""Prop!$AU$1:$BE""),11,0),iferror(vlookup(B88,importrange(""https://docs.google.com/spreadsheets/d/1p53T2AuvvIqhP7Nf-bo3Uhj8cbKYRPpZdsrBv3x3bAQ/edit?resourcekey#"&amp;"gid=1321652304"",""Prop!$BF$1:$BP""),11,0),iferror(vlookup(B88,importrange(""https://docs.google.com/spreadsheets/d/1p53T2AuvvIqhP7Nf-bo3Uhj8cbKYRPpZdsrBv3x3bAQ/edit?resourcekey#gid=1321652304"",""Prop!$BQ$1:$CA""),11,0),iferror(vlookup(B88,importrange("""&amp;"https://docs.google.com/spreadsheets/d/1p53T2AuvvIqhP7Nf-bo3Uhj8cbKYRPpZdsrBv3x3bAQ/edit?resourcekey#gid=1321652304"",""Prop!$CB$1:$CL""),11,0),iferror(vlookup(B88,importrange(""https://docs.google.com/spreadsheets/d/1p53T2AuvvIqhP7Nf-bo3Uhj8cbKYRPpZdsrBv"&amp;"3x3bAQ/edit?resourcekey#gid=1321652304"",""Prop!$CM$1:$CX""),11,0),iferror(vlookup(B88,importrange(""https://docs.google.com/spreadsheets/d/1p53T2AuvvIqhP7Nf-bo3Uhj8cbKYRPpZdsrBv3x3bAQ/edit?resourcekey#gid=1321652304"",""Prop!$CY$1:$DI""),11,0)))))))))))"),"https://drive.google.com/open?id=163ZOvRTo8rJapbOiW1mrGLXbQgT93U4P")</f>
        <v>https://drive.google.com/open?id=163ZOvRTo8rJapbOiW1mrGLXbQgT93U4P</v>
      </c>
      <c r="R88" s="88" t="s">
        <v>1101</v>
      </c>
      <c r="S88" s="20" t="str">
        <f ca="1">IFERROR(__xludf.DUMMYFUNCTION("IFERROR(vlookup(B88,IMPORTRANGE(""https://docs.google.com/spreadsheets/d/1g_jfYYK_KeipEDNDUgqgrsxK94XiocfNQIcP-v1QVhI/edit?resourcekey#gid=233272945"",""Nilai!B:CT""),57,0),"" "")"),"lihat pdf")</f>
        <v>lihat pdf</v>
      </c>
      <c r="T88" s="20" t="str">
        <f ca="1">IFERROR(__xludf.DUMMYFUNCTION("IFERROR(vlookup(B88,IMPORTRANGE(""https://docs.google.com/spreadsheets/d/1g_jfYYK_KeipEDNDUgqgrsxK94XiocfNQIcP-v1QVhI/edit?resourcekey#gid=233272945"",""Nilai!B:CT""),97,0),"" "")"),"LAYAK UPLOAD KE SIMBELMAWA DENGAN REVISI")</f>
        <v>LAYAK UPLOAD KE SIMBELMAWA DENGAN REVISI</v>
      </c>
      <c r="U88" s="36" t="s">
        <v>825</v>
      </c>
      <c r="V88" s="85" t="s">
        <v>1102</v>
      </c>
      <c r="W88" s="17" t="s">
        <v>1161</v>
      </c>
      <c r="X88" s="34" t="s">
        <v>949</v>
      </c>
    </row>
    <row r="89" spans="1:24" ht="57.6">
      <c r="A89" s="15">
        <v>87</v>
      </c>
      <c r="B89" s="15">
        <f ca="1">IFERROR(__xludf.DUMMYFUNCTION("""COMPUTED_VALUE"""),3421)</f>
        <v>3421</v>
      </c>
      <c r="C89" s="16" t="str">
        <f ca="1">IFERROR(__xludf.DUMMYFUNCTION("""COMPUTED_VALUE"""),"BETA RAHAYUNING PRATIWI")</f>
        <v>BETA RAHAYUNING PRATIWI</v>
      </c>
      <c r="D89" s="16" t="str">
        <f ca="1">IFERROR(__xludf.DUMMYFUNCTION("""COMPUTED_VALUE"""),"10111810010005")</f>
        <v>10111810010005</v>
      </c>
      <c r="E89" s="16" t="str">
        <f ca="1">IFERROR(__xludf.DUMMYFUNCTION("""COMPUTED_VALUE"""),"Departemen Teknik Infrastruktur Sipil")</f>
        <v>Departemen Teknik Infrastruktur Sipil</v>
      </c>
      <c r="F89" s="16" t="str">
        <f ca="1">IFERROR(__xludf.DUMMYFUNCTION("""COMPUTED_VALUE"""),"ANALISIS WORKABILITY MATERIAL 3D PRINTING UNTUK PENERAPAN DIINDUSTRI KONSTRUKSI")</f>
        <v>ANALISIS WORKABILITY MATERIAL 3D PRINTING UNTUK PENERAPAN DIINDUSTRI KONSTRUKSI</v>
      </c>
      <c r="G89" s="16" t="str">
        <f ca="1">IFERROR(__xludf.DUMMYFUNCTION("""COMPUTED_VALUE"""),"Prof. Ridho Bayuaji, S.T., M.T., Ph.D.")</f>
        <v>Prof. Ridho Bayuaji, S.T., M.T., Ph.D.</v>
      </c>
      <c r="H89" s="16" t="str">
        <f ca="1">IFERROR(__xludf.DUMMYFUNCTION("""COMPUTED_VALUE"""),"Vania Mitha Pratiwi, S.T., M.T.")</f>
        <v>Vania Mitha Pratiwi, S.T., M.T.</v>
      </c>
      <c r="I89" s="16" t="str">
        <f ca="1">IFERROR(__xludf.DUMMYFUNCTION("""COMPUTED_VALUE"""),"Hamdan Dwi Rizqi, S.Si., M.Si.")</f>
        <v>Hamdan Dwi Rizqi, S.Si., M.Si.</v>
      </c>
      <c r="J89" s="16"/>
      <c r="K89" s="17" t="s">
        <v>1156</v>
      </c>
      <c r="L89" s="17" t="s">
        <v>1159</v>
      </c>
      <c r="M89" s="19" t="b">
        <v>1</v>
      </c>
      <c r="N89" s="19" t="b">
        <v>0</v>
      </c>
      <c r="O89" s="1" t="s">
        <v>1158</v>
      </c>
      <c r="P89" s="1" t="str">
        <f ca="1">IFERROR(__xludf.DUMMYFUNCTION("iferror(vlookup(B89,importrange(""https://docs.google.com/spreadsheets/d/1boHyJQ4e2FU0QG8MHwEi6qjX4hvZWVCHcFfXjq7bbMc/edit?resourcekey#gid=923248883"",""Prop!$C$1:$M""),11,0),IFERROR(vlookup(B89,importrange(""https://docs.google.com/spreadsheets/d/1boHyJQ"&amp;"4e2FU0QG8MHwEi6qjX4hvZWVCHcFfXjq7bbMc/edit?resourcekey#gid=923248883"",""Prop!$N$1:$X""),11,0),iferror(vlookup(B89,importrange(""https://docs.google.com/spreadsheets/d/1boHyJQ4e2FU0QG8MHwEi6qjX4hvZWVCHcFfXjq7bbMc/edit?resourcekey#gid=923248883"",""Prop!$Y"&amp;"$1:$AI""),11,0),iferror(vlookup(B89,importrange(""https://docs.google.com/spreadsheets/d/1boHyJQ4e2FU0QG8MHwEi6qjX4hvZWVCHcFfXjq7bbMc/edit?resourcekey#gid=923248883"",""Prop!$AJ$1:$AT""),11,0),iferror(vlookup(B89,importrange(""https://docs.google.com/spre"&amp;"adsheets/d/1boHyJQ4e2FU0QG8MHwEi6qjX4hvZWVCHcFfXjq7bbMc/edit?resourcekey#gid=923248883"",""Prop!$AU$1:$BE""),11,0),iferror(vlookup(B89,importrange(""https://docs.google.com/spreadsheets/d/1boHyJQ4e2FU0QG8MHwEi6qjX4hvZWVCHcFfXjq7bbMc/edit?resourcekey#gid=9"&amp;"23248883"",""Prop!$BF$1:$BP""),11,0),iferror(vlookup(B89,importrange(""https://docs.google.com/spreadsheets/d/1boHyJQ4e2FU0QG8MHwEi6qjX4hvZWVCHcFfXjq7bbMc/edit?resourcekey#gid=923248883"",""Prop!$BQ$1:$CA""),11,0),iferror(vlookup(B89,importrange(""https:/"&amp;"/docs.google.com/spreadsheets/d/1boHyJQ4e2FU0QG8MHwEi6qjX4hvZWVCHcFfXjq7bbMc/edit?resourcekey#gid=923248883"",""Prop!$CB$1:$CL""),11,0),iferror(vlookup(B89,importrange(""https://docs.google.com/spreadsheets/d/1boHyJQ4e2FU0QG8MHwEi6qjX4hvZWVCHcFfXjq7bbMc/e"&amp;"dit?resourcekey#gid=923248883"",""Prop!$CM$1:$CX""),12,0),iferror(vlookup(B89,importrange(""https://docs.google.com/spreadsheets/d/1boHyJQ4e2FU0QG8MHwEi6qjX4hvZWVCHcFfXjq7bbMc/edit?resourcekey#gid=923248883"",""Prop!$CV$1:$DI""),11,0)))))))))))"),"")</f>
        <v/>
      </c>
      <c r="Q89" s="8" t="str">
        <f ca="1">IFERROR(__xludf.DUMMYFUNCTION("iferror(vlookup(B89,importrange(""https://docs.google.com/spreadsheets/d/1p53T2AuvvIqhP7Nf-bo3Uhj8cbKYRPpZdsrBv3x3bAQ/edit?resourcekey#gid=1321652304"",""Prop!$C$1:$M""),11,0),IFERROR(vlookup(B89,importrange(""https://docs.google.com/spreadsheets/d/1p53T2"&amp;"AuvvIqhP7Nf-bo3Uhj8cbKYRPpZdsrBv3x3bAQ/edit?resourcekey#gid=1321652304"",""Prop!$N$1:$X""),11,0),iferror(vlookup(B89,importrange(""https://docs.google.com/spreadsheets/d/1p53T2AuvvIqhP7Nf-bo3Uhj8cbKYRPpZdsrBv3x3bAQ/edit?resourcekey#gid=1321652304"",""Prop"&amp;"!$Y$1:$AI""),11,0),iferror(vlookup(B89,importrange(""https://docs.google.com/spreadsheets/d/1p53T2AuvvIqhP7Nf-bo3Uhj8cbKYRPpZdsrBv3x3bAQ/edit?resourcekey#gid=1321652304"",""Prop!$AJ$1:$AT""),11,0),iferror(vlookup(B89,importrange(""https://docs.google.com/"&amp;"spreadsheets/d/1p53T2AuvvIqhP7Nf-bo3Uhj8cbKYRPpZdsrBv3x3bAQ/edit?resourcekey#gid=1321652304"",""Prop!$AU$1:$BE""),11,0),iferror(vlookup(B89,importrange(""https://docs.google.com/spreadsheets/d/1p53T2AuvvIqhP7Nf-bo3Uhj8cbKYRPpZdsrBv3x3bAQ/edit?resourcekey#"&amp;"gid=1321652304"",""Prop!$BF$1:$BP""),11,0),iferror(vlookup(B89,importrange(""https://docs.google.com/spreadsheets/d/1p53T2AuvvIqhP7Nf-bo3Uhj8cbKYRPpZdsrBv3x3bAQ/edit?resourcekey#gid=1321652304"",""Prop!$BQ$1:$CA""),11,0),iferror(vlookup(B89,importrange("""&amp;"https://docs.google.com/spreadsheets/d/1p53T2AuvvIqhP7Nf-bo3Uhj8cbKYRPpZdsrBv3x3bAQ/edit?resourcekey#gid=1321652304"",""Prop!$CB$1:$CL""),11,0),iferror(vlookup(B89,importrange(""https://docs.google.com/spreadsheets/d/1p53T2AuvvIqhP7Nf-bo3Uhj8cbKYRPpZdsrBv"&amp;"3x3bAQ/edit?resourcekey#gid=1321652304"",""Prop!$CM$1:$CX""),11,0),iferror(vlookup(B89,importrange(""https://docs.google.com/spreadsheets/d/1p53T2AuvvIqhP7Nf-bo3Uhj8cbKYRPpZdsrBv3x3bAQ/edit?resourcekey#gid=1321652304"",""Prop!$CY$1:$DI""),11,0)))))))))))"),"")</f>
        <v/>
      </c>
      <c r="R89" s="88" t="s">
        <v>1101</v>
      </c>
      <c r="S89" s="20" t="str">
        <f ca="1">IFERROR(__xludf.DUMMYFUNCTION("IFERROR(vlookup(B89,IMPORTRANGE(""https://docs.google.com/spreadsheets/d/1g_jfYYK_KeipEDNDUgqgrsxK94XiocfNQIcP-v1QVhI/edit?resourcekey#gid=233272945"",""Nilai!B:CT""),57,0),"" "")"),"")</f>
        <v/>
      </c>
      <c r="T89" s="20" t="str">
        <f ca="1">IFERROR(__xludf.DUMMYFUNCTION("IFERROR(vlookup(B89,IMPORTRANGE(""https://docs.google.com/spreadsheets/d/1g_jfYYK_KeipEDNDUgqgrsxK94XiocfNQIcP-v1QVhI/edit?resourcekey#gid=233272945"",""Nilai!B:CT""),97,0),"" "")")," ")</f>
        <v xml:space="preserve"> </v>
      </c>
      <c r="U89" s="36" t="s">
        <v>825</v>
      </c>
      <c r="V89" s="85" t="s">
        <v>1102</v>
      </c>
      <c r="W89" s="17" t="s">
        <v>1161</v>
      </c>
      <c r="X89" s="34" t="b">
        <v>0</v>
      </c>
    </row>
    <row r="90" spans="1:24" ht="57.6">
      <c r="A90" s="15">
        <v>88</v>
      </c>
      <c r="B90" s="15">
        <f ca="1">IFERROR(__xludf.DUMMYFUNCTION("""COMPUTED_VALUE"""),2217)</f>
        <v>2217</v>
      </c>
      <c r="C90" s="16" t="str">
        <f ca="1">IFERROR(__xludf.DUMMYFUNCTION("""COMPUTED_VALUE"""),"ACHMAD DANIAL MUMTAZ RAHMAN")</f>
        <v>ACHMAD DANIAL MUMTAZ RAHMAN</v>
      </c>
      <c r="D90" s="16" t="str">
        <f ca="1">IFERROR(__xludf.DUMMYFUNCTION("""COMPUTED_VALUE"""),"03311940000074")</f>
        <v>03311940000074</v>
      </c>
      <c r="E90" s="16" t="str">
        <f ca="1">IFERROR(__xludf.DUMMYFUNCTION("""COMPUTED_VALUE"""),"Departemen Teknik Geomatika")</f>
        <v>Departemen Teknik Geomatika</v>
      </c>
      <c r="F90" s="16" t="str">
        <f ca="1">IFERROR(__xludf.DUMMYFUNCTION("""COMPUTED_VALUE"""),"Optimalisasi Jaringan Pipa Air pada Pemukiman Padat Penduduk di Kota Jakarta Timur Menggunakan Raster Proximity Analysis")</f>
        <v>Optimalisasi Jaringan Pipa Air pada Pemukiman Padat Penduduk di Kota Jakarta Timur Menggunakan Raster Proximity Analysis</v>
      </c>
      <c r="G90" s="16" t="str">
        <f ca="1">IFERROR(__xludf.DUMMYFUNCTION("""COMPUTED_VALUE"""),"Mohammad Rohmaneo Darminto, S.T., M.Sc.")</f>
        <v>Mohammad Rohmaneo Darminto, S.T., M.Sc.</v>
      </c>
      <c r="H90" s="16" t="str">
        <f ca="1">IFERROR(__xludf.DUMMYFUNCTION("""COMPUTED_VALUE"""),"Alief Wikarta, ST., MSc.Eng. Ph.D")</f>
        <v>Alief Wikarta, ST., MSc.Eng. Ph.D</v>
      </c>
      <c r="I90" s="16" t="str">
        <f ca="1">IFERROR(__xludf.DUMMYFUNCTION("""COMPUTED_VALUE"""),"Ir. Arino Anzip, M.Eng.Sc")</f>
        <v>Ir. Arino Anzip, M.Eng.Sc</v>
      </c>
      <c r="J90" s="16"/>
      <c r="K90" s="17" t="s">
        <v>1156</v>
      </c>
      <c r="L90" s="17" t="s">
        <v>1159</v>
      </c>
      <c r="M90" s="19" t="b">
        <v>1</v>
      </c>
      <c r="N90" s="19" t="b">
        <v>1</v>
      </c>
      <c r="O90" s="1" t="s">
        <v>1158</v>
      </c>
      <c r="P90" s="7" t="str">
        <f ca="1">IFERROR(__xludf.DUMMYFUNCTION("iferror(vlookup(B90,importrange(""https://docs.google.com/spreadsheets/d/1boHyJQ4e2FU0QG8MHwEi6qjX4hvZWVCHcFfXjq7bbMc/edit?resourcekey#gid=923248883"",""Prop!$C$1:$M""),11,0),IFERROR(vlookup(B90,importrange(""https://docs.google.com/spreadsheets/d/1boHyJQ"&amp;"4e2FU0QG8MHwEi6qjX4hvZWVCHcFfXjq7bbMc/edit?resourcekey#gid=923248883"",""Prop!$N$1:$X""),11,0),iferror(vlookup(B90,importrange(""https://docs.google.com/spreadsheets/d/1boHyJQ4e2FU0QG8MHwEi6qjX4hvZWVCHcFfXjq7bbMc/edit?resourcekey#gid=923248883"",""Prop!$Y"&amp;"$1:$AI""),11,0),iferror(vlookup(B90,importrange(""https://docs.google.com/spreadsheets/d/1boHyJQ4e2FU0QG8MHwEi6qjX4hvZWVCHcFfXjq7bbMc/edit?resourcekey#gid=923248883"",""Prop!$AJ$1:$AT""),11,0),iferror(vlookup(B90,importrange(""https://docs.google.com/spre"&amp;"adsheets/d/1boHyJQ4e2FU0QG8MHwEi6qjX4hvZWVCHcFfXjq7bbMc/edit?resourcekey#gid=923248883"",""Prop!$AU$1:$BE""),11,0),iferror(vlookup(B90,importrange(""https://docs.google.com/spreadsheets/d/1boHyJQ4e2FU0QG8MHwEi6qjX4hvZWVCHcFfXjq7bbMc/edit?resourcekey#gid=9"&amp;"23248883"",""Prop!$BF$1:$BP""),11,0),iferror(vlookup(B90,importrange(""https://docs.google.com/spreadsheets/d/1boHyJQ4e2FU0QG8MHwEi6qjX4hvZWVCHcFfXjq7bbMc/edit?resourcekey#gid=923248883"",""Prop!$BQ$1:$CA""),11,0),iferror(vlookup(B90,importrange(""https:/"&amp;"/docs.google.com/spreadsheets/d/1boHyJQ4e2FU0QG8MHwEi6qjX4hvZWVCHcFfXjq7bbMc/edit?resourcekey#gid=923248883"",""Prop!$CB$1:$CL""),11,0),iferror(vlookup(B90,importrange(""https://docs.google.com/spreadsheets/d/1boHyJQ4e2FU0QG8MHwEi6qjX4hvZWVCHcFfXjq7bbMc/e"&amp;"dit?resourcekey#gid=923248883"",""Prop!$CM$1:$CX""),12,0),iferror(vlookup(B90,importrange(""https://docs.google.com/spreadsheets/d/1boHyJQ4e2FU0QG8MHwEi6qjX4hvZWVCHcFfXjq7bbMc/edit?resourcekey#gid=923248883"",""Prop!$CV$1:$DI""),11,0)))))))))))"),"https://drive.google.com/open?id=1GTWtERo52XwrJ7FBL2-ORB1b7na2MkOL")</f>
        <v>https://drive.google.com/open?id=1GTWtERo52XwrJ7FBL2-ORB1b7na2MkOL</v>
      </c>
      <c r="Q90" s="7" t="str">
        <f ca="1">IFERROR(__xludf.DUMMYFUNCTION("iferror(vlookup(B90,importrange(""https://docs.google.com/spreadsheets/d/1p53T2AuvvIqhP7Nf-bo3Uhj8cbKYRPpZdsrBv3x3bAQ/edit?resourcekey#gid=1321652304"",""Prop!$C$1:$M""),11,0),IFERROR(vlookup(B90,importrange(""https://docs.google.com/spreadsheets/d/1p53T2"&amp;"AuvvIqhP7Nf-bo3Uhj8cbKYRPpZdsrBv3x3bAQ/edit?resourcekey#gid=1321652304"",""Prop!$N$1:$X""),11,0),iferror(vlookup(B90,importrange(""https://docs.google.com/spreadsheets/d/1p53T2AuvvIqhP7Nf-bo3Uhj8cbKYRPpZdsrBv3x3bAQ/edit?resourcekey#gid=1321652304"",""Prop"&amp;"!$Y$1:$AI""),11,0),iferror(vlookup(B90,importrange(""https://docs.google.com/spreadsheets/d/1p53T2AuvvIqhP7Nf-bo3Uhj8cbKYRPpZdsrBv3x3bAQ/edit?resourcekey#gid=1321652304"",""Prop!$AJ$1:$AT""),11,0),iferror(vlookup(B90,importrange(""https://docs.google.com/"&amp;"spreadsheets/d/1p53T2AuvvIqhP7Nf-bo3Uhj8cbKYRPpZdsrBv3x3bAQ/edit?resourcekey#gid=1321652304"",""Prop!$AU$1:$BE""),11,0),iferror(vlookup(B90,importrange(""https://docs.google.com/spreadsheets/d/1p53T2AuvvIqhP7Nf-bo3Uhj8cbKYRPpZdsrBv3x3bAQ/edit?resourcekey#"&amp;"gid=1321652304"",""Prop!$BF$1:$BP""),11,0),iferror(vlookup(B90,importrange(""https://docs.google.com/spreadsheets/d/1p53T2AuvvIqhP7Nf-bo3Uhj8cbKYRPpZdsrBv3x3bAQ/edit?resourcekey#gid=1321652304"",""Prop!$BQ$1:$CA""),11,0),iferror(vlookup(B90,importrange("""&amp;"https://docs.google.com/spreadsheets/d/1p53T2AuvvIqhP7Nf-bo3Uhj8cbKYRPpZdsrBv3x3bAQ/edit?resourcekey#gid=1321652304"",""Prop!$CB$1:$CL""),11,0),iferror(vlookup(B90,importrange(""https://docs.google.com/spreadsheets/d/1p53T2AuvvIqhP7Nf-bo3Uhj8cbKYRPpZdsrBv"&amp;"3x3bAQ/edit?resourcekey#gid=1321652304"",""Prop!$CM$1:$CX""),11,0),iferror(vlookup(B90,importrange(""https://docs.google.com/spreadsheets/d/1p53T2AuvvIqhP7Nf-bo3Uhj8cbKYRPpZdsrBv3x3bAQ/edit?resourcekey#gid=1321652304"",""Prop!$CY$1:$DI""),11,0)))))))))))"),"https://drive.google.com/open?id=1bNtAQl7JMUWyoY0RXyAf4eEcQtKDOMk7")</f>
        <v>https://drive.google.com/open?id=1bNtAQl7JMUWyoY0RXyAf4eEcQtKDOMk7</v>
      </c>
      <c r="R90" s="88" t="s">
        <v>1101</v>
      </c>
      <c r="S90" s="20" t="str">
        <f ca="1">IFERROR(__xludf.DUMMYFUNCTION("IFERROR(vlookup(B90,IMPORTRANGE(""https://docs.google.com/spreadsheets/d/1g_jfYYK_KeipEDNDUgqgrsxK94XiocfNQIcP-v1QVhI/edit?resourcekey#gid=233272945"",""Nilai!B:CT""),57,0),"" "")"),"Kedalaman literatur sangat kurang, terlalu dasar teori, metode tidak tampak tingkat kebaruan/kreativitas
")</f>
        <v xml:space="preserve">Kedalaman literatur sangat kurang, terlalu dasar teori, metode tidak tampak tingkat kebaruan/kreativitas
</v>
      </c>
      <c r="T90" s="20" t="str">
        <f ca="1">IFERROR(__xludf.DUMMYFUNCTION("IFERROR(vlookup(B90,IMPORTRANGE(""https://docs.google.com/spreadsheets/d/1g_jfYYK_KeipEDNDUgqgrsxK94XiocfNQIcP-v1QVhI/edit?resourcekey#gid=233272945"",""Nilai!B:CT""),97,0),"" "")"),"TIDAK LAYAK UPLOAD KE SIMBELMAWA")</f>
        <v>TIDAK LAYAK UPLOAD KE SIMBELMAWA</v>
      </c>
      <c r="U90" s="36" t="s">
        <v>825</v>
      </c>
      <c r="V90" s="85" t="s">
        <v>1102</v>
      </c>
      <c r="W90" s="17" t="s">
        <v>1161</v>
      </c>
      <c r="X90" s="34" t="s">
        <v>949</v>
      </c>
    </row>
    <row r="91" spans="1:24" ht="69">
      <c r="A91" s="15">
        <v>89</v>
      </c>
      <c r="B91" s="15">
        <f ca="1">IFERROR(__xludf.DUMMYFUNCTION("""COMPUTED_VALUE"""),2668)</f>
        <v>2668</v>
      </c>
      <c r="C91" s="16" t="str">
        <f ca="1">IFERROR(__xludf.DUMMYFUNCTION("""COMPUTED_VALUE"""),"SALSABILA AIDA FITRIYA")</f>
        <v>SALSABILA AIDA FITRIYA</v>
      </c>
      <c r="D91" s="16" t="str">
        <f ca="1">IFERROR(__xludf.DUMMYFUNCTION("""COMPUTED_VALUE"""),"01311940000033")</f>
        <v>01311940000033</v>
      </c>
      <c r="E91" s="16" t="str">
        <f ca="1">IFERROR(__xludf.DUMMYFUNCTION("""COMPUTED_VALUE"""),"Departemen Biologi")</f>
        <v>Departemen Biologi</v>
      </c>
      <c r="F91" s="16" t="str">
        <f ca="1">IFERROR(__xludf.DUMMYFUNCTION("""COMPUTED_VALUE"""),"Strategi Alternatif Degradasi Polutan Parasetamol menggunakan Enzim Oksidase Laccase terimobilisasi pada Matriks berbasis Bacterial-Nano-Cellulose")</f>
        <v>Strategi Alternatif Degradasi Polutan Parasetamol menggunakan Enzim Oksidase Laccase terimobilisasi pada Matriks berbasis Bacterial-Nano-Cellulose</v>
      </c>
      <c r="G91" s="16" t="str">
        <f ca="1">IFERROR(__xludf.DUMMYFUNCTION("""COMPUTED_VALUE"""),"Dr.techn. Endry Nugroho Prasetyo, S.Si., M.T.")</f>
        <v>Dr.techn. Endry Nugroho Prasetyo, S.Si., M.T.</v>
      </c>
      <c r="H91" s="16" t="str">
        <f ca="1">IFERROR(__xludf.DUMMYFUNCTION("""COMPUTED_VALUE"""),"Dr. Ir. Bambang Sampurno, M.T.")</f>
        <v>Dr. Ir. Bambang Sampurno, M.T.</v>
      </c>
      <c r="I91" s="16" t="str">
        <f ca="1">IFERROR(__xludf.DUMMYFUNCTION("""COMPUTED_VALUE"""),"Dr. Gunawan Nugroho, S.T., M.T.")</f>
        <v>Dr. Gunawan Nugroho, S.T., M.T.</v>
      </c>
      <c r="J91" s="16"/>
      <c r="K91" s="17" t="s">
        <v>1162</v>
      </c>
      <c r="L91" s="17" t="s">
        <v>1163</v>
      </c>
      <c r="M91" s="19" t="b">
        <v>0</v>
      </c>
      <c r="N91" s="19" t="b">
        <v>1</v>
      </c>
      <c r="O91" s="1" t="s">
        <v>1158</v>
      </c>
      <c r="P91" s="7" t="str">
        <f ca="1">IFERROR(__xludf.DUMMYFUNCTION("iferror(vlookup(B91,importrange(""https://docs.google.com/spreadsheets/d/1boHyJQ4e2FU0QG8MHwEi6qjX4hvZWVCHcFfXjq7bbMc/edit?resourcekey#gid=923248883"",""Prop!$C$1:$M""),11,0),IFERROR(vlookup(B91,importrange(""https://docs.google.com/spreadsheets/d/1boHyJQ"&amp;"4e2FU0QG8MHwEi6qjX4hvZWVCHcFfXjq7bbMc/edit?resourcekey#gid=923248883"",""Prop!$N$1:$X""),11,0),iferror(vlookup(B91,importrange(""https://docs.google.com/spreadsheets/d/1boHyJQ4e2FU0QG8MHwEi6qjX4hvZWVCHcFfXjq7bbMc/edit?resourcekey#gid=923248883"",""Prop!$Y"&amp;"$1:$AI""),11,0),iferror(vlookup(B91,importrange(""https://docs.google.com/spreadsheets/d/1boHyJQ4e2FU0QG8MHwEi6qjX4hvZWVCHcFfXjq7bbMc/edit?resourcekey#gid=923248883"",""Prop!$AJ$1:$AT""),11,0),iferror(vlookup(B91,importrange(""https://docs.google.com/spre"&amp;"adsheets/d/1boHyJQ4e2FU0QG8MHwEi6qjX4hvZWVCHcFfXjq7bbMc/edit?resourcekey#gid=923248883"",""Prop!$AU$1:$BE""),11,0),iferror(vlookup(B91,importrange(""https://docs.google.com/spreadsheets/d/1boHyJQ4e2FU0QG8MHwEi6qjX4hvZWVCHcFfXjq7bbMc/edit?resourcekey#gid=9"&amp;"23248883"",""Prop!$BF$1:$BP""),11,0),iferror(vlookup(B91,importrange(""https://docs.google.com/spreadsheets/d/1boHyJQ4e2FU0QG8MHwEi6qjX4hvZWVCHcFfXjq7bbMc/edit?resourcekey#gid=923248883"",""Prop!$BQ$1:$CA""),11,0),iferror(vlookup(B91,importrange(""https:/"&amp;"/docs.google.com/spreadsheets/d/1boHyJQ4e2FU0QG8MHwEi6qjX4hvZWVCHcFfXjq7bbMc/edit?resourcekey#gid=923248883"",""Prop!$CB$1:$CL""),11,0),iferror(vlookup(B91,importrange(""https://docs.google.com/spreadsheets/d/1boHyJQ4e2FU0QG8MHwEi6qjX4hvZWVCHcFfXjq7bbMc/e"&amp;"dit?resourcekey#gid=923248883"",""Prop!$CM$1:$CX""),12,0),iferror(vlookup(B91,importrange(""https://docs.google.com/spreadsheets/d/1boHyJQ4e2FU0QG8MHwEi6qjX4hvZWVCHcFfXjq7bbMc/edit?resourcekey#gid=923248883"",""Prop!$CV$1:$DI""),11,0)))))))))))"),"https://drive.google.com/open?id=1nE6qo5YzZbvaiAXvAUjrHx4mrxoQv1CR")</f>
        <v>https://drive.google.com/open?id=1nE6qo5YzZbvaiAXvAUjrHx4mrxoQv1CR</v>
      </c>
      <c r="Q91" s="7" t="str">
        <f ca="1">IFERROR(__xludf.DUMMYFUNCTION("iferror(vlookup(B91,importrange(""https://docs.google.com/spreadsheets/d/1p53T2AuvvIqhP7Nf-bo3Uhj8cbKYRPpZdsrBv3x3bAQ/edit?resourcekey#gid=1321652304"",""Prop!$C$1:$M""),11,0),IFERROR(vlookup(B91,importrange(""https://docs.google.com/spreadsheets/d/1p53T2"&amp;"AuvvIqhP7Nf-bo3Uhj8cbKYRPpZdsrBv3x3bAQ/edit?resourcekey#gid=1321652304"",""Prop!$N$1:$X""),11,0),iferror(vlookup(B91,importrange(""https://docs.google.com/spreadsheets/d/1p53T2AuvvIqhP7Nf-bo3Uhj8cbKYRPpZdsrBv3x3bAQ/edit?resourcekey#gid=1321652304"",""Prop"&amp;"!$Y$1:$AI""),11,0),iferror(vlookup(B91,importrange(""https://docs.google.com/spreadsheets/d/1p53T2AuvvIqhP7Nf-bo3Uhj8cbKYRPpZdsrBv3x3bAQ/edit?resourcekey#gid=1321652304"",""Prop!$AJ$1:$AT""),11,0),iferror(vlookup(B91,importrange(""https://docs.google.com/"&amp;"spreadsheets/d/1p53T2AuvvIqhP7Nf-bo3Uhj8cbKYRPpZdsrBv3x3bAQ/edit?resourcekey#gid=1321652304"",""Prop!$AU$1:$BE""),11,0),iferror(vlookup(B91,importrange(""https://docs.google.com/spreadsheets/d/1p53T2AuvvIqhP7Nf-bo3Uhj8cbKYRPpZdsrBv3x3bAQ/edit?resourcekey#"&amp;"gid=1321652304"",""Prop!$BF$1:$BP""),11,0),iferror(vlookup(B91,importrange(""https://docs.google.com/spreadsheets/d/1p53T2AuvvIqhP7Nf-bo3Uhj8cbKYRPpZdsrBv3x3bAQ/edit?resourcekey#gid=1321652304"",""Prop!$BQ$1:$CA""),11,0),iferror(vlookup(B91,importrange("""&amp;"https://docs.google.com/spreadsheets/d/1p53T2AuvvIqhP7Nf-bo3Uhj8cbKYRPpZdsrBv3x3bAQ/edit?resourcekey#gid=1321652304"",""Prop!$CB$1:$CL""),11,0),iferror(vlookup(B91,importrange(""https://docs.google.com/spreadsheets/d/1p53T2AuvvIqhP7Nf-bo3Uhj8cbKYRPpZdsrBv"&amp;"3x3bAQ/edit?resourcekey#gid=1321652304"",""Prop!$CM$1:$CX""),11,0),iferror(vlookup(B91,importrange(""https://docs.google.com/spreadsheets/d/1p53T2AuvvIqhP7Nf-bo3Uhj8cbKYRPpZdsrBv3x3bAQ/edit?resourcekey#gid=1321652304"",""Prop!$CY$1:$DI""),11,0)))))))))))"),"https://drive.google.com/open?id=1X-XEKB_InRL_LynGtQctSSCeZbweAzbn")</f>
        <v>https://drive.google.com/open?id=1X-XEKB_InRL_LynGtQctSSCeZbweAzbn</v>
      </c>
      <c r="R91" s="88" t="s">
        <v>1101</v>
      </c>
      <c r="S91" s="20" t="str">
        <f ca="1">IFERROR(__xludf.DUMMYFUNCTION("IFERROR(vlookup(B91,IMPORTRANGE(""https://docs.google.com/spreadsheets/d/1g_jfYYK_KeipEDNDUgqgrsxK94XiocfNQIcP-v1QVhI/edit?resourcekey#gid=233272945"",""Nilai!B:CT""),57,0),"" "")"),"RAB dan metode diperbaiki")</f>
        <v>RAB dan metode diperbaiki</v>
      </c>
      <c r="T91" s="20" t="str">
        <f ca="1">IFERROR(__xludf.DUMMYFUNCTION("IFERROR(vlookup(B91,IMPORTRANGE(""https://docs.google.com/spreadsheets/d/1g_jfYYK_KeipEDNDUgqgrsxK94XiocfNQIcP-v1QVhI/edit?resourcekey#gid=233272945"",""Nilai!B:CT""),97,0),"" "")"),"LAYAK UPLOAD KE SIMBELMAWA DENGAN REVISI")</f>
        <v>LAYAK UPLOAD KE SIMBELMAWA DENGAN REVISI</v>
      </c>
      <c r="U91" s="36" t="s">
        <v>825</v>
      </c>
      <c r="V91" s="85" t="s">
        <v>1102</v>
      </c>
      <c r="W91" s="17" t="s">
        <v>1161</v>
      </c>
      <c r="X91" s="34" t="s">
        <v>949</v>
      </c>
    </row>
    <row r="92" spans="1:24" ht="69">
      <c r="A92" s="15">
        <v>90</v>
      </c>
      <c r="B92" s="15">
        <f ca="1">IFERROR(__xludf.DUMMYFUNCTION("""COMPUTED_VALUE"""),2188)</f>
        <v>2188</v>
      </c>
      <c r="C92" s="16" t="str">
        <f ca="1">IFERROR(__xludf.DUMMYFUNCTION("""COMPUTED_VALUE"""),"ROGABE SIANIPAR")</f>
        <v>ROGABE SIANIPAR</v>
      </c>
      <c r="D92" s="16" t="str">
        <f ca="1">IFERROR(__xludf.DUMMYFUNCTION("""COMPUTED_VALUE"""),"5011201036")</f>
        <v>5011201036</v>
      </c>
      <c r="E92" s="16" t="str">
        <f ca="1">IFERROR(__xludf.DUMMYFUNCTION("""COMPUTED_VALUE"""),"Departemen Teknik Material dan Metalurgi")</f>
        <v>Departemen Teknik Material dan Metalurgi</v>
      </c>
      <c r="F92" s="16" t="str">
        <f ca="1">IFERROR(__xludf.DUMMYFUNCTION("""COMPUTED_VALUE"""),"Inovasi Bone Cement Antimikroba Berbasis Kitosan, Nanopartikel Hidrosiapatit Tulang Sapi, dan Polymethyl Methacrylate Sebagai Solusi Penyembuhan Bone Fracture")</f>
        <v>Inovasi Bone Cement Antimikroba Berbasis Kitosan, Nanopartikel Hidrosiapatit Tulang Sapi, dan Polymethyl Methacrylate Sebagai Solusi Penyembuhan Bone Fracture</v>
      </c>
      <c r="G92" s="16" t="str">
        <f ca="1">IFERROR(__xludf.DUMMYFUNCTION("""COMPUTED_VALUE"""),"Yuli Setiyorini, S.T., M.Phil., Ph.D.")</f>
        <v>Yuli Setiyorini, S.T., M.Phil., Ph.D.</v>
      </c>
      <c r="H92" s="16" t="str">
        <f ca="1">IFERROR(__xludf.DUMMYFUNCTION("""COMPUTED_VALUE"""),"Alief Wikarta, ST., MSc.Eng. Ph.D")</f>
        <v>Alief Wikarta, ST., MSc.Eng. Ph.D</v>
      </c>
      <c r="I92" s="16" t="str">
        <f ca="1">IFERROR(__xludf.DUMMYFUNCTION("""COMPUTED_VALUE"""),"Ir. Arino Anzip, M.Eng.Sc")</f>
        <v>Ir. Arino Anzip, M.Eng.Sc</v>
      </c>
      <c r="J92" s="16"/>
      <c r="K92" s="17" t="s">
        <v>1162</v>
      </c>
      <c r="L92" s="17" t="s">
        <v>1163</v>
      </c>
      <c r="M92" s="19" t="b">
        <v>1</v>
      </c>
      <c r="N92" s="19" t="b">
        <v>1</v>
      </c>
      <c r="O92" s="1" t="s">
        <v>1158</v>
      </c>
      <c r="P92" s="7" t="str">
        <f ca="1">IFERROR(__xludf.DUMMYFUNCTION("iferror(vlookup(B92,importrange(""https://docs.google.com/spreadsheets/d/1boHyJQ4e2FU0QG8MHwEi6qjX4hvZWVCHcFfXjq7bbMc/edit?resourcekey#gid=923248883"",""Prop!$C$1:$M""),11,0),IFERROR(vlookup(B92,importrange(""https://docs.google.com/spreadsheets/d/1boHyJQ"&amp;"4e2FU0QG8MHwEi6qjX4hvZWVCHcFfXjq7bbMc/edit?resourcekey#gid=923248883"",""Prop!$N$1:$X""),11,0),iferror(vlookup(B92,importrange(""https://docs.google.com/spreadsheets/d/1boHyJQ4e2FU0QG8MHwEi6qjX4hvZWVCHcFfXjq7bbMc/edit?resourcekey#gid=923248883"",""Prop!$Y"&amp;"$1:$AI""),11,0),iferror(vlookup(B92,importrange(""https://docs.google.com/spreadsheets/d/1boHyJQ4e2FU0QG8MHwEi6qjX4hvZWVCHcFfXjq7bbMc/edit?resourcekey#gid=923248883"",""Prop!$AJ$1:$AT""),11,0),iferror(vlookup(B92,importrange(""https://docs.google.com/spre"&amp;"adsheets/d/1boHyJQ4e2FU0QG8MHwEi6qjX4hvZWVCHcFfXjq7bbMc/edit?resourcekey#gid=923248883"",""Prop!$AU$1:$BE""),11,0),iferror(vlookup(B92,importrange(""https://docs.google.com/spreadsheets/d/1boHyJQ4e2FU0QG8MHwEi6qjX4hvZWVCHcFfXjq7bbMc/edit?resourcekey#gid=9"&amp;"23248883"",""Prop!$BF$1:$BP""),11,0),iferror(vlookup(B92,importrange(""https://docs.google.com/spreadsheets/d/1boHyJQ4e2FU0QG8MHwEi6qjX4hvZWVCHcFfXjq7bbMc/edit?resourcekey#gid=923248883"",""Prop!$BQ$1:$CA""),11,0),iferror(vlookup(B92,importrange(""https:/"&amp;"/docs.google.com/spreadsheets/d/1boHyJQ4e2FU0QG8MHwEi6qjX4hvZWVCHcFfXjq7bbMc/edit?resourcekey#gid=923248883"",""Prop!$CB$1:$CL""),11,0),iferror(vlookup(B92,importrange(""https://docs.google.com/spreadsheets/d/1boHyJQ4e2FU0QG8MHwEi6qjX4hvZWVCHcFfXjq7bbMc/e"&amp;"dit?resourcekey#gid=923248883"",""Prop!$CM$1:$CX""),12,0),iferror(vlookup(B92,importrange(""https://docs.google.com/spreadsheets/d/1boHyJQ4e2FU0QG8MHwEi6qjX4hvZWVCHcFfXjq7bbMc/edit?resourcekey#gid=923248883"",""Prop!$CV$1:$DI""),11,0)))))))))))"),"https://drive.google.com/open?id=1TceWz7rNaVsdT_-J8wIkqL9p5MOpZqlI")</f>
        <v>https://drive.google.com/open?id=1TceWz7rNaVsdT_-J8wIkqL9p5MOpZqlI</v>
      </c>
      <c r="Q92" s="7" t="str">
        <f ca="1">IFERROR(__xludf.DUMMYFUNCTION("iferror(vlookup(B92,importrange(""https://docs.google.com/spreadsheets/d/1p53T2AuvvIqhP7Nf-bo3Uhj8cbKYRPpZdsrBv3x3bAQ/edit?resourcekey#gid=1321652304"",""Prop!$C$1:$M""),11,0),IFERROR(vlookup(B92,importrange(""https://docs.google.com/spreadsheets/d/1p53T2"&amp;"AuvvIqhP7Nf-bo3Uhj8cbKYRPpZdsrBv3x3bAQ/edit?resourcekey#gid=1321652304"",""Prop!$N$1:$X""),11,0),iferror(vlookup(B92,importrange(""https://docs.google.com/spreadsheets/d/1p53T2AuvvIqhP7Nf-bo3Uhj8cbKYRPpZdsrBv3x3bAQ/edit?resourcekey#gid=1321652304"",""Prop"&amp;"!$Y$1:$AI""),11,0),iferror(vlookup(B92,importrange(""https://docs.google.com/spreadsheets/d/1p53T2AuvvIqhP7Nf-bo3Uhj8cbKYRPpZdsrBv3x3bAQ/edit?resourcekey#gid=1321652304"",""Prop!$AJ$1:$AT""),11,0),iferror(vlookup(B92,importrange(""https://docs.google.com/"&amp;"spreadsheets/d/1p53T2AuvvIqhP7Nf-bo3Uhj8cbKYRPpZdsrBv3x3bAQ/edit?resourcekey#gid=1321652304"",""Prop!$AU$1:$BE""),11,0),iferror(vlookup(B92,importrange(""https://docs.google.com/spreadsheets/d/1p53T2AuvvIqhP7Nf-bo3Uhj8cbKYRPpZdsrBv3x3bAQ/edit?resourcekey#"&amp;"gid=1321652304"",""Prop!$BF$1:$BP""),11,0),iferror(vlookup(B92,importrange(""https://docs.google.com/spreadsheets/d/1p53T2AuvvIqhP7Nf-bo3Uhj8cbKYRPpZdsrBv3x3bAQ/edit?resourcekey#gid=1321652304"",""Prop!$BQ$1:$CA""),11,0),iferror(vlookup(B92,importrange("""&amp;"https://docs.google.com/spreadsheets/d/1p53T2AuvvIqhP7Nf-bo3Uhj8cbKYRPpZdsrBv3x3bAQ/edit?resourcekey#gid=1321652304"",""Prop!$CB$1:$CL""),11,0),iferror(vlookup(B92,importrange(""https://docs.google.com/spreadsheets/d/1p53T2AuvvIqhP7Nf-bo3Uhj8cbKYRPpZdsrBv"&amp;"3x3bAQ/edit?resourcekey#gid=1321652304"",""Prop!$CM$1:$CX""),11,0),iferror(vlookup(B92,importrange(""https://docs.google.com/spreadsheets/d/1p53T2AuvvIqhP7Nf-bo3Uhj8cbKYRPpZdsrBv3x3bAQ/edit?resourcekey#gid=1321652304"",""Prop!$CY$1:$DI""),11,0)))))))))))"),"https://drive.google.com/file/d/1AycHSUxnBFmkMjeNdr2kZgymoUUhKHwn/view?usp=sharing")</f>
        <v>https://drive.google.com/file/d/1AycHSUxnBFmkMjeNdr2kZgymoUUhKHwn/view?usp=sharing</v>
      </c>
      <c r="R92" s="88" t="s">
        <v>1101</v>
      </c>
      <c r="S92" s="20" t="str">
        <f ca="1">IFERROR(__xludf.DUMMYFUNCTION("IFERROR(vlookup(B92,IMPORTRANGE(""https://docs.google.com/spreadsheets/d/1g_jfYYK_KeipEDNDUgqgrsxK94XiocfNQIcP-v1QVhI/edit?resourcekey#gid=233272945"",""Nilai!B:CT""),57,0),"" "")"),"Banyak yang harus diperbaiki kreativitas masih lemah, metode dan RAB belum jelas")</f>
        <v>Banyak yang harus diperbaiki kreativitas masih lemah, metode dan RAB belum jelas</v>
      </c>
      <c r="T92" s="20" t="str">
        <f ca="1">IFERROR(__xludf.DUMMYFUNCTION("IFERROR(vlookup(B92,IMPORTRANGE(""https://docs.google.com/spreadsheets/d/1g_jfYYK_KeipEDNDUgqgrsxK94XiocfNQIcP-v1QVhI/edit?resourcekey#gid=233272945"",""Nilai!B:CT""),97,0),"" "")"),"LAYAK UPLOAD KE SIMBELMAWA DENGAN REVISI")</f>
        <v>LAYAK UPLOAD KE SIMBELMAWA DENGAN REVISI</v>
      </c>
      <c r="U92" s="36" t="s">
        <v>825</v>
      </c>
      <c r="V92" s="85" t="s">
        <v>1102</v>
      </c>
      <c r="W92" s="17" t="s">
        <v>1164</v>
      </c>
      <c r="X92" s="34" t="s">
        <v>949</v>
      </c>
    </row>
    <row r="93" spans="1:24" ht="69">
      <c r="A93" s="15">
        <v>91</v>
      </c>
      <c r="B93" s="15">
        <f ca="1">IFERROR(__xludf.DUMMYFUNCTION("""COMPUTED_VALUE"""),2228)</f>
        <v>2228</v>
      </c>
      <c r="C93" s="16" t="str">
        <f ca="1">IFERROR(__xludf.DUMMYFUNCTION("""COMPUTED_VALUE"""),"RIFQI NADHIF ARRAFID")</f>
        <v>RIFQI NADHIF ARRAFID</v>
      </c>
      <c r="D93" s="16" t="str">
        <f ca="1">IFERROR(__xludf.DUMMYFUNCTION("""COMPUTED_VALUE"""),"10111810013012")</f>
        <v>10111810013012</v>
      </c>
      <c r="E93" s="16" t="str">
        <f ca="1">IFERROR(__xludf.DUMMYFUNCTION("""COMPUTED_VALUE"""),"Departemen Teknik Infrastruktur Sipil")</f>
        <v>Departemen Teknik Infrastruktur Sipil</v>
      </c>
      <c r="F93" s="16" t="str">
        <f ca="1">IFERROR(__xludf.DUMMYFUNCTION("""COMPUTED_VALUE"""),"Investigasi workability dan kuat tekan material 3D Printing berbasis fly ash tipe C dengan Metode Kering")</f>
        <v>Investigasi workability dan kuat tekan material 3D Printing berbasis fly ash tipe C dengan Metode Kering</v>
      </c>
      <c r="G93" s="16" t="str">
        <f ca="1">IFERROR(__xludf.DUMMYFUNCTION("""COMPUTED_VALUE"""),"Dr.Eng. Yuyun Tajunnisa, S.T., M.T.")</f>
        <v>Dr.Eng. Yuyun Tajunnisa, S.T., M.T.</v>
      </c>
      <c r="H93" s="16" t="str">
        <f ca="1">IFERROR(__xludf.DUMMYFUNCTION("""COMPUTED_VALUE"""),"Alief Wikarta, ST., MSc.Eng. Ph.D")</f>
        <v>Alief Wikarta, ST., MSc.Eng. Ph.D</v>
      </c>
      <c r="I93" s="16" t="str">
        <f ca="1">IFERROR(__xludf.DUMMYFUNCTION("""COMPUTED_VALUE"""),"Ir. Arino Anzip, M.Eng.Sc")</f>
        <v>Ir. Arino Anzip, M.Eng.Sc</v>
      </c>
      <c r="J93" s="16"/>
      <c r="K93" s="17" t="s">
        <v>1162</v>
      </c>
      <c r="L93" s="17" t="s">
        <v>1163</v>
      </c>
      <c r="M93" s="19" t="b">
        <v>0</v>
      </c>
      <c r="N93" s="19" t="b">
        <v>0</v>
      </c>
      <c r="O93" s="1" t="s">
        <v>1158</v>
      </c>
      <c r="P93" s="7" t="str">
        <f ca="1">IFERROR(__xludf.DUMMYFUNCTION("iferror(vlookup(B93,importrange(""https://docs.google.com/spreadsheets/d/1boHyJQ4e2FU0QG8MHwEi6qjX4hvZWVCHcFfXjq7bbMc/edit?resourcekey#gid=923248883"",""Prop!$C$1:$M""),11,0),IFERROR(vlookup(B93,importrange(""https://docs.google.com/spreadsheets/d/1boHyJQ"&amp;"4e2FU0QG8MHwEi6qjX4hvZWVCHcFfXjq7bbMc/edit?resourcekey#gid=923248883"",""Prop!$N$1:$X""),11,0),iferror(vlookup(B93,importrange(""https://docs.google.com/spreadsheets/d/1boHyJQ4e2FU0QG8MHwEi6qjX4hvZWVCHcFfXjq7bbMc/edit?resourcekey#gid=923248883"",""Prop!$Y"&amp;"$1:$AI""),11,0),iferror(vlookup(B93,importrange(""https://docs.google.com/spreadsheets/d/1boHyJQ4e2FU0QG8MHwEi6qjX4hvZWVCHcFfXjq7bbMc/edit?resourcekey#gid=923248883"",""Prop!$AJ$1:$AT""),11,0),iferror(vlookup(B93,importrange(""https://docs.google.com/spre"&amp;"adsheets/d/1boHyJQ4e2FU0QG8MHwEi6qjX4hvZWVCHcFfXjq7bbMc/edit?resourcekey#gid=923248883"",""Prop!$AU$1:$BE""),11,0),iferror(vlookup(B93,importrange(""https://docs.google.com/spreadsheets/d/1boHyJQ4e2FU0QG8MHwEi6qjX4hvZWVCHcFfXjq7bbMc/edit?resourcekey#gid=9"&amp;"23248883"",""Prop!$BF$1:$BP""),11,0),iferror(vlookup(B93,importrange(""https://docs.google.com/spreadsheets/d/1boHyJQ4e2FU0QG8MHwEi6qjX4hvZWVCHcFfXjq7bbMc/edit?resourcekey#gid=923248883"",""Prop!$BQ$1:$CA""),11,0),iferror(vlookup(B93,importrange(""https:/"&amp;"/docs.google.com/spreadsheets/d/1boHyJQ4e2FU0QG8MHwEi6qjX4hvZWVCHcFfXjq7bbMc/edit?resourcekey#gid=923248883"",""Prop!$CB$1:$CL""),11,0),iferror(vlookup(B93,importrange(""https://docs.google.com/spreadsheets/d/1boHyJQ4e2FU0QG8MHwEi6qjX4hvZWVCHcFfXjq7bbMc/e"&amp;"dit?resourcekey#gid=923248883"",""Prop!$CM$1:$CX""),12,0),iferror(vlookup(B93,importrange(""https://docs.google.com/spreadsheets/d/1boHyJQ4e2FU0QG8MHwEi6qjX4hvZWVCHcFfXjq7bbMc/edit?resourcekey#gid=923248883"",""Prop!$CV$1:$DI""),11,0)))))))))))"),"https://drive.google.com/open?id=1L5kP2QNoXNLuDngBHKXhy_nzEaNTNMja")</f>
        <v>https://drive.google.com/open?id=1L5kP2QNoXNLuDngBHKXhy_nzEaNTNMja</v>
      </c>
      <c r="Q93" s="8" t="str">
        <f ca="1">IFERROR(__xludf.DUMMYFUNCTION("iferror(vlookup(B93,importrange(""https://docs.google.com/spreadsheets/d/1p53T2AuvvIqhP7Nf-bo3Uhj8cbKYRPpZdsrBv3x3bAQ/edit?resourcekey#gid=1321652304"",""Prop!$C$1:$M""),11,0),IFERROR(vlookup(B93,importrange(""https://docs.google.com/spreadsheets/d/1p53T2"&amp;"AuvvIqhP7Nf-bo3Uhj8cbKYRPpZdsrBv3x3bAQ/edit?resourcekey#gid=1321652304"",""Prop!$N$1:$X""),11,0),iferror(vlookup(B93,importrange(""https://docs.google.com/spreadsheets/d/1p53T2AuvvIqhP7Nf-bo3Uhj8cbKYRPpZdsrBv3x3bAQ/edit?resourcekey#gid=1321652304"",""Prop"&amp;"!$Y$1:$AI""),11,0),iferror(vlookup(B93,importrange(""https://docs.google.com/spreadsheets/d/1p53T2AuvvIqhP7Nf-bo3Uhj8cbKYRPpZdsrBv3x3bAQ/edit?resourcekey#gid=1321652304"",""Prop!$AJ$1:$AT""),11,0),iferror(vlookup(B93,importrange(""https://docs.google.com/"&amp;"spreadsheets/d/1p53T2AuvvIqhP7Nf-bo3Uhj8cbKYRPpZdsrBv3x3bAQ/edit?resourcekey#gid=1321652304"",""Prop!$AU$1:$BE""),11,0),iferror(vlookup(B93,importrange(""https://docs.google.com/spreadsheets/d/1p53T2AuvvIqhP7Nf-bo3Uhj8cbKYRPpZdsrBv3x3bAQ/edit?resourcekey#"&amp;"gid=1321652304"",""Prop!$BF$1:$BP""),11,0),iferror(vlookup(B93,importrange(""https://docs.google.com/spreadsheets/d/1p53T2AuvvIqhP7Nf-bo3Uhj8cbKYRPpZdsrBv3x3bAQ/edit?resourcekey#gid=1321652304"",""Prop!$BQ$1:$CA""),11,0),iferror(vlookup(B93,importrange("""&amp;"https://docs.google.com/spreadsheets/d/1p53T2AuvvIqhP7Nf-bo3Uhj8cbKYRPpZdsrBv3x3bAQ/edit?resourcekey#gid=1321652304"",""Prop!$CB$1:$CL""),11,0),iferror(vlookup(B93,importrange(""https://docs.google.com/spreadsheets/d/1p53T2AuvvIqhP7Nf-bo3Uhj8cbKYRPpZdsrBv"&amp;"3x3bAQ/edit?resourcekey#gid=1321652304"",""Prop!$CM$1:$CX""),11,0),iferror(vlookup(B93,importrange(""https://docs.google.com/spreadsheets/d/1p53T2AuvvIqhP7Nf-bo3Uhj8cbKYRPpZdsrBv3x3bAQ/edit?resourcekey#gid=1321652304"",""Prop!$CY$1:$DI""),11,0)))))))))))"),"")</f>
        <v/>
      </c>
      <c r="R93" s="88" t="s">
        <v>1101</v>
      </c>
      <c r="S93" s="20" t="str">
        <f ca="1">IFERROR(__xludf.DUMMYFUNCTION("IFERROR(vlookup(B93,IMPORTRANGE(""https://docs.google.com/spreadsheets/d/1g_jfYYK_KeipEDNDUgqgrsxK94XiocfNQIcP-v1QVhI/edit?resourcekey#gid=233272945"",""Nilai!B:CT""),57,0),"" "")"),"")</f>
        <v/>
      </c>
      <c r="T93" s="20" t="str">
        <f ca="1">IFERROR(__xludf.DUMMYFUNCTION("IFERROR(vlookup(B93,IMPORTRANGE(""https://docs.google.com/spreadsheets/d/1g_jfYYK_KeipEDNDUgqgrsxK94XiocfNQIcP-v1QVhI/edit?resourcekey#gid=233272945"",""Nilai!B:CT""),97,0),"" "")"),"LAYAK UPLOAD KE SIMBELMAWA DENGAN REVISI")</f>
        <v>LAYAK UPLOAD KE SIMBELMAWA DENGAN REVISI</v>
      </c>
      <c r="U93" s="36" t="s">
        <v>825</v>
      </c>
      <c r="V93" s="85" t="s">
        <v>1102</v>
      </c>
      <c r="W93" s="17" t="s">
        <v>1164</v>
      </c>
      <c r="X93" s="34" t="b">
        <v>0</v>
      </c>
    </row>
    <row r="94" spans="1:24" ht="69">
      <c r="A94" s="15">
        <v>92</v>
      </c>
      <c r="B94" s="15">
        <f ca="1">IFERROR(__xludf.DUMMYFUNCTION("""COMPUTED_VALUE"""),2649)</f>
        <v>2649</v>
      </c>
      <c r="C94" s="16" t="str">
        <f ca="1">IFERROR(__xludf.DUMMYFUNCTION("""COMPUTED_VALUE"""),"Mohammad Arrafi Azhar")</f>
        <v>Mohammad Arrafi Azhar</v>
      </c>
      <c r="D94" s="16" t="str">
        <f ca="1">IFERROR(__xludf.DUMMYFUNCTION("""COMPUTED_VALUE"""),"01111840000018")</f>
        <v>01111840000018</v>
      </c>
      <c r="E94" s="16" t="str">
        <f ca="1">IFERROR(__xludf.DUMMYFUNCTION("""COMPUTED_VALUE"""),"Departemen Fisika")</f>
        <v>Departemen Fisika</v>
      </c>
      <c r="F94" s="16" t="str">
        <f ca="1">IFERROR(__xludf.DUMMYFUNCTION("""COMPUTED_VALUE"""),"Pemanfaatan Material Melimpah Ramah Lingkungan NaCl dan Kitosan sebagai Bahan Pembuat Katoda Baterai NaFePO4 Menggunakan Metode Sol-gel")</f>
        <v>Pemanfaatan Material Melimpah Ramah Lingkungan NaCl dan Kitosan sebagai Bahan Pembuat Katoda Baterai NaFePO4 Menggunakan Metode Sol-gel</v>
      </c>
      <c r="G94" s="16" t="str">
        <f ca="1">IFERROR(__xludf.DUMMYFUNCTION("""COMPUTED_VALUE"""),"Prof. Dr. Darminto, M.Sc.")</f>
        <v>Prof. Dr. Darminto, M.Sc.</v>
      </c>
      <c r="H94" s="16" t="str">
        <f ca="1">IFERROR(__xludf.DUMMYFUNCTION("""COMPUTED_VALUE"""),"Dr. Ir. Bambang Sampurno, M.T.")</f>
        <v>Dr. Ir. Bambang Sampurno, M.T.</v>
      </c>
      <c r="I94" s="16" t="str">
        <f ca="1">IFERROR(__xludf.DUMMYFUNCTION("""COMPUTED_VALUE"""),"Ir. Arino Anzip, M.Eng.Sc")</f>
        <v>Ir. Arino Anzip, M.Eng.Sc</v>
      </c>
      <c r="J94" s="16"/>
      <c r="K94" s="17" t="s">
        <v>1162</v>
      </c>
      <c r="L94" s="17" t="s">
        <v>1163</v>
      </c>
      <c r="M94" s="19" t="b">
        <v>0</v>
      </c>
      <c r="N94" s="19" t="b">
        <v>0</v>
      </c>
      <c r="O94" s="1" t="s">
        <v>1165</v>
      </c>
      <c r="P94" s="1" t="str">
        <f ca="1">IFERROR(__xludf.DUMMYFUNCTION("iferror(vlookup(B94,importrange(""https://docs.google.com/spreadsheets/d/1boHyJQ4e2FU0QG8MHwEi6qjX4hvZWVCHcFfXjq7bbMc/edit?resourcekey#gid=923248883"",""Prop!$C$1:$M""),11,0),IFERROR(vlookup(B94,importrange(""https://docs.google.com/spreadsheets/d/1boHyJQ"&amp;"4e2FU0QG8MHwEi6qjX4hvZWVCHcFfXjq7bbMc/edit?resourcekey#gid=923248883"",""Prop!$N$1:$X""),11,0),iferror(vlookup(B94,importrange(""https://docs.google.com/spreadsheets/d/1boHyJQ4e2FU0QG8MHwEi6qjX4hvZWVCHcFfXjq7bbMc/edit?resourcekey#gid=923248883"",""Prop!$Y"&amp;"$1:$AI""),11,0),iferror(vlookup(B94,importrange(""https://docs.google.com/spreadsheets/d/1boHyJQ4e2FU0QG8MHwEi6qjX4hvZWVCHcFfXjq7bbMc/edit?resourcekey#gid=923248883"",""Prop!$AJ$1:$AT""),11,0),iferror(vlookup(B94,importrange(""https://docs.google.com/spre"&amp;"adsheets/d/1boHyJQ4e2FU0QG8MHwEi6qjX4hvZWVCHcFfXjq7bbMc/edit?resourcekey#gid=923248883"",""Prop!$AU$1:$BE""),11,0),iferror(vlookup(B94,importrange(""https://docs.google.com/spreadsheets/d/1boHyJQ4e2FU0QG8MHwEi6qjX4hvZWVCHcFfXjq7bbMc/edit?resourcekey#gid=9"&amp;"23248883"",""Prop!$BF$1:$BP""),11,0),iferror(vlookup(B94,importrange(""https://docs.google.com/spreadsheets/d/1boHyJQ4e2FU0QG8MHwEi6qjX4hvZWVCHcFfXjq7bbMc/edit?resourcekey#gid=923248883"",""Prop!$BQ$1:$CA""),11,0),iferror(vlookup(B94,importrange(""https:/"&amp;"/docs.google.com/spreadsheets/d/1boHyJQ4e2FU0QG8MHwEi6qjX4hvZWVCHcFfXjq7bbMc/edit?resourcekey#gid=923248883"",""Prop!$CB$1:$CL""),11,0),iferror(vlookup(B94,importrange(""https://docs.google.com/spreadsheets/d/1boHyJQ4e2FU0QG8MHwEi6qjX4hvZWVCHcFfXjq7bbMc/e"&amp;"dit?resourcekey#gid=923248883"",""Prop!$CM$1:$CX""),12,0),iferror(vlookup(B94,importrange(""https://docs.google.com/spreadsheets/d/1boHyJQ4e2FU0QG8MHwEi6qjX4hvZWVCHcFfXjq7bbMc/edit?resourcekey#gid=923248883"",""Prop!$CV$1:$DI""),11,0)))))))))))"),"")</f>
        <v/>
      </c>
      <c r="Q94" s="7" t="str">
        <f ca="1">IFERROR(__xludf.DUMMYFUNCTION("iferror(vlookup(B94,importrange(""https://docs.google.com/spreadsheets/d/1p53T2AuvvIqhP7Nf-bo3Uhj8cbKYRPpZdsrBv3x3bAQ/edit?resourcekey#gid=1321652304"",""Prop!$C$1:$M""),11,0),IFERROR(vlookup(B94,importrange(""https://docs.google.com/spreadsheets/d/1p53T2"&amp;"AuvvIqhP7Nf-bo3Uhj8cbKYRPpZdsrBv3x3bAQ/edit?resourcekey#gid=1321652304"",""Prop!$N$1:$X""),11,0),iferror(vlookup(B94,importrange(""https://docs.google.com/spreadsheets/d/1p53T2AuvvIqhP7Nf-bo3Uhj8cbKYRPpZdsrBv3x3bAQ/edit?resourcekey#gid=1321652304"",""Prop"&amp;"!$Y$1:$AI""),11,0),iferror(vlookup(B94,importrange(""https://docs.google.com/spreadsheets/d/1p53T2AuvvIqhP7Nf-bo3Uhj8cbKYRPpZdsrBv3x3bAQ/edit?resourcekey#gid=1321652304"",""Prop!$AJ$1:$AT""),11,0),iferror(vlookup(B94,importrange(""https://docs.google.com/"&amp;"spreadsheets/d/1p53T2AuvvIqhP7Nf-bo3Uhj8cbKYRPpZdsrBv3x3bAQ/edit?resourcekey#gid=1321652304"",""Prop!$AU$1:$BE""),11,0),iferror(vlookup(B94,importrange(""https://docs.google.com/spreadsheets/d/1p53T2AuvvIqhP7Nf-bo3Uhj8cbKYRPpZdsrBv3x3bAQ/edit?resourcekey#"&amp;"gid=1321652304"",""Prop!$BF$1:$BP""),11,0),iferror(vlookup(B94,importrange(""https://docs.google.com/spreadsheets/d/1p53T2AuvvIqhP7Nf-bo3Uhj8cbKYRPpZdsrBv3x3bAQ/edit?resourcekey#gid=1321652304"",""Prop!$BQ$1:$CA""),11,0),iferror(vlookup(B94,importrange("""&amp;"https://docs.google.com/spreadsheets/d/1p53T2AuvvIqhP7Nf-bo3Uhj8cbKYRPpZdsrBv3x3bAQ/edit?resourcekey#gid=1321652304"",""Prop!$CB$1:$CL""),11,0),iferror(vlookup(B94,importrange(""https://docs.google.com/spreadsheets/d/1p53T2AuvvIqhP7Nf-bo3Uhj8cbKYRPpZdsrBv"&amp;"3x3bAQ/edit?resourcekey#gid=1321652304"",""Prop!$CM$1:$CX""),11,0),iferror(vlookup(B94,importrange(""https://docs.google.com/spreadsheets/d/1p53T2AuvvIqhP7Nf-bo3Uhj8cbKYRPpZdsrBv3x3bAQ/edit?resourcekey#gid=1321652304"",""Prop!$CY$1:$DI""),11,0)))))))))))"),"https://drive.google.com/open?id=1NKNoJSk146qvYlv3SyGJ14a8LlUsTtuS")</f>
        <v>https://drive.google.com/open?id=1NKNoJSk146qvYlv3SyGJ14a8LlUsTtuS</v>
      </c>
      <c r="R94" s="88" t="s">
        <v>1101</v>
      </c>
      <c r="S94" s="20" t="str">
        <f ca="1">IFERROR(__xludf.DUMMYFUNCTION("IFERROR(vlookup(B94,IMPORTRANGE(""https://docs.google.com/spreadsheets/d/1g_jfYYK_KeipEDNDUgqgrsxK94XiocfNQIcP-v1QVhI/edit?resourcekey#gid=233272945"",""Nilai!B:CT""),57,0),"" "")"),"lihat pdf")</f>
        <v>lihat pdf</v>
      </c>
      <c r="T94" s="20" t="str">
        <f ca="1">IFERROR(__xludf.DUMMYFUNCTION("IFERROR(vlookup(B94,IMPORTRANGE(""https://docs.google.com/spreadsheets/d/1g_jfYYK_KeipEDNDUgqgrsxK94XiocfNQIcP-v1QVhI/edit?resourcekey#gid=233272945"",""Nilai!B:CT""),97,0),"" "")"),"LAYAK UPLOAD KE SIMBELMAWA DENGAN REVISI")</f>
        <v>LAYAK UPLOAD KE SIMBELMAWA DENGAN REVISI</v>
      </c>
      <c r="U94" s="36" t="s">
        <v>825</v>
      </c>
      <c r="V94" s="85" t="s">
        <v>1102</v>
      </c>
      <c r="W94" s="17" t="s">
        <v>1164</v>
      </c>
      <c r="X94" s="34" t="b">
        <v>0</v>
      </c>
    </row>
    <row r="95" spans="1:24" ht="43.2">
      <c r="A95" s="15">
        <v>93</v>
      </c>
      <c r="B95" s="15">
        <f ca="1">IFERROR(__xludf.DUMMYFUNCTION("""COMPUTED_VALUE"""),2153)</f>
        <v>2153</v>
      </c>
      <c r="C95" s="16" t="str">
        <f ca="1">IFERROR(__xludf.DUMMYFUNCTION("""COMPUTED_VALUE"""),"FARHAN RABANI")</f>
        <v>FARHAN RABANI</v>
      </c>
      <c r="D95" s="16" t="str">
        <f ca="1">IFERROR(__xludf.DUMMYFUNCTION("""COMPUTED_VALUE"""),"02111940000138")</f>
        <v>02111940000138</v>
      </c>
      <c r="E95" s="16" t="str">
        <f ca="1">IFERROR(__xludf.DUMMYFUNCTION("""COMPUTED_VALUE"""),"Departemen Teknik Mesin")</f>
        <v>Departemen Teknik Mesin</v>
      </c>
      <c r="F95" s="16" t="str">
        <f ca="1">IFERROR(__xludf.DUMMYFUNCTION("""COMPUTED_VALUE"""),"Inovasi Penghalang Aliran sebagai Peningkatan pada Turbin Air Savonius Konfigurasi Side By Side untuk Pembangkit Listrik di Pedesaan")</f>
        <v>Inovasi Penghalang Aliran sebagai Peningkatan pada Turbin Air Savonius Konfigurasi Side By Side untuk Pembangkit Listrik di Pedesaan</v>
      </c>
      <c r="G95" s="16" t="str">
        <f ca="1">IFERROR(__xludf.DUMMYFUNCTION("""COMPUTED_VALUE"""),"Prof. Dr. Ir. Tri Yogi Yuwono, DEA.")</f>
        <v>Prof. Dr. Ir. Tri Yogi Yuwono, DEA.</v>
      </c>
      <c r="H95" s="16" t="str">
        <f ca="1">IFERROR(__xludf.DUMMYFUNCTION("""COMPUTED_VALUE"""),"Dr. Ir. Bambang Sampurno, M.T.")</f>
        <v>Dr. Ir. Bambang Sampurno, M.T.</v>
      </c>
      <c r="I95" s="16" t="str">
        <f ca="1">IFERROR(__xludf.DUMMYFUNCTION("""COMPUTED_VALUE"""),"Ir. Arino Anzip, M.Eng.Sc")</f>
        <v>Ir. Arino Anzip, M.Eng.Sc</v>
      </c>
      <c r="J95" s="16"/>
      <c r="K95" s="17" t="s">
        <v>1162</v>
      </c>
      <c r="L95" s="17" t="s">
        <v>1163</v>
      </c>
      <c r="M95" s="19" t="b">
        <v>1</v>
      </c>
      <c r="N95" s="19" t="b">
        <v>1</v>
      </c>
      <c r="O95" s="1" t="s">
        <v>1165</v>
      </c>
      <c r="P95" s="7" t="str">
        <f ca="1">IFERROR(__xludf.DUMMYFUNCTION("iferror(vlookup(B95,importrange(""https://docs.google.com/spreadsheets/d/1boHyJQ4e2FU0QG8MHwEi6qjX4hvZWVCHcFfXjq7bbMc/edit?resourcekey#gid=923248883"",""Prop!$C$1:$M""),11,0),IFERROR(vlookup(B95,importrange(""https://docs.google.com/spreadsheets/d/1boHyJQ"&amp;"4e2FU0QG8MHwEi6qjX4hvZWVCHcFfXjq7bbMc/edit?resourcekey#gid=923248883"",""Prop!$N$1:$X""),11,0),iferror(vlookup(B95,importrange(""https://docs.google.com/spreadsheets/d/1boHyJQ4e2FU0QG8MHwEi6qjX4hvZWVCHcFfXjq7bbMc/edit?resourcekey#gid=923248883"",""Prop!$Y"&amp;"$1:$AI""),11,0),iferror(vlookup(B95,importrange(""https://docs.google.com/spreadsheets/d/1boHyJQ4e2FU0QG8MHwEi6qjX4hvZWVCHcFfXjq7bbMc/edit?resourcekey#gid=923248883"",""Prop!$AJ$1:$AT""),11,0),iferror(vlookup(B95,importrange(""https://docs.google.com/spre"&amp;"adsheets/d/1boHyJQ4e2FU0QG8MHwEi6qjX4hvZWVCHcFfXjq7bbMc/edit?resourcekey#gid=923248883"",""Prop!$AU$1:$BE""),11,0),iferror(vlookup(B95,importrange(""https://docs.google.com/spreadsheets/d/1boHyJQ4e2FU0QG8MHwEi6qjX4hvZWVCHcFfXjq7bbMc/edit?resourcekey#gid=9"&amp;"23248883"",""Prop!$BF$1:$BP""),11,0),iferror(vlookup(B95,importrange(""https://docs.google.com/spreadsheets/d/1boHyJQ4e2FU0QG8MHwEi6qjX4hvZWVCHcFfXjq7bbMc/edit?resourcekey#gid=923248883"",""Prop!$BQ$1:$CA""),11,0),iferror(vlookup(B95,importrange(""https:/"&amp;"/docs.google.com/spreadsheets/d/1boHyJQ4e2FU0QG8MHwEi6qjX4hvZWVCHcFfXjq7bbMc/edit?resourcekey#gid=923248883"",""Prop!$CB$1:$CL""),11,0),iferror(vlookup(B95,importrange(""https://docs.google.com/spreadsheets/d/1boHyJQ4e2FU0QG8MHwEi6qjX4hvZWVCHcFfXjq7bbMc/e"&amp;"dit?resourcekey#gid=923248883"",""Prop!$CM$1:$CX""),12,0),iferror(vlookup(B95,importrange(""https://docs.google.com/spreadsheets/d/1boHyJQ4e2FU0QG8MHwEi6qjX4hvZWVCHcFfXjq7bbMc/edit?resourcekey#gid=923248883"",""Prop!$CV$1:$DI""),11,0)))))))))))"),"https://drive.google.com/open?id=1GBjNJFtE72UqePtTX_CVcnHYhghXdnsX")</f>
        <v>https://drive.google.com/open?id=1GBjNJFtE72UqePtTX_CVcnHYhghXdnsX</v>
      </c>
      <c r="Q95" s="7" t="str">
        <f ca="1">IFERROR(__xludf.DUMMYFUNCTION("iferror(vlookup(B95,importrange(""https://docs.google.com/spreadsheets/d/1p53T2AuvvIqhP7Nf-bo3Uhj8cbKYRPpZdsrBv3x3bAQ/edit?resourcekey#gid=1321652304"",""Prop!$C$1:$M""),11,0),IFERROR(vlookup(B95,importrange(""https://docs.google.com/spreadsheets/d/1p53T2"&amp;"AuvvIqhP7Nf-bo3Uhj8cbKYRPpZdsrBv3x3bAQ/edit?resourcekey#gid=1321652304"",""Prop!$N$1:$X""),11,0),iferror(vlookup(B95,importrange(""https://docs.google.com/spreadsheets/d/1p53T2AuvvIqhP7Nf-bo3Uhj8cbKYRPpZdsrBv3x3bAQ/edit?resourcekey#gid=1321652304"",""Prop"&amp;"!$Y$1:$AI""),11,0),iferror(vlookup(B95,importrange(""https://docs.google.com/spreadsheets/d/1p53T2AuvvIqhP7Nf-bo3Uhj8cbKYRPpZdsrBv3x3bAQ/edit?resourcekey#gid=1321652304"",""Prop!$AJ$1:$AT""),11,0),iferror(vlookup(B95,importrange(""https://docs.google.com/"&amp;"spreadsheets/d/1p53T2AuvvIqhP7Nf-bo3Uhj8cbKYRPpZdsrBv3x3bAQ/edit?resourcekey#gid=1321652304"",""Prop!$AU$1:$BE""),11,0),iferror(vlookup(B95,importrange(""https://docs.google.com/spreadsheets/d/1p53T2AuvvIqhP7Nf-bo3Uhj8cbKYRPpZdsrBv3x3bAQ/edit?resourcekey#"&amp;"gid=1321652304"",""Prop!$BF$1:$BP""),11,0),iferror(vlookup(B95,importrange(""https://docs.google.com/spreadsheets/d/1p53T2AuvvIqhP7Nf-bo3Uhj8cbKYRPpZdsrBv3x3bAQ/edit?resourcekey#gid=1321652304"",""Prop!$BQ$1:$CA""),11,0),iferror(vlookup(B95,importrange("""&amp;"https://docs.google.com/spreadsheets/d/1p53T2AuvvIqhP7Nf-bo3Uhj8cbKYRPpZdsrBv3x3bAQ/edit?resourcekey#gid=1321652304"",""Prop!$CB$1:$CL""),11,0),iferror(vlookup(B95,importrange(""https://docs.google.com/spreadsheets/d/1p53T2AuvvIqhP7Nf-bo3Uhj8cbKYRPpZdsrBv"&amp;"3x3bAQ/edit?resourcekey#gid=1321652304"",""Prop!$CM$1:$CX""),11,0),iferror(vlookup(B95,importrange(""https://docs.google.com/spreadsheets/d/1p53T2AuvvIqhP7Nf-bo3Uhj8cbKYRPpZdsrBv3x3bAQ/edit?resourcekey#gid=1321652304"",""Prop!$CY$1:$DI""),11,0)))))))))))"),"https://drive.google.com/open?id=1rpSHmcEc9byzYkKsn6LCgFJ4pxWs_vTc")</f>
        <v>https://drive.google.com/open?id=1rpSHmcEc9byzYkKsn6LCgFJ4pxWs_vTc</v>
      </c>
      <c r="R95" s="88" t="s">
        <v>1101</v>
      </c>
      <c r="S95" s="20" t="str">
        <f ca="1">IFERROR(__xludf.DUMMYFUNCTION("IFERROR(vlookup(B95,IMPORTRANGE(""https://docs.google.com/spreadsheets/d/1g_jfYYK_KeipEDNDUgqgrsxK94XiocfNQIcP-v1QVhI/edit?resourcekey#gid=233272945"",""Nilai!B:CT""),57,0),"" "")"),"Arah penelitian savonius tidak tampak, termasuk kebaruan dan kreativitasnya")</f>
        <v>Arah penelitian savonius tidak tampak, termasuk kebaruan dan kreativitasnya</v>
      </c>
      <c r="T95" s="20" t="str">
        <f ca="1">IFERROR(__xludf.DUMMYFUNCTION("IFERROR(vlookup(B95,IMPORTRANGE(""https://docs.google.com/spreadsheets/d/1g_jfYYK_KeipEDNDUgqgrsxK94XiocfNQIcP-v1QVhI/edit?resourcekey#gid=233272945"",""Nilai!B:CT""),97,0),"" "")"),"TIDAK LAYAK UPLOAD KE SIMBELMAWA")</f>
        <v>TIDAK LAYAK UPLOAD KE SIMBELMAWA</v>
      </c>
      <c r="U95" s="36" t="s">
        <v>825</v>
      </c>
      <c r="V95" s="85" t="s">
        <v>1102</v>
      </c>
      <c r="W95" s="17" t="s">
        <v>1164</v>
      </c>
      <c r="X95" s="34" t="s">
        <v>949</v>
      </c>
    </row>
    <row r="96" spans="1:24" ht="42" customHeight="1">
      <c r="A96" s="15">
        <v>94</v>
      </c>
      <c r="B96" s="15">
        <f ca="1">IFERROR(__xludf.DUMMYFUNCTION("""COMPUTED_VALUE"""),3423)</f>
        <v>3423</v>
      </c>
      <c r="C96" s="16" t="str">
        <f ca="1">IFERROR(__xludf.DUMMYFUNCTION("""COMPUTED_VALUE"""),"AZEVA HAQQI PRADIAR")</f>
        <v>AZEVA HAQQI PRADIAR</v>
      </c>
      <c r="D96" s="16" t="str">
        <f ca="1">IFERROR(__xludf.DUMMYFUNCTION("""COMPUTED_VALUE"""),"2041201034")</f>
        <v>2041201034</v>
      </c>
      <c r="E96" s="16" t="str">
        <f ca="1">IFERROR(__xludf.DUMMYFUNCTION("""COMPUTED_VALUE"""),"Departemen Teknik Kimia Industri")</f>
        <v>Departemen Teknik Kimia Industri</v>
      </c>
      <c r="F96" s="16" t="str">
        <f ca="1">IFERROR(__xludf.DUMMYFUNCTION("""COMPUTED_VALUE"""),"Pemanfaatan Limbah Nangka sebagai Bahan Pembuatan Xylitol")</f>
        <v>Pemanfaatan Limbah Nangka sebagai Bahan Pembuatan Xylitol</v>
      </c>
      <c r="G96" s="16" t="str">
        <f ca="1">IFERROR(__xludf.DUMMYFUNCTION("""COMPUTED_VALUE"""),"Ir. Elly Agustiani, M.Eng")</f>
        <v>Ir. Elly Agustiani, M.Eng</v>
      </c>
      <c r="H96" s="16" t="str">
        <f ca="1">IFERROR(__xludf.DUMMYFUNCTION("""COMPUTED_VALUE"""),"Vania Mitha Pratiwi, S.T., M.T.")</f>
        <v>Vania Mitha Pratiwi, S.T., M.T.</v>
      </c>
      <c r="I96" s="16" t="str">
        <f ca="1">IFERROR(__xludf.DUMMYFUNCTION("""COMPUTED_VALUE"""),"Hamdan Dwi Rizqi, S.Si., M.Si.")</f>
        <v>Hamdan Dwi Rizqi, S.Si., M.Si.</v>
      </c>
      <c r="J96" s="16"/>
      <c r="K96" s="17" t="s">
        <v>1162</v>
      </c>
      <c r="L96" s="58" t="s">
        <v>1166</v>
      </c>
      <c r="M96" s="19" t="b">
        <v>1</v>
      </c>
      <c r="N96" s="19" t="b">
        <v>1</v>
      </c>
      <c r="O96" s="7" t="s">
        <v>1167</v>
      </c>
      <c r="P96" s="7" t="str">
        <f ca="1">IFERROR(__xludf.DUMMYFUNCTION("iferror(vlookup(B96,importrange(""https://docs.google.com/spreadsheets/d/1boHyJQ4e2FU0QG8MHwEi6qjX4hvZWVCHcFfXjq7bbMc/edit?resourcekey#gid=923248883"",""Prop!$C$1:$M""),11,0),IFERROR(vlookup(B96,importrange(""https://docs.google.com/spreadsheets/d/1boHyJQ"&amp;"4e2FU0QG8MHwEi6qjX4hvZWVCHcFfXjq7bbMc/edit?resourcekey#gid=923248883"",""Prop!$N$1:$X""),11,0),iferror(vlookup(B96,importrange(""https://docs.google.com/spreadsheets/d/1boHyJQ4e2FU0QG8MHwEi6qjX4hvZWVCHcFfXjq7bbMc/edit?resourcekey#gid=923248883"",""Prop!$Y"&amp;"$1:$AI""),11,0),iferror(vlookup(B96,importrange(""https://docs.google.com/spreadsheets/d/1boHyJQ4e2FU0QG8MHwEi6qjX4hvZWVCHcFfXjq7bbMc/edit?resourcekey#gid=923248883"",""Prop!$AJ$1:$AT""),11,0),iferror(vlookup(B96,importrange(""https://docs.google.com/spre"&amp;"adsheets/d/1boHyJQ4e2FU0QG8MHwEi6qjX4hvZWVCHcFfXjq7bbMc/edit?resourcekey#gid=923248883"",""Prop!$AU$1:$BE""),11,0),iferror(vlookup(B96,importrange(""https://docs.google.com/spreadsheets/d/1boHyJQ4e2FU0QG8MHwEi6qjX4hvZWVCHcFfXjq7bbMc/edit?resourcekey#gid=9"&amp;"23248883"",""Prop!$BF$1:$BP""),11,0),iferror(vlookup(B96,importrange(""https://docs.google.com/spreadsheets/d/1boHyJQ4e2FU0QG8MHwEi6qjX4hvZWVCHcFfXjq7bbMc/edit?resourcekey#gid=923248883"",""Prop!$BQ$1:$CA""),11,0),iferror(vlookup(B96,importrange(""https:/"&amp;"/docs.google.com/spreadsheets/d/1boHyJQ4e2FU0QG8MHwEi6qjX4hvZWVCHcFfXjq7bbMc/edit?resourcekey#gid=923248883"",""Prop!$CB$1:$CL""),11,0),iferror(vlookup(B96,importrange(""https://docs.google.com/spreadsheets/d/1boHyJQ4e2FU0QG8MHwEi6qjX4hvZWVCHcFfXjq7bbMc/e"&amp;"dit?resourcekey#gid=923248883"",""Prop!$CM$1:$CX""),12,0),iferror(vlookup(B96,importrange(""https://docs.google.com/spreadsheets/d/1boHyJQ4e2FU0QG8MHwEi6qjX4hvZWVCHcFfXjq7bbMc/edit?resourcekey#gid=923248883"",""Prop!$CV$1:$DI""),11,0)))))))))))"),"https://drive.google.com/open?id=1NFo3gMo6xqUrM08RVqT2zm4SzfbNK5DP")</f>
        <v>https://drive.google.com/open?id=1NFo3gMo6xqUrM08RVqT2zm4SzfbNK5DP</v>
      </c>
      <c r="Q96" s="7" t="str">
        <f ca="1">IFERROR(__xludf.DUMMYFUNCTION("iferror(vlookup(B96,importrange(""https://docs.google.com/spreadsheets/d/1p53T2AuvvIqhP7Nf-bo3Uhj8cbKYRPpZdsrBv3x3bAQ/edit?resourcekey#gid=1321652304"",""Prop!$C$1:$M""),11,0),IFERROR(vlookup(B96,importrange(""https://docs.google.com/spreadsheets/d/1p53T2"&amp;"AuvvIqhP7Nf-bo3Uhj8cbKYRPpZdsrBv3x3bAQ/edit?resourcekey#gid=1321652304"",""Prop!$N$1:$X""),11,0),iferror(vlookup(B96,importrange(""https://docs.google.com/spreadsheets/d/1p53T2AuvvIqhP7Nf-bo3Uhj8cbKYRPpZdsrBv3x3bAQ/edit?resourcekey#gid=1321652304"",""Prop"&amp;"!$Y$1:$AI""),11,0),iferror(vlookup(B96,importrange(""https://docs.google.com/spreadsheets/d/1p53T2AuvvIqhP7Nf-bo3Uhj8cbKYRPpZdsrBv3x3bAQ/edit?resourcekey#gid=1321652304"",""Prop!$AJ$1:$AT""),11,0),iferror(vlookup(B96,importrange(""https://docs.google.com/"&amp;"spreadsheets/d/1p53T2AuvvIqhP7Nf-bo3Uhj8cbKYRPpZdsrBv3x3bAQ/edit?resourcekey#gid=1321652304"",""Prop!$AU$1:$BE""),11,0),iferror(vlookup(B96,importrange(""https://docs.google.com/spreadsheets/d/1p53T2AuvvIqhP7Nf-bo3Uhj8cbKYRPpZdsrBv3x3bAQ/edit?resourcekey#"&amp;"gid=1321652304"",""Prop!$BF$1:$BP""),11,0),iferror(vlookup(B96,importrange(""https://docs.google.com/spreadsheets/d/1p53T2AuvvIqhP7Nf-bo3Uhj8cbKYRPpZdsrBv3x3bAQ/edit?resourcekey#gid=1321652304"",""Prop!$BQ$1:$CA""),11,0),iferror(vlookup(B96,importrange("""&amp;"https://docs.google.com/spreadsheets/d/1p53T2AuvvIqhP7Nf-bo3Uhj8cbKYRPpZdsrBv3x3bAQ/edit?resourcekey#gid=1321652304"",""Prop!$CB$1:$CL""),11,0),iferror(vlookup(B96,importrange(""https://docs.google.com/spreadsheets/d/1p53T2AuvvIqhP7Nf-bo3Uhj8cbKYRPpZdsrBv"&amp;"3x3bAQ/edit?resourcekey#gid=1321652304"",""Prop!$CM$1:$CX""),11,0),iferror(vlookup(B96,importrange(""https://docs.google.com/spreadsheets/d/1p53T2AuvvIqhP7Nf-bo3Uhj8cbKYRPpZdsrBv3x3bAQ/edit?resourcekey#gid=1321652304"",""Prop!$CY$1:$DI""),11,0)))))))))))"),"https://drive.google.com/open?id=1OL6AwI_O74kzCfj0hmbmwj95H5D764BJ")</f>
        <v>https://drive.google.com/open?id=1OL6AwI_O74kzCfj0hmbmwj95H5D764BJ</v>
      </c>
      <c r="R96" s="88" t="s">
        <v>1101</v>
      </c>
      <c r="S96" s="20" t="str">
        <f ca="1">IFERROR(__xludf.DUMMYFUNCTION("IFERROR(vlookup(B96,IMPORTRANGE(""https://docs.google.com/spreadsheets/d/1g_jfYYK_KeipEDNDUgqgrsxK94XiocfNQIcP-v1QVhI/edit?resourcekey#gid=233272945"",""Nilai!B:CT""),57,0),"" "")"),"lihat di pdf")</f>
        <v>lihat di pdf</v>
      </c>
      <c r="T96" s="20" t="str">
        <f ca="1">IFERROR(__xludf.DUMMYFUNCTION("IFERROR(vlookup(B96,IMPORTRANGE(""https://docs.google.com/spreadsheets/d/1g_jfYYK_KeipEDNDUgqgrsxK94XiocfNQIcP-v1QVhI/edit?resourcekey#gid=233272945"",""Nilai!B:CT""),97,0),"" "")"),"LAYAK UPLOAD KE SIMBELMAWA DENGAN REVISI")</f>
        <v>LAYAK UPLOAD KE SIMBELMAWA DENGAN REVISI</v>
      </c>
      <c r="U96" s="36" t="s">
        <v>825</v>
      </c>
      <c r="V96" s="85" t="s">
        <v>1102</v>
      </c>
      <c r="W96" s="17" t="s">
        <v>1168</v>
      </c>
      <c r="X96" s="34" t="s">
        <v>949</v>
      </c>
    </row>
    <row r="97" spans="1:24" ht="69">
      <c r="A97" s="15">
        <v>95</v>
      </c>
      <c r="B97" s="15">
        <f ca="1">IFERROR(__xludf.DUMMYFUNCTION("""COMPUTED_VALUE"""),2220)</f>
        <v>2220</v>
      </c>
      <c r="C97" s="16" t="str">
        <f ca="1">IFERROR(__xludf.DUMMYFUNCTION("""COMPUTED_VALUE"""),"BOY TRIONO HALOHO")</f>
        <v>BOY TRIONO HALOHO</v>
      </c>
      <c r="D97" s="16" t="str">
        <f ca="1">IFERROR(__xludf.DUMMYFUNCTION("""COMPUTED_VALUE"""),"2035201077")</f>
        <v>2035201077</v>
      </c>
      <c r="E97" s="16" t="str">
        <f ca="1">IFERROR(__xludf.DUMMYFUNCTION("""COMPUTED_VALUE"""),"Departemen Teknik Infrastruktur Sipil")</f>
        <v>Departemen Teknik Infrastruktur Sipil</v>
      </c>
      <c r="F97" s="16" t="str">
        <f ca="1">IFERROR(__xludf.DUMMYFUNCTION("""COMPUTED_VALUE"""),"Analisis Modulus Resilien Campuran Aspal Beton (AC-WC) dengan Penggunaan Limbah Plastik (LDPE) sebagai Bahan Additive ")</f>
        <v xml:space="preserve">Analisis Modulus Resilien Campuran Aspal Beton (AC-WC) dengan Penggunaan Limbah Plastik (LDPE) sebagai Bahan Additive </v>
      </c>
      <c r="G97" s="16" t="str">
        <f ca="1">IFERROR(__xludf.DUMMYFUNCTION("""COMPUTED_VALUE"""),"Amalia Firdaus Mawardi, S.T., M.T.")</f>
        <v>Amalia Firdaus Mawardi, S.T., M.T.</v>
      </c>
      <c r="H97" s="16" t="str">
        <f ca="1">IFERROR(__xludf.DUMMYFUNCTION("""COMPUTED_VALUE"""),"Alief Wikarta, ST., MSc.Eng. Ph.D")</f>
        <v>Alief Wikarta, ST., MSc.Eng. Ph.D</v>
      </c>
      <c r="I97" s="16" t="str">
        <f ca="1">IFERROR(__xludf.DUMMYFUNCTION("""COMPUTED_VALUE"""),"Ir. Arino Anzip, M.Eng.Sc")</f>
        <v>Ir. Arino Anzip, M.Eng.Sc</v>
      </c>
      <c r="J97" s="16"/>
      <c r="K97" s="17" t="s">
        <v>1162</v>
      </c>
      <c r="L97" s="58" t="s">
        <v>1166</v>
      </c>
      <c r="M97" s="19" t="b">
        <v>1</v>
      </c>
      <c r="N97" s="19" t="b">
        <v>0</v>
      </c>
      <c r="O97" s="1" t="s">
        <v>1165</v>
      </c>
      <c r="P97" s="7" t="str">
        <f ca="1">IFERROR(__xludf.DUMMYFUNCTION("iferror(vlookup(B97,importrange(""https://docs.google.com/spreadsheets/d/1boHyJQ4e2FU0QG8MHwEi6qjX4hvZWVCHcFfXjq7bbMc/edit?resourcekey#gid=923248883"",""Prop!$C$1:$M""),11,0),IFERROR(vlookup(B97,importrange(""https://docs.google.com/spreadsheets/d/1boHyJQ"&amp;"4e2FU0QG8MHwEi6qjX4hvZWVCHcFfXjq7bbMc/edit?resourcekey#gid=923248883"",""Prop!$N$1:$X""),11,0),iferror(vlookup(B97,importrange(""https://docs.google.com/spreadsheets/d/1boHyJQ4e2FU0QG8MHwEi6qjX4hvZWVCHcFfXjq7bbMc/edit?resourcekey#gid=923248883"",""Prop!$Y"&amp;"$1:$AI""),11,0),iferror(vlookup(B97,importrange(""https://docs.google.com/spreadsheets/d/1boHyJQ4e2FU0QG8MHwEi6qjX4hvZWVCHcFfXjq7bbMc/edit?resourcekey#gid=923248883"",""Prop!$AJ$1:$AT""),11,0),iferror(vlookup(B97,importrange(""https://docs.google.com/spre"&amp;"adsheets/d/1boHyJQ4e2FU0QG8MHwEi6qjX4hvZWVCHcFfXjq7bbMc/edit?resourcekey#gid=923248883"",""Prop!$AU$1:$BE""),11,0),iferror(vlookup(B97,importrange(""https://docs.google.com/spreadsheets/d/1boHyJQ4e2FU0QG8MHwEi6qjX4hvZWVCHcFfXjq7bbMc/edit?resourcekey#gid=9"&amp;"23248883"",""Prop!$BF$1:$BP""),11,0),iferror(vlookup(B97,importrange(""https://docs.google.com/spreadsheets/d/1boHyJQ4e2FU0QG8MHwEi6qjX4hvZWVCHcFfXjq7bbMc/edit?resourcekey#gid=923248883"",""Prop!$BQ$1:$CA""),11,0),iferror(vlookup(B97,importrange(""https:/"&amp;"/docs.google.com/spreadsheets/d/1boHyJQ4e2FU0QG8MHwEi6qjX4hvZWVCHcFfXjq7bbMc/edit?resourcekey#gid=923248883"",""Prop!$CB$1:$CL""),11,0),iferror(vlookup(B97,importrange(""https://docs.google.com/spreadsheets/d/1boHyJQ4e2FU0QG8MHwEi6qjX4hvZWVCHcFfXjq7bbMc/e"&amp;"dit?resourcekey#gid=923248883"",""Prop!$CM$1:$CX""),12,0),iferror(vlookup(B97,importrange(""https://docs.google.com/spreadsheets/d/1boHyJQ4e2FU0QG8MHwEi6qjX4hvZWVCHcFfXjq7bbMc/edit?resourcekey#gid=923248883"",""Prop!$CV$1:$DI""),11,0)))))))))))"),"https://drive.google.com/open?id=10EMe0XKqdnnwboyW8q8cQVFpVDzxE9aV")</f>
        <v>https://drive.google.com/open?id=10EMe0XKqdnnwboyW8q8cQVFpVDzxE9aV</v>
      </c>
      <c r="Q97" s="7" t="str">
        <f ca="1">IFERROR(__xludf.DUMMYFUNCTION("iferror(vlookup(B97,importrange(""https://docs.google.com/spreadsheets/d/1p53T2AuvvIqhP7Nf-bo3Uhj8cbKYRPpZdsrBv3x3bAQ/edit?resourcekey#gid=1321652304"",""Prop!$C$1:$M""),11,0),IFERROR(vlookup(B97,importrange(""https://docs.google.com/spreadsheets/d/1p53T2"&amp;"AuvvIqhP7Nf-bo3Uhj8cbKYRPpZdsrBv3x3bAQ/edit?resourcekey#gid=1321652304"",""Prop!$N$1:$X""),11,0),iferror(vlookup(B97,importrange(""https://docs.google.com/spreadsheets/d/1p53T2AuvvIqhP7Nf-bo3Uhj8cbKYRPpZdsrBv3x3bAQ/edit?resourcekey#gid=1321652304"",""Prop"&amp;"!$Y$1:$AI""),11,0),iferror(vlookup(B97,importrange(""https://docs.google.com/spreadsheets/d/1p53T2AuvvIqhP7Nf-bo3Uhj8cbKYRPpZdsrBv3x3bAQ/edit?resourcekey#gid=1321652304"",""Prop!$AJ$1:$AT""),11,0),iferror(vlookup(B97,importrange(""https://docs.google.com/"&amp;"spreadsheets/d/1p53T2AuvvIqhP7Nf-bo3Uhj8cbKYRPpZdsrBv3x3bAQ/edit?resourcekey#gid=1321652304"",""Prop!$AU$1:$BE""),11,0),iferror(vlookup(B97,importrange(""https://docs.google.com/spreadsheets/d/1p53T2AuvvIqhP7Nf-bo3Uhj8cbKYRPpZdsrBv3x3bAQ/edit?resourcekey#"&amp;"gid=1321652304"",""Prop!$BF$1:$BP""),11,0),iferror(vlookup(B97,importrange(""https://docs.google.com/spreadsheets/d/1p53T2AuvvIqhP7Nf-bo3Uhj8cbKYRPpZdsrBv3x3bAQ/edit?resourcekey#gid=1321652304"",""Prop!$BQ$1:$CA""),11,0),iferror(vlookup(B97,importrange("""&amp;"https://docs.google.com/spreadsheets/d/1p53T2AuvvIqhP7Nf-bo3Uhj8cbKYRPpZdsrBv3x3bAQ/edit?resourcekey#gid=1321652304"",""Prop!$CB$1:$CL""),11,0),iferror(vlookup(B97,importrange(""https://docs.google.com/spreadsheets/d/1p53T2AuvvIqhP7Nf-bo3Uhj8cbKYRPpZdsrBv"&amp;"3x3bAQ/edit?resourcekey#gid=1321652304"",""Prop!$CM$1:$CX""),11,0),iferror(vlookup(B97,importrange(""https://docs.google.com/spreadsheets/d/1p53T2AuvvIqhP7Nf-bo3Uhj8cbKYRPpZdsrBv3x3bAQ/edit?resourcekey#gid=1321652304"",""Prop!$CY$1:$DI""),11,0)))))))))))"),"https://drive.google.com/open?id=17iWj0MH0moAx4F8lrNFQkz6CCIhQGdpL")</f>
        <v>https://drive.google.com/open?id=17iWj0MH0moAx4F8lrNFQkz6CCIhQGdpL</v>
      </c>
      <c r="R97" s="88" t="s">
        <v>1101</v>
      </c>
      <c r="S97" s="20" t="str">
        <f ca="1">IFERROR(__xludf.DUMMYFUNCTION("IFERROR(vlookup(B97,IMPORTRANGE(""https://docs.google.com/spreadsheets/d/1g_jfYYK_KeipEDNDUgqgrsxK94XiocfNQIcP-v1QVhI/edit?resourcekey#gid=233272945"",""Nilai!B:CT""),57,0),"" "")"),"perbaiki tabel 4.1 sesuai pedoman (lihat pdf)")</f>
        <v>perbaiki tabel 4.1 sesuai pedoman (lihat pdf)</v>
      </c>
      <c r="T97" s="20" t="str">
        <f ca="1">IFERROR(__xludf.DUMMYFUNCTION("IFERROR(vlookup(B97,IMPORTRANGE(""https://docs.google.com/spreadsheets/d/1g_jfYYK_KeipEDNDUgqgrsxK94XiocfNQIcP-v1QVhI/edit?resourcekey#gid=233272945"",""Nilai!B:CT""),97,0),"" "")"),"LAYAK UPLOAD KE SIMBELMAWA DENGAN REVISI")</f>
        <v>LAYAK UPLOAD KE SIMBELMAWA DENGAN REVISI</v>
      </c>
      <c r="U97" s="36" t="s">
        <v>825</v>
      </c>
      <c r="V97" s="85" t="s">
        <v>1102</v>
      </c>
      <c r="W97" s="17" t="s">
        <v>1168</v>
      </c>
      <c r="X97" s="34" t="s">
        <v>949</v>
      </c>
    </row>
    <row r="98" spans="1:24" ht="69">
      <c r="A98" s="15">
        <v>96</v>
      </c>
      <c r="B98" s="15">
        <f ca="1">IFERROR(__xludf.DUMMYFUNCTION("""COMPUTED_VALUE"""),3422)</f>
        <v>3422</v>
      </c>
      <c r="C98" s="16" t="str">
        <f ca="1">IFERROR(__xludf.DUMMYFUNCTION("""COMPUTED_VALUE"""),"MUHAMMAD ARIF BILLAH")</f>
        <v>MUHAMMAD ARIF BILLAH</v>
      </c>
      <c r="D98" s="16" t="str">
        <f ca="1">IFERROR(__xludf.DUMMYFUNCTION("""COMPUTED_VALUE"""),"2036201079")</f>
        <v>2036201079</v>
      </c>
      <c r="E98" s="16" t="str">
        <f ca="1">IFERROR(__xludf.DUMMYFUNCTION("""COMPUTED_VALUE"""),"Departemen Teknik Infrastruktur Sipil")</f>
        <v>Departemen Teknik Infrastruktur Sipil</v>
      </c>
      <c r="F98" s="16" t="str">
        <f ca="1">IFERROR(__xludf.DUMMYFUNCTION("""COMPUTED_VALUE"""),"Optimalisasi Suhu dan Waktu Kalsinasi Abu Ampas Tebu Sebagai Bahan Stabilisasi Tanah Lempung Terhadap Kuat Geser Tanah")</f>
        <v>Optimalisasi Suhu dan Waktu Kalsinasi Abu Ampas Tebu Sebagai Bahan Stabilisasi Tanah Lempung Terhadap Kuat Geser Tanah</v>
      </c>
      <c r="G98" s="16" t="str">
        <f ca="1">IFERROR(__xludf.DUMMYFUNCTION("""COMPUTED_VALUE"""),"Aan Fauzi, S.T., M.T.")</f>
        <v>Aan Fauzi, S.T., M.T.</v>
      </c>
      <c r="H98" s="16" t="str">
        <f ca="1">IFERROR(__xludf.DUMMYFUNCTION("""COMPUTED_VALUE"""),"Vania Mitha Pratiwi, S.T., M.T.")</f>
        <v>Vania Mitha Pratiwi, S.T., M.T.</v>
      </c>
      <c r="I98" s="16" t="str">
        <f ca="1">IFERROR(__xludf.DUMMYFUNCTION("""COMPUTED_VALUE"""),"Hamdan Dwi Rizqi, S.Si., M.Si.")</f>
        <v>Hamdan Dwi Rizqi, S.Si., M.Si.</v>
      </c>
      <c r="J98" s="16"/>
      <c r="K98" s="17" t="s">
        <v>1162</v>
      </c>
      <c r="L98" s="58" t="s">
        <v>1166</v>
      </c>
      <c r="M98" s="19" t="b">
        <v>0</v>
      </c>
      <c r="N98" s="19" t="b">
        <v>0</v>
      </c>
      <c r="O98" s="1" t="s">
        <v>1165</v>
      </c>
      <c r="P98" s="1" t="str">
        <f ca="1">IFERROR(__xludf.DUMMYFUNCTION("iferror(vlookup(B98,importrange(""https://docs.google.com/spreadsheets/d/1boHyJQ4e2FU0QG8MHwEi6qjX4hvZWVCHcFfXjq7bbMc/edit?resourcekey#gid=923248883"",""Prop!$C$1:$M""),11,0),IFERROR(vlookup(B98,importrange(""https://docs.google.com/spreadsheets/d/1boHyJQ"&amp;"4e2FU0QG8MHwEi6qjX4hvZWVCHcFfXjq7bbMc/edit?resourcekey#gid=923248883"",""Prop!$N$1:$X""),11,0),iferror(vlookup(B98,importrange(""https://docs.google.com/spreadsheets/d/1boHyJQ4e2FU0QG8MHwEi6qjX4hvZWVCHcFfXjq7bbMc/edit?resourcekey#gid=923248883"",""Prop!$Y"&amp;"$1:$AI""),11,0),iferror(vlookup(B98,importrange(""https://docs.google.com/spreadsheets/d/1boHyJQ4e2FU0QG8MHwEi6qjX4hvZWVCHcFfXjq7bbMc/edit?resourcekey#gid=923248883"",""Prop!$AJ$1:$AT""),11,0),iferror(vlookup(B98,importrange(""https://docs.google.com/spre"&amp;"adsheets/d/1boHyJQ4e2FU0QG8MHwEi6qjX4hvZWVCHcFfXjq7bbMc/edit?resourcekey#gid=923248883"",""Prop!$AU$1:$BE""),11,0),iferror(vlookup(B98,importrange(""https://docs.google.com/spreadsheets/d/1boHyJQ4e2FU0QG8MHwEi6qjX4hvZWVCHcFfXjq7bbMc/edit?resourcekey#gid=9"&amp;"23248883"",""Prop!$BF$1:$BP""),11,0),iferror(vlookup(B98,importrange(""https://docs.google.com/spreadsheets/d/1boHyJQ4e2FU0QG8MHwEi6qjX4hvZWVCHcFfXjq7bbMc/edit?resourcekey#gid=923248883"",""Prop!$BQ$1:$CA""),11,0),iferror(vlookup(B98,importrange(""https:/"&amp;"/docs.google.com/spreadsheets/d/1boHyJQ4e2FU0QG8MHwEi6qjX4hvZWVCHcFfXjq7bbMc/edit?resourcekey#gid=923248883"",""Prop!$CB$1:$CL""),11,0),iferror(vlookup(B98,importrange(""https://docs.google.com/spreadsheets/d/1boHyJQ4e2FU0QG8MHwEi6qjX4hvZWVCHcFfXjq7bbMc/e"&amp;"dit?resourcekey#gid=923248883"",""Prop!$CM$1:$CX""),12,0),iferror(vlookup(B98,importrange(""https://docs.google.com/spreadsheets/d/1boHyJQ4e2FU0QG8MHwEi6qjX4hvZWVCHcFfXjq7bbMc/edit?resourcekey#gid=923248883"",""Prop!$CV$1:$DI""),11,0)))))))))))"),"")</f>
        <v/>
      </c>
      <c r="Q98" s="7" t="str">
        <f ca="1">IFERROR(__xludf.DUMMYFUNCTION("iferror(vlookup(B98,importrange(""https://docs.google.com/spreadsheets/d/1p53T2AuvvIqhP7Nf-bo3Uhj8cbKYRPpZdsrBv3x3bAQ/edit?resourcekey#gid=1321652304"",""Prop!$C$1:$M""),11,0),IFERROR(vlookup(B98,importrange(""https://docs.google.com/spreadsheets/d/1p53T2"&amp;"AuvvIqhP7Nf-bo3Uhj8cbKYRPpZdsrBv3x3bAQ/edit?resourcekey#gid=1321652304"",""Prop!$N$1:$X""),11,0),iferror(vlookup(B98,importrange(""https://docs.google.com/spreadsheets/d/1p53T2AuvvIqhP7Nf-bo3Uhj8cbKYRPpZdsrBv3x3bAQ/edit?resourcekey#gid=1321652304"",""Prop"&amp;"!$Y$1:$AI""),11,0),iferror(vlookup(B98,importrange(""https://docs.google.com/spreadsheets/d/1p53T2AuvvIqhP7Nf-bo3Uhj8cbKYRPpZdsrBv3x3bAQ/edit?resourcekey#gid=1321652304"",""Prop!$AJ$1:$AT""),11,0),iferror(vlookup(B98,importrange(""https://docs.google.com/"&amp;"spreadsheets/d/1p53T2AuvvIqhP7Nf-bo3Uhj8cbKYRPpZdsrBv3x3bAQ/edit?resourcekey#gid=1321652304"",""Prop!$AU$1:$BE""),11,0),iferror(vlookup(B98,importrange(""https://docs.google.com/spreadsheets/d/1p53T2AuvvIqhP7Nf-bo3Uhj8cbKYRPpZdsrBv3x3bAQ/edit?resourcekey#"&amp;"gid=1321652304"",""Prop!$BF$1:$BP""),11,0),iferror(vlookup(B98,importrange(""https://docs.google.com/spreadsheets/d/1p53T2AuvvIqhP7Nf-bo3Uhj8cbKYRPpZdsrBv3x3bAQ/edit?resourcekey#gid=1321652304"",""Prop!$BQ$1:$CA""),11,0),iferror(vlookup(B98,importrange("""&amp;"https://docs.google.com/spreadsheets/d/1p53T2AuvvIqhP7Nf-bo3Uhj8cbKYRPpZdsrBv3x3bAQ/edit?resourcekey#gid=1321652304"",""Prop!$CB$1:$CL""),11,0),iferror(vlookup(B98,importrange(""https://docs.google.com/spreadsheets/d/1p53T2AuvvIqhP7Nf-bo3Uhj8cbKYRPpZdsrBv"&amp;"3x3bAQ/edit?resourcekey#gid=1321652304"",""Prop!$CM$1:$CX""),11,0),iferror(vlookup(B98,importrange(""https://docs.google.com/spreadsheets/d/1p53T2AuvvIqhP7Nf-bo3Uhj8cbKYRPpZdsrBv3x3bAQ/edit?resourcekey#gid=1321652304"",""Prop!$CY$1:$DI""),11,0)))))))))))"),"https://drive.google.com/open?id=1_H775vZ7P_NvQie02-B2fOzDO-v4Ej8t")</f>
        <v>https://drive.google.com/open?id=1_H775vZ7P_NvQie02-B2fOzDO-v4Ej8t</v>
      </c>
      <c r="R98" s="88" t="s">
        <v>1101</v>
      </c>
      <c r="S98" s="20" t="str">
        <f ca="1">IFERROR(__xludf.DUMMYFUNCTION("IFERROR(vlookup(B98,IMPORTRANGE(""https://docs.google.com/spreadsheets/d/1g_jfYYK_KeipEDNDUgqgrsxK94XiocfNQIcP-v1QVhI/edit?resourcekey#gid=233272945"",""Nilai!B:CT""),57,0),"" "")"),"")</f>
        <v/>
      </c>
      <c r="T98" s="20" t="str">
        <f ca="1">IFERROR(__xludf.DUMMYFUNCTION("IFERROR(vlookup(B98,IMPORTRANGE(""https://docs.google.com/spreadsheets/d/1g_jfYYK_KeipEDNDUgqgrsxK94XiocfNQIcP-v1QVhI/edit?resourcekey#gid=233272945"",""Nilai!B:CT""),97,0),"" "")"),"LAYAK UPLOAD KE SIMBELMAWA DENGAN REVISI")</f>
        <v>LAYAK UPLOAD KE SIMBELMAWA DENGAN REVISI</v>
      </c>
      <c r="U98" s="36" t="s">
        <v>825</v>
      </c>
      <c r="V98" s="85" t="s">
        <v>1102</v>
      </c>
      <c r="W98" s="17" t="s">
        <v>1169</v>
      </c>
      <c r="X98" s="34" t="b">
        <v>0</v>
      </c>
    </row>
    <row r="99" spans="1:24" ht="69">
      <c r="A99" s="15">
        <v>97</v>
      </c>
      <c r="B99" s="15">
        <f ca="1">IFERROR(__xludf.DUMMYFUNCTION("""COMPUTED_VALUE"""),3732)</f>
        <v>3732</v>
      </c>
      <c r="C99" s="16" t="str">
        <f ca="1">IFERROR(__xludf.DUMMYFUNCTION("""COMPUTED_VALUE"""),"DEDEN EKO WIYONO")</f>
        <v>DEDEN EKO WIYONO</v>
      </c>
      <c r="D99" s="16" t="str">
        <f ca="1">IFERROR(__xludf.DUMMYFUNCTION("""COMPUTED_VALUE"""),"10411910000041")</f>
        <v>10411910000041</v>
      </c>
      <c r="E99" s="16" t="str">
        <f ca="1">IFERROR(__xludf.DUMMYFUNCTION("""COMPUTED_VALUE"""),"Departemen Teknik Kimia Industri")</f>
        <v>Departemen Teknik Kimia Industri</v>
      </c>
      <c r="F99" s="16" t="str">
        <f ca="1">IFERROR(__xludf.DUMMYFUNCTION("""COMPUTED_VALUE"""),"Hydrogel Berbasis NIPAM-co-KITOSAN Sebagai Agen Adsorpsi Arsen (Ar) dan Boron (B) Pada Air Limbah Geothermal Power Plant")</f>
        <v>Hydrogel Berbasis NIPAM-co-KITOSAN Sebagai Agen Adsorpsi Arsen (Ar) dan Boron (B) Pada Air Limbah Geothermal Power Plant</v>
      </c>
      <c r="G99" s="16" t="str">
        <f ca="1">IFERROR(__xludf.DUMMYFUNCTION("""COMPUTED_VALUE"""),"Dr. Eng. Eva Oktavia Ningrum, S.T., M.S.")</f>
        <v>Dr. Eng. Eva Oktavia Ningrum, S.T., M.S.</v>
      </c>
      <c r="H99" s="16" t="str">
        <f ca="1">IFERROR(__xludf.DUMMYFUNCTION("""COMPUTED_VALUE"""),"Vania Mitha Pratiwi, S.T., M.T.")</f>
        <v>Vania Mitha Pratiwi, S.T., M.T.</v>
      </c>
      <c r="I99" s="16" t="str">
        <f ca="1">IFERROR(__xludf.DUMMYFUNCTION("""COMPUTED_VALUE"""),"Hamdan Dwi Rizqi, S.Si., M.Si.")</f>
        <v>Hamdan Dwi Rizqi, S.Si., M.Si.</v>
      </c>
      <c r="J99" s="16"/>
      <c r="K99" s="17" t="s">
        <v>1162</v>
      </c>
      <c r="L99" s="58" t="s">
        <v>1166</v>
      </c>
      <c r="M99" s="19" t="b">
        <v>1</v>
      </c>
      <c r="N99" s="19" t="b">
        <v>1</v>
      </c>
      <c r="O99" s="1" t="s">
        <v>1160</v>
      </c>
      <c r="P99" s="7" t="str">
        <f ca="1">IFERROR(__xludf.DUMMYFUNCTION("iferror(vlookup(B99,importrange(""https://docs.google.com/spreadsheets/d/1boHyJQ4e2FU0QG8MHwEi6qjX4hvZWVCHcFfXjq7bbMc/edit?resourcekey#gid=923248883"",""Prop!$C$1:$M""),11,0),IFERROR(vlookup(B99,importrange(""https://docs.google.com/spreadsheets/d/1boHyJQ"&amp;"4e2FU0QG8MHwEi6qjX4hvZWVCHcFfXjq7bbMc/edit?resourcekey#gid=923248883"",""Prop!$N$1:$X""),11,0),iferror(vlookup(B99,importrange(""https://docs.google.com/spreadsheets/d/1boHyJQ4e2FU0QG8MHwEi6qjX4hvZWVCHcFfXjq7bbMc/edit?resourcekey#gid=923248883"",""Prop!$Y"&amp;"$1:$AI""),11,0),iferror(vlookup(B99,importrange(""https://docs.google.com/spreadsheets/d/1boHyJQ4e2FU0QG8MHwEi6qjX4hvZWVCHcFfXjq7bbMc/edit?resourcekey#gid=923248883"",""Prop!$AJ$1:$AT""),11,0),iferror(vlookup(B99,importrange(""https://docs.google.com/spre"&amp;"adsheets/d/1boHyJQ4e2FU0QG8MHwEi6qjX4hvZWVCHcFfXjq7bbMc/edit?resourcekey#gid=923248883"",""Prop!$AU$1:$BE""),11,0),iferror(vlookup(B99,importrange(""https://docs.google.com/spreadsheets/d/1boHyJQ4e2FU0QG8MHwEi6qjX4hvZWVCHcFfXjq7bbMc/edit?resourcekey#gid=9"&amp;"23248883"",""Prop!$BF$1:$BP""),11,0),iferror(vlookup(B99,importrange(""https://docs.google.com/spreadsheets/d/1boHyJQ4e2FU0QG8MHwEi6qjX4hvZWVCHcFfXjq7bbMc/edit?resourcekey#gid=923248883"",""Prop!$BQ$1:$CA""),11,0),iferror(vlookup(B99,importrange(""https:/"&amp;"/docs.google.com/spreadsheets/d/1boHyJQ4e2FU0QG8MHwEi6qjX4hvZWVCHcFfXjq7bbMc/edit?resourcekey#gid=923248883"",""Prop!$CB$1:$CL""),11,0),iferror(vlookup(B99,importrange(""https://docs.google.com/spreadsheets/d/1boHyJQ4e2FU0QG8MHwEi6qjX4hvZWVCHcFfXjq7bbMc/e"&amp;"dit?resourcekey#gid=923248883"",""Prop!$CM$1:$CX""),12,0),iferror(vlookup(B99,importrange(""https://docs.google.com/spreadsheets/d/1boHyJQ4e2FU0QG8MHwEi6qjX4hvZWVCHcFfXjq7bbMc/edit?resourcekey#gid=923248883"",""Prop!$CV$1:$DI""),11,0)))))))))))"),"https://drive.google.com/open?id=1IRcGMxC_ORr8ETNhdpjgpku_Gsms51y7")</f>
        <v>https://drive.google.com/open?id=1IRcGMxC_ORr8ETNhdpjgpku_Gsms51y7</v>
      </c>
      <c r="Q99" s="7" t="str">
        <f ca="1">IFERROR(__xludf.DUMMYFUNCTION("iferror(vlookup(B99,importrange(""https://docs.google.com/spreadsheets/d/1p53T2AuvvIqhP7Nf-bo3Uhj8cbKYRPpZdsrBv3x3bAQ/edit?resourcekey#gid=1321652304"",""Prop!$C$1:$M""),11,0),IFERROR(vlookup(B99,importrange(""https://docs.google.com/spreadsheets/d/1p53T2"&amp;"AuvvIqhP7Nf-bo3Uhj8cbKYRPpZdsrBv3x3bAQ/edit?resourcekey#gid=1321652304"",""Prop!$N$1:$X""),11,0),iferror(vlookup(B99,importrange(""https://docs.google.com/spreadsheets/d/1p53T2AuvvIqhP7Nf-bo3Uhj8cbKYRPpZdsrBv3x3bAQ/edit?resourcekey#gid=1321652304"",""Prop"&amp;"!$Y$1:$AI""),11,0),iferror(vlookup(B99,importrange(""https://docs.google.com/spreadsheets/d/1p53T2AuvvIqhP7Nf-bo3Uhj8cbKYRPpZdsrBv3x3bAQ/edit?resourcekey#gid=1321652304"",""Prop!$AJ$1:$AT""),11,0),iferror(vlookup(B99,importrange(""https://docs.google.com/"&amp;"spreadsheets/d/1p53T2AuvvIqhP7Nf-bo3Uhj8cbKYRPpZdsrBv3x3bAQ/edit?resourcekey#gid=1321652304"",""Prop!$AU$1:$BE""),11,0),iferror(vlookup(B99,importrange(""https://docs.google.com/spreadsheets/d/1p53T2AuvvIqhP7Nf-bo3Uhj8cbKYRPpZdsrBv3x3bAQ/edit?resourcekey#"&amp;"gid=1321652304"",""Prop!$BF$1:$BP""),11,0),iferror(vlookup(B99,importrange(""https://docs.google.com/spreadsheets/d/1p53T2AuvvIqhP7Nf-bo3Uhj8cbKYRPpZdsrBv3x3bAQ/edit?resourcekey#gid=1321652304"",""Prop!$BQ$1:$CA""),11,0),iferror(vlookup(B99,importrange("""&amp;"https://docs.google.com/spreadsheets/d/1p53T2AuvvIqhP7Nf-bo3Uhj8cbKYRPpZdsrBv3x3bAQ/edit?resourcekey#gid=1321652304"",""Prop!$CB$1:$CL""),11,0),iferror(vlookup(B99,importrange(""https://docs.google.com/spreadsheets/d/1p53T2AuvvIqhP7Nf-bo3Uhj8cbKYRPpZdsrBv"&amp;"3x3bAQ/edit?resourcekey#gid=1321652304"",""Prop!$CM$1:$CX""),11,0),iferror(vlookup(B99,importrange(""https://docs.google.com/spreadsheets/d/1p53T2AuvvIqhP7Nf-bo3Uhj8cbKYRPpZdsrBv3x3bAQ/edit?resourcekey#gid=1321652304"",""Prop!$CY$1:$DI""),11,0)))))))))))"),"https://drive.google.com/open?id=1x5J5cpszR7RRoTc1V473XbNDFXyDs5We")</f>
        <v>https://drive.google.com/open?id=1x5J5cpszR7RRoTc1V473XbNDFXyDs5We</v>
      </c>
      <c r="R99" s="88" t="s">
        <v>1101</v>
      </c>
      <c r="S99" s="20" t="str">
        <f ca="1">IFERROR(__xludf.DUMMYFUNCTION("IFERROR(vlookup(B99,IMPORTRANGE(""https://docs.google.com/spreadsheets/d/1g_jfYYK_KeipEDNDUgqgrsxK94XiocfNQIcP-v1QVhI/edit?resourcekey#gid=233272945"",""Nilai!B:CT""),57,0),"" "")"),"revisi metode (melengkapi rujukan)")</f>
        <v>revisi metode (melengkapi rujukan)</v>
      </c>
      <c r="T99" s="20" t="str">
        <f ca="1">IFERROR(__xludf.DUMMYFUNCTION("IFERROR(vlookup(B99,IMPORTRANGE(""https://docs.google.com/spreadsheets/d/1g_jfYYK_KeipEDNDUgqgrsxK94XiocfNQIcP-v1QVhI/edit?resourcekey#gid=233272945"",""Nilai!B:CT""),97,0),"" "")"),"LAYAK UPLOAD KE SIMBELMAWA DENGAN REVISI")</f>
        <v>LAYAK UPLOAD KE SIMBELMAWA DENGAN REVISI</v>
      </c>
      <c r="U99" s="36" t="s">
        <v>825</v>
      </c>
      <c r="V99" s="85" t="s">
        <v>1102</v>
      </c>
      <c r="W99" s="17" t="s">
        <v>1169</v>
      </c>
      <c r="X99" s="34" t="s">
        <v>949</v>
      </c>
    </row>
    <row r="100" spans="1:24" ht="43.2">
      <c r="A100" s="15">
        <v>98</v>
      </c>
      <c r="B100" s="15">
        <f ca="1">IFERROR(__xludf.DUMMYFUNCTION("""COMPUTED_VALUE"""),3733)</f>
        <v>3733</v>
      </c>
      <c r="C100" s="16" t="str">
        <f ca="1">IFERROR(__xludf.DUMMYFUNCTION("""COMPUTED_VALUE"""),"MEDINA RAMADHANI SUMIRAT")</f>
        <v>MEDINA RAMADHANI SUMIRAT</v>
      </c>
      <c r="D100" s="16" t="str">
        <f ca="1">IFERROR(__xludf.DUMMYFUNCTION("""COMPUTED_VALUE"""),"5012201097")</f>
        <v>5012201097</v>
      </c>
      <c r="E100" s="16" t="str">
        <f ca="1">IFERROR(__xludf.DUMMYFUNCTION("""COMPUTED_VALUE"""),"Departemen Teknik Sipil")</f>
        <v>Departemen Teknik Sipil</v>
      </c>
      <c r="F100" s="16" t="str">
        <f ca="1">IFERROR(__xludf.DUMMYFUNCTION("""COMPUTED_VALUE"""),"Penggunaan Serat Bambu sebagai Perkuatan Dinding Batu Bata untuk Rumah Aman Gempa")</f>
        <v>Penggunaan Serat Bambu sebagai Perkuatan Dinding Batu Bata untuk Rumah Aman Gempa</v>
      </c>
      <c r="G100" s="16" t="str">
        <f ca="1">IFERROR(__xludf.DUMMYFUNCTION("""COMPUTED_VALUE"""),"Ahmad Basshofi Habieb, S.T., M.T., Ph.D.")</f>
        <v>Ahmad Basshofi Habieb, S.T., M.T., Ph.D.</v>
      </c>
      <c r="H100" s="16" t="str">
        <f ca="1">IFERROR(__xludf.DUMMYFUNCTION("""COMPUTED_VALUE"""),"Vania Mitha Pratiwi, S.T., M.T.")</f>
        <v>Vania Mitha Pratiwi, S.T., M.T.</v>
      </c>
      <c r="I100" s="16" t="str">
        <f ca="1">IFERROR(__xludf.DUMMYFUNCTION("""COMPUTED_VALUE"""),"Hamdan Dwi Rizqi, S.Si., M.Si.")</f>
        <v>Hamdan Dwi Rizqi, S.Si., M.Si.</v>
      </c>
      <c r="J100" s="16"/>
      <c r="K100" s="17" t="s">
        <v>1162</v>
      </c>
      <c r="L100" s="58" t="s">
        <v>1166</v>
      </c>
      <c r="M100" s="19" t="b">
        <v>0</v>
      </c>
      <c r="N100" s="19" t="b">
        <v>1</v>
      </c>
      <c r="O100" s="1" t="s">
        <v>1160</v>
      </c>
      <c r="P100" s="7" t="str">
        <f ca="1">IFERROR(__xludf.DUMMYFUNCTION("iferror(vlookup(B100,importrange(""https://docs.google.com/spreadsheets/d/1boHyJQ4e2FU0QG8MHwEi6qjX4hvZWVCHcFfXjq7bbMc/edit?resourcekey#gid=923248883"",""Prop!$C$1:$M""),11,0),IFERROR(vlookup(B100,importrange(""https://docs.google.com/spreadsheets/d/1boHy"&amp;"JQ4e2FU0QG8MHwEi6qjX4hvZWVCHcFfXjq7bbMc/edit?resourcekey#gid=923248883"",""Prop!$N$1:$X""),11,0),iferror(vlookup(B100,importrange(""https://docs.google.com/spreadsheets/d/1boHyJQ4e2FU0QG8MHwEi6qjX4hvZWVCHcFfXjq7bbMc/edit?resourcekey#gid=923248883"",""Prop"&amp;"!$Y$1:$AI""),11,0),iferror(vlookup(B100,importrange(""https://docs.google.com/spreadsheets/d/1boHyJQ4e2FU0QG8MHwEi6qjX4hvZWVCHcFfXjq7bbMc/edit?resourcekey#gid=923248883"",""Prop!$AJ$1:$AT""),11,0),iferror(vlookup(B100,importrange(""https://docs.google.com"&amp;"/spreadsheets/d/1boHyJQ4e2FU0QG8MHwEi6qjX4hvZWVCHcFfXjq7bbMc/edit?resourcekey#gid=923248883"",""Prop!$AU$1:$BE""),11,0),iferror(vlookup(B100,importrange(""https://docs.google.com/spreadsheets/d/1boHyJQ4e2FU0QG8MHwEi6qjX4hvZWVCHcFfXjq7bbMc/edit?resourcekey"&amp;"#gid=923248883"",""Prop!$BF$1:$BP""),11,0),iferror(vlookup(B100,importrange(""https://docs.google.com/spreadsheets/d/1boHyJQ4e2FU0QG8MHwEi6qjX4hvZWVCHcFfXjq7bbMc/edit?resourcekey#gid=923248883"",""Prop!$BQ$1:$CA""),11,0),iferror(vlookup(B100,importrange("&amp;"""https://docs.google.com/spreadsheets/d/1boHyJQ4e2FU0QG8MHwEi6qjX4hvZWVCHcFfXjq7bbMc/edit?resourcekey#gid=923248883"",""Prop!$CB$1:$CL""),11,0),iferror(vlookup(B100,importrange(""https://docs.google.com/spreadsheets/d/1boHyJQ4e2FU0QG8MHwEi6qjX4hvZWVCHcFf"&amp;"Xjq7bbMc/edit?resourcekey#gid=923248883"",""Prop!$CM$1:$CX""),12,0),iferror(vlookup(B100,importrange(""https://docs.google.com/spreadsheets/d/1boHyJQ4e2FU0QG8MHwEi6qjX4hvZWVCHcFfXjq7bbMc/edit?resourcekey#gid=923248883"",""Prop!$CV$1:$DI""),11,0)))))))))))"),"https://drive.google.com/open?id=1awIlRAFJBIVSUijgYmOUSFFJunPJPoLa")</f>
        <v>https://drive.google.com/open?id=1awIlRAFJBIVSUijgYmOUSFFJunPJPoLa</v>
      </c>
      <c r="Q100" s="8" t="str">
        <f ca="1">IFERROR(__xludf.DUMMYFUNCTION("iferror(vlookup(B100,importrange(""https://docs.google.com/spreadsheets/d/1p53T2AuvvIqhP7Nf-bo3Uhj8cbKYRPpZdsrBv3x3bAQ/edit?resourcekey#gid=1321652304"",""Prop!$C$1:$M""),11,0),IFERROR(vlookup(B100,importrange(""https://docs.google.com/spreadsheets/d/1p53"&amp;"T2AuvvIqhP7Nf-bo3Uhj8cbKYRPpZdsrBv3x3bAQ/edit?resourcekey#gid=1321652304"",""Prop!$N$1:$X""),11,0),iferror(vlookup(B100,importrange(""https://docs.google.com/spreadsheets/d/1p53T2AuvvIqhP7Nf-bo3Uhj8cbKYRPpZdsrBv3x3bAQ/edit?resourcekey#gid=1321652304"",""P"&amp;"rop!$Y$1:$AI""),11,0),iferror(vlookup(B100,importrange(""https://docs.google.com/spreadsheets/d/1p53T2AuvvIqhP7Nf-bo3Uhj8cbKYRPpZdsrBv3x3bAQ/edit?resourcekey#gid=1321652304"",""Prop!$AJ$1:$AT""),11,0),iferror(vlookup(B100,importrange(""https://docs.google"&amp;".com/spreadsheets/d/1p53T2AuvvIqhP7Nf-bo3Uhj8cbKYRPpZdsrBv3x3bAQ/edit?resourcekey#gid=1321652304"",""Prop!$AU$1:$BE""),11,0),iferror(vlookup(B100,importrange(""https://docs.google.com/spreadsheets/d/1p53T2AuvvIqhP7Nf-bo3Uhj8cbKYRPpZdsrBv3x3bAQ/edit?resour"&amp;"cekey#gid=1321652304"",""Prop!$BF$1:$BP""),11,0),iferror(vlookup(B100,importrange(""https://docs.google.com/spreadsheets/d/1p53T2AuvvIqhP7Nf-bo3Uhj8cbKYRPpZdsrBv3x3bAQ/edit?resourcekey#gid=1321652304"",""Prop!$BQ$1:$CA""),11,0),iferror(vlookup(B100,import"&amp;"range(""https://docs.google.com/spreadsheets/d/1p53T2AuvvIqhP7Nf-bo3Uhj8cbKYRPpZdsrBv3x3bAQ/edit?resourcekey#gid=1321652304"",""Prop!$CB$1:$CL""),11,0),iferror(vlookup(B100,importrange(""https://docs.google.com/spreadsheets/d/1p53T2AuvvIqhP7Nf-bo3Uhj8cbKY"&amp;"RPpZdsrBv3x3bAQ/edit?resourcekey#gid=1321652304"",""Prop!$CM$1:$CX""),11,0),iferror(vlookup(B100,importrange(""https://docs.google.com/spreadsheets/d/1p53T2AuvvIqhP7Nf-bo3Uhj8cbKYRPpZdsrBv3x3bAQ/edit?resourcekey#gid=1321652304"",""Prop!$CY$1:$DI""),11,0))"&amp;")))))))))"),"")</f>
        <v/>
      </c>
      <c r="R100" s="88" t="s">
        <v>1101</v>
      </c>
      <c r="S100" s="20" t="str">
        <f ca="1">IFERROR(__xludf.DUMMYFUNCTION("IFERROR(vlookup(B100,IMPORTRANGE(""https://docs.google.com/spreadsheets/d/1g_jfYYK_KeipEDNDUgqgrsxK94XiocfNQIcP-v1QVhI/edit?resourcekey#gid=233272945"",""Nilai!B:CT""),57,0),"" "")"),"")</f>
        <v/>
      </c>
      <c r="T100" s="20" t="str">
        <f ca="1">IFERROR(__xludf.DUMMYFUNCTION("IFERROR(vlookup(B100,IMPORTRANGE(""https://docs.google.com/spreadsheets/d/1g_jfYYK_KeipEDNDUgqgrsxK94XiocfNQIcP-v1QVhI/edit?resourcekey#gid=233272945"",""Nilai!B:CT""),97,0),"" "")")," ")</f>
        <v xml:space="preserve"> </v>
      </c>
      <c r="U100" s="36" t="s">
        <v>825</v>
      </c>
      <c r="V100" s="85" t="s">
        <v>1102</v>
      </c>
      <c r="W100" s="17" t="s">
        <v>1169</v>
      </c>
      <c r="X100" s="34" t="s">
        <v>949</v>
      </c>
    </row>
    <row r="101" spans="1:24" ht="57.6">
      <c r="A101" s="59">
        <v>99</v>
      </c>
      <c r="B101" s="59">
        <f ca="1">IFERROR(__xludf.DUMMYFUNCTION("""COMPUTED_VALUE"""),2173)</f>
        <v>2173</v>
      </c>
      <c r="C101" s="60" t="str">
        <f ca="1">IFERROR(__xludf.DUMMYFUNCTION("""COMPUTED_VALUE"""),"Aminy Widinal Hartiningrum")</f>
        <v>Aminy Widinal Hartiningrum</v>
      </c>
      <c r="D101" s="60" t="str">
        <f ca="1">IFERROR(__xludf.DUMMYFUNCTION("""COMPUTED_VALUE"""),"07311840000002")</f>
        <v>07311840000002</v>
      </c>
      <c r="E101" s="60" t="str">
        <f ca="1">IFERROR(__xludf.DUMMYFUNCTION("""COMPUTED_VALUE"""),"Departemen Teknik Biomedik")</f>
        <v>Departemen Teknik Biomedik</v>
      </c>
      <c r="F101" s="60" t="str">
        <f ca="1">IFERROR(__xludf.DUMMYFUNCTION("""COMPUTED_VALUE"""),"Studi Perancangan Welfare Untuk Optimasi Keseimbangan Wanita Hamil Berbasis Sistem Deteksi Center of Pressure dan Kinematika Ekstremitas Bawah")</f>
        <v>Studi Perancangan Welfare Untuk Optimasi Keseimbangan Wanita Hamil Berbasis Sistem Deteksi Center of Pressure dan Kinematika Ekstremitas Bawah</v>
      </c>
      <c r="G101" s="60" t="str">
        <f ca="1">IFERROR(__xludf.DUMMYFUNCTION("""COMPUTED_VALUE"""),"Eko Agus Suprayitno, S.Si., M.T.")</f>
        <v>Eko Agus Suprayitno, S.Si., M.T.</v>
      </c>
      <c r="H101" s="60" t="str">
        <f ca="1">IFERROR(__xludf.DUMMYFUNCTION("""COMPUTED_VALUE"""),"Alief Wikarta, ST., MSc.Eng. Ph.D")</f>
        <v>Alief Wikarta, ST., MSc.Eng. Ph.D</v>
      </c>
      <c r="I101" s="60" t="str">
        <f ca="1">IFERROR(__xludf.DUMMYFUNCTION("""COMPUTED_VALUE"""),"Ir. Arino Anzip, M.Eng.Sc")</f>
        <v>Ir. Arino Anzip, M.Eng.Sc</v>
      </c>
      <c r="J101" s="60"/>
      <c r="K101" s="61" t="s">
        <v>1162</v>
      </c>
      <c r="L101" s="62" t="s">
        <v>1170</v>
      </c>
      <c r="M101" s="63" t="b">
        <v>1</v>
      </c>
      <c r="N101" s="63" t="b">
        <v>0</v>
      </c>
      <c r="O101" s="24" t="s">
        <v>1122</v>
      </c>
      <c r="P101" s="89" t="str">
        <f ca="1">IFERROR(__xludf.DUMMYFUNCTION("iferror(vlookup(B101,importrange(""https://docs.google.com/spreadsheets/d/1boHyJQ4e2FU0QG8MHwEi6qjX4hvZWVCHcFfXjq7bbMc/edit?resourcekey#gid=923248883"",""Prop!$C$1:$M""),11,0),IFERROR(vlookup(B101,importrange(""https://docs.google.com/spreadsheets/d/1boHy"&amp;"JQ4e2FU0QG8MHwEi6qjX4hvZWVCHcFfXjq7bbMc/edit?resourcekey#gid=923248883"",""Prop!$N$1:$X""),11,0),iferror(vlookup(B101,importrange(""https://docs.google.com/spreadsheets/d/1boHyJQ4e2FU0QG8MHwEi6qjX4hvZWVCHcFfXjq7bbMc/edit?resourcekey#gid=923248883"",""Prop"&amp;"!$Y$1:$AI""),11,0),iferror(vlookup(B101,importrange(""https://docs.google.com/spreadsheets/d/1boHyJQ4e2FU0QG8MHwEi6qjX4hvZWVCHcFfXjq7bbMc/edit?resourcekey#gid=923248883"",""Prop!$AJ$1:$AT""),11,0),iferror(vlookup(B101,importrange(""https://docs.google.com"&amp;"/spreadsheets/d/1boHyJQ4e2FU0QG8MHwEi6qjX4hvZWVCHcFfXjq7bbMc/edit?resourcekey#gid=923248883"",""Prop!$AU$1:$BE""),11,0),iferror(vlookup(B101,importrange(""https://docs.google.com/spreadsheets/d/1boHyJQ4e2FU0QG8MHwEi6qjX4hvZWVCHcFfXjq7bbMc/edit?resourcekey"&amp;"#gid=923248883"",""Prop!$BF$1:$BP""),11,0),iferror(vlookup(B101,importrange(""https://docs.google.com/spreadsheets/d/1boHyJQ4e2FU0QG8MHwEi6qjX4hvZWVCHcFfXjq7bbMc/edit?resourcekey#gid=923248883"",""Prop!$BQ$1:$CA""),11,0),iferror(vlookup(B101,importrange("&amp;"""https://docs.google.com/spreadsheets/d/1boHyJQ4e2FU0QG8MHwEi6qjX4hvZWVCHcFfXjq7bbMc/edit?resourcekey#gid=923248883"",""Prop!$CB$1:$CL""),11,0),iferror(vlookup(B101,importrange(""https://docs.google.com/spreadsheets/d/1boHyJQ4e2FU0QG8MHwEi6qjX4hvZWVCHcFf"&amp;"Xjq7bbMc/edit?resourcekey#gid=923248883"",""Prop!$CM$1:$CX""),12,0),iferror(vlookup(B101,importrange(""https://docs.google.com/spreadsheets/d/1boHyJQ4e2FU0QG8MHwEi6qjX4hvZWVCHcFfXjq7bbMc/edit?resourcekey#gid=923248883"",""Prop!$CV$1:$DI""),11,0)))))))))))"),"https://drive.google.com/open?id=1EDwtjOw92h9Gp44n73jlHvL4J4J-1VbE")</f>
        <v>https://drive.google.com/open?id=1EDwtjOw92h9Gp44n73jlHvL4J4J-1VbE</v>
      </c>
      <c r="Q101" s="89" t="str">
        <f ca="1">IFERROR(__xludf.DUMMYFUNCTION("iferror(vlookup(B101,importrange(""https://docs.google.com/spreadsheets/d/1p53T2AuvvIqhP7Nf-bo3Uhj8cbKYRPpZdsrBv3x3bAQ/edit?resourcekey#gid=1321652304"",""Prop!$C$1:$M""),11,0),IFERROR(vlookup(B101,importrange(""https://docs.google.com/spreadsheets/d/1p53"&amp;"T2AuvvIqhP7Nf-bo3Uhj8cbKYRPpZdsrBv3x3bAQ/edit?resourcekey#gid=1321652304"",""Prop!$N$1:$X""),11,0),iferror(vlookup(B101,importrange(""https://docs.google.com/spreadsheets/d/1p53T2AuvvIqhP7Nf-bo3Uhj8cbKYRPpZdsrBv3x3bAQ/edit?resourcekey#gid=1321652304"",""P"&amp;"rop!$Y$1:$AI""),11,0),iferror(vlookup(B101,importrange(""https://docs.google.com/spreadsheets/d/1p53T2AuvvIqhP7Nf-bo3Uhj8cbKYRPpZdsrBv3x3bAQ/edit?resourcekey#gid=1321652304"",""Prop!$AJ$1:$AT""),11,0),iferror(vlookup(B101,importrange(""https://docs.google"&amp;".com/spreadsheets/d/1p53T2AuvvIqhP7Nf-bo3Uhj8cbKYRPpZdsrBv3x3bAQ/edit?resourcekey#gid=1321652304"",""Prop!$AU$1:$BE""),11,0),iferror(vlookup(B101,importrange(""https://docs.google.com/spreadsheets/d/1p53T2AuvvIqhP7Nf-bo3Uhj8cbKYRPpZdsrBv3x3bAQ/edit?resour"&amp;"cekey#gid=1321652304"",""Prop!$BF$1:$BP""),11,0),iferror(vlookup(B101,importrange(""https://docs.google.com/spreadsheets/d/1p53T2AuvvIqhP7Nf-bo3Uhj8cbKYRPpZdsrBv3x3bAQ/edit?resourcekey#gid=1321652304"",""Prop!$BQ$1:$CA""),11,0),iferror(vlookup(B101,import"&amp;"range(""https://docs.google.com/spreadsheets/d/1p53T2AuvvIqhP7Nf-bo3Uhj8cbKYRPpZdsrBv3x3bAQ/edit?resourcekey#gid=1321652304"",""Prop!$CB$1:$CL""),11,0),iferror(vlookup(B101,importrange(""https://docs.google.com/spreadsheets/d/1p53T2AuvvIqhP7Nf-bo3Uhj8cbKY"&amp;"RPpZdsrBv3x3bAQ/edit?resourcekey#gid=1321652304"",""Prop!$CM$1:$CX""),11,0),iferror(vlookup(B101,importrange(""https://docs.google.com/spreadsheets/d/1p53T2AuvvIqhP7Nf-bo3Uhj8cbKYRPpZdsrBv3x3bAQ/edit?resourcekey#gid=1321652304"",""Prop!$CY$1:$DI""),11,0))"&amp;")))))))))"),"https://drive.google.com/open?id=1XlLionxoQk8A-cMkDRFz-xy4_p7_tyoZ")</f>
        <v>https://drive.google.com/open?id=1XlLionxoQk8A-cMkDRFz-xy4_p7_tyoZ</v>
      </c>
      <c r="R101" s="88" t="s">
        <v>1101</v>
      </c>
      <c r="S101" s="20" t="str">
        <f ca="1">IFERROR(__xludf.DUMMYFUNCTION("IFERROR(vlookup(B101,IMPORTRANGE(""https://docs.google.com/spreadsheets/d/1g_jfYYK_KeipEDNDUgqgrsxK94XiocfNQIcP-v1QVhI/edit?resourcekey#gid=233272945"",""Nilai!B:CT""),57,0),"" "")"),"Metode analisis setelah data didapatkan belum ada, hanya fokus pembuatan sensor dan pengambilan data
")</f>
        <v xml:space="preserve">Metode analisis setelah data didapatkan belum ada, hanya fokus pembuatan sensor dan pengambilan data
</v>
      </c>
      <c r="T101" s="20" t="str">
        <f ca="1">IFERROR(__xludf.DUMMYFUNCTION("IFERROR(vlookup(B101,IMPORTRANGE(""https://docs.google.com/spreadsheets/d/1g_jfYYK_KeipEDNDUgqgrsxK94XiocfNQIcP-v1QVhI/edit?resourcekey#gid=233272945"",""Nilai!B:CT""),97,0),"" "")"),"TIDAK LAYAK UPLOAD KE SIMBELMAWA")</f>
        <v>TIDAK LAYAK UPLOAD KE SIMBELMAWA</v>
      </c>
      <c r="U101" s="90" t="s">
        <v>825</v>
      </c>
      <c r="V101" s="91" t="s">
        <v>1102</v>
      </c>
      <c r="W101" s="62" t="s">
        <v>1171</v>
      </c>
      <c r="X101" s="64" t="b">
        <v>0</v>
      </c>
    </row>
    <row r="102" spans="1:24" ht="69">
      <c r="A102" s="15">
        <v>100</v>
      </c>
      <c r="B102" s="15">
        <f ca="1">IFERROR(__xludf.DUMMYFUNCTION("""COMPUTED_VALUE"""),3049)</f>
        <v>3049</v>
      </c>
      <c r="C102" s="16" t="str">
        <f ca="1">IFERROR(__xludf.DUMMYFUNCTION("""COMPUTED_VALUE"""),"Sultan Achmad Hidayatulloh")</f>
        <v>Sultan Achmad Hidayatulloh</v>
      </c>
      <c r="D102" s="16" t="str">
        <f ca="1">IFERROR(__xludf.DUMMYFUNCTION("""COMPUTED_VALUE"""),"02111940000021")</f>
        <v>02111940000021</v>
      </c>
      <c r="E102" s="16" t="str">
        <f ca="1">IFERROR(__xludf.DUMMYFUNCTION("""COMPUTED_VALUE"""),"Departemen Teknik Mesin")</f>
        <v>Departemen Teknik Mesin</v>
      </c>
      <c r="F102" s="16" t="str">
        <f ca="1">IFERROR(__xludf.DUMMYFUNCTION("""COMPUTED_VALUE"""),"Perancangan Gravitational Vortex Turbine untuk Memanfaatkan Energy Losses Aliran Outlet Canal PLTU dan Menurunkan Temperatur Limbah Air Pesisir Pantai")</f>
        <v>Perancangan Gravitational Vortex Turbine untuk Memanfaatkan Energy Losses Aliran Outlet Canal PLTU dan Menurunkan Temperatur Limbah Air Pesisir Pantai</v>
      </c>
      <c r="G102" s="16" t="str">
        <f ca="1">IFERROR(__xludf.DUMMYFUNCTION("""COMPUTED_VALUE"""),"Prof. Dr. Ir. Prabowo, M.Eng.")</f>
        <v>Prof. Dr. Ir. Prabowo, M.Eng.</v>
      </c>
      <c r="H102" s="16" t="str">
        <f ca="1">IFERROR(__xludf.DUMMYFUNCTION("""COMPUTED_VALUE"""),"Dr.-Ing. Doty Dewi Risanti, S.T., M.T.")</f>
        <v>Dr.-Ing. Doty Dewi Risanti, S.T., M.T.</v>
      </c>
      <c r="I102" s="16" t="str">
        <f ca="1">IFERROR(__xludf.DUMMYFUNCTION("""COMPUTED_VALUE"""),"Dra. Ratna Ediati, MS., Ph.D.")</f>
        <v>Dra. Ratna Ediati, MS., Ph.D.</v>
      </c>
      <c r="J102" s="16"/>
      <c r="K102" s="17" t="s">
        <v>1162</v>
      </c>
      <c r="L102" s="58" t="s">
        <v>1170</v>
      </c>
      <c r="M102" s="19" t="b">
        <v>0</v>
      </c>
      <c r="N102" s="19" t="b">
        <v>0</v>
      </c>
      <c r="O102" s="1" t="s">
        <v>1122</v>
      </c>
      <c r="P102" s="7" t="str">
        <f ca="1">IFERROR(__xludf.DUMMYFUNCTION("iferror(vlookup(B102,importrange(""https://docs.google.com/spreadsheets/d/1boHyJQ4e2FU0QG8MHwEi6qjX4hvZWVCHcFfXjq7bbMc/edit?resourcekey#gid=923248883"",""Prop!$C$1:$M""),11,0),IFERROR(vlookup(B102,importrange(""https://docs.google.com/spreadsheets/d/1boHy"&amp;"JQ4e2FU0QG8MHwEi6qjX4hvZWVCHcFfXjq7bbMc/edit?resourcekey#gid=923248883"",""Prop!$N$1:$X""),11,0),iferror(vlookup(B102,importrange(""https://docs.google.com/spreadsheets/d/1boHyJQ4e2FU0QG8MHwEi6qjX4hvZWVCHcFfXjq7bbMc/edit?resourcekey#gid=923248883"",""Prop"&amp;"!$Y$1:$AI""),11,0),iferror(vlookup(B102,importrange(""https://docs.google.com/spreadsheets/d/1boHyJQ4e2FU0QG8MHwEi6qjX4hvZWVCHcFfXjq7bbMc/edit?resourcekey#gid=923248883"",""Prop!$AJ$1:$AT""),11,0),iferror(vlookup(B102,importrange(""https://docs.google.com"&amp;"/spreadsheets/d/1boHyJQ4e2FU0QG8MHwEi6qjX4hvZWVCHcFfXjq7bbMc/edit?resourcekey#gid=923248883"",""Prop!$AU$1:$BE""),11,0),iferror(vlookup(B102,importrange(""https://docs.google.com/spreadsheets/d/1boHyJQ4e2FU0QG8MHwEi6qjX4hvZWVCHcFfXjq7bbMc/edit?resourcekey"&amp;"#gid=923248883"",""Prop!$BF$1:$BP""),11,0),iferror(vlookup(B102,importrange(""https://docs.google.com/spreadsheets/d/1boHyJQ4e2FU0QG8MHwEi6qjX4hvZWVCHcFfXjq7bbMc/edit?resourcekey#gid=923248883"",""Prop!$BQ$1:$CA""),11,0),iferror(vlookup(B102,importrange("&amp;"""https://docs.google.com/spreadsheets/d/1boHyJQ4e2FU0QG8MHwEi6qjX4hvZWVCHcFfXjq7bbMc/edit?resourcekey#gid=923248883"",""Prop!$CB$1:$CL""),11,0),iferror(vlookup(B102,importrange(""https://docs.google.com/spreadsheets/d/1boHyJQ4e2FU0QG8MHwEi6qjX4hvZWVCHcFf"&amp;"Xjq7bbMc/edit?resourcekey#gid=923248883"",""Prop!$CM$1:$CX""),12,0),iferror(vlookup(B102,importrange(""https://docs.google.com/spreadsheets/d/1boHyJQ4e2FU0QG8MHwEi6qjX4hvZWVCHcFfXjq7bbMc/edit?resourcekey#gid=923248883"",""Prop!$CV$1:$DI""),11,0)))))))))))"),"https://drive.google.com/open?id=11AorHwhzJ_B21H55qsPc0jpB_NAO5F3S")</f>
        <v>https://drive.google.com/open?id=11AorHwhzJ_B21H55qsPc0jpB_NAO5F3S</v>
      </c>
      <c r="Q102" s="7" t="str">
        <f ca="1">IFERROR(__xludf.DUMMYFUNCTION("iferror(vlookup(B102,importrange(""https://docs.google.com/spreadsheets/d/1p53T2AuvvIqhP7Nf-bo3Uhj8cbKYRPpZdsrBv3x3bAQ/edit?resourcekey#gid=1321652304"",""Prop!$C$1:$M""),11,0),IFERROR(vlookup(B102,importrange(""https://docs.google.com/spreadsheets/d/1p53"&amp;"T2AuvvIqhP7Nf-bo3Uhj8cbKYRPpZdsrBv3x3bAQ/edit?resourcekey#gid=1321652304"",""Prop!$N$1:$X""),11,0),iferror(vlookup(B102,importrange(""https://docs.google.com/spreadsheets/d/1p53T2AuvvIqhP7Nf-bo3Uhj8cbKYRPpZdsrBv3x3bAQ/edit?resourcekey#gid=1321652304"",""P"&amp;"rop!$Y$1:$AI""),11,0),iferror(vlookup(B102,importrange(""https://docs.google.com/spreadsheets/d/1p53T2AuvvIqhP7Nf-bo3Uhj8cbKYRPpZdsrBv3x3bAQ/edit?resourcekey#gid=1321652304"",""Prop!$AJ$1:$AT""),11,0),iferror(vlookup(B102,importrange(""https://docs.google"&amp;".com/spreadsheets/d/1p53T2AuvvIqhP7Nf-bo3Uhj8cbKYRPpZdsrBv3x3bAQ/edit?resourcekey#gid=1321652304"",""Prop!$AU$1:$BE""),11,0),iferror(vlookup(B102,importrange(""https://docs.google.com/spreadsheets/d/1p53T2AuvvIqhP7Nf-bo3Uhj8cbKYRPpZdsrBv3x3bAQ/edit?resour"&amp;"cekey#gid=1321652304"",""Prop!$BF$1:$BP""),11,0),iferror(vlookup(B102,importrange(""https://docs.google.com/spreadsheets/d/1p53T2AuvvIqhP7Nf-bo3Uhj8cbKYRPpZdsrBv3x3bAQ/edit?resourcekey#gid=1321652304"",""Prop!$BQ$1:$CA""),11,0),iferror(vlookup(B102,import"&amp;"range(""https://docs.google.com/spreadsheets/d/1p53T2AuvvIqhP7Nf-bo3Uhj8cbKYRPpZdsrBv3x3bAQ/edit?resourcekey#gid=1321652304"",""Prop!$CB$1:$CL""),11,0),iferror(vlookup(B102,importrange(""https://docs.google.com/spreadsheets/d/1p53T2AuvvIqhP7Nf-bo3Uhj8cbKY"&amp;"RPpZdsrBv3x3bAQ/edit?resourcekey#gid=1321652304"",""Prop!$CM$1:$CX""),11,0),iferror(vlookup(B102,importrange(""https://docs.google.com/spreadsheets/d/1p53T2AuvvIqhP7Nf-bo3Uhj8cbKYRPpZdsrBv3x3bAQ/edit?resourcekey#gid=1321652304"",""Prop!$CY$1:$DI""),11,0))"&amp;")))))))))"),"https://drive.google.com/open?id=1CoOgVkSO5hf4j-muaiKcULGO4NyEvzpw")</f>
        <v>https://drive.google.com/open?id=1CoOgVkSO5hf4j-muaiKcULGO4NyEvzpw</v>
      </c>
      <c r="R102" s="88" t="s">
        <v>1101</v>
      </c>
      <c r="S102" s="20" t="str">
        <f ca="1">IFERROR(__xludf.DUMMYFUNCTION("IFERROR(vlookup(B102,IMPORTRANGE(""https://docs.google.com/spreadsheets/d/1g_jfYYK_KeipEDNDUgqgrsxK94XiocfNQIcP-v1QVhI/edit?resourcekey#gid=233272945"",""Nilai!B:CT""),57,0),"" "")"),"kreativitas kurang, tinjauan pustaka masih berupa definisi, full simulasi tidak menunjukkan metodologi yang jelas selain prosedur running program")</f>
        <v>kreativitas kurang, tinjauan pustaka masih berupa definisi, full simulasi tidak menunjukkan metodologi yang jelas selain prosedur running program</v>
      </c>
      <c r="T102" s="20" t="str">
        <f ca="1">IFERROR(__xludf.DUMMYFUNCTION("IFERROR(vlookup(B102,IMPORTRANGE(""https://docs.google.com/spreadsheets/d/1g_jfYYK_KeipEDNDUgqgrsxK94XiocfNQIcP-v1QVhI/edit?resourcekey#gid=233272945"",""Nilai!B:CT""),97,0),"" "")"),"LAYAK UPLOAD KE SIMBELMAWA DENGAN REVISI")</f>
        <v>LAYAK UPLOAD KE SIMBELMAWA DENGAN REVISI</v>
      </c>
      <c r="U102" s="36" t="s">
        <v>825</v>
      </c>
      <c r="V102" s="85" t="s">
        <v>1102</v>
      </c>
      <c r="W102" s="58" t="s">
        <v>1171</v>
      </c>
      <c r="X102" s="34" t="s">
        <v>949</v>
      </c>
    </row>
    <row r="103" spans="1:24" ht="43.2">
      <c r="A103" s="15">
        <v>101</v>
      </c>
      <c r="B103" s="15">
        <f ca="1">IFERROR(__xludf.DUMMYFUNCTION("""COMPUTED_VALUE"""),2355)</f>
        <v>2355</v>
      </c>
      <c r="C103" s="16" t="str">
        <f ca="1">IFERROR(__xludf.DUMMYFUNCTION("""COMPUTED_VALUE"""),"DZAKY MUHAMMAD")</f>
        <v>DZAKY MUHAMMAD</v>
      </c>
      <c r="D103" s="16" t="str">
        <f ca="1">IFERROR(__xludf.DUMMYFUNCTION("""COMPUTED_VALUE"""),"5002201170")</f>
        <v>5002201170</v>
      </c>
      <c r="E103" s="16" t="str">
        <f ca="1">IFERROR(__xludf.DUMMYFUNCTION("""COMPUTED_VALUE"""),"Departemen Matematika")</f>
        <v>Departemen Matematika</v>
      </c>
      <c r="F103" s="16" t="str">
        <f ca="1">IFERROR(__xludf.DUMMYFUNCTION("""COMPUTED_VALUE"""),"PREDIKSI INVESTASI NFT METAVERSE DENGAN MENGGUNAKAN METODE TIME SERIES")</f>
        <v>PREDIKSI INVESTASI NFT METAVERSE DENGAN MENGGUNAKAN METODE TIME SERIES</v>
      </c>
      <c r="G103" s="16" t="str">
        <f ca="1">IFERROR(__xludf.DUMMYFUNCTION("""COMPUTED_VALUE"""),"Amirul Hakam, S.Si., M.Si.")</f>
        <v>Amirul Hakam, S.Si., M.Si.</v>
      </c>
      <c r="H103" s="16" t="str">
        <f ca="1">IFERROR(__xludf.DUMMYFUNCTION("""COMPUTED_VALUE"""),"Dr. Awik Puji Dyah Nurhayati, S.Si., M.Si.")</f>
        <v>Dr. Awik Puji Dyah Nurhayati, S.Si., M.Si.</v>
      </c>
      <c r="I103" s="16" t="str">
        <f ca="1">IFERROR(__xludf.DUMMYFUNCTION("""COMPUTED_VALUE"""),"Hamdan Dwi Rizqi, S.Si., M.Si.")</f>
        <v>Hamdan Dwi Rizqi, S.Si., M.Si.</v>
      </c>
      <c r="J103" s="16"/>
      <c r="K103" s="17" t="s">
        <v>1172</v>
      </c>
      <c r="L103" s="58" t="s">
        <v>1170</v>
      </c>
      <c r="M103" s="19" t="b">
        <v>1</v>
      </c>
      <c r="N103" s="19" t="b">
        <v>0</v>
      </c>
      <c r="O103" s="1" t="s">
        <v>1122</v>
      </c>
      <c r="P103" s="7" t="str">
        <f ca="1">IFERROR(__xludf.DUMMYFUNCTION("iferror(vlookup(B103,importrange(""https://docs.google.com/spreadsheets/d/1boHyJQ4e2FU0QG8MHwEi6qjX4hvZWVCHcFfXjq7bbMc/edit?resourcekey#gid=923248883"",""Prop!$C$1:$M""),11,0),IFERROR(vlookup(B103,importrange(""https://docs.google.com/spreadsheets/d/1boHy"&amp;"JQ4e2FU0QG8MHwEi6qjX4hvZWVCHcFfXjq7bbMc/edit?resourcekey#gid=923248883"",""Prop!$N$1:$X""),11,0),iferror(vlookup(B103,importrange(""https://docs.google.com/spreadsheets/d/1boHyJQ4e2FU0QG8MHwEi6qjX4hvZWVCHcFfXjq7bbMc/edit?resourcekey#gid=923248883"",""Prop"&amp;"!$Y$1:$AI""),11,0),iferror(vlookup(B103,importrange(""https://docs.google.com/spreadsheets/d/1boHyJQ4e2FU0QG8MHwEi6qjX4hvZWVCHcFfXjq7bbMc/edit?resourcekey#gid=923248883"",""Prop!$AJ$1:$AT""),11,0),iferror(vlookup(B103,importrange(""https://docs.google.com"&amp;"/spreadsheets/d/1boHyJQ4e2FU0QG8MHwEi6qjX4hvZWVCHcFfXjq7bbMc/edit?resourcekey#gid=923248883"",""Prop!$AU$1:$BE""),11,0),iferror(vlookup(B103,importrange(""https://docs.google.com/spreadsheets/d/1boHyJQ4e2FU0QG8MHwEi6qjX4hvZWVCHcFfXjq7bbMc/edit?resourcekey"&amp;"#gid=923248883"",""Prop!$BF$1:$BP""),11,0),iferror(vlookup(B103,importrange(""https://docs.google.com/spreadsheets/d/1boHyJQ4e2FU0QG8MHwEi6qjX4hvZWVCHcFfXjq7bbMc/edit?resourcekey#gid=923248883"",""Prop!$BQ$1:$CA""),11,0),iferror(vlookup(B103,importrange("&amp;"""https://docs.google.com/spreadsheets/d/1boHyJQ4e2FU0QG8MHwEi6qjX4hvZWVCHcFfXjq7bbMc/edit?resourcekey#gid=923248883"",""Prop!$CB$1:$CL""),11,0),iferror(vlookup(B103,importrange(""https://docs.google.com/spreadsheets/d/1boHyJQ4e2FU0QG8MHwEi6qjX4hvZWVCHcFf"&amp;"Xjq7bbMc/edit?resourcekey#gid=923248883"",""Prop!$CM$1:$CX""),12,0),iferror(vlookup(B103,importrange(""https://docs.google.com/spreadsheets/d/1boHyJQ4e2FU0QG8MHwEi6qjX4hvZWVCHcFfXjq7bbMc/edit?resourcekey#gid=923248883"",""Prop!$CV$1:$DI""),11,0)))))))))))"),"https://drive.google.com/open?id=15L3YT262T6BHg8Y1XmRJCzOdFcl-G2QI")</f>
        <v>https://drive.google.com/open?id=15L3YT262T6BHg8Y1XmRJCzOdFcl-G2QI</v>
      </c>
      <c r="Q103" s="7" t="str">
        <f ca="1">IFERROR(__xludf.DUMMYFUNCTION("iferror(vlookup(B103,importrange(""https://docs.google.com/spreadsheets/d/1p53T2AuvvIqhP7Nf-bo3Uhj8cbKYRPpZdsrBv3x3bAQ/edit?resourcekey#gid=1321652304"",""Prop!$C$1:$M""),11,0),IFERROR(vlookup(B103,importrange(""https://docs.google.com/spreadsheets/d/1p53"&amp;"T2AuvvIqhP7Nf-bo3Uhj8cbKYRPpZdsrBv3x3bAQ/edit?resourcekey#gid=1321652304"",""Prop!$N$1:$X""),11,0),iferror(vlookup(B103,importrange(""https://docs.google.com/spreadsheets/d/1p53T2AuvvIqhP7Nf-bo3Uhj8cbKYRPpZdsrBv3x3bAQ/edit?resourcekey#gid=1321652304"",""P"&amp;"rop!$Y$1:$AI""),11,0),iferror(vlookup(B103,importrange(""https://docs.google.com/spreadsheets/d/1p53T2AuvvIqhP7Nf-bo3Uhj8cbKYRPpZdsrBv3x3bAQ/edit?resourcekey#gid=1321652304"",""Prop!$AJ$1:$AT""),11,0),iferror(vlookup(B103,importrange(""https://docs.google"&amp;".com/spreadsheets/d/1p53T2AuvvIqhP7Nf-bo3Uhj8cbKYRPpZdsrBv3x3bAQ/edit?resourcekey#gid=1321652304"",""Prop!$AU$1:$BE""),11,0),iferror(vlookup(B103,importrange(""https://docs.google.com/spreadsheets/d/1p53T2AuvvIqhP7Nf-bo3Uhj8cbKYRPpZdsrBv3x3bAQ/edit?resour"&amp;"cekey#gid=1321652304"",""Prop!$BF$1:$BP""),11,0),iferror(vlookup(B103,importrange(""https://docs.google.com/spreadsheets/d/1p53T2AuvvIqhP7Nf-bo3Uhj8cbKYRPpZdsrBv3x3bAQ/edit?resourcekey#gid=1321652304"",""Prop!$BQ$1:$CA""),11,0),iferror(vlookup(B103,import"&amp;"range(""https://docs.google.com/spreadsheets/d/1p53T2AuvvIqhP7Nf-bo3Uhj8cbKYRPpZdsrBv3x3bAQ/edit?resourcekey#gid=1321652304"",""Prop!$CB$1:$CL""),11,0),iferror(vlookup(B103,importrange(""https://docs.google.com/spreadsheets/d/1p53T2AuvvIqhP7Nf-bo3Uhj8cbKY"&amp;"RPpZdsrBv3x3bAQ/edit?resourcekey#gid=1321652304"",""Prop!$CM$1:$CX""),11,0),iferror(vlookup(B103,importrange(""https://docs.google.com/spreadsheets/d/1p53T2AuvvIqhP7Nf-bo3Uhj8cbKYRPpZdsrBv3x3bAQ/edit?resourcekey#gid=1321652304"",""Prop!$CY$1:$DI""),11,0))"&amp;")))))))))"),"https://drive.google.com/open?id=1UTdhn1GAdgqfjr1ppST-TFVy_x-XqTj5")</f>
        <v>https://drive.google.com/open?id=1UTdhn1GAdgqfjr1ppST-TFVy_x-XqTj5</v>
      </c>
      <c r="R103" s="88" t="s">
        <v>1101</v>
      </c>
      <c r="S103" s="20" t="str">
        <f ca="1">IFERROR(__xludf.DUMMYFUNCTION("IFERROR(vlookup(B103,IMPORTRANGE(""https://docs.google.com/spreadsheets/d/1g_jfYYK_KeipEDNDUgqgrsxK94XiocfNQIcP-v1QVhI/edit?resourcekey#gid=233272945"",""Nilai!B:CT""),57,0),"" "")"),"Pengambilan data hanya data sekunder, analisis hanya permodelan, literatur tidak layak sebagai dasar penelitian")</f>
        <v>Pengambilan data hanya data sekunder, analisis hanya permodelan, literatur tidak layak sebagai dasar penelitian</v>
      </c>
      <c r="T103" s="20" t="str">
        <f ca="1">IFERROR(__xludf.DUMMYFUNCTION("IFERROR(vlookup(B103,IMPORTRANGE(""https://docs.google.com/spreadsheets/d/1g_jfYYK_KeipEDNDUgqgrsxK94XiocfNQIcP-v1QVhI/edit?resourcekey#gid=233272945"",""Nilai!B:CT""),97,0),"" "")"),"TIDAK LAYAK UPLOAD KE SIMBELMAWA")</f>
        <v>TIDAK LAYAK UPLOAD KE SIMBELMAWA</v>
      </c>
      <c r="U103" s="36" t="s">
        <v>825</v>
      </c>
      <c r="V103" s="85" t="s">
        <v>1102</v>
      </c>
      <c r="W103" s="58" t="s">
        <v>1171</v>
      </c>
      <c r="X103" s="34" t="b">
        <v>0</v>
      </c>
    </row>
    <row r="104" spans="1:24" ht="57.6">
      <c r="A104" s="15">
        <v>102</v>
      </c>
      <c r="B104" s="15">
        <f ca="1">IFERROR(__xludf.DUMMYFUNCTION("""COMPUTED_VALUE"""),3435)</f>
        <v>3435</v>
      </c>
      <c r="C104" s="16" t="str">
        <f ca="1">IFERROR(__xludf.DUMMYFUNCTION("""COMPUTED_VALUE"""),"AHMAD RIFKY AZIS")</f>
        <v>AHMAD RIFKY AZIS</v>
      </c>
      <c r="D104" s="16" t="str">
        <f ca="1">IFERROR(__xludf.DUMMYFUNCTION("""COMPUTED_VALUE"""),"10411910000047")</f>
        <v>10411910000047</v>
      </c>
      <c r="E104" s="16" t="str">
        <f ca="1">IFERROR(__xludf.DUMMYFUNCTION("""COMPUTED_VALUE"""),"Departemen Teknik Kimia Industri")</f>
        <v>Departemen Teknik Kimia Industri</v>
      </c>
      <c r="F104" s="16" t="str">
        <f ca="1">IFERROR(__xludf.DUMMYFUNCTION("""COMPUTED_VALUE"""),"Uji Efektifitas Eceng Gondok (Eichhornia crassipes) sebagai Agen Pereduksi Beban Pencemar Pada Limbah Cair Industri Batik Dengan Sistem Constructed Wetland")</f>
        <v>Uji Efektifitas Eceng Gondok (Eichhornia crassipes) sebagai Agen Pereduksi Beban Pencemar Pada Limbah Cair Industri Batik Dengan Sistem Constructed Wetland</v>
      </c>
      <c r="G104" s="16" t="str">
        <f ca="1">IFERROR(__xludf.DUMMYFUNCTION("""COMPUTED_VALUE"""),"Prof. Dr. Ir. Soeprijanto, M.Sc.")</f>
        <v>Prof. Dr. Ir. Soeprijanto, M.Sc.</v>
      </c>
      <c r="H104" s="16" t="str">
        <f ca="1">IFERROR(__xludf.DUMMYFUNCTION("""COMPUTED_VALUE"""),"Vania Mitha Pratiwi, S.T., M.T.")</f>
        <v>Vania Mitha Pratiwi, S.T., M.T.</v>
      </c>
      <c r="I104" s="16" t="str">
        <f ca="1">IFERROR(__xludf.DUMMYFUNCTION("""COMPUTED_VALUE"""),"Hamdan Dwi Rizqi, S.Si., M.Si.")</f>
        <v>Hamdan Dwi Rizqi, S.Si., M.Si.</v>
      </c>
      <c r="J104" s="16"/>
      <c r="K104" s="17" t="s">
        <v>1172</v>
      </c>
      <c r="L104" s="58" t="s">
        <v>1170</v>
      </c>
      <c r="M104" s="19" t="b">
        <v>1</v>
      </c>
      <c r="N104" s="19" t="b">
        <v>1</v>
      </c>
      <c r="O104" s="1" t="s">
        <v>1122</v>
      </c>
      <c r="P104" s="7" t="str">
        <f ca="1">IFERROR(__xludf.DUMMYFUNCTION("iferror(vlookup(B104,importrange(""https://docs.google.com/spreadsheets/d/1boHyJQ4e2FU0QG8MHwEi6qjX4hvZWVCHcFfXjq7bbMc/edit?resourcekey#gid=923248883"",""Prop!$C$1:$M""),11,0),IFERROR(vlookup(B104,importrange(""https://docs.google.com/spreadsheets/d/1boHy"&amp;"JQ4e2FU0QG8MHwEi6qjX4hvZWVCHcFfXjq7bbMc/edit?resourcekey#gid=923248883"",""Prop!$N$1:$X""),11,0),iferror(vlookup(B104,importrange(""https://docs.google.com/spreadsheets/d/1boHyJQ4e2FU0QG8MHwEi6qjX4hvZWVCHcFfXjq7bbMc/edit?resourcekey#gid=923248883"",""Prop"&amp;"!$Y$1:$AI""),11,0),iferror(vlookup(B104,importrange(""https://docs.google.com/spreadsheets/d/1boHyJQ4e2FU0QG8MHwEi6qjX4hvZWVCHcFfXjq7bbMc/edit?resourcekey#gid=923248883"",""Prop!$AJ$1:$AT""),11,0),iferror(vlookup(B104,importrange(""https://docs.google.com"&amp;"/spreadsheets/d/1boHyJQ4e2FU0QG8MHwEi6qjX4hvZWVCHcFfXjq7bbMc/edit?resourcekey#gid=923248883"",""Prop!$AU$1:$BE""),11,0),iferror(vlookup(B104,importrange(""https://docs.google.com/spreadsheets/d/1boHyJQ4e2FU0QG8MHwEi6qjX4hvZWVCHcFfXjq7bbMc/edit?resourcekey"&amp;"#gid=923248883"",""Prop!$BF$1:$BP""),11,0),iferror(vlookup(B104,importrange(""https://docs.google.com/spreadsheets/d/1boHyJQ4e2FU0QG8MHwEi6qjX4hvZWVCHcFfXjq7bbMc/edit?resourcekey#gid=923248883"",""Prop!$BQ$1:$CA""),11,0),iferror(vlookup(B104,importrange("&amp;"""https://docs.google.com/spreadsheets/d/1boHyJQ4e2FU0QG8MHwEi6qjX4hvZWVCHcFfXjq7bbMc/edit?resourcekey#gid=923248883"",""Prop!$CB$1:$CL""),11,0),iferror(vlookup(B104,importrange(""https://docs.google.com/spreadsheets/d/1boHyJQ4e2FU0QG8MHwEi6qjX4hvZWVCHcFf"&amp;"Xjq7bbMc/edit?resourcekey#gid=923248883"",""Prop!$CM$1:$CX""),12,0),iferror(vlookup(B104,importrange(""https://docs.google.com/spreadsheets/d/1boHyJQ4e2FU0QG8MHwEi6qjX4hvZWVCHcFfXjq7bbMc/edit?resourcekey#gid=923248883"",""Prop!$CV$1:$DI""),11,0)))))))))))"),"https://drive.google.com/open?id=1v6CndMTB479en84MejtK80jguydKnXT4")</f>
        <v>https://drive.google.com/open?id=1v6CndMTB479en84MejtK80jguydKnXT4</v>
      </c>
      <c r="Q104" s="7" t="str">
        <f ca="1">IFERROR(__xludf.DUMMYFUNCTION("iferror(vlookup(B104,importrange(""https://docs.google.com/spreadsheets/d/1p53T2AuvvIqhP7Nf-bo3Uhj8cbKYRPpZdsrBv3x3bAQ/edit?resourcekey#gid=1321652304"",""Prop!$C$1:$M""),11,0),IFERROR(vlookup(B104,importrange(""https://docs.google.com/spreadsheets/d/1p53"&amp;"T2AuvvIqhP7Nf-bo3Uhj8cbKYRPpZdsrBv3x3bAQ/edit?resourcekey#gid=1321652304"",""Prop!$N$1:$X""),11,0),iferror(vlookup(B104,importrange(""https://docs.google.com/spreadsheets/d/1p53T2AuvvIqhP7Nf-bo3Uhj8cbKYRPpZdsrBv3x3bAQ/edit?resourcekey#gid=1321652304"",""P"&amp;"rop!$Y$1:$AI""),11,0),iferror(vlookup(B104,importrange(""https://docs.google.com/spreadsheets/d/1p53T2AuvvIqhP7Nf-bo3Uhj8cbKYRPpZdsrBv3x3bAQ/edit?resourcekey#gid=1321652304"",""Prop!$AJ$1:$AT""),11,0),iferror(vlookup(B104,importrange(""https://docs.google"&amp;".com/spreadsheets/d/1p53T2AuvvIqhP7Nf-bo3Uhj8cbKYRPpZdsrBv3x3bAQ/edit?resourcekey#gid=1321652304"",""Prop!$AU$1:$BE""),11,0),iferror(vlookup(B104,importrange(""https://docs.google.com/spreadsheets/d/1p53T2AuvvIqhP7Nf-bo3Uhj8cbKYRPpZdsrBv3x3bAQ/edit?resour"&amp;"cekey#gid=1321652304"",""Prop!$BF$1:$BP""),11,0),iferror(vlookup(B104,importrange(""https://docs.google.com/spreadsheets/d/1p53T2AuvvIqhP7Nf-bo3Uhj8cbKYRPpZdsrBv3x3bAQ/edit?resourcekey#gid=1321652304"",""Prop!$BQ$1:$CA""),11,0),iferror(vlookup(B104,import"&amp;"range(""https://docs.google.com/spreadsheets/d/1p53T2AuvvIqhP7Nf-bo3Uhj8cbKYRPpZdsrBv3x3bAQ/edit?resourcekey#gid=1321652304"",""Prop!$CB$1:$CL""),11,0),iferror(vlookup(B104,importrange(""https://docs.google.com/spreadsheets/d/1p53T2AuvvIqhP7Nf-bo3Uhj8cbKY"&amp;"RPpZdsrBv3x3bAQ/edit?resourcekey#gid=1321652304"",""Prop!$CM$1:$CX""),11,0),iferror(vlookup(B104,importrange(""https://docs.google.com/spreadsheets/d/1p53T2AuvvIqhP7Nf-bo3Uhj8cbKYRPpZdsrBv3x3bAQ/edit?resourcekey#gid=1321652304"",""Prop!$CY$1:$DI""),11,0))"&amp;")))))))))"),"https://drive.google.com/open?id=1nr4uft8vWzCsfSm9DTvKG48ErWjBWSxs")</f>
        <v>https://drive.google.com/open?id=1nr4uft8vWzCsfSm9DTvKG48ErWjBWSxs</v>
      </c>
      <c r="R104" s="88" t="s">
        <v>1101</v>
      </c>
      <c r="S104" s="20" t="str">
        <f ca="1">IFERROR(__xludf.DUMMYFUNCTION("IFERROR(vlookup(B104,IMPORTRANGE(""https://docs.google.com/spreadsheets/d/1g_jfYYK_KeipEDNDUgqgrsxK94XiocfNQIcP-v1QVhI/edit?resourcekey#gid=233272945"",""Nilai!B:CT""),57,0),"" "")"),"kreativitas rendah, metode riset kurang menunjang, data yang ditargetkan tdk memenuhi")</f>
        <v>kreativitas rendah, metode riset kurang menunjang, data yang ditargetkan tdk memenuhi</v>
      </c>
      <c r="T104" s="20" t="str">
        <f ca="1">IFERROR(__xludf.DUMMYFUNCTION("IFERROR(vlookup(B104,IMPORTRANGE(""https://docs.google.com/spreadsheets/d/1g_jfYYK_KeipEDNDUgqgrsxK94XiocfNQIcP-v1QVhI/edit?resourcekey#gid=233272945"",""Nilai!B:CT""),97,0),"" "")"),"TIDAK LAYAK UPLOAD KE SIMBELMAWA")</f>
        <v>TIDAK LAYAK UPLOAD KE SIMBELMAWA</v>
      </c>
      <c r="U104" s="36" t="s">
        <v>825</v>
      </c>
      <c r="V104" s="85" t="s">
        <v>1102</v>
      </c>
      <c r="W104" s="58" t="s">
        <v>1171</v>
      </c>
      <c r="X104" s="34" t="s">
        <v>949</v>
      </c>
    </row>
    <row r="105" spans="1:24" ht="72">
      <c r="A105" s="15">
        <v>103</v>
      </c>
      <c r="B105" s="15">
        <f ca="1">IFERROR(__xludf.DUMMYFUNCTION("""COMPUTED_VALUE"""),3886)</f>
        <v>3886</v>
      </c>
      <c r="C105" s="16" t="str">
        <f ca="1">IFERROR(__xludf.DUMMYFUNCTION("""COMPUTED_VALUE"""),"NUR INDAH SARI")</f>
        <v>NUR INDAH SARI</v>
      </c>
      <c r="D105" s="16" t="str">
        <f ca="1">IFERROR(__xludf.DUMMYFUNCTION("""COMPUTED_VALUE"""),"02211840000105")</f>
        <v>02211840000105</v>
      </c>
      <c r="E105" s="16" t="str">
        <f ca="1">IFERROR(__xludf.DUMMYFUNCTION("""COMPUTED_VALUE"""),"Departemen Teknik Kimia")</f>
        <v>Departemen Teknik Kimia</v>
      </c>
      <c r="F105" s="16" t="str">
        <f ca="1">IFERROR(__xludf.DUMMYFUNCTION("""COMPUTED_VALUE"""),"PEMANFAATAN LIMBAH KULIT MANGGIS (GARCINIA MANGOSTANA LINN) UNTUK ANTI KANKER DENGAN METODE KOMBINASI MICROWAVED ASSISTED EXTRACTION-BATCHWISE SOLVENT EXTRACTION")</f>
        <v>PEMANFAATAN LIMBAH KULIT MANGGIS (GARCINIA MANGOSTANA LINN) UNTUK ANTI KANKER DENGAN METODE KOMBINASI MICROWAVED ASSISTED EXTRACTION-BATCHWISE SOLVENT EXTRACTION</v>
      </c>
      <c r="G105" s="16" t="str">
        <f ca="1">IFERROR(__xludf.DUMMYFUNCTION("""COMPUTED_VALUE"""),"Hakun Wirawasista Aparamarta, S.T., M.MT., Ph.D.")</f>
        <v>Hakun Wirawasista Aparamarta, S.T., M.MT., Ph.D.</v>
      </c>
      <c r="H105" s="16" t="str">
        <f ca="1">IFERROR(__xludf.DUMMYFUNCTION("""COMPUTED_VALUE"""),"Vania Mitha Pratiwi, S.T., M.T.")</f>
        <v>Vania Mitha Pratiwi, S.T., M.T.</v>
      </c>
      <c r="I105" s="16" t="str">
        <f ca="1">IFERROR(__xludf.DUMMYFUNCTION("""COMPUTED_VALUE"""),"Dra. Ratna Ediati, MS., Ph.D.")</f>
        <v>Dra. Ratna Ediati, MS., Ph.D.</v>
      </c>
      <c r="J105" s="16"/>
      <c r="K105" s="17" t="s">
        <v>1172</v>
      </c>
      <c r="L105" s="58" t="s">
        <v>1170</v>
      </c>
      <c r="M105" s="19" t="b">
        <v>1</v>
      </c>
      <c r="N105" s="19" t="b">
        <v>0</v>
      </c>
      <c r="O105" s="1" t="s">
        <v>1122</v>
      </c>
      <c r="P105" s="1" t="str">
        <f ca="1">IFERROR(__xludf.DUMMYFUNCTION("iferror(vlookup(B105,importrange(""https://docs.google.com/spreadsheets/d/1boHyJQ4e2FU0QG8MHwEi6qjX4hvZWVCHcFfXjq7bbMc/edit?resourcekey#gid=923248883"",""Prop!$C$1:$M""),11,0),IFERROR(vlookup(B105,importrange(""https://docs.google.com/spreadsheets/d/1boHy"&amp;"JQ4e2FU0QG8MHwEi6qjX4hvZWVCHcFfXjq7bbMc/edit?resourcekey#gid=923248883"",""Prop!$N$1:$X""),11,0),iferror(vlookup(B105,importrange(""https://docs.google.com/spreadsheets/d/1boHyJQ4e2FU0QG8MHwEi6qjX4hvZWVCHcFfXjq7bbMc/edit?resourcekey#gid=923248883"",""Prop"&amp;"!$Y$1:$AI""),11,0),iferror(vlookup(B105,importrange(""https://docs.google.com/spreadsheets/d/1boHyJQ4e2FU0QG8MHwEi6qjX4hvZWVCHcFfXjq7bbMc/edit?resourcekey#gid=923248883"",""Prop!$AJ$1:$AT""),11,0),iferror(vlookup(B105,importrange(""https://docs.google.com"&amp;"/spreadsheets/d/1boHyJQ4e2FU0QG8MHwEi6qjX4hvZWVCHcFfXjq7bbMc/edit?resourcekey#gid=923248883"",""Prop!$AU$1:$BE""),11,0),iferror(vlookup(B105,importrange(""https://docs.google.com/spreadsheets/d/1boHyJQ4e2FU0QG8MHwEi6qjX4hvZWVCHcFfXjq7bbMc/edit?resourcekey"&amp;"#gid=923248883"",""Prop!$BF$1:$BP""),11,0),iferror(vlookup(B105,importrange(""https://docs.google.com/spreadsheets/d/1boHyJQ4e2FU0QG8MHwEi6qjX4hvZWVCHcFfXjq7bbMc/edit?resourcekey#gid=923248883"",""Prop!$BQ$1:$CA""),11,0),iferror(vlookup(B105,importrange("&amp;"""https://docs.google.com/spreadsheets/d/1boHyJQ4e2FU0QG8MHwEi6qjX4hvZWVCHcFfXjq7bbMc/edit?resourcekey#gid=923248883"",""Prop!$CB$1:$CL""),11,0),iferror(vlookup(B105,importrange(""https://docs.google.com/spreadsheets/d/1boHyJQ4e2FU0QG8MHwEi6qjX4hvZWVCHcFf"&amp;"Xjq7bbMc/edit?resourcekey#gid=923248883"",""Prop!$CM$1:$CX""),12,0),iferror(vlookup(B105,importrange(""https://docs.google.com/spreadsheets/d/1boHyJQ4e2FU0QG8MHwEi6qjX4hvZWVCHcFfXjq7bbMc/edit?resourcekey#gid=923248883"",""Prop!$CV$1:$DI""),11,0)))))))))))"),"")</f>
        <v/>
      </c>
      <c r="Q105" s="8" t="str">
        <f ca="1">IFERROR(__xludf.DUMMYFUNCTION("iferror(vlookup(B105,importrange(""https://docs.google.com/spreadsheets/d/1p53T2AuvvIqhP7Nf-bo3Uhj8cbKYRPpZdsrBv3x3bAQ/edit?resourcekey#gid=1321652304"",""Prop!$C$1:$M""),11,0),IFERROR(vlookup(B105,importrange(""https://docs.google.com/spreadsheets/d/1p53"&amp;"T2AuvvIqhP7Nf-bo3Uhj8cbKYRPpZdsrBv3x3bAQ/edit?resourcekey#gid=1321652304"",""Prop!$N$1:$X""),11,0),iferror(vlookup(B105,importrange(""https://docs.google.com/spreadsheets/d/1p53T2AuvvIqhP7Nf-bo3Uhj8cbKYRPpZdsrBv3x3bAQ/edit?resourcekey#gid=1321652304"",""P"&amp;"rop!$Y$1:$AI""),11,0),iferror(vlookup(B105,importrange(""https://docs.google.com/spreadsheets/d/1p53T2AuvvIqhP7Nf-bo3Uhj8cbKYRPpZdsrBv3x3bAQ/edit?resourcekey#gid=1321652304"",""Prop!$AJ$1:$AT""),11,0),iferror(vlookup(B105,importrange(""https://docs.google"&amp;".com/spreadsheets/d/1p53T2AuvvIqhP7Nf-bo3Uhj8cbKYRPpZdsrBv3x3bAQ/edit?resourcekey#gid=1321652304"",""Prop!$AU$1:$BE""),11,0),iferror(vlookup(B105,importrange(""https://docs.google.com/spreadsheets/d/1p53T2AuvvIqhP7Nf-bo3Uhj8cbKYRPpZdsrBv3x3bAQ/edit?resour"&amp;"cekey#gid=1321652304"",""Prop!$BF$1:$BP""),11,0),iferror(vlookup(B105,importrange(""https://docs.google.com/spreadsheets/d/1p53T2AuvvIqhP7Nf-bo3Uhj8cbKYRPpZdsrBv3x3bAQ/edit?resourcekey#gid=1321652304"",""Prop!$BQ$1:$CA""),11,0),iferror(vlookup(B105,import"&amp;"range(""https://docs.google.com/spreadsheets/d/1p53T2AuvvIqhP7Nf-bo3Uhj8cbKYRPpZdsrBv3x3bAQ/edit?resourcekey#gid=1321652304"",""Prop!$CB$1:$CL""),11,0),iferror(vlookup(B105,importrange(""https://docs.google.com/spreadsheets/d/1p53T2AuvvIqhP7Nf-bo3Uhj8cbKY"&amp;"RPpZdsrBv3x3bAQ/edit?resourcekey#gid=1321652304"",""Prop!$CM$1:$CX""),11,0),iferror(vlookup(B105,importrange(""https://docs.google.com/spreadsheets/d/1p53T2AuvvIqhP7Nf-bo3Uhj8cbKYRPpZdsrBv3x3bAQ/edit?resourcekey#gid=1321652304"",""Prop!$CY$1:$DI""),11,0))"&amp;")))))))))"),"")</f>
        <v/>
      </c>
      <c r="R105" s="88" t="s">
        <v>1101</v>
      </c>
      <c r="S105" s="20" t="str">
        <f ca="1">IFERROR(__xludf.DUMMYFUNCTION("IFERROR(vlookup(B105,IMPORTRANGE(""https://docs.google.com/spreadsheets/d/1g_jfYYK_KeipEDNDUgqgrsxK94XiocfNQIcP-v1QVhI/edit?resourcekey#gid=233272945"",""Nilai!B:CT""),57,0),"" "")"),"")</f>
        <v/>
      </c>
      <c r="T105" s="20" t="str">
        <f ca="1">IFERROR(__xludf.DUMMYFUNCTION("IFERROR(vlookup(B105,IMPORTRANGE(""https://docs.google.com/spreadsheets/d/1g_jfYYK_KeipEDNDUgqgrsxK94XiocfNQIcP-v1QVhI/edit?resourcekey#gid=233272945"",""Nilai!B:CT""),97,0),"" "")"),"LAYAK UPLOAD KE SIMBELMAWA DENGAN REVISI")</f>
        <v>LAYAK UPLOAD KE SIMBELMAWA DENGAN REVISI</v>
      </c>
      <c r="U105" s="36" t="s">
        <v>825</v>
      </c>
      <c r="V105" s="85" t="s">
        <v>1102</v>
      </c>
      <c r="W105" s="58" t="s">
        <v>1171</v>
      </c>
      <c r="X105" s="34" t="b">
        <v>0</v>
      </c>
    </row>
    <row r="106" spans="1:24" ht="57.6">
      <c r="A106" s="15">
        <v>104</v>
      </c>
      <c r="B106" s="15">
        <f ca="1">IFERROR(__xludf.DUMMYFUNCTION("""COMPUTED_VALUE"""),3972)</f>
        <v>3972</v>
      </c>
      <c r="C106" s="16" t="str">
        <f ca="1">IFERROR(__xludf.DUMMYFUNCTION("""COMPUTED_VALUE"""),"SULISTIANA")</f>
        <v>SULISTIANA</v>
      </c>
      <c r="D106" s="16" t="str">
        <f ca="1">IFERROR(__xludf.DUMMYFUNCTION("""COMPUTED_VALUE"""),"5008211043")</f>
        <v>5008211043</v>
      </c>
      <c r="E106" s="16" t="str">
        <f ca="1">IFERROR(__xludf.DUMMYFUNCTION("""COMPUTED_VALUE"""),"Departemen Teknik Kimia")</f>
        <v>Departemen Teknik Kimia</v>
      </c>
      <c r="F106" s="16" t="str">
        <f ca="1">IFERROR(__xludf.DUMMYFUNCTION("""COMPUTED_VALUE"""),"Komposit Karbon/Oksida Logam Non Mulia Termodifikasi dengan Doping Nitrogen melalui Satu Tahapan Proses Hydrothermal Carbonization (HTC) dari Limbah Biji Alpukat")</f>
        <v>Komposit Karbon/Oksida Logam Non Mulia Termodifikasi dengan Doping Nitrogen melalui Satu Tahapan Proses Hydrothermal Carbonization (HTC) dari Limbah Biji Alpukat</v>
      </c>
      <c r="G106" s="16" t="str">
        <f ca="1">IFERROR(__xludf.DUMMYFUNCTION("""COMPUTED_VALUE"""),"Dr. Widiyastuti, S.T., M.T.")</f>
        <v>Dr. Widiyastuti, S.T., M.T.</v>
      </c>
      <c r="H106" s="16" t="str">
        <f ca="1">IFERROR(__xludf.DUMMYFUNCTION("""COMPUTED_VALUE"""),"Dr. Awik Puji Dyah Nurhayati, S.Si., M.Si.")</f>
        <v>Dr. Awik Puji Dyah Nurhayati, S.Si., M.Si.</v>
      </c>
      <c r="I106" s="16" t="str">
        <f ca="1">IFERROR(__xludf.DUMMYFUNCTION("""COMPUTED_VALUE"""),"Iska Desmawati, S.Si., M.Si.")</f>
        <v>Iska Desmawati, S.Si., M.Si.</v>
      </c>
      <c r="J106" s="16"/>
      <c r="K106" s="17" t="s">
        <v>1172</v>
      </c>
      <c r="L106" s="58" t="s">
        <v>1173</v>
      </c>
      <c r="M106" s="19" t="b">
        <v>1</v>
      </c>
      <c r="N106" s="19" t="b">
        <v>1</v>
      </c>
      <c r="O106" s="1" t="s">
        <v>1174</v>
      </c>
      <c r="P106" s="7" t="str">
        <f ca="1">IFERROR(__xludf.DUMMYFUNCTION("iferror(vlookup(B106,importrange(""https://docs.google.com/spreadsheets/d/1boHyJQ4e2FU0QG8MHwEi6qjX4hvZWVCHcFfXjq7bbMc/edit?resourcekey#gid=923248883"",""Prop!$C$1:$M""),11,0),IFERROR(vlookup(B106,importrange(""https://docs.google.com/spreadsheets/d/1boHy"&amp;"JQ4e2FU0QG8MHwEi6qjX4hvZWVCHcFfXjq7bbMc/edit?resourcekey#gid=923248883"",""Prop!$N$1:$X""),11,0),iferror(vlookup(B106,importrange(""https://docs.google.com/spreadsheets/d/1boHyJQ4e2FU0QG8MHwEi6qjX4hvZWVCHcFfXjq7bbMc/edit?resourcekey#gid=923248883"",""Prop"&amp;"!$Y$1:$AI""),11,0),iferror(vlookup(B106,importrange(""https://docs.google.com/spreadsheets/d/1boHyJQ4e2FU0QG8MHwEi6qjX4hvZWVCHcFfXjq7bbMc/edit?resourcekey#gid=923248883"",""Prop!$AJ$1:$AT""),11,0),iferror(vlookup(B106,importrange(""https://docs.google.com"&amp;"/spreadsheets/d/1boHyJQ4e2FU0QG8MHwEi6qjX4hvZWVCHcFfXjq7bbMc/edit?resourcekey#gid=923248883"",""Prop!$AU$1:$BE""),11,0),iferror(vlookup(B106,importrange(""https://docs.google.com/spreadsheets/d/1boHyJQ4e2FU0QG8MHwEi6qjX4hvZWVCHcFfXjq7bbMc/edit?resourcekey"&amp;"#gid=923248883"",""Prop!$BF$1:$BP""),11,0),iferror(vlookup(B106,importrange(""https://docs.google.com/spreadsheets/d/1boHyJQ4e2FU0QG8MHwEi6qjX4hvZWVCHcFfXjq7bbMc/edit?resourcekey#gid=923248883"",""Prop!$BQ$1:$CA""),11,0),iferror(vlookup(B106,importrange("&amp;"""https://docs.google.com/spreadsheets/d/1boHyJQ4e2FU0QG8MHwEi6qjX4hvZWVCHcFfXjq7bbMc/edit?resourcekey#gid=923248883"",""Prop!$CB$1:$CL""),11,0),iferror(vlookup(B106,importrange(""https://docs.google.com/spreadsheets/d/1boHyJQ4e2FU0QG8MHwEi6qjX4hvZWVCHcFf"&amp;"Xjq7bbMc/edit?resourcekey#gid=923248883"",""Prop!$CM$1:$CX""),12,0),iferror(vlookup(B106,importrange(""https://docs.google.com/spreadsheets/d/1boHyJQ4e2FU0QG8MHwEi6qjX4hvZWVCHcFfXjq7bbMc/edit?resourcekey#gid=923248883"",""Prop!$CV$1:$DI""),11,0)))))))))))"),"https://drive.google.com/open?id=1-mg2j7CU2CyoDk84iNgQpUZSznsLkt45")</f>
        <v>https://drive.google.com/open?id=1-mg2j7CU2CyoDk84iNgQpUZSznsLkt45</v>
      </c>
      <c r="Q106" s="7" t="str">
        <f ca="1">IFERROR(__xludf.DUMMYFUNCTION("iferror(vlookup(B106,importrange(""https://docs.google.com/spreadsheets/d/1p53T2AuvvIqhP7Nf-bo3Uhj8cbKYRPpZdsrBv3x3bAQ/edit?resourcekey#gid=1321652304"",""Prop!$C$1:$M""),11,0),IFERROR(vlookup(B106,importrange(""https://docs.google.com/spreadsheets/d/1p53"&amp;"T2AuvvIqhP7Nf-bo3Uhj8cbKYRPpZdsrBv3x3bAQ/edit?resourcekey#gid=1321652304"",""Prop!$N$1:$X""),11,0),iferror(vlookup(B106,importrange(""https://docs.google.com/spreadsheets/d/1p53T2AuvvIqhP7Nf-bo3Uhj8cbKYRPpZdsrBv3x3bAQ/edit?resourcekey#gid=1321652304"",""P"&amp;"rop!$Y$1:$AI""),11,0),iferror(vlookup(B106,importrange(""https://docs.google.com/spreadsheets/d/1p53T2AuvvIqhP7Nf-bo3Uhj8cbKYRPpZdsrBv3x3bAQ/edit?resourcekey#gid=1321652304"",""Prop!$AJ$1:$AT""),11,0),iferror(vlookup(B106,importrange(""https://docs.google"&amp;".com/spreadsheets/d/1p53T2AuvvIqhP7Nf-bo3Uhj8cbKYRPpZdsrBv3x3bAQ/edit?resourcekey#gid=1321652304"",""Prop!$AU$1:$BE""),11,0),iferror(vlookup(B106,importrange(""https://docs.google.com/spreadsheets/d/1p53T2AuvvIqhP7Nf-bo3Uhj8cbKYRPpZdsrBv3x3bAQ/edit?resour"&amp;"cekey#gid=1321652304"",""Prop!$BF$1:$BP""),11,0),iferror(vlookup(B106,importrange(""https://docs.google.com/spreadsheets/d/1p53T2AuvvIqhP7Nf-bo3Uhj8cbKYRPpZdsrBv3x3bAQ/edit?resourcekey#gid=1321652304"",""Prop!$BQ$1:$CA""),11,0),iferror(vlookup(B106,import"&amp;"range(""https://docs.google.com/spreadsheets/d/1p53T2AuvvIqhP7Nf-bo3Uhj8cbKYRPpZdsrBv3x3bAQ/edit?resourcekey#gid=1321652304"",""Prop!$CB$1:$CL""),11,0),iferror(vlookup(B106,importrange(""https://docs.google.com/spreadsheets/d/1p53T2AuvvIqhP7Nf-bo3Uhj8cbKY"&amp;"RPpZdsrBv3x3bAQ/edit?resourcekey#gid=1321652304"",""Prop!$CM$1:$CX""),11,0),iferror(vlookup(B106,importrange(""https://docs.google.com/spreadsheets/d/1p53T2AuvvIqhP7Nf-bo3Uhj8cbKYRPpZdsrBv3x3bAQ/edit?resourcekey#gid=1321652304"",""Prop!$CY$1:$DI""),11,0))"&amp;")))))))))"),"https://drive.google.com/open?id=1Pv-kflVRIMXwyta3NVt4--KMXwloLmyG")</f>
        <v>https://drive.google.com/open?id=1Pv-kflVRIMXwyta3NVt4--KMXwloLmyG</v>
      </c>
      <c r="R106" s="88" t="s">
        <v>1101</v>
      </c>
      <c r="S106" s="20" t="str">
        <f ca="1">IFERROR(__xludf.DUMMYFUNCTION("IFERROR(vlookup(B106,IMPORTRANGE(""https://docs.google.com/spreadsheets/d/1g_jfYYK_KeipEDNDUgqgrsxK94XiocfNQIcP-v1QVhI/edit?resourcekey#gid=233272945"",""Nilai!B:CT""),57,0),"" "")"),"Siap upload")</f>
        <v>Siap upload</v>
      </c>
      <c r="T106" s="20" t="str">
        <f ca="1">IFERROR(__xludf.DUMMYFUNCTION("IFERROR(vlookup(B106,IMPORTRANGE(""https://docs.google.com/spreadsheets/d/1g_jfYYK_KeipEDNDUgqgrsxK94XiocfNQIcP-v1QVhI/edit?resourcekey#gid=233272945"",""Nilai!B:CT""),97,0),"" "")"),"LAYAK UPLOAD KE SIMBELMAWA")</f>
        <v>LAYAK UPLOAD KE SIMBELMAWA</v>
      </c>
      <c r="U106" s="36" t="s">
        <v>825</v>
      </c>
      <c r="V106" s="85" t="s">
        <v>1102</v>
      </c>
      <c r="W106" s="58" t="s">
        <v>1171</v>
      </c>
      <c r="X106" s="34" t="s">
        <v>949</v>
      </c>
    </row>
    <row r="107" spans="1:24" ht="69">
      <c r="A107" s="15">
        <v>105</v>
      </c>
      <c r="B107" s="15">
        <f ca="1">IFERROR(__xludf.DUMMYFUNCTION("""COMPUTED_VALUE"""),2028)</f>
        <v>2028</v>
      </c>
      <c r="C107" s="16" t="str">
        <f ca="1">IFERROR(__xludf.DUMMYFUNCTION("""COMPUTED_VALUE"""),"TEGUH M. WAHYU AKBAR")</f>
        <v>TEGUH M. WAHYU AKBAR</v>
      </c>
      <c r="D107" s="16" t="str">
        <f ca="1">IFERROR(__xludf.DUMMYFUNCTION("""COMPUTED_VALUE"""),"01111940000072")</f>
        <v>01111940000072</v>
      </c>
      <c r="E107" s="16" t="str">
        <f ca="1">IFERROR(__xludf.DUMMYFUNCTION("""COMPUTED_VALUE"""),"Departemen Fisika")</f>
        <v>Departemen Fisika</v>
      </c>
      <c r="F107" s="16" t="str">
        <f ca="1">IFERROR(__xludf.DUMMYFUNCTION("""COMPUTED_VALUE"""),"Uji Potensi Komposit Geopolimer Berbasis Tungsten Carbide Diperkuat Nanofiber Selulosa Limbah Batang Jagung sebagai Material Perisai Radiasi Gamma Ramah Lingkungan")</f>
        <v>Uji Potensi Komposit Geopolimer Berbasis Tungsten Carbide Diperkuat Nanofiber Selulosa Limbah Batang Jagung sebagai Material Perisai Radiasi Gamma Ramah Lingkungan</v>
      </c>
      <c r="G107" s="16" t="str">
        <f ca="1">IFERROR(__xludf.DUMMYFUNCTION("""COMPUTED_VALUE"""),"Endarko, M.Si., Ph.D.")</f>
        <v>Endarko, M.Si., Ph.D.</v>
      </c>
      <c r="H107" s="16" t="str">
        <f ca="1">IFERROR(__xludf.DUMMYFUNCTION("""COMPUTED_VALUE"""),"Dr. Dhany Arifianto, S.T., M.Eng.")</f>
        <v>Dr. Dhany Arifianto, S.T., M.Eng.</v>
      </c>
      <c r="I107" s="16" t="str">
        <f ca="1">IFERROR(__xludf.DUMMYFUNCTION("""COMPUTED_VALUE"""),"Ir. Arino Anzip, M.Eng.Sc")</f>
        <v>Ir. Arino Anzip, M.Eng.Sc</v>
      </c>
      <c r="J107" s="16"/>
      <c r="K107" s="17" t="s">
        <v>1172</v>
      </c>
      <c r="L107" s="58" t="s">
        <v>1173</v>
      </c>
      <c r="M107" s="19" t="b">
        <v>1</v>
      </c>
      <c r="N107" s="19" t="b">
        <v>0</v>
      </c>
      <c r="O107" s="1" t="s">
        <v>1174</v>
      </c>
      <c r="P107" s="7" t="str">
        <f ca="1">IFERROR(__xludf.DUMMYFUNCTION("iferror(vlookup(B107,importrange(""https://docs.google.com/spreadsheets/d/1boHyJQ4e2FU0QG8MHwEi6qjX4hvZWVCHcFfXjq7bbMc/edit?resourcekey#gid=923248883"",""Prop!$C$1:$M""),11,0),IFERROR(vlookup(B107,importrange(""https://docs.google.com/spreadsheets/d/1boHy"&amp;"JQ4e2FU0QG8MHwEi6qjX4hvZWVCHcFfXjq7bbMc/edit?resourcekey#gid=923248883"",""Prop!$N$1:$X""),11,0),iferror(vlookup(B107,importrange(""https://docs.google.com/spreadsheets/d/1boHyJQ4e2FU0QG8MHwEi6qjX4hvZWVCHcFfXjq7bbMc/edit?resourcekey#gid=923248883"",""Prop"&amp;"!$Y$1:$AI""),11,0),iferror(vlookup(B107,importrange(""https://docs.google.com/spreadsheets/d/1boHyJQ4e2FU0QG8MHwEi6qjX4hvZWVCHcFfXjq7bbMc/edit?resourcekey#gid=923248883"",""Prop!$AJ$1:$AT""),11,0),iferror(vlookup(B107,importrange(""https://docs.google.com"&amp;"/spreadsheets/d/1boHyJQ4e2FU0QG8MHwEi6qjX4hvZWVCHcFfXjq7bbMc/edit?resourcekey#gid=923248883"",""Prop!$AU$1:$BE""),11,0),iferror(vlookup(B107,importrange(""https://docs.google.com/spreadsheets/d/1boHyJQ4e2FU0QG8MHwEi6qjX4hvZWVCHcFfXjq7bbMc/edit?resourcekey"&amp;"#gid=923248883"",""Prop!$BF$1:$BP""),11,0),iferror(vlookup(B107,importrange(""https://docs.google.com/spreadsheets/d/1boHyJQ4e2FU0QG8MHwEi6qjX4hvZWVCHcFfXjq7bbMc/edit?resourcekey#gid=923248883"",""Prop!$BQ$1:$CA""),11,0),iferror(vlookup(B107,importrange("&amp;"""https://docs.google.com/spreadsheets/d/1boHyJQ4e2FU0QG8MHwEi6qjX4hvZWVCHcFfXjq7bbMc/edit?resourcekey#gid=923248883"",""Prop!$CB$1:$CL""),11,0),iferror(vlookup(B107,importrange(""https://docs.google.com/spreadsheets/d/1boHyJQ4e2FU0QG8MHwEi6qjX4hvZWVCHcFf"&amp;"Xjq7bbMc/edit?resourcekey#gid=923248883"",""Prop!$CM$1:$CX""),12,0),iferror(vlookup(B107,importrange(""https://docs.google.com/spreadsheets/d/1boHyJQ4e2FU0QG8MHwEi6qjX4hvZWVCHcFfXjq7bbMc/edit?resourcekey#gid=923248883"",""Prop!$CV$1:$DI""),11,0)))))))))))"),"https://drive.google.com/open?id=1zNklb-fH2Pu_9Gh-oDlppBl1d1U2IHQu")</f>
        <v>https://drive.google.com/open?id=1zNklb-fH2Pu_9Gh-oDlppBl1d1U2IHQu</v>
      </c>
      <c r="Q107" s="7" t="str">
        <f ca="1">IFERROR(__xludf.DUMMYFUNCTION("iferror(vlookup(B107,importrange(""https://docs.google.com/spreadsheets/d/1p53T2AuvvIqhP7Nf-bo3Uhj8cbKYRPpZdsrBv3x3bAQ/edit?resourcekey#gid=1321652304"",""Prop!$C$1:$M""),11,0),IFERROR(vlookup(B107,importrange(""https://docs.google.com/spreadsheets/d/1p53"&amp;"T2AuvvIqhP7Nf-bo3Uhj8cbKYRPpZdsrBv3x3bAQ/edit?resourcekey#gid=1321652304"",""Prop!$N$1:$X""),11,0),iferror(vlookup(B107,importrange(""https://docs.google.com/spreadsheets/d/1p53T2AuvvIqhP7Nf-bo3Uhj8cbKYRPpZdsrBv3x3bAQ/edit?resourcekey#gid=1321652304"",""P"&amp;"rop!$Y$1:$AI""),11,0),iferror(vlookup(B107,importrange(""https://docs.google.com/spreadsheets/d/1p53T2AuvvIqhP7Nf-bo3Uhj8cbKYRPpZdsrBv3x3bAQ/edit?resourcekey#gid=1321652304"",""Prop!$AJ$1:$AT""),11,0),iferror(vlookup(B107,importrange(""https://docs.google"&amp;".com/spreadsheets/d/1p53T2AuvvIqhP7Nf-bo3Uhj8cbKYRPpZdsrBv3x3bAQ/edit?resourcekey#gid=1321652304"",""Prop!$AU$1:$BE""),11,0),iferror(vlookup(B107,importrange(""https://docs.google.com/spreadsheets/d/1p53T2AuvvIqhP7Nf-bo3Uhj8cbKYRPpZdsrBv3x3bAQ/edit?resour"&amp;"cekey#gid=1321652304"",""Prop!$BF$1:$BP""),11,0),iferror(vlookup(B107,importrange(""https://docs.google.com/spreadsheets/d/1p53T2AuvvIqhP7Nf-bo3Uhj8cbKYRPpZdsrBv3x3bAQ/edit?resourcekey#gid=1321652304"",""Prop!$BQ$1:$CA""),11,0),iferror(vlookup(B107,import"&amp;"range(""https://docs.google.com/spreadsheets/d/1p53T2AuvvIqhP7Nf-bo3Uhj8cbKYRPpZdsrBv3x3bAQ/edit?resourcekey#gid=1321652304"",""Prop!$CB$1:$CL""),11,0),iferror(vlookup(B107,importrange(""https://docs.google.com/spreadsheets/d/1p53T2AuvvIqhP7Nf-bo3Uhj8cbKY"&amp;"RPpZdsrBv3x3bAQ/edit?resourcekey#gid=1321652304"",""Prop!$CM$1:$CX""),11,0),iferror(vlookup(B107,importrange(""https://docs.google.com/spreadsheets/d/1p53T2AuvvIqhP7Nf-bo3Uhj8cbKYRPpZdsrBv3x3bAQ/edit?resourcekey#gid=1321652304"",""Prop!$CY$1:$DI""),11,0))"&amp;")))))))))"),"https://drive.google.com/open?id=1pCE2ELzlb9uE0IiyklOISNm-RydT4Kj6")</f>
        <v>https://drive.google.com/open?id=1pCE2ELzlb9uE0IiyklOISNm-RydT4Kj6</v>
      </c>
      <c r="R107" s="88" t="s">
        <v>1101</v>
      </c>
      <c r="S107" s="20" t="str">
        <f ca="1">IFERROR(__xludf.DUMMYFUNCTION("IFERROR(vlookup(B107,IMPORTRANGE(""https://docs.google.com/spreadsheets/d/1g_jfYYK_KeipEDNDUgqgrsxK94XiocfNQIcP-v1QVhI/edit?resourcekey#gid=233272945"",""Nilai!B:CT""),57,0),"" "")"),"Hanya 1 variabel penelitian?hanya 3 sampel? Diragukan untuk menjawab tujuan")</f>
        <v>Hanya 1 variabel penelitian?hanya 3 sampel? Diragukan untuk menjawab tujuan</v>
      </c>
      <c r="T107" s="20" t="str">
        <f ca="1">IFERROR(__xludf.DUMMYFUNCTION("IFERROR(vlookup(B107,IMPORTRANGE(""https://docs.google.com/spreadsheets/d/1g_jfYYK_KeipEDNDUgqgrsxK94XiocfNQIcP-v1QVhI/edit?resourcekey#gid=233272945"",""Nilai!B:CT""),97,0),"" "")"),"LAYAK UPLOAD KE SIMBELMAWA DENGAN REVISI")</f>
        <v>LAYAK UPLOAD KE SIMBELMAWA DENGAN REVISI</v>
      </c>
      <c r="U107" s="36" t="s">
        <v>825</v>
      </c>
      <c r="V107" s="85" t="s">
        <v>1102</v>
      </c>
      <c r="W107" s="58" t="s">
        <v>1171</v>
      </c>
      <c r="X107" s="34" t="s">
        <v>949</v>
      </c>
    </row>
    <row r="108" spans="1:24" ht="69">
      <c r="A108" s="15">
        <v>106</v>
      </c>
      <c r="B108" s="15">
        <f ca="1">IFERROR(__xludf.DUMMYFUNCTION("""COMPUTED_VALUE"""),2326)</f>
        <v>2326</v>
      </c>
      <c r="C108" s="16" t="str">
        <f ca="1">IFERROR(__xludf.DUMMYFUNCTION("""COMPUTED_VALUE"""),"Muhammad Faiz")</f>
        <v>Muhammad Faiz</v>
      </c>
      <c r="D108" s="16" t="str">
        <f ca="1">IFERROR(__xludf.DUMMYFUNCTION("""COMPUTED_VALUE"""),"04311940000017")</f>
        <v>04311940000017</v>
      </c>
      <c r="E108" s="16" t="str">
        <f ca="1">IFERROR(__xludf.DUMMYFUNCTION("""COMPUTED_VALUE"""),"Departemen Teknik Kelautan")</f>
        <v>Departemen Teknik Kelautan</v>
      </c>
      <c r="F108" s="16" t="str">
        <f ca="1">IFERROR(__xludf.DUMMYFUNCTION("""COMPUTED_VALUE"""),"Concrete Grouting dengan Cangkang Kerang sebagai Material Fly Ash Alternatif untuk Solusi Masalah Kerusakan Bangunan Laut")</f>
        <v>Concrete Grouting dengan Cangkang Kerang sebagai Material Fly Ash Alternatif untuk Solusi Masalah Kerusakan Bangunan Laut</v>
      </c>
      <c r="G108" s="16" t="str">
        <f ca="1">IFERROR(__xludf.DUMMYFUNCTION("""COMPUTED_VALUE"""),"Yoyok Setyo Hadiwidodo, S.T., M.T., Ph.D.")</f>
        <v>Yoyok Setyo Hadiwidodo, S.T., M.T., Ph.D.</v>
      </c>
      <c r="H108" s="16" t="str">
        <f ca="1">IFERROR(__xludf.DUMMYFUNCTION("""COMPUTED_VALUE"""),"Dr. Dhany Arifianto, S.T., M.Eng.")</f>
        <v>Dr. Dhany Arifianto, S.T., M.Eng.</v>
      </c>
      <c r="I108" s="16" t="str">
        <f ca="1">IFERROR(__xludf.DUMMYFUNCTION("""COMPUTED_VALUE"""),"Dra. Ratna Ediati, MS., Ph.D.")</f>
        <v>Dra. Ratna Ediati, MS., Ph.D.</v>
      </c>
      <c r="J108" s="16"/>
      <c r="K108" s="17" t="s">
        <v>1175</v>
      </c>
      <c r="L108" s="58" t="s">
        <v>1173</v>
      </c>
      <c r="M108" s="19" t="b">
        <v>0</v>
      </c>
      <c r="N108" s="19" t="b">
        <v>0</v>
      </c>
      <c r="O108" s="1" t="s">
        <v>1174</v>
      </c>
      <c r="P108" s="7" t="str">
        <f ca="1">IFERROR(__xludf.DUMMYFUNCTION("iferror(vlookup(B108,importrange(""https://docs.google.com/spreadsheets/d/1boHyJQ4e2FU0QG8MHwEi6qjX4hvZWVCHcFfXjq7bbMc/edit?resourcekey#gid=923248883"",""Prop!$C$1:$M""),11,0),IFERROR(vlookup(B108,importrange(""https://docs.google.com/spreadsheets/d/1boHy"&amp;"JQ4e2FU0QG8MHwEi6qjX4hvZWVCHcFfXjq7bbMc/edit?resourcekey#gid=923248883"",""Prop!$N$1:$X""),11,0),iferror(vlookup(B108,importrange(""https://docs.google.com/spreadsheets/d/1boHyJQ4e2FU0QG8MHwEi6qjX4hvZWVCHcFfXjq7bbMc/edit?resourcekey#gid=923248883"",""Prop"&amp;"!$Y$1:$AI""),11,0),iferror(vlookup(B108,importrange(""https://docs.google.com/spreadsheets/d/1boHyJQ4e2FU0QG8MHwEi6qjX4hvZWVCHcFfXjq7bbMc/edit?resourcekey#gid=923248883"",""Prop!$AJ$1:$AT""),11,0),iferror(vlookup(B108,importrange(""https://docs.google.com"&amp;"/spreadsheets/d/1boHyJQ4e2FU0QG8MHwEi6qjX4hvZWVCHcFfXjq7bbMc/edit?resourcekey#gid=923248883"",""Prop!$AU$1:$BE""),11,0),iferror(vlookup(B108,importrange(""https://docs.google.com/spreadsheets/d/1boHyJQ4e2FU0QG8MHwEi6qjX4hvZWVCHcFfXjq7bbMc/edit?resourcekey"&amp;"#gid=923248883"",""Prop!$BF$1:$BP""),11,0),iferror(vlookup(B108,importrange(""https://docs.google.com/spreadsheets/d/1boHyJQ4e2FU0QG8MHwEi6qjX4hvZWVCHcFfXjq7bbMc/edit?resourcekey#gid=923248883"",""Prop!$BQ$1:$CA""),11,0),iferror(vlookup(B108,importrange("&amp;"""https://docs.google.com/spreadsheets/d/1boHyJQ4e2FU0QG8MHwEi6qjX4hvZWVCHcFfXjq7bbMc/edit?resourcekey#gid=923248883"",""Prop!$CB$1:$CL""),11,0),iferror(vlookup(B108,importrange(""https://docs.google.com/spreadsheets/d/1boHyJQ4e2FU0QG8MHwEi6qjX4hvZWVCHcFf"&amp;"Xjq7bbMc/edit?resourcekey#gid=923248883"",""Prop!$CM$1:$CX""),12,0),iferror(vlookup(B108,importrange(""https://docs.google.com/spreadsheets/d/1boHyJQ4e2FU0QG8MHwEi6qjX4hvZWVCHcFfXjq7bbMc/edit?resourcekey#gid=923248883"",""Prop!$CV$1:$DI""),11,0)))))))))))"),"https://drive.google.com/open?id=1mEO_ulI3d0LkeT9k-FLZVczbySa-MC4v")</f>
        <v>https://drive.google.com/open?id=1mEO_ulI3d0LkeT9k-FLZVczbySa-MC4v</v>
      </c>
      <c r="Q108" s="7" t="str">
        <f ca="1">IFERROR(__xludf.DUMMYFUNCTION("iferror(vlookup(B108,importrange(""https://docs.google.com/spreadsheets/d/1p53T2AuvvIqhP7Nf-bo3Uhj8cbKYRPpZdsrBv3x3bAQ/edit?resourcekey#gid=1321652304"",""Prop!$C$1:$M""),11,0),IFERROR(vlookup(B108,importrange(""https://docs.google.com/spreadsheets/d/1p53"&amp;"T2AuvvIqhP7Nf-bo3Uhj8cbKYRPpZdsrBv3x3bAQ/edit?resourcekey#gid=1321652304"",""Prop!$N$1:$X""),11,0),iferror(vlookup(B108,importrange(""https://docs.google.com/spreadsheets/d/1p53T2AuvvIqhP7Nf-bo3Uhj8cbKYRPpZdsrBv3x3bAQ/edit?resourcekey#gid=1321652304"",""P"&amp;"rop!$Y$1:$AI""),11,0),iferror(vlookup(B108,importrange(""https://docs.google.com/spreadsheets/d/1p53T2AuvvIqhP7Nf-bo3Uhj8cbKYRPpZdsrBv3x3bAQ/edit?resourcekey#gid=1321652304"",""Prop!$AJ$1:$AT""),11,0),iferror(vlookup(B108,importrange(""https://docs.google"&amp;".com/spreadsheets/d/1p53T2AuvvIqhP7Nf-bo3Uhj8cbKYRPpZdsrBv3x3bAQ/edit?resourcekey#gid=1321652304"",""Prop!$AU$1:$BE""),11,0),iferror(vlookup(B108,importrange(""https://docs.google.com/spreadsheets/d/1p53T2AuvvIqhP7Nf-bo3Uhj8cbKYRPpZdsrBv3x3bAQ/edit?resour"&amp;"cekey#gid=1321652304"",""Prop!$BF$1:$BP""),11,0),iferror(vlookup(B108,importrange(""https://docs.google.com/spreadsheets/d/1p53T2AuvvIqhP7Nf-bo3Uhj8cbKYRPpZdsrBv3x3bAQ/edit?resourcekey#gid=1321652304"",""Prop!$BQ$1:$CA""),11,0),iferror(vlookup(B108,import"&amp;"range(""https://docs.google.com/spreadsheets/d/1p53T2AuvvIqhP7Nf-bo3Uhj8cbKYRPpZdsrBv3x3bAQ/edit?resourcekey#gid=1321652304"",""Prop!$CB$1:$CL""),11,0),iferror(vlookup(B108,importrange(""https://docs.google.com/spreadsheets/d/1p53T2AuvvIqhP7Nf-bo3Uhj8cbKY"&amp;"RPpZdsrBv3x3bAQ/edit?resourcekey#gid=1321652304"",""Prop!$CM$1:$CX""),11,0),iferror(vlookup(B108,importrange(""https://docs.google.com/spreadsheets/d/1p53T2AuvvIqhP7Nf-bo3Uhj8cbKYRPpZdsrBv3x3bAQ/edit?resourcekey#gid=1321652304"",""Prop!$CY$1:$DI""),11,0))"&amp;")))))))))"),"https://drive.google.com/open?id=1lap-UpJzCNerRiNvj43xZwnpgpj6Eag4")</f>
        <v>https://drive.google.com/open?id=1lap-UpJzCNerRiNvj43xZwnpgpj6Eag4</v>
      </c>
      <c r="R108" s="88" t="s">
        <v>1101</v>
      </c>
      <c r="S108" s="20" t="str">
        <f ca="1">IFERROR(__xludf.DUMMYFUNCTION("IFERROR(vlookup(B108,IMPORTRANGE(""https://docs.google.com/spreadsheets/d/1g_jfYYK_KeipEDNDUgqgrsxK94XiocfNQIcP-v1QVhI/edit?resourcekey#gid=233272945"",""Nilai!B:CT""),57,0),"" "")"),"Bab 2 hanya fokus pada dasar teori dan karakterisasi, bukan yang mendukung pada variabel penelitian. Bab 3 variabel, RAB diperbaiki penelitian hanya 1?Hanya 3 benda uji?")</f>
        <v>Bab 2 hanya fokus pada dasar teori dan karakterisasi, bukan yang mendukung pada variabel penelitian. Bab 3 variabel, RAB diperbaiki penelitian hanya 1?Hanya 3 benda uji?</v>
      </c>
      <c r="T108" s="20" t="str">
        <f ca="1">IFERROR(__xludf.DUMMYFUNCTION("IFERROR(vlookup(B108,IMPORTRANGE(""https://docs.google.com/spreadsheets/d/1g_jfYYK_KeipEDNDUgqgrsxK94XiocfNQIcP-v1QVhI/edit?resourcekey#gid=233272945"",""Nilai!B:CT""),97,0),"" "")"),"LAYAK UPLOAD KE SIMBELMAWA DENGAN REVISI")</f>
        <v>LAYAK UPLOAD KE SIMBELMAWA DENGAN REVISI</v>
      </c>
      <c r="U108" s="36" t="s">
        <v>825</v>
      </c>
      <c r="V108" s="85" t="s">
        <v>1102</v>
      </c>
      <c r="W108" s="58" t="s">
        <v>1176</v>
      </c>
      <c r="X108" s="34" t="b">
        <v>0</v>
      </c>
    </row>
    <row r="109" spans="1:24" ht="72">
      <c r="A109" s="15">
        <v>107</v>
      </c>
      <c r="B109" s="15">
        <f ca="1">IFERROR(__xludf.DUMMYFUNCTION("""COMPUTED_VALUE"""),2286)</f>
        <v>2286</v>
      </c>
      <c r="C109" s="16" t="str">
        <f ca="1">IFERROR(__xludf.DUMMYFUNCTION("""COMPUTED_VALUE"""),"ANNISA AULIA")</f>
        <v>ANNISA AULIA</v>
      </c>
      <c r="D109" s="16" t="str">
        <f ca="1">IFERROR(__xludf.DUMMYFUNCTION("""COMPUTED_VALUE"""),"04311940000056")</f>
        <v>04311940000056</v>
      </c>
      <c r="E109" s="16" t="str">
        <f ca="1">IFERROR(__xludf.DUMMYFUNCTION("""COMPUTED_VALUE"""),"Departemen Teknik Kelautan")</f>
        <v>Departemen Teknik Kelautan</v>
      </c>
      <c r="F109" s="16" t="str">
        <f ca="1">IFERROR(__xludf.DUMMYFUNCTION("""COMPUTED_VALUE"""),"Studi Rasio Dimensi Penampang dan Sarat Air untuk Optimalisasi Efisiensi Sealed Buoy Absorber pada Perairan Indonesia berdasarkan Boundary Element Method
")</f>
        <v xml:space="preserve">Studi Rasio Dimensi Penampang dan Sarat Air untuk Optimalisasi Efisiensi Sealed Buoy Absorber pada Perairan Indonesia berdasarkan Boundary Element Method
</v>
      </c>
      <c r="G109" s="16" t="str">
        <f ca="1">IFERROR(__xludf.DUMMYFUNCTION("""COMPUTED_VALUE"""),"Dr. Dendy Satrio, S.ST.")</f>
        <v>Dr. Dendy Satrio, S.ST.</v>
      </c>
      <c r="H109" s="16" t="str">
        <f ca="1">IFERROR(__xludf.DUMMYFUNCTION("""COMPUTED_VALUE"""),"Dr. Dhany Arifianto, S.T., M.Eng.")</f>
        <v>Dr. Dhany Arifianto, S.T., M.Eng.</v>
      </c>
      <c r="I109" s="16" t="str">
        <f ca="1">IFERROR(__xludf.DUMMYFUNCTION("""COMPUTED_VALUE"""),"Hamdan Dwi Rizqi, S.Si., M.Si.")</f>
        <v>Hamdan Dwi Rizqi, S.Si., M.Si.</v>
      </c>
      <c r="J109" s="16"/>
      <c r="K109" s="17" t="s">
        <v>1175</v>
      </c>
      <c r="L109" s="58" t="s">
        <v>1173</v>
      </c>
      <c r="M109" s="19" t="b">
        <v>1</v>
      </c>
      <c r="N109" s="19" t="b">
        <v>0</v>
      </c>
      <c r="O109" s="1" t="s">
        <v>1174</v>
      </c>
      <c r="P109" s="7" t="str">
        <f ca="1">IFERROR(__xludf.DUMMYFUNCTION("iferror(vlookup(B109,importrange(""https://docs.google.com/spreadsheets/d/1boHyJQ4e2FU0QG8MHwEi6qjX4hvZWVCHcFfXjq7bbMc/edit?resourcekey#gid=923248883"",""Prop!$C$1:$M""),11,0),IFERROR(vlookup(B109,importrange(""https://docs.google.com/spreadsheets/d/1boHy"&amp;"JQ4e2FU0QG8MHwEi6qjX4hvZWVCHcFfXjq7bbMc/edit?resourcekey#gid=923248883"",""Prop!$N$1:$X""),11,0),iferror(vlookup(B109,importrange(""https://docs.google.com/spreadsheets/d/1boHyJQ4e2FU0QG8MHwEi6qjX4hvZWVCHcFfXjq7bbMc/edit?resourcekey#gid=923248883"",""Prop"&amp;"!$Y$1:$AI""),11,0),iferror(vlookup(B109,importrange(""https://docs.google.com/spreadsheets/d/1boHyJQ4e2FU0QG8MHwEi6qjX4hvZWVCHcFfXjq7bbMc/edit?resourcekey#gid=923248883"",""Prop!$AJ$1:$AT""),11,0),iferror(vlookup(B109,importrange(""https://docs.google.com"&amp;"/spreadsheets/d/1boHyJQ4e2FU0QG8MHwEi6qjX4hvZWVCHcFfXjq7bbMc/edit?resourcekey#gid=923248883"",""Prop!$AU$1:$BE""),11,0),iferror(vlookup(B109,importrange(""https://docs.google.com/spreadsheets/d/1boHyJQ4e2FU0QG8MHwEi6qjX4hvZWVCHcFfXjq7bbMc/edit?resourcekey"&amp;"#gid=923248883"",""Prop!$BF$1:$BP""),11,0),iferror(vlookup(B109,importrange(""https://docs.google.com/spreadsheets/d/1boHyJQ4e2FU0QG8MHwEi6qjX4hvZWVCHcFfXjq7bbMc/edit?resourcekey#gid=923248883"",""Prop!$BQ$1:$CA""),11,0),iferror(vlookup(B109,importrange("&amp;"""https://docs.google.com/spreadsheets/d/1boHyJQ4e2FU0QG8MHwEi6qjX4hvZWVCHcFfXjq7bbMc/edit?resourcekey#gid=923248883"",""Prop!$CB$1:$CL""),11,0),iferror(vlookup(B109,importrange(""https://docs.google.com/spreadsheets/d/1boHyJQ4e2FU0QG8MHwEi6qjX4hvZWVCHcFf"&amp;"Xjq7bbMc/edit?resourcekey#gid=923248883"",""Prop!$CM$1:$CX""),12,0),iferror(vlookup(B109,importrange(""https://docs.google.com/spreadsheets/d/1boHyJQ4e2FU0QG8MHwEi6qjX4hvZWVCHcFfXjq7bbMc/edit?resourcekey#gid=923248883"",""Prop!$CV$1:$DI""),11,0)))))))))))"),"https://drive.google.com/open?id=1rhQBs6GHExF3TZS97knkswVRJY3_B0NV")</f>
        <v>https://drive.google.com/open?id=1rhQBs6GHExF3TZS97knkswVRJY3_B0NV</v>
      </c>
      <c r="Q109" s="7" t="str">
        <f ca="1">IFERROR(__xludf.DUMMYFUNCTION("iferror(vlookup(B109,importrange(""https://docs.google.com/spreadsheets/d/1p53T2AuvvIqhP7Nf-bo3Uhj8cbKYRPpZdsrBv3x3bAQ/edit?resourcekey#gid=1321652304"",""Prop!$C$1:$M""),11,0),IFERROR(vlookup(B109,importrange(""https://docs.google.com/spreadsheets/d/1p53"&amp;"T2AuvvIqhP7Nf-bo3Uhj8cbKYRPpZdsrBv3x3bAQ/edit?resourcekey#gid=1321652304"",""Prop!$N$1:$X""),11,0),iferror(vlookup(B109,importrange(""https://docs.google.com/spreadsheets/d/1p53T2AuvvIqhP7Nf-bo3Uhj8cbKYRPpZdsrBv3x3bAQ/edit?resourcekey#gid=1321652304"",""P"&amp;"rop!$Y$1:$AI""),11,0),iferror(vlookup(B109,importrange(""https://docs.google.com/spreadsheets/d/1p53T2AuvvIqhP7Nf-bo3Uhj8cbKYRPpZdsrBv3x3bAQ/edit?resourcekey#gid=1321652304"",""Prop!$AJ$1:$AT""),11,0),iferror(vlookup(B109,importrange(""https://docs.google"&amp;".com/spreadsheets/d/1p53T2AuvvIqhP7Nf-bo3Uhj8cbKYRPpZdsrBv3x3bAQ/edit?resourcekey#gid=1321652304"",""Prop!$AU$1:$BE""),11,0),iferror(vlookup(B109,importrange(""https://docs.google.com/spreadsheets/d/1p53T2AuvvIqhP7Nf-bo3Uhj8cbKYRPpZdsrBv3x3bAQ/edit?resour"&amp;"cekey#gid=1321652304"",""Prop!$BF$1:$BP""),11,0),iferror(vlookup(B109,importrange(""https://docs.google.com/spreadsheets/d/1p53T2AuvvIqhP7Nf-bo3Uhj8cbKYRPpZdsrBv3x3bAQ/edit?resourcekey#gid=1321652304"",""Prop!$BQ$1:$CA""),11,0),iferror(vlookup(B109,import"&amp;"range(""https://docs.google.com/spreadsheets/d/1p53T2AuvvIqhP7Nf-bo3Uhj8cbKYRPpZdsrBv3x3bAQ/edit?resourcekey#gid=1321652304"",""Prop!$CB$1:$CL""),11,0),iferror(vlookup(B109,importrange(""https://docs.google.com/spreadsheets/d/1p53T2AuvvIqhP7Nf-bo3Uhj8cbKY"&amp;"RPpZdsrBv3x3bAQ/edit?resourcekey#gid=1321652304"",""Prop!$CM$1:$CX""),11,0),iferror(vlookup(B109,importrange(""https://docs.google.com/spreadsheets/d/1p53T2AuvvIqhP7Nf-bo3Uhj8cbKYRPpZdsrBv3x3bAQ/edit?resourcekey#gid=1321652304"",""Prop!$CY$1:$DI""),11,0))"&amp;")))))))))"),"https://drive.google.com/open?id=1aemiqQl29JRyCs2WOmMlsr3mERnvZ8Oq")</f>
        <v>https://drive.google.com/open?id=1aemiqQl29JRyCs2WOmMlsr3mERnvZ8Oq</v>
      </c>
      <c r="R109" s="88" t="s">
        <v>1101</v>
      </c>
      <c r="S109" s="20" t="str">
        <f ca="1">IFERROR(__xludf.DUMMYFUNCTION("IFERROR(vlookup(B109,IMPORTRANGE(""https://docs.google.com/spreadsheets/d/1g_jfYYK_KeipEDNDUgqgrsxK94XiocfNQIcP-v1QVhI/edit?resourcekey#gid=233272945"",""Nilai!B:CT""),57,0),"" "")"),"Hanya fokus pada permodelan/simulasi, tampak pada RAB biaya tinggi hanya untuk software")</f>
        <v>Hanya fokus pada permodelan/simulasi, tampak pada RAB biaya tinggi hanya untuk software</v>
      </c>
      <c r="T109" s="20" t="str">
        <f ca="1">IFERROR(__xludf.DUMMYFUNCTION("IFERROR(vlookup(B109,IMPORTRANGE(""https://docs.google.com/spreadsheets/d/1g_jfYYK_KeipEDNDUgqgrsxK94XiocfNQIcP-v1QVhI/edit?resourcekey#gid=233272945"",""Nilai!B:CT""),97,0),"" "")"),"LAYAK UPLOAD KE SIMBELMAWA DENGAN REVISI")</f>
        <v>LAYAK UPLOAD KE SIMBELMAWA DENGAN REVISI</v>
      </c>
      <c r="U109" s="36" t="s">
        <v>825</v>
      </c>
      <c r="V109" s="85" t="s">
        <v>1102</v>
      </c>
      <c r="W109" s="58" t="s">
        <v>1176</v>
      </c>
      <c r="X109" s="34" t="s">
        <v>949</v>
      </c>
    </row>
    <row r="110" spans="1:24" ht="69">
      <c r="A110" s="15">
        <v>108</v>
      </c>
      <c r="B110" s="15">
        <f ca="1">IFERROR(__xludf.DUMMYFUNCTION("""COMPUTED_VALUE"""),3164)</f>
        <v>3164</v>
      </c>
      <c r="C110" s="16" t="str">
        <f ca="1">IFERROR(__xludf.DUMMYFUNCTION("""COMPUTED_VALUE"""),"INDY PEDRO NATANAEL SIHOMBING")</f>
        <v>INDY PEDRO NATANAEL SIHOMBING</v>
      </c>
      <c r="D110" s="16" t="str">
        <f ca="1">IFERROR(__xludf.DUMMYFUNCTION("""COMPUTED_VALUE"""),"5012201169")</f>
        <v>5012201169</v>
      </c>
      <c r="E110" s="16" t="str">
        <f ca="1">IFERROR(__xludf.DUMMYFUNCTION("""COMPUTED_VALUE"""),"Departemen Teknik Sipil")</f>
        <v>Departemen Teknik Sipil</v>
      </c>
      <c r="F110" s="16" t="str">
        <f ca="1">IFERROR(__xludf.DUMMYFUNCTION("""COMPUTED_VALUE"""),"PEMANFAATAN ABU SEKAM PADI UNTUK PENGGANTI SILIKA PADA PEMBUATAN FERROCK SEBAGAI BAHAN BANGUNAN YANG RAMAH LINGKUNGAN")</f>
        <v>PEMANFAATAN ABU SEKAM PADI UNTUK PENGGANTI SILIKA PADA PEMBUATAN FERROCK SEBAGAI BAHAN BANGUNAN YANG RAMAH LINGKUNGAN</v>
      </c>
      <c r="G110" s="16" t="str">
        <f ca="1">IFERROR(__xludf.DUMMYFUNCTION("""COMPUTED_VALUE"""),"Dr. Candra Irawan, S.T., M.T.")</f>
        <v>Dr. Candra Irawan, S.T., M.T.</v>
      </c>
      <c r="H110" s="16" t="str">
        <f ca="1">IFERROR(__xludf.DUMMYFUNCTION("""COMPUTED_VALUE"""),"Alief Wikarta, ST., MSc.Eng. Ph.D")</f>
        <v>Alief Wikarta, ST., MSc.Eng. Ph.D</v>
      </c>
      <c r="I110" s="16" t="str">
        <f ca="1">IFERROR(__xludf.DUMMYFUNCTION("""COMPUTED_VALUE"""),"Juan Pandu Gya Nur Rochman, S.Si., M.T.")</f>
        <v>Juan Pandu Gya Nur Rochman, S.Si., M.T.</v>
      </c>
      <c r="J110" s="16"/>
      <c r="K110" s="17" t="s">
        <v>1175</v>
      </c>
      <c r="L110" s="58" t="s">
        <v>1173</v>
      </c>
      <c r="M110" s="19" t="b">
        <v>1</v>
      </c>
      <c r="N110" s="19" t="b">
        <v>0</v>
      </c>
      <c r="O110" s="1" t="s">
        <v>1177</v>
      </c>
      <c r="P110" s="7" t="str">
        <f ca="1">IFERROR(__xludf.DUMMYFUNCTION("iferror(vlookup(B110,importrange(""https://docs.google.com/spreadsheets/d/1boHyJQ4e2FU0QG8MHwEi6qjX4hvZWVCHcFfXjq7bbMc/edit?resourcekey#gid=923248883"",""Prop!$C$1:$M""),11,0),IFERROR(vlookup(B110,importrange(""https://docs.google.com/spreadsheets/d/1boHy"&amp;"JQ4e2FU0QG8MHwEi6qjX4hvZWVCHcFfXjq7bbMc/edit?resourcekey#gid=923248883"",""Prop!$N$1:$X""),11,0),iferror(vlookup(B110,importrange(""https://docs.google.com/spreadsheets/d/1boHyJQ4e2FU0QG8MHwEi6qjX4hvZWVCHcFfXjq7bbMc/edit?resourcekey#gid=923248883"",""Prop"&amp;"!$Y$1:$AI""),11,0),iferror(vlookup(B110,importrange(""https://docs.google.com/spreadsheets/d/1boHyJQ4e2FU0QG8MHwEi6qjX4hvZWVCHcFfXjq7bbMc/edit?resourcekey#gid=923248883"",""Prop!$AJ$1:$AT""),11,0),iferror(vlookup(B110,importrange(""https://docs.google.com"&amp;"/spreadsheets/d/1boHyJQ4e2FU0QG8MHwEi6qjX4hvZWVCHcFfXjq7bbMc/edit?resourcekey#gid=923248883"",""Prop!$AU$1:$BE""),11,0),iferror(vlookup(B110,importrange(""https://docs.google.com/spreadsheets/d/1boHyJQ4e2FU0QG8MHwEi6qjX4hvZWVCHcFfXjq7bbMc/edit?resourcekey"&amp;"#gid=923248883"",""Prop!$BF$1:$BP""),11,0),iferror(vlookup(B110,importrange(""https://docs.google.com/spreadsheets/d/1boHyJQ4e2FU0QG8MHwEi6qjX4hvZWVCHcFfXjq7bbMc/edit?resourcekey#gid=923248883"",""Prop!$BQ$1:$CA""),11,0),iferror(vlookup(B110,importrange("&amp;"""https://docs.google.com/spreadsheets/d/1boHyJQ4e2FU0QG8MHwEi6qjX4hvZWVCHcFfXjq7bbMc/edit?resourcekey#gid=923248883"",""Prop!$CB$1:$CL""),11,0),iferror(vlookup(B110,importrange(""https://docs.google.com/spreadsheets/d/1boHyJQ4e2FU0QG8MHwEi6qjX4hvZWVCHcFf"&amp;"Xjq7bbMc/edit?resourcekey#gid=923248883"",""Prop!$CM$1:$CX""),12,0),iferror(vlookup(B110,importrange(""https://docs.google.com/spreadsheets/d/1boHyJQ4e2FU0QG8MHwEi6qjX4hvZWVCHcFfXjq7bbMc/edit?resourcekey#gid=923248883"",""Prop!$CV$1:$DI""),11,0)))))))))))"),"https://drive.google.com/open?id=1MP3oJai5Ju12vbMCzGPPJ5Uxq43bG5pp")</f>
        <v>https://drive.google.com/open?id=1MP3oJai5Ju12vbMCzGPPJ5Uxq43bG5pp</v>
      </c>
      <c r="Q110" s="7" t="str">
        <f ca="1">IFERROR(__xludf.DUMMYFUNCTION("iferror(vlookup(B110,importrange(""https://docs.google.com/spreadsheets/d/1p53T2AuvvIqhP7Nf-bo3Uhj8cbKYRPpZdsrBv3x3bAQ/edit?resourcekey#gid=1321652304"",""Prop!$C$1:$M""),11,0),IFERROR(vlookup(B110,importrange(""https://docs.google.com/spreadsheets/d/1p53"&amp;"T2AuvvIqhP7Nf-bo3Uhj8cbKYRPpZdsrBv3x3bAQ/edit?resourcekey#gid=1321652304"",""Prop!$N$1:$X""),11,0),iferror(vlookup(B110,importrange(""https://docs.google.com/spreadsheets/d/1p53T2AuvvIqhP7Nf-bo3Uhj8cbKYRPpZdsrBv3x3bAQ/edit?resourcekey#gid=1321652304"",""P"&amp;"rop!$Y$1:$AI""),11,0),iferror(vlookup(B110,importrange(""https://docs.google.com/spreadsheets/d/1p53T2AuvvIqhP7Nf-bo3Uhj8cbKYRPpZdsrBv3x3bAQ/edit?resourcekey#gid=1321652304"",""Prop!$AJ$1:$AT""),11,0),iferror(vlookup(B110,importrange(""https://docs.google"&amp;".com/spreadsheets/d/1p53T2AuvvIqhP7Nf-bo3Uhj8cbKYRPpZdsrBv3x3bAQ/edit?resourcekey#gid=1321652304"",""Prop!$AU$1:$BE""),11,0),iferror(vlookup(B110,importrange(""https://docs.google.com/spreadsheets/d/1p53T2AuvvIqhP7Nf-bo3Uhj8cbKYRPpZdsrBv3x3bAQ/edit?resour"&amp;"cekey#gid=1321652304"",""Prop!$BF$1:$BP""),11,0),iferror(vlookup(B110,importrange(""https://docs.google.com/spreadsheets/d/1p53T2AuvvIqhP7Nf-bo3Uhj8cbKYRPpZdsrBv3x3bAQ/edit?resourcekey#gid=1321652304"",""Prop!$BQ$1:$CA""),11,0),iferror(vlookup(B110,import"&amp;"range(""https://docs.google.com/spreadsheets/d/1p53T2AuvvIqhP7Nf-bo3Uhj8cbKYRPpZdsrBv3x3bAQ/edit?resourcekey#gid=1321652304"",""Prop!$CB$1:$CL""),11,0),iferror(vlookup(B110,importrange(""https://docs.google.com/spreadsheets/d/1p53T2AuvvIqhP7Nf-bo3Uhj8cbKY"&amp;"RPpZdsrBv3x3bAQ/edit?resourcekey#gid=1321652304"",""Prop!$CM$1:$CX""),11,0),iferror(vlookup(B110,importrange(""https://docs.google.com/spreadsheets/d/1p53T2AuvvIqhP7Nf-bo3Uhj8cbKYRPpZdsrBv3x3bAQ/edit?resourcekey#gid=1321652304"",""Prop!$CY$1:$DI""),11,0))"&amp;")))))))))"),"https://drive.google.com/open?id=1iIOq4L2BXcTfPVrAho9_jOXUWow4iPjb")</f>
        <v>https://drive.google.com/open?id=1iIOq4L2BXcTfPVrAho9_jOXUWow4iPjb</v>
      </c>
      <c r="R110" s="88" t="s">
        <v>1101</v>
      </c>
      <c r="S110" s="20" t="str">
        <f ca="1">IFERROR(__xludf.DUMMYFUNCTION("IFERROR(vlookup(B110,IMPORTRANGE(""https://docs.google.com/spreadsheets/d/1g_jfYYK_KeipEDNDUgqgrsxK94XiocfNQIcP-v1QVhI/edit?resourcekey#gid=233272945"",""Nilai!B:CT""),57,0),"" "")"),"sesuai hasil BIKOM")</f>
        <v>sesuai hasil BIKOM</v>
      </c>
      <c r="T110" s="20" t="str">
        <f ca="1">IFERROR(__xludf.DUMMYFUNCTION("IFERROR(vlookup(B110,IMPORTRANGE(""https://docs.google.com/spreadsheets/d/1g_jfYYK_KeipEDNDUgqgrsxK94XiocfNQIcP-v1QVhI/edit?resourcekey#gid=233272945"",""Nilai!B:CT""),97,0),"" "")"),"LAYAK UPLOAD KE SIMBELMAWA DENGAN REVISI")</f>
        <v>LAYAK UPLOAD KE SIMBELMAWA DENGAN REVISI</v>
      </c>
      <c r="U110" s="36" t="s">
        <v>825</v>
      </c>
      <c r="V110" s="85" t="s">
        <v>1102</v>
      </c>
      <c r="W110" s="58" t="s">
        <v>1176</v>
      </c>
      <c r="X110" s="34" t="s">
        <v>949</v>
      </c>
    </row>
    <row r="111" spans="1:24" ht="69">
      <c r="A111" s="15">
        <v>109</v>
      </c>
      <c r="B111" s="15">
        <f ca="1">IFERROR(__xludf.DUMMYFUNCTION("""COMPUTED_VALUE"""),3332)</f>
        <v>3332</v>
      </c>
      <c r="C111" s="16" t="str">
        <f ca="1">IFERROR(__xludf.DUMMYFUNCTION("""COMPUTED_VALUE"""),"BOY TRIONO HALOHO")</f>
        <v>BOY TRIONO HALOHO</v>
      </c>
      <c r="D111" s="16" t="str">
        <f ca="1">IFERROR(__xludf.DUMMYFUNCTION("""COMPUTED_VALUE"""),"2035201077")</f>
        <v>2035201077</v>
      </c>
      <c r="E111" s="16" t="str">
        <f ca="1">IFERROR(__xludf.DUMMYFUNCTION("""COMPUTED_VALUE"""),"Departemen Teknik Infrastruktur Sipil")</f>
        <v>Departemen Teknik Infrastruktur Sipil</v>
      </c>
      <c r="F111" s="16" t="str">
        <f ca="1">IFERROR(__xludf.DUMMYFUNCTION("""COMPUTED_VALUE"""),"Optimasi Penambahan Limbah Rice Husk Ash dan High Calsium Fly Ash Terhadap Kuat Tekan Geopolimer dengan Metode Curing Berbeda")</f>
        <v>Optimasi Penambahan Limbah Rice Husk Ash dan High Calsium Fly Ash Terhadap Kuat Tekan Geopolimer dengan Metode Curing Berbeda</v>
      </c>
      <c r="G111" s="16" t="str">
        <f ca="1">IFERROR(__xludf.DUMMYFUNCTION("""COMPUTED_VALUE"""),"Dr.Eng. Yuyun Tajunnisa, S.T., M.T.")</f>
        <v>Dr.Eng. Yuyun Tajunnisa, S.T., M.T.</v>
      </c>
      <c r="H111" s="16" t="str">
        <f ca="1">IFERROR(__xludf.DUMMYFUNCTION("""COMPUTED_VALUE"""),"Ahmad Fauzan Adziimaa, S.T., M.Sc.")</f>
        <v>Ahmad Fauzan Adziimaa, S.T., M.Sc.</v>
      </c>
      <c r="I111" s="16" t="str">
        <f ca="1">IFERROR(__xludf.DUMMYFUNCTION("""COMPUTED_VALUE"""),"Muhammad Syifaul Mufid, S.Si.,M.Si")</f>
        <v>Muhammad Syifaul Mufid, S.Si.,M.Si</v>
      </c>
      <c r="J111" s="16"/>
      <c r="K111" s="17" t="s">
        <v>1175</v>
      </c>
      <c r="L111" s="58" t="s">
        <v>1178</v>
      </c>
      <c r="M111" s="19" t="b">
        <v>1</v>
      </c>
      <c r="N111" s="19" t="b">
        <v>0</v>
      </c>
      <c r="O111" s="1" t="s">
        <v>1160</v>
      </c>
      <c r="P111" s="7" t="str">
        <f ca="1">IFERROR(__xludf.DUMMYFUNCTION("iferror(vlookup(B111,importrange(""https://docs.google.com/spreadsheets/d/1boHyJQ4e2FU0QG8MHwEi6qjX4hvZWVCHcFfXjq7bbMc/edit?resourcekey#gid=923248883"",""Prop!$C$1:$M""),11,0),IFERROR(vlookup(B111,importrange(""https://docs.google.com/spreadsheets/d/1boHy"&amp;"JQ4e2FU0QG8MHwEi6qjX4hvZWVCHcFfXjq7bbMc/edit?resourcekey#gid=923248883"",""Prop!$N$1:$X""),11,0),iferror(vlookup(B111,importrange(""https://docs.google.com/spreadsheets/d/1boHyJQ4e2FU0QG8MHwEi6qjX4hvZWVCHcFfXjq7bbMc/edit?resourcekey#gid=923248883"",""Prop"&amp;"!$Y$1:$AI""),11,0),iferror(vlookup(B111,importrange(""https://docs.google.com/spreadsheets/d/1boHyJQ4e2FU0QG8MHwEi6qjX4hvZWVCHcFfXjq7bbMc/edit?resourcekey#gid=923248883"",""Prop!$AJ$1:$AT""),11,0),iferror(vlookup(B111,importrange(""https://docs.google.com"&amp;"/spreadsheets/d/1boHyJQ4e2FU0QG8MHwEi6qjX4hvZWVCHcFfXjq7bbMc/edit?resourcekey#gid=923248883"",""Prop!$AU$1:$BE""),11,0),iferror(vlookup(B111,importrange(""https://docs.google.com/spreadsheets/d/1boHyJQ4e2FU0QG8MHwEi6qjX4hvZWVCHcFfXjq7bbMc/edit?resourcekey"&amp;"#gid=923248883"",""Prop!$BF$1:$BP""),11,0),iferror(vlookup(B111,importrange(""https://docs.google.com/spreadsheets/d/1boHyJQ4e2FU0QG8MHwEi6qjX4hvZWVCHcFfXjq7bbMc/edit?resourcekey#gid=923248883"",""Prop!$BQ$1:$CA""),11,0),iferror(vlookup(B111,importrange("&amp;"""https://docs.google.com/spreadsheets/d/1boHyJQ4e2FU0QG8MHwEi6qjX4hvZWVCHcFfXjq7bbMc/edit?resourcekey#gid=923248883"",""Prop!$CB$1:$CL""),11,0),iferror(vlookup(B111,importrange(""https://docs.google.com/spreadsheets/d/1boHyJQ4e2FU0QG8MHwEi6qjX4hvZWVCHcFf"&amp;"Xjq7bbMc/edit?resourcekey#gid=923248883"",""Prop!$CM$1:$CX""),12,0),iferror(vlookup(B111,importrange(""https://docs.google.com/spreadsheets/d/1boHyJQ4e2FU0QG8MHwEi6qjX4hvZWVCHcFfXjq7bbMc/edit?resourcekey#gid=923248883"",""Prop!$CV$1:$DI""),11,0)))))))))))"),"https://drive.google.com/open?id=1zXpYRV2Oc1U6xvErlz8yIxfo-I7WMIwt")</f>
        <v>https://drive.google.com/open?id=1zXpYRV2Oc1U6xvErlz8yIxfo-I7WMIwt</v>
      </c>
      <c r="Q111" s="7" t="str">
        <f ca="1">IFERROR(__xludf.DUMMYFUNCTION("iferror(vlookup(B111,importrange(""https://docs.google.com/spreadsheets/d/1p53T2AuvvIqhP7Nf-bo3Uhj8cbKYRPpZdsrBv3x3bAQ/edit?resourcekey#gid=1321652304"",""Prop!$C$1:$M""),11,0),IFERROR(vlookup(B111,importrange(""https://docs.google.com/spreadsheets/d/1p53"&amp;"T2AuvvIqhP7Nf-bo3Uhj8cbKYRPpZdsrBv3x3bAQ/edit?resourcekey#gid=1321652304"",""Prop!$N$1:$X""),11,0),iferror(vlookup(B111,importrange(""https://docs.google.com/spreadsheets/d/1p53T2AuvvIqhP7Nf-bo3Uhj8cbKYRPpZdsrBv3x3bAQ/edit?resourcekey#gid=1321652304"",""P"&amp;"rop!$Y$1:$AI""),11,0),iferror(vlookup(B111,importrange(""https://docs.google.com/spreadsheets/d/1p53T2AuvvIqhP7Nf-bo3Uhj8cbKYRPpZdsrBv3x3bAQ/edit?resourcekey#gid=1321652304"",""Prop!$AJ$1:$AT""),11,0),iferror(vlookup(B111,importrange(""https://docs.google"&amp;".com/spreadsheets/d/1p53T2AuvvIqhP7Nf-bo3Uhj8cbKYRPpZdsrBv3x3bAQ/edit?resourcekey#gid=1321652304"",""Prop!$AU$1:$BE""),11,0),iferror(vlookup(B111,importrange(""https://docs.google.com/spreadsheets/d/1p53T2AuvvIqhP7Nf-bo3Uhj8cbKYRPpZdsrBv3x3bAQ/edit?resour"&amp;"cekey#gid=1321652304"",""Prop!$BF$1:$BP""),11,0),iferror(vlookup(B111,importrange(""https://docs.google.com/spreadsheets/d/1p53T2AuvvIqhP7Nf-bo3Uhj8cbKYRPpZdsrBv3x3bAQ/edit?resourcekey#gid=1321652304"",""Prop!$BQ$1:$CA""),11,0),iferror(vlookup(B111,import"&amp;"range(""https://docs.google.com/spreadsheets/d/1p53T2AuvvIqhP7Nf-bo3Uhj8cbKYRPpZdsrBv3x3bAQ/edit?resourcekey#gid=1321652304"",""Prop!$CB$1:$CL""),11,0),iferror(vlookup(B111,importrange(""https://docs.google.com/spreadsheets/d/1p53T2AuvvIqhP7Nf-bo3Uhj8cbKY"&amp;"RPpZdsrBv3x3bAQ/edit?resourcekey#gid=1321652304"",""Prop!$CM$1:$CX""),11,0),iferror(vlookup(B111,importrange(""https://docs.google.com/spreadsheets/d/1p53T2AuvvIqhP7Nf-bo3Uhj8cbKYRPpZdsrBv3x3bAQ/edit?resourcekey#gid=1321652304"",""Prop!$CY$1:$DI""),11,0))"&amp;")))))))))"),"https://drive.google.com/open?id=1xCOQK_pmOR9befZo2iuvCVEbg0QRPH7P")</f>
        <v>https://drive.google.com/open?id=1xCOQK_pmOR9befZo2iuvCVEbg0QRPH7P</v>
      </c>
      <c r="R111" s="88" t="s">
        <v>1101</v>
      </c>
      <c r="S111" s="20" t="str">
        <f ca="1">IFERROR(__xludf.DUMMYFUNCTION("IFERROR(vlookup(B111,IMPORTRANGE(""https://docs.google.com/spreadsheets/d/1g_jfYYK_KeipEDNDUgqgrsxK94XiocfNQIcP-v1QVhI/edit?resourcekey#gid=233272945"",""Nilai!B:CT""),57,0),"" "")"),"")</f>
        <v/>
      </c>
      <c r="T111" s="20" t="str">
        <f ca="1">IFERROR(__xludf.DUMMYFUNCTION("IFERROR(vlookup(B111,IMPORTRANGE(""https://docs.google.com/spreadsheets/d/1g_jfYYK_KeipEDNDUgqgrsxK94XiocfNQIcP-v1QVhI/edit?resourcekey#gid=233272945"",""Nilai!B:CT""),97,0),"" "")"),"LAYAK UPLOAD KE SIMBELMAWA DENGAN REVISI")</f>
        <v>LAYAK UPLOAD KE SIMBELMAWA DENGAN REVISI</v>
      </c>
      <c r="U111" s="36" t="s">
        <v>825</v>
      </c>
      <c r="V111" s="85" t="s">
        <v>1102</v>
      </c>
      <c r="W111" s="58" t="s">
        <v>1176</v>
      </c>
      <c r="X111" s="34" t="s">
        <v>949</v>
      </c>
    </row>
    <row r="112" spans="1:24" ht="57.6">
      <c r="A112" s="15">
        <v>110</v>
      </c>
      <c r="B112" s="15">
        <f ca="1">IFERROR(__xludf.DUMMYFUNCTION("""COMPUTED_VALUE"""),3788)</f>
        <v>3788</v>
      </c>
      <c r="C112" s="16" t="str">
        <f ca="1">IFERROR(__xludf.DUMMYFUNCTION("""COMPUTED_VALUE"""),"MUHAMMAD IDRIS ROMADLY")</f>
        <v>MUHAMMAD IDRIS ROMADLY</v>
      </c>
      <c r="D112" s="16" t="str">
        <f ca="1">IFERROR(__xludf.DUMMYFUNCTION("""COMPUTED_VALUE"""),"07111840000170")</f>
        <v>07111840000170</v>
      </c>
      <c r="E112" s="16" t="str">
        <f ca="1">IFERROR(__xludf.DUMMYFUNCTION("""COMPUTED_VALUE"""),"Departemen Teknik Elektro")</f>
        <v>Departemen Teknik Elektro</v>
      </c>
      <c r="F112" s="16" t="str">
        <f ca="1">IFERROR(__xludf.DUMMYFUNCTION("""COMPUTED_VALUE"""),"Potensi Base Station Diversity pada Sistem Nirkabel 6G dengan Link THz dan Visible Light di Wilayah Tropis Maritim")</f>
        <v>Potensi Base Station Diversity pada Sistem Nirkabel 6G dengan Link THz dan Visible Light di Wilayah Tropis Maritim</v>
      </c>
      <c r="G112" s="16" t="str">
        <f ca="1">IFERROR(__xludf.DUMMYFUNCTION("""COMPUTED_VALUE"""),"Prof. Ir. Gamantyo Hendrantoro, M.Eng., Ph.D.")</f>
        <v>Prof. Ir. Gamantyo Hendrantoro, M.Eng., Ph.D.</v>
      </c>
      <c r="H112" s="16" t="str">
        <f ca="1">IFERROR(__xludf.DUMMYFUNCTION("""COMPUTED_VALUE"""),"Dr.-Ing. Doty Dewi Risanti, S.T., M.T.")</f>
        <v>Dr.-Ing. Doty Dewi Risanti, S.T., M.T.</v>
      </c>
      <c r="I112" s="16" t="str">
        <f ca="1">IFERROR(__xludf.DUMMYFUNCTION("""COMPUTED_VALUE"""),"Dr. Candra Irawan, S.T., M.T.")</f>
        <v>Dr. Candra Irawan, S.T., M.T.</v>
      </c>
      <c r="J112" s="16"/>
      <c r="K112" s="17" t="s">
        <v>1175</v>
      </c>
      <c r="L112" s="58" t="s">
        <v>1178</v>
      </c>
      <c r="M112" s="19" t="b">
        <v>1</v>
      </c>
      <c r="N112" s="19" t="b">
        <v>0</v>
      </c>
      <c r="O112" s="1" t="s">
        <v>1160</v>
      </c>
      <c r="P112" s="7" t="str">
        <f ca="1">IFERROR(__xludf.DUMMYFUNCTION("iferror(vlookup(B112,importrange(""https://docs.google.com/spreadsheets/d/1boHyJQ4e2FU0QG8MHwEi6qjX4hvZWVCHcFfXjq7bbMc/edit?resourcekey#gid=923248883"",""Prop!$C$1:$M""),11,0),IFERROR(vlookup(B112,importrange(""https://docs.google.com/spreadsheets/d/1boHy"&amp;"JQ4e2FU0QG8MHwEi6qjX4hvZWVCHcFfXjq7bbMc/edit?resourcekey#gid=923248883"",""Prop!$N$1:$X""),11,0),iferror(vlookup(B112,importrange(""https://docs.google.com/spreadsheets/d/1boHyJQ4e2FU0QG8MHwEi6qjX4hvZWVCHcFfXjq7bbMc/edit?resourcekey#gid=923248883"",""Prop"&amp;"!$Y$1:$AI""),11,0),iferror(vlookup(B112,importrange(""https://docs.google.com/spreadsheets/d/1boHyJQ4e2FU0QG8MHwEi6qjX4hvZWVCHcFfXjq7bbMc/edit?resourcekey#gid=923248883"",""Prop!$AJ$1:$AT""),11,0),iferror(vlookup(B112,importrange(""https://docs.google.com"&amp;"/spreadsheets/d/1boHyJQ4e2FU0QG8MHwEi6qjX4hvZWVCHcFfXjq7bbMc/edit?resourcekey#gid=923248883"",""Prop!$AU$1:$BE""),11,0),iferror(vlookup(B112,importrange(""https://docs.google.com/spreadsheets/d/1boHyJQ4e2FU0QG8MHwEi6qjX4hvZWVCHcFfXjq7bbMc/edit?resourcekey"&amp;"#gid=923248883"",""Prop!$BF$1:$BP""),11,0),iferror(vlookup(B112,importrange(""https://docs.google.com/spreadsheets/d/1boHyJQ4e2FU0QG8MHwEi6qjX4hvZWVCHcFfXjq7bbMc/edit?resourcekey#gid=923248883"",""Prop!$BQ$1:$CA""),11,0),iferror(vlookup(B112,importrange("&amp;"""https://docs.google.com/spreadsheets/d/1boHyJQ4e2FU0QG8MHwEi6qjX4hvZWVCHcFfXjq7bbMc/edit?resourcekey#gid=923248883"",""Prop!$CB$1:$CL""),11,0),iferror(vlookup(B112,importrange(""https://docs.google.com/spreadsheets/d/1boHyJQ4e2FU0QG8MHwEi6qjX4hvZWVCHcFf"&amp;"Xjq7bbMc/edit?resourcekey#gid=923248883"",""Prop!$CM$1:$CX""),12,0),iferror(vlookup(B112,importrange(""https://docs.google.com/spreadsheets/d/1boHyJQ4e2FU0QG8MHwEi6qjX4hvZWVCHcFfXjq7bbMc/edit?resourcekey#gid=923248883"",""Prop!$CV$1:$DI""),11,0)))))))))))"),"https://drive.google.com/open?id=1E_DqhkcR_gcQ_hvliic7-23PggX4g2w0")</f>
        <v>https://drive.google.com/open?id=1E_DqhkcR_gcQ_hvliic7-23PggX4g2w0</v>
      </c>
      <c r="Q112" s="7" t="str">
        <f ca="1">IFERROR(__xludf.DUMMYFUNCTION("iferror(vlookup(B112,importrange(""https://docs.google.com/spreadsheets/d/1p53T2AuvvIqhP7Nf-bo3Uhj8cbKYRPpZdsrBv3x3bAQ/edit?resourcekey#gid=1321652304"",""Prop!$C$1:$M""),11,0),IFERROR(vlookup(B112,importrange(""https://docs.google.com/spreadsheets/d/1p53"&amp;"T2AuvvIqhP7Nf-bo3Uhj8cbKYRPpZdsrBv3x3bAQ/edit?resourcekey#gid=1321652304"",""Prop!$N$1:$X""),11,0),iferror(vlookup(B112,importrange(""https://docs.google.com/spreadsheets/d/1p53T2AuvvIqhP7Nf-bo3Uhj8cbKYRPpZdsrBv3x3bAQ/edit?resourcekey#gid=1321652304"",""P"&amp;"rop!$Y$1:$AI""),11,0),iferror(vlookup(B112,importrange(""https://docs.google.com/spreadsheets/d/1p53T2AuvvIqhP7Nf-bo3Uhj8cbKYRPpZdsrBv3x3bAQ/edit?resourcekey#gid=1321652304"",""Prop!$AJ$1:$AT""),11,0),iferror(vlookup(B112,importrange(""https://docs.google"&amp;".com/spreadsheets/d/1p53T2AuvvIqhP7Nf-bo3Uhj8cbKYRPpZdsrBv3x3bAQ/edit?resourcekey#gid=1321652304"",""Prop!$AU$1:$BE""),11,0),iferror(vlookup(B112,importrange(""https://docs.google.com/spreadsheets/d/1p53T2AuvvIqhP7Nf-bo3Uhj8cbKYRPpZdsrBv3x3bAQ/edit?resour"&amp;"cekey#gid=1321652304"",""Prop!$BF$1:$BP""),11,0),iferror(vlookup(B112,importrange(""https://docs.google.com/spreadsheets/d/1p53T2AuvvIqhP7Nf-bo3Uhj8cbKYRPpZdsrBv3x3bAQ/edit?resourcekey#gid=1321652304"",""Prop!$BQ$1:$CA""),11,0),iferror(vlookup(B112,import"&amp;"range(""https://docs.google.com/spreadsheets/d/1p53T2AuvvIqhP7Nf-bo3Uhj8cbKYRPpZdsrBv3x3bAQ/edit?resourcekey#gid=1321652304"",""Prop!$CB$1:$CL""),11,0),iferror(vlookup(B112,importrange(""https://docs.google.com/spreadsheets/d/1p53T2AuvvIqhP7Nf-bo3Uhj8cbKY"&amp;"RPpZdsrBv3x3bAQ/edit?resourcekey#gid=1321652304"",""Prop!$CM$1:$CX""),11,0),iferror(vlookup(B112,importrange(""https://docs.google.com/spreadsheets/d/1p53T2AuvvIqhP7Nf-bo3Uhj8cbKYRPpZdsrBv3x3bAQ/edit?resourcekey#gid=1321652304"",""Prop!$CY$1:$DI""),11,0))"&amp;")))))))))"),"https://drive.google.com/open?id=1mNlEQwOWj_enxUfFswJUB8-BtJRGWOMF")</f>
        <v>https://drive.google.com/open?id=1mNlEQwOWj_enxUfFswJUB8-BtJRGWOMF</v>
      </c>
      <c r="R112" s="88" t="s">
        <v>1101</v>
      </c>
      <c r="S112" s="20" t="str">
        <f ca="1">IFERROR(__xludf.DUMMYFUNCTION("IFERROR(vlookup(B112,IMPORTRANGE(""https://docs.google.com/spreadsheets/d/1g_jfYYK_KeipEDNDUgqgrsxK94XiocfNQIcP-v1QVhI/edit?resourcekey#gid=233272945"",""Nilai!B:CT""),57,0),"" "")"),"Bab 2 dominan dasar teori, proposal hanya permodelan simulasi saja, bahkan sangat tampak pada RAB")</f>
        <v>Bab 2 dominan dasar teori, proposal hanya permodelan simulasi saja, bahkan sangat tampak pada RAB</v>
      </c>
      <c r="T112" s="20" t="str">
        <f ca="1">IFERROR(__xludf.DUMMYFUNCTION("IFERROR(vlookup(B112,IMPORTRANGE(""https://docs.google.com/spreadsheets/d/1g_jfYYK_KeipEDNDUgqgrsxK94XiocfNQIcP-v1QVhI/edit?resourcekey#gid=233272945"",""Nilai!B:CT""),97,0),"" "")"),"TIDAK LAYAK UPLOAD KE SIMBELMAWA")</f>
        <v>TIDAK LAYAK UPLOAD KE SIMBELMAWA</v>
      </c>
      <c r="U112" s="36" t="s">
        <v>825</v>
      </c>
      <c r="V112" s="85" t="s">
        <v>1102</v>
      </c>
      <c r="W112" s="58" t="s">
        <v>1176</v>
      </c>
      <c r="X112" s="34" t="b">
        <v>0</v>
      </c>
    </row>
    <row r="113" spans="1:24" ht="69">
      <c r="A113" s="15">
        <v>111</v>
      </c>
      <c r="B113" s="15">
        <f ca="1">IFERROR(__xludf.DUMMYFUNCTION("""COMPUTED_VALUE"""),3929)</f>
        <v>3929</v>
      </c>
      <c r="C113" s="16" t="str">
        <f ca="1">IFERROR(__xludf.DUMMYFUNCTION("""COMPUTED_VALUE"""),"ANGGUN KURNIAWATI PRATIWI")</f>
        <v>ANGGUN KURNIAWATI PRATIWI</v>
      </c>
      <c r="D113" s="16" t="str">
        <f ca="1">IFERROR(__xludf.DUMMYFUNCTION("""COMPUTED_VALUE"""),"5004201075")</f>
        <v>5004201075</v>
      </c>
      <c r="E113" s="16" t="str">
        <f ca="1">IFERROR(__xludf.DUMMYFUNCTION("""COMPUTED_VALUE"""),"Departemen Kimia")</f>
        <v>Departemen Kimia</v>
      </c>
      <c r="F113" s="16" t="str">
        <f ca="1">IFERROR(__xludf.DUMMYFUNCTION("""COMPUTED_VALUE"""),"Pemanfaatan ZnO/HKUST-1/Kitosan sebagai Pelapis Antibakteri pada Kain Katun")</f>
        <v>Pemanfaatan ZnO/HKUST-1/Kitosan sebagai Pelapis Antibakteri pada Kain Katun</v>
      </c>
      <c r="G113" s="16" t="str">
        <f ca="1">IFERROR(__xludf.DUMMYFUNCTION("""COMPUTED_VALUE"""),"Dra. Ratna Ediati, MS., Ph.D.")</f>
        <v>Dra. Ratna Ediati, MS., Ph.D.</v>
      </c>
      <c r="H113" s="16" t="str">
        <f ca="1">IFERROR(__xludf.DUMMYFUNCTION("""COMPUTED_VALUE"""),"Ahmad Fauzan Adziimaa, S.T., M.Sc.")</f>
        <v>Ahmad Fauzan Adziimaa, S.T., M.Sc.</v>
      </c>
      <c r="I113" s="16" t="str">
        <f ca="1">IFERROR(__xludf.DUMMYFUNCTION("""COMPUTED_VALUE"""),"Tri Vicca Kusumadewi, S.T., M.Sc.")</f>
        <v>Tri Vicca Kusumadewi, S.T., M.Sc.</v>
      </c>
      <c r="J113" s="16"/>
      <c r="K113" s="17" t="s">
        <v>1175</v>
      </c>
      <c r="L113" s="58" t="s">
        <v>1178</v>
      </c>
      <c r="M113" s="19" t="b">
        <v>1</v>
      </c>
      <c r="N113" s="19" t="b">
        <v>0</v>
      </c>
      <c r="O113" s="1" t="s">
        <v>1160</v>
      </c>
      <c r="P113" s="7" t="str">
        <f ca="1">IFERROR(__xludf.DUMMYFUNCTION("iferror(vlookup(B113,importrange(""https://docs.google.com/spreadsheets/d/1boHyJQ4e2FU0QG8MHwEi6qjX4hvZWVCHcFfXjq7bbMc/edit?resourcekey#gid=923248883"",""Prop!$C$1:$M""),11,0),IFERROR(vlookup(B113,importrange(""https://docs.google.com/spreadsheets/d/1boHy"&amp;"JQ4e2FU0QG8MHwEi6qjX4hvZWVCHcFfXjq7bbMc/edit?resourcekey#gid=923248883"",""Prop!$N$1:$X""),11,0),iferror(vlookup(B113,importrange(""https://docs.google.com/spreadsheets/d/1boHyJQ4e2FU0QG8MHwEi6qjX4hvZWVCHcFfXjq7bbMc/edit?resourcekey#gid=923248883"",""Prop"&amp;"!$Y$1:$AI""),11,0),iferror(vlookup(B113,importrange(""https://docs.google.com/spreadsheets/d/1boHyJQ4e2FU0QG8MHwEi6qjX4hvZWVCHcFfXjq7bbMc/edit?resourcekey#gid=923248883"",""Prop!$AJ$1:$AT""),11,0),iferror(vlookup(B113,importrange(""https://docs.google.com"&amp;"/spreadsheets/d/1boHyJQ4e2FU0QG8MHwEi6qjX4hvZWVCHcFfXjq7bbMc/edit?resourcekey#gid=923248883"",""Prop!$AU$1:$BE""),11,0),iferror(vlookup(B113,importrange(""https://docs.google.com/spreadsheets/d/1boHyJQ4e2FU0QG8MHwEi6qjX4hvZWVCHcFfXjq7bbMc/edit?resourcekey"&amp;"#gid=923248883"",""Prop!$BF$1:$BP""),11,0),iferror(vlookup(B113,importrange(""https://docs.google.com/spreadsheets/d/1boHyJQ4e2FU0QG8MHwEi6qjX4hvZWVCHcFfXjq7bbMc/edit?resourcekey#gid=923248883"",""Prop!$BQ$1:$CA""),11,0),iferror(vlookup(B113,importrange("&amp;"""https://docs.google.com/spreadsheets/d/1boHyJQ4e2FU0QG8MHwEi6qjX4hvZWVCHcFfXjq7bbMc/edit?resourcekey#gid=923248883"",""Prop!$CB$1:$CL""),11,0),iferror(vlookup(B113,importrange(""https://docs.google.com/spreadsheets/d/1boHyJQ4e2FU0QG8MHwEi6qjX4hvZWVCHcFf"&amp;"Xjq7bbMc/edit?resourcekey#gid=923248883"",""Prop!$CM$1:$CX""),12,0),iferror(vlookup(B113,importrange(""https://docs.google.com/spreadsheets/d/1boHyJQ4e2FU0QG8MHwEi6qjX4hvZWVCHcFfXjq7bbMc/edit?resourcekey#gid=923248883"",""Prop!$CV$1:$DI""),11,0)))))))))))"),"https://drive.google.com/open?id=1PV02q9XN6wNIDj0JJIV_4cYXQn1Qycx0")</f>
        <v>https://drive.google.com/open?id=1PV02q9XN6wNIDj0JJIV_4cYXQn1Qycx0</v>
      </c>
      <c r="Q113" s="7" t="str">
        <f ca="1">IFERROR(__xludf.DUMMYFUNCTION("iferror(vlookup(B113,importrange(""https://docs.google.com/spreadsheets/d/1p53T2AuvvIqhP7Nf-bo3Uhj8cbKYRPpZdsrBv3x3bAQ/edit?resourcekey#gid=1321652304"",""Prop!$C$1:$M""),11,0),IFERROR(vlookup(B113,importrange(""https://docs.google.com/spreadsheets/d/1p53"&amp;"T2AuvvIqhP7Nf-bo3Uhj8cbKYRPpZdsrBv3x3bAQ/edit?resourcekey#gid=1321652304"",""Prop!$N$1:$X""),11,0),iferror(vlookup(B113,importrange(""https://docs.google.com/spreadsheets/d/1p53T2AuvvIqhP7Nf-bo3Uhj8cbKYRPpZdsrBv3x3bAQ/edit?resourcekey#gid=1321652304"",""P"&amp;"rop!$Y$1:$AI""),11,0),iferror(vlookup(B113,importrange(""https://docs.google.com/spreadsheets/d/1p53T2AuvvIqhP7Nf-bo3Uhj8cbKYRPpZdsrBv3x3bAQ/edit?resourcekey#gid=1321652304"",""Prop!$AJ$1:$AT""),11,0),iferror(vlookup(B113,importrange(""https://docs.google"&amp;".com/spreadsheets/d/1p53T2AuvvIqhP7Nf-bo3Uhj8cbKYRPpZdsrBv3x3bAQ/edit?resourcekey#gid=1321652304"",""Prop!$AU$1:$BE""),11,0),iferror(vlookup(B113,importrange(""https://docs.google.com/spreadsheets/d/1p53T2AuvvIqhP7Nf-bo3Uhj8cbKYRPpZdsrBv3x3bAQ/edit?resour"&amp;"cekey#gid=1321652304"",""Prop!$BF$1:$BP""),11,0),iferror(vlookup(B113,importrange(""https://docs.google.com/spreadsheets/d/1p53T2AuvvIqhP7Nf-bo3Uhj8cbKYRPpZdsrBv3x3bAQ/edit?resourcekey#gid=1321652304"",""Prop!$BQ$1:$CA""),11,0),iferror(vlookup(B113,import"&amp;"range(""https://docs.google.com/spreadsheets/d/1p53T2AuvvIqhP7Nf-bo3Uhj8cbKYRPpZdsrBv3x3bAQ/edit?resourcekey#gid=1321652304"",""Prop!$CB$1:$CL""),11,0),iferror(vlookup(B113,importrange(""https://docs.google.com/spreadsheets/d/1p53T2AuvvIqhP7Nf-bo3Uhj8cbKY"&amp;"RPpZdsrBv3x3bAQ/edit?resourcekey#gid=1321652304"",""Prop!$CM$1:$CX""),11,0),iferror(vlookup(B113,importrange(""https://docs.google.com/spreadsheets/d/1p53T2AuvvIqhP7Nf-bo3Uhj8cbKYRPpZdsrBv3x3bAQ/edit?resourcekey#gid=1321652304"",""Prop!$CY$1:$DI""),11,0))"&amp;")))))))))"),"https://drive.google.com/open?id=16FVAcQQIZXIu__kl_Ldf81G4ImYyAB5x")</f>
        <v>https://drive.google.com/open?id=16FVAcQQIZXIu__kl_Ldf81G4ImYyAB5x</v>
      </c>
      <c r="R113" s="88" t="s">
        <v>1101</v>
      </c>
      <c r="S113" s="20" t="str">
        <f ca="1">IFERROR(__xludf.DUMMYFUNCTION("IFERROR(vlookup(B113,IMPORTRANGE(""https://docs.google.com/spreadsheets/d/1g_jfYYK_KeipEDNDUgqgrsxK94XiocfNQIcP-v1QVhI/edit?resourcekey#gid=233272945"",""Nilai!B:CT""),57,0),"" "")"),"Hanya 3 varian = 3 sampel? Tidak ada penjelasan duplo atau triplo?, penerapan pada pelapis kain katun pada rumusan masalah tidak tampak pada metode, pada metode hanya menyampaikan metode analisis sampel saja, belum ada metode pembahasan")</f>
        <v>Hanya 3 varian = 3 sampel? Tidak ada penjelasan duplo atau triplo?, penerapan pada pelapis kain katun pada rumusan masalah tidak tampak pada metode, pada metode hanya menyampaikan metode analisis sampel saja, belum ada metode pembahasan</v>
      </c>
      <c r="T113" s="20" t="str">
        <f ca="1">IFERROR(__xludf.DUMMYFUNCTION("IFERROR(vlookup(B113,IMPORTRANGE(""https://docs.google.com/spreadsheets/d/1g_jfYYK_KeipEDNDUgqgrsxK94XiocfNQIcP-v1QVhI/edit?resourcekey#gid=233272945"",""Nilai!B:CT""),97,0),"" "")"),"LAYAK UPLOAD KE SIMBELMAWA DENGAN REVISI")</f>
        <v>LAYAK UPLOAD KE SIMBELMAWA DENGAN REVISI</v>
      </c>
      <c r="U113" s="36" t="s">
        <v>825</v>
      </c>
      <c r="V113" s="85" t="s">
        <v>1102</v>
      </c>
      <c r="W113" s="58" t="s">
        <v>1176</v>
      </c>
      <c r="X113" s="34" t="s">
        <v>949</v>
      </c>
    </row>
    <row r="114" spans="1:24" ht="69">
      <c r="A114" s="15">
        <v>112</v>
      </c>
      <c r="B114" s="15">
        <f ca="1">IFERROR(__xludf.DUMMYFUNCTION("""COMPUTED_VALUE"""),4040)</f>
        <v>4040</v>
      </c>
      <c r="C114" s="16" t="str">
        <f ca="1">IFERROR(__xludf.DUMMYFUNCTION("""COMPUTED_VALUE"""),"KAVITANINGRUM")</f>
        <v>KAVITANINGRUM</v>
      </c>
      <c r="D114" s="16" t="str">
        <f ca="1">IFERROR(__xludf.DUMMYFUNCTION("""COMPUTED_VALUE"""),"5004201034")</f>
        <v>5004201034</v>
      </c>
      <c r="E114" s="16" t="str">
        <f ca="1">IFERROR(__xludf.DUMMYFUNCTION("""COMPUTED_VALUE"""),"Departemen Kimia")</f>
        <v>Departemen Kimia</v>
      </c>
      <c r="F114" s="16" t="str">
        <f ca="1">IFERROR(__xludf.DUMMYFUNCTION("""COMPUTED_VALUE"""),"Pemanfaatan Kitosan Limbah Cangkang Kerang Hijau dan Baglog Jamur Tiram Sebagai Material Edible Coating Untuk Memperlambat Pembusukan Bahan Pangan Nabati")</f>
        <v>Pemanfaatan Kitosan Limbah Cangkang Kerang Hijau dan Baglog Jamur Tiram Sebagai Material Edible Coating Untuk Memperlambat Pembusukan Bahan Pangan Nabati</v>
      </c>
      <c r="G114" s="16" t="str">
        <f ca="1">IFERROR(__xludf.DUMMYFUNCTION("""COMPUTED_VALUE"""),"Hamdan Dwi Rizqi, S.Si., M.Si.")</f>
        <v>Hamdan Dwi Rizqi, S.Si., M.Si.</v>
      </c>
      <c r="H114" s="16" t="str">
        <f ca="1">IFERROR(__xludf.DUMMYFUNCTION("""COMPUTED_VALUE"""),"Dr.-Ing. Doty Dewi Risanti, S.T., M.T.")</f>
        <v>Dr.-Ing. Doty Dewi Risanti, S.T., M.T.</v>
      </c>
      <c r="I114" s="16" t="str">
        <f ca="1">IFERROR(__xludf.DUMMYFUNCTION("""COMPUTED_VALUE"""),"Mohammad Sholikhan Arif, S.T., M.T.")</f>
        <v>Mohammad Sholikhan Arif, S.T., M.T.</v>
      </c>
      <c r="J114" s="16"/>
      <c r="K114" s="17" t="s">
        <v>1175</v>
      </c>
      <c r="L114" s="58" t="s">
        <v>1178</v>
      </c>
      <c r="M114" s="19" t="b">
        <v>1</v>
      </c>
      <c r="N114" s="19" t="b">
        <v>0</v>
      </c>
      <c r="O114" s="1" t="s">
        <v>1122</v>
      </c>
      <c r="P114" s="7" t="str">
        <f ca="1">IFERROR(__xludf.DUMMYFUNCTION("iferror(vlookup(B114,importrange(""https://docs.google.com/spreadsheets/d/1boHyJQ4e2FU0QG8MHwEi6qjX4hvZWVCHcFfXjq7bbMc/edit?resourcekey#gid=923248883"",""Prop!$C$1:$M""),11,0),IFERROR(vlookup(B114,importrange(""https://docs.google.com/spreadsheets/d/1boHy"&amp;"JQ4e2FU0QG8MHwEi6qjX4hvZWVCHcFfXjq7bbMc/edit?resourcekey#gid=923248883"",""Prop!$N$1:$X""),11,0),iferror(vlookup(B114,importrange(""https://docs.google.com/spreadsheets/d/1boHyJQ4e2FU0QG8MHwEi6qjX4hvZWVCHcFfXjq7bbMc/edit?resourcekey#gid=923248883"",""Prop"&amp;"!$Y$1:$AI""),11,0),iferror(vlookup(B114,importrange(""https://docs.google.com/spreadsheets/d/1boHyJQ4e2FU0QG8MHwEi6qjX4hvZWVCHcFfXjq7bbMc/edit?resourcekey#gid=923248883"",""Prop!$AJ$1:$AT""),11,0),iferror(vlookup(B114,importrange(""https://docs.google.com"&amp;"/spreadsheets/d/1boHyJQ4e2FU0QG8MHwEi6qjX4hvZWVCHcFfXjq7bbMc/edit?resourcekey#gid=923248883"",""Prop!$AU$1:$BE""),11,0),iferror(vlookup(B114,importrange(""https://docs.google.com/spreadsheets/d/1boHyJQ4e2FU0QG8MHwEi6qjX4hvZWVCHcFfXjq7bbMc/edit?resourcekey"&amp;"#gid=923248883"",""Prop!$BF$1:$BP""),11,0),iferror(vlookup(B114,importrange(""https://docs.google.com/spreadsheets/d/1boHyJQ4e2FU0QG8MHwEi6qjX4hvZWVCHcFfXjq7bbMc/edit?resourcekey#gid=923248883"",""Prop!$BQ$1:$CA""),11,0),iferror(vlookup(B114,importrange("&amp;"""https://docs.google.com/spreadsheets/d/1boHyJQ4e2FU0QG8MHwEi6qjX4hvZWVCHcFfXjq7bbMc/edit?resourcekey#gid=923248883"",""Prop!$CB$1:$CL""),11,0),iferror(vlookup(B114,importrange(""https://docs.google.com/spreadsheets/d/1boHyJQ4e2FU0QG8MHwEi6qjX4hvZWVCHcFf"&amp;"Xjq7bbMc/edit?resourcekey#gid=923248883"",""Prop!$CM$1:$CX""),12,0),iferror(vlookup(B114,importrange(""https://docs.google.com/spreadsheets/d/1boHyJQ4e2FU0QG8MHwEi6qjX4hvZWVCHcFfXjq7bbMc/edit?resourcekey#gid=923248883"",""Prop!$CV$1:$DI""),11,0)))))))))))"),"https://drive.google.com/open?id=1oeax9nGkxr5t4IsTWaOI8Rj4vR__ctp2")</f>
        <v>https://drive.google.com/open?id=1oeax9nGkxr5t4IsTWaOI8Rj4vR__ctp2</v>
      </c>
      <c r="Q114" s="7" t="str">
        <f ca="1">IFERROR(__xludf.DUMMYFUNCTION("iferror(vlookup(B114,importrange(""https://docs.google.com/spreadsheets/d/1p53T2AuvvIqhP7Nf-bo3Uhj8cbKYRPpZdsrBv3x3bAQ/edit?resourcekey#gid=1321652304"",""Prop!$C$1:$M""),11,0),IFERROR(vlookup(B114,importrange(""https://docs.google.com/spreadsheets/d/1p53"&amp;"T2AuvvIqhP7Nf-bo3Uhj8cbKYRPpZdsrBv3x3bAQ/edit?resourcekey#gid=1321652304"",""Prop!$N$1:$X""),11,0),iferror(vlookup(B114,importrange(""https://docs.google.com/spreadsheets/d/1p53T2AuvvIqhP7Nf-bo3Uhj8cbKYRPpZdsrBv3x3bAQ/edit?resourcekey#gid=1321652304"",""P"&amp;"rop!$Y$1:$AI""),11,0),iferror(vlookup(B114,importrange(""https://docs.google.com/spreadsheets/d/1p53T2AuvvIqhP7Nf-bo3Uhj8cbKYRPpZdsrBv3x3bAQ/edit?resourcekey#gid=1321652304"",""Prop!$AJ$1:$AT""),11,0),iferror(vlookup(B114,importrange(""https://docs.google"&amp;".com/spreadsheets/d/1p53T2AuvvIqhP7Nf-bo3Uhj8cbKYRPpZdsrBv3x3bAQ/edit?resourcekey#gid=1321652304"",""Prop!$AU$1:$BE""),11,0),iferror(vlookup(B114,importrange(""https://docs.google.com/spreadsheets/d/1p53T2AuvvIqhP7Nf-bo3Uhj8cbKYRPpZdsrBv3x3bAQ/edit?resour"&amp;"cekey#gid=1321652304"",""Prop!$BF$1:$BP""),11,0),iferror(vlookup(B114,importrange(""https://docs.google.com/spreadsheets/d/1p53T2AuvvIqhP7Nf-bo3Uhj8cbKYRPpZdsrBv3x3bAQ/edit?resourcekey#gid=1321652304"",""Prop!$BQ$1:$CA""),11,0),iferror(vlookup(B114,import"&amp;"range(""https://docs.google.com/spreadsheets/d/1p53T2AuvvIqhP7Nf-bo3Uhj8cbKYRPpZdsrBv3x3bAQ/edit?resourcekey#gid=1321652304"",""Prop!$CB$1:$CL""),11,0),iferror(vlookup(B114,importrange(""https://docs.google.com/spreadsheets/d/1p53T2AuvvIqhP7Nf-bo3Uhj8cbKY"&amp;"RPpZdsrBv3x3bAQ/edit?resourcekey#gid=1321652304"",""Prop!$CM$1:$CX""),11,0),iferror(vlookup(B114,importrange(""https://docs.google.com/spreadsheets/d/1p53T2AuvvIqhP7Nf-bo3Uhj8cbKYRPpZdsrBv3x3bAQ/edit?resourcekey#gid=1321652304"",""Prop!$CY$1:$DI""),11,0))"&amp;")))))))))"),"https://drive.google.com/open?id=1WlWRmsCWp3ws3lCXjEPWy0UREY5pOZ1M")</f>
        <v>https://drive.google.com/open?id=1WlWRmsCWp3ws3lCXjEPWy0UREY5pOZ1M</v>
      </c>
      <c r="R114" s="88" t="s">
        <v>1101</v>
      </c>
      <c r="S114" s="20" t="str">
        <f ca="1">IFERROR(__xludf.DUMMYFUNCTION("IFERROR(vlookup(B114,IMPORTRANGE(""https://docs.google.com/spreadsheets/d/1g_jfYYK_KeipEDNDUgqgrsxK94XiocfNQIcP-v1QVhI/edit?resourcekey#gid=233272945"",""Nilai!B:CT""),57,0),"" "")"),"")</f>
        <v/>
      </c>
      <c r="T114" s="20" t="str">
        <f ca="1">IFERROR(__xludf.DUMMYFUNCTION("IFERROR(vlookup(B114,IMPORTRANGE(""https://docs.google.com/spreadsheets/d/1g_jfYYK_KeipEDNDUgqgrsxK94XiocfNQIcP-v1QVhI/edit?resourcekey#gid=233272945"",""Nilai!B:CT""),97,0),"" "")"),"LAYAK UPLOAD KE SIMBELMAWA DENGAN REVISI")</f>
        <v>LAYAK UPLOAD KE SIMBELMAWA DENGAN REVISI</v>
      </c>
      <c r="U114" s="36" t="s">
        <v>825</v>
      </c>
      <c r="V114" s="85" t="s">
        <v>1102</v>
      </c>
      <c r="W114" s="58" t="s">
        <v>1176</v>
      </c>
      <c r="X114" s="34" t="s">
        <v>949</v>
      </c>
    </row>
    <row r="115" spans="1:24" ht="69">
      <c r="A115" s="15">
        <v>113</v>
      </c>
      <c r="B115" s="15">
        <f ca="1">IFERROR(__xludf.DUMMYFUNCTION("""COMPUTED_VALUE"""),3934)</f>
        <v>3934</v>
      </c>
      <c r="C115" s="16" t="str">
        <f ca="1">IFERROR(__xludf.DUMMYFUNCTION("""COMPUTED_VALUE"""),"Muhamad Humam Safi`i")</f>
        <v>Muhamad Humam Safi`i</v>
      </c>
      <c r="D115" s="16" t="str">
        <f ca="1">IFERROR(__xludf.DUMMYFUNCTION("""COMPUTED_VALUE"""),"04211940000033")</f>
        <v>04211940000033</v>
      </c>
      <c r="E115" s="16" t="str">
        <f ca="1">IFERROR(__xludf.DUMMYFUNCTION("""COMPUTED_VALUE"""),"Departemen Teknik Sistem Perkapalan")</f>
        <v>Departemen Teknik Sistem Perkapalan</v>
      </c>
      <c r="F115" s="16" t="str">
        <f ca="1">IFERROR(__xludf.DUMMYFUNCTION("""COMPUTED_VALUE"""),"Permodelan Dampak Kebakaran Terhadap Manusia Akibat Kebocoran Storage Tank Pada Terminal LNG Menggunakan Metode Fire Dynamics Simulator")</f>
        <v>Permodelan Dampak Kebakaran Terhadap Manusia Akibat Kebocoran Storage Tank Pada Terminal LNG Menggunakan Metode Fire Dynamics Simulator</v>
      </c>
      <c r="G115" s="16" t="str">
        <f ca="1">IFERROR(__xludf.DUMMYFUNCTION("""COMPUTED_VALUE"""),"Dr.Eng. Dhimas Widhi Handani, S.T., M.Sc.")</f>
        <v>Dr.Eng. Dhimas Widhi Handani, S.T., M.Sc.</v>
      </c>
      <c r="H115" s="16" t="str">
        <f ca="1">IFERROR(__xludf.DUMMYFUNCTION("""COMPUTED_VALUE"""),"Dr. Awik Puji Dyah Nurhayati, S.Si., M.Si.")</f>
        <v>Dr. Awik Puji Dyah Nurhayati, S.Si., M.Si.</v>
      </c>
      <c r="I115" s="16" t="str">
        <f ca="1">IFERROR(__xludf.DUMMYFUNCTION("""COMPUTED_VALUE"""),"Iska Desmawati, S.Si., M.Si.")</f>
        <v>Iska Desmawati, S.Si., M.Si.</v>
      </c>
      <c r="J115" s="16"/>
      <c r="K115" s="17" t="s">
        <v>1175</v>
      </c>
      <c r="L115" s="58" t="s">
        <v>1178</v>
      </c>
      <c r="M115" s="19" t="b">
        <v>1</v>
      </c>
      <c r="N115" s="19" t="b">
        <v>0</v>
      </c>
      <c r="O115" s="1" t="s">
        <v>1160</v>
      </c>
      <c r="P115" s="7" t="str">
        <f ca="1">IFERROR(__xludf.DUMMYFUNCTION("iferror(vlookup(B115,importrange(""https://docs.google.com/spreadsheets/d/1boHyJQ4e2FU0QG8MHwEi6qjX4hvZWVCHcFfXjq7bbMc/edit?resourcekey#gid=923248883"",""Prop!$C$1:$M""),11,0),IFERROR(vlookup(B115,importrange(""https://docs.google.com/spreadsheets/d/1boHy"&amp;"JQ4e2FU0QG8MHwEi6qjX4hvZWVCHcFfXjq7bbMc/edit?resourcekey#gid=923248883"",""Prop!$N$1:$X""),11,0),iferror(vlookup(B115,importrange(""https://docs.google.com/spreadsheets/d/1boHyJQ4e2FU0QG8MHwEi6qjX4hvZWVCHcFfXjq7bbMc/edit?resourcekey#gid=923248883"",""Prop"&amp;"!$Y$1:$AI""),11,0),iferror(vlookup(B115,importrange(""https://docs.google.com/spreadsheets/d/1boHyJQ4e2FU0QG8MHwEi6qjX4hvZWVCHcFfXjq7bbMc/edit?resourcekey#gid=923248883"",""Prop!$AJ$1:$AT""),11,0),iferror(vlookup(B115,importrange(""https://docs.google.com"&amp;"/spreadsheets/d/1boHyJQ4e2FU0QG8MHwEi6qjX4hvZWVCHcFfXjq7bbMc/edit?resourcekey#gid=923248883"",""Prop!$AU$1:$BE""),11,0),iferror(vlookup(B115,importrange(""https://docs.google.com/spreadsheets/d/1boHyJQ4e2FU0QG8MHwEi6qjX4hvZWVCHcFfXjq7bbMc/edit?resourcekey"&amp;"#gid=923248883"",""Prop!$BF$1:$BP""),11,0),iferror(vlookup(B115,importrange(""https://docs.google.com/spreadsheets/d/1boHyJQ4e2FU0QG8MHwEi6qjX4hvZWVCHcFfXjq7bbMc/edit?resourcekey#gid=923248883"",""Prop!$BQ$1:$CA""),11,0),iferror(vlookup(B115,importrange("&amp;"""https://docs.google.com/spreadsheets/d/1boHyJQ4e2FU0QG8MHwEi6qjX4hvZWVCHcFfXjq7bbMc/edit?resourcekey#gid=923248883"",""Prop!$CB$1:$CL""),11,0),iferror(vlookup(B115,importrange(""https://docs.google.com/spreadsheets/d/1boHyJQ4e2FU0QG8MHwEi6qjX4hvZWVCHcFf"&amp;"Xjq7bbMc/edit?resourcekey#gid=923248883"",""Prop!$CM$1:$CX""),12,0),iferror(vlookup(B115,importrange(""https://docs.google.com/spreadsheets/d/1boHyJQ4e2FU0QG8MHwEi6qjX4hvZWVCHcFfXjq7bbMc/edit?resourcekey#gid=923248883"",""Prop!$CV$1:$DI""),11,0)))))))))))"),"https://drive.google.com/open?id=1ImoNx3nXWtIb9pyS82CLtqx-gzoM1Alq")</f>
        <v>https://drive.google.com/open?id=1ImoNx3nXWtIb9pyS82CLtqx-gzoM1Alq</v>
      </c>
      <c r="Q115" s="7" t="str">
        <f ca="1">IFERROR(__xludf.DUMMYFUNCTION("iferror(vlookup(B115,importrange(""https://docs.google.com/spreadsheets/d/1p53T2AuvvIqhP7Nf-bo3Uhj8cbKYRPpZdsrBv3x3bAQ/edit?resourcekey#gid=1321652304"",""Prop!$C$1:$M""),11,0),IFERROR(vlookup(B115,importrange(""https://docs.google.com/spreadsheets/d/1p53"&amp;"T2AuvvIqhP7Nf-bo3Uhj8cbKYRPpZdsrBv3x3bAQ/edit?resourcekey#gid=1321652304"",""Prop!$N$1:$X""),11,0),iferror(vlookup(B115,importrange(""https://docs.google.com/spreadsheets/d/1p53T2AuvvIqhP7Nf-bo3Uhj8cbKYRPpZdsrBv3x3bAQ/edit?resourcekey#gid=1321652304"",""P"&amp;"rop!$Y$1:$AI""),11,0),iferror(vlookup(B115,importrange(""https://docs.google.com/spreadsheets/d/1p53T2AuvvIqhP7Nf-bo3Uhj8cbKYRPpZdsrBv3x3bAQ/edit?resourcekey#gid=1321652304"",""Prop!$AJ$1:$AT""),11,0),iferror(vlookup(B115,importrange(""https://docs.google"&amp;".com/spreadsheets/d/1p53T2AuvvIqhP7Nf-bo3Uhj8cbKYRPpZdsrBv3x3bAQ/edit?resourcekey#gid=1321652304"",""Prop!$AU$1:$BE""),11,0),iferror(vlookup(B115,importrange(""https://docs.google.com/spreadsheets/d/1p53T2AuvvIqhP7Nf-bo3Uhj8cbKYRPpZdsrBv3x3bAQ/edit?resour"&amp;"cekey#gid=1321652304"",""Prop!$BF$1:$BP""),11,0),iferror(vlookup(B115,importrange(""https://docs.google.com/spreadsheets/d/1p53T2AuvvIqhP7Nf-bo3Uhj8cbKYRPpZdsrBv3x3bAQ/edit?resourcekey#gid=1321652304"",""Prop!$BQ$1:$CA""),11,0),iferror(vlookup(B115,import"&amp;"range(""https://docs.google.com/spreadsheets/d/1p53T2AuvvIqhP7Nf-bo3Uhj8cbKYRPpZdsrBv3x3bAQ/edit?resourcekey#gid=1321652304"",""Prop!$CB$1:$CL""),11,0),iferror(vlookup(B115,importrange(""https://docs.google.com/spreadsheets/d/1p53T2AuvvIqhP7Nf-bo3Uhj8cbKY"&amp;"RPpZdsrBv3x3bAQ/edit?resourcekey#gid=1321652304"",""Prop!$CM$1:$CX""),11,0),iferror(vlookup(B115,importrange(""https://docs.google.com/spreadsheets/d/1p53T2AuvvIqhP7Nf-bo3Uhj8cbKYRPpZdsrBv3x3bAQ/edit?resourcekey#gid=1321652304"",""Prop!$CY$1:$DI""),11,0))"&amp;")))))))))"),"https://drive.google.com/open?id=1vniFkeTX15IpcvKJcTMc0a1vbio5E-To")</f>
        <v>https://drive.google.com/open?id=1vniFkeTX15IpcvKJcTMc0a1vbio5E-To</v>
      </c>
      <c r="R115" s="88" t="s">
        <v>1101</v>
      </c>
      <c r="S115" s="20" t="str">
        <f ca="1">IFERROR(__xludf.DUMMYFUNCTION("IFERROR(vlookup(B115,IMPORTRANGE(""https://docs.google.com/spreadsheets/d/1g_jfYYK_KeipEDNDUgqgrsxK94XiocfNQIcP-v1QVhI/edit?resourcekey#gid=233272945"",""Nilai!B:CT""),57,0),"" "")"),"lihat di file pdf")</f>
        <v>lihat di file pdf</v>
      </c>
      <c r="T115" s="20" t="str">
        <f ca="1">IFERROR(__xludf.DUMMYFUNCTION("IFERROR(vlookup(B115,IMPORTRANGE(""https://docs.google.com/spreadsheets/d/1g_jfYYK_KeipEDNDUgqgrsxK94XiocfNQIcP-v1QVhI/edit?resourcekey#gid=233272945"",""Nilai!B:CT""),97,0),"" "")"),"LAYAK UPLOAD KE SIMBELMAWA DENGAN REVISI")</f>
        <v>LAYAK UPLOAD KE SIMBELMAWA DENGAN REVISI</v>
      </c>
      <c r="U115" s="36" t="s">
        <v>825</v>
      </c>
      <c r="V115" s="85" t="s">
        <v>1102</v>
      </c>
      <c r="W115" s="58" t="s">
        <v>1179</v>
      </c>
      <c r="X115" s="34" t="b">
        <v>0</v>
      </c>
    </row>
    <row r="116" spans="1:24" ht="69">
      <c r="A116" s="15">
        <v>114</v>
      </c>
      <c r="B116" s="15">
        <f ca="1">IFERROR(__xludf.DUMMYFUNCTION("""COMPUTED_VALUE"""),2888)</f>
        <v>2888</v>
      </c>
      <c r="C116" s="16" t="str">
        <f ca="1">IFERROR(__xludf.DUMMYFUNCTION("""COMPUTED_VALUE"""),"SUPRIHATIN")</f>
        <v>SUPRIHATIN</v>
      </c>
      <c r="D116" s="16" t="str">
        <f ca="1">IFERROR(__xludf.DUMMYFUNCTION("""COMPUTED_VALUE"""),"10411910000053")</f>
        <v>10411910000053</v>
      </c>
      <c r="E116" s="16" t="str">
        <f ca="1">IFERROR(__xludf.DUMMYFUNCTION("""COMPUTED_VALUE"""),"Departemen Teknik Kimia Industri")</f>
        <v>Departemen Teknik Kimia Industri</v>
      </c>
      <c r="F116" s="16" t="str">
        <f ca="1">IFERROR(__xludf.DUMMYFUNCTION("""COMPUTED_VALUE"""),"Penggunaan Zwitterionic Sulfonic Acid Buffering Agent sebagai Alternatif Peningkatan Kinerja Ekstraksi Asam Karboksilat dengan Pelarut 1-heptanol")</f>
        <v>Penggunaan Zwitterionic Sulfonic Acid Buffering Agent sebagai Alternatif Peningkatan Kinerja Ekstraksi Asam Karboksilat dengan Pelarut 1-heptanol</v>
      </c>
      <c r="G116" s="16" t="str">
        <f ca="1">IFERROR(__xludf.DUMMYFUNCTION("""COMPUTED_VALUE"""),"Saidah Altway, S.T., M.T.")</f>
        <v>Saidah Altway, S.T., M.T.</v>
      </c>
      <c r="H116" s="16" t="str">
        <f ca="1">IFERROR(__xludf.DUMMYFUNCTION("""COMPUTED_VALUE"""),"Alief Wikarta, ST., MSc.Eng. Ph.D")</f>
        <v>Alief Wikarta, ST., MSc.Eng. Ph.D</v>
      </c>
      <c r="I116" s="16" t="str">
        <f ca="1">IFERROR(__xludf.DUMMYFUNCTION("""COMPUTED_VALUE"""),"Juan Pandu Gya Nur Rochman, S.Si., M.T.")</f>
        <v>Juan Pandu Gya Nur Rochman, S.Si., M.T.</v>
      </c>
      <c r="J116" s="16"/>
      <c r="K116" s="17" t="s">
        <v>1180</v>
      </c>
      <c r="L116" s="58" t="s">
        <v>1181</v>
      </c>
      <c r="M116" s="19" t="b">
        <v>1</v>
      </c>
      <c r="N116" s="19" t="b">
        <v>1</v>
      </c>
      <c r="O116" s="1" t="s">
        <v>1160</v>
      </c>
      <c r="P116" s="7" t="str">
        <f ca="1">IFERROR(__xludf.DUMMYFUNCTION("iferror(vlookup(B116,importrange(""https://docs.google.com/spreadsheets/d/1boHyJQ4e2FU0QG8MHwEi6qjX4hvZWVCHcFfXjq7bbMc/edit?resourcekey#gid=923248883"",""Prop!$C$1:$M""),11,0),IFERROR(vlookup(B116,importrange(""https://docs.google.com/spreadsheets/d/1boHy"&amp;"JQ4e2FU0QG8MHwEi6qjX4hvZWVCHcFfXjq7bbMc/edit?resourcekey#gid=923248883"",""Prop!$N$1:$X""),11,0),iferror(vlookup(B116,importrange(""https://docs.google.com/spreadsheets/d/1boHyJQ4e2FU0QG8MHwEi6qjX4hvZWVCHcFfXjq7bbMc/edit?resourcekey#gid=923248883"",""Prop"&amp;"!$Y$1:$AI""),11,0),iferror(vlookup(B116,importrange(""https://docs.google.com/spreadsheets/d/1boHyJQ4e2FU0QG8MHwEi6qjX4hvZWVCHcFfXjq7bbMc/edit?resourcekey#gid=923248883"",""Prop!$AJ$1:$AT""),11,0),iferror(vlookup(B116,importrange(""https://docs.google.com"&amp;"/spreadsheets/d/1boHyJQ4e2FU0QG8MHwEi6qjX4hvZWVCHcFfXjq7bbMc/edit?resourcekey#gid=923248883"",""Prop!$AU$1:$BE""),11,0),iferror(vlookup(B116,importrange(""https://docs.google.com/spreadsheets/d/1boHyJQ4e2FU0QG8MHwEi6qjX4hvZWVCHcFfXjq7bbMc/edit?resourcekey"&amp;"#gid=923248883"",""Prop!$BF$1:$BP""),11,0),iferror(vlookup(B116,importrange(""https://docs.google.com/spreadsheets/d/1boHyJQ4e2FU0QG8MHwEi6qjX4hvZWVCHcFfXjq7bbMc/edit?resourcekey#gid=923248883"",""Prop!$BQ$1:$CA""),11,0),iferror(vlookup(B116,importrange("&amp;"""https://docs.google.com/spreadsheets/d/1boHyJQ4e2FU0QG8MHwEi6qjX4hvZWVCHcFfXjq7bbMc/edit?resourcekey#gid=923248883"",""Prop!$CB$1:$CL""),11,0),iferror(vlookup(B116,importrange(""https://docs.google.com/spreadsheets/d/1boHyJQ4e2FU0QG8MHwEi6qjX4hvZWVCHcFf"&amp;"Xjq7bbMc/edit?resourcekey#gid=923248883"",""Prop!$CM$1:$CX""),12,0),iferror(vlookup(B116,importrange(""https://docs.google.com/spreadsheets/d/1boHyJQ4e2FU0QG8MHwEi6qjX4hvZWVCHcFfXjq7bbMc/edit?resourcekey#gid=923248883"",""Prop!$CV$1:$DI""),11,0)))))))))))"),"https://drive.google.com/open?id=1JL5P8UswApTp3vauXE7LbwspsL4p9iMZ")</f>
        <v>https://drive.google.com/open?id=1JL5P8UswApTp3vauXE7LbwspsL4p9iMZ</v>
      </c>
      <c r="Q116" s="7" t="str">
        <f ca="1">IFERROR(__xludf.DUMMYFUNCTION("iferror(vlookup(B116,importrange(""https://docs.google.com/spreadsheets/d/1p53T2AuvvIqhP7Nf-bo3Uhj8cbKYRPpZdsrBv3x3bAQ/edit?resourcekey#gid=1321652304"",""Prop!$C$1:$M""),11,0),IFERROR(vlookup(B116,importrange(""https://docs.google.com/spreadsheets/d/1p53"&amp;"T2AuvvIqhP7Nf-bo3Uhj8cbKYRPpZdsrBv3x3bAQ/edit?resourcekey#gid=1321652304"",""Prop!$N$1:$X""),11,0),iferror(vlookup(B116,importrange(""https://docs.google.com/spreadsheets/d/1p53T2AuvvIqhP7Nf-bo3Uhj8cbKYRPpZdsrBv3x3bAQ/edit?resourcekey#gid=1321652304"",""P"&amp;"rop!$Y$1:$AI""),11,0),iferror(vlookup(B116,importrange(""https://docs.google.com/spreadsheets/d/1p53T2AuvvIqhP7Nf-bo3Uhj8cbKYRPpZdsrBv3x3bAQ/edit?resourcekey#gid=1321652304"",""Prop!$AJ$1:$AT""),11,0),iferror(vlookup(B116,importrange(""https://docs.google"&amp;".com/spreadsheets/d/1p53T2AuvvIqhP7Nf-bo3Uhj8cbKYRPpZdsrBv3x3bAQ/edit?resourcekey#gid=1321652304"",""Prop!$AU$1:$BE""),11,0),iferror(vlookup(B116,importrange(""https://docs.google.com/spreadsheets/d/1p53T2AuvvIqhP7Nf-bo3Uhj8cbKYRPpZdsrBv3x3bAQ/edit?resour"&amp;"cekey#gid=1321652304"",""Prop!$BF$1:$BP""),11,0),iferror(vlookup(B116,importrange(""https://docs.google.com/spreadsheets/d/1p53T2AuvvIqhP7Nf-bo3Uhj8cbKYRPpZdsrBv3x3bAQ/edit?resourcekey#gid=1321652304"",""Prop!$BQ$1:$CA""),11,0),iferror(vlookup(B116,import"&amp;"range(""https://docs.google.com/spreadsheets/d/1p53T2AuvvIqhP7Nf-bo3Uhj8cbKYRPpZdsrBv3x3bAQ/edit?resourcekey#gid=1321652304"",""Prop!$CB$1:$CL""),11,0),iferror(vlookup(B116,importrange(""https://docs.google.com/spreadsheets/d/1p53T2AuvvIqhP7Nf-bo3Uhj8cbKY"&amp;"RPpZdsrBv3x3bAQ/edit?resourcekey#gid=1321652304"",""Prop!$CM$1:$CX""),11,0),iferror(vlookup(B116,importrange(""https://docs.google.com/spreadsheets/d/1p53T2AuvvIqhP7Nf-bo3Uhj8cbKYRPpZdsrBv3x3bAQ/edit?resourcekey#gid=1321652304"",""Prop!$CY$1:$DI""),11,0))"&amp;")))))))))"),"https://drive.google.com/file/d/1x5Qp6LgBz_QmDXaIJpndKCzhd0JZ0ms6/view?usp=sharing ")</f>
        <v xml:space="preserve">https://drive.google.com/file/d/1x5Qp6LgBz_QmDXaIJpndKCzhd0JZ0ms6/view?usp=sharing </v>
      </c>
      <c r="R116" s="88" t="s">
        <v>1101</v>
      </c>
      <c r="S116" s="20" t="str">
        <f ca="1">IFERROR(__xludf.DUMMYFUNCTION("IFERROR(vlookup(B116,IMPORTRANGE(""https://docs.google.com/spreadsheets/d/1g_jfYYK_KeipEDNDUgqgrsxK94XiocfNQIcP-v1QVhI/edit?resourcekey#gid=233272945"",""Nilai!B:CT""),57,0),"" "")"),"lihat komentar di file pdf")</f>
        <v>lihat komentar di file pdf</v>
      </c>
      <c r="T116" s="20" t="str">
        <f ca="1">IFERROR(__xludf.DUMMYFUNCTION("IFERROR(vlookup(B116,IMPORTRANGE(""https://docs.google.com/spreadsheets/d/1g_jfYYK_KeipEDNDUgqgrsxK94XiocfNQIcP-v1QVhI/edit?resourcekey#gid=233272945"",""Nilai!B:CT""),97,0),"" "")"),"LAYAK UPLOAD KE SIMBELMAWA DENGAN REVISI")</f>
        <v>LAYAK UPLOAD KE SIMBELMAWA DENGAN REVISI</v>
      </c>
      <c r="U116" s="36" t="s">
        <v>825</v>
      </c>
      <c r="V116" s="85" t="s">
        <v>1102</v>
      </c>
      <c r="W116" s="58" t="s">
        <v>1179</v>
      </c>
      <c r="X116" s="34" t="b">
        <v>0</v>
      </c>
    </row>
    <row r="117" spans="1:24" ht="69">
      <c r="A117" s="15">
        <v>115</v>
      </c>
      <c r="B117" s="15">
        <f ca="1">IFERROR(__xludf.DUMMYFUNCTION("""COMPUTED_VALUE"""),4112)</f>
        <v>4112</v>
      </c>
      <c r="C117" s="16" t="str">
        <f ca="1">IFERROR(__xludf.DUMMYFUNCTION("""COMPUTED_VALUE"""),"ALYA NUR SHABRINA")</f>
        <v>ALYA NUR SHABRINA</v>
      </c>
      <c r="D117" s="16" t="str">
        <f ca="1">IFERROR(__xludf.DUMMYFUNCTION("""COMPUTED_VALUE"""),"06111940000055")</f>
        <v>06111940000055</v>
      </c>
      <c r="E117" s="16" t="str">
        <f ca="1">IFERROR(__xludf.DUMMYFUNCTION("""COMPUTED_VALUE"""),"Departemen Matematika")</f>
        <v>Departemen Matematika</v>
      </c>
      <c r="F117" s="16" t="str">
        <f ca="1">IFERROR(__xludf.DUMMYFUNCTION("""COMPUTED_VALUE"""),"Pemodelan dan Desain Kendali Autonomous Car Menggunakan Satisfiability Modulo Thoery")</f>
        <v>Pemodelan dan Desain Kendali Autonomous Car Menggunakan Satisfiability Modulo Thoery</v>
      </c>
      <c r="G117" s="16" t="str">
        <f ca="1">IFERROR(__xludf.DUMMYFUNCTION("""COMPUTED_VALUE"""),"Dr. Dieky Adzkiya, S.Si., M.Si.")</f>
        <v>Dr. Dieky Adzkiya, S.Si., M.Si.</v>
      </c>
      <c r="H117" s="16" t="str">
        <f ca="1">IFERROR(__xludf.DUMMYFUNCTION("""COMPUTED_VALUE"""),"Dr. Awik Puji Dyah Nurhayati, S.Si., M.Si.")</f>
        <v>Dr. Awik Puji Dyah Nurhayati, S.Si., M.Si.</v>
      </c>
      <c r="I117" s="16" t="str">
        <f ca="1">IFERROR(__xludf.DUMMYFUNCTION("""COMPUTED_VALUE"""),"Sena Safarina , S.Si., M.Sc., D.Sc")</f>
        <v>Sena Safarina , S.Si., M.Sc., D.Sc</v>
      </c>
      <c r="J117" s="16"/>
      <c r="K117" s="17" t="s">
        <v>1180</v>
      </c>
      <c r="L117" s="58" t="s">
        <v>1181</v>
      </c>
      <c r="M117" s="19" t="b">
        <v>1</v>
      </c>
      <c r="N117" s="19" t="b">
        <v>0</v>
      </c>
      <c r="O117" s="1" t="s">
        <v>1160</v>
      </c>
      <c r="P117" s="7" t="str">
        <f ca="1">IFERROR(__xludf.DUMMYFUNCTION("iferror(vlookup(B117,importrange(""https://docs.google.com/spreadsheets/d/1boHyJQ4e2FU0QG8MHwEi6qjX4hvZWVCHcFfXjq7bbMc/edit?resourcekey#gid=923248883"",""Prop!$C$1:$M""),11,0),IFERROR(vlookup(B117,importrange(""https://docs.google.com/spreadsheets/d/1boHy"&amp;"JQ4e2FU0QG8MHwEi6qjX4hvZWVCHcFfXjq7bbMc/edit?resourcekey#gid=923248883"",""Prop!$N$1:$X""),11,0),iferror(vlookup(B117,importrange(""https://docs.google.com/spreadsheets/d/1boHyJQ4e2FU0QG8MHwEi6qjX4hvZWVCHcFfXjq7bbMc/edit?resourcekey#gid=923248883"",""Prop"&amp;"!$Y$1:$AI""),11,0),iferror(vlookup(B117,importrange(""https://docs.google.com/spreadsheets/d/1boHyJQ4e2FU0QG8MHwEi6qjX4hvZWVCHcFfXjq7bbMc/edit?resourcekey#gid=923248883"",""Prop!$AJ$1:$AT""),11,0),iferror(vlookup(B117,importrange(""https://docs.google.com"&amp;"/spreadsheets/d/1boHyJQ4e2FU0QG8MHwEi6qjX4hvZWVCHcFfXjq7bbMc/edit?resourcekey#gid=923248883"",""Prop!$AU$1:$BE""),11,0),iferror(vlookup(B117,importrange(""https://docs.google.com/spreadsheets/d/1boHyJQ4e2FU0QG8MHwEi6qjX4hvZWVCHcFfXjq7bbMc/edit?resourcekey"&amp;"#gid=923248883"",""Prop!$BF$1:$BP""),11,0),iferror(vlookup(B117,importrange(""https://docs.google.com/spreadsheets/d/1boHyJQ4e2FU0QG8MHwEi6qjX4hvZWVCHcFfXjq7bbMc/edit?resourcekey#gid=923248883"",""Prop!$BQ$1:$CA""),11,0),iferror(vlookup(B117,importrange("&amp;"""https://docs.google.com/spreadsheets/d/1boHyJQ4e2FU0QG8MHwEi6qjX4hvZWVCHcFfXjq7bbMc/edit?resourcekey#gid=923248883"",""Prop!$CB$1:$CL""),11,0),iferror(vlookup(B117,importrange(""https://docs.google.com/spreadsheets/d/1boHyJQ4e2FU0QG8MHwEi6qjX4hvZWVCHcFf"&amp;"Xjq7bbMc/edit?resourcekey#gid=923248883"",""Prop!$CM$1:$CX""),12,0),iferror(vlookup(B117,importrange(""https://docs.google.com/spreadsheets/d/1boHyJQ4e2FU0QG8MHwEi6qjX4hvZWVCHcFfXjq7bbMc/edit?resourcekey#gid=923248883"",""Prop!$CV$1:$DI""),11,0)))))))))))"),"https://drive.google.com/open?id=1aOd0o74w8TufkU-PEhVku9LwEPF4hs4m")</f>
        <v>https://drive.google.com/open?id=1aOd0o74w8TufkU-PEhVku9LwEPF4hs4m</v>
      </c>
      <c r="Q117" s="7" t="str">
        <f ca="1">IFERROR(__xludf.DUMMYFUNCTION("iferror(vlookup(B117,importrange(""https://docs.google.com/spreadsheets/d/1p53T2AuvvIqhP7Nf-bo3Uhj8cbKYRPpZdsrBv3x3bAQ/edit?resourcekey#gid=1321652304"",""Prop!$C$1:$M""),11,0),IFERROR(vlookup(B117,importrange(""https://docs.google.com/spreadsheets/d/1p53"&amp;"T2AuvvIqhP7Nf-bo3Uhj8cbKYRPpZdsrBv3x3bAQ/edit?resourcekey#gid=1321652304"",""Prop!$N$1:$X""),11,0),iferror(vlookup(B117,importrange(""https://docs.google.com/spreadsheets/d/1p53T2AuvvIqhP7Nf-bo3Uhj8cbKYRPpZdsrBv3x3bAQ/edit?resourcekey#gid=1321652304"",""P"&amp;"rop!$Y$1:$AI""),11,0),iferror(vlookup(B117,importrange(""https://docs.google.com/spreadsheets/d/1p53T2AuvvIqhP7Nf-bo3Uhj8cbKYRPpZdsrBv3x3bAQ/edit?resourcekey#gid=1321652304"",""Prop!$AJ$1:$AT""),11,0),iferror(vlookup(B117,importrange(""https://docs.google"&amp;".com/spreadsheets/d/1p53T2AuvvIqhP7Nf-bo3Uhj8cbKYRPpZdsrBv3x3bAQ/edit?resourcekey#gid=1321652304"",""Prop!$AU$1:$BE""),11,0),iferror(vlookup(B117,importrange(""https://docs.google.com/spreadsheets/d/1p53T2AuvvIqhP7Nf-bo3Uhj8cbKYRPpZdsrBv3x3bAQ/edit?resour"&amp;"cekey#gid=1321652304"",""Prop!$BF$1:$BP""),11,0),iferror(vlookup(B117,importrange(""https://docs.google.com/spreadsheets/d/1p53T2AuvvIqhP7Nf-bo3Uhj8cbKYRPpZdsrBv3x3bAQ/edit?resourcekey#gid=1321652304"",""Prop!$BQ$1:$CA""),11,0),iferror(vlookup(B117,import"&amp;"range(""https://docs.google.com/spreadsheets/d/1p53T2AuvvIqhP7Nf-bo3Uhj8cbKYRPpZdsrBv3x3bAQ/edit?resourcekey#gid=1321652304"",""Prop!$CB$1:$CL""),11,0),iferror(vlookup(B117,importrange(""https://docs.google.com/spreadsheets/d/1p53T2AuvvIqhP7Nf-bo3Uhj8cbKY"&amp;"RPpZdsrBv3x3bAQ/edit?resourcekey#gid=1321652304"",""Prop!$CM$1:$CX""),11,0),iferror(vlookup(B117,importrange(""https://docs.google.com/spreadsheets/d/1p53T2AuvvIqhP7Nf-bo3Uhj8cbKYRPpZdsrBv3x3bAQ/edit?resourcekey#gid=1321652304"",""Prop!$CY$1:$DI""),11,0))"&amp;")))))))))"),"https://drive.google.com/open?id=1aP9TGYcyMEzXF4l9mV7lb6OV3fplg085")</f>
        <v>https://drive.google.com/open?id=1aP9TGYcyMEzXF4l9mV7lb6OV3fplg085</v>
      </c>
      <c r="R117" s="88" t="s">
        <v>1101</v>
      </c>
      <c r="S117" s="20" t="str">
        <f ca="1">IFERROR(__xludf.DUMMYFUNCTION("IFERROR(vlookup(B117,IMPORTRANGE(""https://docs.google.com/spreadsheets/d/1g_jfYYK_KeipEDNDUgqgrsxK94XiocfNQIcP-v1QVhI/edit?resourcekey#gid=233272945"",""Nilai!B:CT""),57,0),"" "")"),"")</f>
        <v/>
      </c>
      <c r="T117" s="20" t="str">
        <f ca="1">IFERROR(__xludf.DUMMYFUNCTION("IFERROR(vlookup(B117,IMPORTRANGE(""https://docs.google.com/spreadsheets/d/1g_jfYYK_KeipEDNDUgqgrsxK94XiocfNQIcP-v1QVhI/edit?resourcekey#gid=233272945"",""Nilai!B:CT""),97,0),"" "")"),"LAYAK UPLOAD KE SIMBELMAWA DENGAN REVISI")</f>
        <v>LAYAK UPLOAD KE SIMBELMAWA DENGAN REVISI</v>
      </c>
      <c r="U117" s="36" t="s">
        <v>825</v>
      </c>
      <c r="V117" s="85" t="s">
        <v>1102</v>
      </c>
      <c r="W117" s="58" t="s">
        <v>1179</v>
      </c>
      <c r="X117" s="34" t="b">
        <v>0</v>
      </c>
    </row>
    <row r="118" spans="1:24" ht="43.2">
      <c r="A118" s="15">
        <v>116</v>
      </c>
      <c r="B118" s="15">
        <f ca="1">IFERROR(__xludf.DUMMYFUNCTION("""COMPUTED_VALUE"""),2197)</f>
        <v>2197</v>
      </c>
      <c r="C118" s="16" t="str">
        <f ca="1">IFERROR(__xludf.DUMMYFUNCTION("""COMPUTED_VALUE"""),"RIFDAH ADYA SALSABILA")</f>
        <v>RIFDAH ADYA SALSABILA</v>
      </c>
      <c r="D118" s="16" t="str">
        <f ca="1">IFERROR(__xludf.DUMMYFUNCTION("""COMPUTED_VALUE"""),"5004201050")</f>
        <v>5004201050</v>
      </c>
      <c r="E118" s="16" t="str">
        <f ca="1">IFERROR(__xludf.DUMMYFUNCTION("""COMPUTED_VALUE"""),"Departemen Kimia")</f>
        <v>Departemen Kimia</v>
      </c>
      <c r="F118" s="16" t="str">
        <f ca="1">IFERROR(__xludf.DUMMYFUNCTION("""COMPUTED_VALUE"""),"Potensi Komposit GO@ZIF-67/HKUST-1 untuk Penghilangan Cr(VI) pada Limbah Cair Industri")</f>
        <v>Potensi Komposit GO@ZIF-67/HKUST-1 untuk Penghilangan Cr(VI) pada Limbah Cair Industri</v>
      </c>
      <c r="G118" s="16" t="str">
        <f ca="1">IFERROR(__xludf.DUMMYFUNCTION("""COMPUTED_VALUE"""),"Dra. Ratna Ediati, MS., Ph.D.")</f>
        <v>Dra. Ratna Ediati, MS., Ph.D.</v>
      </c>
      <c r="H118" s="16" t="str">
        <f ca="1">IFERROR(__xludf.DUMMYFUNCTION("""COMPUTED_VALUE"""),"Alief Wikarta, ST., MSc.Eng. Ph.D")</f>
        <v>Alief Wikarta, ST., MSc.Eng. Ph.D</v>
      </c>
      <c r="I118" s="16" t="str">
        <f ca="1">IFERROR(__xludf.DUMMYFUNCTION("""COMPUTED_VALUE"""),"Juan Pandu Gya Nur Rochman, S.Si., M.T.")</f>
        <v>Juan Pandu Gya Nur Rochman, S.Si., M.T.</v>
      </c>
      <c r="J118" s="16"/>
      <c r="K118" s="17" t="s">
        <v>1180</v>
      </c>
      <c r="L118" s="58" t="s">
        <v>1181</v>
      </c>
      <c r="M118" s="19" t="b">
        <v>1</v>
      </c>
      <c r="N118" s="19" t="b">
        <v>1</v>
      </c>
      <c r="O118" s="1" t="s">
        <v>1160</v>
      </c>
      <c r="P118" s="7" t="str">
        <f ca="1">IFERROR(__xludf.DUMMYFUNCTION("iferror(vlookup(B118,importrange(""https://docs.google.com/spreadsheets/d/1boHyJQ4e2FU0QG8MHwEi6qjX4hvZWVCHcFfXjq7bbMc/edit?resourcekey#gid=923248883"",""Prop!$C$1:$M""),11,0),IFERROR(vlookup(B118,importrange(""https://docs.google.com/spreadsheets/d/1boHy"&amp;"JQ4e2FU0QG8MHwEi6qjX4hvZWVCHcFfXjq7bbMc/edit?resourcekey#gid=923248883"",""Prop!$N$1:$X""),11,0),iferror(vlookup(B118,importrange(""https://docs.google.com/spreadsheets/d/1boHyJQ4e2FU0QG8MHwEi6qjX4hvZWVCHcFfXjq7bbMc/edit?resourcekey#gid=923248883"",""Prop"&amp;"!$Y$1:$AI""),11,0),iferror(vlookup(B118,importrange(""https://docs.google.com/spreadsheets/d/1boHyJQ4e2FU0QG8MHwEi6qjX4hvZWVCHcFfXjq7bbMc/edit?resourcekey#gid=923248883"",""Prop!$AJ$1:$AT""),11,0),iferror(vlookup(B118,importrange(""https://docs.google.com"&amp;"/spreadsheets/d/1boHyJQ4e2FU0QG8MHwEi6qjX4hvZWVCHcFfXjq7bbMc/edit?resourcekey#gid=923248883"",""Prop!$AU$1:$BE""),11,0),iferror(vlookup(B118,importrange(""https://docs.google.com/spreadsheets/d/1boHyJQ4e2FU0QG8MHwEi6qjX4hvZWVCHcFfXjq7bbMc/edit?resourcekey"&amp;"#gid=923248883"",""Prop!$BF$1:$BP""),11,0),iferror(vlookup(B118,importrange(""https://docs.google.com/spreadsheets/d/1boHyJQ4e2FU0QG8MHwEi6qjX4hvZWVCHcFfXjq7bbMc/edit?resourcekey#gid=923248883"",""Prop!$BQ$1:$CA""),11,0),iferror(vlookup(B118,importrange("&amp;"""https://docs.google.com/spreadsheets/d/1boHyJQ4e2FU0QG8MHwEi6qjX4hvZWVCHcFfXjq7bbMc/edit?resourcekey#gid=923248883"",""Prop!$CB$1:$CL""),11,0),iferror(vlookup(B118,importrange(""https://docs.google.com/spreadsheets/d/1boHyJQ4e2FU0QG8MHwEi6qjX4hvZWVCHcFf"&amp;"Xjq7bbMc/edit?resourcekey#gid=923248883"",""Prop!$CM$1:$CX""),12,0),iferror(vlookup(B118,importrange(""https://docs.google.com/spreadsheets/d/1boHyJQ4e2FU0QG8MHwEi6qjX4hvZWVCHcFfXjq7bbMc/edit?resourcekey#gid=923248883"",""Prop!$CV$1:$DI""),11,0)))))))))))"),"https://drive.google.com/open?id=1lW38W_TUiXKjUHvKfY6u1OkQYTrUnl5b")</f>
        <v>https://drive.google.com/open?id=1lW38W_TUiXKjUHvKfY6u1OkQYTrUnl5b</v>
      </c>
      <c r="Q118" s="7" t="str">
        <f ca="1">IFERROR(__xludf.DUMMYFUNCTION("iferror(vlookup(B118,importrange(""https://docs.google.com/spreadsheets/d/1p53T2AuvvIqhP7Nf-bo3Uhj8cbKYRPpZdsrBv3x3bAQ/edit?resourcekey#gid=1321652304"",""Prop!$C$1:$M""),11,0),IFERROR(vlookup(B118,importrange(""https://docs.google.com/spreadsheets/d/1p53"&amp;"T2AuvvIqhP7Nf-bo3Uhj8cbKYRPpZdsrBv3x3bAQ/edit?resourcekey#gid=1321652304"",""Prop!$N$1:$X""),11,0),iferror(vlookup(B118,importrange(""https://docs.google.com/spreadsheets/d/1p53T2AuvvIqhP7Nf-bo3Uhj8cbKYRPpZdsrBv3x3bAQ/edit?resourcekey#gid=1321652304"",""P"&amp;"rop!$Y$1:$AI""),11,0),iferror(vlookup(B118,importrange(""https://docs.google.com/spreadsheets/d/1p53T2AuvvIqhP7Nf-bo3Uhj8cbKYRPpZdsrBv3x3bAQ/edit?resourcekey#gid=1321652304"",""Prop!$AJ$1:$AT""),11,0),iferror(vlookup(B118,importrange(""https://docs.google"&amp;".com/spreadsheets/d/1p53T2AuvvIqhP7Nf-bo3Uhj8cbKYRPpZdsrBv3x3bAQ/edit?resourcekey#gid=1321652304"",""Prop!$AU$1:$BE""),11,0),iferror(vlookup(B118,importrange(""https://docs.google.com/spreadsheets/d/1p53T2AuvvIqhP7Nf-bo3Uhj8cbKYRPpZdsrBv3x3bAQ/edit?resour"&amp;"cekey#gid=1321652304"",""Prop!$BF$1:$BP""),11,0),iferror(vlookup(B118,importrange(""https://docs.google.com/spreadsheets/d/1p53T2AuvvIqhP7Nf-bo3Uhj8cbKYRPpZdsrBv3x3bAQ/edit?resourcekey#gid=1321652304"",""Prop!$BQ$1:$CA""),11,0),iferror(vlookup(B118,import"&amp;"range(""https://docs.google.com/spreadsheets/d/1p53T2AuvvIqhP7Nf-bo3Uhj8cbKYRPpZdsrBv3x3bAQ/edit?resourcekey#gid=1321652304"",""Prop!$CB$1:$CL""),11,0),iferror(vlookup(B118,importrange(""https://docs.google.com/spreadsheets/d/1p53T2AuvvIqhP7Nf-bo3Uhj8cbKY"&amp;"RPpZdsrBv3x3bAQ/edit?resourcekey#gid=1321652304"",""Prop!$CM$1:$CX""),11,0),iferror(vlookup(B118,importrange(""https://docs.google.com/spreadsheets/d/1p53T2AuvvIqhP7Nf-bo3Uhj8cbKYRPpZdsrBv3x3bAQ/edit?resourcekey#gid=1321652304"",""Prop!$CY$1:$DI""),11,0))"&amp;")))))))))"),"https://drive.google.com/open?id=1s45eIWRWksyHpg48NG_jF-PXs65sx6Jw")</f>
        <v>https://drive.google.com/open?id=1s45eIWRWksyHpg48NG_jF-PXs65sx6Jw</v>
      </c>
      <c r="R118" s="88" t="s">
        <v>1101</v>
      </c>
      <c r="S118" s="20" t="str">
        <f ca="1">IFERROR(__xludf.DUMMYFUNCTION("IFERROR(vlookup(B118,IMPORTRANGE(""https://docs.google.com/spreadsheets/d/1g_jfYYK_KeipEDNDUgqgrsxK94XiocfNQIcP-v1QVhI/edit?resourcekey#gid=233272945"",""Nilai!B:CT""),57,0),"" "")"),"tambahkan referensi di setiap step metode bila ada")</f>
        <v>tambahkan referensi di setiap step metode bila ada</v>
      </c>
      <c r="T118" s="20" t="str">
        <f ca="1">IFERROR(__xludf.DUMMYFUNCTION("IFERROR(vlookup(B118,IMPORTRANGE(""https://docs.google.com/spreadsheets/d/1g_jfYYK_KeipEDNDUgqgrsxK94XiocfNQIcP-v1QVhI/edit?resourcekey#gid=233272945"",""Nilai!B:CT""),97,0),"" "")"),"LAYAK UPLOAD KE SIMBELMAWA")</f>
        <v>LAYAK UPLOAD KE SIMBELMAWA</v>
      </c>
      <c r="U118" s="36" t="s">
        <v>825</v>
      </c>
      <c r="V118" s="85" t="s">
        <v>1102</v>
      </c>
      <c r="W118" s="58" t="s">
        <v>1179</v>
      </c>
      <c r="X118" s="34" t="s">
        <v>949</v>
      </c>
    </row>
    <row r="119" spans="1:24" ht="14.4">
      <c r="A119" s="15"/>
      <c r="B119" s="15"/>
      <c r="C119" s="16"/>
      <c r="D119" s="16"/>
      <c r="E119" s="16"/>
      <c r="F119" s="16"/>
      <c r="G119" s="16"/>
      <c r="H119" s="16"/>
      <c r="I119" s="16"/>
      <c r="J119" s="16"/>
      <c r="K119" s="16"/>
      <c r="L119" s="38"/>
      <c r="M119" s="25"/>
      <c r="N119" s="25"/>
      <c r="O119" s="16"/>
      <c r="P119" s="1"/>
      <c r="Q119" s="8"/>
      <c r="R119" s="88"/>
      <c r="S119" s="20" t="str">
        <f ca="1">IFERROR(__xludf.DUMMYFUNCTION("IFERROR(vlookup(B119,IMPORTRANGE(""https://docs.google.com/spreadsheets/d/1g_jfYYK_KeipEDNDUgqgrsxK94XiocfNQIcP-v1QVhI/edit?resourcekey#gid=233272945"",""Nilai!B:CT""),57,0),"" "")")," ")</f>
        <v xml:space="preserve"> </v>
      </c>
      <c r="T119" s="88"/>
      <c r="U119" s="8"/>
      <c r="V119" s="16"/>
      <c r="W119" s="1"/>
      <c r="X119" s="1"/>
    </row>
    <row r="120" spans="1:24" ht="14.4">
      <c r="A120" s="15"/>
      <c r="B120" s="15"/>
      <c r="C120" s="16"/>
      <c r="D120" s="16"/>
      <c r="E120" s="16"/>
      <c r="F120" s="16"/>
      <c r="G120" s="16"/>
      <c r="H120" s="16"/>
      <c r="I120" s="16"/>
      <c r="J120" s="16"/>
      <c r="K120" s="16"/>
      <c r="L120" s="38"/>
      <c r="M120" s="25"/>
      <c r="N120" s="25"/>
      <c r="O120" s="16"/>
      <c r="P120" s="1"/>
      <c r="Q120" s="8"/>
      <c r="R120" s="88"/>
      <c r="S120" s="20" t="str">
        <f ca="1">IFERROR(__xludf.DUMMYFUNCTION("IFERROR(vlookup(B120,IMPORTRANGE(""https://docs.google.com/spreadsheets/d/1g_jfYYK_KeipEDNDUgqgrsxK94XiocfNQIcP-v1QVhI/edit?resourcekey#gid=233272945"",""Nilai!B:CT""),57,0),"" "")")," ")</f>
        <v xml:space="preserve"> </v>
      </c>
      <c r="T120" s="88"/>
      <c r="U120" s="8"/>
      <c r="V120" s="16"/>
      <c r="W120" s="1"/>
      <c r="X120" s="1"/>
    </row>
    <row r="121" spans="1:24" ht="14.4">
      <c r="A121" s="15"/>
      <c r="B121" s="15"/>
      <c r="C121" s="16"/>
      <c r="D121" s="16"/>
      <c r="E121" s="16"/>
      <c r="F121" s="16"/>
      <c r="G121" s="16"/>
      <c r="H121" s="16"/>
      <c r="I121" s="16"/>
      <c r="J121" s="16"/>
      <c r="K121" s="16"/>
      <c r="L121" s="38"/>
      <c r="M121" s="25"/>
      <c r="N121" s="25"/>
      <c r="O121" s="16"/>
      <c r="P121" s="1"/>
      <c r="Q121" s="8"/>
      <c r="R121" s="88"/>
      <c r="S121" s="20" t="str">
        <f ca="1">IFERROR(__xludf.DUMMYFUNCTION("IFERROR(vlookup(B121,IMPORTRANGE(""https://docs.google.com/spreadsheets/d/1g_jfYYK_KeipEDNDUgqgrsxK94XiocfNQIcP-v1QVhI/edit?resourcekey#gid=233272945"",""Nilai!B:CT""),57,0),"" "")")," ")</f>
        <v xml:space="preserve"> </v>
      </c>
      <c r="T121" s="88"/>
      <c r="U121" s="8"/>
      <c r="V121" s="16"/>
      <c r="W121" s="1"/>
      <c r="X121" s="1"/>
    </row>
    <row r="122" spans="1:24" ht="14.4">
      <c r="A122" s="15"/>
      <c r="B122" s="15"/>
      <c r="C122" s="16"/>
      <c r="D122" s="16"/>
      <c r="E122" s="16"/>
      <c r="F122" s="16"/>
      <c r="G122" s="16"/>
      <c r="H122" s="16"/>
      <c r="I122" s="16"/>
      <c r="J122" s="16"/>
      <c r="K122" s="16"/>
      <c r="L122" s="38"/>
      <c r="M122" s="25"/>
      <c r="N122" s="25"/>
      <c r="O122" s="16"/>
      <c r="P122" s="1"/>
      <c r="Q122" s="8"/>
      <c r="R122" s="88"/>
      <c r="S122" s="20" t="str">
        <f ca="1">IFERROR(__xludf.DUMMYFUNCTION("IFERROR(vlookup(B122,IMPORTRANGE(""https://docs.google.com/spreadsheets/d/1g_jfYYK_KeipEDNDUgqgrsxK94XiocfNQIcP-v1QVhI/edit?resourcekey#gid=233272945"",""Nilai!B:CT""),57,0),"" "")")," ")</f>
        <v xml:space="preserve"> </v>
      </c>
      <c r="T122" s="88"/>
      <c r="U122" s="8"/>
      <c r="V122" s="16"/>
      <c r="W122" s="1"/>
      <c r="X122" s="1"/>
    </row>
    <row r="123" spans="1:24" ht="14.4">
      <c r="A123" s="15"/>
      <c r="B123" s="15"/>
      <c r="C123" s="16"/>
      <c r="D123" s="16"/>
      <c r="E123" s="16"/>
      <c r="F123" s="16"/>
      <c r="G123" s="16"/>
      <c r="H123" s="16"/>
      <c r="I123" s="16"/>
      <c r="J123" s="16"/>
      <c r="K123" s="16"/>
      <c r="L123" s="38"/>
      <c r="M123" s="25"/>
      <c r="N123" s="25"/>
      <c r="O123" s="16"/>
      <c r="P123" s="1"/>
      <c r="Q123" s="8"/>
      <c r="R123" s="88"/>
      <c r="S123" s="20" t="str">
        <f ca="1">IFERROR(__xludf.DUMMYFUNCTION("IFERROR(vlookup(B123,IMPORTRANGE(""https://docs.google.com/spreadsheets/d/1g_jfYYK_KeipEDNDUgqgrsxK94XiocfNQIcP-v1QVhI/edit?resourcekey#gid=233272945"",""Nilai!B:CT""),57,0),"" "")")," ")</f>
        <v xml:space="preserve"> </v>
      </c>
      <c r="T123" s="88"/>
      <c r="U123" s="8"/>
      <c r="V123" s="16"/>
      <c r="W123" s="1"/>
      <c r="X123" s="1"/>
    </row>
    <row r="124" spans="1:24" ht="14.4">
      <c r="A124" s="15"/>
      <c r="B124" s="15"/>
      <c r="C124" s="16"/>
      <c r="D124" s="16"/>
      <c r="E124" s="16"/>
      <c r="F124" s="16"/>
      <c r="G124" s="16"/>
      <c r="H124" s="16"/>
      <c r="I124" s="16"/>
      <c r="J124" s="16"/>
      <c r="K124" s="16"/>
      <c r="L124" s="38"/>
      <c r="M124" s="25"/>
      <c r="N124" s="25"/>
      <c r="O124" s="16"/>
      <c r="P124" s="1"/>
      <c r="Q124" s="8"/>
      <c r="R124" s="88"/>
      <c r="S124" s="20" t="str">
        <f ca="1">IFERROR(__xludf.DUMMYFUNCTION("IFERROR(vlookup(B124,IMPORTRANGE(""https://docs.google.com/spreadsheets/d/1g_jfYYK_KeipEDNDUgqgrsxK94XiocfNQIcP-v1QVhI/edit?resourcekey#gid=233272945"",""Nilai!B:CT""),57,0),"" "")")," ")</f>
        <v xml:space="preserve"> </v>
      </c>
      <c r="T124" s="88"/>
      <c r="U124" s="8"/>
      <c r="V124" s="16"/>
      <c r="W124" s="1"/>
      <c r="X124" s="1"/>
    </row>
    <row r="125" spans="1:24" ht="14.4">
      <c r="A125" s="15"/>
      <c r="B125" s="15"/>
      <c r="C125" s="16"/>
      <c r="D125" s="16"/>
      <c r="E125" s="16"/>
      <c r="F125" s="16"/>
      <c r="G125" s="16"/>
      <c r="H125" s="16"/>
      <c r="I125" s="16"/>
      <c r="J125" s="16"/>
      <c r="K125" s="16"/>
      <c r="L125" s="38"/>
      <c r="M125" s="25"/>
      <c r="N125" s="25"/>
      <c r="O125" s="16"/>
      <c r="P125" s="1"/>
      <c r="Q125" s="8"/>
      <c r="R125" s="88"/>
      <c r="S125" s="20" t="str">
        <f ca="1">IFERROR(__xludf.DUMMYFUNCTION("IFERROR(vlookup(B125,IMPORTRANGE(""https://docs.google.com/spreadsheets/d/1g_jfYYK_KeipEDNDUgqgrsxK94XiocfNQIcP-v1QVhI/edit?resourcekey#gid=233272945"",""Nilai!B:CT""),57,0),"" "")")," ")</f>
        <v xml:space="preserve"> </v>
      </c>
      <c r="T125" s="88"/>
      <c r="U125" s="8"/>
      <c r="V125" s="16"/>
      <c r="W125" s="1"/>
      <c r="X125" s="1"/>
    </row>
    <row r="126" spans="1:24" ht="14.4">
      <c r="A126" s="15"/>
      <c r="B126" s="15"/>
      <c r="C126" s="16"/>
      <c r="D126" s="16"/>
      <c r="E126" s="16"/>
      <c r="F126" s="16"/>
      <c r="G126" s="16"/>
      <c r="H126" s="16"/>
      <c r="I126" s="16"/>
      <c r="J126" s="16"/>
      <c r="K126" s="16"/>
      <c r="L126" s="38"/>
      <c r="M126" s="25"/>
      <c r="N126" s="25"/>
      <c r="O126" s="16"/>
      <c r="P126" s="1"/>
      <c r="Q126" s="8"/>
      <c r="R126" s="88"/>
      <c r="S126" s="20" t="str">
        <f ca="1">IFERROR(__xludf.DUMMYFUNCTION("IFERROR(vlookup(B126,IMPORTRANGE(""https://docs.google.com/spreadsheets/d/1g_jfYYK_KeipEDNDUgqgrsxK94XiocfNQIcP-v1QVhI/edit?resourcekey#gid=233272945"",""Nilai!B:CT""),57,0),"" "")")," ")</f>
        <v xml:space="preserve"> </v>
      </c>
      <c r="T126" s="88"/>
      <c r="U126" s="8"/>
      <c r="V126" s="16"/>
      <c r="W126" s="1"/>
      <c r="X126" s="1"/>
    </row>
    <row r="127" spans="1:24" ht="14.4">
      <c r="A127" s="15"/>
      <c r="B127" s="15"/>
      <c r="C127" s="16"/>
      <c r="D127" s="16"/>
      <c r="E127" s="16"/>
      <c r="F127" s="16"/>
      <c r="G127" s="16"/>
      <c r="H127" s="16"/>
      <c r="I127" s="16"/>
      <c r="J127" s="16"/>
      <c r="K127" s="16"/>
      <c r="L127" s="38"/>
      <c r="M127" s="25"/>
      <c r="N127" s="25"/>
      <c r="O127" s="16"/>
      <c r="P127" s="1"/>
      <c r="Q127" s="8"/>
      <c r="R127" s="8"/>
      <c r="S127" s="20" t="str">
        <f ca="1">IFERROR(__xludf.DUMMYFUNCTION("IFERROR(vlookup(B127,IMPORTRANGE(""https://docs.google.com/spreadsheets/d/1g_jfYYK_KeipEDNDUgqgrsxK94XiocfNQIcP-v1QVhI/edit?resourcekey#gid=233272945"",""Nilai!B:CT""),57,0),"" "")")," ")</f>
        <v xml:space="preserve"> </v>
      </c>
      <c r="T127" s="8"/>
      <c r="U127" s="8"/>
      <c r="V127" s="16"/>
      <c r="W127" s="1"/>
      <c r="X127" s="1"/>
    </row>
    <row r="128" spans="1:24" ht="14.4">
      <c r="A128" s="15"/>
      <c r="B128" s="15"/>
      <c r="C128" s="16"/>
      <c r="D128" s="16"/>
      <c r="E128" s="16"/>
      <c r="F128" s="16"/>
      <c r="G128" s="16"/>
      <c r="H128" s="16"/>
      <c r="I128" s="16"/>
      <c r="J128" s="16"/>
      <c r="K128" s="16"/>
      <c r="L128" s="38"/>
      <c r="M128" s="25"/>
      <c r="N128" s="25"/>
      <c r="O128" s="16"/>
      <c r="P128" s="1"/>
      <c r="Q128" s="8"/>
      <c r="R128" s="8"/>
      <c r="S128" s="20" t="str">
        <f ca="1">IFERROR(__xludf.DUMMYFUNCTION("IFERROR(vlookup(B128,IMPORTRANGE(""https://docs.google.com/spreadsheets/d/1g_jfYYK_KeipEDNDUgqgrsxK94XiocfNQIcP-v1QVhI/edit?resourcekey#gid=233272945"",""Nilai!B:CT""),57,0),"" "")")," ")</f>
        <v xml:space="preserve"> </v>
      </c>
      <c r="T128" s="8"/>
      <c r="U128" s="8"/>
      <c r="V128" s="16"/>
      <c r="W128" s="1"/>
      <c r="X128" s="1"/>
    </row>
    <row r="129" spans="1:24" ht="14.4">
      <c r="A129" s="15"/>
      <c r="B129" s="15"/>
      <c r="C129" s="16"/>
      <c r="D129" s="16"/>
      <c r="E129" s="16"/>
      <c r="F129" s="16"/>
      <c r="G129" s="16"/>
      <c r="H129" s="16"/>
      <c r="I129" s="16"/>
      <c r="J129" s="16"/>
      <c r="K129" s="16"/>
      <c r="L129" s="38"/>
      <c r="M129" s="25"/>
      <c r="N129" s="25"/>
      <c r="O129" s="16"/>
      <c r="P129" s="1"/>
      <c r="Q129" s="8"/>
      <c r="R129" s="8"/>
      <c r="S129" s="20" t="str">
        <f ca="1">IFERROR(__xludf.DUMMYFUNCTION("IFERROR(vlookup(B129,IMPORTRANGE(""https://docs.google.com/spreadsheets/d/1g_jfYYK_KeipEDNDUgqgrsxK94XiocfNQIcP-v1QVhI/edit?resourcekey#gid=233272945"",""Nilai!B:CT""),57,0),"" "")")," ")</f>
        <v xml:space="preserve"> </v>
      </c>
      <c r="T129" s="8"/>
      <c r="U129" s="8"/>
      <c r="V129" s="16"/>
      <c r="W129" s="1"/>
      <c r="X129" s="1"/>
    </row>
    <row r="130" spans="1:24" ht="14.4">
      <c r="A130" s="15"/>
      <c r="B130" s="15"/>
      <c r="C130" s="16"/>
      <c r="D130" s="16"/>
      <c r="E130" s="16"/>
      <c r="F130" s="16"/>
      <c r="G130" s="16"/>
      <c r="H130" s="16"/>
      <c r="I130" s="16"/>
      <c r="J130" s="16"/>
      <c r="K130" s="16"/>
      <c r="L130" s="38"/>
      <c r="M130" s="25"/>
      <c r="N130" s="25"/>
      <c r="O130" s="16"/>
      <c r="P130" s="1"/>
      <c r="Q130" s="8"/>
      <c r="R130" s="8"/>
      <c r="S130" s="20" t="str">
        <f ca="1">IFERROR(__xludf.DUMMYFUNCTION("IFERROR(vlookup(B130,IMPORTRANGE(""https://docs.google.com/spreadsheets/d/1g_jfYYK_KeipEDNDUgqgrsxK94XiocfNQIcP-v1QVhI/edit?resourcekey#gid=233272945"",""Nilai!B:CT""),57,0),"" "")")," ")</f>
        <v xml:space="preserve"> </v>
      </c>
      <c r="T130" s="8"/>
      <c r="U130" s="8"/>
      <c r="V130" s="16"/>
      <c r="W130" s="1"/>
      <c r="X130" s="1"/>
    </row>
    <row r="131" spans="1:24" ht="14.4">
      <c r="A131" s="15"/>
      <c r="B131" s="15"/>
      <c r="C131" s="16"/>
      <c r="D131" s="16"/>
      <c r="E131" s="16"/>
      <c r="F131" s="16"/>
      <c r="G131" s="16"/>
      <c r="H131" s="16"/>
      <c r="I131" s="16"/>
      <c r="J131" s="16"/>
      <c r="K131" s="16"/>
      <c r="L131" s="38"/>
      <c r="M131" s="25"/>
      <c r="N131" s="25"/>
      <c r="O131" s="16"/>
      <c r="P131" s="1"/>
      <c r="Q131" s="8"/>
      <c r="R131" s="8"/>
      <c r="S131" s="20" t="str">
        <f ca="1">IFERROR(__xludf.DUMMYFUNCTION("IFERROR(vlookup(B131,IMPORTRANGE(""https://docs.google.com/spreadsheets/d/1g_jfYYK_KeipEDNDUgqgrsxK94XiocfNQIcP-v1QVhI/edit?resourcekey#gid=233272945"",""Nilai!B:CT""),57,0),"" "")")," ")</f>
        <v xml:space="preserve"> </v>
      </c>
      <c r="T131" s="8"/>
      <c r="U131" s="8"/>
      <c r="V131" s="16"/>
      <c r="W131" s="1"/>
      <c r="X131" s="1"/>
    </row>
    <row r="132" spans="1:24" ht="14.4">
      <c r="A132" s="15"/>
      <c r="B132" s="15"/>
      <c r="C132" s="16"/>
      <c r="D132" s="16"/>
      <c r="E132" s="16"/>
      <c r="F132" s="16"/>
      <c r="G132" s="16"/>
      <c r="H132" s="16"/>
      <c r="I132" s="16"/>
      <c r="J132" s="16"/>
      <c r="K132" s="16"/>
      <c r="L132" s="38"/>
      <c r="M132" s="25"/>
      <c r="N132" s="25"/>
      <c r="O132" s="16"/>
      <c r="P132" s="1"/>
      <c r="Q132" s="8"/>
      <c r="R132" s="8"/>
      <c r="S132" s="20" t="str">
        <f ca="1">IFERROR(__xludf.DUMMYFUNCTION("IFERROR(vlookup(B132,IMPORTRANGE(""https://docs.google.com/spreadsheets/d/1g_jfYYK_KeipEDNDUgqgrsxK94XiocfNQIcP-v1QVhI/edit?resourcekey#gid=233272945"",""Nilai!B:CT""),57,0),"" "")")," ")</f>
        <v xml:space="preserve"> </v>
      </c>
      <c r="T132" s="8"/>
      <c r="U132" s="8"/>
      <c r="V132" s="16"/>
      <c r="W132" s="1"/>
      <c r="X132" s="1"/>
    </row>
    <row r="133" spans="1:24" ht="14.4">
      <c r="A133" s="15"/>
      <c r="B133" s="15"/>
      <c r="C133" s="16"/>
      <c r="D133" s="16"/>
      <c r="E133" s="16"/>
      <c r="F133" s="16"/>
      <c r="G133" s="16"/>
      <c r="H133" s="16"/>
      <c r="I133" s="16"/>
      <c r="J133" s="16"/>
      <c r="K133" s="16"/>
      <c r="L133" s="38"/>
      <c r="M133" s="25"/>
      <c r="N133" s="25"/>
      <c r="O133" s="16"/>
      <c r="P133" s="1"/>
      <c r="Q133" s="8"/>
      <c r="R133" s="8"/>
      <c r="S133" s="20" t="str">
        <f ca="1">IFERROR(__xludf.DUMMYFUNCTION("IFERROR(vlookup(B133,IMPORTRANGE(""https://docs.google.com/spreadsheets/d/1g_jfYYK_KeipEDNDUgqgrsxK94XiocfNQIcP-v1QVhI/edit?resourcekey#gid=233272945"",""Nilai!B:CT""),57,0),"" "")")," ")</f>
        <v xml:space="preserve"> </v>
      </c>
      <c r="T133" s="8"/>
      <c r="U133" s="8"/>
      <c r="V133" s="16"/>
      <c r="W133" s="1"/>
      <c r="X133" s="1"/>
    </row>
    <row r="134" spans="1:24" ht="14.4">
      <c r="A134" s="15"/>
      <c r="B134" s="15"/>
      <c r="C134" s="16"/>
      <c r="D134" s="16"/>
      <c r="E134" s="16"/>
      <c r="F134" s="16"/>
      <c r="G134" s="16"/>
      <c r="H134" s="16"/>
      <c r="I134" s="16"/>
      <c r="J134" s="16"/>
      <c r="K134" s="16"/>
      <c r="L134" s="38"/>
      <c r="M134" s="25"/>
      <c r="N134" s="25"/>
      <c r="O134" s="16"/>
      <c r="P134" s="1"/>
      <c r="Q134" s="8"/>
      <c r="R134" s="8"/>
      <c r="S134" s="20" t="str">
        <f ca="1">IFERROR(__xludf.DUMMYFUNCTION("IFERROR(vlookup(B134,IMPORTRANGE(""https://docs.google.com/spreadsheets/d/1g_jfYYK_KeipEDNDUgqgrsxK94XiocfNQIcP-v1QVhI/edit?resourcekey#gid=233272945"",""Nilai!B:CT""),57,0),"" "")")," ")</f>
        <v xml:space="preserve"> </v>
      </c>
      <c r="T134" s="8"/>
      <c r="U134" s="8"/>
      <c r="V134" s="16"/>
      <c r="W134" s="1"/>
      <c r="X134" s="1"/>
    </row>
    <row r="135" spans="1:24" ht="14.4">
      <c r="A135" s="15"/>
      <c r="B135" s="15"/>
      <c r="C135" s="16"/>
      <c r="D135" s="16"/>
      <c r="E135" s="16"/>
      <c r="F135" s="16"/>
      <c r="G135" s="16"/>
      <c r="H135" s="16"/>
      <c r="I135" s="16"/>
      <c r="J135" s="16"/>
      <c r="K135" s="16"/>
      <c r="L135" s="38"/>
      <c r="M135" s="25"/>
      <c r="N135" s="25"/>
      <c r="O135" s="16"/>
      <c r="P135" s="1"/>
      <c r="Q135" s="8"/>
      <c r="R135" s="8"/>
      <c r="S135" s="20" t="str">
        <f ca="1">IFERROR(__xludf.DUMMYFUNCTION("IFERROR(vlookup(B135,IMPORTRANGE(""https://docs.google.com/spreadsheets/d/1g_jfYYK_KeipEDNDUgqgrsxK94XiocfNQIcP-v1QVhI/edit?resourcekey#gid=233272945"",""Nilai!B:CT""),57,0),"" "")")," ")</f>
        <v xml:space="preserve"> </v>
      </c>
      <c r="T135" s="8"/>
      <c r="U135" s="8"/>
      <c r="V135" s="16"/>
      <c r="W135" s="1"/>
      <c r="X135" s="1"/>
    </row>
    <row r="136" spans="1:24" ht="14.4">
      <c r="A136" s="15"/>
      <c r="B136" s="15"/>
      <c r="C136" s="16"/>
      <c r="D136" s="16"/>
      <c r="E136" s="16"/>
      <c r="F136" s="16"/>
      <c r="G136" s="16"/>
      <c r="H136" s="16"/>
      <c r="I136" s="16"/>
      <c r="J136" s="16"/>
      <c r="K136" s="16"/>
      <c r="L136" s="38"/>
      <c r="M136" s="25"/>
      <c r="N136" s="25"/>
      <c r="O136" s="16"/>
      <c r="P136" s="1"/>
      <c r="Q136" s="8"/>
      <c r="R136" s="8"/>
      <c r="S136" s="20" t="str">
        <f ca="1">IFERROR(__xludf.DUMMYFUNCTION("IFERROR(vlookup(B136,IMPORTRANGE(""https://docs.google.com/spreadsheets/d/1g_jfYYK_KeipEDNDUgqgrsxK94XiocfNQIcP-v1QVhI/edit?resourcekey#gid=233272945"",""Nilai!B:CT""),57,0),"" "")")," ")</f>
        <v xml:space="preserve"> </v>
      </c>
      <c r="T136" s="8"/>
      <c r="U136" s="8"/>
      <c r="V136" s="16"/>
      <c r="W136" s="1"/>
      <c r="X136" s="1"/>
    </row>
    <row r="137" spans="1:24" ht="14.4">
      <c r="A137" s="15"/>
      <c r="B137" s="15"/>
      <c r="C137" s="16"/>
      <c r="D137" s="16"/>
      <c r="E137" s="16"/>
      <c r="F137" s="16"/>
      <c r="G137" s="16"/>
      <c r="H137" s="16"/>
      <c r="I137" s="16"/>
      <c r="J137" s="16"/>
      <c r="K137" s="16"/>
      <c r="L137" s="38"/>
      <c r="M137" s="25"/>
      <c r="N137" s="25"/>
      <c r="O137" s="16"/>
      <c r="P137" s="1"/>
      <c r="Q137" s="8"/>
      <c r="R137" s="8"/>
      <c r="S137" s="20" t="str">
        <f ca="1">IFERROR(__xludf.DUMMYFUNCTION("IFERROR(vlookup(B137,IMPORTRANGE(""https://docs.google.com/spreadsheets/d/1g_jfYYK_KeipEDNDUgqgrsxK94XiocfNQIcP-v1QVhI/edit?resourcekey#gid=233272945"",""Nilai!B:CT""),57,0),"" "")")," ")</f>
        <v xml:space="preserve"> </v>
      </c>
      <c r="T137" s="8"/>
      <c r="U137" s="8"/>
      <c r="V137" s="16"/>
      <c r="W137" s="1"/>
      <c r="X137" s="1"/>
    </row>
    <row r="138" spans="1:24" ht="14.4">
      <c r="A138" s="15"/>
      <c r="B138" s="15"/>
      <c r="C138" s="16"/>
      <c r="D138" s="16"/>
      <c r="E138" s="16"/>
      <c r="F138" s="16"/>
      <c r="G138" s="16"/>
      <c r="H138" s="16"/>
      <c r="I138" s="16"/>
      <c r="J138" s="16"/>
      <c r="K138" s="16"/>
      <c r="L138" s="38"/>
      <c r="M138" s="25"/>
      <c r="N138" s="25"/>
      <c r="O138" s="16"/>
      <c r="P138" s="1"/>
      <c r="Q138" s="8"/>
      <c r="R138" s="8"/>
      <c r="S138" s="20" t="str">
        <f ca="1">IFERROR(__xludf.DUMMYFUNCTION("IFERROR(vlookup(B138,IMPORTRANGE(""https://docs.google.com/spreadsheets/d/1g_jfYYK_KeipEDNDUgqgrsxK94XiocfNQIcP-v1QVhI/edit?resourcekey#gid=233272945"",""Nilai!B:CT""),57,0),"" "")")," ")</f>
        <v xml:space="preserve"> </v>
      </c>
      <c r="T138" s="8"/>
      <c r="U138" s="8"/>
      <c r="V138" s="16"/>
      <c r="W138" s="1"/>
      <c r="X138" s="1"/>
    </row>
    <row r="139" spans="1:24" ht="14.4">
      <c r="A139" s="15"/>
      <c r="B139" s="15"/>
      <c r="C139" s="16"/>
      <c r="D139" s="16"/>
      <c r="E139" s="16"/>
      <c r="F139" s="16"/>
      <c r="G139" s="16"/>
      <c r="H139" s="16"/>
      <c r="I139" s="16"/>
      <c r="J139" s="16"/>
      <c r="K139" s="16"/>
      <c r="L139" s="38"/>
      <c r="M139" s="25"/>
      <c r="N139" s="25"/>
      <c r="O139" s="16"/>
      <c r="P139" s="1"/>
      <c r="Q139" s="8"/>
      <c r="R139" s="8"/>
      <c r="S139" s="20" t="str">
        <f ca="1">IFERROR(__xludf.DUMMYFUNCTION("IFERROR(vlookup(B139,IMPORTRANGE(""https://docs.google.com/spreadsheets/d/1g_jfYYK_KeipEDNDUgqgrsxK94XiocfNQIcP-v1QVhI/edit?resourcekey#gid=233272945"",""Nilai!B:CT""),57,0),"" "")")," ")</f>
        <v xml:space="preserve"> </v>
      </c>
      <c r="T139" s="8"/>
      <c r="U139" s="8"/>
      <c r="V139" s="16"/>
      <c r="W139" s="1"/>
      <c r="X139" s="1"/>
    </row>
    <row r="140" spans="1:24" ht="14.4">
      <c r="A140" s="15"/>
      <c r="B140" s="15"/>
      <c r="C140" s="16"/>
      <c r="D140" s="16"/>
      <c r="E140" s="16"/>
      <c r="F140" s="16"/>
      <c r="G140" s="16"/>
      <c r="H140" s="16"/>
      <c r="I140" s="16"/>
      <c r="J140" s="16"/>
      <c r="K140" s="16"/>
      <c r="L140" s="38"/>
      <c r="M140" s="25"/>
      <c r="N140" s="25"/>
      <c r="O140" s="16"/>
      <c r="P140" s="1"/>
      <c r="Q140" s="8"/>
      <c r="R140" s="8"/>
      <c r="S140" s="20" t="str">
        <f ca="1">IFERROR(__xludf.DUMMYFUNCTION("IFERROR(vlookup(B140,IMPORTRANGE(""https://docs.google.com/spreadsheets/d/1g_jfYYK_KeipEDNDUgqgrsxK94XiocfNQIcP-v1QVhI/edit?resourcekey#gid=233272945"",""Nilai!B:CT""),57,0),"" "")")," ")</f>
        <v xml:space="preserve"> </v>
      </c>
      <c r="T140" s="8"/>
      <c r="U140" s="8"/>
      <c r="V140" s="16"/>
      <c r="W140" s="1"/>
      <c r="X140" s="1"/>
    </row>
    <row r="141" spans="1:24" ht="14.4">
      <c r="A141" s="15"/>
      <c r="B141" s="15"/>
      <c r="C141" s="16"/>
      <c r="D141" s="16"/>
      <c r="E141" s="16"/>
      <c r="F141" s="16"/>
      <c r="G141" s="16"/>
      <c r="H141" s="16"/>
      <c r="I141" s="16"/>
      <c r="J141" s="16"/>
      <c r="K141" s="16"/>
      <c r="L141" s="38"/>
      <c r="M141" s="25"/>
      <c r="N141" s="25"/>
      <c r="O141" s="16"/>
      <c r="P141" s="1"/>
      <c r="Q141" s="8"/>
      <c r="R141" s="8"/>
      <c r="S141" s="20" t="str">
        <f ca="1">IFERROR(__xludf.DUMMYFUNCTION("IFERROR(vlookup(B141,IMPORTRANGE(""https://docs.google.com/spreadsheets/d/1g_jfYYK_KeipEDNDUgqgrsxK94XiocfNQIcP-v1QVhI/edit?resourcekey#gid=233272945"",""Nilai!B:CT""),57,0),"" "")")," ")</f>
        <v xml:space="preserve"> </v>
      </c>
      <c r="T141" s="8"/>
      <c r="U141" s="8"/>
      <c r="V141" s="16"/>
      <c r="W141" s="1"/>
      <c r="X141" s="1"/>
    </row>
    <row r="142" spans="1:24" ht="14.4">
      <c r="A142" s="15"/>
      <c r="B142" s="15"/>
      <c r="C142" s="16"/>
      <c r="D142" s="16"/>
      <c r="E142" s="16"/>
      <c r="F142" s="16"/>
      <c r="G142" s="16"/>
      <c r="H142" s="16"/>
      <c r="I142" s="16"/>
      <c r="J142" s="16"/>
      <c r="K142" s="16"/>
      <c r="L142" s="38"/>
      <c r="M142" s="25"/>
      <c r="N142" s="25"/>
      <c r="O142" s="16"/>
      <c r="P142" s="1"/>
      <c r="Q142" s="8"/>
      <c r="R142" s="8"/>
      <c r="S142" s="20" t="str">
        <f ca="1">IFERROR(__xludf.DUMMYFUNCTION("IFERROR(vlookup(B142,IMPORTRANGE(""https://docs.google.com/spreadsheets/d/1g_jfYYK_KeipEDNDUgqgrsxK94XiocfNQIcP-v1QVhI/edit?resourcekey#gid=233272945"",""Nilai!B:CT""),57,0),"" "")")," ")</f>
        <v xml:space="preserve"> </v>
      </c>
      <c r="T142" s="8"/>
      <c r="U142" s="8"/>
      <c r="V142" s="16"/>
      <c r="W142" s="1"/>
      <c r="X142" s="1"/>
    </row>
    <row r="143" spans="1:24" ht="14.4">
      <c r="A143" s="15"/>
      <c r="B143" s="15"/>
      <c r="C143" s="16"/>
      <c r="D143" s="16"/>
      <c r="E143" s="16"/>
      <c r="F143" s="16"/>
      <c r="G143" s="16"/>
      <c r="H143" s="16"/>
      <c r="I143" s="16"/>
      <c r="J143" s="16"/>
      <c r="K143" s="16"/>
      <c r="L143" s="38"/>
      <c r="M143" s="25"/>
      <c r="N143" s="25"/>
      <c r="O143" s="16"/>
      <c r="P143" s="1"/>
      <c r="Q143" s="8"/>
      <c r="R143" s="8"/>
      <c r="S143" s="20" t="str">
        <f ca="1">IFERROR(__xludf.DUMMYFUNCTION("IFERROR(vlookup(B143,IMPORTRANGE(""https://docs.google.com/spreadsheets/d/1g_jfYYK_KeipEDNDUgqgrsxK94XiocfNQIcP-v1QVhI/edit?resourcekey#gid=233272945"",""Nilai!B:CT""),57,0),"" "")")," ")</f>
        <v xml:space="preserve"> </v>
      </c>
      <c r="T143" s="8"/>
      <c r="U143" s="8"/>
      <c r="V143" s="16"/>
      <c r="W143" s="1"/>
      <c r="X143" s="1"/>
    </row>
    <row r="144" spans="1:24" ht="14.4">
      <c r="A144" s="15"/>
      <c r="B144" s="15"/>
      <c r="C144" s="16"/>
      <c r="D144" s="16"/>
      <c r="E144" s="16"/>
      <c r="F144" s="16"/>
      <c r="G144" s="16"/>
      <c r="H144" s="16"/>
      <c r="I144" s="16"/>
      <c r="J144" s="16"/>
      <c r="K144" s="16"/>
      <c r="L144" s="38"/>
      <c r="M144" s="25"/>
      <c r="N144" s="25"/>
      <c r="O144" s="16"/>
      <c r="P144" s="1"/>
      <c r="Q144" s="8"/>
      <c r="R144" s="8"/>
      <c r="S144" s="1"/>
      <c r="T144" s="8"/>
      <c r="U144" s="8"/>
      <c r="V144" s="16"/>
      <c r="W144" s="1"/>
      <c r="X144" s="1"/>
    </row>
    <row r="145" spans="1:24" ht="14.4">
      <c r="A145" s="15"/>
      <c r="B145" s="15"/>
      <c r="C145" s="16"/>
      <c r="D145" s="16"/>
      <c r="E145" s="16"/>
      <c r="F145" s="16"/>
      <c r="G145" s="16"/>
      <c r="H145" s="16"/>
      <c r="I145" s="16"/>
      <c r="J145" s="16"/>
      <c r="K145" s="16"/>
      <c r="L145" s="38"/>
      <c r="M145" s="25"/>
      <c r="N145" s="25"/>
      <c r="O145" s="16"/>
      <c r="P145" s="1"/>
      <c r="Q145" s="8"/>
      <c r="R145" s="8"/>
      <c r="S145" s="1"/>
      <c r="T145" s="8"/>
      <c r="U145" s="8"/>
      <c r="V145" s="16"/>
      <c r="W145" s="1"/>
      <c r="X145" s="1"/>
    </row>
    <row r="146" spans="1:24" ht="14.4">
      <c r="A146" s="15"/>
      <c r="B146" s="15"/>
      <c r="C146" s="16"/>
      <c r="D146" s="16"/>
      <c r="E146" s="16"/>
      <c r="F146" s="16"/>
      <c r="G146" s="16"/>
      <c r="H146" s="16"/>
      <c r="I146" s="16"/>
      <c r="J146" s="16"/>
      <c r="K146" s="16"/>
      <c r="L146" s="38"/>
      <c r="M146" s="25"/>
      <c r="N146" s="25"/>
      <c r="O146" s="16"/>
      <c r="P146" s="1"/>
      <c r="Q146" s="8"/>
      <c r="R146" s="8"/>
      <c r="S146" s="1"/>
      <c r="T146" s="8"/>
      <c r="U146" s="8"/>
      <c r="V146" s="16"/>
      <c r="W146" s="1"/>
      <c r="X146" s="1"/>
    </row>
    <row r="147" spans="1:24" ht="14.4">
      <c r="A147" s="15"/>
      <c r="B147" s="15"/>
      <c r="C147" s="16"/>
      <c r="D147" s="16"/>
      <c r="E147" s="16"/>
      <c r="F147" s="16"/>
      <c r="G147" s="16"/>
      <c r="H147" s="16"/>
      <c r="I147" s="16"/>
      <c r="J147" s="16"/>
      <c r="K147" s="16"/>
      <c r="L147" s="38"/>
      <c r="M147" s="25"/>
      <c r="N147" s="25"/>
      <c r="O147" s="16"/>
      <c r="P147" s="1"/>
      <c r="Q147" s="8"/>
      <c r="R147" s="8"/>
      <c r="S147" s="1"/>
      <c r="T147" s="8"/>
      <c r="U147" s="8"/>
      <c r="V147" s="16"/>
      <c r="W147" s="1"/>
      <c r="X147" s="1"/>
    </row>
    <row r="148" spans="1:24" ht="14.4">
      <c r="A148" s="15"/>
      <c r="B148" s="15"/>
      <c r="C148" s="16"/>
      <c r="D148" s="16"/>
      <c r="E148" s="16"/>
      <c r="F148" s="16"/>
      <c r="G148" s="16"/>
      <c r="H148" s="16"/>
      <c r="I148" s="16"/>
      <c r="J148" s="16"/>
      <c r="K148" s="16"/>
      <c r="L148" s="38"/>
      <c r="M148" s="25"/>
      <c r="N148" s="25"/>
      <c r="O148" s="16"/>
      <c r="P148" s="1"/>
      <c r="Q148" s="8"/>
      <c r="R148" s="8"/>
      <c r="S148" s="1"/>
      <c r="T148" s="8"/>
      <c r="U148" s="8"/>
      <c r="V148" s="16"/>
      <c r="W148" s="1"/>
      <c r="X148" s="1"/>
    </row>
    <row r="149" spans="1:24" ht="14.4">
      <c r="A149" s="15"/>
      <c r="B149" s="15"/>
      <c r="C149" s="16"/>
      <c r="D149" s="16"/>
      <c r="E149" s="16"/>
      <c r="F149" s="16"/>
      <c r="G149" s="16"/>
      <c r="H149" s="16"/>
      <c r="I149" s="16"/>
      <c r="J149" s="16"/>
      <c r="K149" s="16"/>
      <c r="L149" s="38"/>
      <c r="M149" s="25"/>
      <c r="N149" s="25"/>
      <c r="O149" s="16"/>
      <c r="P149" s="1"/>
      <c r="Q149" s="8"/>
      <c r="R149" s="8"/>
      <c r="S149" s="1"/>
      <c r="T149" s="8"/>
      <c r="U149" s="8"/>
      <c r="V149" s="16"/>
      <c r="W149" s="1"/>
      <c r="X149" s="1"/>
    </row>
    <row r="150" spans="1:24" ht="14.4">
      <c r="A150" s="15"/>
      <c r="B150" s="15"/>
      <c r="C150" s="16"/>
      <c r="D150" s="16"/>
      <c r="E150" s="16"/>
      <c r="F150" s="16"/>
      <c r="G150" s="16"/>
      <c r="H150" s="16"/>
      <c r="I150" s="16"/>
      <c r="J150" s="16"/>
      <c r="K150" s="16"/>
      <c r="L150" s="38"/>
      <c r="M150" s="25"/>
      <c r="N150" s="25"/>
      <c r="O150" s="16"/>
      <c r="P150" s="1"/>
      <c r="Q150" s="8"/>
      <c r="R150" s="8"/>
      <c r="S150" s="1"/>
      <c r="T150" s="8"/>
      <c r="U150" s="8"/>
      <c r="V150" s="16"/>
      <c r="W150" s="1"/>
      <c r="X150" s="1"/>
    </row>
    <row r="151" spans="1:24" ht="14.4">
      <c r="A151" s="15"/>
      <c r="B151" s="15"/>
      <c r="C151" s="16"/>
      <c r="D151" s="16"/>
      <c r="E151" s="16"/>
      <c r="F151" s="16"/>
      <c r="G151" s="16"/>
      <c r="H151" s="16"/>
      <c r="I151" s="16"/>
      <c r="J151" s="16"/>
      <c r="K151" s="16"/>
      <c r="L151" s="38"/>
      <c r="M151" s="25"/>
      <c r="N151" s="25"/>
      <c r="O151" s="16"/>
      <c r="P151" s="1"/>
      <c r="Q151" s="8"/>
      <c r="R151" s="8"/>
      <c r="S151" s="1"/>
      <c r="T151" s="8"/>
      <c r="U151" s="8"/>
      <c r="V151" s="16"/>
      <c r="W151" s="1"/>
      <c r="X151" s="1"/>
    </row>
    <row r="152" spans="1:24" ht="14.4">
      <c r="A152" s="15"/>
      <c r="B152" s="15"/>
      <c r="C152" s="16"/>
      <c r="D152" s="16"/>
      <c r="E152" s="16"/>
      <c r="F152" s="16"/>
      <c r="G152" s="16"/>
      <c r="H152" s="16"/>
      <c r="I152" s="16"/>
      <c r="J152" s="16"/>
      <c r="K152" s="16"/>
      <c r="L152" s="38"/>
      <c r="M152" s="25"/>
      <c r="N152" s="25"/>
      <c r="O152" s="16"/>
      <c r="P152" s="1"/>
      <c r="Q152" s="8"/>
      <c r="R152" s="8"/>
      <c r="S152" s="1"/>
      <c r="T152" s="8"/>
      <c r="U152" s="8"/>
      <c r="V152" s="16"/>
      <c r="W152" s="1"/>
      <c r="X152" s="1"/>
    </row>
    <row r="153" spans="1:24" ht="14.4">
      <c r="A153" s="15"/>
      <c r="B153" s="15"/>
      <c r="C153" s="16"/>
      <c r="D153" s="16"/>
      <c r="E153" s="16"/>
      <c r="F153" s="16"/>
      <c r="G153" s="16"/>
      <c r="H153" s="16"/>
      <c r="I153" s="16"/>
      <c r="J153" s="16"/>
      <c r="K153" s="16"/>
      <c r="L153" s="38"/>
      <c r="M153" s="25"/>
      <c r="N153" s="25"/>
      <c r="O153" s="16"/>
      <c r="P153" s="1"/>
      <c r="Q153" s="8"/>
      <c r="R153" s="8"/>
      <c r="S153" s="1"/>
      <c r="T153" s="8"/>
      <c r="U153" s="8"/>
      <c r="V153" s="16"/>
      <c r="W153" s="1"/>
      <c r="X153" s="1"/>
    </row>
    <row r="154" spans="1:24" ht="14.4">
      <c r="A154" s="15"/>
      <c r="B154" s="15"/>
      <c r="C154" s="16"/>
      <c r="D154" s="16"/>
      <c r="E154" s="16"/>
      <c r="F154" s="16"/>
      <c r="G154" s="16"/>
      <c r="H154" s="16"/>
      <c r="I154" s="16"/>
      <c r="J154" s="16"/>
      <c r="K154" s="16"/>
      <c r="L154" s="38"/>
      <c r="M154" s="25"/>
      <c r="N154" s="25"/>
      <c r="O154" s="16"/>
      <c r="P154" s="1"/>
      <c r="Q154" s="8"/>
      <c r="R154" s="8"/>
      <c r="S154" s="1"/>
      <c r="T154" s="8"/>
      <c r="U154" s="8"/>
      <c r="V154" s="16"/>
      <c r="W154" s="1"/>
      <c r="X154" s="1"/>
    </row>
    <row r="155" spans="1:24" ht="14.4">
      <c r="A155" s="15"/>
      <c r="B155" s="15"/>
      <c r="C155" s="16"/>
      <c r="D155" s="16"/>
      <c r="E155" s="16"/>
      <c r="F155" s="16"/>
      <c r="G155" s="16"/>
      <c r="H155" s="16"/>
      <c r="I155" s="16"/>
      <c r="J155" s="16"/>
      <c r="K155" s="16"/>
      <c r="L155" s="38"/>
      <c r="M155" s="25"/>
      <c r="N155" s="25"/>
      <c r="O155" s="16"/>
      <c r="P155" s="1"/>
      <c r="Q155" s="8"/>
      <c r="R155" s="8"/>
      <c r="S155" s="1"/>
      <c r="T155" s="8"/>
      <c r="U155" s="8"/>
      <c r="V155" s="16"/>
      <c r="W155" s="1"/>
      <c r="X155" s="1"/>
    </row>
    <row r="156" spans="1:24" ht="14.4">
      <c r="A156" s="15"/>
      <c r="B156" s="15"/>
      <c r="C156" s="16"/>
      <c r="D156" s="16"/>
      <c r="E156" s="16"/>
      <c r="F156" s="16"/>
      <c r="G156" s="16"/>
      <c r="H156" s="16"/>
      <c r="I156" s="16"/>
      <c r="J156" s="16"/>
      <c r="K156" s="16"/>
      <c r="L156" s="38"/>
      <c r="M156" s="25"/>
      <c r="N156" s="25"/>
      <c r="O156" s="16"/>
      <c r="P156" s="1"/>
      <c r="Q156" s="8"/>
      <c r="R156" s="8"/>
      <c r="S156" s="1"/>
      <c r="T156" s="8"/>
      <c r="U156" s="8"/>
      <c r="V156" s="16"/>
      <c r="W156" s="1"/>
      <c r="X156" s="1"/>
    </row>
    <row r="157" spans="1:24" ht="14.4">
      <c r="A157" s="15"/>
      <c r="B157" s="15"/>
      <c r="C157" s="16"/>
      <c r="D157" s="16"/>
      <c r="E157" s="16"/>
      <c r="F157" s="16"/>
      <c r="G157" s="16"/>
      <c r="H157" s="16"/>
      <c r="I157" s="16"/>
      <c r="J157" s="16"/>
      <c r="K157" s="16"/>
      <c r="L157" s="38"/>
      <c r="M157" s="25"/>
      <c r="N157" s="25"/>
      <c r="O157" s="16"/>
      <c r="P157" s="1"/>
      <c r="Q157" s="8"/>
      <c r="R157" s="8"/>
      <c r="S157" s="1"/>
      <c r="T157" s="8"/>
      <c r="U157" s="8"/>
      <c r="V157" s="16"/>
      <c r="W157" s="1"/>
      <c r="X157" s="1"/>
    </row>
    <row r="158" spans="1:24" ht="14.4">
      <c r="A158" s="15"/>
      <c r="B158" s="15"/>
      <c r="C158" s="16"/>
      <c r="D158" s="16"/>
      <c r="E158" s="16"/>
      <c r="F158" s="16"/>
      <c r="G158" s="16"/>
      <c r="H158" s="16"/>
      <c r="I158" s="16"/>
      <c r="J158" s="16"/>
      <c r="K158" s="16"/>
      <c r="L158" s="38"/>
      <c r="M158" s="25"/>
      <c r="N158" s="25"/>
      <c r="O158" s="16"/>
      <c r="P158" s="1"/>
      <c r="Q158" s="8"/>
      <c r="R158" s="8"/>
      <c r="S158" s="1"/>
      <c r="T158" s="8"/>
      <c r="U158" s="8"/>
      <c r="V158" s="16"/>
      <c r="W158" s="1"/>
      <c r="X158" s="1"/>
    </row>
    <row r="159" spans="1:24" ht="14.4">
      <c r="A159" s="15"/>
      <c r="B159" s="15"/>
      <c r="C159" s="16"/>
      <c r="D159" s="16"/>
      <c r="E159" s="16"/>
      <c r="F159" s="16"/>
      <c r="G159" s="16"/>
      <c r="H159" s="16"/>
      <c r="I159" s="16"/>
      <c r="J159" s="16"/>
      <c r="K159" s="16"/>
      <c r="L159" s="38"/>
      <c r="M159" s="25"/>
      <c r="N159" s="25"/>
      <c r="O159" s="16"/>
      <c r="P159" s="1"/>
      <c r="Q159" s="8"/>
      <c r="R159" s="8"/>
      <c r="S159" s="1"/>
      <c r="T159" s="8"/>
      <c r="U159" s="8"/>
      <c r="V159" s="16"/>
      <c r="W159" s="1"/>
      <c r="X159" s="1"/>
    </row>
    <row r="160" spans="1:24" ht="14.4">
      <c r="A160" s="15"/>
      <c r="B160" s="15"/>
      <c r="C160" s="16"/>
      <c r="D160" s="16"/>
      <c r="E160" s="16"/>
      <c r="F160" s="16"/>
      <c r="G160" s="16"/>
      <c r="H160" s="16"/>
      <c r="I160" s="16"/>
      <c r="J160" s="16"/>
      <c r="K160" s="16"/>
      <c r="L160" s="38"/>
      <c r="M160" s="25"/>
      <c r="N160" s="25"/>
      <c r="O160" s="16"/>
      <c r="P160" s="1"/>
      <c r="Q160" s="8"/>
      <c r="R160" s="8"/>
      <c r="S160" s="1"/>
      <c r="T160" s="8"/>
      <c r="U160" s="8"/>
      <c r="V160" s="16"/>
      <c r="W160" s="1"/>
      <c r="X160" s="1"/>
    </row>
    <row r="161" spans="1:24" ht="14.4">
      <c r="A161" s="15"/>
      <c r="B161" s="15"/>
      <c r="C161" s="16"/>
      <c r="D161" s="16"/>
      <c r="E161" s="16"/>
      <c r="F161" s="16"/>
      <c r="G161" s="16"/>
      <c r="H161" s="16"/>
      <c r="I161" s="16"/>
      <c r="J161" s="16"/>
      <c r="K161" s="16"/>
      <c r="L161" s="38"/>
      <c r="M161" s="25"/>
      <c r="N161" s="25"/>
      <c r="O161" s="16"/>
      <c r="P161" s="1"/>
      <c r="Q161" s="8"/>
      <c r="R161" s="8"/>
      <c r="S161" s="1"/>
      <c r="T161" s="8"/>
      <c r="U161" s="8"/>
      <c r="V161" s="16"/>
      <c r="W161" s="1"/>
      <c r="X161" s="1"/>
    </row>
    <row r="162" spans="1:24" ht="14.4">
      <c r="A162" s="15"/>
      <c r="B162" s="15"/>
      <c r="C162" s="16"/>
      <c r="D162" s="16"/>
      <c r="E162" s="16"/>
      <c r="F162" s="16"/>
      <c r="G162" s="16"/>
      <c r="H162" s="16"/>
      <c r="I162" s="16"/>
      <c r="J162" s="16"/>
      <c r="K162" s="16"/>
      <c r="L162" s="38"/>
      <c r="M162" s="25"/>
      <c r="N162" s="25"/>
      <c r="O162" s="16"/>
      <c r="P162" s="1"/>
      <c r="Q162" s="8"/>
      <c r="R162" s="8"/>
      <c r="S162" s="1"/>
      <c r="T162" s="8"/>
      <c r="U162" s="8"/>
      <c r="V162" s="16"/>
      <c r="W162" s="1"/>
      <c r="X162" s="1"/>
    </row>
    <row r="163" spans="1:24" ht="14.4">
      <c r="A163" s="15"/>
      <c r="B163" s="15"/>
      <c r="C163" s="16"/>
      <c r="D163" s="16"/>
      <c r="E163" s="16"/>
      <c r="F163" s="16"/>
      <c r="G163" s="16"/>
      <c r="H163" s="16"/>
      <c r="I163" s="16"/>
      <c r="J163" s="16"/>
      <c r="K163" s="16"/>
      <c r="L163" s="38"/>
      <c r="M163" s="25"/>
      <c r="N163" s="25"/>
      <c r="O163" s="16"/>
      <c r="P163" s="1"/>
      <c r="Q163" s="8"/>
      <c r="R163" s="8"/>
      <c r="S163" s="1"/>
      <c r="T163" s="8"/>
      <c r="U163" s="8"/>
      <c r="V163" s="16"/>
      <c r="W163" s="1"/>
      <c r="X163" s="1"/>
    </row>
    <row r="164" spans="1:24" ht="14.4">
      <c r="A164" s="15"/>
      <c r="B164" s="15"/>
      <c r="C164" s="16"/>
      <c r="D164" s="16"/>
      <c r="E164" s="16"/>
      <c r="F164" s="16"/>
      <c r="G164" s="16"/>
      <c r="H164" s="16"/>
      <c r="I164" s="16"/>
      <c r="J164" s="16"/>
      <c r="K164" s="16"/>
      <c r="L164" s="38"/>
      <c r="M164" s="25"/>
      <c r="N164" s="25"/>
      <c r="O164" s="16"/>
      <c r="P164" s="1"/>
      <c r="Q164" s="8"/>
      <c r="R164" s="8"/>
      <c r="S164" s="1"/>
      <c r="T164" s="8"/>
      <c r="U164" s="8"/>
      <c r="V164" s="16"/>
      <c r="W164" s="1"/>
      <c r="X164" s="1"/>
    </row>
    <row r="165" spans="1:24" ht="14.4">
      <c r="A165" s="15"/>
      <c r="B165" s="15"/>
      <c r="C165" s="16"/>
      <c r="D165" s="16"/>
      <c r="E165" s="16"/>
      <c r="F165" s="16"/>
      <c r="G165" s="16"/>
      <c r="H165" s="16"/>
      <c r="I165" s="16"/>
      <c r="J165" s="16"/>
      <c r="K165" s="16"/>
      <c r="L165" s="38"/>
      <c r="M165" s="25"/>
      <c r="N165" s="25"/>
      <c r="O165" s="16"/>
      <c r="P165" s="1"/>
      <c r="Q165" s="8"/>
      <c r="R165" s="8"/>
      <c r="S165" s="1"/>
      <c r="T165" s="8"/>
      <c r="U165" s="8"/>
      <c r="V165" s="16"/>
      <c r="W165" s="1"/>
      <c r="X165" s="1"/>
    </row>
    <row r="166" spans="1:24" ht="14.4">
      <c r="A166" s="15"/>
      <c r="B166" s="15"/>
      <c r="C166" s="16"/>
      <c r="D166" s="16"/>
      <c r="E166" s="16"/>
      <c r="F166" s="16"/>
      <c r="G166" s="16"/>
      <c r="H166" s="16"/>
      <c r="I166" s="16"/>
      <c r="J166" s="16"/>
      <c r="K166" s="16"/>
      <c r="L166" s="38"/>
      <c r="M166" s="25"/>
      <c r="N166" s="25"/>
      <c r="O166" s="16"/>
      <c r="P166" s="1"/>
      <c r="Q166" s="8"/>
      <c r="R166" s="8"/>
      <c r="S166" s="1"/>
      <c r="T166" s="8"/>
      <c r="U166" s="8"/>
      <c r="V166" s="16"/>
      <c r="W166" s="1"/>
      <c r="X166" s="1"/>
    </row>
    <row r="167" spans="1:24" ht="14.4">
      <c r="A167" s="15"/>
      <c r="B167" s="15"/>
      <c r="C167" s="16"/>
      <c r="D167" s="16"/>
      <c r="E167" s="16"/>
      <c r="F167" s="16"/>
      <c r="G167" s="16"/>
      <c r="H167" s="16"/>
      <c r="I167" s="16"/>
      <c r="J167" s="16"/>
      <c r="K167" s="16"/>
      <c r="L167" s="38"/>
      <c r="M167" s="25"/>
      <c r="N167" s="25"/>
      <c r="O167" s="16"/>
      <c r="P167" s="1"/>
      <c r="Q167" s="8"/>
      <c r="R167" s="8"/>
      <c r="S167" s="1"/>
      <c r="T167" s="8"/>
      <c r="U167" s="8"/>
      <c r="V167" s="16"/>
      <c r="W167" s="1"/>
      <c r="X167" s="1"/>
    </row>
    <row r="168" spans="1:24" ht="14.4">
      <c r="A168" s="15"/>
      <c r="B168" s="15"/>
      <c r="C168" s="16"/>
      <c r="D168" s="16"/>
      <c r="E168" s="16"/>
      <c r="F168" s="16"/>
      <c r="G168" s="16"/>
      <c r="H168" s="16"/>
      <c r="I168" s="16"/>
      <c r="J168" s="16"/>
      <c r="K168" s="16"/>
      <c r="L168" s="38"/>
      <c r="M168" s="25"/>
      <c r="N168" s="25"/>
      <c r="O168" s="16"/>
      <c r="P168" s="1"/>
      <c r="Q168" s="8"/>
      <c r="R168" s="8"/>
      <c r="S168" s="1"/>
      <c r="T168" s="8"/>
      <c r="U168" s="8"/>
      <c r="V168" s="16"/>
      <c r="W168" s="1"/>
      <c r="X168" s="1"/>
    </row>
    <row r="169" spans="1:24" ht="14.4">
      <c r="A169" s="15"/>
      <c r="B169" s="15"/>
      <c r="C169" s="16"/>
      <c r="D169" s="16"/>
      <c r="E169" s="16"/>
      <c r="F169" s="16"/>
      <c r="G169" s="16"/>
      <c r="H169" s="16"/>
      <c r="I169" s="16"/>
      <c r="J169" s="16"/>
      <c r="K169" s="16"/>
      <c r="L169" s="38"/>
      <c r="M169" s="25"/>
      <c r="N169" s="25"/>
      <c r="O169" s="16"/>
      <c r="P169" s="1"/>
      <c r="Q169" s="8"/>
      <c r="R169" s="8"/>
      <c r="S169" s="1"/>
      <c r="T169" s="8"/>
      <c r="U169" s="8"/>
      <c r="V169" s="16"/>
      <c r="W169" s="1"/>
      <c r="X169" s="1"/>
    </row>
    <row r="170" spans="1:24" ht="14.4">
      <c r="A170" s="15"/>
      <c r="B170" s="15"/>
      <c r="C170" s="16"/>
      <c r="D170" s="16"/>
      <c r="E170" s="16"/>
      <c r="F170" s="16"/>
      <c r="G170" s="16"/>
      <c r="H170" s="16"/>
      <c r="I170" s="16"/>
      <c r="J170" s="16"/>
      <c r="K170" s="16"/>
      <c r="L170" s="38"/>
      <c r="M170" s="25"/>
      <c r="N170" s="25"/>
      <c r="O170" s="16"/>
      <c r="P170" s="1"/>
      <c r="Q170" s="8"/>
      <c r="R170" s="8"/>
      <c r="S170" s="1"/>
      <c r="T170" s="8"/>
      <c r="U170" s="8"/>
      <c r="V170" s="16"/>
      <c r="W170" s="1"/>
      <c r="X170" s="1"/>
    </row>
    <row r="171" spans="1:24" ht="14.4">
      <c r="A171" s="15"/>
      <c r="B171" s="15"/>
      <c r="C171" s="16"/>
      <c r="D171" s="16"/>
      <c r="E171" s="16"/>
      <c r="F171" s="16"/>
      <c r="G171" s="16"/>
      <c r="H171" s="16"/>
      <c r="I171" s="16"/>
      <c r="J171" s="16"/>
      <c r="K171" s="16"/>
      <c r="L171" s="38"/>
      <c r="M171" s="25"/>
      <c r="N171" s="25"/>
      <c r="O171" s="16"/>
      <c r="P171" s="1"/>
      <c r="Q171" s="8"/>
      <c r="R171" s="8"/>
      <c r="S171" s="1"/>
      <c r="T171" s="8"/>
      <c r="U171" s="8"/>
      <c r="V171" s="16"/>
      <c r="W171" s="1"/>
      <c r="X171" s="1"/>
    </row>
    <row r="172" spans="1:24" ht="14.4">
      <c r="A172" s="15"/>
      <c r="B172" s="15"/>
      <c r="C172" s="16"/>
      <c r="D172" s="16"/>
      <c r="E172" s="16"/>
      <c r="F172" s="16"/>
      <c r="G172" s="16"/>
      <c r="H172" s="16"/>
      <c r="I172" s="16"/>
      <c r="J172" s="16"/>
      <c r="K172" s="16"/>
      <c r="L172" s="38"/>
      <c r="M172" s="25"/>
      <c r="N172" s="25"/>
      <c r="O172" s="16"/>
      <c r="P172" s="1"/>
      <c r="Q172" s="8"/>
      <c r="R172" s="8"/>
      <c r="S172" s="1"/>
      <c r="T172" s="8"/>
      <c r="U172" s="8"/>
      <c r="V172" s="16"/>
      <c r="W172" s="1"/>
      <c r="X172" s="1"/>
    </row>
    <row r="173" spans="1:24" ht="14.4">
      <c r="A173" s="15"/>
      <c r="B173" s="15"/>
      <c r="C173" s="16"/>
      <c r="D173" s="16"/>
      <c r="E173" s="16"/>
      <c r="F173" s="16"/>
      <c r="G173" s="16"/>
      <c r="H173" s="16"/>
      <c r="I173" s="16"/>
      <c r="J173" s="16"/>
      <c r="K173" s="16"/>
      <c r="L173" s="38"/>
      <c r="M173" s="25"/>
      <c r="N173" s="25"/>
      <c r="O173" s="16"/>
      <c r="P173" s="1"/>
      <c r="Q173" s="8"/>
      <c r="R173" s="8"/>
      <c r="S173" s="1"/>
      <c r="T173" s="8"/>
      <c r="U173" s="8"/>
      <c r="V173" s="16"/>
      <c r="W173" s="1"/>
      <c r="X173" s="1"/>
    </row>
    <row r="174" spans="1:24" ht="14.4">
      <c r="A174" s="15"/>
      <c r="B174" s="15"/>
      <c r="C174" s="16"/>
      <c r="D174" s="16"/>
      <c r="E174" s="16"/>
      <c r="F174" s="16"/>
      <c r="G174" s="16"/>
      <c r="H174" s="16"/>
      <c r="I174" s="16"/>
      <c r="J174" s="16"/>
      <c r="K174" s="16"/>
      <c r="L174" s="38"/>
      <c r="M174" s="25"/>
      <c r="N174" s="25"/>
      <c r="O174" s="16"/>
      <c r="P174" s="1"/>
      <c r="Q174" s="8"/>
      <c r="R174" s="8"/>
      <c r="S174" s="1"/>
      <c r="T174" s="8"/>
      <c r="U174" s="8"/>
      <c r="V174" s="16"/>
      <c r="W174" s="1"/>
      <c r="X174" s="1"/>
    </row>
    <row r="175" spans="1:24" ht="14.4">
      <c r="A175" s="15"/>
      <c r="B175" s="15"/>
      <c r="C175" s="16"/>
      <c r="D175" s="16"/>
      <c r="E175" s="16"/>
      <c r="F175" s="16"/>
      <c r="G175" s="16"/>
      <c r="H175" s="16"/>
      <c r="I175" s="16"/>
      <c r="J175" s="16"/>
      <c r="K175" s="16"/>
      <c r="L175" s="38"/>
      <c r="M175" s="25"/>
      <c r="N175" s="25"/>
      <c r="O175" s="16"/>
      <c r="P175" s="1"/>
      <c r="Q175" s="8"/>
      <c r="R175" s="8"/>
      <c r="S175" s="1"/>
      <c r="T175" s="8"/>
      <c r="U175" s="8"/>
      <c r="V175" s="16"/>
      <c r="W175" s="1"/>
      <c r="X175" s="1"/>
    </row>
    <row r="176" spans="1:24" ht="14.4">
      <c r="A176" s="15"/>
      <c r="B176" s="15"/>
      <c r="C176" s="16"/>
      <c r="D176" s="16"/>
      <c r="E176" s="16"/>
      <c r="F176" s="16"/>
      <c r="G176" s="16"/>
      <c r="H176" s="16"/>
      <c r="I176" s="16"/>
      <c r="J176" s="16"/>
      <c r="K176" s="16"/>
      <c r="L176" s="38"/>
      <c r="M176" s="25"/>
      <c r="N176" s="25"/>
      <c r="O176" s="16"/>
      <c r="P176" s="1"/>
      <c r="Q176" s="8"/>
      <c r="R176" s="8"/>
      <c r="S176" s="1"/>
      <c r="T176" s="8"/>
      <c r="U176" s="8"/>
      <c r="V176" s="16"/>
      <c r="W176" s="1"/>
      <c r="X176" s="1"/>
    </row>
    <row r="177" spans="1:24" ht="14.4">
      <c r="A177" s="15"/>
      <c r="B177" s="15"/>
      <c r="C177" s="16"/>
      <c r="D177" s="16"/>
      <c r="E177" s="16"/>
      <c r="F177" s="16"/>
      <c r="G177" s="16"/>
      <c r="H177" s="16"/>
      <c r="I177" s="16"/>
      <c r="J177" s="16"/>
      <c r="K177" s="16"/>
      <c r="L177" s="38"/>
      <c r="M177" s="25"/>
      <c r="N177" s="25"/>
      <c r="O177" s="16"/>
      <c r="P177" s="1"/>
      <c r="Q177" s="8"/>
      <c r="R177" s="8"/>
      <c r="S177" s="1"/>
      <c r="T177" s="8"/>
      <c r="U177" s="8"/>
      <c r="V177" s="16"/>
      <c r="W177" s="1"/>
      <c r="X177" s="1"/>
    </row>
    <row r="178" spans="1:24" ht="14.4">
      <c r="A178" s="15"/>
      <c r="B178" s="15"/>
      <c r="C178" s="16"/>
      <c r="D178" s="16"/>
      <c r="E178" s="16"/>
      <c r="F178" s="16"/>
      <c r="G178" s="16"/>
      <c r="H178" s="16"/>
      <c r="I178" s="16"/>
      <c r="J178" s="16"/>
      <c r="K178" s="16"/>
      <c r="L178" s="38"/>
      <c r="M178" s="25"/>
      <c r="N178" s="25"/>
      <c r="O178" s="16"/>
      <c r="P178" s="1"/>
      <c r="Q178" s="8"/>
      <c r="R178" s="8"/>
      <c r="S178" s="1"/>
      <c r="T178" s="8"/>
      <c r="U178" s="8"/>
      <c r="V178" s="16"/>
      <c r="W178" s="1"/>
      <c r="X178" s="1"/>
    </row>
    <row r="179" spans="1:24" ht="14.4">
      <c r="A179" s="15"/>
      <c r="B179" s="15"/>
      <c r="C179" s="16"/>
      <c r="D179" s="16"/>
      <c r="E179" s="16"/>
      <c r="F179" s="16"/>
      <c r="G179" s="16"/>
      <c r="H179" s="16"/>
      <c r="I179" s="16"/>
      <c r="J179" s="16"/>
      <c r="K179" s="16"/>
      <c r="L179" s="38"/>
      <c r="M179" s="25"/>
      <c r="N179" s="25"/>
      <c r="O179" s="16"/>
      <c r="P179" s="1"/>
      <c r="Q179" s="8"/>
      <c r="R179" s="8"/>
      <c r="S179" s="1"/>
      <c r="T179" s="8"/>
      <c r="U179" s="8"/>
      <c r="V179" s="16"/>
      <c r="W179" s="1"/>
      <c r="X179" s="1"/>
    </row>
    <row r="180" spans="1:24" ht="14.4">
      <c r="A180" s="15"/>
      <c r="B180" s="15"/>
      <c r="C180" s="16"/>
      <c r="D180" s="16"/>
      <c r="E180" s="16"/>
      <c r="F180" s="16"/>
      <c r="G180" s="16"/>
      <c r="H180" s="16"/>
      <c r="I180" s="16"/>
      <c r="J180" s="16"/>
      <c r="K180" s="16"/>
      <c r="L180" s="38"/>
      <c r="M180" s="25"/>
      <c r="N180" s="25"/>
      <c r="O180" s="16"/>
      <c r="P180" s="1"/>
      <c r="Q180" s="8"/>
      <c r="R180" s="8"/>
      <c r="S180" s="1"/>
      <c r="T180" s="8"/>
      <c r="U180" s="8"/>
      <c r="V180" s="16"/>
      <c r="W180" s="1"/>
      <c r="X180" s="1"/>
    </row>
    <row r="181" spans="1:24" ht="14.4">
      <c r="A181" s="15"/>
      <c r="B181" s="15"/>
      <c r="C181" s="16"/>
      <c r="D181" s="16"/>
      <c r="E181" s="16"/>
      <c r="F181" s="16"/>
      <c r="G181" s="16"/>
      <c r="H181" s="16"/>
      <c r="I181" s="16"/>
      <c r="J181" s="16"/>
      <c r="K181" s="16"/>
      <c r="L181" s="38"/>
      <c r="M181" s="25"/>
      <c r="N181" s="25"/>
      <c r="O181" s="16"/>
      <c r="P181" s="1"/>
      <c r="Q181" s="8"/>
      <c r="R181" s="8"/>
      <c r="S181" s="1"/>
      <c r="T181" s="8"/>
      <c r="U181" s="8"/>
      <c r="V181" s="16"/>
      <c r="W181" s="1"/>
      <c r="X181" s="1"/>
    </row>
    <row r="182" spans="1:24" ht="14.4">
      <c r="A182" s="15"/>
      <c r="B182" s="15"/>
      <c r="C182" s="16"/>
      <c r="D182" s="16"/>
      <c r="E182" s="16"/>
      <c r="F182" s="16"/>
      <c r="G182" s="16"/>
      <c r="H182" s="16"/>
      <c r="I182" s="16"/>
      <c r="J182" s="16"/>
      <c r="K182" s="16"/>
      <c r="L182" s="38"/>
      <c r="M182" s="25"/>
      <c r="N182" s="25"/>
      <c r="O182" s="16"/>
      <c r="P182" s="1"/>
      <c r="Q182" s="8"/>
      <c r="R182" s="8"/>
      <c r="S182" s="1"/>
      <c r="T182" s="8"/>
      <c r="U182" s="8"/>
      <c r="V182" s="16"/>
      <c r="W182" s="1"/>
      <c r="X182" s="1"/>
    </row>
    <row r="183" spans="1:24" ht="14.4">
      <c r="A183" s="15"/>
      <c r="B183" s="15"/>
      <c r="C183" s="16"/>
      <c r="D183" s="16"/>
      <c r="E183" s="16"/>
      <c r="F183" s="16"/>
      <c r="G183" s="16"/>
      <c r="H183" s="16"/>
      <c r="I183" s="16"/>
      <c r="J183" s="16"/>
      <c r="K183" s="16"/>
      <c r="L183" s="38"/>
      <c r="M183" s="25"/>
      <c r="N183" s="25"/>
      <c r="O183" s="16"/>
      <c r="P183" s="1"/>
      <c r="Q183" s="8"/>
      <c r="R183" s="8"/>
      <c r="S183" s="1"/>
      <c r="T183" s="8"/>
      <c r="U183" s="8"/>
      <c r="V183" s="16"/>
      <c r="W183" s="1"/>
      <c r="X183" s="1"/>
    </row>
    <row r="184" spans="1:24" ht="14.4">
      <c r="A184" s="15"/>
      <c r="B184" s="15"/>
      <c r="C184" s="16"/>
      <c r="D184" s="16"/>
      <c r="E184" s="16"/>
      <c r="F184" s="16"/>
      <c r="G184" s="16"/>
      <c r="H184" s="16"/>
      <c r="I184" s="16"/>
      <c r="J184" s="16"/>
      <c r="K184" s="16"/>
      <c r="L184" s="38"/>
      <c r="M184" s="25"/>
      <c r="N184" s="25"/>
      <c r="O184" s="16"/>
      <c r="P184" s="1"/>
      <c r="Q184" s="8"/>
      <c r="R184" s="8"/>
      <c r="S184" s="1"/>
      <c r="T184" s="8"/>
      <c r="U184" s="8"/>
      <c r="V184" s="16"/>
      <c r="W184" s="1"/>
      <c r="X184" s="1"/>
    </row>
    <row r="185" spans="1:24" ht="14.4">
      <c r="A185" s="15"/>
      <c r="B185" s="15"/>
      <c r="C185" s="16"/>
      <c r="D185" s="16"/>
      <c r="E185" s="16"/>
      <c r="F185" s="16"/>
      <c r="G185" s="16"/>
      <c r="H185" s="16"/>
      <c r="I185" s="16"/>
      <c r="J185" s="16"/>
      <c r="K185" s="16"/>
      <c r="L185" s="38"/>
      <c r="M185" s="25"/>
      <c r="N185" s="25"/>
      <c r="O185" s="16"/>
      <c r="P185" s="1"/>
      <c r="Q185" s="8"/>
      <c r="R185" s="8"/>
      <c r="S185" s="1"/>
      <c r="T185" s="8"/>
      <c r="U185" s="8"/>
      <c r="V185" s="16"/>
      <c r="W185" s="1"/>
      <c r="X185" s="1"/>
    </row>
    <row r="186" spans="1:24" ht="14.4">
      <c r="A186" s="15"/>
      <c r="B186" s="15"/>
      <c r="C186" s="16"/>
      <c r="D186" s="16"/>
      <c r="E186" s="16"/>
      <c r="F186" s="16"/>
      <c r="G186" s="16"/>
      <c r="H186" s="16"/>
      <c r="I186" s="16"/>
      <c r="J186" s="16"/>
      <c r="K186" s="16"/>
      <c r="L186" s="38"/>
      <c r="M186" s="25"/>
      <c r="N186" s="25"/>
      <c r="O186" s="16"/>
      <c r="P186" s="1"/>
      <c r="Q186" s="8"/>
      <c r="R186" s="8"/>
      <c r="S186" s="1"/>
      <c r="T186" s="8"/>
      <c r="U186" s="8"/>
      <c r="V186" s="16"/>
      <c r="W186" s="1"/>
      <c r="X186" s="1"/>
    </row>
    <row r="187" spans="1:24" ht="14.4">
      <c r="A187" s="15"/>
      <c r="B187" s="15"/>
      <c r="C187" s="16"/>
      <c r="D187" s="16"/>
      <c r="E187" s="16"/>
      <c r="F187" s="16"/>
      <c r="G187" s="16"/>
      <c r="H187" s="16"/>
      <c r="I187" s="16"/>
      <c r="J187" s="16"/>
      <c r="K187" s="16"/>
      <c r="L187" s="38"/>
      <c r="M187" s="25"/>
      <c r="N187" s="25"/>
      <c r="O187" s="16"/>
      <c r="P187" s="1"/>
      <c r="Q187" s="8"/>
      <c r="R187" s="8"/>
      <c r="S187" s="1"/>
      <c r="T187" s="8"/>
      <c r="U187" s="8"/>
      <c r="V187" s="16"/>
      <c r="W187" s="1"/>
      <c r="X187" s="1"/>
    </row>
    <row r="188" spans="1:24" ht="14.4">
      <c r="A188" s="15"/>
      <c r="B188" s="15"/>
      <c r="C188" s="16"/>
      <c r="D188" s="16"/>
      <c r="E188" s="16"/>
      <c r="F188" s="16"/>
      <c r="G188" s="16"/>
      <c r="H188" s="16"/>
      <c r="I188" s="16"/>
      <c r="J188" s="16"/>
      <c r="K188" s="16"/>
      <c r="L188" s="38"/>
      <c r="M188" s="25"/>
      <c r="N188" s="25"/>
      <c r="O188" s="16"/>
      <c r="P188" s="1"/>
      <c r="Q188" s="8"/>
      <c r="R188" s="8"/>
      <c r="S188" s="1"/>
      <c r="T188" s="8"/>
      <c r="U188" s="8"/>
      <c r="V188" s="16"/>
      <c r="W188" s="1"/>
      <c r="X188" s="1"/>
    </row>
    <row r="189" spans="1:24" ht="14.4">
      <c r="A189" s="15"/>
      <c r="B189" s="15"/>
      <c r="C189" s="16"/>
      <c r="D189" s="16"/>
      <c r="E189" s="16"/>
      <c r="F189" s="16"/>
      <c r="G189" s="16"/>
      <c r="H189" s="16"/>
      <c r="I189" s="16"/>
      <c r="J189" s="16"/>
      <c r="K189" s="16"/>
      <c r="L189" s="38"/>
      <c r="M189" s="25"/>
      <c r="N189" s="25"/>
      <c r="O189" s="16"/>
      <c r="P189" s="1"/>
      <c r="Q189" s="8"/>
      <c r="R189" s="8"/>
      <c r="S189" s="1"/>
      <c r="T189" s="8"/>
      <c r="U189" s="8"/>
      <c r="V189" s="16"/>
      <c r="W189" s="1"/>
      <c r="X189" s="1"/>
    </row>
    <row r="190" spans="1:24" ht="14.4">
      <c r="A190" s="15"/>
      <c r="B190" s="15"/>
      <c r="C190" s="16"/>
      <c r="D190" s="16"/>
      <c r="E190" s="16"/>
      <c r="F190" s="16"/>
      <c r="G190" s="16"/>
      <c r="H190" s="16"/>
      <c r="I190" s="16"/>
      <c r="J190" s="16"/>
      <c r="K190" s="16"/>
      <c r="L190" s="38"/>
      <c r="M190" s="25"/>
      <c r="N190" s="25"/>
      <c r="O190" s="16"/>
      <c r="P190" s="1"/>
      <c r="Q190" s="8"/>
      <c r="R190" s="8"/>
      <c r="S190" s="1"/>
      <c r="T190" s="8"/>
      <c r="U190" s="8"/>
      <c r="V190" s="16"/>
      <c r="W190" s="1"/>
      <c r="X190" s="1"/>
    </row>
    <row r="191" spans="1:24" ht="14.4">
      <c r="A191" s="15"/>
      <c r="B191" s="15"/>
      <c r="C191" s="16"/>
      <c r="D191" s="16"/>
      <c r="E191" s="16"/>
      <c r="F191" s="16"/>
      <c r="G191" s="16"/>
      <c r="H191" s="16"/>
      <c r="I191" s="16"/>
      <c r="J191" s="16"/>
      <c r="K191" s="16"/>
      <c r="L191" s="38"/>
      <c r="M191" s="25"/>
      <c r="N191" s="25"/>
      <c r="O191" s="16"/>
      <c r="P191" s="1"/>
      <c r="Q191" s="8"/>
      <c r="R191" s="8"/>
      <c r="S191" s="1"/>
      <c r="T191" s="8"/>
      <c r="U191" s="8"/>
      <c r="V191" s="16"/>
      <c r="W191" s="1"/>
      <c r="X191" s="1"/>
    </row>
    <row r="192" spans="1:24" ht="14.4">
      <c r="A192" s="15"/>
      <c r="B192" s="15"/>
      <c r="C192" s="16"/>
      <c r="D192" s="16"/>
      <c r="E192" s="16"/>
      <c r="F192" s="16"/>
      <c r="G192" s="16"/>
      <c r="H192" s="16"/>
      <c r="I192" s="16"/>
      <c r="J192" s="16"/>
      <c r="K192" s="16"/>
      <c r="L192" s="38"/>
      <c r="M192" s="25"/>
      <c r="N192" s="25"/>
      <c r="O192" s="16"/>
      <c r="P192" s="1"/>
      <c r="Q192" s="8"/>
      <c r="R192" s="8"/>
      <c r="S192" s="1"/>
      <c r="T192" s="8"/>
      <c r="U192" s="8"/>
      <c r="V192" s="16"/>
      <c r="W192" s="1"/>
      <c r="X192" s="1"/>
    </row>
    <row r="193" spans="1:24" ht="14.4">
      <c r="A193" s="15"/>
      <c r="B193" s="15"/>
      <c r="C193" s="16"/>
      <c r="D193" s="16"/>
      <c r="E193" s="16"/>
      <c r="F193" s="16"/>
      <c r="G193" s="16"/>
      <c r="H193" s="16"/>
      <c r="I193" s="16"/>
      <c r="J193" s="16"/>
      <c r="K193" s="16"/>
      <c r="L193" s="38"/>
      <c r="M193" s="25"/>
      <c r="N193" s="25"/>
      <c r="O193" s="16"/>
      <c r="P193" s="1"/>
      <c r="Q193" s="8"/>
      <c r="R193" s="8"/>
      <c r="S193" s="1"/>
      <c r="T193" s="8"/>
      <c r="U193" s="8"/>
      <c r="V193" s="16"/>
      <c r="W193" s="1"/>
      <c r="X193" s="1"/>
    </row>
    <row r="194" spans="1:24" ht="14.4">
      <c r="A194" s="15"/>
      <c r="B194" s="15"/>
      <c r="C194" s="16"/>
      <c r="D194" s="16"/>
      <c r="E194" s="16"/>
      <c r="F194" s="16"/>
      <c r="G194" s="16"/>
      <c r="H194" s="16"/>
      <c r="I194" s="16"/>
      <c r="J194" s="16"/>
      <c r="K194" s="16"/>
      <c r="L194" s="38"/>
      <c r="M194" s="25"/>
      <c r="N194" s="25"/>
      <c r="O194" s="16"/>
      <c r="P194" s="1"/>
      <c r="Q194" s="8"/>
      <c r="R194" s="8"/>
      <c r="S194" s="1"/>
      <c r="T194" s="8"/>
      <c r="U194" s="8"/>
      <c r="V194" s="16"/>
      <c r="W194" s="1"/>
      <c r="X194" s="1"/>
    </row>
    <row r="195" spans="1:24" ht="14.4">
      <c r="A195" s="15"/>
      <c r="B195" s="15"/>
      <c r="C195" s="16"/>
      <c r="D195" s="16"/>
      <c r="E195" s="16"/>
      <c r="F195" s="16"/>
      <c r="G195" s="16"/>
      <c r="H195" s="16"/>
      <c r="I195" s="16"/>
      <c r="J195" s="16"/>
      <c r="K195" s="16"/>
      <c r="L195" s="38"/>
      <c r="M195" s="25"/>
      <c r="N195" s="25"/>
      <c r="O195" s="16"/>
      <c r="P195" s="1"/>
      <c r="Q195" s="8"/>
      <c r="R195" s="8"/>
      <c r="S195" s="1"/>
      <c r="T195" s="8"/>
      <c r="U195" s="8"/>
      <c r="V195" s="16"/>
      <c r="W195" s="1"/>
      <c r="X195" s="1"/>
    </row>
    <row r="196" spans="1:24" ht="14.4">
      <c r="A196" s="15"/>
      <c r="B196" s="15"/>
      <c r="C196" s="16"/>
      <c r="D196" s="16"/>
      <c r="E196" s="16"/>
      <c r="F196" s="16"/>
      <c r="G196" s="16"/>
      <c r="H196" s="16"/>
      <c r="I196" s="16"/>
      <c r="J196" s="16"/>
      <c r="K196" s="16"/>
      <c r="L196" s="38"/>
      <c r="M196" s="25"/>
      <c r="N196" s="25"/>
      <c r="O196" s="16"/>
      <c r="P196" s="1"/>
      <c r="Q196" s="8"/>
      <c r="R196" s="8"/>
      <c r="S196" s="1"/>
      <c r="T196" s="8"/>
      <c r="U196" s="8"/>
      <c r="V196" s="16"/>
      <c r="W196" s="1"/>
      <c r="X196" s="1"/>
    </row>
    <row r="197" spans="1:24" ht="14.4">
      <c r="A197" s="15"/>
      <c r="B197" s="15"/>
      <c r="C197" s="16"/>
      <c r="D197" s="16"/>
      <c r="E197" s="16"/>
      <c r="F197" s="16"/>
      <c r="G197" s="16"/>
      <c r="H197" s="16"/>
      <c r="I197" s="16"/>
      <c r="J197" s="16"/>
      <c r="K197" s="16"/>
      <c r="L197" s="38"/>
      <c r="M197" s="25"/>
      <c r="N197" s="25"/>
      <c r="O197" s="16"/>
      <c r="P197" s="1"/>
      <c r="Q197" s="8"/>
      <c r="R197" s="8"/>
      <c r="S197" s="1"/>
      <c r="T197" s="8"/>
      <c r="U197" s="8"/>
      <c r="V197" s="16"/>
      <c r="W197" s="1"/>
      <c r="X197" s="1"/>
    </row>
    <row r="198" spans="1:24" ht="14.4">
      <c r="A198" s="15"/>
      <c r="B198" s="15"/>
      <c r="C198" s="16"/>
      <c r="D198" s="16"/>
      <c r="E198" s="16"/>
      <c r="F198" s="16"/>
      <c r="G198" s="16"/>
      <c r="H198" s="16"/>
      <c r="I198" s="16"/>
      <c r="J198" s="16"/>
      <c r="K198" s="16"/>
      <c r="L198" s="38"/>
      <c r="M198" s="25"/>
      <c r="N198" s="25"/>
      <c r="O198" s="16"/>
      <c r="P198" s="1"/>
      <c r="Q198" s="8"/>
      <c r="R198" s="8"/>
      <c r="S198" s="1"/>
      <c r="T198" s="8"/>
      <c r="U198" s="8"/>
      <c r="V198" s="16"/>
      <c r="W198" s="1"/>
      <c r="X198" s="1"/>
    </row>
    <row r="199" spans="1:24" ht="14.4">
      <c r="A199" s="15"/>
      <c r="B199" s="15"/>
      <c r="C199" s="16"/>
      <c r="D199" s="16"/>
      <c r="E199" s="16"/>
      <c r="F199" s="16"/>
      <c r="G199" s="16"/>
      <c r="H199" s="16"/>
      <c r="I199" s="16"/>
      <c r="J199" s="16"/>
      <c r="K199" s="16"/>
      <c r="L199" s="38"/>
      <c r="M199" s="25"/>
      <c r="N199" s="25"/>
      <c r="O199" s="16"/>
      <c r="P199" s="1"/>
      <c r="Q199" s="8"/>
      <c r="R199" s="8"/>
      <c r="S199" s="1"/>
      <c r="T199" s="8"/>
      <c r="U199" s="8"/>
      <c r="V199" s="16"/>
      <c r="W199" s="1"/>
      <c r="X199" s="1"/>
    </row>
    <row r="200" spans="1:24" ht="14.4">
      <c r="A200" s="15"/>
      <c r="B200" s="15"/>
      <c r="C200" s="16"/>
      <c r="D200" s="16"/>
      <c r="E200" s="16"/>
      <c r="F200" s="16"/>
      <c r="G200" s="16"/>
      <c r="H200" s="16"/>
      <c r="I200" s="16"/>
      <c r="J200" s="16"/>
      <c r="K200" s="16"/>
      <c r="L200" s="38"/>
      <c r="M200" s="25"/>
      <c r="N200" s="25"/>
      <c r="O200" s="16"/>
      <c r="P200" s="1"/>
      <c r="Q200" s="8"/>
      <c r="R200" s="8"/>
      <c r="S200" s="1"/>
      <c r="T200" s="8"/>
      <c r="U200" s="8"/>
      <c r="V200" s="16"/>
      <c r="W200" s="1"/>
      <c r="X200" s="1"/>
    </row>
    <row r="201" spans="1:24" ht="14.4">
      <c r="A201" s="15"/>
      <c r="B201" s="15"/>
      <c r="C201" s="16"/>
      <c r="D201" s="16"/>
      <c r="E201" s="16"/>
      <c r="F201" s="16"/>
      <c r="G201" s="16"/>
      <c r="H201" s="16"/>
      <c r="I201" s="16"/>
      <c r="J201" s="16"/>
      <c r="K201" s="16"/>
      <c r="L201" s="38"/>
      <c r="M201" s="25"/>
      <c r="N201" s="25"/>
      <c r="O201" s="16"/>
      <c r="P201" s="1"/>
      <c r="Q201" s="8"/>
      <c r="R201" s="8"/>
      <c r="S201" s="1"/>
      <c r="T201" s="8"/>
      <c r="U201" s="8"/>
      <c r="V201" s="16"/>
      <c r="W201" s="1"/>
      <c r="X201" s="1"/>
    </row>
    <row r="202" spans="1:24" ht="14.4">
      <c r="A202" s="15"/>
      <c r="B202" s="15"/>
      <c r="C202" s="16"/>
      <c r="D202" s="16"/>
      <c r="E202" s="16"/>
      <c r="F202" s="16"/>
      <c r="G202" s="16"/>
      <c r="H202" s="16"/>
      <c r="I202" s="16"/>
      <c r="J202" s="16"/>
      <c r="K202" s="16"/>
      <c r="L202" s="38"/>
      <c r="M202" s="25"/>
      <c r="N202" s="25"/>
      <c r="O202" s="16"/>
      <c r="P202" s="1"/>
      <c r="Q202" s="8"/>
      <c r="R202" s="8"/>
      <c r="S202" s="1"/>
      <c r="T202" s="8"/>
      <c r="U202" s="8"/>
      <c r="V202" s="16"/>
      <c r="W202" s="1"/>
      <c r="X202" s="1"/>
    </row>
    <row r="203" spans="1:24" ht="14.4">
      <c r="A203" s="15"/>
      <c r="B203" s="15"/>
      <c r="C203" s="16"/>
      <c r="D203" s="16"/>
      <c r="E203" s="16"/>
      <c r="F203" s="16"/>
      <c r="G203" s="16"/>
      <c r="H203" s="16"/>
      <c r="I203" s="16"/>
      <c r="J203" s="16"/>
      <c r="K203" s="16"/>
      <c r="L203" s="38"/>
      <c r="M203" s="25"/>
      <c r="N203" s="25"/>
      <c r="O203" s="16"/>
      <c r="P203" s="1"/>
      <c r="Q203" s="8"/>
      <c r="R203" s="8"/>
      <c r="S203" s="1"/>
      <c r="T203" s="8"/>
      <c r="U203" s="8"/>
      <c r="V203" s="16"/>
      <c r="W203" s="1"/>
      <c r="X203" s="1"/>
    </row>
    <row r="204" spans="1:24" ht="14.4">
      <c r="A204" s="15"/>
      <c r="B204" s="15"/>
      <c r="C204" s="16"/>
      <c r="D204" s="16"/>
      <c r="E204" s="16"/>
      <c r="F204" s="16"/>
      <c r="G204" s="16"/>
      <c r="H204" s="16"/>
      <c r="I204" s="16"/>
      <c r="J204" s="16"/>
      <c r="K204" s="16"/>
      <c r="L204" s="38"/>
      <c r="M204" s="25"/>
      <c r="N204" s="25"/>
      <c r="O204" s="16"/>
      <c r="P204" s="1"/>
      <c r="Q204" s="8"/>
      <c r="R204" s="8"/>
      <c r="S204" s="1"/>
      <c r="T204" s="8"/>
      <c r="U204" s="8"/>
      <c r="V204" s="16"/>
      <c r="W204" s="1"/>
      <c r="X204" s="1"/>
    </row>
    <row r="205" spans="1:24" ht="14.4">
      <c r="A205" s="15"/>
      <c r="B205" s="15"/>
      <c r="C205" s="16"/>
      <c r="D205" s="16"/>
      <c r="E205" s="16"/>
      <c r="F205" s="16"/>
      <c r="G205" s="16"/>
      <c r="H205" s="16"/>
      <c r="I205" s="16"/>
      <c r="J205" s="16"/>
      <c r="K205" s="16"/>
      <c r="L205" s="38"/>
      <c r="M205" s="25"/>
      <c r="N205" s="25"/>
      <c r="O205" s="16"/>
      <c r="P205" s="1"/>
      <c r="Q205" s="8"/>
      <c r="R205" s="8"/>
      <c r="S205" s="1"/>
      <c r="T205" s="8"/>
      <c r="U205" s="8"/>
      <c r="V205" s="16"/>
      <c r="W205" s="1"/>
      <c r="X205" s="1"/>
    </row>
    <row r="206" spans="1:24" ht="14.4">
      <c r="A206" s="15"/>
      <c r="B206" s="15"/>
      <c r="C206" s="16"/>
      <c r="D206" s="16"/>
      <c r="E206" s="16"/>
      <c r="F206" s="16"/>
      <c r="G206" s="16"/>
      <c r="H206" s="16"/>
      <c r="I206" s="16"/>
      <c r="J206" s="16"/>
      <c r="K206" s="16"/>
      <c r="L206" s="38"/>
      <c r="M206" s="25"/>
      <c r="N206" s="25"/>
      <c r="O206" s="16"/>
      <c r="P206" s="1"/>
      <c r="Q206" s="8"/>
      <c r="R206" s="8"/>
      <c r="S206" s="1"/>
      <c r="T206" s="8"/>
      <c r="U206" s="8"/>
      <c r="V206" s="16"/>
      <c r="W206" s="1"/>
      <c r="X206" s="1"/>
    </row>
    <row r="207" spans="1:24" ht="14.4">
      <c r="A207" s="15"/>
      <c r="B207" s="15"/>
      <c r="C207" s="16"/>
      <c r="D207" s="16"/>
      <c r="E207" s="16"/>
      <c r="F207" s="16"/>
      <c r="G207" s="16"/>
      <c r="H207" s="16"/>
      <c r="I207" s="16"/>
      <c r="J207" s="16"/>
      <c r="K207" s="16"/>
      <c r="L207" s="38"/>
      <c r="M207" s="25"/>
      <c r="N207" s="25"/>
      <c r="O207" s="16"/>
      <c r="P207" s="1"/>
      <c r="Q207" s="8"/>
      <c r="R207" s="8"/>
      <c r="S207" s="1"/>
      <c r="T207" s="8"/>
      <c r="U207" s="8"/>
      <c r="V207" s="16"/>
      <c r="W207" s="1"/>
      <c r="X207" s="1"/>
    </row>
    <row r="208" spans="1:24" ht="14.4">
      <c r="A208" s="15"/>
      <c r="B208" s="15"/>
      <c r="C208" s="16"/>
      <c r="D208" s="16"/>
      <c r="E208" s="16"/>
      <c r="F208" s="16"/>
      <c r="G208" s="16"/>
      <c r="H208" s="16"/>
      <c r="I208" s="16"/>
      <c r="J208" s="16"/>
      <c r="K208" s="16"/>
      <c r="L208" s="38"/>
      <c r="M208" s="25"/>
      <c r="N208" s="25"/>
      <c r="O208" s="16"/>
      <c r="P208" s="1"/>
      <c r="Q208" s="8"/>
      <c r="R208" s="8"/>
      <c r="S208" s="1"/>
      <c r="T208" s="8"/>
      <c r="U208" s="8"/>
      <c r="V208" s="16"/>
      <c r="W208" s="1"/>
      <c r="X208" s="1"/>
    </row>
    <row r="209" spans="1:24" ht="14.4">
      <c r="A209" s="15"/>
      <c r="B209" s="15"/>
      <c r="C209" s="16"/>
      <c r="D209" s="16"/>
      <c r="E209" s="16"/>
      <c r="F209" s="16"/>
      <c r="G209" s="16"/>
      <c r="H209" s="16"/>
      <c r="I209" s="16"/>
      <c r="J209" s="16"/>
      <c r="K209" s="16"/>
      <c r="L209" s="38"/>
      <c r="M209" s="25"/>
      <c r="N209" s="25"/>
      <c r="O209" s="16"/>
      <c r="P209" s="1"/>
      <c r="Q209" s="8"/>
      <c r="R209" s="8"/>
      <c r="S209" s="1"/>
      <c r="T209" s="8"/>
      <c r="U209" s="8"/>
      <c r="V209" s="16"/>
      <c r="W209" s="1"/>
      <c r="X209" s="1"/>
    </row>
    <row r="210" spans="1:24" ht="14.4">
      <c r="A210" s="15"/>
      <c r="B210" s="15"/>
      <c r="C210" s="16"/>
      <c r="D210" s="16"/>
      <c r="E210" s="16"/>
      <c r="F210" s="16"/>
      <c r="G210" s="16"/>
      <c r="H210" s="16"/>
      <c r="I210" s="16"/>
      <c r="J210" s="16"/>
      <c r="K210" s="16"/>
      <c r="L210" s="38"/>
      <c r="M210" s="25"/>
      <c r="N210" s="25"/>
      <c r="O210" s="16"/>
      <c r="P210" s="1"/>
      <c r="Q210" s="8"/>
      <c r="R210" s="8"/>
      <c r="S210" s="1"/>
      <c r="T210" s="8"/>
      <c r="U210" s="8"/>
      <c r="V210" s="16"/>
      <c r="W210" s="1"/>
      <c r="X210" s="1"/>
    </row>
    <row r="211" spans="1:24" ht="14.4">
      <c r="A211" s="15"/>
      <c r="B211" s="15"/>
      <c r="C211" s="16"/>
      <c r="D211" s="16"/>
      <c r="E211" s="16"/>
      <c r="F211" s="16"/>
      <c r="G211" s="16"/>
      <c r="H211" s="16"/>
      <c r="I211" s="16"/>
      <c r="J211" s="16"/>
      <c r="K211" s="16"/>
      <c r="L211" s="38"/>
      <c r="M211" s="25"/>
      <c r="N211" s="25"/>
      <c r="O211" s="16"/>
      <c r="P211" s="1"/>
      <c r="Q211" s="8"/>
      <c r="R211" s="8"/>
      <c r="S211" s="1"/>
      <c r="T211" s="8"/>
      <c r="U211" s="8"/>
      <c r="V211" s="16"/>
      <c r="W211" s="1"/>
      <c r="X211" s="1"/>
    </row>
    <row r="212" spans="1:24" ht="14.4">
      <c r="A212" s="15"/>
      <c r="B212" s="15"/>
      <c r="C212" s="16"/>
      <c r="D212" s="16"/>
      <c r="E212" s="16"/>
      <c r="F212" s="16"/>
      <c r="G212" s="16"/>
      <c r="H212" s="16"/>
      <c r="I212" s="16"/>
      <c r="J212" s="16"/>
      <c r="K212" s="16"/>
      <c r="L212" s="38"/>
      <c r="M212" s="25"/>
      <c r="N212" s="25"/>
      <c r="O212" s="16"/>
      <c r="P212" s="1"/>
      <c r="Q212" s="8"/>
      <c r="R212" s="8"/>
      <c r="S212" s="1"/>
      <c r="T212" s="8"/>
      <c r="U212" s="8"/>
      <c r="V212" s="16"/>
      <c r="W212" s="1"/>
      <c r="X212" s="1"/>
    </row>
    <row r="213" spans="1:24" ht="14.4">
      <c r="A213" s="15"/>
      <c r="B213" s="15"/>
      <c r="C213" s="16"/>
      <c r="D213" s="16"/>
      <c r="E213" s="16"/>
      <c r="F213" s="16"/>
      <c r="G213" s="16"/>
      <c r="H213" s="16"/>
      <c r="I213" s="16"/>
      <c r="J213" s="16"/>
      <c r="K213" s="16"/>
      <c r="L213" s="38"/>
      <c r="M213" s="25"/>
      <c r="N213" s="25"/>
      <c r="O213" s="16"/>
      <c r="P213" s="1"/>
      <c r="Q213" s="8"/>
      <c r="R213" s="8"/>
      <c r="S213" s="1"/>
      <c r="T213" s="8"/>
      <c r="U213" s="8"/>
      <c r="V213" s="16"/>
      <c r="W213" s="1"/>
      <c r="X213" s="1"/>
    </row>
    <row r="214" spans="1:24" ht="14.4">
      <c r="A214" s="15"/>
      <c r="B214" s="15"/>
      <c r="C214" s="16"/>
      <c r="D214" s="16"/>
      <c r="E214" s="16"/>
      <c r="F214" s="16"/>
      <c r="G214" s="16"/>
      <c r="H214" s="16"/>
      <c r="I214" s="16"/>
      <c r="J214" s="16"/>
      <c r="K214" s="16"/>
      <c r="L214" s="38"/>
      <c r="M214" s="25"/>
      <c r="N214" s="25"/>
      <c r="O214" s="16"/>
      <c r="P214" s="1"/>
      <c r="Q214" s="8"/>
      <c r="R214" s="8"/>
      <c r="S214" s="1"/>
      <c r="T214" s="8"/>
      <c r="U214" s="8"/>
      <c r="V214" s="16"/>
      <c r="W214" s="1"/>
      <c r="X214" s="1"/>
    </row>
    <row r="215" spans="1:24" ht="14.4">
      <c r="A215" s="15"/>
      <c r="B215" s="15"/>
      <c r="C215" s="16"/>
      <c r="D215" s="16"/>
      <c r="E215" s="16"/>
      <c r="F215" s="16"/>
      <c r="G215" s="16"/>
      <c r="H215" s="16"/>
      <c r="I215" s="16"/>
      <c r="J215" s="16"/>
      <c r="K215" s="16"/>
      <c r="L215" s="38"/>
      <c r="M215" s="25"/>
      <c r="N215" s="25"/>
      <c r="O215" s="16"/>
      <c r="P215" s="1"/>
      <c r="Q215" s="8"/>
      <c r="R215" s="8"/>
      <c r="S215" s="1"/>
      <c r="T215" s="8"/>
      <c r="U215" s="8"/>
      <c r="V215" s="16"/>
      <c r="W215" s="1"/>
      <c r="X215" s="1"/>
    </row>
    <row r="216" spans="1:24" ht="14.4">
      <c r="A216" s="15"/>
      <c r="B216" s="15"/>
      <c r="C216" s="16"/>
      <c r="D216" s="16"/>
      <c r="E216" s="16"/>
      <c r="F216" s="16"/>
      <c r="G216" s="16"/>
      <c r="H216" s="16"/>
      <c r="I216" s="16"/>
      <c r="J216" s="16"/>
      <c r="K216" s="16"/>
      <c r="L216" s="38"/>
      <c r="M216" s="25"/>
      <c r="N216" s="25"/>
      <c r="O216" s="16"/>
      <c r="P216" s="1"/>
      <c r="Q216" s="8"/>
      <c r="R216" s="8"/>
      <c r="S216" s="1"/>
      <c r="T216" s="8"/>
      <c r="U216" s="8"/>
      <c r="V216" s="16"/>
      <c r="W216" s="1"/>
      <c r="X216" s="1"/>
    </row>
    <row r="217" spans="1:24" ht="14.4">
      <c r="A217" s="15"/>
      <c r="B217" s="15"/>
      <c r="C217" s="16"/>
      <c r="D217" s="16"/>
      <c r="E217" s="16"/>
      <c r="F217" s="16"/>
      <c r="G217" s="16"/>
      <c r="H217" s="16"/>
      <c r="I217" s="16"/>
      <c r="J217" s="16"/>
      <c r="K217" s="16"/>
      <c r="L217" s="38"/>
      <c r="M217" s="25"/>
      <c r="N217" s="25"/>
      <c r="O217" s="16"/>
      <c r="P217" s="1"/>
      <c r="Q217" s="8"/>
      <c r="R217" s="8"/>
      <c r="S217" s="1"/>
      <c r="T217" s="8"/>
      <c r="U217" s="8"/>
      <c r="V217" s="16"/>
      <c r="W217" s="1"/>
      <c r="X217" s="1"/>
    </row>
    <row r="218" spans="1:24" ht="14.4">
      <c r="A218" s="15"/>
      <c r="B218" s="15"/>
      <c r="C218" s="16"/>
      <c r="D218" s="16"/>
      <c r="E218" s="16"/>
      <c r="F218" s="16"/>
      <c r="G218" s="16"/>
      <c r="H218" s="16"/>
      <c r="I218" s="16"/>
      <c r="J218" s="16"/>
      <c r="K218" s="16"/>
      <c r="L218" s="38"/>
      <c r="M218" s="25"/>
      <c r="N218" s="25"/>
      <c r="O218" s="16"/>
      <c r="P218" s="1"/>
      <c r="Q218" s="8"/>
      <c r="R218" s="8"/>
      <c r="S218" s="1"/>
      <c r="T218" s="8"/>
      <c r="U218" s="8"/>
      <c r="V218" s="16"/>
      <c r="W218" s="1"/>
      <c r="X218" s="1"/>
    </row>
    <row r="219" spans="1:24" ht="14.4">
      <c r="A219" s="15"/>
      <c r="B219" s="15"/>
      <c r="C219" s="16"/>
      <c r="D219" s="16"/>
      <c r="E219" s="16"/>
      <c r="F219" s="16"/>
      <c r="G219" s="16"/>
      <c r="H219" s="16"/>
      <c r="I219" s="16"/>
      <c r="J219" s="16"/>
      <c r="K219" s="16"/>
      <c r="L219" s="38"/>
      <c r="M219" s="25"/>
      <c r="N219" s="25"/>
      <c r="O219" s="16"/>
      <c r="P219" s="1"/>
      <c r="Q219" s="8"/>
      <c r="R219" s="8"/>
      <c r="S219" s="1"/>
      <c r="T219" s="8"/>
      <c r="U219" s="8"/>
      <c r="V219" s="16"/>
      <c r="W219" s="1"/>
      <c r="X219" s="1"/>
    </row>
    <row r="220" spans="1:24" ht="14.4">
      <c r="A220" s="15"/>
      <c r="B220" s="15"/>
      <c r="C220" s="16"/>
      <c r="D220" s="16"/>
      <c r="E220" s="16"/>
      <c r="F220" s="16"/>
      <c r="G220" s="16"/>
      <c r="H220" s="16"/>
      <c r="I220" s="16"/>
      <c r="J220" s="16"/>
      <c r="K220" s="16"/>
      <c r="L220" s="38"/>
      <c r="M220" s="25"/>
      <c r="N220" s="25"/>
      <c r="O220" s="16"/>
      <c r="P220" s="1"/>
      <c r="Q220" s="8"/>
      <c r="R220" s="8"/>
      <c r="S220" s="1"/>
      <c r="T220" s="8"/>
      <c r="U220" s="8"/>
      <c r="V220" s="16"/>
      <c r="W220" s="1"/>
      <c r="X220" s="1"/>
    </row>
    <row r="221" spans="1:24" ht="14.4">
      <c r="A221" s="15"/>
      <c r="B221" s="15"/>
      <c r="C221" s="16"/>
      <c r="D221" s="16"/>
      <c r="E221" s="16"/>
      <c r="F221" s="16"/>
      <c r="G221" s="16"/>
      <c r="H221" s="16"/>
      <c r="I221" s="16"/>
      <c r="J221" s="16"/>
      <c r="K221" s="16"/>
      <c r="L221" s="38"/>
      <c r="M221" s="25"/>
      <c r="N221" s="25"/>
      <c r="O221" s="16"/>
      <c r="P221" s="1"/>
      <c r="Q221" s="8"/>
      <c r="R221" s="8"/>
      <c r="S221" s="1"/>
      <c r="T221" s="8"/>
      <c r="U221" s="8"/>
      <c r="V221" s="16"/>
      <c r="W221" s="1"/>
      <c r="X221" s="1"/>
    </row>
    <row r="222" spans="1:24" ht="14.4">
      <c r="A222" s="15"/>
      <c r="B222" s="15"/>
      <c r="C222" s="16"/>
      <c r="D222" s="16"/>
      <c r="E222" s="16"/>
      <c r="F222" s="16"/>
      <c r="G222" s="16"/>
      <c r="H222" s="16"/>
      <c r="I222" s="16"/>
      <c r="J222" s="16"/>
      <c r="K222" s="16"/>
      <c r="L222" s="38"/>
      <c r="M222" s="25"/>
      <c r="N222" s="25"/>
      <c r="O222" s="16"/>
      <c r="P222" s="1"/>
      <c r="Q222" s="8"/>
      <c r="R222" s="8"/>
      <c r="S222" s="1"/>
      <c r="T222" s="8"/>
      <c r="U222" s="8"/>
      <c r="V222" s="16"/>
      <c r="W222" s="1"/>
      <c r="X222" s="1"/>
    </row>
    <row r="223" spans="1:24" ht="14.4">
      <c r="A223" s="15"/>
      <c r="B223" s="15"/>
      <c r="C223" s="16"/>
      <c r="D223" s="16"/>
      <c r="E223" s="16"/>
      <c r="F223" s="16"/>
      <c r="G223" s="16"/>
      <c r="H223" s="16"/>
      <c r="I223" s="16"/>
      <c r="J223" s="16"/>
      <c r="K223" s="16"/>
      <c r="L223" s="38"/>
      <c r="M223" s="25"/>
      <c r="N223" s="25"/>
      <c r="O223" s="16"/>
      <c r="P223" s="1"/>
      <c r="Q223" s="8"/>
      <c r="R223" s="8"/>
      <c r="S223" s="1"/>
      <c r="T223" s="8"/>
      <c r="U223" s="8"/>
      <c r="V223" s="16"/>
      <c r="W223" s="1"/>
      <c r="X223" s="1"/>
    </row>
    <row r="224" spans="1:24" ht="14.4">
      <c r="A224" s="15"/>
      <c r="B224" s="15"/>
      <c r="C224" s="16"/>
      <c r="D224" s="16"/>
      <c r="E224" s="16"/>
      <c r="F224" s="16"/>
      <c r="G224" s="16"/>
      <c r="H224" s="16"/>
      <c r="I224" s="16"/>
      <c r="J224" s="16"/>
      <c r="K224" s="16"/>
      <c r="L224" s="38"/>
      <c r="M224" s="25"/>
      <c r="N224" s="25"/>
      <c r="O224" s="16"/>
      <c r="P224" s="1"/>
      <c r="Q224" s="8"/>
      <c r="R224" s="8"/>
      <c r="S224" s="1"/>
      <c r="T224" s="8"/>
      <c r="U224" s="8"/>
      <c r="V224" s="16"/>
      <c r="W224" s="1"/>
      <c r="X224" s="1"/>
    </row>
    <row r="225" spans="1:24" ht="14.4">
      <c r="A225" s="15"/>
      <c r="B225" s="15"/>
      <c r="C225" s="16"/>
      <c r="D225" s="16"/>
      <c r="E225" s="16"/>
      <c r="F225" s="16"/>
      <c r="G225" s="16"/>
      <c r="H225" s="16"/>
      <c r="I225" s="16"/>
      <c r="J225" s="16"/>
      <c r="K225" s="16"/>
      <c r="L225" s="38"/>
      <c r="M225" s="25"/>
      <c r="N225" s="25"/>
      <c r="O225" s="16"/>
      <c r="P225" s="1"/>
      <c r="Q225" s="8"/>
      <c r="R225" s="8"/>
      <c r="S225" s="1"/>
      <c r="T225" s="8"/>
      <c r="U225" s="8"/>
      <c r="V225" s="16"/>
      <c r="W225" s="1"/>
      <c r="X225" s="1"/>
    </row>
    <row r="226" spans="1:24" ht="14.4">
      <c r="A226" s="15"/>
      <c r="B226" s="15"/>
      <c r="C226" s="16"/>
      <c r="D226" s="16"/>
      <c r="E226" s="16"/>
      <c r="F226" s="16"/>
      <c r="G226" s="16"/>
      <c r="H226" s="16"/>
      <c r="I226" s="16"/>
      <c r="J226" s="16"/>
      <c r="K226" s="16"/>
      <c r="L226" s="38"/>
      <c r="M226" s="25"/>
      <c r="N226" s="25"/>
      <c r="O226" s="16"/>
      <c r="P226" s="1"/>
      <c r="Q226" s="8"/>
      <c r="R226" s="8"/>
      <c r="S226" s="1"/>
      <c r="T226" s="8"/>
      <c r="U226" s="8"/>
      <c r="V226" s="16"/>
      <c r="W226" s="1"/>
      <c r="X226" s="1"/>
    </row>
    <row r="227" spans="1:24" ht="14.4">
      <c r="A227" s="15"/>
      <c r="B227" s="15"/>
      <c r="C227" s="16"/>
      <c r="D227" s="16"/>
      <c r="E227" s="16"/>
      <c r="F227" s="16"/>
      <c r="G227" s="16"/>
      <c r="H227" s="16"/>
      <c r="I227" s="16"/>
      <c r="J227" s="16"/>
      <c r="K227" s="16"/>
      <c r="L227" s="38"/>
      <c r="M227" s="25"/>
      <c r="N227" s="25"/>
      <c r="O227" s="16"/>
      <c r="P227" s="1"/>
      <c r="Q227" s="8"/>
      <c r="R227" s="8"/>
      <c r="S227" s="1"/>
      <c r="T227" s="8"/>
      <c r="U227" s="8"/>
      <c r="V227" s="16"/>
      <c r="W227" s="1"/>
      <c r="X227" s="1"/>
    </row>
    <row r="228" spans="1:24" ht="14.4">
      <c r="A228" s="15"/>
      <c r="B228" s="15"/>
      <c r="C228" s="16"/>
      <c r="D228" s="16"/>
      <c r="E228" s="16"/>
      <c r="F228" s="16"/>
      <c r="G228" s="16"/>
      <c r="H228" s="16"/>
      <c r="I228" s="16"/>
      <c r="J228" s="16"/>
      <c r="K228" s="16"/>
      <c r="L228" s="38"/>
      <c r="M228" s="25"/>
      <c r="N228" s="25"/>
      <c r="O228" s="16"/>
      <c r="P228" s="1"/>
      <c r="Q228" s="8"/>
      <c r="R228" s="8"/>
      <c r="S228" s="1"/>
      <c r="T228" s="8"/>
      <c r="U228" s="8"/>
      <c r="V228" s="16"/>
      <c r="W228" s="1"/>
      <c r="X228" s="1"/>
    </row>
    <row r="229" spans="1:24" ht="14.4">
      <c r="A229" s="15"/>
      <c r="B229" s="15"/>
      <c r="C229" s="16"/>
      <c r="D229" s="16"/>
      <c r="E229" s="16"/>
      <c r="F229" s="16"/>
      <c r="G229" s="16"/>
      <c r="H229" s="16"/>
      <c r="I229" s="16"/>
      <c r="J229" s="16"/>
      <c r="K229" s="16"/>
      <c r="L229" s="38"/>
      <c r="M229" s="25"/>
      <c r="N229" s="25"/>
      <c r="O229" s="16"/>
      <c r="P229" s="1"/>
      <c r="Q229" s="8"/>
      <c r="R229" s="8"/>
      <c r="S229" s="1"/>
      <c r="T229" s="8"/>
      <c r="U229" s="8"/>
      <c r="V229" s="16"/>
      <c r="W229" s="1"/>
      <c r="X229" s="1"/>
    </row>
    <row r="230" spans="1:24" ht="14.4">
      <c r="A230" s="15"/>
      <c r="B230" s="15"/>
      <c r="C230" s="16"/>
      <c r="D230" s="16"/>
      <c r="E230" s="16"/>
      <c r="F230" s="16"/>
      <c r="G230" s="16"/>
      <c r="H230" s="16"/>
      <c r="I230" s="16"/>
      <c r="J230" s="16"/>
      <c r="K230" s="16"/>
      <c r="L230" s="38"/>
      <c r="M230" s="25"/>
      <c r="N230" s="25"/>
      <c r="O230" s="16"/>
      <c r="P230" s="1"/>
      <c r="Q230" s="8"/>
      <c r="R230" s="8"/>
      <c r="S230" s="1"/>
      <c r="T230" s="8"/>
      <c r="U230" s="8"/>
      <c r="V230" s="16"/>
      <c r="W230" s="1"/>
      <c r="X230" s="1"/>
    </row>
    <row r="231" spans="1:24" ht="14.4">
      <c r="A231" s="15"/>
      <c r="B231" s="15"/>
      <c r="C231" s="16"/>
      <c r="D231" s="16"/>
      <c r="E231" s="16"/>
      <c r="F231" s="16"/>
      <c r="G231" s="16"/>
      <c r="H231" s="16"/>
      <c r="I231" s="16"/>
      <c r="J231" s="16"/>
      <c r="K231" s="16"/>
      <c r="L231" s="38"/>
      <c r="M231" s="25"/>
      <c r="N231" s="25"/>
      <c r="O231" s="16"/>
      <c r="P231" s="1"/>
      <c r="Q231" s="8"/>
      <c r="R231" s="8"/>
      <c r="S231" s="1"/>
      <c r="T231" s="8"/>
      <c r="U231" s="8"/>
      <c r="V231" s="16"/>
      <c r="W231" s="1"/>
      <c r="X231" s="1"/>
    </row>
    <row r="232" spans="1:24" ht="14.4">
      <c r="A232" s="15"/>
      <c r="B232" s="15"/>
      <c r="C232" s="16"/>
      <c r="D232" s="16"/>
      <c r="E232" s="16"/>
      <c r="F232" s="16"/>
      <c r="G232" s="16"/>
      <c r="H232" s="16"/>
      <c r="I232" s="16"/>
      <c r="J232" s="16"/>
      <c r="K232" s="16"/>
      <c r="L232" s="38"/>
      <c r="M232" s="25"/>
      <c r="N232" s="25"/>
      <c r="O232" s="16"/>
      <c r="P232" s="1"/>
      <c r="Q232" s="8"/>
      <c r="R232" s="8"/>
      <c r="S232" s="1"/>
      <c r="T232" s="8"/>
      <c r="U232" s="8"/>
      <c r="V232" s="16"/>
      <c r="W232" s="1"/>
      <c r="X232" s="1"/>
    </row>
    <row r="233" spans="1:24" ht="14.4">
      <c r="A233" s="15"/>
      <c r="B233" s="15"/>
      <c r="C233" s="16"/>
      <c r="D233" s="16"/>
      <c r="E233" s="16"/>
      <c r="F233" s="16"/>
      <c r="G233" s="16"/>
      <c r="H233" s="16"/>
      <c r="I233" s="16"/>
      <c r="J233" s="16"/>
      <c r="K233" s="16"/>
      <c r="L233" s="38"/>
      <c r="M233" s="25"/>
      <c r="N233" s="25"/>
      <c r="O233" s="16"/>
      <c r="P233" s="1"/>
      <c r="Q233" s="8"/>
      <c r="R233" s="8"/>
      <c r="S233" s="1"/>
      <c r="T233" s="8"/>
      <c r="U233" s="8"/>
      <c r="V233" s="16"/>
      <c r="W233" s="1"/>
      <c r="X233" s="1"/>
    </row>
    <row r="234" spans="1:24" ht="14.4">
      <c r="A234" s="15"/>
      <c r="B234" s="15"/>
      <c r="C234" s="16"/>
      <c r="D234" s="16"/>
      <c r="E234" s="16"/>
      <c r="F234" s="16"/>
      <c r="G234" s="16"/>
      <c r="H234" s="16"/>
      <c r="I234" s="16"/>
      <c r="J234" s="16"/>
      <c r="K234" s="16"/>
      <c r="L234" s="38"/>
      <c r="M234" s="25"/>
      <c r="N234" s="25"/>
      <c r="O234" s="16"/>
      <c r="P234" s="1"/>
      <c r="Q234" s="8"/>
      <c r="R234" s="8"/>
      <c r="S234" s="1"/>
      <c r="T234" s="8"/>
      <c r="U234" s="8"/>
      <c r="V234" s="16"/>
      <c r="W234" s="1"/>
      <c r="X234" s="1"/>
    </row>
    <row r="235" spans="1:24" ht="14.4">
      <c r="A235" s="15"/>
      <c r="B235" s="15"/>
      <c r="C235" s="16"/>
      <c r="D235" s="16"/>
      <c r="E235" s="16"/>
      <c r="F235" s="16"/>
      <c r="G235" s="16"/>
      <c r="H235" s="16"/>
      <c r="I235" s="16"/>
      <c r="J235" s="16"/>
      <c r="K235" s="16"/>
      <c r="L235" s="38"/>
      <c r="M235" s="25"/>
      <c r="N235" s="25"/>
      <c r="O235" s="16"/>
      <c r="P235" s="1"/>
      <c r="Q235" s="8"/>
      <c r="R235" s="8"/>
      <c r="S235" s="1"/>
      <c r="T235" s="8"/>
      <c r="U235" s="8"/>
      <c r="V235" s="16"/>
      <c r="W235" s="1"/>
      <c r="X235" s="1"/>
    </row>
    <row r="236" spans="1:24" ht="14.4">
      <c r="A236" s="15"/>
      <c r="B236" s="15"/>
      <c r="C236" s="16"/>
      <c r="D236" s="16"/>
      <c r="E236" s="16"/>
      <c r="F236" s="16"/>
      <c r="G236" s="16"/>
      <c r="H236" s="16"/>
      <c r="I236" s="16"/>
      <c r="J236" s="16"/>
      <c r="K236" s="16"/>
      <c r="L236" s="38"/>
      <c r="M236" s="25"/>
      <c r="N236" s="25"/>
      <c r="O236" s="16"/>
      <c r="P236" s="1"/>
      <c r="Q236" s="8"/>
      <c r="R236" s="8"/>
      <c r="S236" s="1"/>
      <c r="T236" s="8"/>
      <c r="U236" s="8"/>
      <c r="V236" s="16"/>
      <c r="W236" s="1"/>
      <c r="X236" s="1"/>
    </row>
    <row r="237" spans="1:24" ht="14.4">
      <c r="A237" s="15"/>
      <c r="B237" s="15"/>
      <c r="C237" s="16"/>
      <c r="D237" s="16"/>
      <c r="E237" s="16"/>
      <c r="F237" s="16"/>
      <c r="G237" s="16"/>
      <c r="H237" s="16"/>
      <c r="I237" s="16"/>
      <c r="J237" s="16"/>
      <c r="K237" s="16"/>
      <c r="L237" s="38"/>
      <c r="M237" s="25"/>
      <c r="N237" s="25"/>
      <c r="O237" s="16"/>
      <c r="P237" s="1"/>
      <c r="Q237" s="8"/>
      <c r="R237" s="8"/>
      <c r="S237" s="1"/>
      <c r="T237" s="8"/>
      <c r="U237" s="8"/>
      <c r="V237" s="16"/>
      <c r="W237" s="1"/>
      <c r="X237" s="1"/>
    </row>
    <row r="238" spans="1:24" ht="14.4">
      <c r="A238" s="15"/>
      <c r="B238" s="15"/>
      <c r="C238" s="16"/>
      <c r="D238" s="16"/>
      <c r="E238" s="16"/>
      <c r="F238" s="16"/>
      <c r="G238" s="16"/>
      <c r="H238" s="16"/>
      <c r="I238" s="16"/>
      <c r="J238" s="16"/>
      <c r="K238" s="16"/>
      <c r="L238" s="38"/>
      <c r="M238" s="25"/>
      <c r="N238" s="25"/>
      <c r="O238" s="16"/>
      <c r="P238" s="1"/>
      <c r="Q238" s="8"/>
      <c r="R238" s="8"/>
      <c r="S238" s="1"/>
      <c r="T238" s="8"/>
      <c r="U238" s="8"/>
      <c r="V238" s="16"/>
      <c r="W238" s="1"/>
      <c r="X238" s="1"/>
    </row>
    <row r="239" spans="1:24" ht="14.4">
      <c r="A239" s="15"/>
      <c r="B239" s="15"/>
      <c r="C239" s="16"/>
      <c r="D239" s="16"/>
      <c r="E239" s="16"/>
      <c r="F239" s="16"/>
      <c r="G239" s="16"/>
      <c r="H239" s="16"/>
      <c r="I239" s="16"/>
      <c r="J239" s="16"/>
      <c r="K239" s="16"/>
      <c r="L239" s="38"/>
      <c r="M239" s="25"/>
      <c r="N239" s="25"/>
      <c r="O239" s="16"/>
      <c r="P239" s="1"/>
      <c r="Q239" s="8"/>
      <c r="R239" s="8"/>
      <c r="S239" s="1"/>
      <c r="T239" s="8"/>
      <c r="U239" s="8"/>
      <c r="V239" s="16"/>
      <c r="W239" s="1"/>
      <c r="X239" s="1"/>
    </row>
    <row r="240" spans="1:24" ht="14.4">
      <c r="A240" s="15"/>
      <c r="B240" s="15"/>
      <c r="C240" s="16"/>
      <c r="D240" s="16"/>
      <c r="E240" s="16"/>
      <c r="F240" s="16"/>
      <c r="G240" s="16"/>
      <c r="H240" s="16"/>
      <c r="I240" s="16"/>
      <c r="J240" s="16"/>
      <c r="K240" s="16"/>
      <c r="L240" s="38"/>
      <c r="M240" s="25"/>
      <c r="N240" s="25"/>
      <c r="O240" s="16"/>
      <c r="P240" s="1"/>
      <c r="Q240" s="8"/>
      <c r="R240" s="8"/>
      <c r="S240" s="1"/>
      <c r="T240" s="8"/>
      <c r="U240" s="8"/>
      <c r="V240" s="16"/>
      <c r="W240" s="1"/>
      <c r="X240" s="1"/>
    </row>
    <row r="241" spans="1:24" ht="14.4">
      <c r="A241" s="15"/>
      <c r="B241" s="15"/>
      <c r="C241" s="16"/>
      <c r="D241" s="16"/>
      <c r="E241" s="16"/>
      <c r="F241" s="16"/>
      <c r="G241" s="16"/>
      <c r="H241" s="16"/>
      <c r="I241" s="16"/>
      <c r="J241" s="16"/>
      <c r="K241" s="16"/>
      <c r="L241" s="38"/>
      <c r="M241" s="25"/>
      <c r="N241" s="25"/>
      <c r="O241" s="16"/>
      <c r="P241" s="1"/>
      <c r="Q241" s="8"/>
      <c r="R241" s="8"/>
      <c r="S241" s="1"/>
      <c r="T241" s="8"/>
      <c r="U241" s="8"/>
      <c r="V241" s="16"/>
      <c r="W241" s="1"/>
      <c r="X241" s="1"/>
    </row>
    <row r="242" spans="1:24" ht="14.4">
      <c r="A242" s="15"/>
      <c r="B242" s="15"/>
      <c r="C242" s="16"/>
      <c r="D242" s="16"/>
      <c r="E242" s="16"/>
      <c r="F242" s="16"/>
      <c r="G242" s="16"/>
      <c r="H242" s="16"/>
      <c r="I242" s="16"/>
      <c r="J242" s="16"/>
      <c r="K242" s="16"/>
      <c r="L242" s="38"/>
      <c r="M242" s="25"/>
      <c r="N242" s="25"/>
      <c r="O242" s="16"/>
      <c r="P242" s="1"/>
      <c r="Q242" s="8"/>
      <c r="R242" s="8"/>
      <c r="S242" s="1"/>
      <c r="T242" s="8"/>
      <c r="U242" s="8"/>
      <c r="V242" s="16"/>
      <c r="W242" s="1"/>
      <c r="X242" s="1"/>
    </row>
    <row r="243" spans="1:24" ht="14.4">
      <c r="A243" s="15"/>
      <c r="B243" s="15"/>
      <c r="C243" s="16"/>
      <c r="D243" s="16"/>
      <c r="E243" s="16"/>
      <c r="F243" s="16"/>
      <c r="G243" s="16"/>
      <c r="H243" s="16"/>
      <c r="I243" s="16"/>
      <c r="J243" s="16"/>
      <c r="K243" s="16"/>
      <c r="L243" s="38"/>
      <c r="M243" s="25"/>
      <c r="N243" s="25"/>
      <c r="O243" s="16"/>
      <c r="P243" s="1"/>
      <c r="Q243" s="8"/>
      <c r="R243" s="8"/>
      <c r="S243" s="1"/>
      <c r="T243" s="8"/>
      <c r="U243" s="8"/>
      <c r="V243" s="16"/>
      <c r="W243" s="1"/>
      <c r="X243" s="1"/>
    </row>
    <row r="244" spans="1:24" ht="14.4">
      <c r="A244" s="15"/>
      <c r="B244" s="15"/>
      <c r="C244" s="16"/>
      <c r="D244" s="16"/>
      <c r="E244" s="16"/>
      <c r="F244" s="16"/>
      <c r="G244" s="16"/>
      <c r="H244" s="16"/>
      <c r="I244" s="16"/>
      <c r="J244" s="16"/>
      <c r="K244" s="16"/>
      <c r="L244" s="38"/>
      <c r="M244" s="25"/>
      <c r="N244" s="25"/>
      <c r="O244" s="16"/>
      <c r="P244" s="1"/>
      <c r="Q244" s="8"/>
      <c r="R244" s="8"/>
      <c r="S244" s="1"/>
      <c r="T244" s="8"/>
      <c r="U244" s="8"/>
      <c r="V244" s="16"/>
      <c r="W244" s="1"/>
      <c r="X244" s="1"/>
    </row>
    <row r="245" spans="1:24" ht="14.4">
      <c r="A245" s="15"/>
      <c r="B245" s="15"/>
      <c r="C245" s="16"/>
      <c r="D245" s="16"/>
      <c r="E245" s="16"/>
      <c r="F245" s="16"/>
      <c r="G245" s="16"/>
      <c r="H245" s="16"/>
      <c r="I245" s="16"/>
      <c r="J245" s="16"/>
      <c r="K245" s="16"/>
      <c r="L245" s="38"/>
      <c r="M245" s="25"/>
      <c r="N245" s="25"/>
      <c r="O245" s="16"/>
      <c r="P245" s="1"/>
      <c r="Q245" s="8"/>
      <c r="R245" s="8"/>
      <c r="S245" s="1"/>
      <c r="T245" s="8"/>
      <c r="U245" s="8"/>
      <c r="V245" s="16"/>
      <c r="W245" s="1"/>
      <c r="X245" s="1"/>
    </row>
    <row r="246" spans="1:24" ht="14.4">
      <c r="A246" s="15"/>
      <c r="B246" s="15"/>
      <c r="C246" s="16"/>
      <c r="D246" s="16"/>
      <c r="E246" s="16"/>
      <c r="F246" s="16"/>
      <c r="G246" s="16"/>
      <c r="H246" s="16"/>
      <c r="I246" s="16"/>
      <c r="J246" s="16"/>
      <c r="K246" s="16"/>
      <c r="L246" s="38"/>
      <c r="M246" s="25"/>
      <c r="N246" s="25"/>
      <c r="O246" s="16"/>
      <c r="P246" s="1"/>
      <c r="Q246" s="8"/>
      <c r="R246" s="8"/>
      <c r="S246" s="1"/>
      <c r="T246" s="8"/>
      <c r="U246" s="8"/>
      <c r="V246" s="16"/>
      <c r="W246" s="1"/>
      <c r="X246" s="1"/>
    </row>
    <row r="247" spans="1:24" ht="14.4">
      <c r="A247" s="15"/>
      <c r="B247" s="15"/>
      <c r="C247" s="16"/>
      <c r="D247" s="16"/>
      <c r="E247" s="16"/>
      <c r="F247" s="16"/>
      <c r="G247" s="16"/>
      <c r="H247" s="16"/>
      <c r="I247" s="16"/>
      <c r="J247" s="16"/>
      <c r="K247" s="16"/>
      <c r="L247" s="38"/>
      <c r="M247" s="25"/>
      <c r="N247" s="25"/>
      <c r="O247" s="16"/>
      <c r="P247" s="1"/>
      <c r="Q247" s="8"/>
      <c r="R247" s="8"/>
      <c r="S247" s="1"/>
      <c r="T247" s="8"/>
      <c r="U247" s="8"/>
      <c r="V247" s="16"/>
      <c r="W247" s="1"/>
      <c r="X247" s="1"/>
    </row>
    <row r="248" spans="1:24" ht="14.4">
      <c r="A248" s="15"/>
      <c r="B248" s="15"/>
      <c r="C248" s="16"/>
      <c r="D248" s="16"/>
      <c r="E248" s="16"/>
      <c r="F248" s="16"/>
      <c r="G248" s="16"/>
      <c r="H248" s="16"/>
      <c r="I248" s="16"/>
      <c r="J248" s="16"/>
      <c r="K248" s="16"/>
      <c r="L248" s="38"/>
      <c r="M248" s="25"/>
      <c r="N248" s="25"/>
      <c r="O248" s="16"/>
      <c r="P248" s="1"/>
      <c r="Q248" s="8"/>
      <c r="R248" s="8"/>
      <c r="S248" s="1"/>
      <c r="T248" s="8"/>
      <c r="U248" s="8"/>
      <c r="V248" s="16"/>
      <c r="W248" s="1"/>
      <c r="X248" s="1"/>
    </row>
    <row r="249" spans="1:24" ht="14.4">
      <c r="A249" s="15"/>
      <c r="B249" s="15"/>
      <c r="C249" s="16"/>
      <c r="D249" s="16"/>
      <c r="E249" s="16"/>
      <c r="F249" s="16"/>
      <c r="G249" s="16"/>
      <c r="H249" s="16"/>
      <c r="I249" s="16"/>
      <c r="J249" s="16"/>
      <c r="K249" s="16"/>
      <c r="L249" s="38"/>
      <c r="M249" s="25"/>
      <c r="N249" s="25"/>
      <c r="O249" s="16"/>
      <c r="P249" s="1"/>
      <c r="Q249" s="8"/>
      <c r="R249" s="8"/>
      <c r="S249" s="1"/>
      <c r="T249" s="8"/>
      <c r="U249" s="8"/>
      <c r="V249" s="16"/>
      <c r="W249" s="1"/>
      <c r="X249" s="1"/>
    </row>
    <row r="250" spans="1:24" ht="14.4">
      <c r="A250" s="15"/>
      <c r="B250" s="15"/>
      <c r="C250" s="16"/>
      <c r="D250" s="16"/>
      <c r="E250" s="16"/>
      <c r="F250" s="16"/>
      <c r="G250" s="16"/>
      <c r="H250" s="16"/>
      <c r="I250" s="16"/>
      <c r="J250" s="16"/>
      <c r="K250" s="16"/>
      <c r="L250" s="38"/>
      <c r="M250" s="25"/>
      <c r="N250" s="25"/>
      <c r="O250" s="16"/>
      <c r="P250" s="1"/>
      <c r="Q250" s="8"/>
      <c r="R250" s="8"/>
      <c r="S250" s="1"/>
      <c r="T250" s="8"/>
      <c r="U250" s="8"/>
      <c r="V250" s="16"/>
      <c r="W250" s="1"/>
      <c r="X250" s="1"/>
    </row>
    <row r="251" spans="1:24" ht="14.4">
      <c r="A251" s="15"/>
      <c r="B251" s="15"/>
      <c r="C251" s="16"/>
      <c r="D251" s="16"/>
      <c r="E251" s="16"/>
      <c r="F251" s="16"/>
      <c r="G251" s="16"/>
      <c r="H251" s="16"/>
      <c r="I251" s="16"/>
      <c r="J251" s="16"/>
      <c r="K251" s="16"/>
      <c r="L251" s="38"/>
      <c r="M251" s="25"/>
      <c r="N251" s="25"/>
      <c r="O251" s="16"/>
      <c r="P251" s="1"/>
      <c r="Q251" s="8"/>
      <c r="R251" s="8"/>
      <c r="S251" s="1"/>
      <c r="T251" s="8"/>
      <c r="U251" s="8"/>
      <c r="V251" s="16"/>
      <c r="W251" s="1"/>
      <c r="X251" s="1"/>
    </row>
    <row r="252" spans="1:24" ht="14.4">
      <c r="A252" s="15"/>
      <c r="B252" s="15"/>
      <c r="C252" s="16"/>
      <c r="D252" s="16"/>
      <c r="E252" s="16"/>
      <c r="F252" s="16"/>
      <c r="G252" s="16"/>
      <c r="H252" s="16"/>
      <c r="I252" s="16"/>
      <c r="J252" s="16"/>
      <c r="K252" s="16"/>
      <c r="L252" s="38"/>
      <c r="M252" s="25"/>
      <c r="N252" s="25"/>
      <c r="O252" s="16"/>
      <c r="P252" s="1"/>
      <c r="Q252" s="8"/>
      <c r="R252" s="8"/>
      <c r="S252" s="1"/>
      <c r="T252" s="8"/>
      <c r="U252" s="8"/>
      <c r="V252" s="16"/>
      <c r="W252" s="1"/>
      <c r="X252" s="1"/>
    </row>
    <row r="253" spans="1:24" ht="14.4">
      <c r="A253" s="15"/>
      <c r="B253" s="15"/>
      <c r="C253" s="16"/>
      <c r="D253" s="16"/>
      <c r="E253" s="16"/>
      <c r="F253" s="16"/>
      <c r="G253" s="16"/>
      <c r="H253" s="16"/>
      <c r="I253" s="16"/>
      <c r="J253" s="16"/>
      <c r="K253" s="16"/>
      <c r="L253" s="38"/>
      <c r="M253" s="25"/>
      <c r="N253" s="25"/>
      <c r="O253" s="16"/>
      <c r="P253" s="1"/>
      <c r="Q253" s="8"/>
      <c r="R253" s="8"/>
      <c r="S253" s="1"/>
      <c r="T253" s="8"/>
      <c r="U253" s="8"/>
      <c r="V253" s="16"/>
      <c r="W253" s="1"/>
      <c r="X253" s="1"/>
    </row>
    <row r="254" spans="1:24" ht="14.4">
      <c r="A254" s="15"/>
      <c r="B254" s="15"/>
      <c r="C254" s="16"/>
      <c r="D254" s="16"/>
      <c r="E254" s="16"/>
      <c r="F254" s="16"/>
      <c r="G254" s="16"/>
      <c r="H254" s="16"/>
      <c r="I254" s="16"/>
      <c r="J254" s="16"/>
      <c r="K254" s="16"/>
      <c r="L254" s="38"/>
      <c r="M254" s="25"/>
      <c r="N254" s="25"/>
      <c r="O254" s="16"/>
      <c r="P254" s="1"/>
      <c r="Q254" s="8"/>
      <c r="R254" s="8"/>
      <c r="S254" s="1"/>
      <c r="T254" s="8"/>
      <c r="U254" s="8"/>
      <c r="V254" s="16"/>
      <c r="W254" s="1"/>
      <c r="X254" s="1"/>
    </row>
    <row r="255" spans="1:24" ht="14.4">
      <c r="A255" s="15"/>
      <c r="B255" s="15"/>
      <c r="C255" s="16"/>
      <c r="D255" s="16"/>
      <c r="E255" s="16"/>
      <c r="F255" s="16"/>
      <c r="G255" s="16"/>
      <c r="H255" s="16"/>
      <c r="I255" s="16"/>
      <c r="J255" s="16"/>
      <c r="K255" s="16"/>
      <c r="L255" s="38"/>
      <c r="M255" s="25"/>
      <c r="N255" s="25"/>
      <c r="O255" s="16"/>
      <c r="P255" s="1"/>
      <c r="Q255" s="8"/>
      <c r="R255" s="8"/>
      <c r="S255" s="1"/>
      <c r="T255" s="8"/>
      <c r="U255" s="8"/>
      <c r="V255" s="16"/>
      <c r="W255" s="1"/>
      <c r="X255" s="1"/>
    </row>
    <row r="256" spans="1:24" ht="14.4">
      <c r="A256" s="15"/>
      <c r="B256" s="15"/>
      <c r="C256" s="16"/>
      <c r="D256" s="16"/>
      <c r="E256" s="16"/>
      <c r="F256" s="16"/>
      <c r="G256" s="16"/>
      <c r="H256" s="16"/>
      <c r="I256" s="16"/>
      <c r="J256" s="16"/>
      <c r="K256" s="16"/>
      <c r="L256" s="38"/>
      <c r="M256" s="25"/>
      <c r="N256" s="25"/>
      <c r="O256" s="16"/>
      <c r="P256" s="1"/>
      <c r="Q256" s="8"/>
      <c r="R256" s="8"/>
      <c r="S256" s="1"/>
      <c r="T256" s="8"/>
      <c r="U256" s="8"/>
      <c r="V256" s="16"/>
      <c r="W256" s="1"/>
      <c r="X256" s="1"/>
    </row>
    <row r="257" spans="1:24" ht="14.4">
      <c r="A257" s="15"/>
      <c r="B257" s="15"/>
      <c r="C257" s="16"/>
      <c r="D257" s="16"/>
      <c r="E257" s="16"/>
      <c r="F257" s="16"/>
      <c r="G257" s="16"/>
      <c r="H257" s="16"/>
      <c r="I257" s="16"/>
      <c r="J257" s="16"/>
      <c r="K257" s="16"/>
      <c r="L257" s="38"/>
      <c r="M257" s="25"/>
      <c r="N257" s="25"/>
      <c r="O257" s="16"/>
      <c r="P257" s="1"/>
      <c r="Q257" s="8"/>
      <c r="R257" s="8"/>
      <c r="S257" s="1"/>
      <c r="T257" s="8"/>
      <c r="U257" s="8"/>
      <c r="V257" s="16"/>
      <c r="W257" s="1"/>
      <c r="X257" s="1"/>
    </row>
    <row r="258" spans="1:24" ht="14.4">
      <c r="A258" s="15"/>
      <c r="B258" s="15"/>
      <c r="C258" s="16"/>
      <c r="D258" s="16"/>
      <c r="E258" s="16"/>
      <c r="F258" s="16"/>
      <c r="G258" s="16"/>
      <c r="H258" s="16"/>
      <c r="I258" s="16"/>
      <c r="J258" s="16"/>
      <c r="K258" s="16"/>
      <c r="L258" s="38"/>
      <c r="M258" s="25"/>
      <c r="N258" s="25"/>
      <c r="O258" s="16"/>
      <c r="P258" s="1"/>
      <c r="Q258" s="8"/>
      <c r="R258" s="8"/>
      <c r="S258" s="1"/>
      <c r="T258" s="8"/>
      <c r="U258" s="8"/>
      <c r="V258" s="16"/>
      <c r="W258" s="1"/>
      <c r="X258" s="1"/>
    </row>
    <row r="259" spans="1:24" ht="14.4">
      <c r="A259" s="15"/>
      <c r="B259" s="15"/>
      <c r="C259" s="16"/>
      <c r="D259" s="16"/>
      <c r="E259" s="16"/>
      <c r="F259" s="16"/>
      <c r="G259" s="16"/>
      <c r="H259" s="16"/>
      <c r="I259" s="16"/>
      <c r="J259" s="16"/>
      <c r="K259" s="16"/>
      <c r="L259" s="38"/>
      <c r="M259" s="25"/>
      <c r="N259" s="25"/>
      <c r="O259" s="16"/>
      <c r="P259" s="1"/>
      <c r="Q259" s="8"/>
      <c r="R259" s="8"/>
      <c r="S259" s="1"/>
      <c r="T259" s="8"/>
      <c r="U259" s="8"/>
      <c r="V259" s="16"/>
      <c r="W259" s="1"/>
      <c r="X259" s="1"/>
    </row>
    <row r="260" spans="1:24" ht="14.4">
      <c r="A260" s="15"/>
      <c r="B260" s="15"/>
      <c r="C260" s="16"/>
      <c r="D260" s="16"/>
      <c r="E260" s="16"/>
      <c r="F260" s="16"/>
      <c r="G260" s="16"/>
      <c r="H260" s="16"/>
      <c r="I260" s="16"/>
      <c r="J260" s="16"/>
      <c r="K260" s="16"/>
      <c r="L260" s="38"/>
      <c r="M260" s="25"/>
      <c r="N260" s="25"/>
      <c r="O260" s="16"/>
      <c r="P260" s="1"/>
      <c r="Q260" s="8"/>
      <c r="R260" s="8"/>
      <c r="S260" s="1"/>
      <c r="T260" s="8"/>
      <c r="U260" s="8"/>
      <c r="V260" s="16"/>
      <c r="W260" s="1"/>
      <c r="X260" s="1"/>
    </row>
    <row r="261" spans="1:24" ht="14.4">
      <c r="A261" s="15"/>
      <c r="B261" s="15"/>
      <c r="C261" s="16"/>
      <c r="D261" s="16"/>
      <c r="E261" s="16"/>
      <c r="F261" s="16"/>
      <c r="G261" s="16"/>
      <c r="H261" s="16"/>
      <c r="I261" s="16"/>
      <c r="J261" s="16"/>
      <c r="K261" s="16"/>
      <c r="L261" s="38"/>
      <c r="M261" s="25"/>
      <c r="N261" s="25"/>
      <c r="O261" s="16"/>
      <c r="P261" s="1"/>
      <c r="Q261" s="8"/>
      <c r="R261" s="8"/>
      <c r="S261" s="1"/>
      <c r="T261" s="8"/>
      <c r="U261" s="8"/>
      <c r="V261" s="16"/>
      <c r="W261" s="1"/>
      <c r="X261" s="1"/>
    </row>
    <row r="262" spans="1:24" ht="14.4">
      <c r="A262" s="15"/>
      <c r="B262" s="15"/>
      <c r="C262" s="16"/>
      <c r="D262" s="16"/>
      <c r="E262" s="16"/>
      <c r="F262" s="16"/>
      <c r="G262" s="16"/>
      <c r="H262" s="16"/>
      <c r="I262" s="16"/>
      <c r="J262" s="16"/>
      <c r="K262" s="16"/>
      <c r="L262" s="38"/>
      <c r="M262" s="25"/>
      <c r="N262" s="25"/>
      <c r="O262" s="16"/>
      <c r="P262" s="1"/>
      <c r="Q262" s="8"/>
      <c r="R262" s="8"/>
      <c r="S262" s="1"/>
      <c r="T262" s="8"/>
      <c r="U262" s="8"/>
      <c r="V262" s="16"/>
      <c r="W262" s="1"/>
      <c r="X262" s="1"/>
    </row>
    <row r="263" spans="1:24" ht="14.4">
      <c r="A263" s="15"/>
      <c r="B263" s="15"/>
      <c r="C263" s="16"/>
      <c r="D263" s="16"/>
      <c r="E263" s="16"/>
      <c r="F263" s="16"/>
      <c r="G263" s="16"/>
      <c r="H263" s="16"/>
      <c r="I263" s="16"/>
      <c r="J263" s="16"/>
      <c r="K263" s="16"/>
      <c r="L263" s="38"/>
      <c r="M263" s="25"/>
      <c r="N263" s="25"/>
      <c r="O263" s="16"/>
      <c r="P263" s="1"/>
      <c r="Q263" s="8"/>
      <c r="R263" s="8"/>
      <c r="S263" s="1"/>
      <c r="T263" s="8"/>
      <c r="U263" s="8"/>
      <c r="V263" s="16"/>
      <c r="W263" s="1"/>
      <c r="X263" s="1"/>
    </row>
    <row r="264" spans="1:24" ht="14.4">
      <c r="A264" s="15"/>
      <c r="B264" s="15"/>
      <c r="C264" s="16"/>
      <c r="D264" s="16"/>
      <c r="E264" s="16"/>
      <c r="F264" s="16"/>
      <c r="G264" s="16"/>
      <c r="H264" s="16"/>
      <c r="I264" s="16"/>
      <c r="J264" s="16"/>
      <c r="K264" s="16"/>
      <c r="L264" s="38"/>
      <c r="M264" s="25"/>
      <c r="N264" s="25"/>
      <c r="O264" s="16"/>
      <c r="P264" s="1"/>
      <c r="Q264" s="8"/>
      <c r="R264" s="8"/>
      <c r="S264" s="1"/>
      <c r="T264" s="8"/>
      <c r="U264" s="8"/>
      <c r="V264" s="16"/>
      <c r="W264" s="1"/>
      <c r="X264" s="1"/>
    </row>
    <row r="265" spans="1:24" ht="14.4">
      <c r="A265" s="15"/>
      <c r="B265" s="15"/>
      <c r="C265" s="16"/>
      <c r="D265" s="16"/>
      <c r="E265" s="16"/>
      <c r="F265" s="16"/>
      <c r="G265" s="16"/>
      <c r="H265" s="16"/>
      <c r="I265" s="16"/>
      <c r="J265" s="16"/>
      <c r="K265" s="16"/>
      <c r="L265" s="38"/>
      <c r="M265" s="25"/>
      <c r="N265" s="25"/>
      <c r="O265" s="16"/>
      <c r="P265" s="1"/>
      <c r="Q265" s="8"/>
      <c r="R265" s="8"/>
      <c r="S265" s="1"/>
      <c r="T265" s="8"/>
      <c r="U265" s="8"/>
      <c r="V265" s="16"/>
      <c r="W265" s="1"/>
      <c r="X265" s="1"/>
    </row>
    <row r="266" spans="1:24" ht="14.4">
      <c r="A266" s="15"/>
      <c r="B266" s="15"/>
      <c r="C266" s="16"/>
      <c r="D266" s="16"/>
      <c r="E266" s="16"/>
      <c r="F266" s="16"/>
      <c r="G266" s="16"/>
      <c r="H266" s="16"/>
      <c r="I266" s="16"/>
      <c r="J266" s="16"/>
      <c r="K266" s="16"/>
      <c r="L266" s="38"/>
      <c r="M266" s="25"/>
      <c r="N266" s="25"/>
      <c r="O266" s="16"/>
      <c r="P266" s="1"/>
      <c r="Q266" s="8"/>
      <c r="R266" s="8"/>
      <c r="S266" s="1"/>
      <c r="T266" s="8"/>
      <c r="U266" s="8"/>
      <c r="V266" s="16"/>
      <c r="W266" s="1"/>
      <c r="X266" s="1"/>
    </row>
    <row r="267" spans="1:24" ht="14.4">
      <c r="A267" s="15"/>
      <c r="B267" s="15"/>
      <c r="C267" s="16"/>
      <c r="D267" s="16"/>
      <c r="E267" s="16"/>
      <c r="F267" s="16"/>
      <c r="G267" s="16"/>
      <c r="H267" s="16"/>
      <c r="I267" s="16"/>
      <c r="J267" s="16"/>
      <c r="K267" s="16"/>
      <c r="L267" s="38"/>
      <c r="M267" s="25"/>
      <c r="N267" s="25"/>
      <c r="O267" s="16"/>
      <c r="P267" s="1"/>
      <c r="Q267" s="8"/>
      <c r="R267" s="8"/>
      <c r="S267" s="1"/>
      <c r="T267" s="8"/>
      <c r="U267" s="8"/>
      <c r="V267" s="16"/>
      <c r="W267" s="1"/>
      <c r="X267" s="1"/>
    </row>
    <row r="268" spans="1:24" ht="14.4">
      <c r="A268" s="15"/>
      <c r="B268" s="15"/>
      <c r="C268" s="16"/>
      <c r="D268" s="16"/>
      <c r="E268" s="16"/>
      <c r="F268" s="16"/>
      <c r="G268" s="16"/>
      <c r="H268" s="16"/>
      <c r="I268" s="16"/>
      <c r="J268" s="16"/>
      <c r="K268" s="16"/>
      <c r="L268" s="38"/>
      <c r="M268" s="25"/>
      <c r="N268" s="25"/>
      <c r="O268" s="16"/>
      <c r="P268" s="1"/>
      <c r="Q268" s="8"/>
      <c r="R268" s="8"/>
      <c r="S268" s="1"/>
      <c r="T268" s="8"/>
      <c r="U268" s="8"/>
      <c r="V268" s="16"/>
      <c r="W268" s="1"/>
      <c r="X268" s="1"/>
    </row>
    <row r="269" spans="1:24" ht="14.4">
      <c r="A269" s="15"/>
      <c r="B269" s="15"/>
      <c r="C269" s="16"/>
      <c r="D269" s="16"/>
      <c r="E269" s="16"/>
      <c r="F269" s="16"/>
      <c r="G269" s="16"/>
      <c r="H269" s="16"/>
      <c r="I269" s="16"/>
      <c r="J269" s="16"/>
      <c r="K269" s="16"/>
      <c r="L269" s="38"/>
      <c r="M269" s="25"/>
      <c r="N269" s="25"/>
      <c r="O269" s="16"/>
      <c r="P269" s="1"/>
      <c r="Q269" s="8"/>
      <c r="R269" s="8"/>
      <c r="S269" s="1"/>
      <c r="T269" s="8"/>
      <c r="U269" s="8"/>
      <c r="V269" s="16"/>
      <c r="W269" s="1"/>
      <c r="X269" s="1"/>
    </row>
    <row r="270" spans="1:24" ht="14.4">
      <c r="A270" s="15"/>
      <c r="B270" s="15"/>
      <c r="C270" s="16"/>
      <c r="D270" s="16"/>
      <c r="E270" s="16"/>
      <c r="F270" s="16"/>
      <c r="G270" s="16"/>
      <c r="H270" s="16"/>
      <c r="I270" s="16"/>
      <c r="J270" s="16"/>
      <c r="K270" s="16"/>
      <c r="L270" s="38"/>
      <c r="M270" s="25"/>
      <c r="N270" s="25"/>
      <c r="O270" s="16"/>
      <c r="P270" s="1"/>
      <c r="Q270" s="8"/>
      <c r="R270" s="8"/>
      <c r="S270" s="1"/>
      <c r="T270" s="8"/>
      <c r="U270" s="8"/>
      <c r="V270" s="16"/>
      <c r="W270" s="1"/>
      <c r="X270" s="1"/>
    </row>
    <row r="271" spans="1:24" ht="14.4">
      <c r="A271" s="15"/>
      <c r="B271" s="15"/>
      <c r="C271" s="16"/>
      <c r="D271" s="16"/>
      <c r="E271" s="16"/>
      <c r="F271" s="16"/>
      <c r="G271" s="16"/>
      <c r="H271" s="16"/>
      <c r="I271" s="16"/>
      <c r="J271" s="16"/>
      <c r="K271" s="16"/>
      <c r="L271" s="38"/>
      <c r="M271" s="25"/>
      <c r="N271" s="25"/>
      <c r="O271" s="16"/>
      <c r="P271" s="1"/>
      <c r="Q271" s="8"/>
      <c r="R271" s="8"/>
      <c r="S271" s="1"/>
      <c r="T271" s="8"/>
      <c r="U271" s="8"/>
      <c r="V271" s="16"/>
      <c r="W271" s="1"/>
      <c r="X271" s="1"/>
    </row>
    <row r="272" spans="1:24" ht="14.4">
      <c r="A272" s="15"/>
      <c r="B272" s="15"/>
      <c r="C272" s="16"/>
      <c r="D272" s="16"/>
      <c r="E272" s="16"/>
      <c r="F272" s="16"/>
      <c r="G272" s="16"/>
      <c r="H272" s="16"/>
      <c r="I272" s="16"/>
      <c r="J272" s="16"/>
      <c r="K272" s="16"/>
      <c r="L272" s="38"/>
      <c r="M272" s="25"/>
      <c r="N272" s="25"/>
      <c r="O272" s="16"/>
      <c r="P272" s="1"/>
      <c r="Q272" s="8"/>
      <c r="R272" s="8"/>
      <c r="S272" s="1"/>
      <c r="T272" s="8"/>
      <c r="U272" s="8"/>
      <c r="V272" s="16"/>
      <c r="W272" s="1"/>
      <c r="X272" s="1"/>
    </row>
    <row r="273" spans="1:24" ht="14.4">
      <c r="A273" s="15"/>
      <c r="B273" s="15"/>
      <c r="C273" s="16"/>
      <c r="D273" s="16"/>
      <c r="E273" s="16"/>
      <c r="F273" s="16"/>
      <c r="G273" s="16"/>
      <c r="H273" s="16"/>
      <c r="I273" s="16"/>
      <c r="J273" s="16"/>
      <c r="K273" s="16"/>
      <c r="L273" s="38"/>
      <c r="M273" s="25"/>
      <c r="N273" s="25"/>
      <c r="O273" s="16"/>
      <c r="P273" s="1"/>
      <c r="Q273" s="8"/>
      <c r="R273" s="8"/>
      <c r="S273" s="1"/>
      <c r="T273" s="8"/>
      <c r="U273" s="8"/>
      <c r="V273" s="16"/>
      <c r="W273" s="1"/>
      <c r="X273" s="1"/>
    </row>
    <row r="274" spans="1:24" ht="14.4">
      <c r="A274" s="15"/>
      <c r="B274" s="15"/>
      <c r="C274" s="16"/>
      <c r="D274" s="16"/>
      <c r="E274" s="16"/>
      <c r="F274" s="16"/>
      <c r="G274" s="16"/>
      <c r="H274" s="16"/>
      <c r="I274" s="16"/>
      <c r="J274" s="16"/>
      <c r="K274" s="16"/>
      <c r="L274" s="38"/>
      <c r="M274" s="25"/>
      <c r="N274" s="25"/>
      <c r="O274" s="16"/>
      <c r="P274" s="1"/>
      <c r="Q274" s="8"/>
      <c r="R274" s="8"/>
      <c r="S274" s="1"/>
      <c r="T274" s="8"/>
      <c r="U274" s="8"/>
      <c r="V274" s="16"/>
      <c r="W274" s="1"/>
      <c r="X274" s="1"/>
    </row>
    <row r="275" spans="1:24" ht="14.4">
      <c r="A275" s="15"/>
      <c r="B275" s="15"/>
      <c r="C275" s="16"/>
      <c r="D275" s="16"/>
      <c r="E275" s="16"/>
      <c r="F275" s="16"/>
      <c r="G275" s="16"/>
      <c r="H275" s="16"/>
      <c r="I275" s="16"/>
      <c r="J275" s="16"/>
      <c r="K275" s="16"/>
      <c r="L275" s="38"/>
      <c r="M275" s="25"/>
      <c r="N275" s="25"/>
      <c r="O275" s="16"/>
      <c r="P275" s="1"/>
      <c r="Q275" s="8"/>
      <c r="R275" s="8"/>
      <c r="S275" s="1"/>
      <c r="T275" s="8"/>
      <c r="U275" s="8"/>
      <c r="V275" s="16"/>
      <c r="W275" s="1"/>
      <c r="X275" s="1"/>
    </row>
    <row r="276" spans="1:24" ht="14.4">
      <c r="A276" s="15"/>
      <c r="B276" s="15"/>
      <c r="C276" s="16"/>
      <c r="D276" s="16"/>
      <c r="E276" s="16"/>
      <c r="F276" s="16"/>
      <c r="G276" s="16"/>
      <c r="H276" s="16"/>
      <c r="I276" s="16"/>
      <c r="J276" s="16"/>
      <c r="K276" s="16"/>
      <c r="L276" s="38"/>
      <c r="M276" s="25"/>
      <c r="N276" s="25"/>
      <c r="O276" s="16"/>
      <c r="P276" s="1"/>
      <c r="Q276" s="8"/>
      <c r="R276" s="8"/>
      <c r="S276" s="1"/>
      <c r="T276" s="8"/>
      <c r="U276" s="8"/>
      <c r="V276" s="16"/>
      <c r="W276" s="1"/>
      <c r="X276" s="1"/>
    </row>
    <row r="277" spans="1:24" ht="14.4">
      <c r="A277" s="15"/>
      <c r="B277" s="15"/>
      <c r="C277" s="16"/>
      <c r="D277" s="16"/>
      <c r="E277" s="16"/>
      <c r="F277" s="16"/>
      <c r="G277" s="16"/>
      <c r="H277" s="16"/>
      <c r="I277" s="16"/>
      <c r="J277" s="16"/>
      <c r="K277" s="16"/>
      <c r="L277" s="38"/>
      <c r="M277" s="25"/>
      <c r="N277" s="25"/>
      <c r="O277" s="16"/>
      <c r="P277" s="1"/>
      <c r="Q277" s="8"/>
      <c r="R277" s="8"/>
      <c r="S277" s="1"/>
      <c r="T277" s="8"/>
      <c r="U277" s="8"/>
      <c r="V277" s="16"/>
      <c r="W277" s="1"/>
      <c r="X277" s="1"/>
    </row>
    <row r="278" spans="1:24" ht="14.4">
      <c r="A278" s="15"/>
      <c r="B278" s="15"/>
      <c r="C278" s="16"/>
      <c r="D278" s="16"/>
      <c r="E278" s="16"/>
      <c r="F278" s="16"/>
      <c r="G278" s="16"/>
      <c r="H278" s="16"/>
      <c r="I278" s="16"/>
      <c r="J278" s="16"/>
      <c r="K278" s="16"/>
      <c r="L278" s="38"/>
      <c r="M278" s="25"/>
      <c r="N278" s="25"/>
      <c r="O278" s="16"/>
      <c r="P278" s="1"/>
      <c r="Q278" s="8"/>
      <c r="R278" s="8"/>
      <c r="S278" s="1"/>
      <c r="T278" s="8"/>
      <c r="U278" s="8"/>
      <c r="V278" s="16"/>
      <c r="W278" s="1"/>
      <c r="X278" s="1"/>
    </row>
    <row r="279" spans="1:24" ht="14.4">
      <c r="A279" s="15"/>
      <c r="B279" s="15"/>
      <c r="C279" s="16"/>
      <c r="D279" s="16"/>
      <c r="E279" s="16"/>
      <c r="F279" s="16"/>
      <c r="G279" s="16"/>
      <c r="H279" s="16"/>
      <c r="I279" s="16"/>
      <c r="J279" s="16"/>
      <c r="K279" s="16"/>
      <c r="L279" s="38"/>
      <c r="M279" s="25"/>
      <c r="N279" s="25"/>
      <c r="O279" s="16"/>
      <c r="P279" s="1"/>
      <c r="Q279" s="8"/>
      <c r="R279" s="8"/>
      <c r="S279" s="1"/>
      <c r="T279" s="8"/>
      <c r="U279" s="8"/>
      <c r="V279" s="16"/>
      <c r="W279" s="1"/>
      <c r="X279" s="1"/>
    </row>
    <row r="280" spans="1:24" ht="14.4">
      <c r="A280" s="15"/>
      <c r="B280" s="15"/>
      <c r="C280" s="16"/>
      <c r="D280" s="16"/>
      <c r="E280" s="16"/>
      <c r="F280" s="16"/>
      <c r="G280" s="16"/>
      <c r="H280" s="16"/>
      <c r="I280" s="16"/>
      <c r="J280" s="16"/>
      <c r="K280" s="16"/>
      <c r="L280" s="38"/>
      <c r="M280" s="25"/>
      <c r="N280" s="25"/>
      <c r="O280" s="16"/>
      <c r="P280" s="1"/>
      <c r="Q280" s="8"/>
      <c r="R280" s="8"/>
      <c r="S280" s="1"/>
      <c r="T280" s="8"/>
      <c r="U280" s="8"/>
      <c r="V280" s="16"/>
      <c r="W280" s="1"/>
      <c r="X280" s="1"/>
    </row>
    <row r="281" spans="1:24" ht="14.4">
      <c r="A281" s="15"/>
      <c r="B281" s="15"/>
      <c r="C281" s="16"/>
      <c r="D281" s="16"/>
      <c r="E281" s="16"/>
      <c r="F281" s="16"/>
      <c r="G281" s="16"/>
      <c r="H281" s="16"/>
      <c r="I281" s="16"/>
      <c r="J281" s="16"/>
      <c r="K281" s="16"/>
      <c r="L281" s="38"/>
      <c r="M281" s="25"/>
      <c r="N281" s="25"/>
      <c r="O281" s="16"/>
      <c r="P281" s="1"/>
      <c r="Q281" s="8"/>
      <c r="R281" s="8"/>
      <c r="S281" s="1"/>
      <c r="T281" s="8"/>
      <c r="U281" s="8"/>
      <c r="V281" s="16"/>
      <c r="W281" s="1"/>
      <c r="X281" s="1"/>
    </row>
    <row r="282" spans="1:24" ht="14.4">
      <c r="A282" s="15"/>
      <c r="B282" s="15"/>
      <c r="C282" s="16"/>
      <c r="D282" s="16"/>
      <c r="E282" s="16"/>
      <c r="F282" s="16"/>
      <c r="G282" s="16"/>
      <c r="H282" s="16"/>
      <c r="I282" s="16"/>
      <c r="J282" s="16"/>
      <c r="K282" s="16"/>
      <c r="L282" s="38"/>
      <c r="M282" s="25"/>
      <c r="N282" s="25"/>
      <c r="O282" s="16"/>
      <c r="P282" s="1"/>
      <c r="Q282" s="8"/>
      <c r="R282" s="8"/>
      <c r="S282" s="1"/>
      <c r="T282" s="8"/>
      <c r="U282" s="8"/>
      <c r="V282" s="16"/>
      <c r="W282" s="1"/>
      <c r="X282" s="1"/>
    </row>
    <row r="283" spans="1:24" ht="14.4">
      <c r="A283" s="15"/>
      <c r="B283" s="15"/>
      <c r="C283" s="16"/>
      <c r="D283" s="16"/>
      <c r="E283" s="16"/>
      <c r="F283" s="16"/>
      <c r="G283" s="16"/>
      <c r="H283" s="16"/>
      <c r="I283" s="16"/>
      <c r="J283" s="16"/>
      <c r="K283" s="16"/>
      <c r="L283" s="38"/>
      <c r="M283" s="25"/>
      <c r="N283" s="25"/>
      <c r="O283" s="16"/>
      <c r="P283" s="1"/>
      <c r="Q283" s="8"/>
      <c r="R283" s="8"/>
      <c r="S283" s="1"/>
      <c r="T283" s="8"/>
      <c r="U283" s="8"/>
      <c r="V283" s="16"/>
      <c r="W283" s="1"/>
      <c r="X283" s="1"/>
    </row>
    <row r="284" spans="1:24" ht="14.4">
      <c r="A284" s="15"/>
      <c r="B284" s="15"/>
      <c r="C284" s="16"/>
      <c r="D284" s="16"/>
      <c r="E284" s="16"/>
      <c r="F284" s="16"/>
      <c r="G284" s="16"/>
      <c r="H284" s="16"/>
      <c r="I284" s="16"/>
      <c r="J284" s="16"/>
      <c r="K284" s="16"/>
      <c r="L284" s="38"/>
      <c r="M284" s="25"/>
      <c r="N284" s="25"/>
      <c r="O284" s="16"/>
      <c r="P284" s="1"/>
      <c r="Q284" s="8"/>
      <c r="R284" s="8"/>
      <c r="S284" s="1"/>
      <c r="T284" s="8"/>
      <c r="U284" s="8"/>
      <c r="V284" s="16"/>
      <c r="W284" s="1"/>
      <c r="X284" s="1"/>
    </row>
    <row r="285" spans="1:24" ht="14.4">
      <c r="A285" s="15"/>
      <c r="B285" s="15"/>
      <c r="C285" s="16"/>
      <c r="D285" s="16"/>
      <c r="E285" s="16"/>
      <c r="F285" s="16"/>
      <c r="G285" s="16"/>
      <c r="H285" s="16"/>
      <c r="I285" s="16"/>
      <c r="J285" s="16"/>
      <c r="K285" s="16"/>
      <c r="L285" s="38"/>
      <c r="M285" s="25"/>
      <c r="N285" s="25"/>
      <c r="O285" s="16"/>
      <c r="P285" s="1"/>
      <c r="Q285" s="8"/>
      <c r="R285" s="8"/>
      <c r="S285" s="1"/>
      <c r="T285" s="8"/>
      <c r="U285" s="8"/>
      <c r="V285" s="16"/>
      <c r="W285" s="1"/>
      <c r="X285" s="1"/>
    </row>
    <row r="286" spans="1:24" ht="14.4">
      <c r="A286" s="15"/>
      <c r="B286" s="15"/>
      <c r="C286" s="16"/>
      <c r="D286" s="16"/>
      <c r="E286" s="16"/>
      <c r="F286" s="16"/>
      <c r="G286" s="16"/>
      <c r="H286" s="16"/>
      <c r="I286" s="16"/>
      <c r="J286" s="16"/>
      <c r="K286" s="16"/>
      <c r="L286" s="38"/>
      <c r="M286" s="25"/>
      <c r="N286" s="25"/>
      <c r="O286" s="16"/>
      <c r="P286" s="1"/>
      <c r="Q286" s="8"/>
      <c r="R286" s="8"/>
      <c r="S286" s="1"/>
      <c r="T286" s="8"/>
      <c r="U286" s="8"/>
      <c r="V286" s="16"/>
      <c r="W286" s="1"/>
      <c r="X286" s="1"/>
    </row>
    <row r="287" spans="1:24" ht="14.4">
      <c r="A287" s="15"/>
      <c r="B287" s="15"/>
      <c r="C287" s="16"/>
      <c r="D287" s="16"/>
      <c r="E287" s="16"/>
      <c r="F287" s="16"/>
      <c r="G287" s="16"/>
      <c r="H287" s="16"/>
      <c r="I287" s="16"/>
      <c r="J287" s="16"/>
      <c r="K287" s="16"/>
      <c r="L287" s="38"/>
      <c r="M287" s="25"/>
      <c r="N287" s="25"/>
      <c r="O287" s="16"/>
      <c r="P287" s="1"/>
      <c r="Q287" s="8"/>
      <c r="R287" s="8"/>
      <c r="S287" s="1"/>
      <c r="T287" s="8"/>
      <c r="U287" s="8"/>
      <c r="V287" s="16"/>
      <c r="W287" s="1"/>
      <c r="X287" s="1"/>
    </row>
    <row r="288" spans="1:24" ht="14.4">
      <c r="A288" s="15"/>
      <c r="B288" s="15"/>
      <c r="C288" s="16"/>
      <c r="D288" s="16"/>
      <c r="E288" s="16"/>
      <c r="F288" s="16"/>
      <c r="G288" s="16"/>
      <c r="H288" s="16"/>
      <c r="I288" s="16"/>
      <c r="J288" s="16"/>
      <c r="K288" s="16"/>
      <c r="L288" s="38"/>
      <c r="M288" s="25"/>
      <c r="N288" s="25"/>
      <c r="O288" s="16"/>
      <c r="P288" s="1"/>
      <c r="Q288" s="8"/>
      <c r="R288" s="8"/>
      <c r="S288" s="1"/>
      <c r="T288" s="8"/>
      <c r="U288" s="8"/>
      <c r="V288" s="16"/>
      <c r="W288" s="1"/>
      <c r="X288" s="1"/>
    </row>
    <row r="289" spans="1:24" ht="14.4">
      <c r="A289" s="15"/>
      <c r="B289" s="15"/>
      <c r="C289" s="16"/>
      <c r="D289" s="16"/>
      <c r="E289" s="16"/>
      <c r="F289" s="16"/>
      <c r="G289" s="16"/>
      <c r="H289" s="16"/>
      <c r="I289" s="16"/>
      <c r="J289" s="16"/>
      <c r="K289" s="16"/>
      <c r="L289" s="38"/>
      <c r="M289" s="25"/>
      <c r="N289" s="25"/>
      <c r="O289" s="16"/>
      <c r="P289" s="1"/>
      <c r="Q289" s="8"/>
      <c r="R289" s="8"/>
      <c r="S289" s="1"/>
      <c r="T289" s="8"/>
      <c r="U289" s="8"/>
      <c r="V289" s="16"/>
      <c r="W289" s="1"/>
      <c r="X289" s="1"/>
    </row>
    <row r="290" spans="1:24" ht="14.4">
      <c r="A290" s="15"/>
      <c r="B290" s="15"/>
      <c r="C290" s="16"/>
      <c r="D290" s="16"/>
      <c r="E290" s="16"/>
      <c r="F290" s="16"/>
      <c r="G290" s="16"/>
      <c r="H290" s="16"/>
      <c r="I290" s="16"/>
      <c r="J290" s="16"/>
      <c r="K290" s="16"/>
      <c r="L290" s="38"/>
      <c r="M290" s="25"/>
      <c r="N290" s="25"/>
      <c r="O290" s="16"/>
      <c r="P290" s="1"/>
      <c r="Q290" s="8"/>
      <c r="R290" s="8"/>
      <c r="S290" s="1"/>
      <c r="T290" s="8"/>
      <c r="U290" s="8"/>
      <c r="V290" s="16"/>
      <c r="W290" s="1"/>
      <c r="X290" s="1"/>
    </row>
    <row r="291" spans="1:24" ht="14.4">
      <c r="A291" s="15"/>
      <c r="B291" s="15"/>
      <c r="C291" s="16"/>
      <c r="D291" s="16"/>
      <c r="E291" s="16"/>
      <c r="F291" s="16"/>
      <c r="G291" s="16"/>
      <c r="H291" s="16"/>
      <c r="I291" s="16"/>
      <c r="J291" s="16"/>
      <c r="K291" s="16"/>
      <c r="L291" s="38"/>
      <c r="M291" s="25"/>
      <c r="N291" s="25"/>
      <c r="O291" s="16"/>
      <c r="P291" s="1"/>
      <c r="Q291" s="8"/>
      <c r="R291" s="8"/>
      <c r="S291" s="1"/>
      <c r="T291" s="8"/>
      <c r="U291" s="8"/>
      <c r="V291" s="16"/>
      <c r="W291" s="1"/>
      <c r="X291" s="1"/>
    </row>
    <row r="292" spans="1:24" ht="14.4">
      <c r="A292" s="15"/>
      <c r="B292" s="15"/>
      <c r="C292" s="16"/>
      <c r="D292" s="16"/>
      <c r="E292" s="16"/>
      <c r="F292" s="16"/>
      <c r="G292" s="16"/>
      <c r="H292" s="16"/>
      <c r="I292" s="16"/>
      <c r="J292" s="16"/>
      <c r="K292" s="16"/>
      <c r="L292" s="38"/>
      <c r="M292" s="25"/>
      <c r="N292" s="25"/>
      <c r="O292" s="16"/>
      <c r="P292" s="1"/>
      <c r="Q292" s="8"/>
      <c r="R292" s="8"/>
      <c r="S292" s="1"/>
      <c r="T292" s="8"/>
      <c r="U292" s="8"/>
      <c r="V292" s="16"/>
      <c r="W292" s="1"/>
      <c r="X292" s="1"/>
    </row>
    <row r="293" spans="1:24" ht="14.4">
      <c r="A293" s="15"/>
      <c r="B293" s="15"/>
      <c r="C293" s="16"/>
      <c r="D293" s="16"/>
      <c r="E293" s="16"/>
      <c r="F293" s="16"/>
      <c r="G293" s="16"/>
      <c r="H293" s="16"/>
      <c r="I293" s="16"/>
      <c r="J293" s="16"/>
      <c r="K293" s="16"/>
      <c r="L293" s="38"/>
      <c r="M293" s="25"/>
      <c r="N293" s="25"/>
      <c r="O293" s="16"/>
      <c r="P293" s="1"/>
      <c r="Q293" s="8"/>
      <c r="R293" s="8"/>
      <c r="S293" s="1"/>
      <c r="T293" s="8"/>
      <c r="U293" s="8"/>
      <c r="V293" s="16"/>
      <c r="W293" s="1"/>
      <c r="X293" s="1"/>
    </row>
    <row r="294" spans="1:24" ht="14.4">
      <c r="A294" s="15"/>
      <c r="B294" s="15"/>
      <c r="C294" s="16"/>
      <c r="D294" s="16"/>
      <c r="E294" s="16"/>
      <c r="F294" s="16"/>
      <c r="G294" s="16"/>
      <c r="H294" s="16"/>
      <c r="I294" s="16"/>
      <c r="J294" s="16"/>
      <c r="K294" s="16"/>
      <c r="L294" s="38"/>
      <c r="M294" s="25"/>
      <c r="N294" s="25"/>
      <c r="O294" s="16"/>
      <c r="P294" s="1"/>
      <c r="Q294" s="8"/>
      <c r="R294" s="8"/>
      <c r="S294" s="1"/>
      <c r="T294" s="8"/>
      <c r="U294" s="8"/>
      <c r="V294" s="16"/>
      <c r="W294" s="1"/>
      <c r="X294" s="1"/>
    </row>
    <row r="295" spans="1:24" ht="14.4">
      <c r="A295" s="15"/>
      <c r="B295" s="15"/>
      <c r="C295" s="16"/>
      <c r="D295" s="16"/>
      <c r="E295" s="16"/>
      <c r="F295" s="16"/>
      <c r="G295" s="16"/>
      <c r="H295" s="16"/>
      <c r="I295" s="16"/>
      <c r="J295" s="16"/>
      <c r="K295" s="16"/>
      <c r="L295" s="38"/>
      <c r="M295" s="25"/>
      <c r="N295" s="25"/>
      <c r="O295" s="16"/>
      <c r="P295" s="1"/>
      <c r="Q295" s="8"/>
      <c r="R295" s="8"/>
      <c r="S295" s="1"/>
      <c r="T295" s="8"/>
      <c r="U295" s="8"/>
      <c r="V295" s="16"/>
      <c r="W295" s="1"/>
      <c r="X295" s="1"/>
    </row>
    <row r="296" spans="1:24" ht="14.4">
      <c r="A296" s="15"/>
      <c r="B296" s="15"/>
      <c r="C296" s="16"/>
      <c r="D296" s="16"/>
      <c r="E296" s="16"/>
      <c r="F296" s="16"/>
      <c r="G296" s="16"/>
      <c r="H296" s="16"/>
      <c r="I296" s="16"/>
      <c r="J296" s="16"/>
      <c r="K296" s="16"/>
      <c r="L296" s="38"/>
      <c r="M296" s="25"/>
      <c r="N296" s="25"/>
      <c r="O296" s="16"/>
      <c r="P296" s="1"/>
      <c r="Q296" s="8"/>
      <c r="R296" s="8"/>
      <c r="S296" s="1"/>
      <c r="T296" s="8"/>
      <c r="U296" s="8"/>
      <c r="V296" s="16"/>
      <c r="W296" s="1"/>
      <c r="X296" s="1"/>
    </row>
    <row r="297" spans="1:24" ht="14.4">
      <c r="A297" s="15"/>
      <c r="B297" s="15"/>
      <c r="C297" s="16"/>
      <c r="D297" s="16"/>
      <c r="E297" s="16"/>
      <c r="F297" s="16"/>
      <c r="G297" s="16"/>
      <c r="H297" s="16"/>
      <c r="I297" s="16"/>
      <c r="J297" s="16"/>
      <c r="K297" s="16"/>
      <c r="L297" s="38"/>
      <c r="M297" s="25"/>
      <c r="N297" s="25"/>
      <c r="O297" s="16"/>
      <c r="P297" s="1"/>
      <c r="Q297" s="8"/>
      <c r="R297" s="8"/>
      <c r="S297" s="1"/>
      <c r="T297" s="8"/>
      <c r="U297" s="8"/>
      <c r="V297" s="16"/>
      <c r="W297" s="1"/>
      <c r="X297" s="1"/>
    </row>
    <row r="298" spans="1:24" ht="14.4">
      <c r="A298" s="15"/>
      <c r="B298" s="15"/>
      <c r="C298" s="16"/>
      <c r="D298" s="16"/>
      <c r="E298" s="16"/>
      <c r="F298" s="16"/>
      <c r="G298" s="16"/>
      <c r="H298" s="16"/>
      <c r="I298" s="16"/>
      <c r="J298" s="16"/>
      <c r="K298" s="16"/>
      <c r="L298" s="38"/>
      <c r="M298" s="25"/>
      <c r="N298" s="25"/>
      <c r="O298" s="16"/>
      <c r="P298" s="1"/>
      <c r="Q298" s="8"/>
      <c r="R298" s="8"/>
      <c r="S298" s="1"/>
      <c r="T298" s="8"/>
      <c r="U298" s="8"/>
      <c r="V298" s="16"/>
      <c r="W298" s="1"/>
      <c r="X298" s="1"/>
    </row>
    <row r="299" spans="1:24" ht="14.4">
      <c r="A299" s="15"/>
      <c r="B299" s="15"/>
      <c r="C299" s="16"/>
      <c r="D299" s="16"/>
      <c r="E299" s="16"/>
      <c r="F299" s="16"/>
      <c r="G299" s="16"/>
      <c r="H299" s="16"/>
      <c r="I299" s="16"/>
      <c r="J299" s="16"/>
      <c r="K299" s="16"/>
      <c r="L299" s="38"/>
      <c r="M299" s="25"/>
      <c r="N299" s="25"/>
      <c r="O299" s="16"/>
      <c r="P299" s="1"/>
      <c r="Q299" s="8"/>
      <c r="R299" s="8"/>
      <c r="S299" s="1"/>
      <c r="T299" s="8"/>
      <c r="U299" s="8"/>
      <c r="V299" s="16"/>
      <c r="W299" s="1"/>
      <c r="X299" s="1"/>
    </row>
    <row r="300" spans="1:24" ht="14.4">
      <c r="A300" s="15"/>
      <c r="B300" s="15"/>
      <c r="C300" s="16"/>
      <c r="D300" s="16"/>
      <c r="E300" s="16"/>
      <c r="F300" s="16"/>
      <c r="G300" s="16"/>
      <c r="H300" s="16"/>
      <c r="I300" s="16"/>
      <c r="J300" s="16"/>
      <c r="K300" s="16"/>
      <c r="L300" s="38"/>
      <c r="M300" s="25"/>
      <c r="N300" s="25"/>
      <c r="O300" s="16"/>
      <c r="P300" s="1"/>
      <c r="Q300" s="8"/>
      <c r="R300" s="8"/>
      <c r="S300" s="1"/>
      <c r="T300" s="8"/>
      <c r="U300" s="8"/>
      <c r="V300" s="16"/>
      <c r="W300" s="1"/>
      <c r="X300" s="1"/>
    </row>
    <row r="301" spans="1:24" ht="14.4">
      <c r="A301" s="15"/>
      <c r="B301" s="15"/>
      <c r="C301" s="16"/>
      <c r="D301" s="16"/>
      <c r="E301" s="16"/>
      <c r="F301" s="16"/>
      <c r="G301" s="16"/>
      <c r="H301" s="16"/>
      <c r="I301" s="16"/>
      <c r="J301" s="16"/>
      <c r="K301" s="16"/>
      <c r="L301" s="38"/>
      <c r="M301" s="25"/>
      <c r="N301" s="25"/>
      <c r="O301" s="16"/>
      <c r="P301" s="1"/>
      <c r="Q301" s="8"/>
      <c r="R301" s="8"/>
      <c r="S301" s="1"/>
      <c r="T301" s="8"/>
      <c r="U301" s="8"/>
      <c r="V301" s="16"/>
      <c r="W301" s="1"/>
      <c r="X301" s="1"/>
    </row>
    <row r="302" spans="1:24" ht="14.4">
      <c r="A302" s="15"/>
      <c r="B302" s="15"/>
      <c r="C302" s="16"/>
      <c r="D302" s="16"/>
      <c r="E302" s="16"/>
      <c r="F302" s="16"/>
      <c r="G302" s="16"/>
      <c r="H302" s="16"/>
      <c r="I302" s="16"/>
      <c r="J302" s="16"/>
      <c r="K302" s="16"/>
      <c r="L302" s="38"/>
      <c r="M302" s="25"/>
      <c r="N302" s="25"/>
      <c r="O302" s="16"/>
      <c r="P302" s="1"/>
      <c r="Q302" s="8"/>
      <c r="R302" s="8"/>
      <c r="S302" s="1"/>
      <c r="T302" s="8"/>
      <c r="U302" s="8"/>
      <c r="V302" s="16"/>
      <c r="W302" s="1"/>
      <c r="X302" s="1"/>
    </row>
    <row r="303" spans="1:24" ht="14.4">
      <c r="A303" s="15"/>
      <c r="B303" s="15"/>
      <c r="C303" s="16"/>
      <c r="D303" s="16"/>
      <c r="E303" s="16"/>
      <c r="F303" s="16"/>
      <c r="G303" s="16"/>
      <c r="H303" s="16"/>
      <c r="I303" s="16"/>
      <c r="J303" s="16"/>
      <c r="K303" s="16"/>
      <c r="L303" s="38"/>
      <c r="M303" s="25"/>
      <c r="N303" s="25"/>
      <c r="O303" s="16"/>
      <c r="P303" s="1"/>
      <c r="Q303" s="8"/>
      <c r="R303" s="8"/>
      <c r="S303" s="1"/>
      <c r="T303" s="8"/>
      <c r="U303" s="8"/>
      <c r="V303" s="16"/>
      <c r="W303" s="1"/>
      <c r="X303" s="1"/>
    </row>
    <row r="304" spans="1:24" ht="14.4">
      <c r="A304" s="15"/>
      <c r="B304" s="15"/>
      <c r="C304" s="16"/>
      <c r="D304" s="16"/>
      <c r="E304" s="16"/>
      <c r="F304" s="16"/>
      <c r="G304" s="16"/>
      <c r="H304" s="16"/>
      <c r="I304" s="16"/>
      <c r="J304" s="16"/>
      <c r="K304" s="16"/>
      <c r="L304" s="38"/>
      <c r="M304" s="25"/>
      <c r="N304" s="25"/>
      <c r="O304" s="16"/>
      <c r="P304" s="1"/>
      <c r="Q304" s="8"/>
      <c r="R304" s="8"/>
      <c r="S304" s="1"/>
      <c r="T304" s="8"/>
      <c r="U304" s="8"/>
      <c r="V304" s="16"/>
      <c r="W304" s="1"/>
      <c r="X304" s="1"/>
    </row>
    <row r="305" spans="1:24" ht="14.4">
      <c r="A305" s="15"/>
      <c r="B305" s="15"/>
      <c r="C305" s="16"/>
      <c r="D305" s="16"/>
      <c r="E305" s="16"/>
      <c r="F305" s="16"/>
      <c r="G305" s="16"/>
      <c r="H305" s="16"/>
      <c r="I305" s="16"/>
      <c r="J305" s="16"/>
      <c r="K305" s="16"/>
      <c r="L305" s="38"/>
      <c r="M305" s="25"/>
      <c r="N305" s="25"/>
      <c r="O305" s="16"/>
      <c r="P305" s="1"/>
      <c r="Q305" s="8"/>
      <c r="R305" s="8"/>
      <c r="S305" s="1"/>
      <c r="T305" s="8"/>
      <c r="U305" s="8"/>
      <c r="V305" s="16"/>
      <c r="W305" s="1"/>
      <c r="X305" s="1"/>
    </row>
    <row r="306" spans="1:24" ht="14.4">
      <c r="A306" s="15"/>
      <c r="B306" s="15"/>
      <c r="C306" s="16"/>
      <c r="D306" s="16"/>
      <c r="E306" s="16"/>
      <c r="F306" s="16"/>
      <c r="G306" s="16"/>
      <c r="H306" s="16"/>
      <c r="I306" s="16"/>
      <c r="J306" s="16"/>
      <c r="K306" s="16"/>
      <c r="L306" s="38"/>
      <c r="M306" s="25"/>
      <c r="N306" s="25"/>
      <c r="O306" s="16"/>
      <c r="P306" s="1"/>
      <c r="Q306" s="8"/>
      <c r="R306" s="8"/>
      <c r="S306" s="1"/>
      <c r="T306" s="8"/>
      <c r="U306" s="8"/>
      <c r="V306" s="16"/>
      <c r="W306" s="1"/>
      <c r="X306" s="1"/>
    </row>
    <row r="307" spans="1:24" ht="14.4">
      <c r="A307" s="15"/>
      <c r="B307" s="15"/>
      <c r="C307" s="16"/>
      <c r="D307" s="16"/>
      <c r="E307" s="16"/>
      <c r="F307" s="16"/>
      <c r="G307" s="16"/>
      <c r="H307" s="16"/>
      <c r="I307" s="16"/>
      <c r="J307" s="16"/>
      <c r="K307" s="16"/>
      <c r="L307" s="38"/>
      <c r="M307" s="25"/>
      <c r="N307" s="25"/>
      <c r="O307" s="16"/>
      <c r="P307" s="1"/>
      <c r="Q307" s="8"/>
      <c r="R307" s="8"/>
      <c r="S307" s="1"/>
      <c r="T307" s="8"/>
      <c r="U307" s="8"/>
      <c r="V307" s="16"/>
      <c r="W307" s="1"/>
      <c r="X307" s="1"/>
    </row>
    <row r="308" spans="1:24" ht="14.4">
      <c r="A308" s="15"/>
      <c r="B308" s="15"/>
      <c r="C308" s="16"/>
      <c r="D308" s="16"/>
      <c r="E308" s="16"/>
      <c r="F308" s="16"/>
      <c r="G308" s="16"/>
      <c r="H308" s="16"/>
      <c r="I308" s="16"/>
      <c r="J308" s="16"/>
      <c r="K308" s="16"/>
      <c r="L308" s="38"/>
      <c r="M308" s="25"/>
      <c r="N308" s="25"/>
      <c r="O308" s="16"/>
      <c r="P308" s="1"/>
      <c r="Q308" s="8"/>
      <c r="R308" s="8"/>
      <c r="S308" s="1"/>
      <c r="T308" s="8"/>
      <c r="U308" s="8"/>
      <c r="V308" s="16"/>
      <c r="W308" s="1"/>
      <c r="X308" s="1"/>
    </row>
    <row r="309" spans="1:24" ht="14.4">
      <c r="A309" s="15"/>
      <c r="B309" s="15"/>
      <c r="C309" s="16"/>
      <c r="D309" s="16"/>
      <c r="E309" s="16"/>
      <c r="F309" s="16"/>
      <c r="G309" s="16"/>
      <c r="H309" s="16"/>
      <c r="I309" s="16"/>
      <c r="J309" s="16"/>
      <c r="K309" s="16"/>
      <c r="L309" s="38"/>
      <c r="M309" s="25"/>
      <c r="N309" s="25"/>
      <c r="O309" s="16"/>
      <c r="P309" s="1"/>
      <c r="Q309" s="8"/>
      <c r="R309" s="8"/>
      <c r="S309" s="1"/>
      <c r="T309" s="8"/>
      <c r="U309" s="8"/>
      <c r="V309" s="16"/>
      <c r="W309" s="1"/>
      <c r="X309" s="1"/>
    </row>
    <row r="310" spans="1:24" ht="14.4">
      <c r="A310" s="15"/>
      <c r="B310" s="15"/>
      <c r="C310" s="16"/>
      <c r="D310" s="16"/>
      <c r="E310" s="16"/>
      <c r="F310" s="16"/>
      <c r="G310" s="16"/>
      <c r="H310" s="16"/>
      <c r="I310" s="16"/>
      <c r="J310" s="16"/>
      <c r="K310" s="16"/>
      <c r="L310" s="38"/>
      <c r="M310" s="25"/>
      <c r="N310" s="25"/>
      <c r="O310" s="16"/>
      <c r="P310" s="1"/>
      <c r="Q310" s="8"/>
      <c r="R310" s="8"/>
      <c r="S310" s="1"/>
      <c r="T310" s="8"/>
      <c r="U310" s="8"/>
      <c r="V310" s="16"/>
      <c r="W310" s="1"/>
      <c r="X310" s="1"/>
    </row>
    <row r="311" spans="1:24" ht="14.4">
      <c r="A311" s="15"/>
      <c r="B311" s="15"/>
      <c r="C311" s="16"/>
      <c r="D311" s="16"/>
      <c r="E311" s="16"/>
      <c r="F311" s="16"/>
      <c r="G311" s="16"/>
      <c r="H311" s="16"/>
      <c r="I311" s="16"/>
      <c r="J311" s="16"/>
      <c r="K311" s="16"/>
      <c r="L311" s="38"/>
      <c r="M311" s="25"/>
      <c r="N311" s="25"/>
      <c r="O311" s="16"/>
      <c r="P311" s="1"/>
      <c r="Q311" s="8"/>
      <c r="R311" s="8"/>
      <c r="S311" s="1"/>
      <c r="T311" s="8"/>
      <c r="U311" s="8"/>
      <c r="V311" s="16"/>
      <c r="W311" s="1"/>
      <c r="X311" s="1"/>
    </row>
    <row r="312" spans="1:24" ht="14.4">
      <c r="A312" s="15"/>
      <c r="B312" s="15"/>
      <c r="C312" s="16"/>
      <c r="D312" s="16"/>
      <c r="E312" s="16"/>
      <c r="F312" s="16"/>
      <c r="G312" s="16"/>
      <c r="H312" s="16"/>
      <c r="I312" s="16"/>
      <c r="J312" s="16"/>
      <c r="K312" s="16"/>
      <c r="L312" s="38"/>
      <c r="M312" s="25"/>
      <c r="N312" s="25"/>
      <c r="O312" s="16"/>
      <c r="P312" s="1"/>
      <c r="Q312" s="8"/>
      <c r="R312" s="8"/>
      <c r="S312" s="1"/>
      <c r="T312" s="8"/>
      <c r="U312" s="8"/>
      <c r="V312" s="16"/>
      <c r="W312" s="1"/>
      <c r="X312" s="1"/>
    </row>
    <row r="313" spans="1:24" ht="14.4">
      <c r="A313" s="15"/>
      <c r="B313" s="15"/>
      <c r="C313" s="16"/>
      <c r="D313" s="16"/>
      <c r="E313" s="16"/>
      <c r="F313" s="16"/>
      <c r="G313" s="16"/>
      <c r="H313" s="16"/>
      <c r="I313" s="16"/>
      <c r="J313" s="16"/>
      <c r="K313" s="16"/>
      <c r="L313" s="38"/>
      <c r="M313" s="25"/>
      <c r="N313" s="25"/>
      <c r="O313" s="16"/>
      <c r="P313" s="1"/>
      <c r="Q313" s="8"/>
      <c r="R313" s="8"/>
      <c r="S313" s="1"/>
      <c r="T313" s="8"/>
      <c r="U313" s="8"/>
      <c r="V313" s="16"/>
      <c r="W313" s="1"/>
      <c r="X313" s="1"/>
    </row>
    <row r="314" spans="1:24" ht="14.4">
      <c r="A314" s="15"/>
      <c r="B314" s="15"/>
      <c r="C314" s="16"/>
      <c r="D314" s="16"/>
      <c r="E314" s="16"/>
      <c r="F314" s="16"/>
      <c r="G314" s="16"/>
      <c r="H314" s="16"/>
      <c r="I314" s="16"/>
      <c r="J314" s="16"/>
      <c r="K314" s="16"/>
      <c r="L314" s="38"/>
      <c r="M314" s="25"/>
      <c r="N314" s="25"/>
      <c r="O314" s="16"/>
      <c r="P314" s="1"/>
      <c r="Q314" s="8"/>
      <c r="R314" s="8"/>
      <c r="S314" s="1"/>
      <c r="T314" s="8"/>
      <c r="U314" s="8"/>
      <c r="V314" s="16"/>
      <c r="W314" s="1"/>
      <c r="X314" s="1"/>
    </row>
    <row r="315" spans="1:24" ht="14.4">
      <c r="A315" s="15"/>
      <c r="B315" s="15"/>
      <c r="C315" s="16"/>
      <c r="D315" s="16"/>
      <c r="E315" s="16"/>
      <c r="F315" s="16"/>
      <c r="G315" s="16"/>
      <c r="H315" s="16"/>
      <c r="I315" s="16"/>
      <c r="J315" s="16"/>
      <c r="K315" s="16"/>
      <c r="L315" s="38"/>
      <c r="M315" s="25"/>
      <c r="N315" s="25"/>
      <c r="O315" s="16"/>
      <c r="P315" s="1"/>
      <c r="Q315" s="8"/>
      <c r="R315" s="8"/>
      <c r="S315" s="1"/>
      <c r="T315" s="8"/>
      <c r="U315" s="8"/>
      <c r="V315" s="16"/>
      <c r="W315" s="1"/>
      <c r="X315" s="1"/>
    </row>
    <row r="316" spans="1:24" ht="14.4">
      <c r="A316" s="15"/>
      <c r="B316" s="15"/>
      <c r="C316" s="16"/>
      <c r="D316" s="16"/>
      <c r="E316" s="16"/>
      <c r="F316" s="16"/>
      <c r="G316" s="16"/>
      <c r="H316" s="16"/>
      <c r="I316" s="16"/>
      <c r="J316" s="16"/>
      <c r="K316" s="16"/>
      <c r="L316" s="38"/>
      <c r="M316" s="25"/>
      <c r="N316" s="25"/>
      <c r="O316" s="16"/>
      <c r="P316" s="1"/>
      <c r="Q316" s="8"/>
      <c r="R316" s="8"/>
      <c r="S316" s="1"/>
      <c r="T316" s="8"/>
      <c r="U316" s="8"/>
      <c r="V316" s="16"/>
      <c r="W316" s="1"/>
      <c r="X316" s="1"/>
    </row>
    <row r="317" spans="1:24" ht="14.4">
      <c r="A317" s="15"/>
      <c r="B317" s="15"/>
      <c r="C317" s="16"/>
      <c r="D317" s="16"/>
      <c r="E317" s="16"/>
      <c r="F317" s="16"/>
      <c r="G317" s="16"/>
      <c r="H317" s="16"/>
      <c r="I317" s="16"/>
      <c r="J317" s="16"/>
      <c r="K317" s="16"/>
      <c r="L317" s="38"/>
      <c r="M317" s="25"/>
      <c r="N317" s="25"/>
      <c r="O317" s="16"/>
      <c r="P317" s="1"/>
      <c r="Q317" s="8"/>
      <c r="R317" s="8"/>
      <c r="S317" s="1"/>
      <c r="T317" s="8"/>
      <c r="U317" s="8"/>
      <c r="V317" s="16"/>
      <c r="W317" s="1"/>
      <c r="X317" s="1"/>
    </row>
    <row r="318" spans="1:24" ht="14.4">
      <c r="A318" s="15"/>
      <c r="B318" s="15"/>
      <c r="C318" s="16"/>
      <c r="D318" s="16"/>
      <c r="E318" s="16"/>
      <c r="F318" s="16"/>
      <c r="G318" s="16"/>
      <c r="H318" s="16"/>
      <c r="I318" s="16"/>
      <c r="J318" s="16"/>
      <c r="K318" s="16"/>
      <c r="L318" s="38"/>
      <c r="M318" s="25"/>
      <c r="N318" s="25"/>
      <c r="O318" s="16"/>
      <c r="P318" s="1"/>
      <c r="Q318" s="8"/>
      <c r="R318" s="8"/>
      <c r="S318" s="1"/>
      <c r="T318" s="8"/>
      <c r="U318" s="8"/>
      <c r="V318" s="16"/>
      <c r="W318" s="1"/>
      <c r="X318" s="1"/>
    </row>
    <row r="319" spans="1:24" ht="14.4">
      <c r="A319" s="15"/>
      <c r="B319" s="15"/>
      <c r="C319" s="16"/>
      <c r="D319" s="16"/>
      <c r="E319" s="16"/>
      <c r="F319" s="16"/>
      <c r="G319" s="16"/>
      <c r="H319" s="16"/>
      <c r="I319" s="16"/>
      <c r="J319" s="16"/>
      <c r="K319" s="16"/>
      <c r="L319" s="38"/>
      <c r="M319" s="25"/>
      <c r="N319" s="25"/>
      <c r="O319" s="16"/>
      <c r="P319" s="1"/>
      <c r="Q319" s="8"/>
      <c r="R319" s="8"/>
      <c r="S319" s="1"/>
      <c r="T319" s="8"/>
      <c r="U319" s="8"/>
      <c r="V319" s="16"/>
      <c r="W319" s="1"/>
      <c r="X319" s="1"/>
    </row>
    <row r="320" spans="1:24" ht="14.4">
      <c r="A320" s="15"/>
      <c r="B320" s="15"/>
      <c r="C320" s="16"/>
      <c r="D320" s="16"/>
      <c r="E320" s="16"/>
      <c r="F320" s="16"/>
      <c r="G320" s="16"/>
      <c r="H320" s="16"/>
      <c r="I320" s="16"/>
      <c r="J320" s="16"/>
      <c r="K320" s="16"/>
      <c r="L320" s="38"/>
      <c r="M320" s="25"/>
      <c r="N320" s="25"/>
      <c r="O320" s="16"/>
      <c r="P320" s="1"/>
      <c r="Q320" s="8"/>
      <c r="R320" s="8"/>
      <c r="S320" s="1"/>
      <c r="T320" s="8"/>
      <c r="U320" s="8"/>
      <c r="V320" s="16"/>
      <c r="W320" s="1"/>
      <c r="X320" s="1"/>
    </row>
    <row r="321" spans="1:24" ht="14.4">
      <c r="A321" s="15"/>
      <c r="B321" s="15"/>
      <c r="C321" s="16"/>
      <c r="D321" s="16"/>
      <c r="E321" s="16"/>
      <c r="F321" s="16"/>
      <c r="G321" s="16"/>
      <c r="H321" s="16"/>
      <c r="I321" s="16"/>
      <c r="J321" s="16"/>
      <c r="K321" s="16"/>
      <c r="L321" s="38"/>
      <c r="M321" s="25"/>
      <c r="N321" s="25"/>
      <c r="O321" s="16"/>
      <c r="P321" s="1"/>
      <c r="Q321" s="8"/>
      <c r="R321" s="8"/>
      <c r="S321" s="1"/>
      <c r="T321" s="8"/>
      <c r="U321" s="8"/>
      <c r="V321" s="16"/>
      <c r="W321" s="1"/>
      <c r="X321" s="1"/>
    </row>
    <row r="322" spans="1:24" ht="14.4">
      <c r="A322" s="15"/>
      <c r="B322" s="15"/>
      <c r="C322" s="16"/>
      <c r="D322" s="16"/>
      <c r="E322" s="16"/>
      <c r="F322" s="16"/>
      <c r="G322" s="16"/>
      <c r="H322" s="16"/>
      <c r="I322" s="16"/>
      <c r="J322" s="16"/>
      <c r="K322" s="16"/>
      <c r="L322" s="38"/>
      <c r="M322" s="25"/>
      <c r="N322" s="25"/>
      <c r="O322" s="16"/>
      <c r="P322" s="1"/>
      <c r="Q322" s="8"/>
      <c r="R322" s="8"/>
      <c r="S322" s="1"/>
      <c r="T322" s="8"/>
      <c r="U322" s="8"/>
      <c r="V322" s="16"/>
      <c r="W322" s="1"/>
      <c r="X322" s="1"/>
    </row>
    <row r="323" spans="1:24" ht="14.4">
      <c r="A323" s="15"/>
      <c r="B323" s="15"/>
      <c r="C323" s="16"/>
      <c r="D323" s="16"/>
      <c r="E323" s="16"/>
      <c r="F323" s="16"/>
      <c r="G323" s="16"/>
      <c r="H323" s="16"/>
      <c r="I323" s="16"/>
      <c r="J323" s="16"/>
      <c r="K323" s="16"/>
      <c r="L323" s="38"/>
      <c r="M323" s="25"/>
      <c r="N323" s="25"/>
      <c r="O323" s="16"/>
      <c r="P323" s="1"/>
      <c r="Q323" s="8"/>
      <c r="R323" s="8"/>
      <c r="S323" s="1"/>
      <c r="T323" s="8"/>
      <c r="U323" s="8"/>
      <c r="V323" s="16"/>
      <c r="W323" s="1"/>
      <c r="X323" s="1"/>
    </row>
    <row r="324" spans="1:24" ht="14.4">
      <c r="A324" s="15"/>
      <c r="B324" s="15"/>
      <c r="C324" s="16"/>
      <c r="D324" s="16"/>
      <c r="E324" s="16"/>
      <c r="F324" s="16"/>
      <c r="G324" s="16"/>
      <c r="H324" s="16"/>
      <c r="I324" s="16"/>
      <c r="J324" s="16"/>
      <c r="K324" s="16"/>
      <c r="L324" s="38"/>
      <c r="M324" s="25"/>
      <c r="N324" s="25"/>
      <c r="O324" s="16"/>
      <c r="P324" s="1"/>
      <c r="Q324" s="8"/>
      <c r="R324" s="8"/>
      <c r="S324" s="1"/>
      <c r="T324" s="8"/>
      <c r="U324" s="8"/>
      <c r="V324" s="16"/>
      <c r="W324" s="1"/>
      <c r="X324" s="1"/>
    </row>
    <row r="325" spans="1:24" ht="14.4">
      <c r="A325" s="15"/>
      <c r="B325" s="15"/>
      <c r="C325" s="16"/>
      <c r="D325" s="16"/>
      <c r="E325" s="16"/>
      <c r="F325" s="16"/>
      <c r="G325" s="16"/>
      <c r="H325" s="16"/>
      <c r="I325" s="16"/>
      <c r="J325" s="16"/>
      <c r="K325" s="16"/>
      <c r="L325" s="38"/>
      <c r="M325" s="25"/>
      <c r="N325" s="25"/>
      <c r="O325" s="16"/>
      <c r="P325" s="1"/>
      <c r="Q325" s="8"/>
      <c r="R325" s="8"/>
      <c r="S325" s="1"/>
      <c r="T325" s="8"/>
      <c r="U325" s="8"/>
      <c r="V325" s="16"/>
      <c r="W325" s="1"/>
      <c r="X325" s="1"/>
    </row>
    <row r="326" spans="1:24" ht="14.4">
      <c r="A326" s="15"/>
      <c r="B326" s="15"/>
      <c r="C326" s="16"/>
      <c r="D326" s="16"/>
      <c r="E326" s="16"/>
      <c r="F326" s="16"/>
      <c r="G326" s="16"/>
      <c r="H326" s="16"/>
      <c r="I326" s="16"/>
      <c r="J326" s="16"/>
      <c r="K326" s="16"/>
      <c r="L326" s="38"/>
      <c r="M326" s="25"/>
      <c r="N326" s="25"/>
      <c r="O326" s="16"/>
      <c r="P326" s="1"/>
      <c r="Q326" s="8"/>
      <c r="R326" s="8"/>
      <c r="S326" s="1"/>
      <c r="T326" s="8"/>
      <c r="U326" s="8"/>
      <c r="V326" s="16"/>
      <c r="W326" s="1"/>
      <c r="X326" s="1"/>
    </row>
    <row r="327" spans="1:24" ht="14.4">
      <c r="A327" s="15"/>
      <c r="B327" s="15"/>
      <c r="C327" s="16"/>
      <c r="D327" s="16"/>
      <c r="E327" s="16"/>
      <c r="F327" s="16"/>
      <c r="G327" s="16"/>
      <c r="H327" s="16"/>
      <c r="I327" s="16"/>
      <c r="J327" s="16"/>
      <c r="K327" s="16"/>
      <c r="L327" s="38"/>
      <c r="M327" s="25"/>
      <c r="N327" s="25"/>
      <c r="O327" s="16"/>
      <c r="P327" s="1"/>
      <c r="Q327" s="8"/>
      <c r="R327" s="8"/>
      <c r="S327" s="1"/>
      <c r="T327" s="8"/>
      <c r="U327" s="8"/>
      <c r="V327" s="16"/>
      <c r="W327" s="1"/>
      <c r="X327" s="1"/>
    </row>
    <row r="328" spans="1:24" ht="14.4">
      <c r="A328" s="15"/>
      <c r="B328" s="15"/>
      <c r="C328" s="16"/>
      <c r="D328" s="16"/>
      <c r="E328" s="16"/>
      <c r="F328" s="16"/>
      <c r="G328" s="16"/>
      <c r="H328" s="16"/>
      <c r="I328" s="16"/>
      <c r="J328" s="16"/>
      <c r="K328" s="16"/>
      <c r="L328" s="38"/>
      <c r="M328" s="25"/>
      <c r="N328" s="25"/>
      <c r="O328" s="16"/>
      <c r="P328" s="1"/>
      <c r="Q328" s="8"/>
      <c r="R328" s="8"/>
      <c r="S328" s="1"/>
      <c r="T328" s="8"/>
      <c r="U328" s="8"/>
      <c r="V328" s="16"/>
      <c r="W328" s="1"/>
      <c r="X328" s="1"/>
    </row>
    <row r="329" spans="1:24" ht="14.4">
      <c r="A329" s="15"/>
      <c r="B329" s="15"/>
      <c r="C329" s="16"/>
      <c r="D329" s="16"/>
      <c r="E329" s="16"/>
      <c r="F329" s="16"/>
      <c r="G329" s="16"/>
      <c r="H329" s="16"/>
      <c r="I329" s="16"/>
      <c r="J329" s="16"/>
      <c r="K329" s="16"/>
      <c r="L329" s="38"/>
      <c r="M329" s="25"/>
      <c r="N329" s="25"/>
      <c r="O329" s="16"/>
      <c r="P329" s="1"/>
      <c r="Q329" s="8"/>
      <c r="R329" s="8"/>
      <c r="S329" s="1"/>
      <c r="T329" s="8"/>
      <c r="U329" s="8"/>
      <c r="V329" s="16"/>
      <c r="W329" s="1"/>
      <c r="X329" s="1"/>
    </row>
    <row r="330" spans="1:24" ht="14.4">
      <c r="A330" s="15"/>
      <c r="B330" s="15"/>
      <c r="C330" s="16"/>
      <c r="D330" s="16"/>
      <c r="E330" s="16"/>
      <c r="F330" s="16"/>
      <c r="G330" s="16"/>
      <c r="H330" s="16"/>
      <c r="I330" s="16"/>
      <c r="J330" s="16"/>
      <c r="K330" s="16"/>
      <c r="L330" s="38"/>
      <c r="M330" s="25"/>
      <c r="N330" s="25"/>
      <c r="O330" s="16"/>
      <c r="P330" s="1"/>
      <c r="Q330" s="8"/>
      <c r="R330" s="8"/>
      <c r="S330" s="1"/>
      <c r="T330" s="8"/>
      <c r="U330" s="8"/>
      <c r="V330" s="16"/>
      <c r="W330" s="1"/>
      <c r="X330" s="1"/>
    </row>
    <row r="331" spans="1:24" ht="14.4">
      <c r="A331" s="15"/>
      <c r="B331" s="15"/>
      <c r="C331" s="16"/>
      <c r="D331" s="16"/>
      <c r="E331" s="16"/>
      <c r="F331" s="16"/>
      <c r="G331" s="16"/>
      <c r="H331" s="16"/>
      <c r="I331" s="16"/>
      <c r="J331" s="16"/>
      <c r="K331" s="16"/>
      <c r="L331" s="38"/>
      <c r="M331" s="25"/>
      <c r="N331" s="25"/>
      <c r="O331" s="16"/>
      <c r="P331" s="1"/>
      <c r="Q331" s="8"/>
      <c r="R331" s="8"/>
      <c r="S331" s="1"/>
      <c r="T331" s="8"/>
      <c r="U331" s="8"/>
      <c r="V331" s="16"/>
      <c r="W331" s="1"/>
      <c r="X331" s="1"/>
    </row>
    <row r="332" spans="1:24" ht="14.4">
      <c r="A332" s="15"/>
      <c r="B332" s="15"/>
      <c r="C332" s="16"/>
      <c r="D332" s="16"/>
      <c r="E332" s="16"/>
      <c r="F332" s="16"/>
      <c r="G332" s="16"/>
      <c r="H332" s="16"/>
      <c r="I332" s="16"/>
      <c r="J332" s="16"/>
      <c r="K332" s="16"/>
      <c r="L332" s="38"/>
      <c r="M332" s="25"/>
      <c r="N332" s="25"/>
      <c r="O332" s="16"/>
      <c r="P332" s="1"/>
      <c r="Q332" s="8"/>
      <c r="R332" s="8"/>
      <c r="S332" s="1"/>
      <c r="T332" s="8"/>
      <c r="U332" s="8"/>
      <c r="V332" s="16"/>
      <c r="W332" s="1"/>
      <c r="X332" s="1"/>
    </row>
    <row r="333" spans="1:24" ht="14.4">
      <c r="A333" s="15"/>
      <c r="B333" s="15"/>
      <c r="C333" s="16"/>
      <c r="D333" s="16"/>
      <c r="E333" s="16"/>
      <c r="F333" s="16"/>
      <c r="G333" s="16"/>
      <c r="H333" s="16"/>
      <c r="I333" s="16"/>
      <c r="J333" s="16"/>
      <c r="K333" s="16"/>
      <c r="L333" s="38"/>
      <c r="M333" s="25"/>
      <c r="N333" s="25"/>
      <c r="O333" s="16"/>
      <c r="P333" s="1"/>
      <c r="Q333" s="8"/>
      <c r="R333" s="8"/>
      <c r="S333" s="1"/>
      <c r="T333" s="8"/>
      <c r="U333" s="8"/>
      <c r="V333" s="16"/>
      <c r="W333" s="1"/>
      <c r="X333" s="1"/>
    </row>
    <row r="334" spans="1:24" ht="14.4">
      <c r="A334" s="15"/>
      <c r="B334" s="15"/>
      <c r="C334" s="16"/>
      <c r="D334" s="16"/>
      <c r="E334" s="16"/>
      <c r="F334" s="16"/>
      <c r="G334" s="16"/>
      <c r="H334" s="16"/>
      <c r="I334" s="16"/>
      <c r="J334" s="16"/>
      <c r="K334" s="16"/>
      <c r="L334" s="38"/>
      <c r="M334" s="25"/>
      <c r="N334" s="25"/>
      <c r="O334" s="16"/>
      <c r="P334" s="1"/>
      <c r="Q334" s="8"/>
      <c r="R334" s="8"/>
      <c r="S334" s="1"/>
      <c r="T334" s="8"/>
      <c r="U334" s="8"/>
      <c r="V334" s="16"/>
      <c r="W334" s="1"/>
      <c r="X334" s="1"/>
    </row>
    <row r="335" spans="1:24" ht="14.4">
      <c r="A335" s="15"/>
      <c r="B335" s="15"/>
      <c r="C335" s="16"/>
      <c r="D335" s="16"/>
      <c r="E335" s="16"/>
      <c r="F335" s="16"/>
      <c r="G335" s="16"/>
      <c r="H335" s="16"/>
      <c r="I335" s="16"/>
      <c r="J335" s="16"/>
      <c r="K335" s="16"/>
      <c r="L335" s="38"/>
      <c r="M335" s="25"/>
      <c r="N335" s="25"/>
      <c r="O335" s="16"/>
      <c r="P335" s="1"/>
      <c r="Q335" s="8"/>
      <c r="R335" s="8"/>
      <c r="S335" s="1"/>
      <c r="T335" s="8"/>
      <c r="U335" s="8"/>
      <c r="V335" s="16"/>
      <c r="W335" s="1"/>
      <c r="X335" s="1"/>
    </row>
    <row r="336" spans="1:24" ht="14.4">
      <c r="A336" s="15"/>
      <c r="B336" s="15"/>
      <c r="C336" s="16"/>
      <c r="D336" s="16"/>
      <c r="E336" s="16"/>
      <c r="F336" s="16"/>
      <c r="G336" s="16"/>
      <c r="H336" s="16"/>
      <c r="I336" s="16"/>
      <c r="J336" s="16"/>
      <c r="K336" s="16"/>
      <c r="L336" s="38"/>
      <c r="M336" s="25"/>
      <c r="N336" s="25"/>
      <c r="O336" s="16"/>
      <c r="P336" s="1"/>
      <c r="Q336" s="8"/>
      <c r="R336" s="8"/>
      <c r="S336" s="1"/>
      <c r="T336" s="8"/>
      <c r="U336" s="8"/>
      <c r="V336" s="16"/>
      <c r="W336" s="1"/>
      <c r="X336" s="1"/>
    </row>
    <row r="337" spans="1:24" ht="14.4">
      <c r="A337" s="15"/>
      <c r="B337" s="15"/>
      <c r="C337" s="16"/>
      <c r="D337" s="16"/>
      <c r="E337" s="16"/>
      <c r="F337" s="16"/>
      <c r="G337" s="16"/>
      <c r="H337" s="16"/>
      <c r="I337" s="16"/>
      <c r="J337" s="16"/>
      <c r="K337" s="16"/>
      <c r="L337" s="38"/>
      <c r="M337" s="25"/>
      <c r="N337" s="25"/>
      <c r="O337" s="16"/>
      <c r="P337" s="1"/>
      <c r="Q337" s="8"/>
      <c r="R337" s="8"/>
      <c r="S337" s="1"/>
      <c r="T337" s="8"/>
      <c r="U337" s="8"/>
      <c r="V337" s="16"/>
      <c r="W337" s="1"/>
      <c r="X337" s="1"/>
    </row>
    <row r="338" spans="1:24" ht="14.4">
      <c r="A338" s="15"/>
      <c r="B338" s="15"/>
      <c r="C338" s="16"/>
      <c r="D338" s="16"/>
      <c r="E338" s="16"/>
      <c r="F338" s="16"/>
      <c r="G338" s="16"/>
      <c r="H338" s="16"/>
      <c r="I338" s="16"/>
      <c r="J338" s="16"/>
      <c r="K338" s="16"/>
      <c r="L338" s="38"/>
      <c r="M338" s="25"/>
      <c r="N338" s="25"/>
      <c r="O338" s="16"/>
      <c r="P338" s="1"/>
      <c r="Q338" s="8"/>
      <c r="R338" s="8"/>
      <c r="S338" s="1"/>
      <c r="T338" s="8"/>
      <c r="U338" s="8"/>
      <c r="V338" s="16"/>
      <c r="W338" s="1"/>
      <c r="X338" s="1"/>
    </row>
    <row r="339" spans="1:24" ht="14.4">
      <c r="A339" s="15"/>
      <c r="B339" s="15"/>
      <c r="C339" s="16"/>
      <c r="D339" s="16"/>
      <c r="E339" s="16"/>
      <c r="F339" s="16"/>
      <c r="G339" s="16"/>
      <c r="H339" s="16"/>
      <c r="I339" s="16"/>
      <c r="J339" s="16"/>
      <c r="K339" s="16"/>
      <c r="L339" s="38"/>
      <c r="M339" s="25"/>
      <c r="N339" s="25"/>
      <c r="O339" s="16"/>
      <c r="P339" s="1"/>
      <c r="Q339" s="8"/>
      <c r="R339" s="8"/>
      <c r="S339" s="1"/>
      <c r="T339" s="8"/>
      <c r="U339" s="8"/>
      <c r="V339" s="16"/>
      <c r="W339" s="1"/>
      <c r="X339" s="1"/>
    </row>
    <row r="340" spans="1:24" ht="14.4">
      <c r="A340" s="15"/>
      <c r="B340" s="15"/>
      <c r="C340" s="16"/>
      <c r="D340" s="16"/>
      <c r="E340" s="16"/>
      <c r="F340" s="16"/>
      <c r="G340" s="16"/>
      <c r="H340" s="16"/>
      <c r="I340" s="16"/>
      <c r="J340" s="16"/>
      <c r="K340" s="16"/>
      <c r="L340" s="38"/>
      <c r="M340" s="25"/>
      <c r="N340" s="25"/>
      <c r="O340" s="16"/>
      <c r="P340" s="1"/>
      <c r="Q340" s="8"/>
      <c r="R340" s="8"/>
      <c r="S340" s="1"/>
      <c r="T340" s="8"/>
      <c r="U340" s="8"/>
      <c r="V340" s="16"/>
      <c r="W340" s="1"/>
      <c r="X340" s="1"/>
    </row>
    <row r="341" spans="1:24" ht="14.4">
      <c r="A341" s="15"/>
      <c r="B341" s="15"/>
      <c r="C341" s="16"/>
      <c r="D341" s="16"/>
      <c r="E341" s="16"/>
      <c r="F341" s="16"/>
      <c r="G341" s="16"/>
      <c r="H341" s="16"/>
      <c r="I341" s="16"/>
      <c r="J341" s="16"/>
      <c r="K341" s="16"/>
      <c r="L341" s="38"/>
      <c r="M341" s="25"/>
      <c r="N341" s="25"/>
      <c r="O341" s="16"/>
      <c r="P341" s="1"/>
      <c r="Q341" s="8"/>
      <c r="R341" s="8"/>
      <c r="S341" s="1"/>
      <c r="T341" s="8"/>
      <c r="U341" s="8"/>
      <c r="V341" s="16"/>
      <c r="W341" s="1"/>
      <c r="X341" s="1"/>
    </row>
    <row r="342" spans="1:24" ht="14.4">
      <c r="A342" s="15"/>
      <c r="B342" s="15"/>
      <c r="C342" s="16"/>
      <c r="D342" s="16"/>
      <c r="E342" s="16"/>
      <c r="F342" s="16"/>
      <c r="G342" s="16"/>
      <c r="H342" s="16"/>
      <c r="I342" s="16"/>
      <c r="J342" s="16"/>
      <c r="K342" s="16"/>
      <c r="L342" s="38"/>
      <c r="M342" s="25"/>
      <c r="N342" s="25"/>
      <c r="O342" s="16"/>
      <c r="P342" s="1"/>
      <c r="Q342" s="8"/>
      <c r="R342" s="8"/>
      <c r="S342" s="1"/>
      <c r="T342" s="8"/>
      <c r="U342" s="8"/>
      <c r="V342" s="16"/>
      <c r="W342" s="1"/>
      <c r="X342" s="1"/>
    </row>
    <row r="343" spans="1:24" ht="14.4">
      <c r="A343" s="15"/>
      <c r="B343" s="15"/>
      <c r="C343" s="16"/>
      <c r="D343" s="16"/>
      <c r="E343" s="16"/>
      <c r="F343" s="16"/>
      <c r="G343" s="16"/>
      <c r="H343" s="16"/>
      <c r="I343" s="16"/>
      <c r="J343" s="16"/>
      <c r="K343" s="16"/>
      <c r="L343" s="38"/>
      <c r="M343" s="25"/>
      <c r="N343" s="25"/>
      <c r="O343" s="16"/>
      <c r="P343" s="1"/>
      <c r="Q343" s="8"/>
      <c r="R343" s="8"/>
      <c r="S343" s="1"/>
      <c r="T343" s="8"/>
      <c r="U343" s="8"/>
      <c r="V343" s="16"/>
      <c r="W343" s="1"/>
      <c r="X343" s="1"/>
    </row>
    <row r="344" spans="1:24" ht="14.4">
      <c r="A344" s="15"/>
      <c r="B344" s="15"/>
      <c r="C344" s="16"/>
      <c r="D344" s="16"/>
      <c r="E344" s="16"/>
      <c r="F344" s="16"/>
      <c r="G344" s="16"/>
      <c r="H344" s="16"/>
      <c r="I344" s="16"/>
      <c r="J344" s="16"/>
      <c r="K344" s="16"/>
      <c r="L344" s="38"/>
      <c r="M344" s="25"/>
      <c r="N344" s="25"/>
      <c r="O344" s="16"/>
      <c r="P344" s="1"/>
      <c r="Q344" s="8"/>
      <c r="R344" s="8"/>
      <c r="S344" s="1"/>
      <c r="T344" s="8"/>
      <c r="U344" s="8"/>
      <c r="V344" s="16"/>
      <c r="W344" s="1"/>
      <c r="X344" s="1"/>
    </row>
    <row r="345" spans="1:24" ht="14.4">
      <c r="A345" s="15"/>
      <c r="B345" s="15"/>
      <c r="C345" s="16"/>
      <c r="D345" s="16"/>
      <c r="E345" s="16"/>
      <c r="F345" s="16"/>
      <c r="G345" s="16"/>
      <c r="H345" s="16"/>
      <c r="I345" s="16"/>
      <c r="J345" s="16"/>
      <c r="K345" s="16"/>
      <c r="L345" s="38"/>
      <c r="M345" s="25"/>
      <c r="N345" s="25"/>
      <c r="O345" s="16"/>
      <c r="P345" s="1"/>
      <c r="Q345" s="8"/>
      <c r="R345" s="8"/>
      <c r="S345" s="1"/>
      <c r="T345" s="8"/>
      <c r="U345" s="8"/>
      <c r="V345" s="16"/>
      <c r="W345" s="1"/>
      <c r="X345" s="1"/>
    </row>
    <row r="346" spans="1:24" ht="14.4">
      <c r="A346" s="15"/>
      <c r="B346" s="15"/>
      <c r="C346" s="16"/>
      <c r="D346" s="16"/>
      <c r="E346" s="16"/>
      <c r="F346" s="16"/>
      <c r="G346" s="16"/>
      <c r="H346" s="16"/>
      <c r="I346" s="16"/>
      <c r="J346" s="16"/>
      <c r="K346" s="16"/>
      <c r="L346" s="38"/>
      <c r="M346" s="25"/>
      <c r="N346" s="25"/>
      <c r="O346" s="16"/>
      <c r="P346" s="1"/>
      <c r="Q346" s="8"/>
      <c r="R346" s="8"/>
      <c r="S346" s="1"/>
      <c r="T346" s="8"/>
      <c r="U346" s="8"/>
      <c r="V346" s="16"/>
      <c r="W346" s="1"/>
      <c r="X346" s="1"/>
    </row>
    <row r="347" spans="1:24" ht="14.4">
      <c r="A347" s="15"/>
      <c r="B347" s="15"/>
      <c r="C347" s="16"/>
      <c r="D347" s="16"/>
      <c r="E347" s="16"/>
      <c r="F347" s="16"/>
      <c r="G347" s="16"/>
      <c r="H347" s="16"/>
      <c r="I347" s="16"/>
      <c r="J347" s="16"/>
      <c r="K347" s="16"/>
      <c r="L347" s="38"/>
      <c r="M347" s="25"/>
      <c r="N347" s="25"/>
      <c r="O347" s="16"/>
      <c r="P347" s="1"/>
      <c r="Q347" s="8"/>
      <c r="R347" s="8"/>
      <c r="S347" s="1"/>
      <c r="T347" s="8"/>
      <c r="U347" s="8"/>
      <c r="V347" s="16"/>
      <c r="W347" s="1"/>
      <c r="X347" s="1"/>
    </row>
    <row r="348" spans="1:24" ht="14.4">
      <c r="A348" s="15"/>
      <c r="B348" s="15"/>
      <c r="C348" s="16"/>
      <c r="D348" s="16"/>
      <c r="E348" s="16"/>
      <c r="F348" s="16"/>
      <c r="G348" s="16"/>
      <c r="H348" s="16"/>
      <c r="I348" s="16"/>
      <c r="J348" s="16"/>
      <c r="K348" s="16"/>
      <c r="L348" s="38"/>
      <c r="M348" s="25"/>
      <c r="N348" s="25"/>
      <c r="O348" s="16"/>
      <c r="P348" s="1"/>
      <c r="Q348" s="8"/>
      <c r="R348" s="8"/>
      <c r="S348" s="1"/>
      <c r="T348" s="8"/>
      <c r="U348" s="8"/>
      <c r="V348" s="16"/>
      <c r="W348" s="1"/>
      <c r="X348" s="1"/>
    </row>
    <row r="349" spans="1:24" ht="14.4">
      <c r="A349" s="15"/>
      <c r="B349" s="15"/>
      <c r="C349" s="16"/>
      <c r="D349" s="16"/>
      <c r="E349" s="16"/>
      <c r="F349" s="16"/>
      <c r="G349" s="16"/>
      <c r="H349" s="16"/>
      <c r="I349" s="16"/>
      <c r="J349" s="16"/>
      <c r="K349" s="16"/>
      <c r="L349" s="38"/>
      <c r="M349" s="25"/>
      <c r="N349" s="25"/>
      <c r="O349" s="16"/>
      <c r="P349" s="1"/>
      <c r="Q349" s="8"/>
      <c r="R349" s="8"/>
      <c r="S349" s="1"/>
      <c r="T349" s="8"/>
      <c r="U349" s="8"/>
      <c r="V349" s="16"/>
      <c r="W349" s="1"/>
      <c r="X349" s="1"/>
    </row>
    <row r="350" spans="1:24" ht="14.4">
      <c r="A350" s="15"/>
      <c r="B350" s="15"/>
      <c r="C350" s="16"/>
      <c r="D350" s="16"/>
      <c r="E350" s="16"/>
      <c r="F350" s="16"/>
      <c r="G350" s="16"/>
      <c r="H350" s="16"/>
      <c r="I350" s="16"/>
      <c r="J350" s="16"/>
      <c r="K350" s="16"/>
      <c r="L350" s="38"/>
      <c r="M350" s="25"/>
      <c r="N350" s="25"/>
      <c r="O350" s="16"/>
      <c r="P350" s="1"/>
      <c r="Q350" s="8"/>
      <c r="R350" s="8"/>
      <c r="S350" s="1"/>
      <c r="T350" s="8"/>
      <c r="U350" s="8"/>
      <c r="V350" s="16"/>
      <c r="W350" s="1"/>
      <c r="X350" s="1"/>
    </row>
    <row r="351" spans="1:24" ht="14.4">
      <c r="A351" s="15"/>
      <c r="B351" s="15"/>
      <c r="C351" s="16"/>
      <c r="D351" s="16"/>
      <c r="E351" s="16"/>
      <c r="F351" s="16"/>
      <c r="G351" s="16"/>
      <c r="H351" s="16"/>
      <c r="I351" s="16"/>
      <c r="J351" s="16"/>
      <c r="K351" s="16"/>
      <c r="L351" s="38"/>
      <c r="M351" s="25"/>
      <c r="N351" s="25"/>
      <c r="O351" s="16"/>
      <c r="P351" s="1"/>
      <c r="Q351" s="8"/>
      <c r="R351" s="8"/>
      <c r="S351" s="1"/>
      <c r="T351" s="8"/>
      <c r="U351" s="8"/>
      <c r="V351" s="16"/>
      <c r="W351" s="1"/>
      <c r="X351" s="1"/>
    </row>
    <row r="352" spans="1:24" ht="14.4">
      <c r="A352" s="15"/>
      <c r="B352" s="15"/>
      <c r="C352" s="16"/>
      <c r="D352" s="16"/>
      <c r="E352" s="16"/>
      <c r="F352" s="16"/>
      <c r="G352" s="16"/>
      <c r="H352" s="16"/>
      <c r="I352" s="16"/>
      <c r="J352" s="16"/>
      <c r="K352" s="16"/>
      <c r="L352" s="38"/>
      <c r="M352" s="25"/>
      <c r="N352" s="25"/>
      <c r="O352" s="16"/>
      <c r="P352" s="1"/>
      <c r="Q352" s="8"/>
      <c r="R352" s="8"/>
      <c r="S352" s="1"/>
      <c r="T352" s="8"/>
      <c r="U352" s="8"/>
      <c r="V352" s="16"/>
      <c r="W352" s="1"/>
      <c r="X352" s="1"/>
    </row>
    <row r="353" spans="1:24" ht="14.4">
      <c r="A353" s="15"/>
      <c r="B353" s="15"/>
      <c r="C353" s="16"/>
      <c r="D353" s="16"/>
      <c r="E353" s="16"/>
      <c r="F353" s="16"/>
      <c r="G353" s="16"/>
      <c r="H353" s="16"/>
      <c r="I353" s="16"/>
      <c r="J353" s="16"/>
      <c r="K353" s="16"/>
      <c r="L353" s="38"/>
      <c r="M353" s="25"/>
      <c r="N353" s="25"/>
      <c r="O353" s="16"/>
      <c r="P353" s="1"/>
      <c r="Q353" s="8"/>
      <c r="R353" s="8"/>
      <c r="S353" s="1"/>
      <c r="T353" s="8"/>
      <c r="U353" s="8"/>
      <c r="V353" s="16"/>
      <c r="W353" s="1"/>
      <c r="X353" s="1"/>
    </row>
    <row r="354" spans="1:24" ht="14.4">
      <c r="A354" s="15"/>
      <c r="B354" s="15"/>
      <c r="C354" s="16"/>
      <c r="D354" s="16"/>
      <c r="E354" s="16"/>
      <c r="F354" s="16"/>
      <c r="G354" s="16"/>
      <c r="H354" s="16"/>
      <c r="I354" s="16"/>
      <c r="J354" s="16"/>
      <c r="K354" s="16"/>
      <c r="L354" s="38"/>
      <c r="M354" s="25"/>
      <c r="N354" s="25"/>
      <c r="O354" s="16"/>
      <c r="P354" s="1"/>
      <c r="Q354" s="8"/>
      <c r="R354" s="8"/>
      <c r="S354" s="1"/>
      <c r="T354" s="8"/>
      <c r="U354" s="8"/>
      <c r="V354" s="16"/>
      <c r="W354" s="1"/>
      <c r="X354" s="1"/>
    </row>
    <row r="355" spans="1:24" ht="14.4">
      <c r="A355" s="15"/>
      <c r="B355" s="15"/>
      <c r="C355" s="16"/>
      <c r="D355" s="16"/>
      <c r="E355" s="16"/>
      <c r="F355" s="16"/>
      <c r="G355" s="16"/>
      <c r="H355" s="16"/>
      <c r="I355" s="16"/>
      <c r="J355" s="16"/>
      <c r="K355" s="16"/>
      <c r="L355" s="38"/>
      <c r="M355" s="25"/>
      <c r="N355" s="25"/>
      <c r="O355" s="16"/>
      <c r="P355" s="1"/>
      <c r="Q355" s="8"/>
      <c r="R355" s="8"/>
      <c r="S355" s="1"/>
      <c r="T355" s="8"/>
      <c r="U355" s="8"/>
      <c r="V355" s="16"/>
      <c r="W355" s="1"/>
      <c r="X355" s="1"/>
    </row>
    <row r="356" spans="1:24" ht="14.4">
      <c r="A356" s="15"/>
      <c r="B356" s="15"/>
      <c r="C356" s="16"/>
      <c r="D356" s="16"/>
      <c r="E356" s="16"/>
      <c r="F356" s="16"/>
      <c r="G356" s="16"/>
      <c r="H356" s="16"/>
      <c r="I356" s="16"/>
      <c r="J356" s="16"/>
      <c r="K356" s="16"/>
      <c r="L356" s="38"/>
      <c r="M356" s="25"/>
      <c r="N356" s="25"/>
      <c r="O356" s="16"/>
      <c r="P356" s="1"/>
      <c r="Q356" s="8"/>
      <c r="R356" s="8"/>
      <c r="S356" s="1"/>
      <c r="T356" s="8"/>
      <c r="U356" s="8"/>
      <c r="V356" s="16"/>
      <c r="W356" s="1"/>
      <c r="X356" s="1"/>
    </row>
    <row r="357" spans="1:24" ht="14.4">
      <c r="A357" s="15"/>
      <c r="B357" s="15"/>
      <c r="C357" s="16"/>
      <c r="D357" s="16"/>
      <c r="E357" s="16"/>
      <c r="F357" s="16"/>
      <c r="G357" s="16"/>
      <c r="H357" s="16"/>
      <c r="I357" s="16"/>
      <c r="J357" s="16"/>
      <c r="K357" s="16"/>
      <c r="L357" s="38"/>
      <c r="M357" s="25"/>
      <c r="N357" s="25"/>
      <c r="O357" s="16"/>
      <c r="P357" s="1"/>
      <c r="Q357" s="8"/>
      <c r="R357" s="8"/>
      <c r="S357" s="1"/>
      <c r="T357" s="8"/>
      <c r="U357" s="8"/>
      <c r="V357" s="16"/>
      <c r="W357" s="1"/>
      <c r="X357" s="1"/>
    </row>
    <row r="358" spans="1:24" ht="14.4">
      <c r="A358" s="15"/>
      <c r="B358" s="15"/>
      <c r="C358" s="16"/>
      <c r="D358" s="16"/>
      <c r="E358" s="16"/>
      <c r="F358" s="16"/>
      <c r="G358" s="16"/>
      <c r="H358" s="16"/>
      <c r="I358" s="16"/>
      <c r="J358" s="16"/>
      <c r="K358" s="16"/>
      <c r="L358" s="38"/>
      <c r="M358" s="25"/>
      <c r="N358" s="25"/>
      <c r="O358" s="16"/>
      <c r="P358" s="1"/>
      <c r="Q358" s="8"/>
      <c r="R358" s="8"/>
      <c r="S358" s="1"/>
      <c r="T358" s="8"/>
      <c r="U358" s="8"/>
      <c r="V358" s="16"/>
      <c r="W358" s="1"/>
      <c r="X358" s="1"/>
    </row>
    <row r="359" spans="1:24" ht="14.4">
      <c r="A359" s="15"/>
      <c r="B359" s="15"/>
      <c r="C359" s="16"/>
      <c r="D359" s="16"/>
      <c r="E359" s="16"/>
      <c r="F359" s="16"/>
      <c r="G359" s="16"/>
      <c r="H359" s="16"/>
      <c r="I359" s="16"/>
      <c r="J359" s="16"/>
      <c r="K359" s="16"/>
      <c r="L359" s="38"/>
      <c r="M359" s="25"/>
      <c r="N359" s="25"/>
      <c r="O359" s="16"/>
      <c r="P359" s="1"/>
      <c r="Q359" s="8"/>
      <c r="R359" s="8"/>
      <c r="S359" s="1"/>
      <c r="T359" s="8"/>
      <c r="U359" s="8"/>
      <c r="V359" s="16"/>
      <c r="W359" s="1"/>
      <c r="X359" s="1"/>
    </row>
    <row r="360" spans="1:24" ht="14.4">
      <c r="A360" s="15"/>
      <c r="B360" s="15"/>
      <c r="C360" s="16"/>
      <c r="D360" s="16"/>
      <c r="E360" s="16"/>
      <c r="F360" s="16"/>
      <c r="G360" s="16"/>
      <c r="H360" s="16"/>
      <c r="I360" s="16"/>
      <c r="J360" s="16"/>
      <c r="K360" s="16"/>
      <c r="L360" s="38"/>
      <c r="M360" s="25"/>
      <c r="N360" s="25"/>
      <c r="O360" s="16"/>
      <c r="P360" s="1"/>
      <c r="Q360" s="8"/>
      <c r="R360" s="8"/>
      <c r="S360" s="1"/>
      <c r="T360" s="8"/>
      <c r="U360" s="8"/>
      <c r="V360" s="16"/>
      <c r="W360" s="1"/>
      <c r="X360" s="1"/>
    </row>
    <row r="361" spans="1:24" ht="14.4">
      <c r="A361" s="15"/>
      <c r="B361" s="15"/>
      <c r="C361" s="16"/>
      <c r="D361" s="16"/>
      <c r="E361" s="16"/>
      <c r="F361" s="16"/>
      <c r="G361" s="16"/>
      <c r="H361" s="16"/>
      <c r="I361" s="16"/>
      <c r="J361" s="16"/>
      <c r="K361" s="16"/>
      <c r="L361" s="38"/>
      <c r="M361" s="25"/>
      <c r="N361" s="25"/>
      <c r="O361" s="16"/>
      <c r="P361" s="1"/>
      <c r="Q361" s="8"/>
      <c r="R361" s="8"/>
      <c r="S361" s="1"/>
      <c r="T361" s="8"/>
      <c r="U361" s="8"/>
      <c r="V361" s="16"/>
      <c r="W361" s="1"/>
      <c r="X361" s="1"/>
    </row>
    <row r="362" spans="1:24" ht="14.4">
      <c r="A362" s="15"/>
      <c r="B362" s="15"/>
      <c r="C362" s="16"/>
      <c r="D362" s="16"/>
      <c r="E362" s="16"/>
      <c r="F362" s="16"/>
      <c r="G362" s="16"/>
      <c r="H362" s="16"/>
      <c r="I362" s="16"/>
      <c r="J362" s="16"/>
      <c r="K362" s="16"/>
      <c r="L362" s="38"/>
      <c r="M362" s="25"/>
      <c r="N362" s="25"/>
      <c r="O362" s="16"/>
      <c r="P362" s="1"/>
      <c r="Q362" s="8"/>
      <c r="R362" s="8"/>
      <c r="S362" s="1"/>
      <c r="T362" s="8"/>
      <c r="U362" s="8"/>
      <c r="V362" s="16"/>
      <c r="W362" s="1"/>
      <c r="X362" s="1"/>
    </row>
    <row r="363" spans="1:24" ht="14.4">
      <c r="A363" s="15"/>
      <c r="B363" s="15"/>
      <c r="C363" s="16"/>
      <c r="D363" s="16"/>
      <c r="E363" s="16"/>
      <c r="F363" s="16"/>
      <c r="G363" s="16"/>
      <c r="H363" s="16"/>
      <c r="I363" s="16"/>
      <c r="J363" s="16"/>
      <c r="K363" s="16"/>
      <c r="L363" s="38"/>
      <c r="M363" s="25"/>
      <c r="N363" s="25"/>
      <c r="O363" s="16"/>
      <c r="P363" s="1"/>
      <c r="Q363" s="8"/>
      <c r="R363" s="8"/>
      <c r="S363" s="1"/>
      <c r="T363" s="8"/>
      <c r="U363" s="8"/>
      <c r="V363" s="16"/>
      <c r="W363" s="1"/>
      <c r="X363" s="1"/>
    </row>
    <row r="364" spans="1:24" ht="14.4">
      <c r="A364" s="15"/>
      <c r="B364" s="15"/>
      <c r="C364" s="16"/>
      <c r="D364" s="16"/>
      <c r="E364" s="16"/>
      <c r="F364" s="16"/>
      <c r="G364" s="16"/>
      <c r="H364" s="16"/>
      <c r="I364" s="16"/>
      <c r="J364" s="16"/>
      <c r="K364" s="16"/>
      <c r="L364" s="38"/>
      <c r="M364" s="25"/>
      <c r="N364" s="25"/>
      <c r="O364" s="16"/>
      <c r="P364" s="1"/>
      <c r="Q364" s="8"/>
      <c r="R364" s="8"/>
      <c r="S364" s="1"/>
      <c r="T364" s="8"/>
      <c r="U364" s="8"/>
      <c r="V364" s="16"/>
      <c r="W364" s="1"/>
      <c r="X364" s="1"/>
    </row>
    <row r="365" spans="1:24" ht="14.4">
      <c r="A365" s="15"/>
      <c r="B365" s="15"/>
      <c r="C365" s="16"/>
      <c r="D365" s="16"/>
      <c r="E365" s="16"/>
      <c r="F365" s="16"/>
      <c r="G365" s="16"/>
      <c r="H365" s="16"/>
      <c r="I365" s="16"/>
      <c r="J365" s="16"/>
      <c r="K365" s="16"/>
      <c r="L365" s="38"/>
      <c r="M365" s="25"/>
      <c r="N365" s="25"/>
      <c r="O365" s="16"/>
      <c r="P365" s="1"/>
      <c r="Q365" s="8"/>
      <c r="R365" s="8"/>
      <c r="S365" s="1"/>
      <c r="T365" s="8"/>
      <c r="U365" s="8"/>
      <c r="V365" s="16"/>
      <c r="W365" s="1"/>
      <c r="X365" s="1"/>
    </row>
    <row r="366" spans="1:24" ht="14.4">
      <c r="A366" s="15"/>
      <c r="B366" s="15"/>
      <c r="C366" s="16"/>
      <c r="D366" s="16"/>
      <c r="E366" s="16"/>
      <c r="F366" s="16"/>
      <c r="G366" s="16"/>
      <c r="H366" s="16"/>
      <c r="I366" s="16"/>
      <c r="J366" s="16"/>
      <c r="K366" s="16"/>
      <c r="L366" s="38"/>
      <c r="M366" s="25"/>
      <c r="N366" s="25"/>
      <c r="O366" s="16"/>
      <c r="P366" s="1"/>
      <c r="Q366" s="8"/>
      <c r="R366" s="8"/>
      <c r="S366" s="1"/>
      <c r="T366" s="8"/>
      <c r="U366" s="8"/>
      <c r="V366" s="16"/>
      <c r="W366" s="1"/>
      <c r="X366" s="1"/>
    </row>
    <row r="367" spans="1:24" ht="14.4">
      <c r="A367" s="15"/>
      <c r="B367" s="15"/>
      <c r="C367" s="16"/>
      <c r="D367" s="16"/>
      <c r="E367" s="16"/>
      <c r="F367" s="16"/>
      <c r="G367" s="16"/>
      <c r="H367" s="16"/>
      <c r="I367" s="16"/>
      <c r="J367" s="16"/>
      <c r="K367" s="16"/>
      <c r="L367" s="38"/>
      <c r="M367" s="25"/>
      <c r="N367" s="25"/>
      <c r="O367" s="16"/>
      <c r="P367" s="1"/>
      <c r="Q367" s="8"/>
      <c r="R367" s="8"/>
      <c r="S367" s="1"/>
      <c r="T367" s="8"/>
      <c r="U367" s="8"/>
      <c r="V367" s="16"/>
      <c r="W367" s="1"/>
      <c r="X367" s="1"/>
    </row>
    <row r="368" spans="1:24" ht="14.4">
      <c r="A368" s="15"/>
      <c r="B368" s="15"/>
      <c r="C368" s="16"/>
      <c r="D368" s="16"/>
      <c r="E368" s="16"/>
      <c r="F368" s="16"/>
      <c r="G368" s="16"/>
      <c r="H368" s="16"/>
      <c r="I368" s="16"/>
      <c r="J368" s="16"/>
      <c r="K368" s="16"/>
      <c r="L368" s="38"/>
      <c r="M368" s="25"/>
      <c r="N368" s="25"/>
      <c r="O368" s="16"/>
      <c r="P368" s="1"/>
      <c r="Q368" s="8"/>
      <c r="R368" s="8"/>
      <c r="S368" s="1"/>
      <c r="T368" s="8"/>
      <c r="U368" s="8"/>
      <c r="V368" s="16"/>
      <c r="W368" s="1"/>
      <c r="X368" s="1"/>
    </row>
    <row r="369" spans="1:24" ht="14.4">
      <c r="A369" s="15"/>
      <c r="B369" s="15"/>
      <c r="C369" s="16"/>
      <c r="D369" s="16"/>
      <c r="E369" s="16"/>
      <c r="F369" s="16"/>
      <c r="G369" s="16"/>
      <c r="H369" s="16"/>
      <c r="I369" s="16"/>
      <c r="J369" s="16"/>
      <c r="K369" s="16"/>
      <c r="L369" s="38"/>
      <c r="M369" s="25"/>
      <c r="N369" s="25"/>
      <c r="O369" s="16"/>
      <c r="P369" s="1"/>
      <c r="Q369" s="8"/>
      <c r="R369" s="8"/>
      <c r="S369" s="1"/>
      <c r="T369" s="8"/>
      <c r="U369" s="8"/>
      <c r="V369" s="16"/>
      <c r="W369" s="1"/>
      <c r="X369" s="1"/>
    </row>
    <row r="370" spans="1:24" ht="14.4">
      <c r="A370" s="15"/>
      <c r="B370" s="15"/>
      <c r="C370" s="16"/>
      <c r="D370" s="16"/>
      <c r="E370" s="16"/>
      <c r="F370" s="16"/>
      <c r="G370" s="16"/>
      <c r="H370" s="16"/>
      <c r="I370" s="16"/>
      <c r="J370" s="16"/>
      <c r="K370" s="16"/>
      <c r="L370" s="38"/>
      <c r="M370" s="25"/>
      <c r="N370" s="25"/>
      <c r="O370" s="16"/>
      <c r="P370" s="1"/>
      <c r="Q370" s="8"/>
      <c r="R370" s="8"/>
      <c r="S370" s="1"/>
      <c r="T370" s="8"/>
      <c r="U370" s="8"/>
      <c r="V370" s="16"/>
      <c r="W370" s="1"/>
      <c r="X370" s="1"/>
    </row>
    <row r="371" spans="1:24" ht="14.4">
      <c r="A371" s="15"/>
      <c r="B371" s="15"/>
      <c r="C371" s="16"/>
      <c r="D371" s="16"/>
      <c r="E371" s="16"/>
      <c r="F371" s="16"/>
      <c r="G371" s="16"/>
      <c r="H371" s="16"/>
      <c r="I371" s="16"/>
      <c r="J371" s="16"/>
      <c r="K371" s="16"/>
      <c r="L371" s="38"/>
      <c r="M371" s="26"/>
      <c r="N371" s="26"/>
      <c r="O371" s="16"/>
      <c r="P371" s="1"/>
      <c r="Q371" s="8"/>
      <c r="R371" s="8"/>
      <c r="S371" s="1"/>
      <c r="T371" s="8"/>
      <c r="U371" s="8"/>
      <c r="V371" s="16"/>
      <c r="W371" s="1"/>
      <c r="X371" s="1"/>
    </row>
    <row r="372" spans="1:24" ht="14.4">
      <c r="A372" s="15"/>
      <c r="B372" s="54"/>
      <c r="C372" s="8"/>
      <c r="D372" s="8"/>
      <c r="E372" s="8"/>
      <c r="F372" s="8"/>
      <c r="G372" s="8"/>
      <c r="H372" s="8"/>
      <c r="I372" s="8"/>
      <c r="J372" s="8"/>
      <c r="K372" s="8"/>
      <c r="L372" s="56"/>
      <c r="M372" s="26"/>
      <c r="N372" s="26"/>
      <c r="O372" s="8"/>
      <c r="P372" s="1"/>
      <c r="Q372" s="8"/>
      <c r="R372" s="8"/>
      <c r="S372" s="1"/>
      <c r="T372" s="8"/>
      <c r="U372" s="8"/>
      <c r="V372" s="16"/>
      <c r="W372" s="1"/>
      <c r="X372" s="1"/>
    </row>
    <row r="373" spans="1:24" ht="14.4">
      <c r="A373" s="15"/>
      <c r="B373" s="54"/>
      <c r="C373" s="8"/>
      <c r="D373" s="8"/>
      <c r="E373" s="8"/>
      <c r="F373" s="8"/>
      <c r="G373" s="8"/>
      <c r="H373" s="8"/>
      <c r="I373" s="8"/>
      <c r="J373" s="8"/>
      <c r="K373" s="8"/>
      <c r="L373" s="56"/>
      <c r="M373" s="26"/>
      <c r="N373" s="26"/>
      <c r="O373" s="8"/>
      <c r="P373" s="1"/>
      <c r="Q373" s="8"/>
      <c r="R373" s="8"/>
      <c r="S373" s="1"/>
      <c r="T373" s="8"/>
      <c r="U373" s="8"/>
      <c r="V373" s="16"/>
      <c r="W373" s="1"/>
      <c r="X373" s="1"/>
    </row>
    <row r="374" spans="1:24" ht="14.4">
      <c r="A374" s="15"/>
      <c r="B374" s="54"/>
      <c r="C374" s="8"/>
      <c r="D374" s="8"/>
      <c r="E374" s="8"/>
      <c r="F374" s="8"/>
      <c r="G374" s="8"/>
      <c r="H374" s="8"/>
      <c r="I374" s="8"/>
      <c r="J374" s="8"/>
      <c r="K374" s="8"/>
      <c r="L374" s="56"/>
      <c r="M374" s="26"/>
      <c r="N374" s="26"/>
      <c r="O374" s="8"/>
      <c r="P374" s="1"/>
      <c r="Q374" s="8"/>
      <c r="R374" s="8"/>
      <c r="S374" s="1"/>
      <c r="T374" s="8"/>
      <c r="U374" s="8"/>
      <c r="V374" s="16"/>
      <c r="W374" s="1"/>
      <c r="X374" s="1"/>
    </row>
    <row r="375" spans="1:24" ht="14.4">
      <c r="A375" s="1"/>
      <c r="B375" s="103"/>
      <c r="C375" s="8"/>
      <c r="D375" s="8"/>
      <c r="E375" s="8"/>
      <c r="F375" s="101"/>
      <c r="G375" s="101"/>
      <c r="H375" s="101"/>
      <c r="I375" s="101"/>
      <c r="J375" s="101"/>
      <c r="K375" s="101"/>
      <c r="L375" s="109"/>
      <c r="M375" s="26"/>
      <c r="N375" s="26"/>
      <c r="O375" s="8"/>
      <c r="P375" s="1"/>
      <c r="Q375" s="8"/>
      <c r="R375" s="8"/>
      <c r="S375" s="1"/>
      <c r="T375" s="8"/>
      <c r="U375" s="8"/>
      <c r="V375" s="16"/>
      <c r="W375" s="1"/>
      <c r="X375" s="1"/>
    </row>
    <row r="376" spans="1:24" ht="14.4">
      <c r="A376" s="1"/>
      <c r="B376" s="94"/>
      <c r="C376" s="8"/>
      <c r="D376" s="8"/>
      <c r="E376" s="8"/>
      <c r="F376" s="94"/>
      <c r="G376" s="94"/>
      <c r="H376" s="94"/>
      <c r="I376" s="94"/>
      <c r="J376" s="94"/>
      <c r="K376" s="94"/>
      <c r="L376" s="94"/>
      <c r="M376" s="26"/>
      <c r="N376" s="26"/>
      <c r="O376" s="8"/>
      <c r="P376" s="1"/>
      <c r="Q376" s="8"/>
      <c r="R376" s="8"/>
      <c r="S376" s="1"/>
      <c r="T376" s="8"/>
      <c r="U376" s="8"/>
      <c r="V376" s="16"/>
      <c r="W376" s="1"/>
      <c r="X376" s="1"/>
    </row>
    <row r="377" spans="1:24" ht="14.4">
      <c r="A377" s="1"/>
      <c r="B377" s="94"/>
      <c r="C377" s="8"/>
      <c r="D377" s="8"/>
      <c r="E377" s="8"/>
      <c r="F377" s="94"/>
      <c r="G377" s="94"/>
      <c r="H377" s="94"/>
      <c r="I377" s="94"/>
      <c r="J377" s="94"/>
      <c r="K377" s="94"/>
      <c r="L377" s="94"/>
      <c r="M377" s="26"/>
      <c r="N377" s="26"/>
      <c r="O377" s="8"/>
      <c r="P377" s="1"/>
      <c r="Q377" s="8"/>
      <c r="R377" s="8"/>
      <c r="S377" s="1"/>
      <c r="T377" s="8"/>
      <c r="U377" s="8"/>
      <c r="V377" s="16"/>
      <c r="W377" s="1"/>
      <c r="X377" s="1"/>
    </row>
    <row r="378" spans="1:24" ht="14.4">
      <c r="A378" s="1"/>
      <c r="B378" s="94"/>
      <c r="C378" s="8"/>
      <c r="D378" s="8"/>
      <c r="E378" s="8"/>
      <c r="F378" s="94"/>
      <c r="G378" s="94"/>
      <c r="H378" s="94"/>
      <c r="I378" s="94"/>
      <c r="J378" s="94"/>
      <c r="K378" s="94"/>
      <c r="L378" s="94"/>
      <c r="M378" s="26"/>
      <c r="N378" s="26"/>
      <c r="O378" s="8"/>
      <c r="P378" s="1"/>
      <c r="Q378" s="8"/>
      <c r="R378" s="8"/>
      <c r="S378" s="1"/>
      <c r="T378" s="8"/>
      <c r="U378" s="8"/>
      <c r="V378" s="16"/>
      <c r="W378" s="1"/>
      <c r="X378" s="1"/>
    </row>
    <row r="379" spans="1:24" ht="14.4">
      <c r="A379" s="1"/>
      <c r="B379" s="94"/>
      <c r="C379" s="8"/>
      <c r="D379" s="8"/>
      <c r="E379" s="8"/>
      <c r="F379" s="94"/>
      <c r="G379" s="94"/>
      <c r="H379" s="94"/>
      <c r="I379" s="94"/>
      <c r="J379" s="94"/>
      <c r="K379" s="94"/>
      <c r="L379" s="94"/>
      <c r="M379" s="26"/>
      <c r="N379" s="26"/>
      <c r="O379" s="8"/>
      <c r="P379" s="1"/>
      <c r="Q379" s="8"/>
      <c r="R379" s="8"/>
      <c r="S379" s="1"/>
      <c r="T379" s="8"/>
      <c r="U379" s="8"/>
      <c r="V379" s="16"/>
      <c r="W379" s="1"/>
      <c r="X379" s="1"/>
    </row>
    <row r="380" spans="1:24" ht="14.4">
      <c r="A380" s="1"/>
      <c r="B380" s="103"/>
      <c r="C380" s="8"/>
      <c r="D380" s="8"/>
      <c r="E380" s="8"/>
      <c r="F380" s="101"/>
      <c r="G380" s="101"/>
      <c r="H380" s="101"/>
      <c r="I380" s="101"/>
      <c r="J380" s="101"/>
      <c r="K380" s="101"/>
      <c r="L380" s="109"/>
      <c r="M380" s="26"/>
      <c r="N380" s="26"/>
      <c r="O380" s="8"/>
      <c r="P380" s="1"/>
      <c r="Q380" s="8"/>
      <c r="R380" s="8"/>
      <c r="S380" s="1"/>
      <c r="T380" s="8"/>
      <c r="U380" s="8"/>
      <c r="V380" s="16"/>
      <c r="W380" s="1"/>
      <c r="X380" s="1"/>
    </row>
    <row r="381" spans="1:24" ht="14.4">
      <c r="A381" s="1"/>
      <c r="B381" s="94"/>
      <c r="C381" s="8"/>
      <c r="D381" s="8"/>
      <c r="E381" s="8"/>
      <c r="F381" s="94"/>
      <c r="G381" s="94"/>
      <c r="H381" s="94"/>
      <c r="I381" s="94"/>
      <c r="J381" s="94"/>
      <c r="K381" s="94"/>
      <c r="L381" s="94"/>
      <c r="M381" s="26"/>
      <c r="N381" s="26"/>
      <c r="O381" s="8"/>
      <c r="P381" s="1"/>
      <c r="Q381" s="8"/>
      <c r="R381" s="8"/>
      <c r="S381" s="1"/>
      <c r="T381" s="8"/>
      <c r="U381" s="8"/>
      <c r="V381" s="16"/>
      <c r="W381" s="1"/>
      <c r="X381" s="1"/>
    </row>
    <row r="382" spans="1:24" ht="14.4">
      <c r="A382" s="1"/>
      <c r="B382" s="94"/>
      <c r="C382" s="8"/>
      <c r="D382" s="8"/>
      <c r="E382" s="8"/>
      <c r="F382" s="94"/>
      <c r="G382" s="94"/>
      <c r="H382" s="94"/>
      <c r="I382" s="94"/>
      <c r="J382" s="94"/>
      <c r="K382" s="94"/>
      <c r="L382" s="94"/>
      <c r="M382" s="26"/>
      <c r="N382" s="26"/>
      <c r="O382" s="8"/>
      <c r="P382" s="1"/>
      <c r="Q382" s="8"/>
      <c r="R382" s="8"/>
      <c r="S382" s="1"/>
      <c r="T382" s="8"/>
      <c r="U382" s="8"/>
      <c r="V382" s="16"/>
      <c r="W382" s="1"/>
      <c r="X382" s="1"/>
    </row>
    <row r="383" spans="1:24" ht="14.4">
      <c r="A383" s="1"/>
      <c r="B383" s="94"/>
      <c r="C383" s="8"/>
      <c r="D383" s="8"/>
      <c r="E383" s="8"/>
      <c r="F383" s="94"/>
      <c r="G383" s="94"/>
      <c r="H383" s="94"/>
      <c r="I383" s="94"/>
      <c r="J383" s="94"/>
      <c r="K383" s="94"/>
      <c r="L383" s="94"/>
      <c r="M383" s="26"/>
      <c r="N383" s="26"/>
      <c r="O383" s="8"/>
      <c r="P383" s="1"/>
      <c r="Q383" s="8"/>
      <c r="R383" s="8"/>
      <c r="S383" s="1"/>
      <c r="T383" s="8"/>
      <c r="U383" s="8"/>
      <c r="V383" s="16"/>
      <c r="W383" s="1"/>
      <c r="X383" s="1"/>
    </row>
    <row r="384" spans="1:24" ht="14.4">
      <c r="A384" s="1"/>
      <c r="B384" s="94"/>
      <c r="C384" s="8"/>
      <c r="D384" s="8"/>
      <c r="E384" s="8"/>
      <c r="F384" s="94"/>
      <c r="G384" s="94"/>
      <c r="H384" s="94"/>
      <c r="I384" s="94"/>
      <c r="J384" s="94"/>
      <c r="K384" s="94"/>
      <c r="L384" s="94"/>
      <c r="M384" s="26"/>
      <c r="N384" s="26"/>
      <c r="O384" s="8"/>
      <c r="P384" s="1"/>
      <c r="Q384" s="8"/>
      <c r="R384" s="8"/>
      <c r="S384" s="1"/>
      <c r="T384" s="8"/>
      <c r="U384" s="8"/>
      <c r="V384" s="16"/>
      <c r="W384" s="1"/>
      <c r="X384" s="1"/>
    </row>
    <row r="385" spans="1:24" ht="14.4">
      <c r="A385" s="1"/>
      <c r="B385" s="103"/>
      <c r="C385" s="8"/>
      <c r="D385" s="8"/>
      <c r="E385" s="8"/>
      <c r="F385" s="101"/>
      <c r="G385" s="101"/>
      <c r="H385" s="101"/>
      <c r="I385" s="101"/>
      <c r="J385" s="101"/>
      <c r="K385" s="101"/>
      <c r="L385" s="109"/>
      <c r="M385" s="26"/>
      <c r="N385" s="26"/>
      <c r="O385" s="8"/>
      <c r="P385" s="1"/>
      <c r="Q385" s="8"/>
      <c r="R385" s="8"/>
      <c r="S385" s="1"/>
      <c r="T385" s="8"/>
      <c r="U385" s="8"/>
      <c r="V385" s="16"/>
      <c r="W385" s="1"/>
      <c r="X385" s="1"/>
    </row>
    <row r="386" spans="1:24" ht="14.4">
      <c r="A386" s="1"/>
      <c r="B386" s="94"/>
      <c r="C386" s="8"/>
      <c r="D386" s="8"/>
      <c r="E386" s="8"/>
      <c r="F386" s="94"/>
      <c r="G386" s="94"/>
      <c r="H386" s="94"/>
      <c r="I386" s="94"/>
      <c r="J386" s="94"/>
      <c r="K386" s="94"/>
      <c r="L386" s="94"/>
      <c r="M386" s="26"/>
      <c r="N386" s="26"/>
      <c r="O386" s="8"/>
      <c r="P386" s="1"/>
      <c r="Q386" s="8"/>
      <c r="R386" s="8"/>
      <c r="S386" s="1"/>
      <c r="T386" s="8"/>
      <c r="U386" s="8"/>
      <c r="V386" s="16"/>
      <c r="W386" s="1"/>
      <c r="X386" s="1"/>
    </row>
    <row r="387" spans="1:24" ht="14.4">
      <c r="A387" s="1"/>
      <c r="B387" s="94"/>
      <c r="C387" s="8"/>
      <c r="D387" s="8"/>
      <c r="E387" s="8"/>
      <c r="F387" s="94"/>
      <c r="G387" s="94"/>
      <c r="H387" s="94"/>
      <c r="I387" s="94"/>
      <c r="J387" s="94"/>
      <c r="K387" s="94"/>
      <c r="L387" s="94"/>
      <c r="M387" s="26"/>
      <c r="N387" s="26"/>
      <c r="O387" s="8"/>
      <c r="P387" s="1"/>
      <c r="Q387" s="8"/>
      <c r="R387" s="8"/>
      <c r="S387" s="1"/>
      <c r="T387" s="8"/>
      <c r="U387" s="8"/>
      <c r="V387" s="16"/>
      <c r="W387" s="1"/>
      <c r="X387" s="1"/>
    </row>
    <row r="388" spans="1:24" ht="14.4">
      <c r="A388" s="1"/>
      <c r="B388" s="94"/>
      <c r="C388" s="8"/>
      <c r="D388" s="8"/>
      <c r="E388" s="8"/>
      <c r="F388" s="94"/>
      <c r="G388" s="94"/>
      <c r="H388" s="94"/>
      <c r="I388" s="94"/>
      <c r="J388" s="94"/>
      <c r="K388" s="94"/>
      <c r="L388" s="94"/>
      <c r="M388" s="26"/>
      <c r="N388" s="26"/>
      <c r="O388" s="8"/>
      <c r="P388" s="1"/>
      <c r="Q388" s="8"/>
      <c r="R388" s="8"/>
      <c r="S388" s="1"/>
      <c r="T388" s="8"/>
      <c r="U388" s="8"/>
      <c r="V388" s="16"/>
      <c r="W388" s="1"/>
      <c r="X388" s="1"/>
    </row>
    <row r="389" spans="1:24" ht="14.4">
      <c r="A389" s="1"/>
      <c r="B389" s="94"/>
      <c r="C389" s="8"/>
      <c r="D389" s="8"/>
      <c r="E389" s="8"/>
      <c r="F389" s="94"/>
      <c r="G389" s="94"/>
      <c r="H389" s="94"/>
      <c r="I389" s="94"/>
      <c r="J389" s="94"/>
      <c r="K389" s="94"/>
      <c r="L389" s="94"/>
      <c r="M389" s="26"/>
      <c r="N389" s="26"/>
      <c r="O389" s="8"/>
      <c r="P389" s="1"/>
      <c r="Q389" s="8"/>
      <c r="R389" s="8"/>
      <c r="S389" s="1"/>
      <c r="T389" s="8"/>
      <c r="U389" s="8"/>
      <c r="V389" s="16"/>
      <c r="W389" s="1"/>
      <c r="X389" s="1"/>
    </row>
    <row r="390" spans="1:24" ht="14.4">
      <c r="A390" s="1"/>
      <c r="B390" s="103"/>
      <c r="C390" s="8"/>
      <c r="D390" s="8"/>
      <c r="E390" s="8"/>
      <c r="F390" s="101"/>
      <c r="G390" s="101"/>
      <c r="H390" s="101"/>
      <c r="I390" s="101"/>
      <c r="J390" s="101"/>
      <c r="K390" s="101"/>
      <c r="L390" s="109"/>
      <c r="M390" s="26"/>
      <c r="N390" s="26"/>
      <c r="O390" s="8"/>
      <c r="P390" s="1"/>
      <c r="Q390" s="8"/>
      <c r="R390" s="8"/>
      <c r="S390" s="1"/>
      <c r="T390" s="8"/>
      <c r="U390" s="8"/>
      <c r="V390" s="16"/>
      <c r="W390" s="1"/>
      <c r="X390" s="1"/>
    </row>
    <row r="391" spans="1:24" ht="14.4">
      <c r="A391" s="1"/>
      <c r="B391" s="94"/>
      <c r="C391" s="8"/>
      <c r="D391" s="8"/>
      <c r="E391" s="8"/>
      <c r="F391" s="94"/>
      <c r="G391" s="94"/>
      <c r="H391" s="94"/>
      <c r="I391" s="94"/>
      <c r="J391" s="94"/>
      <c r="K391" s="94"/>
      <c r="L391" s="94"/>
      <c r="M391" s="26"/>
      <c r="N391" s="26"/>
      <c r="O391" s="8"/>
      <c r="P391" s="1"/>
      <c r="Q391" s="8"/>
      <c r="R391" s="8"/>
      <c r="S391" s="1"/>
      <c r="T391" s="8"/>
      <c r="U391" s="8"/>
      <c r="V391" s="16"/>
      <c r="W391" s="1"/>
      <c r="X391" s="1"/>
    </row>
    <row r="392" spans="1:24" ht="14.4">
      <c r="A392" s="1"/>
      <c r="B392" s="94"/>
      <c r="C392" s="8"/>
      <c r="D392" s="8"/>
      <c r="E392" s="8"/>
      <c r="F392" s="94"/>
      <c r="G392" s="94"/>
      <c r="H392" s="94"/>
      <c r="I392" s="94"/>
      <c r="J392" s="94"/>
      <c r="K392" s="94"/>
      <c r="L392" s="94"/>
      <c r="M392" s="26"/>
      <c r="N392" s="26"/>
      <c r="O392" s="8"/>
      <c r="P392" s="1"/>
      <c r="Q392" s="8"/>
      <c r="R392" s="8"/>
      <c r="S392" s="1"/>
      <c r="T392" s="8"/>
      <c r="U392" s="8"/>
      <c r="V392" s="16"/>
      <c r="W392" s="1"/>
      <c r="X392" s="1"/>
    </row>
    <row r="393" spans="1:24" ht="14.4">
      <c r="A393" s="1"/>
      <c r="B393" s="94"/>
      <c r="C393" s="8"/>
      <c r="D393" s="8"/>
      <c r="E393" s="8"/>
      <c r="F393" s="94"/>
      <c r="G393" s="94"/>
      <c r="H393" s="94"/>
      <c r="I393" s="94"/>
      <c r="J393" s="94"/>
      <c r="K393" s="94"/>
      <c r="L393" s="94"/>
      <c r="M393" s="26"/>
      <c r="N393" s="26"/>
      <c r="O393" s="8"/>
      <c r="P393" s="1"/>
      <c r="Q393" s="8"/>
      <c r="R393" s="8"/>
      <c r="S393" s="1"/>
      <c r="T393" s="8"/>
      <c r="U393" s="8"/>
      <c r="V393" s="16"/>
      <c r="W393" s="1"/>
      <c r="X393" s="1"/>
    </row>
    <row r="394" spans="1:24" ht="14.4">
      <c r="A394" s="1"/>
      <c r="B394" s="94"/>
      <c r="C394" s="8"/>
      <c r="D394" s="8"/>
      <c r="E394" s="8"/>
      <c r="F394" s="94"/>
      <c r="G394" s="94"/>
      <c r="H394" s="94"/>
      <c r="I394" s="94"/>
      <c r="J394" s="94"/>
      <c r="K394" s="94"/>
      <c r="L394" s="94"/>
      <c r="M394" s="26"/>
      <c r="N394" s="26"/>
      <c r="O394" s="8"/>
      <c r="P394" s="1"/>
      <c r="Q394" s="8"/>
      <c r="R394" s="8"/>
      <c r="S394" s="1"/>
      <c r="T394" s="8"/>
      <c r="U394" s="8"/>
      <c r="V394" s="16"/>
      <c r="W394" s="1"/>
      <c r="X394" s="1"/>
    </row>
    <row r="395" spans="1:24" ht="14.4">
      <c r="A395" s="1"/>
      <c r="B395" s="103"/>
      <c r="C395" s="8"/>
      <c r="D395" s="8"/>
      <c r="E395" s="8"/>
      <c r="F395" s="101"/>
      <c r="G395" s="101"/>
      <c r="H395" s="101"/>
      <c r="I395" s="101"/>
      <c r="J395" s="101"/>
      <c r="K395" s="101"/>
      <c r="L395" s="109"/>
      <c r="M395" s="26"/>
      <c r="N395" s="26"/>
      <c r="O395" s="8"/>
      <c r="P395" s="1"/>
      <c r="Q395" s="8"/>
      <c r="R395" s="8"/>
      <c r="S395" s="1"/>
      <c r="T395" s="8"/>
      <c r="U395" s="8"/>
      <c r="V395" s="16"/>
      <c r="W395" s="1"/>
      <c r="X395" s="1"/>
    </row>
    <row r="396" spans="1:24" ht="14.4">
      <c r="A396" s="1"/>
      <c r="B396" s="94"/>
      <c r="C396" s="8"/>
      <c r="D396" s="8"/>
      <c r="E396" s="8"/>
      <c r="F396" s="94"/>
      <c r="G396" s="94"/>
      <c r="H396" s="94"/>
      <c r="I396" s="94"/>
      <c r="J396" s="94"/>
      <c r="K396" s="94"/>
      <c r="L396" s="94"/>
      <c r="M396" s="26"/>
      <c r="N396" s="26"/>
      <c r="O396" s="8"/>
      <c r="P396" s="1"/>
      <c r="Q396" s="8"/>
      <c r="R396" s="8"/>
      <c r="S396" s="1"/>
      <c r="T396" s="8"/>
      <c r="U396" s="8"/>
      <c r="V396" s="16"/>
      <c r="W396" s="1"/>
      <c r="X396" s="1"/>
    </row>
    <row r="397" spans="1:24" ht="14.4">
      <c r="A397" s="1"/>
      <c r="B397" s="94"/>
      <c r="C397" s="8"/>
      <c r="D397" s="8"/>
      <c r="E397" s="8"/>
      <c r="F397" s="94"/>
      <c r="G397" s="94"/>
      <c r="H397" s="94"/>
      <c r="I397" s="94"/>
      <c r="J397" s="94"/>
      <c r="K397" s="94"/>
      <c r="L397" s="94"/>
      <c r="M397" s="26"/>
      <c r="N397" s="26"/>
      <c r="O397" s="8"/>
      <c r="P397" s="1"/>
      <c r="Q397" s="8"/>
      <c r="R397" s="8"/>
      <c r="S397" s="1"/>
      <c r="T397" s="8"/>
      <c r="U397" s="8"/>
      <c r="V397" s="16"/>
      <c r="W397" s="1"/>
      <c r="X397" s="1"/>
    </row>
    <row r="398" spans="1:24" ht="14.4">
      <c r="A398" s="1"/>
      <c r="B398" s="94"/>
      <c r="C398" s="8"/>
      <c r="D398" s="8"/>
      <c r="E398" s="8"/>
      <c r="F398" s="94"/>
      <c r="G398" s="94"/>
      <c r="H398" s="94"/>
      <c r="I398" s="94"/>
      <c r="J398" s="94"/>
      <c r="K398" s="94"/>
      <c r="L398" s="94"/>
      <c r="M398" s="26"/>
      <c r="N398" s="26"/>
      <c r="O398" s="8"/>
      <c r="P398" s="1"/>
      <c r="Q398" s="8"/>
      <c r="R398" s="8"/>
      <c r="S398" s="1"/>
      <c r="T398" s="8"/>
      <c r="U398" s="8"/>
      <c r="V398" s="16"/>
      <c r="W398" s="1"/>
      <c r="X398" s="1"/>
    </row>
    <row r="399" spans="1:24" ht="14.4">
      <c r="A399" s="1"/>
      <c r="B399" s="94"/>
      <c r="C399" s="8"/>
      <c r="D399" s="8"/>
      <c r="E399" s="8"/>
      <c r="F399" s="94"/>
      <c r="G399" s="94"/>
      <c r="H399" s="94"/>
      <c r="I399" s="94"/>
      <c r="J399" s="94"/>
      <c r="K399" s="94"/>
      <c r="L399" s="94"/>
      <c r="M399" s="26"/>
      <c r="N399" s="26"/>
      <c r="O399" s="8"/>
      <c r="P399" s="1"/>
      <c r="Q399" s="8"/>
      <c r="R399" s="8"/>
      <c r="S399" s="1"/>
      <c r="T399" s="8"/>
      <c r="U399" s="8"/>
      <c r="V399" s="16"/>
      <c r="W399" s="1"/>
      <c r="X399" s="1"/>
    </row>
    <row r="400" spans="1:24" ht="14.4">
      <c r="A400" s="1"/>
      <c r="B400" s="103"/>
      <c r="C400" s="8"/>
      <c r="D400" s="8"/>
      <c r="E400" s="8"/>
      <c r="F400" s="101"/>
      <c r="G400" s="101"/>
      <c r="H400" s="101"/>
      <c r="I400" s="101"/>
      <c r="J400" s="101"/>
      <c r="K400" s="101"/>
      <c r="L400" s="109"/>
      <c r="M400" s="26"/>
      <c r="N400" s="26"/>
      <c r="O400" s="8"/>
      <c r="P400" s="1"/>
      <c r="Q400" s="8"/>
      <c r="R400" s="8"/>
      <c r="S400" s="1"/>
      <c r="T400" s="8"/>
      <c r="U400" s="8"/>
      <c r="V400" s="16"/>
      <c r="W400" s="1"/>
      <c r="X400" s="1"/>
    </row>
    <row r="401" spans="1:24" ht="14.4">
      <c r="A401" s="1"/>
      <c r="B401" s="94"/>
      <c r="C401" s="8"/>
      <c r="D401" s="8"/>
      <c r="E401" s="8"/>
      <c r="F401" s="94"/>
      <c r="G401" s="94"/>
      <c r="H401" s="94"/>
      <c r="I401" s="94"/>
      <c r="J401" s="94"/>
      <c r="K401" s="94"/>
      <c r="L401" s="94"/>
      <c r="M401" s="26"/>
      <c r="N401" s="26"/>
      <c r="O401" s="8"/>
      <c r="P401" s="1"/>
      <c r="Q401" s="8"/>
      <c r="R401" s="8"/>
      <c r="S401" s="1"/>
      <c r="T401" s="8"/>
      <c r="U401" s="8"/>
      <c r="V401" s="16"/>
      <c r="W401" s="1"/>
      <c r="X401" s="1"/>
    </row>
    <row r="402" spans="1:24" ht="14.4">
      <c r="A402" s="1"/>
      <c r="B402" s="94"/>
      <c r="C402" s="8"/>
      <c r="D402" s="8"/>
      <c r="E402" s="8"/>
      <c r="F402" s="94"/>
      <c r="G402" s="94"/>
      <c r="H402" s="94"/>
      <c r="I402" s="94"/>
      <c r="J402" s="94"/>
      <c r="K402" s="94"/>
      <c r="L402" s="94"/>
      <c r="M402" s="26"/>
      <c r="N402" s="26"/>
      <c r="O402" s="8"/>
      <c r="P402" s="1"/>
      <c r="Q402" s="8"/>
      <c r="R402" s="8"/>
      <c r="S402" s="1"/>
      <c r="T402" s="8"/>
      <c r="U402" s="8"/>
      <c r="V402" s="16"/>
      <c r="W402" s="1"/>
      <c r="X402" s="1"/>
    </row>
    <row r="403" spans="1:24" ht="14.4">
      <c r="A403" s="1"/>
      <c r="B403" s="94"/>
      <c r="C403" s="8"/>
      <c r="D403" s="8"/>
      <c r="E403" s="8"/>
      <c r="F403" s="94"/>
      <c r="G403" s="94"/>
      <c r="H403" s="94"/>
      <c r="I403" s="94"/>
      <c r="J403" s="94"/>
      <c r="K403" s="94"/>
      <c r="L403" s="94"/>
      <c r="M403" s="26"/>
      <c r="N403" s="26"/>
      <c r="O403" s="8"/>
      <c r="P403" s="1"/>
      <c r="Q403" s="8"/>
      <c r="R403" s="8"/>
      <c r="S403" s="1"/>
      <c r="T403" s="8"/>
      <c r="U403" s="8"/>
      <c r="V403" s="16"/>
      <c r="W403" s="1"/>
      <c r="X403" s="1"/>
    </row>
    <row r="404" spans="1:24" ht="14.4">
      <c r="A404" s="1"/>
      <c r="B404" s="94"/>
      <c r="C404" s="8"/>
      <c r="D404" s="8"/>
      <c r="E404" s="8"/>
      <c r="F404" s="94"/>
      <c r="G404" s="94"/>
      <c r="H404" s="94"/>
      <c r="I404" s="94"/>
      <c r="J404" s="94"/>
      <c r="K404" s="94"/>
      <c r="L404" s="94"/>
      <c r="M404" s="26"/>
      <c r="N404" s="26"/>
      <c r="O404" s="8"/>
      <c r="P404" s="1"/>
      <c r="Q404" s="8"/>
      <c r="R404" s="8"/>
      <c r="S404" s="1"/>
      <c r="T404" s="8"/>
      <c r="U404" s="8"/>
      <c r="V404" s="16"/>
      <c r="W404" s="1"/>
      <c r="X404" s="1"/>
    </row>
    <row r="405" spans="1:24" ht="14.4">
      <c r="A405" s="1"/>
      <c r="B405" s="103"/>
      <c r="C405" s="8"/>
      <c r="D405" s="8"/>
      <c r="E405" s="8"/>
      <c r="F405" s="101"/>
      <c r="G405" s="101"/>
      <c r="H405" s="101"/>
      <c r="I405" s="101"/>
      <c r="J405" s="101"/>
      <c r="K405" s="101"/>
      <c r="L405" s="109"/>
      <c r="M405" s="26"/>
      <c r="N405" s="26"/>
      <c r="O405" s="8"/>
      <c r="P405" s="1"/>
      <c r="Q405" s="8"/>
      <c r="R405" s="8"/>
      <c r="S405" s="1"/>
      <c r="T405" s="8"/>
      <c r="U405" s="8"/>
      <c r="V405" s="16"/>
      <c r="W405" s="1"/>
      <c r="X405" s="1"/>
    </row>
    <row r="406" spans="1:24" ht="14.4">
      <c r="A406" s="1"/>
      <c r="B406" s="94"/>
      <c r="C406" s="8"/>
      <c r="D406" s="8"/>
      <c r="E406" s="8"/>
      <c r="F406" s="94"/>
      <c r="G406" s="94"/>
      <c r="H406" s="94"/>
      <c r="I406" s="94"/>
      <c r="J406" s="94"/>
      <c r="K406" s="94"/>
      <c r="L406" s="94"/>
      <c r="M406" s="26"/>
      <c r="N406" s="26"/>
      <c r="O406" s="8"/>
      <c r="P406" s="1"/>
      <c r="Q406" s="8"/>
      <c r="R406" s="8"/>
      <c r="S406" s="1"/>
      <c r="T406" s="8"/>
      <c r="U406" s="8"/>
      <c r="V406" s="16"/>
      <c r="W406" s="1"/>
      <c r="X406" s="1"/>
    </row>
    <row r="407" spans="1:24" ht="14.4">
      <c r="A407" s="1"/>
      <c r="B407" s="94"/>
      <c r="C407" s="8"/>
      <c r="D407" s="8"/>
      <c r="E407" s="8"/>
      <c r="F407" s="94"/>
      <c r="G407" s="94"/>
      <c r="H407" s="94"/>
      <c r="I407" s="94"/>
      <c r="J407" s="94"/>
      <c r="K407" s="94"/>
      <c r="L407" s="94"/>
      <c r="M407" s="26"/>
      <c r="N407" s="26"/>
      <c r="O407" s="8"/>
      <c r="P407" s="1"/>
      <c r="Q407" s="8"/>
      <c r="R407" s="8"/>
      <c r="S407" s="1"/>
      <c r="T407" s="8"/>
      <c r="U407" s="8"/>
      <c r="V407" s="16"/>
      <c r="W407" s="1"/>
      <c r="X407" s="1"/>
    </row>
    <row r="408" spans="1:24" ht="14.4">
      <c r="A408" s="1"/>
      <c r="B408" s="94"/>
      <c r="C408" s="8"/>
      <c r="D408" s="8"/>
      <c r="E408" s="8"/>
      <c r="F408" s="94"/>
      <c r="G408" s="94"/>
      <c r="H408" s="94"/>
      <c r="I408" s="94"/>
      <c r="J408" s="94"/>
      <c r="K408" s="94"/>
      <c r="L408" s="94"/>
      <c r="M408" s="26"/>
      <c r="N408" s="26"/>
      <c r="O408" s="8"/>
      <c r="P408" s="1"/>
      <c r="Q408" s="8"/>
      <c r="R408" s="8"/>
      <c r="S408" s="1"/>
      <c r="T408" s="8"/>
      <c r="U408" s="8"/>
      <c r="V408" s="16"/>
      <c r="W408" s="1"/>
      <c r="X408" s="1"/>
    </row>
    <row r="409" spans="1:24" ht="14.4">
      <c r="A409" s="1"/>
      <c r="B409" s="94"/>
      <c r="C409" s="8"/>
      <c r="D409" s="8"/>
      <c r="E409" s="8"/>
      <c r="F409" s="94"/>
      <c r="G409" s="94"/>
      <c r="H409" s="94"/>
      <c r="I409" s="94"/>
      <c r="J409" s="94"/>
      <c r="K409" s="94"/>
      <c r="L409" s="94"/>
      <c r="M409" s="26"/>
      <c r="N409" s="26"/>
      <c r="O409" s="8"/>
      <c r="P409" s="1"/>
      <c r="Q409" s="8"/>
      <c r="R409" s="8"/>
      <c r="S409" s="1"/>
      <c r="T409" s="8"/>
      <c r="U409" s="8"/>
      <c r="V409" s="16"/>
      <c r="W409" s="1"/>
      <c r="X409" s="1"/>
    </row>
    <row r="410" spans="1:24" ht="14.4">
      <c r="A410" s="1"/>
      <c r="B410" s="103"/>
      <c r="C410" s="8"/>
      <c r="D410" s="8"/>
      <c r="E410" s="8"/>
      <c r="F410" s="101"/>
      <c r="G410" s="101"/>
      <c r="H410" s="101"/>
      <c r="I410" s="101"/>
      <c r="J410" s="101"/>
      <c r="K410" s="101"/>
      <c r="L410" s="109"/>
      <c r="M410" s="26"/>
      <c r="N410" s="26"/>
      <c r="O410" s="8"/>
      <c r="P410" s="1"/>
      <c r="Q410" s="8"/>
      <c r="R410" s="8"/>
      <c r="S410" s="1"/>
      <c r="T410" s="8"/>
      <c r="U410" s="8"/>
      <c r="V410" s="16"/>
      <c r="W410" s="1"/>
      <c r="X410" s="1"/>
    </row>
    <row r="411" spans="1:24" ht="14.4">
      <c r="A411" s="1"/>
      <c r="B411" s="94"/>
      <c r="C411" s="8"/>
      <c r="D411" s="8"/>
      <c r="E411" s="8"/>
      <c r="F411" s="94"/>
      <c r="G411" s="94"/>
      <c r="H411" s="94"/>
      <c r="I411" s="94"/>
      <c r="J411" s="94"/>
      <c r="K411" s="94"/>
      <c r="L411" s="94"/>
      <c r="M411" s="26"/>
      <c r="N411" s="26"/>
      <c r="O411" s="8"/>
      <c r="P411" s="1"/>
      <c r="Q411" s="8"/>
      <c r="R411" s="8"/>
      <c r="S411" s="1"/>
      <c r="T411" s="8"/>
      <c r="U411" s="8"/>
      <c r="V411" s="16"/>
      <c r="W411" s="1"/>
      <c r="X411" s="1"/>
    </row>
    <row r="412" spans="1:24" ht="14.4">
      <c r="A412" s="1"/>
      <c r="B412" s="94"/>
      <c r="C412" s="8"/>
      <c r="D412" s="8"/>
      <c r="E412" s="8"/>
      <c r="F412" s="94"/>
      <c r="G412" s="94"/>
      <c r="H412" s="94"/>
      <c r="I412" s="94"/>
      <c r="J412" s="94"/>
      <c r="K412" s="94"/>
      <c r="L412" s="94"/>
      <c r="M412" s="26"/>
      <c r="N412" s="26"/>
      <c r="O412" s="8"/>
      <c r="P412" s="1"/>
      <c r="Q412" s="8"/>
      <c r="R412" s="8"/>
      <c r="S412" s="1"/>
      <c r="T412" s="8"/>
      <c r="U412" s="8"/>
      <c r="V412" s="16"/>
      <c r="W412" s="1"/>
      <c r="X412" s="1"/>
    </row>
    <row r="413" spans="1:24" ht="14.4">
      <c r="A413" s="1"/>
      <c r="B413" s="94"/>
      <c r="C413" s="8"/>
      <c r="D413" s="8"/>
      <c r="E413" s="8"/>
      <c r="F413" s="94"/>
      <c r="G413" s="94"/>
      <c r="H413" s="94"/>
      <c r="I413" s="94"/>
      <c r="J413" s="94"/>
      <c r="K413" s="94"/>
      <c r="L413" s="94"/>
      <c r="M413" s="26"/>
      <c r="N413" s="26"/>
      <c r="O413" s="8"/>
      <c r="P413" s="1"/>
      <c r="Q413" s="8"/>
      <c r="R413" s="8"/>
      <c r="S413" s="1"/>
      <c r="T413" s="8"/>
      <c r="U413" s="8"/>
      <c r="V413" s="16"/>
      <c r="W413" s="1"/>
      <c r="X413" s="1"/>
    </row>
    <row r="414" spans="1:24" ht="14.4">
      <c r="A414" s="1"/>
      <c r="B414" s="94"/>
      <c r="C414" s="8"/>
      <c r="D414" s="8"/>
      <c r="E414" s="8"/>
      <c r="F414" s="94"/>
      <c r="G414" s="94"/>
      <c r="H414" s="94"/>
      <c r="I414" s="94"/>
      <c r="J414" s="94"/>
      <c r="K414" s="94"/>
      <c r="L414" s="94"/>
      <c r="M414" s="26"/>
      <c r="N414" s="26"/>
      <c r="O414" s="8"/>
      <c r="P414" s="1"/>
      <c r="Q414" s="8"/>
      <c r="R414" s="8"/>
      <c r="S414" s="1"/>
      <c r="T414" s="8"/>
      <c r="U414" s="8"/>
      <c r="V414" s="16"/>
      <c r="W414" s="1"/>
      <c r="X414" s="1"/>
    </row>
    <row r="415" spans="1:24" ht="14.4">
      <c r="A415" s="1"/>
      <c r="B415" s="103"/>
      <c r="C415" s="8"/>
      <c r="D415" s="8"/>
      <c r="E415" s="8"/>
      <c r="F415" s="101"/>
      <c r="G415" s="101"/>
      <c r="H415" s="101"/>
      <c r="I415" s="101"/>
      <c r="J415" s="101"/>
      <c r="K415" s="101"/>
      <c r="L415" s="109"/>
      <c r="M415" s="26"/>
      <c r="N415" s="26"/>
      <c r="O415" s="8"/>
      <c r="P415" s="1"/>
      <c r="Q415" s="8"/>
      <c r="R415" s="8"/>
      <c r="S415" s="1"/>
      <c r="T415" s="8"/>
      <c r="U415" s="8"/>
      <c r="V415" s="16"/>
      <c r="W415" s="1"/>
      <c r="X415" s="1"/>
    </row>
    <row r="416" spans="1:24" ht="14.4">
      <c r="A416" s="1"/>
      <c r="B416" s="94"/>
      <c r="C416" s="8"/>
      <c r="D416" s="8"/>
      <c r="E416" s="8"/>
      <c r="F416" s="94"/>
      <c r="G416" s="94"/>
      <c r="H416" s="94"/>
      <c r="I416" s="94"/>
      <c r="J416" s="94"/>
      <c r="K416" s="94"/>
      <c r="L416" s="94"/>
      <c r="M416" s="26"/>
      <c r="N416" s="26"/>
      <c r="O416" s="8"/>
      <c r="P416" s="1"/>
      <c r="Q416" s="8"/>
      <c r="R416" s="8"/>
      <c r="S416" s="1"/>
      <c r="T416" s="8"/>
      <c r="U416" s="8"/>
      <c r="V416" s="16"/>
      <c r="W416" s="1"/>
      <c r="X416" s="1"/>
    </row>
    <row r="417" spans="1:24" ht="14.4">
      <c r="A417" s="1"/>
      <c r="B417" s="94"/>
      <c r="C417" s="8"/>
      <c r="D417" s="8"/>
      <c r="E417" s="8"/>
      <c r="F417" s="94"/>
      <c r="G417" s="94"/>
      <c r="H417" s="94"/>
      <c r="I417" s="94"/>
      <c r="J417" s="94"/>
      <c r="K417" s="94"/>
      <c r="L417" s="94"/>
      <c r="M417" s="26"/>
      <c r="N417" s="26"/>
      <c r="O417" s="8"/>
      <c r="P417" s="1"/>
      <c r="Q417" s="8"/>
      <c r="R417" s="8"/>
      <c r="S417" s="1"/>
      <c r="T417" s="8"/>
      <c r="U417" s="8"/>
      <c r="V417" s="16"/>
      <c r="W417" s="1"/>
      <c r="X417" s="1"/>
    </row>
    <row r="418" spans="1:24" ht="14.4">
      <c r="A418" s="1"/>
      <c r="B418" s="94"/>
      <c r="C418" s="8"/>
      <c r="D418" s="8"/>
      <c r="E418" s="8"/>
      <c r="F418" s="94"/>
      <c r="G418" s="94"/>
      <c r="H418" s="94"/>
      <c r="I418" s="94"/>
      <c r="J418" s="94"/>
      <c r="K418" s="94"/>
      <c r="L418" s="94"/>
      <c r="M418" s="26"/>
      <c r="N418" s="26"/>
      <c r="O418" s="8"/>
      <c r="P418" s="1"/>
      <c r="Q418" s="8"/>
      <c r="R418" s="8"/>
      <c r="S418" s="1"/>
      <c r="T418" s="8"/>
      <c r="U418" s="8"/>
      <c r="V418" s="16"/>
      <c r="W418" s="1"/>
      <c r="X418" s="1"/>
    </row>
    <row r="419" spans="1:24" ht="14.4">
      <c r="A419" s="1"/>
      <c r="B419" s="94"/>
      <c r="C419" s="8"/>
      <c r="D419" s="8"/>
      <c r="E419" s="8"/>
      <c r="F419" s="94"/>
      <c r="G419" s="94"/>
      <c r="H419" s="94"/>
      <c r="I419" s="94"/>
      <c r="J419" s="94"/>
      <c r="K419" s="94"/>
      <c r="L419" s="94"/>
      <c r="M419" s="26"/>
      <c r="N419" s="26"/>
      <c r="O419" s="8"/>
      <c r="P419" s="1"/>
      <c r="Q419" s="8"/>
      <c r="R419" s="8"/>
      <c r="S419" s="1"/>
      <c r="T419" s="8"/>
      <c r="U419" s="8"/>
      <c r="V419" s="16"/>
      <c r="W419" s="1"/>
      <c r="X419" s="1"/>
    </row>
    <row r="420" spans="1:24" ht="14.4">
      <c r="A420" s="1"/>
      <c r="B420" s="103"/>
      <c r="C420" s="8"/>
      <c r="D420" s="8"/>
      <c r="E420" s="8"/>
      <c r="F420" s="101"/>
      <c r="G420" s="101"/>
      <c r="H420" s="101"/>
      <c r="I420" s="101"/>
      <c r="J420" s="101"/>
      <c r="K420" s="101"/>
      <c r="L420" s="109"/>
      <c r="M420" s="26"/>
      <c r="N420" s="26"/>
      <c r="O420" s="8"/>
      <c r="P420" s="1"/>
      <c r="Q420" s="8"/>
      <c r="R420" s="8"/>
      <c r="S420" s="1"/>
      <c r="T420" s="8"/>
      <c r="U420" s="8"/>
      <c r="V420" s="16"/>
      <c r="W420" s="1"/>
      <c r="X420" s="1"/>
    </row>
    <row r="421" spans="1:24" ht="14.4">
      <c r="A421" s="1"/>
      <c r="B421" s="94"/>
      <c r="C421" s="8"/>
      <c r="D421" s="8"/>
      <c r="E421" s="8"/>
      <c r="F421" s="94"/>
      <c r="G421" s="94"/>
      <c r="H421" s="94"/>
      <c r="I421" s="94"/>
      <c r="J421" s="94"/>
      <c r="K421" s="94"/>
      <c r="L421" s="94"/>
      <c r="M421" s="26"/>
      <c r="N421" s="26"/>
      <c r="O421" s="8"/>
      <c r="P421" s="1"/>
      <c r="Q421" s="8"/>
      <c r="R421" s="8"/>
      <c r="S421" s="1"/>
      <c r="T421" s="8"/>
      <c r="U421" s="8"/>
      <c r="V421" s="16"/>
      <c r="W421" s="1"/>
      <c r="X421" s="1"/>
    </row>
    <row r="422" spans="1:24" ht="14.4">
      <c r="A422" s="1"/>
      <c r="B422" s="94"/>
      <c r="C422" s="8"/>
      <c r="D422" s="8"/>
      <c r="E422" s="8"/>
      <c r="F422" s="94"/>
      <c r="G422" s="94"/>
      <c r="H422" s="94"/>
      <c r="I422" s="94"/>
      <c r="J422" s="94"/>
      <c r="K422" s="94"/>
      <c r="L422" s="94"/>
      <c r="M422" s="26"/>
      <c r="N422" s="26"/>
      <c r="O422" s="8"/>
      <c r="P422" s="1"/>
      <c r="Q422" s="8"/>
      <c r="R422" s="8"/>
      <c r="S422" s="1"/>
      <c r="T422" s="8"/>
      <c r="U422" s="8"/>
      <c r="V422" s="16"/>
      <c r="W422" s="1"/>
      <c r="X422" s="1"/>
    </row>
    <row r="423" spans="1:24" ht="14.4">
      <c r="A423" s="1"/>
      <c r="B423" s="94"/>
      <c r="C423" s="8"/>
      <c r="D423" s="8"/>
      <c r="E423" s="8"/>
      <c r="F423" s="94"/>
      <c r="G423" s="94"/>
      <c r="H423" s="94"/>
      <c r="I423" s="94"/>
      <c r="J423" s="94"/>
      <c r="K423" s="94"/>
      <c r="L423" s="94"/>
      <c r="M423" s="26"/>
      <c r="N423" s="26"/>
      <c r="O423" s="8"/>
      <c r="P423" s="1"/>
      <c r="Q423" s="8"/>
      <c r="R423" s="8"/>
      <c r="S423" s="1"/>
      <c r="T423" s="8"/>
      <c r="U423" s="8"/>
      <c r="V423" s="16"/>
      <c r="W423" s="1"/>
      <c r="X423" s="1"/>
    </row>
    <row r="424" spans="1:24" ht="14.4">
      <c r="A424" s="1"/>
      <c r="B424" s="94"/>
      <c r="C424" s="8"/>
      <c r="D424" s="8"/>
      <c r="E424" s="8"/>
      <c r="F424" s="94"/>
      <c r="G424" s="94"/>
      <c r="H424" s="94"/>
      <c r="I424" s="94"/>
      <c r="J424" s="94"/>
      <c r="K424" s="94"/>
      <c r="L424" s="94"/>
      <c r="M424" s="26"/>
      <c r="N424" s="26"/>
      <c r="O424" s="8"/>
      <c r="P424" s="1"/>
      <c r="Q424" s="8"/>
      <c r="R424" s="8"/>
      <c r="S424" s="1"/>
      <c r="T424" s="8"/>
      <c r="U424" s="8"/>
      <c r="V424" s="16"/>
      <c r="W424" s="1"/>
      <c r="X424" s="1"/>
    </row>
    <row r="425" spans="1:24" ht="14.4">
      <c r="A425" s="1"/>
      <c r="B425" s="103"/>
      <c r="C425" s="8"/>
      <c r="D425" s="8"/>
      <c r="E425" s="8"/>
      <c r="F425" s="101"/>
      <c r="G425" s="101"/>
      <c r="H425" s="101"/>
      <c r="I425" s="101"/>
      <c r="J425" s="101"/>
      <c r="K425" s="101"/>
      <c r="L425" s="109"/>
      <c r="M425" s="26"/>
      <c r="N425" s="26"/>
      <c r="O425" s="8"/>
      <c r="P425" s="1"/>
      <c r="Q425" s="8"/>
      <c r="R425" s="8"/>
      <c r="S425" s="1"/>
      <c r="T425" s="8"/>
      <c r="U425" s="8"/>
      <c r="V425" s="16"/>
      <c r="W425" s="1"/>
      <c r="X425" s="1"/>
    </row>
    <row r="426" spans="1:24" ht="14.4">
      <c r="A426" s="1"/>
      <c r="B426" s="94"/>
      <c r="C426" s="8"/>
      <c r="D426" s="8"/>
      <c r="E426" s="8"/>
      <c r="F426" s="94"/>
      <c r="G426" s="94"/>
      <c r="H426" s="94"/>
      <c r="I426" s="94"/>
      <c r="J426" s="94"/>
      <c r="K426" s="94"/>
      <c r="L426" s="94"/>
      <c r="M426" s="26"/>
      <c r="N426" s="26"/>
      <c r="O426" s="8"/>
      <c r="P426" s="1"/>
      <c r="Q426" s="8"/>
      <c r="R426" s="8"/>
      <c r="S426" s="1"/>
      <c r="T426" s="8"/>
      <c r="U426" s="8"/>
      <c r="V426" s="16"/>
      <c r="W426" s="1"/>
      <c r="X426" s="1"/>
    </row>
    <row r="427" spans="1:24" ht="14.4">
      <c r="A427" s="1"/>
      <c r="B427" s="94"/>
      <c r="C427" s="8"/>
      <c r="D427" s="8"/>
      <c r="E427" s="8"/>
      <c r="F427" s="94"/>
      <c r="G427" s="94"/>
      <c r="H427" s="94"/>
      <c r="I427" s="94"/>
      <c r="J427" s="94"/>
      <c r="K427" s="94"/>
      <c r="L427" s="94"/>
      <c r="M427" s="26"/>
      <c r="N427" s="26"/>
      <c r="O427" s="8"/>
      <c r="P427" s="1"/>
      <c r="Q427" s="8"/>
      <c r="R427" s="8"/>
      <c r="S427" s="1"/>
      <c r="T427" s="8"/>
      <c r="U427" s="8"/>
      <c r="V427" s="16"/>
      <c r="W427" s="1"/>
      <c r="X427" s="1"/>
    </row>
    <row r="428" spans="1:24" ht="14.4">
      <c r="A428" s="1"/>
      <c r="B428" s="94"/>
      <c r="C428" s="8"/>
      <c r="D428" s="8"/>
      <c r="E428" s="8"/>
      <c r="F428" s="94"/>
      <c r="G428" s="94"/>
      <c r="H428" s="94"/>
      <c r="I428" s="94"/>
      <c r="J428" s="94"/>
      <c r="K428" s="94"/>
      <c r="L428" s="94"/>
      <c r="M428" s="26"/>
      <c r="N428" s="26"/>
      <c r="O428" s="8"/>
      <c r="P428" s="1"/>
      <c r="Q428" s="8"/>
      <c r="R428" s="8"/>
      <c r="S428" s="1"/>
      <c r="T428" s="8"/>
      <c r="U428" s="8"/>
      <c r="V428" s="16"/>
      <c r="W428" s="1"/>
      <c r="X428" s="1"/>
    </row>
    <row r="429" spans="1:24" ht="14.4">
      <c r="A429" s="1"/>
      <c r="B429" s="94"/>
      <c r="C429" s="8"/>
      <c r="D429" s="8"/>
      <c r="E429" s="8"/>
      <c r="F429" s="94"/>
      <c r="G429" s="94"/>
      <c r="H429" s="94"/>
      <c r="I429" s="94"/>
      <c r="J429" s="94"/>
      <c r="K429" s="94"/>
      <c r="L429" s="94"/>
      <c r="M429" s="26"/>
      <c r="N429" s="26"/>
      <c r="O429" s="8"/>
      <c r="P429" s="1"/>
      <c r="Q429" s="8"/>
      <c r="R429" s="8"/>
      <c r="S429" s="1"/>
      <c r="T429" s="8"/>
      <c r="U429" s="8"/>
      <c r="V429" s="16"/>
      <c r="W429" s="1"/>
      <c r="X429" s="1"/>
    </row>
    <row r="430" spans="1:24" ht="14.4">
      <c r="A430" s="1"/>
      <c r="B430" s="103"/>
      <c r="C430" s="8"/>
      <c r="D430" s="8"/>
      <c r="E430" s="8"/>
      <c r="F430" s="101"/>
      <c r="G430" s="101"/>
      <c r="H430" s="101"/>
      <c r="I430" s="101"/>
      <c r="J430" s="101"/>
      <c r="K430" s="101"/>
      <c r="L430" s="109"/>
      <c r="M430" s="26"/>
      <c r="N430" s="26"/>
      <c r="O430" s="8"/>
      <c r="P430" s="1"/>
      <c r="Q430" s="8"/>
      <c r="R430" s="8"/>
      <c r="S430" s="1"/>
      <c r="T430" s="8"/>
      <c r="U430" s="8"/>
      <c r="V430" s="16"/>
      <c r="W430" s="1"/>
      <c r="X430" s="1"/>
    </row>
    <row r="431" spans="1:24" ht="14.4">
      <c r="A431" s="1"/>
      <c r="B431" s="94"/>
      <c r="C431" s="8"/>
      <c r="D431" s="8"/>
      <c r="E431" s="8"/>
      <c r="F431" s="94"/>
      <c r="G431" s="94"/>
      <c r="H431" s="94"/>
      <c r="I431" s="94"/>
      <c r="J431" s="94"/>
      <c r="K431" s="94"/>
      <c r="L431" s="94"/>
      <c r="M431" s="26"/>
      <c r="N431" s="26"/>
      <c r="O431" s="8"/>
      <c r="P431" s="1"/>
      <c r="Q431" s="8"/>
      <c r="R431" s="8"/>
      <c r="S431" s="1"/>
      <c r="T431" s="8"/>
      <c r="U431" s="8"/>
      <c r="V431" s="16"/>
      <c r="W431" s="1"/>
      <c r="X431" s="1"/>
    </row>
    <row r="432" spans="1:24" ht="14.4">
      <c r="A432" s="1"/>
      <c r="B432" s="94"/>
      <c r="C432" s="8"/>
      <c r="D432" s="8"/>
      <c r="E432" s="8"/>
      <c r="F432" s="94"/>
      <c r="G432" s="94"/>
      <c r="H432" s="94"/>
      <c r="I432" s="94"/>
      <c r="J432" s="94"/>
      <c r="K432" s="94"/>
      <c r="L432" s="94"/>
      <c r="M432" s="26"/>
      <c r="N432" s="26"/>
      <c r="O432" s="8"/>
      <c r="P432" s="1"/>
      <c r="Q432" s="8"/>
      <c r="R432" s="8"/>
      <c r="S432" s="1"/>
      <c r="T432" s="8"/>
      <c r="U432" s="8"/>
      <c r="V432" s="16"/>
      <c r="W432" s="1"/>
      <c r="X432" s="1"/>
    </row>
    <row r="433" spans="1:24" ht="14.4">
      <c r="A433" s="1"/>
      <c r="B433" s="94"/>
      <c r="C433" s="8"/>
      <c r="D433" s="8"/>
      <c r="E433" s="8"/>
      <c r="F433" s="94"/>
      <c r="G433" s="94"/>
      <c r="H433" s="94"/>
      <c r="I433" s="94"/>
      <c r="J433" s="94"/>
      <c r="K433" s="94"/>
      <c r="L433" s="94"/>
      <c r="M433" s="26"/>
      <c r="N433" s="26"/>
      <c r="O433" s="8"/>
      <c r="P433" s="1"/>
      <c r="Q433" s="8"/>
      <c r="R433" s="8"/>
      <c r="S433" s="1"/>
      <c r="T433" s="8"/>
      <c r="U433" s="8"/>
      <c r="V433" s="16"/>
      <c r="W433" s="1"/>
      <c r="X433" s="1"/>
    </row>
    <row r="434" spans="1:24" ht="14.4">
      <c r="A434" s="1"/>
      <c r="B434" s="94"/>
      <c r="C434" s="8"/>
      <c r="D434" s="8"/>
      <c r="E434" s="8"/>
      <c r="F434" s="94"/>
      <c r="G434" s="94"/>
      <c r="H434" s="94"/>
      <c r="I434" s="94"/>
      <c r="J434" s="94"/>
      <c r="K434" s="94"/>
      <c r="L434" s="94"/>
      <c r="M434" s="26"/>
      <c r="N434" s="26"/>
      <c r="O434" s="8"/>
      <c r="P434" s="1"/>
      <c r="Q434" s="8"/>
      <c r="R434" s="8"/>
      <c r="S434" s="1"/>
      <c r="T434" s="8"/>
      <c r="U434" s="8"/>
      <c r="V434" s="16"/>
      <c r="W434" s="1"/>
      <c r="X434" s="1"/>
    </row>
    <row r="435" spans="1:24" ht="14.4">
      <c r="A435" s="1"/>
      <c r="B435" s="103"/>
      <c r="C435" s="8"/>
      <c r="D435" s="8"/>
      <c r="E435" s="8"/>
      <c r="F435" s="101"/>
      <c r="G435" s="101"/>
      <c r="H435" s="101"/>
      <c r="I435" s="101"/>
      <c r="J435" s="101"/>
      <c r="K435" s="101"/>
      <c r="L435" s="109"/>
      <c r="M435" s="26"/>
      <c r="N435" s="26"/>
      <c r="O435" s="8"/>
      <c r="P435" s="1"/>
      <c r="Q435" s="8"/>
      <c r="R435" s="8"/>
      <c r="S435" s="1"/>
      <c r="T435" s="8"/>
      <c r="U435" s="8"/>
      <c r="V435" s="16"/>
      <c r="W435" s="1"/>
      <c r="X435" s="1"/>
    </row>
    <row r="436" spans="1:24" ht="14.4">
      <c r="A436" s="1"/>
      <c r="B436" s="94"/>
      <c r="C436" s="8"/>
      <c r="D436" s="8"/>
      <c r="E436" s="8"/>
      <c r="F436" s="94"/>
      <c r="G436" s="94"/>
      <c r="H436" s="94"/>
      <c r="I436" s="94"/>
      <c r="J436" s="94"/>
      <c r="K436" s="94"/>
      <c r="L436" s="94"/>
      <c r="M436" s="26"/>
      <c r="N436" s="26"/>
      <c r="O436" s="8"/>
      <c r="P436" s="1"/>
      <c r="Q436" s="8"/>
      <c r="R436" s="8"/>
      <c r="S436" s="1"/>
      <c r="T436" s="8"/>
      <c r="U436" s="8"/>
      <c r="V436" s="16"/>
      <c r="W436" s="1"/>
      <c r="X436" s="1"/>
    </row>
    <row r="437" spans="1:24" ht="14.4">
      <c r="A437" s="1"/>
      <c r="B437" s="94"/>
      <c r="C437" s="8"/>
      <c r="D437" s="8"/>
      <c r="E437" s="8"/>
      <c r="F437" s="94"/>
      <c r="G437" s="94"/>
      <c r="H437" s="94"/>
      <c r="I437" s="94"/>
      <c r="J437" s="94"/>
      <c r="K437" s="94"/>
      <c r="L437" s="94"/>
      <c r="M437" s="26"/>
      <c r="N437" s="26"/>
      <c r="O437" s="8"/>
      <c r="P437" s="1"/>
      <c r="Q437" s="8"/>
      <c r="R437" s="8"/>
      <c r="S437" s="1"/>
      <c r="T437" s="8"/>
      <c r="U437" s="8"/>
      <c r="V437" s="16"/>
      <c r="W437" s="1"/>
      <c r="X437" s="1"/>
    </row>
    <row r="438" spans="1:24" ht="14.4">
      <c r="A438" s="1"/>
      <c r="B438" s="94"/>
      <c r="C438" s="8"/>
      <c r="D438" s="8"/>
      <c r="E438" s="8"/>
      <c r="F438" s="94"/>
      <c r="G438" s="94"/>
      <c r="H438" s="94"/>
      <c r="I438" s="94"/>
      <c r="J438" s="94"/>
      <c r="K438" s="94"/>
      <c r="L438" s="94"/>
      <c r="M438" s="26"/>
      <c r="N438" s="26"/>
      <c r="O438" s="8"/>
      <c r="P438" s="1"/>
      <c r="Q438" s="8"/>
      <c r="R438" s="8"/>
      <c r="S438" s="1"/>
      <c r="T438" s="8"/>
      <c r="U438" s="8"/>
      <c r="V438" s="16"/>
      <c r="W438" s="1"/>
      <c r="X438" s="1"/>
    </row>
    <row r="439" spans="1:24" ht="14.4">
      <c r="A439" s="1"/>
      <c r="B439" s="94"/>
      <c r="C439" s="8"/>
      <c r="D439" s="8"/>
      <c r="E439" s="8"/>
      <c r="F439" s="94"/>
      <c r="G439" s="94"/>
      <c r="H439" s="94"/>
      <c r="I439" s="94"/>
      <c r="J439" s="94"/>
      <c r="K439" s="94"/>
      <c r="L439" s="94"/>
      <c r="M439" s="26"/>
      <c r="N439" s="26"/>
      <c r="O439" s="8"/>
      <c r="P439" s="1"/>
      <c r="Q439" s="8"/>
      <c r="R439" s="8"/>
      <c r="S439" s="1"/>
      <c r="T439" s="8"/>
      <c r="U439" s="8"/>
      <c r="V439" s="16"/>
      <c r="W439" s="1"/>
      <c r="X439" s="1"/>
    </row>
    <row r="440" spans="1:24" ht="14.4">
      <c r="A440" s="1"/>
      <c r="B440" s="103"/>
      <c r="C440" s="8"/>
      <c r="D440" s="8"/>
      <c r="E440" s="8"/>
      <c r="F440" s="101"/>
      <c r="G440" s="101"/>
      <c r="H440" s="101"/>
      <c r="I440" s="101"/>
      <c r="J440" s="101"/>
      <c r="K440" s="101"/>
      <c r="L440" s="109"/>
      <c r="M440" s="26"/>
      <c r="N440" s="26"/>
      <c r="O440" s="8"/>
      <c r="P440" s="1"/>
      <c r="Q440" s="8"/>
      <c r="R440" s="8"/>
      <c r="S440" s="1"/>
      <c r="T440" s="8"/>
      <c r="U440" s="8"/>
      <c r="V440" s="16"/>
      <c r="W440" s="1"/>
      <c r="X440" s="1"/>
    </row>
    <row r="441" spans="1:24" ht="14.4">
      <c r="A441" s="1"/>
      <c r="B441" s="94"/>
      <c r="C441" s="8"/>
      <c r="D441" s="8"/>
      <c r="E441" s="8"/>
      <c r="F441" s="94"/>
      <c r="G441" s="94"/>
      <c r="H441" s="94"/>
      <c r="I441" s="94"/>
      <c r="J441" s="94"/>
      <c r="K441" s="94"/>
      <c r="L441" s="94"/>
      <c r="M441" s="26"/>
      <c r="N441" s="26"/>
      <c r="O441" s="8"/>
      <c r="P441" s="1"/>
      <c r="Q441" s="8"/>
      <c r="R441" s="8"/>
      <c r="S441" s="1"/>
      <c r="T441" s="8"/>
      <c r="U441" s="8"/>
      <c r="V441" s="16"/>
      <c r="W441" s="1"/>
      <c r="X441" s="1"/>
    </row>
    <row r="442" spans="1:24" ht="14.4">
      <c r="A442" s="1"/>
      <c r="B442" s="94"/>
      <c r="C442" s="8"/>
      <c r="D442" s="8"/>
      <c r="E442" s="8"/>
      <c r="F442" s="94"/>
      <c r="G442" s="94"/>
      <c r="H442" s="94"/>
      <c r="I442" s="94"/>
      <c r="J442" s="94"/>
      <c r="K442" s="94"/>
      <c r="L442" s="94"/>
      <c r="M442" s="26"/>
      <c r="N442" s="26"/>
      <c r="O442" s="8"/>
      <c r="P442" s="1"/>
      <c r="Q442" s="8"/>
      <c r="R442" s="8"/>
      <c r="S442" s="1"/>
      <c r="T442" s="8"/>
      <c r="U442" s="8"/>
      <c r="V442" s="16"/>
      <c r="W442" s="1"/>
      <c r="X442" s="1"/>
    </row>
    <row r="443" spans="1:24" ht="14.4">
      <c r="A443" s="1"/>
      <c r="B443" s="94"/>
      <c r="C443" s="8"/>
      <c r="D443" s="8"/>
      <c r="E443" s="8"/>
      <c r="F443" s="94"/>
      <c r="G443" s="94"/>
      <c r="H443" s="94"/>
      <c r="I443" s="94"/>
      <c r="J443" s="94"/>
      <c r="K443" s="94"/>
      <c r="L443" s="94"/>
      <c r="M443" s="26"/>
      <c r="N443" s="26"/>
      <c r="O443" s="8"/>
      <c r="P443" s="1"/>
      <c r="Q443" s="8"/>
      <c r="R443" s="8"/>
      <c r="S443" s="1"/>
      <c r="T443" s="8"/>
      <c r="U443" s="8"/>
      <c r="V443" s="16"/>
      <c r="W443" s="1"/>
      <c r="X443" s="1"/>
    </row>
    <row r="444" spans="1:24" ht="14.4">
      <c r="A444" s="1"/>
      <c r="B444" s="94"/>
      <c r="C444" s="8"/>
      <c r="D444" s="8"/>
      <c r="E444" s="8"/>
      <c r="F444" s="94"/>
      <c r="G444" s="94"/>
      <c r="H444" s="94"/>
      <c r="I444" s="94"/>
      <c r="J444" s="94"/>
      <c r="K444" s="94"/>
      <c r="L444" s="94"/>
      <c r="M444" s="26"/>
      <c r="N444" s="26"/>
      <c r="O444" s="8"/>
      <c r="P444" s="1"/>
      <c r="Q444" s="8"/>
      <c r="R444" s="8"/>
      <c r="S444" s="1"/>
      <c r="T444" s="8"/>
      <c r="U444" s="8"/>
      <c r="V444" s="16"/>
      <c r="W444" s="1"/>
      <c r="X444" s="1"/>
    </row>
    <row r="445" spans="1:24" ht="14.4">
      <c r="A445" s="1"/>
      <c r="B445" s="103"/>
      <c r="C445" s="8"/>
      <c r="D445" s="8"/>
      <c r="E445" s="8"/>
      <c r="F445" s="101"/>
      <c r="G445" s="101"/>
      <c r="H445" s="101"/>
      <c r="I445" s="101"/>
      <c r="J445" s="101"/>
      <c r="K445" s="101"/>
      <c r="L445" s="109"/>
      <c r="M445" s="26"/>
      <c r="N445" s="26"/>
      <c r="O445" s="8"/>
      <c r="P445" s="1"/>
      <c r="Q445" s="8"/>
      <c r="R445" s="8"/>
      <c r="S445" s="1"/>
      <c r="T445" s="8"/>
      <c r="U445" s="8"/>
      <c r="V445" s="16"/>
      <c r="W445" s="1"/>
      <c r="X445" s="1"/>
    </row>
    <row r="446" spans="1:24" ht="14.4">
      <c r="A446" s="1"/>
      <c r="B446" s="94"/>
      <c r="C446" s="8"/>
      <c r="D446" s="8"/>
      <c r="E446" s="8"/>
      <c r="F446" s="94"/>
      <c r="G446" s="94"/>
      <c r="H446" s="94"/>
      <c r="I446" s="94"/>
      <c r="J446" s="94"/>
      <c r="K446" s="94"/>
      <c r="L446" s="94"/>
      <c r="M446" s="26"/>
      <c r="N446" s="26"/>
      <c r="O446" s="8"/>
      <c r="P446" s="1"/>
      <c r="Q446" s="8"/>
      <c r="R446" s="8"/>
      <c r="S446" s="1"/>
      <c r="T446" s="8"/>
      <c r="U446" s="8"/>
      <c r="V446" s="16"/>
      <c r="W446" s="1"/>
      <c r="X446" s="1"/>
    </row>
    <row r="447" spans="1:24" ht="14.4">
      <c r="A447" s="1"/>
      <c r="B447" s="94"/>
      <c r="C447" s="8"/>
      <c r="D447" s="8"/>
      <c r="E447" s="8"/>
      <c r="F447" s="94"/>
      <c r="G447" s="94"/>
      <c r="H447" s="94"/>
      <c r="I447" s="94"/>
      <c r="J447" s="94"/>
      <c r="K447" s="94"/>
      <c r="L447" s="94"/>
      <c r="M447" s="26"/>
      <c r="N447" s="26"/>
      <c r="O447" s="8"/>
      <c r="P447" s="1"/>
      <c r="Q447" s="8"/>
      <c r="R447" s="8"/>
      <c r="S447" s="1"/>
      <c r="T447" s="8"/>
      <c r="U447" s="8"/>
      <c r="V447" s="16"/>
      <c r="W447" s="1"/>
      <c r="X447" s="1"/>
    </row>
    <row r="448" spans="1:24" ht="14.4">
      <c r="A448" s="1"/>
      <c r="B448" s="94"/>
      <c r="C448" s="8"/>
      <c r="D448" s="8"/>
      <c r="E448" s="8"/>
      <c r="F448" s="94"/>
      <c r="G448" s="94"/>
      <c r="H448" s="94"/>
      <c r="I448" s="94"/>
      <c r="J448" s="94"/>
      <c r="K448" s="94"/>
      <c r="L448" s="94"/>
      <c r="M448" s="26"/>
      <c r="N448" s="26"/>
      <c r="O448" s="8"/>
      <c r="P448" s="1"/>
      <c r="Q448" s="8"/>
      <c r="R448" s="8"/>
      <c r="S448" s="1"/>
      <c r="T448" s="8"/>
      <c r="U448" s="8"/>
      <c r="V448" s="16"/>
      <c r="W448" s="1"/>
      <c r="X448" s="1"/>
    </row>
    <row r="449" spans="1:24" ht="14.4">
      <c r="A449" s="1"/>
      <c r="B449" s="94"/>
      <c r="C449" s="8"/>
      <c r="D449" s="8"/>
      <c r="E449" s="8"/>
      <c r="F449" s="94"/>
      <c r="G449" s="94"/>
      <c r="H449" s="94"/>
      <c r="I449" s="94"/>
      <c r="J449" s="94"/>
      <c r="K449" s="94"/>
      <c r="L449" s="94"/>
      <c r="M449" s="26"/>
      <c r="N449" s="26"/>
      <c r="O449" s="8"/>
      <c r="P449" s="1"/>
      <c r="Q449" s="8"/>
      <c r="R449" s="8"/>
      <c r="S449" s="1"/>
      <c r="T449" s="8"/>
      <c r="U449" s="8"/>
      <c r="V449" s="16"/>
      <c r="W449" s="1"/>
      <c r="X449" s="1"/>
    </row>
    <row r="450" spans="1:24" ht="14.4">
      <c r="A450" s="1"/>
      <c r="B450" s="103"/>
      <c r="C450" s="8"/>
      <c r="D450" s="8"/>
      <c r="E450" s="8"/>
      <c r="F450" s="101"/>
      <c r="G450" s="101"/>
      <c r="H450" s="101"/>
      <c r="I450" s="101"/>
      <c r="J450" s="101"/>
      <c r="K450" s="101"/>
      <c r="L450" s="109"/>
      <c r="M450" s="26"/>
      <c r="N450" s="26"/>
      <c r="O450" s="8"/>
      <c r="P450" s="1"/>
      <c r="Q450" s="8"/>
      <c r="R450" s="8"/>
      <c r="S450" s="1"/>
      <c r="T450" s="8"/>
      <c r="U450" s="8"/>
      <c r="V450" s="16"/>
      <c r="W450" s="1"/>
      <c r="X450" s="1"/>
    </row>
    <row r="451" spans="1:24" ht="14.4">
      <c r="A451" s="1"/>
      <c r="B451" s="94"/>
      <c r="C451" s="8"/>
      <c r="D451" s="8"/>
      <c r="E451" s="8"/>
      <c r="F451" s="94"/>
      <c r="G451" s="94"/>
      <c r="H451" s="94"/>
      <c r="I451" s="94"/>
      <c r="J451" s="94"/>
      <c r="K451" s="94"/>
      <c r="L451" s="94"/>
      <c r="M451" s="26"/>
      <c r="N451" s="26"/>
      <c r="O451" s="8"/>
      <c r="P451" s="1"/>
      <c r="Q451" s="8"/>
      <c r="R451" s="8"/>
      <c r="S451" s="1"/>
      <c r="T451" s="8"/>
      <c r="U451" s="8"/>
      <c r="V451" s="16"/>
      <c r="W451" s="1"/>
      <c r="X451" s="1"/>
    </row>
    <row r="452" spans="1:24" ht="14.4">
      <c r="A452" s="1"/>
      <c r="B452" s="94"/>
      <c r="C452" s="8"/>
      <c r="D452" s="8"/>
      <c r="E452" s="8"/>
      <c r="F452" s="94"/>
      <c r="G452" s="94"/>
      <c r="H452" s="94"/>
      <c r="I452" s="94"/>
      <c r="J452" s="94"/>
      <c r="K452" s="94"/>
      <c r="L452" s="94"/>
      <c r="M452" s="26"/>
      <c r="N452" s="26"/>
      <c r="O452" s="8"/>
      <c r="P452" s="1"/>
      <c r="Q452" s="8"/>
      <c r="R452" s="8"/>
      <c r="S452" s="1"/>
      <c r="T452" s="8"/>
      <c r="U452" s="8"/>
      <c r="V452" s="16"/>
      <c r="W452" s="1"/>
      <c r="X452" s="1"/>
    </row>
    <row r="453" spans="1:24" ht="14.4">
      <c r="A453" s="1"/>
      <c r="B453" s="94"/>
      <c r="C453" s="8"/>
      <c r="D453" s="8"/>
      <c r="E453" s="8"/>
      <c r="F453" s="94"/>
      <c r="G453" s="94"/>
      <c r="H453" s="94"/>
      <c r="I453" s="94"/>
      <c r="J453" s="94"/>
      <c r="K453" s="94"/>
      <c r="L453" s="94"/>
      <c r="M453" s="26"/>
      <c r="N453" s="26"/>
      <c r="O453" s="8"/>
      <c r="P453" s="1"/>
      <c r="Q453" s="8"/>
      <c r="R453" s="8"/>
      <c r="S453" s="1"/>
      <c r="T453" s="8"/>
      <c r="U453" s="8"/>
      <c r="V453" s="16"/>
      <c r="W453" s="1"/>
      <c r="X453" s="1"/>
    </row>
    <row r="454" spans="1:24" ht="14.4">
      <c r="A454" s="1"/>
      <c r="B454" s="94"/>
      <c r="C454" s="8"/>
      <c r="D454" s="8"/>
      <c r="E454" s="8"/>
      <c r="F454" s="94"/>
      <c r="G454" s="94"/>
      <c r="H454" s="94"/>
      <c r="I454" s="94"/>
      <c r="J454" s="94"/>
      <c r="K454" s="94"/>
      <c r="L454" s="94"/>
      <c r="M454" s="26"/>
      <c r="N454" s="26"/>
      <c r="O454" s="8"/>
      <c r="P454" s="1"/>
      <c r="Q454" s="8"/>
      <c r="R454" s="8"/>
      <c r="S454" s="1"/>
      <c r="T454" s="8"/>
      <c r="U454" s="8"/>
      <c r="V454" s="16"/>
      <c r="W454" s="1"/>
      <c r="X454" s="1"/>
    </row>
    <row r="455" spans="1:24" ht="14.4">
      <c r="A455" s="1"/>
      <c r="B455" s="103"/>
      <c r="C455" s="8"/>
      <c r="D455" s="8"/>
      <c r="E455" s="8"/>
      <c r="F455" s="101"/>
      <c r="G455" s="101"/>
      <c r="H455" s="101"/>
      <c r="I455" s="101"/>
      <c r="J455" s="101"/>
      <c r="K455" s="101"/>
      <c r="L455" s="109"/>
      <c r="M455" s="26"/>
      <c r="N455" s="26"/>
      <c r="O455" s="8"/>
      <c r="P455" s="1"/>
      <c r="Q455" s="8"/>
      <c r="R455" s="8"/>
      <c r="S455" s="1"/>
      <c r="T455" s="8"/>
      <c r="U455" s="8"/>
      <c r="V455" s="16"/>
      <c r="W455" s="1"/>
      <c r="X455" s="1"/>
    </row>
    <row r="456" spans="1:24" ht="14.4">
      <c r="A456" s="1"/>
      <c r="B456" s="94"/>
      <c r="C456" s="8"/>
      <c r="D456" s="8"/>
      <c r="E456" s="8"/>
      <c r="F456" s="94"/>
      <c r="G456" s="94"/>
      <c r="H456" s="94"/>
      <c r="I456" s="94"/>
      <c r="J456" s="94"/>
      <c r="K456" s="94"/>
      <c r="L456" s="94"/>
      <c r="M456" s="26"/>
      <c r="N456" s="26"/>
      <c r="O456" s="8"/>
      <c r="P456" s="1"/>
      <c r="Q456" s="8"/>
      <c r="R456" s="8"/>
      <c r="S456" s="1"/>
      <c r="T456" s="8"/>
      <c r="U456" s="8"/>
      <c r="V456" s="16"/>
      <c r="W456" s="1"/>
      <c r="X456" s="1"/>
    </row>
    <row r="457" spans="1:24" ht="14.4">
      <c r="A457" s="1"/>
      <c r="B457" s="94"/>
      <c r="C457" s="8"/>
      <c r="D457" s="8"/>
      <c r="E457" s="8"/>
      <c r="F457" s="94"/>
      <c r="G457" s="94"/>
      <c r="H457" s="94"/>
      <c r="I457" s="94"/>
      <c r="J457" s="94"/>
      <c r="K457" s="94"/>
      <c r="L457" s="94"/>
      <c r="M457" s="26"/>
      <c r="N457" s="26"/>
      <c r="O457" s="8"/>
      <c r="P457" s="1"/>
      <c r="Q457" s="8"/>
      <c r="R457" s="8"/>
      <c r="S457" s="1"/>
      <c r="T457" s="8"/>
      <c r="U457" s="8"/>
      <c r="V457" s="16"/>
      <c r="W457" s="1"/>
      <c r="X457" s="1"/>
    </row>
    <row r="458" spans="1:24" ht="14.4">
      <c r="A458" s="1"/>
      <c r="B458" s="94"/>
      <c r="C458" s="8"/>
      <c r="D458" s="8"/>
      <c r="E458" s="8"/>
      <c r="F458" s="94"/>
      <c r="G458" s="94"/>
      <c r="H458" s="94"/>
      <c r="I458" s="94"/>
      <c r="J458" s="94"/>
      <c r="K458" s="94"/>
      <c r="L458" s="94"/>
      <c r="M458" s="26"/>
      <c r="N458" s="26"/>
      <c r="O458" s="8"/>
      <c r="P458" s="1"/>
      <c r="Q458" s="8"/>
      <c r="R458" s="8"/>
      <c r="S458" s="1"/>
      <c r="T458" s="8"/>
      <c r="U458" s="8"/>
      <c r="V458" s="16"/>
      <c r="W458" s="1"/>
      <c r="X458" s="1"/>
    </row>
    <row r="459" spans="1:24" ht="14.4">
      <c r="A459" s="1"/>
      <c r="B459" s="94"/>
      <c r="C459" s="8"/>
      <c r="D459" s="8"/>
      <c r="E459" s="8"/>
      <c r="F459" s="94"/>
      <c r="G459" s="94"/>
      <c r="H459" s="94"/>
      <c r="I459" s="94"/>
      <c r="J459" s="94"/>
      <c r="K459" s="94"/>
      <c r="L459" s="94"/>
      <c r="M459" s="26"/>
      <c r="N459" s="26"/>
      <c r="O459" s="8"/>
      <c r="P459" s="1"/>
      <c r="Q459" s="8"/>
      <c r="R459" s="8"/>
      <c r="S459" s="1"/>
      <c r="T459" s="8"/>
      <c r="U459" s="8"/>
      <c r="V459" s="16"/>
      <c r="W459" s="1"/>
      <c r="X459" s="1"/>
    </row>
    <row r="460" spans="1:24" ht="14.4">
      <c r="A460" s="1"/>
      <c r="B460" s="103"/>
      <c r="C460" s="8"/>
      <c r="D460" s="8"/>
      <c r="E460" s="8"/>
      <c r="F460" s="101"/>
      <c r="G460" s="101"/>
      <c r="H460" s="101"/>
      <c r="I460" s="101"/>
      <c r="J460" s="101"/>
      <c r="K460" s="101"/>
      <c r="L460" s="109"/>
      <c r="M460" s="26"/>
      <c r="N460" s="26"/>
      <c r="O460" s="8"/>
      <c r="P460" s="1"/>
      <c r="Q460" s="8"/>
      <c r="R460" s="8"/>
      <c r="S460" s="1"/>
      <c r="T460" s="8"/>
      <c r="U460" s="8"/>
      <c r="V460" s="16"/>
      <c r="W460" s="1"/>
      <c r="X460" s="1"/>
    </row>
    <row r="461" spans="1:24" ht="14.4">
      <c r="A461" s="1"/>
      <c r="B461" s="94"/>
      <c r="C461" s="8"/>
      <c r="D461" s="8"/>
      <c r="E461" s="8"/>
      <c r="F461" s="94"/>
      <c r="G461" s="94"/>
      <c r="H461" s="94"/>
      <c r="I461" s="94"/>
      <c r="J461" s="94"/>
      <c r="K461" s="94"/>
      <c r="L461" s="94"/>
      <c r="M461" s="26"/>
      <c r="N461" s="26"/>
      <c r="O461" s="8"/>
      <c r="P461" s="1"/>
      <c r="Q461" s="8"/>
      <c r="R461" s="8"/>
      <c r="S461" s="1"/>
      <c r="T461" s="8"/>
      <c r="U461" s="8"/>
      <c r="V461" s="16"/>
      <c r="W461" s="1"/>
      <c r="X461" s="1"/>
    </row>
    <row r="462" spans="1:24" ht="14.4">
      <c r="A462" s="1"/>
      <c r="B462" s="94"/>
      <c r="C462" s="8"/>
      <c r="D462" s="8"/>
      <c r="E462" s="8"/>
      <c r="F462" s="94"/>
      <c r="G462" s="94"/>
      <c r="H462" s="94"/>
      <c r="I462" s="94"/>
      <c r="J462" s="94"/>
      <c r="K462" s="94"/>
      <c r="L462" s="94"/>
      <c r="M462" s="26"/>
      <c r="N462" s="26"/>
      <c r="O462" s="8"/>
      <c r="P462" s="1"/>
      <c r="Q462" s="8"/>
      <c r="R462" s="8"/>
      <c r="S462" s="1"/>
      <c r="T462" s="8"/>
      <c r="U462" s="8"/>
      <c r="V462" s="16"/>
      <c r="W462" s="1"/>
      <c r="X462" s="1"/>
    </row>
    <row r="463" spans="1:24" ht="14.4">
      <c r="A463" s="1"/>
      <c r="B463" s="94"/>
      <c r="C463" s="8"/>
      <c r="D463" s="8"/>
      <c r="E463" s="8"/>
      <c r="F463" s="94"/>
      <c r="G463" s="94"/>
      <c r="H463" s="94"/>
      <c r="I463" s="94"/>
      <c r="J463" s="94"/>
      <c r="K463" s="94"/>
      <c r="L463" s="94"/>
      <c r="M463" s="26"/>
      <c r="N463" s="26"/>
      <c r="O463" s="8"/>
      <c r="P463" s="1"/>
      <c r="Q463" s="8"/>
      <c r="R463" s="8"/>
      <c r="S463" s="1"/>
      <c r="T463" s="8"/>
      <c r="U463" s="8"/>
      <c r="V463" s="16"/>
      <c r="W463" s="1"/>
      <c r="X463" s="1"/>
    </row>
    <row r="464" spans="1:24" ht="14.4">
      <c r="A464" s="1"/>
      <c r="B464" s="94"/>
      <c r="C464" s="8"/>
      <c r="D464" s="8"/>
      <c r="E464" s="8"/>
      <c r="F464" s="94"/>
      <c r="G464" s="94"/>
      <c r="H464" s="94"/>
      <c r="I464" s="94"/>
      <c r="J464" s="94"/>
      <c r="K464" s="94"/>
      <c r="L464" s="94"/>
      <c r="M464" s="26"/>
      <c r="N464" s="26"/>
      <c r="O464" s="8"/>
      <c r="P464" s="1"/>
      <c r="Q464" s="8"/>
      <c r="R464" s="8"/>
      <c r="S464" s="1"/>
      <c r="T464" s="8"/>
      <c r="U464" s="8"/>
      <c r="V464" s="16"/>
      <c r="W464" s="1"/>
      <c r="X464" s="1"/>
    </row>
    <row r="465" spans="1:24" ht="14.4">
      <c r="A465" s="1"/>
      <c r="B465" s="103"/>
      <c r="C465" s="8"/>
      <c r="D465" s="8"/>
      <c r="E465" s="8"/>
      <c r="F465" s="101"/>
      <c r="G465" s="101"/>
      <c r="H465" s="101"/>
      <c r="I465" s="101"/>
      <c r="J465" s="101"/>
      <c r="K465" s="101"/>
      <c r="L465" s="109"/>
      <c r="M465" s="26"/>
      <c r="N465" s="26"/>
      <c r="O465" s="8"/>
      <c r="P465" s="1"/>
      <c r="Q465" s="8"/>
      <c r="R465" s="8"/>
      <c r="S465" s="1"/>
      <c r="T465" s="8"/>
      <c r="U465" s="8"/>
      <c r="V465" s="16"/>
      <c r="W465" s="1"/>
      <c r="X465" s="1"/>
    </row>
    <row r="466" spans="1:24" ht="14.4">
      <c r="A466" s="1"/>
      <c r="B466" s="94"/>
      <c r="C466" s="8"/>
      <c r="D466" s="8"/>
      <c r="E466" s="8"/>
      <c r="F466" s="94"/>
      <c r="G466" s="94"/>
      <c r="H466" s="94"/>
      <c r="I466" s="94"/>
      <c r="J466" s="94"/>
      <c r="K466" s="94"/>
      <c r="L466" s="94"/>
      <c r="M466" s="26"/>
      <c r="N466" s="26"/>
      <c r="O466" s="8"/>
      <c r="P466" s="1"/>
      <c r="Q466" s="8"/>
      <c r="R466" s="8"/>
      <c r="S466" s="1"/>
      <c r="T466" s="8"/>
      <c r="U466" s="8"/>
      <c r="V466" s="16"/>
      <c r="W466" s="1"/>
      <c r="X466" s="1"/>
    </row>
    <row r="467" spans="1:24" ht="14.4">
      <c r="A467" s="1"/>
      <c r="B467" s="94"/>
      <c r="C467" s="8"/>
      <c r="D467" s="8"/>
      <c r="E467" s="8"/>
      <c r="F467" s="94"/>
      <c r="G467" s="94"/>
      <c r="H467" s="94"/>
      <c r="I467" s="94"/>
      <c r="J467" s="94"/>
      <c r="K467" s="94"/>
      <c r="L467" s="94"/>
      <c r="M467" s="26"/>
      <c r="N467" s="26"/>
      <c r="O467" s="8"/>
      <c r="P467" s="1"/>
      <c r="Q467" s="8"/>
      <c r="R467" s="8"/>
      <c r="S467" s="1"/>
      <c r="T467" s="8"/>
      <c r="U467" s="8"/>
      <c r="V467" s="16"/>
      <c r="W467" s="1"/>
      <c r="X467" s="1"/>
    </row>
    <row r="468" spans="1:24" ht="14.4">
      <c r="A468" s="1"/>
      <c r="B468" s="94"/>
      <c r="C468" s="8"/>
      <c r="D468" s="8"/>
      <c r="E468" s="8"/>
      <c r="F468" s="94"/>
      <c r="G468" s="94"/>
      <c r="H468" s="94"/>
      <c r="I468" s="94"/>
      <c r="J468" s="94"/>
      <c r="K468" s="94"/>
      <c r="L468" s="94"/>
      <c r="M468" s="26"/>
      <c r="N468" s="26"/>
      <c r="O468" s="8"/>
      <c r="P468" s="1"/>
      <c r="Q468" s="8"/>
      <c r="R468" s="8"/>
      <c r="S468" s="1"/>
      <c r="T468" s="8"/>
      <c r="U468" s="8"/>
      <c r="V468" s="16"/>
      <c r="W468" s="1"/>
      <c r="X468" s="1"/>
    </row>
    <row r="469" spans="1:24" ht="14.4">
      <c r="A469" s="1"/>
      <c r="B469" s="94"/>
      <c r="C469" s="8"/>
      <c r="D469" s="8"/>
      <c r="E469" s="8"/>
      <c r="F469" s="94"/>
      <c r="G469" s="94"/>
      <c r="H469" s="94"/>
      <c r="I469" s="94"/>
      <c r="J469" s="94"/>
      <c r="K469" s="94"/>
      <c r="L469" s="94"/>
      <c r="M469" s="26"/>
      <c r="N469" s="26"/>
      <c r="O469" s="8"/>
      <c r="P469" s="1"/>
      <c r="Q469" s="8"/>
      <c r="R469" s="8"/>
      <c r="S469" s="1"/>
      <c r="T469" s="8"/>
      <c r="U469" s="8"/>
      <c r="V469" s="16"/>
      <c r="W469" s="1"/>
      <c r="X469" s="1"/>
    </row>
    <row r="470" spans="1:24" ht="14.4">
      <c r="A470" s="1"/>
      <c r="B470" s="103"/>
      <c r="C470" s="8"/>
      <c r="D470" s="8"/>
      <c r="E470" s="8"/>
      <c r="F470" s="101"/>
      <c r="G470" s="101"/>
      <c r="H470" s="101"/>
      <c r="I470" s="101"/>
      <c r="J470" s="101"/>
      <c r="K470" s="101"/>
      <c r="L470" s="109"/>
      <c r="M470" s="26"/>
      <c r="N470" s="26"/>
      <c r="O470" s="8"/>
      <c r="P470" s="1"/>
      <c r="Q470" s="8"/>
      <c r="R470" s="8"/>
      <c r="S470" s="1"/>
      <c r="T470" s="8"/>
      <c r="U470" s="8"/>
      <c r="V470" s="16"/>
      <c r="W470" s="1"/>
      <c r="X470" s="1"/>
    </row>
    <row r="471" spans="1:24" ht="14.4">
      <c r="A471" s="1"/>
      <c r="B471" s="94"/>
      <c r="C471" s="8"/>
      <c r="D471" s="8"/>
      <c r="E471" s="8"/>
      <c r="F471" s="94"/>
      <c r="G471" s="94"/>
      <c r="H471" s="94"/>
      <c r="I471" s="94"/>
      <c r="J471" s="94"/>
      <c r="K471" s="94"/>
      <c r="L471" s="94"/>
      <c r="M471" s="26"/>
      <c r="N471" s="26"/>
      <c r="O471" s="8"/>
      <c r="P471" s="1"/>
      <c r="Q471" s="8"/>
      <c r="R471" s="8"/>
      <c r="S471" s="1"/>
      <c r="T471" s="8"/>
      <c r="U471" s="8"/>
      <c r="V471" s="16"/>
      <c r="W471" s="1"/>
      <c r="X471" s="1"/>
    </row>
    <row r="472" spans="1:24" ht="14.4">
      <c r="A472" s="1"/>
      <c r="B472" s="94"/>
      <c r="C472" s="8"/>
      <c r="D472" s="8"/>
      <c r="E472" s="8"/>
      <c r="F472" s="94"/>
      <c r="G472" s="94"/>
      <c r="H472" s="94"/>
      <c r="I472" s="94"/>
      <c r="J472" s="94"/>
      <c r="K472" s="94"/>
      <c r="L472" s="94"/>
      <c r="M472" s="26"/>
      <c r="N472" s="26"/>
      <c r="O472" s="8"/>
      <c r="P472" s="1"/>
      <c r="Q472" s="8"/>
      <c r="R472" s="8"/>
      <c r="S472" s="1"/>
      <c r="T472" s="8"/>
      <c r="U472" s="8"/>
      <c r="V472" s="16"/>
      <c r="W472" s="1"/>
      <c r="X472" s="1"/>
    </row>
    <row r="473" spans="1:24" ht="14.4">
      <c r="A473" s="1"/>
      <c r="B473" s="94"/>
      <c r="C473" s="8"/>
      <c r="D473" s="8"/>
      <c r="E473" s="8"/>
      <c r="F473" s="94"/>
      <c r="G473" s="94"/>
      <c r="H473" s="94"/>
      <c r="I473" s="94"/>
      <c r="J473" s="94"/>
      <c r="K473" s="94"/>
      <c r="L473" s="94"/>
      <c r="M473" s="26"/>
      <c r="N473" s="26"/>
      <c r="O473" s="8"/>
      <c r="P473" s="1"/>
      <c r="Q473" s="8"/>
      <c r="R473" s="8"/>
      <c r="S473" s="1"/>
      <c r="T473" s="8"/>
      <c r="U473" s="8"/>
      <c r="V473" s="16"/>
      <c r="W473" s="1"/>
      <c r="X473" s="1"/>
    </row>
    <row r="474" spans="1:24" ht="14.4">
      <c r="A474" s="1"/>
      <c r="B474" s="94"/>
      <c r="C474" s="8"/>
      <c r="D474" s="8"/>
      <c r="E474" s="8"/>
      <c r="F474" s="94"/>
      <c r="G474" s="94"/>
      <c r="H474" s="94"/>
      <c r="I474" s="94"/>
      <c r="J474" s="94"/>
      <c r="K474" s="94"/>
      <c r="L474" s="94"/>
      <c r="M474" s="26"/>
      <c r="N474" s="26"/>
      <c r="O474" s="8"/>
      <c r="P474" s="1"/>
      <c r="Q474" s="8"/>
      <c r="R474" s="8"/>
      <c r="S474" s="1"/>
      <c r="T474" s="8"/>
      <c r="U474" s="8"/>
      <c r="V474" s="16"/>
      <c r="W474" s="1"/>
      <c r="X474" s="1"/>
    </row>
    <row r="475" spans="1:24" ht="14.4">
      <c r="A475" s="1"/>
      <c r="B475" s="103"/>
      <c r="C475" s="8"/>
      <c r="D475" s="8"/>
      <c r="E475" s="8"/>
      <c r="F475" s="101"/>
      <c r="G475" s="101"/>
      <c r="H475" s="101"/>
      <c r="I475" s="101"/>
      <c r="J475" s="101"/>
      <c r="K475" s="101"/>
      <c r="L475" s="109"/>
      <c r="M475" s="26"/>
      <c r="N475" s="26"/>
      <c r="O475" s="8"/>
      <c r="P475" s="1"/>
      <c r="Q475" s="8"/>
      <c r="R475" s="8"/>
      <c r="S475" s="1"/>
      <c r="T475" s="8"/>
      <c r="U475" s="8"/>
      <c r="V475" s="16"/>
      <c r="W475" s="1"/>
      <c r="X475" s="1"/>
    </row>
    <row r="476" spans="1:24" ht="14.4">
      <c r="A476" s="1"/>
      <c r="B476" s="94"/>
      <c r="C476" s="8"/>
      <c r="D476" s="8"/>
      <c r="E476" s="8"/>
      <c r="F476" s="94"/>
      <c r="G476" s="94"/>
      <c r="H476" s="94"/>
      <c r="I476" s="94"/>
      <c r="J476" s="94"/>
      <c r="K476" s="94"/>
      <c r="L476" s="94"/>
      <c r="M476" s="26"/>
      <c r="N476" s="26"/>
      <c r="O476" s="8"/>
      <c r="P476" s="1"/>
      <c r="Q476" s="8"/>
      <c r="R476" s="8"/>
      <c r="S476" s="1"/>
      <c r="T476" s="8"/>
      <c r="U476" s="8"/>
      <c r="V476" s="16"/>
      <c r="W476" s="1"/>
      <c r="X476" s="1"/>
    </row>
    <row r="477" spans="1:24" ht="14.4">
      <c r="A477" s="1"/>
      <c r="B477" s="94"/>
      <c r="C477" s="8"/>
      <c r="D477" s="8"/>
      <c r="E477" s="8"/>
      <c r="F477" s="94"/>
      <c r="G477" s="94"/>
      <c r="H477" s="94"/>
      <c r="I477" s="94"/>
      <c r="J477" s="94"/>
      <c r="K477" s="94"/>
      <c r="L477" s="94"/>
      <c r="M477" s="26"/>
      <c r="N477" s="26"/>
      <c r="O477" s="8"/>
      <c r="P477" s="1"/>
      <c r="Q477" s="8"/>
      <c r="R477" s="8"/>
      <c r="S477" s="1"/>
      <c r="T477" s="8"/>
      <c r="U477" s="8"/>
      <c r="V477" s="16"/>
      <c r="W477" s="1"/>
      <c r="X477" s="1"/>
    </row>
    <row r="478" spans="1:24" ht="14.4">
      <c r="A478" s="1"/>
      <c r="B478" s="94"/>
      <c r="C478" s="8"/>
      <c r="D478" s="8"/>
      <c r="E478" s="8"/>
      <c r="F478" s="94"/>
      <c r="G478" s="94"/>
      <c r="H478" s="94"/>
      <c r="I478" s="94"/>
      <c r="J478" s="94"/>
      <c r="K478" s="94"/>
      <c r="L478" s="94"/>
      <c r="M478" s="26"/>
      <c r="N478" s="26"/>
      <c r="O478" s="8"/>
      <c r="P478" s="1"/>
      <c r="Q478" s="8"/>
      <c r="R478" s="8"/>
      <c r="S478" s="1"/>
      <c r="T478" s="8"/>
      <c r="U478" s="8"/>
      <c r="V478" s="16"/>
      <c r="W478" s="1"/>
      <c r="X478" s="1"/>
    </row>
    <row r="479" spans="1:24" ht="14.4">
      <c r="A479" s="1"/>
      <c r="B479" s="94"/>
      <c r="C479" s="8"/>
      <c r="D479" s="8"/>
      <c r="E479" s="8"/>
      <c r="F479" s="94"/>
      <c r="G479" s="94"/>
      <c r="H479" s="94"/>
      <c r="I479" s="94"/>
      <c r="J479" s="94"/>
      <c r="K479" s="94"/>
      <c r="L479" s="94"/>
      <c r="M479" s="26"/>
      <c r="N479" s="26"/>
      <c r="O479" s="8"/>
      <c r="P479" s="1"/>
      <c r="Q479" s="8"/>
      <c r="R479" s="8"/>
      <c r="S479" s="1"/>
      <c r="T479" s="8"/>
      <c r="U479" s="8"/>
      <c r="V479" s="16"/>
      <c r="W479" s="1"/>
      <c r="X479" s="1"/>
    </row>
    <row r="480" spans="1:24" ht="14.4">
      <c r="A480" s="1"/>
      <c r="B480" s="103"/>
      <c r="C480" s="8"/>
      <c r="D480" s="8"/>
      <c r="E480" s="8"/>
      <c r="F480" s="101"/>
      <c r="G480" s="101"/>
      <c r="H480" s="101"/>
      <c r="I480" s="101"/>
      <c r="J480" s="101"/>
      <c r="K480" s="101"/>
      <c r="L480" s="109"/>
      <c r="M480" s="26"/>
      <c r="N480" s="26"/>
      <c r="O480" s="8"/>
      <c r="P480" s="1"/>
      <c r="Q480" s="8"/>
      <c r="R480" s="8"/>
      <c r="S480" s="1"/>
      <c r="T480" s="8"/>
      <c r="U480" s="8"/>
      <c r="V480" s="16"/>
      <c r="W480" s="1"/>
      <c r="X480" s="1"/>
    </row>
    <row r="481" spans="1:24" ht="14.4">
      <c r="A481" s="1"/>
      <c r="B481" s="94"/>
      <c r="C481" s="8"/>
      <c r="D481" s="8"/>
      <c r="E481" s="8"/>
      <c r="F481" s="94"/>
      <c r="G481" s="94"/>
      <c r="H481" s="94"/>
      <c r="I481" s="94"/>
      <c r="J481" s="94"/>
      <c r="K481" s="94"/>
      <c r="L481" s="94"/>
      <c r="M481" s="26"/>
      <c r="N481" s="26"/>
      <c r="O481" s="8"/>
      <c r="P481" s="1"/>
      <c r="Q481" s="8"/>
      <c r="R481" s="8"/>
      <c r="S481" s="1"/>
      <c r="T481" s="8"/>
      <c r="U481" s="8"/>
      <c r="V481" s="16"/>
      <c r="W481" s="1"/>
      <c r="X481" s="1"/>
    </row>
    <row r="482" spans="1:24" ht="14.4">
      <c r="A482" s="1"/>
      <c r="B482" s="94"/>
      <c r="C482" s="8"/>
      <c r="D482" s="8"/>
      <c r="E482" s="8"/>
      <c r="F482" s="94"/>
      <c r="G482" s="94"/>
      <c r="H482" s="94"/>
      <c r="I482" s="94"/>
      <c r="J482" s="94"/>
      <c r="K482" s="94"/>
      <c r="L482" s="94"/>
      <c r="M482" s="26"/>
      <c r="N482" s="26"/>
      <c r="O482" s="8"/>
      <c r="P482" s="1"/>
      <c r="Q482" s="8"/>
      <c r="R482" s="8"/>
      <c r="S482" s="1"/>
      <c r="T482" s="8"/>
      <c r="U482" s="8"/>
      <c r="V482" s="16"/>
      <c r="W482" s="1"/>
      <c r="X482" s="1"/>
    </row>
    <row r="483" spans="1:24" ht="14.4">
      <c r="A483" s="1"/>
      <c r="B483" s="94"/>
      <c r="C483" s="8"/>
      <c r="D483" s="8"/>
      <c r="E483" s="8"/>
      <c r="F483" s="94"/>
      <c r="G483" s="94"/>
      <c r="H483" s="94"/>
      <c r="I483" s="94"/>
      <c r="J483" s="94"/>
      <c r="K483" s="94"/>
      <c r="L483" s="94"/>
      <c r="M483" s="26"/>
      <c r="N483" s="26"/>
      <c r="O483" s="8"/>
      <c r="P483" s="1"/>
      <c r="Q483" s="8"/>
      <c r="R483" s="8"/>
      <c r="S483" s="1"/>
      <c r="T483" s="8"/>
      <c r="U483" s="8"/>
      <c r="V483" s="16"/>
      <c r="W483" s="1"/>
      <c r="X483" s="1"/>
    </row>
    <row r="484" spans="1:24" ht="14.4">
      <c r="A484" s="1"/>
      <c r="B484" s="94"/>
      <c r="C484" s="8"/>
      <c r="D484" s="8"/>
      <c r="E484" s="8"/>
      <c r="F484" s="94"/>
      <c r="G484" s="94"/>
      <c r="H484" s="94"/>
      <c r="I484" s="94"/>
      <c r="J484" s="94"/>
      <c r="K484" s="94"/>
      <c r="L484" s="94"/>
      <c r="M484" s="26"/>
      <c r="N484" s="26"/>
      <c r="O484" s="8"/>
      <c r="P484" s="1"/>
      <c r="Q484" s="8"/>
      <c r="R484" s="8"/>
      <c r="S484" s="1"/>
      <c r="T484" s="8"/>
      <c r="U484" s="8"/>
      <c r="V484" s="16"/>
      <c r="W484" s="1"/>
      <c r="X484" s="1"/>
    </row>
    <row r="485" spans="1:24" ht="14.4">
      <c r="A485" s="1"/>
      <c r="B485" s="103"/>
      <c r="C485" s="8"/>
      <c r="D485" s="8"/>
      <c r="E485" s="8"/>
      <c r="F485" s="101"/>
      <c r="G485" s="101"/>
      <c r="H485" s="101"/>
      <c r="I485" s="101"/>
      <c r="J485" s="101"/>
      <c r="K485" s="101"/>
      <c r="L485" s="109"/>
      <c r="M485" s="26"/>
      <c r="N485" s="26"/>
      <c r="O485" s="8"/>
      <c r="P485" s="1"/>
      <c r="Q485" s="8"/>
      <c r="R485" s="8"/>
      <c r="S485" s="1"/>
      <c r="T485" s="8"/>
      <c r="U485" s="8"/>
      <c r="V485" s="16"/>
      <c r="W485" s="1"/>
      <c r="X485" s="1"/>
    </row>
    <row r="486" spans="1:24" ht="14.4">
      <c r="A486" s="1"/>
      <c r="B486" s="94"/>
      <c r="C486" s="8"/>
      <c r="D486" s="8"/>
      <c r="E486" s="8"/>
      <c r="F486" s="94"/>
      <c r="G486" s="94"/>
      <c r="H486" s="94"/>
      <c r="I486" s="94"/>
      <c r="J486" s="94"/>
      <c r="K486" s="94"/>
      <c r="L486" s="94"/>
      <c r="M486" s="26"/>
      <c r="N486" s="26"/>
      <c r="O486" s="8"/>
      <c r="P486" s="1"/>
      <c r="Q486" s="8"/>
      <c r="R486" s="8"/>
      <c r="S486" s="1"/>
      <c r="T486" s="8"/>
      <c r="U486" s="8"/>
      <c r="V486" s="16"/>
      <c r="W486" s="1"/>
      <c r="X486" s="1"/>
    </row>
    <row r="487" spans="1:24" ht="14.4">
      <c r="A487" s="1"/>
      <c r="B487" s="94"/>
      <c r="C487" s="8"/>
      <c r="D487" s="8"/>
      <c r="E487" s="8"/>
      <c r="F487" s="94"/>
      <c r="G487" s="94"/>
      <c r="H487" s="94"/>
      <c r="I487" s="94"/>
      <c r="J487" s="94"/>
      <c r="K487" s="94"/>
      <c r="L487" s="94"/>
      <c r="M487" s="26"/>
      <c r="N487" s="26"/>
      <c r="O487" s="8"/>
      <c r="P487" s="1"/>
      <c r="Q487" s="8"/>
      <c r="R487" s="8"/>
      <c r="S487" s="1"/>
      <c r="T487" s="8"/>
      <c r="U487" s="8"/>
      <c r="V487" s="16"/>
      <c r="W487" s="1"/>
      <c r="X487" s="1"/>
    </row>
    <row r="488" spans="1:24" ht="14.4">
      <c r="A488" s="1"/>
      <c r="B488" s="94"/>
      <c r="C488" s="8"/>
      <c r="D488" s="8"/>
      <c r="E488" s="8"/>
      <c r="F488" s="94"/>
      <c r="G488" s="94"/>
      <c r="H488" s="94"/>
      <c r="I488" s="94"/>
      <c r="J488" s="94"/>
      <c r="K488" s="94"/>
      <c r="L488" s="94"/>
      <c r="M488" s="26"/>
      <c r="N488" s="26"/>
      <c r="O488" s="8"/>
      <c r="P488" s="1"/>
      <c r="Q488" s="8"/>
      <c r="R488" s="8"/>
      <c r="S488" s="1"/>
      <c r="T488" s="8"/>
      <c r="U488" s="8"/>
      <c r="V488" s="16"/>
      <c r="W488" s="1"/>
      <c r="X488" s="1"/>
    </row>
    <row r="489" spans="1:24" ht="14.4">
      <c r="A489" s="1"/>
      <c r="B489" s="94"/>
      <c r="C489" s="8"/>
      <c r="D489" s="8"/>
      <c r="E489" s="8"/>
      <c r="F489" s="94"/>
      <c r="G489" s="94"/>
      <c r="H489" s="94"/>
      <c r="I489" s="94"/>
      <c r="J489" s="94"/>
      <c r="K489" s="94"/>
      <c r="L489" s="94"/>
      <c r="M489" s="26"/>
      <c r="N489" s="26"/>
      <c r="O489" s="8"/>
      <c r="P489" s="1"/>
      <c r="Q489" s="8"/>
      <c r="R489" s="8"/>
      <c r="S489" s="1"/>
      <c r="T489" s="8"/>
      <c r="U489" s="8"/>
      <c r="V489" s="16"/>
      <c r="W489" s="1"/>
      <c r="X489" s="1"/>
    </row>
    <row r="490" spans="1:24" ht="14.4">
      <c r="A490" s="1"/>
      <c r="B490" s="103"/>
      <c r="C490" s="8"/>
      <c r="D490" s="8"/>
      <c r="E490" s="8"/>
      <c r="F490" s="101"/>
      <c r="G490" s="101"/>
      <c r="H490" s="101"/>
      <c r="I490" s="101"/>
      <c r="J490" s="101"/>
      <c r="K490" s="101"/>
      <c r="L490" s="109"/>
      <c r="M490" s="26"/>
      <c r="N490" s="26"/>
      <c r="O490" s="8"/>
      <c r="P490" s="1"/>
      <c r="Q490" s="8"/>
      <c r="R490" s="8"/>
      <c r="S490" s="1"/>
      <c r="T490" s="8"/>
      <c r="U490" s="8"/>
      <c r="V490" s="16"/>
      <c r="W490" s="1"/>
      <c r="X490" s="1"/>
    </row>
    <row r="491" spans="1:24" ht="14.4">
      <c r="A491" s="1"/>
      <c r="B491" s="94"/>
      <c r="C491" s="8"/>
      <c r="D491" s="8"/>
      <c r="E491" s="8"/>
      <c r="F491" s="94"/>
      <c r="G491" s="94"/>
      <c r="H491" s="94"/>
      <c r="I491" s="94"/>
      <c r="J491" s="94"/>
      <c r="K491" s="94"/>
      <c r="L491" s="94"/>
      <c r="M491" s="26"/>
      <c r="N491" s="26"/>
      <c r="O491" s="8"/>
      <c r="P491" s="1"/>
      <c r="Q491" s="8"/>
      <c r="R491" s="8"/>
      <c r="S491" s="1"/>
      <c r="T491" s="8"/>
      <c r="U491" s="8"/>
      <c r="V491" s="16"/>
      <c r="W491" s="1"/>
      <c r="X491" s="1"/>
    </row>
    <row r="492" spans="1:24" ht="14.4">
      <c r="A492" s="1"/>
      <c r="B492" s="94"/>
      <c r="C492" s="8"/>
      <c r="D492" s="8"/>
      <c r="E492" s="8"/>
      <c r="F492" s="94"/>
      <c r="G492" s="94"/>
      <c r="H492" s="94"/>
      <c r="I492" s="94"/>
      <c r="J492" s="94"/>
      <c r="K492" s="94"/>
      <c r="L492" s="94"/>
      <c r="M492" s="26"/>
      <c r="N492" s="26"/>
      <c r="O492" s="8"/>
      <c r="P492" s="1"/>
      <c r="Q492" s="8"/>
      <c r="R492" s="8"/>
      <c r="S492" s="1"/>
      <c r="T492" s="8"/>
      <c r="U492" s="8"/>
      <c r="V492" s="16"/>
      <c r="W492" s="1"/>
      <c r="X492" s="1"/>
    </row>
    <row r="493" spans="1:24" ht="14.4">
      <c r="A493" s="1"/>
      <c r="B493" s="94"/>
      <c r="C493" s="8"/>
      <c r="D493" s="8"/>
      <c r="E493" s="8"/>
      <c r="F493" s="94"/>
      <c r="G493" s="94"/>
      <c r="H493" s="94"/>
      <c r="I493" s="94"/>
      <c r="J493" s="94"/>
      <c r="K493" s="94"/>
      <c r="L493" s="94"/>
      <c r="M493" s="26"/>
      <c r="N493" s="26"/>
      <c r="O493" s="8"/>
      <c r="P493" s="1"/>
      <c r="Q493" s="8"/>
      <c r="R493" s="8"/>
      <c r="S493" s="1"/>
      <c r="T493" s="8"/>
      <c r="U493" s="8"/>
      <c r="V493" s="16"/>
      <c r="W493" s="1"/>
      <c r="X493" s="1"/>
    </row>
    <row r="494" spans="1:24" ht="14.4">
      <c r="A494" s="1"/>
      <c r="B494" s="94"/>
      <c r="C494" s="8"/>
      <c r="D494" s="8"/>
      <c r="E494" s="8"/>
      <c r="F494" s="94"/>
      <c r="G494" s="94"/>
      <c r="H494" s="94"/>
      <c r="I494" s="94"/>
      <c r="J494" s="94"/>
      <c r="K494" s="94"/>
      <c r="L494" s="94"/>
      <c r="M494" s="26"/>
      <c r="N494" s="26"/>
      <c r="O494" s="8"/>
      <c r="P494" s="1"/>
      <c r="Q494" s="8"/>
      <c r="R494" s="8"/>
      <c r="S494" s="1"/>
      <c r="T494" s="8"/>
      <c r="U494" s="8"/>
      <c r="V494" s="16"/>
      <c r="W494" s="1"/>
      <c r="X494" s="1"/>
    </row>
    <row r="495" spans="1:24" ht="14.4">
      <c r="A495" s="1"/>
      <c r="B495" s="103"/>
      <c r="C495" s="8"/>
      <c r="D495" s="8"/>
      <c r="E495" s="8"/>
      <c r="F495" s="101"/>
      <c r="G495" s="101"/>
      <c r="H495" s="101"/>
      <c r="I495" s="101"/>
      <c r="J495" s="101"/>
      <c r="K495" s="101"/>
      <c r="L495" s="109"/>
      <c r="M495" s="26"/>
      <c r="N495" s="26"/>
      <c r="O495" s="8"/>
      <c r="P495" s="1"/>
      <c r="Q495" s="8"/>
      <c r="R495" s="8"/>
      <c r="S495" s="1"/>
      <c r="T495" s="8"/>
      <c r="U495" s="8"/>
      <c r="V495" s="16"/>
      <c r="W495" s="1"/>
      <c r="X495" s="1"/>
    </row>
    <row r="496" spans="1:24" ht="14.4">
      <c r="A496" s="1"/>
      <c r="B496" s="94"/>
      <c r="C496" s="8"/>
      <c r="D496" s="8"/>
      <c r="E496" s="8"/>
      <c r="F496" s="94"/>
      <c r="G496" s="94"/>
      <c r="H496" s="94"/>
      <c r="I496" s="94"/>
      <c r="J496" s="94"/>
      <c r="K496" s="94"/>
      <c r="L496" s="94"/>
      <c r="M496" s="26"/>
      <c r="N496" s="26"/>
      <c r="O496" s="8"/>
      <c r="P496" s="1"/>
      <c r="Q496" s="8"/>
      <c r="R496" s="8"/>
      <c r="S496" s="1"/>
      <c r="T496" s="8"/>
      <c r="U496" s="8"/>
      <c r="V496" s="16"/>
      <c r="W496" s="1"/>
      <c r="X496" s="1"/>
    </row>
    <row r="497" spans="1:24" ht="14.4">
      <c r="A497" s="1"/>
      <c r="B497" s="94"/>
      <c r="C497" s="8"/>
      <c r="D497" s="8"/>
      <c r="E497" s="8"/>
      <c r="F497" s="94"/>
      <c r="G497" s="94"/>
      <c r="H497" s="94"/>
      <c r="I497" s="94"/>
      <c r="J497" s="94"/>
      <c r="K497" s="94"/>
      <c r="L497" s="94"/>
      <c r="M497" s="26"/>
      <c r="N497" s="26"/>
      <c r="O497" s="8"/>
      <c r="P497" s="1"/>
      <c r="Q497" s="8"/>
      <c r="R497" s="8"/>
      <c r="S497" s="1"/>
      <c r="T497" s="8"/>
      <c r="U497" s="8"/>
      <c r="V497" s="16"/>
      <c r="W497" s="1"/>
      <c r="X497" s="1"/>
    </row>
    <row r="498" spans="1:24" ht="14.4">
      <c r="A498" s="1"/>
      <c r="B498" s="94"/>
      <c r="C498" s="8"/>
      <c r="D498" s="8"/>
      <c r="E498" s="8"/>
      <c r="F498" s="94"/>
      <c r="G498" s="94"/>
      <c r="H498" s="94"/>
      <c r="I498" s="94"/>
      <c r="J498" s="94"/>
      <c r="K498" s="94"/>
      <c r="L498" s="94"/>
      <c r="M498" s="26"/>
      <c r="N498" s="26"/>
      <c r="O498" s="8"/>
      <c r="P498" s="1"/>
      <c r="Q498" s="8"/>
      <c r="R498" s="8"/>
      <c r="S498" s="1"/>
      <c r="T498" s="8"/>
      <c r="U498" s="8"/>
      <c r="V498" s="16"/>
      <c r="W498" s="1"/>
      <c r="X498" s="1"/>
    </row>
    <row r="499" spans="1:24" ht="14.4">
      <c r="A499" s="1"/>
      <c r="B499" s="94"/>
      <c r="C499" s="8"/>
      <c r="D499" s="8"/>
      <c r="E499" s="8"/>
      <c r="F499" s="94"/>
      <c r="G499" s="94"/>
      <c r="H499" s="94"/>
      <c r="I499" s="94"/>
      <c r="J499" s="94"/>
      <c r="K499" s="94"/>
      <c r="L499" s="94"/>
      <c r="M499" s="26"/>
      <c r="N499" s="26"/>
      <c r="O499" s="8"/>
      <c r="P499" s="1"/>
      <c r="Q499" s="8"/>
      <c r="R499" s="8"/>
      <c r="S499" s="1"/>
      <c r="T499" s="8"/>
      <c r="U499" s="8"/>
      <c r="V499" s="16"/>
      <c r="W499" s="1"/>
      <c r="X499" s="1"/>
    </row>
    <row r="500" spans="1:24" ht="14.4">
      <c r="A500" s="1"/>
      <c r="B500" s="103"/>
      <c r="C500" s="8"/>
      <c r="D500" s="8"/>
      <c r="E500" s="8"/>
      <c r="F500" s="101"/>
      <c r="G500" s="101"/>
      <c r="H500" s="101"/>
      <c r="I500" s="101"/>
      <c r="J500" s="101"/>
      <c r="K500" s="101"/>
      <c r="L500" s="109"/>
      <c r="M500" s="26"/>
      <c r="N500" s="26"/>
      <c r="O500" s="8"/>
      <c r="P500" s="1"/>
      <c r="Q500" s="8"/>
      <c r="R500" s="8"/>
      <c r="S500" s="1"/>
      <c r="T500" s="8"/>
      <c r="U500" s="8"/>
      <c r="V500" s="16"/>
      <c r="W500" s="1"/>
      <c r="X500" s="1"/>
    </row>
    <row r="501" spans="1:24" ht="14.4">
      <c r="A501" s="1"/>
      <c r="B501" s="94"/>
      <c r="C501" s="8"/>
      <c r="D501" s="8"/>
      <c r="E501" s="8"/>
      <c r="F501" s="94"/>
      <c r="G501" s="94"/>
      <c r="H501" s="94"/>
      <c r="I501" s="94"/>
      <c r="J501" s="94"/>
      <c r="K501" s="94"/>
      <c r="L501" s="94"/>
      <c r="M501" s="26"/>
      <c r="N501" s="26"/>
      <c r="O501" s="8"/>
      <c r="P501" s="1"/>
      <c r="Q501" s="8"/>
      <c r="R501" s="8"/>
      <c r="S501" s="1"/>
      <c r="T501" s="8"/>
      <c r="U501" s="8"/>
      <c r="V501" s="16"/>
      <c r="W501" s="1"/>
      <c r="X501" s="1"/>
    </row>
    <row r="502" spans="1:24" ht="14.4">
      <c r="A502" s="1"/>
      <c r="B502" s="94"/>
      <c r="C502" s="8"/>
      <c r="D502" s="8"/>
      <c r="E502" s="8"/>
      <c r="F502" s="94"/>
      <c r="G502" s="94"/>
      <c r="H502" s="94"/>
      <c r="I502" s="94"/>
      <c r="J502" s="94"/>
      <c r="K502" s="94"/>
      <c r="L502" s="94"/>
      <c r="M502" s="26"/>
      <c r="N502" s="26"/>
      <c r="O502" s="8"/>
      <c r="P502" s="1"/>
      <c r="Q502" s="8"/>
      <c r="R502" s="8"/>
      <c r="S502" s="1"/>
      <c r="T502" s="8"/>
      <c r="U502" s="8"/>
      <c r="V502" s="16"/>
      <c r="W502" s="1"/>
      <c r="X502" s="1"/>
    </row>
    <row r="503" spans="1:24" ht="14.4">
      <c r="A503" s="1"/>
      <c r="B503" s="94"/>
      <c r="C503" s="8"/>
      <c r="D503" s="8"/>
      <c r="E503" s="8"/>
      <c r="F503" s="94"/>
      <c r="G503" s="94"/>
      <c r="H503" s="94"/>
      <c r="I503" s="94"/>
      <c r="J503" s="94"/>
      <c r="K503" s="94"/>
      <c r="L503" s="94"/>
      <c r="M503" s="26"/>
      <c r="N503" s="26"/>
      <c r="O503" s="8"/>
      <c r="P503" s="1"/>
      <c r="Q503" s="8"/>
      <c r="R503" s="8"/>
      <c r="S503" s="1"/>
      <c r="T503" s="8"/>
      <c r="U503" s="8"/>
      <c r="V503" s="16"/>
      <c r="W503" s="1"/>
      <c r="X503" s="1"/>
    </row>
    <row r="504" spans="1:24" ht="14.4">
      <c r="A504" s="1"/>
      <c r="B504" s="94"/>
      <c r="C504" s="8"/>
      <c r="D504" s="8"/>
      <c r="E504" s="8"/>
      <c r="F504" s="94"/>
      <c r="G504" s="94"/>
      <c r="H504" s="94"/>
      <c r="I504" s="94"/>
      <c r="J504" s="94"/>
      <c r="K504" s="94"/>
      <c r="L504" s="94"/>
      <c r="M504" s="26"/>
      <c r="N504" s="26"/>
      <c r="O504" s="8"/>
      <c r="P504" s="1"/>
      <c r="Q504" s="8"/>
      <c r="R504" s="8"/>
      <c r="S504" s="1"/>
      <c r="T504" s="8"/>
      <c r="U504" s="8"/>
      <c r="V504" s="16"/>
      <c r="W504" s="1"/>
      <c r="X504" s="1"/>
    </row>
    <row r="505" spans="1:24" ht="14.4">
      <c r="A505" s="1"/>
      <c r="B505" s="103"/>
      <c r="C505" s="8"/>
      <c r="D505" s="8"/>
      <c r="E505" s="8"/>
      <c r="F505" s="101"/>
      <c r="G505" s="101"/>
      <c r="H505" s="101"/>
      <c r="I505" s="101"/>
      <c r="J505" s="101"/>
      <c r="K505" s="101"/>
      <c r="L505" s="109"/>
      <c r="M505" s="26"/>
      <c r="N505" s="26"/>
      <c r="O505" s="8"/>
      <c r="P505" s="1"/>
      <c r="Q505" s="8"/>
      <c r="R505" s="8"/>
      <c r="S505" s="1"/>
      <c r="T505" s="8"/>
      <c r="U505" s="8"/>
      <c r="V505" s="16"/>
      <c r="W505" s="1"/>
      <c r="X505" s="1"/>
    </row>
    <row r="506" spans="1:24" ht="14.4">
      <c r="A506" s="1"/>
      <c r="B506" s="94"/>
      <c r="C506" s="8"/>
      <c r="D506" s="8"/>
      <c r="E506" s="8"/>
      <c r="F506" s="94"/>
      <c r="G506" s="94"/>
      <c r="H506" s="94"/>
      <c r="I506" s="94"/>
      <c r="J506" s="94"/>
      <c r="K506" s="94"/>
      <c r="L506" s="94"/>
      <c r="M506" s="26"/>
      <c r="N506" s="26"/>
      <c r="O506" s="8"/>
      <c r="P506" s="1"/>
      <c r="Q506" s="8"/>
      <c r="R506" s="8"/>
      <c r="S506" s="1"/>
      <c r="T506" s="8"/>
      <c r="U506" s="8"/>
      <c r="V506" s="16"/>
      <c r="W506" s="1"/>
      <c r="X506" s="1"/>
    </row>
    <row r="507" spans="1:24" ht="14.4">
      <c r="A507" s="1"/>
      <c r="B507" s="94"/>
      <c r="C507" s="8"/>
      <c r="D507" s="8"/>
      <c r="E507" s="8"/>
      <c r="F507" s="94"/>
      <c r="G507" s="94"/>
      <c r="H507" s="94"/>
      <c r="I507" s="94"/>
      <c r="J507" s="94"/>
      <c r="K507" s="94"/>
      <c r="L507" s="94"/>
      <c r="M507" s="26"/>
      <c r="N507" s="26"/>
      <c r="O507" s="8"/>
      <c r="P507" s="1"/>
      <c r="Q507" s="8"/>
      <c r="R507" s="8"/>
      <c r="S507" s="1"/>
      <c r="T507" s="8"/>
      <c r="U507" s="8"/>
      <c r="V507" s="16"/>
      <c r="W507" s="1"/>
      <c r="X507" s="1"/>
    </row>
    <row r="508" spans="1:24" ht="14.4">
      <c r="A508" s="1"/>
      <c r="B508" s="94"/>
      <c r="C508" s="8"/>
      <c r="D508" s="8"/>
      <c r="E508" s="8"/>
      <c r="F508" s="94"/>
      <c r="G508" s="94"/>
      <c r="H508" s="94"/>
      <c r="I508" s="94"/>
      <c r="J508" s="94"/>
      <c r="K508" s="94"/>
      <c r="L508" s="94"/>
      <c r="M508" s="26"/>
      <c r="N508" s="26"/>
      <c r="O508" s="8"/>
      <c r="P508" s="1"/>
      <c r="Q508" s="8"/>
      <c r="R508" s="8"/>
      <c r="S508" s="1"/>
      <c r="T508" s="8"/>
      <c r="U508" s="8"/>
      <c r="V508" s="16"/>
      <c r="W508" s="1"/>
      <c r="X508" s="1"/>
    </row>
    <row r="509" spans="1:24" ht="14.4">
      <c r="A509" s="1"/>
      <c r="B509" s="94"/>
      <c r="C509" s="8"/>
      <c r="D509" s="8"/>
      <c r="E509" s="8"/>
      <c r="F509" s="94"/>
      <c r="G509" s="94"/>
      <c r="H509" s="94"/>
      <c r="I509" s="94"/>
      <c r="J509" s="94"/>
      <c r="K509" s="94"/>
      <c r="L509" s="94"/>
      <c r="M509" s="26"/>
      <c r="N509" s="26"/>
      <c r="O509" s="8"/>
      <c r="P509" s="1"/>
      <c r="Q509" s="8"/>
      <c r="R509" s="8"/>
      <c r="S509" s="1"/>
      <c r="T509" s="8"/>
      <c r="U509" s="8"/>
      <c r="V509" s="16"/>
      <c r="W509" s="1"/>
      <c r="X509" s="1"/>
    </row>
    <row r="510" spans="1:24" ht="14.4">
      <c r="A510" s="1"/>
      <c r="B510" s="101"/>
      <c r="C510" s="8"/>
      <c r="D510" s="8"/>
      <c r="E510" s="8"/>
      <c r="F510" s="101"/>
      <c r="G510" s="101"/>
      <c r="H510" s="101"/>
      <c r="I510" s="101"/>
      <c r="J510" s="101"/>
      <c r="K510" s="101"/>
      <c r="L510" s="109"/>
      <c r="M510" s="26"/>
      <c r="N510" s="26"/>
      <c r="O510" s="8"/>
      <c r="P510" s="1"/>
      <c r="Q510" s="8"/>
      <c r="R510" s="8"/>
      <c r="S510" s="1"/>
      <c r="T510" s="8"/>
      <c r="U510" s="8"/>
      <c r="V510" s="16"/>
      <c r="W510" s="1"/>
      <c r="X510" s="1"/>
    </row>
    <row r="511" spans="1:24" ht="14.4">
      <c r="A511" s="1"/>
      <c r="B511" s="94"/>
      <c r="C511" s="8"/>
      <c r="D511" s="8"/>
      <c r="E511" s="8"/>
      <c r="F511" s="94"/>
      <c r="G511" s="94"/>
      <c r="H511" s="94"/>
      <c r="I511" s="94"/>
      <c r="J511" s="94"/>
      <c r="K511" s="94"/>
      <c r="L511" s="94"/>
      <c r="M511" s="26"/>
      <c r="N511" s="26"/>
      <c r="O511" s="8"/>
      <c r="P511" s="1"/>
      <c r="Q511" s="8"/>
      <c r="R511" s="8"/>
      <c r="S511" s="1"/>
      <c r="T511" s="8"/>
      <c r="U511" s="8"/>
      <c r="V511" s="16"/>
      <c r="W511" s="1"/>
      <c r="X511" s="1"/>
    </row>
    <row r="512" spans="1:24" ht="14.4">
      <c r="A512" s="1"/>
      <c r="B512" s="94"/>
      <c r="C512" s="8"/>
      <c r="D512" s="8"/>
      <c r="E512" s="8"/>
      <c r="F512" s="94"/>
      <c r="G512" s="94"/>
      <c r="H512" s="94"/>
      <c r="I512" s="94"/>
      <c r="J512" s="94"/>
      <c r="K512" s="94"/>
      <c r="L512" s="94"/>
      <c r="M512" s="26"/>
      <c r="N512" s="26"/>
      <c r="O512" s="8"/>
      <c r="P512" s="1"/>
      <c r="Q512" s="8"/>
      <c r="R512" s="8"/>
      <c r="S512" s="1"/>
      <c r="T512" s="8"/>
      <c r="U512" s="8"/>
      <c r="V512" s="16"/>
      <c r="W512" s="1"/>
      <c r="X512" s="1"/>
    </row>
    <row r="513" spans="1:24" ht="14.4">
      <c r="A513" s="1"/>
      <c r="B513" s="94"/>
      <c r="C513" s="8"/>
      <c r="D513" s="8"/>
      <c r="E513" s="8"/>
      <c r="F513" s="94"/>
      <c r="G513" s="94"/>
      <c r="H513" s="94"/>
      <c r="I513" s="94"/>
      <c r="J513" s="94"/>
      <c r="K513" s="94"/>
      <c r="L513" s="94"/>
      <c r="M513" s="26"/>
      <c r="N513" s="26"/>
      <c r="O513" s="8"/>
      <c r="P513" s="1"/>
      <c r="Q513" s="8"/>
      <c r="R513" s="8"/>
      <c r="S513" s="1"/>
      <c r="T513" s="8"/>
      <c r="U513" s="8"/>
      <c r="V513" s="16"/>
      <c r="W513" s="1"/>
      <c r="X513" s="1"/>
    </row>
    <row r="514" spans="1:24" ht="14.4">
      <c r="A514" s="1"/>
      <c r="B514" s="94"/>
      <c r="C514" s="8"/>
      <c r="D514" s="8"/>
      <c r="E514" s="8"/>
      <c r="F514" s="94"/>
      <c r="G514" s="94"/>
      <c r="H514" s="94"/>
      <c r="I514" s="94"/>
      <c r="J514" s="94"/>
      <c r="K514" s="94"/>
      <c r="L514" s="94"/>
      <c r="M514" s="26"/>
      <c r="N514" s="26"/>
      <c r="O514" s="8"/>
      <c r="P514" s="1"/>
      <c r="Q514" s="8"/>
      <c r="R514" s="8"/>
      <c r="S514" s="1"/>
      <c r="T514" s="8"/>
      <c r="U514" s="8"/>
      <c r="V514" s="16"/>
      <c r="W514" s="1"/>
      <c r="X514" s="1"/>
    </row>
    <row r="515" spans="1:24" ht="14.4">
      <c r="A515" s="1"/>
      <c r="B515" s="101"/>
      <c r="C515" s="8"/>
      <c r="D515" s="8"/>
      <c r="E515" s="8"/>
      <c r="F515" s="101"/>
      <c r="G515" s="101"/>
      <c r="H515" s="101"/>
      <c r="I515" s="101"/>
      <c r="J515" s="101"/>
      <c r="K515" s="101"/>
      <c r="L515" s="109"/>
      <c r="M515" s="26"/>
      <c r="N515" s="26"/>
      <c r="O515" s="8"/>
      <c r="P515" s="1"/>
      <c r="Q515" s="8"/>
      <c r="R515" s="8"/>
      <c r="S515" s="1"/>
      <c r="T515" s="8"/>
      <c r="U515" s="8"/>
      <c r="V515" s="16"/>
      <c r="W515" s="1"/>
      <c r="X515" s="1"/>
    </row>
    <row r="516" spans="1:24" ht="14.4">
      <c r="A516" s="1"/>
      <c r="B516" s="94"/>
      <c r="C516" s="8"/>
      <c r="D516" s="8"/>
      <c r="E516" s="8"/>
      <c r="F516" s="94"/>
      <c r="G516" s="94"/>
      <c r="H516" s="94"/>
      <c r="I516" s="94"/>
      <c r="J516" s="94"/>
      <c r="K516" s="94"/>
      <c r="L516" s="94"/>
      <c r="M516" s="26"/>
      <c r="N516" s="26"/>
      <c r="O516" s="8"/>
      <c r="P516" s="1"/>
      <c r="Q516" s="8"/>
      <c r="R516" s="8"/>
      <c r="S516" s="1"/>
      <c r="T516" s="8"/>
      <c r="U516" s="8"/>
      <c r="V516" s="16"/>
      <c r="W516" s="1"/>
      <c r="X516" s="1"/>
    </row>
    <row r="517" spans="1:24" ht="14.4">
      <c r="A517" s="1"/>
      <c r="B517" s="94"/>
      <c r="C517" s="8"/>
      <c r="D517" s="8"/>
      <c r="E517" s="8"/>
      <c r="F517" s="94"/>
      <c r="G517" s="94"/>
      <c r="H517" s="94"/>
      <c r="I517" s="94"/>
      <c r="J517" s="94"/>
      <c r="K517" s="94"/>
      <c r="L517" s="94"/>
      <c r="M517" s="26"/>
      <c r="N517" s="26"/>
      <c r="O517" s="8"/>
      <c r="P517" s="1"/>
      <c r="Q517" s="8"/>
      <c r="R517" s="8"/>
      <c r="S517" s="1"/>
      <c r="T517" s="8"/>
      <c r="U517" s="8"/>
      <c r="V517" s="16"/>
      <c r="W517" s="1"/>
      <c r="X517" s="1"/>
    </row>
    <row r="518" spans="1:24" ht="14.4">
      <c r="A518" s="1"/>
      <c r="B518" s="94"/>
      <c r="C518" s="8"/>
      <c r="D518" s="8"/>
      <c r="E518" s="8"/>
      <c r="F518" s="94"/>
      <c r="G518" s="94"/>
      <c r="H518" s="94"/>
      <c r="I518" s="94"/>
      <c r="J518" s="94"/>
      <c r="K518" s="94"/>
      <c r="L518" s="94"/>
      <c r="M518" s="26"/>
      <c r="N518" s="26"/>
      <c r="O518" s="8"/>
      <c r="P518" s="1"/>
      <c r="Q518" s="8"/>
      <c r="R518" s="8"/>
      <c r="S518" s="1"/>
      <c r="T518" s="8"/>
      <c r="U518" s="8"/>
      <c r="V518" s="16"/>
      <c r="W518" s="1"/>
      <c r="X518" s="1"/>
    </row>
    <row r="519" spans="1:24" ht="14.4">
      <c r="A519" s="1"/>
      <c r="B519" s="94"/>
      <c r="C519" s="8"/>
      <c r="D519" s="8"/>
      <c r="E519" s="8"/>
      <c r="F519" s="94"/>
      <c r="G519" s="94"/>
      <c r="H519" s="94"/>
      <c r="I519" s="94"/>
      <c r="J519" s="94"/>
      <c r="K519" s="94"/>
      <c r="L519" s="94"/>
      <c r="M519" s="26"/>
      <c r="N519" s="26"/>
      <c r="O519" s="8"/>
      <c r="P519" s="1"/>
      <c r="Q519" s="8"/>
      <c r="R519" s="8"/>
      <c r="S519" s="1"/>
      <c r="T519" s="8"/>
      <c r="U519" s="8"/>
      <c r="V519" s="16"/>
      <c r="W519" s="1"/>
      <c r="X519" s="1"/>
    </row>
    <row r="520" spans="1:24" ht="14.4">
      <c r="A520" s="1"/>
      <c r="B520" s="101"/>
      <c r="C520" s="8"/>
      <c r="D520" s="8"/>
      <c r="E520" s="8"/>
      <c r="F520" s="101"/>
      <c r="G520" s="101"/>
      <c r="H520" s="101"/>
      <c r="I520" s="101"/>
      <c r="J520" s="101"/>
      <c r="K520" s="101"/>
      <c r="L520" s="109"/>
      <c r="M520" s="26"/>
      <c r="N520" s="26"/>
      <c r="O520" s="8"/>
      <c r="P520" s="1"/>
      <c r="Q520" s="8"/>
      <c r="R520" s="8"/>
      <c r="S520" s="1"/>
      <c r="T520" s="8"/>
      <c r="U520" s="8"/>
      <c r="V520" s="16"/>
      <c r="W520" s="1"/>
      <c r="X520" s="1"/>
    </row>
    <row r="521" spans="1:24" ht="14.4">
      <c r="A521" s="1"/>
      <c r="B521" s="94"/>
      <c r="C521" s="8"/>
      <c r="D521" s="8"/>
      <c r="E521" s="8"/>
      <c r="F521" s="94"/>
      <c r="G521" s="94"/>
      <c r="H521" s="94"/>
      <c r="I521" s="94"/>
      <c r="J521" s="94"/>
      <c r="K521" s="94"/>
      <c r="L521" s="94"/>
      <c r="M521" s="26"/>
      <c r="N521" s="26"/>
      <c r="O521" s="8"/>
      <c r="P521" s="1"/>
      <c r="Q521" s="8"/>
      <c r="R521" s="8"/>
      <c r="S521" s="1"/>
      <c r="T521" s="8"/>
      <c r="U521" s="8"/>
      <c r="V521" s="16"/>
      <c r="W521" s="1"/>
      <c r="X521" s="1"/>
    </row>
    <row r="522" spans="1:24" ht="14.4">
      <c r="A522" s="1"/>
      <c r="B522" s="94"/>
      <c r="C522" s="8"/>
      <c r="D522" s="8"/>
      <c r="E522" s="8"/>
      <c r="F522" s="94"/>
      <c r="G522" s="94"/>
      <c r="H522" s="94"/>
      <c r="I522" s="94"/>
      <c r="J522" s="94"/>
      <c r="K522" s="94"/>
      <c r="L522" s="94"/>
      <c r="M522" s="26"/>
      <c r="N522" s="26"/>
      <c r="O522" s="8"/>
      <c r="P522" s="1"/>
      <c r="Q522" s="8"/>
      <c r="R522" s="8"/>
      <c r="S522" s="1"/>
      <c r="T522" s="8"/>
      <c r="U522" s="8"/>
      <c r="V522" s="16"/>
      <c r="W522" s="1"/>
      <c r="X522" s="1"/>
    </row>
    <row r="523" spans="1:24" ht="14.4">
      <c r="A523" s="1"/>
      <c r="B523" s="94"/>
      <c r="C523" s="8"/>
      <c r="D523" s="8"/>
      <c r="E523" s="8"/>
      <c r="F523" s="94"/>
      <c r="G523" s="94"/>
      <c r="H523" s="94"/>
      <c r="I523" s="94"/>
      <c r="J523" s="94"/>
      <c r="K523" s="94"/>
      <c r="L523" s="94"/>
      <c r="M523" s="26"/>
      <c r="N523" s="26"/>
      <c r="O523" s="8"/>
      <c r="P523" s="1"/>
      <c r="Q523" s="8"/>
      <c r="R523" s="8"/>
      <c r="S523" s="1"/>
      <c r="T523" s="8"/>
      <c r="U523" s="8"/>
      <c r="V523" s="16"/>
      <c r="W523" s="1"/>
      <c r="X523" s="1"/>
    </row>
    <row r="524" spans="1:24" ht="14.4">
      <c r="A524" s="1"/>
      <c r="B524" s="94"/>
      <c r="C524" s="8"/>
      <c r="D524" s="8"/>
      <c r="E524" s="8"/>
      <c r="F524" s="94"/>
      <c r="G524" s="94"/>
      <c r="H524" s="94"/>
      <c r="I524" s="94"/>
      <c r="J524" s="94"/>
      <c r="K524" s="94"/>
      <c r="L524" s="94"/>
      <c r="M524" s="26"/>
      <c r="N524" s="26"/>
      <c r="O524" s="8"/>
      <c r="P524" s="1"/>
      <c r="Q524" s="8"/>
      <c r="R524" s="8"/>
      <c r="S524" s="1"/>
      <c r="T524" s="8"/>
      <c r="U524" s="8"/>
      <c r="V524" s="16"/>
      <c r="W524" s="1"/>
      <c r="X524" s="1"/>
    </row>
    <row r="525" spans="1:24" ht="14.4">
      <c r="A525" s="1"/>
      <c r="B525" s="101"/>
      <c r="C525" s="8"/>
      <c r="D525" s="8"/>
      <c r="E525" s="8"/>
      <c r="F525" s="101"/>
      <c r="G525" s="101"/>
      <c r="H525" s="101"/>
      <c r="I525" s="101"/>
      <c r="J525" s="101"/>
      <c r="K525" s="101"/>
      <c r="L525" s="109"/>
      <c r="M525" s="26"/>
      <c r="N525" s="26"/>
      <c r="O525" s="8"/>
      <c r="P525" s="1"/>
      <c r="Q525" s="8"/>
      <c r="R525" s="8"/>
      <c r="S525" s="1"/>
      <c r="T525" s="8"/>
      <c r="U525" s="8"/>
      <c r="V525" s="16"/>
      <c r="W525" s="1"/>
      <c r="X525" s="1"/>
    </row>
    <row r="526" spans="1:24" ht="14.4">
      <c r="A526" s="1"/>
      <c r="B526" s="94"/>
      <c r="C526" s="8"/>
      <c r="D526" s="8"/>
      <c r="E526" s="8"/>
      <c r="F526" s="94"/>
      <c r="G526" s="94"/>
      <c r="H526" s="94"/>
      <c r="I526" s="94"/>
      <c r="J526" s="94"/>
      <c r="K526" s="94"/>
      <c r="L526" s="94"/>
      <c r="M526" s="26"/>
      <c r="N526" s="26"/>
      <c r="O526" s="8"/>
      <c r="P526" s="1"/>
      <c r="Q526" s="8"/>
      <c r="R526" s="8"/>
      <c r="S526" s="1"/>
      <c r="T526" s="8"/>
      <c r="U526" s="8"/>
      <c r="V526" s="16"/>
      <c r="W526" s="1"/>
      <c r="X526" s="1"/>
    </row>
    <row r="527" spans="1:24" ht="14.4">
      <c r="A527" s="1"/>
      <c r="B527" s="94"/>
      <c r="C527" s="8"/>
      <c r="D527" s="8"/>
      <c r="E527" s="8"/>
      <c r="F527" s="94"/>
      <c r="G527" s="94"/>
      <c r="H527" s="94"/>
      <c r="I527" s="94"/>
      <c r="J527" s="94"/>
      <c r="K527" s="94"/>
      <c r="L527" s="94"/>
      <c r="M527" s="26"/>
      <c r="N527" s="26"/>
      <c r="O527" s="8"/>
      <c r="P527" s="1"/>
      <c r="Q527" s="8"/>
      <c r="R527" s="8"/>
      <c r="S527" s="1"/>
      <c r="T527" s="8"/>
      <c r="U527" s="8"/>
      <c r="V527" s="16"/>
      <c r="W527" s="1"/>
      <c r="X527" s="1"/>
    </row>
    <row r="528" spans="1:24" ht="14.4">
      <c r="A528" s="1"/>
      <c r="B528" s="94"/>
      <c r="C528" s="8"/>
      <c r="D528" s="8"/>
      <c r="E528" s="8"/>
      <c r="F528" s="94"/>
      <c r="G528" s="94"/>
      <c r="H528" s="94"/>
      <c r="I528" s="94"/>
      <c r="J528" s="94"/>
      <c r="K528" s="94"/>
      <c r="L528" s="94"/>
      <c r="M528" s="26"/>
      <c r="N528" s="26"/>
      <c r="O528" s="8"/>
      <c r="P528" s="1"/>
      <c r="Q528" s="8"/>
      <c r="R528" s="8"/>
      <c r="S528" s="1"/>
      <c r="T528" s="8"/>
      <c r="U528" s="8"/>
      <c r="V528" s="16"/>
      <c r="W528" s="1"/>
      <c r="X528" s="1"/>
    </row>
    <row r="529" spans="1:24" ht="14.4">
      <c r="A529" s="1"/>
      <c r="B529" s="94"/>
      <c r="C529" s="8"/>
      <c r="D529" s="8"/>
      <c r="E529" s="8"/>
      <c r="F529" s="94"/>
      <c r="G529" s="94"/>
      <c r="H529" s="94"/>
      <c r="I529" s="94"/>
      <c r="J529" s="94"/>
      <c r="K529" s="94"/>
      <c r="L529" s="94"/>
      <c r="M529" s="26"/>
      <c r="N529" s="26"/>
      <c r="O529" s="8"/>
      <c r="P529" s="1"/>
      <c r="Q529" s="8"/>
      <c r="R529" s="8"/>
      <c r="S529" s="1"/>
      <c r="T529" s="8"/>
      <c r="U529" s="8"/>
      <c r="V529" s="16"/>
      <c r="W529" s="1"/>
      <c r="X529" s="1"/>
    </row>
    <row r="530" spans="1:24" ht="14.4">
      <c r="A530" s="1"/>
      <c r="B530" s="101"/>
      <c r="C530" s="8"/>
      <c r="D530" s="8"/>
      <c r="E530" s="8"/>
      <c r="F530" s="101"/>
      <c r="G530" s="101"/>
      <c r="H530" s="101"/>
      <c r="I530" s="101"/>
      <c r="J530" s="101"/>
      <c r="K530" s="101"/>
      <c r="L530" s="109"/>
      <c r="M530" s="26"/>
      <c r="N530" s="26"/>
      <c r="O530" s="8"/>
      <c r="P530" s="1"/>
      <c r="Q530" s="8"/>
      <c r="R530" s="8"/>
      <c r="S530" s="1"/>
      <c r="T530" s="8"/>
      <c r="U530" s="8"/>
      <c r="V530" s="16"/>
      <c r="W530" s="1"/>
      <c r="X530" s="1"/>
    </row>
    <row r="531" spans="1:24" ht="14.4">
      <c r="A531" s="1"/>
      <c r="B531" s="94"/>
      <c r="C531" s="8"/>
      <c r="D531" s="8"/>
      <c r="E531" s="8"/>
      <c r="F531" s="94"/>
      <c r="G531" s="94"/>
      <c r="H531" s="94"/>
      <c r="I531" s="94"/>
      <c r="J531" s="94"/>
      <c r="K531" s="94"/>
      <c r="L531" s="94"/>
      <c r="M531" s="26"/>
      <c r="N531" s="26"/>
      <c r="O531" s="8"/>
      <c r="P531" s="1"/>
      <c r="Q531" s="8"/>
      <c r="R531" s="8"/>
      <c r="S531" s="1"/>
      <c r="T531" s="8"/>
      <c r="U531" s="8"/>
      <c r="V531" s="16"/>
      <c r="W531" s="1"/>
      <c r="X531" s="1"/>
    </row>
    <row r="532" spans="1:24" ht="14.4">
      <c r="A532" s="1"/>
      <c r="B532" s="94"/>
      <c r="C532" s="8"/>
      <c r="D532" s="8"/>
      <c r="E532" s="8"/>
      <c r="F532" s="94"/>
      <c r="G532" s="94"/>
      <c r="H532" s="94"/>
      <c r="I532" s="94"/>
      <c r="J532" s="94"/>
      <c r="K532" s="94"/>
      <c r="L532" s="94"/>
      <c r="M532" s="26"/>
      <c r="N532" s="26"/>
      <c r="O532" s="8"/>
      <c r="P532" s="1"/>
      <c r="Q532" s="8"/>
      <c r="R532" s="8"/>
      <c r="S532" s="1"/>
      <c r="T532" s="8"/>
      <c r="U532" s="8"/>
      <c r="V532" s="16"/>
      <c r="W532" s="1"/>
      <c r="X532" s="1"/>
    </row>
    <row r="533" spans="1:24" ht="14.4">
      <c r="A533" s="1"/>
      <c r="B533" s="94"/>
      <c r="C533" s="8"/>
      <c r="D533" s="8"/>
      <c r="E533" s="8"/>
      <c r="F533" s="94"/>
      <c r="G533" s="94"/>
      <c r="H533" s="94"/>
      <c r="I533" s="94"/>
      <c r="J533" s="94"/>
      <c r="K533" s="94"/>
      <c r="L533" s="94"/>
      <c r="M533" s="26"/>
      <c r="N533" s="26"/>
      <c r="O533" s="8"/>
      <c r="P533" s="1"/>
      <c r="Q533" s="8"/>
      <c r="R533" s="8"/>
      <c r="S533" s="1"/>
      <c r="T533" s="8"/>
      <c r="U533" s="8"/>
      <c r="V533" s="16"/>
      <c r="W533" s="1"/>
      <c r="X533" s="1"/>
    </row>
    <row r="534" spans="1:24" ht="14.4">
      <c r="A534" s="1"/>
      <c r="B534" s="94"/>
      <c r="C534" s="8"/>
      <c r="D534" s="8"/>
      <c r="E534" s="8"/>
      <c r="F534" s="94"/>
      <c r="G534" s="94"/>
      <c r="H534" s="94"/>
      <c r="I534" s="94"/>
      <c r="J534" s="94"/>
      <c r="K534" s="94"/>
      <c r="L534" s="94"/>
      <c r="M534" s="26"/>
      <c r="N534" s="26"/>
      <c r="O534" s="8"/>
      <c r="P534" s="1"/>
      <c r="Q534" s="8"/>
      <c r="R534" s="8"/>
      <c r="S534" s="1"/>
      <c r="T534" s="8"/>
      <c r="U534" s="8"/>
      <c r="V534" s="16"/>
      <c r="W534" s="1"/>
      <c r="X534" s="1"/>
    </row>
    <row r="535" spans="1:24" ht="14.4">
      <c r="A535" s="1"/>
      <c r="B535" s="101"/>
      <c r="C535" s="8"/>
      <c r="D535" s="8"/>
      <c r="E535" s="8"/>
      <c r="F535" s="101"/>
      <c r="G535" s="101"/>
      <c r="H535" s="101"/>
      <c r="I535" s="101"/>
      <c r="J535" s="101"/>
      <c r="K535" s="101"/>
      <c r="L535" s="109"/>
      <c r="M535" s="26"/>
      <c r="N535" s="26"/>
      <c r="O535" s="8"/>
      <c r="P535" s="1"/>
      <c r="Q535" s="8"/>
      <c r="R535" s="8"/>
      <c r="S535" s="1"/>
      <c r="T535" s="8"/>
      <c r="U535" s="8"/>
      <c r="V535" s="16"/>
      <c r="W535" s="1"/>
      <c r="X535" s="1"/>
    </row>
    <row r="536" spans="1:24" ht="14.4">
      <c r="A536" s="1"/>
      <c r="B536" s="94"/>
      <c r="C536" s="8"/>
      <c r="D536" s="8"/>
      <c r="E536" s="8"/>
      <c r="F536" s="94"/>
      <c r="G536" s="94"/>
      <c r="H536" s="94"/>
      <c r="I536" s="94"/>
      <c r="J536" s="94"/>
      <c r="K536" s="94"/>
      <c r="L536" s="94"/>
      <c r="M536" s="26"/>
      <c r="N536" s="26"/>
      <c r="O536" s="8"/>
      <c r="P536" s="1"/>
      <c r="Q536" s="8"/>
      <c r="R536" s="8"/>
      <c r="S536" s="1"/>
      <c r="T536" s="8"/>
      <c r="U536" s="8"/>
      <c r="V536" s="16"/>
      <c r="W536" s="1"/>
      <c r="X536" s="1"/>
    </row>
    <row r="537" spans="1:24" ht="14.4">
      <c r="A537" s="1"/>
      <c r="B537" s="94"/>
      <c r="C537" s="8"/>
      <c r="D537" s="8"/>
      <c r="E537" s="8"/>
      <c r="F537" s="94"/>
      <c r="G537" s="94"/>
      <c r="H537" s="94"/>
      <c r="I537" s="94"/>
      <c r="J537" s="94"/>
      <c r="K537" s="94"/>
      <c r="L537" s="94"/>
      <c r="M537" s="26"/>
      <c r="N537" s="26"/>
      <c r="O537" s="8"/>
      <c r="P537" s="1"/>
      <c r="Q537" s="8"/>
      <c r="R537" s="8"/>
      <c r="S537" s="1"/>
      <c r="T537" s="8"/>
      <c r="U537" s="8"/>
      <c r="V537" s="16"/>
      <c r="W537" s="1"/>
      <c r="X537" s="1"/>
    </row>
    <row r="538" spans="1:24" ht="14.4">
      <c r="A538" s="1"/>
      <c r="B538" s="94"/>
      <c r="C538" s="8"/>
      <c r="D538" s="8"/>
      <c r="E538" s="8"/>
      <c r="F538" s="94"/>
      <c r="G538" s="94"/>
      <c r="H538" s="94"/>
      <c r="I538" s="94"/>
      <c r="J538" s="94"/>
      <c r="K538" s="94"/>
      <c r="L538" s="94"/>
      <c r="M538" s="26"/>
      <c r="N538" s="26"/>
      <c r="O538" s="8"/>
      <c r="P538" s="1"/>
      <c r="Q538" s="8"/>
      <c r="R538" s="8"/>
      <c r="S538" s="1"/>
      <c r="T538" s="8"/>
      <c r="U538" s="8"/>
      <c r="V538" s="16"/>
      <c r="W538" s="1"/>
      <c r="X538" s="1"/>
    </row>
    <row r="539" spans="1:24" ht="14.4">
      <c r="A539" s="1"/>
      <c r="B539" s="94"/>
      <c r="C539" s="8"/>
      <c r="D539" s="8"/>
      <c r="E539" s="8"/>
      <c r="F539" s="94"/>
      <c r="G539" s="94"/>
      <c r="H539" s="94"/>
      <c r="I539" s="94"/>
      <c r="J539" s="94"/>
      <c r="K539" s="94"/>
      <c r="L539" s="94"/>
      <c r="M539" s="26"/>
      <c r="N539" s="26"/>
      <c r="O539" s="8"/>
      <c r="P539" s="1"/>
      <c r="Q539" s="8"/>
      <c r="R539" s="8"/>
      <c r="S539" s="1"/>
      <c r="T539" s="8"/>
      <c r="U539" s="8"/>
      <c r="V539" s="16"/>
      <c r="W539" s="1"/>
      <c r="X539" s="1"/>
    </row>
    <row r="540" spans="1:24" ht="14.4">
      <c r="A540" s="1"/>
      <c r="B540" s="101"/>
      <c r="C540" s="8"/>
      <c r="D540" s="8"/>
      <c r="E540" s="8"/>
      <c r="F540" s="101"/>
      <c r="G540" s="101"/>
      <c r="H540" s="101"/>
      <c r="I540" s="101"/>
      <c r="J540" s="101"/>
      <c r="K540" s="101"/>
      <c r="L540" s="109"/>
      <c r="M540" s="26"/>
      <c r="N540" s="26"/>
      <c r="O540" s="8"/>
      <c r="P540" s="1"/>
      <c r="Q540" s="8"/>
      <c r="R540" s="8"/>
      <c r="S540" s="1"/>
      <c r="T540" s="8"/>
      <c r="U540" s="8"/>
      <c r="V540" s="16"/>
      <c r="W540" s="1"/>
      <c r="X540" s="1"/>
    </row>
    <row r="541" spans="1:24" ht="14.4">
      <c r="A541" s="1"/>
      <c r="B541" s="94"/>
      <c r="C541" s="8"/>
      <c r="D541" s="8"/>
      <c r="E541" s="8"/>
      <c r="F541" s="94"/>
      <c r="G541" s="94"/>
      <c r="H541" s="94"/>
      <c r="I541" s="94"/>
      <c r="J541" s="94"/>
      <c r="K541" s="94"/>
      <c r="L541" s="94"/>
      <c r="M541" s="26"/>
      <c r="N541" s="26"/>
      <c r="O541" s="8"/>
      <c r="P541" s="1"/>
      <c r="Q541" s="8"/>
      <c r="R541" s="8"/>
      <c r="S541" s="1"/>
      <c r="T541" s="8"/>
      <c r="U541" s="8"/>
      <c r="V541" s="16"/>
      <c r="W541" s="1"/>
      <c r="X541" s="1"/>
    </row>
    <row r="542" spans="1:24" ht="14.4">
      <c r="A542" s="1"/>
      <c r="B542" s="94"/>
      <c r="C542" s="8"/>
      <c r="D542" s="8"/>
      <c r="E542" s="8"/>
      <c r="F542" s="94"/>
      <c r="G542" s="94"/>
      <c r="H542" s="94"/>
      <c r="I542" s="94"/>
      <c r="J542" s="94"/>
      <c r="K542" s="94"/>
      <c r="L542" s="94"/>
      <c r="M542" s="26"/>
      <c r="N542" s="26"/>
      <c r="O542" s="8"/>
      <c r="P542" s="1"/>
      <c r="Q542" s="8"/>
      <c r="R542" s="8"/>
      <c r="S542" s="1"/>
      <c r="T542" s="8"/>
      <c r="U542" s="8"/>
      <c r="V542" s="16"/>
      <c r="W542" s="1"/>
      <c r="X542" s="1"/>
    </row>
    <row r="543" spans="1:24" ht="14.4">
      <c r="A543" s="1"/>
      <c r="B543" s="94"/>
      <c r="C543" s="8"/>
      <c r="D543" s="8"/>
      <c r="E543" s="8"/>
      <c r="F543" s="94"/>
      <c r="G543" s="94"/>
      <c r="H543" s="94"/>
      <c r="I543" s="94"/>
      <c r="J543" s="94"/>
      <c r="K543" s="94"/>
      <c r="L543" s="94"/>
      <c r="M543" s="26"/>
      <c r="N543" s="26"/>
      <c r="O543" s="8"/>
      <c r="P543" s="1"/>
      <c r="Q543" s="8"/>
      <c r="R543" s="8"/>
      <c r="S543" s="1"/>
      <c r="T543" s="8"/>
      <c r="U543" s="8"/>
      <c r="V543" s="16"/>
      <c r="W543" s="1"/>
      <c r="X543" s="1"/>
    </row>
    <row r="544" spans="1:24" ht="14.4">
      <c r="A544" s="1"/>
      <c r="B544" s="94"/>
      <c r="C544" s="8"/>
      <c r="D544" s="8"/>
      <c r="E544" s="8"/>
      <c r="F544" s="94"/>
      <c r="G544" s="94"/>
      <c r="H544" s="94"/>
      <c r="I544" s="94"/>
      <c r="J544" s="94"/>
      <c r="K544" s="94"/>
      <c r="L544" s="94"/>
      <c r="M544" s="26"/>
      <c r="N544" s="26"/>
      <c r="O544" s="8"/>
      <c r="P544" s="1"/>
      <c r="Q544" s="8"/>
      <c r="R544" s="8"/>
      <c r="S544" s="1"/>
      <c r="T544" s="8"/>
      <c r="U544" s="8"/>
      <c r="V544" s="16"/>
      <c r="W544" s="1"/>
      <c r="X544" s="1"/>
    </row>
    <row r="545" spans="1:24" ht="14.4">
      <c r="A545" s="1"/>
      <c r="B545" s="101"/>
      <c r="C545" s="8"/>
      <c r="D545" s="8"/>
      <c r="E545" s="8"/>
      <c r="F545" s="101"/>
      <c r="G545" s="101"/>
      <c r="H545" s="101"/>
      <c r="I545" s="101"/>
      <c r="J545" s="101"/>
      <c r="K545" s="101"/>
      <c r="L545" s="109"/>
      <c r="M545" s="26"/>
      <c r="N545" s="26"/>
      <c r="O545" s="8"/>
      <c r="P545" s="1"/>
      <c r="Q545" s="8"/>
      <c r="R545" s="8"/>
      <c r="S545" s="1"/>
      <c r="T545" s="8"/>
      <c r="U545" s="8"/>
      <c r="V545" s="16"/>
      <c r="W545" s="1"/>
      <c r="X545" s="1"/>
    </row>
    <row r="546" spans="1:24" ht="14.4">
      <c r="A546" s="1"/>
      <c r="B546" s="94"/>
      <c r="C546" s="8"/>
      <c r="D546" s="8"/>
      <c r="E546" s="8"/>
      <c r="F546" s="94"/>
      <c r="G546" s="94"/>
      <c r="H546" s="94"/>
      <c r="I546" s="94"/>
      <c r="J546" s="94"/>
      <c r="K546" s="94"/>
      <c r="L546" s="94"/>
      <c r="M546" s="26"/>
      <c r="N546" s="26"/>
      <c r="O546" s="8"/>
      <c r="P546" s="1"/>
      <c r="Q546" s="8"/>
      <c r="R546" s="8"/>
      <c r="S546" s="1"/>
      <c r="T546" s="8"/>
      <c r="U546" s="8"/>
      <c r="V546" s="16"/>
      <c r="W546" s="1"/>
      <c r="X546" s="1"/>
    </row>
    <row r="547" spans="1:24" ht="14.4">
      <c r="A547" s="1"/>
      <c r="B547" s="94"/>
      <c r="C547" s="8"/>
      <c r="D547" s="8"/>
      <c r="E547" s="8"/>
      <c r="F547" s="94"/>
      <c r="G547" s="94"/>
      <c r="H547" s="94"/>
      <c r="I547" s="94"/>
      <c r="J547" s="94"/>
      <c r="K547" s="94"/>
      <c r="L547" s="94"/>
      <c r="M547" s="26"/>
      <c r="N547" s="26"/>
      <c r="O547" s="8"/>
      <c r="P547" s="1"/>
      <c r="Q547" s="8"/>
      <c r="R547" s="8"/>
      <c r="S547" s="1"/>
      <c r="T547" s="8"/>
      <c r="U547" s="8"/>
      <c r="V547" s="16"/>
      <c r="W547" s="1"/>
      <c r="X547" s="1"/>
    </row>
    <row r="548" spans="1:24" ht="14.4">
      <c r="A548" s="1"/>
      <c r="B548" s="94"/>
      <c r="C548" s="8"/>
      <c r="D548" s="8"/>
      <c r="E548" s="8"/>
      <c r="F548" s="94"/>
      <c r="G548" s="94"/>
      <c r="H548" s="94"/>
      <c r="I548" s="94"/>
      <c r="J548" s="94"/>
      <c r="K548" s="94"/>
      <c r="L548" s="94"/>
      <c r="M548" s="26"/>
      <c r="N548" s="26"/>
      <c r="O548" s="8"/>
      <c r="P548" s="1"/>
      <c r="Q548" s="8"/>
      <c r="R548" s="8"/>
      <c r="S548" s="1"/>
      <c r="T548" s="8"/>
      <c r="U548" s="8"/>
      <c r="V548" s="16"/>
      <c r="W548" s="1"/>
      <c r="X548" s="1"/>
    </row>
    <row r="549" spans="1:24" ht="14.4">
      <c r="A549" s="1"/>
      <c r="B549" s="94"/>
      <c r="C549" s="8"/>
      <c r="D549" s="8"/>
      <c r="E549" s="8"/>
      <c r="F549" s="94"/>
      <c r="G549" s="94"/>
      <c r="H549" s="94"/>
      <c r="I549" s="94"/>
      <c r="J549" s="94"/>
      <c r="K549" s="94"/>
      <c r="L549" s="94"/>
      <c r="M549" s="26"/>
      <c r="N549" s="26"/>
      <c r="O549" s="8"/>
      <c r="P549" s="1"/>
      <c r="Q549" s="8"/>
      <c r="R549" s="8"/>
      <c r="S549" s="1"/>
      <c r="T549" s="8"/>
      <c r="U549" s="8"/>
      <c r="V549" s="16"/>
      <c r="W549" s="1"/>
      <c r="X549" s="1"/>
    </row>
    <row r="550" spans="1:24" ht="14.4">
      <c r="A550" s="1"/>
      <c r="B550" s="101"/>
      <c r="C550" s="8"/>
      <c r="D550" s="8"/>
      <c r="E550" s="8"/>
      <c r="F550" s="101"/>
      <c r="G550" s="101"/>
      <c r="H550" s="101"/>
      <c r="I550" s="101"/>
      <c r="J550" s="101"/>
      <c r="K550" s="101"/>
      <c r="L550" s="109"/>
      <c r="M550" s="26"/>
      <c r="N550" s="26"/>
      <c r="O550" s="8"/>
      <c r="P550" s="1"/>
      <c r="Q550" s="8"/>
      <c r="R550" s="8"/>
      <c r="S550" s="1"/>
      <c r="T550" s="8"/>
      <c r="U550" s="8"/>
      <c r="V550" s="16"/>
      <c r="W550" s="1"/>
      <c r="X550" s="1"/>
    </row>
    <row r="551" spans="1:24" ht="14.4">
      <c r="A551" s="1"/>
      <c r="B551" s="94"/>
      <c r="C551" s="8"/>
      <c r="D551" s="8"/>
      <c r="E551" s="8"/>
      <c r="F551" s="94"/>
      <c r="G551" s="94"/>
      <c r="H551" s="94"/>
      <c r="I551" s="94"/>
      <c r="J551" s="94"/>
      <c r="K551" s="94"/>
      <c r="L551" s="94"/>
      <c r="M551" s="26"/>
      <c r="N551" s="26"/>
      <c r="O551" s="8"/>
      <c r="P551" s="1"/>
      <c r="Q551" s="8"/>
      <c r="R551" s="8"/>
      <c r="S551" s="1"/>
      <c r="T551" s="8"/>
      <c r="U551" s="8"/>
      <c r="V551" s="16"/>
      <c r="W551" s="1"/>
      <c r="X551" s="1"/>
    </row>
    <row r="552" spans="1:24" ht="14.4">
      <c r="A552" s="1"/>
      <c r="B552" s="94"/>
      <c r="C552" s="8"/>
      <c r="D552" s="8"/>
      <c r="E552" s="8"/>
      <c r="F552" s="94"/>
      <c r="G552" s="94"/>
      <c r="H552" s="94"/>
      <c r="I552" s="94"/>
      <c r="J552" s="94"/>
      <c r="K552" s="94"/>
      <c r="L552" s="94"/>
      <c r="M552" s="26"/>
      <c r="N552" s="26"/>
      <c r="O552" s="8"/>
      <c r="P552" s="1"/>
      <c r="Q552" s="8"/>
      <c r="R552" s="8"/>
      <c r="S552" s="1"/>
      <c r="T552" s="8"/>
      <c r="U552" s="8"/>
      <c r="V552" s="16"/>
      <c r="W552" s="1"/>
      <c r="X552" s="1"/>
    </row>
    <row r="553" spans="1:24" ht="14.4">
      <c r="A553" s="1"/>
      <c r="B553" s="94"/>
      <c r="C553" s="8"/>
      <c r="D553" s="8"/>
      <c r="E553" s="8"/>
      <c r="F553" s="94"/>
      <c r="G553" s="94"/>
      <c r="H553" s="94"/>
      <c r="I553" s="94"/>
      <c r="J553" s="94"/>
      <c r="K553" s="94"/>
      <c r="L553" s="94"/>
      <c r="M553" s="26"/>
      <c r="N553" s="26"/>
      <c r="O553" s="8"/>
      <c r="P553" s="1"/>
      <c r="Q553" s="8"/>
      <c r="R553" s="8"/>
      <c r="S553" s="1"/>
      <c r="T553" s="8"/>
      <c r="U553" s="8"/>
      <c r="V553" s="16"/>
      <c r="W553" s="1"/>
      <c r="X553" s="1"/>
    </row>
    <row r="554" spans="1:24" ht="14.4">
      <c r="A554" s="1"/>
      <c r="B554" s="94"/>
      <c r="C554" s="8"/>
      <c r="D554" s="8"/>
      <c r="E554" s="8"/>
      <c r="F554" s="94"/>
      <c r="G554" s="94"/>
      <c r="H554" s="94"/>
      <c r="I554" s="94"/>
      <c r="J554" s="94"/>
      <c r="K554" s="94"/>
      <c r="L554" s="94"/>
      <c r="M554" s="26"/>
      <c r="N554" s="26"/>
      <c r="O554" s="8"/>
      <c r="P554" s="1"/>
      <c r="Q554" s="8"/>
      <c r="R554" s="8"/>
      <c r="S554" s="1"/>
      <c r="T554" s="8"/>
      <c r="U554" s="8"/>
      <c r="V554" s="16"/>
      <c r="W554" s="1"/>
      <c r="X554" s="1"/>
    </row>
    <row r="555" spans="1:24" ht="14.4">
      <c r="A555" s="1"/>
      <c r="B555" s="101"/>
      <c r="C555" s="8"/>
      <c r="D555" s="8"/>
      <c r="E555" s="8"/>
      <c r="F555" s="101"/>
      <c r="G555" s="101"/>
      <c r="H555" s="101"/>
      <c r="I555" s="101"/>
      <c r="J555" s="101"/>
      <c r="K555" s="101"/>
      <c r="L555" s="109"/>
      <c r="M555" s="26"/>
      <c r="N555" s="26"/>
      <c r="O555" s="8"/>
      <c r="P555" s="1"/>
      <c r="Q555" s="8"/>
      <c r="R555" s="8"/>
      <c r="S555" s="1"/>
      <c r="T555" s="8"/>
      <c r="U555" s="8"/>
      <c r="V555" s="16"/>
      <c r="W555" s="1"/>
      <c r="X555" s="1"/>
    </row>
    <row r="556" spans="1:24" ht="14.4">
      <c r="A556" s="1"/>
      <c r="B556" s="94"/>
      <c r="C556" s="8"/>
      <c r="D556" s="8"/>
      <c r="E556" s="8"/>
      <c r="F556" s="94"/>
      <c r="G556" s="94"/>
      <c r="H556" s="94"/>
      <c r="I556" s="94"/>
      <c r="J556" s="94"/>
      <c r="K556" s="94"/>
      <c r="L556" s="94"/>
      <c r="M556" s="26"/>
      <c r="N556" s="26"/>
      <c r="O556" s="8"/>
      <c r="P556" s="1"/>
      <c r="Q556" s="8"/>
      <c r="R556" s="8"/>
      <c r="S556" s="1"/>
      <c r="T556" s="8"/>
      <c r="U556" s="8"/>
      <c r="V556" s="16"/>
      <c r="W556" s="1"/>
      <c r="X556" s="1"/>
    </row>
    <row r="557" spans="1:24" ht="14.4">
      <c r="A557" s="1"/>
      <c r="B557" s="94"/>
      <c r="C557" s="8"/>
      <c r="D557" s="8"/>
      <c r="E557" s="8"/>
      <c r="F557" s="94"/>
      <c r="G557" s="94"/>
      <c r="H557" s="94"/>
      <c r="I557" s="94"/>
      <c r="J557" s="94"/>
      <c r="K557" s="94"/>
      <c r="L557" s="94"/>
      <c r="M557" s="26"/>
      <c r="N557" s="26"/>
      <c r="O557" s="8"/>
      <c r="P557" s="1"/>
      <c r="Q557" s="8"/>
      <c r="R557" s="8"/>
      <c r="S557" s="1"/>
      <c r="T557" s="8"/>
      <c r="U557" s="8"/>
      <c r="V557" s="16"/>
      <c r="W557" s="1"/>
      <c r="X557" s="1"/>
    </row>
    <row r="558" spans="1:24" ht="14.4">
      <c r="A558" s="1"/>
      <c r="B558" s="94"/>
      <c r="C558" s="8"/>
      <c r="D558" s="8"/>
      <c r="E558" s="8"/>
      <c r="F558" s="94"/>
      <c r="G558" s="94"/>
      <c r="H558" s="94"/>
      <c r="I558" s="94"/>
      <c r="J558" s="94"/>
      <c r="K558" s="94"/>
      <c r="L558" s="94"/>
      <c r="M558" s="26"/>
      <c r="N558" s="26"/>
      <c r="O558" s="8"/>
      <c r="P558" s="1"/>
      <c r="Q558" s="8"/>
      <c r="R558" s="8"/>
      <c r="S558" s="1"/>
      <c r="T558" s="8"/>
      <c r="U558" s="8"/>
      <c r="V558" s="16"/>
      <c r="W558" s="1"/>
      <c r="X558" s="1"/>
    </row>
    <row r="559" spans="1:24" ht="14.4">
      <c r="A559" s="1"/>
      <c r="B559" s="94"/>
      <c r="C559" s="8"/>
      <c r="D559" s="8"/>
      <c r="E559" s="8"/>
      <c r="F559" s="94"/>
      <c r="G559" s="94"/>
      <c r="H559" s="94"/>
      <c r="I559" s="94"/>
      <c r="J559" s="94"/>
      <c r="K559" s="94"/>
      <c r="L559" s="94"/>
      <c r="M559" s="26"/>
      <c r="N559" s="26"/>
      <c r="O559" s="8"/>
      <c r="P559" s="1"/>
      <c r="Q559" s="8"/>
      <c r="R559" s="8"/>
      <c r="S559" s="1"/>
      <c r="T559" s="8"/>
      <c r="U559" s="8"/>
      <c r="V559" s="16"/>
      <c r="W559" s="1"/>
      <c r="X559" s="1"/>
    </row>
    <row r="560" spans="1:24" ht="14.4">
      <c r="A560" s="1"/>
      <c r="B560" s="101"/>
      <c r="C560" s="8"/>
      <c r="D560" s="8"/>
      <c r="E560" s="8"/>
      <c r="F560" s="101"/>
      <c r="G560" s="101"/>
      <c r="H560" s="101"/>
      <c r="I560" s="101"/>
      <c r="J560" s="101"/>
      <c r="K560" s="101"/>
      <c r="L560" s="109"/>
      <c r="M560" s="26"/>
      <c r="N560" s="26"/>
      <c r="O560" s="8"/>
      <c r="P560" s="1"/>
      <c r="Q560" s="8"/>
      <c r="R560" s="8"/>
      <c r="S560" s="1"/>
      <c r="T560" s="8"/>
      <c r="U560" s="8"/>
      <c r="V560" s="16"/>
      <c r="W560" s="1"/>
      <c r="X560" s="1"/>
    </row>
    <row r="561" spans="1:24" ht="14.4">
      <c r="A561" s="1"/>
      <c r="B561" s="94"/>
      <c r="C561" s="8"/>
      <c r="D561" s="8"/>
      <c r="E561" s="8"/>
      <c r="F561" s="94"/>
      <c r="G561" s="94"/>
      <c r="H561" s="94"/>
      <c r="I561" s="94"/>
      <c r="J561" s="94"/>
      <c r="K561" s="94"/>
      <c r="L561" s="94"/>
      <c r="M561" s="26"/>
      <c r="N561" s="26"/>
      <c r="O561" s="8"/>
      <c r="P561" s="1"/>
      <c r="Q561" s="8"/>
      <c r="R561" s="8"/>
      <c r="S561" s="1"/>
      <c r="T561" s="8"/>
      <c r="U561" s="8"/>
      <c r="V561" s="16"/>
      <c r="W561" s="1"/>
      <c r="X561" s="1"/>
    </row>
    <row r="562" spans="1:24" ht="14.4">
      <c r="A562" s="1"/>
      <c r="B562" s="94"/>
      <c r="C562" s="8"/>
      <c r="D562" s="8"/>
      <c r="E562" s="8"/>
      <c r="F562" s="94"/>
      <c r="G562" s="94"/>
      <c r="H562" s="94"/>
      <c r="I562" s="94"/>
      <c r="J562" s="94"/>
      <c r="K562" s="94"/>
      <c r="L562" s="94"/>
      <c r="M562" s="26"/>
      <c r="N562" s="26"/>
      <c r="O562" s="8"/>
      <c r="P562" s="1"/>
      <c r="Q562" s="8"/>
      <c r="R562" s="8"/>
      <c r="S562" s="1"/>
      <c r="T562" s="8"/>
      <c r="U562" s="8"/>
      <c r="V562" s="16"/>
      <c r="W562" s="1"/>
      <c r="X562" s="1"/>
    </row>
    <row r="563" spans="1:24" ht="14.4">
      <c r="A563" s="1"/>
      <c r="B563" s="94"/>
      <c r="C563" s="8"/>
      <c r="D563" s="8"/>
      <c r="E563" s="8"/>
      <c r="F563" s="94"/>
      <c r="G563" s="94"/>
      <c r="H563" s="94"/>
      <c r="I563" s="94"/>
      <c r="J563" s="94"/>
      <c r="K563" s="94"/>
      <c r="L563" s="94"/>
      <c r="M563" s="26"/>
      <c r="N563" s="26"/>
      <c r="O563" s="8"/>
      <c r="P563" s="1"/>
      <c r="Q563" s="8"/>
      <c r="R563" s="8"/>
      <c r="S563" s="1"/>
      <c r="T563" s="8"/>
      <c r="U563" s="8"/>
      <c r="V563" s="16"/>
      <c r="W563" s="1"/>
      <c r="X563" s="1"/>
    </row>
    <row r="564" spans="1:24" ht="14.4">
      <c r="A564" s="1"/>
      <c r="B564" s="94"/>
      <c r="C564" s="8"/>
      <c r="D564" s="8"/>
      <c r="E564" s="8"/>
      <c r="F564" s="94"/>
      <c r="G564" s="94"/>
      <c r="H564" s="94"/>
      <c r="I564" s="94"/>
      <c r="J564" s="94"/>
      <c r="K564" s="94"/>
      <c r="L564" s="94"/>
      <c r="M564" s="26"/>
      <c r="N564" s="26"/>
      <c r="O564" s="8"/>
      <c r="P564" s="1"/>
      <c r="Q564" s="8"/>
      <c r="R564" s="8"/>
      <c r="S564" s="1"/>
      <c r="T564" s="8"/>
      <c r="U564" s="8"/>
      <c r="V564" s="16"/>
      <c r="W564" s="1"/>
      <c r="X564" s="1"/>
    </row>
    <row r="565" spans="1:24" ht="14.4">
      <c r="A565" s="1"/>
      <c r="B565" s="101"/>
      <c r="C565" s="8"/>
      <c r="D565" s="8"/>
      <c r="E565" s="8"/>
      <c r="F565" s="101"/>
      <c r="G565" s="101"/>
      <c r="H565" s="101"/>
      <c r="I565" s="101"/>
      <c r="J565" s="101"/>
      <c r="K565" s="101"/>
      <c r="L565" s="109"/>
      <c r="M565" s="26"/>
      <c r="N565" s="26"/>
      <c r="O565" s="8"/>
      <c r="P565" s="1"/>
      <c r="Q565" s="8"/>
      <c r="R565" s="8"/>
      <c r="S565" s="1"/>
      <c r="T565" s="8"/>
      <c r="U565" s="8"/>
      <c r="V565" s="16"/>
      <c r="W565" s="1"/>
      <c r="X565" s="1"/>
    </row>
    <row r="566" spans="1:24" ht="14.4">
      <c r="A566" s="1"/>
      <c r="B566" s="94"/>
      <c r="C566" s="8"/>
      <c r="D566" s="8"/>
      <c r="E566" s="8"/>
      <c r="F566" s="94"/>
      <c r="G566" s="94"/>
      <c r="H566" s="94"/>
      <c r="I566" s="94"/>
      <c r="J566" s="94"/>
      <c r="K566" s="94"/>
      <c r="L566" s="94"/>
      <c r="M566" s="26"/>
      <c r="N566" s="26"/>
      <c r="O566" s="8"/>
      <c r="P566" s="1"/>
      <c r="Q566" s="8"/>
      <c r="R566" s="8"/>
      <c r="S566" s="1"/>
      <c r="T566" s="8"/>
      <c r="U566" s="8"/>
      <c r="V566" s="16"/>
      <c r="W566" s="1"/>
      <c r="X566" s="1"/>
    </row>
    <row r="567" spans="1:24" ht="14.4">
      <c r="A567" s="1"/>
      <c r="B567" s="94"/>
      <c r="C567" s="8"/>
      <c r="D567" s="8"/>
      <c r="E567" s="8"/>
      <c r="F567" s="94"/>
      <c r="G567" s="94"/>
      <c r="H567" s="94"/>
      <c r="I567" s="94"/>
      <c r="J567" s="94"/>
      <c r="K567" s="94"/>
      <c r="L567" s="94"/>
      <c r="M567" s="26"/>
      <c r="N567" s="26"/>
      <c r="O567" s="8"/>
      <c r="P567" s="1"/>
      <c r="Q567" s="8"/>
      <c r="R567" s="8"/>
      <c r="S567" s="1"/>
      <c r="T567" s="8"/>
      <c r="U567" s="8"/>
      <c r="V567" s="16"/>
      <c r="W567" s="1"/>
      <c r="X567" s="1"/>
    </row>
    <row r="568" spans="1:24" ht="14.4">
      <c r="A568" s="1"/>
      <c r="B568" s="94"/>
      <c r="C568" s="8"/>
      <c r="D568" s="8"/>
      <c r="E568" s="8"/>
      <c r="F568" s="94"/>
      <c r="G568" s="94"/>
      <c r="H568" s="94"/>
      <c r="I568" s="94"/>
      <c r="J568" s="94"/>
      <c r="K568" s="94"/>
      <c r="L568" s="94"/>
      <c r="M568" s="26"/>
      <c r="N568" s="26"/>
      <c r="O568" s="8"/>
      <c r="P568" s="1"/>
      <c r="Q568" s="8"/>
      <c r="R568" s="8"/>
      <c r="S568" s="1"/>
      <c r="T568" s="8"/>
      <c r="U568" s="8"/>
      <c r="V568" s="16"/>
      <c r="W568" s="1"/>
      <c r="X568" s="1"/>
    </row>
    <row r="569" spans="1:24" ht="14.4">
      <c r="A569" s="1"/>
      <c r="B569" s="94"/>
      <c r="C569" s="8"/>
      <c r="D569" s="8"/>
      <c r="E569" s="8"/>
      <c r="F569" s="94"/>
      <c r="G569" s="94"/>
      <c r="H569" s="94"/>
      <c r="I569" s="94"/>
      <c r="J569" s="94"/>
      <c r="K569" s="94"/>
      <c r="L569" s="94"/>
      <c r="M569" s="26"/>
      <c r="N569" s="26"/>
      <c r="O569" s="8"/>
      <c r="P569" s="1"/>
      <c r="Q569" s="8"/>
      <c r="R569" s="8"/>
      <c r="S569" s="1"/>
      <c r="T569" s="8"/>
      <c r="U569" s="8"/>
      <c r="V569" s="16"/>
      <c r="W569" s="1"/>
      <c r="X569" s="1"/>
    </row>
    <row r="570" spans="1:24" ht="14.4">
      <c r="A570" s="1"/>
      <c r="B570" s="101"/>
      <c r="C570" s="8"/>
      <c r="D570" s="8"/>
      <c r="E570" s="8"/>
      <c r="F570" s="101"/>
      <c r="G570" s="101"/>
      <c r="H570" s="101"/>
      <c r="I570" s="101"/>
      <c r="J570" s="101"/>
      <c r="K570" s="101"/>
      <c r="L570" s="109"/>
      <c r="M570" s="26"/>
      <c r="N570" s="26"/>
      <c r="O570" s="8"/>
      <c r="P570" s="1"/>
      <c r="Q570" s="8"/>
      <c r="R570" s="8"/>
      <c r="S570" s="1"/>
      <c r="T570" s="8"/>
      <c r="U570" s="8"/>
      <c r="V570" s="16"/>
      <c r="W570" s="1"/>
      <c r="X570" s="1"/>
    </row>
    <row r="571" spans="1:24" ht="14.4">
      <c r="A571" s="1"/>
      <c r="B571" s="94"/>
      <c r="C571" s="8"/>
      <c r="D571" s="8"/>
      <c r="E571" s="8"/>
      <c r="F571" s="94"/>
      <c r="G571" s="94"/>
      <c r="H571" s="94"/>
      <c r="I571" s="94"/>
      <c r="J571" s="94"/>
      <c r="K571" s="94"/>
      <c r="L571" s="94"/>
      <c r="M571" s="26"/>
      <c r="N571" s="26"/>
      <c r="O571" s="8"/>
      <c r="P571" s="1"/>
      <c r="Q571" s="8"/>
      <c r="R571" s="8"/>
      <c r="S571" s="1"/>
      <c r="T571" s="8"/>
      <c r="U571" s="8"/>
      <c r="V571" s="16"/>
      <c r="W571" s="1"/>
      <c r="X571" s="1"/>
    </row>
    <row r="572" spans="1:24" ht="14.4">
      <c r="A572" s="1"/>
      <c r="B572" s="94"/>
      <c r="C572" s="8"/>
      <c r="D572" s="8"/>
      <c r="E572" s="8"/>
      <c r="F572" s="94"/>
      <c r="G572" s="94"/>
      <c r="H572" s="94"/>
      <c r="I572" s="94"/>
      <c r="J572" s="94"/>
      <c r="K572" s="94"/>
      <c r="L572" s="94"/>
      <c r="M572" s="26"/>
      <c r="N572" s="26"/>
      <c r="O572" s="8"/>
      <c r="P572" s="1"/>
      <c r="Q572" s="8"/>
      <c r="R572" s="8"/>
      <c r="S572" s="1"/>
      <c r="T572" s="8"/>
      <c r="U572" s="8"/>
      <c r="V572" s="16"/>
      <c r="W572" s="1"/>
      <c r="X572" s="1"/>
    </row>
    <row r="573" spans="1:24" ht="14.4">
      <c r="A573" s="1"/>
      <c r="B573" s="94"/>
      <c r="C573" s="8"/>
      <c r="D573" s="8"/>
      <c r="E573" s="8"/>
      <c r="F573" s="94"/>
      <c r="G573" s="94"/>
      <c r="H573" s="94"/>
      <c r="I573" s="94"/>
      <c r="J573" s="94"/>
      <c r="K573" s="94"/>
      <c r="L573" s="94"/>
      <c r="M573" s="26"/>
      <c r="N573" s="26"/>
      <c r="O573" s="8"/>
      <c r="P573" s="1"/>
      <c r="Q573" s="8"/>
      <c r="R573" s="8"/>
      <c r="S573" s="1"/>
      <c r="T573" s="8"/>
      <c r="U573" s="8"/>
      <c r="V573" s="16"/>
      <c r="W573" s="1"/>
      <c r="X573" s="1"/>
    </row>
    <row r="574" spans="1:24" ht="14.4">
      <c r="A574" s="1"/>
      <c r="B574" s="94"/>
      <c r="C574" s="8"/>
      <c r="D574" s="8"/>
      <c r="E574" s="8"/>
      <c r="F574" s="94"/>
      <c r="G574" s="94"/>
      <c r="H574" s="94"/>
      <c r="I574" s="94"/>
      <c r="J574" s="94"/>
      <c r="K574" s="94"/>
      <c r="L574" s="94"/>
      <c r="M574" s="26"/>
      <c r="N574" s="26"/>
      <c r="O574" s="8"/>
      <c r="P574" s="1"/>
      <c r="Q574" s="8"/>
      <c r="R574" s="8"/>
      <c r="S574" s="1"/>
      <c r="T574" s="8"/>
      <c r="U574" s="8"/>
      <c r="V574" s="16"/>
      <c r="W574" s="1"/>
      <c r="X574" s="1"/>
    </row>
    <row r="575" spans="1:24" ht="14.4">
      <c r="A575" s="1"/>
      <c r="B575" s="101"/>
      <c r="C575" s="8"/>
      <c r="D575" s="8"/>
      <c r="E575" s="8"/>
      <c r="F575" s="101"/>
      <c r="G575" s="101"/>
      <c r="H575" s="101"/>
      <c r="I575" s="101"/>
      <c r="J575" s="101"/>
      <c r="K575" s="101"/>
      <c r="L575" s="109"/>
      <c r="M575" s="26"/>
      <c r="N575" s="26"/>
      <c r="O575" s="8"/>
      <c r="P575" s="1"/>
      <c r="Q575" s="8"/>
      <c r="R575" s="8"/>
      <c r="S575" s="1"/>
      <c r="T575" s="8"/>
      <c r="U575" s="8"/>
      <c r="V575" s="16"/>
      <c r="W575" s="1"/>
      <c r="X575" s="1"/>
    </row>
    <row r="576" spans="1:24" ht="14.4">
      <c r="A576" s="1"/>
      <c r="B576" s="94"/>
      <c r="C576" s="8"/>
      <c r="D576" s="8"/>
      <c r="E576" s="8"/>
      <c r="F576" s="94"/>
      <c r="G576" s="94"/>
      <c r="H576" s="94"/>
      <c r="I576" s="94"/>
      <c r="J576" s="94"/>
      <c r="K576" s="94"/>
      <c r="L576" s="94"/>
      <c r="M576" s="26"/>
      <c r="N576" s="26"/>
      <c r="O576" s="8"/>
      <c r="P576" s="1"/>
      <c r="Q576" s="8"/>
      <c r="R576" s="8"/>
      <c r="S576" s="1"/>
      <c r="T576" s="8"/>
      <c r="U576" s="8"/>
      <c r="V576" s="16"/>
      <c r="W576" s="1"/>
      <c r="X576" s="1"/>
    </row>
    <row r="577" spans="1:24" ht="14.4">
      <c r="A577" s="1"/>
      <c r="B577" s="94"/>
      <c r="C577" s="8"/>
      <c r="D577" s="8"/>
      <c r="E577" s="8"/>
      <c r="F577" s="94"/>
      <c r="G577" s="94"/>
      <c r="H577" s="94"/>
      <c r="I577" s="94"/>
      <c r="J577" s="94"/>
      <c r="K577" s="94"/>
      <c r="L577" s="94"/>
      <c r="M577" s="26"/>
      <c r="N577" s="26"/>
      <c r="O577" s="8"/>
      <c r="P577" s="1"/>
      <c r="Q577" s="8"/>
      <c r="R577" s="8"/>
      <c r="S577" s="1"/>
      <c r="T577" s="8"/>
      <c r="U577" s="8"/>
      <c r="V577" s="16"/>
      <c r="W577" s="1"/>
      <c r="X577" s="1"/>
    </row>
    <row r="578" spans="1:24" ht="14.4">
      <c r="A578" s="1"/>
      <c r="B578" s="94"/>
      <c r="C578" s="8"/>
      <c r="D578" s="8"/>
      <c r="E578" s="8"/>
      <c r="F578" s="94"/>
      <c r="G578" s="94"/>
      <c r="H578" s="94"/>
      <c r="I578" s="94"/>
      <c r="J578" s="94"/>
      <c r="K578" s="94"/>
      <c r="L578" s="94"/>
      <c r="M578" s="26"/>
      <c r="N578" s="26"/>
      <c r="O578" s="8"/>
      <c r="P578" s="1"/>
      <c r="Q578" s="8"/>
      <c r="R578" s="8"/>
      <c r="S578" s="1"/>
      <c r="T578" s="8"/>
      <c r="U578" s="8"/>
      <c r="V578" s="16"/>
      <c r="W578" s="1"/>
      <c r="X578" s="1"/>
    </row>
    <row r="579" spans="1:24" ht="14.4">
      <c r="A579" s="1"/>
      <c r="B579" s="94"/>
      <c r="C579" s="8"/>
      <c r="D579" s="8"/>
      <c r="E579" s="8"/>
      <c r="F579" s="94"/>
      <c r="G579" s="94"/>
      <c r="H579" s="94"/>
      <c r="I579" s="94"/>
      <c r="J579" s="94"/>
      <c r="K579" s="94"/>
      <c r="L579" s="94"/>
      <c r="M579" s="26"/>
      <c r="N579" s="26"/>
      <c r="O579" s="8"/>
      <c r="P579" s="1"/>
      <c r="Q579" s="8"/>
      <c r="R579" s="8"/>
      <c r="S579" s="1"/>
      <c r="T579" s="8"/>
      <c r="U579" s="8"/>
      <c r="V579" s="16"/>
      <c r="W579" s="1"/>
      <c r="X579" s="1"/>
    </row>
    <row r="580" spans="1:24" ht="14.4">
      <c r="A580" s="1"/>
      <c r="B580" s="101"/>
      <c r="C580" s="8"/>
      <c r="D580" s="8"/>
      <c r="E580" s="8"/>
      <c r="F580" s="101"/>
      <c r="G580" s="101"/>
      <c r="H580" s="101"/>
      <c r="I580" s="101"/>
      <c r="J580" s="101"/>
      <c r="K580" s="101"/>
      <c r="L580" s="109"/>
      <c r="M580" s="26"/>
      <c r="N580" s="26"/>
      <c r="O580" s="8"/>
      <c r="P580" s="1"/>
      <c r="Q580" s="8"/>
      <c r="R580" s="8"/>
      <c r="S580" s="1"/>
      <c r="T580" s="8"/>
      <c r="U580" s="8"/>
      <c r="V580" s="16"/>
      <c r="W580" s="1"/>
      <c r="X580" s="1"/>
    </row>
    <row r="581" spans="1:24" ht="14.4">
      <c r="A581" s="1"/>
      <c r="B581" s="94"/>
      <c r="C581" s="8"/>
      <c r="D581" s="8"/>
      <c r="E581" s="8"/>
      <c r="F581" s="94"/>
      <c r="G581" s="94"/>
      <c r="H581" s="94"/>
      <c r="I581" s="94"/>
      <c r="J581" s="94"/>
      <c r="K581" s="94"/>
      <c r="L581" s="94"/>
      <c r="M581" s="26"/>
      <c r="N581" s="26"/>
      <c r="O581" s="8"/>
      <c r="P581" s="1"/>
      <c r="Q581" s="8"/>
      <c r="R581" s="8"/>
      <c r="S581" s="1"/>
      <c r="T581" s="8"/>
      <c r="U581" s="8"/>
      <c r="V581" s="16"/>
      <c r="W581" s="1"/>
      <c r="X581" s="1"/>
    </row>
    <row r="582" spans="1:24" ht="14.4">
      <c r="A582" s="1"/>
      <c r="B582" s="94"/>
      <c r="C582" s="8"/>
      <c r="D582" s="8"/>
      <c r="E582" s="8"/>
      <c r="F582" s="94"/>
      <c r="G582" s="94"/>
      <c r="H582" s="94"/>
      <c r="I582" s="94"/>
      <c r="J582" s="94"/>
      <c r="K582" s="94"/>
      <c r="L582" s="94"/>
      <c r="M582" s="26"/>
      <c r="N582" s="26"/>
      <c r="O582" s="8"/>
      <c r="P582" s="1"/>
      <c r="Q582" s="8"/>
      <c r="R582" s="8"/>
      <c r="S582" s="1"/>
      <c r="T582" s="8"/>
      <c r="U582" s="8"/>
      <c r="V582" s="16"/>
      <c r="W582" s="1"/>
      <c r="X582" s="1"/>
    </row>
    <row r="583" spans="1:24" ht="14.4">
      <c r="A583" s="1"/>
      <c r="B583" s="94"/>
      <c r="C583" s="8"/>
      <c r="D583" s="8"/>
      <c r="E583" s="8"/>
      <c r="F583" s="94"/>
      <c r="G583" s="94"/>
      <c r="H583" s="94"/>
      <c r="I583" s="94"/>
      <c r="J583" s="94"/>
      <c r="K583" s="94"/>
      <c r="L583" s="94"/>
      <c r="M583" s="26"/>
      <c r="N583" s="26"/>
      <c r="O583" s="8"/>
      <c r="P583" s="1"/>
      <c r="Q583" s="8"/>
      <c r="R583" s="8"/>
      <c r="S583" s="1"/>
      <c r="T583" s="8"/>
      <c r="U583" s="8"/>
      <c r="V583" s="16"/>
      <c r="W583" s="1"/>
      <c r="X583" s="1"/>
    </row>
    <row r="584" spans="1:24" ht="14.4">
      <c r="A584" s="1"/>
      <c r="B584" s="94"/>
      <c r="C584" s="8"/>
      <c r="D584" s="8"/>
      <c r="E584" s="8"/>
      <c r="F584" s="94"/>
      <c r="G584" s="94"/>
      <c r="H584" s="94"/>
      <c r="I584" s="94"/>
      <c r="J584" s="94"/>
      <c r="K584" s="94"/>
      <c r="L584" s="94"/>
      <c r="M584" s="26"/>
      <c r="N584" s="26"/>
      <c r="O584" s="8"/>
      <c r="P584" s="1"/>
      <c r="Q584" s="8"/>
      <c r="R584" s="8"/>
      <c r="S584" s="1"/>
      <c r="T584" s="8"/>
      <c r="U584" s="8"/>
      <c r="V584" s="16"/>
      <c r="W584" s="1"/>
      <c r="X584" s="1"/>
    </row>
    <row r="585" spans="1:24" ht="14.4">
      <c r="A585" s="1"/>
      <c r="B585" s="101"/>
      <c r="C585" s="8"/>
      <c r="D585" s="8"/>
      <c r="E585" s="8"/>
      <c r="F585" s="101"/>
      <c r="G585" s="101"/>
      <c r="H585" s="101"/>
      <c r="I585" s="101"/>
      <c r="J585" s="101"/>
      <c r="K585" s="101"/>
      <c r="L585" s="109"/>
      <c r="M585" s="26"/>
      <c r="N585" s="26"/>
      <c r="O585" s="8"/>
      <c r="P585" s="1"/>
      <c r="Q585" s="8"/>
      <c r="R585" s="8"/>
      <c r="S585" s="1"/>
      <c r="T585" s="8"/>
      <c r="U585" s="8"/>
      <c r="V585" s="16"/>
      <c r="W585" s="1"/>
      <c r="X585" s="1"/>
    </row>
    <row r="586" spans="1:24" ht="14.4">
      <c r="A586" s="1"/>
      <c r="B586" s="94"/>
      <c r="C586" s="8"/>
      <c r="D586" s="8"/>
      <c r="E586" s="8"/>
      <c r="F586" s="94"/>
      <c r="G586" s="94"/>
      <c r="H586" s="94"/>
      <c r="I586" s="94"/>
      <c r="J586" s="94"/>
      <c r="K586" s="94"/>
      <c r="L586" s="94"/>
      <c r="M586" s="26"/>
      <c r="N586" s="26"/>
      <c r="O586" s="8"/>
      <c r="P586" s="1"/>
      <c r="Q586" s="8"/>
      <c r="R586" s="8"/>
      <c r="S586" s="1"/>
      <c r="T586" s="8"/>
      <c r="U586" s="8"/>
      <c r="V586" s="16"/>
      <c r="W586" s="1"/>
      <c r="X586" s="1"/>
    </row>
    <row r="587" spans="1:24" ht="14.4">
      <c r="A587" s="1"/>
      <c r="B587" s="94"/>
      <c r="C587" s="8"/>
      <c r="D587" s="8"/>
      <c r="E587" s="8"/>
      <c r="F587" s="94"/>
      <c r="G587" s="94"/>
      <c r="H587" s="94"/>
      <c r="I587" s="94"/>
      <c r="J587" s="94"/>
      <c r="K587" s="94"/>
      <c r="L587" s="94"/>
      <c r="M587" s="26"/>
      <c r="N587" s="26"/>
      <c r="O587" s="8"/>
      <c r="P587" s="1"/>
      <c r="Q587" s="8"/>
      <c r="R587" s="8"/>
      <c r="S587" s="1"/>
      <c r="T587" s="8"/>
      <c r="U587" s="8"/>
      <c r="V587" s="16"/>
      <c r="W587" s="1"/>
      <c r="X587" s="1"/>
    </row>
    <row r="588" spans="1:24" ht="14.4">
      <c r="A588" s="1"/>
      <c r="B588" s="94"/>
      <c r="C588" s="8"/>
      <c r="D588" s="8"/>
      <c r="E588" s="8"/>
      <c r="F588" s="94"/>
      <c r="G588" s="94"/>
      <c r="H588" s="94"/>
      <c r="I588" s="94"/>
      <c r="J588" s="94"/>
      <c r="K588" s="94"/>
      <c r="L588" s="94"/>
      <c r="M588" s="26"/>
      <c r="N588" s="26"/>
      <c r="O588" s="8"/>
      <c r="P588" s="1"/>
      <c r="Q588" s="8"/>
      <c r="R588" s="8"/>
      <c r="S588" s="1"/>
      <c r="T588" s="8"/>
      <c r="U588" s="8"/>
      <c r="V588" s="16"/>
      <c r="W588" s="1"/>
      <c r="X588" s="1"/>
    </row>
    <row r="589" spans="1:24" ht="14.4">
      <c r="A589" s="1"/>
      <c r="B589" s="94"/>
      <c r="C589" s="8"/>
      <c r="D589" s="8"/>
      <c r="E589" s="8"/>
      <c r="F589" s="94"/>
      <c r="G589" s="94"/>
      <c r="H589" s="94"/>
      <c r="I589" s="94"/>
      <c r="J589" s="94"/>
      <c r="K589" s="94"/>
      <c r="L589" s="94"/>
      <c r="M589" s="26"/>
      <c r="N589" s="26"/>
      <c r="O589" s="8"/>
      <c r="P589" s="1"/>
      <c r="Q589" s="8"/>
      <c r="R589" s="8"/>
      <c r="S589" s="1"/>
      <c r="T589" s="8"/>
      <c r="U589" s="8"/>
      <c r="V589" s="16"/>
      <c r="W589" s="1"/>
      <c r="X589" s="1"/>
    </row>
    <row r="590" spans="1:24" ht="14.4">
      <c r="A590" s="1"/>
      <c r="B590" s="101"/>
      <c r="C590" s="8"/>
      <c r="D590" s="8"/>
      <c r="E590" s="8"/>
      <c r="F590" s="101"/>
      <c r="G590" s="101"/>
      <c r="H590" s="101"/>
      <c r="I590" s="101"/>
      <c r="J590" s="101"/>
      <c r="K590" s="101"/>
      <c r="L590" s="109"/>
      <c r="M590" s="26"/>
      <c r="N590" s="26"/>
      <c r="O590" s="8"/>
      <c r="P590" s="1"/>
      <c r="Q590" s="8"/>
      <c r="R590" s="8"/>
      <c r="S590" s="1"/>
      <c r="T590" s="8"/>
      <c r="U590" s="8"/>
      <c r="V590" s="16"/>
      <c r="W590" s="1"/>
      <c r="X590" s="1"/>
    </row>
    <row r="591" spans="1:24" ht="14.4">
      <c r="A591" s="1"/>
      <c r="B591" s="94"/>
      <c r="C591" s="8"/>
      <c r="D591" s="8"/>
      <c r="E591" s="8"/>
      <c r="F591" s="94"/>
      <c r="G591" s="94"/>
      <c r="H591" s="94"/>
      <c r="I591" s="94"/>
      <c r="J591" s="94"/>
      <c r="K591" s="94"/>
      <c r="L591" s="94"/>
      <c r="M591" s="26"/>
      <c r="N591" s="26"/>
      <c r="O591" s="8"/>
      <c r="P591" s="1"/>
      <c r="Q591" s="8"/>
      <c r="R591" s="8"/>
      <c r="S591" s="1"/>
      <c r="T591" s="8"/>
      <c r="U591" s="8"/>
      <c r="V591" s="16"/>
      <c r="W591" s="1"/>
      <c r="X591" s="1"/>
    </row>
    <row r="592" spans="1:24" ht="14.4">
      <c r="A592" s="1"/>
      <c r="B592" s="94"/>
      <c r="C592" s="8"/>
      <c r="D592" s="8"/>
      <c r="E592" s="8"/>
      <c r="F592" s="94"/>
      <c r="G592" s="94"/>
      <c r="H592" s="94"/>
      <c r="I592" s="94"/>
      <c r="J592" s="94"/>
      <c r="K592" s="94"/>
      <c r="L592" s="94"/>
      <c r="M592" s="26"/>
      <c r="N592" s="26"/>
      <c r="O592" s="8"/>
      <c r="P592" s="1"/>
      <c r="Q592" s="8"/>
      <c r="R592" s="8"/>
      <c r="S592" s="1"/>
      <c r="T592" s="8"/>
      <c r="U592" s="8"/>
      <c r="V592" s="16"/>
      <c r="W592" s="1"/>
      <c r="X592" s="1"/>
    </row>
    <row r="593" spans="1:24" ht="14.4">
      <c r="A593" s="1"/>
      <c r="B593" s="94"/>
      <c r="C593" s="8"/>
      <c r="D593" s="8"/>
      <c r="E593" s="8"/>
      <c r="F593" s="94"/>
      <c r="G593" s="94"/>
      <c r="H593" s="94"/>
      <c r="I593" s="94"/>
      <c r="J593" s="94"/>
      <c r="K593" s="94"/>
      <c r="L593" s="94"/>
      <c r="M593" s="26"/>
      <c r="N593" s="26"/>
      <c r="O593" s="8"/>
      <c r="P593" s="1"/>
      <c r="Q593" s="8"/>
      <c r="R593" s="8"/>
      <c r="S593" s="1"/>
      <c r="T593" s="8"/>
      <c r="U593" s="8"/>
      <c r="V593" s="16"/>
      <c r="W593" s="1"/>
      <c r="X593" s="1"/>
    </row>
    <row r="594" spans="1:24" ht="14.4">
      <c r="A594" s="1"/>
      <c r="B594" s="94"/>
      <c r="C594" s="8"/>
      <c r="D594" s="8"/>
      <c r="E594" s="8"/>
      <c r="F594" s="94"/>
      <c r="G594" s="94"/>
      <c r="H594" s="94"/>
      <c r="I594" s="94"/>
      <c r="J594" s="94"/>
      <c r="K594" s="94"/>
      <c r="L594" s="94"/>
      <c r="M594" s="26"/>
      <c r="N594" s="26"/>
      <c r="O594" s="8"/>
      <c r="P594" s="1"/>
      <c r="Q594" s="8"/>
      <c r="R594" s="8"/>
      <c r="S594" s="1"/>
      <c r="T594" s="8"/>
      <c r="U594" s="8"/>
      <c r="V594" s="16"/>
      <c r="W594" s="1"/>
      <c r="X594" s="1"/>
    </row>
    <row r="595" spans="1:24" ht="14.4">
      <c r="A595" s="1"/>
      <c r="B595" s="8"/>
      <c r="C595" s="8"/>
      <c r="D595" s="8"/>
      <c r="E595" s="8"/>
      <c r="F595" s="8"/>
      <c r="G595" s="8"/>
      <c r="H595" s="8"/>
      <c r="I595" s="8"/>
      <c r="J595" s="8"/>
      <c r="K595" s="8"/>
      <c r="L595" s="56"/>
      <c r="M595" s="26"/>
      <c r="N595" s="26"/>
      <c r="O595" s="8"/>
      <c r="P595" s="1"/>
      <c r="Q595" s="8"/>
      <c r="R595" s="8"/>
      <c r="S595" s="1"/>
      <c r="T595" s="8"/>
      <c r="U595" s="8"/>
      <c r="V595" s="16"/>
      <c r="W595" s="1"/>
      <c r="X595" s="1"/>
    </row>
    <row r="596" spans="1:24" ht="14.4">
      <c r="A596" s="1"/>
      <c r="B596" s="8"/>
      <c r="C596" s="8"/>
      <c r="D596" s="8"/>
      <c r="E596" s="8"/>
      <c r="F596" s="8"/>
      <c r="G596" s="8"/>
      <c r="H596" s="8"/>
      <c r="I596" s="8"/>
      <c r="J596" s="8"/>
      <c r="K596" s="8"/>
      <c r="L596" s="56"/>
      <c r="M596" s="26"/>
      <c r="N596" s="26"/>
      <c r="O596" s="8"/>
      <c r="P596" s="1"/>
      <c r="Q596" s="8"/>
      <c r="R596" s="8"/>
      <c r="S596" s="1"/>
      <c r="T596" s="8"/>
      <c r="U596" s="8"/>
      <c r="V596" s="16"/>
      <c r="W596" s="1"/>
      <c r="X596" s="1"/>
    </row>
    <row r="597" spans="1:24" ht="14.4">
      <c r="A597" s="1"/>
      <c r="B597" s="8"/>
      <c r="C597" s="8"/>
      <c r="D597" s="8"/>
      <c r="E597" s="8"/>
      <c r="F597" s="8"/>
      <c r="G597" s="8"/>
      <c r="H597" s="8"/>
      <c r="I597" s="8"/>
      <c r="J597" s="8"/>
      <c r="K597" s="8"/>
      <c r="L597" s="56"/>
      <c r="M597" s="26"/>
      <c r="N597" s="26"/>
      <c r="O597" s="8"/>
      <c r="P597" s="1"/>
      <c r="Q597" s="8"/>
      <c r="R597" s="8"/>
      <c r="S597" s="1"/>
      <c r="T597" s="8"/>
      <c r="U597" s="8"/>
      <c r="V597" s="16"/>
      <c r="W597" s="1"/>
      <c r="X597" s="1"/>
    </row>
    <row r="598" spans="1:24" ht="14.4">
      <c r="A598" s="1"/>
      <c r="B598" s="8"/>
      <c r="C598" s="8"/>
      <c r="D598" s="8"/>
      <c r="E598" s="8"/>
      <c r="F598" s="8"/>
      <c r="G598" s="8"/>
      <c r="H598" s="8"/>
      <c r="I598" s="8"/>
      <c r="J598" s="8"/>
      <c r="K598" s="8"/>
      <c r="L598" s="56"/>
      <c r="M598" s="26"/>
      <c r="N598" s="26"/>
      <c r="O598" s="8"/>
      <c r="P598" s="1"/>
      <c r="Q598" s="8"/>
      <c r="R598" s="8"/>
      <c r="S598" s="1"/>
      <c r="T598" s="8"/>
      <c r="U598" s="8"/>
      <c r="V598" s="16"/>
      <c r="W598" s="1"/>
      <c r="X598" s="1"/>
    </row>
    <row r="599" spans="1:24" ht="14.4">
      <c r="A599" s="1"/>
      <c r="B599" s="8"/>
      <c r="C599" s="8"/>
      <c r="D599" s="8"/>
      <c r="E599" s="8"/>
      <c r="F599" s="8"/>
      <c r="G599" s="8"/>
      <c r="H599" s="8"/>
      <c r="I599" s="8"/>
      <c r="J599" s="8"/>
      <c r="K599" s="8"/>
      <c r="L599" s="56"/>
      <c r="M599" s="26"/>
      <c r="N599" s="26"/>
      <c r="O599" s="8"/>
      <c r="P599" s="1"/>
      <c r="Q599" s="8"/>
      <c r="R599" s="8"/>
      <c r="S599" s="1"/>
      <c r="T599" s="8"/>
      <c r="U599" s="8"/>
      <c r="V599" s="16"/>
      <c r="W599" s="1"/>
      <c r="X599" s="1"/>
    </row>
    <row r="600" spans="1:24" ht="14.4">
      <c r="A600" s="1"/>
      <c r="B600" s="8"/>
      <c r="C600" s="8"/>
      <c r="D600" s="8"/>
      <c r="E600" s="8"/>
      <c r="F600" s="8"/>
      <c r="G600" s="8"/>
      <c r="H600" s="8"/>
      <c r="I600" s="8"/>
      <c r="J600" s="8"/>
      <c r="K600" s="8"/>
      <c r="L600" s="56"/>
      <c r="M600" s="26"/>
      <c r="N600" s="26"/>
      <c r="O600" s="8"/>
      <c r="P600" s="1"/>
      <c r="Q600" s="8"/>
      <c r="R600" s="8"/>
      <c r="S600" s="1"/>
      <c r="T600" s="8"/>
      <c r="U600" s="8"/>
      <c r="V600" s="16"/>
      <c r="W600" s="1"/>
      <c r="X600" s="1"/>
    </row>
    <row r="601" spans="1:24" ht="14.4">
      <c r="A601" s="1"/>
      <c r="B601" s="8"/>
      <c r="C601" s="8"/>
      <c r="D601" s="8"/>
      <c r="E601" s="8"/>
      <c r="F601" s="8"/>
      <c r="G601" s="8"/>
      <c r="H601" s="8"/>
      <c r="I601" s="8"/>
      <c r="J601" s="8"/>
      <c r="K601" s="8"/>
      <c r="L601" s="56"/>
      <c r="M601" s="26"/>
      <c r="N601" s="26"/>
      <c r="O601" s="8"/>
      <c r="P601" s="1"/>
      <c r="Q601" s="8"/>
      <c r="R601" s="8"/>
      <c r="S601" s="1"/>
      <c r="T601" s="8"/>
      <c r="U601" s="8"/>
      <c r="V601" s="16"/>
      <c r="W601" s="1"/>
      <c r="X601" s="1"/>
    </row>
    <row r="602" spans="1:24" ht="14.4">
      <c r="A602" s="1"/>
      <c r="B602" s="8"/>
      <c r="C602" s="8"/>
      <c r="D602" s="8"/>
      <c r="E602" s="8"/>
      <c r="F602" s="8"/>
      <c r="G602" s="8"/>
      <c r="H602" s="8"/>
      <c r="I602" s="8"/>
      <c r="J602" s="8"/>
      <c r="K602" s="8"/>
      <c r="L602" s="56"/>
      <c r="M602" s="26"/>
      <c r="N602" s="26"/>
      <c r="O602" s="8"/>
      <c r="P602" s="1"/>
      <c r="Q602" s="8"/>
      <c r="R602" s="8"/>
      <c r="S602" s="1"/>
      <c r="T602" s="8"/>
      <c r="U602" s="8"/>
      <c r="V602" s="16"/>
      <c r="W602" s="1"/>
      <c r="X602" s="1"/>
    </row>
    <row r="603" spans="1:24" ht="14.4">
      <c r="A603" s="1"/>
      <c r="B603" s="8"/>
      <c r="C603" s="8"/>
      <c r="D603" s="8"/>
      <c r="E603" s="8"/>
      <c r="F603" s="8"/>
      <c r="G603" s="8"/>
      <c r="H603" s="8"/>
      <c r="I603" s="8"/>
      <c r="J603" s="8"/>
      <c r="K603" s="8"/>
      <c r="L603" s="56"/>
      <c r="M603" s="26"/>
      <c r="N603" s="26"/>
      <c r="O603" s="8"/>
      <c r="P603" s="1"/>
      <c r="Q603" s="8"/>
      <c r="R603" s="8"/>
      <c r="S603" s="1"/>
      <c r="T603" s="8"/>
      <c r="U603" s="8"/>
      <c r="V603" s="16"/>
      <c r="W603" s="1"/>
      <c r="X603" s="1"/>
    </row>
    <row r="604" spans="1:24" ht="14.4">
      <c r="A604" s="1"/>
      <c r="B604" s="8"/>
      <c r="C604" s="8"/>
      <c r="D604" s="8"/>
      <c r="E604" s="8"/>
      <c r="F604" s="8"/>
      <c r="G604" s="8"/>
      <c r="H604" s="8"/>
      <c r="I604" s="8"/>
      <c r="J604" s="8"/>
      <c r="K604" s="8"/>
      <c r="L604" s="56"/>
      <c r="M604" s="26"/>
      <c r="N604" s="26"/>
      <c r="O604" s="8"/>
      <c r="P604" s="1"/>
      <c r="Q604" s="8"/>
      <c r="R604" s="8"/>
      <c r="S604" s="1"/>
      <c r="T604" s="8"/>
      <c r="U604" s="8"/>
      <c r="V604" s="16"/>
      <c r="W604" s="1"/>
      <c r="X604" s="1"/>
    </row>
    <row r="605" spans="1:24" ht="14.4">
      <c r="A605" s="1"/>
      <c r="B605" s="8"/>
      <c r="C605" s="8"/>
      <c r="D605" s="8"/>
      <c r="E605" s="8"/>
      <c r="F605" s="8"/>
      <c r="G605" s="8"/>
      <c r="H605" s="8"/>
      <c r="I605" s="8"/>
      <c r="J605" s="8"/>
      <c r="K605" s="8"/>
      <c r="L605" s="56"/>
      <c r="M605" s="26"/>
      <c r="N605" s="26"/>
      <c r="O605" s="8"/>
      <c r="P605" s="1"/>
      <c r="Q605" s="8"/>
      <c r="R605" s="8"/>
      <c r="S605" s="1"/>
      <c r="T605" s="8"/>
      <c r="U605" s="8"/>
      <c r="V605" s="16"/>
      <c r="W605" s="1"/>
      <c r="X605" s="1"/>
    </row>
    <row r="606" spans="1:24" ht="14.4">
      <c r="A606" s="1"/>
      <c r="B606" s="8"/>
      <c r="C606" s="8"/>
      <c r="D606" s="8"/>
      <c r="E606" s="8"/>
      <c r="F606" s="8"/>
      <c r="G606" s="8"/>
      <c r="H606" s="8"/>
      <c r="I606" s="8"/>
      <c r="J606" s="8"/>
      <c r="K606" s="8"/>
      <c r="L606" s="56"/>
      <c r="M606" s="26"/>
      <c r="N606" s="26"/>
      <c r="O606" s="8"/>
      <c r="P606" s="1"/>
      <c r="Q606" s="8"/>
      <c r="R606" s="8"/>
      <c r="S606" s="1"/>
      <c r="T606" s="8"/>
      <c r="U606" s="8"/>
      <c r="V606" s="16"/>
      <c r="W606" s="1"/>
      <c r="X606" s="1"/>
    </row>
    <row r="607" spans="1:24" ht="14.4">
      <c r="A607" s="1"/>
      <c r="B607" s="8"/>
      <c r="C607" s="8"/>
      <c r="D607" s="8"/>
      <c r="E607" s="8"/>
      <c r="F607" s="8"/>
      <c r="G607" s="8"/>
      <c r="H607" s="8"/>
      <c r="I607" s="8"/>
      <c r="J607" s="8"/>
      <c r="K607" s="8"/>
      <c r="L607" s="56"/>
      <c r="M607" s="26"/>
      <c r="N607" s="26"/>
      <c r="O607" s="8"/>
      <c r="P607" s="1"/>
      <c r="Q607" s="8"/>
      <c r="R607" s="8"/>
      <c r="S607" s="1"/>
      <c r="T607" s="8"/>
      <c r="U607" s="8"/>
      <c r="V607" s="16"/>
      <c r="W607" s="1"/>
      <c r="X607" s="1"/>
    </row>
    <row r="608" spans="1:24" ht="14.4">
      <c r="A608" s="1"/>
      <c r="B608" s="8"/>
      <c r="C608" s="8"/>
      <c r="D608" s="8"/>
      <c r="E608" s="8"/>
      <c r="F608" s="8"/>
      <c r="G608" s="8"/>
      <c r="H608" s="8"/>
      <c r="I608" s="8"/>
      <c r="J608" s="8"/>
      <c r="K608" s="8"/>
      <c r="L608" s="56"/>
      <c r="M608" s="26"/>
      <c r="N608" s="26"/>
      <c r="O608" s="8"/>
      <c r="P608" s="1"/>
      <c r="Q608" s="8"/>
      <c r="R608" s="8"/>
      <c r="S608" s="1"/>
      <c r="T608" s="8"/>
      <c r="U608" s="8"/>
      <c r="V608" s="16"/>
      <c r="W608" s="1"/>
      <c r="X608" s="1"/>
    </row>
    <row r="609" spans="1:24" ht="14.4">
      <c r="A609" s="1"/>
      <c r="B609" s="8"/>
      <c r="C609" s="8"/>
      <c r="D609" s="8"/>
      <c r="E609" s="8"/>
      <c r="F609" s="8"/>
      <c r="G609" s="8"/>
      <c r="H609" s="8"/>
      <c r="I609" s="8"/>
      <c r="J609" s="8"/>
      <c r="K609" s="8"/>
      <c r="L609" s="56"/>
      <c r="M609" s="26"/>
      <c r="N609" s="26"/>
      <c r="O609" s="8"/>
      <c r="P609" s="1"/>
      <c r="Q609" s="8"/>
      <c r="R609" s="8"/>
      <c r="S609" s="1"/>
      <c r="T609" s="8"/>
      <c r="U609" s="8"/>
      <c r="V609" s="16"/>
      <c r="W609" s="1"/>
      <c r="X609" s="1"/>
    </row>
    <row r="610" spans="1:24" ht="14.4">
      <c r="A610" s="1"/>
      <c r="B610" s="8"/>
      <c r="C610" s="8"/>
      <c r="D610" s="8"/>
      <c r="E610" s="8"/>
      <c r="F610" s="8"/>
      <c r="G610" s="8"/>
      <c r="H610" s="8"/>
      <c r="I610" s="8"/>
      <c r="J610" s="8"/>
      <c r="K610" s="8"/>
      <c r="L610" s="56"/>
      <c r="M610" s="26"/>
      <c r="N610" s="26"/>
      <c r="O610" s="8"/>
      <c r="P610" s="1"/>
      <c r="Q610" s="8"/>
      <c r="R610" s="8"/>
      <c r="S610" s="1"/>
      <c r="T610" s="8"/>
      <c r="U610" s="8"/>
      <c r="V610" s="16"/>
      <c r="W610" s="1"/>
      <c r="X610" s="1"/>
    </row>
    <row r="611" spans="1:24" ht="14.4">
      <c r="A611" s="1"/>
      <c r="B611" s="8"/>
      <c r="C611" s="8"/>
      <c r="D611" s="8"/>
      <c r="E611" s="8"/>
      <c r="F611" s="8"/>
      <c r="G611" s="8"/>
      <c r="H611" s="8"/>
      <c r="I611" s="8"/>
      <c r="J611" s="8"/>
      <c r="K611" s="8"/>
      <c r="L611" s="56"/>
      <c r="M611" s="26"/>
      <c r="N611" s="26"/>
      <c r="O611" s="8"/>
      <c r="P611" s="1"/>
      <c r="Q611" s="8"/>
      <c r="R611" s="8"/>
      <c r="S611" s="1"/>
      <c r="T611" s="8"/>
      <c r="U611" s="8"/>
      <c r="V611" s="16"/>
      <c r="W611" s="1"/>
      <c r="X611" s="1"/>
    </row>
    <row r="612" spans="1:24" ht="14.4">
      <c r="A612" s="1"/>
      <c r="B612" s="8"/>
      <c r="C612" s="8"/>
      <c r="D612" s="8"/>
      <c r="E612" s="8"/>
      <c r="F612" s="8"/>
      <c r="G612" s="8"/>
      <c r="H612" s="8"/>
      <c r="I612" s="8"/>
      <c r="J612" s="8"/>
      <c r="K612" s="8"/>
      <c r="L612" s="56"/>
      <c r="M612" s="26"/>
      <c r="N612" s="26"/>
      <c r="O612" s="8"/>
      <c r="P612" s="1"/>
      <c r="Q612" s="8"/>
      <c r="R612" s="8"/>
      <c r="S612" s="1"/>
      <c r="T612" s="8"/>
      <c r="U612" s="8"/>
      <c r="V612" s="16"/>
      <c r="W612" s="1"/>
      <c r="X612" s="1"/>
    </row>
    <row r="613" spans="1:24" ht="14.4">
      <c r="A613" s="1"/>
      <c r="B613" s="8"/>
      <c r="C613" s="8"/>
      <c r="D613" s="8"/>
      <c r="E613" s="8"/>
      <c r="F613" s="8"/>
      <c r="G613" s="8"/>
      <c r="H613" s="8"/>
      <c r="I613" s="8"/>
      <c r="J613" s="8"/>
      <c r="K613" s="8"/>
      <c r="L613" s="56"/>
      <c r="M613" s="26"/>
      <c r="N613" s="26"/>
      <c r="O613" s="8"/>
      <c r="P613" s="1"/>
      <c r="Q613" s="8"/>
      <c r="R613" s="8"/>
      <c r="S613" s="1"/>
      <c r="T613" s="8"/>
      <c r="U613" s="8"/>
      <c r="V613" s="16"/>
      <c r="W613" s="1"/>
      <c r="X613" s="1"/>
    </row>
    <row r="614" spans="1:24" ht="14.4">
      <c r="A614" s="1"/>
      <c r="B614" s="8"/>
      <c r="C614" s="8"/>
      <c r="D614" s="8"/>
      <c r="E614" s="8"/>
      <c r="F614" s="8"/>
      <c r="G614" s="8"/>
      <c r="H614" s="8"/>
      <c r="I614" s="8"/>
      <c r="J614" s="8"/>
      <c r="K614" s="8"/>
      <c r="L614" s="56"/>
      <c r="M614" s="26"/>
      <c r="N614" s="26"/>
      <c r="O614" s="8"/>
      <c r="P614" s="1"/>
      <c r="Q614" s="8"/>
      <c r="R614" s="8"/>
      <c r="S614" s="1"/>
      <c r="T614" s="8"/>
      <c r="U614" s="8"/>
      <c r="V614" s="16"/>
      <c r="W614" s="1"/>
      <c r="X614" s="1"/>
    </row>
    <row r="615" spans="1:24" ht="14.4">
      <c r="A615" s="1"/>
      <c r="B615" s="8"/>
      <c r="C615" s="8"/>
      <c r="D615" s="8"/>
      <c r="E615" s="8"/>
      <c r="F615" s="8"/>
      <c r="G615" s="8"/>
      <c r="H615" s="8"/>
      <c r="I615" s="8"/>
      <c r="J615" s="8"/>
      <c r="K615" s="8"/>
      <c r="L615" s="56"/>
      <c r="M615" s="26"/>
      <c r="N615" s="26"/>
      <c r="O615" s="8"/>
      <c r="P615" s="1"/>
      <c r="Q615" s="8"/>
      <c r="R615" s="8"/>
      <c r="S615" s="1"/>
      <c r="T615" s="8"/>
      <c r="U615" s="8"/>
      <c r="V615" s="16"/>
      <c r="W615" s="1"/>
      <c r="X615" s="1"/>
    </row>
    <row r="616" spans="1:24" ht="14.4">
      <c r="A616" s="1"/>
      <c r="B616" s="8"/>
      <c r="C616" s="8"/>
      <c r="D616" s="8"/>
      <c r="E616" s="8"/>
      <c r="F616" s="8"/>
      <c r="G616" s="8"/>
      <c r="H616" s="8"/>
      <c r="I616" s="8"/>
      <c r="J616" s="8"/>
      <c r="K616" s="8"/>
      <c r="L616" s="56"/>
      <c r="M616" s="26"/>
      <c r="N616" s="26"/>
      <c r="O616" s="8"/>
      <c r="P616" s="1"/>
      <c r="Q616" s="8"/>
      <c r="R616" s="8"/>
      <c r="S616" s="1"/>
      <c r="T616" s="8"/>
      <c r="U616" s="8"/>
      <c r="V616" s="16"/>
      <c r="W616" s="1"/>
      <c r="X616" s="1"/>
    </row>
    <row r="617" spans="1:24" ht="14.4">
      <c r="A617" s="1"/>
      <c r="B617" s="8"/>
      <c r="C617" s="8"/>
      <c r="D617" s="8"/>
      <c r="E617" s="8"/>
      <c r="F617" s="8"/>
      <c r="G617" s="8"/>
      <c r="H617" s="8"/>
      <c r="I617" s="8"/>
      <c r="J617" s="8"/>
      <c r="K617" s="8"/>
      <c r="L617" s="56"/>
      <c r="M617" s="26"/>
      <c r="N617" s="26"/>
      <c r="O617" s="8"/>
      <c r="P617" s="1"/>
      <c r="Q617" s="8"/>
      <c r="R617" s="8"/>
      <c r="S617" s="1"/>
      <c r="T617" s="8"/>
      <c r="U617" s="8"/>
      <c r="V617" s="16"/>
      <c r="W617" s="1"/>
      <c r="X617" s="1"/>
    </row>
    <row r="618" spans="1:24" ht="14.4">
      <c r="A618" s="1"/>
      <c r="B618" s="8"/>
      <c r="C618" s="8"/>
      <c r="D618" s="8"/>
      <c r="E618" s="8"/>
      <c r="F618" s="8"/>
      <c r="G618" s="8"/>
      <c r="H618" s="8"/>
      <c r="I618" s="8"/>
      <c r="J618" s="8"/>
      <c r="K618" s="8"/>
      <c r="L618" s="56"/>
      <c r="M618" s="26"/>
      <c r="N618" s="26"/>
      <c r="O618" s="8"/>
      <c r="P618" s="1"/>
      <c r="Q618" s="8"/>
      <c r="R618" s="8"/>
      <c r="S618" s="1"/>
      <c r="T618" s="8"/>
      <c r="U618" s="8"/>
      <c r="V618" s="16"/>
      <c r="W618" s="1"/>
      <c r="X618" s="1"/>
    </row>
    <row r="619" spans="1:24" ht="14.4">
      <c r="A619" s="1"/>
      <c r="B619" s="8"/>
      <c r="C619" s="8"/>
      <c r="D619" s="8"/>
      <c r="E619" s="8"/>
      <c r="F619" s="8"/>
      <c r="G619" s="8"/>
      <c r="H619" s="8"/>
      <c r="I619" s="8"/>
      <c r="J619" s="8"/>
      <c r="K619" s="8"/>
      <c r="L619" s="56"/>
      <c r="M619" s="26"/>
      <c r="N619" s="26"/>
      <c r="O619" s="8"/>
      <c r="P619" s="1"/>
      <c r="Q619" s="8"/>
      <c r="R619" s="8"/>
      <c r="S619" s="1"/>
      <c r="T619" s="8"/>
      <c r="U619" s="8"/>
      <c r="V619" s="16"/>
      <c r="W619" s="1"/>
      <c r="X619" s="1"/>
    </row>
    <row r="620" spans="1:24" ht="14.4">
      <c r="A620" s="1"/>
      <c r="B620" s="8"/>
      <c r="C620" s="8"/>
      <c r="D620" s="8"/>
      <c r="E620" s="8"/>
      <c r="F620" s="8"/>
      <c r="G620" s="8"/>
      <c r="H620" s="8"/>
      <c r="I620" s="8"/>
      <c r="J620" s="8"/>
      <c r="K620" s="8"/>
      <c r="L620" s="56"/>
      <c r="M620" s="26"/>
      <c r="N620" s="26"/>
      <c r="O620" s="8"/>
      <c r="P620" s="1"/>
      <c r="Q620" s="8"/>
      <c r="R620" s="8"/>
      <c r="S620" s="1"/>
      <c r="T620" s="8"/>
      <c r="U620" s="8"/>
      <c r="V620" s="16"/>
      <c r="W620" s="1"/>
      <c r="X620" s="1"/>
    </row>
    <row r="621" spans="1:24" ht="14.4">
      <c r="A621" s="1"/>
      <c r="B621" s="8"/>
      <c r="C621" s="8"/>
      <c r="D621" s="8"/>
      <c r="E621" s="8"/>
      <c r="F621" s="8"/>
      <c r="G621" s="8"/>
      <c r="H621" s="8"/>
      <c r="I621" s="8"/>
      <c r="J621" s="8"/>
      <c r="K621" s="8"/>
      <c r="L621" s="56"/>
      <c r="M621" s="26"/>
      <c r="N621" s="26"/>
      <c r="O621" s="8"/>
      <c r="P621" s="1"/>
      <c r="Q621" s="8"/>
      <c r="R621" s="8"/>
      <c r="S621" s="1"/>
      <c r="T621" s="8"/>
      <c r="U621" s="8"/>
      <c r="V621" s="16"/>
      <c r="W621" s="1"/>
      <c r="X621" s="1"/>
    </row>
    <row r="622" spans="1:24" ht="14.4">
      <c r="A622" s="1"/>
      <c r="B622" s="8"/>
      <c r="C622" s="8"/>
      <c r="D622" s="8"/>
      <c r="E622" s="8"/>
      <c r="F622" s="8"/>
      <c r="G622" s="8"/>
      <c r="H622" s="8"/>
      <c r="I622" s="8"/>
      <c r="J622" s="8"/>
      <c r="K622" s="8"/>
      <c r="L622" s="56"/>
      <c r="M622" s="26"/>
      <c r="N622" s="26"/>
      <c r="O622" s="8"/>
      <c r="P622" s="1"/>
      <c r="Q622" s="8"/>
      <c r="R622" s="8"/>
      <c r="S622" s="1"/>
      <c r="T622" s="8"/>
      <c r="U622" s="8"/>
      <c r="V622" s="16"/>
      <c r="W622" s="1"/>
      <c r="X622" s="1"/>
    </row>
    <row r="623" spans="1:24" ht="14.4">
      <c r="A623" s="1"/>
      <c r="B623" s="8"/>
      <c r="C623" s="8"/>
      <c r="D623" s="8"/>
      <c r="E623" s="8"/>
      <c r="F623" s="8"/>
      <c r="G623" s="8"/>
      <c r="H623" s="8"/>
      <c r="I623" s="8"/>
      <c r="J623" s="8"/>
      <c r="K623" s="8"/>
      <c r="L623" s="56"/>
      <c r="M623" s="26"/>
      <c r="N623" s="26"/>
      <c r="O623" s="8"/>
      <c r="P623" s="1"/>
      <c r="Q623" s="8"/>
      <c r="R623" s="8"/>
      <c r="S623" s="1"/>
      <c r="T623" s="8"/>
      <c r="U623" s="8"/>
      <c r="V623" s="16"/>
      <c r="W623" s="1"/>
      <c r="X623" s="1"/>
    </row>
    <row r="624" spans="1:24" ht="14.4">
      <c r="A624" s="1"/>
      <c r="B624" s="8"/>
      <c r="C624" s="8"/>
      <c r="D624" s="8"/>
      <c r="E624" s="8"/>
      <c r="F624" s="8"/>
      <c r="G624" s="8"/>
      <c r="H624" s="8"/>
      <c r="I624" s="8"/>
      <c r="J624" s="8"/>
      <c r="K624" s="8"/>
      <c r="L624" s="56"/>
      <c r="M624" s="26"/>
      <c r="N624" s="26"/>
      <c r="O624" s="8"/>
      <c r="P624" s="1"/>
      <c r="Q624" s="8"/>
      <c r="R624" s="8"/>
      <c r="S624" s="1"/>
      <c r="T624" s="8"/>
      <c r="U624" s="8"/>
      <c r="V624" s="16"/>
      <c r="W624" s="1"/>
      <c r="X624" s="1"/>
    </row>
    <row r="625" spans="1:24" ht="14.4">
      <c r="A625" s="1"/>
      <c r="B625" s="8"/>
      <c r="C625" s="8"/>
      <c r="D625" s="8"/>
      <c r="E625" s="8"/>
      <c r="F625" s="8"/>
      <c r="G625" s="8"/>
      <c r="H625" s="8"/>
      <c r="I625" s="8"/>
      <c r="J625" s="8"/>
      <c r="K625" s="8"/>
      <c r="L625" s="56"/>
      <c r="M625" s="26"/>
      <c r="N625" s="26"/>
      <c r="O625" s="8"/>
      <c r="P625" s="1"/>
      <c r="Q625" s="8"/>
      <c r="R625" s="8"/>
      <c r="S625" s="1"/>
      <c r="T625" s="8"/>
      <c r="U625" s="8"/>
      <c r="V625" s="16"/>
      <c r="W625" s="1"/>
      <c r="X625" s="1"/>
    </row>
    <row r="626" spans="1:24" ht="14.4">
      <c r="A626" s="1"/>
      <c r="B626" s="8"/>
      <c r="C626" s="8"/>
      <c r="D626" s="8"/>
      <c r="E626" s="8"/>
      <c r="F626" s="8"/>
      <c r="G626" s="8"/>
      <c r="H626" s="8"/>
      <c r="I626" s="8"/>
      <c r="J626" s="8"/>
      <c r="K626" s="8"/>
      <c r="L626" s="56"/>
      <c r="M626" s="26"/>
      <c r="N626" s="26"/>
      <c r="O626" s="8"/>
      <c r="P626" s="1"/>
      <c r="Q626" s="8"/>
      <c r="R626" s="8"/>
      <c r="S626" s="1"/>
      <c r="T626" s="8"/>
      <c r="U626" s="8"/>
      <c r="V626" s="16"/>
      <c r="W626" s="1"/>
      <c r="X626" s="1"/>
    </row>
    <row r="627" spans="1:24" ht="14.4">
      <c r="A627" s="1"/>
      <c r="B627" s="8"/>
      <c r="C627" s="8"/>
      <c r="D627" s="8"/>
      <c r="E627" s="8"/>
      <c r="F627" s="8"/>
      <c r="G627" s="8"/>
      <c r="H627" s="8"/>
      <c r="I627" s="8"/>
      <c r="J627" s="8"/>
      <c r="K627" s="8"/>
      <c r="L627" s="56"/>
      <c r="M627" s="26"/>
      <c r="N627" s="26"/>
      <c r="O627" s="8"/>
      <c r="P627" s="1"/>
      <c r="Q627" s="8"/>
      <c r="R627" s="8"/>
      <c r="S627" s="1"/>
      <c r="T627" s="8"/>
      <c r="U627" s="8"/>
      <c r="V627" s="16"/>
      <c r="W627" s="1"/>
      <c r="X627" s="1"/>
    </row>
    <row r="628" spans="1:24" ht="14.4">
      <c r="A628" s="1"/>
      <c r="B628" s="8"/>
      <c r="C628" s="8"/>
      <c r="D628" s="8"/>
      <c r="E628" s="8"/>
      <c r="F628" s="8"/>
      <c r="G628" s="8"/>
      <c r="H628" s="8"/>
      <c r="I628" s="8"/>
      <c r="J628" s="8"/>
      <c r="K628" s="8"/>
      <c r="L628" s="56"/>
      <c r="M628" s="26"/>
      <c r="N628" s="26"/>
      <c r="O628" s="8"/>
      <c r="P628" s="1"/>
      <c r="Q628" s="8"/>
      <c r="R628" s="8"/>
      <c r="S628" s="1"/>
      <c r="T628" s="8"/>
      <c r="U628" s="8"/>
      <c r="V628" s="16"/>
      <c r="W628" s="1"/>
      <c r="X628" s="1"/>
    </row>
    <row r="629" spans="1:24" ht="14.4">
      <c r="A629" s="1"/>
      <c r="B629" s="8"/>
      <c r="C629" s="8"/>
      <c r="D629" s="8"/>
      <c r="E629" s="8"/>
      <c r="F629" s="8"/>
      <c r="G629" s="8"/>
      <c r="H629" s="8"/>
      <c r="I629" s="8"/>
      <c r="J629" s="8"/>
      <c r="K629" s="8"/>
      <c r="L629" s="56"/>
      <c r="M629" s="26"/>
      <c r="N629" s="26"/>
      <c r="O629" s="8"/>
      <c r="P629" s="1"/>
      <c r="Q629" s="8"/>
      <c r="R629" s="8"/>
      <c r="S629" s="1"/>
      <c r="T629" s="8"/>
      <c r="U629" s="8"/>
      <c r="V629" s="16"/>
      <c r="W629" s="1"/>
      <c r="X629" s="1"/>
    </row>
    <row r="630" spans="1:24" ht="14.4">
      <c r="A630" s="1"/>
      <c r="B630" s="8"/>
      <c r="C630" s="8"/>
      <c r="D630" s="8"/>
      <c r="E630" s="8"/>
      <c r="F630" s="8"/>
      <c r="G630" s="8"/>
      <c r="H630" s="8"/>
      <c r="I630" s="8"/>
      <c r="J630" s="8"/>
      <c r="K630" s="8"/>
      <c r="L630" s="56"/>
      <c r="M630" s="26"/>
      <c r="N630" s="26"/>
      <c r="O630" s="8"/>
      <c r="P630" s="1"/>
      <c r="Q630" s="8"/>
      <c r="R630" s="8"/>
      <c r="S630" s="1"/>
      <c r="T630" s="8"/>
      <c r="U630" s="8"/>
      <c r="V630" s="16"/>
      <c r="W630" s="1"/>
      <c r="X630" s="1"/>
    </row>
    <row r="631" spans="1:24" ht="14.4">
      <c r="A631" s="1"/>
      <c r="B631" s="8"/>
      <c r="C631" s="8"/>
      <c r="D631" s="8"/>
      <c r="E631" s="8"/>
      <c r="F631" s="8"/>
      <c r="G631" s="8"/>
      <c r="H631" s="8"/>
      <c r="I631" s="8"/>
      <c r="J631" s="8"/>
      <c r="K631" s="8"/>
      <c r="L631" s="56"/>
      <c r="M631" s="26"/>
      <c r="N631" s="26"/>
      <c r="O631" s="8"/>
      <c r="P631" s="1"/>
      <c r="Q631" s="8"/>
      <c r="R631" s="8"/>
      <c r="S631" s="1"/>
      <c r="T631" s="8"/>
      <c r="U631" s="8"/>
      <c r="V631" s="16"/>
      <c r="W631" s="1"/>
      <c r="X631" s="1"/>
    </row>
    <row r="632" spans="1:24" ht="14.4">
      <c r="A632" s="1"/>
      <c r="B632" s="8"/>
      <c r="C632" s="8"/>
      <c r="D632" s="8"/>
      <c r="E632" s="8"/>
      <c r="F632" s="8"/>
      <c r="G632" s="8"/>
      <c r="H632" s="8"/>
      <c r="I632" s="8"/>
      <c r="J632" s="8"/>
      <c r="K632" s="8"/>
      <c r="L632" s="56"/>
      <c r="M632" s="26"/>
      <c r="N632" s="26"/>
      <c r="O632" s="8"/>
      <c r="P632" s="1"/>
      <c r="Q632" s="8"/>
      <c r="R632" s="8"/>
      <c r="S632" s="1"/>
      <c r="T632" s="8"/>
      <c r="U632" s="8"/>
      <c r="V632" s="16"/>
      <c r="W632" s="1"/>
      <c r="X632" s="1"/>
    </row>
    <row r="633" spans="1:24" ht="14.4">
      <c r="A633" s="1"/>
      <c r="B633" s="8"/>
      <c r="C633" s="8"/>
      <c r="D633" s="8"/>
      <c r="E633" s="8"/>
      <c r="F633" s="8"/>
      <c r="G633" s="8"/>
      <c r="H633" s="8"/>
      <c r="I633" s="8"/>
      <c r="J633" s="8"/>
      <c r="K633" s="8"/>
      <c r="L633" s="56"/>
      <c r="M633" s="26"/>
      <c r="N633" s="26"/>
      <c r="O633" s="8"/>
      <c r="P633" s="1"/>
      <c r="Q633" s="8"/>
      <c r="R633" s="8"/>
      <c r="S633" s="1"/>
      <c r="T633" s="8"/>
      <c r="U633" s="8"/>
      <c r="V633" s="16"/>
      <c r="W633" s="1"/>
      <c r="X633" s="1"/>
    </row>
    <row r="634" spans="1:24" ht="14.4">
      <c r="A634" s="1"/>
      <c r="B634" s="8"/>
      <c r="C634" s="8"/>
      <c r="D634" s="8"/>
      <c r="E634" s="8"/>
      <c r="F634" s="8"/>
      <c r="G634" s="8"/>
      <c r="H634" s="8"/>
      <c r="I634" s="8"/>
      <c r="J634" s="8"/>
      <c r="K634" s="8"/>
      <c r="L634" s="56"/>
      <c r="M634" s="26"/>
      <c r="N634" s="26"/>
      <c r="O634" s="8"/>
      <c r="P634" s="1"/>
      <c r="Q634" s="8"/>
      <c r="R634" s="8"/>
      <c r="S634" s="1"/>
      <c r="T634" s="8"/>
      <c r="U634" s="8"/>
      <c r="V634" s="16"/>
      <c r="W634" s="1"/>
      <c r="X634" s="1"/>
    </row>
    <row r="635" spans="1:24" ht="14.4">
      <c r="A635" s="1"/>
      <c r="B635" s="8"/>
      <c r="C635" s="8"/>
      <c r="D635" s="8"/>
      <c r="E635" s="8"/>
      <c r="F635" s="8"/>
      <c r="G635" s="8"/>
      <c r="H635" s="8"/>
      <c r="I635" s="8"/>
      <c r="J635" s="8"/>
      <c r="K635" s="8"/>
      <c r="L635" s="56"/>
      <c r="M635" s="26"/>
      <c r="N635" s="26"/>
      <c r="O635" s="8"/>
      <c r="P635" s="1"/>
      <c r="Q635" s="8"/>
      <c r="R635" s="8"/>
      <c r="S635" s="1"/>
      <c r="T635" s="8"/>
      <c r="U635" s="8"/>
      <c r="V635" s="16"/>
      <c r="W635" s="1"/>
      <c r="X635" s="1"/>
    </row>
    <row r="636" spans="1:24" ht="14.4">
      <c r="A636" s="1"/>
      <c r="B636" s="8"/>
      <c r="C636" s="8"/>
      <c r="D636" s="8"/>
      <c r="E636" s="8"/>
      <c r="F636" s="8"/>
      <c r="G636" s="8"/>
      <c r="H636" s="8"/>
      <c r="I636" s="8"/>
      <c r="J636" s="8"/>
      <c r="K636" s="8"/>
      <c r="L636" s="56"/>
      <c r="M636" s="26"/>
      <c r="N636" s="26"/>
      <c r="O636" s="8"/>
      <c r="P636" s="1"/>
      <c r="Q636" s="8"/>
      <c r="R636" s="8"/>
      <c r="S636" s="1"/>
      <c r="T636" s="8"/>
      <c r="U636" s="8"/>
      <c r="V636" s="16"/>
      <c r="W636" s="1"/>
      <c r="X636" s="1"/>
    </row>
    <row r="637" spans="1:24" ht="14.4">
      <c r="A637" s="1"/>
      <c r="B637" s="8"/>
      <c r="C637" s="8"/>
      <c r="D637" s="8"/>
      <c r="E637" s="8"/>
      <c r="F637" s="8"/>
      <c r="G637" s="8"/>
      <c r="H637" s="8"/>
      <c r="I637" s="8"/>
      <c r="J637" s="8"/>
      <c r="K637" s="8"/>
      <c r="L637" s="56"/>
      <c r="M637" s="26"/>
      <c r="N637" s="26"/>
      <c r="O637" s="8"/>
      <c r="P637" s="1"/>
      <c r="Q637" s="8"/>
      <c r="R637" s="8"/>
      <c r="S637" s="1"/>
      <c r="T637" s="8"/>
      <c r="U637" s="8"/>
      <c r="V637" s="16"/>
      <c r="W637" s="1"/>
      <c r="X637" s="1"/>
    </row>
    <row r="638" spans="1:24" ht="14.4">
      <c r="A638" s="1"/>
      <c r="B638" s="8"/>
      <c r="C638" s="8"/>
      <c r="D638" s="8"/>
      <c r="E638" s="8"/>
      <c r="F638" s="8"/>
      <c r="G638" s="8"/>
      <c r="H638" s="8"/>
      <c r="I638" s="8"/>
      <c r="J638" s="8"/>
      <c r="K638" s="8"/>
      <c r="L638" s="56"/>
      <c r="M638" s="26"/>
      <c r="N638" s="26"/>
      <c r="O638" s="8"/>
      <c r="P638" s="1"/>
      <c r="Q638" s="8"/>
      <c r="R638" s="8"/>
      <c r="S638" s="1"/>
      <c r="T638" s="8"/>
      <c r="U638" s="8"/>
      <c r="V638" s="16"/>
      <c r="W638" s="1"/>
      <c r="X638" s="1"/>
    </row>
    <row r="639" spans="1:24" ht="14.4">
      <c r="A639" s="1"/>
      <c r="B639" s="8"/>
      <c r="C639" s="8"/>
      <c r="D639" s="8"/>
      <c r="E639" s="8"/>
      <c r="F639" s="8"/>
      <c r="G639" s="8"/>
      <c r="H639" s="8"/>
      <c r="I639" s="8"/>
      <c r="J639" s="8"/>
      <c r="K639" s="8"/>
      <c r="L639" s="56"/>
      <c r="M639" s="26"/>
      <c r="N639" s="26"/>
      <c r="O639" s="8"/>
      <c r="P639" s="1"/>
      <c r="Q639" s="8"/>
      <c r="R639" s="8"/>
      <c r="S639" s="1"/>
      <c r="T639" s="8"/>
      <c r="U639" s="8"/>
      <c r="V639" s="16"/>
      <c r="W639" s="1"/>
      <c r="X639" s="1"/>
    </row>
    <row r="640" spans="1:24" ht="14.4">
      <c r="A640" s="1"/>
      <c r="B640" s="8"/>
      <c r="C640" s="8"/>
      <c r="D640" s="8"/>
      <c r="E640" s="8"/>
      <c r="F640" s="8"/>
      <c r="G640" s="8"/>
      <c r="H640" s="8"/>
      <c r="I640" s="8"/>
      <c r="J640" s="8"/>
      <c r="K640" s="8"/>
      <c r="L640" s="56"/>
      <c r="M640" s="26"/>
      <c r="N640" s="26"/>
      <c r="O640" s="8"/>
      <c r="P640" s="1"/>
      <c r="Q640" s="8"/>
      <c r="R640" s="8"/>
      <c r="S640" s="1"/>
      <c r="T640" s="8"/>
      <c r="U640" s="8"/>
      <c r="V640" s="16"/>
      <c r="W640" s="1"/>
      <c r="X640" s="1"/>
    </row>
    <row r="641" spans="1:24" ht="14.4">
      <c r="A641" s="1"/>
      <c r="B641" s="8"/>
      <c r="C641" s="8"/>
      <c r="D641" s="8"/>
      <c r="E641" s="8"/>
      <c r="F641" s="8"/>
      <c r="G641" s="8"/>
      <c r="H641" s="8"/>
      <c r="I641" s="8"/>
      <c r="J641" s="8"/>
      <c r="K641" s="8"/>
      <c r="L641" s="56"/>
      <c r="M641" s="26"/>
      <c r="N641" s="26"/>
      <c r="O641" s="8"/>
      <c r="P641" s="1"/>
      <c r="Q641" s="8"/>
      <c r="R641" s="8"/>
      <c r="S641" s="1"/>
      <c r="T641" s="8"/>
      <c r="U641" s="8"/>
      <c r="V641" s="16"/>
      <c r="W641" s="1"/>
      <c r="X641" s="1"/>
    </row>
    <row r="642" spans="1:24" ht="14.4">
      <c r="A642" s="1"/>
      <c r="B642" s="8"/>
      <c r="C642" s="8"/>
      <c r="D642" s="8"/>
      <c r="E642" s="8"/>
      <c r="F642" s="8"/>
      <c r="G642" s="8"/>
      <c r="H642" s="8"/>
      <c r="I642" s="8"/>
      <c r="J642" s="8"/>
      <c r="K642" s="8"/>
      <c r="L642" s="56"/>
      <c r="M642" s="26"/>
      <c r="N642" s="26"/>
      <c r="O642" s="8"/>
      <c r="P642" s="1"/>
      <c r="Q642" s="8"/>
      <c r="R642" s="8"/>
      <c r="S642" s="1"/>
      <c r="T642" s="8"/>
      <c r="U642" s="8"/>
      <c r="V642" s="16"/>
      <c r="W642" s="1"/>
      <c r="X642" s="1"/>
    </row>
    <row r="643" spans="1:24" ht="14.4">
      <c r="A643" s="1"/>
      <c r="B643" s="8"/>
      <c r="C643" s="8"/>
      <c r="D643" s="8"/>
      <c r="E643" s="8"/>
      <c r="F643" s="8"/>
      <c r="G643" s="8"/>
      <c r="H643" s="8"/>
      <c r="I643" s="8"/>
      <c r="J643" s="8"/>
      <c r="K643" s="8"/>
      <c r="L643" s="56"/>
      <c r="M643" s="26"/>
      <c r="N643" s="26"/>
      <c r="O643" s="8"/>
      <c r="P643" s="1"/>
      <c r="Q643" s="8"/>
      <c r="R643" s="8"/>
      <c r="S643" s="1"/>
      <c r="T643" s="8"/>
      <c r="U643" s="8"/>
      <c r="V643" s="16"/>
      <c r="W643" s="1"/>
      <c r="X643" s="1"/>
    </row>
    <row r="644" spans="1:24" ht="14.4">
      <c r="A644" s="1"/>
      <c r="B644" s="8"/>
      <c r="C644" s="8"/>
      <c r="D644" s="8"/>
      <c r="E644" s="8"/>
      <c r="F644" s="8"/>
      <c r="G644" s="8"/>
      <c r="H644" s="8"/>
      <c r="I644" s="8"/>
      <c r="J644" s="8"/>
      <c r="K644" s="8"/>
      <c r="L644" s="56"/>
      <c r="M644" s="26"/>
      <c r="N644" s="26"/>
      <c r="O644" s="8"/>
      <c r="P644" s="1"/>
      <c r="Q644" s="8"/>
      <c r="R644" s="8"/>
      <c r="S644" s="1"/>
      <c r="T644" s="8"/>
      <c r="U644" s="8"/>
      <c r="V644" s="16"/>
      <c r="W644" s="1"/>
      <c r="X644" s="1"/>
    </row>
    <row r="645" spans="1:24" ht="14.4">
      <c r="A645" s="1"/>
      <c r="B645" s="8"/>
      <c r="C645" s="8"/>
      <c r="D645" s="8"/>
      <c r="E645" s="8"/>
      <c r="F645" s="8"/>
      <c r="G645" s="8"/>
      <c r="H645" s="8"/>
      <c r="I645" s="8"/>
      <c r="J645" s="8"/>
      <c r="K645" s="8"/>
      <c r="L645" s="56"/>
      <c r="M645" s="26"/>
      <c r="N645" s="26"/>
      <c r="O645" s="8"/>
      <c r="P645" s="1"/>
      <c r="Q645" s="8"/>
      <c r="R645" s="8"/>
      <c r="S645" s="1"/>
      <c r="T645" s="8"/>
      <c r="U645" s="8"/>
      <c r="V645" s="16"/>
      <c r="W645" s="1"/>
      <c r="X645" s="1"/>
    </row>
    <row r="646" spans="1:24" ht="14.4">
      <c r="A646" s="1"/>
      <c r="B646" s="8"/>
      <c r="C646" s="8"/>
      <c r="D646" s="8"/>
      <c r="E646" s="8"/>
      <c r="F646" s="8"/>
      <c r="G646" s="8"/>
      <c r="H646" s="8"/>
      <c r="I646" s="8"/>
      <c r="J646" s="8"/>
      <c r="K646" s="8"/>
      <c r="L646" s="56"/>
      <c r="M646" s="26"/>
      <c r="N646" s="26"/>
      <c r="O646" s="8"/>
      <c r="P646" s="1"/>
      <c r="Q646" s="8"/>
      <c r="R646" s="8"/>
      <c r="S646" s="1"/>
      <c r="T646" s="8"/>
      <c r="U646" s="8"/>
      <c r="V646" s="16"/>
      <c r="W646" s="1"/>
      <c r="X646" s="1"/>
    </row>
    <row r="647" spans="1:24" ht="14.4">
      <c r="A647" s="1"/>
      <c r="B647" s="8"/>
      <c r="C647" s="8"/>
      <c r="D647" s="8"/>
      <c r="E647" s="8"/>
      <c r="F647" s="8"/>
      <c r="G647" s="8"/>
      <c r="H647" s="8"/>
      <c r="I647" s="8"/>
      <c r="J647" s="8"/>
      <c r="K647" s="8"/>
      <c r="L647" s="56"/>
      <c r="M647" s="26"/>
      <c r="N647" s="26"/>
      <c r="O647" s="8"/>
      <c r="P647" s="1"/>
      <c r="Q647" s="8"/>
      <c r="R647" s="8"/>
      <c r="S647" s="1"/>
      <c r="T647" s="8"/>
      <c r="U647" s="8"/>
      <c r="V647" s="16"/>
      <c r="W647" s="1"/>
      <c r="X647" s="1"/>
    </row>
    <row r="648" spans="1:24" ht="14.4">
      <c r="A648" s="1"/>
      <c r="B648" s="8"/>
      <c r="C648" s="8"/>
      <c r="D648" s="8"/>
      <c r="E648" s="8"/>
      <c r="F648" s="8"/>
      <c r="G648" s="8"/>
      <c r="H648" s="8"/>
      <c r="I648" s="8"/>
      <c r="J648" s="8"/>
      <c r="K648" s="8"/>
      <c r="L648" s="56"/>
      <c r="M648" s="26"/>
      <c r="N648" s="26"/>
      <c r="O648" s="8"/>
      <c r="P648" s="1"/>
      <c r="Q648" s="8"/>
      <c r="R648" s="8"/>
      <c r="S648" s="1"/>
      <c r="T648" s="8"/>
      <c r="U648" s="8"/>
      <c r="V648" s="16"/>
      <c r="W648" s="1"/>
      <c r="X648" s="1"/>
    </row>
    <row r="649" spans="1:24" ht="14.4">
      <c r="A649" s="1"/>
      <c r="B649" s="8"/>
      <c r="C649" s="8"/>
      <c r="D649" s="8"/>
      <c r="E649" s="8"/>
      <c r="F649" s="8"/>
      <c r="G649" s="8"/>
      <c r="H649" s="8"/>
      <c r="I649" s="8"/>
      <c r="J649" s="8"/>
      <c r="K649" s="8"/>
      <c r="L649" s="56"/>
      <c r="M649" s="26"/>
      <c r="N649" s="26"/>
      <c r="O649" s="8"/>
      <c r="P649" s="1"/>
      <c r="Q649" s="8"/>
      <c r="R649" s="8"/>
      <c r="S649" s="1"/>
      <c r="T649" s="8"/>
      <c r="U649" s="8"/>
      <c r="V649" s="16"/>
      <c r="W649" s="1"/>
      <c r="X649" s="1"/>
    </row>
    <row r="650" spans="1:24" ht="14.4">
      <c r="A650" s="1"/>
      <c r="B650" s="8"/>
      <c r="C650" s="8"/>
      <c r="D650" s="8"/>
      <c r="E650" s="8"/>
      <c r="F650" s="8"/>
      <c r="G650" s="8"/>
      <c r="H650" s="8"/>
      <c r="I650" s="8"/>
      <c r="J650" s="8"/>
      <c r="K650" s="8"/>
      <c r="L650" s="56"/>
      <c r="M650" s="26"/>
      <c r="N650" s="26"/>
      <c r="O650" s="8"/>
      <c r="P650" s="1"/>
      <c r="Q650" s="8"/>
      <c r="R650" s="8"/>
      <c r="S650" s="1"/>
      <c r="T650" s="8"/>
      <c r="U650" s="8"/>
      <c r="V650" s="16"/>
      <c r="W650" s="1"/>
      <c r="X650" s="1"/>
    </row>
    <row r="651" spans="1:24" ht="14.4">
      <c r="A651" s="1"/>
      <c r="B651" s="8"/>
      <c r="C651" s="8"/>
      <c r="D651" s="8"/>
      <c r="E651" s="8"/>
      <c r="F651" s="8"/>
      <c r="G651" s="8"/>
      <c r="H651" s="8"/>
      <c r="I651" s="8"/>
      <c r="J651" s="8"/>
      <c r="K651" s="8"/>
      <c r="L651" s="56"/>
      <c r="M651" s="26"/>
      <c r="N651" s="26"/>
      <c r="O651" s="8"/>
      <c r="P651" s="1"/>
      <c r="Q651" s="8"/>
      <c r="R651" s="8"/>
      <c r="S651" s="1"/>
      <c r="T651" s="8"/>
      <c r="U651" s="8"/>
      <c r="V651" s="16"/>
      <c r="W651" s="1"/>
      <c r="X651" s="1"/>
    </row>
    <row r="652" spans="1:24" ht="14.4">
      <c r="A652" s="1"/>
      <c r="B652" s="8"/>
      <c r="C652" s="8"/>
      <c r="D652" s="8"/>
      <c r="E652" s="8"/>
      <c r="F652" s="8"/>
      <c r="G652" s="8"/>
      <c r="H652" s="8"/>
      <c r="I652" s="8"/>
      <c r="J652" s="8"/>
      <c r="K652" s="8"/>
      <c r="L652" s="56"/>
      <c r="M652" s="26"/>
      <c r="N652" s="26"/>
      <c r="O652" s="8"/>
      <c r="P652" s="1"/>
      <c r="Q652" s="8"/>
      <c r="R652" s="8"/>
      <c r="S652" s="1"/>
      <c r="T652" s="8"/>
      <c r="U652" s="8"/>
      <c r="V652" s="16"/>
      <c r="W652" s="1"/>
      <c r="X652" s="1"/>
    </row>
    <row r="653" spans="1:24" ht="14.4">
      <c r="A653" s="1"/>
      <c r="B653" s="8"/>
      <c r="C653" s="8"/>
      <c r="D653" s="8"/>
      <c r="E653" s="8"/>
      <c r="F653" s="8"/>
      <c r="G653" s="8"/>
      <c r="H653" s="8"/>
      <c r="I653" s="8"/>
      <c r="J653" s="8"/>
      <c r="K653" s="8"/>
      <c r="L653" s="56"/>
      <c r="M653" s="26"/>
      <c r="N653" s="26"/>
      <c r="O653" s="8"/>
      <c r="P653" s="1"/>
      <c r="Q653" s="8"/>
      <c r="R653" s="8"/>
      <c r="S653" s="1"/>
      <c r="T653" s="8"/>
      <c r="U653" s="8"/>
      <c r="V653" s="16"/>
      <c r="W653" s="1"/>
      <c r="X653" s="1"/>
    </row>
    <row r="654" spans="1:24" ht="14.4">
      <c r="A654" s="1"/>
      <c r="B654" s="8"/>
      <c r="C654" s="8"/>
      <c r="D654" s="8"/>
      <c r="E654" s="8"/>
      <c r="F654" s="8"/>
      <c r="G654" s="8"/>
      <c r="H654" s="8"/>
      <c r="I654" s="8"/>
      <c r="J654" s="8"/>
      <c r="K654" s="8"/>
      <c r="L654" s="56"/>
      <c r="M654" s="26"/>
      <c r="N654" s="26"/>
      <c r="O654" s="8"/>
      <c r="P654" s="1"/>
      <c r="Q654" s="8"/>
      <c r="R654" s="8"/>
      <c r="S654" s="1"/>
      <c r="T654" s="8"/>
      <c r="U654" s="8"/>
      <c r="V654" s="16"/>
      <c r="W654" s="1"/>
      <c r="X654" s="1"/>
    </row>
    <row r="655" spans="1:24" ht="14.4">
      <c r="A655" s="1"/>
      <c r="B655" s="8"/>
      <c r="C655" s="8"/>
      <c r="D655" s="8"/>
      <c r="E655" s="8"/>
      <c r="F655" s="8"/>
      <c r="G655" s="8"/>
      <c r="H655" s="8"/>
      <c r="I655" s="8"/>
      <c r="J655" s="8"/>
      <c r="K655" s="8"/>
      <c r="L655" s="56"/>
      <c r="M655" s="26"/>
      <c r="N655" s="26"/>
      <c r="O655" s="8"/>
      <c r="P655" s="1"/>
      <c r="Q655" s="8"/>
      <c r="R655" s="8"/>
      <c r="S655" s="1"/>
      <c r="T655" s="8"/>
      <c r="U655" s="8"/>
      <c r="V655" s="16"/>
      <c r="W655" s="1"/>
      <c r="X655" s="1"/>
    </row>
    <row r="656" spans="1:24" ht="14.4">
      <c r="A656" s="1"/>
      <c r="B656" s="8"/>
      <c r="C656" s="8"/>
      <c r="D656" s="8"/>
      <c r="E656" s="8"/>
      <c r="F656" s="8"/>
      <c r="G656" s="8"/>
      <c r="H656" s="8"/>
      <c r="I656" s="8"/>
      <c r="J656" s="8"/>
      <c r="K656" s="8"/>
      <c r="L656" s="56"/>
      <c r="M656" s="26"/>
      <c r="N656" s="26"/>
      <c r="O656" s="8"/>
      <c r="P656" s="1"/>
      <c r="Q656" s="8"/>
      <c r="R656" s="8"/>
      <c r="S656" s="1"/>
      <c r="T656" s="8"/>
      <c r="U656" s="8"/>
      <c r="V656" s="16"/>
      <c r="W656" s="1"/>
      <c r="X656" s="1"/>
    </row>
    <row r="657" spans="1:24" ht="14.4">
      <c r="A657" s="1"/>
      <c r="B657" s="8"/>
      <c r="C657" s="8"/>
      <c r="D657" s="8"/>
      <c r="E657" s="8"/>
      <c r="F657" s="8"/>
      <c r="G657" s="8"/>
      <c r="H657" s="8"/>
      <c r="I657" s="8"/>
      <c r="J657" s="8"/>
      <c r="K657" s="8"/>
      <c r="L657" s="56"/>
      <c r="M657" s="26"/>
      <c r="N657" s="26"/>
      <c r="O657" s="8"/>
      <c r="P657" s="1"/>
      <c r="Q657" s="8"/>
      <c r="R657" s="8"/>
      <c r="S657" s="1"/>
      <c r="T657" s="8"/>
      <c r="U657" s="8"/>
      <c r="V657" s="16"/>
      <c r="W657" s="1"/>
      <c r="X657" s="1"/>
    </row>
    <row r="658" spans="1:24" ht="14.4">
      <c r="A658" s="1"/>
      <c r="B658" s="8"/>
      <c r="C658" s="8"/>
      <c r="D658" s="8"/>
      <c r="E658" s="8"/>
      <c r="F658" s="8"/>
      <c r="G658" s="8"/>
      <c r="H658" s="8"/>
      <c r="I658" s="8"/>
      <c r="J658" s="8"/>
      <c r="K658" s="8"/>
      <c r="L658" s="56"/>
      <c r="M658" s="26"/>
      <c r="N658" s="26"/>
      <c r="O658" s="8"/>
      <c r="P658" s="1"/>
      <c r="Q658" s="8"/>
      <c r="R658" s="8"/>
      <c r="S658" s="1"/>
      <c r="T658" s="8"/>
      <c r="U658" s="8"/>
      <c r="V658" s="16"/>
      <c r="W658" s="1"/>
      <c r="X658" s="1"/>
    </row>
    <row r="659" spans="1:24" ht="14.4">
      <c r="A659" s="1"/>
      <c r="B659" s="8"/>
      <c r="C659" s="8"/>
      <c r="D659" s="8"/>
      <c r="E659" s="8"/>
      <c r="F659" s="8"/>
      <c r="G659" s="8"/>
      <c r="H659" s="8"/>
      <c r="I659" s="8"/>
      <c r="J659" s="8"/>
      <c r="K659" s="8"/>
      <c r="L659" s="56"/>
      <c r="M659" s="26"/>
      <c r="N659" s="26"/>
      <c r="O659" s="8"/>
      <c r="P659" s="1"/>
      <c r="Q659" s="8"/>
      <c r="R659" s="8"/>
      <c r="S659" s="1"/>
      <c r="T659" s="8"/>
      <c r="U659" s="8"/>
      <c r="V659" s="16"/>
      <c r="W659" s="1"/>
      <c r="X659" s="1"/>
    </row>
    <row r="660" spans="1:24" ht="14.4">
      <c r="A660" s="1"/>
      <c r="B660" s="8"/>
      <c r="C660" s="8"/>
      <c r="D660" s="8"/>
      <c r="E660" s="8"/>
      <c r="F660" s="8"/>
      <c r="G660" s="8"/>
      <c r="H660" s="8"/>
      <c r="I660" s="8"/>
      <c r="J660" s="8"/>
      <c r="K660" s="8"/>
      <c r="L660" s="56"/>
      <c r="M660" s="26"/>
      <c r="N660" s="26"/>
      <c r="O660" s="8"/>
      <c r="P660" s="1"/>
      <c r="Q660" s="8"/>
      <c r="R660" s="8"/>
      <c r="S660" s="1"/>
      <c r="T660" s="8"/>
      <c r="U660" s="8"/>
      <c r="V660" s="16"/>
      <c r="W660" s="1"/>
      <c r="X660" s="1"/>
    </row>
    <row r="661" spans="1:24" ht="14.4">
      <c r="A661" s="1"/>
      <c r="B661" s="8"/>
      <c r="C661" s="8"/>
      <c r="D661" s="8"/>
      <c r="E661" s="8"/>
      <c r="F661" s="8"/>
      <c r="G661" s="8"/>
      <c r="H661" s="8"/>
      <c r="I661" s="8"/>
      <c r="J661" s="8"/>
      <c r="K661" s="8"/>
      <c r="L661" s="56"/>
      <c r="M661" s="26"/>
      <c r="N661" s="26"/>
      <c r="O661" s="8"/>
      <c r="P661" s="1"/>
      <c r="Q661" s="8"/>
      <c r="R661" s="8"/>
      <c r="S661" s="1"/>
      <c r="T661" s="8"/>
      <c r="U661" s="8"/>
      <c r="V661" s="16"/>
      <c r="W661" s="1"/>
      <c r="X661" s="1"/>
    </row>
    <row r="662" spans="1:24" ht="14.4">
      <c r="A662" s="1"/>
      <c r="B662" s="8"/>
      <c r="C662" s="8"/>
      <c r="D662" s="8"/>
      <c r="E662" s="8"/>
      <c r="F662" s="8"/>
      <c r="G662" s="8"/>
      <c r="H662" s="8"/>
      <c r="I662" s="8"/>
      <c r="J662" s="8"/>
      <c r="K662" s="8"/>
      <c r="L662" s="56"/>
      <c r="M662" s="26"/>
      <c r="N662" s="26"/>
      <c r="O662" s="8"/>
      <c r="P662" s="1"/>
      <c r="Q662" s="8"/>
      <c r="R662" s="8"/>
      <c r="S662" s="1"/>
      <c r="T662" s="8"/>
      <c r="U662" s="8"/>
      <c r="V662" s="16"/>
      <c r="W662" s="1"/>
      <c r="X662" s="1"/>
    </row>
    <row r="663" spans="1:24" ht="14.4">
      <c r="A663" s="1"/>
      <c r="B663" s="8"/>
      <c r="C663" s="8"/>
      <c r="D663" s="8"/>
      <c r="E663" s="8"/>
      <c r="F663" s="8"/>
      <c r="G663" s="8"/>
      <c r="H663" s="8"/>
      <c r="I663" s="8"/>
      <c r="J663" s="8"/>
      <c r="K663" s="8"/>
      <c r="L663" s="56"/>
      <c r="M663" s="26"/>
      <c r="N663" s="26"/>
      <c r="O663" s="8"/>
      <c r="P663" s="1"/>
      <c r="Q663" s="8"/>
      <c r="R663" s="8"/>
      <c r="S663" s="1"/>
      <c r="T663" s="8"/>
      <c r="U663" s="8"/>
      <c r="V663" s="16"/>
      <c r="W663" s="1"/>
      <c r="X663" s="1"/>
    </row>
    <row r="664" spans="1:24" ht="14.4">
      <c r="A664" s="1"/>
      <c r="B664" s="8"/>
      <c r="C664" s="8"/>
      <c r="D664" s="8"/>
      <c r="E664" s="8"/>
      <c r="F664" s="8"/>
      <c r="G664" s="8"/>
      <c r="H664" s="8"/>
      <c r="I664" s="8"/>
      <c r="J664" s="8"/>
      <c r="K664" s="8"/>
      <c r="L664" s="56"/>
      <c r="M664" s="26"/>
      <c r="N664" s="26"/>
      <c r="O664" s="8"/>
      <c r="P664" s="1"/>
      <c r="Q664" s="8"/>
      <c r="R664" s="8"/>
      <c r="S664" s="1"/>
      <c r="T664" s="8"/>
      <c r="U664" s="8"/>
      <c r="V664" s="16"/>
      <c r="W664" s="1"/>
      <c r="X664" s="1"/>
    </row>
    <row r="665" spans="1:24" ht="14.4">
      <c r="A665" s="1"/>
      <c r="B665" s="8"/>
      <c r="C665" s="8"/>
      <c r="D665" s="8"/>
      <c r="E665" s="8"/>
      <c r="F665" s="8"/>
      <c r="G665" s="8"/>
      <c r="H665" s="8"/>
      <c r="I665" s="8"/>
      <c r="J665" s="8"/>
      <c r="K665" s="8"/>
      <c r="L665" s="56"/>
      <c r="M665" s="26"/>
      <c r="N665" s="26"/>
      <c r="O665" s="8"/>
      <c r="P665" s="1"/>
      <c r="Q665" s="8"/>
      <c r="R665" s="8"/>
      <c r="S665" s="1"/>
      <c r="T665" s="8"/>
      <c r="U665" s="8"/>
      <c r="V665" s="16"/>
      <c r="W665" s="1"/>
      <c r="X665" s="1"/>
    </row>
    <row r="666" spans="1:24" ht="14.4">
      <c r="A666" s="1"/>
      <c r="B666" s="8"/>
      <c r="C666" s="8"/>
      <c r="D666" s="8"/>
      <c r="E666" s="8"/>
      <c r="F666" s="8"/>
      <c r="G666" s="8"/>
      <c r="H666" s="8"/>
      <c r="I666" s="8"/>
      <c r="J666" s="8"/>
      <c r="K666" s="8"/>
      <c r="L666" s="56"/>
      <c r="M666" s="26"/>
      <c r="N666" s="26"/>
      <c r="O666" s="8"/>
      <c r="P666" s="1"/>
      <c r="Q666" s="8"/>
      <c r="R666" s="8"/>
      <c r="S666" s="1"/>
      <c r="T666" s="8"/>
      <c r="U666" s="8"/>
      <c r="V666" s="16"/>
      <c r="W666" s="1"/>
      <c r="X666" s="1"/>
    </row>
    <row r="667" spans="1:24" ht="14.4">
      <c r="A667" s="1"/>
      <c r="B667" s="8"/>
      <c r="C667" s="8"/>
      <c r="D667" s="8"/>
      <c r="E667" s="8"/>
      <c r="F667" s="8"/>
      <c r="G667" s="8"/>
      <c r="H667" s="8"/>
      <c r="I667" s="8"/>
      <c r="J667" s="8"/>
      <c r="K667" s="8"/>
      <c r="L667" s="56"/>
      <c r="M667" s="26"/>
      <c r="N667" s="26"/>
      <c r="O667" s="8"/>
      <c r="P667" s="1"/>
      <c r="Q667" s="8"/>
      <c r="R667" s="8"/>
      <c r="S667" s="1"/>
      <c r="T667" s="8"/>
      <c r="U667" s="8"/>
      <c r="V667" s="16"/>
      <c r="W667" s="1"/>
      <c r="X667" s="1"/>
    </row>
    <row r="668" spans="1:24" ht="14.4">
      <c r="A668" s="1"/>
      <c r="B668" s="8"/>
      <c r="C668" s="8"/>
      <c r="D668" s="8"/>
      <c r="E668" s="8"/>
      <c r="F668" s="8"/>
      <c r="G668" s="8"/>
      <c r="H668" s="8"/>
      <c r="I668" s="8"/>
      <c r="J668" s="8"/>
      <c r="K668" s="8"/>
      <c r="L668" s="56"/>
      <c r="M668" s="26"/>
      <c r="N668" s="26"/>
      <c r="O668" s="8"/>
      <c r="P668" s="1"/>
      <c r="Q668" s="8"/>
      <c r="R668" s="8"/>
      <c r="S668" s="1"/>
      <c r="T668" s="8"/>
      <c r="U668" s="8"/>
      <c r="V668" s="16"/>
      <c r="W668" s="1"/>
      <c r="X668" s="1"/>
    </row>
    <row r="669" spans="1:24" ht="14.4">
      <c r="A669" s="1"/>
      <c r="B669" s="8"/>
      <c r="C669" s="8"/>
      <c r="D669" s="8"/>
      <c r="E669" s="8"/>
      <c r="F669" s="8"/>
      <c r="G669" s="8"/>
      <c r="H669" s="8"/>
      <c r="I669" s="8"/>
      <c r="J669" s="8"/>
      <c r="K669" s="8"/>
      <c r="L669" s="56"/>
      <c r="M669" s="26"/>
      <c r="N669" s="26"/>
      <c r="O669" s="8"/>
      <c r="P669" s="1"/>
      <c r="Q669" s="8"/>
      <c r="R669" s="8"/>
      <c r="S669" s="1"/>
      <c r="T669" s="8"/>
      <c r="U669" s="8"/>
      <c r="V669" s="16"/>
      <c r="W669" s="1"/>
      <c r="X669" s="1"/>
    </row>
    <row r="670" spans="1:24" ht="14.4">
      <c r="A670" s="1"/>
      <c r="B670" s="8"/>
      <c r="C670" s="8"/>
      <c r="D670" s="8"/>
      <c r="E670" s="8"/>
      <c r="F670" s="8"/>
      <c r="G670" s="8"/>
      <c r="H670" s="8"/>
      <c r="I670" s="8"/>
      <c r="J670" s="8"/>
      <c r="K670" s="8"/>
      <c r="L670" s="56"/>
      <c r="M670" s="26"/>
      <c r="N670" s="26"/>
      <c r="O670" s="8"/>
      <c r="P670" s="1"/>
      <c r="Q670" s="8"/>
      <c r="R670" s="8"/>
      <c r="S670" s="1"/>
      <c r="T670" s="8"/>
      <c r="U670" s="8"/>
      <c r="V670" s="16"/>
      <c r="W670" s="1"/>
      <c r="X670" s="1"/>
    </row>
    <row r="671" spans="1:24" ht="14.4">
      <c r="A671" s="1"/>
      <c r="B671" s="8"/>
      <c r="C671" s="8"/>
      <c r="D671" s="8"/>
      <c r="E671" s="8"/>
      <c r="F671" s="8"/>
      <c r="G671" s="8"/>
      <c r="H671" s="8"/>
      <c r="I671" s="8"/>
      <c r="J671" s="8"/>
      <c r="K671" s="8"/>
      <c r="L671" s="56"/>
      <c r="M671" s="26"/>
      <c r="N671" s="26"/>
      <c r="O671" s="8"/>
      <c r="P671" s="1"/>
      <c r="Q671" s="8"/>
      <c r="R671" s="8"/>
      <c r="S671" s="1"/>
      <c r="T671" s="8"/>
      <c r="U671" s="8"/>
      <c r="V671" s="16"/>
      <c r="W671" s="1"/>
      <c r="X671" s="1"/>
    </row>
    <row r="672" spans="1:24" ht="14.4">
      <c r="A672" s="1"/>
      <c r="B672" s="8"/>
      <c r="C672" s="8"/>
      <c r="D672" s="8"/>
      <c r="E672" s="8"/>
      <c r="F672" s="8"/>
      <c r="G672" s="8"/>
      <c r="H672" s="8"/>
      <c r="I672" s="8"/>
      <c r="J672" s="8"/>
      <c r="K672" s="8"/>
      <c r="L672" s="56"/>
      <c r="M672" s="26"/>
      <c r="N672" s="26"/>
      <c r="O672" s="8"/>
      <c r="P672" s="1"/>
      <c r="Q672" s="8"/>
      <c r="R672" s="8"/>
      <c r="S672" s="1"/>
      <c r="T672" s="8"/>
      <c r="U672" s="8"/>
      <c r="V672" s="16"/>
      <c r="W672" s="1"/>
      <c r="X672" s="1"/>
    </row>
    <row r="673" spans="1:24" ht="14.4">
      <c r="A673" s="1"/>
      <c r="B673" s="8"/>
      <c r="C673" s="8"/>
      <c r="D673" s="8"/>
      <c r="E673" s="8"/>
      <c r="F673" s="8"/>
      <c r="G673" s="8"/>
      <c r="H673" s="8"/>
      <c r="I673" s="8"/>
      <c r="J673" s="8"/>
      <c r="K673" s="8"/>
      <c r="L673" s="56"/>
      <c r="M673" s="26"/>
      <c r="N673" s="26"/>
      <c r="O673" s="8"/>
      <c r="P673" s="1"/>
      <c r="Q673" s="8"/>
      <c r="R673" s="8"/>
      <c r="S673" s="1"/>
      <c r="T673" s="8"/>
      <c r="U673" s="8"/>
      <c r="V673" s="16"/>
      <c r="W673" s="1"/>
      <c r="X673" s="1"/>
    </row>
    <row r="674" spans="1:24" ht="14.4">
      <c r="A674" s="1"/>
      <c r="B674" s="8"/>
      <c r="C674" s="8"/>
      <c r="D674" s="8"/>
      <c r="E674" s="8"/>
      <c r="F674" s="8"/>
      <c r="G674" s="8"/>
      <c r="H674" s="8"/>
      <c r="I674" s="8"/>
      <c r="J674" s="8"/>
      <c r="K674" s="8"/>
      <c r="L674" s="56"/>
      <c r="M674" s="26"/>
      <c r="N674" s="26"/>
      <c r="O674" s="8"/>
      <c r="P674" s="1"/>
      <c r="Q674" s="8"/>
      <c r="R674" s="8"/>
      <c r="S674" s="1"/>
      <c r="T674" s="8"/>
      <c r="U674" s="8"/>
      <c r="V674" s="16"/>
      <c r="W674" s="1"/>
      <c r="X674" s="1"/>
    </row>
    <row r="675" spans="1:24" ht="14.4">
      <c r="A675" s="1"/>
      <c r="B675" s="8"/>
      <c r="C675" s="8"/>
      <c r="D675" s="8"/>
      <c r="E675" s="8"/>
      <c r="F675" s="8"/>
      <c r="G675" s="8"/>
      <c r="H675" s="8"/>
      <c r="I675" s="8"/>
      <c r="J675" s="8"/>
      <c r="K675" s="8"/>
      <c r="L675" s="56"/>
      <c r="M675" s="26"/>
      <c r="N675" s="26"/>
      <c r="O675" s="8"/>
      <c r="P675" s="1"/>
      <c r="Q675" s="8"/>
      <c r="R675" s="8"/>
      <c r="S675" s="1"/>
      <c r="T675" s="8"/>
      <c r="U675" s="8"/>
      <c r="V675" s="16"/>
      <c r="W675" s="1"/>
      <c r="X675" s="1"/>
    </row>
    <row r="676" spans="1:24" ht="14.4">
      <c r="A676" s="1"/>
      <c r="B676" s="8"/>
      <c r="C676" s="8"/>
      <c r="D676" s="8"/>
      <c r="E676" s="8"/>
      <c r="F676" s="8"/>
      <c r="G676" s="8"/>
      <c r="H676" s="8"/>
      <c r="I676" s="8"/>
      <c r="J676" s="8"/>
      <c r="K676" s="8"/>
      <c r="L676" s="56"/>
      <c r="M676" s="26"/>
      <c r="N676" s="26"/>
      <c r="O676" s="8"/>
      <c r="P676" s="1"/>
      <c r="Q676" s="8"/>
      <c r="R676" s="8"/>
      <c r="S676" s="1"/>
      <c r="T676" s="8"/>
      <c r="U676" s="8"/>
      <c r="V676" s="16"/>
      <c r="W676" s="1"/>
      <c r="X676" s="1"/>
    </row>
    <row r="677" spans="1:24" ht="14.4">
      <c r="A677" s="1"/>
      <c r="B677" s="8"/>
      <c r="C677" s="8"/>
      <c r="D677" s="8"/>
      <c r="E677" s="8"/>
      <c r="F677" s="8"/>
      <c r="G677" s="8"/>
      <c r="H677" s="8"/>
      <c r="I677" s="8"/>
      <c r="J677" s="8"/>
      <c r="K677" s="8"/>
      <c r="L677" s="56"/>
      <c r="M677" s="26"/>
      <c r="N677" s="26"/>
      <c r="O677" s="8"/>
      <c r="P677" s="1"/>
      <c r="Q677" s="8"/>
      <c r="R677" s="8"/>
      <c r="S677" s="1"/>
      <c r="T677" s="8"/>
      <c r="U677" s="8"/>
      <c r="V677" s="16"/>
      <c r="W677" s="1"/>
      <c r="X677" s="1"/>
    </row>
    <row r="678" spans="1:24" ht="14.4">
      <c r="A678" s="1"/>
      <c r="B678" s="8"/>
      <c r="C678" s="8"/>
      <c r="D678" s="8"/>
      <c r="E678" s="8"/>
      <c r="F678" s="8"/>
      <c r="G678" s="8"/>
      <c r="H678" s="8"/>
      <c r="I678" s="8"/>
      <c r="J678" s="8"/>
      <c r="K678" s="8"/>
      <c r="L678" s="56"/>
      <c r="M678" s="26"/>
      <c r="N678" s="26"/>
      <c r="O678" s="8"/>
      <c r="P678" s="1"/>
      <c r="Q678" s="8"/>
      <c r="R678" s="8"/>
      <c r="S678" s="1"/>
      <c r="T678" s="8"/>
      <c r="U678" s="8"/>
      <c r="V678" s="16"/>
      <c r="W678" s="1"/>
      <c r="X678" s="1"/>
    </row>
    <row r="679" spans="1:24" ht="14.4">
      <c r="A679" s="1"/>
      <c r="B679" s="8"/>
      <c r="C679" s="8"/>
      <c r="D679" s="8"/>
      <c r="E679" s="8"/>
      <c r="F679" s="8"/>
      <c r="G679" s="8"/>
      <c r="H679" s="8"/>
      <c r="I679" s="8"/>
      <c r="J679" s="8"/>
      <c r="K679" s="8"/>
      <c r="L679" s="56"/>
      <c r="M679" s="26"/>
      <c r="N679" s="26"/>
      <c r="O679" s="8"/>
      <c r="P679" s="1"/>
      <c r="Q679" s="8"/>
      <c r="R679" s="8"/>
      <c r="S679" s="1"/>
      <c r="T679" s="8"/>
      <c r="U679" s="8"/>
      <c r="V679" s="16"/>
      <c r="W679" s="1"/>
      <c r="X679" s="1"/>
    </row>
    <row r="680" spans="1:24" ht="14.4">
      <c r="A680" s="1"/>
      <c r="B680" s="8"/>
      <c r="C680" s="8"/>
      <c r="D680" s="8"/>
      <c r="E680" s="8"/>
      <c r="F680" s="8"/>
      <c r="G680" s="8"/>
      <c r="H680" s="8"/>
      <c r="I680" s="8"/>
      <c r="J680" s="8"/>
      <c r="K680" s="8"/>
      <c r="L680" s="56"/>
      <c r="M680" s="26"/>
      <c r="N680" s="26"/>
      <c r="O680" s="8"/>
      <c r="P680" s="1"/>
      <c r="Q680" s="8"/>
      <c r="R680" s="8"/>
      <c r="S680" s="1"/>
      <c r="T680" s="8"/>
      <c r="U680" s="8"/>
      <c r="V680" s="16"/>
      <c r="W680" s="1"/>
      <c r="X680" s="1"/>
    </row>
    <row r="681" spans="1:24" ht="14.4">
      <c r="A681" s="1"/>
      <c r="B681" s="8"/>
      <c r="C681" s="8"/>
      <c r="D681" s="8"/>
      <c r="E681" s="8"/>
      <c r="F681" s="8"/>
      <c r="G681" s="8"/>
      <c r="H681" s="8"/>
      <c r="I681" s="8"/>
      <c r="J681" s="8"/>
      <c r="K681" s="8"/>
      <c r="L681" s="56"/>
      <c r="M681" s="26"/>
      <c r="N681" s="26"/>
      <c r="O681" s="8"/>
      <c r="P681" s="1"/>
      <c r="Q681" s="8"/>
      <c r="R681" s="8"/>
      <c r="S681" s="1"/>
      <c r="T681" s="8"/>
      <c r="U681" s="8"/>
      <c r="V681" s="16"/>
      <c r="W681" s="1"/>
      <c r="X681" s="1"/>
    </row>
    <row r="682" spans="1:24" ht="14.4">
      <c r="A682" s="1"/>
      <c r="B682" s="8"/>
      <c r="C682" s="8"/>
      <c r="D682" s="8"/>
      <c r="E682" s="8"/>
      <c r="F682" s="8"/>
      <c r="G682" s="8"/>
      <c r="H682" s="8"/>
      <c r="I682" s="8"/>
      <c r="J682" s="8"/>
      <c r="K682" s="8"/>
      <c r="L682" s="56"/>
      <c r="M682" s="26"/>
      <c r="N682" s="26"/>
      <c r="O682" s="8"/>
      <c r="P682" s="1"/>
      <c r="Q682" s="8"/>
      <c r="R682" s="8"/>
      <c r="S682" s="1"/>
      <c r="T682" s="8"/>
      <c r="U682" s="8"/>
      <c r="V682" s="16"/>
      <c r="W682" s="1"/>
      <c r="X682" s="1"/>
    </row>
    <row r="683" spans="1:24" ht="14.4">
      <c r="A683" s="1"/>
      <c r="B683" s="8"/>
      <c r="C683" s="8"/>
      <c r="D683" s="8"/>
      <c r="E683" s="8"/>
      <c r="F683" s="8"/>
      <c r="G683" s="8"/>
      <c r="H683" s="8"/>
      <c r="I683" s="8"/>
      <c r="J683" s="8"/>
      <c r="K683" s="8"/>
      <c r="L683" s="56"/>
      <c r="M683" s="26"/>
      <c r="N683" s="26"/>
      <c r="O683" s="8"/>
      <c r="P683" s="1"/>
      <c r="Q683" s="8"/>
      <c r="R683" s="8"/>
      <c r="S683" s="1"/>
      <c r="T683" s="8"/>
      <c r="U683" s="8"/>
      <c r="V683" s="16"/>
      <c r="W683" s="1"/>
      <c r="X683" s="1"/>
    </row>
    <row r="684" spans="1:24" ht="14.4">
      <c r="A684" s="1"/>
      <c r="B684" s="8"/>
      <c r="C684" s="8"/>
      <c r="D684" s="8"/>
      <c r="E684" s="8"/>
      <c r="F684" s="8"/>
      <c r="G684" s="8"/>
      <c r="H684" s="8"/>
      <c r="I684" s="8"/>
      <c r="J684" s="8"/>
      <c r="K684" s="8"/>
      <c r="L684" s="56"/>
      <c r="M684" s="26"/>
      <c r="N684" s="26"/>
      <c r="O684" s="8"/>
      <c r="P684" s="1"/>
      <c r="Q684" s="8"/>
      <c r="R684" s="8"/>
      <c r="S684" s="1"/>
      <c r="T684" s="8"/>
      <c r="U684" s="8"/>
      <c r="V684" s="16"/>
      <c r="W684" s="1"/>
      <c r="X684" s="1"/>
    </row>
    <row r="685" spans="1:24" ht="14.4">
      <c r="A685" s="1"/>
      <c r="B685" s="8"/>
      <c r="C685" s="8"/>
      <c r="D685" s="8"/>
      <c r="E685" s="8"/>
      <c r="F685" s="8"/>
      <c r="G685" s="8"/>
      <c r="H685" s="8"/>
      <c r="I685" s="8"/>
      <c r="J685" s="8"/>
      <c r="K685" s="8"/>
      <c r="L685" s="56"/>
      <c r="M685" s="26"/>
      <c r="N685" s="26"/>
      <c r="O685" s="8"/>
      <c r="P685" s="1"/>
      <c r="Q685" s="8"/>
      <c r="R685" s="8"/>
      <c r="S685" s="1"/>
      <c r="T685" s="8"/>
      <c r="U685" s="8"/>
      <c r="V685" s="16"/>
      <c r="W685" s="1"/>
      <c r="X685" s="1"/>
    </row>
    <row r="686" spans="1:24" ht="14.4">
      <c r="A686" s="1"/>
      <c r="B686" s="8"/>
      <c r="C686" s="8"/>
      <c r="D686" s="8"/>
      <c r="E686" s="8"/>
      <c r="F686" s="8"/>
      <c r="G686" s="8"/>
      <c r="H686" s="8"/>
      <c r="I686" s="8"/>
      <c r="J686" s="8"/>
      <c r="K686" s="8"/>
      <c r="L686" s="56"/>
      <c r="M686" s="26"/>
      <c r="N686" s="26"/>
      <c r="O686" s="8"/>
      <c r="P686" s="1"/>
      <c r="Q686" s="8"/>
      <c r="R686" s="8"/>
      <c r="S686" s="1"/>
      <c r="T686" s="8"/>
      <c r="U686" s="8"/>
      <c r="V686" s="16"/>
      <c r="W686" s="1"/>
      <c r="X686" s="1"/>
    </row>
    <row r="687" spans="1:24" ht="14.4">
      <c r="A687" s="1"/>
      <c r="B687" s="8"/>
      <c r="C687" s="8"/>
      <c r="D687" s="8"/>
      <c r="E687" s="8"/>
      <c r="F687" s="8"/>
      <c r="G687" s="8"/>
      <c r="H687" s="8"/>
      <c r="I687" s="8"/>
      <c r="J687" s="8"/>
      <c r="K687" s="8"/>
      <c r="L687" s="56"/>
      <c r="M687" s="26"/>
      <c r="N687" s="26"/>
      <c r="O687" s="8"/>
      <c r="P687" s="1"/>
      <c r="Q687" s="8"/>
      <c r="R687" s="8"/>
      <c r="S687" s="1"/>
      <c r="T687" s="8"/>
      <c r="U687" s="8"/>
      <c r="V687" s="16"/>
      <c r="W687" s="1"/>
      <c r="X687" s="1"/>
    </row>
    <row r="688" spans="1:24" ht="14.4">
      <c r="A688" s="1"/>
      <c r="B688" s="8"/>
      <c r="C688" s="8"/>
      <c r="D688" s="8"/>
      <c r="E688" s="8"/>
      <c r="F688" s="8"/>
      <c r="G688" s="8"/>
      <c r="H688" s="8"/>
      <c r="I688" s="8"/>
      <c r="J688" s="8"/>
      <c r="K688" s="8"/>
      <c r="L688" s="56"/>
      <c r="M688" s="26"/>
      <c r="N688" s="26"/>
      <c r="O688" s="8"/>
      <c r="P688" s="1"/>
      <c r="Q688" s="8"/>
      <c r="R688" s="8"/>
      <c r="S688" s="1"/>
      <c r="T688" s="8"/>
      <c r="U688" s="8"/>
      <c r="V688" s="16"/>
      <c r="W688" s="1"/>
      <c r="X688" s="1"/>
    </row>
    <row r="689" spans="1:24" ht="14.4">
      <c r="A689" s="1"/>
      <c r="B689" s="8"/>
      <c r="C689" s="8"/>
      <c r="D689" s="8"/>
      <c r="E689" s="8"/>
      <c r="F689" s="8"/>
      <c r="G689" s="8"/>
      <c r="H689" s="8"/>
      <c r="I689" s="8"/>
      <c r="J689" s="8"/>
      <c r="K689" s="8"/>
      <c r="L689" s="56"/>
      <c r="M689" s="26"/>
      <c r="N689" s="26"/>
      <c r="O689" s="8"/>
      <c r="P689" s="1"/>
      <c r="Q689" s="8"/>
      <c r="R689" s="8"/>
      <c r="S689" s="1"/>
      <c r="T689" s="8"/>
      <c r="U689" s="8"/>
      <c r="V689" s="16"/>
      <c r="W689" s="1"/>
      <c r="X689" s="1"/>
    </row>
    <row r="690" spans="1:24" ht="14.4">
      <c r="A690" s="1"/>
      <c r="B690" s="8"/>
      <c r="C690" s="8"/>
      <c r="D690" s="8"/>
      <c r="E690" s="8"/>
      <c r="F690" s="8"/>
      <c r="G690" s="8"/>
      <c r="H690" s="8"/>
      <c r="I690" s="8"/>
      <c r="J690" s="8"/>
      <c r="K690" s="8"/>
      <c r="L690" s="56"/>
      <c r="M690" s="26"/>
      <c r="N690" s="26"/>
      <c r="O690" s="8"/>
      <c r="P690" s="1"/>
      <c r="Q690" s="8"/>
      <c r="R690" s="8"/>
      <c r="S690" s="1"/>
      <c r="T690" s="8"/>
      <c r="U690" s="8"/>
      <c r="V690" s="16"/>
      <c r="W690" s="1"/>
      <c r="X690" s="1"/>
    </row>
    <row r="691" spans="1:24" ht="14.4">
      <c r="A691" s="1"/>
      <c r="B691" s="8"/>
      <c r="C691" s="8"/>
      <c r="D691" s="8"/>
      <c r="E691" s="8"/>
      <c r="F691" s="8"/>
      <c r="G691" s="8"/>
      <c r="H691" s="8"/>
      <c r="I691" s="8"/>
      <c r="J691" s="8"/>
      <c r="K691" s="8"/>
      <c r="L691" s="56"/>
      <c r="M691" s="26"/>
      <c r="N691" s="26"/>
      <c r="O691" s="8"/>
      <c r="P691" s="1"/>
      <c r="Q691" s="8"/>
      <c r="R691" s="8"/>
      <c r="S691" s="1"/>
      <c r="T691" s="8"/>
      <c r="U691" s="8"/>
      <c r="V691" s="16"/>
      <c r="W691" s="1"/>
      <c r="X691" s="1"/>
    </row>
    <row r="692" spans="1:24" ht="14.4">
      <c r="A692" s="1"/>
      <c r="B692" s="8"/>
      <c r="C692" s="8"/>
      <c r="D692" s="8"/>
      <c r="E692" s="8"/>
      <c r="F692" s="8"/>
      <c r="G692" s="8"/>
      <c r="H692" s="8"/>
      <c r="I692" s="8"/>
      <c r="J692" s="8"/>
      <c r="K692" s="8"/>
      <c r="L692" s="56"/>
      <c r="M692" s="26"/>
      <c r="N692" s="26"/>
      <c r="O692" s="8"/>
      <c r="P692" s="1"/>
      <c r="Q692" s="8"/>
      <c r="R692" s="8"/>
      <c r="S692" s="1"/>
      <c r="T692" s="8"/>
      <c r="U692" s="8"/>
      <c r="V692" s="16"/>
      <c r="W692" s="1"/>
      <c r="X692" s="1"/>
    </row>
    <row r="693" spans="1:24" ht="14.4">
      <c r="A693" s="1"/>
      <c r="B693" s="8"/>
      <c r="C693" s="8"/>
      <c r="D693" s="8"/>
      <c r="E693" s="8"/>
      <c r="F693" s="8"/>
      <c r="G693" s="8"/>
      <c r="H693" s="8"/>
      <c r="I693" s="8"/>
      <c r="J693" s="8"/>
      <c r="K693" s="8"/>
      <c r="L693" s="56"/>
      <c r="M693" s="26"/>
      <c r="N693" s="26"/>
      <c r="O693" s="8"/>
      <c r="P693" s="1"/>
      <c r="Q693" s="8"/>
      <c r="R693" s="8"/>
      <c r="S693" s="1"/>
      <c r="T693" s="8"/>
      <c r="U693" s="8"/>
      <c r="V693" s="16"/>
      <c r="W693" s="1"/>
      <c r="X693" s="1"/>
    </row>
    <row r="694" spans="1:24" ht="14.4">
      <c r="A694" s="1"/>
      <c r="B694" s="8"/>
      <c r="C694" s="8"/>
      <c r="D694" s="8"/>
      <c r="E694" s="8"/>
      <c r="F694" s="8"/>
      <c r="G694" s="8"/>
      <c r="H694" s="8"/>
      <c r="I694" s="8"/>
      <c r="J694" s="8"/>
      <c r="K694" s="8"/>
      <c r="L694" s="56"/>
      <c r="M694" s="26"/>
      <c r="N694" s="26"/>
      <c r="O694" s="8"/>
      <c r="P694" s="1"/>
      <c r="Q694" s="8"/>
      <c r="R694" s="8"/>
      <c r="S694" s="1"/>
      <c r="T694" s="8"/>
      <c r="U694" s="8"/>
      <c r="V694" s="16"/>
      <c r="W694" s="1"/>
      <c r="X694" s="1"/>
    </row>
    <row r="695" spans="1:24" ht="14.4">
      <c r="A695" s="1"/>
      <c r="B695" s="8"/>
      <c r="C695" s="8"/>
      <c r="D695" s="8"/>
      <c r="E695" s="8"/>
      <c r="F695" s="8"/>
      <c r="G695" s="8"/>
      <c r="H695" s="8"/>
      <c r="I695" s="8"/>
      <c r="J695" s="8"/>
      <c r="K695" s="8"/>
      <c r="L695" s="56"/>
      <c r="M695" s="26"/>
      <c r="N695" s="26"/>
      <c r="O695" s="8"/>
      <c r="P695" s="1"/>
      <c r="Q695" s="8"/>
      <c r="R695" s="8"/>
      <c r="S695" s="1"/>
      <c r="T695" s="8"/>
      <c r="U695" s="8"/>
      <c r="V695" s="16"/>
      <c r="W695" s="1"/>
      <c r="X695" s="1"/>
    </row>
    <row r="696" spans="1:24" ht="14.4">
      <c r="A696" s="1"/>
      <c r="B696" s="8"/>
      <c r="C696" s="8"/>
      <c r="D696" s="8"/>
      <c r="E696" s="8"/>
      <c r="F696" s="8"/>
      <c r="G696" s="8"/>
      <c r="H696" s="8"/>
      <c r="I696" s="8"/>
      <c r="J696" s="8"/>
      <c r="K696" s="8"/>
      <c r="L696" s="56"/>
      <c r="M696" s="26"/>
      <c r="N696" s="26"/>
      <c r="O696" s="8"/>
      <c r="P696" s="1"/>
      <c r="Q696" s="8"/>
      <c r="R696" s="8"/>
      <c r="S696" s="1"/>
      <c r="T696" s="8"/>
      <c r="U696" s="8"/>
      <c r="V696" s="16"/>
      <c r="W696" s="1"/>
      <c r="X696" s="1"/>
    </row>
    <row r="697" spans="1:24" ht="14.4">
      <c r="A697" s="1"/>
      <c r="B697" s="8"/>
      <c r="C697" s="8"/>
      <c r="D697" s="8"/>
      <c r="E697" s="8"/>
      <c r="F697" s="8"/>
      <c r="G697" s="8"/>
      <c r="H697" s="8"/>
      <c r="I697" s="8"/>
      <c r="J697" s="8"/>
      <c r="K697" s="8"/>
      <c r="L697" s="56"/>
      <c r="M697" s="26"/>
      <c r="N697" s="26"/>
      <c r="O697" s="8"/>
      <c r="P697" s="1"/>
      <c r="Q697" s="8"/>
      <c r="R697" s="8"/>
      <c r="S697" s="1"/>
      <c r="T697" s="8"/>
      <c r="U697" s="8"/>
      <c r="V697" s="16"/>
      <c r="W697" s="1"/>
      <c r="X697" s="1"/>
    </row>
    <row r="698" spans="1:24" ht="14.4">
      <c r="A698" s="1"/>
      <c r="B698" s="8"/>
      <c r="C698" s="8"/>
      <c r="D698" s="8"/>
      <c r="E698" s="8"/>
      <c r="F698" s="8"/>
      <c r="G698" s="8"/>
      <c r="H698" s="8"/>
      <c r="I698" s="8"/>
      <c r="J698" s="8"/>
      <c r="K698" s="8"/>
      <c r="L698" s="56"/>
      <c r="M698" s="26"/>
      <c r="N698" s="26"/>
      <c r="O698" s="8"/>
      <c r="P698" s="1"/>
      <c r="Q698" s="8"/>
      <c r="R698" s="8"/>
      <c r="S698" s="1"/>
      <c r="T698" s="8"/>
      <c r="U698" s="8"/>
      <c r="V698" s="16"/>
      <c r="W698" s="1"/>
      <c r="X698" s="1"/>
    </row>
    <row r="699" spans="1:24" ht="14.4">
      <c r="A699" s="1"/>
      <c r="B699" s="8"/>
      <c r="C699" s="8"/>
      <c r="D699" s="8"/>
      <c r="E699" s="8"/>
      <c r="F699" s="8"/>
      <c r="G699" s="8"/>
      <c r="H699" s="8"/>
      <c r="I699" s="8"/>
      <c r="J699" s="8"/>
      <c r="K699" s="8"/>
      <c r="L699" s="56"/>
      <c r="M699" s="26"/>
      <c r="N699" s="26"/>
      <c r="O699" s="8"/>
      <c r="P699" s="1"/>
      <c r="Q699" s="8"/>
      <c r="R699" s="8"/>
      <c r="S699" s="1"/>
      <c r="T699" s="8"/>
      <c r="U699" s="8"/>
      <c r="V699" s="16"/>
      <c r="W699" s="1"/>
      <c r="X699" s="1"/>
    </row>
    <row r="700" spans="1:24" ht="14.4">
      <c r="A700" s="1"/>
      <c r="B700" s="8"/>
      <c r="C700" s="8"/>
      <c r="D700" s="8"/>
      <c r="E700" s="8"/>
      <c r="F700" s="8"/>
      <c r="G700" s="8"/>
      <c r="H700" s="8"/>
      <c r="I700" s="8"/>
      <c r="J700" s="8"/>
      <c r="K700" s="8"/>
      <c r="L700" s="56"/>
      <c r="M700" s="26"/>
      <c r="N700" s="26"/>
      <c r="O700" s="8"/>
      <c r="P700" s="1"/>
      <c r="Q700" s="8"/>
      <c r="R700" s="8"/>
      <c r="S700" s="1"/>
      <c r="T700" s="8"/>
      <c r="U700" s="8"/>
      <c r="V700" s="16"/>
      <c r="W700" s="1"/>
      <c r="X700" s="1"/>
    </row>
    <row r="701" spans="1:24" ht="14.4">
      <c r="A701" s="1"/>
      <c r="B701" s="8"/>
      <c r="C701" s="8"/>
      <c r="D701" s="8"/>
      <c r="E701" s="8"/>
      <c r="F701" s="8"/>
      <c r="G701" s="8"/>
      <c r="H701" s="8"/>
      <c r="I701" s="8"/>
      <c r="J701" s="8"/>
      <c r="K701" s="8"/>
      <c r="L701" s="56"/>
      <c r="M701" s="26"/>
      <c r="N701" s="26"/>
      <c r="O701" s="8"/>
      <c r="P701" s="1"/>
      <c r="Q701" s="8"/>
      <c r="R701" s="8"/>
      <c r="S701" s="1"/>
      <c r="T701" s="8"/>
      <c r="U701" s="8"/>
      <c r="V701" s="16"/>
      <c r="W701" s="1"/>
      <c r="X701" s="1"/>
    </row>
    <row r="702" spans="1:24" ht="14.4">
      <c r="A702" s="1"/>
      <c r="B702" s="8"/>
      <c r="C702" s="8"/>
      <c r="D702" s="8"/>
      <c r="E702" s="8"/>
      <c r="F702" s="8"/>
      <c r="G702" s="8"/>
      <c r="H702" s="8"/>
      <c r="I702" s="8"/>
      <c r="J702" s="8"/>
      <c r="K702" s="8"/>
      <c r="L702" s="56"/>
      <c r="M702" s="26"/>
      <c r="N702" s="26"/>
      <c r="O702" s="8"/>
      <c r="P702" s="1"/>
      <c r="Q702" s="8"/>
      <c r="R702" s="8"/>
      <c r="S702" s="1"/>
      <c r="T702" s="8"/>
      <c r="U702" s="8"/>
      <c r="V702" s="16"/>
      <c r="W702" s="1"/>
      <c r="X702" s="1"/>
    </row>
    <row r="703" spans="1:24" ht="14.4">
      <c r="A703" s="1"/>
      <c r="B703" s="8"/>
      <c r="C703" s="8"/>
      <c r="D703" s="8"/>
      <c r="E703" s="8"/>
      <c r="F703" s="8"/>
      <c r="G703" s="8"/>
      <c r="H703" s="8"/>
      <c r="I703" s="8"/>
      <c r="J703" s="8"/>
      <c r="K703" s="8"/>
      <c r="L703" s="56"/>
      <c r="M703" s="26"/>
      <c r="N703" s="26"/>
      <c r="O703" s="8"/>
      <c r="P703" s="1"/>
      <c r="Q703" s="8"/>
      <c r="R703" s="8"/>
      <c r="S703" s="1"/>
      <c r="T703" s="8"/>
      <c r="U703" s="8"/>
      <c r="V703" s="16"/>
      <c r="W703" s="1"/>
      <c r="X703" s="1"/>
    </row>
    <row r="704" spans="1:24" ht="14.4">
      <c r="A704" s="1"/>
      <c r="B704" s="8"/>
      <c r="C704" s="8"/>
      <c r="D704" s="8"/>
      <c r="E704" s="8"/>
      <c r="F704" s="8"/>
      <c r="G704" s="8"/>
      <c r="H704" s="8"/>
      <c r="I704" s="8"/>
      <c r="J704" s="8"/>
      <c r="K704" s="8"/>
      <c r="L704" s="56"/>
      <c r="M704" s="26"/>
      <c r="N704" s="26"/>
      <c r="O704" s="8"/>
      <c r="P704" s="1"/>
      <c r="Q704" s="8"/>
      <c r="R704" s="8"/>
      <c r="S704" s="1"/>
      <c r="T704" s="8"/>
      <c r="U704" s="8"/>
      <c r="V704" s="16"/>
      <c r="W704" s="1"/>
      <c r="X704" s="1"/>
    </row>
    <row r="705" spans="1:24" ht="14.4">
      <c r="A705" s="1"/>
      <c r="B705" s="8"/>
      <c r="C705" s="8"/>
      <c r="D705" s="8"/>
      <c r="E705" s="8"/>
      <c r="F705" s="8"/>
      <c r="G705" s="8"/>
      <c r="H705" s="8"/>
      <c r="I705" s="8"/>
      <c r="J705" s="8"/>
      <c r="K705" s="8"/>
      <c r="L705" s="56"/>
      <c r="M705" s="26"/>
      <c r="N705" s="26"/>
      <c r="O705" s="8"/>
      <c r="P705" s="1"/>
      <c r="Q705" s="8"/>
      <c r="R705" s="8"/>
      <c r="S705" s="1"/>
      <c r="T705" s="8"/>
      <c r="U705" s="8"/>
      <c r="V705" s="16"/>
      <c r="W705" s="1"/>
      <c r="X705" s="1"/>
    </row>
    <row r="706" spans="1:24" ht="14.4">
      <c r="A706" s="1"/>
      <c r="B706" s="8"/>
      <c r="C706" s="8"/>
      <c r="D706" s="8"/>
      <c r="E706" s="8"/>
      <c r="F706" s="8"/>
      <c r="G706" s="8"/>
      <c r="H706" s="8"/>
      <c r="I706" s="8"/>
      <c r="J706" s="8"/>
      <c r="K706" s="8"/>
      <c r="L706" s="56"/>
      <c r="M706" s="26"/>
      <c r="N706" s="26"/>
      <c r="O706" s="8"/>
      <c r="P706" s="1"/>
      <c r="Q706" s="8"/>
      <c r="R706" s="8"/>
      <c r="S706" s="1"/>
      <c r="T706" s="8"/>
      <c r="U706" s="8"/>
      <c r="V706" s="16"/>
      <c r="W706" s="1"/>
      <c r="X706" s="1"/>
    </row>
    <row r="707" spans="1:24" ht="14.4">
      <c r="A707" s="1"/>
      <c r="B707" s="8"/>
      <c r="C707" s="8"/>
      <c r="D707" s="8"/>
      <c r="E707" s="8"/>
      <c r="F707" s="8"/>
      <c r="G707" s="8"/>
      <c r="H707" s="8"/>
      <c r="I707" s="8"/>
      <c r="J707" s="8"/>
      <c r="K707" s="8"/>
      <c r="L707" s="56"/>
      <c r="M707" s="26"/>
      <c r="N707" s="26"/>
      <c r="O707" s="8"/>
      <c r="P707" s="1"/>
      <c r="Q707" s="8"/>
      <c r="R707" s="8"/>
      <c r="S707" s="1"/>
      <c r="T707" s="8"/>
      <c r="U707" s="8"/>
      <c r="V707" s="16"/>
      <c r="W707" s="1"/>
      <c r="X707" s="1"/>
    </row>
    <row r="708" spans="1:24" ht="14.4">
      <c r="A708" s="1"/>
      <c r="B708" s="8"/>
      <c r="C708" s="8"/>
      <c r="D708" s="8"/>
      <c r="E708" s="8"/>
      <c r="F708" s="8"/>
      <c r="G708" s="8"/>
      <c r="H708" s="8"/>
      <c r="I708" s="8"/>
      <c r="J708" s="8"/>
      <c r="K708" s="8"/>
      <c r="L708" s="56"/>
      <c r="M708" s="26"/>
      <c r="N708" s="26"/>
      <c r="O708" s="8"/>
      <c r="P708" s="1"/>
      <c r="Q708" s="8"/>
      <c r="R708" s="8"/>
      <c r="S708" s="1"/>
      <c r="T708" s="8"/>
      <c r="U708" s="8"/>
      <c r="V708" s="16"/>
      <c r="W708" s="1"/>
      <c r="X708" s="1"/>
    </row>
    <row r="709" spans="1:24" ht="14.4">
      <c r="A709" s="1"/>
      <c r="B709" s="8"/>
      <c r="C709" s="8"/>
      <c r="D709" s="8"/>
      <c r="E709" s="8"/>
      <c r="F709" s="8"/>
      <c r="G709" s="8"/>
      <c r="H709" s="8"/>
      <c r="I709" s="8"/>
      <c r="J709" s="8"/>
      <c r="K709" s="8"/>
      <c r="L709" s="56"/>
      <c r="M709" s="26"/>
      <c r="N709" s="26"/>
      <c r="O709" s="8"/>
      <c r="P709" s="1"/>
      <c r="Q709" s="8"/>
      <c r="R709" s="8"/>
      <c r="S709" s="1"/>
      <c r="T709" s="8"/>
      <c r="U709" s="8"/>
      <c r="V709" s="16"/>
      <c r="W709" s="1"/>
      <c r="X709" s="1"/>
    </row>
    <row r="710" spans="1:24" ht="14.4">
      <c r="A710" s="1"/>
      <c r="B710" s="8"/>
      <c r="C710" s="8"/>
      <c r="D710" s="8"/>
      <c r="E710" s="8"/>
      <c r="F710" s="8"/>
      <c r="G710" s="8"/>
      <c r="H710" s="8"/>
      <c r="I710" s="8"/>
      <c r="J710" s="8"/>
      <c r="K710" s="8"/>
      <c r="L710" s="56"/>
      <c r="M710" s="26"/>
      <c r="N710" s="26"/>
      <c r="O710" s="8"/>
      <c r="P710" s="1"/>
      <c r="Q710" s="8"/>
      <c r="R710" s="8"/>
      <c r="S710" s="1"/>
      <c r="T710" s="8"/>
      <c r="U710" s="8"/>
      <c r="V710" s="16"/>
      <c r="W710" s="1"/>
      <c r="X710" s="1"/>
    </row>
    <row r="711" spans="1:24" ht="14.4">
      <c r="A711" s="1"/>
      <c r="B711" s="8"/>
      <c r="C711" s="8"/>
      <c r="D711" s="8"/>
      <c r="E711" s="8"/>
      <c r="F711" s="8"/>
      <c r="G711" s="8"/>
      <c r="H711" s="8"/>
      <c r="I711" s="8"/>
      <c r="J711" s="8"/>
      <c r="K711" s="8"/>
      <c r="L711" s="56"/>
      <c r="M711" s="26"/>
      <c r="N711" s="26"/>
      <c r="O711" s="8"/>
      <c r="P711" s="1"/>
      <c r="Q711" s="8"/>
      <c r="R711" s="8"/>
      <c r="S711" s="1"/>
      <c r="T711" s="8"/>
      <c r="U711" s="8"/>
      <c r="V711" s="16"/>
      <c r="W711" s="1"/>
      <c r="X711" s="1"/>
    </row>
    <row r="712" spans="1:24" ht="14.4">
      <c r="A712" s="1"/>
      <c r="B712" s="8"/>
      <c r="C712" s="8"/>
      <c r="D712" s="8"/>
      <c r="E712" s="8"/>
      <c r="F712" s="8"/>
      <c r="G712" s="8"/>
      <c r="H712" s="8"/>
      <c r="I712" s="8"/>
      <c r="J712" s="8"/>
      <c r="K712" s="8"/>
      <c r="L712" s="56"/>
      <c r="M712" s="26"/>
      <c r="N712" s="26"/>
      <c r="O712" s="8"/>
      <c r="P712" s="1"/>
      <c r="Q712" s="8"/>
      <c r="R712" s="8"/>
      <c r="S712" s="1"/>
      <c r="T712" s="8"/>
      <c r="U712" s="8"/>
      <c r="V712" s="16"/>
      <c r="W712" s="1"/>
      <c r="X712" s="1"/>
    </row>
    <row r="713" spans="1:24" ht="14.4">
      <c r="A713" s="1"/>
      <c r="B713" s="8"/>
      <c r="C713" s="8"/>
      <c r="D713" s="8"/>
      <c r="E713" s="8"/>
      <c r="F713" s="8"/>
      <c r="G713" s="8"/>
      <c r="H713" s="8"/>
      <c r="I713" s="8"/>
      <c r="J713" s="8"/>
      <c r="K713" s="8"/>
      <c r="L713" s="56"/>
      <c r="M713" s="26"/>
      <c r="N713" s="26"/>
      <c r="O713" s="8"/>
      <c r="P713" s="1"/>
      <c r="Q713" s="8"/>
      <c r="R713" s="8"/>
      <c r="S713" s="1"/>
      <c r="T713" s="8"/>
      <c r="U713" s="8"/>
      <c r="V713" s="16"/>
      <c r="W713" s="1"/>
      <c r="X713" s="1"/>
    </row>
    <row r="714" spans="1:24" ht="14.4">
      <c r="A714" s="1"/>
      <c r="B714" s="8"/>
      <c r="C714" s="8"/>
      <c r="D714" s="8"/>
      <c r="E714" s="8"/>
      <c r="F714" s="8"/>
      <c r="G714" s="8"/>
      <c r="H714" s="8"/>
      <c r="I714" s="8"/>
      <c r="J714" s="8"/>
      <c r="K714" s="8"/>
      <c r="L714" s="56"/>
      <c r="M714" s="26"/>
      <c r="N714" s="26"/>
      <c r="O714" s="8"/>
      <c r="P714" s="1"/>
      <c r="Q714" s="8"/>
      <c r="R714" s="8"/>
      <c r="S714" s="1"/>
      <c r="T714" s="8"/>
      <c r="U714" s="8"/>
      <c r="V714" s="16"/>
      <c r="W714" s="1"/>
      <c r="X714" s="1"/>
    </row>
    <row r="715" spans="1:24" ht="14.4">
      <c r="A715" s="1"/>
      <c r="B715" s="8"/>
      <c r="C715" s="8"/>
      <c r="D715" s="8"/>
      <c r="E715" s="8"/>
      <c r="F715" s="8"/>
      <c r="G715" s="8"/>
      <c r="H715" s="8"/>
      <c r="I715" s="8"/>
      <c r="J715" s="8"/>
      <c r="K715" s="8"/>
      <c r="L715" s="56"/>
      <c r="M715" s="26"/>
      <c r="N715" s="26"/>
      <c r="O715" s="8"/>
      <c r="P715" s="1"/>
      <c r="Q715" s="8"/>
      <c r="R715" s="8"/>
      <c r="S715" s="1"/>
      <c r="T715" s="8"/>
      <c r="U715" s="8"/>
      <c r="V715" s="16"/>
      <c r="W715" s="1"/>
      <c r="X715" s="1"/>
    </row>
    <row r="716" spans="1:24" ht="14.4">
      <c r="A716" s="1"/>
      <c r="B716" s="8"/>
      <c r="C716" s="8"/>
      <c r="D716" s="8"/>
      <c r="E716" s="8"/>
      <c r="F716" s="8"/>
      <c r="G716" s="8"/>
      <c r="H716" s="8"/>
      <c r="I716" s="8"/>
      <c r="J716" s="8"/>
      <c r="K716" s="8"/>
      <c r="L716" s="56"/>
      <c r="M716" s="26"/>
      <c r="N716" s="26"/>
      <c r="O716" s="8"/>
      <c r="P716" s="1"/>
      <c r="Q716" s="8"/>
      <c r="R716" s="8"/>
      <c r="S716" s="1"/>
      <c r="T716" s="8"/>
      <c r="U716" s="8"/>
      <c r="V716" s="16"/>
      <c r="W716" s="1"/>
      <c r="X716" s="1"/>
    </row>
    <row r="717" spans="1:24" ht="14.4">
      <c r="A717" s="1"/>
      <c r="B717" s="8"/>
      <c r="C717" s="8"/>
      <c r="D717" s="8"/>
      <c r="E717" s="8"/>
      <c r="F717" s="8"/>
      <c r="G717" s="8"/>
      <c r="H717" s="8"/>
      <c r="I717" s="8"/>
      <c r="J717" s="8"/>
      <c r="K717" s="8"/>
      <c r="L717" s="56"/>
      <c r="M717" s="26"/>
      <c r="N717" s="26"/>
      <c r="O717" s="8"/>
      <c r="P717" s="1"/>
      <c r="Q717" s="8"/>
      <c r="R717" s="8"/>
      <c r="S717" s="1"/>
      <c r="T717" s="8"/>
      <c r="U717" s="8"/>
      <c r="V717" s="16"/>
      <c r="W717" s="1"/>
      <c r="X717" s="1"/>
    </row>
    <row r="718" spans="1:24" ht="14.4">
      <c r="A718" s="1"/>
      <c r="B718" s="8"/>
      <c r="C718" s="8"/>
      <c r="D718" s="8"/>
      <c r="E718" s="8"/>
      <c r="F718" s="8"/>
      <c r="G718" s="8"/>
      <c r="H718" s="8"/>
      <c r="I718" s="8"/>
      <c r="J718" s="8"/>
      <c r="K718" s="8"/>
      <c r="L718" s="56"/>
      <c r="M718" s="26"/>
      <c r="N718" s="26"/>
      <c r="O718" s="8"/>
      <c r="P718" s="1"/>
      <c r="Q718" s="8"/>
      <c r="R718" s="8"/>
      <c r="S718" s="1"/>
      <c r="T718" s="8"/>
      <c r="U718" s="8"/>
      <c r="V718" s="16"/>
      <c r="W718" s="1"/>
      <c r="X718" s="1"/>
    </row>
    <row r="719" spans="1:24" ht="14.4">
      <c r="A719" s="1"/>
      <c r="B719" s="8"/>
      <c r="C719" s="8"/>
      <c r="D719" s="8"/>
      <c r="E719" s="8"/>
      <c r="F719" s="8"/>
      <c r="G719" s="8"/>
      <c r="H719" s="8"/>
      <c r="I719" s="8"/>
      <c r="J719" s="8"/>
      <c r="K719" s="8"/>
      <c r="L719" s="56"/>
      <c r="M719" s="26"/>
      <c r="N719" s="26"/>
      <c r="O719" s="8"/>
      <c r="P719" s="1"/>
      <c r="Q719" s="8"/>
      <c r="R719" s="8"/>
      <c r="S719" s="1"/>
      <c r="T719" s="8"/>
      <c r="U719" s="8"/>
      <c r="V719" s="16"/>
      <c r="W719" s="1"/>
      <c r="X719" s="1"/>
    </row>
    <row r="720" spans="1:24" ht="14.4">
      <c r="A720" s="1"/>
      <c r="B720" s="8"/>
      <c r="C720" s="8"/>
      <c r="D720" s="8"/>
      <c r="E720" s="8"/>
      <c r="F720" s="8"/>
      <c r="G720" s="8"/>
      <c r="H720" s="8"/>
      <c r="I720" s="8"/>
      <c r="J720" s="8"/>
      <c r="K720" s="8"/>
      <c r="L720" s="56"/>
      <c r="M720" s="26"/>
      <c r="N720" s="26"/>
      <c r="O720" s="8"/>
      <c r="P720" s="1"/>
      <c r="Q720" s="8"/>
      <c r="R720" s="8"/>
      <c r="S720" s="1"/>
      <c r="T720" s="8"/>
      <c r="U720" s="8"/>
      <c r="V720" s="16"/>
      <c r="W720" s="1"/>
      <c r="X720" s="1"/>
    </row>
    <row r="721" spans="1:24" ht="14.4">
      <c r="A721" s="1"/>
      <c r="B721" s="8"/>
      <c r="C721" s="8"/>
      <c r="D721" s="8"/>
      <c r="E721" s="8"/>
      <c r="F721" s="8"/>
      <c r="G721" s="8"/>
      <c r="H721" s="8"/>
      <c r="I721" s="8"/>
      <c r="J721" s="8"/>
      <c r="K721" s="8"/>
      <c r="L721" s="56"/>
      <c r="M721" s="26"/>
      <c r="N721" s="26"/>
      <c r="O721" s="8"/>
      <c r="P721" s="1"/>
      <c r="Q721" s="8"/>
      <c r="R721" s="8"/>
      <c r="S721" s="1"/>
      <c r="T721" s="8"/>
      <c r="U721" s="8"/>
      <c r="V721" s="16"/>
      <c r="W721" s="1"/>
      <c r="X721" s="1"/>
    </row>
    <row r="722" spans="1:24" ht="14.4">
      <c r="A722" s="1"/>
      <c r="B722" s="8"/>
      <c r="C722" s="8"/>
      <c r="D722" s="8"/>
      <c r="E722" s="8"/>
      <c r="F722" s="8"/>
      <c r="G722" s="8"/>
      <c r="H722" s="8"/>
      <c r="I722" s="8"/>
      <c r="J722" s="8"/>
      <c r="K722" s="8"/>
      <c r="L722" s="56"/>
      <c r="M722" s="26"/>
      <c r="N722" s="26"/>
      <c r="O722" s="8"/>
      <c r="P722" s="1"/>
      <c r="Q722" s="8"/>
      <c r="R722" s="8"/>
      <c r="S722" s="1"/>
      <c r="T722" s="8"/>
      <c r="U722" s="8"/>
      <c r="V722" s="16"/>
      <c r="W722" s="1"/>
      <c r="X722" s="1"/>
    </row>
    <row r="723" spans="1:24" ht="14.4">
      <c r="A723" s="1"/>
      <c r="B723" s="8"/>
      <c r="C723" s="8"/>
      <c r="D723" s="8"/>
      <c r="E723" s="8"/>
      <c r="F723" s="8"/>
      <c r="G723" s="8"/>
      <c r="H723" s="8"/>
      <c r="I723" s="8"/>
      <c r="J723" s="8"/>
      <c r="K723" s="8"/>
      <c r="L723" s="56"/>
      <c r="M723" s="26"/>
      <c r="N723" s="26"/>
      <c r="O723" s="8"/>
      <c r="P723" s="1"/>
      <c r="Q723" s="8"/>
      <c r="R723" s="8"/>
      <c r="S723" s="1"/>
      <c r="T723" s="8"/>
      <c r="U723" s="8"/>
      <c r="V723" s="16"/>
      <c r="W723" s="1"/>
      <c r="X723" s="1"/>
    </row>
    <row r="724" spans="1:24" ht="14.4">
      <c r="A724" s="1"/>
      <c r="B724" s="8"/>
      <c r="C724" s="8"/>
      <c r="D724" s="8"/>
      <c r="E724" s="8"/>
      <c r="F724" s="8"/>
      <c r="G724" s="8"/>
      <c r="H724" s="8"/>
      <c r="I724" s="8"/>
      <c r="J724" s="8"/>
      <c r="K724" s="8"/>
      <c r="L724" s="56"/>
      <c r="M724" s="26"/>
      <c r="N724" s="26"/>
      <c r="O724" s="8"/>
      <c r="P724" s="1"/>
      <c r="Q724" s="8"/>
      <c r="R724" s="8"/>
      <c r="S724" s="1"/>
      <c r="T724" s="8"/>
      <c r="U724" s="8"/>
      <c r="V724" s="16"/>
      <c r="W724" s="1"/>
      <c r="X724" s="1"/>
    </row>
    <row r="725" spans="1:24" ht="14.4">
      <c r="A725" s="1"/>
      <c r="B725" s="8"/>
      <c r="C725" s="8"/>
      <c r="D725" s="8"/>
      <c r="E725" s="8"/>
      <c r="F725" s="8"/>
      <c r="G725" s="8"/>
      <c r="H725" s="8"/>
      <c r="I725" s="8"/>
      <c r="J725" s="8"/>
      <c r="K725" s="8"/>
      <c r="L725" s="56"/>
      <c r="M725" s="26"/>
      <c r="N725" s="26"/>
      <c r="O725" s="8"/>
      <c r="P725" s="1"/>
      <c r="Q725" s="8"/>
      <c r="R725" s="8"/>
      <c r="S725" s="1"/>
      <c r="T725" s="8"/>
      <c r="U725" s="8"/>
      <c r="V725" s="16"/>
      <c r="W725" s="1"/>
      <c r="X725" s="1"/>
    </row>
    <row r="726" spans="1:24" ht="14.4">
      <c r="A726" s="1"/>
      <c r="B726" s="8"/>
      <c r="C726" s="8"/>
      <c r="D726" s="8"/>
      <c r="E726" s="8"/>
      <c r="F726" s="8"/>
      <c r="G726" s="8"/>
      <c r="H726" s="8"/>
      <c r="I726" s="8"/>
      <c r="J726" s="8"/>
      <c r="K726" s="8"/>
      <c r="L726" s="56"/>
      <c r="M726" s="26"/>
      <c r="N726" s="26"/>
      <c r="O726" s="8"/>
      <c r="P726" s="1"/>
      <c r="Q726" s="8"/>
      <c r="R726" s="8"/>
      <c r="S726" s="1"/>
      <c r="T726" s="8"/>
      <c r="U726" s="8"/>
      <c r="V726" s="16"/>
      <c r="W726" s="1"/>
      <c r="X726" s="1"/>
    </row>
    <row r="727" spans="1:24" ht="14.4">
      <c r="A727" s="1"/>
      <c r="B727" s="8"/>
      <c r="C727" s="8"/>
      <c r="D727" s="8"/>
      <c r="E727" s="8"/>
      <c r="F727" s="8"/>
      <c r="G727" s="8"/>
      <c r="H727" s="8"/>
      <c r="I727" s="8"/>
      <c r="J727" s="8"/>
      <c r="K727" s="8"/>
      <c r="L727" s="56"/>
      <c r="M727" s="26"/>
      <c r="N727" s="26"/>
      <c r="O727" s="8"/>
      <c r="P727" s="1"/>
      <c r="Q727" s="8"/>
      <c r="R727" s="8"/>
      <c r="S727" s="1"/>
      <c r="T727" s="8"/>
      <c r="U727" s="8"/>
      <c r="V727" s="16"/>
      <c r="W727" s="1"/>
      <c r="X727" s="1"/>
    </row>
    <row r="728" spans="1:24" ht="14.4">
      <c r="A728" s="1"/>
      <c r="B728" s="8"/>
      <c r="C728" s="8"/>
      <c r="D728" s="8"/>
      <c r="E728" s="8"/>
      <c r="F728" s="8"/>
      <c r="G728" s="8"/>
      <c r="H728" s="8"/>
      <c r="I728" s="8"/>
      <c r="J728" s="8"/>
      <c r="K728" s="8"/>
      <c r="L728" s="56"/>
      <c r="M728" s="26"/>
      <c r="N728" s="26"/>
      <c r="O728" s="8"/>
      <c r="P728" s="1"/>
      <c r="Q728" s="8"/>
      <c r="R728" s="8"/>
      <c r="S728" s="1"/>
      <c r="T728" s="8"/>
      <c r="U728" s="8"/>
      <c r="V728" s="16"/>
      <c r="W728" s="1"/>
      <c r="X728" s="1"/>
    </row>
    <row r="729" spans="1:24" ht="14.4">
      <c r="A729" s="1"/>
      <c r="B729" s="8"/>
      <c r="C729" s="8"/>
      <c r="D729" s="8"/>
      <c r="E729" s="8"/>
      <c r="F729" s="8"/>
      <c r="G729" s="8"/>
      <c r="H729" s="8"/>
      <c r="I729" s="8"/>
      <c r="J729" s="8"/>
      <c r="K729" s="8"/>
      <c r="L729" s="56"/>
      <c r="M729" s="26"/>
      <c r="N729" s="26"/>
      <c r="O729" s="8"/>
      <c r="P729" s="1"/>
      <c r="Q729" s="8"/>
      <c r="R729" s="8"/>
      <c r="S729" s="1"/>
      <c r="T729" s="8"/>
      <c r="U729" s="8"/>
      <c r="V729" s="16"/>
      <c r="W729" s="1"/>
      <c r="X729" s="1"/>
    </row>
    <row r="730" spans="1:24" ht="14.4">
      <c r="A730" s="1"/>
      <c r="B730" s="8"/>
      <c r="C730" s="8"/>
      <c r="D730" s="8"/>
      <c r="E730" s="8"/>
      <c r="F730" s="8"/>
      <c r="G730" s="8"/>
      <c r="H730" s="8"/>
      <c r="I730" s="8"/>
      <c r="J730" s="8"/>
      <c r="K730" s="8"/>
      <c r="L730" s="56"/>
      <c r="M730" s="26"/>
      <c r="N730" s="26"/>
      <c r="O730" s="8"/>
      <c r="P730" s="1"/>
      <c r="Q730" s="8"/>
      <c r="R730" s="8"/>
      <c r="S730" s="1"/>
      <c r="T730" s="8"/>
      <c r="U730" s="8"/>
      <c r="V730" s="16"/>
      <c r="W730" s="1"/>
      <c r="X730" s="1"/>
    </row>
    <row r="731" spans="1:24" ht="14.4">
      <c r="A731" s="1"/>
      <c r="B731" s="8"/>
      <c r="C731" s="8"/>
      <c r="D731" s="8"/>
      <c r="E731" s="8"/>
      <c r="F731" s="8"/>
      <c r="G731" s="8"/>
      <c r="H731" s="8"/>
      <c r="I731" s="8"/>
      <c r="J731" s="8"/>
      <c r="K731" s="8"/>
      <c r="L731" s="56"/>
      <c r="M731" s="26"/>
      <c r="N731" s="26"/>
      <c r="O731" s="8"/>
      <c r="P731" s="1"/>
      <c r="Q731" s="8"/>
      <c r="R731" s="8"/>
      <c r="S731" s="1"/>
      <c r="T731" s="8"/>
      <c r="U731" s="8"/>
      <c r="V731" s="16"/>
      <c r="W731" s="1"/>
      <c r="X731" s="1"/>
    </row>
    <row r="732" spans="1:24" ht="14.4">
      <c r="A732" s="1"/>
      <c r="B732" s="8"/>
      <c r="C732" s="8"/>
      <c r="D732" s="8"/>
      <c r="E732" s="8"/>
      <c r="F732" s="8"/>
      <c r="G732" s="8"/>
      <c r="H732" s="8"/>
      <c r="I732" s="8"/>
      <c r="J732" s="8"/>
      <c r="K732" s="8"/>
      <c r="L732" s="56"/>
      <c r="M732" s="26"/>
      <c r="N732" s="26"/>
      <c r="O732" s="8"/>
      <c r="P732" s="1"/>
      <c r="Q732" s="8"/>
      <c r="R732" s="8"/>
      <c r="S732" s="1"/>
      <c r="T732" s="8"/>
      <c r="U732" s="8"/>
      <c r="V732" s="16"/>
      <c r="W732" s="1"/>
      <c r="X732" s="1"/>
    </row>
    <row r="733" spans="1:24" ht="14.4">
      <c r="A733" s="1"/>
      <c r="B733" s="8"/>
      <c r="C733" s="8"/>
      <c r="D733" s="8"/>
      <c r="E733" s="8"/>
      <c r="F733" s="8"/>
      <c r="G733" s="8"/>
      <c r="H733" s="8"/>
      <c r="I733" s="8"/>
      <c r="J733" s="8"/>
      <c r="K733" s="8"/>
      <c r="L733" s="56"/>
      <c r="M733" s="26"/>
      <c r="N733" s="26"/>
      <c r="O733" s="8"/>
      <c r="P733" s="1"/>
      <c r="Q733" s="8"/>
      <c r="R733" s="8"/>
      <c r="S733" s="1"/>
      <c r="T733" s="8"/>
      <c r="U733" s="8"/>
      <c r="V733" s="16"/>
      <c r="W733" s="1"/>
      <c r="X733" s="1"/>
    </row>
    <row r="734" spans="1:24" ht="14.4">
      <c r="A734" s="1"/>
      <c r="B734" s="8"/>
      <c r="C734" s="8"/>
      <c r="D734" s="8"/>
      <c r="E734" s="8"/>
      <c r="F734" s="8"/>
      <c r="G734" s="8"/>
      <c r="H734" s="8"/>
      <c r="I734" s="8"/>
      <c r="J734" s="8"/>
      <c r="K734" s="8"/>
      <c r="L734" s="56"/>
      <c r="M734" s="26"/>
      <c r="N734" s="26"/>
      <c r="O734" s="8"/>
      <c r="P734" s="1"/>
      <c r="Q734" s="8"/>
      <c r="R734" s="8"/>
      <c r="S734" s="1"/>
      <c r="T734" s="8"/>
      <c r="U734" s="8"/>
      <c r="V734" s="16"/>
      <c r="W734" s="1"/>
      <c r="X734" s="1"/>
    </row>
    <row r="735" spans="1:24" ht="14.4">
      <c r="A735" s="1"/>
      <c r="B735" s="8"/>
      <c r="C735" s="8"/>
      <c r="D735" s="8"/>
      <c r="E735" s="8"/>
      <c r="F735" s="8"/>
      <c r="G735" s="8"/>
      <c r="H735" s="8"/>
      <c r="I735" s="8"/>
      <c r="J735" s="8"/>
      <c r="K735" s="8"/>
      <c r="L735" s="56"/>
      <c r="M735" s="26"/>
      <c r="N735" s="26"/>
      <c r="O735" s="8"/>
      <c r="P735" s="1"/>
      <c r="Q735" s="8"/>
      <c r="R735" s="8"/>
      <c r="S735" s="1"/>
      <c r="T735" s="8"/>
      <c r="U735" s="8"/>
      <c r="V735" s="16"/>
      <c r="W735" s="1"/>
      <c r="X735" s="1"/>
    </row>
    <row r="736" spans="1:24" ht="14.4">
      <c r="A736" s="1"/>
      <c r="B736" s="8"/>
      <c r="C736" s="8"/>
      <c r="D736" s="8"/>
      <c r="E736" s="8"/>
      <c r="F736" s="8"/>
      <c r="G736" s="8"/>
      <c r="H736" s="8"/>
      <c r="I736" s="8"/>
      <c r="J736" s="8"/>
      <c r="K736" s="8"/>
      <c r="L736" s="56"/>
      <c r="M736" s="26"/>
      <c r="N736" s="26"/>
      <c r="O736" s="8"/>
      <c r="P736" s="1"/>
      <c r="Q736" s="8"/>
      <c r="R736" s="8"/>
      <c r="S736" s="1"/>
      <c r="T736" s="8"/>
      <c r="U736" s="8"/>
      <c r="V736" s="16"/>
      <c r="W736" s="1"/>
      <c r="X736" s="1"/>
    </row>
    <row r="737" spans="1:24" ht="14.4">
      <c r="A737" s="1"/>
      <c r="B737" s="8"/>
      <c r="C737" s="8"/>
      <c r="D737" s="8"/>
      <c r="E737" s="8"/>
      <c r="F737" s="8"/>
      <c r="G737" s="8"/>
      <c r="H737" s="8"/>
      <c r="I737" s="8"/>
      <c r="J737" s="8"/>
      <c r="K737" s="8"/>
      <c r="L737" s="56"/>
      <c r="M737" s="26"/>
      <c r="N737" s="26"/>
      <c r="O737" s="8"/>
      <c r="P737" s="1"/>
      <c r="Q737" s="8"/>
      <c r="R737" s="8"/>
      <c r="S737" s="1"/>
      <c r="T737" s="8"/>
      <c r="U737" s="8"/>
      <c r="V737" s="16"/>
      <c r="W737" s="1"/>
      <c r="X737" s="1"/>
    </row>
    <row r="738" spans="1:24" ht="14.4">
      <c r="A738" s="1"/>
      <c r="B738" s="8"/>
      <c r="C738" s="8"/>
      <c r="D738" s="8"/>
      <c r="E738" s="8"/>
      <c r="F738" s="8"/>
      <c r="G738" s="8"/>
      <c r="H738" s="8"/>
      <c r="I738" s="8"/>
      <c r="J738" s="8"/>
      <c r="K738" s="8"/>
      <c r="L738" s="56"/>
      <c r="M738" s="26"/>
      <c r="N738" s="26"/>
      <c r="O738" s="8"/>
      <c r="P738" s="1"/>
      <c r="Q738" s="8"/>
      <c r="R738" s="8"/>
      <c r="S738" s="1"/>
      <c r="T738" s="8"/>
      <c r="U738" s="8"/>
      <c r="V738" s="16"/>
      <c r="W738" s="1"/>
      <c r="X738" s="1"/>
    </row>
    <row r="739" spans="1:24" ht="14.4">
      <c r="A739" s="1"/>
      <c r="B739" s="8"/>
      <c r="C739" s="8"/>
      <c r="D739" s="8"/>
      <c r="E739" s="8"/>
      <c r="F739" s="8"/>
      <c r="G739" s="8"/>
      <c r="H739" s="8"/>
      <c r="I739" s="8"/>
      <c r="J739" s="8"/>
      <c r="K739" s="8"/>
      <c r="L739" s="56"/>
      <c r="M739" s="26"/>
      <c r="N739" s="26"/>
      <c r="O739" s="8"/>
      <c r="P739" s="1"/>
      <c r="Q739" s="8"/>
      <c r="R739" s="8"/>
      <c r="S739" s="1"/>
      <c r="T739" s="8"/>
      <c r="U739" s="8"/>
      <c r="V739" s="16"/>
      <c r="W739" s="1"/>
      <c r="X739" s="1"/>
    </row>
    <row r="740" spans="1:24" ht="14.4">
      <c r="A740" s="1"/>
      <c r="B740" s="8"/>
      <c r="C740" s="8"/>
      <c r="D740" s="8"/>
      <c r="E740" s="8"/>
      <c r="F740" s="8"/>
      <c r="G740" s="8"/>
      <c r="H740" s="8"/>
      <c r="I740" s="8"/>
      <c r="J740" s="8"/>
      <c r="K740" s="8"/>
      <c r="L740" s="56"/>
      <c r="M740" s="26"/>
      <c r="N740" s="26"/>
      <c r="O740" s="8"/>
      <c r="P740" s="1"/>
      <c r="Q740" s="8"/>
      <c r="R740" s="8"/>
      <c r="S740" s="1"/>
      <c r="T740" s="8"/>
      <c r="U740" s="8"/>
      <c r="V740" s="16"/>
      <c r="W740" s="1"/>
      <c r="X740" s="1"/>
    </row>
    <row r="741" spans="1:24" ht="14.4">
      <c r="A741" s="1"/>
      <c r="B741" s="8"/>
      <c r="C741" s="8"/>
      <c r="D741" s="8"/>
      <c r="E741" s="8"/>
      <c r="F741" s="8"/>
      <c r="G741" s="8"/>
      <c r="H741" s="8"/>
      <c r="I741" s="8"/>
      <c r="J741" s="8"/>
      <c r="K741" s="8"/>
      <c r="L741" s="56"/>
      <c r="M741" s="26"/>
      <c r="N741" s="26"/>
      <c r="O741" s="8"/>
      <c r="P741" s="1"/>
      <c r="Q741" s="8"/>
      <c r="R741" s="8"/>
      <c r="S741" s="1"/>
      <c r="T741" s="8"/>
      <c r="U741" s="8"/>
      <c r="V741" s="16"/>
      <c r="W741" s="1"/>
      <c r="X741" s="1"/>
    </row>
    <row r="742" spans="1:24" ht="14.4">
      <c r="A742" s="1"/>
      <c r="B742" s="8"/>
      <c r="C742" s="8"/>
      <c r="D742" s="8"/>
      <c r="E742" s="8"/>
      <c r="F742" s="8"/>
      <c r="G742" s="8"/>
      <c r="H742" s="8"/>
      <c r="I742" s="8"/>
      <c r="J742" s="8"/>
      <c r="K742" s="8"/>
      <c r="L742" s="56"/>
      <c r="M742" s="26"/>
      <c r="N742" s="26"/>
      <c r="O742" s="8"/>
      <c r="P742" s="1"/>
      <c r="Q742" s="8"/>
      <c r="R742" s="8"/>
      <c r="S742" s="1"/>
      <c r="T742" s="8"/>
      <c r="U742" s="8"/>
      <c r="V742" s="16"/>
      <c r="W742" s="1"/>
      <c r="X742" s="1"/>
    </row>
    <row r="743" spans="1:24" ht="14.4">
      <c r="A743" s="1"/>
      <c r="B743" s="8"/>
      <c r="C743" s="8"/>
      <c r="D743" s="8"/>
      <c r="E743" s="8"/>
      <c r="F743" s="8"/>
      <c r="G743" s="8"/>
      <c r="H743" s="8"/>
      <c r="I743" s="8"/>
      <c r="J743" s="8"/>
      <c r="K743" s="8"/>
      <c r="L743" s="56"/>
      <c r="M743" s="26"/>
      <c r="N743" s="26"/>
      <c r="O743" s="8"/>
      <c r="P743" s="1"/>
      <c r="Q743" s="8"/>
      <c r="R743" s="8"/>
      <c r="S743" s="1"/>
      <c r="T743" s="8"/>
      <c r="U743" s="8"/>
      <c r="V743" s="16"/>
      <c r="W743" s="1"/>
      <c r="X743" s="1"/>
    </row>
    <row r="744" spans="1:24" ht="14.4">
      <c r="A744" s="1"/>
      <c r="B744" s="8"/>
      <c r="C744" s="8"/>
      <c r="D744" s="8"/>
      <c r="E744" s="8"/>
      <c r="F744" s="8"/>
      <c r="G744" s="8"/>
      <c r="H744" s="8"/>
      <c r="I744" s="8"/>
      <c r="J744" s="8"/>
      <c r="K744" s="8"/>
      <c r="L744" s="56"/>
      <c r="M744" s="26"/>
      <c r="N744" s="26"/>
      <c r="O744" s="8"/>
      <c r="P744" s="1"/>
      <c r="Q744" s="8"/>
      <c r="R744" s="8"/>
      <c r="S744" s="1"/>
      <c r="T744" s="8"/>
      <c r="U744" s="8"/>
      <c r="V744" s="16"/>
      <c r="W744" s="1"/>
      <c r="X744" s="1"/>
    </row>
    <row r="745" spans="1:24" ht="14.4">
      <c r="A745" s="1"/>
      <c r="B745" s="8"/>
      <c r="C745" s="8"/>
      <c r="D745" s="8"/>
      <c r="E745" s="8"/>
      <c r="F745" s="8"/>
      <c r="G745" s="8"/>
      <c r="H745" s="8"/>
      <c r="I745" s="8"/>
      <c r="J745" s="8"/>
      <c r="K745" s="8"/>
      <c r="L745" s="56"/>
      <c r="M745" s="26"/>
      <c r="N745" s="26"/>
      <c r="O745" s="8"/>
      <c r="P745" s="1"/>
      <c r="Q745" s="8"/>
      <c r="R745" s="8"/>
      <c r="S745" s="1"/>
      <c r="T745" s="8"/>
      <c r="U745" s="8"/>
      <c r="V745" s="16"/>
      <c r="W745" s="1"/>
      <c r="X745" s="1"/>
    </row>
    <row r="746" spans="1:24" ht="14.4">
      <c r="A746" s="1"/>
      <c r="B746" s="8"/>
      <c r="C746" s="8"/>
      <c r="D746" s="8"/>
      <c r="E746" s="8"/>
      <c r="F746" s="8"/>
      <c r="G746" s="8"/>
      <c r="H746" s="8"/>
      <c r="I746" s="8"/>
      <c r="J746" s="8"/>
      <c r="K746" s="8"/>
      <c r="L746" s="56"/>
      <c r="M746" s="26"/>
      <c r="N746" s="26"/>
      <c r="O746" s="8"/>
      <c r="P746" s="1"/>
      <c r="Q746" s="8"/>
      <c r="R746" s="8"/>
      <c r="S746" s="1"/>
      <c r="T746" s="8"/>
      <c r="U746" s="8"/>
      <c r="V746" s="16"/>
      <c r="W746" s="1"/>
      <c r="X746" s="1"/>
    </row>
    <row r="747" spans="1:24" ht="14.4">
      <c r="A747" s="1"/>
      <c r="B747" s="8"/>
      <c r="C747" s="8"/>
      <c r="D747" s="8"/>
      <c r="E747" s="8"/>
      <c r="F747" s="8"/>
      <c r="G747" s="8"/>
      <c r="H747" s="8"/>
      <c r="I747" s="8"/>
      <c r="J747" s="8"/>
      <c r="K747" s="8"/>
      <c r="L747" s="56"/>
      <c r="M747" s="26"/>
      <c r="N747" s="26"/>
      <c r="O747" s="8"/>
      <c r="P747" s="1"/>
      <c r="Q747" s="8"/>
      <c r="R747" s="8"/>
      <c r="S747" s="1"/>
      <c r="T747" s="8"/>
      <c r="U747" s="8"/>
      <c r="V747" s="16"/>
      <c r="W747" s="1"/>
      <c r="X747" s="1"/>
    </row>
    <row r="748" spans="1:24" ht="14.4">
      <c r="A748" s="1"/>
      <c r="B748" s="8"/>
      <c r="C748" s="8"/>
      <c r="D748" s="8"/>
      <c r="E748" s="8"/>
      <c r="F748" s="8"/>
      <c r="G748" s="8"/>
      <c r="H748" s="8"/>
      <c r="I748" s="8"/>
      <c r="J748" s="8"/>
      <c r="K748" s="8"/>
      <c r="L748" s="56"/>
      <c r="M748" s="26"/>
      <c r="N748" s="26"/>
      <c r="O748" s="8"/>
      <c r="P748" s="1"/>
      <c r="Q748" s="8"/>
      <c r="R748" s="8"/>
      <c r="S748" s="1"/>
      <c r="T748" s="8"/>
      <c r="U748" s="8"/>
      <c r="V748" s="16"/>
      <c r="W748" s="1"/>
      <c r="X748" s="1"/>
    </row>
    <row r="749" spans="1:24" ht="14.4">
      <c r="A749" s="1"/>
      <c r="B749" s="8"/>
      <c r="C749" s="8"/>
      <c r="D749" s="8"/>
      <c r="E749" s="8"/>
      <c r="F749" s="8"/>
      <c r="G749" s="8"/>
      <c r="H749" s="8"/>
      <c r="I749" s="8"/>
      <c r="J749" s="8"/>
      <c r="K749" s="8"/>
      <c r="L749" s="56"/>
      <c r="M749" s="26"/>
      <c r="N749" s="26"/>
      <c r="O749" s="8"/>
      <c r="P749" s="1"/>
      <c r="Q749" s="8"/>
      <c r="R749" s="8"/>
      <c r="S749" s="1"/>
      <c r="T749" s="8"/>
      <c r="U749" s="8"/>
      <c r="V749" s="16"/>
      <c r="W749" s="1"/>
      <c r="X749" s="1"/>
    </row>
    <row r="750" spans="1:24" ht="14.4">
      <c r="A750" s="1"/>
      <c r="B750" s="8"/>
      <c r="C750" s="8"/>
      <c r="D750" s="8"/>
      <c r="E750" s="8"/>
      <c r="F750" s="8"/>
      <c r="G750" s="8"/>
      <c r="H750" s="8"/>
      <c r="I750" s="8"/>
      <c r="J750" s="8"/>
      <c r="K750" s="8"/>
      <c r="L750" s="56"/>
      <c r="M750" s="26"/>
      <c r="N750" s="26"/>
      <c r="O750" s="8"/>
      <c r="P750" s="1"/>
      <c r="Q750" s="8"/>
      <c r="R750" s="8"/>
      <c r="S750" s="1"/>
      <c r="T750" s="8"/>
      <c r="U750" s="8"/>
      <c r="V750" s="16"/>
      <c r="W750" s="1"/>
      <c r="X750" s="1"/>
    </row>
    <row r="751" spans="1:24" ht="14.4">
      <c r="A751" s="1"/>
      <c r="B751" s="8"/>
      <c r="C751" s="8"/>
      <c r="D751" s="8"/>
      <c r="E751" s="8"/>
      <c r="F751" s="8"/>
      <c r="G751" s="8"/>
      <c r="H751" s="8"/>
      <c r="I751" s="8"/>
      <c r="J751" s="8"/>
      <c r="K751" s="8"/>
      <c r="L751" s="56"/>
      <c r="M751" s="26"/>
      <c r="N751" s="26"/>
      <c r="O751" s="8"/>
      <c r="P751" s="1"/>
      <c r="Q751" s="8"/>
      <c r="R751" s="8"/>
      <c r="S751" s="1"/>
      <c r="T751" s="8"/>
      <c r="U751" s="8"/>
      <c r="V751" s="16"/>
      <c r="W751" s="1"/>
      <c r="X751" s="1"/>
    </row>
    <row r="752" spans="1:24" ht="14.4">
      <c r="A752" s="1"/>
      <c r="B752" s="8"/>
      <c r="C752" s="8"/>
      <c r="D752" s="8"/>
      <c r="E752" s="8"/>
      <c r="F752" s="8"/>
      <c r="G752" s="8"/>
      <c r="H752" s="8"/>
      <c r="I752" s="8"/>
      <c r="J752" s="8"/>
      <c r="K752" s="8"/>
      <c r="L752" s="56"/>
      <c r="M752" s="26"/>
      <c r="N752" s="26"/>
      <c r="O752" s="8"/>
      <c r="P752" s="1"/>
      <c r="Q752" s="8"/>
      <c r="R752" s="8"/>
      <c r="S752" s="1"/>
      <c r="T752" s="8"/>
      <c r="U752" s="8"/>
      <c r="V752" s="16"/>
      <c r="W752" s="1"/>
      <c r="X752" s="1"/>
    </row>
    <row r="753" spans="1:24" ht="14.4">
      <c r="A753" s="1"/>
      <c r="B753" s="8"/>
      <c r="C753" s="8"/>
      <c r="D753" s="8"/>
      <c r="E753" s="8"/>
      <c r="F753" s="8"/>
      <c r="G753" s="8"/>
      <c r="H753" s="8"/>
      <c r="I753" s="8"/>
      <c r="J753" s="8"/>
      <c r="K753" s="8"/>
      <c r="L753" s="56"/>
      <c r="M753" s="26"/>
      <c r="N753" s="26"/>
      <c r="O753" s="8"/>
      <c r="P753" s="1"/>
      <c r="Q753" s="8"/>
      <c r="R753" s="8"/>
      <c r="S753" s="1"/>
      <c r="T753" s="8"/>
      <c r="U753" s="8"/>
      <c r="V753" s="16"/>
      <c r="W753" s="1"/>
      <c r="X753" s="1"/>
    </row>
    <row r="754" spans="1:24" ht="14.4">
      <c r="A754" s="1"/>
      <c r="B754" s="8"/>
      <c r="C754" s="8"/>
      <c r="D754" s="8"/>
      <c r="E754" s="8"/>
      <c r="F754" s="8"/>
      <c r="G754" s="8"/>
      <c r="H754" s="8"/>
      <c r="I754" s="8"/>
      <c r="J754" s="8"/>
      <c r="K754" s="8"/>
      <c r="L754" s="56"/>
      <c r="M754" s="26"/>
      <c r="N754" s="26"/>
      <c r="O754" s="8"/>
      <c r="P754" s="1"/>
      <c r="Q754" s="8"/>
      <c r="R754" s="8"/>
      <c r="S754" s="1"/>
      <c r="T754" s="8"/>
      <c r="U754" s="8"/>
      <c r="V754" s="16"/>
      <c r="W754" s="1"/>
      <c r="X754" s="1"/>
    </row>
    <row r="755" spans="1:24" ht="14.4">
      <c r="A755" s="1"/>
      <c r="B755" s="8"/>
      <c r="C755" s="8"/>
      <c r="D755" s="8"/>
      <c r="E755" s="8"/>
      <c r="F755" s="8"/>
      <c r="G755" s="8"/>
      <c r="H755" s="8"/>
      <c r="I755" s="8"/>
      <c r="J755" s="8"/>
      <c r="K755" s="8"/>
      <c r="L755" s="56"/>
      <c r="M755" s="26"/>
      <c r="N755" s="26"/>
      <c r="O755" s="8"/>
      <c r="P755" s="1"/>
      <c r="Q755" s="8"/>
      <c r="R755" s="8"/>
      <c r="S755" s="1"/>
      <c r="T755" s="8"/>
      <c r="U755" s="8"/>
      <c r="V755" s="16"/>
      <c r="W755" s="1"/>
      <c r="X755" s="1"/>
    </row>
    <row r="756" spans="1:24" ht="14.4">
      <c r="A756" s="1"/>
      <c r="B756" s="8"/>
      <c r="C756" s="8"/>
      <c r="D756" s="8"/>
      <c r="E756" s="8"/>
      <c r="F756" s="8"/>
      <c r="G756" s="8"/>
      <c r="H756" s="8"/>
      <c r="I756" s="8"/>
      <c r="J756" s="8"/>
      <c r="K756" s="8"/>
      <c r="L756" s="56"/>
      <c r="M756" s="26"/>
      <c r="N756" s="26"/>
      <c r="O756" s="8"/>
      <c r="P756" s="1"/>
      <c r="Q756" s="8"/>
      <c r="R756" s="8"/>
      <c r="S756" s="1"/>
      <c r="T756" s="8"/>
      <c r="U756" s="8"/>
      <c r="V756" s="16"/>
      <c r="W756" s="1"/>
      <c r="X756" s="1"/>
    </row>
    <row r="757" spans="1:24" ht="14.4">
      <c r="A757" s="1"/>
      <c r="B757" s="8"/>
      <c r="C757" s="8"/>
      <c r="D757" s="8"/>
      <c r="E757" s="8"/>
      <c r="F757" s="8"/>
      <c r="G757" s="8"/>
      <c r="H757" s="8"/>
      <c r="I757" s="8"/>
      <c r="J757" s="8"/>
      <c r="K757" s="8"/>
      <c r="L757" s="56"/>
      <c r="M757" s="26"/>
      <c r="N757" s="26"/>
      <c r="O757" s="8"/>
      <c r="P757" s="1"/>
      <c r="Q757" s="8"/>
      <c r="R757" s="8"/>
      <c r="S757" s="1"/>
      <c r="T757" s="8"/>
      <c r="U757" s="8"/>
      <c r="V757" s="16"/>
      <c r="W757" s="1"/>
      <c r="X757" s="1"/>
    </row>
    <row r="758" spans="1:24" ht="14.4">
      <c r="A758" s="1"/>
      <c r="B758" s="8"/>
      <c r="C758" s="8"/>
      <c r="D758" s="8"/>
      <c r="E758" s="8"/>
      <c r="F758" s="8"/>
      <c r="G758" s="8"/>
      <c r="H758" s="8"/>
      <c r="I758" s="8"/>
      <c r="J758" s="8"/>
      <c r="K758" s="8"/>
      <c r="L758" s="56"/>
      <c r="M758" s="26"/>
      <c r="N758" s="26"/>
      <c r="O758" s="8"/>
      <c r="P758" s="1"/>
      <c r="Q758" s="8"/>
      <c r="R758" s="8"/>
      <c r="S758" s="1"/>
      <c r="T758" s="8"/>
      <c r="U758" s="8"/>
      <c r="V758" s="16"/>
      <c r="W758" s="1"/>
      <c r="X758" s="1"/>
    </row>
    <row r="759" spans="1:24" ht="14.4">
      <c r="A759" s="1"/>
      <c r="B759" s="8"/>
      <c r="C759" s="8"/>
      <c r="D759" s="8"/>
      <c r="E759" s="8"/>
      <c r="F759" s="8"/>
      <c r="G759" s="8"/>
      <c r="H759" s="8"/>
      <c r="I759" s="8"/>
      <c r="J759" s="8"/>
      <c r="K759" s="8"/>
      <c r="L759" s="56"/>
      <c r="M759" s="26"/>
      <c r="N759" s="26"/>
      <c r="O759" s="8"/>
      <c r="P759" s="1"/>
      <c r="Q759" s="8"/>
      <c r="R759" s="8"/>
      <c r="S759" s="1"/>
      <c r="T759" s="8"/>
      <c r="U759" s="8"/>
      <c r="V759" s="16"/>
      <c r="W759" s="1"/>
      <c r="X759" s="1"/>
    </row>
    <row r="760" spans="1:24" ht="14.4">
      <c r="A760" s="1"/>
      <c r="B760" s="8"/>
      <c r="C760" s="8"/>
      <c r="D760" s="8"/>
      <c r="E760" s="8"/>
      <c r="F760" s="8"/>
      <c r="G760" s="8"/>
      <c r="H760" s="8"/>
      <c r="I760" s="8"/>
      <c r="J760" s="8"/>
      <c r="K760" s="8"/>
      <c r="L760" s="56"/>
      <c r="M760" s="26"/>
      <c r="N760" s="26"/>
      <c r="O760" s="8"/>
      <c r="P760" s="1"/>
      <c r="Q760" s="8"/>
      <c r="R760" s="8"/>
      <c r="S760" s="1"/>
      <c r="T760" s="8"/>
      <c r="U760" s="8"/>
      <c r="V760" s="16"/>
      <c r="W760" s="1"/>
      <c r="X760" s="1"/>
    </row>
    <row r="761" spans="1:24" ht="14.4">
      <c r="A761" s="1"/>
      <c r="B761" s="8"/>
      <c r="C761" s="8"/>
      <c r="D761" s="8"/>
      <c r="E761" s="8"/>
      <c r="F761" s="8"/>
      <c r="G761" s="8"/>
      <c r="H761" s="8"/>
      <c r="I761" s="8"/>
      <c r="J761" s="8"/>
      <c r="K761" s="8"/>
      <c r="L761" s="56"/>
      <c r="M761" s="26"/>
      <c r="N761" s="26"/>
      <c r="O761" s="8"/>
      <c r="P761" s="1"/>
      <c r="Q761" s="8"/>
      <c r="R761" s="8"/>
      <c r="S761" s="1"/>
      <c r="T761" s="8"/>
      <c r="U761" s="8"/>
      <c r="V761" s="16"/>
      <c r="W761" s="1"/>
      <c r="X761" s="1"/>
    </row>
    <row r="762" spans="1:24" ht="14.4">
      <c r="A762" s="1"/>
      <c r="B762" s="8"/>
      <c r="C762" s="8"/>
      <c r="D762" s="8"/>
      <c r="E762" s="8"/>
      <c r="F762" s="8"/>
      <c r="G762" s="8"/>
      <c r="H762" s="8"/>
      <c r="I762" s="8"/>
      <c r="J762" s="8"/>
      <c r="K762" s="8"/>
      <c r="L762" s="56"/>
      <c r="M762" s="26"/>
      <c r="N762" s="26"/>
      <c r="O762" s="8"/>
      <c r="P762" s="1"/>
      <c r="Q762" s="8"/>
      <c r="R762" s="8"/>
      <c r="S762" s="1"/>
      <c r="T762" s="8"/>
      <c r="U762" s="8"/>
      <c r="V762" s="16"/>
      <c r="W762" s="1"/>
      <c r="X762" s="1"/>
    </row>
    <row r="763" spans="1:24" ht="14.4">
      <c r="A763" s="1"/>
      <c r="B763" s="8"/>
      <c r="C763" s="8"/>
      <c r="D763" s="8"/>
      <c r="E763" s="8"/>
      <c r="F763" s="8"/>
      <c r="G763" s="8"/>
      <c r="H763" s="8"/>
      <c r="I763" s="8"/>
      <c r="J763" s="8"/>
      <c r="K763" s="8"/>
      <c r="L763" s="56"/>
      <c r="M763" s="26"/>
      <c r="N763" s="26"/>
      <c r="O763" s="8"/>
      <c r="P763" s="1"/>
      <c r="Q763" s="8"/>
      <c r="R763" s="8"/>
      <c r="S763" s="1"/>
      <c r="T763" s="8"/>
      <c r="U763" s="8"/>
      <c r="V763" s="16"/>
      <c r="W763" s="1"/>
      <c r="X763" s="1"/>
    </row>
    <row r="764" spans="1:24" ht="14.4">
      <c r="A764" s="1"/>
      <c r="B764" s="8"/>
      <c r="C764" s="8"/>
      <c r="D764" s="8"/>
      <c r="E764" s="8"/>
      <c r="F764" s="8"/>
      <c r="G764" s="8"/>
      <c r="H764" s="8"/>
      <c r="I764" s="8"/>
      <c r="J764" s="8"/>
      <c r="K764" s="8"/>
      <c r="L764" s="56"/>
      <c r="M764" s="26"/>
      <c r="N764" s="26"/>
      <c r="O764" s="8"/>
      <c r="P764" s="1"/>
      <c r="Q764" s="8"/>
      <c r="R764" s="8"/>
      <c r="S764" s="1"/>
      <c r="T764" s="8"/>
      <c r="U764" s="8"/>
      <c r="V764" s="16"/>
      <c r="W764" s="1"/>
      <c r="X764" s="1"/>
    </row>
    <row r="765" spans="1:24" ht="14.4">
      <c r="A765" s="1"/>
      <c r="B765" s="8"/>
      <c r="C765" s="8"/>
      <c r="D765" s="8"/>
      <c r="E765" s="8"/>
      <c r="F765" s="8"/>
      <c r="G765" s="8"/>
      <c r="H765" s="8"/>
      <c r="I765" s="8"/>
      <c r="J765" s="8"/>
      <c r="K765" s="8"/>
      <c r="L765" s="56"/>
      <c r="M765" s="26"/>
      <c r="N765" s="26"/>
      <c r="O765" s="8"/>
      <c r="P765" s="1"/>
      <c r="Q765" s="8"/>
      <c r="R765" s="8"/>
      <c r="S765" s="1"/>
      <c r="T765" s="8"/>
      <c r="U765" s="8"/>
      <c r="V765" s="16"/>
      <c r="W765" s="1"/>
      <c r="X765" s="1"/>
    </row>
    <row r="766" spans="1:24" ht="14.4">
      <c r="A766" s="1"/>
      <c r="B766" s="8"/>
      <c r="C766" s="8"/>
      <c r="D766" s="8"/>
      <c r="E766" s="8"/>
      <c r="F766" s="8"/>
      <c r="G766" s="8"/>
      <c r="H766" s="8"/>
      <c r="I766" s="8"/>
      <c r="J766" s="8"/>
      <c r="K766" s="8"/>
      <c r="L766" s="56"/>
      <c r="M766" s="26"/>
      <c r="N766" s="26"/>
      <c r="O766" s="8"/>
      <c r="P766" s="1"/>
      <c r="Q766" s="8"/>
      <c r="R766" s="8"/>
      <c r="S766" s="1"/>
      <c r="T766" s="8"/>
      <c r="U766" s="8"/>
      <c r="V766" s="16"/>
      <c r="W766" s="1"/>
      <c r="X766" s="1"/>
    </row>
    <row r="767" spans="1:24" ht="14.4">
      <c r="A767" s="1"/>
      <c r="B767" s="8"/>
      <c r="C767" s="8"/>
      <c r="D767" s="8"/>
      <c r="E767" s="8"/>
      <c r="F767" s="8"/>
      <c r="G767" s="8"/>
      <c r="H767" s="8"/>
      <c r="I767" s="8"/>
      <c r="J767" s="8"/>
      <c r="K767" s="8"/>
      <c r="L767" s="56"/>
      <c r="M767" s="26"/>
      <c r="N767" s="26"/>
      <c r="O767" s="8"/>
      <c r="P767" s="1"/>
      <c r="Q767" s="8"/>
      <c r="R767" s="8"/>
      <c r="S767" s="1"/>
      <c r="T767" s="8"/>
      <c r="U767" s="8"/>
      <c r="V767" s="16"/>
      <c r="W767" s="1"/>
      <c r="X767" s="1"/>
    </row>
    <row r="768" spans="1:24" ht="14.4">
      <c r="A768" s="1"/>
      <c r="B768" s="8"/>
      <c r="C768" s="8"/>
      <c r="D768" s="8"/>
      <c r="E768" s="8"/>
      <c r="F768" s="8"/>
      <c r="G768" s="8"/>
      <c r="H768" s="8"/>
      <c r="I768" s="8"/>
      <c r="J768" s="8"/>
      <c r="K768" s="8"/>
      <c r="L768" s="56"/>
      <c r="M768" s="26"/>
      <c r="N768" s="26"/>
      <c r="O768" s="8"/>
      <c r="P768" s="1"/>
      <c r="Q768" s="8"/>
      <c r="R768" s="8"/>
      <c r="S768" s="1"/>
      <c r="T768" s="8"/>
      <c r="U768" s="8"/>
      <c r="V768" s="16"/>
      <c r="W768" s="1"/>
      <c r="X768" s="1"/>
    </row>
    <row r="769" spans="1:24" ht="14.4">
      <c r="A769" s="1"/>
      <c r="B769" s="8"/>
      <c r="C769" s="8"/>
      <c r="D769" s="8"/>
      <c r="E769" s="8"/>
      <c r="F769" s="8"/>
      <c r="G769" s="8"/>
      <c r="H769" s="8"/>
      <c r="I769" s="8"/>
      <c r="J769" s="8"/>
      <c r="K769" s="8"/>
      <c r="L769" s="56"/>
      <c r="M769" s="26"/>
      <c r="N769" s="26"/>
      <c r="O769" s="8"/>
      <c r="P769" s="1"/>
      <c r="Q769" s="8"/>
      <c r="R769" s="8"/>
      <c r="S769" s="1"/>
      <c r="T769" s="8"/>
      <c r="U769" s="8"/>
      <c r="V769" s="16"/>
      <c r="W769" s="1"/>
      <c r="X769" s="1"/>
    </row>
    <row r="770" spans="1:24" ht="14.4">
      <c r="A770" s="1"/>
      <c r="B770" s="8"/>
      <c r="C770" s="8"/>
      <c r="D770" s="8"/>
      <c r="E770" s="8"/>
      <c r="F770" s="8"/>
      <c r="G770" s="8"/>
      <c r="H770" s="8"/>
      <c r="I770" s="8"/>
      <c r="J770" s="8"/>
      <c r="K770" s="8"/>
      <c r="L770" s="56"/>
      <c r="M770" s="26"/>
      <c r="N770" s="26"/>
      <c r="O770" s="8"/>
      <c r="P770" s="1"/>
      <c r="Q770" s="8"/>
      <c r="R770" s="8"/>
      <c r="S770" s="1"/>
      <c r="T770" s="8"/>
      <c r="U770" s="8"/>
      <c r="V770" s="16"/>
      <c r="W770" s="1"/>
      <c r="X770" s="1"/>
    </row>
    <row r="771" spans="1:24" ht="14.4">
      <c r="A771" s="1"/>
      <c r="B771" s="8"/>
      <c r="C771" s="8"/>
      <c r="D771" s="8"/>
      <c r="E771" s="8"/>
      <c r="F771" s="8"/>
      <c r="G771" s="8"/>
      <c r="H771" s="8"/>
      <c r="I771" s="8"/>
      <c r="J771" s="8"/>
      <c r="K771" s="8"/>
      <c r="L771" s="56"/>
      <c r="M771" s="26"/>
      <c r="N771" s="26"/>
      <c r="O771" s="8"/>
      <c r="P771" s="1"/>
      <c r="Q771" s="8"/>
      <c r="R771" s="8"/>
      <c r="S771" s="1"/>
      <c r="T771" s="8"/>
      <c r="U771" s="8"/>
      <c r="V771" s="16"/>
      <c r="W771" s="1"/>
      <c r="X771" s="1"/>
    </row>
    <row r="772" spans="1:24" ht="14.4">
      <c r="A772" s="1"/>
      <c r="B772" s="8"/>
      <c r="C772" s="8"/>
      <c r="D772" s="8"/>
      <c r="E772" s="8"/>
      <c r="F772" s="8"/>
      <c r="G772" s="8"/>
      <c r="H772" s="8"/>
      <c r="I772" s="8"/>
      <c r="J772" s="8"/>
      <c r="K772" s="8"/>
      <c r="L772" s="56"/>
      <c r="M772" s="26"/>
      <c r="N772" s="26"/>
      <c r="O772" s="8"/>
      <c r="P772" s="1"/>
      <c r="Q772" s="8"/>
      <c r="R772" s="8"/>
      <c r="S772" s="1"/>
      <c r="T772" s="8"/>
      <c r="U772" s="8"/>
      <c r="V772" s="16"/>
      <c r="W772" s="1"/>
      <c r="X772" s="1"/>
    </row>
    <row r="773" spans="1:24" ht="14.4">
      <c r="A773" s="1"/>
      <c r="B773" s="8"/>
      <c r="C773" s="8"/>
      <c r="D773" s="8"/>
      <c r="E773" s="8"/>
      <c r="F773" s="8"/>
      <c r="G773" s="8"/>
      <c r="H773" s="8"/>
      <c r="I773" s="8"/>
      <c r="J773" s="8"/>
      <c r="K773" s="8"/>
      <c r="L773" s="56"/>
      <c r="M773" s="26"/>
      <c r="N773" s="26"/>
      <c r="O773" s="8"/>
      <c r="P773" s="1"/>
      <c r="Q773" s="8"/>
      <c r="R773" s="8"/>
      <c r="S773" s="1"/>
      <c r="T773" s="8"/>
      <c r="U773" s="8"/>
      <c r="V773" s="16"/>
      <c r="W773" s="1"/>
      <c r="X773" s="1"/>
    </row>
    <row r="774" spans="1:24" ht="14.4">
      <c r="A774" s="1"/>
      <c r="B774" s="8"/>
      <c r="C774" s="8"/>
      <c r="D774" s="8"/>
      <c r="E774" s="8"/>
      <c r="F774" s="8"/>
      <c r="G774" s="8"/>
      <c r="H774" s="8"/>
      <c r="I774" s="8"/>
      <c r="J774" s="8"/>
      <c r="K774" s="8"/>
      <c r="L774" s="56"/>
      <c r="M774" s="26"/>
      <c r="N774" s="26"/>
      <c r="O774" s="8"/>
      <c r="P774" s="1"/>
      <c r="Q774" s="8"/>
      <c r="R774" s="8"/>
      <c r="S774" s="1"/>
      <c r="T774" s="8"/>
      <c r="U774" s="8"/>
      <c r="V774" s="16"/>
      <c r="W774" s="1"/>
      <c r="X774" s="1"/>
    </row>
    <row r="775" spans="1:24" ht="14.4">
      <c r="A775" s="1"/>
      <c r="B775" s="8"/>
      <c r="C775" s="8"/>
      <c r="D775" s="8"/>
      <c r="E775" s="8"/>
      <c r="F775" s="8"/>
      <c r="G775" s="8"/>
      <c r="H775" s="8"/>
      <c r="I775" s="8"/>
      <c r="J775" s="8"/>
      <c r="K775" s="8"/>
      <c r="L775" s="56"/>
      <c r="M775" s="26"/>
      <c r="N775" s="26"/>
      <c r="O775" s="8"/>
      <c r="P775" s="1"/>
      <c r="Q775" s="8"/>
      <c r="R775" s="8"/>
      <c r="S775" s="1"/>
      <c r="T775" s="8"/>
      <c r="U775" s="8"/>
      <c r="V775" s="16"/>
      <c r="W775" s="1"/>
      <c r="X775" s="1"/>
    </row>
    <row r="776" spans="1:24" ht="14.4">
      <c r="A776" s="1"/>
      <c r="B776" s="8"/>
      <c r="C776" s="8"/>
      <c r="D776" s="8"/>
      <c r="E776" s="8"/>
      <c r="F776" s="8"/>
      <c r="G776" s="8"/>
      <c r="H776" s="8"/>
      <c r="I776" s="8"/>
      <c r="J776" s="8"/>
      <c r="K776" s="8"/>
      <c r="L776" s="56"/>
      <c r="M776" s="26"/>
      <c r="N776" s="26"/>
      <c r="O776" s="8"/>
      <c r="P776" s="1"/>
      <c r="Q776" s="8"/>
      <c r="R776" s="8"/>
      <c r="S776" s="1"/>
      <c r="T776" s="8"/>
      <c r="U776" s="8"/>
      <c r="V776" s="16"/>
      <c r="W776" s="1"/>
      <c r="X776" s="1"/>
    </row>
    <row r="777" spans="1:24" ht="14.4">
      <c r="A777" s="1"/>
      <c r="B777" s="8"/>
      <c r="C777" s="8"/>
      <c r="D777" s="8"/>
      <c r="E777" s="8"/>
      <c r="F777" s="8"/>
      <c r="G777" s="8"/>
      <c r="H777" s="8"/>
      <c r="I777" s="8"/>
      <c r="J777" s="8"/>
      <c r="K777" s="8"/>
      <c r="L777" s="56"/>
      <c r="M777" s="26"/>
      <c r="N777" s="26"/>
      <c r="O777" s="8"/>
      <c r="P777" s="1"/>
      <c r="Q777" s="8"/>
      <c r="R777" s="8"/>
      <c r="S777" s="1"/>
      <c r="T777" s="8"/>
      <c r="U777" s="8"/>
      <c r="V777" s="16"/>
      <c r="W777" s="1"/>
      <c r="X777" s="1"/>
    </row>
    <row r="778" spans="1:24" ht="14.4">
      <c r="A778" s="1"/>
      <c r="B778" s="8"/>
      <c r="C778" s="8"/>
      <c r="D778" s="8"/>
      <c r="E778" s="8"/>
      <c r="F778" s="8"/>
      <c r="G778" s="8"/>
      <c r="H778" s="8"/>
      <c r="I778" s="8"/>
      <c r="J778" s="8"/>
      <c r="K778" s="8"/>
      <c r="L778" s="56"/>
      <c r="M778" s="26"/>
      <c r="N778" s="26"/>
      <c r="O778" s="8"/>
      <c r="P778" s="1"/>
      <c r="Q778" s="8"/>
      <c r="R778" s="8"/>
      <c r="S778" s="1"/>
      <c r="T778" s="8"/>
      <c r="U778" s="8"/>
      <c r="V778" s="16"/>
      <c r="W778" s="1"/>
      <c r="X778" s="1"/>
    </row>
    <row r="779" spans="1:24" ht="14.4">
      <c r="A779" s="1"/>
      <c r="B779" s="8"/>
      <c r="C779" s="8"/>
      <c r="D779" s="8"/>
      <c r="E779" s="8"/>
      <c r="F779" s="8"/>
      <c r="G779" s="8"/>
      <c r="H779" s="8"/>
      <c r="I779" s="8"/>
      <c r="J779" s="8"/>
      <c r="K779" s="8"/>
      <c r="L779" s="56"/>
      <c r="M779" s="26"/>
      <c r="N779" s="26"/>
      <c r="O779" s="8"/>
      <c r="P779" s="1"/>
      <c r="Q779" s="8"/>
      <c r="R779" s="8"/>
      <c r="S779" s="1"/>
      <c r="T779" s="8"/>
      <c r="U779" s="8"/>
      <c r="V779" s="16"/>
      <c r="W779" s="1"/>
      <c r="X779" s="1"/>
    </row>
    <row r="780" spans="1:24" ht="14.4">
      <c r="A780" s="1"/>
      <c r="B780" s="8"/>
      <c r="C780" s="8"/>
      <c r="D780" s="8"/>
      <c r="E780" s="8"/>
      <c r="F780" s="8"/>
      <c r="G780" s="8"/>
      <c r="H780" s="8"/>
      <c r="I780" s="8"/>
      <c r="J780" s="8"/>
      <c r="K780" s="8"/>
      <c r="L780" s="56"/>
      <c r="M780" s="26"/>
      <c r="N780" s="26"/>
      <c r="O780" s="8"/>
      <c r="P780" s="1"/>
      <c r="Q780" s="8"/>
      <c r="R780" s="8"/>
      <c r="S780" s="1"/>
      <c r="T780" s="8"/>
      <c r="U780" s="8"/>
      <c r="V780" s="16"/>
      <c r="W780" s="1"/>
      <c r="X780" s="1"/>
    </row>
    <row r="781" spans="1:24" ht="14.4">
      <c r="A781" s="1"/>
      <c r="B781" s="8"/>
      <c r="C781" s="8"/>
      <c r="D781" s="8"/>
      <c r="E781" s="8"/>
      <c r="F781" s="8"/>
      <c r="G781" s="8"/>
      <c r="H781" s="8"/>
      <c r="I781" s="8"/>
      <c r="J781" s="8"/>
      <c r="K781" s="8"/>
      <c r="L781" s="56"/>
      <c r="M781" s="26"/>
      <c r="N781" s="26"/>
      <c r="O781" s="8"/>
      <c r="P781" s="1"/>
      <c r="Q781" s="8"/>
      <c r="R781" s="8"/>
      <c r="S781" s="1"/>
      <c r="T781" s="8"/>
      <c r="U781" s="8"/>
      <c r="V781" s="16"/>
      <c r="W781" s="1"/>
      <c r="X781" s="1"/>
    </row>
    <row r="782" spans="1:24" ht="14.4">
      <c r="A782" s="1"/>
      <c r="B782" s="8"/>
      <c r="C782" s="8"/>
      <c r="D782" s="8"/>
      <c r="E782" s="8"/>
      <c r="F782" s="8"/>
      <c r="G782" s="8"/>
      <c r="H782" s="8"/>
      <c r="I782" s="8"/>
      <c r="J782" s="8"/>
      <c r="K782" s="8"/>
      <c r="L782" s="56"/>
      <c r="M782" s="26"/>
      <c r="N782" s="26"/>
      <c r="O782" s="8"/>
      <c r="P782" s="1"/>
      <c r="Q782" s="8"/>
      <c r="R782" s="8"/>
      <c r="S782" s="1"/>
      <c r="T782" s="8"/>
      <c r="U782" s="8"/>
      <c r="V782" s="16"/>
      <c r="W782" s="1"/>
      <c r="X782" s="1"/>
    </row>
    <row r="783" spans="1:24" ht="14.4">
      <c r="A783" s="1"/>
      <c r="B783" s="8"/>
      <c r="C783" s="8"/>
      <c r="D783" s="8"/>
      <c r="E783" s="8"/>
      <c r="F783" s="8"/>
      <c r="G783" s="8"/>
      <c r="H783" s="8"/>
      <c r="I783" s="8"/>
      <c r="J783" s="8"/>
      <c r="K783" s="8"/>
      <c r="L783" s="56"/>
      <c r="M783" s="26"/>
      <c r="N783" s="26"/>
      <c r="O783" s="8"/>
      <c r="P783" s="1"/>
      <c r="Q783" s="8"/>
      <c r="R783" s="8"/>
      <c r="S783" s="1"/>
      <c r="T783" s="8"/>
      <c r="U783" s="8"/>
      <c r="V783" s="16"/>
      <c r="W783" s="1"/>
      <c r="X783" s="1"/>
    </row>
    <row r="784" spans="1:24" ht="14.4">
      <c r="A784" s="1"/>
      <c r="B784" s="8"/>
      <c r="C784" s="8"/>
      <c r="D784" s="8"/>
      <c r="E784" s="8"/>
      <c r="F784" s="8"/>
      <c r="G784" s="8"/>
      <c r="H784" s="8"/>
      <c r="I784" s="8"/>
      <c r="J784" s="8"/>
      <c r="K784" s="8"/>
      <c r="L784" s="56"/>
      <c r="M784" s="26"/>
      <c r="N784" s="26"/>
      <c r="O784" s="8"/>
      <c r="P784" s="1"/>
      <c r="Q784" s="8"/>
      <c r="R784" s="8"/>
      <c r="S784" s="1"/>
      <c r="T784" s="8"/>
      <c r="U784" s="8"/>
      <c r="V784" s="16"/>
      <c r="W784" s="1"/>
      <c r="X784" s="1"/>
    </row>
    <row r="785" spans="1:24" ht="14.4">
      <c r="A785" s="1"/>
      <c r="B785" s="8"/>
      <c r="C785" s="8"/>
      <c r="D785" s="8"/>
      <c r="E785" s="8"/>
      <c r="F785" s="8"/>
      <c r="G785" s="8"/>
      <c r="H785" s="8"/>
      <c r="I785" s="8"/>
      <c r="J785" s="8"/>
      <c r="K785" s="8"/>
      <c r="L785" s="56"/>
      <c r="M785" s="26"/>
      <c r="N785" s="26"/>
      <c r="O785" s="8"/>
      <c r="P785" s="1"/>
      <c r="Q785" s="8"/>
      <c r="R785" s="8"/>
      <c r="S785" s="1"/>
      <c r="T785" s="8"/>
      <c r="U785" s="8"/>
      <c r="V785" s="16"/>
      <c r="W785" s="1"/>
      <c r="X785" s="1"/>
    </row>
    <row r="786" spans="1:24" ht="14.4">
      <c r="A786" s="1"/>
      <c r="B786" s="8"/>
      <c r="C786" s="8"/>
      <c r="D786" s="8"/>
      <c r="E786" s="8"/>
      <c r="F786" s="8"/>
      <c r="G786" s="8"/>
      <c r="H786" s="8"/>
      <c r="I786" s="8"/>
      <c r="J786" s="8"/>
      <c r="K786" s="8"/>
      <c r="L786" s="56"/>
      <c r="M786" s="26"/>
      <c r="N786" s="26"/>
      <c r="O786" s="8"/>
      <c r="P786" s="1"/>
      <c r="Q786" s="8"/>
      <c r="R786" s="8"/>
      <c r="S786" s="1"/>
      <c r="T786" s="8"/>
      <c r="U786" s="8"/>
      <c r="V786" s="16"/>
      <c r="W786" s="1"/>
      <c r="X786" s="1"/>
    </row>
    <row r="787" spans="1:24" ht="14.4">
      <c r="A787" s="1"/>
      <c r="B787" s="8"/>
      <c r="C787" s="8"/>
      <c r="D787" s="8"/>
      <c r="E787" s="8"/>
      <c r="F787" s="8"/>
      <c r="G787" s="8"/>
      <c r="H787" s="8"/>
      <c r="I787" s="8"/>
      <c r="J787" s="8"/>
      <c r="K787" s="8"/>
      <c r="L787" s="56"/>
      <c r="M787" s="26"/>
      <c r="N787" s="26"/>
      <c r="O787" s="8"/>
      <c r="P787" s="1"/>
      <c r="Q787" s="8"/>
      <c r="R787" s="8"/>
      <c r="S787" s="1"/>
      <c r="T787" s="8"/>
      <c r="U787" s="8"/>
      <c r="V787" s="16"/>
      <c r="W787" s="1"/>
      <c r="X787" s="1"/>
    </row>
    <row r="788" spans="1:24" ht="14.4">
      <c r="A788" s="1"/>
      <c r="B788" s="8"/>
      <c r="C788" s="8"/>
      <c r="D788" s="8"/>
      <c r="E788" s="8"/>
      <c r="F788" s="8"/>
      <c r="G788" s="8"/>
      <c r="H788" s="8"/>
      <c r="I788" s="8"/>
      <c r="J788" s="8"/>
      <c r="K788" s="8"/>
      <c r="L788" s="56"/>
      <c r="M788" s="26"/>
      <c r="N788" s="26"/>
      <c r="O788" s="8"/>
      <c r="P788" s="1"/>
      <c r="Q788" s="8"/>
      <c r="R788" s="8"/>
      <c r="S788" s="1"/>
      <c r="T788" s="8"/>
      <c r="U788" s="8"/>
      <c r="V788" s="16"/>
      <c r="W788" s="1"/>
      <c r="X788" s="1"/>
    </row>
    <row r="789" spans="1:24" ht="14.4">
      <c r="A789" s="1"/>
      <c r="B789" s="8"/>
      <c r="C789" s="8"/>
      <c r="D789" s="8"/>
      <c r="E789" s="8"/>
      <c r="F789" s="8"/>
      <c r="G789" s="8"/>
      <c r="H789" s="8"/>
      <c r="I789" s="8"/>
      <c r="J789" s="8"/>
      <c r="K789" s="8"/>
      <c r="L789" s="56"/>
      <c r="M789" s="26"/>
      <c r="N789" s="26"/>
      <c r="O789" s="8"/>
      <c r="P789" s="1"/>
      <c r="Q789" s="8"/>
      <c r="R789" s="8"/>
      <c r="S789" s="1"/>
      <c r="T789" s="8"/>
      <c r="U789" s="8"/>
      <c r="V789" s="16"/>
      <c r="W789" s="1"/>
      <c r="X789" s="1"/>
    </row>
    <row r="790" spans="1:24" ht="14.4">
      <c r="A790" s="1"/>
      <c r="B790" s="8"/>
      <c r="C790" s="8"/>
      <c r="D790" s="8"/>
      <c r="E790" s="8"/>
      <c r="F790" s="8"/>
      <c r="G790" s="8"/>
      <c r="H790" s="8"/>
      <c r="I790" s="8"/>
      <c r="J790" s="8"/>
      <c r="K790" s="8"/>
      <c r="L790" s="56"/>
      <c r="M790" s="26"/>
      <c r="N790" s="26"/>
      <c r="O790" s="8"/>
      <c r="P790" s="1"/>
      <c r="Q790" s="8"/>
      <c r="R790" s="8"/>
      <c r="S790" s="1"/>
      <c r="T790" s="8"/>
      <c r="U790" s="8"/>
      <c r="V790" s="16"/>
      <c r="W790" s="1"/>
      <c r="X790" s="1"/>
    </row>
    <row r="791" spans="1:24" ht="14.4">
      <c r="A791" s="1"/>
      <c r="B791" s="8"/>
      <c r="C791" s="8"/>
      <c r="D791" s="8"/>
      <c r="E791" s="8"/>
      <c r="F791" s="8"/>
      <c r="G791" s="8"/>
      <c r="H791" s="8"/>
      <c r="I791" s="8"/>
      <c r="J791" s="8"/>
      <c r="K791" s="8"/>
      <c r="L791" s="56"/>
      <c r="M791" s="26"/>
      <c r="N791" s="26"/>
      <c r="O791" s="8"/>
      <c r="P791" s="1"/>
      <c r="Q791" s="8"/>
      <c r="R791" s="8"/>
      <c r="S791" s="1"/>
      <c r="T791" s="8"/>
      <c r="U791" s="8"/>
      <c r="V791" s="16"/>
      <c r="W791" s="1"/>
      <c r="X791" s="1"/>
    </row>
    <row r="792" spans="1:24" ht="14.4">
      <c r="A792" s="1"/>
      <c r="B792" s="8"/>
      <c r="C792" s="8"/>
      <c r="D792" s="8"/>
      <c r="E792" s="8"/>
      <c r="F792" s="8"/>
      <c r="G792" s="8"/>
      <c r="H792" s="8"/>
      <c r="I792" s="8"/>
      <c r="J792" s="8"/>
      <c r="K792" s="8"/>
      <c r="L792" s="56"/>
      <c r="M792" s="26"/>
      <c r="N792" s="26"/>
      <c r="O792" s="8"/>
      <c r="P792" s="1"/>
      <c r="Q792" s="8"/>
      <c r="R792" s="8"/>
      <c r="S792" s="1"/>
      <c r="T792" s="8"/>
      <c r="U792" s="8"/>
      <c r="V792" s="16"/>
      <c r="W792" s="1"/>
      <c r="X792" s="1"/>
    </row>
    <row r="793" spans="1:24" ht="14.4">
      <c r="A793" s="1"/>
      <c r="B793" s="8"/>
      <c r="C793" s="8"/>
      <c r="D793" s="8"/>
      <c r="E793" s="8"/>
      <c r="F793" s="8"/>
      <c r="G793" s="8"/>
      <c r="H793" s="8"/>
      <c r="I793" s="8"/>
      <c r="J793" s="8"/>
      <c r="K793" s="8"/>
      <c r="L793" s="56"/>
      <c r="M793" s="26"/>
      <c r="N793" s="26"/>
      <c r="O793" s="8"/>
      <c r="P793" s="1"/>
      <c r="Q793" s="8"/>
      <c r="R793" s="8"/>
      <c r="S793" s="1"/>
      <c r="T793" s="8"/>
      <c r="U793" s="8"/>
      <c r="V793" s="16"/>
      <c r="W793" s="1"/>
      <c r="X793" s="1"/>
    </row>
    <row r="794" spans="1:24" ht="14.4">
      <c r="A794" s="1"/>
      <c r="B794" s="8"/>
      <c r="C794" s="8"/>
      <c r="D794" s="8"/>
      <c r="E794" s="8"/>
      <c r="F794" s="8"/>
      <c r="G794" s="8"/>
      <c r="H794" s="8"/>
      <c r="I794" s="8"/>
      <c r="J794" s="8"/>
      <c r="K794" s="8"/>
      <c r="L794" s="56"/>
      <c r="M794" s="26"/>
      <c r="N794" s="26"/>
      <c r="O794" s="8"/>
      <c r="P794" s="1"/>
      <c r="Q794" s="8"/>
      <c r="R794" s="8"/>
      <c r="S794" s="1"/>
      <c r="T794" s="8"/>
      <c r="U794" s="8"/>
      <c r="V794" s="16"/>
      <c r="W794" s="1"/>
      <c r="X794" s="1"/>
    </row>
    <row r="795" spans="1:24" ht="14.4">
      <c r="A795" s="1"/>
      <c r="B795" s="8"/>
      <c r="C795" s="8"/>
      <c r="D795" s="8"/>
      <c r="E795" s="8"/>
      <c r="F795" s="8"/>
      <c r="G795" s="8"/>
      <c r="H795" s="8"/>
      <c r="I795" s="8"/>
      <c r="J795" s="8"/>
      <c r="K795" s="8"/>
      <c r="L795" s="56"/>
      <c r="M795" s="26"/>
      <c r="N795" s="26"/>
      <c r="O795" s="8"/>
      <c r="P795" s="1"/>
      <c r="Q795" s="8"/>
      <c r="R795" s="8"/>
      <c r="S795" s="1"/>
      <c r="T795" s="8"/>
      <c r="U795" s="8"/>
      <c r="V795" s="16"/>
      <c r="W795" s="1"/>
      <c r="X795" s="1"/>
    </row>
    <row r="796" spans="1:24" ht="14.4">
      <c r="A796" s="1"/>
      <c r="B796" s="8"/>
      <c r="C796" s="8"/>
      <c r="D796" s="8"/>
      <c r="E796" s="8"/>
      <c r="F796" s="8"/>
      <c r="G796" s="8"/>
      <c r="H796" s="8"/>
      <c r="I796" s="8"/>
      <c r="J796" s="8"/>
      <c r="K796" s="8"/>
      <c r="L796" s="56"/>
      <c r="M796" s="26"/>
      <c r="N796" s="26"/>
      <c r="O796" s="8"/>
      <c r="P796" s="1"/>
      <c r="Q796" s="8"/>
      <c r="R796" s="8"/>
      <c r="S796" s="1"/>
      <c r="T796" s="8"/>
      <c r="U796" s="8"/>
      <c r="V796" s="16"/>
      <c r="W796" s="1"/>
      <c r="X796" s="1"/>
    </row>
    <row r="797" spans="1:24" ht="14.4">
      <c r="A797" s="1"/>
      <c r="B797" s="8"/>
      <c r="C797" s="8"/>
      <c r="D797" s="8"/>
      <c r="E797" s="8"/>
      <c r="F797" s="8"/>
      <c r="G797" s="8"/>
      <c r="H797" s="8"/>
      <c r="I797" s="8"/>
      <c r="J797" s="8"/>
      <c r="K797" s="8"/>
      <c r="L797" s="56"/>
      <c r="M797" s="26"/>
      <c r="N797" s="26"/>
      <c r="O797" s="8"/>
      <c r="P797" s="1"/>
      <c r="Q797" s="8"/>
      <c r="R797" s="8"/>
      <c r="S797" s="1"/>
      <c r="T797" s="8"/>
      <c r="U797" s="8"/>
      <c r="V797" s="16"/>
      <c r="W797" s="1"/>
      <c r="X797" s="1"/>
    </row>
    <row r="798" spans="1:24" ht="14.4">
      <c r="A798" s="1"/>
      <c r="B798" s="8"/>
      <c r="C798" s="8"/>
      <c r="D798" s="8"/>
      <c r="E798" s="8"/>
      <c r="F798" s="8"/>
      <c r="G798" s="8"/>
      <c r="H798" s="8"/>
      <c r="I798" s="8"/>
      <c r="J798" s="8"/>
      <c r="K798" s="8"/>
      <c r="L798" s="56"/>
      <c r="M798" s="26"/>
      <c r="N798" s="26"/>
      <c r="O798" s="8"/>
      <c r="P798" s="1"/>
      <c r="Q798" s="8"/>
      <c r="R798" s="8"/>
      <c r="S798" s="1"/>
      <c r="T798" s="8"/>
      <c r="U798" s="8"/>
      <c r="V798" s="16"/>
      <c r="W798" s="1"/>
      <c r="X798" s="1"/>
    </row>
    <row r="799" spans="1:24" ht="14.4">
      <c r="A799" s="1"/>
      <c r="B799" s="8"/>
      <c r="C799" s="8"/>
      <c r="D799" s="8"/>
      <c r="E799" s="8"/>
      <c r="F799" s="8"/>
      <c r="G799" s="8"/>
      <c r="H799" s="8"/>
      <c r="I799" s="8"/>
      <c r="J799" s="8"/>
      <c r="K799" s="8"/>
      <c r="L799" s="56"/>
      <c r="M799" s="26"/>
      <c r="N799" s="26"/>
      <c r="O799" s="8"/>
      <c r="P799" s="1"/>
      <c r="Q799" s="8"/>
      <c r="R799" s="8"/>
      <c r="S799" s="1"/>
      <c r="T799" s="8"/>
      <c r="U799" s="8"/>
      <c r="V799" s="16"/>
      <c r="W799" s="1"/>
      <c r="X799" s="1"/>
    </row>
    <row r="800" spans="1:24" ht="14.4">
      <c r="A800" s="1"/>
      <c r="B800" s="8"/>
      <c r="C800" s="8"/>
      <c r="D800" s="8"/>
      <c r="E800" s="8"/>
      <c r="F800" s="8"/>
      <c r="G800" s="8"/>
      <c r="H800" s="8"/>
      <c r="I800" s="8"/>
      <c r="J800" s="8"/>
      <c r="K800" s="8"/>
      <c r="L800" s="56"/>
      <c r="M800" s="26"/>
      <c r="N800" s="26"/>
      <c r="O800" s="8"/>
      <c r="P800" s="1"/>
      <c r="Q800" s="8"/>
      <c r="R800" s="8"/>
      <c r="S800" s="1"/>
      <c r="T800" s="8"/>
      <c r="U800" s="8"/>
      <c r="V800" s="16"/>
      <c r="W800" s="1"/>
      <c r="X800" s="1"/>
    </row>
    <row r="801" spans="1:24" ht="14.4">
      <c r="A801" s="1"/>
      <c r="B801" s="8"/>
      <c r="C801" s="8"/>
      <c r="D801" s="8"/>
      <c r="E801" s="8"/>
      <c r="F801" s="8"/>
      <c r="G801" s="8"/>
      <c r="H801" s="8"/>
      <c r="I801" s="8"/>
      <c r="J801" s="8"/>
      <c r="K801" s="8"/>
      <c r="L801" s="56"/>
      <c r="M801" s="26"/>
      <c r="N801" s="26"/>
      <c r="O801" s="8"/>
      <c r="P801" s="1"/>
      <c r="Q801" s="8"/>
      <c r="R801" s="8"/>
      <c r="S801" s="1"/>
      <c r="T801" s="8"/>
      <c r="U801" s="8"/>
      <c r="V801" s="16"/>
      <c r="W801" s="1"/>
      <c r="X801" s="1"/>
    </row>
    <row r="802" spans="1:24" ht="14.4">
      <c r="A802" s="1"/>
      <c r="B802" s="8"/>
      <c r="C802" s="8"/>
      <c r="D802" s="8"/>
      <c r="E802" s="8"/>
      <c r="F802" s="8"/>
      <c r="G802" s="8"/>
      <c r="H802" s="8"/>
      <c r="I802" s="8"/>
      <c r="J802" s="8"/>
      <c r="K802" s="8"/>
      <c r="L802" s="56"/>
      <c r="M802" s="26"/>
      <c r="N802" s="26"/>
      <c r="O802" s="8"/>
      <c r="P802" s="1"/>
      <c r="Q802" s="8"/>
      <c r="R802" s="8"/>
      <c r="S802" s="1"/>
      <c r="T802" s="8"/>
      <c r="U802" s="8"/>
      <c r="V802" s="16"/>
      <c r="W802" s="1"/>
      <c r="X802" s="1"/>
    </row>
    <row r="803" spans="1:24" ht="14.4">
      <c r="A803" s="1"/>
      <c r="B803" s="8"/>
      <c r="C803" s="8"/>
      <c r="D803" s="8"/>
      <c r="E803" s="8"/>
      <c r="F803" s="8"/>
      <c r="G803" s="8"/>
      <c r="H803" s="8"/>
      <c r="I803" s="8"/>
      <c r="J803" s="8"/>
      <c r="K803" s="8"/>
      <c r="L803" s="56"/>
      <c r="M803" s="26"/>
      <c r="N803" s="26"/>
      <c r="O803" s="8"/>
      <c r="P803" s="1"/>
      <c r="Q803" s="8"/>
      <c r="R803" s="8"/>
      <c r="S803" s="1"/>
      <c r="T803" s="8"/>
      <c r="U803" s="8"/>
      <c r="V803" s="16"/>
      <c r="W803" s="1"/>
      <c r="X803" s="1"/>
    </row>
    <row r="804" spans="1:24" ht="14.4">
      <c r="A804" s="1"/>
      <c r="B804" s="8"/>
      <c r="C804" s="8"/>
      <c r="D804" s="8"/>
      <c r="E804" s="8"/>
      <c r="F804" s="8"/>
      <c r="G804" s="8"/>
      <c r="H804" s="8"/>
      <c r="I804" s="8"/>
      <c r="J804" s="8"/>
      <c r="K804" s="8"/>
      <c r="L804" s="56"/>
      <c r="M804" s="26"/>
      <c r="N804" s="26"/>
      <c r="O804" s="8"/>
      <c r="P804" s="1"/>
      <c r="Q804" s="8"/>
      <c r="R804" s="8"/>
      <c r="S804" s="1"/>
      <c r="T804" s="8"/>
      <c r="U804" s="8"/>
      <c r="V804" s="16"/>
      <c r="W804" s="1"/>
      <c r="X804" s="1"/>
    </row>
    <row r="805" spans="1:24" ht="14.4">
      <c r="A805" s="1"/>
      <c r="B805" s="8"/>
      <c r="C805" s="8"/>
      <c r="D805" s="8"/>
      <c r="E805" s="8"/>
      <c r="F805" s="8"/>
      <c r="G805" s="8"/>
      <c r="H805" s="8"/>
      <c r="I805" s="8"/>
      <c r="J805" s="8"/>
      <c r="K805" s="8"/>
      <c r="L805" s="56"/>
      <c r="M805" s="26"/>
      <c r="N805" s="26"/>
      <c r="O805" s="8"/>
      <c r="P805" s="1"/>
      <c r="Q805" s="8"/>
      <c r="R805" s="8"/>
      <c r="S805" s="1"/>
      <c r="T805" s="8"/>
      <c r="U805" s="8"/>
      <c r="V805" s="16"/>
      <c r="W805" s="1"/>
      <c r="X805" s="1"/>
    </row>
    <row r="806" spans="1:24" ht="14.4">
      <c r="A806" s="1"/>
      <c r="B806" s="8"/>
      <c r="C806" s="8"/>
      <c r="D806" s="8"/>
      <c r="E806" s="8"/>
      <c r="F806" s="8"/>
      <c r="G806" s="8"/>
      <c r="H806" s="8"/>
      <c r="I806" s="8"/>
      <c r="J806" s="8"/>
      <c r="K806" s="8"/>
      <c r="L806" s="56"/>
      <c r="M806" s="26"/>
      <c r="N806" s="26"/>
      <c r="O806" s="8"/>
      <c r="P806" s="1"/>
      <c r="Q806" s="8"/>
      <c r="R806" s="8"/>
      <c r="S806" s="1"/>
      <c r="T806" s="8"/>
      <c r="U806" s="8"/>
      <c r="V806" s="16"/>
      <c r="W806" s="1"/>
      <c r="X806" s="1"/>
    </row>
    <row r="807" spans="1:24" ht="14.4">
      <c r="A807" s="1"/>
      <c r="B807" s="8"/>
      <c r="C807" s="8"/>
      <c r="D807" s="8"/>
      <c r="E807" s="8"/>
      <c r="F807" s="8"/>
      <c r="G807" s="8"/>
      <c r="H807" s="8"/>
      <c r="I807" s="8"/>
      <c r="J807" s="8"/>
      <c r="K807" s="8"/>
      <c r="L807" s="56"/>
      <c r="M807" s="26"/>
      <c r="N807" s="26"/>
      <c r="O807" s="8"/>
      <c r="P807" s="1"/>
      <c r="Q807" s="8"/>
      <c r="R807" s="8"/>
      <c r="S807" s="1"/>
      <c r="T807" s="8"/>
      <c r="U807" s="8"/>
      <c r="V807" s="16"/>
      <c r="W807" s="1"/>
      <c r="X807" s="1"/>
    </row>
    <row r="808" spans="1:24" ht="14.4">
      <c r="A808" s="1"/>
      <c r="B808" s="8"/>
      <c r="C808" s="8"/>
      <c r="D808" s="8"/>
      <c r="E808" s="8"/>
      <c r="F808" s="8"/>
      <c r="G808" s="8"/>
      <c r="H808" s="8"/>
      <c r="I808" s="8"/>
      <c r="J808" s="8"/>
      <c r="K808" s="8"/>
      <c r="L808" s="56"/>
      <c r="M808" s="26"/>
      <c r="N808" s="26"/>
      <c r="O808" s="8"/>
      <c r="P808" s="1"/>
      <c r="Q808" s="8"/>
      <c r="R808" s="8"/>
      <c r="S808" s="1"/>
      <c r="T808" s="8"/>
      <c r="U808" s="8"/>
      <c r="V808" s="16"/>
      <c r="W808" s="1"/>
      <c r="X808" s="1"/>
    </row>
    <row r="809" spans="1:24" ht="14.4">
      <c r="A809" s="1"/>
      <c r="B809" s="8"/>
      <c r="C809" s="8"/>
      <c r="D809" s="8"/>
      <c r="E809" s="8"/>
      <c r="F809" s="8"/>
      <c r="G809" s="8"/>
      <c r="H809" s="8"/>
      <c r="I809" s="8"/>
      <c r="J809" s="8"/>
      <c r="K809" s="8"/>
      <c r="L809" s="56"/>
      <c r="M809" s="26"/>
      <c r="N809" s="26"/>
      <c r="O809" s="8"/>
      <c r="P809" s="1"/>
      <c r="Q809" s="8"/>
      <c r="R809" s="8"/>
      <c r="S809" s="1"/>
      <c r="T809" s="8"/>
      <c r="U809" s="8"/>
      <c r="V809" s="16"/>
      <c r="W809" s="1"/>
      <c r="X809" s="1"/>
    </row>
    <row r="810" spans="1:24" ht="14.4">
      <c r="A810" s="1"/>
      <c r="B810" s="8"/>
      <c r="C810" s="8"/>
      <c r="D810" s="8"/>
      <c r="E810" s="8"/>
      <c r="F810" s="8"/>
      <c r="G810" s="8"/>
      <c r="H810" s="8"/>
      <c r="I810" s="8"/>
      <c r="J810" s="8"/>
      <c r="K810" s="8"/>
      <c r="L810" s="56"/>
      <c r="M810" s="26"/>
      <c r="N810" s="26"/>
      <c r="O810" s="8"/>
      <c r="P810" s="1"/>
      <c r="Q810" s="8"/>
      <c r="R810" s="8"/>
      <c r="S810" s="1"/>
      <c r="T810" s="8"/>
      <c r="U810" s="8"/>
      <c r="V810" s="16"/>
      <c r="W810" s="1"/>
      <c r="X810" s="1"/>
    </row>
    <row r="811" spans="1:24" ht="14.4">
      <c r="A811" s="1"/>
      <c r="B811" s="8"/>
      <c r="C811" s="8"/>
      <c r="D811" s="8"/>
      <c r="E811" s="8"/>
      <c r="F811" s="8"/>
      <c r="G811" s="8"/>
      <c r="H811" s="8"/>
      <c r="I811" s="8"/>
      <c r="J811" s="8"/>
      <c r="K811" s="8"/>
      <c r="L811" s="56"/>
      <c r="M811" s="26"/>
      <c r="N811" s="26"/>
      <c r="O811" s="8"/>
      <c r="P811" s="1"/>
      <c r="Q811" s="8"/>
      <c r="R811" s="8"/>
      <c r="S811" s="1"/>
      <c r="T811" s="8"/>
      <c r="U811" s="8"/>
      <c r="V811" s="16"/>
      <c r="W811" s="1"/>
      <c r="X811" s="1"/>
    </row>
    <row r="812" spans="1:24" ht="14.4">
      <c r="A812" s="1"/>
      <c r="B812" s="8"/>
      <c r="C812" s="8"/>
      <c r="D812" s="8"/>
      <c r="E812" s="8"/>
      <c r="F812" s="8"/>
      <c r="G812" s="8"/>
      <c r="H812" s="8"/>
      <c r="I812" s="8"/>
      <c r="J812" s="8"/>
      <c r="K812" s="8"/>
      <c r="L812" s="56"/>
      <c r="M812" s="26"/>
      <c r="N812" s="26"/>
      <c r="O812" s="8"/>
      <c r="P812" s="1"/>
      <c r="Q812" s="8"/>
      <c r="R812" s="8"/>
      <c r="S812" s="1"/>
      <c r="T812" s="8"/>
      <c r="U812" s="8"/>
      <c r="V812" s="16"/>
      <c r="W812" s="1"/>
      <c r="X812" s="1"/>
    </row>
    <row r="813" spans="1:24" ht="14.4">
      <c r="A813" s="1"/>
      <c r="B813" s="8"/>
      <c r="C813" s="8"/>
      <c r="D813" s="8"/>
      <c r="E813" s="8"/>
      <c r="F813" s="8"/>
      <c r="G813" s="8"/>
      <c r="H813" s="8"/>
      <c r="I813" s="8"/>
      <c r="J813" s="8"/>
      <c r="K813" s="8"/>
      <c r="L813" s="56"/>
      <c r="M813" s="26"/>
      <c r="N813" s="26"/>
      <c r="O813" s="8"/>
      <c r="P813" s="1"/>
      <c r="Q813" s="8"/>
      <c r="R813" s="8"/>
      <c r="S813" s="1"/>
      <c r="T813" s="8"/>
      <c r="U813" s="8"/>
      <c r="V813" s="16"/>
      <c r="W813" s="1"/>
      <c r="X813" s="1"/>
    </row>
    <row r="814" spans="1:24" ht="14.4">
      <c r="A814" s="1"/>
      <c r="B814" s="8"/>
      <c r="C814" s="8"/>
      <c r="D814" s="8"/>
      <c r="E814" s="8"/>
      <c r="F814" s="8"/>
      <c r="G814" s="8"/>
      <c r="H814" s="8"/>
      <c r="I814" s="8"/>
      <c r="J814" s="8"/>
      <c r="K814" s="8"/>
      <c r="L814" s="56"/>
      <c r="M814" s="26"/>
      <c r="N814" s="26"/>
      <c r="O814" s="8"/>
      <c r="P814" s="1"/>
      <c r="Q814" s="8"/>
      <c r="R814" s="8"/>
      <c r="S814" s="1"/>
      <c r="T814" s="8"/>
      <c r="U814" s="8"/>
      <c r="V814" s="16"/>
      <c r="W814" s="1"/>
      <c r="X814" s="1"/>
    </row>
    <row r="815" spans="1:24" ht="14.4">
      <c r="A815" s="1"/>
      <c r="B815" s="8"/>
      <c r="C815" s="8"/>
      <c r="D815" s="8"/>
      <c r="E815" s="8"/>
      <c r="F815" s="8"/>
      <c r="G815" s="8"/>
      <c r="H815" s="8"/>
      <c r="I815" s="8"/>
      <c r="J815" s="8"/>
      <c r="K815" s="8"/>
      <c r="L815" s="56"/>
      <c r="M815" s="26"/>
      <c r="N815" s="26"/>
      <c r="O815" s="8"/>
      <c r="P815" s="1"/>
      <c r="Q815" s="8"/>
      <c r="R815" s="8"/>
      <c r="S815" s="1"/>
      <c r="T815" s="8"/>
      <c r="U815" s="8"/>
      <c r="V815" s="16"/>
      <c r="W815" s="1"/>
      <c r="X815" s="1"/>
    </row>
    <row r="816" spans="1:24" ht="14.4">
      <c r="A816" s="1"/>
      <c r="B816" s="8"/>
      <c r="C816" s="8"/>
      <c r="D816" s="8"/>
      <c r="E816" s="8"/>
      <c r="F816" s="8"/>
      <c r="G816" s="8"/>
      <c r="H816" s="8"/>
      <c r="I816" s="8"/>
      <c r="J816" s="8"/>
      <c r="K816" s="8"/>
      <c r="L816" s="56"/>
      <c r="M816" s="26"/>
      <c r="N816" s="26"/>
      <c r="O816" s="8"/>
      <c r="P816" s="1"/>
      <c r="Q816" s="8"/>
      <c r="R816" s="8"/>
      <c r="S816" s="1"/>
      <c r="T816" s="8"/>
      <c r="U816" s="8"/>
      <c r="V816" s="16"/>
      <c r="W816" s="1"/>
      <c r="X816" s="1"/>
    </row>
    <row r="817" spans="1:24" ht="14.4">
      <c r="A817" s="1"/>
      <c r="B817" s="8"/>
      <c r="C817" s="8"/>
      <c r="D817" s="8"/>
      <c r="E817" s="8"/>
      <c r="F817" s="8"/>
      <c r="G817" s="8"/>
      <c r="H817" s="8"/>
      <c r="I817" s="8"/>
      <c r="J817" s="8"/>
      <c r="K817" s="8"/>
      <c r="L817" s="56"/>
      <c r="M817" s="26"/>
      <c r="N817" s="26"/>
      <c r="O817" s="8"/>
      <c r="P817" s="1"/>
      <c r="Q817" s="8"/>
      <c r="R817" s="8"/>
      <c r="S817" s="1"/>
      <c r="T817" s="8"/>
      <c r="U817" s="8"/>
      <c r="V817" s="16"/>
      <c r="W817" s="1"/>
      <c r="X817" s="1"/>
    </row>
    <row r="818" spans="1:24" ht="14.4">
      <c r="A818" s="1"/>
      <c r="B818" s="8"/>
      <c r="C818" s="8"/>
      <c r="D818" s="8"/>
      <c r="E818" s="8"/>
      <c r="F818" s="8"/>
      <c r="G818" s="8"/>
      <c r="H818" s="8"/>
      <c r="I818" s="8"/>
      <c r="J818" s="8"/>
      <c r="K818" s="8"/>
      <c r="L818" s="56"/>
      <c r="M818" s="26"/>
      <c r="N818" s="26"/>
      <c r="O818" s="8"/>
      <c r="P818" s="1"/>
      <c r="Q818" s="8"/>
      <c r="R818" s="8"/>
      <c r="S818" s="1"/>
      <c r="T818" s="8"/>
      <c r="U818" s="8"/>
      <c r="V818" s="16"/>
      <c r="W818" s="1"/>
      <c r="X818" s="1"/>
    </row>
    <row r="819" spans="1:24" ht="14.4">
      <c r="A819" s="1"/>
      <c r="B819" s="8"/>
      <c r="C819" s="8"/>
      <c r="D819" s="8"/>
      <c r="E819" s="8"/>
      <c r="F819" s="8"/>
      <c r="G819" s="8"/>
      <c r="H819" s="8"/>
      <c r="I819" s="8"/>
      <c r="J819" s="8"/>
      <c r="K819" s="8"/>
      <c r="L819" s="56"/>
      <c r="M819" s="26"/>
      <c r="N819" s="26"/>
      <c r="O819" s="8"/>
      <c r="P819" s="1"/>
      <c r="Q819" s="8"/>
      <c r="R819" s="8"/>
      <c r="S819" s="1"/>
      <c r="T819" s="8"/>
      <c r="U819" s="8"/>
      <c r="V819" s="16"/>
      <c r="W819" s="1"/>
      <c r="X819" s="1"/>
    </row>
    <row r="820" spans="1:24" ht="14.4">
      <c r="A820" s="1"/>
      <c r="B820" s="8"/>
      <c r="C820" s="8"/>
      <c r="D820" s="8"/>
      <c r="E820" s="8"/>
      <c r="F820" s="8"/>
      <c r="G820" s="8"/>
      <c r="H820" s="8"/>
      <c r="I820" s="8"/>
      <c r="J820" s="8"/>
      <c r="K820" s="8"/>
      <c r="L820" s="56"/>
      <c r="M820" s="26"/>
      <c r="N820" s="26"/>
      <c r="O820" s="8"/>
      <c r="P820" s="1"/>
      <c r="Q820" s="8"/>
      <c r="R820" s="8"/>
      <c r="S820" s="1"/>
      <c r="T820" s="8"/>
      <c r="U820" s="8"/>
      <c r="V820" s="16"/>
      <c r="W820" s="1"/>
      <c r="X820" s="1"/>
    </row>
    <row r="821" spans="1:24" ht="14.4">
      <c r="A821" s="1"/>
      <c r="B821" s="8"/>
      <c r="C821" s="8"/>
      <c r="D821" s="8"/>
      <c r="E821" s="8"/>
      <c r="F821" s="8"/>
      <c r="G821" s="8"/>
      <c r="H821" s="8"/>
      <c r="I821" s="8"/>
      <c r="J821" s="8"/>
      <c r="K821" s="8"/>
      <c r="L821" s="56"/>
      <c r="M821" s="26"/>
      <c r="N821" s="26"/>
      <c r="O821" s="8"/>
      <c r="P821" s="1"/>
      <c r="Q821" s="8"/>
      <c r="R821" s="8"/>
      <c r="S821" s="1"/>
      <c r="T821" s="8"/>
      <c r="U821" s="8"/>
      <c r="V821" s="16"/>
      <c r="W821" s="1"/>
      <c r="X821" s="1"/>
    </row>
    <row r="822" spans="1:24" ht="14.4">
      <c r="A822" s="1"/>
      <c r="B822" s="8"/>
      <c r="C822" s="8"/>
      <c r="D822" s="8"/>
      <c r="E822" s="8"/>
      <c r="F822" s="8"/>
      <c r="G822" s="8"/>
      <c r="H822" s="8"/>
      <c r="I822" s="8"/>
      <c r="J822" s="8"/>
      <c r="K822" s="8"/>
      <c r="L822" s="56"/>
      <c r="M822" s="26"/>
      <c r="N822" s="26"/>
      <c r="O822" s="8"/>
      <c r="P822" s="1"/>
      <c r="Q822" s="8"/>
      <c r="R822" s="8"/>
      <c r="S822" s="1"/>
      <c r="T822" s="8"/>
      <c r="U822" s="8"/>
      <c r="V822" s="16"/>
      <c r="W822" s="1"/>
      <c r="X822" s="1"/>
    </row>
    <row r="823" spans="1:24" ht="14.4">
      <c r="A823" s="1"/>
      <c r="B823" s="8"/>
      <c r="C823" s="8"/>
      <c r="D823" s="8"/>
      <c r="E823" s="8"/>
      <c r="F823" s="8"/>
      <c r="G823" s="8"/>
      <c r="H823" s="8"/>
      <c r="I823" s="8"/>
      <c r="J823" s="8"/>
      <c r="K823" s="8"/>
      <c r="L823" s="56"/>
      <c r="M823" s="26"/>
      <c r="N823" s="26"/>
      <c r="O823" s="8"/>
      <c r="P823" s="1"/>
      <c r="Q823" s="8"/>
      <c r="R823" s="8"/>
      <c r="S823" s="1"/>
      <c r="T823" s="8"/>
      <c r="U823" s="8"/>
      <c r="V823" s="16"/>
      <c r="W823" s="1"/>
      <c r="X823" s="1"/>
    </row>
    <row r="824" spans="1:24" ht="14.4">
      <c r="A824" s="1"/>
      <c r="B824" s="8"/>
      <c r="C824" s="8"/>
      <c r="D824" s="8"/>
      <c r="E824" s="8"/>
      <c r="F824" s="8"/>
      <c r="G824" s="8"/>
      <c r="H824" s="8"/>
      <c r="I824" s="8"/>
      <c r="J824" s="8"/>
      <c r="K824" s="8"/>
      <c r="L824" s="56"/>
      <c r="M824" s="26"/>
      <c r="N824" s="26"/>
      <c r="O824" s="8"/>
      <c r="P824" s="1"/>
      <c r="Q824" s="8"/>
      <c r="R824" s="8"/>
      <c r="S824" s="1"/>
      <c r="T824" s="8"/>
      <c r="U824" s="8"/>
      <c r="V824" s="16"/>
      <c r="W824" s="1"/>
      <c r="X824" s="1"/>
    </row>
    <row r="825" spans="1:24" ht="14.4">
      <c r="A825" s="1"/>
      <c r="B825" s="8"/>
      <c r="C825" s="8"/>
      <c r="D825" s="8"/>
      <c r="E825" s="8"/>
      <c r="F825" s="8"/>
      <c r="G825" s="8"/>
      <c r="H825" s="8"/>
      <c r="I825" s="8"/>
      <c r="J825" s="8"/>
      <c r="K825" s="8"/>
      <c r="L825" s="56"/>
      <c r="M825" s="26"/>
      <c r="N825" s="26"/>
      <c r="O825" s="8"/>
      <c r="P825" s="1"/>
      <c r="Q825" s="8"/>
      <c r="R825" s="8"/>
      <c r="S825" s="1"/>
      <c r="T825" s="8"/>
      <c r="U825" s="8"/>
      <c r="V825" s="16"/>
      <c r="W825" s="1"/>
      <c r="X825" s="1"/>
    </row>
    <row r="826" spans="1:24" ht="14.4">
      <c r="A826" s="1"/>
      <c r="B826" s="8"/>
      <c r="C826" s="8"/>
      <c r="D826" s="8"/>
      <c r="E826" s="8"/>
      <c r="F826" s="8"/>
      <c r="G826" s="8"/>
      <c r="H826" s="8"/>
      <c r="I826" s="8"/>
      <c r="J826" s="8"/>
      <c r="K826" s="8"/>
      <c r="L826" s="56"/>
      <c r="M826" s="26"/>
      <c r="N826" s="26"/>
      <c r="O826" s="8"/>
      <c r="P826" s="1"/>
      <c r="Q826" s="8"/>
      <c r="R826" s="8"/>
      <c r="S826" s="1"/>
      <c r="T826" s="8"/>
      <c r="U826" s="8"/>
      <c r="V826" s="16"/>
      <c r="W826" s="1"/>
      <c r="X826" s="1"/>
    </row>
    <row r="827" spans="1:24" ht="14.4">
      <c r="A827" s="1"/>
      <c r="B827" s="8"/>
      <c r="C827" s="8"/>
      <c r="D827" s="8"/>
      <c r="E827" s="8"/>
      <c r="F827" s="8"/>
      <c r="G827" s="8"/>
      <c r="H827" s="8"/>
      <c r="I827" s="8"/>
      <c r="J827" s="8"/>
      <c r="K827" s="8"/>
      <c r="L827" s="56"/>
      <c r="M827" s="26"/>
      <c r="N827" s="26"/>
      <c r="O827" s="8"/>
      <c r="P827" s="1"/>
      <c r="Q827" s="8"/>
      <c r="R827" s="8"/>
      <c r="S827" s="1"/>
      <c r="T827" s="8"/>
      <c r="U827" s="8"/>
      <c r="V827" s="16"/>
      <c r="W827" s="1"/>
      <c r="X827" s="1"/>
    </row>
    <row r="828" spans="1:24" ht="14.4">
      <c r="A828" s="1"/>
      <c r="B828" s="8"/>
      <c r="C828" s="8"/>
      <c r="D828" s="8"/>
      <c r="E828" s="8"/>
      <c r="F828" s="8"/>
      <c r="G828" s="8"/>
      <c r="H828" s="8"/>
      <c r="I828" s="8"/>
      <c r="J828" s="8"/>
      <c r="K828" s="8"/>
      <c r="L828" s="56"/>
      <c r="M828" s="26"/>
      <c r="N828" s="26"/>
      <c r="O828" s="8"/>
      <c r="P828" s="1"/>
      <c r="Q828" s="8"/>
      <c r="R828" s="8"/>
      <c r="S828" s="1"/>
      <c r="T828" s="8"/>
      <c r="U828" s="8"/>
      <c r="V828" s="16"/>
      <c r="W828" s="1"/>
      <c r="X828" s="1"/>
    </row>
    <row r="829" spans="1:24" ht="14.4">
      <c r="A829" s="1"/>
      <c r="B829" s="8"/>
      <c r="C829" s="8"/>
      <c r="D829" s="8"/>
      <c r="E829" s="8"/>
      <c r="F829" s="8"/>
      <c r="G829" s="8"/>
      <c r="H829" s="8"/>
      <c r="I829" s="8"/>
      <c r="J829" s="8"/>
      <c r="K829" s="8"/>
      <c r="L829" s="56"/>
      <c r="M829" s="26"/>
      <c r="N829" s="26"/>
      <c r="O829" s="8"/>
      <c r="P829" s="1"/>
      <c r="Q829" s="8"/>
      <c r="R829" s="8"/>
      <c r="S829" s="1"/>
      <c r="T829" s="8"/>
      <c r="U829" s="8"/>
      <c r="V829" s="16"/>
      <c r="W829" s="1"/>
      <c r="X829" s="1"/>
    </row>
    <row r="830" spans="1:24" ht="14.4">
      <c r="A830" s="1"/>
      <c r="B830" s="8"/>
      <c r="C830" s="8"/>
      <c r="D830" s="8"/>
      <c r="E830" s="8"/>
      <c r="F830" s="8"/>
      <c r="G830" s="8"/>
      <c r="H830" s="8"/>
      <c r="I830" s="8"/>
      <c r="J830" s="8"/>
      <c r="K830" s="8"/>
      <c r="L830" s="56"/>
      <c r="M830" s="26"/>
      <c r="N830" s="26"/>
      <c r="O830" s="8"/>
      <c r="P830" s="1"/>
      <c r="Q830" s="8"/>
      <c r="R830" s="8"/>
      <c r="S830" s="1"/>
      <c r="T830" s="8"/>
      <c r="U830" s="8"/>
      <c r="V830" s="16"/>
      <c r="W830" s="1"/>
      <c r="X830" s="1"/>
    </row>
    <row r="831" spans="1:24" ht="14.4">
      <c r="A831" s="1"/>
      <c r="B831" s="8"/>
      <c r="C831" s="8"/>
      <c r="D831" s="8"/>
      <c r="E831" s="8"/>
      <c r="F831" s="8"/>
      <c r="G831" s="8"/>
      <c r="H831" s="8"/>
      <c r="I831" s="8"/>
      <c r="J831" s="8"/>
      <c r="K831" s="8"/>
      <c r="L831" s="56"/>
      <c r="M831" s="26"/>
      <c r="N831" s="26"/>
      <c r="O831" s="8"/>
      <c r="P831" s="1"/>
      <c r="Q831" s="8"/>
      <c r="R831" s="8"/>
      <c r="S831" s="1"/>
      <c r="T831" s="8"/>
      <c r="U831" s="8"/>
      <c r="V831" s="16"/>
      <c r="W831" s="1"/>
      <c r="X831" s="1"/>
    </row>
    <row r="832" spans="1:24" ht="14.4">
      <c r="A832" s="1"/>
      <c r="B832" s="8"/>
      <c r="C832" s="8"/>
      <c r="D832" s="8"/>
      <c r="E832" s="8"/>
      <c r="F832" s="8"/>
      <c r="G832" s="8"/>
      <c r="H832" s="8"/>
      <c r="I832" s="8"/>
      <c r="J832" s="8"/>
      <c r="K832" s="8"/>
      <c r="L832" s="56"/>
      <c r="M832" s="26"/>
      <c r="N832" s="26"/>
      <c r="O832" s="8"/>
      <c r="P832" s="1"/>
      <c r="Q832" s="8"/>
      <c r="R832" s="8"/>
      <c r="S832" s="1"/>
      <c r="T832" s="8"/>
      <c r="U832" s="8"/>
      <c r="V832" s="16"/>
      <c r="W832" s="1"/>
      <c r="X832" s="1"/>
    </row>
    <row r="833" spans="1:24" ht="14.4">
      <c r="A833" s="1"/>
      <c r="B833" s="8"/>
      <c r="C833" s="8"/>
      <c r="D833" s="8"/>
      <c r="E833" s="8"/>
      <c r="F833" s="8"/>
      <c r="G833" s="8"/>
      <c r="H833" s="8"/>
      <c r="I833" s="8"/>
      <c r="J833" s="8"/>
      <c r="K833" s="8"/>
      <c r="L833" s="56"/>
      <c r="M833" s="26"/>
      <c r="N833" s="26"/>
      <c r="O833" s="8"/>
      <c r="P833" s="1"/>
      <c r="Q833" s="8"/>
      <c r="R833" s="8"/>
      <c r="S833" s="1"/>
      <c r="T833" s="8"/>
      <c r="U833" s="8"/>
      <c r="V833" s="16"/>
      <c r="W833" s="1"/>
      <c r="X833" s="1"/>
    </row>
    <row r="834" spans="1:24" ht="14.4">
      <c r="A834" s="1"/>
      <c r="B834" s="8"/>
      <c r="C834" s="8"/>
      <c r="D834" s="8"/>
      <c r="E834" s="8"/>
      <c r="F834" s="8"/>
      <c r="G834" s="8"/>
      <c r="H834" s="8"/>
      <c r="I834" s="8"/>
      <c r="J834" s="8"/>
      <c r="K834" s="8"/>
      <c r="L834" s="56"/>
      <c r="M834" s="26"/>
      <c r="N834" s="26"/>
      <c r="O834" s="8"/>
      <c r="P834" s="1"/>
      <c r="Q834" s="8"/>
      <c r="R834" s="8"/>
      <c r="S834" s="1"/>
      <c r="T834" s="8"/>
      <c r="U834" s="8"/>
      <c r="V834" s="16"/>
      <c r="W834" s="1"/>
      <c r="X834" s="1"/>
    </row>
    <row r="835" spans="1:24" ht="14.4">
      <c r="A835" s="1"/>
      <c r="B835" s="8"/>
      <c r="C835" s="8"/>
      <c r="D835" s="8"/>
      <c r="E835" s="8"/>
      <c r="F835" s="8"/>
      <c r="G835" s="8"/>
      <c r="H835" s="8"/>
      <c r="I835" s="8"/>
      <c r="J835" s="8"/>
      <c r="K835" s="8"/>
      <c r="L835" s="56"/>
      <c r="M835" s="26"/>
      <c r="N835" s="26"/>
      <c r="O835" s="8"/>
      <c r="P835" s="1"/>
      <c r="Q835" s="8"/>
      <c r="R835" s="8"/>
      <c r="S835" s="1"/>
      <c r="T835" s="8"/>
      <c r="U835" s="8"/>
      <c r="V835" s="16"/>
      <c r="W835" s="1"/>
      <c r="X835" s="1"/>
    </row>
    <row r="836" spans="1:24" ht="14.4">
      <c r="A836" s="1"/>
      <c r="B836" s="8"/>
      <c r="C836" s="8"/>
      <c r="D836" s="8"/>
      <c r="E836" s="8"/>
      <c r="F836" s="8"/>
      <c r="G836" s="8"/>
      <c r="H836" s="8"/>
      <c r="I836" s="8"/>
      <c r="J836" s="8"/>
      <c r="K836" s="8"/>
      <c r="L836" s="56"/>
      <c r="M836" s="26"/>
      <c r="N836" s="26"/>
      <c r="O836" s="8"/>
      <c r="P836" s="1"/>
      <c r="Q836" s="8"/>
      <c r="R836" s="8"/>
      <c r="S836" s="1"/>
      <c r="T836" s="8"/>
      <c r="U836" s="8"/>
      <c r="V836" s="16"/>
      <c r="W836" s="1"/>
      <c r="X836" s="1"/>
    </row>
    <row r="837" spans="1:24" ht="14.4">
      <c r="A837" s="1"/>
      <c r="B837" s="8"/>
      <c r="C837" s="8"/>
      <c r="D837" s="8"/>
      <c r="E837" s="8"/>
      <c r="F837" s="8"/>
      <c r="G837" s="8"/>
      <c r="H837" s="8"/>
      <c r="I837" s="8"/>
      <c r="J837" s="8"/>
      <c r="K837" s="8"/>
      <c r="L837" s="56"/>
      <c r="M837" s="26"/>
      <c r="N837" s="26"/>
      <c r="O837" s="8"/>
      <c r="P837" s="1"/>
      <c r="Q837" s="8"/>
      <c r="R837" s="8"/>
      <c r="S837" s="1"/>
      <c r="T837" s="8"/>
      <c r="U837" s="8"/>
      <c r="V837" s="16"/>
      <c r="W837" s="1"/>
      <c r="X837" s="1"/>
    </row>
    <row r="838" spans="1:24" ht="14.4">
      <c r="A838" s="1"/>
      <c r="B838" s="8"/>
      <c r="C838" s="8"/>
      <c r="D838" s="8"/>
      <c r="E838" s="8"/>
      <c r="F838" s="8"/>
      <c r="G838" s="8"/>
      <c r="H838" s="8"/>
      <c r="I838" s="8"/>
      <c r="J838" s="8"/>
      <c r="K838" s="8"/>
      <c r="L838" s="56"/>
      <c r="M838" s="26"/>
      <c r="N838" s="26"/>
      <c r="O838" s="8"/>
      <c r="P838" s="1"/>
      <c r="Q838" s="8"/>
      <c r="R838" s="8"/>
      <c r="S838" s="1"/>
      <c r="T838" s="8"/>
      <c r="U838" s="8"/>
      <c r="V838" s="16"/>
      <c r="W838" s="1"/>
      <c r="X838" s="1"/>
    </row>
    <row r="839" spans="1:24" ht="14.4">
      <c r="A839" s="1"/>
      <c r="B839" s="8"/>
      <c r="C839" s="8"/>
      <c r="D839" s="8"/>
      <c r="E839" s="8"/>
      <c r="F839" s="8"/>
      <c r="G839" s="8"/>
      <c r="H839" s="8"/>
      <c r="I839" s="8"/>
      <c r="J839" s="8"/>
      <c r="K839" s="8"/>
      <c r="L839" s="56"/>
      <c r="M839" s="26"/>
      <c r="N839" s="26"/>
      <c r="O839" s="8"/>
      <c r="P839" s="1"/>
      <c r="Q839" s="8"/>
      <c r="R839" s="8"/>
      <c r="S839" s="1"/>
      <c r="T839" s="8"/>
      <c r="U839" s="8"/>
      <c r="V839" s="16"/>
      <c r="W839" s="1"/>
      <c r="X839" s="1"/>
    </row>
    <row r="840" spans="1:24" ht="14.4">
      <c r="A840" s="1"/>
      <c r="B840" s="8"/>
      <c r="C840" s="8"/>
      <c r="D840" s="8"/>
      <c r="E840" s="8"/>
      <c r="F840" s="8"/>
      <c r="G840" s="8"/>
      <c r="H840" s="8"/>
      <c r="I840" s="8"/>
      <c r="J840" s="8"/>
      <c r="K840" s="8"/>
      <c r="L840" s="56"/>
      <c r="M840" s="26"/>
      <c r="N840" s="26"/>
      <c r="O840" s="8"/>
      <c r="P840" s="1"/>
      <c r="Q840" s="8"/>
      <c r="R840" s="8"/>
      <c r="S840" s="1"/>
      <c r="T840" s="8"/>
      <c r="U840" s="8"/>
      <c r="V840" s="16"/>
      <c r="W840" s="1"/>
      <c r="X840" s="1"/>
    </row>
    <row r="841" spans="1:24" ht="14.4">
      <c r="A841" s="1"/>
      <c r="B841" s="8"/>
      <c r="C841" s="8"/>
      <c r="D841" s="8"/>
      <c r="E841" s="8"/>
      <c r="F841" s="8"/>
      <c r="G841" s="8"/>
      <c r="H841" s="8"/>
      <c r="I841" s="8"/>
      <c r="J841" s="8"/>
      <c r="K841" s="8"/>
      <c r="L841" s="56"/>
      <c r="M841" s="26"/>
      <c r="N841" s="26"/>
      <c r="O841" s="8"/>
      <c r="P841" s="1"/>
      <c r="Q841" s="8"/>
      <c r="R841" s="8"/>
      <c r="S841" s="1"/>
      <c r="T841" s="8"/>
      <c r="U841" s="8"/>
      <c r="V841" s="16"/>
      <c r="W841" s="1"/>
      <c r="X841" s="1"/>
    </row>
    <row r="842" spans="1:24" ht="14.4">
      <c r="A842" s="1"/>
      <c r="B842" s="8"/>
      <c r="C842" s="8"/>
      <c r="D842" s="8"/>
      <c r="E842" s="8"/>
      <c r="F842" s="8"/>
      <c r="G842" s="8"/>
      <c r="H842" s="8"/>
      <c r="I842" s="8"/>
      <c r="J842" s="8"/>
      <c r="K842" s="8"/>
      <c r="L842" s="56"/>
      <c r="M842" s="26"/>
      <c r="N842" s="26"/>
      <c r="O842" s="8"/>
      <c r="P842" s="1"/>
      <c r="Q842" s="8"/>
      <c r="R842" s="8"/>
      <c r="S842" s="1"/>
      <c r="T842" s="8"/>
      <c r="U842" s="8"/>
      <c r="V842" s="16"/>
      <c r="W842" s="1"/>
      <c r="X842" s="1"/>
    </row>
    <row r="843" spans="1:24" ht="14.4">
      <c r="A843" s="1"/>
      <c r="B843" s="8"/>
      <c r="C843" s="8"/>
      <c r="D843" s="8"/>
      <c r="E843" s="8"/>
      <c r="F843" s="8"/>
      <c r="G843" s="8"/>
      <c r="H843" s="8"/>
      <c r="I843" s="8"/>
      <c r="J843" s="8"/>
      <c r="K843" s="8"/>
      <c r="L843" s="56"/>
      <c r="M843" s="26"/>
      <c r="N843" s="26"/>
      <c r="O843" s="8"/>
      <c r="P843" s="1"/>
      <c r="Q843" s="8"/>
      <c r="R843" s="8"/>
      <c r="S843" s="1"/>
      <c r="T843" s="8"/>
      <c r="U843" s="8"/>
      <c r="V843" s="16"/>
      <c r="W843" s="1"/>
      <c r="X843" s="1"/>
    </row>
    <row r="844" spans="1:24" ht="14.4">
      <c r="A844" s="1"/>
      <c r="B844" s="8"/>
      <c r="C844" s="8"/>
      <c r="D844" s="8"/>
      <c r="E844" s="8"/>
      <c r="F844" s="8"/>
      <c r="G844" s="8"/>
      <c r="H844" s="8"/>
      <c r="I844" s="8"/>
      <c r="J844" s="8"/>
      <c r="K844" s="8"/>
      <c r="L844" s="56"/>
      <c r="M844" s="26"/>
      <c r="N844" s="26"/>
      <c r="O844" s="8"/>
      <c r="P844" s="1"/>
      <c r="Q844" s="8"/>
      <c r="R844" s="8"/>
      <c r="S844" s="1"/>
      <c r="T844" s="8"/>
      <c r="U844" s="8"/>
      <c r="V844" s="16"/>
      <c r="W844" s="1"/>
      <c r="X844" s="1"/>
    </row>
    <row r="845" spans="1:24" ht="14.4">
      <c r="A845" s="1"/>
      <c r="B845" s="8"/>
      <c r="C845" s="8"/>
      <c r="D845" s="8"/>
      <c r="E845" s="8"/>
      <c r="F845" s="8"/>
      <c r="G845" s="8"/>
      <c r="H845" s="8"/>
      <c r="I845" s="8"/>
      <c r="J845" s="8"/>
      <c r="K845" s="8"/>
      <c r="L845" s="56"/>
      <c r="M845" s="26"/>
      <c r="N845" s="26"/>
      <c r="O845" s="8"/>
      <c r="P845" s="1"/>
      <c r="Q845" s="8"/>
      <c r="R845" s="8"/>
      <c r="S845" s="1"/>
      <c r="T845" s="8"/>
      <c r="U845" s="8"/>
      <c r="V845" s="16"/>
      <c r="W845" s="1"/>
      <c r="X845" s="1"/>
    </row>
    <row r="846" spans="1:24" ht="14.4">
      <c r="A846" s="1"/>
      <c r="B846" s="8"/>
      <c r="C846" s="8"/>
      <c r="D846" s="8"/>
      <c r="E846" s="8"/>
      <c r="F846" s="8"/>
      <c r="G846" s="8"/>
      <c r="H846" s="8"/>
      <c r="I846" s="8"/>
      <c r="J846" s="8"/>
      <c r="K846" s="8"/>
      <c r="L846" s="56"/>
      <c r="M846" s="26"/>
      <c r="N846" s="26"/>
      <c r="O846" s="8"/>
      <c r="P846" s="1"/>
      <c r="Q846" s="8"/>
      <c r="R846" s="8"/>
      <c r="S846" s="1"/>
      <c r="T846" s="8"/>
      <c r="U846" s="8"/>
      <c r="V846" s="16"/>
      <c r="W846" s="1"/>
      <c r="X846" s="1"/>
    </row>
    <row r="847" spans="1:24" ht="14.4">
      <c r="A847" s="1"/>
      <c r="B847" s="8"/>
      <c r="C847" s="8"/>
      <c r="D847" s="8"/>
      <c r="E847" s="8"/>
      <c r="F847" s="8"/>
      <c r="G847" s="8"/>
      <c r="H847" s="8"/>
      <c r="I847" s="8"/>
      <c r="J847" s="8"/>
      <c r="K847" s="8"/>
      <c r="L847" s="56"/>
      <c r="M847" s="26"/>
      <c r="N847" s="26"/>
      <c r="O847" s="8"/>
      <c r="P847" s="1"/>
      <c r="Q847" s="8"/>
      <c r="R847" s="8"/>
      <c r="S847" s="1"/>
      <c r="T847" s="8"/>
      <c r="U847" s="8"/>
      <c r="V847" s="16"/>
      <c r="W847" s="1"/>
      <c r="X847" s="1"/>
    </row>
    <row r="848" spans="1:24" ht="14.4">
      <c r="A848" s="1"/>
      <c r="B848" s="8"/>
      <c r="C848" s="8"/>
      <c r="D848" s="8"/>
      <c r="E848" s="8"/>
      <c r="F848" s="8"/>
      <c r="G848" s="8"/>
      <c r="H848" s="8"/>
      <c r="I848" s="8"/>
      <c r="J848" s="8"/>
      <c r="K848" s="8"/>
      <c r="L848" s="56"/>
      <c r="M848" s="26"/>
      <c r="N848" s="26"/>
      <c r="O848" s="8"/>
      <c r="P848" s="1"/>
      <c r="Q848" s="8"/>
      <c r="R848" s="8"/>
      <c r="S848" s="1"/>
      <c r="T848" s="8"/>
      <c r="U848" s="8"/>
      <c r="V848" s="16"/>
      <c r="W848" s="1"/>
      <c r="X848" s="1"/>
    </row>
    <row r="849" spans="1:24" ht="14.4">
      <c r="A849" s="1"/>
      <c r="B849" s="8"/>
      <c r="C849" s="8"/>
      <c r="D849" s="8"/>
      <c r="E849" s="8"/>
      <c r="F849" s="8"/>
      <c r="G849" s="8"/>
      <c r="H849" s="8"/>
      <c r="I849" s="8"/>
      <c r="J849" s="8"/>
      <c r="K849" s="8"/>
      <c r="L849" s="56"/>
      <c r="M849" s="26"/>
      <c r="N849" s="26"/>
      <c r="O849" s="8"/>
      <c r="P849" s="1"/>
      <c r="Q849" s="8"/>
      <c r="R849" s="8"/>
      <c r="S849" s="1"/>
      <c r="T849" s="8"/>
      <c r="U849" s="8"/>
      <c r="V849" s="16"/>
      <c r="W849" s="1"/>
      <c r="X849" s="1"/>
    </row>
    <row r="850" spans="1:24" ht="14.4">
      <c r="A850" s="1"/>
      <c r="B850" s="8"/>
      <c r="C850" s="8"/>
      <c r="D850" s="8"/>
      <c r="E850" s="8"/>
      <c r="F850" s="8"/>
      <c r="G850" s="8"/>
      <c r="H850" s="8"/>
      <c r="I850" s="8"/>
      <c r="J850" s="8"/>
      <c r="K850" s="8"/>
      <c r="L850" s="56"/>
      <c r="M850" s="26"/>
      <c r="N850" s="26"/>
      <c r="O850" s="8"/>
      <c r="P850" s="1"/>
      <c r="Q850" s="8"/>
      <c r="R850" s="8"/>
      <c r="S850" s="1"/>
      <c r="T850" s="8"/>
      <c r="U850" s="8"/>
      <c r="V850" s="16"/>
      <c r="W850" s="1"/>
      <c r="X850" s="1"/>
    </row>
    <row r="851" spans="1:24" ht="14.4">
      <c r="A851" s="1"/>
      <c r="B851" s="8"/>
      <c r="C851" s="8"/>
      <c r="D851" s="8"/>
      <c r="E851" s="8"/>
      <c r="F851" s="8"/>
      <c r="G851" s="8"/>
      <c r="H851" s="8"/>
      <c r="I851" s="8"/>
      <c r="J851" s="8"/>
      <c r="K851" s="8"/>
      <c r="L851" s="56"/>
      <c r="M851" s="26"/>
      <c r="N851" s="26"/>
      <c r="O851" s="8"/>
      <c r="P851" s="1"/>
      <c r="Q851" s="8"/>
      <c r="R851" s="8"/>
      <c r="S851" s="1"/>
      <c r="T851" s="8"/>
      <c r="U851" s="8"/>
      <c r="V851" s="16"/>
      <c r="W851" s="1"/>
      <c r="X851" s="1"/>
    </row>
    <row r="852" spans="1:24" ht="14.4">
      <c r="A852" s="1"/>
      <c r="B852" s="8"/>
      <c r="C852" s="8"/>
      <c r="D852" s="8"/>
      <c r="E852" s="8"/>
      <c r="F852" s="8"/>
      <c r="G852" s="8"/>
      <c r="H852" s="8"/>
      <c r="I852" s="8"/>
      <c r="J852" s="8"/>
      <c r="K852" s="8"/>
      <c r="L852" s="56"/>
      <c r="M852" s="26"/>
      <c r="N852" s="26"/>
      <c r="O852" s="8"/>
      <c r="P852" s="1"/>
      <c r="Q852" s="8"/>
      <c r="R852" s="8"/>
      <c r="S852" s="1"/>
      <c r="T852" s="8"/>
      <c r="U852" s="8"/>
      <c r="V852" s="16"/>
      <c r="W852" s="1"/>
      <c r="X852" s="1"/>
    </row>
    <row r="853" spans="1:24" ht="14.4">
      <c r="A853" s="1"/>
      <c r="B853" s="8"/>
      <c r="C853" s="8"/>
      <c r="D853" s="8"/>
      <c r="E853" s="8"/>
      <c r="F853" s="8"/>
      <c r="G853" s="8"/>
      <c r="H853" s="8"/>
      <c r="I853" s="8"/>
      <c r="J853" s="8"/>
      <c r="K853" s="8"/>
      <c r="L853" s="56"/>
      <c r="M853" s="26"/>
      <c r="N853" s="26"/>
      <c r="O853" s="8"/>
      <c r="P853" s="1"/>
      <c r="Q853" s="8"/>
      <c r="R853" s="8"/>
      <c r="S853" s="1"/>
      <c r="T853" s="8"/>
      <c r="U853" s="8"/>
      <c r="V853" s="16"/>
      <c r="W853" s="1"/>
      <c r="X853" s="1"/>
    </row>
    <row r="854" spans="1:24" ht="14.4">
      <c r="A854" s="1"/>
      <c r="B854" s="8"/>
      <c r="C854" s="8"/>
      <c r="D854" s="8"/>
      <c r="E854" s="8"/>
      <c r="F854" s="8"/>
      <c r="G854" s="8"/>
      <c r="H854" s="8"/>
      <c r="I854" s="8"/>
      <c r="J854" s="8"/>
      <c r="K854" s="8"/>
      <c r="L854" s="56"/>
      <c r="M854" s="26"/>
      <c r="N854" s="26"/>
      <c r="O854" s="8"/>
      <c r="P854" s="1"/>
      <c r="Q854" s="8"/>
      <c r="R854" s="8"/>
      <c r="S854" s="1"/>
      <c r="T854" s="8"/>
      <c r="U854" s="8"/>
      <c r="V854" s="16"/>
      <c r="W854" s="1"/>
      <c r="X854" s="1"/>
    </row>
    <row r="855" spans="1:24" ht="14.4">
      <c r="A855" s="1"/>
      <c r="B855" s="8"/>
      <c r="C855" s="8"/>
      <c r="D855" s="8"/>
      <c r="E855" s="8"/>
      <c r="F855" s="8"/>
      <c r="G855" s="8"/>
      <c r="H855" s="8"/>
      <c r="I855" s="8"/>
      <c r="J855" s="8"/>
      <c r="K855" s="8"/>
      <c r="L855" s="56"/>
      <c r="M855" s="26"/>
      <c r="N855" s="26"/>
      <c r="O855" s="8"/>
      <c r="P855" s="1"/>
      <c r="Q855" s="8"/>
      <c r="R855" s="8"/>
      <c r="S855" s="1"/>
      <c r="T855" s="8"/>
      <c r="U855" s="8"/>
      <c r="V855" s="16"/>
      <c r="W855" s="1"/>
      <c r="X855" s="1"/>
    </row>
    <row r="856" spans="1:24" ht="14.4">
      <c r="A856" s="1"/>
      <c r="B856" s="8"/>
      <c r="C856" s="8"/>
      <c r="D856" s="8"/>
      <c r="E856" s="8"/>
      <c r="F856" s="8"/>
      <c r="G856" s="8"/>
      <c r="H856" s="8"/>
      <c r="I856" s="8"/>
      <c r="J856" s="8"/>
      <c r="K856" s="8"/>
      <c r="L856" s="56"/>
      <c r="M856" s="26"/>
      <c r="N856" s="26"/>
      <c r="O856" s="8"/>
      <c r="P856" s="1"/>
      <c r="Q856" s="8"/>
      <c r="R856" s="8"/>
      <c r="S856" s="1"/>
      <c r="T856" s="8"/>
      <c r="U856" s="8"/>
      <c r="V856" s="16"/>
      <c r="W856" s="1"/>
      <c r="X856" s="1"/>
    </row>
    <row r="857" spans="1:24" ht="14.4">
      <c r="A857" s="1"/>
      <c r="B857" s="8"/>
      <c r="C857" s="8"/>
      <c r="D857" s="8"/>
      <c r="E857" s="8"/>
      <c r="F857" s="8"/>
      <c r="G857" s="8"/>
      <c r="H857" s="8"/>
      <c r="I857" s="8"/>
      <c r="J857" s="8"/>
      <c r="K857" s="8"/>
      <c r="L857" s="56"/>
      <c r="M857" s="26"/>
      <c r="N857" s="26"/>
      <c r="O857" s="8"/>
      <c r="P857" s="1"/>
      <c r="Q857" s="8"/>
      <c r="R857" s="8"/>
      <c r="S857" s="1"/>
      <c r="T857" s="8"/>
      <c r="U857" s="8"/>
      <c r="V857" s="16"/>
      <c r="W857" s="1"/>
      <c r="X857" s="1"/>
    </row>
    <row r="858" spans="1:24" ht="14.4">
      <c r="A858" s="1"/>
      <c r="B858" s="8"/>
      <c r="C858" s="8"/>
      <c r="D858" s="8"/>
      <c r="E858" s="8"/>
      <c r="F858" s="8"/>
      <c r="G858" s="8"/>
      <c r="H858" s="8"/>
      <c r="I858" s="8"/>
      <c r="J858" s="8"/>
      <c r="K858" s="8"/>
      <c r="L858" s="56"/>
      <c r="M858" s="26"/>
      <c r="N858" s="26"/>
      <c r="O858" s="8"/>
      <c r="P858" s="1"/>
      <c r="Q858" s="8"/>
      <c r="R858" s="8"/>
      <c r="S858" s="1"/>
      <c r="T858" s="8"/>
      <c r="U858" s="8"/>
      <c r="V858" s="16"/>
      <c r="W858" s="1"/>
      <c r="X858" s="1"/>
    </row>
    <row r="859" spans="1:24" ht="14.4">
      <c r="A859" s="1"/>
      <c r="B859" s="8"/>
      <c r="C859" s="8"/>
      <c r="D859" s="8"/>
      <c r="E859" s="8"/>
      <c r="F859" s="8"/>
      <c r="G859" s="8"/>
      <c r="H859" s="8"/>
      <c r="I859" s="8"/>
      <c r="J859" s="8"/>
      <c r="K859" s="8"/>
      <c r="L859" s="56"/>
      <c r="M859" s="26"/>
      <c r="N859" s="26"/>
      <c r="O859" s="8"/>
      <c r="P859" s="1"/>
      <c r="Q859" s="8"/>
      <c r="R859" s="8"/>
      <c r="S859" s="1"/>
      <c r="T859" s="8"/>
      <c r="U859" s="8"/>
      <c r="V859" s="16"/>
      <c r="W859" s="1"/>
      <c r="X859" s="1"/>
    </row>
    <row r="860" spans="1:24" ht="14.4">
      <c r="A860" s="1"/>
      <c r="B860" s="8"/>
      <c r="C860" s="8"/>
      <c r="D860" s="8"/>
      <c r="E860" s="8"/>
      <c r="F860" s="8"/>
      <c r="G860" s="8"/>
      <c r="H860" s="8"/>
      <c r="I860" s="8"/>
      <c r="J860" s="8"/>
      <c r="K860" s="8"/>
      <c r="L860" s="56"/>
      <c r="M860" s="26"/>
      <c r="N860" s="26"/>
      <c r="O860" s="8"/>
      <c r="P860" s="1"/>
      <c r="Q860" s="8"/>
      <c r="R860" s="8"/>
      <c r="S860" s="1"/>
      <c r="T860" s="8"/>
      <c r="U860" s="8"/>
      <c r="V860" s="16"/>
      <c r="W860" s="1"/>
      <c r="X860" s="1"/>
    </row>
    <row r="861" spans="1:24" ht="14.4">
      <c r="A861" s="1"/>
      <c r="B861" s="8"/>
      <c r="C861" s="8"/>
      <c r="D861" s="8"/>
      <c r="E861" s="8"/>
      <c r="F861" s="8"/>
      <c r="G861" s="8"/>
      <c r="H861" s="8"/>
      <c r="I861" s="8"/>
      <c r="J861" s="8"/>
      <c r="K861" s="8"/>
      <c r="L861" s="56"/>
      <c r="M861" s="26"/>
      <c r="N861" s="26"/>
      <c r="O861" s="8"/>
      <c r="P861" s="1"/>
      <c r="Q861" s="8"/>
      <c r="R861" s="8"/>
      <c r="S861" s="1"/>
      <c r="T861" s="8"/>
      <c r="U861" s="8"/>
      <c r="V861" s="16"/>
      <c r="W861" s="1"/>
      <c r="X861" s="1"/>
    </row>
    <row r="862" spans="1:24" ht="14.4">
      <c r="A862" s="1"/>
      <c r="B862" s="8"/>
      <c r="C862" s="8"/>
      <c r="D862" s="8"/>
      <c r="E862" s="8"/>
      <c r="F862" s="8"/>
      <c r="G862" s="8"/>
      <c r="H862" s="8"/>
      <c r="I862" s="8"/>
      <c r="J862" s="8"/>
      <c r="K862" s="8"/>
      <c r="L862" s="56"/>
      <c r="M862" s="26"/>
      <c r="N862" s="26"/>
      <c r="O862" s="8"/>
      <c r="P862" s="1"/>
      <c r="Q862" s="8"/>
      <c r="R862" s="8"/>
      <c r="S862" s="1"/>
      <c r="T862" s="8"/>
      <c r="U862" s="8"/>
      <c r="V862" s="16"/>
      <c r="W862" s="1"/>
      <c r="X862" s="1"/>
    </row>
    <row r="863" spans="1:24" ht="14.4">
      <c r="A863" s="1"/>
      <c r="B863" s="8"/>
      <c r="C863" s="8"/>
      <c r="D863" s="8"/>
      <c r="E863" s="8"/>
      <c r="F863" s="8"/>
      <c r="G863" s="8"/>
      <c r="H863" s="8"/>
      <c r="I863" s="8"/>
      <c r="J863" s="8"/>
      <c r="K863" s="8"/>
      <c r="L863" s="56"/>
      <c r="M863" s="26"/>
      <c r="N863" s="26"/>
      <c r="O863" s="8"/>
      <c r="P863" s="1"/>
      <c r="Q863" s="8"/>
      <c r="R863" s="8"/>
      <c r="S863" s="1"/>
      <c r="T863" s="8"/>
      <c r="U863" s="8"/>
      <c r="V863" s="16"/>
      <c r="W863" s="1"/>
      <c r="X863" s="1"/>
    </row>
    <row r="864" spans="1:24" ht="14.4">
      <c r="A864" s="1"/>
      <c r="B864" s="8"/>
      <c r="C864" s="8"/>
      <c r="D864" s="8"/>
      <c r="E864" s="8"/>
      <c r="F864" s="8"/>
      <c r="G864" s="8"/>
      <c r="H864" s="8"/>
      <c r="I864" s="8"/>
      <c r="J864" s="8"/>
      <c r="K864" s="8"/>
      <c r="L864" s="56"/>
      <c r="M864" s="26"/>
      <c r="N864" s="26"/>
      <c r="O864" s="8"/>
      <c r="P864" s="1"/>
      <c r="Q864" s="8"/>
      <c r="R864" s="8"/>
      <c r="S864" s="1"/>
      <c r="T864" s="8"/>
      <c r="U864" s="8"/>
      <c r="V864" s="16"/>
      <c r="W864" s="1"/>
      <c r="X864" s="1"/>
    </row>
    <row r="865" spans="1:24" ht="14.4">
      <c r="A865" s="1"/>
      <c r="B865" s="8"/>
      <c r="C865" s="8"/>
      <c r="D865" s="8"/>
      <c r="E865" s="8"/>
      <c r="F865" s="8"/>
      <c r="G865" s="8"/>
      <c r="H865" s="8"/>
      <c r="I865" s="8"/>
      <c r="J865" s="8"/>
      <c r="K865" s="8"/>
      <c r="L865" s="56"/>
      <c r="M865" s="26"/>
      <c r="N865" s="26"/>
      <c r="O865" s="8"/>
      <c r="P865" s="1"/>
      <c r="Q865" s="8"/>
      <c r="R865" s="8"/>
      <c r="S865" s="1"/>
      <c r="T865" s="8"/>
      <c r="U865" s="8"/>
      <c r="V865" s="16"/>
      <c r="W865" s="1"/>
      <c r="X865" s="1"/>
    </row>
    <row r="866" spans="1:24" ht="14.4">
      <c r="A866" s="1"/>
      <c r="B866" s="8"/>
      <c r="C866" s="8"/>
      <c r="D866" s="8"/>
      <c r="E866" s="8"/>
      <c r="F866" s="8"/>
      <c r="G866" s="8"/>
      <c r="H866" s="8"/>
      <c r="I866" s="8"/>
      <c r="J866" s="8"/>
      <c r="K866" s="8"/>
      <c r="L866" s="56"/>
      <c r="M866" s="26"/>
      <c r="N866" s="26"/>
      <c r="O866" s="8"/>
      <c r="P866" s="1"/>
      <c r="Q866" s="8"/>
      <c r="R866" s="8"/>
      <c r="S866" s="1"/>
      <c r="T866" s="8"/>
      <c r="U866" s="8"/>
      <c r="V866" s="16"/>
      <c r="W866" s="1"/>
      <c r="X866" s="1"/>
    </row>
    <row r="867" spans="1:24" ht="14.4">
      <c r="A867" s="1"/>
      <c r="B867" s="8"/>
      <c r="C867" s="8"/>
      <c r="D867" s="8"/>
      <c r="E867" s="8"/>
      <c r="F867" s="8"/>
      <c r="G867" s="8"/>
      <c r="H867" s="8"/>
      <c r="I867" s="8"/>
      <c r="J867" s="8"/>
      <c r="K867" s="8"/>
      <c r="L867" s="56"/>
      <c r="M867" s="26"/>
      <c r="N867" s="26"/>
      <c r="O867" s="8"/>
      <c r="P867" s="1"/>
      <c r="Q867" s="8"/>
      <c r="R867" s="8"/>
      <c r="S867" s="1"/>
      <c r="T867" s="8"/>
      <c r="U867" s="8"/>
      <c r="V867" s="16"/>
      <c r="W867" s="1"/>
      <c r="X867" s="1"/>
    </row>
    <row r="868" spans="1:24" ht="14.4">
      <c r="A868" s="1"/>
      <c r="B868" s="8"/>
      <c r="C868" s="8"/>
      <c r="D868" s="8"/>
      <c r="E868" s="8"/>
      <c r="F868" s="8"/>
      <c r="G868" s="8"/>
      <c r="H868" s="8"/>
      <c r="I868" s="8"/>
      <c r="J868" s="8"/>
      <c r="K868" s="8"/>
      <c r="L868" s="56"/>
      <c r="M868" s="26"/>
      <c r="N868" s="26"/>
      <c r="O868" s="8"/>
      <c r="P868" s="1"/>
      <c r="Q868" s="8"/>
      <c r="R868" s="8"/>
      <c r="S868" s="1"/>
      <c r="T868" s="8"/>
      <c r="U868" s="8"/>
      <c r="V868" s="16"/>
      <c r="W868" s="1"/>
      <c r="X868" s="1"/>
    </row>
    <row r="869" spans="1:24" ht="14.4">
      <c r="A869" s="1"/>
      <c r="B869" s="8"/>
      <c r="C869" s="8"/>
      <c r="D869" s="8"/>
      <c r="E869" s="8"/>
      <c r="F869" s="8"/>
      <c r="G869" s="8"/>
      <c r="H869" s="8"/>
      <c r="I869" s="8"/>
      <c r="J869" s="8"/>
      <c r="K869" s="8"/>
      <c r="L869" s="56"/>
      <c r="M869" s="26"/>
      <c r="N869" s="26"/>
      <c r="O869" s="8"/>
      <c r="P869" s="1"/>
      <c r="Q869" s="8"/>
      <c r="R869" s="8"/>
      <c r="S869" s="1"/>
      <c r="T869" s="8"/>
      <c r="U869" s="8"/>
      <c r="V869" s="16"/>
      <c r="W869" s="1"/>
      <c r="X869" s="1"/>
    </row>
    <row r="870" spans="1:24" ht="14.4">
      <c r="A870" s="1"/>
      <c r="B870" s="8"/>
      <c r="C870" s="8"/>
      <c r="D870" s="8"/>
      <c r="E870" s="8"/>
      <c r="F870" s="8"/>
      <c r="G870" s="8"/>
      <c r="H870" s="8"/>
      <c r="I870" s="8"/>
      <c r="J870" s="8"/>
      <c r="K870" s="8"/>
      <c r="L870" s="56"/>
      <c r="M870" s="26"/>
      <c r="N870" s="26"/>
      <c r="O870" s="8"/>
      <c r="P870" s="1"/>
      <c r="Q870" s="8"/>
      <c r="R870" s="8"/>
      <c r="S870" s="1"/>
      <c r="T870" s="8"/>
      <c r="U870" s="8"/>
      <c r="V870" s="16"/>
      <c r="W870" s="1"/>
      <c r="X870" s="1"/>
    </row>
    <row r="871" spans="1:24" ht="14.4">
      <c r="A871" s="1"/>
      <c r="B871" s="8"/>
      <c r="C871" s="8"/>
      <c r="D871" s="8"/>
      <c r="E871" s="8"/>
      <c r="F871" s="8"/>
      <c r="G871" s="8"/>
      <c r="H871" s="8"/>
      <c r="I871" s="8"/>
      <c r="J871" s="8"/>
      <c r="K871" s="8"/>
      <c r="L871" s="56"/>
      <c r="M871" s="26"/>
      <c r="N871" s="26"/>
      <c r="O871" s="8"/>
      <c r="P871" s="1"/>
      <c r="Q871" s="8"/>
      <c r="R871" s="8"/>
      <c r="S871" s="1"/>
      <c r="T871" s="8"/>
      <c r="U871" s="8"/>
      <c r="V871" s="16"/>
      <c r="W871" s="1"/>
      <c r="X871" s="1"/>
    </row>
    <row r="872" spans="1:24" ht="14.4">
      <c r="A872" s="1"/>
      <c r="B872" s="8"/>
      <c r="C872" s="8"/>
      <c r="D872" s="8"/>
      <c r="E872" s="8"/>
      <c r="F872" s="8"/>
      <c r="G872" s="8"/>
      <c r="H872" s="8"/>
      <c r="I872" s="8"/>
      <c r="J872" s="8"/>
      <c r="K872" s="8"/>
      <c r="L872" s="56"/>
      <c r="M872" s="26"/>
      <c r="N872" s="26"/>
      <c r="O872" s="8"/>
      <c r="P872" s="1"/>
      <c r="Q872" s="8"/>
      <c r="R872" s="8"/>
      <c r="S872" s="1"/>
      <c r="T872" s="8"/>
      <c r="U872" s="8"/>
      <c r="V872" s="16"/>
      <c r="W872" s="1"/>
      <c r="X872" s="1"/>
    </row>
    <row r="873" spans="1:24" ht="14.4">
      <c r="A873" s="1"/>
      <c r="B873" s="8"/>
      <c r="C873" s="8"/>
      <c r="D873" s="8"/>
      <c r="E873" s="8"/>
      <c r="F873" s="8"/>
      <c r="G873" s="8"/>
      <c r="H873" s="8"/>
      <c r="I873" s="8"/>
      <c r="J873" s="8"/>
      <c r="K873" s="8"/>
      <c r="L873" s="56"/>
      <c r="M873" s="26"/>
      <c r="N873" s="26"/>
      <c r="O873" s="8"/>
      <c r="P873" s="1"/>
      <c r="Q873" s="8"/>
      <c r="R873" s="8"/>
      <c r="S873" s="1"/>
      <c r="T873" s="8"/>
      <c r="U873" s="8"/>
      <c r="V873" s="16"/>
      <c r="W873" s="1"/>
      <c r="X873" s="1"/>
    </row>
    <row r="874" spans="1:24" ht="14.4">
      <c r="A874" s="1"/>
      <c r="B874" s="8"/>
      <c r="C874" s="8"/>
      <c r="D874" s="8"/>
      <c r="E874" s="8"/>
      <c r="F874" s="8"/>
      <c r="G874" s="8"/>
      <c r="H874" s="8"/>
      <c r="I874" s="8"/>
      <c r="J874" s="8"/>
      <c r="K874" s="8"/>
      <c r="L874" s="56"/>
      <c r="M874" s="26"/>
      <c r="N874" s="26"/>
      <c r="O874" s="8"/>
      <c r="P874" s="1"/>
      <c r="Q874" s="8"/>
      <c r="R874" s="8"/>
      <c r="S874" s="1"/>
      <c r="T874" s="8"/>
      <c r="U874" s="8"/>
      <c r="V874" s="16"/>
      <c r="W874" s="1"/>
      <c r="X874" s="1"/>
    </row>
    <row r="875" spans="1:24" ht="14.4">
      <c r="A875" s="1"/>
      <c r="B875" s="8"/>
      <c r="C875" s="8"/>
      <c r="D875" s="8"/>
      <c r="E875" s="8"/>
      <c r="F875" s="8"/>
      <c r="G875" s="8"/>
      <c r="H875" s="8"/>
      <c r="I875" s="8"/>
      <c r="J875" s="8"/>
      <c r="K875" s="8"/>
      <c r="L875" s="56"/>
      <c r="M875" s="26"/>
      <c r="N875" s="26"/>
      <c r="O875" s="8"/>
      <c r="P875" s="1"/>
      <c r="Q875" s="8"/>
      <c r="R875" s="8"/>
      <c r="S875" s="1"/>
      <c r="T875" s="8"/>
      <c r="U875" s="8"/>
      <c r="V875" s="16"/>
      <c r="W875" s="1"/>
      <c r="X875" s="1"/>
    </row>
    <row r="876" spans="1:24" ht="14.4">
      <c r="A876" s="1"/>
      <c r="B876" s="8"/>
      <c r="C876" s="8"/>
      <c r="D876" s="8"/>
      <c r="E876" s="8"/>
      <c r="F876" s="8"/>
      <c r="G876" s="8"/>
      <c r="H876" s="8"/>
      <c r="I876" s="8"/>
      <c r="J876" s="8"/>
      <c r="K876" s="8"/>
      <c r="L876" s="56"/>
      <c r="M876" s="26"/>
      <c r="N876" s="26"/>
      <c r="O876" s="8"/>
      <c r="P876" s="1"/>
      <c r="Q876" s="8"/>
      <c r="R876" s="8"/>
      <c r="S876" s="1"/>
      <c r="T876" s="8"/>
      <c r="U876" s="8"/>
      <c r="V876" s="16"/>
      <c r="W876" s="1"/>
      <c r="X876" s="1"/>
    </row>
    <row r="877" spans="1:24" ht="14.4">
      <c r="A877" s="1"/>
      <c r="B877" s="8"/>
      <c r="C877" s="8"/>
      <c r="D877" s="8"/>
      <c r="E877" s="8"/>
      <c r="F877" s="8"/>
      <c r="G877" s="8"/>
      <c r="H877" s="8"/>
      <c r="I877" s="8"/>
      <c r="J877" s="8"/>
      <c r="K877" s="8"/>
      <c r="L877" s="56"/>
      <c r="M877" s="26"/>
      <c r="N877" s="26"/>
      <c r="O877" s="8"/>
      <c r="P877" s="1"/>
      <c r="Q877" s="8"/>
      <c r="R877" s="8"/>
      <c r="S877" s="1"/>
      <c r="T877" s="8"/>
      <c r="U877" s="8"/>
      <c r="V877" s="16"/>
      <c r="W877" s="1"/>
      <c r="X877" s="1"/>
    </row>
    <row r="878" spans="1:24" ht="14.4">
      <c r="A878" s="1"/>
      <c r="B878" s="8"/>
      <c r="C878" s="8"/>
      <c r="D878" s="8"/>
      <c r="E878" s="8"/>
      <c r="F878" s="8"/>
      <c r="G878" s="8"/>
      <c r="H878" s="8"/>
      <c r="I878" s="8"/>
      <c r="J878" s="8"/>
      <c r="K878" s="8"/>
      <c r="L878" s="56"/>
      <c r="M878" s="26"/>
      <c r="N878" s="26"/>
      <c r="O878" s="8"/>
      <c r="P878" s="1"/>
      <c r="Q878" s="8"/>
      <c r="R878" s="8"/>
      <c r="S878" s="1"/>
      <c r="T878" s="8"/>
      <c r="U878" s="8"/>
      <c r="V878" s="16"/>
      <c r="W878" s="1"/>
      <c r="X878" s="1"/>
    </row>
    <row r="879" spans="1:24" ht="14.4">
      <c r="A879" s="1"/>
      <c r="B879" s="8"/>
      <c r="C879" s="8"/>
      <c r="D879" s="8"/>
      <c r="E879" s="8"/>
      <c r="F879" s="8"/>
      <c r="G879" s="8"/>
      <c r="H879" s="8"/>
      <c r="I879" s="8"/>
      <c r="J879" s="8"/>
      <c r="K879" s="8"/>
      <c r="L879" s="56"/>
      <c r="M879" s="26"/>
      <c r="N879" s="26"/>
      <c r="O879" s="8"/>
      <c r="P879" s="1"/>
      <c r="Q879" s="8"/>
      <c r="R879" s="8"/>
      <c r="S879" s="1"/>
      <c r="T879" s="8"/>
      <c r="U879" s="8"/>
      <c r="V879" s="16"/>
      <c r="W879" s="1"/>
      <c r="X879" s="1"/>
    </row>
    <row r="880" spans="1:24" ht="14.4">
      <c r="A880" s="1"/>
      <c r="B880" s="8"/>
      <c r="C880" s="8"/>
      <c r="D880" s="8"/>
      <c r="E880" s="8"/>
      <c r="F880" s="8"/>
      <c r="G880" s="8"/>
      <c r="H880" s="8"/>
      <c r="I880" s="8"/>
      <c r="J880" s="8"/>
      <c r="K880" s="8"/>
      <c r="L880" s="56"/>
      <c r="M880" s="26"/>
      <c r="N880" s="26"/>
      <c r="O880" s="8"/>
      <c r="P880" s="1"/>
      <c r="Q880" s="8"/>
      <c r="R880" s="8"/>
      <c r="S880" s="1"/>
      <c r="T880" s="8"/>
      <c r="U880" s="8"/>
      <c r="V880" s="16"/>
      <c r="W880" s="1"/>
      <c r="X880" s="1"/>
    </row>
    <row r="881" spans="1:24" ht="14.4">
      <c r="A881" s="1"/>
      <c r="B881" s="8"/>
      <c r="C881" s="8"/>
      <c r="D881" s="8"/>
      <c r="E881" s="8"/>
      <c r="F881" s="8"/>
      <c r="G881" s="8"/>
      <c r="H881" s="8"/>
      <c r="I881" s="8"/>
      <c r="J881" s="8"/>
      <c r="K881" s="8"/>
      <c r="L881" s="56"/>
      <c r="M881" s="26"/>
      <c r="N881" s="26"/>
      <c r="O881" s="8"/>
      <c r="P881" s="1"/>
      <c r="Q881" s="8"/>
      <c r="R881" s="8"/>
      <c r="S881" s="1"/>
      <c r="T881" s="8"/>
      <c r="U881" s="8"/>
      <c r="V881" s="16"/>
      <c r="W881" s="1"/>
      <c r="X881" s="1"/>
    </row>
    <row r="882" spans="1:24" ht="14.4">
      <c r="A882" s="1"/>
      <c r="B882" s="8"/>
      <c r="C882" s="8"/>
      <c r="D882" s="8"/>
      <c r="E882" s="8"/>
      <c r="F882" s="8"/>
      <c r="G882" s="8"/>
      <c r="H882" s="8"/>
      <c r="I882" s="8"/>
      <c r="J882" s="8"/>
      <c r="K882" s="8"/>
      <c r="L882" s="56"/>
      <c r="M882" s="26"/>
      <c r="N882" s="26"/>
      <c r="O882" s="8"/>
      <c r="P882" s="1"/>
      <c r="Q882" s="8"/>
      <c r="R882" s="8"/>
      <c r="S882" s="1"/>
      <c r="T882" s="8"/>
      <c r="U882" s="8"/>
      <c r="V882" s="16"/>
      <c r="W882" s="1"/>
      <c r="X882" s="1"/>
    </row>
    <row r="883" spans="1:24" ht="14.4">
      <c r="A883" s="1"/>
      <c r="B883" s="8"/>
      <c r="C883" s="8"/>
      <c r="D883" s="8"/>
      <c r="E883" s="8"/>
      <c r="F883" s="8"/>
      <c r="G883" s="8"/>
      <c r="H883" s="8"/>
      <c r="I883" s="8"/>
      <c r="J883" s="8"/>
      <c r="K883" s="8"/>
      <c r="L883" s="56"/>
      <c r="M883" s="26"/>
      <c r="N883" s="26"/>
      <c r="O883" s="8"/>
      <c r="P883" s="1"/>
      <c r="Q883" s="8"/>
      <c r="R883" s="8"/>
      <c r="S883" s="1"/>
      <c r="T883" s="8"/>
      <c r="U883" s="8"/>
      <c r="V883" s="16"/>
      <c r="W883" s="1"/>
      <c r="X883" s="1"/>
    </row>
    <row r="884" spans="1:24" ht="14.4">
      <c r="A884" s="1"/>
      <c r="B884" s="8"/>
      <c r="C884" s="8"/>
      <c r="D884" s="8"/>
      <c r="E884" s="8"/>
      <c r="F884" s="8"/>
      <c r="G884" s="8"/>
      <c r="H884" s="8"/>
      <c r="I884" s="8"/>
      <c r="J884" s="8"/>
      <c r="K884" s="8"/>
      <c r="L884" s="56"/>
      <c r="M884" s="26"/>
      <c r="N884" s="26"/>
      <c r="O884" s="8"/>
      <c r="P884" s="1"/>
      <c r="Q884" s="8"/>
      <c r="R884" s="8"/>
      <c r="S884" s="1"/>
      <c r="T884" s="8"/>
      <c r="U884" s="8"/>
      <c r="V884" s="16"/>
      <c r="W884" s="1"/>
      <c r="X884" s="1"/>
    </row>
    <row r="885" spans="1:24" ht="14.4">
      <c r="A885" s="1"/>
      <c r="B885" s="8"/>
      <c r="C885" s="8"/>
      <c r="D885" s="8"/>
      <c r="E885" s="8"/>
      <c r="F885" s="8"/>
      <c r="G885" s="8"/>
      <c r="H885" s="8"/>
      <c r="I885" s="8"/>
      <c r="J885" s="8"/>
      <c r="K885" s="8"/>
      <c r="L885" s="56"/>
      <c r="M885" s="26"/>
      <c r="N885" s="26"/>
      <c r="O885" s="8"/>
      <c r="P885" s="1"/>
      <c r="Q885" s="8"/>
      <c r="R885" s="8"/>
      <c r="S885" s="1"/>
      <c r="T885" s="8"/>
      <c r="U885" s="8"/>
      <c r="V885" s="16"/>
      <c r="W885" s="1"/>
      <c r="X885" s="1"/>
    </row>
    <row r="886" spans="1:24" ht="14.4">
      <c r="A886" s="1"/>
      <c r="B886" s="8"/>
      <c r="C886" s="8"/>
      <c r="D886" s="8"/>
      <c r="E886" s="8"/>
      <c r="F886" s="8"/>
      <c r="G886" s="8"/>
      <c r="H886" s="8"/>
      <c r="I886" s="8"/>
      <c r="J886" s="8"/>
      <c r="K886" s="8"/>
      <c r="L886" s="56"/>
      <c r="M886" s="26"/>
      <c r="N886" s="26"/>
      <c r="O886" s="8"/>
      <c r="P886" s="1"/>
      <c r="Q886" s="8"/>
      <c r="R886" s="8"/>
      <c r="S886" s="1"/>
      <c r="T886" s="8"/>
      <c r="U886" s="8"/>
      <c r="V886" s="16"/>
      <c r="W886" s="1"/>
      <c r="X886" s="1"/>
    </row>
    <row r="887" spans="1:24" ht="14.4">
      <c r="A887" s="1"/>
      <c r="B887" s="8"/>
      <c r="C887" s="8"/>
      <c r="D887" s="8"/>
      <c r="E887" s="8"/>
      <c r="F887" s="8"/>
      <c r="G887" s="8"/>
      <c r="H887" s="8"/>
      <c r="I887" s="8"/>
      <c r="J887" s="8"/>
      <c r="K887" s="8"/>
      <c r="L887" s="56"/>
      <c r="M887" s="26"/>
      <c r="N887" s="26"/>
      <c r="O887" s="8"/>
      <c r="P887" s="1"/>
      <c r="Q887" s="8"/>
      <c r="R887" s="8"/>
      <c r="S887" s="1"/>
      <c r="T887" s="8"/>
      <c r="U887" s="8"/>
      <c r="V887" s="16"/>
      <c r="W887" s="1"/>
      <c r="X887" s="1"/>
    </row>
    <row r="888" spans="1:24" ht="14.4">
      <c r="A888" s="1"/>
      <c r="B888" s="8"/>
      <c r="C888" s="8"/>
      <c r="D888" s="8"/>
      <c r="E888" s="8"/>
      <c r="F888" s="8"/>
      <c r="G888" s="8"/>
      <c r="H888" s="8"/>
      <c r="I888" s="8"/>
      <c r="J888" s="8"/>
      <c r="K888" s="8"/>
      <c r="L888" s="56"/>
      <c r="M888" s="26"/>
      <c r="N888" s="26"/>
      <c r="O888" s="8"/>
      <c r="P888" s="1"/>
      <c r="Q888" s="8"/>
      <c r="R888" s="8"/>
      <c r="S888" s="1"/>
      <c r="T888" s="8"/>
      <c r="U888" s="8"/>
      <c r="V888" s="16"/>
      <c r="W888" s="1"/>
      <c r="X888" s="1"/>
    </row>
    <row r="889" spans="1:24" ht="14.4">
      <c r="A889" s="1"/>
      <c r="B889" s="8"/>
      <c r="C889" s="8"/>
      <c r="D889" s="8"/>
      <c r="E889" s="8"/>
      <c r="F889" s="8"/>
      <c r="G889" s="8"/>
      <c r="H889" s="8"/>
      <c r="I889" s="8"/>
      <c r="J889" s="8"/>
      <c r="K889" s="8"/>
      <c r="L889" s="56"/>
      <c r="M889" s="26"/>
      <c r="N889" s="26"/>
      <c r="O889" s="8"/>
      <c r="P889" s="1"/>
      <c r="Q889" s="8"/>
      <c r="R889" s="8"/>
      <c r="S889" s="1"/>
      <c r="T889" s="8"/>
      <c r="U889" s="8"/>
      <c r="V889" s="16"/>
      <c r="W889" s="1"/>
      <c r="X889" s="1"/>
    </row>
    <row r="890" spans="1:24" ht="14.4">
      <c r="A890" s="1"/>
      <c r="B890" s="8"/>
      <c r="C890" s="8"/>
      <c r="D890" s="8"/>
      <c r="E890" s="8"/>
      <c r="F890" s="8"/>
      <c r="G890" s="8"/>
      <c r="H890" s="8"/>
      <c r="I890" s="8"/>
      <c r="J890" s="8"/>
      <c r="K890" s="8"/>
      <c r="L890" s="56"/>
      <c r="M890" s="26"/>
      <c r="N890" s="26"/>
      <c r="O890" s="8"/>
      <c r="P890" s="1"/>
      <c r="Q890" s="8"/>
      <c r="R890" s="8"/>
      <c r="S890" s="1"/>
      <c r="T890" s="8"/>
      <c r="U890" s="8"/>
      <c r="V890" s="16"/>
      <c r="W890" s="1"/>
      <c r="X890" s="1"/>
    </row>
    <row r="891" spans="1:24" ht="14.4">
      <c r="A891" s="1"/>
      <c r="B891" s="8"/>
      <c r="C891" s="8"/>
      <c r="D891" s="8"/>
      <c r="E891" s="8"/>
      <c r="F891" s="8"/>
      <c r="G891" s="8"/>
      <c r="H891" s="8"/>
      <c r="I891" s="8"/>
      <c r="J891" s="8"/>
      <c r="K891" s="8"/>
      <c r="L891" s="56"/>
      <c r="M891" s="26"/>
      <c r="N891" s="26"/>
      <c r="O891" s="8"/>
      <c r="P891" s="1"/>
      <c r="Q891" s="8"/>
      <c r="R891" s="8"/>
      <c r="S891" s="1"/>
      <c r="T891" s="8"/>
      <c r="U891" s="8"/>
      <c r="V891" s="16"/>
      <c r="W891" s="1"/>
      <c r="X891" s="1"/>
    </row>
    <row r="892" spans="1:24" ht="14.4">
      <c r="A892" s="1"/>
      <c r="B892" s="8"/>
      <c r="C892" s="8"/>
      <c r="D892" s="8"/>
      <c r="E892" s="8"/>
      <c r="F892" s="8"/>
      <c r="G892" s="8"/>
      <c r="H892" s="8"/>
      <c r="I892" s="8"/>
      <c r="J892" s="8"/>
      <c r="K892" s="8"/>
      <c r="L892" s="56"/>
      <c r="M892" s="26"/>
      <c r="N892" s="26"/>
      <c r="O892" s="8"/>
      <c r="P892" s="1"/>
      <c r="Q892" s="8"/>
      <c r="R892" s="8"/>
      <c r="S892" s="1"/>
      <c r="T892" s="8"/>
      <c r="U892" s="8"/>
      <c r="V892" s="16"/>
      <c r="W892" s="1"/>
      <c r="X892" s="1"/>
    </row>
    <row r="893" spans="1:24" ht="14.4">
      <c r="A893" s="1"/>
      <c r="B893" s="8"/>
      <c r="C893" s="8"/>
      <c r="D893" s="8"/>
      <c r="E893" s="8"/>
      <c r="F893" s="8"/>
      <c r="G893" s="8"/>
      <c r="H893" s="8"/>
      <c r="I893" s="8"/>
      <c r="J893" s="8"/>
      <c r="K893" s="8"/>
      <c r="L893" s="56"/>
      <c r="M893" s="26"/>
      <c r="N893" s="26"/>
      <c r="O893" s="8"/>
      <c r="P893" s="1"/>
      <c r="Q893" s="8"/>
      <c r="R893" s="8"/>
      <c r="S893" s="1"/>
      <c r="T893" s="8"/>
      <c r="U893" s="8"/>
      <c r="V893" s="16"/>
      <c r="W893" s="1"/>
      <c r="X893" s="1"/>
    </row>
    <row r="894" spans="1:24" ht="14.4">
      <c r="A894" s="1"/>
      <c r="B894" s="8"/>
      <c r="C894" s="8"/>
      <c r="D894" s="8"/>
      <c r="E894" s="8"/>
      <c r="F894" s="8"/>
      <c r="G894" s="8"/>
      <c r="H894" s="8"/>
      <c r="I894" s="8"/>
      <c r="J894" s="8"/>
      <c r="K894" s="8"/>
      <c r="L894" s="56"/>
      <c r="M894" s="26"/>
      <c r="N894" s="26"/>
      <c r="O894" s="8"/>
      <c r="P894" s="1"/>
      <c r="Q894" s="8"/>
      <c r="R894" s="8"/>
      <c r="S894" s="1"/>
      <c r="T894" s="8"/>
      <c r="U894" s="8"/>
      <c r="V894" s="16"/>
      <c r="W894" s="1"/>
      <c r="X894" s="1"/>
    </row>
    <row r="895" spans="1:24" ht="14.4">
      <c r="A895" s="1"/>
      <c r="B895" s="8"/>
      <c r="C895" s="8"/>
      <c r="D895" s="8"/>
      <c r="E895" s="8"/>
      <c r="F895" s="8"/>
      <c r="G895" s="8"/>
      <c r="H895" s="8"/>
      <c r="I895" s="8"/>
      <c r="J895" s="8"/>
      <c r="K895" s="8"/>
      <c r="L895" s="56"/>
      <c r="M895" s="26"/>
      <c r="N895" s="26"/>
      <c r="O895" s="8"/>
      <c r="P895" s="1"/>
      <c r="Q895" s="8"/>
      <c r="R895" s="8"/>
      <c r="S895" s="1"/>
      <c r="T895" s="8"/>
      <c r="U895" s="8"/>
      <c r="V895" s="16"/>
      <c r="W895" s="1"/>
      <c r="X895" s="1"/>
    </row>
    <row r="896" spans="1:24" ht="14.4">
      <c r="A896" s="1"/>
      <c r="B896" s="8"/>
      <c r="C896" s="8"/>
      <c r="D896" s="8"/>
      <c r="E896" s="8"/>
      <c r="F896" s="8"/>
      <c r="G896" s="8"/>
      <c r="H896" s="8"/>
      <c r="I896" s="8"/>
      <c r="J896" s="8"/>
      <c r="K896" s="8"/>
      <c r="L896" s="56"/>
      <c r="M896" s="26"/>
      <c r="N896" s="26"/>
      <c r="O896" s="8"/>
      <c r="P896" s="1"/>
      <c r="Q896" s="8"/>
      <c r="R896" s="8"/>
      <c r="S896" s="1"/>
      <c r="T896" s="8"/>
      <c r="U896" s="8"/>
      <c r="V896" s="16"/>
      <c r="W896" s="1"/>
      <c r="X896" s="1"/>
    </row>
    <row r="897" spans="1:24" ht="14.4">
      <c r="A897" s="1"/>
      <c r="B897" s="8"/>
      <c r="C897" s="8"/>
      <c r="D897" s="8"/>
      <c r="E897" s="8"/>
      <c r="F897" s="8"/>
      <c r="G897" s="8"/>
      <c r="H897" s="8"/>
      <c r="I897" s="8"/>
      <c r="J897" s="8"/>
      <c r="K897" s="8"/>
      <c r="L897" s="56"/>
      <c r="M897" s="26"/>
      <c r="N897" s="26"/>
      <c r="O897" s="8"/>
      <c r="P897" s="1"/>
      <c r="Q897" s="8"/>
      <c r="R897" s="8"/>
      <c r="S897" s="1"/>
      <c r="T897" s="8"/>
      <c r="U897" s="8"/>
      <c r="V897" s="16"/>
      <c r="W897" s="1"/>
      <c r="X897" s="1"/>
    </row>
    <row r="898" spans="1:24" ht="14.4">
      <c r="A898" s="1"/>
      <c r="B898" s="8"/>
      <c r="C898" s="8"/>
      <c r="D898" s="8"/>
      <c r="E898" s="8"/>
      <c r="F898" s="8"/>
      <c r="G898" s="8"/>
      <c r="H898" s="8"/>
      <c r="I898" s="8"/>
      <c r="J898" s="8"/>
      <c r="K898" s="8"/>
      <c r="L898" s="56"/>
      <c r="M898" s="26"/>
      <c r="N898" s="26"/>
      <c r="O898" s="8"/>
      <c r="P898" s="1"/>
      <c r="Q898" s="8"/>
      <c r="R898" s="8"/>
      <c r="S898" s="1"/>
      <c r="T898" s="8"/>
      <c r="U898" s="8"/>
      <c r="V898" s="16"/>
      <c r="W898" s="1"/>
      <c r="X898" s="1"/>
    </row>
    <row r="899" spans="1:24" ht="14.4">
      <c r="A899" s="1"/>
      <c r="B899" s="8"/>
      <c r="C899" s="8"/>
      <c r="D899" s="8"/>
      <c r="E899" s="8"/>
      <c r="F899" s="8"/>
      <c r="G899" s="8"/>
      <c r="H899" s="8"/>
      <c r="I899" s="8"/>
      <c r="J899" s="8"/>
      <c r="K899" s="8"/>
      <c r="L899" s="56"/>
      <c r="M899" s="26"/>
      <c r="N899" s="26"/>
      <c r="O899" s="8"/>
      <c r="P899" s="1"/>
      <c r="Q899" s="8"/>
      <c r="R899" s="8"/>
      <c r="S899" s="1"/>
      <c r="T899" s="8"/>
      <c r="U899" s="8"/>
      <c r="V899" s="16"/>
      <c r="W899" s="1"/>
      <c r="X899" s="1"/>
    </row>
    <row r="900" spans="1:24" ht="14.4">
      <c r="A900" s="1"/>
      <c r="B900" s="8"/>
      <c r="C900" s="8"/>
      <c r="D900" s="8"/>
      <c r="E900" s="8"/>
      <c r="F900" s="8"/>
      <c r="G900" s="8"/>
      <c r="H900" s="8"/>
      <c r="I900" s="8"/>
      <c r="J900" s="8"/>
      <c r="K900" s="8"/>
      <c r="L900" s="56"/>
      <c r="M900" s="26"/>
      <c r="N900" s="26"/>
      <c r="O900" s="8"/>
      <c r="P900" s="1"/>
      <c r="Q900" s="8"/>
      <c r="R900" s="8"/>
      <c r="S900" s="1"/>
      <c r="T900" s="8"/>
      <c r="U900" s="8"/>
      <c r="V900" s="16"/>
      <c r="W900" s="1"/>
      <c r="X900" s="1"/>
    </row>
    <row r="901" spans="1:24" ht="14.4">
      <c r="A901" s="1"/>
      <c r="B901" s="8"/>
      <c r="C901" s="8"/>
      <c r="D901" s="8"/>
      <c r="E901" s="8"/>
      <c r="F901" s="8"/>
      <c r="G901" s="8"/>
      <c r="H901" s="8"/>
      <c r="I901" s="8"/>
      <c r="J901" s="8"/>
      <c r="K901" s="8"/>
      <c r="L901" s="56"/>
      <c r="M901" s="26"/>
      <c r="N901" s="26"/>
      <c r="O901" s="8"/>
      <c r="P901" s="1"/>
      <c r="Q901" s="8"/>
      <c r="R901" s="8"/>
      <c r="S901" s="1"/>
      <c r="T901" s="8"/>
      <c r="U901" s="8"/>
      <c r="V901" s="16"/>
      <c r="W901" s="1"/>
      <c r="X901" s="1"/>
    </row>
    <row r="902" spans="1:24" ht="14.4">
      <c r="A902" s="1"/>
      <c r="B902" s="8"/>
      <c r="C902" s="8"/>
      <c r="D902" s="8"/>
      <c r="E902" s="8"/>
      <c r="F902" s="8"/>
      <c r="G902" s="8"/>
      <c r="H902" s="8"/>
      <c r="I902" s="8"/>
      <c r="J902" s="8"/>
      <c r="K902" s="8"/>
      <c r="L902" s="56"/>
      <c r="M902" s="26"/>
      <c r="N902" s="26"/>
      <c r="O902" s="8"/>
      <c r="P902" s="1"/>
      <c r="Q902" s="8"/>
      <c r="R902" s="8"/>
      <c r="S902" s="1"/>
      <c r="T902" s="8"/>
      <c r="U902" s="8"/>
      <c r="V902" s="16"/>
      <c r="W902" s="1"/>
      <c r="X902" s="1"/>
    </row>
    <row r="903" spans="1:24" ht="14.4">
      <c r="A903" s="1"/>
      <c r="B903" s="8"/>
      <c r="C903" s="8"/>
      <c r="D903" s="8"/>
      <c r="E903" s="8"/>
      <c r="F903" s="8"/>
      <c r="G903" s="8"/>
      <c r="H903" s="8"/>
      <c r="I903" s="8"/>
      <c r="J903" s="8"/>
      <c r="K903" s="8"/>
      <c r="L903" s="56"/>
      <c r="M903" s="26"/>
      <c r="N903" s="26"/>
      <c r="O903" s="8"/>
      <c r="P903" s="1"/>
      <c r="Q903" s="8"/>
      <c r="R903" s="8"/>
      <c r="S903" s="1"/>
      <c r="T903" s="8"/>
      <c r="U903" s="8"/>
      <c r="V903" s="16"/>
      <c r="W903" s="1"/>
      <c r="X903" s="1"/>
    </row>
    <row r="904" spans="1:24" ht="14.4">
      <c r="A904" s="1"/>
      <c r="B904" s="8"/>
      <c r="C904" s="8"/>
      <c r="D904" s="8"/>
      <c r="E904" s="8"/>
      <c r="F904" s="8"/>
      <c r="G904" s="8"/>
      <c r="H904" s="8"/>
      <c r="I904" s="8"/>
      <c r="J904" s="8"/>
      <c r="K904" s="8"/>
      <c r="L904" s="56"/>
      <c r="M904" s="26"/>
      <c r="N904" s="26"/>
      <c r="O904" s="8"/>
      <c r="P904" s="1"/>
      <c r="Q904" s="8"/>
      <c r="R904" s="8"/>
      <c r="S904" s="1"/>
      <c r="T904" s="8"/>
      <c r="U904" s="8"/>
      <c r="V904" s="16"/>
      <c r="W904" s="1"/>
      <c r="X904" s="1"/>
    </row>
    <row r="905" spans="1:24" ht="14.4">
      <c r="A905" s="1"/>
      <c r="B905" s="8"/>
      <c r="C905" s="8"/>
      <c r="D905" s="8"/>
      <c r="E905" s="8"/>
      <c r="F905" s="8"/>
      <c r="G905" s="8"/>
      <c r="H905" s="8"/>
      <c r="I905" s="8"/>
      <c r="J905" s="8"/>
      <c r="K905" s="8"/>
      <c r="L905" s="56"/>
      <c r="M905" s="26"/>
      <c r="N905" s="26"/>
      <c r="O905" s="8"/>
      <c r="P905" s="1"/>
      <c r="Q905" s="8"/>
      <c r="R905" s="8"/>
      <c r="S905" s="1"/>
      <c r="T905" s="8"/>
      <c r="U905" s="8"/>
      <c r="V905" s="16"/>
      <c r="W905" s="1"/>
      <c r="X905" s="1"/>
    </row>
    <row r="906" spans="1:24" ht="14.4">
      <c r="A906" s="1"/>
      <c r="B906" s="8"/>
      <c r="C906" s="8"/>
      <c r="D906" s="8"/>
      <c r="E906" s="8"/>
      <c r="F906" s="8"/>
      <c r="G906" s="8"/>
      <c r="H906" s="8"/>
      <c r="I906" s="8"/>
      <c r="J906" s="8"/>
      <c r="K906" s="8"/>
      <c r="L906" s="56"/>
      <c r="M906" s="26"/>
      <c r="N906" s="26"/>
      <c r="O906" s="8"/>
      <c r="P906" s="1"/>
      <c r="Q906" s="8"/>
      <c r="R906" s="8"/>
      <c r="S906" s="1"/>
      <c r="T906" s="8"/>
      <c r="U906" s="8"/>
      <c r="V906" s="16"/>
      <c r="W906" s="1"/>
      <c r="X906" s="1"/>
    </row>
    <row r="907" spans="1:24" ht="14.4">
      <c r="A907" s="1"/>
      <c r="B907" s="8"/>
      <c r="C907" s="8"/>
      <c r="D907" s="8"/>
      <c r="E907" s="8"/>
      <c r="F907" s="8"/>
      <c r="G907" s="8"/>
      <c r="H907" s="8"/>
      <c r="I907" s="8"/>
      <c r="J907" s="8"/>
      <c r="K907" s="8"/>
      <c r="L907" s="56"/>
      <c r="M907" s="26"/>
      <c r="N907" s="26"/>
      <c r="O907" s="8"/>
      <c r="P907" s="1"/>
      <c r="Q907" s="8"/>
      <c r="R907" s="8"/>
      <c r="S907" s="1"/>
      <c r="T907" s="8"/>
      <c r="U907" s="8"/>
      <c r="V907" s="16"/>
      <c r="W907" s="1"/>
      <c r="X907" s="1"/>
    </row>
    <row r="908" spans="1:24" ht="14.4">
      <c r="A908" s="1"/>
      <c r="B908" s="8"/>
      <c r="C908" s="8"/>
      <c r="D908" s="8"/>
      <c r="E908" s="8"/>
      <c r="F908" s="8"/>
      <c r="G908" s="8"/>
      <c r="H908" s="8"/>
      <c r="I908" s="8"/>
      <c r="J908" s="8"/>
      <c r="K908" s="8"/>
      <c r="L908" s="56"/>
      <c r="M908" s="26"/>
      <c r="N908" s="26"/>
      <c r="O908" s="8"/>
      <c r="P908" s="1"/>
      <c r="Q908" s="8"/>
      <c r="R908" s="8"/>
      <c r="S908" s="1"/>
      <c r="T908" s="8"/>
      <c r="U908" s="8"/>
      <c r="V908" s="16"/>
      <c r="W908" s="1"/>
      <c r="X908" s="1"/>
    </row>
    <row r="909" spans="1:24" ht="14.4">
      <c r="A909" s="1"/>
      <c r="B909" s="8"/>
      <c r="C909" s="8"/>
      <c r="D909" s="8"/>
      <c r="E909" s="8"/>
      <c r="F909" s="8"/>
      <c r="G909" s="8"/>
      <c r="H909" s="8"/>
      <c r="I909" s="8"/>
      <c r="J909" s="8"/>
      <c r="K909" s="8"/>
      <c r="L909" s="56"/>
      <c r="M909" s="26"/>
      <c r="N909" s="26"/>
      <c r="O909" s="8"/>
      <c r="P909" s="1"/>
      <c r="Q909" s="8"/>
      <c r="R909" s="8"/>
      <c r="S909" s="1"/>
      <c r="T909" s="8"/>
      <c r="U909" s="8"/>
      <c r="V909" s="16"/>
      <c r="W909" s="1"/>
      <c r="X909" s="1"/>
    </row>
    <row r="910" spans="1:24" ht="14.4">
      <c r="A910" s="1"/>
      <c r="B910" s="8"/>
      <c r="C910" s="8"/>
      <c r="D910" s="8"/>
      <c r="E910" s="8"/>
      <c r="F910" s="8"/>
      <c r="G910" s="8"/>
      <c r="H910" s="8"/>
      <c r="I910" s="8"/>
      <c r="J910" s="8"/>
      <c r="K910" s="8"/>
      <c r="L910" s="56"/>
      <c r="M910" s="26"/>
      <c r="N910" s="26"/>
      <c r="O910" s="8"/>
      <c r="P910" s="1"/>
      <c r="Q910" s="8"/>
      <c r="R910" s="8"/>
      <c r="S910" s="1"/>
      <c r="T910" s="8"/>
      <c r="U910" s="8"/>
      <c r="V910" s="16"/>
      <c r="W910" s="1"/>
      <c r="X910" s="1"/>
    </row>
    <row r="911" spans="1:24" ht="14.4">
      <c r="A911" s="1"/>
      <c r="B911" s="8"/>
      <c r="C911" s="8"/>
      <c r="D911" s="8"/>
      <c r="E911" s="8"/>
      <c r="F911" s="8"/>
      <c r="G911" s="8"/>
      <c r="H911" s="8"/>
      <c r="I911" s="8"/>
      <c r="J911" s="8"/>
      <c r="K911" s="8"/>
      <c r="L911" s="56"/>
      <c r="M911" s="26"/>
      <c r="N911" s="26"/>
      <c r="O911" s="8"/>
      <c r="P911" s="1"/>
      <c r="Q911" s="8"/>
      <c r="R911" s="8"/>
      <c r="S911" s="1"/>
      <c r="T911" s="8"/>
      <c r="U911" s="8"/>
      <c r="V911" s="16"/>
      <c r="W911" s="1"/>
      <c r="X911" s="1"/>
    </row>
    <row r="912" spans="1:24" ht="14.4">
      <c r="A912" s="1"/>
      <c r="B912" s="8"/>
      <c r="C912" s="8"/>
      <c r="D912" s="8"/>
      <c r="E912" s="8"/>
      <c r="F912" s="8"/>
      <c r="G912" s="8"/>
      <c r="H912" s="8"/>
      <c r="I912" s="8"/>
      <c r="J912" s="8"/>
      <c r="K912" s="8"/>
      <c r="L912" s="56"/>
      <c r="M912" s="26"/>
      <c r="N912" s="26"/>
      <c r="O912" s="8"/>
      <c r="P912" s="1"/>
      <c r="Q912" s="8"/>
      <c r="R912" s="8"/>
      <c r="S912" s="1"/>
      <c r="T912" s="8"/>
      <c r="U912" s="8"/>
      <c r="V912" s="16"/>
      <c r="W912" s="1"/>
      <c r="X912" s="1"/>
    </row>
    <row r="913" spans="1:24" ht="14.4">
      <c r="A913" s="1"/>
      <c r="B913" s="8"/>
      <c r="C913" s="8"/>
      <c r="D913" s="8"/>
      <c r="E913" s="8"/>
      <c r="F913" s="8"/>
      <c r="G913" s="8"/>
      <c r="H913" s="8"/>
      <c r="I913" s="8"/>
      <c r="J913" s="8"/>
      <c r="K913" s="8"/>
      <c r="L913" s="56"/>
      <c r="M913" s="26"/>
      <c r="N913" s="26"/>
      <c r="O913" s="8"/>
      <c r="P913" s="1"/>
      <c r="Q913" s="8"/>
      <c r="R913" s="8"/>
      <c r="S913" s="1"/>
      <c r="T913" s="8"/>
      <c r="U913" s="8"/>
      <c r="V913" s="16"/>
      <c r="W913" s="1"/>
      <c r="X913" s="1"/>
    </row>
    <row r="914" spans="1:24" ht="14.4">
      <c r="A914" s="1"/>
      <c r="B914" s="8"/>
      <c r="C914" s="8"/>
      <c r="D914" s="8"/>
      <c r="E914" s="8"/>
      <c r="F914" s="8"/>
      <c r="G914" s="8"/>
      <c r="H914" s="8"/>
      <c r="I914" s="8"/>
      <c r="J914" s="8"/>
      <c r="K914" s="8"/>
      <c r="L914" s="56"/>
      <c r="M914" s="26"/>
      <c r="N914" s="26"/>
      <c r="O914" s="8"/>
      <c r="P914" s="1"/>
      <c r="Q914" s="8"/>
      <c r="R914" s="8"/>
      <c r="S914" s="1"/>
      <c r="T914" s="8"/>
      <c r="U914" s="8"/>
      <c r="V914" s="16"/>
      <c r="W914" s="1"/>
      <c r="X914" s="1"/>
    </row>
    <row r="915" spans="1:24" ht="14.4">
      <c r="A915" s="1"/>
      <c r="B915" s="8"/>
      <c r="C915" s="8"/>
      <c r="D915" s="8"/>
      <c r="E915" s="8"/>
      <c r="F915" s="8"/>
      <c r="G915" s="8"/>
      <c r="H915" s="8"/>
      <c r="I915" s="8"/>
      <c r="J915" s="8"/>
      <c r="K915" s="8"/>
      <c r="L915" s="56"/>
      <c r="M915" s="26"/>
      <c r="N915" s="26"/>
      <c r="O915" s="8"/>
      <c r="P915" s="1"/>
      <c r="Q915" s="8"/>
      <c r="R915" s="8"/>
      <c r="S915" s="1"/>
      <c r="T915" s="8"/>
      <c r="U915" s="8"/>
      <c r="V915" s="16"/>
      <c r="W915" s="1"/>
      <c r="X915" s="1"/>
    </row>
    <row r="916" spans="1:24" ht="14.4">
      <c r="A916" s="1"/>
      <c r="B916" s="8"/>
      <c r="C916" s="8"/>
      <c r="D916" s="8"/>
      <c r="E916" s="8"/>
      <c r="F916" s="8"/>
      <c r="G916" s="8"/>
      <c r="H916" s="8"/>
      <c r="I916" s="8"/>
      <c r="J916" s="8"/>
      <c r="K916" s="8"/>
      <c r="L916" s="56"/>
      <c r="M916" s="26"/>
      <c r="N916" s="26"/>
      <c r="O916" s="8"/>
      <c r="P916" s="1"/>
      <c r="Q916" s="8"/>
      <c r="R916" s="8"/>
      <c r="S916" s="1"/>
      <c r="T916" s="8"/>
      <c r="U916" s="8"/>
      <c r="V916" s="16"/>
      <c r="W916" s="1"/>
      <c r="X916" s="1"/>
    </row>
    <row r="917" spans="1:24" ht="14.4">
      <c r="A917" s="1"/>
      <c r="B917" s="8"/>
      <c r="C917" s="8"/>
      <c r="D917" s="8"/>
      <c r="E917" s="8"/>
      <c r="F917" s="8"/>
      <c r="G917" s="8"/>
      <c r="H917" s="8"/>
      <c r="I917" s="8"/>
      <c r="J917" s="8"/>
      <c r="K917" s="8"/>
      <c r="L917" s="56"/>
      <c r="M917" s="26"/>
      <c r="N917" s="26"/>
      <c r="O917" s="8"/>
      <c r="P917" s="1"/>
      <c r="Q917" s="8"/>
      <c r="R917" s="8"/>
      <c r="S917" s="1"/>
      <c r="T917" s="8"/>
      <c r="U917" s="8"/>
      <c r="V917" s="16"/>
      <c r="W917" s="1"/>
      <c r="X917" s="1"/>
    </row>
    <row r="918" spans="1:24" ht="14.4">
      <c r="A918" s="1"/>
      <c r="B918" s="8"/>
      <c r="C918" s="8"/>
      <c r="D918" s="8"/>
      <c r="E918" s="8"/>
      <c r="F918" s="8"/>
      <c r="G918" s="8"/>
      <c r="H918" s="8"/>
      <c r="I918" s="8"/>
      <c r="J918" s="8"/>
      <c r="K918" s="8"/>
      <c r="L918" s="56"/>
      <c r="M918" s="26"/>
      <c r="N918" s="26"/>
      <c r="O918" s="8"/>
      <c r="P918" s="1"/>
      <c r="Q918" s="8"/>
      <c r="R918" s="8"/>
      <c r="S918" s="1"/>
      <c r="T918" s="8"/>
      <c r="U918" s="8"/>
      <c r="V918" s="16"/>
      <c r="W918" s="1"/>
      <c r="X918" s="1"/>
    </row>
    <row r="919" spans="1:24" ht="14.4">
      <c r="A919" s="1"/>
      <c r="B919" s="8"/>
      <c r="C919" s="8"/>
      <c r="D919" s="8"/>
      <c r="E919" s="8"/>
      <c r="F919" s="8"/>
      <c r="G919" s="8"/>
      <c r="H919" s="8"/>
      <c r="I919" s="8"/>
      <c r="J919" s="8"/>
      <c r="K919" s="8"/>
      <c r="L919" s="56"/>
      <c r="M919" s="26"/>
      <c r="N919" s="26"/>
      <c r="O919" s="8"/>
      <c r="P919" s="1"/>
      <c r="Q919" s="8"/>
      <c r="R919" s="8"/>
      <c r="S919" s="1"/>
      <c r="T919" s="8"/>
      <c r="U919" s="8"/>
      <c r="V919" s="16"/>
      <c r="W919" s="1"/>
      <c r="X919" s="1"/>
    </row>
    <row r="920" spans="1:24" ht="14.4">
      <c r="A920" s="1"/>
      <c r="B920" s="8"/>
      <c r="C920" s="8"/>
      <c r="D920" s="8"/>
      <c r="E920" s="8"/>
      <c r="F920" s="8"/>
      <c r="G920" s="8"/>
      <c r="H920" s="8"/>
      <c r="I920" s="8"/>
      <c r="J920" s="8"/>
      <c r="K920" s="8"/>
      <c r="L920" s="56"/>
      <c r="M920" s="26"/>
      <c r="N920" s="26"/>
      <c r="O920" s="8"/>
      <c r="P920" s="1"/>
      <c r="Q920" s="8"/>
      <c r="R920" s="8"/>
      <c r="S920" s="1"/>
      <c r="T920" s="8"/>
      <c r="U920" s="8"/>
      <c r="V920" s="16"/>
      <c r="W920" s="1"/>
      <c r="X920" s="1"/>
    </row>
    <row r="921" spans="1:24" ht="14.4">
      <c r="A921" s="1"/>
      <c r="B921" s="8"/>
      <c r="C921" s="8"/>
      <c r="D921" s="8"/>
      <c r="E921" s="8"/>
      <c r="F921" s="8"/>
      <c r="G921" s="8"/>
      <c r="H921" s="8"/>
      <c r="I921" s="8"/>
      <c r="J921" s="8"/>
      <c r="K921" s="8"/>
      <c r="L921" s="56"/>
      <c r="M921" s="26"/>
      <c r="N921" s="26"/>
      <c r="O921" s="8"/>
      <c r="P921" s="1"/>
      <c r="Q921" s="8"/>
      <c r="R921" s="8"/>
      <c r="S921" s="1"/>
      <c r="T921" s="8"/>
      <c r="U921" s="8"/>
      <c r="V921" s="16"/>
      <c r="W921" s="1"/>
      <c r="X921" s="1"/>
    </row>
    <row r="922" spans="1:24" ht="14.4">
      <c r="A922" s="1"/>
      <c r="B922" s="8"/>
      <c r="C922" s="8"/>
      <c r="D922" s="8"/>
      <c r="E922" s="8"/>
      <c r="F922" s="8"/>
      <c r="G922" s="8"/>
      <c r="H922" s="8"/>
      <c r="I922" s="8"/>
      <c r="J922" s="8"/>
      <c r="K922" s="8"/>
      <c r="L922" s="56"/>
      <c r="M922" s="26"/>
      <c r="N922" s="26"/>
      <c r="O922" s="8"/>
      <c r="P922" s="1"/>
      <c r="Q922" s="8"/>
      <c r="R922" s="8"/>
      <c r="S922" s="1"/>
      <c r="T922" s="8"/>
      <c r="U922" s="8"/>
      <c r="V922" s="16"/>
      <c r="W922" s="1"/>
      <c r="X922" s="1"/>
    </row>
    <row r="923" spans="1:24" ht="14.4">
      <c r="A923" s="1"/>
      <c r="B923" s="8"/>
      <c r="C923" s="8"/>
      <c r="D923" s="8"/>
      <c r="E923" s="8"/>
      <c r="F923" s="8"/>
      <c r="G923" s="8"/>
      <c r="H923" s="8"/>
      <c r="I923" s="8"/>
      <c r="J923" s="8"/>
      <c r="K923" s="8"/>
      <c r="L923" s="56"/>
      <c r="M923" s="26"/>
      <c r="N923" s="26"/>
      <c r="O923" s="8"/>
      <c r="P923" s="1"/>
      <c r="Q923" s="8"/>
      <c r="R923" s="8"/>
      <c r="S923" s="1"/>
      <c r="T923" s="8"/>
      <c r="U923" s="8"/>
      <c r="V923" s="16"/>
      <c r="W923" s="1"/>
      <c r="X923" s="1"/>
    </row>
    <row r="924" spans="1:24" ht="14.4">
      <c r="A924" s="1"/>
      <c r="B924" s="8"/>
      <c r="C924" s="8"/>
      <c r="D924" s="8"/>
      <c r="E924" s="8"/>
      <c r="F924" s="8"/>
      <c r="G924" s="8"/>
      <c r="H924" s="8"/>
      <c r="I924" s="8"/>
      <c r="J924" s="8"/>
      <c r="K924" s="8"/>
      <c r="L924" s="56"/>
      <c r="M924" s="26"/>
      <c r="N924" s="26"/>
      <c r="O924" s="8"/>
      <c r="P924" s="1"/>
      <c r="Q924" s="8"/>
      <c r="R924" s="8"/>
      <c r="S924" s="1"/>
      <c r="T924" s="8"/>
      <c r="U924" s="8"/>
      <c r="V924" s="16"/>
      <c r="W924" s="1"/>
      <c r="X924" s="1"/>
    </row>
    <row r="925" spans="1:24" ht="14.4">
      <c r="A925" s="1"/>
      <c r="B925" s="8"/>
      <c r="C925" s="8"/>
      <c r="D925" s="8"/>
      <c r="E925" s="8"/>
      <c r="F925" s="8"/>
      <c r="G925" s="8"/>
      <c r="H925" s="8"/>
      <c r="I925" s="8"/>
      <c r="J925" s="8"/>
      <c r="K925" s="8"/>
      <c r="L925" s="56"/>
      <c r="M925" s="26"/>
      <c r="N925" s="26"/>
      <c r="O925" s="8"/>
      <c r="P925" s="1"/>
      <c r="Q925" s="8"/>
      <c r="R925" s="8"/>
      <c r="S925" s="1"/>
      <c r="T925" s="8"/>
      <c r="U925" s="8"/>
      <c r="V925" s="16"/>
      <c r="W925" s="1"/>
      <c r="X925" s="1"/>
    </row>
    <row r="926" spans="1:24" ht="14.4">
      <c r="A926" s="1"/>
      <c r="B926" s="8"/>
      <c r="C926" s="8"/>
      <c r="D926" s="8"/>
      <c r="E926" s="8"/>
      <c r="F926" s="8"/>
      <c r="G926" s="8"/>
      <c r="H926" s="8"/>
      <c r="I926" s="8"/>
      <c r="J926" s="8"/>
      <c r="K926" s="8"/>
      <c r="L926" s="56"/>
      <c r="M926" s="26"/>
      <c r="N926" s="26"/>
      <c r="O926" s="8"/>
      <c r="P926" s="1"/>
      <c r="Q926" s="8"/>
      <c r="R926" s="8"/>
      <c r="S926" s="1"/>
      <c r="T926" s="8"/>
      <c r="U926" s="8"/>
      <c r="V926" s="16"/>
      <c r="W926" s="1"/>
      <c r="X926" s="1"/>
    </row>
    <row r="927" spans="1:24" ht="14.4">
      <c r="A927" s="1"/>
      <c r="B927" s="8"/>
      <c r="C927" s="8"/>
      <c r="D927" s="8"/>
      <c r="E927" s="8"/>
      <c r="F927" s="8"/>
      <c r="G927" s="8"/>
      <c r="H927" s="8"/>
      <c r="I927" s="8"/>
      <c r="J927" s="8"/>
      <c r="K927" s="8"/>
      <c r="L927" s="56"/>
      <c r="M927" s="26"/>
      <c r="N927" s="26"/>
      <c r="O927" s="8"/>
      <c r="P927" s="1"/>
      <c r="Q927" s="8"/>
      <c r="R927" s="8"/>
      <c r="S927" s="1"/>
      <c r="T927" s="8"/>
      <c r="U927" s="8"/>
      <c r="V927" s="16"/>
      <c r="W927" s="1"/>
      <c r="X927" s="1"/>
    </row>
    <row r="928" spans="1:24" ht="14.4">
      <c r="A928" s="1"/>
      <c r="B928" s="8"/>
      <c r="C928" s="8"/>
      <c r="D928" s="8"/>
      <c r="E928" s="8"/>
      <c r="F928" s="8"/>
      <c r="G928" s="8"/>
      <c r="H928" s="8"/>
      <c r="I928" s="8"/>
      <c r="J928" s="8"/>
      <c r="K928" s="8"/>
      <c r="L928" s="56"/>
      <c r="M928" s="26"/>
      <c r="N928" s="26"/>
      <c r="O928" s="8"/>
      <c r="P928" s="1"/>
      <c r="Q928" s="8"/>
      <c r="R928" s="8"/>
      <c r="S928" s="1"/>
      <c r="T928" s="8"/>
      <c r="U928" s="8"/>
      <c r="V928" s="16"/>
      <c r="W928" s="1"/>
      <c r="X928" s="1"/>
    </row>
    <row r="929" spans="1:24" ht="14.4">
      <c r="A929" s="1"/>
      <c r="B929" s="8"/>
      <c r="C929" s="8"/>
      <c r="D929" s="8"/>
      <c r="E929" s="8"/>
      <c r="F929" s="8"/>
      <c r="G929" s="8"/>
      <c r="H929" s="8"/>
      <c r="I929" s="8"/>
      <c r="J929" s="8"/>
      <c r="K929" s="8"/>
      <c r="L929" s="56"/>
      <c r="M929" s="26"/>
      <c r="N929" s="26"/>
      <c r="O929" s="8"/>
      <c r="P929" s="1"/>
      <c r="Q929" s="8"/>
      <c r="R929" s="8"/>
      <c r="S929" s="1"/>
      <c r="T929" s="8"/>
      <c r="U929" s="8"/>
      <c r="V929" s="16"/>
      <c r="W929" s="1"/>
      <c r="X929" s="1"/>
    </row>
    <row r="930" spans="1:24" ht="14.4">
      <c r="A930" s="1"/>
      <c r="B930" s="8"/>
      <c r="C930" s="8"/>
      <c r="D930" s="8"/>
      <c r="E930" s="8"/>
      <c r="F930" s="8"/>
      <c r="G930" s="8"/>
      <c r="H930" s="8"/>
      <c r="I930" s="8"/>
      <c r="J930" s="8"/>
      <c r="K930" s="8"/>
      <c r="L930" s="56"/>
      <c r="M930" s="26"/>
      <c r="N930" s="26"/>
      <c r="O930" s="8"/>
      <c r="P930" s="1"/>
      <c r="Q930" s="8"/>
      <c r="R930" s="8"/>
      <c r="S930" s="1"/>
      <c r="T930" s="8"/>
      <c r="U930" s="8"/>
      <c r="V930" s="16"/>
      <c r="W930" s="1"/>
      <c r="X930" s="1"/>
    </row>
    <row r="931" spans="1:24" ht="14.4">
      <c r="A931" s="1"/>
      <c r="B931" s="8"/>
      <c r="C931" s="8"/>
      <c r="D931" s="8"/>
      <c r="E931" s="8"/>
      <c r="F931" s="8"/>
      <c r="G931" s="8"/>
      <c r="H931" s="8"/>
      <c r="I931" s="8"/>
      <c r="J931" s="8"/>
      <c r="K931" s="8"/>
      <c r="L931" s="56"/>
      <c r="M931" s="26"/>
      <c r="N931" s="26"/>
      <c r="O931" s="8"/>
      <c r="P931" s="1"/>
      <c r="Q931" s="8"/>
      <c r="R931" s="8"/>
      <c r="S931" s="1"/>
      <c r="T931" s="8"/>
      <c r="U931" s="8"/>
      <c r="V931" s="16"/>
      <c r="W931" s="1"/>
      <c r="X931" s="1"/>
    </row>
    <row r="932" spans="1:24" ht="14.4">
      <c r="A932" s="1"/>
      <c r="B932" s="8"/>
      <c r="C932" s="8"/>
      <c r="D932" s="8"/>
      <c r="E932" s="8"/>
      <c r="F932" s="8"/>
      <c r="G932" s="8"/>
      <c r="H932" s="8"/>
      <c r="I932" s="8"/>
      <c r="J932" s="8"/>
      <c r="K932" s="8"/>
      <c r="L932" s="56"/>
      <c r="M932" s="26"/>
      <c r="N932" s="26"/>
      <c r="O932" s="8"/>
      <c r="P932" s="1"/>
      <c r="Q932" s="8"/>
      <c r="R932" s="8"/>
      <c r="S932" s="1"/>
      <c r="T932" s="8"/>
      <c r="U932" s="8"/>
      <c r="V932" s="16"/>
      <c r="W932" s="1"/>
      <c r="X932" s="1"/>
    </row>
    <row r="933" spans="1:24" ht="14.4">
      <c r="A933" s="1"/>
      <c r="B933" s="8"/>
      <c r="C933" s="8"/>
      <c r="D933" s="8"/>
      <c r="E933" s="8"/>
      <c r="F933" s="8"/>
      <c r="G933" s="8"/>
      <c r="H933" s="8"/>
      <c r="I933" s="8"/>
      <c r="J933" s="8"/>
      <c r="K933" s="8"/>
      <c r="L933" s="56"/>
      <c r="M933" s="26"/>
      <c r="N933" s="26"/>
      <c r="O933" s="8"/>
      <c r="P933" s="1"/>
      <c r="Q933" s="8"/>
      <c r="R933" s="8"/>
      <c r="S933" s="1"/>
      <c r="T933" s="8"/>
      <c r="U933" s="8"/>
      <c r="V933" s="16"/>
      <c r="W933" s="1"/>
      <c r="X933" s="1"/>
    </row>
    <row r="934" spans="1:24" ht="14.4">
      <c r="A934" s="1"/>
      <c r="B934" s="8"/>
      <c r="C934" s="8"/>
      <c r="D934" s="8"/>
      <c r="E934" s="8"/>
      <c r="F934" s="8"/>
      <c r="G934" s="8"/>
      <c r="H934" s="8"/>
      <c r="I934" s="8"/>
      <c r="J934" s="8"/>
      <c r="K934" s="8"/>
      <c r="L934" s="56"/>
      <c r="M934" s="26"/>
      <c r="N934" s="26"/>
      <c r="O934" s="8"/>
      <c r="P934" s="1"/>
      <c r="Q934" s="8"/>
      <c r="R934" s="8"/>
      <c r="S934" s="1"/>
      <c r="T934" s="8"/>
      <c r="U934" s="8"/>
      <c r="V934" s="16"/>
      <c r="W934" s="1"/>
      <c r="X934" s="1"/>
    </row>
    <row r="935" spans="1:24" ht="14.4">
      <c r="A935" s="1"/>
      <c r="B935" s="8"/>
      <c r="C935" s="8"/>
      <c r="D935" s="8"/>
      <c r="E935" s="8"/>
      <c r="F935" s="8"/>
      <c r="G935" s="8"/>
      <c r="H935" s="8"/>
      <c r="I935" s="8"/>
      <c r="J935" s="8"/>
      <c r="K935" s="8"/>
      <c r="L935" s="56"/>
      <c r="M935" s="26"/>
      <c r="N935" s="26"/>
      <c r="O935" s="8"/>
      <c r="P935" s="1"/>
      <c r="Q935" s="8"/>
      <c r="R935" s="8"/>
      <c r="S935" s="1"/>
      <c r="T935" s="8"/>
      <c r="U935" s="8"/>
      <c r="V935" s="16"/>
      <c r="W935" s="1"/>
      <c r="X935" s="1"/>
    </row>
    <row r="936" spans="1:24" ht="14.4">
      <c r="A936" s="1"/>
      <c r="B936" s="8"/>
      <c r="C936" s="8"/>
      <c r="D936" s="8"/>
      <c r="E936" s="8"/>
      <c r="F936" s="8"/>
      <c r="G936" s="8"/>
      <c r="H936" s="8"/>
      <c r="I936" s="8"/>
      <c r="J936" s="8"/>
      <c r="K936" s="8"/>
      <c r="L936" s="56"/>
      <c r="M936" s="26"/>
      <c r="N936" s="26"/>
      <c r="O936" s="8"/>
      <c r="P936" s="1"/>
      <c r="Q936" s="8"/>
      <c r="R936" s="8"/>
      <c r="S936" s="1"/>
      <c r="T936" s="8"/>
      <c r="U936" s="8"/>
      <c r="V936" s="16"/>
      <c r="W936" s="1"/>
      <c r="X936" s="1"/>
    </row>
    <row r="937" spans="1:24" ht="14.4">
      <c r="A937" s="1"/>
      <c r="B937" s="8"/>
      <c r="C937" s="8"/>
      <c r="D937" s="8"/>
      <c r="E937" s="8"/>
      <c r="F937" s="8"/>
      <c r="G937" s="8"/>
      <c r="H937" s="8"/>
      <c r="I937" s="8"/>
      <c r="J937" s="8"/>
      <c r="K937" s="8"/>
      <c r="L937" s="56"/>
      <c r="M937" s="26"/>
      <c r="N937" s="26"/>
      <c r="O937" s="8"/>
      <c r="P937" s="1"/>
      <c r="Q937" s="8"/>
      <c r="R937" s="8"/>
      <c r="S937" s="1"/>
      <c r="T937" s="8"/>
      <c r="U937" s="8"/>
      <c r="V937" s="16"/>
      <c r="W937" s="1"/>
      <c r="X937" s="1"/>
    </row>
    <row r="938" spans="1:24" ht="14.4">
      <c r="A938" s="1"/>
      <c r="B938" s="8"/>
      <c r="C938" s="8"/>
      <c r="D938" s="8"/>
      <c r="E938" s="8"/>
      <c r="F938" s="8"/>
      <c r="G938" s="8"/>
      <c r="H938" s="8"/>
      <c r="I938" s="8"/>
      <c r="J938" s="8"/>
      <c r="K938" s="8"/>
      <c r="L938" s="56"/>
      <c r="M938" s="26"/>
      <c r="N938" s="26"/>
      <c r="O938" s="8"/>
      <c r="P938" s="1"/>
      <c r="Q938" s="8"/>
      <c r="R938" s="8"/>
      <c r="S938" s="1"/>
      <c r="T938" s="8"/>
      <c r="U938" s="8"/>
      <c r="V938" s="16"/>
      <c r="W938" s="1"/>
      <c r="X938" s="1"/>
    </row>
    <row r="939" spans="1:24" ht="14.4">
      <c r="A939" s="1"/>
      <c r="B939" s="8"/>
      <c r="C939" s="8"/>
      <c r="D939" s="8"/>
      <c r="E939" s="8"/>
      <c r="F939" s="8"/>
      <c r="G939" s="8"/>
      <c r="H939" s="8"/>
      <c r="I939" s="8"/>
      <c r="J939" s="8"/>
      <c r="K939" s="8"/>
      <c r="L939" s="56"/>
      <c r="M939" s="26"/>
      <c r="N939" s="26"/>
      <c r="O939" s="8"/>
      <c r="P939" s="1"/>
      <c r="Q939" s="8"/>
      <c r="R939" s="8"/>
      <c r="S939" s="1"/>
      <c r="T939" s="8"/>
      <c r="U939" s="8"/>
      <c r="V939" s="16"/>
      <c r="W939" s="1"/>
      <c r="X939" s="1"/>
    </row>
    <row r="940" spans="1:24" ht="14.4">
      <c r="A940" s="1"/>
      <c r="B940" s="8"/>
      <c r="C940" s="8"/>
      <c r="D940" s="8"/>
      <c r="E940" s="8"/>
      <c r="F940" s="8"/>
      <c r="G940" s="8"/>
      <c r="H940" s="8"/>
      <c r="I940" s="8"/>
      <c r="J940" s="8"/>
      <c r="K940" s="8"/>
      <c r="L940" s="56"/>
      <c r="M940" s="26"/>
      <c r="N940" s="26"/>
      <c r="O940" s="8"/>
      <c r="P940" s="1"/>
      <c r="Q940" s="8"/>
      <c r="R940" s="8"/>
      <c r="S940" s="1"/>
      <c r="T940" s="8"/>
      <c r="U940" s="8"/>
      <c r="V940" s="16"/>
      <c r="W940" s="1"/>
      <c r="X940" s="1"/>
    </row>
    <row r="941" spans="1:24" ht="14.4">
      <c r="A941" s="1"/>
      <c r="B941" s="8"/>
      <c r="C941" s="8"/>
      <c r="D941" s="8"/>
      <c r="E941" s="8"/>
      <c r="F941" s="8"/>
      <c r="G941" s="8"/>
      <c r="H941" s="8"/>
      <c r="I941" s="8"/>
      <c r="J941" s="8"/>
      <c r="K941" s="8"/>
      <c r="L941" s="56"/>
      <c r="M941" s="26"/>
      <c r="N941" s="26"/>
      <c r="O941" s="8"/>
      <c r="P941" s="1"/>
      <c r="Q941" s="8"/>
      <c r="R941" s="8"/>
      <c r="S941" s="1"/>
      <c r="T941" s="8"/>
      <c r="U941" s="8"/>
      <c r="V941" s="16"/>
      <c r="W941" s="1"/>
      <c r="X941" s="1"/>
    </row>
    <row r="942" spans="1:24" ht="14.4">
      <c r="A942" s="1"/>
      <c r="B942" s="8"/>
      <c r="C942" s="8"/>
      <c r="D942" s="8"/>
      <c r="E942" s="8"/>
      <c r="F942" s="8"/>
      <c r="G942" s="8"/>
      <c r="H942" s="8"/>
      <c r="I942" s="8"/>
      <c r="J942" s="8"/>
      <c r="K942" s="8"/>
      <c r="L942" s="56"/>
      <c r="M942" s="26"/>
      <c r="N942" s="26"/>
      <c r="O942" s="8"/>
      <c r="P942" s="1"/>
      <c r="Q942" s="8"/>
      <c r="R942" s="8"/>
      <c r="S942" s="1"/>
      <c r="T942" s="8"/>
      <c r="U942" s="8"/>
      <c r="V942" s="16"/>
      <c r="W942" s="1"/>
      <c r="X942" s="1"/>
    </row>
    <row r="943" spans="1:24" ht="14.4">
      <c r="A943" s="1"/>
      <c r="B943" s="8"/>
      <c r="C943" s="8"/>
      <c r="D943" s="8"/>
      <c r="E943" s="8"/>
      <c r="F943" s="8"/>
      <c r="G943" s="8"/>
      <c r="H943" s="8"/>
      <c r="I943" s="8"/>
      <c r="J943" s="8"/>
      <c r="K943" s="8"/>
      <c r="L943" s="56"/>
      <c r="M943" s="26"/>
      <c r="N943" s="26"/>
      <c r="O943" s="8"/>
      <c r="P943" s="1"/>
      <c r="Q943" s="8"/>
      <c r="R943" s="8"/>
      <c r="S943" s="1"/>
      <c r="T943" s="8"/>
      <c r="U943" s="8"/>
      <c r="V943" s="16"/>
      <c r="W943" s="1"/>
      <c r="X943" s="1"/>
    </row>
    <row r="944" spans="1:24" ht="14.4">
      <c r="A944" s="1"/>
      <c r="B944" s="8"/>
      <c r="C944" s="8"/>
      <c r="D944" s="8"/>
      <c r="E944" s="8"/>
      <c r="F944" s="8"/>
      <c r="G944" s="8"/>
      <c r="H944" s="8"/>
      <c r="I944" s="8"/>
      <c r="J944" s="8"/>
      <c r="K944" s="8"/>
      <c r="L944" s="56"/>
      <c r="M944" s="26"/>
      <c r="N944" s="26"/>
      <c r="O944" s="8"/>
      <c r="P944" s="1"/>
      <c r="Q944" s="8"/>
      <c r="R944" s="8"/>
      <c r="S944" s="1"/>
      <c r="T944" s="8"/>
      <c r="U944" s="8"/>
      <c r="V944" s="16"/>
      <c r="W944" s="1"/>
      <c r="X944" s="1"/>
    </row>
    <row r="945" spans="1:24" ht="14.4">
      <c r="A945" s="1"/>
      <c r="B945" s="8"/>
      <c r="C945" s="8"/>
      <c r="D945" s="8"/>
      <c r="E945" s="8"/>
      <c r="F945" s="8"/>
      <c r="G945" s="8"/>
      <c r="H945" s="8"/>
      <c r="I945" s="8"/>
      <c r="J945" s="8"/>
      <c r="K945" s="8"/>
      <c r="L945" s="56"/>
      <c r="M945" s="26"/>
      <c r="N945" s="26"/>
      <c r="O945" s="8"/>
      <c r="P945" s="1"/>
      <c r="Q945" s="8"/>
      <c r="R945" s="8"/>
      <c r="S945" s="1"/>
      <c r="T945" s="8"/>
      <c r="U945" s="8"/>
      <c r="V945" s="16"/>
      <c r="W945" s="1"/>
      <c r="X945" s="1"/>
    </row>
    <row r="946" spans="1:24" ht="14.4">
      <c r="A946" s="1"/>
      <c r="B946" s="8"/>
      <c r="C946" s="8"/>
      <c r="D946" s="8"/>
      <c r="E946" s="8"/>
      <c r="F946" s="8"/>
      <c r="G946" s="8"/>
      <c r="H946" s="8"/>
      <c r="I946" s="8"/>
      <c r="J946" s="8"/>
      <c r="K946" s="8"/>
      <c r="L946" s="56"/>
      <c r="M946" s="26"/>
      <c r="N946" s="26"/>
      <c r="O946" s="8"/>
      <c r="P946" s="1"/>
      <c r="Q946" s="8"/>
      <c r="R946" s="8"/>
      <c r="S946" s="1"/>
      <c r="T946" s="8"/>
      <c r="U946" s="8"/>
      <c r="V946" s="16"/>
      <c r="W946" s="1"/>
      <c r="X946" s="1"/>
    </row>
    <row r="947" spans="1:24" ht="14.4">
      <c r="A947" s="1"/>
      <c r="B947" s="8"/>
      <c r="C947" s="8"/>
      <c r="D947" s="8"/>
      <c r="E947" s="8"/>
      <c r="F947" s="8"/>
      <c r="G947" s="8"/>
      <c r="H947" s="8"/>
      <c r="I947" s="8"/>
      <c r="J947" s="8"/>
      <c r="K947" s="8"/>
      <c r="L947" s="56"/>
      <c r="M947" s="26"/>
      <c r="N947" s="26"/>
      <c r="O947" s="8"/>
      <c r="P947" s="1"/>
      <c r="Q947" s="8"/>
      <c r="R947" s="8"/>
      <c r="S947" s="1"/>
      <c r="T947" s="8"/>
      <c r="U947" s="8"/>
      <c r="V947" s="16"/>
      <c r="W947" s="1"/>
      <c r="X947" s="1"/>
    </row>
    <row r="948" spans="1:24" ht="14.4">
      <c r="A948" s="1"/>
      <c r="B948" s="8"/>
      <c r="C948" s="8"/>
      <c r="D948" s="8"/>
      <c r="E948" s="8"/>
      <c r="F948" s="8"/>
      <c r="G948" s="8"/>
      <c r="H948" s="8"/>
      <c r="I948" s="8"/>
      <c r="J948" s="8"/>
      <c r="K948" s="8"/>
      <c r="L948" s="56"/>
      <c r="M948" s="26"/>
      <c r="N948" s="26"/>
      <c r="O948" s="8"/>
      <c r="P948" s="1"/>
      <c r="Q948" s="8"/>
      <c r="R948" s="8"/>
      <c r="S948" s="1"/>
      <c r="T948" s="8"/>
      <c r="U948" s="8"/>
      <c r="V948" s="16"/>
      <c r="W948" s="1"/>
      <c r="X948" s="1"/>
    </row>
    <row r="949" spans="1:24" ht="14.4">
      <c r="A949" s="1"/>
      <c r="B949" s="8"/>
      <c r="C949" s="8"/>
      <c r="D949" s="8"/>
      <c r="E949" s="8"/>
      <c r="F949" s="8"/>
      <c r="G949" s="8"/>
      <c r="H949" s="8"/>
      <c r="I949" s="8"/>
      <c r="J949" s="8"/>
      <c r="K949" s="8"/>
      <c r="L949" s="56"/>
      <c r="M949" s="26"/>
      <c r="N949" s="26"/>
      <c r="O949" s="8"/>
      <c r="P949" s="1"/>
      <c r="Q949" s="8"/>
      <c r="R949" s="8"/>
      <c r="S949" s="1"/>
      <c r="T949" s="8"/>
      <c r="U949" s="8"/>
      <c r="V949" s="16"/>
      <c r="W949" s="1"/>
      <c r="X949" s="1"/>
    </row>
    <row r="950" spans="1:24" ht="14.4">
      <c r="A950" s="1"/>
      <c r="B950" s="8"/>
      <c r="C950" s="8"/>
      <c r="D950" s="8"/>
      <c r="E950" s="8"/>
      <c r="F950" s="8"/>
      <c r="G950" s="8"/>
      <c r="H950" s="8"/>
      <c r="I950" s="8"/>
      <c r="J950" s="8"/>
      <c r="K950" s="8"/>
      <c r="L950" s="56"/>
      <c r="M950" s="26"/>
      <c r="N950" s="26"/>
      <c r="O950" s="8"/>
      <c r="P950" s="1"/>
      <c r="Q950" s="8"/>
      <c r="R950" s="8"/>
      <c r="S950" s="1"/>
      <c r="T950" s="8"/>
      <c r="U950" s="8"/>
      <c r="V950" s="16"/>
      <c r="W950" s="1"/>
      <c r="X950" s="1"/>
    </row>
    <row r="951" spans="1:24" ht="14.4">
      <c r="A951" s="1"/>
      <c r="B951" s="8"/>
      <c r="C951" s="8"/>
      <c r="D951" s="8"/>
      <c r="E951" s="8"/>
      <c r="F951" s="8"/>
      <c r="G951" s="8"/>
      <c r="H951" s="8"/>
      <c r="I951" s="8"/>
      <c r="J951" s="8"/>
      <c r="K951" s="8"/>
      <c r="L951" s="56"/>
      <c r="M951" s="26"/>
      <c r="N951" s="26"/>
      <c r="O951" s="8"/>
      <c r="P951" s="1"/>
      <c r="Q951" s="8"/>
      <c r="R951" s="8"/>
      <c r="S951" s="1"/>
      <c r="T951" s="8"/>
      <c r="U951" s="8"/>
      <c r="V951" s="16"/>
      <c r="W951" s="1"/>
      <c r="X951" s="1"/>
    </row>
    <row r="952" spans="1:24" ht="14.4">
      <c r="A952" s="1"/>
      <c r="B952" s="8"/>
      <c r="C952" s="8"/>
      <c r="D952" s="8"/>
      <c r="E952" s="8"/>
      <c r="F952" s="8"/>
      <c r="G952" s="8"/>
      <c r="H952" s="8"/>
      <c r="I952" s="8"/>
      <c r="J952" s="8"/>
      <c r="K952" s="8"/>
      <c r="L952" s="56"/>
      <c r="M952" s="26"/>
      <c r="N952" s="26"/>
      <c r="O952" s="8"/>
      <c r="P952" s="1"/>
      <c r="Q952" s="8"/>
      <c r="R952" s="8"/>
      <c r="S952" s="1"/>
      <c r="T952" s="8"/>
      <c r="U952" s="8"/>
      <c r="V952" s="16"/>
      <c r="W952" s="1"/>
      <c r="X952" s="1"/>
    </row>
    <row r="953" spans="1:24" ht="14.4">
      <c r="A953" s="1"/>
      <c r="B953" s="8"/>
      <c r="C953" s="8"/>
      <c r="D953" s="8"/>
      <c r="E953" s="8"/>
      <c r="F953" s="8"/>
      <c r="G953" s="8"/>
      <c r="H953" s="8"/>
      <c r="I953" s="8"/>
      <c r="J953" s="8"/>
      <c r="K953" s="8"/>
      <c r="L953" s="56"/>
      <c r="M953" s="26"/>
      <c r="N953" s="26"/>
      <c r="O953" s="8"/>
      <c r="P953" s="1"/>
      <c r="Q953" s="8"/>
      <c r="R953" s="8"/>
      <c r="S953" s="1"/>
      <c r="T953" s="8"/>
      <c r="U953" s="8"/>
      <c r="V953" s="16"/>
      <c r="W953" s="1"/>
      <c r="X953" s="1"/>
    </row>
    <row r="954" spans="1:24" ht="14.4">
      <c r="A954" s="1"/>
      <c r="B954" s="8"/>
      <c r="C954" s="8"/>
      <c r="D954" s="8"/>
      <c r="E954" s="8"/>
      <c r="F954" s="8"/>
      <c r="G954" s="8"/>
      <c r="H954" s="8"/>
      <c r="I954" s="8"/>
      <c r="J954" s="8"/>
      <c r="K954" s="8"/>
      <c r="L954" s="56"/>
      <c r="M954" s="26"/>
      <c r="N954" s="26"/>
      <c r="O954" s="8"/>
      <c r="P954" s="1"/>
      <c r="Q954" s="8"/>
      <c r="R954" s="8"/>
      <c r="S954" s="1"/>
      <c r="T954" s="8"/>
      <c r="U954" s="8"/>
      <c r="V954" s="16"/>
      <c r="W954" s="1"/>
      <c r="X954" s="1"/>
    </row>
    <row r="955" spans="1:24" ht="14.4">
      <c r="A955" s="1"/>
      <c r="B955" s="8"/>
      <c r="C955" s="8"/>
      <c r="D955" s="8"/>
      <c r="E955" s="8"/>
      <c r="F955" s="8"/>
      <c r="G955" s="8"/>
      <c r="H955" s="8"/>
      <c r="I955" s="8"/>
      <c r="J955" s="8"/>
      <c r="K955" s="8"/>
      <c r="L955" s="56"/>
      <c r="M955" s="26"/>
      <c r="N955" s="26"/>
      <c r="O955" s="8"/>
      <c r="P955" s="1"/>
      <c r="Q955" s="8"/>
      <c r="R955" s="8"/>
      <c r="S955" s="1"/>
      <c r="T955" s="8"/>
      <c r="U955" s="8"/>
      <c r="V955" s="16"/>
      <c r="W955" s="1"/>
      <c r="X955" s="1"/>
    </row>
    <row r="956" spans="1:24" ht="14.4">
      <c r="A956" s="1"/>
      <c r="B956" s="8"/>
      <c r="C956" s="8"/>
      <c r="D956" s="8"/>
      <c r="E956" s="8"/>
      <c r="F956" s="8"/>
      <c r="G956" s="8"/>
      <c r="H956" s="8"/>
      <c r="I956" s="8"/>
      <c r="J956" s="8"/>
      <c r="K956" s="8"/>
      <c r="L956" s="56"/>
      <c r="M956" s="26"/>
      <c r="N956" s="26"/>
      <c r="O956" s="8"/>
      <c r="P956" s="1"/>
      <c r="Q956" s="8"/>
      <c r="R956" s="8"/>
      <c r="S956" s="1"/>
      <c r="T956" s="8"/>
      <c r="U956" s="8"/>
      <c r="V956" s="16"/>
      <c r="W956" s="1"/>
      <c r="X956" s="1"/>
    </row>
    <row r="957" spans="1:24" ht="14.4">
      <c r="A957" s="1"/>
      <c r="B957" s="8"/>
      <c r="C957" s="8"/>
      <c r="D957" s="8"/>
      <c r="E957" s="8"/>
      <c r="F957" s="8"/>
      <c r="G957" s="8"/>
      <c r="H957" s="8"/>
      <c r="I957" s="8"/>
      <c r="J957" s="8"/>
      <c r="K957" s="8"/>
      <c r="L957" s="56"/>
      <c r="M957" s="26"/>
      <c r="N957" s="26"/>
      <c r="O957" s="8"/>
      <c r="P957" s="1"/>
      <c r="Q957" s="8"/>
      <c r="R957" s="8"/>
      <c r="S957" s="1"/>
      <c r="T957" s="8"/>
      <c r="U957" s="8"/>
      <c r="V957" s="16"/>
      <c r="W957" s="1"/>
      <c r="X957" s="1"/>
    </row>
    <row r="958" spans="1:24" ht="14.4">
      <c r="A958" s="1"/>
      <c r="B958" s="8"/>
      <c r="C958" s="8"/>
      <c r="D958" s="8"/>
      <c r="E958" s="8"/>
      <c r="F958" s="8"/>
      <c r="G958" s="8"/>
      <c r="H958" s="8"/>
      <c r="I958" s="8"/>
      <c r="J958" s="8"/>
      <c r="K958" s="8"/>
      <c r="L958" s="56"/>
      <c r="M958" s="26"/>
      <c r="N958" s="26"/>
      <c r="O958" s="8"/>
      <c r="P958" s="1"/>
      <c r="Q958" s="8"/>
      <c r="R958" s="8"/>
      <c r="S958" s="1"/>
      <c r="T958" s="8"/>
      <c r="U958" s="8"/>
      <c r="V958" s="16"/>
      <c r="W958" s="1"/>
      <c r="X958" s="1"/>
    </row>
    <row r="959" spans="1:24" ht="14.4">
      <c r="A959" s="1"/>
      <c r="B959" s="8"/>
      <c r="C959" s="8"/>
      <c r="D959" s="8"/>
      <c r="E959" s="8"/>
      <c r="F959" s="8"/>
      <c r="G959" s="8"/>
      <c r="H959" s="8"/>
      <c r="I959" s="8"/>
      <c r="J959" s="8"/>
      <c r="K959" s="8"/>
      <c r="L959" s="56"/>
      <c r="M959" s="26"/>
      <c r="N959" s="26"/>
      <c r="O959" s="8"/>
      <c r="P959" s="1"/>
      <c r="Q959" s="8"/>
      <c r="R959" s="8"/>
      <c r="S959" s="1"/>
      <c r="T959" s="8"/>
      <c r="U959" s="8"/>
      <c r="V959" s="16"/>
      <c r="W959" s="1"/>
      <c r="X959" s="1"/>
    </row>
    <row r="960" spans="1:24" ht="14.4">
      <c r="A960" s="1"/>
      <c r="B960" s="8"/>
      <c r="C960" s="8"/>
      <c r="D960" s="8"/>
      <c r="E960" s="8"/>
      <c r="F960" s="8"/>
      <c r="G960" s="8"/>
      <c r="H960" s="8"/>
      <c r="I960" s="8"/>
      <c r="J960" s="8"/>
      <c r="K960" s="8"/>
      <c r="L960" s="56"/>
      <c r="M960" s="26"/>
      <c r="N960" s="26"/>
      <c r="O960" s="8"/>
      <c r="P960" s="1"/>
      <c r="Q960" s="8"/>
      <c r="R960" s="8"/>
      <c r="S960" s="1"/>
      <c r="T960" s="8"/>
      <c r="U960" s="8"/>
      <c r="V960" s="16"/>
      <c r="W960" s="1"/>
      <c r="X960" s="1"/>
    </row>
    <row r="961" spans="1:24" ht="14.4">
      <c r="A961" s="1"/>
      <c r="B961" s="8"/>
      <c r="C961" s="8"/>
      <c r="D961" s="8"/>
      <c r="E961" s="8"/>
      <c r="F961" s="8"/>
      <c r="G961" s="8"/>
      <c r="H961" s="8"/>
      <c r="I961" s="8"/>
      <c r="J961" s="8"/>
      <c r="K961" s="8"/>
      <c r="L961" s="56"/>
      <c r="M961" s="26"/>
      <c r="N961" s="26"/>
      <c r="O961" s="8"/>
      <c r="P961" s="1"/>
      <c r="Q961" s="8"/>
      <c r="R961" s="8"/>
      <c r="S961" s="1"/>
      <c r="T961" s="8"/>
      <c r="U961" s="8"/>
      <c r="V961" s="16"/>
      <c r="W961" s="1"/>
      <c r="X961" s="1"/>
    </row>
    <row r="962" spans="1:24" ht="14.4">
      <c r="A962" s="1"/>
      <c r="B962" s="8"/>
      <c r="C962" s="8"/>
      <c r="D962" s="8"/>
      <c r="E962" s="8"/>
      <c r="F962" s="8"/>
      <c r="G962" s="8"/>
      <c r="H962" s="8"/>
      <c r="I962" s="8"/>
      <c r="J962" s="8"/>
      <c r="K962" s="8"/>
      <c r="L962" s="56"/>
      <c r="M962" s="26"/>
      <c r="N962" s="26"/>
      <c r="O962" s="8"/>
      <c r="P962" s="1"/>
      <c r="Q962" s="8"/>
      <c r="R962" s="8"/>
      <c r="S962" s="1"/>
      <c r="T962" s="8"/>
      <c r="U962" s="8"/>
      <c r="V962" s="16"/>
      <c r="W962" s="1"/>
      <c r="X962" s="1"/>
    </row>
    <row r="963" spans="1:24" ht="14.4">
      <c r="A963" s="1"/>
      <c r="B963" s="8"/>
      <c r="C963" s="8"/>
      <c r="D963" s="8"/>
      <c r="E963" s="8"/>
      <c r="F963" s="8"/>
      <c r="G963" s="8"/>
      <c r="H963" s="8"/>
      <c r="I963" s="8"/>
      <c r="J963" s="8"/>
      <c r="K963" s="8"/>
      <c r="L963" s="56"/>
      <c r="M963" s="26"/>
      <c r="N963" s="26"/>
      <c r="O963" s="8"/>
      <c r="P963" s="1"/>
      <c r="Q963" s="8"/>
      <c r="R963" s="8"/>
      <c r="S963" s="1"/>
      <c r="T963" s="8"/>
      <c r="U963" s="8"/>
      <c r="V963" s="16"/>
      <c r="W963" s="1"/>
      <c r="X963" s="1"/>
    </row>
    <row r="964" spans="1:24" ht="14.4">
      <c r="A964" s="1"/>
      <c r="B964" s="8"/>
      <c r="C964" s="8"/>
      <c r="D964" s="8"/>
      <c r="E964" s="8"/>
      <c r="F964" s="8"/>
      <c r="G964" s="8"/>
      <c r="H964" s="8"/>
      <c r="I964" s="8"/>
      <c r="J964" s="8"/>
      <c r="K964" s="8"/>
      <c r="L964" s="56"/>
      <c r="M964" s="26"/>
      <c r="N964" s="26"/>
      <c r="O964" s="8"/>
      <c r="P964" s="1"/>
      <c r="Q964" s="8"/>
      <c r="R964" s="8"/>
      <c r="S964" s="1"/>
      <c r="T964" s="8"/>
      <c r="U964" s="8"/>
      <c r="V964" s="16"/>
      <c r="W964" s="1"/>
      <c r="X964" s="1"/>
    </row>
    <row r="965" spans="1:24" ht="14.4">
      <c r="A965" s="1"/>
      <c r="B965" s="8"/>
      <c r="C965" s="8"/>
      <c r="D965" s="8"/>
      <c r="E965" s="8"/>
      <c r="F965" s="8"/>
      <c r="G965" s="8"/>
      <c r="H965" s="8"/>
      <c r="I965" s="8"/>
      <c r="J965" s="8"/>
      <c r="K965" s="8"/>
      <c r="L965" s="56"/>
      <c r="M965" s="26"/>
      <c r="N965" s="26"/>
      <c r="O965" s="8"/>
      <c r="P965" s="1"/>
      <c r="Q965" s="8"/>
      <c r="R965" s="8"/>
      <c r="S965" s="1"/>
      <c r="T965" s="8"/>
      <c r="U965" s="8"/>
      <c r="V965" s="16"/>
      <c r="W965" s="1"/>
      <c r="X965" s="1"/>
    </row>
    <row r="966" spans="1:24" ht="14.4">
      <c r="A966" s="1"/>
      <c r="B966" s="8"/>
      <c r="C966" s="8"/>
      <c r="D966" s="8"/>
      <c r="E966" s="8"/>
      <c r="F966" s="8"/>
      <c r="G966" s="8"/>
      <c r="H966" s="8"/>
      <c r="I966" s="8"/>
      <c r="J966" s="8"/>
      <c r="K966" s="8"/>
      <c r="L966" s="56"/>
      <c r="M966" s="26"/>
      <c r="N966" s="26"/>
      <c r="O966" s="8"/>
      <c r="P966" s="1"/>
      <c r="Q966" s="8"/>
      <c r="R966" s="8"/>
      <c r="S966" s="1"/>
      <c r="T966" s="8"/>
      <c r="U966" s="8"/>
      <c r="V966" s="16"/>
      <c r="W966" s="1"/>
      <c r="X966" s="1"/>
    </row>
    <row r="967" spans="1:24" ht="14.4">
      <c r="A967" s="1"/>
      <c r="B967" s="8"/>
      <c r="C967" s="8"/>
      <c r="D967" s="8"/>
      <c r="E967" s="8"/>
      <c r="F967" s="8"/>
      <c r="G967" s="8"/>
      <c r="H967" s="8"/>
      <c r="I967" s="8"/>
      <c r="J967" s="8"/>
      <c r="K967" s="8"/>
      <c r="L967" s="56"/>
      <c r="M967" s="26"/>
      <c r="N967" s="26"/>
      <c r="O967" s="8"/>
      <c r="P967" s="1"/>
      <c r="Q967" s="8"/>
      <c r="R967" s="8"/>
      <c r="S967" s="1"/>
      <c r="T967" s="8"/>
      <c r="U967" s="8"/>
      <c r="V967" s="16"/>
      <c r="W967" s="1"/>
      <c r="X967" s="1"/>
    </row>
    <row r="968" spans="1:24" ht="14.4">
      <c r="A968" s="1"/>
      <c r="B968" s="8"/>
      <c r="C968" s="8"/>
      <c r="D968" s="8"/>
      <c r="E968" s="8"/>
      <c r="F968" s="8"/>
      <c r="G968" s="8"/>
      <c r="H968" s="8"/>
      <c r="I968" s="8"/>
      <c r="J968" s="8"/>
      <c r="K968" s="8"/>
      <c r="L968" s="56"/>
      <c r="M968" s="26"/>
      <c r="N968" s="26"/>
      <c r="O968" s="8"/>
      <c r="P968" s="1"/>
      <c r="Q968" s="8"/>
      <c r="R968" s="8"/>
      <c r="S968" s="1"/>
      <c r="T968" s="8"/>
      <c r="U968" s="8"/>
      <c r="V968" s="16"/>
      <c r="W968" s="1"/>
      <c r="X968" s="1"/>
    </row>
    <row r="969" spans="1:24" ht="14.4">
      <c r="A969" s="1"/>
      <c r="B969" s="8"/>
      <c r="C969" s="8"/>
      <c r="D969" s="8"/>
      <c r="E969" s="8"/>
      <c r="F969" s="8"/>
      <c r="G969" s="8"/>
      <c r="H969" s="8"/>
      <c r="I969" s="8"/>
      <c r="J969" s="8"/>
      <c r="K969" s="8"/>
      <c r="L969" s="56"/>
      <c r="M969" s="26"/>
      <c r="N969" s="26"/>
      <c r="O969" s="8"/>
      <c r="P969" s="1"/>
      <c r="Q969" s="8"/>
      <c r="R969" s="8"/>
      <c r="S969" s="1"/>
      <c r="T969" s="8"/>
      <c r="U969" s="8"/>
      <c r="V969" s="16"/>
      <c r="W969" s="1"/>
      <c r="X969" s="1"/>
    </row>
    <row r="970" spans="1:24" ht="14.4">
      <c r="A970" s="1"/>
      <c r="B970" s="8"/>
      <c r="C970" s="8"/>
      <c r="D970" s="8"/>
      <c r="E970" s="8"/>
      <c r="F970" s="8"/>
      <c r="G970" s="8"/>
      <c r="H970" s="8"/>
      <c r="I970" s="8"/>
      <c r="J970" s="8"/>
      <c r="K970" s="8"/>
      <c r="L970" s="56"/>
      <c r="M970" s="26"/>
      <c r="N970" s="26"/>
      <c r="O970" s="8"/>
      <c r="P970" s="1"/>
      <c r="Q970" s="8"/>
      <c r="R970" s="8"/>
      <c r="S970" s="1"/>
      <c r="T970" s="8"/>
      <c r="U970" s="8"/>
      <c r="V970" s="16"/>
      <c r="W970" s="1"/>
      <c r="X970" s="1"/>
    </row>
    <row r="971" spans="1:24" ht="14.4">
      <c r="A971" s="1"/>
      <c r="B971" s="8"/>
      <c r="C971" s="8"/>
      <c r="D971" s="8"/>
      <c r="E971" s="8"/>
      <c r="F971" s="8"/>
      <c r="G971" s="8"/>
      <c r="H971" s="8"/>
      <c r="I971" s="8"/>
      <c r="J971" s="8"/>
      <c r="K971" s="8"/>
      <c r="L971" s="56"/>
      <c r="M971" s="26"/>
      <c r="N971" s="26"/>
      <c r="O971" s="8"/>
      <c r="P971" s="1"/>
      <c r="Q971" s="8"/>
      <c r="R971" s="8"/>
      <c r="S971" s="1"/>
      <c r="T971" s="8"/>
      <c r="U971" s="8"/>
      <c r="V971" s="16"/>
      <c r="W971" s="1"/>
      <c r="X971" s="1"/>
    </row>
    <row r="972" spans="1:24" ht="14.4">
      <c r="A972" s="1"/>
      <c r="B972" s="8"/>
      <c r="C972" s="8"/>
      <c r="D972" s="8"/>
      <c r="E972" s="8"/>
      <c r="F972" s="8"/>
      <c r="G972" s="8"/>
      <c r="H972" s="8"/>
      <c r="I972" s="8"/>
      <c r="J972" s="8"/>
      <c r="K972" s="8"/>
      <c r="L972" s="56"/>
      <c r="M972" s="26"/>
      <c r="N972" s="26"/>
      <c r="O972" s="8"/>
      <c r="P972" s="1"/>
      <c r="Q972" s="8"/>
      <c r="R972" s="8"/>
      <c r="S972" s="1"/>
      <c r="T972" s="8"/>
      <c r="U972" s="8"/>
      <c r="V972" s="16"/>
      <c r="W972" s="1"/>
      <c r="X972" s="1"/>
    </row>
    <row r="973" spans="1:24" ht="14.4">
      <c r="A973" s="1"/>
      <c r="B973" s="8"/>
      <c r="C973" s="8"/>
      <c r="D973" s="8"/>
      <c r="E973" s="8"/>
      <c r="F973" s="8"/>
      <c r="G973" s="8"/>
      <c r="H973" s="8"/>
      <c r="I973" s="8"/>
      <c r="J973" s="8"/>
      <c r="K973" s="8"/>
      <c r="L973" s="56"/>
      <c r="M973" s="26"/>
      <c r="N973" s="26"/>
      <c r="O973" s="8"/>
      <c r="P973" s="1"/>
      <c r="Q973" s="8"/>
      <c r="R973" s="8"/>
      <c r="S973" s="1"/>
      <c r="T973" s="8"/>
      <c r="U973" s="8"/>
      <c r="V973" s="16"/>
      <c r="W973" s="1"/>
      <c r="X973" s="1"/>
    </row>
    <row r="974" spans="1:24" ht="14.4">
      <c r="A974" s="1"/>
      <c r="B974" s="8"/>
      <c r="C974" s="8"/>
      <c r="D974" s="8"/>
      <c r="E974" s="8"/>
      <c r="F974" s="8"/>
      <c r="G974" s="8"/>
      <c r="H974" s="8"/>
      <c r="I974" s="8"/>
      <c r="J974" s="8"/>
      <c r="K974" s="8"/>
      <c r="L974" s="56"/>
      <c r="M974" s="26"/>
      <c r="N974" s="26"/>
      <c r="O974" s="8"/>
      <c r="P974" s="1"/>
      <c r="Q974" s="8"/>
      <c r="R974" s="8"/>
      <c r="S974" s="1"/>
      <c r="T974" s="8"/>
      <c r="U974" s="8"/>
      <c r="V974" s="16"/>
      <c r="W974" s="1"/>
      <c r="X974" s="1"/>
    </row>
    <row r="975" spans="1:24" ht="14.4">
      <c r="A975" s="1"/>
      <c r="B975" s="8"/>
      <c r="C975" s="8"/>
      <c r="D975" s="8"/>
      <c r="E975" s="8"/>
      <c r="F975" s="8"/>
      <c r="G975" s="8"/>
      <c r="H975" s="8"/>
      <c r="I975" s="8"/>
      <c r="J975" s="8"/>
      <c r="K975" s="8"/>
      <c r="L975" s="56"/>
      <c r="M975" s="26"/>
      <c r="N975" s="26"/>
      <c r="O975" s="8"/>
      <c r="P975" s="1"/>
      <c r="Q975" s="8"/>
      <c r="R975" s="8"/>
      <c r="S975" s="1"/>
      <c r="T975" s="8"/>
      <c r="U975" s="8"/>
      <c r="V975" s="16"/>
      <c r="W975" s="1"/>
      <c r="X975" s="1"/>
    </row>
    <row r="976" spans="1:24" ht="14.4">
      <c r="A976" s="1"/>
      <c r="B976" s="8"/>
      <c r="C976" s="8"/>
      <c r="D976" s="8"/>
      <c r="E976" s="8"/>
      <c r="F976" s="8"/>
      <c r="G976" s="8"/>
      <c r="H976" s="8"/>
      <c r="I976" s="8"/>
      <c r="J976" s="8"/>
      <c r="K976" s="8"/>
      <c r="L976" s="56"/>
      <c r="M976" s="26"/>
      <c r="N976" s="26"/>
      <c r="O976" s="8"/>
      <c r="P976" s="1"/>
      <c r="Q976" s="8"/>
      <c r="R976" s="8"/>
      <c r="S976" s="1"/>
      <c r="T976" s="8"/>
      <c r="U976" s="8"/>
      <c r="V976" s="16"/>
      <c r="W976" s="1"/>
      <c r="X976" s="1"/>
    </row>
    <row r="977" spans="1:24" ht="14.4">
      <c r="A977" s="1"/>
      <c r="B977" s="8"/>
      <c r="C977" s="8"/>
      <c r="D977" s="8"/>
      <c r="E977" s="8"/>
      <c r="F977" s="8"/>
      <c r="G977" s="8"/>
      <c r="H977" s="8"/>
      <c r="I977" s="8"/>
      <c r="J977" s="8"/>
      <c r="K977" s="8"/>
      <c r="L977" s="56"/>
      <c r="M977" s="26"/>
      <c r="N977" s="26"/>
      <c r="O977" s="8"/>
      <c r="P977" s="1"/>
      <c r="Q977" s="8"/>
      <c r="R977" s="8"/>
      <c r="S977" s="1"/>
      <c r="T977" s="8"/>
      <c r="U977" s="8"/>
      <c r="V977" s="16"/>
      <c r="W977" s="1"/>
      <c r="X977" s="1"/>
    </row>
    <row r="978" spans="1:24" ht="14.4">
      <c r="A978" s="1"/>
      <c r="B978" s="8"/>
      <c r="C978" s="8"/>
      <c r="D978" s="8"/>
      <c r="E978" s="8"/>
      <c r="F978" s="8"/>
      <c r="G978" s="8"/>
      <c r="H978" s="8"/>
      <c r="I978" s="8"/>
      <c r="J978" s="8"/>
      <c r="K978" s="8"/>
      <c r="L978" s="56"/>
      <c r="M978" s="26"/>
      <c r="N978" s="26"/>
      <c r="O978" s="8"/>
      <c r="P978" s="1"/>
      <c r="Q978" s="8"/>
      <c r="R978" s="8"/>
      <c r="S978" s="1"/>
      <c r="T978" s="8"/>
      <c r="U978" s="8"/>
      <c r="V978" s="16"/>
      <c r="W978" s="1"/>
      <c r="X978" s="1"/>
    </row>
    <row r="979" spans="1:24" ht="14.4">
      <c r="A979" s="1"/>
      <c r="B979" s="8"/>
      <c r="C979" s="8"/>
      <c r="D979" s="8"/>
      <c r="E979" s="8"/>
      <c r="F979" s="8"/>
      <c r="G979" s="8"/>
      <c r="H979" s="8"/>
      <c r="I979" s="8"/>
      <c r="J979" s="8"/>
      <c r="K979" s="8"/>
      <c r="L979" s="56"/>
      <c r="M979" s="26"/>
      <c r="N979" s="26"/>
      <c r="O979" s="8"/>
      <c r="P979" s="1"/>
      <c r="Q979" s="8"/>
      <c r="R979" s="8"/>
      <c r="S979" s="1"/>
      <c r="T979" s="8"/>
      <c r="U979" s="8"/>
      <c r="V979" s="16"/>
      <c r="W979" s="1"/>
      <c r="X979" s="1"/>
    </row>
    <row r="980" spans="1:24" ht="14.4">
      <c r="A980" s="1"/>
      <c r="B980" s="8"/>
      <c r="C980" s="8"/>
      <c r="D980" s="8"/>
      <c r="E980" s="8"/>
      <c r="F980" s="8"/>
      <c r="G980" s="8"/>
      <c r="H980" s="8"/>
      <c r="I980" s="8"/>
      <c r="J980" s="8"/>
      <c r="K980" s="8"/>
      <c r="L980" s="56"/>
      <c r="M980" s="26"/>
      <c r="N980" s="26"/>
      <c r="O980" s="8"/>
      <c r="P980" s="1"/>
      <c r="Q980" s="8"/>
      <c r="R980" s="8"/>
      <c r="S980" s="1"/>
      <c r="T980" s="8"/>
      <c r="U980" s="8"/>
      <c r="V980" s="16"/>
      <c r="W980" s="1"/>
      <c r="X980" s="1"/>
    </row>
    <row r="981" spans="1:24" ht="14.4">
      <c r="A981" s="1"/>
      <c r="B981" s="8"/>
      <c r="C981" s="8"/>
      <c r="D981" s="8"/>
      <c r="E981" s="8"/>
      <c r="F981" s="8"/>
      <c r="G981" s="8"/>
      <c r="H981" s="8"/>
      <c r="I981" s="8"/>
      <c r="J981" s="8"/>
      <c r="K981" s="8"/>
      <c r="L981" s="56"/>
      <c r="M981" s="26"/>
      <c r="N981" s="26"/>
      <c r="O981" s="8"/>
      <c r="P981" s="1"/>
      <c r="Q981" s="8"/>
      <c r="R981" s="8"/>
      <c r="S981" s="1"/>
      <c r="T981" s="8"/>
      <c r="U981" s="8"/>
      <c r="V981" s="16"/>
      <c r="W981" s="1"/>
      <c r="X981" s="1"/>
    </row>
    <row r="982" spans="1:24" ht="14.4">
      <c r="A982" s="1"/>
      <c r="B982" s="8"/>
      <c r="C982" s="8"/>
      <c r="D982" s="8"/>
      <c r="E982" s="8"/>
      <c r="F982" s="8"/>
      <c r="G982" s="8"/>
      <c r="H982" s="8"/>
      <c r="I982" s="8"/>
      <c r="J982" s="8"/>
      <c r="K982" s="8"/>
      <c r="L982" s="56"/>
      <c r="M982" s="26"/>
      <c r="N982" s="26"/>
      <c r="O982" s="8"/>
      <c r="P982" s="1"/>
      <c r="Q982" s="8"/>
      <c r="R982" s="8"/>
      <c r="S982" s="1"/>
      <c r="T982" s="8"/>
      <c r="U982" s="8"/>
      <c r="V982" s="16"/>
      <c r="W982" s="1"/>
      <c r="X982" s="1"/>
    </row>
    <row r="983" spans="1:24" ht="14.4">
      <c r="A983" s="1"/>
      <c r="B983" s="8"/>
      <c r="C983" s="8"/>
      <c r="D983" s="8"/>
      <c r="E983" s="8"/>
      <c r="F983" s="8"/>
      <c r="G983" s="8"/>
      <c r="H983" s="8"/>
      <c r="I983" s="8"/>
      <c r="J983" s="8"/>
      <c r="K983" s="8"/>
      <c r="L983" s="56"/>
      <c r="M983" s="26"/>
      <c r="N983" s="26"/>
      <c r="O983" s="8"/>
      <c r="P983" s="1"/>
      <c r="Q983" s="8"/>
      <c r="R983" s="8"/>
      <c r="S983" s="1"/>
      <c r="T983" s="8"/>
      <c r="U983" s="8"/>
      <c r="V983" s="16"/>
      <c r="W983" s="1"/>
      <c r="X983" s="1"/>
    </row>
    <row r="984" spans="1:24" ht="14.4">
      <c r="A984" s="1"/>
      <c r="B984" s="8"/>
      <c r="C984" s="8"/>
      <c r="D984" s="8"/>
      <c r="E984" s="8"/>
      <c r="F984" s="8"/>
      <c r="G984" s="8"/>
      <c r="H984" s="8"/>
      <c r="I984" s="8"/>
      <c r="J984" s="8"/>
      <c r="K984" s="8"/>
      <c r="L984" s="56"/>
      <c r="M984" s="26"/>
      <c r="N984" s="26"/>
      <c r="O984" s="8"/>
      <c r="P984" s="1"/>
      <c r="Q984" s="8"/>
      <c r="R984" s="8"/>
      <c r="S984" s="1"/>
      <c r="T984" s="8"/>
      <c r="U984" s="8"/>
      <c r="V984" s="16"/>
      <c r="W984" s="1"/>
      <c r="X984" s="1"/>
    </row>
    <row r="985" spans="1:24" ht="14.4">
      <c r="A985" s="1"/>
      <c r="B985" s="8"/>
      <c r="C985" s="8"/>
      <c r="D985" s="8"/>
      <c r="E985" s="8"/>
      <c r="F985" s="8"/>
      <c r="G985" s="8"/>
      <c r="H985" s="8"/>
      <c r="I985" s="8"/>
      <c r="J985" s="8"/>
      <c r="K985" s="8"/>
      <c r="L985" s="56"/>
      <c r="M985" s="26"/>
      <c r="N985" s="26"/>
      <c r="O985" s="8"/>
      <c r="P985" s="1"/>
      <c r="Q985" s="8"/>
      <c r="R985" s="8"/>
      <c r="S985" s="1"/>
      <c r="T985" s="8"/>
      <c r="U985" s="8"/>
      <c r="V985" s="16"/>
      <c r="W985" s="1"/>
      <c r="X985" s="1"/>
    </row>
    <row r="986" spans="1:24" ht="14.4">
      <c r="A986" s="1"/>
      <c r="B986" s="8"/>
      <c r="C986" s="8"/>
      <c r="D986" s="8"/>
      <c r="E986" s="8"/>
      <c r="F986" s="8"/>
      <c r="G986" s="8"/>
      <c r="H986" s="8"/>
      <c r="I986" s="8"/>
      <c r="J986" s="8"/>
      <c r="K986" s="8"/>
      <c r="L986" s="56"/>
      <c r="M986" s="26"/>
      <c r="N986" s="26"/>
      <c r="O986" s="8"/>
      <c r="P986" s="1"/>
      <c r="Q986" s="8"/>
      <c r="R986" s="8"/>
      <c r="S986" s="1"/>
      <c r="T986" s="8"/>
      <c r="U986" s="8"/>
      <c r="V986" s="16"/>
      <c r="W986" s="1"/>
      <c r="X986" s="1"/>
    </row>
    <row r="987" spans="1:24" ht="14.4">
      <c r="A987" s="1"/>
      <c r="B987" s="8"/>
      <c r="C987" s="8"/>
      <c r="D987" s="8"/>
      <c r="E987" s="8"/>
      <c r="F987" s="8"/>
      <c r="G987" s="8"/>
      <c r="H987" s="8"/>
      <c r="I987" s="8"/>
      <c r="J987" s="8"/>
      <c r="K987" s="8"/>
      <c r="L987" s="56"/>
      <c r="M987" s="26"/>
      <c r="N987" s="26"/>
      <c r="O987" s="8"/>
      <c r="P987" s="1"/>
      <c r="Q987" s="8"/>
      <c r="R987" s="8"/>
      <c r="S987" s="1"/>
      <c r="T987" s="8"/>
      <c r="U987" s="8"/>
      <c r="V987" s="16"/>
      <c r="W987" s="1"/>
      <c r="X987" s="1"/>
    </row>
    <row r="988" spans="1:24" ht="14.4">
      <c r="A988" s="1"/>
      <c r="B988" s="8"/>
      <c r="C988" s="8"/>
      <c r="D988" s="8"/>
      <c r="E988" s="8"/>
      <c r="F988" s="8"/>
      <c r="G988" s="8"/>
      <c r="H988" s="8"/>
      <c r="I988" s="8"/>
      <c r="J988" s="8"/>
      <c r="K988" s="8"/>
      <c r="L988" s="56"/>
      <c r="M988" s="26"/>
      <c r="N988" s="26"/>
      <c r="O988" s="8"/>
      <c r="P988" s="1"/>
      <c r="Q988" s="8"/>
      <c r="R988" s="8"/>
      <c r="S988" s="1"/>
      <c r="T988" s="8"/>
      <c r="U988" s="8"/>
      <c r="V988" s="16"/>
      <c r="W988" s="1"/>
      <c r="X988" s="1"/>
    </row>
    <row r="989" spans="1:24" ht="14.4">
      <c r="A989" s="1"/>
      <c r="B989" s="8"/>
      <c r="C989" s="8"/>
      <c r="D989" s="8"/>
      <c r="E989" s="8"/>
      <c r="F989" s="8"/>
      <c r="G989" s="8"/>
      <c r="H989" s="8"/>
      <c r="I989" s="8"/>
      <c r="J989" s="8"/>
      <c r="K989" s="8"/>
      <c r="L989" s="56"/>
      <c r="M989" s="26"/>
      <c r="N989" s="26"/>
      <c r="O989" s="8"/>
      <c r="P989" s="1"/>
      <c r="Q989" s="8"/>
      <c r="R989" s="8"/>
      <c r="S989" s="1"/>
      <c r="T989" s="8"/>
      <c r="U989" s="8"/>
      <c r="V989" s="16"/>
      <c r="W989" s="1"/>
      <c r="X989" s="1"/>
    </row>
    <row r="990" spans="1:24" ht="14.4">
      <c r="A990" s="1"/>
      <c r="B990" s="8"/>
      <c r="C990" s="8"/>
      <c r="D990" s="8"/>
      <c r="E990" s="8"/>
      <c r="F990" s="8"/>
      <c r="G990" s="8"/>
      <c r="H990" s="8"/>
      <c r="I990" s="8"/>
      <c r="J990" s="8"/>
      <c r="K990" s="8"/>
      <c r="L990" s="56"/>
      <c r="M990" s="26"/>
      <c r="N990" s="26"/>
      <c r="O990" s="8"/>
      <c r="P990" s="1"/>
      <c r="Q990" s="8"/>
      <c r="R990" s="8"/>
      <c r="S990" s="1"/>
      <c r="T990" s="8"/>
      <c r="U990" s="8"/>
      <c r="V990" s="16"/>
      <c r="W990" s="1"/>
      <c r="X990" s="1"/>
    </row>
    <row r="991" spans="1:24" ht="14.4">
      <c r="A991" s="1"/>
      <c r="B991" s="8"/>
      <c r="C991" s="8"/>
      <c r="D991" s="8"/>
      <c r="E991" s="8"/>
      <c r="F991" s="8"/>
      <c r="G991" s="8"/>
      <c r="H991" s="8"/>
      <c r="I991" s="8"/>
      <c r="J991" s="8"/>
      <c r="K991" s="8"/>
      <c r="L991" s="56"/>
      <c r="M991" s="26"/>
      <c r="N991" s="26"/>
      <c r="O991" s="8"/>
      <c r="P991" s="1"/>
      <c r="Q991" s="8"/>
      <c r="R991" s="8"/>
      <c r="S991" s="1"/>
      <c r="T991" s="8"/>
      <c r="U991" s="8"/>
      <c r="V991" s="16"/>
      <c r="W991" s="1"/>
      <c r="X991" s="1"/>
    </row>
    <row r="992" spans="1:24" ht="14.4">
      <c r="A992" s="1"/>
      <c r="B992" s="8"/>
      <c r="C992" s="8"/>
      <c r="D992" s="8"/>
      <c r="E992" s="8"/>
      <c r="F992" s="8"/>
      <c r="G992" s="8"/>
      <c r="H992" s="8"/>
      <c r="I992" s="8"/>
      <c r="J992" s="8"/>
      <c r="K992" s="8"/>
      <c r="L992" s="56"/>
      <c r="M992" s="26"/>
      <c r="N992" s="26"/>
      <c r="O992" s="8"/>
      <c r="P992" s="1"/>
      <c r="Q992" s="8"/>
      <c r="R992" s="8"/>
      <c r="S992" s="1"/>
      <c r="T992" s="8"/>
      <c r="U992" s="8"/>
      <c r="V992" s="16"/>
      <c r="W992" s="1"/>
      <c r="X992" s="1"/>
    </row>
    <row r="993" spans="1:24" ht="14.4">
      <c r="A993" s="1"/>
      <c r="B993" s="8"/>
      <c r="C993" s="8"/>
      <c r="D993" s="8"/>
      <c r="E993" s="8"/>
      <c r="F993" s="8"/>
      <c r="G993" s="8"/>
      <c r="H993" s="8"/>
      <c r="I993" s="8"/>
      <c r="J993" s="8"/>
      <c r="K993" s="8"/>
      <c r="L993" s="56"/>
      <c r="M993" s="26"/>
      <c r="N993" s="26"/>
      <c r="O993" s="8"/>
      <c r="P993" s="1"/>
      <c r="Q993" s="8"/>
      <c r="R993" s="8"/>
      <c r="S993" s="1"/>
      <c r="T993" s="8"/>
      <c r="U993" s="8"/>
      <c r="V993" s="16"/>
      <c r="W993" s="1"/>
      <c r="X993" s="1"/>
    </row>
    <row r="994" spans="1:24" ht="14.4">
      <c r="A994" s="1"/>
      <c r="B994" s="8"/>
      <c r="C994" s="8"/>
      <c r="D994" s="8"/>
      <c r="E994" s="8"/>
      <c r="F994" s="8"/>
      <c r="G994" s="8"/>
      <c r="H994" s="8"/>
      <c r="I994" s="8"/>
      <c r="J994" s="8"/>
      <c r="K994" s="8"/>
      <c r="L994" s="56"/>
      <c r="M994" s="26"/>
      <c r="N994" s="26"/>
      <c r="O994" s="8"/>
      <c r="P994" s="1"/>
      <c r="Q994" s="8"/>
      <c r="R994" s="8"/>
      <c r="S994" s="1"/>
      <c r="T994" s="8"/>
      <c r="U994" s="8"/>
      <c r="V994" s="16"/>
      <c r="W994" s="1"/>
      <c r="X994" s="1"/>
    </row>
    <row r="995" spans="1:24" ht="14.4">
      <c r="A995" s="1"/>
      <c r="B995" s="8"/>
      <c r="C995" s="8"/>
      <c r="D995" s="8"/>
      <c r="E995" s="8"/>
      <c r="F995" s="8"/>
      <c r="G995" s="8"/>
      <c r="H995" s="8"/>
      <c r="I995" s="8"/>
      <c r="J995" s="8"/>
      <c r="K995" s="8"/>
      <c r="L995" s="56"/>
      <c r="M995" s="26"/>
      <c r="N995" s="26"/>
      <c r="O995" s="8"/>
      <c r="P995" s="1"/>
      <c r="Q995" s="8"/>
      <c r="R995" s="8"/>
      <c r="S995" s="1"/>
      <c r="T995" s="8"/>
      <c r="U995" s="8"/>
      <c r="V995" s="16"/>
      <c r="W995" s="1"/>
      <c r="X995" s="1"/>
    </row>
    <row r="996" spans="1:24" ht="14.4">
      <c r="A996" s="1"/>
      <c r="B996" s="8"/>
      <c r="C996" s="8"/>
      <c r="D996" s="8"/>
      <c r="E996" s="8"/>
      <c r="F996" s="8"/>
      <c r="G996" s="8"/>
      <c r="H996" s="8"/>
      <c r="I996" s="8"/>
      <c r="J996" s="8"/>
      <c r="K996" s="8"/>
      <c r="L996" s="56"/>
      <c r="M996" s="26"/>
      <c r="N996" s="26"/>
      <c r="O996" s="8"/>
      <c r="P996" s="1"/>
      <c r="Q996" s="8"/>
      <c r="R996" s="8"/>
      <c r="S996" s="1"/>
      <c r="T996" s="8"/>
      <c r="U996" s="8"/>
      <c r="V996" s="16"/>
      <c r="W996" s="1"/>
      <c r="X996" s="1"/>
    </row>
    <row r="997" spans="1:24" ht="14.4">
      <c r="A997" s="1"/>
      <c r="B997" s="8"/>
      <c r="C997" s="8"/>
      <c r="D997" s="8"/>
      <c r="E997" s="8"/>
      <c r="F997" s="8"/>
      <c r="G997" s="8"/>
      <c r="H997" s="8"/>
      <c r="I997" s="8"/>
      <c r="J997" s="8"/>
      <c r="K997" s="8"/>
      <c r="L997" s="56"/>
      <c r="M997" s="26"/>
      <c r="N997" s="26"/>
      <c r="O997" s="8"/>
      <c r="P997" s="1"/>
      <c r="Q997" s="8"/>
      <c r="R997" s="8"/>
      <c r="S997" s="1"/>
      <c r="T997" s="8"/>
      <c r="U997" s="8"/>
      <c r="V997" s="16"/>
      <c r="W997" s="1"/>
      <c r="X997" s="1"/>
    </row>
    <row r="998" spans="1:24" ht="14.4">
      <c r="A998" s="1"/>
      <c r="B998" s="8"/>
      <c r="C998" s="8"/>
      <c r="D998" s="8"/>
      <c r="E998" s="8"/>
      <c r="F998" s="8"/>
      <c r="G998" s="8"/>
      <c r="H998" s="8"/>
      <c r="I998" s="8"/>
      <c r="J998" s="8"/>
      <c r="K998" s="8"/>
      <c r="L998" s="56"/>
      <c r="M998" s="26"/>
      <c r="N998" s="26"/>
      <c r="O998" s="8"/>
      <c r="P998" s="1"/>
      <c r="Q998" s="8"/>
      <c r="R998" s="8"/>
      <c r="S998" s="1"/>
      <c r="T998" s="8"/>
      <c r="U998" s="8"/>
      <c r="V998" s="16"/>
      <c r="W998" s="1"/>
      <c r="X998" s="1"/>
    </row>
    <row r="999" spans="1:24" ht="14.4">
      <c r="A999" s="1"/>
      <c r="B999" s="8"/>
      <c r="C999" s="8"/>
      <c r="D999" s="8"/>
      <c r="E999" s="8"/>
      <c r="F999" s="8"/>
      <c r="G999" s="8"/>
      <c r="H999" s="8"/>
      <c r="I999" s="8"/>
      <c r="J999" s="8"/>
      <c r="K999" s="8"/>
      <c r="L999" s="56"/>
      <c r="M999" s="26"/>
      <c r="N999" s="26"/>
      <c r="O999" s="8"/>
      <c r="P999" s="1"/>
      <c r="Q999" s="8"/>
      <c r="R999" s="8"/>
      <c r="S999" s="1"/>
      <c r="T999" s="8"/>
      <c r="U999" s="8"/>
      <c r="V999" s="16"/>
      <c r="W999" s="1"/>
      <c r="X999" s="1"/>
    </row>
    <row r="1000" spans="1:24" ht="14.4">
      <c r="A1000" s="1"/>
      <c r="B1000" s="8"/>
      <c r="C1000" s="8"/>
      <c r="D1000" s="8"/>
      <c r="E1000" s="8"/>
      <c r="F1000" s="8"/>
      <c r="G1000" s="8"/>
      <c r="H1000" s="8"/>
      <c r="I1000" s="8"/>
      <c r="J1000" s="8"/>
      <c r="K1000" s="8"/>
      <c r="L1000" s="56"/>
      <c r="M1000" s="26"/>
      <c r="N1000" s="26"/>
      <c r="O1000" s="8"/>
      <c r="P1000" s="1"/>
      <c r="Q1000" s="8"/>
      <c r="R1000" s="8"/>
      <c r="S1000" s="1"/>
      <c r="T1000" s="8"/>
      <c r="U1000" s="8"/>
      <c r="V1000" s="16"/>
      <c r="W1000" s="1"/>
      <c r="X1000" s="1"/>
    </row>
    <row r="1001" spans="1:24" ht="14.4">
      <c r="A1001" s="1"/>
      <c r="B1001" s="8"/>
      <c r="C1001" s="8"/>
      <c r="D1001" s="8"/>
      <c r="E1001" s="8"/>
      <c r="F1001" s="8"/>
      <c r="G1001" s="8"/>
      <c r="H1001" s="8"/>
      <c r="I1001" s="8"/>
      <c r="J1001" s="8"/>
      <c r="K1001" s="8"/>
      <c r="L1001" s="56"/>
      <c r="M1001" s="26"/>
      <c r="N1001" s="26"/>
      <c r="O1001" s="8"/>
      <c r="P1001" s="1"/>
      <c r="Q1001" s="8"/>
      <c r="R1001" s="8"/>
      <c r="S1001" s="1"/>
      <c r="T1001" s="8"/>
      <c r="U1001" s="8"/>
      <c r="V1001" s="16"/>
      <c r="W1001" s="1"/>
      <c r="X1001" s="1"/>
    </row>
    <row r="1002" spans="1:24" ht="14.4">
      <c r="A1002" s="1"/>
      <c r="B1002" s="8"/>
      <c r="C1002" s="8"/>
      <c r="D1002" s="8"/>
      <c r="E1002" s="8"/>
      <c r="F1002" s="8"/>
      <c r="G1002" s="8"/>
      <c r="H1002" s="8"/>
      <c r="I1002" s="8"/>
      <c r="J1002" s="8"/>
      <c r="K1002" s="8"/>
      <c r="L1002" s="56"/>
      <c r="M1002" s="26"/>
      <c r="N1002" s="26"/>
      <c r="O1002" s="8"/>
      <c r="P1002" s="1"/>
      <c r="Q1002" s="8"/>
      <c r="R1002" s="8"/>
      <c r="S1002" s="1"/>
      <c r="T1002" s="8"/>
      <c r="U1002" s="8"/>
      <c r="V1002" s="16"/>
      <c r="W1002" s="1"/>
      <c r="X1002" s="1"/>
    </row>
    <row r="1003" spans="1:24" ht="14.4">
      <c r="A1003" s="1"/>
      <c r="B1003" s="8"/>
      <c r="C1003" s="8"/>
      <c r="D1003" s="8"/>
      <c r="E1003" s="8"/>
      <c r="F1003" s="8"/>
      <c r="G1003" s="8"/>
      <c r="H1003" s="8"/>
      <c r="I1003" s="8"/>
      <c r="J1003" s="8"/>
      <c r="K1003" s="8"/>
      <c r="L1003" s="56"/>
      <c r="M1003" s="26"/>
      <c r="N1003" s="26"/>
      <c r="O1003" s="8"/>
      <c r="P1003" s="1"/>
      <c r="Q1003" s="8"/>
      <c r="R1003" s="8"/>
      <c r="S1003" s="1"/>
      <c r="T1003" s="8"/>
      <c r="U1003" s="8"/>
      <c r="V1003" s="16"/>
      <c r="W1003" s="1"/>
      <c r="X1003" s="1"/>
    </row>
    <row r="1004" spans="1:24" ht="14.4">
      <c r="A1004" s="1"/>
      <c r="B1004" s="8"/>
      <c r="C1004" s="8"/>
      <c r="D1004" s="8"/>
      <c r="E1004" s="8"/>
      <c r="F1004" s="8"/>
      <c r="G1004" s="8"/>
      <c r="H1004" s="8"/>
      <c r="I1004" s="8"/>
      <c r="J1004" s="8"/>
      <c r="K1004" s="8"/>
      <c r="L1004" s="56"/>
      <c r="M1004" s="26"/>
      <c r="N1004" s="26"/>
      <c r="O1004" s="8"/>
      <c r="P1004" s="1"/>
      <c r="Q1004" s="8"/>
      <c r="R1004" s="8"/>
      <c r="S1004" s="1"/>
      <c r="T1004" s="8"/>
      <c r="U1004" s="8"/>
      <c r="V1004" s="16"/>
      <c r="W1004" s="1"/>
      <c r="X1004" s="1"/>
    </row>
    <row r="1005" spans="1:24" ht="14.4">
      <c r="A1005" s="1"/>
      <c r="B1005" s="8"/>
      <c r="C1005" s="8"/>
      <c r="D1005" s="8"/>
      <c r="E1005" s="8"/>
      <c r="F1005" s="8"/>
      <c r="G1005" s="8"/>
      <c r="H1005" s="8"/>
      <c r="I1005" s="8"/>
      <c r="J1005" s="8"/>
      <c r="K1005" s="8"/>
      <c r="L1005" s="56"/>
      <c r="M1005" s="26"/>
      <c r="N1005" s="26"/>
      <c r="O1005" s="8"/>
      <c r="P1005" s="1"/>
      <c r="Q1005" s="8"/>
      <c r="R1005" s="8"/>
      <c r="S1005" s="1"/>
      <c r="T1005" s="8"/>
      <c r="U1005" s="8"/>
      <c r="V1005" s="16"/>
      <c r="W1005" s="1"/>
      <c r="X1005" s="1"/>
    </row>
    <row r="1006" spans="1:24" ht="14.4">
      <c r="A1006" s="1"/>
      <c r="B1006" s="8"/>
      <c r="C1006" s="8"/>
      <c r="D1006" s="8"/>
      <c r="E1006" s="8"/>
      <c r="F1006" s="8"/>
      <c r="G1006" s="8"/>
      <c r="H1006" s="8"/>
      <c r="I1006" s="8"/>
      <c r="J1006" s="8"/>
      <c r="K1006" s="8"/>
      <c r="L1006" s="56"/>
      <c r="M1006" s="26"/>
      <c r="N1006" s="26"/>
      <c r="O1006" s="8"/>
      <c r="P1006" s="1"/>
      <c r="Q1006" s="8"/>
      <c r="R1006" s="8"/>
      <c r="S1006" s="1"/>
      <c r="T1006" s="8"/>
      <c r="U1006" s="8"/>
      <c r="V1006" s="16"/>
      <c r="W1006" s="1"/>
      <c r="X1006" s="1"/>
    </row>
    <row r="1007" spans="1:24" ht="14.4">
      <c r="A1007" s="1"/>
      <c r="B1007" s="8"/>
      <c r="C1007" s="8"/>
      <c r="D1007" s="8"/>
      <c r="E1007" s="8"/>
      <c r="F1007" s="8"/>
      <c r="G1007" s="8"/>
      <c r="H1007" s="8"/>
      <c r="I1007" s="8"/>
      <c r="J1007" s="8"/>
      <c r="K1007" s="8"/>
      <c r="L1007" s="56"/>
      <c r="M1007" s="26"/>
      <c r="N1007" s="26"/>
      <c r="O1007" s="8"/>
      <c r="P1007" s="1"/>
      <c r="Q1007" s="8"/>
      <c r="R1007" s="8"/>
      <c r="S1007" s="1"/>
      <c r="T1007" s="8"/>
      <c r="U1007" s="8"/>
      <c r="V1007" s="16"/>
      <c r="W1007" s="1"/>
      <c r="X1007" s="1"/>
    </row>
    <row r="1008" spans="1:24" ht="14.4">
      <c r="A1008" s="1"/>
      <c r="B1008" s="8"/>
      <c r="C1008" s="8"/>
      <c r="D1008" s="8"/>
      <c r="E1008" s="8"/>
      <c r="F1008" s="8"/>
      <c r="G1008" s="8"/>
      <c r="H1008" s="8"/>
      <c r="I1008" s="8"/>
      <c r="J1008" s="8"/>
      <c r="K1008" s="8"/>
      <c r="L1008" s="56"/>
      <c r="M1008" s="26"/>
      <c r="N1008" s="26"/>
      <c r="O1008" s="8"/>
      <c r="P1008" s="1"/>
      <c r="Q1008" s="8"/>
      <c r="R1008" s="8"/>
      <c r="S1008" s="1"/>
      <c r="T1008" s="8"/>
      <c r="U1008" s="8"/>
      <c r="V1008" s="16"/>
      <c r="W1008" s="1"/>
      <c r="X1008" s="1"/>
    </row>
    <row r="1009" spans="1:24" ht="14.4">
      <c r="A1009" s="1"/>
      <c r="B1009" s="8"/>
      <c r="C1009" s="8"/>
      <c r="D1009" s="8"/>
      <c r="E1009" s="8"/>
      <c r="F1009" s="8"/>
      <c r="G1009" s="8"/>
      <c r="H1009" s="8"/>
      <c r="I1009" s="8"/>
      <c r="J1009" s="8"/>
      <c r="K1009" s="8"/>
      <c r="L1009" s="56"/>
      <c r="M1009" s="26"/>
      <c r="N1009" s="26"/>
      <c r="O1009" s="8"/>
      <c r="P1009" s="1"/>
      <c r="Q1009" s="8"/>
      <c r="R1009" s="8"/>
      <c r="S1009" s="1"/>
      <c r="T1009" s="8"/>
      <c r="U1009" s="8"/>
      <c r="V1009" s="16"/>
      <c r="W1009" s="1"/>
      <c r="X1009" s="1"/>
    </row>
    <row r="1010" spans="1:24" ht="14.4">
      <c r="A1010" s="1"/>
      <c r="B1010" s="8"/>
      <c r="C1010" s="8"/>
      <c r="D1010" s="8"/>
      <c r="E1010" s="8"/>
      <c r="F1010" s="8"/>
      <c r="G1010" s="8"/>
      <c r="H1010" s="8"/>
      <c r="I1010" s="8"/>
      <c r="J1010" s="8"/>
      <c r="K1010" s="8"/>
      <c r="L1010" s="56"/>
      <c r="M1010" s="26"/>
      <c r="N1010" s="26"/>
      <c r="O1010" s="8"/>
      <c r="P1010" s="1"/>
      <c r="Q1010" s="8"/>
      <c r="R1010" s="8"/>
      <c r="S1010" s="1"/>
      <c r="T1010" s="8"/>
      <c r="U1010" s="8"/>
      <c r="V1010" s="16"/>
      <c r="W1010" s="1"/>
      <c r="X1010" s="1"/>
    </row>
    <row r="1011" spans="1:24" ht="14.4">
      <c r="A1011" s="1"/>
      <c r="B1011" s="8"/>
      <c r="C1011" s="8"/>
      <c r="D1011" s="8"/>
      <c r="E1011" s="8"/>
      <c r="F1011" s="8"/>
      <c r="G1011" s="8"/>
      <c r="H1011" s="8"/>
      <c r="I1011" s="8"/>
      <c r="J1011" s="8"/>
      <c r="K1011" s="8"/>
      <c r="L1011" s="56"/>
      <c r="M1011" s="26"/>
      <c r="N1011" s="26"/>
      <c r="O1011" s="8"/>
      <c r="P1011" s="1"/>
      <c r="Q1011" s="8"/>
      <c r="R1011" s="8"/>
      <c r="S1011" s="1"/>
      <c r="T1011" s="8"/>
      <c r="U1011" s="8"/>
      <c r="V1011" s="16"/>
      <c r="W1011" s="1"/>
      <c r="X1011" s="1"/>
    </row>
    <row r="1012" spans="1:24" ht="14.4">
      <c r="A1012" s="1"/>
      <c r="B1012" s="8"/>
      <c r="C1012" s="8"/>
      <c r="D1012" s="8"/>
      <c r="E1012" s="8"/>
      <c r="F1012" s="8"/>
      <c r="G1012" s="8"/>
      <c r="H1012" s="8"/>
      <c r="I1012" s="8"/>
      <c r="J1012" s="8"/>
      <c r="K1012" s="8"/>
      <c r="L1012" s="56"/>
      <c r="M1012" s="26"/>
      <c r="N1012" s="26"/>
      <c r="O1012" s="8"/>
      <c r="P1012" s="1"/>
      <c r="Q1012" s="8"/>
      <c r="R1012" s="8"/>
      <c r="S1012" s="1"/>
      <c r="T1012" s="8"/>
      <c r="U1012" s="8"/>
      <c r="V1012" s="16"/>
      <c r="W1012" s="1"/>
      <c r="X1012" s="1"/>
    </row>
    <row r="1013" spans="1:24" ht="14.4">
      <c r="A1013" s="1"/>
      <c r="B1013" s="8"/>
      <c r="C1013" s="8"/>
      <c r="D1013" s="8"/>
      <c r="E1013" s="8"/>
      <c r="F1013" s="8"/>
      <c r="G1013" s="8"/>
      <c r="H1013" s="8"/>
      <c r="I1013" s="8"/>
      <c r="J1013" s="8"/>
      <c r="K1013" s="8"/>
      <c r="L1013" s="56"/>
      <c r="M1013" s="26"/>
      <c r="N1013" s="26"/>
      <c r="O1013" s="8"/>
      <c r="P1013" s="1"/>
      <c r="Q1013" s="8"/>
      <c r="R1013" s="8"/>
      <c r="S1013" s="1"/>
      <c r="T1013" s="8"/>
      <c r="U1013" s="8"/>
      <c r="V1013" s="16"/>
      <c r="W1013" s="1"/>
      <c r="X1013" s="1"/>
    </row>
    <row r="1014" spans="1:24" ht="14.4">
      <c r="A1014" s="1"/>
      <c r="B1014" s="8"/>
      <c r="C1014" s="8"/>
      <c r="D1014" s="8"/>
      <c r="E1014" s="8"/>
      <c r="F1014" s="8"/>
      <c r="G1014" s="8"/>
      <c r="H1014" s="8"/>
      <c r="I1014" s="8"/>
      <c r="J1014" s="8"/>
      <c r="K1014" s="8"/>
      <c r="L1014" s="56"/>
      <c r="M1014" s="26"/>
      <c r="N1014" s="26"/>
      <c r="O1014" s="8"/>
      <c r="P1014" s="1"/>
      <c r="Q1014" s="8"/>
      <c r="R1014" s="8"/>
      <c r="S1014" s="1"/>
      <c r="T1014" s="8"/>
      <c r="U1014" s="8"/>
      <c r="V1014" s="16"/>
      <c r="W1014" s="1"/>
      <c r="X1014" s="1"/>
    </row>
    <row r="1015" spans="1:24" ht="14.4">
      <c r="A1015" s="1"/>
      <c r="B1015" s="8"/>
      <c r="C1015" s="8"/>
      <c r="D1015" s="8"/>
      <c r="E1015" s="8"/>
      <c r="F1015" s="8"/>
      <c r="G1015" s="8"/>
      <c r="H1015" s="8"/>
      <c r="I1015" s="8"/>
      <c r="J1015" s="8"/>
      <c r="K1015" s="8"/>
      <c r="L1015" s="56"/>
      <c r="M1015" s="26"/>
      <c r="N1015" s="26"/>
      <c r="O1015" s="8"/>
      <c r="P1015" s="1"/>
      <c r="Q1015" s="8"/>
      <c r="R1015" s="8"/>
      <c r="S1015" s="1"/>
      <c r="T1015" s="8"/>
      <c r="U1015" s="8"/>
      <c r="V1015" s="16"/>
      <c r="W1015" s="1"/>
      <c r="X1015" s="1"/>
    </row>
    <row r="1016" spans="1:24" ht="14.4">
      <c r="A1016" s="1"/>
      <c r="B1016" s="8"/>
      <c r="C1016" s="8"/>
      <c r="D1016" s="8"/>
      <c r="E1016" s="8"/>
      <c r="F1016" s="8"/>
      <c r="G1016" s="8"/>
      <c r="H1016" s="8"/>
      <c r="I1016" s="8"/>
      <c r="J1016" s="8"/>
      <c r="K1016" s="8"/>
      <c r="L1016" s="56"/>
      <c r="M1016" s="26"/>
      <c r="N1016" s="26"/>
      <c r="O1016" s="8"/>
      <c r="P1016" s="1"/>
      <c r="Q1016" s="8"/>
      <c r="R1016" s="8"/>
      <c r="S1016" s="1"/>
      <c r="T1016" s="8"/>
      <c r="U1016" s="8"/>
      <c r="V1016" s="16"/>
      <c r="W1016" s="1"/>
      <c r="X1016" s="1"/>
    </row>
    <row r="1017" spans="1:24" ht="14.4">
      <c r="A1017" s="1"/>
      <c r="B1017" s="8"/>
      <c r="C1017" s="8"/>
      <c r="D1017" s="8"/>
      <c r="E1017" s="8"/>
      <c r="F1017" s="8"/>
      <c r="G1017" s="8"/>
      <c r="H1017" s="8"/>
      <c r="I1017" s="8"/>
      <c r="J1017" s="8"/>
      <c r="K1017" s="8"/>
      <c r="L1017" s="56"/>
      <c r="M1017" s="26"/>
      <c r="N1017" s="26"/>
      <c r="O1017" s="8"/>
      <c r="P1017" s="1"/>
      <c r="Q1017" s="8"/>
      <c r="R1017" s="8"/>
      <c r="S1017" s="1"/>
      <c r="T1017" s="8"/>
      <c r="U1017" s="8"/>
      <c r="V1017" s="16"/>
      <c r="W1017" s="1"/>
      <c r="X1017" s="1"/>
    </row>
    <row r="1018" spans="1:24" ht="14.4">
      <c r="A1018" s="1"/>
      <c r="B1018" s="8"/>
      <c r="C1018" s="8"/>
      <c r="D1018" s="8"/>
      <c r="E1018" s="8"/>
      <c r="F1018" s="8"/>
      <c r="G1018" s="8"/>
      <c r="H1018" s="8"/>
      <c r="I1018" s="8"/>
      <c r="J1018" s="8"/>
      <c r="K1018" s="8"/>
      <c r="L1018" s="56"/>
      <c r="M1018" s="26"/>
      <c r="N1018" s="26"/>
      <c r="O1018" s="8"/>
      <c r="P1018" s="1"/>
      <c r="Q1018" s="8"/>
      <c r="R1018" s="8"/>
      <c r="S1018" s="1"/>
      <c r="T1018" s="8"/>
      <c r="U1018" s="8"/>
      <c r="V1018" s="16"/>
      <c r="W1018" s="1"/>
      <c r="X1018" s="1"/>
    </row>
    <row r="1019" spans="1:24" ht="14.4">
      <c r="A1019" s="1"/>
      <c r="B1019" s="8"/>
      <c r="C1019" s="8"/>
      <c r="D1019" s="8"/>
      <c r="E1019" s="8"/>
      <c r="F1019" s="8"/>
      <c r="G1019" s="8"/>
      <c r="H1019" s="8"/>
      <c r="I1019" s="8"/>
      <c r="J1019" s="8"/>
      <c r="K1019" s="8"/>
      <c r="L1019" s="56"/>
      <c r="M1019" s="26"/>
      <c r="N1019" s="26"/>
      <c r="O1019" s="8"/>
      <c r="P1019" s="1"/>
      <c r="Q1019" s="8"/>
      <c r="R1019" s="8"/>
      <c r="S1019" s="1"/>
      <c r="T1019" s="8"/>
      <c r="U1019" s="8"/>
      <c r="V1019" s="16"/>
      <c r="W1019" s="1"/>
      <c r="X1019" s="1"/>
    </row>
    <row r="1020" spans="1:24" ht="14.4">
      <c r="A1020" s="1"/>
      <c r="B1020" s="8"/>
      <c r="C1020" s="8"/>
      <c r="D1020" s="8"/>
      <c r="E1020" s="8"/>
      <c r="F1020" s="8"/>
      <c r="G1020" s="8"/>
      <c r="H1020" s="8"/>
      <c r="I1020" s="8"/>
      <c r="J1020" s="8"/>
      <c r="K1020" s="8"/>
      <c r="L1020" s="56"/>
      <c r="M1020" s="26"/>
      <c r="N1020" s="26"/>
      <c r="O1020" s="8"/>
      <c r="P1020" s="1"/>
      <c r="Q1020" s="8"/>
      <c r="R1020" s="8"/>
      <c r="S1020" s="1"/>
      <c r="T1020" s="8"/>
      <c r="U1020" s="8"/>
      <c r="V1020" s="16"/>
      <c r="W1020" s="1"/>
      <c r="X1020" s="1"/>
    </row>
    <row r="1021" spans="1:24" ht="14.4">
      <c r="A1021" s="1"/>
      <c r="B1021" s="8"/>
      <c r="C1021" s="8"/>
      <c r="D1021" s="8"/>
      <c r="E1021" s="8"/>
      <c r="F1021" s="8"/>
      <c r="G1021" s="8"/>
      <c r="H1021" s="8"/>
      <c r="I1021" s="8"/>
      <c r="J1021" s="8"/>
      <c r="K1021" s="8"/>
      <c r="L1021" s="56"/>
      <c r="M1021" s="26"/>
      <c r="N1021" s="26"/>
      <c r="O1021" s="8"/>
      <c r="P1021" s="1"/>
      <c r="Q1021" s="8"/>
      <c r="R1021" s="8"/>
      <c r="S1021" s="1"/>
      <c r="T1021" s="8"/>
      <c r="U1021" s="8"/>
      <c r="V1021" s="16"/>
      <c r="W1021" s="1"/>
      <c r="X1021" s="1"/>
    </row>
    <row r="1022" spans="1:24" ht="14.4">
      <c r="A1022" s="1"/>
      <c r="B1022" s="8"/>
      <c r="C1022" s="8"/>
      <c r="D1022" s="8"/>
      <c r="E1022" s="8"/>
      <c r="F1022" s="8"/>
      <c r="G1022" s="8"/>
      <c r="H1022" s="8"/>
      <c r="I1022" s="8"/>
      <c r="J1022" s="8"/>
      <c r="K1022" s="8"/>
      <c r="L1022" s="56"/>
      <c r="M1022" s="26"/>
      <c r="N1022" s="26"/>
      <c r="O1022" s="8"/>
      <c r="P1022" s="1"/>
      <c r="Q1022" s="8"/>
      <c r="R1022" s="8"/>
      <c r="S1022" s="1"/>
      <c r="T1022" s="8"/>
      <c r="U1022" s="8"/>
      <c r="V1022" s="16"/>
      <c r="W1022" s="1"/>
      <c r="X1022" s="1"/>
    </row>
    <row r="1023" spans="1:24" ht="14.4">
      <c r="A1023" s="1"/>
      <c r="B1023" s="8"/>
      <c r="C1023" s="8"/>
      <c r="D1023" s="8"/>
      <c r="E1023" s="8"/>
      <c r="F1023" s="8"/>
      <c r="G1023" s="8"/>
      <c r="H1023" s="8"/>
      <c r="I1023" s="8"/>
      <c r="J1023" s="8"/>
      <c r="K1023" s="8"/>
      <c r="L1023" s="56"/>
      <c r="M1023" s="26"/>
      <c r="N1023" s="26"/>
      <c r="O1023" s="8"/>
      <c r="P1023" s="1"/>
      <c r="Q1023" s="8"/>
      <c r="R1023" s="8"/>
      <c r="S1023" s="1"/>
      <c r="T1023" s="8"/>
      <c r="U1023" s="8"/>
      <c r="V1023" s="16"/>
      <c r="W1023" s="1"/>
      <c r="X1023" s="1"/>
    </row>
    <row r="1024" spans="1:24" ht="14.4">
      <c r="A1024" s="1"/>
      <c r="B1024" s="8"/>
      <c r="C1024" s="8"/>
      <c r="D1024" s="8"/>
      <c r="E1024" s="8"/>
      <c r="F1024" s="8"/>
      <c r="G1024" s="8"/>
      <c r="H1024" s="8"/>
      <c r="I1024" s="8"/>
      <c r="J1024" s="8"/>
      <c r="K1024" s="8"/>
      <c r="L1024" s="56"/>
      <c r="M1024" s="26"/>
      <c r="N1024" s="26"/>
      <c r="O1024" s="8"/>
      <c r="P1024" s="1"/>
      <c r="Q1024" s="8"/>
      <c r="R1024" s="8"/>
      <c r="S1024" s="1"/>
      <c r="T1024" s="8"/>
      <c r="U1024" s="8"/>
      <c r="V1024" s="16"/>
      <c r="W1024" s="1"/>
      <c r="X1024" s="1"/>
    </row>
    <row r="1025" spans="1:24" ht="14.4">
      <c r="A1025" s="1"/>
      <c r="B1025" s="8"/>
      <c r="C1025" s="8"/>
      <c r="D1025" s="8"/>
      <c r="E1025" s="8"/>
      <c r="F1025" s="8"/>
      <c r="G1025" s="8"/>
      <c r="H1025" s="8"/>
      <c r="I1025" s="8"/>
      <c r="J1025" s="8"/>
      <c r="K1025" s="8"/>
      <c r="L1025" s="56"/>
      <c r="M1025" s="26"/>
      <c r="N1025" s="26"/>
      <c r="O1025" s="8"/>
      <c r="P1025" s="1"/>
      <c r="Q1025" s="8"/>
      <c r="R1025" s="8"/>
      <c r="S1025" s="1"/>
      <c r="T1025" s="8"/>
      <c r="U1025" s="8"/>
      <c r="V1025" s="16"/>
      <c r="W1025" s="1"/>
      <c r="X1025" s="1"/>
    </row>
    <row r="1026" spans="1:24" ht="14.4">
      <c r="A1026" s="1"/>
      <c r="B1026" s="8"/>
      <c r="C1026" s="8"/>
      <c r="D1026" s="8"/>
      <c r="E1026" s="8"/>
      <c r="F1026" s="8"/>
      <c r="G1026" s="8"/>
      <c r="H1026" s="8"/>
      <c r="I1026" s="8"/>
      <c r="J1026" s="8"/>
      <c r="K1026" s="8"/>
      <c r="L1026" s="56"/>
      <c r="M1026" s="26"/>
      <c r="N1026" s="26"/>
      <c r="O1026" s="8"/>
      <c r="P1026" s="1"/>
      <c r="Q1026" s="8"/>
      <c r="R1026" s="8"/>
      <c r="S1026" s="1"/>
      <c r="T1026" s="8"/>
      <c r="U1026" s="8"/>
      <c r="V1026" s="16"/>
      <c r="W1026" s="1"/>
      <c r="X1026" s="1"/>
    </row>
    <row r="1027" spans="1:24" ht="14.4">
      <c r="A1027" s="1"/>
      <c r="B1027" s="8"/>
      <c r="C1027" s="8"/>
      <c r="D1027" s="8"/>
      <c r="E1027" s="8"/>
      <c r="F1027" s="8"/>
      <c r="G1027" s="8"/>
      <c r="H1027" s="8"/>
      <c r="I1027" s="8"/>
      <c r="J1027" s="8"/>
      <c r="K1027" s="8"/>
      <c r="L1027" s="56"/>
      <c r="M1027" s="26"/>
      <c r="N1027" s="26"/>
      <c r="O1027" s="8"/>
      <c r="P1027" s="1"/>
      <c r="Q1027" s="8"/>
      <c r="R1027" s="8"/>
      <c r="S1027" s="1"/>
      <c r="T1027" s="8"/>
      <c r="U1027" s="8"/>
      <c r="V1027" s="16"/>
      <c r="W1027" s="1"/>
      <c r="X1027" s="1"/>
    </row>
    <row r="1028" spans="1:24" ht="14.4">
      <c r="A1028" s="1"/>
      <c r="B1028" s="8"/>
      <c r="C1028" s="8"/>
      <c r="D1028" s="8"/>
      <c r="E1028" s="8"/>
      <c r="F1028" s="8"/>
      <c r="G1028" s="8"/>
      <c r="H1028" s="8"/>
      <c r="I1028" s="8"/>
      <c r="J1028" s="8"/>
      <c r="K1028" s="8"/>
      <c r="L1028" s="56"/>
      <c r="M1028" s="26"/>
      <c r="N1028" s="26"/>
      <c r="O1028" s="8"/>
      <c r="P1028" s="1"/>
      <c r="Q1028" s="8"/>
      <c r="R1028" s="8"/>
      <c r="S1028" s="1"/>
      <c r="T1028" s="8"/>
      <c r="U1028" s="8"/>
      <c r="V1028" s="16"/>
      <c r="W1028" s="1"/>
      <c r="X1028" s="1"/>
    </row>
    <row r="1029" spans="1:24" ht="14.4">
      <c r="A1029" s="1"/>
      <c r="B1029" s="8"/>
      <c r="C1029" s="8"/>
      <c r="D1029" s="8"/>
      <c r="E1029" s="8"/>
      <c r="F1029" s="8"/>
      <c r="G1029" s="8"/>
      <c r="H1029" s="8"/>
      <c r="I1029" s="8"/>
      <c r="J1029" s="8"/>
      <c r="K1029" s="8"/>
      <c r="L1029" s="56"/>
      <c r="M1029" s="26"/>
      <c r="N1029" s="26"/>
      <c r="O1029" s="8"/>
      <c r="P1029" s="1"/>
      <c r="Q1029" s="8"/>
      <c r="R1029" s="8"/>
      <c r="S1029" s="1"/>
      <c r="T1029" s="8"/>
      <c r="U1029" s="8"/>
      <c r="V1029" s="16"/>
      <c r="W1029" s="1"/>
      <c r="X1029" s="1"/>
    </row>
    <row r="1030" spans="1:24" ht="14.4">
      <c r="A1030" s="1"/>
      <c r="B1030" s="8"/>
      <c r="C1030" s="8"/>
      <c r="D1030" s="8"/>
      <c r="E1030" s="8"/>
      <c r="F1030" s="8"/>
      <c r="G1030" s="8"/>
      <c r="H1030" s="8"/>
      <c r="I1030" s="8"/>
      <c r="J1030" s="8"/>
      <c r="K1030" s="8"/>
      <c r="L1030" s="56"/>
      <c r="M1030" s="26"/>
      <c r="N1030" s="26"/>
      <c r="O1030" s="8"/>
      <c r="P1030" s="1"/>
      <c r="Q1030" s="8"/>
      <c r="R1030" s="8"/>
      <c r="S1030" s="1"/>
      <c r="T1030" s="8"/>
      <c r="U1030" s="8"/>
      <c r="V1030" s="16"/>
      <c r="W1030" s="1"/>
      <c r="X1030" s="1"/>
    </row>
    <row r="1031" spans="1:24" ht="14.4">
      <c r="A1031" s="1"/>
      <c r="B1031" s="8"/>
      <c r="C1031" s="8"/>
      <c r="D1031" s="8"/>
      <c r="E1031" s="8"/>
      <c r="F1031" s="8"/>
      <c r="G1031" s="8"/>
      <c r="H1031" s="8"/>
      <c r="I1031" s="8"/>
      <c r="J1031" s="8"/>
      <c r="K1031" s="8"/>
      <c r="L1031" s="56"/>
      <c r="M1031" s="26"/>
      <c r="N1031" s="26"/>
      <c r="O1031" s="8"/>
      <c r="P1031" s="1"/>
      <c r="Q1031" s="8"/>
      <c r="R1031" s="8"/>
      <c r="S1031" s="1"/>
      <c r="T1031" s="8"/>
      <c r="U1031" s="8"/>
      <c r="V1031" s="16"/>
      <c r="W1031" s="1"/>
      <c r="X1031" s="1"/>
    </row>
    <row r="1032" spans="1:24" ht="14.4">
      <c r="A1032" s="1"/>
      <c r="B1032" s="8"/>
      <c r="C1032" s="8"/>
      <c r="D1032" s="8"/>
      <c r="E1032" s="8"/>
      <c r="F1032" s="8"/>
      <c r="G1032" s="8"/>
      <c r="H1032" s="8"/>
      <c r="I1032" s="8"/>
      <c r="J1032" s="8"/>
      <c r="K1032" s="8"/>
      <c r="L1032" s="56"/>
      <c r="M1032" s="26"/>
      <c r="N1032" s="26"/>
      <c r="O1032" s="8"/>
      <c r="P1032" s="1"/>
      <c r="Q1032" s="8"/>
      <c r="R1032" s="8"/>
      <c r="S1032" s="1"/>
      <c r="T1032" s="8"/>
      <c r="U1032" s="8"/>
      <c r="V1032" s="16"/>
      <c r="W1032" s="1"/>
      <c r="X1032" s="1"/>
    </row>
    <row r="1033" spans="1:24" ht="14.4">
      <c r="A1033" s="1"/>
      <c r="B1033" s="8"/>
      <c r="C1033" s="8"/>
      <c r="D1033" s="8"/>
      <c r="E1033" s="8"/>
      <c r="F1033" s="8"/>
      <c r="G1033" s="8"/>
      <c r="H1033" s="8"/>
      <c r="I1033" s="8"/>
      <c r="J1033" s="8"/>
      <c r="K1033" s="8"/>
      <c r="L1033" s="56"/>
      <c r="M1033" s="26"/>
      <c r="N1033" s="26"/>
      <c r="O1033" s="8"/>
      <c r="P1033" s="1"/>
      <c r="Q1033" s="8"/>
      <c r="R1033" s="8"/>
      <c r="S1033" s="1"/>
      <c r="T1033" s="8"/>
      <c r="U1033" s="8"/>
      <c r="V1033" s="16"/>
      <c r="W1033" s="1"/>
      <c r="X1033" s="1"/>
    </row>
    <row r="1034" spans="1:24" ht="14.4">
      <c r="A1034" s="1"/>
      <c r="B1034" s="8"/>
      <c r="C1034" s="8"/>
      <c r="D1034" s="8"/>
      <c r="E1034" s="8"/>
      <c r="F1034" s="8"/>
      <c r="G1034" s="8"/>
      <c r="H1034" s="8"/>
      <c r="I1034" s="8"/>
      <c r="J1034" s="8"/>
      <c r="K1034" s="8"/>
      <c r="L1034" s="56"/>
      <c r="M1034" s="26"/>
      <c r="N1034" s="26"/>
      <c r="O1034" s="8"/>
      <c r="P1034" s="1"/>
      <c r="Q1034" s="8"/>
      <c r="R1034" s="8"/>
      <c r="S1034" s="1"/>
      <c r="T1034" s="8"/>
      <c r="U1034" s="8"/>
      <c r="V1034" s="16"/>
      <c r="W1034" s="1"/>
      <c r="X1034" s="1"/>
    </row>
    <row r="1035" spans="1:24" ht="14.4">
      <c r="A1035" s="1"/>
      <c r="B1035" s="8"/>
      <c r="C1035" s="8"/>
      <c r="D1035" s="8"/>
      <c r="E1035" s="8"/>
      <c r="F1035" s="8"/>
      <c r="G1035" s="8"/>
      <c r="H1035" s="8"/>
      <c r="I1035" s="8"/>
      <c r="J1035" s="8"/>
      <c r="K1035" s="8"/>
      <c r="L1035" s="56"/>
      <c r="M1035" s="26"/>
      <c r="N1035" s="26"/>
      <c r="O1035" s="8"/>
      <c r="P1035" s="1"/>
      <c r="Q1035" s="8"/>
      <c r="R1035" s="8"/>
      <c r="S1035" s="1"/>
      <c r="T1035" s="8"/>
      <c r="U1035" s="8"/>
      <c r="V1035" s="16"/>
      <c r="W1035" s="1"/>
      <c r="X1035" s="1"/>
    </row>
    <row r="1036" spans="1:24" ht="14.4">
      <c r="A1036" s="1"/>
      <c r="B1036" s="8"/>
      <c r="C1036" s="8"/>
      <c r="D1036" s="8"/>
      <c r="E1036" s="8"/>
      <c r="F1036" s="8"/>
      <c r="G1036" s="8"/>
      <c r="H1036" s="8"/>
      <c r="I1036" s="8"/>
      <c r="J1036" s="8"/>
      <c r="K1036" s="8"/>
      <c r="L1036" s="56"/>
      <c r="M1036" s="26"/>
      <c r="N1036" s="26"/>
      <c r="O1036" s="8"/>
      <c r="P1036" s="1"/>
      <c r="Q1036" s="8"/>
      <c r="R1036" s="8"/>
      <c r="S1036" s="1"/>
      <c r="T1036" s="8"/>
      <c r="U1036" s="8"/>
      <c r="V1036" s="16"/>
      <c r="W1036" s="1"/>
      <c r="X1036" s="1"/>
    </row>
    <row r="1037" spans="1:24" ht="14.4">
      <c r="A1037" s="1"/>
      <c r="B1037" s="8"/>
      <c r="C1037" s="8"/>
      <c r="D1037" s="8"/>
      <c r="E1037" s="8"/>
      <c r="F1037" s="8"/>
      <c r="G1037" s="8"/>
      <c r="H1037" s="8"/>
      <c r="I1037" s="8"/>
      <c r="J1037" s="8"/>
      <c r="K1037" s="8"/>
      <c r="L1037" s="56"/>
      <c r="M1037" s="26"/>
      <c r="N1037" s="26"/>
      <c r="O1037" s="8"/>
      <c r="P1037" s="1"/>
      <c r="Q1037" s="8"/>
      <c r="R1037" s="8"/>
      <c r="S1037" s="1"/>
      <c r="T1037" s="8"/>
      <c r="U1037" s="8"/>
      <c r="V1037" s="16"/>
      <c r="W1037" s="1"/>
      <c r="X1037" s="1"/>
    </row>
    <row r="1038" spans="1:24" ht="14.4">
      <c r="A1038" s="1"/>
      <c r="B1038" s="8"/>
      <c r="C1038" s="8"/>
      <c r="D1038" s="8"/>
      <c r="E1038" s="8"/>
      <c r="F1038" s="8"/>
      <c r="G1038" s="8"/>
      <c r="H1038" s="8"/>
      <c r="I1038" s="8"/>
      <c r="J1038" s="8"/>
      <c r="K1038" s="8"/>
      <c r="L1038" s="56"/>
      <c r="M1038" s="26"/>
      <c r="N1038" s="26"/>
      <c r="O1038" s="8"/>
      <c r="P1038" s="1"/>
      <c r="Q1038" s="8"/>
      <c r="R1038" s="8"/>
      <c r="S1038" s="1"/>
      <c r="T1038" s="8"/>
      <c r="U1038" s="8"/>
      <c r="V1038" s="16"/>
      <c r="W1038" s="1"/>
      <c r="X1038" s="1"/>
    </row>
    <row r="1039" spans="1:24" ht="14.4">
      <c r="A1039" s="1"/>
      <c r="B1039" s="8"/>
      <c r="C1039" s="8"/>
      <c r="D1039" s="8"/>
      <c r="E1039" s="8"/>
      <c r="F1039" s="8"/>
      <c r="G1039" s="8"/>
      <c r="H1039" s="8"/>
      <c r="I1039" s="8"/>
      <c r="J1039" s="8"/>
      <c r="K1039" s="8"/>
      <c r="L1039" s="56"/>
      <c r="M1039" s="26"/>
      <c r="N1039" s="26"/>
      <c r="O1039" s="8"/>
      <c r="P1039" s="1"/>
      <c r="Q1039" s="8"/>
      <c r="R1039" s="8"/>
      <c r="S1039" s="1"/>
      <c r="T1039" s="8"/>
      <c r="U1039" s="8"/>
      <c r="V1039" s="16"/>
      <c r="W1039" s="1"/>
      <c r="X1039" s="1"/>
    </row>
    <row r="1040" spans="1:24" ht="14.4">
      <c r="A1040" s="1"/>
      <c r="B1040" s="8"/>
      <c r="C1040" s="8"/>
      <c r="D1040" s="8"/>
      <c r="E1040" s="8"/>
      <c r="F1040" s="8"/>
      <c r="G1040" s="8"/>
      <c r="H1040" s="8"/>
      <c r="I1040" s="8"/>
      <c r="J1040" s="8"/>
      <c r="K1040" s="8"/>
      <c r="L1040" s="56"/>
      <c r="M1040" s="26"/>
      <c r="N1040" s="26"/>
      <c r="O1040" s="8"/>
      <c r="P1040" s="1"/>
      <c r="Q1040" s="8"/>
      <c r="R1040" s="8"/>
      <c r="S1040" s="1"/>
      <c r="T1040" s="8"/>
      <c r="U1040" s="8"/>
      <c r="V1040" s="16"/>
      <c r="W1040" s="1"/>
      <c r="X1040" s="1"/>
    </row>
    <row r="1041" spans="1:24" ht="14.4">
      <c r="A1041" s="1"/>
      <c r="B1041" s="8"/>
      <c r="C1041" s="8"/>
      <c r="D1041" s="8"/>
      <c r="E1041" s="8"/>
      <c r="F1041" s="8"/>
      <c r="G1041" s="8"/>
      <c r="H1041" s="8"/>
      <c r="I1041" s="8"/>
      <c r="J1041" s="8"/>
      <c r="K1041" s="8"/>
      <c r="L1041" s="56"/>
      <c r="M1041" s="26"/>
      <c r="N1041" s="26"/>
      <c r="O1041" s="8"/>
      <c r="P1041" s="1"/>
      <c r="Q1041" s="8"/>
      <c r="R1041" s="8"/>
      <c r="S1041" s="1"/>
      <c r="T1041" s="8"/>
      <c r="U1041" s="8"/>
      <c r="V1041" s="16"/>
      <c r="W1041" s="1"/>
      <c r="X1041" s="1"/>
    </row>
    <row r="1042" spans="1:24" ht="14.4">
      <c r="A1042" s="1"/>
      <c r="B1042" s="8"/>
      <c r="C1042" s="8"/>
      <c r="D1042" s="8"/>
      <c r="E1042" s="8"/>
      <c r="F1042" s="8"/>
      <c r="G1042" s="8"/>
      <c r="H1042" s="8"/>
      <c r="I1042" s="8"/>
      <c r="J1042" s="8"/>
      <c r="K1042" s="8"/>
      <c r="L1042" s="56"/>
      <c r="M1042" s="26"/>
      <c r="N1042" s="26"/>
      <c r="O1042" s="8"/>
      <c r="P1042" s="1"/>
      <c r="Q1042" s="8"/>
      <c r="R1042" s="8"/>
      <c r="S1042" s="1"/>
      <c r="T1042" s="8"/>
      <c r="U1042" s="8"/>
      <c r="V1042" s="16"/>
      <c r="W1042" s="1"/>
      <c r="X1042" s="1"/>
    </row>
    <row r="1043" spans="1:24" ht="14.4">
      <c r="A1043" s="1"/>
      <c r="B1043" s="8"/>
      <c r="C1043" s="8"/>
      <c r="D1043" s="8"/>
      <c r="E1043" s="8"/>
      <c r="F1043" s="8"/>
      <c r="G1043" s="8"/>
      <c r="H1043" s="8"/>
      <c r="I1043" s="8"/>
      <c r="J1043" s="8"/>
      <c r="K1043" s="8"/>
      <c r="L1043" s="56"/>
      <c r="M1043" s="26"/>
      <c r="N1043" s="26"/>
      <c r="O1043" s="8"/>
      <c r="P1043" s="1"/>
      <c r="Q1043" s="8"/>
      <c r="R1043" s="8"/>
      <c r="S1043" s="1"/>
      <c r="T1043" s="8"/>
      <c r="U1043" s="8"/>
      <c r="V1043" s="16"/>
      <c r="W1043" s="1"/>
      <c r="X1043" s="1"/>
    </row>
    <row r="1044" spans="1:24" ht="14.4">
      <c r="A1044" s="1"/>
      <c r="B1044" s="8"/>
      <c r="C1044" s="8"/>
      <c r="D1044" s="8"/>
      <c r="E1044" s="8"/>
      <c r="F1044" s="8"/>
      <c r="G1044" s="8"/>
      <c r="H1044" s="8"/>
      <c r="I1044" s="8"/>
      <c r="J1044" s="8"/>
      <c r="K1044" s="8"/>
      <c r="L1044" s="56"/>
      <c r="M1044" s="26"/>
      <c r="N1044" s="26"/>
      <c r="O1044" s="8"/>
      <c r="P1044" s="1"/>
      <c r="Q1044" s="8"/>
      <c r="R1044" s="8"/>
      <c r="S1044" s="1"/>
      <c r="T1044" s="8"/>
      <c r="U1044" s="8"/>
      <c r="V1044" s="16"/>
      <c r="W1044" s="1"/>
      <c r="X1044" s="1"/>
    </row>
    <row r="1045" spans="1:24" ht="14.4">
      <c r="A1045" s="1"/>
      <c r="B1045" s="8"/>
      <c r="C1045" s="8"/>
      <c r="D1045" s="8"/>
      <c r="E1045" s="8"/>
      <c r="F1045" s="8"/>
      <c r="G1045" s="8"/>
      <c r="H1045" s="8"/>
      <c r="I1045" s="8"/>
      <c r="J1045" s="8"/>
      <c r="K1045" s="8"/>
      <c r="L1045" s="56"/>
      <c r="M1045" s="26"/>
      <c r="N1045" s="26"/>
      <c r="O1045" s="8"/>
      <c r="P1045" s="1"/>
      <c r="Q1045" s="8"/>
      <c r="R1045" s="8"/>
      <c r="S1045" s="1"/>
      <c r="T1045" s="8"/>
      <c r="U1045" s="8"/>
      <c r="V1045" s="16"/>
      <c r="W1045" s="1"/>
      <c r="X1045" s="1"/>
    </row>
    <row r="1046" spans="1:24" ht="14.4">
      <c r="A1046" s="1"/>
      <c r="B1046" s="8"/>
      <c r="C1046" s="8"/>
      <c r="D1046" s="8"/>
      <c r="E1046" s="8"/>
      <c r="F1046" s="8"/>
      <c r="G1046" s="8"/>
      <c r="H1046" s="8"/>
      <c r="I1046" s="8"/>
      <c r="J1046" s="8"/>
      <c r="K1046" s="8"/>
      <c r="L1046" s="56"/>
      <c r="M1046" s="26"/>
      <c r="N1046" s="26"/>
      <c r="O1046" s="8"/>
      <c r="P1046" s="1"/>
      <c r="Q1046" s="8"/>
      <c r="R1046" s="8"/>
      <c r="S1046" s="1"/>
      <c r="T1046" s="8"/>
      <c r="U1046" s="8"/>
      <c r="V1046" s="16"/>
      <c r="W1046" s="1"/>
      <c r="X1046" s="1"/>
    </row>
    <row r="1047" spans="1:24" ht="14.4">
      <c r="A1047" s="1"/>
      <c r="B1047" s="8"/>
      <c r="C1047" s="8"/>
      <c r="D1047" s="8"/>
      <c r="E1047" s="8"/>
      <c r="F1047" s="8"/>
      <c r="G1047" s="8"/>
      <c r="H1047" s="8"/>
      <c r="I1047" s="8"/>
      <c r="J1047" s="8"/>
      <c r="K1047" s="8"/>
      <c r="L1047" s="56"/>
      <c r="M1047" s="26"/>
      <c r="N1047" s="26"/>
      <c r="O1047" s="8"/>
      <c r="P1047" s="1"/>
      <c r="Q1047" s="8"/>
      <c r="R1047" s="8"/>
      <c r="S1047" s="1"/>
      <c r="T1047" s="8"/>
      <c r="U1047" s="8"/>
      <c r="V1047" s="16"/>
      <c r="W1047" s="1"/>
      <c r="X1047" s="1"/>
    </row>
    <row r="1048" spans="1:24" ht="14.4">
      <c r="A1048" s="1"/>
      <c r="B1048" s="8"/>
      <c r="C1048" s="8"/>
      <c r="D1048" s="8"/>
      <c r="E1048" s="8"/>
      <c r="F1048" s="8"/>
      <c r="G1048" s="8"/>
      <c r="H1048" s="8"/>
      <c r="I1048" s="8"/>
      <c r="J1048" s="8"/>
      <c r="K1048" s="8"/>
      <c r="L1048" s="56"/>
      <c r="M1048" s="26"/>
      <c r="N1048" s="26"/>
      <c r="O1048" s="8"/>
      <c r="P1048" s="1"/>
      <c r="Q1048" s="8"/>
      <c r="R1048" s="8"/>
      <c r="S1048" s="1"/>
      <c r="T1048" s="8"/>
      <c r="U1048" s="8"/>
      <c r="V1048" s="16"/>
      <c r="W1048" s="1"/>
      <c r="X1048" s="1"/>
    </row>
    <row r="1049" spans="1:24" ht="14.4">
      <c r="A1049" s="1"/>
      <c r="B1049" s="8"/>
      <c r="C1049" s="8"/>
      <c r="D1049" s="8"/>
      <c r="E1049" s="8"/>
      <c r="F1049" s="8"/>
      <c r="G1049" s="8"/>
      <c r="H1049" s="8"/>
      <c r="I1049" s="8"/>
      <c r="J1049" s="8"/>
      <c r="K1049" s="8"/>
      <c r="L1049" s="56"/>
      <c r="M1049" s="26"/>
      <c r="N1049" s="26"/>
      <c r="O1049" s="8"/>
      <c r="P1049" s="1"/>
      <c r="Q1049" s="8"/>
      <c r="R1049" s="8"/>
      <c r="S1049" s="1"/>
      <c r="T1049" s="8"/>
      <c r="U1049" s="8"/>
      <c r="V1049" s="16"/>
      <c r="W1049" s="1"/>
      <c r="X1049" s="1"/>
    </row>
    <row r="1050" spans="1:24" ht="14.4">
      <c r="A1050" s="1"/>
      <c r="B1050" s="8"/>
      <c r="C1050" s="8"/>
      <c r="D1050" s="8"/>
      <c r="E1050" s="8"/>
      <c r="F1050" s="8"/>
      <c r="G1050" s="8"/>
      <c r="H1050" s="8"/>
      <c r="I1050" s="8"/>
      <c r="J1050" s="8"/>
      <c r="K1050" s="8"/>
      <c r="L1050" s="56"/>
      <c r="M1050" s="26"/>
      <c r="N1050" s="26"/>
      <c r="O1050" s="8"/>
      <c r="P1050" s="1"/>
      <c r="Q1050" s="8"/>
      <c r="R1050" s="8"/>
      <c r="S1050" s="1"/>
      <c r="T1050" s="8"/>
      <c r="U1050" s="8"/>
      <c r="V1050" s="16"/>
      <c r="W1050" s="1"/>
      <c r="X1050" s="1"/>
    </row>
    <row r="1051" spans="1:24" ht="14.4">
      <c r="A1051" s="1"/>
      <c r="B1051" s="8"/>
      <c r="C1051" s="8"/>
      <c r="D1051" s="8"/>
      <c r="E1051" s="8"/>
      <c r="F1051" s="8"/>
      <c r="G1051" s="8"/>
      <c r="H1051" s="8"/>
      <c r="I1051" s="8"/>
      <c r="J1051" s="8"/>
      <c r="K1051" s="8"/>
      <c r="L1051" s="56"/>
      <c r="M1051" s="26"/>
      <c r="N1051" s="26"/>
      <c r="O1051" s="8"/>
      <c r="P1051" s="1"/>
      <c r="Q1051" s="8"/>
      <c r="R1051" s="8"/>
      <c r="S1051" s="1"/>
      <c r="T1051" s="8"/>
      <c r="U1051" s="8"/>
      <c r="V1051" s="16"/>
      <c r="W1051" s="1"/>
      <c r="X1051" s="1"/>
    </row>
    <row r="1052" spans="1:24" ht="14.4">
      <c r="A1052" s="1"/>
      <c r="B1052" s="8"/>
      <c r="C1052" s="8"/>
      <c r="D1052" s="8"/>
      <c r="E1052" s="8"/>
      <c r="F1052" s="8"/>
      <c r="G1052" s="8"/>
      <c r="H1052" s="8"/>
      <c r="I1052" s="8"/>
      <c r="J1052" s="8"/>
      <c r="K1052" s="8"/>
      <c r="L1052" s="56"/>
      <c r="M1052" s="26"/>
      <c r="N1052" s="26"/>
      <c r="O1052" s="8"/>
      <c r="P1052" s="1"/>
      <c r="Q1052" s="8"/>
      <c r="R1052" s="8"/>
      <c r="S1052" s="1"/>
      <c r="T1052" s="8"/>
      <c r="U1052" s="8"/>
      <c r="V1052" s="16"/>
      <c r="W1052" s="1"/>
      <c r="X1052" s="1"/>
    </row>
    <row r="1053" spans="1:24" ht="14.4">
      <c r="A1053" s="1"/>
      <c r="B1053" s="8"/>
      <c r="C1053" s="8"/>
      <c r="D1053" s="8"/>
      <c r="E1053" s="8"/>
      <c r="F1053" s="8"/>
      <c r="G1053" s="8"/>
      <c r="H1053" s="8"/>
      <c r="I1053" s="8"/>
      <c r="J1053" s="8"/>
      <c r="K1053" s="8"/>
      <c r="L1053" s="56"/>
      <c r="M1053" s="26"/>
      <c r="N1053" s="26"/>
      <c r="O1053" s="8"/>
      <c r="P1053" s="1"/>
      <c r="Q1053" s="8"/>
      <c r="R1053" s="8"/>
      <c r="S1053" s="1"/>
      <c r="T1053" s="8"/>
      <c r="U1053" s="8"/>
      <c r="V1053" s="16"/>
      <c r="W1053" s="1"/>
      <c r="X1053" s="1"/>
    </row>
    <row r="1054" spans="1:24" ht="14.4">
      <c r="A1054" s="1"/>
      <c r="B1054" s="8"/>
      <c r="C1054" s="8"/>
      <c r="D1054" s="8"/>
      <c r="E1054" s="8"/>
      <c r="F1054" s="8"/>
      <c r="G1054" s="8"/>
      <c r="H1054" s="8"/>
      <c r="I1054" s="8"/>
      <c r="J1054" s="8"/>
      <c r="K1054" s="8"/>
      <c r="L1054" s="56"/>
      <c r="M1054" s="26"/>
      <c r="N1054" s="26"/>
      <c r="O1054" s="8"/>
      <c r="P1054" s="1"/>
      <c r="Q1054" s="8"/>
      <c r="R1054" s="8"/>
      <c r="S1054" s="1"/>
      <c r="T1054" s="8"/>
      <c r="U1054" s="8"/>
      <c r="V1054" s="16"/>
      <c r="W1054" s="1"/>
      <c r="X1054" s="1"/>
    </row>
    <row r="1055" spans="1:24" ht="14.4">
      <c r="A1055" s="1"/>
      <c r="B1055" s="8"/>
      <c r="C1055" s="8"/>
      <c r="D1055" s="8"/>
      <c r="E1055" s="8"/>
      <c r="F1055" s="8"/>
      <c r="G1055" s="8"/>
      <c r="H1055" s="8"/>
      <c r="I1055" s="8"/>
      <c r="J1055" s="8"/>
      <c r="K1055" s="8"/>
      <c r="L1055" s="56"/>
      <c r="M1055" s="26"/>
      <c r="N1055" s="26"/>
      <c r="O1055" s="8"/>
      <c r="P1055" s="1"/>
      <c r="Q1055" s="8"/>
      <c r="R1055" s="8"/>
      <c r="S1055" s="1"/>
      <c r="T1055" s="8"/>
      <c r="U1055" s="8"/>
      <c r="V1055" s="16"/>
      <c r="W1055" s="1"/>
      <c r="X1055" s="1"/>
    </row>
    <row r="1056" spans="1:24" ht="14.4">
      <c r="A1056" s="1"/>
      <c r="B1056" s="8"/>
      <c r="C1056" s="8"/>
      <c r="D1056" s="8"/>
      <c r="E1056" s="8"/>
      <c r="F1056" s="8"/>
      <c r="G1056" s="8"/>
      <c r="H1056" s="8"/>
      <c r="I1056" s="8"/>
      <c r="J1056" s="8"/>
      <c r="K1056" s="8"/>
      <c r="L1056" s="56"/>
      <c r="M1056" s="26"/>
      <c r="N1056" s="26"/>
      <c r="O1056" s="8"/>
      <c r="P1056" s="1"/>
      <c r="Q1056" s="8"/>
      <c r="R1056" s="8"/>
      <c r="S1056" s="1"/>
      <c r="T1056" s="8"/>
      <c r="U1056" s="8"/>
      <c r="V1056" s="16"/>
      <c r="W1056" s="1"/>
      <c r="X1056" s="1"/>
    </row>
    <row r="1057" spans="1:24" ht="14.4">
      <c r="A1057" s="1"/>
      <c r="B1057" s="8"/>
      <c r="C1057" s="8"/>
      <c r="D1057" s="8"/>
      <c r="E1057" s="8"/>
      <c r="F1057" s="8"/>
      <c r="G1057" s="8"/>
      <c r="H1057" s="8"/>
      <c r="I1057" s="8"/>
      <c r="J1057" s="8"/>
      <c r="K1057" s="8"/>
      <c r="L1057" s="56"/>
      <c r="M1057" s="26"/>
      <c r="N1057" s="26"/>
      <c r="O1057" s="8"/>
      <c r="P1057" s="1"/>
      <c r="Q1057" s="8"/>
      <c r="R1057" s="8"/>
      <c r="S1057" s="1"/>
      <c r="T1057" s="8"/>
      <c r="U1057" s="8"/>
      <c r="V1057" s="16"/>
      <c r="W1057" s="1"/>
      <c r="X1057" s="1"/>
    </row>
    <row r="1058" spans="1:24" ht="14.4">
      <c r="A1058" s="1"/>
      <c r="B1058" s="8"/>
      <c r="C1058" s="8"/>
      <c r="D1058" s="8"/>
      <c r="E1058" s="8"/>
      <c r="F1058" s="8"/>
      <c r="G1058" s="8"/>
      <c r="H1058" s="8"/>
      <c r="I1058" s="8"/>
      <c r="J1058" s="8"/>
      <c r="K1058" s="8"/>
      <c r="L1058" s="56"/>
      <c r="M1058" s="26"/>
      <c r="N1058" s="26"/>
      <c r="O1058" s="8"/>
      <c r="P1058" s="1"/>
      <c r="Q1058" s="8"/>
      <c r="R1058" s="8"/>
      <c r="S1058" s="1"/>
      <c r="T1058" s="8"/>
      <c r="U1058" s="8"/>
      <c r="V1058" s="16"/>
      <c r="W1058" s="1"/>
      <c r="X1058" s="1"/>
    </row>
    <row r="1059" spans="1:24" ht="14.4">
      <c r="A1059" s="1"/>
      <c r="B1059" s="8"/>
      <c r="C1059" s="8"/>
      <c r="D1059" s="8"/>
      <c r="E1059" s="8"/>
      <c r="F1059" s="8"/>
      <c r="G1059" s="8"/>
      <c r="H1059" s="8"/>
      <c r="I1059" s="8"/>
      <c r="J1059" s="8"/>
      <c r="K1059" s="8"/>
      <c r="L1059" s="56"/>
      <c r="M1059" s="26"/>
      <c r="N1059" s="26"/>
      <c r="O1059" s="8"/>
      <c r="P1059" s="1"/>
      <c r="Q1059" s="8"/>
      <c r="R1059" s="8"/>
      <c r="S1059" s="1"/>
      <c r="T1059" s="8"/>
      <c r="U1059" s="8"/>
      <c r="V1059" s="16"/>
      <c r="W1059" s="1"/>
      <c r="X1059" s="1"/>
    </row>
    <row r="1060" spans="1:24" ht="14.4">
      <c r="A1060" s="1"/>
      <c r="B1060" s="8"/>
      <c r="C1060" s="8"/>
      <c r="D1060" s="8"/>
      <c r="E1060" s="8"/>
      <c r="F1060" s="8"/>
      <c r="G1060" s="8"/>
      <c r="H1060" s="8"/>
      <c r="I1060" s="8"/>
      <c r="J1060" s="8"/>
      <c r="K1060" s="8"/>
      <c r="L1060" s="56"/>
      <c r="M1060" s="26"/>
      <c r="N1060" s="26"/>
      <c r="O1060" s="8"/>
      <c r="P1060" s="1"/>
      <c r="Q1060" s="8"/>
      <c r="R1060" s="8"/>
      <c r="S1060" s="1"/>
      <c r="T1060" s="8"/>
      <c r="U1060" s="8"/>
      <c r="V1060" s="16"/>
      <c r="W1060" s="1"/>
      <c r="X1060" s="1"/>
    </row>
    <row r="1061" spans="1:24" ht="14.4">
      <c r="A1061" s="1"/>
      <c r="B1061" s="8"/>
      <c r="C1061" s="8"/>
      <c r="D1061" s="8"/>
      <c r="E1061" s="8"/>
      <c r="F1061" s="8"/>
      <c r="G1061" s="8"/>
      <c r="H1061" s="8"/>
      <c r="I1061" s="8"/>
      <c r="J1061" s="8"/>
      <c r="K1061" s="8"/>
      <c r="L1061" s="56"/>
      <c r="M1061" s="26"/>
      <c r="N1061" s="26"/>
      <c r="O1061" s="8"/>
      <c r="P1061" s="1"/>
      <c r="Q1061" s="8"/>
      <c r="R1061" s="8"/>
      <c r="S1061" s="1"/>
      <c r="T1061" s="8"/>
      <c r="U1061" s="8"/>
      <c r="V1061" s="16"/>
      <c r="W1061" s="1"/>
      <c r="X1061" s="1"/>
    </row>
    <row r="1062" spans="1:24" ht="14.4">
      <c r="A1062" s="1"/>
      <c r="B1062" s="8"/>
      <c r="C1062" s="8"/>
      <c r="D1062" s="8"/>
      <c r="E1062" s="8"/>
      <c r="F1062" s="8"/>
      <c r="G1062" s="8"/>
      <c r="H1062" s="8"/>
      <c r="I1062" s="8"/>
      <c r="J1062" s="8"/>
      <c r="K1062" s="8"/>
      <c r="L1062" s="56"/>
      <c r="M1062" s="26"/>
      <c r="N1062" s="26"/>
      <c r="O1062" s="8"/>
      <c r="P1062" s="1"/>
      <c r="Q1062" s="8"/>
      <c r="R1062" s="8"/>
      <c r="S1062" s="1"/>
      <c r="T1062" s="8"/>
      <c r="U1062" s="8"/>
      <c r="V1062" s="16"/>
      <c r="W1062" s="1"/>
      <c r="X1062" s="1"/>
    </row>
    <row r="1063" spans="1:24" ht="14.4">
      <c r="A1063" s="1"/>
      <c r="B1063" s="8"/>
      <c r="C1063" s="8"/>
      <c r="D1063" s="8"/>
      <c r="E1063" s="8"/>
      <c r="F1063" s="8"/>
      <c r="G1063" s="8"/>
      <c r="H1063" s="8"/>
      <c r="I1063" s="8"/>
      <c r="J1063" s="8"/>
      <c r="K1063" s="8"/>
      <c r="L1063" s="56"/>
      <c r="M1063" s="26"/>
      <c r="N1063" s="26"/>
      <c r="O1063" s="8"/>
      <c r="P1063" s="1"/>
      <c r="Q1063" s="8"/>
      <c r="R1063" s="8"/>
      <c r="S1063" s="1"/>
      <c r="T1063" s="8"/>
      <c r="U1063" s="8"/>
      <c r="V1063" s="16"/>
      <c r="W1063" s="1"/>
      <c r="X1063" s="1"/>
    </row>
    <row r="1064" spans="1:24" ht="14.4">
      <c r="A1064" s="1"/>
      <c r="B1064" s="8"/>
      <c r="C1064" s="8"/>
      <c r="D1064" s="8"/>
      <c r="E1064" s="8"/>
      <c r="F1064" s="8"/>
      <c r="G1064" s="8"/>
      <c r="H1064" s="8"/>
      <c r="I1064" s="8"/>
      <c r="J1064" s="8"/>
      <c r="K1064" s="8"/>
      <c r="L1064" s="56"/>
      <c r="M1064" s="26"/>
      <c r="N1064" s="26"/>
      <c r="O1064" s="8"/>
      <c r="P1064" s="1"/>
      <c r="Q1064" s="8"/>
      <c r="R1064" s="8"/>
      <c r="S1064" s="1"/>
      <c r="T1064" s="8"/>
      <c r="U1064" s="8"/>
      <c r="V1064" s="16"/>
      <c r="W1064" s="1"/>
      <c r="X1064" s="1"/>
    </row>
    <row r="1065" spans="1:24" ht="14.4">
      <c r="A1065" s="1"/>
      <c r="B1065" s="8"/>
      <c r="C1065" s="8"/>
      <c r="D1065" s="8"/>
      <c r="E1065" s="8"/>
      <c r="F1065" s="8"/>
      <c r="G1065" s="8"/>
      <c r="H1065" s="8"/>
      <c r="I1065" s="8"/>
      <c r="J1065" s="8"/>
      <c r="K1065" s="8"/>
      <c r="L1065" s="56"/>
      <c r="M1065" s="26"/>
      <c r="N1065" s="26"/>
      <c r="O1065" s="8"/>
      <c r="P1065" s="1"/>
      <c r="Q1065" s="8"/>
      <c r="R1065" s="8"/>
      <c r="S1065" s="1"/>
      <c r="T1065" s="8"/>
      <c r="U1065" s="8"/>
      <c r="V1065" s="16"/>
      <c r="W1065" s="1"/>
      <c r="X1065" s="1"/>
    </row>
    <row r="1066" spans="1:24" ht="14.4">
      <c r="A1066" s="1"/>
      <c r="B1066" s="8"/>
      <c r="C1066" s="8"/>
      <c r="D1066" s="8"/>
      <c r="E1066" s="8"/>
      <c r="F1066" s="8"/>
      <c r="G1066" s="8"/>
      <c r="H1066" s="8"/>
      <c r="I1066" s="8"/>
      <c r="J1066" s="8"/>
      <c r="K1066" s="8"/>
      <c r="L1066" s="56"/>
      <c r="M1066" s="26"/>
      <c r="N1066" s="26"/>
      <c r="O1066" s="8"/>
      <c r="P1066" s="1"/>
      <c r="Q1066" s="8"/>
      <c r="R1066" s="8"/>
      <c r="S1066" s="1"/>
      <c r="T1066" s="8"/>
      <c r="U1066" s="8"/>
      <c r="V1066" s="16"/>
      <c r="W1066" s="1"/>
      <c r="X1066" s="1"/>
    </row>
    <row r="1067" spans="1:24" ht="14.4">
      <c r="A1067" s="1"/>
      <c r="B1067" s="8"/>
      <c r="C1067" s="8"/>
      <c r="D1067" s="8"/>
      <c r="E1067" s="8"/>
      <c r="F1067" s="8"/>
      <c r="G1067" s="8"/>
      <c r="H1067" s="8"/>
      <c r="I1067" s="8"/>
      <c r="J1067" s="8"/>
      <c r="K1067" s="8"/>
      <c r="L1067" s="56"/>
      <c r="M1067" s="26"/>
      <c r="N1067" s="26"/>
      <c r="O1067" s="8"/>
      <c r="P1067" s="1"/>
      <c r="Q1067" s="8"/>
      <c r="R1067" s="8"/>
      <c r="S1067" s="1"/>
      <c r="T1067" s="8"/>
      <c r="U1067" s="8"/>
      <c r="V1067" s="16"/>
      <c r="W1067" s="1"/>
      <c r="X1067" s="1"/>
    </row>
    <row r="1068" spans="1:24" ht="14.4">
      <c r="A1068" s="1"/>
      <c r="B1068" s="8"/>
      <c r="C1068" s="8"/>
      <c r="D1068" s="8"/>
      <c r="E1068" s="8"/>
      <c r="F1068" s="8"/>
      <c r="G1068" s="8"/>
      <c r="H1068" s="8"/>
      <c r="I1068" s="8"/>
      <c r="J1068" s="8"/>
      <c r="K1068" s="8"/>
      <c r="L1068" s="56"/>
      <c r="M1068" s="26"/>
      <c r="N1068" s="26"/>
      <c r="O1068" s="8"/>
      <c r="P1068" s="1"/>
      <c r="Q1068" s="8"/>
      <c r="R1068" s="8"/>
      <c r="S1068" s="1"/>
      <c r="T1068" s="8"/>
      <c r="U1068" s="8"/>
      <c r="V1068" s="16"/>
      <c r="W1068" s="1"/>
      <c r="X1068" s="1"/>
    </row>
    <row r="1069" spans="1:24" ht="14.4">
      <c r="A1069" s="1"/>
      <c r="B1069" s="8"/>
      <c r="C1069" s="8"/>
      <c r="D1069" s="8"/>
      <c r="E1069" s="8"/>
      <c r="F1069" s="8"/>
      <c r="G1069" s="8"/>
      <c r="H1069" s="8"/>
      <c r="I1069" s="8"/>
      <c r="J1069" s="8"/>
      <c r="K1069" s="8"/>
      <c r="L1069" s="56"/>
      <c r="M1069" s="26"/>
      <c r="N1069" s="26"/>
      <c r="O1069" s="8"/>
      <c r="P1069" s="1"/>
      <c r="Q1069" s="8"/>
      <c r="R1069" s="8"/>
      <c r="S1069" s="1"/>
      <c r="T1069" s="8"/>
      <c r="U1069" s="8"/>
      <c r="V1069" s="16"/>
      <c r="W1069" s="1"/>
      <c r="X1069" s="1"/>
    </row>
    <row r="1070" spans="1:24" ht="14.4">
      <c r="A1070" s="1"/>
      <c r="B1070" s="8"/>
      <c r="C1070" s="8"/>
      <c r="D1070" s="8"/>
      <c r="E1070" s="8"/>
      <c r="F1070" s="8"/>
      <c r="G1070" s="8"/>
      <c r="H1070" s="8"/>
      <c r="I1070" s="8"/>
      <c r="J1070" s="8"/>
      <c r="K1070" s="8"/>
      <c r="L1070" s="56"/>
      <c r="M1070" s="26"/>
      <c r="N1070" s="26"/>
      <c r="O1070" s="8"/>
      <c r="P1070" s="1"/>
      <c r="Q1070" s="8"/>
      <c r="R1070" s="8"/>
      <c r="S1070" s="1"/>
      <c r="T1070" s="8"/>
      <c r="U1070" s="8"/>
      <c r="V1070" s="16"/>
      <c r="W1070" s="1"/>
      <c r="X1070" s="1"/>
    </row>
    <row r="1071" spans="1:24" ht="14.4">
      <c r="A1071" s="1"/>
      <c r="B1071" s="8"/>
      <c r="C1071" s="8"/>
      <c r="D1071" s="8"/>
      <c r="E1071" s="8"/>
      <c r="F1071" s="8"/>
      <c r="G1071" s="8"/>
      <c r="H1071" s="8"/>
      <c r="I1071" s="8"/>
      <c r="J1071" s="8"/>
      <c r="K1071" s="8"/>
      <c r="L1071" s="56"/>
      <c r="M1071" s="26"/>
      <c r="N1071" s="26"/>
      <c r="O1071" s="8"/>
      <c r="P1071" s="1"/>
      <c r="Q1071" s="8"/>
      <c r="R1071" s="8"/>
      <c r="S1071" s="1"/>
      <c r="T1071" s="8"/>
      <c r="U1071" s="8"/>
      <c r="V1071" s="16"/>
      <c r="W1071" s="1"/>
      <c r="X1071" s="1"/>
    </row>
    <row r="1072" spans="1:24" ht="14.4">
      <c r="A1072" s="1"/>
      <c r="B1072" s="8"/>
      <c r="C1072" s="8"/>
      <c r="D1072" s="8"/>
      <c r="E1072" s="8"/>
      <c r="F1072" s="8"/>
      <c r="G1072" s="8"/>
      <c r="H1072" s="8"/>
      <c r="I1072" s="8"/>
      <c r="J1072" s="8"/>
      <c r="K1072" s="8"/>
      <c r="L1072" s="56"/>
      <c r="M1072" s="26"/>
      <c r="N1072" s="26"/>
      <c r="O1072" s="8"/>
      <c r="P1072" s="1"/>
      <c r="Q1072" s="8"/>
      <c r="R1072" s="8"/>
      <c r="S1072" s="1"/>
      <c r="T1072" s="8"/>
      <c r="U1072" s="8"/>
      <c r="V1072" s="16"/>
      <c r="W1072" s="1"/>
      <c r="X1072" s="1"/>
    </row>
    <row r="1073" spans="1:24" ht="14.4">
      <c r="A1073" s="1"/>
      <c r="B1073" s="8"/>
      <c r="C1073" s="8"/>
      <c r="D1073" s="8"/>
      <c r="E1073" s="8"/>
      <c r="F1073" s="8"/>
      <c r="G1073" s="8"/>
      <c r="H1073" s="8"/>
      <c r="I1073" s="8"/>
      <c r="J1073" s="8"/>
      <c r="K1073" s="8"/>
      <c r="L1073" s="56"/>
      <c r="M1073" s="26"/>
      <c r="N1073" s="26"/>
      <c r="O1073" s="8"/>
      <c r="P1073" s="1"/>
      <c r="Q1073" s="8"/>
      <c r="R1073" s="8"/>
      <c r="S1073" s="1"/>
      <c r="T1073" s="8"/>
      <c r="U1073" s="8"/>
      <c r="V1073" s="16"/>
      <c r="W1073" s="1"/>
      <c r="X1073" s="1"/>
    </row>
    <row r="1074" spans="1:24" ht="14.4">
      <c r="A1074" s="1"/>
      <c r="B1074" s="8"/>
      <c r="C1074" s="8"/>
      <c r="D1074" s="8"/>
      <c r="E1074" s="8"/>
      <c r="F1074" s="8"/>
      <c r="G1074" s="8"/>
      <c r="H1074" s="8"/>
      <c r="I1074" s="8"/>
      <c r="J1074" s="8"/>
      <c r="K1074" s="8"/>
      <c r="L1074" s="56"/>
      <c r="M1074" s="26"/>
      <c r="N1074" s="26"/>
      <c r="O1074" s="8"/>
      <c r="P1074" s="1"/>
      <c r="Q1074" s="8"/>
      <c r="R1074" s="8"/>
      <c r="S1074" s="1"/>
      <c r="T1074" s="8"/>
      <c r="U1074" s="8"/>
      <c r="V1074" s="16"/>
      <c r="W1074" s="1"/>
      <c r="X1074" s="1"/>
    </row>
    <row r="1075" spans="1:24" ht="14.4">
      <c r="A1075" s="1"/>
      <c r="B1075" s="8"/>
      <c r="C1075" s="8"/>
      <c r="D1075" s="8"/>
      <c r="E1075" s="8"/>
      <c r="F1075" s="8"/>
      <c r="G1075" s="8"/>
      <c r="H1075" s="8"/>
      <c r="I1075" s="8"/>
      <c r="J1075" s="8"/>
      <c r="K1075" s="8"/>
      <c r="L1075" s="56"/>
      <c r="M1075" s="26"/>
      <c r="N1075" s="26"/>
      <c r="O1075" s="8"/>
      <c r="P1075" s="1"/>
      <c r="Q1075" s="8"/>
      <c r="R1075" s="8"/>
      <c r="S1075" s="1"/>
      <c r="T1075" s="8"/>
      <c r="U1075" s="8"/>
      <c r="V1075" s="16"/>
      <c r="W1075" s="1"/>
      <c r="X1075" s="1"/>
    </row>
    <row r="1076" spans="1:24" ht="14.4">
      <c r="A1076" s="1"/>
      <c r="B1076" s="8"/>
      <c r="C1076" s="8"/>
      <c r="D1076" s="8"/>
      <c r="E1076" s="8"/>
      <c r="F1076" s="8"/>
      <c r="G1076" s="8"/>
      <c r="H1076" s="8"/>
      <c r="I1076" s="8"/>
      <c r="J1076" s="8"/>
      <c r="K1076" s="8"/>
      <c r="L1076" s="56"/>
      <c r="M1076" s="26"/>
      <c r="N1076" s="26"/>
      <c r="O1076" s="8"/>
      <c r="P1076" s="1"/>
      <c r="Q1076" s="8"/>
      <c r="R1076" s="8"/>
      <c r="S1076" s="1"/>
      <c r="T1076" s="8"/>
      <c r="U1076" s="8"/>
      <c r="V1076" s="16"/>
      <c r="W1076" s="1"/>
      <c r="X1076" s="1"/>
    </row>
    <row r="1077" spans="1:24" ht="14.4">
      <c r="A1077" s="1"/>
      <c r="B1077" s="8"/>
      <c r="C1077" s="8"/>
      <c r="D1077" s="8"/>
      <c r="E1077" s="8"/>
      <c r="F1077" s="8"/>
      <c r="G1077" s="8"/>
      <c r="H1077" s="8"/>
      <c r="I1077" s="8"/>
      <c r="J1077" s="8"/>
      <c r="K1077" s="8"/>
      <c r="L1077" s="56"/>
      <c r="M1077" s="26"/>
      <c r="N1077" s="26"/>
      <c r="O1077" s="8"/>
      <c r="P1077" s="1"/>
      <c r="Q1077" s="8"/>
      <c r="R1077" s="8"/>
      <c r="S1077" s="1"/>
      <c r="T1077" s="8"/>
      <c r="U1077" s="8"/>
      <c r="V1077" s="16"/>
      <c r="W1077" s="1"/>
      <c r="X1077" s="1"/>
    </row>
    <row r="1078" spans="1:24" ht="14.4">
      <c r="A1078" s="1"/>
      <c r="B1078" s="8"/>
      <c r="C1078" s="8"/>
      <c r="D1078" s="8"/>
      <c r="E1078" s="8"/>
      <c r="F1078" s="8"/>
      <c r="G1078" s="8"/>
      <c r="H1078" s="8"/>
      <c r="I1078" s="8"/>
      <c r="J1078" s="8"/>
      <c r="K1078" s="8"/>
      <c r="L1078" s="56"/>
      <c r="M1078" s="26"/>
      <c r="N1078" s="26"/>
      <c r="O1078" s="8"/>
      <c r="P1078" s="1"/>
      <c r="Q1078" s="8"/>
      <c r="R1078" s="8"/>
      <c r="S1078" s="1"/>
      <c r="T1078" s="8"/>
      <c r="U1078" s="8"/>
      <c r="V1078" s="16"/>
      <c r="W1078" s="1"/>
      <c r="X1078" s="1"/>
    </row>
    <row r="1079" spans="1:24" ht="14.4">
      <c r="A1079" s="1"/>
      <c r="B1079" s="8"/>
      <c r="C1079" s="8"/>
      <c r="D1079" s="8"/>
      <c r="E1079" s="8"/>
      <c r="F1079" s="8"/>
      <c r="G1079" s="8"/>
      <c r="H1079" s="8"/>
      <c r="I1079" s="8"/>
      <c r="J1079" s="8"/>
      <c r="K1079" s="8"/>
      <c r="L1079" s="56"/>
      <c r="M1079" s="26"/>
      <c r="N1079" s="26"/>
      <c r="O1079" s="8"/>
      <c r="P1079" s="1"/>
      <c r="Q1079" s="8"/>
      <c r="R1079" s="8"/>
      <c r="S1079" s="1"/>
      <c r="T1079" s="8"/>
      <c r="U1079" s="8"/>
      <c r="V1079" s="16"/>
      <c r="W1079" s="1"/>
      <c r="X1079" s="1"/>
    </row>
    <row r="1080" spans="1:24" ht="14.4">
      <c r="A1080" s="1"/>
      <c r="B1080" s="8"/>
      <c r="C1080" s="8"/>
      <c r="D1080" s="8"/>
      <c r="E1080" s="8"/>
      <c r="F1080" s="8"/>
      <c r="G1080" s="8"/>
      <c r="H1080" s="8"/>
      <c r="I1080" s="8"/>
      <c r="J1080" s="8"/>
      <c r="K1080" s="8"/>
      <c r="L1080" s="56"/>
      <c r="M1080" s="26"/>
      <c r="N1080" s="26"/>
      <c r="O1080" s="8"/>
      <c r="P1080" s="1"/>
      <c r="Q1080" s="8"/>
      <c r="R1080" s="8"/>
      <c r="S1080" s="1"/>
      <c r="T1080" s="8"/>
      <c r="U1080" s="8"/>
      <c r="V1080" s="16"/>
      <c r="W1080" s="1"/>
      <c r="X1080" s="1"/>
    </row>
    <row r="1081" spans="1:24" ht="14.4">
      <c r="A1081" s="1"/>
      <c r="B1081" s="8"/>
      <c r="C1081" s="8"/>
      <c r="D1081" s="8"/>
      <c r="E1081" s="8"/>
      <c r="F1081" s="8"/>
      <c r="G1081" s="8"/>
      <c r="H1081" s="8"/>
      <c r="I1081" s="8"/>
      <c r="J1081" s="8"/>
      <c r="K1081" s="8"/>
      <c r="L1081" s="56"/>
      <c r="M1081" s="26"/>
      <c r="N1081" s="26"/>
      <c r="O1081" s="8"/>
      <c r="P1081" s="1"/>
      <c r="Q1081" s="8"/>
      <c r="R1081" s="8"/>
      <c r="S1081" s="1"/>
      <c r="T1081" s="8"/>
      <c r="U1081" s="8"/>
      <c r="V1081" s="16"/>
      <c r="W1081" s="1"/>
      <c r="X1081" s="1"/>
    </row>
    <row r="1082" spans="1:24" ht="14.4">
      <c r="A1082" s="1"/>
      <c r="B1082" s="8"/>
      <c r="C1082" s="8"/>
      <c r="D1082" s="8"/>
      <c r="E1082" s="8"/>
      <c r="F1082" s="8"/>
      <c r="G1082" s="8"/>
      <c r="H1082" s="8"/>
      <c r="I1082" s="8"/>
      <c r="J1082" s="8"/>
      <c r="K1082" s="8"/>
      <c r="L1082" s="56"/>
      <c r="M1082" s="26"/>
      <c r="N1082" s="26"/>
      <c r="O1082" s="8"/>
      <c r="P1082" s="1"/>
      <c r="Q1082" s="8"/>
      <c r="R1082" s="8"/>
      <c r="S1082" s="1"/>
      <c r="T1082" s="8"/>
      <c r="U1082" s="8"/>
      <c r="V1082" s="16"/>
      <c r="W1082" s="1"/>
      <c r="X1082" s="1"/>
    </row>
    <row r="1083" spans="1:24" ht="14.4">
      <c r="A1083" s="1"/>
      <c r="B1083" s="8"/>
      <c r="C1083" s="8"/>
      <c r="D1083" s="8"/>
      <c r="E1083" s="8"/>
      <c r="F1083" s="8"/>
      <c r="G1083" s="8"/>
      <c r="H1083" s="8"/>
      <c r="I1083" s="8"/>
      <c r="J1083" s="8"/>
      <c r="K1083" s="8"/>
      <c r="L1083" s="56"/>
      <c r="M1083" s="26"/>
      <c r="N1083" s="26"/>
      <c r="O1083" s="8"/>
      <c r="P1083" s="1"/>
      <c r="Q1083" s="8"/>
      <c r="R1083" s="8"/>
      <c r="S1083" s="1"/>
      <c r="T1083" s="8"/>
      <c r="U1083" s="8"/>
      <c r="V1083" s="16"/>
      <c r="W1083" s="1"/>
      <c r="X1083" s="1"/>
    </row>
    <row r="1084" spans="1:24" ht="14.4">
      <c r="A1084" s="1"/>
      <c r="B1084" s="8"/>
      <c r="C1084" s="8"/>
      <c r="D1084" s="8"/>
      <c r="E1084" s="8"/>
      <c r="F1084" s="8"/>
      <c r="G1084" s="8"/>
      <c r="H1084" s="8"/>
      <c r="I1084" s="8"/>
      <c r="J1084" s="8"/>
      <c r="K1084" s="8"/>
      <c r="L1084" s="56"/>
      <c r="M1084" s="26"/>
      <c r="N1084" s="26"/>
      <c r="O1084" s="8"/>
      <c r="P1084" s="1"/>
      <c r="Q1084" s="8"/>
      <c r="R1084" s="8"/>
      <c r="S1084" s="1"/>
      <c r="T1084" s="8"/>
      <c r="U1084" s="8"/>
      <c r="V1084" s="16"/>
      <c r="W1084" s="1"/>
      <c r="X1084" s="1"/>
    </row>
    <row r="1085" spans="1:24" ht="14.4">
      <c r="A1085" s="1"/>
      <c r="B1085" s="8"/>
      <c r="C1085" s="8"/>
      <c r="D1085" s="8"/>
      <c r="E1085" s="8"/>
      <c r="F1085" s="8"/>
      <c r="G1085" s="8"/>
      <c r="H1085" s="8"/>
      <c r="I1085" s="8"/>
      <c r="J1085" s="8"/>
      <c r="K1085" s="8"/>
      <c r="L1085" s="56"/>
      <c r="M1085" s="26"/>
      <c r="N1085" s="26"/>
      <c r="O1085" s="8"/>
      <c r="P1085" s="1"/>
      <c r="Q1085" s="8"/>
      <c r="R1085" s="8"/>
      <c r="S1085" s="1"/>
      <c r="T1085" s="8"/>
      <c r="U1085" s="8"/>
      <c r="V1085" s="16"/>
      <c r="W1085" s="1"/>
      <c r="X1085" s="1"/>
    </row>
    <row r="1086" spans="1:24" ht="14.4">
      <c r="A1086" s="1"/>
      <c r="B1086" s="8"/>
      <c r="C1086" s="8"/>
      <c r="D1086" s="8"/>
      <c r="E1086" s="8"/>
      <c r="F1086" s="8"/>
      <c r="G1086" s="8"/>
      <c r="H1086" s="8"/>
      <c r="I1086" s="8"/>
      <c r="J1086" s="8"/>
      <c r="K1086" s="8"/>
      <c r="L1086" s="56"/>
      <c r="M1086" s="26"/>
      <c r="N1086" s="26"/>
      <c r="O1086" s="8"/>
      <c r="P1086" s="1"/>
      <c r="Q1086" s="8"/>
      <c r="R1086" s="8"/>
      <c r="S1086" s="1"/>
      <c r="T1086" s="8"/>
      <c r="U1086" s="8"/>
      <c r="V1086" s="16"/>
      <c r="W1086" s="1"/>
      <c r="X1086" s="1"/>
    </row>
    <row r="1087" spans="1:24" ht="14.4">
      <c r="A1087" s="1"/>
      <c r="B1087" s="8"/>
      <c r="C1087" s="8"/>
      <c r="D1087" s="8"/>
      <c r="E1087" s="8"/>
      <c r="F1087" s="8"/>
      <c r="G1087" s="8"/>
      <c r="H1087" s="8"/>
      <c r="I1087" s="8"/>
      <c r="J1087" s="8"/>
      <c r="K1087" s="8"/>
      <c r="L1087" s="56"/>
      <c r="M1087" s="26"/>
      <c r="N1087" s="26"/>
      <c r="O1087" s="8"/>
      <c r="P1087" s="1"/>
      <c r="Q1087" s="8"/>
      <c r="R1087" s="8"/>
      <c r="S1087" s="1"/>
      <c r="T1087" s="8"/>
      <c r="U1087" s="8"/>
      <c r="V1087" s="16"/>
      <c r="W1087" s="1"/>
      <c r="X1087" s="1"/>
    </row>
    <row r="1088" spans="1:24" ht="14.4">
      <c r="A1088" s="1"/>
      <c r="B1088" s="8"/>
      <c r="C1088" s="8"/>
      <c r="D1088" s="8"/>
      <c r="E1088" s="8"/>
      <c r="F1088" s="8"/>
      <c r="G1088" s="8"/>
      <c r="H1088" s="8"/>
      <c r="I1088" s="8"/>
      <c r="J1088" s="8"/>
      <c r="K1088" s="8"/>
      <c r="L1088" s="56"/>
      <c r="M1088" s="26"/>
      <c r="N1088" s="26"/>
      <c r="O1088" s="8"/>
      <c r="P1088" s="1"/>
      <c r="Q1088" s="8"/>
      <c r="R1088" s="8"/>
      <c r="S1088" s="1"/>
      <c r="T1088" s="8"/>
      <c r="U1088" s="8"/>
      <c r="V1088" s="16"/>
      <c r="W1088" s="1"/>
      <c r="X1088" s="1"/>
    </row>
    <row r="1089" spans="1:24" ht="14.4">
      <c r="A1089" s="1"/>
      <c r="B1089" s="8"/>
      <c r="C1089" s="8"/>
      <c r="D1089" s="8"/>
      <c r="E1089" s="8"/>
      <c r="F1089" s="8"/>
      <c r="G1089" s="8"/>
      <c r="H1089" s="8"/>
      <c r="I1089" s="8"/>
      <c r="J1089" s="8"/>
      <c r="K1089" s="8"/>
      <c r="L1089" s="56"/>
      <c r="M1089" s="26"/>
      <c r="N1089" s="26"/>
      <c r="O1089" s="8"/>
      <c r="P1089" s="1"/>
      <c r="Q1089" s="8"/>
      <c r="R1089" s="8"/>
      <c r="S1089" s="1"/>
      <c r="T1089" s="8"/>
      <c r="U1089" s="8"/>
      <c r="V1089" s="16"/>
      <c r="W1089" s="1"/>
      <c r="X1089" s="1"/>
    </row>
    <row r="1090" spans="1:24" ht="14.4">
      <c r="A1090" s="1"/>
      <c r="B1090" s="8"/>
      <c r="C1090" s="8"/>
      <c r="D1090" s="8"/>
      <c r="E1090" s="8"/>
      <c r="F1090" s="8"/>
      <c r="G1090" s="8"/>
      <c r="H1090" s="8"/>
      <c r="I1090" s="8"/>
      <c r="J1090" s="8"/>
      <c r="K1090" s="8"/>
      <c r="L1090" s="56"/>
      <c r="M1090" s="26"/>
      <c r="N1090" s="26"/>
      <c r="O1090" s="8"/>
      <c r="P1090" s="1"/>
      <c r="Q1090" s="8"/>
      <c r="R1090" s="8"/>
      <c r="S1090" s="1"/>
      <c r="T1090" s="8"/>
      <c r="U1090" s="8"/>
      <c r="V1090" s="16"/>
      <c r="W1090" s="1"/>
      <c r="X1090" s="1"/>
    </row>
    <row r="1091" spans="1:24" ht="14.4">
      <c r="A1091" s="1"/>
      <c r="B1091" s="8"/>
      <c r="C1091" s="8"/>
      <c r="D1091" s="8"/>
      <c r="E1091" s="8"/>
      <c r="F1091" s="8"/>
      <c r="G1091" s="8"/>
      <c r="H1091" s="8"/>
      <c r="I1091" s="8"/>
      <c r="J1091" s="8"/>
      <c r="K1091" s="8"/>
      <c r="L1091" s="56"/>
      <c r="M1091" s="26"/>
      <c r="N1091" s="26"/>
      <c r="O1091" s="8"/>
      <c r="P1091" s="1"/>
      <c r="Q1091" s="8"/>
      <c r="R1091" s="8"/>
      <c r="S1091" s="1"/>
      <c r="T1091" s="8"/>
      <c r="U1091" s="8"/>
      <c r="V1091" s="16"/>
      <c r="W1091" s="1"/>
      <c r="X1091" s="1"/>
    </row>
    <row r="1092" spans="1:24" ht="14.4">
      <c r="A1092" s="1"/>
      <c r="B1092" s="8"/>
      <c r="C1092" s="8"/>
      <c r="D1092" s="8"/>
      <c r="E1092" s="8"/>
      <c r="F1092" s="8"/>
      <c r="G1092" s="8"/>
      <c r="H1092" s="8"/>
      <c r="I1092" s="8"/>
      <c r="J1092" s="8"/>
      <c r="K1092" s="8"/>
      <c r="L1092" s="56"/>
      <c r="M1092" s="26"/>
      <c r="N1092" s="26"/>
      <c r="O1092" s="8"/>
      <c r="P1092" s="1"/>
      <c r="Q1092" s="8"/>
      <c r="R1092" s="8"/>
      <c r="S1092" s="1"/>
      <c r="T1092" s="8"/>
      <c r="U1092" s="8"/>
      <c r="V1092" s="16"/>
      <c r="W1092" s="1"/>
      <c r="X1092" s="1"/>
    </row>
    <row r="1093" spans="1:24" ht="14.4">
      <c r="A1093" s="1"/>
      <c r="B1093" s="8"/>
      <c r="C1093" s="8"/>
      <c r="D1093" s="8"/>
      <c r="E1093" s="8"/>
      <c r="F1093" s="8"/>
      <c r="G1093" s="8"/>
      <c r="H1093" s="8"/>
      <c r="I1093" s="8"/>
      <c r="J1093" s="8"/>
      <c r="K1093" s="8"/>
      <c r="L1093" s="56"/>
      <c r="M1093" s="26"/>
      <c r="N1093" s="26"/>
      <c r="O1093" s="8"/>
      <c r="P1093" s="1"/>
      <c r="Q1093" s="8"/>
      <c r="R1093" s="8"/>
      <c r="S1093" s="1"/>
      <c r="T1093" s="8"/>
      <c r="U1093" s="8"/>
      <c r="V1093" s="16"/>
      <c r="W1093" s="1"/>
      <c r="X1093" s="1"/>
    </row>
    <row r="1094" spans="1:24" ht="14.4">
      <c r="A1094" s="1"/>
      <c r="B1094" s="8"/>
      <c r="C1094" s="8"/>
      <c r="D1094" s="8"/>
      <c r="E1094" s="8"/>
      <c r="F1094" s="8"/>
      <c r="G1094" s="8"/>
      <c r="H1094" s="8"/>
      <c r="I1094" s="8"/>
      <c r="J1094" s="8"/>
      <c r="K1094" s="8"/>
      <c r="L1094" s="56"/>
      <c r="M1094" s="26"/>
      <c r="N1094" s="26"/>
      <c r="O1094" s="8"/>
      <c r="P1094" s="1"/>
      <c r="Q1094" s="8"/>
      <c r="R1094" s="8"/>
      <c r="S1094" s="1"/>
      <c r="T1094" s="8"/>
      <c r="U1094" s="8"/>
      <c r="V1094" s="16"/>
      <c r="W1094" s="1"/>
      <c r="X1094" s="1"/>
    </row>
    <row r="1095" spans="1:24" ht="14.4">
      <c r="A1095" s="1"/>
      <c r="B1095" s="8"/>
      <c r="C1095" s="8"/>
      <c r="D1095" s="8"/>
      <c r="E1095" s="8"/>
      <c r="F1095" s="8"/>
      <c r="G1095" s="8"/>
      <c r="H1095" s="8"/>
      <c r="I1095" s="8"/>
      <c r="J1095" s="8"/>
      <c r="K1095" s="8"/>
      <c r="L1095" s="56"/>
      <c r="M1095" s="26"/>
      <c r="N1095" s="26"/>
      <c r="O1095" s="8"/>
      <c r="P1095" s="1"/>
      <c r="Q1095" s="8"/>
      <c r="R1095" s="8"/>
      <c r="S1095" s="1"/>
      <c r="T1095" s="8"/>
      <c r="U1095" s="8"/>
      <c r="V1095" s="16"/>
      <c r="W1095" s="1"/>
      <c r="X1095" s="1"/>
    </row>
    <row r="1096" spans="1:24" ht="14.4">
      <c r="A1096" s="1"/>
      <c r="B1096" s="8"/>
      <c r="C1096" s="8"/>
      <c r="D1096" s="8"/>
      <c r="E1096" s="8"/>
      <c r="F1096" s="8"/>
      <c r="G1096" s="8"/>
      <c r="H1096" s="8"/>
      <c r="I1096" s="8"/>
      <c r="J1096" s="8"/>
      <c r="K1096" s="8"/>
      <c r="L1096" s="56"/>
      <c r="M1096" s="26"/>
      <c r="N1096" s="26"/>
      <c r="O1096" s="8"/>
      <c r="P1096" s="1"/>
      <c r="Q1096" s="8"/>
      <c r="R1096" s="8"/>
      <c r="S1096" s="1"/>
      <c r="T1096" s="8"/>
      <c r="U1096" s="8"/>
      <c r="V1096" s="16"/>
      <c r="W1096" s="1"/>
      <c r="X1096" s="1"/>
    </row>
    <row r="1097" spans="1:24" ht="14.4">
      <c r="A1097" s="1"/>
      <c r="B1097" s="8"/>
      <c r="C1097" s="8"/>
      <c r="D1097" s="8"/>
      <c r="E1097" s="8"/>
      <c r="F1097" s="8"/>
      <c r="G1097" s="8"/>
      <c r="H1097" s="8"/>
      <c r="I1097" s="8"/>
      <c r="J1097" s="8"/>
      <c r="K1097" s="8"/>
      <c r="L1097" s="56"/>
      <c r="M1097" s="26"/>
      <c r="N1097" s="26"/>
      <c r="O1097" s="8"/>
      <c r="P1097" s="1"/>
      <c r="Q1097" s="8"/>
      <c r="R1097" s="8"/>
      <c r="S1097" s="1"/>
      <c r="T1097" s="8"/>
      <c r="U1097" s="8"/>
      <c r="V1097" s="16"/>
      <c r="W1097" s="1"/>
      <c r="X1097" s="1"/>
    </row>
    <row r="1098" spans="1:24" ht="14.4">
      <c r="A1098" s="1"/>
      <c r="B1098" s="8"/>
      <c r="C1098" s="8"/>
      <c r="D1098" s="8"/>
      <c r="E1098" s="8"/>
      <c r="F1098" s="8"/>
      <c r="G1098" s="8"/>
      <c r="H1098" s="8"/>
      <c r="I1098" s="8"/>
      <c r="J1098" s="8"/>
      <c r="K1098" s="8"/>
      <c r="L1098" s="56"/>
      <c r="M1098" s="26"/>
      <c r="N1098" s="26"/>
      <c r="O1098" s="8"/>
      <c r="P1098" s="1"/>
      <c r="Q1098" s="8"/>
      <c r="R1098" s="8"/>
      <c r="S1098" s="1"/>
      <c r="T1098" s="8"/>
      <c r="U1098" s="8"/>
      <c r="V1098" s="16"/>
      <c r="W1098" s="1"/>
      <c r="X1098" s="1"/>
    </row>
    <row r="1099" spans="1:24" ht="14.4">
      <c r="A1099" s="1"/>
      <c r="B1099" s="8"/>
      <c r="C1099" s="8"/>
      <c r="D1099" s="8"/>
      <c r="E1099" s="8"/>
      <c r="F1099" s="8"/>
      <c r="G1099" s="8"/>
      <c r="H1099" s="8"/>
      <c r="I1099" s="8"/>
      <c r="J1099" s="8"/>
      <c r="K1099" s="8"/>
      <c r="L1099" s="56"/>
      <c r="M1099" s="26"/>
      <c r="N1099" s="26"/>
      <c r="O1099" s="8"/>
      <c r="P1099" s="1"/>
      <c r="Q1099" s="8"/>
      <c r="R1099" s="8"/>
      <c r="S1099" s="1"/>
      <c r="T1099" s="8"/>
      <c r="U1099" s="8"/>
      <c r="V1099" s="16"/>
      <c r="W1099" s="1"/>
      <c r="X1099" s="1"/>
    </row>
    <row r="1100" spans="1:24" ht="14.4">
      <c r="A1100" s="1"/>
      <c r="B1100" s="8"/>
      <c r="C1100" s="8"/>
      <c r="D1100" s="8"/>
      <c r="E1100" s="8"/>
      <c r="F1100" s="8"/>
      <c r="G1100" s="8"/>
      <c r="H1100" s="8"/>
      <c r="I1100" s="8"/>
      <c r="J1100" s="8"/>
      <c r="K1100" s="8"/>
      <c r="L1100" s="56"/>
      <c r="M1100" s="26"/>
      <c r="N1100" s="26"/>
      <c r="O1100" s="8"/>
      <c r="P1100" s="1"/>
      <c r="Q1100" s="8"/>
      <c r="R1100" s="8"/>
      <c r="S1100" s="1"/>
      <c r="T1100" s="8"/>
      <c r="U1100" s="8"/>
      <c r="V1100" s="16"/>
      <c r="W1100" s="1"/>
      <c r="X1100" s="1"/>
    </row>
    <row r="1101" spans="1:24" ht="14.4">
      <c r="A1101" s="1"/>
      <c r="B1101" s="8"/>
      <c r="C1101" s="8"/>
      <c r="D1101" s="8"/>
      <c r="E1101" s="8"/>
      <c r="F1101" s="8"/>
      <c r="G1101" s="8"/>
      <c r="H1101" s="8"/>
      <c r="I1101" s="8"/>
      <c r="J1101" s="8"/>
      <c r="K1101" s="8"/>
      <c r="L1101" s="56"/>
      <c r="M1101" s="26"/>
      <c r="N1101" s="26"/>
      <c r="O1101" s="8"/>
      <c r="P1101" s="1"/>
      <c r="Q1101" s="8"/>
      <c r="R1101" s="8"/>
      <c r="S1101" s="1"/>
      <c r="T1101" s="8"/>
      <c r="U1101" s="8"/>
      <c r="V1101" s="16"/>
      <c r="W1101" s="1"/>
      <c r="X1101" s="1"/>
    </row>
    <row r="1102" spans="1:24" ht="14.4">
      <c r="A1102" s="1"/>
      <c r="B1102" s="8"/>
      <c r="C1102" s="8"/>
      <c r="D1102" s="8"/>
      <c r="E1102" s="8"/>
      <c r="F1102" s="8"/>
      <c r="G1102" s="8"/>
      <c r="H1102" s="8"/>
      <c r="I1102" s="8"/>
      <c r="J1102" s="8"/>
      <c r="K1102" s="8"/>
      <c r="L1102" s="56"/>
      <c r="M1102" s="26"/>
      <c r="N1102" s="26"/>
      <c r="O1102" s="8"/>
      <c r="P1102" s="1"/>
      <c r="Q1102" s="8"/>
      <c r="R1102" s="8"/>
      <c r="S1102" s="1"/>
      <c r="T1102" s="8"/>
      <c r="U1102" s="8"/>
      <c r="V1102" s="16"/>
      <c r="W1102" s="1"/>
      <c r="X1102" s="1"/>
    </row>
    <row r="1103" spans="1:24" ht="14.4">
      <c r="A1103" s="1"/>
      <c r="B1103" s="8"/>
      <c r="C1103" s="8"/>
      <c r="D1103" s="8"/>
      <c r="E1103" s="8"/>
      <c r="F1103" s="8"/>
      <c r="G1103" s="8"/>
      <c r="H1103" s="8"/>
      <c r="I1103" s="8"/>
      <c r="J1103" s="8"/>
      <c r="K1103" s="8"/>
      <c r="L1103" s="56"/>
      <c r="M1103" s="26"/>
      <c r="N1103" s="26"/>
      <c r="O1103" s="8"/>
      <c r="P1103" s="1"/>
      <c r="Q1103" s="8"/>
      <c r="R1103" s="8"/>
      <c r="S1103" s="1"/>
      <c r="T1103" s="8"/>
      <c r="U1103" s="8"/>
      <c r="V1103" s="16"/>
      <c r="W1103" s="1"/>
      <c r="X1103" s="1"/>
    </row>
    <row r="1104" spans="1:24" ht="14.4">
      <c r="A1104" s="1"/>
      <c r="B1104" s="8"/>
      <c r="C1104" s="8"/>
      <c r="D1104" s="8"/>
      <c r="E1104" s="8"/>
      <c r="F1104" s="8"/>
      <c r="G1104" s="8"/>
      <c r="H1104" s="8"/>
      <c r="I1104" s="8"/>
      <c r="J1104" s="8"/>
      <c r="K1104" s="8"/>
      <c r="L1104" s="56"/>
      <c r="M1104" s="26"/>
      <c r="N1104" s="26"/>
      <c r="O1104" s="8"/>
      <c r="P1104" s="1"/>
      <c r="Q1104" s="8"/>
      <c r="R1104" s="8"/>
      <c r="S1104" s="1"/>
      <c r="T1104" s="8"/>
      <c r="U1104" s="8"/>
      <c r="V1104" s="16"/>
      <c r="W1104" s="1"/>
      <c r="X1104" s="1"/>
    </row>
    <row r="1105" spans="1:24" ht="14.4">
      <c r="A1105" s="1"/>
      <c r="B1105" s="8"/>
      <c r="C1105" s="8"/>
      <c r="D1105" s="8"/>
      <c r="E1105" s="8"/>
      <c r="F1105" s="8"/>
      <c r="G1105" s="8"/>
      <c r="H1105" s="8"/>
      <c r="I1105" s="8"/>
      <c r="J1105" s="8"/>
      <c r="K1105" s="8"/>
      <c r="L1105" s="56"/>
      <c r="M1105" s="26"/>
      <c r="N1105" s="26"/>
      <c r="O1105" s="8"/>
      <c r="P1105" s="1"/>
      <c r="Q1105" s="8"/>
      <c r="R1105" s="8"/>
      <c r="S1105" s="1"/>
      <c r="T1105" s="8"/>
      <c r="U1105" s="8"/>
      <c r="V1105" s="16"/>
      <c r="W1105" s="1"/>
      <c r="X1105" s="1"/>
    </row>
    <row r="1106" spans="1:24" ht="14.4">
      <c r="A1106" s="1"/>
      <c r="B1106" s="8"/>
      <c r="C1106" s="8"/>
      <c r="D1106" s="8"/>
      <c r="E1106" s="8"/>
      <c r="F1106" s="8"/>
      <c r="G1106" s="8"/>
      <c r="H1106" s="8"/>
      <c r="I1106" s="8"/>
      <c r="J1106" s="8"/>
      <c r="K1106" s="8"/>
      <c r="L1106" s="56"/>
      <c r="M1106" s="26"/>
      <c r="N1106" s="26"/>
      <c r="O1106" s="8"/>
      <c r="P1106" s="1"/>
      <c r="Q1106" s="8"/>
      <c r="R1106" s="8"/>
      <c r="S1106" s="1"/>
      <c r="T1106" s="8"/>
      <c r="U1106" s="8"/>
      <c r="V1106" s="16"/>
      <c r="W1106" s="1"/>
      <c r="X1106" s="1"/>
    </row>
    <row r="1107" spans="1:24" ht="14.4">
      <c r="A1107" s="1"/>
      <c r="B1107" s="8"/>
      <c r="C1107" s="8"/>
      <c r="D1107" s="8"/>
      <c r="E1107" s="8"/>
      <c r="F1107" s="8"/>
      <c r="G1107" s="8"/>
      <c r="H1107" s="8"/>
      <c r="I1107" s="8"/>
      <c r="J1107" s="8"/>
      <c r="K1107" s="8"/>
      <c r="L1107" s="56"/>
      <c r="M1107" s="26"/>
      <c r="N1107" s="26"/>
      <c r="O1107" s="8"/>
      <c r="P1107" s="1"/>
      <c r="Q1107" s="8"/>
      <c r="R1107" s="8"/>
      <c r="S1107" s="1"/>
      <c r="T1107" s="8"/>
      <c r="U1107" s="8"/>
      <c r="V1107" s="16"/>
      <c r="W1107" s="1"/>
      <c r="X1107" s="1"/>
    </row>
    <row r="1108" spans="1:24" ht="14.4">
      <c r="A1108" s="1"/>
      <c r="B1108" s="8"/>
      <c r="C1108" s="8"/>
      <c r="D1108" s="8"/>
      <c r="E1108" s="8"/>
      <c r="F1108" s="8"/>
      <c r="G1108" s="8"/>
      <c r="H1108" s="8"/>
      <c r="I1108" s="8"/>
      <c r="J1108" s="8"/>
      <c r="K1108" s="8"/>
      <c r="L1108" s="56"/>
      <c r="M1108" s="26"/>
      <c r="N1108" s="26"/>
      <c r="O1108" s="8"/>
      <c r="P1108" s="1"/>
      <c r="Q1108" s="8"/>
      <c r="R1108" s="8"/>
      <c r="S1108" s="1"/>
      <c r="T1108" s="8"/>
      <c r="U1108" s="8"/>
      <c r="V1108" s="16"/>
      <c r="W1108" s="1"/>
      <c r="X1108" s="1"/>
    </row>
    <row r="1109" spans="1:24" ht="14.4">
      <c r="A1109" s="1"/>
      <c r="B1109" s="8"/>
      <c r="C1109" s="8"/>
      <c r="D1109" s="8"/>
      <c r="E1109" s="8"/>
      <c r="F1109" s="8"/>
      <c r="G1109" s="8"/>
      <c r="H1109" s="8"/>
      <c r="I1109" s="8"/>
      <c r="J1109" s="8"/>
      <c r="K1109" s="8"/>
      <c r="L1109" s="56"/>
      <c r="M1109" s="26"/>
      <c r="N1109" s="26"/>
      <c r="O1109" s="8"/>
      <c r="P1109" s="1"/>
      <c r="Q1109" s="8"/>
      <c r="R1109" s="8"/>
      <c r="S1109" s="1"/>
      <c r="T1109" s="8"/>
      <c r="U1109" s="8"/>
      <c r="V1109" s="16"/>
      <c r="W1109" s="1"/>
      <c r="X1109" s="1"/>
    </row>
    <row r="1110" spans="1:24" ht="14.4">
      <c r="A1110" s="1"/>
      <c r="B1110" s="8"/>
      <c r="C1110" s="8"/>
      <c r="D1110" s="8"/>
      <c r="E1110" s="8"/>
      <c r="F1110" s="8"/>
      <c r="G1110" s="8"/>
      <c r="H1110" s="8"/>
      <c r="I1110" s="8"/>
      <c r="J1110" s="8"/>
      <c r="K1110" s="8"/>
      <c r="L1110" s="56"/>
      <c r="M1110" s="26"/>
      <c r="N1110" s="26"/>
      <c r="O1110" s="8"/>
      <c r="P1110" s="1"/>
      <c r="Q1110" s="8"/>
      <c r="R1110" s="8"/>
      <c r="S1110" s="1"/>
      <c r="T1110" s="8"/>
      <c r="U1110" s="8"/>
      <c r="V1110" s="16"/>
      <c r="W1110" s="1"/>
      <c r="X1110" s="1"/>
    </row>
    <row r="1111" spans="1:24" ht="14.4">
      <c r="A1111" s="1"/>
      <c r="B1111" s="8"/>
      <c r="C1111" s="8"/>
      <c r="D1111" s="8"/>
      <c r="E1111" s="8"/>
      <c r="F1111" s="8"/>
      <c r="G1111" s="8"/>
      <c r="H1111" s="8"/>
      <c r="I1111" s="8"/>
      <c r="J1111" s="8"/>
      <c r="K1111" s="8"/>
      <c r="L1111" s="56"/>
      <c r="M1111" s="26"/>
      <c r="N1111" s="26"/>
      <c r="O1111" s="8"/>
      <c r="P1111" s="1"/>
      <c r="Q1111" s="8"/>
      <c r="R1111" s="8"/>
      <c r="S1111" s="1"/>
      <c r="T1111" s="8"/>
      <c r="U1111" s="8"/>
      <c r="V1111" s="16"/>
      <c r="W1111" s="1"/>
      <c r="X1111" s="1"/>
    </row>
    <row r="1112" spans="1:24" ht="14.4">
      <c r="A1112" s="1"/>
      <c r="B1112" s="8"/>
      <c r="C1112" s="8"/>
      <c r="D1112" s="8"/>
      <c r="E1112" s="8"/>
      <c r="F1112" s="8"/>
      <c r="G1112" s="8"/>
      <c r="H1112" s="8"/>
      <c r="I1112" s="8"/>
      <c r="J1112" s="8"/>
      <c r="K1112" s="8"/>
      <c r="L1112" s="56"/>
      <c r="M1112" s="26"/>
      <c r="N1112" s="26"/>
      <c r="O1112" s="8"/>
      <c r="P1112" s="1"/>
      <c r="Q1112" s="8"/>
      <c r="R1112" s="8"/>
      <c r="S1112" s="1"/>
      <c r="T1112" s="8"/>
      <c r="U1112" s="8"/>
      <c r="V1112" s="16"/>
      <c r="W1112" s="1"/>
      <c r="X1112" s="1"/>
    </row>
    <row r="1113" spans="1:24" ht="14.4">
      <c r="A1113" s="1"/>
      <c r="B1113" s="8"/>
      <c r="C1113" s="8"/>
      <c r="D1113" s="8"/>
      <c r="E1113" s="8"/>
      <c r="F1113" s="8"/>
      <c r="G1113" s="8"/>
      <c r="H1113" s="8"/>
      <c r="I1113" s="8"/>
      <c r="J1113" s="8"/>
      <c r="K1113" s="8"/>
      <c r="L1113" s="56"/>
      <c r="M1113" s="26"/>
      <c r="N1113" s="26"/>
      <c r="O1113" s="8"/>
      <c r="P1113" s="1"/>
      <c r="Q1113" s="8"/>
      <c r="R1113" s="8"/>
      <c r="S1113" s="1"/>
      <c r="T1113" s="8"/>
      <c r="U1113" s="8"/>
      <c r="V1113" s="16"/>
      <c r="W1113" s="1"/>
      <c r="X1113" s="1"/>
    </row>
    <row r="1114" spans="1:24" ht="14.4">
      <c r="A1114" s="1"/>
      <c r="B1114" s="8"/>
      <c r="C1114" s="8"/>
      <c r="D1114" s="8"/>
      <c r="E1114" s="8"/>
      <c r="F1114" s="8"/>
      <c r="G1114" s="8"/>
      <c r="H1114" s="8"/>
      <c r="I1114" s="8"/>
      <c r="J1114" s="8"/>
      <c r="K1114" s="8"/>
      <c r="L1114" s="56"/>
      <c r="M1114" s="26"/>
      <c r="N1114" s="26"/>
      <c r="O1114" s="8"/>
      <c r="P1114" s="1"/>
      <c r="Q1114" s="8"/>
      <c r="R1114" s="8"/>
      <c r="S1114" s="1"/>
      <c r="T1114" s="8"/>
      <c r="U1114" s="8"/>
      <c r="V1114" s="16"/>
      <c r="W1114" s="1"/>
      <c r="X1114" s="1"/>
    </row>
    <row r="1115" spans="1:24" ht="14.4">
      <c r="A1115" s="1"/>
      <c r="B1115" s="8"/>
      <c r="C1115" s="8"/>
      <c r="D1115" s="8"/>
      <c r="E1115" s="8"/>
      <c r="F1115" s="8"/>
      <c r="G1115" s="8"/>
      <c r="H1115" s="8"/>
      <c r="I1115" s="8"/>
      <c r="J1115" s="8"/>
      <c r="K1115" s="8"/>
      <c r="L1115" s="56"/>
      <c r="M1115" s="26"/>
      <c r="N1115" s="26"/>
      <c r="O1115" s="8"/>
      <c r="P1115" s="1"/>
      <c r="Q1115" s="8"/>
      <c r="R1115" s="8"/>
      <c r="S1115" s="1"/>
      <c r="T1115" s="8"/>
      <c r="U1115" s="8"/>
      <c r="V1115" s="16"/>
      <c r="W1115" s="1"/>
      <c r="X1115" s="1"/>
    </row>
    <row r="1116" spans="1:24" ht="14.4">
      <c r="A1116" s="1"/>
      <c r="B1116" s="8"/>
      <c r="C1116" s="8"/>
      <c r="D1116" s="8"/>
      <c r="E1116" s="8"/>
      <c r="F1116" s="8"/>
      <c r="G1116" s="8"/>
      <c r="H1116" s="8"/>
      <c r="I1116" s="8"/>
      <c r="J1116" s="8"/>
      <c r="K1116" s="8"/>
      <c r="L1116" s="56"/>
      <c r="M1116" s="26"/>
      <c r="N1116" s="26"/>
      <c r="O1116" s="8"/>
      <c r="P1116" s="1"/>
      <c r="Q1116" s="8"/>
      <c r="R1116" s="8"/>
      <c r="S1116" s="1"/>
      <c r="T1116" s="8"/>
      <c r="U1116" s="8"/>
      <c r="V1116" s="16"/>
      <c r="W1116" s="1"/>
      <c r="X1116" s="1"/>
    </row>
    <row r="1117" spans="1:24" ht="14.4">
      <c r="A1117" s="1"/>
      <c r="B1117" s="8"/>
      <c r="C1117" s="8"/>
      <c r="D1117" s="8"/>
      <c r="E1117" s="8"/>
      <c r="F1117" s="8"/>
      <c r="G1117" s="8"/>
      <c r="H1117" s="8"/>
      <c r="I1117" s="8"/>
      <c r="J1117" s="8"/>
      <c r="K1117" s="8"/>
      <c r="L1117" s="56"/>
      <c r="M1117" s="26"/>
      <c r="N1117" s="26"/>
      <c r="O1117" s="8"/>
      <c r="P1117" s="1"/>
      <c r="Q1117" s="8"/>
      <c r="R1117" s="8"/>
      <c r="S1117" s="1"/>
      <c r="T1117" s="8"/>
      <c r="U1117" s="8"/>
      <c r="V1117" s="16"/>
      <c r="W1117" s="1"/>
      <c r="X1117" s="1"/>
    </row>
    <row r="1118" spans="1:24" ht="14.4">
      <c r="A1118" s="1"/>
      <c r="B1118" s="8"/>
      <c r="C1118" s="8"/>
      <c r="D1118" s="8"/>
      <c r="E1118" s="8"/>
      <c r="F1118" s="8"/>
      <c r="G1118" s="8"/>
      <c r="H1118" s="8"/>
      <c r="I1118" s="8"/>
      <c r="J1118" s="8"/>
      <c r="K1118" s="8"/>
      <c r="L1118" s="56"/>
      <c r="M1118" s="26"/>
      <c r="N1118" s="26"/>
      <c r="O1118" s="8"/>
      <c r="P1118" s="1"/>
      <c r="Q1118" s="8"/>
      <c r="R1118" s="8"/>
      <c r="S1118" s="1"/>
      <c r="T1118" s="8"/>
      <c r="U1118" s="8"/>
      <c r="V1118" s="16"/>
      <c r="W1118" s="1"/>
      <c r="X1118" s="1"/>
    </row>
    <row r="1119" spans="1:24" ht="14.4">
      <c r="A1119" s="1"/>
      <c r="B1119" s="8"/>
      <c r="C1119" s="8"/>
      <c r="D1119" s="8"/>
      <c r="E1119" s="8"/>
      <c r="F1119" s="8"/>
      <c r="G1119" s="8"/>
      <c r="H1119" s="8"/>
      <c r="I1119" s="8"/>
      <c r="J1119" s="8"/>
      <c r="K1119" s="8"/>
      <c r="L1119" s="56"/>
      <c r="M1119" s="26"/>
      <c r="N1119" s="26"/>
      <c r="O1119" s="8"/>
      <c r="P1119" s="1"/>
      <c r="Q1119" s="8"/>
      <c r="R1119" s="8"/>
      <c r="S1119" s="1"/>
      <c r="T1119" s="8"/>
      <c r="U1119" s="8"/>
      <c r="V1119" s="16"/>
      <c r="W1119" s="1"/>
      <c r="X1119" s="1"/>
    </row>
    <row r="1120" spans="1:24" ht="14.4">
      <c r="A1120" s="1"/>
      <c r="B1120" s="8"/>
      <c r="C1120" s="8"/>
      <c r="D1120" s="8"/>
      <c r="E1120" s="8"/>
      <c r="F1120" s="8"/>
      <c r="G1120" s="8"/>
      <c r="H1120" s="8"/>
      <c r="I1120" s="8"/>
      <c r="J1120" s="8"/>
      <c r="K1120" s="8"/>
      <c r="L1120" s="56"/>
      <c r="M1120" s="26"/>
      <c r="N1120" s="26"/>
      <c r="O1120" s="8"/>
      <c r="P1120" s="1"/>
      <c r="Q1120" s="8"/>
      <c r="R1120" s="8"/>
      <c r="S1120" s="1"/>
      <c r="T1120" s="8"/>
      <c r="U1120" s="8"/>
      <c r="V1120" s="16"/>
      <c r="W1120" s="1"/>
      <c r="X1120" s="1"/>
    </row>
    <row r="1121" spans="1:24" ht="14.4">
      <c r="A1121" s="1"/>
      <c r="B1121" s="8"/>
      <c r="C1121" s="8"/>
      <c r="D1121" s="8"/>
      <c r="E1121" s="8"/>
      <c r="F1121" s="8"/>
      <c r="G1121" s="8"/>
      <c r="H1121" s="8"/>
      <c r="I1121" s="8"/>
      <c r="J1121" s="8"/>
      <c r="K1121" s="8"/>
      <c r="L1121" s="56"/>
      <c r="M1121" s="26"/>
      <c r="N1121" s="26"/>
      <c r="O1121" s="8"/>
      <c r="P1121" s="1"/>
      <c r="Q1121" s="8"/>
      <c r="R1121" s="8"/>
      <c r="S1121" s="1"/>
      <c r="T1121" s="8"/>
      <c r="U1121" s="8"/>
      <c r="V1121" s="16"/>
      <c r="W1121" s="1"/>
      <c r="X1121" s="1"/>
    </row>
    <row r="1122" spans="1:24" ht="14.4">
      <c r="A1122" s="1"/>
      <c r="B1122" s="8"/>
      <c r="C1122" s="8"/>
      <c r="D1122" s="8"/>
      <c r="E1122" s="8"/>
      <c r="F1122" s="8"/>
      <c r="G1122" s="8"/>
      <c r="H1122" s="8"/>
      <c r="I1122" s="8"/>
      <c r="J1122" s="8"/>
      <c r="K1122" s="8"/>
      <c r="L1122" s="56"/>
      <c r="M1122" s="26"/>
      <c r="N1122" s="26"/>
      <c r="O1122" s="8"/>
      <c r="P1122" s="1"/>
      <c r="Q1122" s="8"/>
      <c r="R1122" s="8"/>
      <c r="S1122" s="1"/>
      <c r="T1122" s="8"/>
      <c r="U1122" s="8"/>
      <c r="V1122" s="16"/>
      <c r="W1122" s="1"/>
      <c r="X1122" s="1"/>
    </row>
    <row r="1123" spans="1:24" ht="14.4">
      <c r="A1123" s="1"/>
      <c r="B1123" s="8"/>
      <c r="C1123" s="8"/>
      <c r="D1123" s="8"/>
      <c r="E1123" s="8"/>
      <c r="F1123" s="8"/>
      <c r="G1123" s="8"/>
      <c r="H1123" s="8"/>
      <c r="I1123" s="8"/>
      <c r="J1123" s="8"/>
      <c r="K1123" s="8"/>
      <c r="L1123" s="56"/>
      <c r="M1123" s="26"/>
      <c r="N1123" s="26"/>
      <c r="O1123" s="8"/>
      <c r="P1123" s="1"/>
      <c r="Q1123" s="8"/>
      <c r="R1123" s="8"/>
      <c r="S1123" s="1"/>
      <c r="T1123" s="8"/>
      <c r="U1123" s="8"/>
      <c r="V1123" s="16"/>
      <c r="W1123" s="1"/>
      <c r="X1123" s="1"/>
    </row>
    <row r="1124" spans="1:24" ht="14.4">
      <c r="A1124" s="1"/>
      <c r="B1124" s="8"/>
      <c r="C1124" s="8"/>
      <c r="D1124" s="8"/>
      <c r="E1124" s="8"/>
      <c r="F1124" s="8"/>
      <c r="G1124" s="8"/>
      <c r="H1124" s="8"/>
      <c r="I1124" s="8"/>
      <c r="J1124" s="8"/>
      <c r="K1124" s="8"/>
      <c r="L1124" s="56"/>
      <c r="M1124" s="26"/>
      <c r="N1124" s="26"/>
      <c r="O1124" s="8"/>
      <c r="P1124" s="1"/>
      <c r="Q1124" s="8"/>
      <c r="R1124" s="8"/>
      <c r="S1124" s="1"/>
      <c r="T1124" s="8"/>
      <c r="U1124" s="8"/>
      <c r="V1124" s="16"/>
      <c r="W1124" s="1"/>
      <c r="X1124" s="1"/>
    </row>
    <row r="1125" spans="1:24" ht="14.4">
      <c r="A1125" s="1"/>
      <c r="B1125" s="8"/>
      <c r="C1125" s="8"/>
      <c r="D1125" s="8"/>
      <c r="E1125" s="8"/>
      <c r="F1125" s="8"/>
      <c r="G1125" s="8"/>
      <c r="H1125" s="8"/>
      <c r="I1125" s="8"/>
      <c r="J1125" s="8"/>
      <c r="K1125" s="8"/>
      <c r="L1125" s="56"/>
      <c r="M1125" s="26"/>
      <c r="N1125" s="26"/>
      <c r="O1125" s="8"/>
      <c r="P1125" s="1"/>
      <c r="Q1125" s="8"/>
      <c r="R1125" s="8"/>
      <c r="S1125" s="1"/>
      <c r="T1125" s="8"/>
      <c r="U1125" s="8"/>
      <c r="V1125" s="16"/>
      <c r="W1125" s="1"/>
      <c r="X1125" s="1"/>
    </row>
    <row r="1126" spans="1:24" ht="14.4">
      <c r="A1126" s="1"/>
      <c r="B1126" s="8"/>
      <c r="C1126" s="8"/>
      <c r="D1126" s="8"/>
      <c r="E1126" s="8"/>
      <c r="F1126" s="8"/>
      <c r="G1126" s="8"/>
      <c r="H1126" s="8"/>
      <c r="I1126" s="8"/>
      <c r="J1126" s="8"/>
      <c r="K1126" s="8"/>
      <c r="L1126" s="56"/>
      <c r="M1126" s="26"/>
      <c r="N1126" s="26"/>
      <c r="O1126" s="8"/>
      <c r="P1126" s="1"/>
      <c r="Q1126" s="8"/>
      <c r="R1126" s="8"/>
      <c r="S1126" s="1"/>
      <c r="T1126" s="8"/>
      <c r="U1126" s="8"/>
      <c r="V1126" s="16"/>
      <c r="W1126" s="1"/>
      <c r="X1126" s="1"/>
    </row>
    <row r="1127" spans="1:24" ht="14.4">
      <c r="A1127" s="1"/>
      <c r="B1127" s="8"/>
      <c r="C1127" s="8"/>
      <c r="D1127" s="8"/>
      <c r="E1127" s="8"/>
      <c r="F1127" s="8"/>
      <c r="G1127" s="8"/>
      <c r="H1127" s="8"/>
      <c r="I1127" s="8"/>
      <c r="J1127" s="8"/>
      <c r="K1127" s="8"/>
      <c r="L1127" s="56"/>
      <c r="M1127" s="26"/>
      <c r="N1127" s="26"/>
      <c r="O1127" s="8"/>
      <c r="P1127" s="1"/>
      <c r="Q1127" s="8"/>
      <c r="R1127" s="8"/>
      <c r="S1127" s="1"/>
      <c r="T1127" s="8"/>
      <c r="U1127" s="8"/>
      <c r="V1127" s="16"/>
      <c r="W1127" s="1"/>
      <c r="X1127" s="1"/>
    </row>
    <row r="1128" spans="1:24" ht="14.4">
      <c r="A1128" s="1"/>
      <c r="B1128" s="8"/>
      <c r="C1128" s="8"/>
      <c r="D1128" s="8"/>
      <c r="E1128" s="8"/>
      <c r="F1128" s="8"/>
      <c r="G1128" s="8"/>
      <c r="H1128" s="8"/>
      <c r="I1128" s="8"/>
      <c r="J1128" s="8"/>
      <c r="K1128" s="8"/>
      <c r="L1128" s="56"/>
      <c r="M1128" s="26"/>
      <c r="N1128" s="26"/>
      <c r="O1128" s="8"/>
      <c r="P1128" s="1"/>
      <c r="Q1128" s="8"/>
      <c r="R1128" s="8"/>
      <c r="S1128" s="1"/>
      <c r="T1128" s="8"/>
      <c r="U1128" s="8"/>
      <c r="V1128" s="16"/>
      <c r="W1128" s="1"/>
      <c r="X1128" s="1"/>
    </row>
    <row r="1129" spans="1:24" ht="14.4">
      <c r="A1129" s="1"/>
      <c r="B1129" s="8"/>
      <c r="C1129" s="8"/>
      <c r="D1129" s="8"/>
      <c r="E1129" s="8"/>
      <c r="F1129" s="8"/>
      <c r="G1129" s="8"/>
      <c r="H1129" s="8"/>
      <c r="I1129" s="8"/>
      <c r="J1129" s="8"/>
      <c r="K1129" s="8"/>
      <c r="L1129" s="56"/>
      <c r="M1129" s="26"/>
      <c r="N1129" s="26"/>
      <c r="O1129" s="8"/>
      <c r="P1129" s="1"/>
      <c r="Q1129" s="8"/>
      <c r="R1129" s="8"/>
      <c r="S1129" s="1"/>
      <c r="T1129" s="8"/>
      <c r="U1129" s="8"/>
      <c r="V1129" s="16"/>
      <c r="W1129" s="1"/>
      <c r="X1129" s="1"/>
    </row>
    <row r="1130" spans="1:24" ht="14.4">
      <c r="A1130" s="1"/>
      <c r="B1130" s="8"/>
      <c r="C1130" s="8"/>
      <c r="D1130" s="8"/>
      <c r="E1130" s="8"/>
      <c r="F1130" s="8"/>
      <c r="G1130" s="8"/>
      <c r="H1130" s="8"/>
      <c r="I1130" s="8"/>
      <c r="J1130" s="8"/>
      <c r="K1130" s="8"/>
      <c r="L1130" s="56"/>
      <c r="M1130" s="26"/>
      <c r="N1130" s="26"/>
      <c r="O1130" s="8"/>
      <c r="P1130" s="1"/>
      <c r="Q1130" s="8"/>
      <c r="R1130" s="8"/>
      <c r="S1130" s="1"/>
      <c r="T1130" s="8"/>
      <c r="U1130" s="8"/>
      <c r="V1130" s="16"/>
      <c r="W1130" s="1"/>
      <c r="X1130" s="1"/>
    </row>
    <row r="1131" spans="1:24" ht="14.4">
      <c r="A1131" s="1"/>
      <c r="B1131" s="8"/>
      <c r="C1131" s="8"/>
      <c r="D1131" s="8"/>
      <c r="E1131" s="8"/>
      <c r="F1131" s="8"/>
      <c r="G1131" s="8"/>
      <c r="H1131" s="8"/>
      <c r="I1131" s="8"/>
      <c r="J1131" s="8"/>
      <c r="K1131" s="8"/>
      <c r="L1131" s="56"/>
      <c r="M1131" s="26"/>
      <c r="N1131" s="26"/>
      <c r="O1131" s="8"/>
      <c r="P1131" s="1"/>
      <c r="Q1131" s="8"/>
      <c r="R1131" s="8"/>
      <c r="S1131" s="1"/>
      <c r="T1131" s="8"/>
      <c r="U1131" s="8"/>
      <c r="V1131" s="16"/>
      <c r="W1131" s="1"/>
      <c r="X1131" s="1"/>
    </row>
    <row r="1132" spans="1:24" ht="14.4">
      <c r="A1132" s="1"/>
      <c r="B1132" s="8"/>
      <c r="C1132" s="8"/>
      <c r="D1132" s="8"/>
      <c r="E1132" s="8"/>
      <c r="F1132" s="8"/>
      <c r="G1132" s="8"/>
      <c r="H1132" s="8"/>
      <c r="I1132" s="8"/>
      <c r="J1132" s="8"/>
      <c r="K1132" s="8"/>
      <c r="L1132" s="56"/>
      <c r="M1132" s="26"/>
      <c r="N1132" s="26"/>
      <c r="O1132" s="8"/>
      <c r="P1132" s="1"/>
      <c r="Q1132" s="8"/>
      <c r="R1132" s="8"/>
      <c r="S1132" s="1"/>
      <c r="T1132" s="8"/>
      <c r="U1132" s="8"/>
      <c r="V1132" s="16"/>
      <c r="W1132" s="1"/>
      <c r="X1132" s="1"/>
    </row>
    <row r="1133" spans="1:24" ht="14.4">
      <c r="A1133" s="1"/>
      <c r="B1133" s="8"/>
      <c r="C1133" s="8"/>
      <c r="D1133" s="8"/>
      <c r="E1133" s="8"/>
      <c r="F1133" s="8"/>
      <c r="G1133" s="8"/>
      <c r="H1133" s="8"/>
      <c r="I1133" s="8"/>
      <c r="J1133" s="8"/>
      <c r="K1133" s="8"/>
      <c r="L1133" s="56"/>
      <c r="M1133" s="26"/>
      <c r="N1133" s="26"/>
      <c r="O1133" s="8"/>
      <c r="P1133" s="1"/>
      <c r="Q1133" s="8"/>
      <c r="R1133" s="8"/>
      <c r="S1133" s="1"/>
      <c r="T1133" s="8"/>
      <c r="U1133" s="8"/>
      <c r="V1133" s="16"/>
      <c r="W1133" s="1"/>
      <c r="X1133" s="1"/>
    </row>
    <row r="1134" spans="1:24" ht="14.4">
      <c r="A1134" s="1"/>
      <c r="B1134" s="8"/>
      <c r="C1134" s="8"/>
      <c r="D1134" s="8"/>
      <c r="E1134" s="8"/>
      <c r="F1134" s="8"/>
      <c r="G1134" s="8"/>
      <c r="H1134" s="8"/>
      <c r="I1134" s="8"/>
      <c r="J1134" s="8"/>
      <c r="K1134" s="8"/>
      <c r="L1134" s="56"/>
      <c r="M1134" s="26"/>
      <c r="N1134" s="26"/>
      <c r="O1134" s="8"/>
      <c r="P1134" s="1"/>
      <c r="Q1134" s="8"/>
      <c r="R1134" s="8"/>
      <c r="S1134" s="1"/>
      <c r="T1134" s="8"/>
      <c r="U1134" s="8"/>
      <c r="V1134" s="16"/>
      <c r="W1134" s="1"/>
      <c r="X1134" s="1"/>
    </row>
    <row r="1135" spans="1:24" ht="14.4">
      <c r="A1135" s="1"/>
      <c r="B1135" s="8"/>
      <c r="C1135" s="8"/>
      <c r="D1135" s="8"/>
      <c r="E1135" s="8"/>
      <c r="F1135" s="8"/>
      <c r="G1135" s="8"/>
      <c r="H1135" s="8"/>
      <c r="I1135" s="8"/>
      <c r="J1135" s="8"/>
      <c r="K1135" s="8"/>
      <c r="L1135" s="56"/>
      <c r="M1135" s="26"/>
      <c r="N1135" s="26"/>
      <c r="O1135" s="8"/>
      <c r="P1135" s="1"/>
      <c r="Q1135" s="8"/>
      <c r="R1135" s="8"/>
      <c r="S1135" s="1"/>
      <c r="T1135" s="8"/>
      <c r="U1135" s="8"/>
      <c r="V1135" s="16"/>
      <c r="W1135" s="1"/>
      <c r="X1135" s="1"/>
    </row>
    <row r="1136" spans="1:24" ht="14.4">
      <c r="A1136" s="1"/>
      <c r="B1136" s="8"/>
      <c r="C1136" s="8"/>
      <c r="D1136" s="8"/>
      <c r="E1136" s="8"/>
      <c r="F1136" s="8"/>
      <c r="G1136" s="8"/>
      <c r="H1136" s="8"/>
      <c r="I1136" s="8"/>
      <c r="J1136" s="8"/>
      <c r="K1136" s="8"/>
      <c r="L1136" s="56"/>
      <c r="M1136" s="26"/>
      <c r="N1136" s="26"/>
      <c r="O1136" s="8"/>
      <c r="P1136" s="1"/>
      <c r="Q1136" s="8"/>
      <c r="R1136" s="8"/>
      <c r="S1136" s="1"/>
      <c r="T1136" s="8"/>
      <c r="U1136" s="8"/>
      <c r="V1136" s="16"/>
      <c r="W1136" s="1"/>
      <c r="X1136" s="1"/>
    </row>
    <row r="1137" spans="1:24" ht="14.4">
      <c r="A1137" s="1"/>
      <c r="B1137" s="8"/>
      <c r="C1137" s="8"/>
      <c r="D1137" s="8"/>
      <c r="E1137" s="8"/>
      <c r="F1137" s="8"/>
      <c r="G1137" s="8"/>
      <c r="H1137" s="8"/>
      <c r="I1137" s="8"/>
      <c r="J1137" s="8"/>
      <c r="K1137" s="8"/>
      <c r="L1137" s="56"/>
      <c r="M1137" s="26"/>
      <c r="N1137" s="26"/>
      <c r="O1137" s="8"/>
      <c r="P1137" s="1"/>
      <c r="Q1137" s="8"/>
      <c r="R1137" s="8"/>
      <c r="S1137" s="1"/>
      <c r="T1137" s="8"/>
      <c r="U1137" s="8"/>
      <c r="V1137" s="16"/>
      <c r="W1137" s="1"/>
      <c r="X1137" s="1"/>
    </row>
    <row r="1138" spans="1:24" ht="14.4">
      <c r="A1138" s="1"/>
      <c r="B1138" s="8"/>
      <c r="C1138" s="8"/>
      <c r="D1138" s="8"/>
      <c r="E1138" s="8"/>
      <c r="F1138" s="8"/>
      <c r="G1138" s="8"/>
      <c r="H1138" s="8"/>
      <c r="I1138" s="8"/>
      <c r="J1138" s="8"/>
      <c r="K1138" s="8"/>
      <c r="L1138" s="56"/>
      <c r="M1138" s="26"/>
      <c r="N1138" s="26"/>
      <c r="O1138" s="8"/>
      <c r="P1138" s="1"/>
      <c r="Q1138" s="8"/>
      <c r="R1138" s="8"/>
      <c r="S1138" s="1"/>
      <c r="T1138" s="8"/>
      <c r="U1138" s="8"/>
      <c r="V1138" s="16"/>
      <c r="W1138" s="1"/>
      <c r="X1138" s="1"/>
    </row>
    <row r="1139" spans="1:24" ht="14.4">
      <c r="A1139" s="1"/>
      <c r="B1139" s="8"/>
      <c r="C1139" s="8"/>
      <c r="D1139" s="8"/>
      <c r="E1139" s="8"/>
      <c r="F1139" s="8"/>
      <c r="G1139" s="8"/>
      <c r="H1139" s="8"/>
      <c r="I1139" s="8"/>
      <c r="J1139" s="8"/>
      <c r="K1139" s="8"/>
      <c r="L1139" s="56"/>
      <c r="M1139" s="26"/>
      <c r="N1139" s="26"/>
      <c r="O1139" s="8"/>
      <c r="P1139" s="1"/>
      <c r="Q1139" s="8"/>
      <c r="R1139" s="8"/>
      <c r="S1139" s="1"/>
      <c r="T1139" s="8"/>
      <c r="U1139" s="8"/>
      <c r="V1139" s="16"/>
      <c r="W1139" s="1"/>
      <c r="X1139" s="1"/>
    </row>
    <row r="1140" spans="1:24" ht="14.4">
      <c r="A1140" s="1"/>
      <c r="B1140" s="8"/>
      <c r="C1140" s="8"/>
      <c r="D1140" s="8"/>
      <c r="E1140" s="8"/>
      <c r="F1140" s="8"/>
      <c r="G1140" s="8"/>
      <c r="H1140" s="8"/>
      <c r="I1140" s="8"/>
      <c r="J1140" s="8"/>
      <c r="K1140" s="8"/>
      <c r="L1140" s="56"/>
      <c r="M1140" s="26"/>
      <c r="N1140" s="26"/>
      <c r="O1140" s="8"/>
      <c r="P1140" s="1"/>
      <c r="Q1140" s="8"/>
      <c r="R1140" s="8"/>
      <c r="S1140" s="1"/>
      <c r="T1140" s="8"/>
      <c r="U1140" s="8"/>
      <c r="V1140" s="16"/>
      <c r="W1140" s="1"/>
      <c r="X1140" s="1"/>
    </row>
    <row r="1141" spans="1:24" ht="14.4">
      <c r="A1141" s="1"/>
      <c r="B1141" s="8"/>
      <c r="C1141" s="8"/>
      <c r="D1141" s="8"/>
      <c r="E1141" s="8"/>
      <c r="F1141" s="8"/>
      <c r="G1141" s="8"/>
      <c r="H1141" s="8"/>
      <c r="I1141" s="8"/>
      <c r="J1141" s="8"/>
      <c r="K1141" s="8"/>
      <c r="L1141" s="56"/>
      <c r="M1141" s="26"/>
      <c r="N1141" s="26"/>
      <c r="O1141" s="8"/>
      <c r="P1141" s="1"/>
      <c r="Q1141" s="8"/>
      <c r="R1141" s="8"/>
      <c r="S1141" s="1"/>
      <c r="T1141" s="8"/>
      <c r="U1141" s="8"/>
      <c r="V1141" s="16"/>
      <c r="W1141" s="1"/>
      <c r="X1141" s="1"/>
    </row>
    <row r="1142" spans="1:24" ht="14.4">
      <c r="A1142" s="1"/>
      <c r="B1142" s="8"/>
      <c r="C1142" s="8"/>
      <c r="D1142" s="8"/>
      <c r="E1142" s="8"/>
      <c r="F1142" s="8"/>
      <c r="G1142" s="8"/>
      <c r="H1142" s="8"/>
      <c r="I1142" s="8"/>
      <c r="J1142" s="8"/>
      <c r="K1142" s="8"/>
      <c r="L1142" s="56"/>
      <c r="M1142" s="26"/>
      <c r="N1142" s="26"/>
      <c r="O1142" s="8"/>
      <c r="P1142" s="1"/>
      <c r="Q1142" s="8"/>
      <c r="R1142" s="8"/>
      <c r="S1142" s="1"/>
      <c r="T1142" s="8"/>
      <c r="U1142" s="8"/>
      <c r="V1142" s="16"/>
      <c r="W1142" s="1"/>
      <c r="X1142" s="1"/>
    </row>
    <row r="1143" spans="1:24" ht="14.4">
      <c r="A1143" s="1"/>
      <c r="B1143" s="8"/>
      <c r="C1143" s="8"/>
      <c r="D1143" s="8"/>
      <c r="E1143" s="8"/>
      <c r="F1143" s="8"/>
      <c r="G1143" s="8"/>
      <c r="H1143" s="8"/>
      <c r="I1143" s="8"/>
      <c r="J1143" s="8"/>
      <c r="K1143" s="8"/>
      <c r="L1143" s="56"/>
      <c r="M1143" s="26"/>
      <c r="N1143" s="26"/>
      <c r="O1143" s="8"/>
      <c r="P1143" s="1"/>
      <c r="Q1143" s="8"/>
      <c r="R1143" s="8"/>
      <c r="S1143" s="1"/>
      <c r="T1143" s="8"/>
      <c r="U1143" s="8"/>
      <c r="V1143" s="16"/>
      <c r="W1143" s="1"/>
      <c r="X1143" s="1"/>
    </row>
    <row r="1144" spans="1:24" ht="14.4">
      <c r="A1144" s="1"/>
      <c r="B1144" s="8"/>
      <c r="C1144" s="8"/>
      <c r="D1144" s="8"/>
      <c r="E1144" s="8"/>
      <c r="F1144" s="8"/>
      <c r="G1144" s="8"/>
      <c r="H1144" s="8"/>
      <c r="I1144" s="8"/>
      <c r="J1144" s="8"/>
      <c r="K1144" s="8"/>
      <c r="L1144" s="56"/>
      <c r="M1144" s="26"/>
      <c r="N1144" s="26"/>
      <c r="O1144" s="8"/>
      <c r="P1144" s="1"/>
      <c r="Q1144" s="8"/>
      <c r="R1144" s="8"/>
      <c r="S1144" s="1"/>
      <c r="T1144" s="8"/>
      <c r="U1144" s="8"/>
      <c r="V1144" s="16"/>
      <c r="W1144" s="1"/>
      <c r="X1144" s="1"/>
    </row>
    <row r="1145" spans="1:24" ht="14.4">
      <c r="A1145" s="1"/>
      <c r="B1145" s="8"/>
      <c r="C1145" s="8"/>
      <c r="D1145" s="8"/>
      <c r="E1145" s="8"/>
      <c r="F1145" s="8"/>
      <c r="G1145" s="8"/>
      <c r="H1145" s="8"/>
      <c r="I1145" s="8"/>
      <c r="J1145" s="8"/>
      <c r="K1145" s="8"/>
      <c r="L1145" s="56"/>
      <c r="M1145" s="26"/>
      <c r="N1145" s="26"/>
      <c r="O1145" s="8"/>
      <c r="P1145" s="1"/>
      <c r="Q1145" s="8"/>
      <c r="R1145" s="8"/>
      <c r="S1145" s="1"/>
      <c r="T1145" s="8"/>
      <c r="U1145" s="8"/>
      <c r="V1145" s="16"/>
      <c r="W1145" s="1"/>
      <c r="X1145" s="1"/>
    </row>
    <row r="1146" spans="1:24" ht="14.4">
      <c r="A1146" s="1"/>
      <c r="B1146" s="8"/>
      <c r="C1146" s="8"/>
      <c r="D1146" s="8"/>
      <c r="E1146" s="8"/>
      <c r="F1146" s="8"/>
      <c r="G1146" s="8"/>
      <c r="H1146" s="8"/>
      <c r="I1146" s="8"/>
      <c r="J1146" s="8"/>
      <c r="K1146" s="8"/>
      <c r="L1146" s="56"/>
      <c r="M1146" s="26"/>
      <c r="N1146" s="26"/>
      <c r="O1146" s="8"/>
      <c r="P1146" s="1"/>
      <c r="Q1146" s="8"/>
      <c r="R1146" s="8"/>
      <c r="S1146" s="1"/>
      <c r="T1146" s="8"/>
      <c r="U1146" s="8"/>
      <c r="V1146" s="16"/>
      <c r="W1146" s="1"/>
      <c r="X1146" s="1"/>
    </row>
    <row r="1147" spans="1:24" ht="14.4">
      <c r="A1147" s="1"/>
      <c r="B1147" s="8"/>
      <c r="C1147" s="8"/>
      <c r="D1147" s="8"/>
      <c r="E1147" s="8"/>
      <c r="F1147" s="8"/>
      <c r="G1147" s="8"/>
      <c r="H1147" s="8"/>
      <c r="I1147" s="8"/>
      <c r="J1147" s="8"/>
      <c r="K1147" s="8"/>
      <c r="L1147" s="56"/>
      <c r="M1147" s="26"/>
      <c r="N1147" s="26"/>
      <c r="O1147" s="8"/>
      <c r="P1147" s="1"/>
      <c r="Q1147" s="8"/>
      <c r="R1147" s="8"/>
      <c r="S1147" s="1"/>
      <c r="T1147" s="8"/>
      <c r="U1147" s="8"/>
      <c r="V1147" s="16"/>
      <c r="W1147" s="1"/>
      <c r="X1147" s="1"/>
    </row>
    <row r="1148" spans="1:24" ht="14.4">
      <c r="A1148" s="1"/>
      <c r="B1148" s="8"/>
      <c r="C1148" s="8"/>
      <c r="D1148" s="8"/>
      <c r="E1148" s="8"/>
      <c r="F1148" s="8"/>
      <c r="G1148" s="8"/>
      <c r="H1148" s="8"/>
      <c r="I1148" s="8"/>
      <c r="J1148" s="8"/>
      <c r="K1148" s="8"/>
      <c r="L1148" s="56"/>
      <c r="M1148" s="26"/>
      <c r="N1148" s="26"/>
      <c r="O1148" s="8"/>
      <c r="P1148" s="1"/>
      <c r="Q1148" s="8"/>
      <c r="R1148" s="8"/>
      <c r="S1148" s="1"/>
      <c r="T1148" s="8"/>
      <c r="U1148" s="8"/>
      <c r="V1148" s="16"/>
      <c r="W1148" s="1"/>
      <c r="X1148" s="1"/>
    </row>
    <row r="1149" spans="1:24" ht="14.4">
      <c r="A1149" s="1"/>
      <c r="B1149" s="8"/>
      <c r="C1149" s="8"/>
      <c r="D1149" s="8"/>
      <c r="E1149" s="8"/>
      <c r="F1149" s="8"/>
      <c r="G1149" s="8"/>
      <c r="H1149" s="8"/>
      <c r="I1149" s="8"/>
      <c r="J1149" s="8"/>
      <c r="K1149" s="8"/>
      <c r="L1149" s="56"/>
      <c r="M1149" s="26"/>
      <c r="N1149" s="26"/>
      <c r="O1149" s="8"/>
      <c r="P1149" s="1"/>
      <c r="Q1149" s="8"/>
      <c r="R1149" s="8"/>
      <c r="S1149" s="1"/>
      <c r="T1149" s="8"/>
      <c r="U1149" s="8"/>
      <c r="V1149" s="16"/>
      <c r="W1149" s="1"/>
      <c r="X1149" s="1"/>
    </row>
    <row r="1150" spans="1:24" ht="14.4">
      <c r="A1150" s="1"/>
      <c r="B1150" s="8"/>
      <c r="C1150" s="8"/>
      <c r="D1150" s="8"/>
      <c r="E1150" s="8"/>
      <c r="F1150" s="8"/>
      <c r="G1150" s="8"/>
      <c r="H1150" s="8"/>
      <c r="I1150" s="8"/>
      <c r="J1150" s="8"/>
      <c r="K1150" s="8"/>
      <c r="L1150" s="56"/>
      <c r="M1150" s="26"/>
      <c r="N1150" s="26"/>
      <c r="O1150" s="8"/>
      <c r="P1150" s="1"/>
      <c r="Q1150" s="8"/>
      <c r="R1150" s="8"/>
      <c r="S1150" s="1"/>
      <c r="T1150" s="8"/>
      <c r="U1150" s="8"/>
      <c r="V1150" s="16"/>
      <c r="W1150" s="1"/>
      <c r="X1150" s="1"/>
    </row>
    <row r="1151" spans="1:24" ht="14.4">
      <c r="A1151" s="1"/>
      <c r="B1151" s="8"/>
      <c r="C1151" s="8"/>
      <c r="D1151" s="8"/>
      <c r="E1151" s="8"/>
      <c r="F1151" s="8"/>
      <c r="G1151" s="8"/>
      <c r="H1151" s="8"/>
      <c r="I1151" s="8"/>
      <c r="J1151" s="8"/>
      <c r="K1151" s="8"/>
      <c r="L1151" s="56"/>
      <c r="M1151" s="26"/>
      <c r="N1151" s="26"/>
      <c r="O1151" s="8"/>
      <c r="P1151" s="1"/>
      <c r="Q1151" s="8"/>
      <c r="R1151" s="8"/>
      <c r="S1151" s="1"/>
      <c r="T1151" s="8"/>
      <c r="U1151" s="8"/>
      <c r="V1151" s="16"/>
      <c r="W1151" s="1"/>
      <c r="X1151" s="1"/>
    </row>
    <row r="1152" spans="1:24" ht="14.4">
      <c r="A1152" s="1"/>
      <c r="B1152" s="8"/>
      <c r="C1152" s="8"/>
      <c r="D1152" s="8"/>
      <c r="E1152" s="8"/>
      <c r="F1152" s="8"/>
      <c r="G1152" s="8"/>
      <c r="H1152" s="8"/>
      <c r="I1152" s="8"/>
      <c r="J1152" s="8"/>
      <c r="K1152" s="8"/>
      <c r="L1152" s="56"/>
      <c r="M1152" s="26"/>
      <c r="N1152" s="26"/>
      <c r="O1152" s="8"/>
      <c r="P1152" s="1"/>
      <c r="Q1152" s="8"/>
      <c r="R1152" s="8"/>
      <c r="S1152" s="1"/>
      <c r="T1152" s="8"/>
      <c r="U1152" s="8"/>
      <c r="V1152" s="16"/>
      <c r="W1152" s="1"/>
      <c r="X1152" s="1"/>
    </row>
    <row r="1153" spans="1:24" ht="14.4">
      <c r="A1153" s="1"/>
      <c r="B1153" s="8"/>
      <c r="C1153" s="8"/>
      <c r="D1153" s="8"/>
      <c r="E1153" s="8"/>
      <c r="F1153" s="8"/>
      <c r="G1153" s="8"/>
      <c r="H1153" s="8"/>
      <c r="I1153" s="8"/>
      <c r="J1153" s="8"/>
      <c r="K1153" s="8"/>
      <c r="L1153" s="56"/>
      <c r="M1153" s="26"/>
      <c r="N1153" s="26"/>
      <c r="O1153" s="8"/>
      <c r="P1153" s="1"/>
      <c r="Q1153" s="8"/>
      <c r="R1153" s="8"/>
      <c r="S1153" s="1"/>
      <c r="T1153" s="8"/>
      <c r="U1153" s="8"/>
      <c r="V1153" s="16"/>
      <c r="W1153" s="1"/>
      <c r="X1153" s="1"/>
    </row>
    <row r="1154" spans="1:24" ht="14.4">
      <c r="A1154" s="1"/>
      <c r="B1154" s="8"/>
      <c r="C1154" s="8"/>
      <c r="D1154" s="8"/>
      <c r="E1154" s="8"/>
      <c r="F1154" s="8"/>
      <c r="G1154" s="8"/>
      <c r="H1154" s="8"/>
      <c r="I1154" s="8"/>
      <c r="J1154" s="8"/>
      <c r="K1154" s="8"/>
      <c r="L1154" s="56"/>
      <c r="M1154" s="26"/>
      <c r="N1154" s="26"/>
      <c r="O1154" s="8"/>
      <c r="P1154" s="1"/>
      <c r="Q1154" s="8"/>
      <c r="R1154" s="8"/>
      <c r="S1154" s="1"/>
      <c r="T1154" s="8"/>
      <c r="U1154" s="8"/>
      <c r="V1154" s="16"/>
      <c r="W1154" s="1"/>
      <c r="X1154" s="1"/>
    </row>
    <row r="1155" spans="1:24" ht="14.4">
      <c r="A1155" s="1"/>
      <c r="B1155" s="8"/>
      <c r="C1155" s="8"/>
      <c r="D1155" s="8"/>
      <c r="E1155" s="8"/>
      <c r="F1155" s="8"/>
      <c r="G1155" s="8"/>
      <c r="H1155" s="8"/>
      <c r="I1155" s="8"/>
      <c r="J1155" s="8"/>
      <c r="K1155" s="8"/>
      <c r="L1155" s="56"/>
      <c r="M1155" s="26"/>
      <c r="N1155" s="26"/>
      <c r="O1155" s="8"/>
      <c r="P1155" s="1"/>
      <c r="Q1155" s="8"/>
      <c r="R1155" s="8"/>
      <c r="S1155" s="1"/>
      <c r="T1155" s="8"/>
      <c r="U1155" s="8"/>
      <c r="V1155" s="16"/>
      <c r="W1155" s="1"/>
      <c r="X1155" s="1"/>
    </row>
    <row r="1156" spans="1:24" ht="14.4">
      <c r="A1156" s="1"/>
      <c r="B1156" s="8"/>
      <c r="C1156" s="8"/>
      <c r="D1156" s="8"/>
      <c r="E1156" s="8"/>
      <c r="F1156" s="8"/>
      <c r="G1156" s="8"/>
      <c r="H1156" s="8"/>
      <c r="I1156" s="8"/>
      <c r="J1156" s="8"/>
      <c r="K1156" s="8"/>
      <c r="L1156" s="56"/>
      <c r="M1156" s="26"/>
      <c r="N1156" s="26"/>
      <c r="O1156" s="8"/>
      <c r="P1156" s="1"/>
      <c r="Q1156" s="8"/>
      <c r="R1156" s="8"/>
      <c r="S1156" s="1"/>
      <c r="T1156" s="8"/>
      <c r="U1156" s="8"/>
      <c r="V1156" s="16"/>
      <c r="W1156" s="1"/>
      <c r="X1156" s="1"/>
    </row>
    <row r="1157" spans="1:24" ht="14.4">
      <c r="A1157" s="1"/>
      <c r="B1157" s="8"/>
      <c r="C1157" s="8"/>
      <c r="D1157" s="8"/>
      <c r="E1157" s="8"/>
      <c r="F1157" s="8"/>
      <c r="G1157" s="8"/>
      <c r="H1157" s="8"/>
      <c r="I1157" s="8"/>
      <c r="J1157" s="8"/>
      <c r="K1157" s="8"/>
      <c r="L1157" s="56"/>
      <c r="M1157" s="26"/>
      <c r="N1157" s="26"/>
      <c r="O1157" s="8"/>
      <c r="P1157" s="1"/>
      <c r="Q1157" s="8"/>
      <c r="R1157" s="8"/>
      <c r="S1157" s="1"/>
      <c r="T1157" s="8"/>
      <c r="U1157" s="8"/>
      <c r="V1157" s="16"/>
      <c r="W1157" s="1"/>
      <c r="X1157" s="1"/>
    </row>
    <row r="1158" spans="1:24" ht="14.4">
      <c r="A1158" s="1"/>
      <c r="B1158" s="8"/>
      <c r="C1158" s="8"/>
      <c r="D1158" s="8"/>
      <c r="E1158" s="8"/>
      <c r="F1158" s="8"/>
      <c r="G1158" s="8"/>
      <c r="H1158" s="8"/>
      <c r="I1158" s="8"/>
      <c r="J1158" s="8"/>
      <c r="K1158" s="8"/>
      <c r="L1158" s="56"/>
      <c r="M1158" s="26"/>
      <c r="N1158" s="26"/>
      <c r="O1158" s="8"/>
      <c r="P1158" s="1"/>
      <c r="Q1158" s="8"/>
      <c r="R1158" s="8"/>
      <c r="S1158" s="1"/>
      <c r="T1158" s="8"/>
      <c r="U1158" s="8"/>
      <c r="V1158" s="16"/>
      <c r="W1158" s="1"/>
      <c r="X1158" s="1"/>
    </row>
    <row r="1159" spans="1:24" ht="14.4">
      <c r="A1159" s="1"/>
      <c r="B1159" s="8"/>
      <c r="C1159" s="8"/>
      <c r="D1159" s="8"/>
      <c r="E1159" s="8"/>
      <c r="F1159" s="8"/>
      <c r="G1159" s="8"/>
      <c r="H1159" s="8"/>
      <c r="I1159" s="8"/>
      <c r="J1159" s="8"/>
      <c r="K1159" s="8"/>
      <c r="L1159" s="56"/>
      <c r="M1159" s="26"/>
      <c r="N1159" s="26"/>
      <c r="O1159" s="8"/>
      <c r="P1159" s="1"/>
      <c r="Q1159" s="8"/>
      <c r="R1159" s="8"/>
      <c r="S1159" s="1"/>
      <c r="T1159" s="8"/>
      <c r="U1159" s="8"/>
      <c r="V1159" s="16"/>
      <c r="W1159" s="1"/>
      <c r="X1159" s="1"/>
    </row>
    <row r="1160" spans="1:24" ht="14.4">
      <c r="A1160" s="1"/>
      <c r="B1160" s="8"/>
      <c r="C1160" s="8"/>
      <c r="D1160" s="8"/>
      <c r="E1160" s="8"/>
      <c r="F1160" s="8"/>
      <c r="G1160" s="8"/>
      <c r="H1160" s="8"/>
      <c r="I1160" s="8"/>
      <c r="J1160" s="8"/>
      <c r="K1160" s="8"/>
      <c r="L1160" s="56"/>
      <c r="M1160" s="26"/>
      <c r="N1160" s="26"/>
      <c r="O1160" s="8"/>
      <c r="P1160" s="1"/>
      <c r="Q1160" s="8"/>
      <c r="R1160" s="8"/>
      <c r="S1160" s="1"/>
      <c r="T1160" s="8"/>
      <c r="U1160" s="8"/>
      <c r="V1160" s="16"/>
      <c r="W1160" s="1"/>
      <c r="X1160" s="1"/>
    </row>
    <row r="1161" spans="1:24" ht="14.4">
      <c r="A1161" s="1"/>
      <c r="B1161" s="8"/>
      <c r="C1161" s="8"/>
      <c r="D1161" s="8"/>
      <c r="E1161" s="8"/>
      <c r="F1161" s="8"/>
      <c r="G1161" s="8"/>
      <c r="H1161" s="8"/>
      <c r="I1161" s="8"/>
      <c r="J1161" s="8"/>
      <c r="K1161" s="8"/>
      <c r="L1161" s="56"/>
      <c r="M1161" s="26"/>
      <c r="N1161" s="26"/>
      <c r="O1161" s="8"/>
      <c r="P1161" s="1"/>
      <c r="Q1161" s="8"/>
      <c r="R1161" s="8"/>
      <c r="S1161" s="1"/>
      <c r="T1161" s="8"/>
      <c r="U1161" s="8"/>
      <c r="V1161" s="16"/>
      <c r="W1161" s="1"/>
      <c r="X1161" s="1"/>
    </row>
    <row r="1162" spans="1:24" ht="14.4">
      <c r="A1162" s="1"/>
      <c r="B1162" s="8"/>
      <c r="C1162" s="8"/>
      <c r="D1162" s="8"/>
      <c r="E1162" s="8"/>
      <c r="F1162" s="8"/>
      <c r="G1162" s="8"/>
      <c r="H1162" s="8"/>
      <c r="I1162" s="8"/>
      <c r="J1162" s="8"/>
      <c r="K1162" s="8"/>
      <c r="L1162" s="56"/>
      <c r="M1162" s="26"/>
      <c r="N1162" s="26"/>
      <c r="O1162" s="8"/>
      <c r="P1162" s="1"/>
      <c r="Q1162" s="8"/>
      <c r="R1162" s="8"/>
      <c r="S1162" s="1"/>
      <c r="T1162" s="8"/>
      <c r="U1162" s="8"/>
      <c r="V1162" s="16"/>
      <c r="W1162" s="1"/>
      <c r="X1162" s="1"/>
    </row>
    <row r="1163" spans="1:24" ht="14.4">
      <c r="A1163" s="1"/>
      <c r="B1163" s="8"/>
      <c r="C1163" s="8"/>
      <c r="D1163" s="8"/>
      <c r="E1163" s="8"/>
      <c r="F1163" s="8"/>
      <c r="G1163" s="8"/>
      <c r="H1163" s="8"/>
      <c r="I1163" s="8"/>
      <c r="J1163" s="8"/>
      <c r="K1163" s="8"/>
      <c r="L1163" s="56"/>
      <c r="M1163" s="26"/>
      <c r="N1163" s="26"/>
      <c r="O1163" s="8"/>
      <c r="P1163" s="1"/>
      <c r="Q1163" s="8"/>
      <c r="R1163" s="8"/>
      <c r="S1163" s="1"/>
      <c r="T1163" s="8"/>
      <c r="U1163" s="8"/>
      <c r="V1163" s="16"/>
      <c r="W1163" s="1"/>
      <c r="X1163" s="1"/>
    </row>
    <row r="1164" spans="1:24" ht="14.4">
      <c r="A1164" s="1"/>
      <c r="B1164" s="8"/>
      <c r="C1164" s="8"/>
      <c r="D1164" s="8"/>
      <c r="E1164" s="8"/>
      <c r="F1164" s="8"/>
      <c r="G1164" s="8"/>
      <c r="H1164" s="8"/>
      <c r="I1164" s="8"/>
      <c r="J1164" s="8"/>
      <c r="K1164" s="8"/>
      <c r="L1164" s="56"/>
      <c r="M1164" s="26"/>
      <c r="N1164" s="26"/>
      <c r="O1164" s="8"/>
      <c r="P1164" s="1"/>
      <c r="Q1164" s="8"/>
      <c r="R1164" s="8"/>
      <c r="S1164" s="1"/>
      <c r="T1164" s="8"/>
      <c r="U1164" s="8"/>
      <c r="V1164" s="16"/>
      <c r="W1164" s="1"/>
      <c r="X1164" s="1"/>
    </row>
    <row r="1165" spans="1:24" ht="14.4">
      <c r="A1165" s="1"/>
      <c r="B1165" s="8"/>
      <c r="C1165" s="8"/>
      <c r="D1165" s="8"/>
      <c r="E1165" s="8"/>
      <c r="F1165" s="8"/>
      <c r="G1165" s="8"/>
      <c r="H1165" s="8"/>
      <c r="I1165" s="8"/>
      <c r="J1165" s="8"/>
      <c r="K1165" s="8"/>
      <c r="L1165" s="56"/>
      <c r="M1165" s="26"/>
      <c r="N1165" s="26"/>
      <c r="O1165" s="8"/>
      <c r="P1165" s="1"/>
      <c r="Q1165" s="8"/>
      <c r="R1165" s="8"/>
      <c r="S1165" s="1"/>
      <c r="T1165" s="8"/>
      <c r="U1165" s="8"/>
      <c r="V1165" s="16"/>
      <c r="W1165" s="1"/>
      <c r="X1165" s="1"/>
    </row>
    <row r="1166" spans="1:24" ht="14.4">
      <c r="A1166" s="1"/>
      <c r="B1166" s="8"/>
      <c r="C1166" s="8"/>
      <c r="D1166" s="8"/>
      <c r="E1166" s="8"/>
      <c r="F1166" s="8"/>
      <c r="G1166" s="8"/>
      <c r="H1166" s="8"/>
      <c r="I1166" s="8"/>
      <c r="J1166" s="8"/>
      <c r="K1166" s="8"/>
      <c r="L1166" s="56"/>
      <c r="M1166" s="26"/>
      <c r="N1166" s="26"/>
      <c r="O1166" s="8"/>
      <c r="P1166" s="1"/>
      <c r="Q1166" s="8"/>
      <c r="R1166" s="8"/>
      <c r="S1166" s="1"/>
      <c r="T1166" s="8"/>
      <c r="U1166" s="8"/>
      <c r="V1166" s="16"/>
      <c r="W1166" s="1"/>
      <c r="X1166" s="1"/>
    </row>
    <row r="1167" spans="1:24" ht="14.4">
      <c r="A1167" s="1"/>
      <c r="B1167" s="8"/>
      <c r="C1167" s="8"/>
      <c r="D1167" s="8"/>
      <c r="E1167" s="8"/>
      <c r="F1167" s="8"/>
      <c r="G1167" s="8"/>
      <c r="H1167" s="8"/>
      <c r="I1167" s="8"/>
      <c r="J1167" s="8"/>
      <c r="K1167" s="8"/>
      <c r="L1167" s="56"/>
      <c r="M1167" s="26"/>
      <c r="N1167" s="26"/>
      <c r="O1167" s="8"/>
      <c r="P1167" s="1"/>
      <c r="Q1167" s="8"/>
      <c r="R1167" s="8"/>
      <c r="S1167" s="1"/>
      <c r="T1167" s="8"/>
      <c r="U1167" s="8"/>
      <c r="V1167" s="16"/>
      <c r="W1167" s="1"/>
      <c r="X1167" s="1"/>
    </row>
    <row r="1168" spans="1:24" ht="14.4">
      <c r="A1168" s="1"/>
      <c r="B1168" s="8"/>
      <c r="C1168" s="8"/>
      <c r="D1168" s="8"/>
      <c r="E1168" s="8"/>
      <c r="F1168" s="8"/>
      <c r="G1168" s="8"/>
      <c r="H1168" s="8"/>
      <c r="I1168" s="8"/>
      <c r="J1168" s="8"/>
      <c r="K1168" s="8"/>
      <c r="L1168" s="56"/>
      <c r="M1168" s="26"/>
      <c r="N1168" s="26"/>
      <c r="O1168" s="8"/>
      <c r="P1168" s="1"/>
      <c r="Q1168" s="8"/>
      <c r="R1168" s="8"/>
      <c r="S1168" s="1"/>
      <c r="T1168" s="8"/>
      <c r="U1168" s="8"/>
      <c r="V1168" s="16"/>
      <c r="W1168" s="1"/>
      <c r="X1168" s="1"/>
    </row>
    <row r="1169" spans="1:24" ht="14.4">
      <c r="A1169" s="1"/>
      <c r="B1169" s="8"/>
      <c r="C1169" s="8"/>
      <c r="D1169" s="8"/>
      <c r="E1169" s="8"/>
      <c r="F1169" s="8"/>
      <c r="G1169" s="8"/>
      <c r="H1169" s="8"/>
      <c r="I1169" s="8"/>
      <c r="J1169" s="8"/>
      <c r="K1169" s="8"/>
      <c r="L1169" s="56"/>
      <c r="M1169" s="26"/>
      <c r="N1169" s="26"/>
      <c r="O1169" s="8"/>
      <c r="P1169" s="1"/>
      <c r="Q1169" s="8"/>
      <c r="R1169" s="8"/>
      <c r="S1169" s="1"/>
      <c r="T1169" s="8"/>
      <c r="U1169" s="8"/>
      <c r="V1169" s="16"/>
      <c r="W1169" s="1"/>
      <c r="X1169" s="1"/>
    </row>
    <row r="1170" spans="1:24" ht="14.4">
      <c r="A1170" s="1"/>
      <c r="B1170" s="8"/>
      <c r="C1170" s="8"/>
      <c r="D1170" s="8"/>
      <c r="E1170" s="8"/>
      <c r="F1170" s="8"/>
      <c r="G1170" s="8"/>
      <c r="H1170" s="8"/>
      <c r="I1170" s="8"/>
      <c r="J1170" s="8"/>
      <c r="K1170" s="8"/>
      <c r="L1170" s="56"/>
      <c r="M1170" s="26"/>
      <c r="N1170" s="26"/>
      <c r="O1170" s="8"/>
      <c r="P1170" s="1"/>
      <c r="Q1170" s="8"/>
      <c r="R1170" s="8"/>
      <c r="S1170" s="1"/>
      <c r="T1170" s="8"/>
      <c r="U1170" s="8"/>
      <c r="V1170" s="16"/>
      <c r="W1170" s="1"/>
      <c r="X1170" s="1"/>
    </row>
    <row r="1171" spans="1:24" ht="14.4">
      <c r="A1171" s="1"/>
      <c r="B1171" s="8"/>
      <c r="C1171" s="8"/>
      <c r="D1171" s="8"/>
      <c r="E1171" s="8"/>
      <c r="F1171" s="8"/>
      <c r="G1171" s="8"/>
      <c r="H1171" s="8"/>
      <c r="I1171" s="8"/>
      <c r="J1171" s="8"/>
      <c r="K1171" s="8"/>
      <c r="L1171" s="56"/>
      <c r="M1171" s="26"/>
      <c r="N1171" s="26"/>
      <c r="O1171" s="8"/>
      <c r="P1171" s="1"/>
      <c r="Q1171" s="8"/>
      <c r="R1171" s="8"/>
      <c r="S1171" s="1"/>
      <c r="T1171" s="8"/>
      <c r="U1171" s="8"/>
      <c r="V1171" s="16"/>
      <c r="W1171" s="1"/>
      <c r="X1171" s="1"/>
    </row>
    <row r="1172" spans="1:24" ht="14.4">
      <c r="A1172" s="1"/>
      <c r="B1172" s="8"/>
      <c r="C1172" s="8"/>
      <c r="D1172" s="8"/>
      <c r="E1172" s="8"/>
      <c r="F1172" s="8"/>
      <c r="G1172" s="8"/>
      <c r="H1172" s="8"/>
      <c r="I1172" s="8"/>
      <c r="J1172" s="8"/>
      <c r="K1172" s="8"/>
      <c r="L1172" s="56"/>
      <c r="M1172" s="26"/>
      <c r="N1172" s="26"/>
      <c r="O1172" s="8"/>
      <c r="P1172" s="1"/>
      <c r="Q1172" s="8"/>
      <c r="R1172" s="8"/>
      <c r="S1172" s="1"/>
      <c r="T1172" s="8"/>
      <c r="U1172" s="8"/>
      <c r="V1172" s="16"/>
      <c r="W1172" s="1"/>
      <c r="X1172" s="1"/>
    </row>
    <row r="1173" spans="1:24" ht="14.4">
      <c r="A1173" s="1"/>
      <c r="B1173" s="8"/>
      <c r="C1173" s="8"/>
      <c r="D1173" s="8"/>
      <c r="E1173" s="8"/>
      <c r="F1173" s="8"/>
      <c r="G1173" s="8"/>
      <c r="H1173" s="8"/>
      <c r="I1173" s="8"/>
      <c r="J1173" s="8"/>
      <c r="K1173" s="8"/>
      <c r="L1173" s="56"/>
      <c r="M1173" s="26"/>
      <c r="N1173" s="26"/>
      <c r="O1173" s="8"/>
      <c r="P1173" s="1"/>
      <c r="Q1173" s="8"/>
      <c r="R1173" s="8"/>
      <c r="S1173" s="1"/>
      <c r="T1173" s="8"/>
      <c r="U1173" s="8"/>
      <c r="V1173" s="16"/>
      <c r="W1173" s="1"/>
      <c r="X1173" s="1"/>
    </row>
    <row r="1174" spans="1:24" ht="14.4">
      <c r="A1174" s="1"/>
      <c r="B1174" s="8"/>
      <c r="C1174" s="8"/>
      <c r="D1174" s="8"/>
      <c r="E1174" s="8"/>
      <c r="F1174" s="8"/>
      <c r="G1174" s="8"/>
      <c r="H1174" s="8"/>
      <c r="I1174" s="8"/>
      <c r="J1174" s="8"/>
      <c r="K1174" s="8"/>
      <c r="L1174" s="56"/>
      <c r="M1174" s="26"/>
      <c r="N1174" s="26"/>
      <c r="O1174" s="8"/>
      <c r="P1174" s="1"/>
      <c r="Q1174" s="8"/>
      <c r="R1174" s="8"/>
      <c r="S1174" s="1"/>
      <c r="T1174" s="8"/>
      <c r="U1174" s="8"/>
      <c r="V1174" s="16"/>
      <c r="W1174" s="1"/>
      <c r="X1174" s="1"/>
    </row>
    <row r="1175" spans="1:24" ht="14.4">
      <c r="A1175" s="1"/>
      <c r="B1175" s="8"/>
      <c r="C1175" s="8"/>
      <c r="D1175" s="8"/>
      <c r="E1175" s="8"/>
      <c r="F1175" s="8"/>
      <c r="G1175" s="8"/>
      <c r="H1175" s="8"/>
      <c r="I1175" s="8"/>
      <c r="J1175" s="8"/>
      <c r="K1175" s="8"/>
      <c r="L1175" s="56"/>
      <c r="M1175" s="26"/>
      <c r="N1175" s="26"/>
      <c r="O1175" s="8"/>
      <c r="P1175" s="1"/>
      <c r="Q1175" s="8"/>
      <c r="R1175" s="8"/>
      <c r="S1175" s="1"/>
      <c r="T1175" s="8"/>
      <c r="U1175" s="8"/>
      <c r="V1175" s="16"/>
      <c r="W1175" s="1"/>
      <c r="X1175" s="1"/>
    </row>
    <row r="1176" spans="1:24" ht="14.4">
      <c r="A1176" s="1"/>
      <c r="B1176" s="8"/>
      <c r="C1176" s="8"/>
      <c r="D1176" s="8"/>
      <c r="E1176" s="8"/>
      <c r="F1176" s="8"/>
      <c r="G1176" s="8"/>
      <c r="H1176" s="8"/>
      <c r="I1176" s="8"/>
      <c r="J1176" s="8"/>
      <c r="K1176" s="8"/>
      <c r="L1176" s="56"/>
      <c r="M1176" s="26"/>
      <c r="N1176" s="26"/>
      <c r="O1176" s="8"/>
      <c r="P1176" s="1"/>
      <c r="Q1176" s="8"/>
      <c r="R1176" s="8"/>
      <c r="S1176" s="1"/>
      <c r="T1176" s="8"/>
      <c r="U1176" s="8"/>
      <c r="V1176" s="16"/>
      <c r="W1176" s="1"/>
      <c r="X1176" s="1"/>
    </row>
    <row r="1177" spans="1:24" ht="14.4">
      <c r="A1177" s="1"/>
      <c r="B1177" s="8"/>
      <c r="C1177" s="8"/>
      <c r="D1177" s="8"/>
      <c r="E1177" s="8"/>
      <c r="F1177" s="8"/>
      <c r="G1177" s="8"/>
      <c r="H1177" s="8"/>
      <c r="I1177" s="8"/>
      <c r="J1177" s="8"/>
      <c r="K1177" s="8"/>
      <c r="L1177" s="56"/>
      <c r="M1177" s="26"/>
      <c r="N1177" s="26"/>
      <c r="O1177" s="8"/>
      <c r="P1177" s="1"/>
      <c r="Q1177" s="8"/>
      <c r="R1177" s="8"/>
      <c r="S1177" s="1"/>
      <c r="T1177" s="8"/>
      <c r="U1177" s="8"/>
      <c r="V1177" s="16"/>
      <c r="W1177" s="1"/>
      <c r="X1177" s="1"/>
    </row>
    <row r="1178" spans="1:24" ht="14.4">
      <c r="A1178" s="1"/>
      <c r="B1178" s="8"/>
      <c r="C1178" s="8"/>
      <c r="D1178" s="8"/>
      <c r="E1178" s="8"/>
      <c r="F1178" s="8"/>
      <c r="G1178" s="8"/>
      <c r="H1178" s="8"/>
      <c r="I1178" s="8"/>
      <c r="J1178" s="8"/>
      <c r="K1178" s="8"/>
      <c r="L1178" s="56"/>
      <c r="M1178" s="26"/>
      <c r="N1178" s="26"/>
      <c r="O1178" s="8"/>
      <c r="P1178" s="1"/>
      <c r="Q1178" s="8"/>
      <c r="R1178" s="8"/>
      <c r="S1178" s="1"/>
      <c r="T1178" s="8"/>
      <c r="U1178" s="8"/>
      <c r="V1178" s="16"/>
      <c r="W1178" s="1"/>
      <c r="X1178" s="1"/>
    </row>
    <row r="1179" spans="1:24" ht="14.4">
      <c r="A1179" s="1"/>
      <c r="B1179" s="8"/>
      <c r="C1179" s="8"/>
      <c r="D1179" s="8"/>
      <c r="E1179" s="8"/>
      <c r="F1179" s="8"/>
      <c r="G1179" s="8"/>
      <c r="H1179" s="8"/>
      <c r="I1179" s="8"/>
      <c r="J1179" s="8"/>
      <c r="K1179" s="8"/>
      <c r="L1179" s="56"/>
      <c r="M1179" s="26"/>
      <c r="N1179" s="26"/>
      <c r="O1179" s="8"/>
      <c r="P1179" s="1"/>
      <c r="Q1179" s="8"/>
      <c r="R1179" s="8"/>
      <c r="S1179" s="1"/>
      <c r="T1179" s="8"/>
      <c r="U1179" s="8"/>
      <c r="V1179" s="16"/>
      <c r="W1179" s="1"/>
      <c r="X1179" s="1"/>
    </row>
    <row r="1180" spans="1:24" ht="14.4">
      <c r="A1180" s="1"/>
      <c r="B1180" s="8"/>
      <c r="C1180" s="8"/>
      <c r="D1180" s="8"/>
      <c r="E1180" s="8"/>
      <c r="F1180" s="8"/>
      <c r="G1180" s="8"/>
      <c r="H1180" s="8"/>
      <c r="I1180" s="8"/>
      <c r="J1180" s="8"/>
      <c r="K1180" s="8"/>
      <c r="L1180" s="56"/>
      <c r="M1180" s="26"/>
      <c r="N1180" s="26"/>
      <c r="O1180" s="8"/>
      <c r="P1180" s="1"/>
      <c r="Q1180" s="8"/>
      <c r="R1180" s="8"/>
      <c r="S1180" s="1"/>
      <c r="T1180" s="8"/>
      <c r="U1180" s="8"/>
      <c r="V1180" s="16"/>
      <c r="W1180" s="1"/>
      <c r="X1180" s="1"/>
    </row>
    <row r="1181" spans="1:24" ht="14.4">
      <c r="A1181" s="1"/>
      <c r="B1181" s="8"/>
      <c r="C1181" s="8"/>
      <c r="D1181" s="8"/>
      <c r="E1181" s="8"/>
      <c r="F1181" s="8"/>
      <c r="G1181" s="8"/>
      <c r="H1181" s="8"/>
      <c r="I1181" s="8"/>
      <c r="J1181" s="8"/>
      <c r="K1181" s="8"/>
      <c r="L1181" s="56"/>
      <c r="M1181" s="26"/>
      <c r="N1181" s="26"/>
      <c r="O1181" s="8"/>
      <c r="P1181" s="1"/>
      <c r="Q1181" s="8"/>
      <c r="R1181" s="8"/>
      <c r="S1181" s="1"/>
      <c r="T1181" s="8"/>
      <c r="U1181" s="8"/>
      <c r="V1181" s="16"/>
      <c r="W1181" s="1"/>
      <c r="X1181" s="1"/>
    </row>
    <row r="1182" spans="1:24" ht="14.4">
      <c r="A1182" s="1"/>
      <c r="B1182" s="8"/>
      <c r="C1182" s="8"/>
      <c r="D1182" s="8"/>
      <c r="E1182" s="8"/>
      <c r="F1182" s="8"/>
      <c r="G1182" s="8"/>
      <c r="H1182" s="8"/>
      <c r="I1182" s="8"/>
      <c r="J1182" s="8"/>
      <c r="K1182" s="8"/>
      <c r="L1182" s="56"/>
      <c r="M1182" s="26"/>
      <c r="N1182" s="26"/>
      <c r="O1182" s="8"/>
      <c r="P1182" s="1"/>
      <c r="Q1182" s="8"/>
      <c r="R1182" s="8"/>
      <c r="S1182" s="1"/>
      <c r="T1182" s="8"/>
      <c r="U1182" s="8"/>
      <c r="V1182" s="16"/>
      <c r="W1182" s="1"/>
      <c r="X1182" s="1"/>
    </row>
    <row r="1183" spans="1:24" ht="14.4">
      <c r="A1183" s="1"/>
      <c r="B1183" s="8"/>
      <c r="C1183" s="8"/>
      <c r="D1183" s="8"/>
      <c r="E1183" s="8"/>
      <c r="F1183" s="8"/>
      <c r="G1183" s="8"/>
      <c r="H1183" s="8"/>
      <c r="I1183" s="8"/>
      <c r="J1183" s="8"/>
      <c r="K1183" s="8"/>
      <c r="L1183" s="56"/>
      <c r="M1183" s="26"/>
      <c r="N1183" s="26"/>
      <c r="O1183" s="8"/>
      <c r="P1183" s="1"/>
      <c r="Q1183" s="8"/>
      <c r="R1183" s="8"/>
      <c r="S1183" s="1"/>
      <c r="T1183" s="8"/>
      <c r="U1183" s="8"/>
      <c r="V1183" s="16"/>
      <c r="W1183" s="1"/>
      <c r="X1183" s="1"/>
    </row>
    <row r="1184" spans="1:24" ht="14.4">
      <c r="A1184" s="1"/>
      <c r="B1184" s="8"/>
      <c r="C1184" s="8"/>
      <c r="D1184" s="8"/>
      <c r="E1184" s="8"/>
      <c r="F1184" s="8"/>
      <c r="G1184" s="8"/>
      <c r="H1184" s="8"/>
      <c r="I1184" s="8"/>
      <c r="J1184" s="8"/>
      <c r="K1184" s="8"/>
      <c r="L1184" s="56"/>
      <c r="M1184" s="26"/>
      <c r="N1184" s="26"/>
      <c r="O1184" s="8"/>
      <c r="P1184" s="1"/>
      <c r="Q1184" s="8"/>
      <c r="R1184" s="8"/>
      <c r="S1184" s="1"/>
      <c r="T1184" s="8"/>
      <c r="U1184" s="8"/>
      <c r="V1184" s="16"/>
      <c r="W1184" s="1"/>
      <c r="X1184" s="1"/>
    </row>
    <row r="1185" spans="1:24" ht="14.4">
      <c r="A1185" s="1"/>
      <c r="B1185" s="8"/>
      <c r="C1185" s="8"/>
      <c r="D1185" s="8"/>
      <c r="E1185" s="8"/>
      <c r="F1185" s="8"/>
      <c r="G1185" s="8"/>
      <c r="H1185" s="8"/>
      <c r="I1185" s="8"/>
      <c r="J1185" s="8"/>
      <c r="K1185" s="8"/>
      <c r="L1185" s="56"/>
      <c r="M1185" s="26"/>
      <c r="N1185" s="26"/>
      <c r="O1185" s="8"/>
      <c r="P1185" s="1"/>
      <c r="Q1185" s="8"/>
      <c r="R1185" s="8"/>
      <c r="S1185" s="1"/>
      <c r="T1185" s="8"/>
      <c r="U1185" s="8"/>
      <c r="V1185" s="16"/>
      <c r="W1185" s="1"/>
      <c r="X1185" s="1"/>
    </row>
    <row r="1186" spans="1:24" ht="14.4">
      <c r="A1186" s="1"/>
      <c r="B1186" s="8"/>
      <c r="C1186" s="8"/>
      <c r="D1186" s="8"/>
      <c r="E1186" s="8"/>
      <c r="F1186" s="8"/>
      <c r="G1186" s="8"/>
      <c r="H1186" s="8"/>
      <c r="I1186" s="8"/>
      <c r="J1186" s="8"/>
      <c r="K1186" s="8"/>
      <c r="L1186" s="56"/>
      <c r="M1186" s="26"/>
      <c r="N1186" s="26"/>
      <c r="O1186" s="8"/>
      <c r="P1186" s="1"/>
      <c r="Q1186" s="8"/>
      <c r="R1186" s="8"/>
      <c r="S1186" s="1"/>
      <c r="T1186" s="8"/>
      <c r="U1186" s="8"/>
      <c r="V1186" s="16"/>
      <c r="W1186" s="1"/>
      <c r="X1186" s="1"/>
    </row>
    <row r="1187" spans="1:24" ht="14.4">
      <c r="A1187" s="1"/>
      <c r="B1187" s="8"/>
      <c r="C1187" s="8"/>
      <c r="D1187" s="8"/>
      <c r="E1187" s="8"/>
      <c r="F1187" s="8"/>
      <c r="G1187" s="8"/>
      <c r="H1187" s="8"/>
      <c r="I1187" s="8"/>
      <c r="J1187" s="8"/>
      <c r="K1187" s="8"/>
      <c r="L1187" s="56"/>
      <c r="M1187" s="26"/>
      <c r="N1187" s="26"/>
      <c r="O1187" s="8"/>
      <c r="P1187" s="1"/>
      <c r="Q1187" s="8"/>
      <c r="R1187" s="8"/>
      <c r="S1187" s="1"/>
      <c r="T1187" s="8"/>
      <c r="U1187" s="8"/>
      <c r="V1187" s="16"/>
      <c r="W1187" s="1"/>
      <c r="X1187" s="1"/>
    </row>
    <row r="1188" spans="1:24" ht="14.4">
      <c r="A1188" s="1"/>
      <c r="B1188" s="8"/>
      <c r="C1188" s="8"/>
      <c r="D1188" s="8"/>
      <c r="E1188" s="8"/>
      <c r="F1188" s="8"/>
      <c r="G1188" s="8"/>
      <c r="H1188" s="8"/>
      <c r="I1188" s="8"/>
      <c r="J1188" s="8"/>
      <c r="K1188" s="8"/>
      <c r="L1188" s="56"/>
      <c r="M1188" s="26"/>
      <c r="N1188" s="26"/>
      <c r="O1188" s="8"/>
      <c r="P1188" s="1"/>
      <c r="Q1188" s="8"/>
      <c r="R1188" s="8"/>
      <c r="S1188" s="1"/>
      <c r="T1188" s="8"/>
      <c r="U1188" s="8"/>
      <c r="V1188" s="16"/>
      <c r="W1188" s="1"/>
      <c r="X1188" s="1"/>
    </row>
    <row r="1189" spans="1:24" ht="14.4">
      <c r="A1189" s="1"/>
      <c r="B1189" s="8"/>
      <c r="C1189" s="8"/>
      <c r="D1189" s="8"/>
      <c r="E1189" s="8"/>
      <c r="F1189" s="8"/>
      <c r="G1189" s="8"/>
      <c r="H1189" s="8"/>
      <c r="I1189" s="8"/>
      <c r="J1189" s="8"/>
      <c r="K1189" s="8"/>
      <c r="L1189" s="56"/>
      <c r="M1189" s="26"/>
      <c r="N1189" s="26"/>
      <c r="O1189" s="8"/>
      <c r="P1189" s="1"/>
      <c r="Q1189" s="8"/>
      <c r="R1189" s="8"/>
      <c r="S1189" s="1"/>
      <c r="T1189" s="8"/>
      <c r="U1189" s="8"/>
      <c r="V1189" s="16"/>
      <c r="W1189" s="1"/>
      <c r="X1189" s="1"/>
    </row>
    <row r="1190" spans="1:24" ht="14.4">
      <c r="A1190" s="1"/>
      <c r="B1190" s="8"/>
      <c r="C1190" s="8"/>
      <c r="D1190" s="8"/>
      <c r="E1190" s="8"/>
      <c r="F1190" s="8"/>
      <c r="G1190" s="8"/>
      <c r="H1190" s="8"/>
      <c r="I1190" s="8"/>
      <c r="J1190" s="8"/>
      <c r="K1190" s="8"/>
      <c r="L1190" s="56"/>
      <c r="M1190" s="26"/>
      <c r="N1190" s="26"/>
      <c r="O1190" s="8"/>
      <c r="P1190" s="1"/>
      <c r="Q1190" s="8"/>
      <c r="R1190" s="8"/>
      <c r="S1190" s="1"/>
      <c r="T1190" s="8"/>
      <c r="U1190" s="8"/>
      <c r="V1190" s="16"/>
      <c r="W1190" s="1"/>
      <c r="X1190" s="1"/>
    </row>
    <row r="1191" spans="1:24" ht="14.4">
      <c r="A1191" s="1"/>
      <c r="B1191" s="8"/>
      <c r="C1191" s="8"/>
      <c r="D1191" s="8"/>
      <c r="E1191" s="8"/>
      <c r="F1191" s="8"/>
      <c r="G1191" s="8"/>
      <c r="H1191" s="8"/>
      <c r="I1191" s="8"/>
      <c r="J1191" s="8"/>
      <c r="K1191" s="8"/>
      <c r="L1191" s="56"/>
      <c r="M1191" s="26"/>
      <c r="N1191" s="26"/>
      <c r="O1191" s="8"/>
      <c r="P1191" s="1"/>
      <c r="Q1191" s="8"/>
      <c r="R1191" s="8"/>
      <c r="S1191" s="1"/>
      <c r="T1191" s="8"/>
      <c r="U1191" s="8"/>
      <c r="V1191" s="16"/>
      <c r="W1191" s="1"/>
      <c r="X1191" s="1"/>
    </row>
    <row r="1192" spans="1:24" ht="14.4">
      <c r="A1192" s="1"/>
      <c r="B1192" s="8"/>
      <c r="C1192" s="8"/>
      <c r="D1192" s="8"/>
      <c r="E1192" s="8"/>
      <c r="F1192" s="8"/>
      <c r="G1192" s="8"/>
      <c r="H1192" s="8"/>
      <c r="I1192" s="8"/>
      <c r="J1192" s="8"/>
      <c r="K1192" s="8"/>
      <c r="L1192" s="56"/>
      <c r="M1192" s="26"/>
      <c r="N1192" s="26"/>
      <c r="O1192" s="8"/>
      <c r="P1192" s="1"/>
      <c r="Q1192" s="8"/>
      <c r="R1192" s="8"/>
      <c r="S1192" s="1"/>
      <c r="T1192" s="8"/>
      <c r="U1192" s="8"/>
      <c r="V1192" s="16"/>
      <c r="W1192" s="1"/>
      <c r="X1192" s="1"/>
    </row>
    <row r="1193" spans="1:24" ht="14.4">
      <c r="A1193" s="1"/>
      <c r="B1193" s="8"/>
      <c r="C1193" s="8"/>
      <c r="D1193" s="8"/>
      <c r="E1193" s="8"/>
      <c r="F1193" s="8"/>
      <c r="G1193" s="8"/>
      <c r="H1193" s="8"/>
      <c r="I1193" s="8"/>
      <c r="J1193" s="8"/>
      <c r="K1193" s="8"/>
      <c r="L1193" s="56"/>
      <c r="M1193" s="26"/>
      <c r="N1193" s="26"/>
      <c r="O1193" s="8"/>
      <c r="P1193" s="1"/>
      <c r="Q1193" s="8"/>
      <c r="R1193" s="8"/>
      <c r="S1193" s="1"/>
      <c r="T1193" s="8"/>
      <c r="U1193" s="8"/>
      <c r="V1193" s="16"/>
      <c r="W1193" s="1"/>
      <c r="X1193" s="1"/>
    </row>
    <row r="1194" spans="1:24" ht="14.4">
      <c r="A1194" s="1"/>
      <c r="B1194" s="8"/>
      <c r="C1194" s="8"/>
      <c r="D1194" s="8"/>
      <c r="E1194" s="8"/>
      <c r="F1194" s="8"/>
      <c r="G1194" s="8"/>
      <c r="H1194" s="8"/>
      <c r="I1194" s="8"/>
      <c r="J1194" s="8"/>
      <c r="K1194" s="8"/>
      <c r="L1194" s="56"/>
      <c r="M1194" s="26"/>
      <c r="N1194" s="26"/>
      <c r="O1194" s="8"/>
      <c r="P1194" s="1"/>
      <c r="Q1194" s="8"/>
      <c r="R1194" s="8"/>
      <c r="S1194" s="1"/>
      <c r="T1194" s="8"/>
      <c r="U1194" s="8"/>
      <c r="V1194" s="16"/>
      <c r="W1194" s="1"/>
      <c r="X1194" s="1"/>
    </row>
    <row r="1195" spans="1:24" ht="14.4">
      <c r="A1195" s="1"/>
      <c r="B1195" s="8"/>
      <c r="C1195" s="8"/>
      <c r="D1195" s="8"/>
      <c r="E1195" s="8"/>
      <c r="F1195" s="8"/>
      <c r="G1195" s="8"/>
      <c r="H1195" s="8"/>
      <c r="I1195" s="8"/>
      <c r="J1195" s="8"/>
      <c r="K1195" s="8"/>
      <c r="L1195" s="56"/>
      <c r="M1195" s="26"/>
      <c r="N1195" s="26"/>
      <c r="O1195" s="8"/>
      <c r="P1195" s="1"/>
      <c r="Q1195" s="8"/>
      <c r="R1195" s="8"/>
      <c r="S1195" s="1"/>
      <c r="T1195" s="8"/>
      <c r="U1195" s="8"/>
      <c r="V1195" s="16"/>
      <c r="W1195" s="1"/>
      <c r="X1195" s="1"/>
    </row>
    <row r="1196" spans="1:24" ht="14.4">
      <c r="A1196" s="1"/>
      <c r="B1196" s="8"/>
      <c r="C1196" s="8"/>
      <c r="D1196" s="8"/>
      <c r="E1196" s="8"/>
      <c r="F1196" s="8"/>
      <c r="G1196" s="8"/>
      <c r="H1196" s="8"/>
      <c r="I1196" s="8"/>
      <c r="J1196" s="8"/>
      <c r="K1196" s="8"/>
      <c r="L1196" s="56"/>
      <c r="M1196" s="26"/>
      <c r="N1196" s="26"/>
      <c r="O1196" s="8"/>
      <c r="P1196" s="1"/>
      <c r="Q1196" s="8"/>
      <c r="R1196" s="8"/>
      <c r="S1196" s="1"/>
      <c r="T1196" s="8"/>
      <c r="U1196" s="8"/>
      <c r="V1196" s="16"/>
      <c r="W1196" s="1"/>
      <c r="X1196" s="1"/>
    </row>
    <row r="1197" spans="1:24" ht="14.4">
      <c r="A1197" s="1"/>
      <c r="B1197" s="8"/>
      <c r="C1197" s="8"/>
      <c r="D1197" s="8"/>
      <c r="E1197" s="8"/>
      <c r="F1197" s="8"/>
      <c r="G1197" s="8"/>
      <c r="H1197" s="8"/>
      <c r="I1197" s="8"/>
      <c r="J1197" s="8"/>
      <c r="K1197" s="8"/>
      <c r="L1197" s="56"/>
      <c r="M1197" s="26"/>
      <c r="N1197" s="26"/>
      <c r="O1197" s="8"/>
      <c r="P1197" s="1"/>
      <c r="Q1197" s="8"/>
      <c r="R1197" s="8"/>
      <c r="S1197" s="1"/>
      <c r="T1197" s="8"/>
      <c r="U1197" s="8"/>
      <c r="V1197" s="16"/>
      <c r="W1197" s="1"/>
      <c r="X1197" s="1"/>
    </row>
    <row r="1198" spans="1:24" ht="14.4">
      <c r="A1198" s="1"/>
      <c r="B1198" s="8"/>
      <c r="C1198" s="8"/>
      <c r="D1198" s="8"/>
      <c r="E1198" s="8"/>
      <c r="F1198" s="8"/>
      <c r="G1198" s="8"/>
      <c r="H1198" s="8"/>
      <c r="I1198" s="8"/>
      <c r="J1198" s="8"/>
      <c r="K1198" s="8"/>
      <c r="L1198" s="56"/>
      <c r="M1198" s="26"/>
      <c r="N1198" s="26"/>
      <c r="O1198" s="8"/>
      <c r="P1198" s="1"/>
      <c r="Q1198" s="8"/>
      <c r="R1198" s="8"/>
      <c r="S1198" s="1"/>
      <c r="T1198" s="8"/>
      <c r="U1198" s="8"/>
      <c r="V1198" s="16"/>
      <c r="W1198" s="1"/>
      <c r="X1198" s="1"/>
    </row>
    <row r="1199" spans="1:24" ht="14.4">
      <c r="A1199" s="1"/>
      <c r="B1199" s="8"/>
      <c r="C1199" s="8"/>
      <c r="D1199" s="8"/>
      <c r="E1199" s="8"/>
      <c r="F1199" s="8"/>
      <c r="G1199" s="8"/>
      <c r="H1199" s="8"/>
      <c r="I1199" s="8"/>
      <c r="J1199" s="8"/>
      <c r="K1199" s="8"/>
      <c r="L1199" s="56"/>
      <c r="M1199" s="26"/>
      <c r="N1199" s="26"/>
      <c r="O1199" s="8"/>
      <c r="P1199" s="1"/>
      <c r="Q1199" s="8"/>
      <c r="R1199" s="8"/>
      <c r="S1199" s="1"/>
      <c r="T1199" s="8"/>
      <c r="U1199" s="8"/>
      <c r="V1199" s="16"/>
      <c r="W1199" s="1"/>
      <c r="X1199" s="1"/>
    </row>
    <row r="1200" spans="1:24" ht="14.4">
      <c r="A1200" s="1"/>
      <c r="B1200" s="8"/>
      <c r="C1200" s="8"/>
      <c r="D1200" s="8"/>
      <c r="E1200" s="8"/>
      <c r="F1200" s="8"/>
      <c r="G1200" s="8"/>
      <c r="H1200" s="8"/>
      <c r="I1200" s="8"/>
      <c r="J1200" s="8"/>
      <c r="K1200" s="8"/>
      <c r="L1200" s="56"/>
      <c r="M1200" s="26"/>
      <c r="N1200" s="26"/>
      <c r="O1200" s="8"/>
      <c r="P1200" s="1"/>
      <c r="Q1200" s="8"/>
      <c r="R1200" s="8"/>
      <c r="S1200" s="1"/>
      <c r="T1200" s="8"/>
      <c r="U1200" s="8"/>
      <c r="V1200" s="16"/>
      <c r="W1200" s="1"/>
      <c r="X1200" s="1"/>
    </row>
    <row r="1201" spans="1:24" ht="14.4">
      <c r="A1201" s="1"/>
      <c r="B1201" s="8"/>
      <c r="C1201" s="8"/>
      <c r="D1201" s="8"/>
      <c r="E1201" s="8"/>
      <c r="F1201" s="8"/>
      <c r="G1201" s="8"/>
      <c r="H1201" s="8"/>
      <c r="I1201" s="8"/>
      <c r="J1201" s="8"/>
      <c r="K1201" s="8"/>
      <c r="L1201" s="56"/>
      <c r="M1201" s="26"/>
      <c r="N1201" s="26"/>
      <c r="O1201" s="8"/>
      <c r="P1201" s="1"/>
      <c r="Q1201" s="8"/>
      <c r="R1201" s="8"/>
      <c r="S1201" s="1"/>
      <c r="T1201" s="8"/>
      <c r="U1201" s="8"/>
      <c r="V1201" s="16"/>
      <c r="W1201" s="1"/>
      <c r="X1201" s="1"/>
    </row>
    <row r="1202" spans="1:24" ht="14.4">
      <c r="A1202" s="1"/>
      <c r="B1202" s="8"/>
      <c r="C1202" s="8"/>
      <c r="D1202" s="8"/>
      <c r="E1202" s="8"/>
      <c r="F1202" s="8"/>
      <c r="G1202" s="8"/>
      <c r="H1202" s="8"/>
      <c r="I1202" s="8"/>
      <c r="J1202" s="8"/>
      <c r="K1202" s="8"/>
      <c r="L1202" s="56"/>
      <c r="M1202" s="26"/>
      <c r="N1202" s="26"/>
      <c r="O1202" s="8"/>
      <c r="P1202" s="1"/>
      <c r="Q1202" s="8"/>
      <c r="R1202" s="8"/>
      <c r="S1202" s="1"/>
      <c r="T1202" s="8"/>
      <c r="U1202" s="8"/>
      <c r="V1202" s="16"/>
      <c r="W1202" s="1"/>
      <c r="X1202" s="1"/>
    </row>
    <row r="1203" spans="1:24" ht="14.4">
      <c r="A1203" s="1"/>
      <c r="B1203" s="8"/>
      <c r="C1203" s="8"/>
      <c r="D1203" s="8"/>
      <c r="E1203" s="8"/>
      <c r="F1203" s="8"/>
      <c r="G1203" s="8"/>
      <c r="H1203" s="8"/>
      <c r="I1203" s="8"/>
      <c r="J1203" s="8"/>
      <c r="K1203" s="8"/>
      <c r="L1203" s="56"/>
      <c r="M1203" s="26"/>
      <c r="N1203" s="26"/>
      <c r="O1203" s="8"/>
      <c r="P1203" s="1"/>
      <c r="Q1203" s="8"/>
      <c r="R1203" s="8"/>
      <c r="S1203" s="1"/>
      <c r="T1203" s="8"/>
      <c r="U1203" s="8"/>
      <c r="V1203" s="16"/>
      <c r="W1203" s="1"/>
      <c r="X1203" s="1"/>
    </row>
    <row r="1204" spans="1:24" ht="14.4">
      <c r="A1204" s="1"/>
      <c r="B1204" s="8"/>
      <c r="C1204" s="8"/>
      <c r="D1204" s="8"/>
      <c r="E1204" s="8"/>
      <c r="F1204" s="8"/>
      <c r="G1204" s="8"/>
      <c r="H1204" s="8"/>
      <c r="I1204" s="8"/>
      <c r="J1204" s="8"/>
      <c r="K1204" s="8"/>
      <c r="L1204" s="56"/>
      <c r="M1204" s="26"/>
      <c r="N1204" s="26"/>
      <c r="O1204" s="8"/>
      <c r="P1204" s="1"/>
      <c r="Q1204" s="8"/>
      <c r="R1204" s="8"/>
      <c r="S1204" s="1"/>
      <c r="T1204" s="8"/>
      <c r="U1204" s="8"/>
      <c r="V1204" s="16"/>
      <c r="W1204" s="1"/>
      <c r="X1204" s="1"/>
    </row>
    <row r="1205" spans="1:24" ht="14.4">
      <c r="A1205" s="1"/>
      <c r="B1205" s="8"/>
      <c r="C1205" s="8"/>
      <c r="D1205" s="8"/>
      <c r="E1205" s="8"/>
      <c r="F1205" s="8"/>
      <c r="G1205" s="8"/>
      <c r="H1205" s="8"/>
      <c r="I1205" s="8"/>
      <c r="J1205" s="8"/>
      <c r="K1205" s="8"/>
      <c r="L1205" s="56"/>
      <c r="M1205" s="26"/>
      <c r="N1205" s="26"/>
      <c r="O1205" s="8"/>
      <c r="P1205" s="1"/>
      <c r="Q1205" s="8"/>
      <c r="R1205" s="8"/>
      <c r="S1205" s="1"/>
      <c r="T1205" s="8"/>
      <c r="U1205" s="8"/>
      <c r="V1205" s="16"/>
      <c r="W1205" s="1"/>
      <c r="X1205" s="1"/>
    </row>
    <row r="1206" spans="1:24" ht="14.4">
      <c r="A1206" s="1"/>
      <c r="B1206" s="8"/>
      <c r="C1206" s="8"/>
      <c r="D1206" s="8"/>
      <c r="E1206" s="8"/>
      <c r="F1206" s="8"/>
      <c r="G1206" s="8"/>
      <c r="H1206" s="8"/>
      <c r="I1206" s="8"/>
      <c r="J1206" s="8"/>
      <c r="K1206" s="8"/>
      <c r="L1206" s="56"/>
      <c r="M1206" s="26"/>
      <c r="N1206" s="26"/>
      <c r="O1206" s="8"/>
      <c r="P1206" s="1"/>
      <c r="Q1206" s="8"/>
      <c r="R1206" s="8"/>
      <c r="S1206" s="1"/>
      <c r="T1206" s="8"/>
      <c r="U1206" s="8"/>
      <c r="V1206" s="16"/>
      <c r="W1206" s="1"/>
      <c r="X1206" s="1"/>
    </row>
    <row r="1207" spans="1:24" ht="14.4">
      <c r="A1207" s="1"/>
      <c r="B1207" s="8"/>
      <c r="C1207" s="8"/>
      <c r="D1207" s="8"/>
      <c r="E1207" s="8"/>
      <c r="F1207" s="8"/>
      <c r="G1207" s="8"/>
      <c r="H1207" s="8"/>
      <c r="I1207" s="8"/>
      <c r="J1207" s="8"/>
      <c r="K1207" s="8"/>
      <c r="L1207" s="56"/>
      <c r="M1207" s="26"/>
      <c r="N1207" s="26"/>
      <c r="O1207" s="8"/>
      <c r="P1207" s="1"/>
      <c r="Q1207" s="8"/>
      <c r="R1207" s="8"/>
      <c r="S1207" s="1"/>
      <c r="T1207" s="8"/>
      <c r="U1207" s="8"/>
      <c r="V1207" s="16"/>
      <c r="W1207" s="1"/>
      <c r="X1207" s="1"/>
    </row>
    <row r="1208" spans="1:24" ht="14.4">
      <c r="A1208" s="1"/>
      <c r="B1208" s="8"/>
      <c r="C1208" s="8"/>
      <c r="D1208" s="8"/>
      <c r="E1208" s="8"/>
      <c r="F1208" s="8"/>
      <c r="G1208" s="8"/>
      <c r="H1208" s="8"/>
      <c r="I1208" s="8"/>
      <c r="J1208" s="8"/>
      <c r="K1208" s="8"/>
      <c r="L1208" s="56"/>
      <c r="M1208" s="26"/>
      <c r="N1208" s="26"/>
      <c r="O1208" s="8"/>
      <c r="P1208" s="1"/>
      <c r="Q1208" s="8"/>
      <c r="R1208" s="8"/>
      <c r="S1208" s="1"/>
      <c r="T1208" s="8"/>
      <c r="U1208" s="8"/>
      <c r="V1208" s="16"/>
      <c r="W1208" s="1"/>
      <c r="X1208" s="1"/>
    </row>
    <row r="1209" spans="1:24" ht="14.4">
      <c r="A1209" s="1"/>
      <c r="B1209" s="8"/>
      <c r="C1209" s="8"/>
      <c r="D1209" s="8"/>
      <c r="E1209" s="8"/>
      <c r="F1209" s="8"/>
      <c r="G1209" s="8"/>
      <c r="H1209" s="8"/>
      <c r="I1209" s="8"/>
      <c r="J1209" s="8"/>
      <c r="K1209" s="8"/>
      <c r="L1209" s="56"/>
      <c r="M1209" s="26"/>
      <c r="N1209" s="26"/>
      <c r="O1209" s="8"/>
      <c r="P1209" s="1"/>
      <c r="Q1209" s="8"/>
      <c r="R1209" s="8"/>
      <c r="S1209" s="1"/>
      <c r="T1209" s="8"/>
      <c r="U1209" s="8"/>
      <c r="V1209" s="16"/>
      <c r="W1209" s="1"/>
      <c r="X1209" s="1"/>
    </row>
    <row r="1210" spans="1:24" ht="14.4">
      <c r="A1210" s="1"/>
      <c r="B1210" s="8"/>
      <c r="C1210" s="8"/>
      <c r="D1210" s="8"/>
      <c r="E1210" s="8"/>
      <c r="F1210" s="8"/>
      <c r="G1210" s="8"/>
      <c r="H1210" s="8"/>
      <c r="I1210" s="8"/>
      <c r="J1210" s="8"/>
      <c r="K1210" s="8"/>
      <c r="L1210" s="56"/>
      <c r="M1210" s="26"/>
      <c r="N1210" s="26"/>
      <c r="O1210" s="8"/>
      <c r="P1210" s="1"/>
      <c r="Q1210" s="8"/>
      <c r="R1210" s="8"/>
      <c r="S1210" s="1"/>
      <c r="T1210" s="8"/>
      <c r="U1210" s="8"/>
      <c r="V1210" s="16"/>
      <c r="W1210" s="1"/>
      <c r="X1210" s="1"/>
    </row>
    <row r="1211" spans="1:24" ht="14.4">
      <c r="A1211" s="1"/>
      <c r="B1211" s="8"/>
      <c r="C1211" s="8"/>
      <c r="D1211" s="8"/>
      <c r="E1211" s="8"/>
      <c r="F1211" s="8"/>
      <c r="G1211" s="8"/>
      <c r="H1211" s="8"/>
      <c r="I1211" s="8"/>
      <c r="J1211" s="8"/>
      <c r="K1211" s="8"/>
      <c r="L1211" s="56"/>
      <c r="M1211" s="26"/>
      <c r="N1211" s="26"/>
      <c r="O1211" s="8"/>
      <c r="P1211" s="1"/>
      <c r="Q1211" s="8"/>
      <c r="R1211" s="8"/>
      <c r="S1211" s="1"/>
      <c r="T1211" s="8"/>
      <c r="U1211" s="8"/>
      <c r="V1211" s="16"/>
      <c r="W1211" s="1"/>
      <c r="X1211" s="1"/>
    </row>
    <row r="1212" spans="1:24" ht="14.4">
      <c r="A1212" s="1"/>
      <c r="B1212" s="8"/>
      <c r="C1212" s="8"/>
      <c r="D1212" s="8"/>
      <c r="E1212" s="8"/>
      <c r="F1212" s="8"/>
      <c r="G1212" s="8"/>
      <c r="H1212" s="8"/>
      <c r="I1212" s="8"/>
      <c r="J1212" s="8"/>
      <c r="K1212" s="8"/>
      <c r="L1212" s="56"/>
      <c r="M1212" s="26"/>
      <c r="N1212" s="26"/>
      <c r="O1212" s="8"/>
      <c r="P1212" s="1"/>
      <c r="Q1212" s="8"/>
      <c r="R1212" s="8"/>
      <c r="S1212" s="1"/>
      <c r="T1212" s="8"/>
      <c r="U1212" s="8"/>
      <c r="V1212" s="16"/>
      <c r="W1212" s="1"/>
      <c r="X1212" s="1"/>
    </row>
    <row r="1213" spans="1:24" ht="14.4">
      <c r="A1213" s="1"/>
      <c r="B1213" s="8"/>
      <c r="C1213" s="8"/>
      <c r="D1213" s="8"/>
      <c r="E1213" s="8"/>
      <c r="F1213" s="8"/>
      <c r="G1213" s="8"/>
      <c r="H1213" s="8"/>
      <c r="I1213" s="8"/>
      <c r="J1213" s="8"/>
      <c r="K1213" s="8"/>
      <c r="L1213" s="56"/>
      <c r="M1213" s="26"/>
      <c r="N1213" s="26"/>
      <c r="O1213" s="8"/>
      <c r="P1213" s="1"/>
      <c r="Q1213" s="8"/>
      <c r="R1213" s="8"/>
      <c r="S1213" s="1"/>
      <c r="T1213" s="8"/>
      <c r="U1213" s="8"/>
      <c r="V1213" s="16"/>
      <c r="W1213" s="1"/>
      <c r="X1213" s="1"/>
    </row>
    <row r="1214" spans="1:24" ht="14.4">
      <c r="A1214" s="1"/>
      <c r="B1214" s="8"/>
      <c r="C1214" s="8"/>
      <c r="D1214" s="8"/>
      <c r="E1214" s="8"/>
      <c r="F1214" s="8"/>
      <c r="G1214" s="8"/>
      <c r="H1214" s="8"/>
      <c r="I1214" s="8"/>
      <c r="J1214" s="8"/>
      <c r="K1214" s="8"/>
      <c r="L1214" s="56"/>
      <c r="M1214" s="26"/>
      <c r="N1214" s="26"/>
      <c r="O1214" s="8"/>
      <c r="P1214" s="1"/>
      <c r="Q1214" s="8"/>
      <c r="R1214" s="8"/>
      <c r="S1214" s="1"/>
      <c r="T1214" s="8"/>
      <c r="U1214" s="8"/>
      <c r="V1214" s="16"/>
      <c r="W1214" s="1"/>
      <c r="X1214" s="1"/>
    </row>
    <row r="1215" spans="1:24" ht="14.4">
      <c r="A1215" s="1"/>
      <c r="B1215" s="8"/>
      <c r="C1215" s="8"/>
      <c r="D1215" s="8"/>
      <c r="E1215" s="8"/>
      <c r="F1215" s="8"/>
      <c r="G1215" s="8"/>
      <c r="H1215" s="8"/>
      <c r="I1215" s="8"/>
      <c r="J1215" s="8"/>
      <c r="K1215" s="8"/>
      <c r="L1215" s="56"/>
      <c r="M1215" s="26"/>
      <c r="N1215" s="26"/>
      <c r="O1215" s="8"/>
      <c r="P1215" s="1"/>
      <c r="Q1215" s="8"/>
      <c r="R1215" s="8"/>
      <c r="S1215" s="1"/>
      <c r="T1215" s="8"/>
      <c r="U1215" s="8"/>
      <c r="V1215" s="16"/>
      <c r="W1215" s="1"/>
      <c r="X1215" s="1"/>
    </row>
    <row r="1216" spans="1:24" ht="14.4">
      <c r="A1216" s="1"/>
      <c r="B1216" s="8"/>
      <c r="C1216" s="8"/>
      <c r="D1216" s="8"/>
      <c r="E1216" s="8"/>
      <c r="F1216" s="8"/>
      <c r="G1216" s="8"/>
      <c r="H1216" s="8"/>
      <c r="I1216" s="8"/>
      <c r="J1216" s="8"/>
      <c r="K1216" s="8"/>
      <c r="L1216" s="56"/>
      <c r="M1216" s="26"/>
      <c r="N1216" s="26"/>
      <c r="O1216" s="8"/>
      <c r="P1216" s="1"/>
      <c r="Q1216" s="8"/>
      <c r="R1216" s="8"/>
      <c r="S1216" s="1"/>
      <c r="T1216" s="8"/>
      <c r="U1216" s="8"/>
      <c r="V1216" s="16"/>
      <c r="W1216" s="1"/>
      <c r="X1216" s="1"/>
    </row>
    <row r="1217" spans="1:24" ht="14.4">
      <c r="A1217" s="1"/>
      <c r="B1217" s="8"/>
      <c r="C1217" s="8"/>
      <c r="D1217" s="8"/>
      <c r="E1217" s="8"/>
      <c r="F1217" s="8"/>
      <c r="G1217" s="8"/>
      <c r="H1217" s="8"/>
      <c r="I1217" s="8"/>
      <c r="J1217" s="8"/>
      <c r="K1217" s="8"/>
      <c r="L1217" s="56"/>
      <c r="M1217" s="26"/>
      <c r="N1217" s="26"/>
      <c r="O1217" s="8"/>
      <c r="P1217" s="1"/>
      <c r="Q1217" s="8"/>
      <c r="R1217" s="8"/>
      <c r="S1217" s="1"/>
      <c r="T1217" s="8"/>
      <c r="U1217" s="8"/>
      <c r="V1217" s="16"/>
      <c r="W1217" s="1"/>
      <c r="X1217" s="1"/>
    </row>
    <row r="1218" spans="1:24" ht="14.4">
      <c r="A1218" s="1"/>
      <c r="B1218" s="8"/>
      <c r="C1218" s="8"/>
      <c r="D1218" s="8"/>
      <c r="E1218" s="8"/>
      <c r="F1218" s="8"/>
      <c r="G1218" s="8"/>
      <c r="H1218" s="8"/>
      <c r="I1218" s="8"/>
      <c r="J1218" s="8"/>
      <c r="K1218" s="8"/>
      <c r="L1218" s="56"/>
      <c r="M1218" s="26"/>
      <c r="N1218" s="26"/>
      <c r="O1218" s="8"/>
      <c r="P1218" s="1"/>
      <c r="Q1218" s="8"/>
      <c r="R1218" s="8"/>
      <c r="S1218" s="1"/>
      <c r="T1218" s="8"/>
      <c r="U1218" s="8"/>
      <c r="V1218" s="16"/>
      <c r="W1218" s="1"/>
      <c r="X1218" s="1"/>
    </row>
    <row r="1219" spans="1:24" ht="14.4">
      <c r="A1219" s="1"/>
      <c r="B1219" s="8"/>
      <c r="C1219" s="8"/>
      <c r="D1219" s="8"/>
      <c r="E1219" s="8"/>
      <c r="F1219" s="8"/>
      <c r="G1219" s="8"/>
      <c r="H1219" s="8"/>
      <c r="I1219" s="8"/>
      <c r="J1219" s="8"/>
      <c r="K1219" s="8"/>
      <c r="L1219" s="56"/>
      <c r="M1219" s="26"/>
      <c r="N1219" s="26"/>
      <c r="O1219" s="8"/>
      <c r="P1219" s="1"/>
      <c r="Q1219" s="8"/>
      <c r="R1219" s="8"/>
      <c r="S1219" s="1"/>
      <c r="T1219" s="8"/>
      <c r="U1219" s="8"/>
      <c r="V1219" s="16"/>
      <c r="W1219" s="1"/>
      <c r="X1219" s="1"/>
    </row>
    <row r="1220" spans="1:24" ht="14.4">
      <c r="A1220" s="1"/>
      <c r="B1220" s="8"/>
      <c r="C1220" s="8"/>
      <c r="D1220" s="8"/>
      <c r="E1220" s="8"/>
      <c r="F1220" s="8"/>
      <c r="G1220" s="8"/>
      <c r="H1220" s="8"/>
      <c r="I1220" s="8"/>
      <c r="J1220" s="8"/>
      <c r="K1220" s="8"/>
      <c r="L1220" s="56"/>
      <c r="M1220" s="26"/>
      <c r="N1220" s="26"/>
      <c r="O1220" s="8"/>
      <c r="P1220" s="1"/>
      <c r="Q1220" s="8"/>
      <c r="R1220" s="8"/>
      <c r="S1220" s="1"/>
      <c r="T1220" s="8"/>
      <c r="U1220" s="8"/>
      <c r="V1220" s="16"/>
      <c r="W1220" s="1"/>
      <c r="X1220" s="1"/>
    </row>
    <row r="1221" spans="1:24" ht="14.4">
      <c r="A1221" s="1"/>
      <c r="B1221" s="8"/>
      <c r="C1221" s="8"/>
      <c r="D1221" s="8"/>
      <c r="E1221" s="8"/>
      <c r="F1221" s="8"/>
      <c r="G1221" s="8"/>
      <c r="H1221" s="8"/>
      <c r="I1221" s="8"/>
      <c r="J1221" s="8"/>
      <c r="K1221" s="8"/>
      <c r="L1221" s="56"/>
      <c r="M1221" s="26"/>
      <c r="N1221" s="26"/>
      <c r="O1221" s="8"/>
      <c r="P1221" s="1"/>
      <c r="Q1221" s="8"/>
      <c r="R1221" s="8"/>
      <c r="S1221" s="1"/>
      <c r="T1221" s="8"/>
      <c r="U1221" s="8"/>
      <c r="V1221" s="16"/>
      <c r="W1221" s="1"/>
      <c r="X1221" s="1"/>
    </row>
    <row r="1222" spans="1:24" ht="14.4">
      <c r="A1222" s="1"/>
      <c r="B1222" s="8"/>
      <c r="C1222" s="8"/>
      <c r="D1222" s="8"/>
      <c r="E1222" s="8"/>
      <c r="F1222" s="8"/>
      <c r="G1222" s="8"/>
      <c r="H1222" s="8"/>
      <c r="I1222" s="8"/>
      <c r="J1222" s="8"/>
      <c r="K1222" s="8"/>
      <c r="L1222" s="56"/>
      <c r="M1222" s="26"/>
      <c r="N1222" s="26"/>
      <c r="O1222" s="8"/>
      <c r="P1222" s="1"/>
      <c r="Q1222" s="8"/>
      <c r="R1222" s="8"/>
      <c r="S1222" s="1"/>
      <c r="T1222" s="8"/>
      <c r="U1222" s="8"/>
      <c r="V1222" s="16"/>
      <c r="W1222" s="1"/>
      <c r="X1222" s="1"/>
    </row>
    <row r="1223" spans="1:24" ht="14.4">
      <c r="A1223" s="1"/>
      <c r="B1223" s="8"/>
      <c r="C1223" s="8"/>
      <c r="D1223" s="8"/>
      <c r="E1223" s="8"/>
      <c r="F1223" s="8"/>
      <c r="G1223" s="8"/>
      <c r="H1223" s="8"/>
      <c r="I1223" s="8"/>
      <c r="J1223" s="8"/>
      <c r="K1223" s="8"/>
      <c r="L1223" s="56"/>
      <c r="M1223" s="26"/>
      <c r="N1223" s="26"/>
      <c r="O1223" s="8"/>
      <c r="P1223" s="1"/>
      <c r="Q1223" s="8"/>
      <c r="R1223" s="8"/>
      <c r="S1223" s="1"/>
      <c r="T1223" s="8"/>
      <c r="U1223" s="8"/>
      <c r="V1223" s="16"/>
      <c r="W1223" s="1"/>
      <c r="X1223" s="1"/>
    </row>
    <row r="1224" spans="1:24" ht="14.4">
      <c r="A1224" s="1"/>
      <c r="B1224" s="8"/>
      <c r="C1224" s="8"/>
      <c r="D1224" s="8"/>
      <c r="E1224" s="8"/>
      <c r="F1224" s="8"/>
      <c r="G1224" s="8"/>
      <c r="H1224" s="8"/>
      <c r="I1224" s="8"/>
      <c r="J1224" s="8"/>
      <c r="K1224" s="8"/>
      <c r="L1224" s="56"/>
      <c r="M1224" s="26"/>
      <c r="N1224" s="26"/>
      <c r="O1224" s="8"/>
      <c r="P1224" s="1"/>
      <c r="Q1224" s="8"/>
      <c r="R1224" s="8"/>
      <c r="S1224" s="1"/>
      <c r="T1224" s="8"/>
      <c r="U1224" s="8"/>
      <c r="V1224" s="16"/>
      <c r="W1224" s="1"/>
      <c r="X1224" s="1"/>
    </row>
    <row r="1225" spans="1:24" ht="14.4">
      <c r="A1225" s="1"/>
      <c r="B1225" s="8"/>
      <c r="C1225" s="8"/>
      <c r="D1225" s="8"/>
      <c r="E1225" s="8"/>
      <c r="F1225" s="8"/>
      <c r="G1225" s="8"/>
      <c r="H1225" s="8"/>
      <c r="I1225" s="8"/>
      <c r="J1225" s="8"/>
      <c r="K1225" s="8"/>
      <c r="L1225" s="56"/>
      <c r="M1225" s="26"/>
      <c r="N1225" s="26"/>
      <c r="O1225" s="8"/>
      <c r="P1225" s="1"/>
      <c r="Q1225" s="8"/>
      <c r="R1225" s="8"/>
      <c r="S1225" s="1"/>
      <c r="T1225" s="8"/>
      <c r="U1225" s="8"/>
      <c r="V1225" s="16"/>
      <c r="W1225" s="1"/>
      <c r="X1225" s="1"/>
    </row>
    <row r="1226" spans="1:24" ht="14.4">
      <c r="A1226" s="1"/>
      <c r="B1226" s="8"/>
      <c r="C1226" s="8"/>
      <c r="D1226" s="8"/>
      <c r="E1226" s="8"/>
      <c r="F1226" s="8"/>
      <c r="G1226" s="8"/>
      <c r="H1226" s="8"/>
      <c r="I1226" s="8"/>
      <c r="J1226" s="8"/>
      <c r="K1226" s="8"/>
      <c r="L1226" s="56"/>
      <c r="M1226" s="26"/>
      <c r="N1226" s="26"/>
      <c r="O1226" s="8"/>
      <c r="P1226" s="1"/>
      <c r="Q1226" s="8"/>
      <c r="R1226" s="8"/>
      <c r="S1226" s="1"/>
      <c r="T1226" s="8"/>
      <c r="U1226" s="8"/>
      <c r="V1226" s="16"/>
      <c r="W1226" s="1"/>
      <c r="X1226" s="1"/>
    </row>
    <row r="1227" spans="1:24" ht="14.4">
      <c r="A1227" s="1"/>
      <c r="B1227" s="8"/>
      <c r="C1227" s="8"/>
      <c r="D1227" s="8"/>
      <c r="E1227" s="8"/>
      <c r="F1227" s="8"/>
      <c r="G1227" s="8"/>
      <c r="H1227" s="8"/>
      <c r="I1227" s="8"/>
      <c r="J1227" s="8"/>
      <c r="K1227" s="8"/>
      <c r="L1227" s="56"/>
      <c r="M1227" s="26"/>
      <c r="N1227" s="26"/>
      <c r="O1227" s="8"/>
      <c r="P1227" s="1"/>
      <c r="Q1227" s="8"/>
      <c r="R1227" s="8"/>
      <c r="S1227" s="1"/>
      <c r="T1227" s="8"/>
      <c r="U1227" s="8"/>
      <c r="V1227" s="16"/>
      <c r="W1227" s="1"/>
      <c r="X1227" s="1"/>
    </row>
    <row r="1228" spans="1:24" ht="14.4">
      <c r="A1228" s="1"/>
      <c r="B1228" s="8"/>
      <c r="C1228" s="8"/>
      <c r="D1228" s="8"/>
      <c r="E1228" s="8"/>
      <c r="F1228" s="8"/>
      <c r="G1228" s="8"/>
      <c r="H1228" s="8"/>
      <c r="I1228" s="8"/>
      <c r="J1228" s="8"/>
      <c r="K1228" s="8"/>
      <c r="L1228" s="56"/>
      <c r="M1228" s="26"/>
      <c r="N1228" s="26"/>
      <c r="O1228" s="8"/>
      <c r="P1228" s="1"/>
      <c r="Q1228" s="8"/>
      <c r="R1228" s="8"/>
      <c r="S1228" s="1"/>
      <c r="T1228" s="8"/>
      <c r="U1228" s="8"/>
      <c r="V1228" s="16"/>
      <c r="W1228" s="1"/>
      <c r="X1228" s="1"/>
    </row>
    <row r="1229" spans="1:24" ht="14.4">
      <c r="A1229" s="1"/>
      <c r="B1229" s="8"/>
      <c r="C1229" s="8"/>
      <c r="D1229" s="8"/>
      <c r="E1229" s="8"/>
      <c r="F1229" s="8"/>
      <c r="G1229" s="8"/>
      <c r="H1229" s="8"/>
      <c r="I1229" s="8"/>
      <c r="J1229" s="8"/>
      <c r="K1229" s="8"/>
      <c r="L1229" s="56"/>
      <c r="M1229" s="26"/>
      <c r="N1229" s="26"/>
      <c r="O1229" s="8"/>
      <c r="P1229" s="1"/>
      <c r="Q1229" s="8"/>
      <c r="R1229" s="8"/>
      <c r="S1229" s="1"/>
      <c r="T1229" s="8"/>
      <c r="U1229" s="8"/>
      <c r="V1229" s="16"/>
      <c r="W1229" s="1"/>
      <c r="X1229" s="1"/>
    </row>
    <row r="1230" spans="1:24" ht="14.4">
      <c r="A1230" s="1"/>
      <c r="B1230" s="8"/>
      <c r="C1230" s="8"/>
      <c r="D1230" s="8"/>
      <c r="E1230" s="8"/>
      <c r="F1230" s="8"/>
      <c r="G1230" s="8"/>
      <c r="H1230" s="8"/>
      <c r="I1230" s="8"/>
      <c r="J1230" s="8"/>
      <c r="K1230" s="8"/>
      <c r="L1230" s="56"/>
      <c r="M1230" s="26"/>
      <c r="N1230" s="26"/>
      <c r="O1230" s="8"/>
      <c r="P1230" s="1"/>
      <c r="Q1230" s="8"/>
      <c r="R1230" s="8"/>
      <c r="S1230" s="1"/>
      <c r="T1230" s="8"/>
      <c r="U1230" s="8"/>
      <c r="V1230" s="16"/>
      <c r="W1230" s="1"/>
      <c r="X1230" s="1"/>
    </row>
    <row r="1231" spans="1:24" ht="14.4">
      <c r="A1231" s="1"/>
      <c r="B1231" s="8"/>
      <c r="C1231" s="8"/>
      <c r="D1231" s="8"/>
      <c r="E1231" s="8"/>
      <c r="F1231" s="8"/>
      <c r="G1231" s="8"/>
      <c r="H1231" s="8"/>
      <c r="I1231" s="8"/>
      <c r="J1231" s="8"/>
      <c r="K1231" s="8"/>
      <c r="L1231" s="56"/>
      <c r="M1231" s="26"/>
      <c r="N1231" s="26"/>
      <c r="O1231" s="8"/>
      <c r="P1231" s="1"/>
      <c r="Q1231" s="8"/>
      <c r="R1231" s="8"/>
      <c r="S1231" s="1"/>
      <c r="T1231" s="8"/>
      <c r="U1231" s="8"/>
      <c r="V1231" s="16"/>
      <c r="W1231" s="1"/>
      <c r="X1231" s="1"/>
    </row>
    <row r="1232" spans="1:24" ht="14.4">
      <c r="A1232" s="1"/>
      <c r="B1232" s="8"/>
      <c r="C1232" s="8"/>
      <c r="D1232" s="8"/>
      <c r="E1232" s="8"/>
      <c r="F1232" s="8"/>
      <c r="G1232" s="8"/>
      <c r="H1232" s="8"/>
      <c r="I1232" s="8"/>
      <c r="J1232" s="8"/>
      <c r="K1232" s="8"/>
      <c r="L1232" s="56"/>
      <c r="M1232" s="26"/>
      <c r="N1232" s="26"/>
      <c r="O1232" s="8"/>
      <c r="P1232" s="1"/>
      <c r="Q1232" s="8"/>
      <c r="R1232" s="8"/>
      <c r="S1232" s="1"/>
      <c r="T1232" s="8"/>
      <c r="U1232" s="8"/>
      <c r="V1232" s="16"/>
      <c r="W1232" s="1"/>
      <c r="X1232" s="1"/>
    </row>
    <row r="1233" spans="1:24" ht="14.4">
      <c r="A1233" s="1"/>
      <c r="B1233" s="8"/>
      <c r="C1233" s="8"/>
      <c r="D1233" s="8"/>
      <c r="E1233" s="8"/>
      <c r="F1233" s="8"/>
      <c r="G1233" s="8"/>
      <c r="H1233" s="8"/>
      <c r="I1233" s="8"/>
      <c r="J1233" s="8"/>
      <c r="K1233" s="8"/>
      <c r="L1233" s="56"/>
      <c r="M1233" s="26"/>
      <c r="N1233" s="26"/>
      <c r="O1233" s="8"/>
      <c r="P1233" s="1"/>
      <c r="Q1233" s="8"/>
      <c r="R1233" s="8"/>
      <c r="S1233" s="1"/>
      <c r="T1233" s="8"/>
      <c r="U1233" s="8"/>
      <c r="V1233" s="16"/>
      <c r="W1233" s="1"/>
      <c r="X1233" s="1"/>
    </row>
    <row r="1234" spans="1:24" ht="14.4">
      <c r="A1234" s="1"/>
      <c r="B1234" s="8"/>
      <c r="C1234" s="8"/>
      <c r="D1234" s="8"/>
      <c r="E1234" s="8"/>
      <c r="F1234" s="8"/>
      <c r="G1234" s="8"/>
      <c r="H1234" s="8"/>
      <c r="I1234" s="8"/>
      <c r="J1234" s="8"/>
      <c r="K1234" s="8"/>
      <c r="L1234" s="56"/>
      <c r="M1234" s="26"/>
      <c r="N1234" s="26"/>
      <c r="O1234" s="8"/>
      <c r="P1234" s="1"/>
      <c r="Q1234" s="8"/>
      <c r="R1234" s="8"/>
      <c r="S1234" s="1"/>
      <c r="T1234" s="8"/>
      <c r="U1234" s="8"/>
      <c r="V1234" s="16"/>
      <c r="W1234" s="1"/>
      <c r="X1234" s="1"/>
    </row>
    <row r="1235" spans="1:24" ht="14.4">
      <c r="A1235" s="1"/>
      <c r="B1235" s="8"/>
      <c r="C1235" s="8"/>
      <c r="D1235" s="8"/>
      <c r="E1235" s="8"/>
      <c r="F1235" s="8"/>
      <c r="G1235" s="8"/>
      <c r="H1235" s="8"/>
      <c r="I1235" s="8"/>
      <c r="J1235" s="8"/>
      <c r="K1235" s="8"/>
      <c r="L1235" s="56"/>
      <c r="M1235" s="26"/>
      <c r="N1235" s="26"/>
      <c r="O1235" s="8"/>
      <c r="P1235" s="1"/>
      <c r="Q1235" s="8"/>
      <c r="R1235" s="8"/>
      <c r="S1235" s="1"/>
      <c r="T1235" s="8"/>
      <c r="U1235" s="8"/>
      <c r="V1235" s="16"/>
      <c r="W1235" s="1"/>
      <c r="X1235" s="1"/>
    </row>
    <row r="1236" spans="1:24" ht="14.4">
      <c r="A1236" s="1"/>
      <c r="B1236" s="8"/>
      <c r="C1236" s="8"/>
      <c r="D1236" s="8"/>
      <c r="E1236" s="8"/>
      <c r="F1236" s="8"/>
      <c r="G1236" s="8"/>
      <c r="H1236" s="8"/>
      <c r="I1236" s="8"/>
      <c r="J1236" s="8"/>
      <c r="K1236" s="8"/>
      <c r="L1236" s="56"/>
      <c r="M1236" s="26"/>
      <c r="N1236" s="26"/>
      <c r="O1236" s="8"/>
      <c r="P1236" s="1"/>
      <c r="Q1236" s="8"/>
      <c r="R1236" s="8"/>
      <c r="S1236" s="1"/>
      <c r="T1236" s="8"/>
      <c r="U1236" s="8"/>
      <c r="V1236" s="16"/>
      <c r="W1236" s="1"/>
      <c r="X1236" s="1"/>
    </row>
    <row r="1237" spans="1:24" ht="14.4">
      <c r="A1237" s="1"/>
      <c r="B1237" s="8"/>
      <c r="C1237" s="8"/>
      <c r="D1237" s="8"/>
      <c r="E1237" s="8"/>
      <c r="F1237" s="8"/>
      <c r="G1237" s="8"/>
      <c r="H1237" s="8"/>
      <c r="I1237" s="8"/>
      <c r="J1237" s="8"/>
      <c r="K1237" s="8"/>
      <c r="L1237" s="56"/>
      <c r="M1237" s="26"/>
      <c r="N1237" s="26"/>
      <c r="O1237" s="8"/>
      <c r="P1237" s="1"/>
      <c r="Q1237" s="8"/>
      <c r="R1237" s="8"/>
      <c r="S1237" s="1"/>
      <c r="T1237" s="8"/>
      <c r="U1237" s="8"/>
      <c r="V1237" s="16"/>
      <c r="W1237" s="1"/>
      <c r="X1237" s="1"/>
    </row>
    <row r="1238" spans="1:24" ht="14.4">
      <c r="A1238" s="1"/>
      <c r="B1238" s="8"/>
      <c r="C1238" s="8"/>
      <c r="D1238" s="8"/>
      <c r="E1238" s="8"/>
      <c r="F1238" s="8"/>
      <c r="G1238" s="8"/>
      <c r="H1238" s="8"/>
      <c r="I1238" s="8"/>
      <c r="J1238" s="8"/>
      <c r="K1238" s="8"/>
      <c r="L1238" s="56"/>
      <c r="M1238" s="26"/>
      <c r="N1238" s="26"/>
      <c r="O1238" s="8"/>
      <c r="P1238" s="1"/>
      <c r="Q1238" s="8"/>
      <c r="R1238" s="8"/>
      <c r="S1238" s="1"/>
      <c r="T1238" s="8"/>
      <c r="U1238" s="8"/>
      <c r="V1238" s="16"/>
      <c r="W1238" s="1"/>
      <c r="X1238" s="1"/>
    </row>
    <row r="1239" spans="1:24" ht="14.4">
      <c r="A1239" s="1"/>
      <c r="B1239" s="8"/>
      <c r="C1239" s="8"/>
      <c r="D1239" s="8"/>
      <c r="E1239" s="8"/>
      <c r="F1239" s="8"/>
      <c r="G1239" s="8"/>
      <c r="H1239" s="8"/>
      <c r="I1239" s="8"/>
      <c r="J1239" s="8"/>
      <c r="K1239" s="8"/>
      <c r="L1239" s="56"/>
      <c r="M1239" s="26"/>
      <c r="N1239" s="26"/>
      <c r="O1239" s="8"/>
      <c r="P1239" s="1"/>
      <c r="Q1239" s="8"/>
      <c r="R1239" s="8"/>
      <c r="S1239" s="1"/>
      <c r="T1239" s="8"/>
      <c r="U1239" s="8"/>
      <c r="V1239" s="16"/>
      <c r="W1239" s="1"/>
      <c r="X1239" s="1"/>
    </row>
    <row r="1240" spans="1:24" ht="14.4">
      <c r="A1240" s="1"/>
      <c r="B1240" s="8"/>
      <c r="C1240" s="8"/>
      <c r="D1240" s="8"/>
      <c r="E1240" s="8"/>
      <c r="F1240" s="8"/>
      <c r="G1240" s="8"/>
      <c r="H1240" s="8"/>
      <c r="I1240" s="8"/>
      <c r="J1240" s="8"/>
      <c r="K1240" s="8"/>
      <c r="L1240" s="56"/>
      <c r="M1240" s="26"/>
      <c r="N1240" s="26"/>
      <c r="O1240" s="8"/>
      <c r="P1240" s="1"/>
      <c r="Q1240" s="8"/>
      <c r="R1240" s="8"/>
      <c r="S1240" s="1"/>
      <c r="T1240" s="8"/>
      <c r="U1240" s="8"/>
      <c r="V1240" s="16"/>
      <c r="W1240" s="1"/>
      <c r="X1240" s="1"/>
    </row>
    <row r="1241" spans="1:24" ht="14.4">
      <c r="A1241" s="1"/>
      <c r="B1241" s="8"/>
      <c r="C1241" s="8"/>
      <c r="D1241" s="8"/>
      <c r="E1241" s="8"/>
      <c r="F1241" s="8"/>
      <c r="G1241" s="8"/>
      <c r="H1241" s="8"/>
      <c r="I1241" s="8"/>
      <c r="J1241" s="8"/>
      <c r="K1241" s="8"/>
      <c r="L1241" s="56"/>
      <c r="M1241" s="26"/>
      <c r="N1241" s="26"/>
      <c r="O1241" s="8"/>
      <c r="P1241" s="1"/>
      <c r="Q1241" s="8"/>
      <c r="R1241" s="8"/>
      <c r="S1241" s="1"/>
      <c r="T1241" s="8"/>
      <c r="U1241" s="8"/>
      <c r="V1241" s="16"/>
      <c r="W1241" s="1"/>
      <c r="X1241" s="1"/>
    </row>
    <row r="1242" spans="1:24" ht="14.4">
      <c r="A1242" s="1"/>
      <c r="B1242" s="8"/>
      <c r="C1242" s="8"/>
      <c r="D1242" s="8"/>
      <c r="E1242" s="8"/>
      <c r="F1242" s="8"/>
      <c r="G1242" s="8"/>
      <c r="H1242" s="8"/>
      <c r="I1242" s="8"/>
      <c r="J1242" s="8"/>
      <c r="K1242" s="8"/>
      <c r="L1242" s="56"/>
      <c r="M1242" s="26"/>
      <c r="N1242" s="26"/>
      <c r="O1242" s="8"/>
      <c r="P1242" s="1"/>
      <c r="Q1242" s="8"/>
      <c r="R1242" s="8"/>
      <c r="S1242" s="1"/>
      <c r="T1242" s="8"/>
      <c r="U1242" s="8"/>
      <c r="V1242" s="16"/>
      <c r="W1242" s="1"/>
      <c r="X1242" s="1"/>
    </row>
    <row r="1243" spans="1:24" ht="14.4">
      <c r="A1243" s="1"/>
      <c r="B1243" s="8"/>
      <c r="C1243" s="8"/>
      <c r="D1243" s="8"/>
      <c r="E1243" s="8"/>
      <c r="F1243" s="8"/>
      <c r="G1243" s="8"/>
      <c r="H1243" s="8"/>
      <c r="I1243" s="8"/>
      <c r="J1243" s="8"/>
      <c r="K1243" s="8"/>
      <c r="L1243" s="56"/>
      <c r="M1243" s="26"/>
      <c r="N1243" s="26"/>
      <c r="O1243" s="8"/>
      <c r="P1243" s="1"/>
      <c r="Q1243" s="8"/>
      <c r="R1243" s="8"/>
      <c r="S1243" s="1"/>
      <c r="T1243" s="8"/>
      <c r="U1243" s="8"/>
      <c r="V1243" s="16"/>
      <c r="W1243" s="1"/>
      <c r="X1243" s="1"/>
    </row>
    <row r="1244" spans="1:24" ht="14.4">
      <c r="A1244" s="1"/>
      <c r="B1244" s="8"/>
      <c r="C1244" s="8"/>
      <c r="D1244" s="8"/>
      <c r="E1244" s="8"/>
      <c r="F1244" s="8"/>
      <c r="G1244" s="8"/>
      <c r="H1244" s="8"/>
      <c r="I1244" s="8"/>
      <c r="J1244" s="8"/>
      <c r="K1244" s="8"/>
      <c r="L1244" s="56"/>
      <c r="M1244" s="26"/>
      <c r="N1244" s="26"/>
      <c r="O1244" s="8"/>
      <c r="P1244" s="1"/>
      <c r="Q1244" s="8"/>
      <c r="R1244" s="8"/>
      <c r="S1244" s="1"/>
      <c r="T1244" s="8"/>
      <c r="U1244" s="8"/>
      <c r="V1244" s="16"/>
      <c r="W1244" s="1"/>
      <c r="X1244" s="1"/>
    </row>
    <row r="1245" spans="1:24" ht="14.4">
      <c r="A1245" s="1"/>
      <c r="B1245" s="8"/>
      <c r="C1245" s="8"/>
      <c r="D1245" s="8"/>
      <c r="E1245" s="8"/>
      <c r="F1245" s="8"/>
      <c r="G1245" s="8"/>
      <c r="H1245" s="8"/>
      <c r="I1245" s="8"/>
      <c r="J1245" s="8"/>
      <c r="K1245" s="8"/>
      <c r="L1245" s="56"/>
      <c r="M1245" s="26"/>
      <c r="N1245" s="26"/>
      <c r="O1245" s="8"/>
      <c r="P1245" s="1"/>
      <c r="Q1245" s="8"/>
      <c r="R1245" s="8"/>
      <c r="S1245" s="1"/>
      <c r="T1245" s="8"/>
      <c r="U1245" s="8"/>
      <c r="V1245" s="16"/>
      <c r="W1245" s="1"/>
      <c r="X1245" s="1"/>
    </row>
    <row r="1246" spans="1:24" ht="14.4">
      <c r="A1246" s="1"/>
      <c r="B1246" s="8"/>
      <c r="C1246" s="8"/>
      <c r="D1246" s="8"/>
      <c r="E1246" s="8"/>
      <c r="F1246" s="8"/>
      <c r="G1246" s="8"/>
      <c r="H1246" s="8"/>
      <c r="I1246" s="8"/>
      <c r="J1246" s="8"/>
      <c r="K1246" s="8"/>
      <c r="L1246" s="56"/>
      <c r="M1246" s="26"/>
      <c r="N1246" s="26"/>
      <c r="O1246" s="8"/>
      <c r="P1246" s="1"/>
      <c r="Q1246" s="8"/>
      <c r="R1246" s="8"/>
      <c r="S1246" s="1"/>
      <c r="T1246" s="8"/>
      <c r="U1246" s="8"/>
      <c r="V1246" s="16"/>
      <c r="W1246" s="1"/>
      <c r="X1246" s="1"/>
    </row>
    <row r="1247" spans="1:24" ht="14.4">
      <c r="A1247" s="1"/>
      <c r="B1247" s="8"/>
      <c r="C1247" s="8"/>
      <c r="D1247" s="8"/>
      <c r="E1247" s="8"/>
      <c r="F1247" s="8"/>
      <c r="G1247" s="8"/>
      <c r="H1247" s="8"/>
      <c r="I1247" s="8"/>
      <c r="J1247" s="8"/>
      <c r="K1247" s="8"/>
      <c r="L1247" s="56"/>
      <c r="M1247" s="26"/>
      <c r="N1247" s="26"/>
      <c r="O1247" s="8"/>
      <c r="P1247" s="1"/>
      <c r="Q1247" s="8"/>
      <c r="R1247" s="8"/>
      <c r="S1247" s="1"/>
      <c r="T1247" s="8"/>
      <c r="U1247" s="8"/>
      <c r="V1247" s="16"/>
      <c r="W1247" s="1"/>
      <c r="X1247" s="1"/>
    </row>
    <row r="1248" spans="1:24" ht="14.4">
      <c r="A1248" s="1"/>
      <c r="B1248" s="8"/>
      <c r="C1248" s="8"/>
      <c r="D1248" s="8"/>
      <c r="E1248" s="8"/>
      <c r="F1248" s="8"/>
      <c r="G1248" s="8"/>
      <c r="H1248" s="8"/>
      <c r="I1248" s="8"/>
      <c r="J1248" s="8"/>
      <c r="K1248" s="8"/>
      <c r="L1248" s="56"/>
      <c r="M1248" s="26"/>
      <c r="N1248" s="26"/>
      <c r="O1248" s="8"/>
      <c r="P1248" s="1"/>
      <c r="Q1248" s="8"/>
      <c r="R1248" s="8"/>
      <c r="S1248" s="1"/>
      <c r="T1248" s="8"/>
      <c r="U1248" s="8"/>
      <c r="V1248" s="16"/>
      <c r="W1248" s="1"/>
      <c r="X1248" s="1"/>
    </row>
    <row r="1249" spans="1:24" ht="14.4">
      <c r="A1249" s="1"/>
      <c r="B1249" s="8"/>
      <c r="C1249" s="8"/>
      <c r="D1249" s="8"/>
      <c r="E1249" s="8"/>
      <c r="F1249" s="8"/>
      <c r="G1249" s="8"/>
      <c r="H1249" s="8"/>
      <c r="I1249" s="8"/>
      <c r="J1249" s="8"/>
      <c r="K1249" s="8"/>
      <c r="L1249" s="56"/>
      <c r="M1249" s="26"/>
      <c r="N1249" s="26"/>
      <c r="O1249" s="8"/>
      <c r="P1249" s="1"/>
      <c r="Q1249" s="8"/>
      <c r="R1249" s="8"/>
      <c r="S1249" s="1"/>
      <c r="T1249" s="8"/>
      <c r="U1249" s="8"/>
      <c r="V1249" s="16"/>
      <c r="W1249" s="1"/>
      <c r="X1249" s="1"/>
    </row>
    <row r="1250" spans="1:24" ht="14.4">
      <c r="A1250" s="1"/>
      <c r="B1250" s="8"/>
      <c r="C1250" s="8"/>
      <c r="D1250" s="8"/>
      <c r="E1250" s="8"/>
      <c r="F1250" s="8"/>
      <c r="G1250" s="8"/>
      <c r="H1250" s="8"/>
      <c r="I1250" s="8"/>
      <c r="J1250" s="8"/>
      <c r="K1250" s="8"/>
      <c r="L1250" s="56"/>
      <c r="M1250" s="26"/>
      <c r="N1250" s="26"/>
      <c r="O1250" s="8"/>
      <c r="P1250" s="1"/>
      <c r="Q1250" s="8"/>
      <c r="R1250" s="8"/>
      <c r="S1250" s="1"/>
      <c r="T1250" s="8"/>
      <c r="U1250" s="8"/>
      <c r="V1250" s="16"/>
      <c r="W1250" s="1"/>
      <c r="X1250" s="1"/>
    </row>
    <row r="1251" spans="1:24" ht="14.4">
      <c r="A1251" s="1"/>
      <c r="B1251" s="8"/>
      <c r="C1251" s="8"/>
      <c r="D1251" s="8"/>
      <c r="E1251" s="8"/>
      <c r="F1251" s="8"/>
      <c r="G1251" s="8"/>
      <c r="H1251" s="8"/>
      <c r="I1251" s="8"/>
      <c r="J1251" s="8"/>
      <c r="K1251" s="8"/>
      <c r="L1251" s="56"/>
      <c r="M1251" s="26"/>
      <c r="N1251" s="26"/>
      <c r="O1251" s="8"/>
      <c r="P1251" s="1"/>
      <c r="Q1251" s="8"/>
      <c r="R1251" s="8"/>
      <c r="S1251" s="1"/>
      <c r="T1251" s="8"/>
      <c r="U1251" s="8"/>
      <c r="V1251" s="16"/>
      <c r="W1251" s="1"/>
      <c r="X1251" s="1"/>
    </row>
    <row r="1252" spans="1:24" ht="14.4">
      <c r="A1252" s="1"/>
      <c r="B1252" s="8"/>
      <c r="C1252" s="8"/>
      <c r="D1252" s="8"/>
      <c r="E1252" s="8"/>
      <c r="F1252" s="8"/>
      <c r="G1252" s="8"/>
      <c r="H1252" s="8"/>
      <c r="I1252" s="8"/>
      <c r="J1252" s="8"/>
      <c r="K1252" s="8"/>
      <c r="L1252" s="56"/>
      <c r="M1252" s="26"/>
      <c r="N1252" s="26"/>
      <c r="O1252" s="8"/>
      <c r="P1252" s="1"/>
      <c r="Q1252" s="8"/>
      <c r="R1252" s="8"/>
      <c r="S1252" s="1"/>
      <c r="T1252" s="8"/>
      <c r="U1252" s="8"/>
      <c r="V1252" s="16"/>
      <c r="W1252" s="1"/>
      <c r="X1252" s="1"/>
    </row>
    <row r="1253" spans="1:24" ht="14.4">
      <c r="A1253" s="1"/>
      <c r="B1253" s="8"/>
      <c r="C1253" s="8"/>
      <c r="D1253" s="8"/>
      <c r="E1253" s="8"/>
      <c r="F1253" s="8"/>
      <c r="G1253" s="8"/>
      <c r="H1253" s="8"/>
      <c r="I1253" s="8"/>
      <c r="J1253" s="8"/>
      <c r="K1253" s="8"/>
      <c r="L1253" s="56"/>
      <c r="M1253" s="26"/>
      <c r="N1253" s="26"/>
      <c r="O1253" s="8"/>
      <c r="P1253" s="1"/>
      <c r="Q1253" s="8"/>
      <c r="R1253" s="8"/>
      <c r="S1253" s="1"/>
      <c r="T1253" s="8"/>
      <c r="U1253" s="8"/>
      <c r="V1253" s="16"/>
      <c r="W1253" s="1"/>
      <c r="X1253" s="1"/>
    </row>
    <row r="1254" spans="1:24" ht="14.4">
      <c r="A1254" s="1"/>
      <c r="B1254" s="8"/>
      <c r="C1254" s="8"/>
      <c r="D1254" s="8"/>
      <c r="E1254" s="8"/>
      <c r="F1254" s="8"/>
      <c r="G1254" s="8"/>
      <c r="H1254" s="8"/>
      <c r="I1254" s="8"/>
      <c r="J1254" s="8"/>
      <c r="K1254" s="8"/>
      <c r="L1254" s="56"/>
      <c r="M1254" s="26"/>
      <c r="N1254" s="26"/>
      <c r="O1254" s="8"/>
      <c r="P1254" s="1"/>
      <c r="Q1254" s="8"/>
      <c r="R1254" s="8"/>
      <c r="S1254" s="1"/>
      <c r="T1254" s="8"/>
      <c r="U1254" s="8"/>
      <c r="V1254" s="16"/>
      <c r="W1254" s="1"/>
      <c r="X1254" s="1"/>
    </row>
    <row r="1255" spans="1:24" ht="14.4">
      <c r="A1255" s="1"/>
      <c r="B1255" s="8"/>
      <c r="C1255" s="8"/>
      <c r="D1255" s="8"/>
      <c r="E1255" s="8"/>
      <c r="F1255" s="8"/>
      <c r="G1255" s="8"/>
      <c r="H1255" s="8"/>
      <c r="I1255" s="8"/>
      <c r="J1255" s="8"/>
      <c r="K1255" s="8"/>
      <c r="L1255" s="56"/>
      <c r="M1255" s="26"/>
      <c r="N1255" s="26"/>
      <c r="O1255" s="8"/>
      <c r="P1255" s="1"/>
      <c r="Q1255" s="8"/>
      <c r="R1255" s="8"/>
      <c r="S1255" s="1"/>
      <c r="T1255" s="8"/>
      <c r="U1255" s="8"/>
      <c r="V1255" s="16"/>
      <c r="W1255" s="1"/>
      <c r="X1255" s="1"/>
    </row>
    <row r="1256" spans="1:24" ht="14.4">
      <c r="A1256" s="1"/>
      <c r="B1256" s="8"/>
      <c r="C1256" s="8"/>
      <c r="D1256" s="8"/>
      <c r="E1256" s="8"/>
      <c r="F1256" s="8"/>
      <c r="G1256" s="8"/>
      <c r="H1256" s="8"/>
      <c r="I1256" s="8"/>
      <c r="J1256" s="8"/>
      <c r="K1256" s="8"/>
      <c r="L1256" s="56"/>
      <c r="M1256" s="26"/>
      <c r="N1256" s="26"/>
      <c r="O1256" s="8"/>
      <c r="P1256" s="1"/>
      <c r="Q1256" s="8"/>
      <c r="R1256" s="8"/>
      <c r="S1256" s="1"/>
      <c r="T1256" s="8"/>
      <c r="U1256" s="8"/>
      <c r="V1256" s="16"/>
      <c r="W1256" s="1"/>
      <c r="X1256" s="1"/>
    </row>
    <row r="1257" spans="1:24" ht="14.4">
      <c r="A1257" s="1"/>
      <c r="B1257" s="8"/>
      <c r="C1257" s="8"/>
      <c r="D1257" s="8"/>
      <c r="E1257" s="8"/>
      <c r="F1257" s="8"/>
      <c r="G1257" s="8"/>
      <c r="H1257" s="8"/>
      <c r="I1257" s="8"/>
      <c r="J1257" s="8"/>
      <c r="K1257" s="8"/>
      <c r="L1257" s="56"/>
      <c r="M1257" s="26"/>
      <c r="N1257" s="26"/>
      <c r="O1257" s="8"/>
      <c r="P1257" s="1"/>
      <c r="Q1257" s="8"/>
      <c r="R1257" s="8"/>
      <c r="S1257" s="1"/>
      <c r="T1257" s="8"/>
      <c r="U1257" s="8"/>
      <c r="V1257" s="16"/>
      <c r="W1257" s="1"/>
      <c r="X1257" s="1"/>
    </row>
    <row r="1258" spans="1:24" ht="14.4">
      <c r="A1258" s="1"/>
      <c r="B1258" s="8"/>
      <c r="C1258" s="8"/>
      <c r="D1258" s="8"/>
      <c r="E1258" s="8"/>
      <c r="F1258" s="8"/>
      <c r="G1258" s="8"/>
      <c r="H1258" s="8"/>
      <c r="I1258" s="8"/>
      <c r="J1258" s="8"/>
      <c r="K1258" s="8"/>
      <c r="L1258" s="56"/>
      <c r="M1258" s="26"/>
      <c r="N1258" s="26"/>
      <c r="O1258" s="8"/>
      <c r="P1258" s="1"/>
      <c r="Q1258" s="8"/>
      <c r="R1258" s="8"/>
      <c r="S1258" s="1"/>
      <c r="T1258" s="8"/>
      <c r="U1258" s="8"/>
      <c r="V1258" s="16"/>
      <c r="W1258" s="1"/>
      <c r="X1258" s="1"/>
    </row>
    <row r="1259" spans="1:24" ht="14.4">
      <c r="A1259" s="1"/>
      <c r="B1259" s="8"/>
      <c r="C1259" s="8"/>
      <c r="D1259" s="8"/>
      <c r="E1259" s="8"/>
      <c r="F1259" s="8"/>
      <c r="G1259" s="8"/>
      <c r="H1259" s="8"/>
      <c r="I1259" s="8"/>
      <c r="J1259" s="8"/>
      <c r="K1259" s="8"/>
      <c r="L1259" s="56"/>
      <c r="M1259" s="26"/>
      <c r="N1259" s="26"/>
      <c r="O1259" s="8"/>
      <c r="P1259" s="1"/>
      <c r="Q1259" s="8"/>
      <c r="R1259" s="8"/>
      <c r="S1259" s="1"/>
      <c r="T1259" s="8"/>
      <c r="U1259" s="8"/>
      <c r="V1259" s="16"/>
      <c r="W1259" s="1"/>
      <c r="X1259" s="1"/>
    </row>
    <row r="1260" spans="1:24" ht="14.4">
      <c r="A1260" s="1"/>
      <c r="B1260" s="8"/>
      <c r="C1260" s="8"/>
      <c r="D1260" s="8"/>
      <c r="E1260" s="8"/>
      <c r="F1260" s="8"/>
      <c r="G1260" s="8"/>
      <c r="H1260" s="8"/>
      <c r="I1260" s="8"/>
      <c r="J1260" s="8"/>
      <c r="K1260" s="8"/>
      <c r="L1260" s="56"/>
      <c r="M1260" s="26"/>
      <c r="N1260" s="26"/>
      <c r="O1260" s="8"/>
      <c r="P1260" s="1"/>
      <c r="Q1260" s="8"/>
      <c r="R1260" s="8"/>
      <c r="S1260" s="1"/>
      <c r="T1260" s="8"/>
      <c r="U1260" s="8"/>
      <c r="V1260" s="16"/>
      <c r="W1260" s="1"/>
      <c r="X1260" s="1"/>
    </row>
    <row r="1261" spans="1:24" ht="14.4">
      <c r="A1261" s="1"/>
      <c r="B1261" s="8"/>
      <c r="C1261" s="8"/>
      <c r="D1261" s="8"/>
      <c r="E1261" s="8"/>
      <c r="F1261" s="8"/>
      <c r="G1261" s="8"/>
      <c r="H1261" s="8"/>
      <c r="I1261" s="8"/>
      <c r="J1261" s="8"/>
      <c r="K1261" s="8"/>
      <c r="L1261" s="56"/>
      <c r="M1261" s="26"/>
      <c r="N1261" s="26"/>
      <c r="O1261" s="8"/>
      <c r="P1261" s="1"/>
      <c r="Q1261" s="8"/>
      <c r="R1261" s="8"/>
      <c r="S1261" s="1"/>
      <c r="T1261" s="8"/>
      <c r="U1261" s="8"/>
      <c r="V1261" s="16"/>
      <c r="W1261" s="1"/>
      <c r="X1261" s="1"/>
    </row>
    <row r="1262" spans="1:24" ht="14.4">
      <c r="A1262" s="1"/>
      <c r="B1262" s="8"/>
      <c r="C1262" s="8"/>
      <c r="D1262" s="8"/>
      <c r="E1262" s="8"/>
      <c r="F1262" s="8"/>
      <c r="G1262" s="8"/>
      <c r="H1262" s="8"/>
      <c r="I1262" s="8"/>
      <c r="J1262" s="8"/>
      <c r="K1262" s="8"/>
      <c r="L1262" s="56"/>
      <c r="M1262" s="26"/>
      <c r="N1262" s="26"/>
      <c r="O1262" s="8"/>
      <c r="P1262" s="1"/>
      <c r="Q1262" s="8"/>
      <c r="R1262" s="8"/>
      <c r="S1262" s="1"/>
      <c r="T1262" s="8"/>
      <c r="U1262" s="8"/>
      <c r="V1262" s="16"/>
      <c r="W1262" s="1"/>
      <c r="X1262" s="1"/>
    </row>
    <row r="1263" spans="1:24" ht="14.4">
      <c r="A1263" s="1"/>
      <c r="B1263" s="8"/>
      <c r="C1263" s="8"/>
      <c r="D1263" s="8"/>
      <c r="E1263" s="8"/>
      <c r="F1263" s="8"/>
      <c r="G1263" s="8"/>
      <c r="H1263" s="8"/>
      <c r="I1263" s="8"/>
      <c r="J1263" s="8"/>
      <c r="K1263" s="8"/>
      <c r="L1263" s="56"/>
      <c r="M1263" s="26"/>
      <c r="N1263" s="26"/>
      <c r="O1263" s="8"/>
      <c r="P1263" s="1"/>
      <c r="Q1263" s="8"/>
      <c r="R1263" s="8"/>
      <c r="S1263" s="1"/>
      <c r="T1263" s="8"/>
      <c r="U1263" s="8"/>
      <c r="V1263" s="16"/>
      <c r="W1263" s="1"/>
      <c r="X1263" s="1"/>
    </row>
    <row r="1264" spans="1:24" ht="14.4">
      <c r="A1264" s="1"/>
      <c r="B1264" s="8"/>
      <c r="C1264" s="8"/>
      <c r="D1264" s="8"/>
      <c r="E1264" s="8"/>
      <c r="F1264" s="8"/>
      <c r="G1264" s="8"/>
      <c r="H1264" s="8"/>
      <c r="I1264" s="8"/>
      <c r="J1264" s="8"/>
      <c r="K1264" s="8"/>
      <c r="L1264" s="56"/>
      <c r="M1264" s="26"/>
      <c r="N1264" s="26"/>
      <c r="O1264" s="8"/>
      <c r="P1264" s="1"/>
      <c r="Q1264" s="8"/>
      <c r="R1264" s="8"/>
      <c r="S1264" s="1"/>
      <c r="T1264" s="8"/>
      <c r="U1264" s="8"/>
      <c r="V1264" s="16"/>
      <c r="W1264" s="1"/>
      <c r="X1264" s="1"/>
    </row>
    <row r="1265" spans="1:24" ht="14.4">
      <c r="A1265" s="1"/>
      <c r="B1265" s="8"/>
      <c r="C1265" s="8"/>
      <c r="D1265" s="8"/>
      <c r="E1265" s="8"/>
      <c r="F1265" s="8"/>
      <c r="G1265" s="8"/>
      <c r="H1265" s="8"/>
      <c r="I1265" s="8"/>
      <c r="J1265" s="8"/>
      <c r="K1265" s="8"/>
      <c r="L1265" s="56"/>
      <c r="M1265" s="26"/>
      <c r="N1265" s="26"/>
      <c r="O1265" s="8"/>
      <c r="P1265" s="1"/>
      <c r="Q1265" s="8"/>
      <c r="R1265" s="8"/>
      <c r="S1265" s="1"/>
      <c r="T1265" s="8"/>
      <c r="U1265" s="8"/>
      <c r="V1265" s="16"/>
      <c r="W1265" s="1"/>
      <c r="X1265" s="1"/>
    </row>
    <row r="1266" spans="1:24" ht="14.4">
      <c r="A1266" s="1"/>
      <c r="B1266" s="8"/>
      <c r="C1266" s="8"/>
      <c r="D1266" s="8"/>
      <c r="E1266" s="8"/>
      <c r="F1266" s="8"/>
      <c r="G1266" s="8"/>
      <c r="H1266" s="8"/>
      <c r="I1266" s="8"/>
      <c r="J1266" s="8"/>
      <c r="K1266" s="8"/>
      <c r="L1266" s="56"/>
      <c r="M1266" s="26"/>
      <c r="N1266" s="26"/>
      <c r="O1266" s="8"/>
      <c r="P1266" s="1"/>
      <c r="Q1266" s="8"/>
      <c r="R1266" s="8"/>
      <c r="S1266" s="1"/>
      <c r="T1266" s="8"/>
      <c r="U1266" s="8"/>
      <c r="V1266" s="16"/>
      <c r="W1266" s="1"/>
      <c r="X1266" s="1"/>
    </row>
    <row r="1267" spans="1:24" ht="14.4">
      <c r="A1267" s="1"/>
      <c r="B1267" s="8"/>
      <c r="C1267" s="8"/>
      <c r="D1267" s="8"/>
      <c r="E1267" s="8"/>
      <c r="F1267" s="8"/>
      <c r="G1267" s="8"/>
      <c r="H1267" s="8"/>
      <c r="I1267" s="8"/>
      <c r="J1267" s="8"/>
      <c r="K1267" s="8"/>
      <c r="L1267" s="56"/>
      <c r="M1267" s="26"/>
      <c r="N1267" s="26"/>
      <c r="O1267" s="8"/>
      <c r="P1267" s="1"/>
      <c r="Q1267" s="8"/>
      <c r="R1267" s="8"/>
      <c r="S1267" s="1"/>
      <c r="T1267" s="8"/>
      <c r="U1267" s="8"/>
      <c r="V1267" s="16"/>
      <c r="W1267" s="1"/>
      <c r="X1267" s="1"/>
    </row>
    <row r="1268" spans="1:24" ht="14.4">
      <c r="A1268" s="1"/>
      <c r="B1268" s="8"/>
      <c r="C1268" s="8"/>
      <c r="D1268" s="8"/>
      <c r="E1268" s="8"/>
      <c r="F1268" s="8"/>
      <c r="G1268" s="8"/>
      <c r="H1268" s="8"/>
      <c r="I1268" s="8"/>
      <c r="J1268" s="8"/>
      <c r="K1268" s="8"/>
      <c r="L1268" s="56"/>
      <c r="M1268" s="26"/>
      <c r="N1268" s="26"/>
      <c r="O1268" s="8"/>
      <c r="P1268" s="1"/>
      <c r="Q1268" s="8"/>
      <c r="R1268" s="8"/>
      <c r="S1268" s="1"/>
      <c r="T1268" s="8"/>
      <c r="U1268" s="8"/>
      <c r="V1268" s="16"/>
      <c r="W1268" s="1"/>
      <c r="X1268" s="1"/>
    </row>
    <row r="1269" spans="1:24" ht="14.4">
      <c r="A1269" s="1"/>
      <c r="B1269" s="8"/>
      <c r="C1269" s="8"/>
      <c r="D1269" s="8"/>
      <c r="E1269" s="8"/>
      <c r="F1269" s="8"/>
      <c r="G1269" s="8"/>
      <c r="H1269" s="8"/>
      <c r="I1269" s="8"/>
      <c r="J1269" s="8"/>
      <c r="K1269" s="8"/>
      <c r="L1269" s="56"/>
      <c r="M1269" s="26"/>
      <c r="N1269" s="26"/>
      <c r="O1269" s="8"/>
      <c r="P1269" s="1"/>
      <c r="Q1269" s="8"/>
      <c r="R1269" s="8"/>
      <c r="S1269" s="1"/>
      <c r="T1269" s="8"/>
      <c r="U1269" s="8"/>
      <c r="V1269" s="16"/>
      <c r="W1269" s="1"/>
      <c r="X1269" s="1"/>
    </row>
    <row r="1270" spans="1:24" ht="14.4">
      <c r="A1270" s="1"/>
      <c r="B1270" s="8"/>
      <c r="C1270" s="8"/>
      <c r="D1270" s="8"/>
      <c r="E1270" s="8"/>
      <c r="F1270" s="8"/>
      <c r="G1270" s="8"/>
      <c r="H1270" s="8"/>
      <c r="I1270" s="8"/>
      <c r="J1270" s="8"/>
      <c r="K1270" s="8"/>
      <c r="L1270" s="56"/>
      <c r="M1270" s="26"/>
      <c r="N1270" s="26"/>
      <c r="O1270" s="8"/>
      <c r="P1270" s="1"/>
      <c r="Q1270" s="8"/>
      <c r="R1270" s="8"/>
      <c r="S1270" s="1"/>
      <c r="T1270" s="8"/>
      <c r="U1270" s="8"/>
      <c r="V1270" s="16"/>
      <c r="W1270" s="1"/>
      <c r="X1270" s="1"/>
    </row>
    <row r="1271" spans="1:24" ht="14.4">
      <c r="A1271" s="1"/>
      <c r="B1271" s="8"/>
      <c r="C1271" s="8"/>
      <c r="D1271" s="8"/>
      <c r="E1271" s="8"/>
      <c r="F1271" s="8"/>
      <c r="G1271" s="8"/>
      <c r="H1271" s="8"/>
      <c r="I1271" s="8"/>
      <c r="J1271" s="8"/>
      <c r="K1271" s="8"/>
      <c r="L1271" s="56"/>
      <c r="M1271" s="26"/>
      <c r="N1271" s="26"/>
      <c r="O1271" s="8"/>
      <c r="P1271" s="1"/>
      <c r="Q1271" s="8"/>
      <c r="R1271" s="8"/>
      <c r="S1271" s="1"/>
      <c r="T1271" s="8"/>
      <c r="U1271" s="8"/>
      <c r="V1271" s="16"/>
      <c r="W1271" s="1"/>
      <c r="X1271" s="1"/>
    </row>
    <row r="1272" spans="1:24" ht="14.4">
      <c r="A1272" s="1"/>
      <c r="B1272" s="8"/>
      <c r="C1272" s="8"/>
      <c r="D1272" s="8"/>
      <c r="E1272" s="8"/>
      <c r="F1272" s="8"/>
      <c r="G1272" s="8"/>
      <c r="H1272" s="8"/>
      <c r="I1272" s="8"/>
      <c r="J1272" s="8"/>
      <c r="K1272" s="8"/>
      <c r="L1272" s="56"/>
      <c r="M1272" s="26"/>
      <c r="N1272" s="26"/>
      <c r="O1272" s="8"/>
      <c r="P1272" s="1"/>
      <c r="Q1272" s="8"/>
      <c r="R1272" s="8"/>
      <c r="S1272" s="1"/>
      <c r="T1272" s="8"/>
      <c r="U1272" s="8"/>
      <c r="V1272" s="16"/>
      <c r="W1272" s="1"/>
      <c r="X1272" s="1"/>
    </row>
    <row r="1273" spans="1:24" ht="14.4">
      <c r="A1273" s="1"/>
      <c r="B1273" s="8"/>
      <c r="C1273" s="8"/>
      <c r="D1273" s="8"/>
      <c r="E1273" s="8"/>
      <c r="F1273" s="8"/>
      <c r="G1273" s="8"/>
      <c r="H1273" s="8"/>
      <c r="I1273" s="8"/>
      <c r="J1273" s="8"/>
      <c r="K1273" s="8"/>
      <c r="L1273" s="56"/>
      <c r="M1273" s="26"/>
      <c r="N1273" s="26"/>
      <c r="O1273" s="8"/>
      <c r="P1273" s="1"/>
      <c r="Q1273" s="8"/>
      <c r="R1273" s="8"/>
      <c r="S1273" s="1"/>
      <c r="T1273" s="8"/>
      <c r="U1273" s="8"/>
      <c r="V1273" s="16"/>
      <c r="W1273" s="1"/>
      <c r="X1273" s="1"/>
    </row>
    <row r="1274" spans="1:24" ht="14.4">
      <c r="A1274" s="1"/>
      <c r="B1274" s="8"/>
      <c r="C1274" s="8"/>
      <c r="D1274" s="8"/>
      <c r="E1274" s="8"/>
      <c r="F1274" s="8"/>
      <c r="G1274" s="8"/>
      <c r="H1274" s="8"/>
      <c r="I1274" s="8"/>
      <c r="J1274" s="8"/>
      <c r="K1274" s="8"/>
      <c r="L1274" s="56"/>
      <c r="M1274" s="26"/>
      <c r="N1274" s="26"/>
      <c r="O1274" s="8"/>
      <c r="P1274" s="1"/>
      <c r="Q1274" s="8"/>
      <c r="R1274" s="8"/>
      <c r="S1274" s="1"/>
      <c r="T1274" s="8"/>
      <c r="U1274" s="8"/>
      <c r="V1274" s="16"/>
      <c r="W1274" s="1"/>
      <c r="X1274" s="1"/>
    </row>
    <row r="1275" spans="1:24" ht="14.4">
      <c r="A1275" s="1"/>
      <c r="B1275" s="8"/>
      <c r="C1275" s="8"/>
      <c r="D1275" s="8"/>
      <c r="E1275" s="8"/>
      <c r="F1275" s="8"/>
      <c r="G1275" s="8"/>
      <c r="H1275" s="8"/>
      <c r="I1275" s="8"/>
      <c r="J1275" s="8"/>
      <c r="K1275" s="8"/>
      <c r="L1275" s="56"/>
      <c r="M1275" s="26"/>
      <c r="N1275" s="26"/>
      <c r="O1275" s="8"/>
      <c r="P1275" s="1"/>
      <c r="Q1275" s="8"/>
      <c r="R1275" s="8"/>
      <c r="S1275" s="1"/>
      <c r="T1275" s="8"/>
      <c r="U1275" s="8"/>
      <c r="V1275" s="16"/>
      <c r="W1275" s="1"/>
      <c r="X1275" s="1"/>
    </row>
    <row r="1276" spans="1:24" ht="14.4">
      <c r="A1276" s="1"/>
      <c r="B1276" s="8"/>
      <c r="C1276" s="8"/>
      <c r="D1276" s="8"/>
      <c r="E1276" s="8"/>
      <c r="F1276" s="8"/>
      <c r="G1276" s="8"/>
      <c r="H1276" s="8"/>
      <c r="I1276" s="8"/>
      <c r="J1276" s="8"/>
      <c r="K1276" s="8"/>
      <c r="L1276" s="56"/>
      <c r="M1276" s="26"/>
      <c r="N1276" s="26"/>
      <c r="O1276" s="8"/>
      <c r="P1276" s="1"/>
      <c r="Q1276" s="8"/>
      <c r="R1276" s="8"/>
      <c r="S1276" s="1"/>
      <c r="T1276" s="8"/>
      <c r="U1276" s="8"/>
      <c r="V1276" s="16"/>
      <c r="W1276" s="1"/>
      <c r="X1276" s="1"/>
    </row>
    <row r="1277" spans="1:24" ht="14.4">
      <c r="A1277" s="1"/>
      <c r="B1277" s="8"/>
      <c r="C1277" s="8"/>
      <c r="D1277" s="8"/>
      <c r="E1277" s="8"/>
      <c r="F1277" s="8"/>
      <c r="G1277" s="8"/>
      <c r="H1277" s="8"/>
      <c r="I1277" s="8"/>
      <c r="J1277" s="8"/>
      <c r="K1277" s="8"/>
      <c r="L1277" s="56"/>
      <c r="M1277" s="26"/>
      <c r="N1277" s="26"/>
      <c r="O1277" s="8"/>
      <c r="P1277" s="1"/>
      <c r="Q1277" s="8"/>
      <c r="R1277" s="8"/>
      <c r="S1277" s="1"/>
      <c r="T1277" s="8"/>
      <c r="U1277" s="8"/>
      <c r="V1277" s="16"/>
      <c r="W1277" s="1"/>
      <c r="X1277" s="1"/>
    </row>
    <row r="1278" spans="1:24" ht="14.4">
      <c r="A1278" s="1"/>
      <c r="B1278" s="8"/>
      <c r="C1278" s="8"/>
      <c r="D1278" s="8"/>
      <c r="E1278" s="8"/>
      <c r="F1278" s="8"/>
      <c r="G1278" s="8"/>
      <c r="H1278" s="8"/>
      <c r="I1278" s="8"/>
      <c r="J1278" s="8"/>
      <c r="K1278" s="8"/>
      <c r="L1278" s="56"/>
      <c r="M1278" s="26"/>
      <c r="N1278" s="26"/>
      <c r="O1278" s="8"/>
      <c r="P1278" s="1"/>
      <c r="Q1278" s="8"/>
      <c r="R1278" s="8"/>
      <c r="S1278" s="1"/>
      <c r="T1278" s="8"/>
      <c r="U1278" s="8"/>
      <c r="V1278" s="16"/>
      <c r="W1278" s="1"/>
      <c r="X1278" s="1"/>
    </row>
    <row r="1279" spans="1:24" ht="14.4">
      <c r="A1279" s="1"/>
      <c r="B1279" s="8"/>
      <c r="C1279" s="8"/>
      <c r="D1279" s="8"/>
      <c r="E1279" s="8"/>
      <c r="F1279" s="8"/>
      <c r="G1279" s="8"/>
      <c r="H1279" s="8"/>
      <c r="I1279" s="8"/>
      <c r="J1279" s="8"/>
      <c r="K1279" s="8"/>
      <c r="L1279" s="56"/>
      <c r="M1279" s="26"/>
      <c r="N1279" s="26"/>
      <c r="O1279" s="8"/>
      <c r="P1279" s="1"/>
      <c r="Q1279" s="8"/>
      <c r="R1279" s="8"/>
      <c r="S1279" s="1"/>
      <c r="T1279" s="8"/>
      <c r="U1279" s="8"/>
      <c r="V1279" s="16"/>
      <c r="W1279" s="1"/>
      <c r="X1279" s="1"/>
    </row>
    <row r="1280" spans="1:24" ht="14.4">
      <c r="A1280" s="1"/>
      <c r="B1280" s="8"/>
      <c r="C1280" s="8"/>
      <c r="D1280" s="8"/>
      <c r="E1280" s="8"/>
      <c r="F1280" s="8"/>
      <c r="G1280" s="8"/>
      <c r="H1280" s="8"/>
      <c r="I1280" s="8"/>
      <c r="J1280" s="8"/>
      <c r="K1280" s="8"/>
      <c r="L1280" s="56"/>
      <c r="M1280" s="26"/>
      <c r="N1280" s="26"/>
      <c r="O1280" s="8"/>
      <c r="P1280" s="1"/>
      <c r="Q1280" s="8"/>
      <c r="R1280" s="8"/>
      <c r="S1280" s="1"/>
      <c r="T1280" s="8"/>
      <c r="U1280" s="8"/>
      <c r="V1280" s="16"/>
      <c r="W1280" s="1"/>
      <c r="X1280" s="1"/>
    </row>
    <row r="1281" spans="1:24" ht="14.4">
      <c r="A1281" s="1"/>
      <c r="B1281" s="8"/>
      <c r="C1281" s="8"/>
      <c r="D1281" s="8"/>
      <c r="E1281" s="8"/>
      <c r="F1281" s="8"/>
      <c r="G1281" s="8"/>
      <c r="H1281" s="8"/>
      <c r="I1281" s="8"/>
      <c r="J1281" s="8"/>
      <c r="K1281" s="8"/>
      <c r="L1281" s="56"/>
      <c r="M1281" s="26"/>
      <c r="N1281" s="26"/>
      <c r="O1281" s="8"/>
      <c r="P1281" s="1"/>
      <c r="Q1281" s="8"/>
      <c r="R1281" s="8"/>
      <c r="S1281" s="1"/>
      <c r="T1281" s="8"/>
      <c r="U1281" s="8"/>
      <c r="V1281" s="16"/>
      <c r="W1281" s="1"/>
      <c r="X1281" s="1"/>
    </row>
    <row r="1282" spans="1:24" ht="14.4">
      <c r="A1282" s="1"/>
      <c r="B1282" s="8"/>
      <c r="C1282" s="8"/>
      <c r="D1282" s="8"/>
      <c r="E1282" s="8"/>
      <c r="F1282" s="8"/>
      <c r="G1282" s="8"/>
      <c r="H1282" s="8"/>
      <c r="I1282" s="8"/>
      <c r="J1282" s="8"/>
      <c r="K1282" s="8"/>
      <c r="L1282" s="56"/>
      <c r="M1282" s="26"/>
      <c r="N1282" s="26"/>
      <c r="O1282" s="8"/>
      <c r="P1282" s="1"/>
      <c r="Q1282" s="8"/>
      <c r="R1282" s="8"/>
      <c r="S1282" s="1"/>
      <c r="T1282" s="8"/>
      <c r="U1282" s="8"/>
      <c r="V1282" s="16"/>
      <c r="W1282" s="1"/>
      <c r="X1282" s="1"/>
    </row>
    <row r="1283" spans="1:24" ht="14.4">
      <c r="A1283" s="1"/>
      <c r="B1283" s="8"/>
      <c r="C1283" s="8"/>
      <c r="D1283" s="8"/>
      <c r="E1283" s="8"/>
      <c r="F1283" s="8"/>
      <c r="G1283" s="8"/>
      <c r="H1283" s="8"/>
      <c r="I1283" s="8"/>
      <c r="J1283" s="8"/>
      <c r="K1283" s="8"/>
      <c r="L1283" s="56"/>
      <c r="M1283" s="26"/>
      <c r="N1283" s="26"/>
      <c r="O1283" s="8"/>
      <c r="P1283" s="1"/>
      <c r="Q1283" s="8"/>
      <c r="R1283" s="8"/>
      <c r="S1283" s="1"/>
      <c r="T1283" s="8"/>
      <c r="U1283" s="8"/>
      <c r="V1283" s="16"/>
      <c r="W1283" s="1"/>
      <c r="X1283" s="1"/>
    </row>
    <row r="1284" spans="1:24" ht="14.4">
      <c r="A1284" s="1"/>
      <c r="B1284" s="8"/>
      <c r="C1284" s="8"/>
      <c r="D1284" s="8"/>
      <c r="E1284" s="8"/>
      <c r="F1284" s="8"/>
      <c r="G1284" s="8"/>
      <c r="H1284" s="8"/>
      <c r="I1284" s="8"/>
      <c r="J1284" s="8"/>
      <c r="K1284" s="8"/>
      <c r="L1284" s="56"/>
      <c r="M1284" s="26"/>
      <c r="N1284" s="26"/>
      <c r="O1284" s="8"/>
      <c r="P1284" s="1"/>
      <c r="Q1284" s="8"/>
      <c r="R1284" s="8"/>
      <c r="S1284" s="1"/>
      <c r="T1284" s="8"/>
      <c r="U1284" s="8"/>
      <c r="V1284" s="16"/>
      <c r="W1284" s="1"/>
      <c r="X1284" s="1"/>
    </row>
    <row r="1285" spans="1:24" ht="14.4">
      <c r="A1285" s="1"/>
      <c r="B1285" s="8"/>
      <c r="C1285" s="8"/>
      <c r="D1285" s="8"/>
      <c r="E1285" s="8"/>
      <c r="F1285" s="8"/>
      <c r="G1285" s="8"/>
      <c r="H1285" s="8"/>
      <c r="I1285" s="8"/>
      <c r="J1285" s="8"/>
      <c r="K1285" s="8"/>
      <c r="L1285" s="56"/>
      <c r="M1285" s="26"/>
      <c r="N1285" s="26"/>
      <c r="O1285" s="8"/>
      <c r="P1285" s="1"/>
      <c r="Q1285" s="8"/>
      <c r="R1285" s="8"/>
      <c r="S1285" s="1"/>
      <c r="T1285" s="8"/>
      <c r="U1285" s="8"/>
      <c r="V1285" s="16"/>
      <c r="W1285" s="1"/>
      <c r="X1285" s="1"/>
    </row>
    <row r="1286" spans="1:24" ht="14.4">
      <c r="A1286" s="1"/>
      <c r="B1286" s="8"/>
      <c r="C1286" s="8"/>
      <c r="D1286" s="8"/>
      <c r="E1286" s="8"/>
      <c r="F1286" s="8"/>
      <c r="G1286" s="8"/>
      <c r="H1286" s="8"/>
      <c r="I1286" s="8"/>
      <c r="J1286" s="8"/>
      <c r="K1286" s="8"/>
      <c r="L1286" s="56"/>
      <c r="M1286" s="26"/>
      <c r="N1286" s="26"/>
      <c r="O1286" s="8"/>
      <c r="P1286" s="1"/>
      <c r="Q1286" s="8"/>
      <c r="R1286" s="8"/>
      <c r="S1286" s="1"/>
      <c r="T1286" s="8"/>
      <c r="U1286" s="8"/>
      <c r="V1286" s="16"/>
      <c r="W1286" s="1"/>
      <c r="X1286" s="1"/>
    </row>
    <row r="1287" spans="1:24" ht="14.4">
      <c r="A1287" s="1"/>
      <c r="B1287" s="8"/>
      <c r="C1287" s="8"/>
      <c r="D1287" s="8"/>
      <c r="E1287" s="8"/>
      <c r="F1287" s="8"/>
      <c r="G1287" s="8"/>
      <c r="H1287" s="8"/>
      <c r="I1287" s="8"/>
      <c r="J1287" s="8"/>
      <c r="K1287" s="8"/>
      <c r="L1287" s="56"/>
      <c r="M1287" s="26"/>
      <c r="N1287" s="26"/>
      <c r="O1287" s="8"/>
      <c r="P1287" s="1"/>
      <c r="Q1287" s="8"/>
      <c r="R1287" s="8"/>
      <c r="S1287" s="1"/>
      <c r="T1287" s="8"/>
      <c r="U1287" s="8"/>
      <c r="V1287" s="16"/>
      <c r="W1287" s="1"/>
      <c r="X1287" s="1"/>
    </row>
    <row r="1288" spans="1:24" ht="14.4">
      <c r="A1288" s="1"/>
      <c r="B1288" s="8"/>
      <c r="C1288" s="8"/>
      <c r="D1288" s="8"/>
      <c r="E1288" s="8"/>
      <c r="F1288" s="8"/>
      <c r="G1288" s="8"/>
      <c r="H1288" s="8"/>
      <c r="I1288" s="8"/>
      <c r="J1288" s="8"/>
      <c r="K1288" s="8"/>
      <c r="L1288" s="56"/>
      <c r="M1288" s="26"/>
      <c r="N1288" s="26"/>
      <c r="O1288" s="8"/>
      <c r="P1288" s="1"/>
      <c r="Q1288" s="8"/>
      <c r="R1288" s="8"/>
      <c r="S1288" s="1"/>
      <c r="T1288" s="8"/>
      <c r="U1288" s="8"/>
      <c r="V1288" s="16"/>
      <c r="W1288" s="1"/>
      <c r="X1288" s="1"/>
    </row>
    <row r="1289" spans="1:24" ht="14.4">
      <c r="A1289" s="1"/>
      <c r="B1289" s="8"/>
      <c r="C1289" s="8"/>
      <c r="D1289" s="8"/>
      <c r="E1289" s="8"/>
      <c r="F1289" s="8"/>
      <c r="G1289" s="8"/>
      <c r="H1289" s="8"/>
      <c r="I1289" s="8"/>
      <c r="J1289" s="8"/>
      <c r="K1289" s="8"/>
      <c r="L1289" s="56"/>
      <c r="M1289" s="26"/>
      <c r="N1289" s="26"/>
      <c r="O1289" s="8"/>
      <c r="P1289" s="1"/>
      <c r="Q1289" s="8"/>
      <c r="R1289" s="8"/>
      <c r="S1289" s="1"/>
      <c r="T1289" s="8"/>
      <c r="U1289" s="8"/>
      <c r="V1289" s="16"/>
      <c r="W1289" s="1"/>
      <c r="X1289" s="1"/>
    </row>
    <row r="1290" spans="1:24" ht="14.4">
      <c r="A1290" s="1"/>
      <c r="B1290" s="8"/>
      <c r="C1290" s="8"/>
      <c r="D1290" s="8"/>
      <c r="E1290" s="8"/>
      <c r="F1290" s="8"/>
      <c r="G1290" s="8"/>
      <c r="H1290" s="8"/>
      <c r="I1290" s="8"/>
      <c r="J1290" s="8"/>
      <c r="K1290" s="8"/>
      <c r="L1290" s="56"/>
      <c r="M1290" s="26"/>
      <c r="N1290" s="26"/>
      <c r="O1290" s="8"/>
      <c r="P1290" s="1"/>
      <c r="Q1290" s="8"/>
      <c r="R1290" s="8"/>
      <c r="S1290" s="1"/>
      <c r="T1290" s="8"/>
      <c r="U1290" s="8"/>
      <c r="V1290" s="16"/>
      <c r="W1290" s="1"/>
      <c r="X1290" s="1"/>
    </row>
    <row r="1291" spans="1:24" ht="14.4">
      <c r="A1291" s="1"/>
      <c r="B1291" s="8"/>
      <c r="C1291" s="8"/>
      <c r="D1291" s="8"/>
      <c r="E1291" s="8"/>
      <c r="F1291" s="8"/>
      <c r="G1291" s="8"/>
      <c r="H1291" s="8"/>
      <c r="I1291" s="8"/>
      <c r="J1291" s="8"/>
      <c r="K1291" s="8"/>
      <c r="L1291" s="56"/>
      <c r="M1291" s="26"/>
      <c r="N1291" s="26"/>
      <c r="O1291" s="8"/>
      <c r="P1291" s="1"/>
      <c r="Q1291" s="8"/>
      <c r="R1291" s="8"/>
      <c r="S1291" s="1"/>
      <c r="T1291" s="8"/>
      <c r="U1291" s="8"/>
      <c r="V1291" s="16"/>
      <c r="W1291" s="1"/>
      <c r="X1291" s="1"/>
    </row>
    <row r="1292" spans="1:24" ht="14.4">
      <c r="A1292" s="1"/>
      <c r="B1292" s="8"/>
      <c r="C1292" s="8"/>
      <c r="D1292" s="8"/>
      <c r="E1292" s="8"/>
      <c r="F1292" s="8"/>
      <c r="G1292" s="8"/>
      <c r="H1292" s="8"/>
      <c r="I1292" s="8"/>
      <c r="J1292" s="8"/>
      <c r="K1292" s="8"/>
      <c r="L1292" s="56"/>
      <c r="M1292" s="26"/>
      <c r="N1292" s="26"/>
      <c r="O1292" s="8"/>
      <c r="P1292" s="1"/>
      <c r="Q1292" s="8"/>
      <c r="R1292" s="8"/>
      <c r="S1292" s="1"/>
      <c r="T1292" s="8"/>
      <c r="U1292" s="8"/>
      <c r="V1292" s="16"/>
      <c r="W1292" s="1"/>
      <c r="X1292" s="1"/>
    </row>
    <row r="1293" spans="1:24" ht="14.4">
      <c r="A1293" s="1"/>
      <c r="B1293" s="8"/>
      <c r="C1293" s="8"/>
      <c r="D1293" s="8"/>
      <c r="E1293" s="8"/>
      <c r="F1293" s="8"/>
      <c r="G1293" s="8"/>
      <c r="H1293" s="8"/>
      <c r="I1293" s="8"/>
      <c r="J1293" s="8"/>
      <c r="K1293" s="8"/>
      <c r="L1293" s="56"/>
      <c r="M1293" s="26"/>
      <c r="N1293" s="26"/>
      <c r="O1293" s="8"/>
      <c r="P1293" s="1"/>
      <c r="Q1293" s="8"/>
      <c r="R1293" s="8"/>
      <c r="S1293" s="1"/>
      <c r="T1293" s="8"/>
      <c r="U1293" s="8"/>
      <c r="V1293" s="16"/>
      <c r="W1293" s="1"/>
      <c r="X1293" s="1"/>
    </row>
    <row r="1294" spans="1:24" ht="14.4">
      <c r="A1294" s="1"/>
      <c r="B1294" s="8"/>
      <c r="C1294" s="8"/>
      <c r="D1294" s="8"/>
      <c r="E1294" s="8"/>
      <c r="F1294" s="8"/>
      <c r="G1294" s="8"/>
      <c r="H1294" s="8"/>
      <c r="I1294" s="8"/>
      <c r="J1294" s="8"/>
      <c r="K1294" s="8"/>
      <c r="L1294" s="56"/>
      <c r="M1294" s="26"/>
      <c r="N1294" s="26"/>
      <c r="O1294" s="8"/>
      <c r="P1294" s="1"/>
      <c r="Q1294" s="8"/>
      <c r="R1294" s="8"/>
      <c r="S1294" s="1"/>
      <c r="T1294" s="8"/>
      <c r="U1294" s="8"/>
      <c r="V1294" s="16"/>
      <c r="W1294" s="1"/>
      <c r="X1294" s="1"/>
    </row>
    <row r="1295" spans="1:24" ht="14.4">
      <c r="A1295" s="1"/>
      <c r="B1295" s="8"/>
      <c r="C1295" s="8"/>
      <c r="D1295" s="8"/>
      <c r="E1295" s="8"/>
      <c r="F1295" s="8"/>
      <c r="G1295" s="8"/>
      <c r="H1295" s="8"/>
      <c r="I1295" s="8"/>
      <c r="J1295" s="8"/>
      <c r="K1295" s="8"/>
      <c r="L1295" s="56"/>
      <c r="M1295" s="26"/>
      <c r="N1295" s="26"/>
      <c r="O1295" s="8"/>
      <c r="P1295" s="1"/>
      <c r="Q1295" s="8"/>
      <c r="R1295" s="8"/>
      <c r="S1295" s="1"/>
      <c r="T1295" s="8"/>
      <c r="U1295" s="8"/>
      <c r="V1295" s="16"/>
      <c r="W1295" s="1"/>
      <c r="X1295" s="1"/>
    </row>
    <row r="1296" spans="1:24" ht="14.4">
      <c r="A1296" s="1"/>
      <c r="B1296" s="8"/>
      <c r="C1296" s="8"/>
      <c r="D1296" s="8"/>
      <c r="E1296" s="8"/>
      <c r="F1296" s="8"/>
      <c r="G1296" s="8"/>
      <c r="H1296" s="8"/>
      <c r="I1296" s="8"/>
      <c r="J1296" s="8"/>
      <c r="K1296" s="8"/>
      <c r="L1296" s="56"/>
      <c r="M1296" s="26"/>
      <c r="N1296" s="26"/>
      <c r="O1296" s="8"/>
      <c r="P1296" s="1"/>
      <c r="Q1296" s="8"/>
      <c r="R1296" s="8"/>
      <c r="S1296" s="1"/>
      <c r="T1296" s="8"/>
      <c r="U1296" s="8"/>
      <c r="V1296" s="16"/>
      <c r="W1296" s="1"/>
      <c r="X1296" s="1"/>
    </row>
    <row r="1297" spans="1:24" ht="14.4">
      <c r="A1297" s="1"/>
      <c r="B1297" s="8"/>
      <c r="C1297" s="8"/>
      <c r="D1297" s="8"/>
      <c r="E1297" s="8"/>
      <c r="F1297" s="8"/>
      <c r="G1297" s="8"/>
      <c r="H1297" s="8"/>
      <c r="I1297" s="8"/>
      <c r="J1297" s="8"/>
      <c r="K1297" s="8"/>
      <c r="L1297" s="56"/>
      <c r="M1297" s="26"/>
      <c r="N1297" s="26"/>
      <c r="O1297" s="8"/>
      <c r="P1297" s="1"/>
      <c r="Q1297" s="8"/>
      <c r="R1297" s="8"/>
      <c r="S1297" s="1"/>
      <c r="T1297" s="8"/>
      <c r="U1297" s="8"/>
      <c r="V1297" s="16"/>
      <c r="W1297" s="1"/>
      <c r="X1297" s="1"/>
    </row>
    <row r="1298" spans="1:24" ht="14.4">
      <c r="A1298" s="1"/>
      <c r="B1298" s="8"/>
      <c r="C1298" s="8"/>
      <c r="D1298" s="8"/>
      <c r="E1298" s="8"/>
      <c r="F1298" s="8"/>
      <c r="G1298" s="8"/>
      <c r="H1298" s="8"/>
      <c r="I1298" s="8"/>
      <c r="J1298" s="8"/>
      <c r="K1298" s="8"/>
      <c r="L1298" s="56"/>
      <c r="M1298" s="26"/>
      <c r="N1298" s="26"/>
      <c r="O1298" s="8"/>
      <c r="P1298" s="1"/>
      <c r="Q1298" s="8"/>
      <c r="R1298" s="8"/>
      <c r="S1298" s="1"/>
      <c r="T1298" s="8"/>
      <c r="U1298" s="8"/>
      <c r="V1298" s="16"/>
      <c r="W1298" s="1"/>
      <c r="X1298" s="1"/>
    </row>
    <row r="1299" spans="1:24" ht="14.4">
      <c r="A1299" s="1"/>
      <c r="B1299" s="8"/>
      <c r="C1299" s="8"/>
      <c r="D1299" s="8"/>
      <c r="E1299" s="8"/>
      <c r="F1299" s="8"/>
      <c r="G1299" s="8"/>
      <c r="H1299" s="8"/>
      <c r="I1299" s="8"/>
      <c r="J1299" s="8"/>
      <c r="K1299" s="8"/>
      <c r="L1299" s="56"/>
      <c r="M1299" s="26"/>
      <c r="N1299" s="26"/>
      <c r="O1299" s="8"/>
      <c r="P1299" s="1"/>
      <c r="Q1299" s="8"/>
      <c r="R1299" s="8"/>
      <c r="S1299" s="1"/>
      <c r="T1299" s="8"/>
      <c r="U1299" s="8"/>
      <c r="V1299" s="16"/>
      <c r="W1299" s="1"/>
      <c r="X1299" s="1"/>
    </row>
    <row r="1300" spans="1:24" ht="14.4">
      <c r="A1300" s="1"/>
      <c r="B1300" s="8"/>
      <c r="C1300" s="8"/>
      <c r="D1300" s="8"/>
      <c r="E1300" s="8"/>
      <c r="F1300" s="8"/>
      <c r="G1300" s="8"/>
      <c r="H1300" s="8"/>
      <c r="I1300" s="8"/>
      <c r="J1300" s="8"/>
      <c r="K1300" s="8"/>
      <c r="L1300" s="56"/>
      <c r="M1300" s="26"/>
      <c r="N1300" s="26"/>
      <c r="O1300" s="8"/>
      <c r="P1300" s="1"/>
      <c r="Q1300" s="8"/>
      <c r="R1300" s="8"/>
      <c r="S1300" s="1"/>
      <c r="T1300" s="8"/>
      <c r="U1300" s="8"/>
      <c r="V1300" s="16"/>
      <c r="W1300" s="1"/>
      <c r="X1300" s="1"/>
    </row>
    <row r="1301" spans="1:24" ht="14.4">
      <c r="A1301" s="1"/>
      <c r="B1301" s="8"/>
      <c r="C1301" s="8"/>
      <c r="D1301" s="8"/>
      <c r="E1301" s="8"/>
      <c r="F1301" s="8"/>
      <c r="G1301" s="8"/>
      <c r="H1301" s="8"/>
      <c r="I1301" s="8"/>
      <c r="J1301" s="8"/>
      <c r="K1301" s="8"/>
      <c r="L1301" s="56"/>
      <c r="M1301" s="26"/>
      <c r="N1301" s="26"/>
      <c r="O1301" s="8"/>
      <c r="P1301" s="1"/>
      <c r="Q1301" s="8"/>
      <c r="R1301" s="8"/>
      <c r="S1301" s="1"/>
      <c r="T1301" s="8"/>
      <c r="U1301" s="8"/>
      <c r="V1301" s="16"/>
      <c r="W1301" s="1"/>
      <c r="X1301" s="1"/>
    </row>
    <row r="1302" spans="1:24" ht="14.4">
      <c r="A1302" s="1"/>
      <c r="B1302" s="8"/>
      <c r="C1302" s="8"/>
      <c r="D1302" s="8"/>
      <c r="E1302" s="8"/>
      <c r="F1302" s="8"/>
      <c r="G1302" s="8"/>
      <c r="H1302" s="8"/>
      <c r="I1302" s="8"/>
      <c r="J1302" s="8"/>
      <c r="K1302" s="8"/>
      <c r="L1302" s="56"/>
      <c r="M1302" s="26"/>
      <c r="N1302" s="26"/>
      <c r="O1302" s="8"/>
      <c r="P1302" s="1"/>
      <c r="Q1302" s="8"/>
      <c r="R1302" s="8"/>
      <c r="S1302" s="1"/>
      <c r="T1302" s="8"/>
      <c r="U1302" s="8"/>
      <c r="V1302" s="16"/>
      <c r="W1302" s="1"/>
      <c r="X1302" s="1"/>
    </row>
    <row r="1303" spans="1:24" ht="14.4">
      <c r="A1303" s="1"/>
      <c r="B1303" s="8"/>
      <c r="C1303" s="8"/>
      <c r="D1303" s="8"/>
      <c r="E1303" s="8"/>
      <c r="F1303" s="8"/>
      <c r="G1303" s="8"/>
      <c r="H1303" s="8"/>
      <c r="I1303" s="8"/>
      <c r="J1303" s="8"/>
      <c r="K1303" s="8"/>
      <c r="L1303" s="56"/>
      <c r="M1303" s="26"/>
      <c r="N1303" s="26"/>
      <c r="O1303" s="8"/>
      <c r="P1303" s="1"/>
      <c r="Q1303" s="8"/>
      <c r="R1303" s="8"/>
      <c r="S1303" s="1"/>
      <c r="T1303" s="8"/>
      <c r="U1303" s="8"/>
      <c r="V1303" s="16"/>
      <c r="W1303" s="1"/>
      <c r="X1303" s="1"/>
    </row>
    <row r="1304" spans="1:24" ht="14.4">
      <c r="A1304" s="1"/>
      <c r="B1304" s="8"/>
      <c r="C1304" s="8"/>
      <c r="D1304" s="8"/>
      <c r="E1304" s="8"/>
      <c r="F1304" s="8"/>
      <c r="G1304" s="8"/>
      <c r="H1304" s="8"/>
      <c r="I1304" s="8"/>
      <c r="J1304" s="8"/>
      <c r="K1304" s="8"/>
      <c r="L1304" s="56"/>
      <c r="M1304" s="26"/>
      <c r="N1304" s="26"/>
      <c r="O1304" s="8"/>
      <c r="P1304" s="1"/>
      <c r="Q1304" s="8"/>
      <c r="R1304" s="8"/>
      <c r="S1304" s="1"/>
      <c r="T1304" s="8"/>
      <c r="U1304" s="8"/>
      <c r="V1304" s="16"/>
      <c r="W1304" s="1"/>
      <c r="X1304" s="1"/>
    </row>
    <row r="1305" spans="1:24" ht="14.4">
      <c r="A1305" s="1"/>
      <c r="B1305" s="8"/>
      <c r="C1305" s="8"/>
      <c r="D1305" s="8"/>
      <c r="E1305" s="8"/>
      <c r="F1305" s="8"/>
      <c r="G1305" s="8"/>
      <c r="H1305" s="8"/>
      <c r="I1305" s="8"/>
      <c r="J1305" s="8"/>
      <c r="K1305" s="8"/>
      <c r="L1305" s="56"/>
      <c r="M1305" s="26"/>
      <c r="N1305" s="26"/>
      <c r="O1305" s="8"/>
      <c r="P1305" s="1"/>
      <c r="Q1305" s="8"/>
      <c r="R1305" s="8"/>
      <c r="S1305" s="1"/>
      <c r="T1305" s="8"/>
      <c r="U1305" s="8"/>
      <c r="V1305" s="16"/>
      <c r="W1305" s="1"/>
      <c r="X1305" s="1"/>
    </row>
    <row r="1306" spans="1:24" ht="14.4">
      <c r="A1306" s="1"/>
      <c r="B1306" s="8"/>
      <c r="C1306" s="8"/>
      <c r="D1306" s="8"/>
      <c r="E1306" s="8"/>
      <c r="F1306" s="8"/>
      <c r="G1306" s="8"/>
      <c r="H1306" s="8"/>
      <c r="I1306" s="8"/>
      <c r="J1306" s="8"/>
      <c r="K1306" s="8"/>
      <c r="L1306" s="56"/>
      <c r="M1306" s="26"/>
      <c r="N1306" s="26"/>
      <c r="O1306" s="8"/>
      <c r="P1306" s="1"/>
      <c r="Q1306" s="8"/>
      <c r="R1306" s="8"/>
      <c r="S1306" s="1"/>
      <c r="T1306" s="8"/>
      <c r="U1306" s="8"/>
      <c r="V1306" s="16"/>
      <c r="W1306" s="1"/>
      <c r="X1306" s="1"/>
    </row>
    <row r="1307" spans="1:24" ht="14.4">
      <c r="A1307" s="1"/>
      <c r="B1307" s="8"/>
      <c r="C1307" s="8"/>
      <c r="D1307" s="8"/>
      <c r="E1307" s="8"/>
      <c r="F1307" s="8"/>
      <c r="G1307" s="8"/>
      <c r="H1307" s="8"/>
      <c r="I1307" s="8"/>
      <c r="J1307" s="8"/>
      <c r="K1307" s="8"/>
      <c r="L1307" s="56"/>
      <c r="M1307" s="26"/>
      <c r="N1307" s="26"/>
      <c r="O1307" s="8"/>
      <c r="P1307" s="1"/>
      <c r="Q1307" s="8"/>
      <c r="R1307" s="8"/>
      <c r="S1307" s="1"/>
      <c r="T1307" s="8"/>
      <c r="U1307" s="8"/>
      <c r="V1307" s="16"/>
      <c r="W1307" s="1"/>
      <c r="X1307" s="1"/>
    </row>
    <row r="1308" spans="1:24" ht="14.4">
      <c r="A1308" s="1"/>
      <c r="B1308" s="8"/>
      <c r="C1308" s="8"/>
      <c r="D1308" s="8"/>
      <c r="E1308" s="8"/>
      <c r="F1308" s="8"/>
      <c r="G1308" s="8"/>
      <c r="H1308" s="8"/>
      <c r="I1308" s="8"/>
      <c r="J1308" s="8"/>
      <c r="K1308" s="8"/>
      <c r="L1308" s="56"/>
      <c r="M1308" s="26"/>
      <c r="N1308" s="26"/>
      <c r="O1308" s="8"/>
      <c r="P1308" s="1"/>
      <c r="Q1308" s="8"/>
      <c r="R1308" s="8"/>
      <c r="S1308" s="1"/>
      <c r="T1308" s="8"/>
      <c r="U1308" s="8"/>
      <c r="V1308" s="16"/>
      <c r="W1308" s="1"/>
      <c r="X1308" s="1"/>
    </row>
    <row r="1309" spans="1:24" ht="14.4">
      <c r="A1309" s="1"/>
      <c r="B1309" s="8"/>
      <c r="C1309" s="8"/>
      <c r="D1309" s="8"/>
      <c r="E1309" s="8"/>
      <c r="F1309" s="8"/>
      <c r="G1309" s="8"/>
      <c r="H1309" s="8"/>
      <c r="I1309" s="8"/>
      <c r="J1309" s="8"/>
      <c r="K1309" s="8"/>
      <c r="L1309" s="56"/>
      <c r="M1309" s="26"/>
      <c r="N1309" s="26"/>
      <c r="O1309" s="8"/>
      <c r="P1309" s="1"/>
      <c r="Q1309" s="8"/>
      <c r="R1309" s="8"/>
      <c r="S1309" s="1"/>
      <c r="T1309" s="8"/>
      <c r="U1309" s="8"/>
      <c r="V1309" s="16"/>
      <c r="W1309" s="1"/>
      <c r="X1309" s="1"/>
    </row>
    <row r="1310" spans="1:24" ht="14.4">
      <c r="A1310" s="1"/>
      <c r="B1310" s="8"/>
      <c r="C1310" s="8"/>
      <c r="D1310" s="8"/>
      <c r="E1310" s="8"/>
      <c r="F1310" s="8"/>
      <c r="G1310" s="8"/>
      <c r="H1310" s="8"/>
      <c r="I1310" s="8"/>
      <c r="J1310" s="8"/>
      <c r="K1310" s="8"/>
      <c r="L1310" s="56"/>
      <c r="M1310" s="26"/>
      <c r="N1310" s="26"/>
      <c r="O1310" s="8"/>
      <c r="P1310" s="1"/>
      <c r="Q1310" s="8"/>
      <c r="R1310" s="8"/>
      <c r="S1310" s="1"/>
      <c r="T1310" s="8"/>
      <c r="U1310" s="8"/>
      <c r="V1310" s="16"/>
      <c r="W1310" s="1"/>
      <c r="X1310" s="1"/>
    </row>
    <row r="1311" spans="1:24" ht="14.4">
      <c r="A1311" s="1"/>
      <c r="B1311" s="8"/>
      <c r="C1311" s="8"/>
      <c r="D1311" s="8"/>
      <c r="E1311" s="8"/>
      <c r="F1311" s="8"/>
      <c r="G1311" s="8"/>
      <c r="H1311" s="8"/>
      <c r="I1311" s="8"/>
      <c r="J1311" s="8"/>
      <c r="K1311" s="8"/>
      <c r="L1311" s="56"/>
      <c r="M1311" s="26"/>
      <c r="N1311" s="26"/>
      <c r="O1311" s="8"/>
      <c r="P1311" s="1"/>
      <c r="Q1311" s="8"/>
      <c r="R1311" s="8"/>
      <c r="S1311" s="1"/>
      <c r="T1311" s="8"/>
      <c r="U1311" s="8"/>
      <c r="V1311" s="16"/>
      <c r="W1311" s="1"/>
      <c r="X1311" s="1"/>
    </row>
    <row r="1312" spans="1:24" ht="14.4">
      <c r="A1312" s="1"/>
      <c r="B1312" s="8"/>
      <c r="C1312" s="8"/>
      <c r="D1312" s="8"/>
      <c r="E1312" s="8"/>
      <c r="F1312" s="8"/>
      <c r="G1312" s="8"/>
      <c r="H1312" s="8"/>
      <c r="I1312" s="8"/>
      <c r="J1312" s="8"/>
      <c r="K1312" s="8"/>
      <c r="L1312" s="56"/>
      <c r="M1312" s="26"/>
      <c r="N1312" s="26"/>
      <c r="O1312" s="8"/>
      <c r="P1312" s="1"/>
      <c r="Q1312" s="8"/>
      <c r="R1312" s="8"/>
      <c r="S1312" s="1"/>
      <c r="T1312" s="8"/>
      <c r="U1312" s="8"/>
      <c r="V1312" s="16"/>
      <c r="W1312" s="1"/>
      <c r="X1312" s="1"/>
    </row>
    <row r="1313" spans="1:24" ht="14.4">
      <c r="A1313" s="1"/>
      <c r="B1313" s="8"/>
      <c r="C1313" s="8"/>
      <c r="D1313" s="8"/>
      <c r="E1313" s="8"/>
      <c r="F1313" s="8"/>
      <c r="G1313" s="8"/>
      <c r="H1313" s="8"/>
      <c r="I1313" s="8"/>
      <c r="J1313" s="8"/>
      <c r="K1313" s="8"/>
      <c r="L1313" s="56"/>
      <c r="M1313" s="26"/>
      <c r="N1313" s="26"/>
      <c r="O1313" s="8"/>
      <c r="P1313" s="1"/>
      <c r="Q1313" s="8"/>
      <c r="R1313" s="8"/>
      <c r="S1313" s="1"/>
      <c r="T1313" s="8"/>
      <c r="U1313" s="8"/>
      <c r="V1313" s="16"/>
      <c r="W1313" s="1"/>
      <c r="X1313" s="1"/>
    </row>
    <row r="1314" spans="1:24" ht="14.4">
      <c r="A1314" s="1"/>
      <c r="B1314" s="8"/>
      <c r="C1314" s="8"/>
      <c r="D1314" s="8"/>
      <c r="E1314" s="8"/>
      <c r="F1314" s="8"/>
      <c r="G1314" s="8"/>
      <c r="H1314" s="8"/>
      <c r="I1314" s="8"/>
      <c r="J1314" s="8"/>
      <c r="K1314" s="8"/>
      <c r="L1314" s="56"/>
      <c r="M1314" s="26"/>
      <c r="N1314" s="26"/>
      <c r="O1314" s="8"/>
      <c r="P1314" s="1"/>
      <c r="Q1314" s="8"/>
      <c r="R1314" s="8"/>
      <c r="S1314" s="1"/>
      <c r="T1314" s="8"/>
      <c r="U1314" s="8"/>
      <c r="V1314" s="16"/>
      <c r="W1314" s="1"/>
      <c r="X1314" s="1"/>
    </row>
    <row r="1315" spans="1:24" ht="14.4">
      <c r="A1315" s="1"/>
      <c r="B1315" s="8"/>
      <c r="C1315" s="8"/>
      <c r="D1315" s="8"/>
      <c r="E1315" s="8"/>
      <c r="F1315" s="8"/>
      <c r="G1315" s="8"/>
      <c r="H1315" s="8"/>
      <c r="I1315" s="8"/>
      <c r="J1315" s="8"/>
      <c r="K1315" s="8"/>
      <c r="L1315" s="56"/>
      <c r="M1315" s="26"/>
      <c r="N1315" s="26"/>
      <c r="O1315" s="8"/>
      <c r="P1315" s="1"/>
      <c r="Q1315" s="8"/>
      <c r="R1315" s="8"/>
      <c r="S1315" s="1"/>
      <c r="T1315" s="8"/>
      <c r="U1315" s="8"/>
      <c r="V1315" s="16"/>
      <c r="W1315" s="1"/>
      <c r="X1315" s="1"/>
    </row>
    <row r="1316" spans="1:24" ht="14.4">
      <c r="A1316" s="1"/>
      <c r="B1316" s="8"/>
      <c r="C1316" s="8"/>
      <c r="D1316" s="8"/>
      <c r="E1316" s="8"/>
      <c r="F1316" s="8"/>
      <c r="G1316" s="8"/>
      <c r="H1316" s="8"/>
      <c r="I1316" s="8"/>
      <c r="J1316" s="8"/>
      <c r="K1316" s="8"/>
      <c r="L1316" s="56"/>
      <c r="M1316" s="26"/>
      <c r="N1316" s="26"/>
      <c r="O1316" s="8"/>
      <c r="P1316" s="1"/>
      <c r="Q1316" s="8"/>
      <c r="R1316" s="8"/>
      <c r="S1316" s="1"/>
      <c r="T1316" s="8"/>
      <c r="U1316" s="8"/>
      <c r="V1316" s="16"/>
      <c r="W1316" s="1"/>
      <c r="X1316" s="1"/>
    </row>
    <row r="1317" spans="1:24" ht="14.4">
      <c r="A1317" s="1"/>
      <c r="B1317" s="8"/>
      <c r="C1317" s="8"/>
      <c r="D1317" s="8"/>
      <c r="E1317" s="8"/>
      <c r="F1317" s="8"/>
      <c r="G1317" s="8"/>
      <c r="H1317" s="8"/>
      <c r="I1317" s="8"/>
      <c r="J1317" s="8"/>
      <c r="K1317" s="8"/>
      <c r="L1317" s="56"/>
      <c r="M1317" s="26"/>
      <c r="N1317" s="26"/>
      <c r="O1317" s="8"/>
      <c r="P1317" s="1"/>
      <c r="Q1317" s="8"/>
      <c r="R1317" s="8"/>
      <c r="S1317" s="1"/>
      <c r="T1317" s="8"/>
      <c r="U1317" s="8"/>
      <c r="V1317" s="16"/>
      <c r="W1317" s="1"/>
      <c r="X1317" s="1"/>
    </row>
    <row r="1318" spans="1:24" ht="14.4">
      <c r="A1318" s="1"/>
      <c r="B1318" s="8"/>
      <c r="C1318" s="8"/>
      <c r="D1318" s="8"/>
      <c r="E1318" s="8"/>
      <c r="F1318" s="8"/>
      <c r="G1318" s="8"/>
      <c r="H1318" s="8"/>
      <c r="I1318" s="8"/>
      <c r="J1318" s="8"/>
      <c r="K1318" s="8"/>
      <c r="L1318" s="56"/>
      <c r="M1318" s="26"/>
      <c r="N1318" s="26"/>
      <c r="O1318" s="8"/>
      <c r="P1318" s="1"/>
      <c r="Q1318" s="8"/>
      <c r="R1318" s="8"/>
      <c r="S1318" s="1"/>
      <c r="T1318" s="8"/>
      <c r="U1318" s="8"/>
      <c r="V1318" s="16"/>
      <c r="W1318" s="1"/>
      <c r="X1318" s="1"/>
    </row>
    <row r="1319" spans="1:24" ht="14.4">
      <c r="A1319" s="1"/>
      <c r="B1319" s="8"/>
      <c r="C1319" s="8"/>
      <c r="D1319" s="8"/>
      <c r="E1319" s="8"/>
      <c r="F1319" s="8"/>
      <c r="G1319" s="8"/>
      <c r="H1319" s="8"/>
      <c r="I1319" s="8"/>
      <c r="J1319" s="8"/>
      <c r="K1319" s="8"/>
      <c r="L1319" s="56"/>
      <c r="M1319" s="26"/>
      <c r="N1319" s="26"/>
      <c r="O1319" s="8"/>
      <c r="P1319" s="1"/>
      <c r="Q1319" s="8"/>
      <c r="R1319" s="8"/>
      <c r="S1319" s="1"/>
      <c r="T1319" s="8"/>
      <c r="U1319" s="8"/>
      <c r="V1319" s="16"/>
      <c r="W1319" s="1"/>
      <c r="X1319" s="1"/>
    </row>
    <row r="1320" spans="1:24" ht="14.4">
      <c r="A1320" s="1"/>
      <c r="B1320" s="8"/>
      <c r="C1320" s="8"/>
      <c r="D1320" s="8"/>
      <c r="E1320" s="8"/>
      <c r="F1320" s="8"/>
      <c r="G1320" s="8"/>
      <c r="H1320" s="8"/>
      <c r="I1320" s="8"/>
      <c r="J1320" s="8"/>
      <c r="K1320" s="8"/>
      <c r="L1320" s="56"/>
      <c r="M1320" s="26"/>
      <c r="N1320" s="26"/>
      <c r="O1320" s="8"/>
      <c r="P1320" s="1"/>
      <c r="Q1320" s="8"/>
      <c r="R1320" s="8"/>
      <c r="S1320" s="1"/>
      <c r="T1320" s="8"/>
      <c r="U1320" s="8"/>
      <c r="V1320" s="16"/>
      <c r="W1320" s="1"/>
      <c r="X1320" s="1"/>
    </row>
    <row r="1321" spans="1:24" ht="14.4">
      <c r="A1321" s="1"/>
      <c r="B1321" s="8"/>
      <c r="C1321" s="8"/>
      <c r="D1321" s="8"/>
      <c r="E1321" s="8"/>
      <c r="F1321" s="8"/>
      <c r="G1321" s="8"/>
      <c r="H1321" s="8"/>
      <c r="I1321" s="8"/>
      <c r="J1321" s="8"/>
      <c r="K1321" s="8"/>
      <c r="L1321" s="56"/>
      <c r="M1321" s="26"/>
      <c r="N1321" s="26"/>
      <c r="O1321" s="8"/>
      <c r="P1321" s="1"/>
      <c r="Q1321" s="8"/>
      <c r="R1321" s="8"/>
      <c r="S1321" s="1"/>
      <c r="T1321" s="8"/>
      <c r="U1321" s="8"/>
      <c r="V1321" s="16"/>
      <c r="W1321" s="1"/>
      <c r="X1321" s="1"/>
    </row>
    <row r="1322" spans="1:24" ht="14.4">
      <c r="A1322" s="1"/>
      <c r="B1322" s="8"/>
      <c r="C1322" s="8"/>
      <c r="D1322" s="8"/>
      <c r="E1322" s="8"/>
      <c r="F1322" s="8"/>
      <c r="G1322" s="8"/>
      <c r="H1322" s="8"/>
      <c r="I1322" s="8"/>
      <c r="J1322" s="8"/>
      <c r="K1322" s="8"/>
      <c r="L1322" s="56"/>
      <c r="M1322" s="26"/>
      <c r="N1322" s="26"/>
      <c r="O1322" s="8"/>
      <c r="P1322" s="1"/>
      <c r="Q1322" s="8"/>
      <c r="R1322" s="8"/>
      <c r="S1322" s="1"/>
      <c r="T1322" s="8"/>
      <c r="U1322" s="8"/>
      <c r="V1322" s="16"/>
      <c r="W1322" s="1"/>
      <c r="X1322" s="1"/>
    </row>
    <row r="1323" spans="1:24" ht="14.4">
      <c r="A1323" s="1"/>
      <c r="B1323" s="8"/>
      <c r="C1323" s="8"/>
      <c r="D1323" s="8"/>
      <c r="E1323" s="8"/>
      <c r="F1323" s="8"/>
      <c r="G1323" s="8"/>
      <c r="H1323" s="8"/>
      <c r="I1323" s="8"/>
      <c r="J1323" s="8"/>
      <c r="K1323" s="8"/>
      <c r="L1323" s="56"/>
      <c r="M1323" s="26"/>
      <c r="N1323" s="26"/>
      <c r="O1323" s="8"/>
      <c r="P1323" s="1"/>
      <c r="Q1323" s="8"/>
      <c r="R1323" s="8"/>
      <c r="S1323" s="1"/>
      <c r="T1323" s="8"/>
      <c r="U1323" s="8"/>
      <c r="V1323" s="16"/>
      <c r="W1323" s="1"/>
      <c r="X1323" s="1"/>
    </row>
    <row r="1324" spans="1:24" ht="14.4">
      <c r="A1324" s="1"/>
      <c r="B1324" s="8"/>
      <c r="C1324" s="8"/>
      <c r="D1324" s="8"/>
      <c r="E1324" s="8"/>
      <c r="F1324" s="8"/>
      <c r="G1324" s="8"/>
      <c r="H1324" s="8"/>
      <c r="I1324" s="8"/>
      <c r="J1324" s="8"/>
      <c r="K1324" s="8"/>
      <c r="L1324" s="56"/>
      <c r="M1324" s="26"/>
      <c r="N1324" s="26"/>
      <c r="O1324" s="8"/>
      <c r="P1324" s="1"/>
      <c r="Q1324" s="8"/>
      <c r="R1324" s="8"/>
      <c r="S1324" s="1"/>
      <c r="T1324" s="8"/>
      <c r="U1324" s="8"/>
      <c r="V1324" s="16"/>
      <c r="W1324" s="1"/>
      <c r="X1324" s="1"/>
    </row>
    <row r="1325" spans="1:24" ht="14.4">
      <c r="A1325" s="1"/>
      <c r="B1325" s="8"/>
      <c r="C1325" s="8"/>
      <c r="D1325" s="8"/>
      <c r="E1325" s="8"/>
      <c r="F1325" s="8"/>
      <c r="G1325" s="8"/>
      <c r="H1325" s="8"/>
      <c r="I1325" s="8"/>
      <c r="J1325" s="8"/>
      <c r="K1325" s="8"/>
      <c r="L1325" s="56"/>
      <c r="M1325" s="26"/>
      <c r="N1325" s="26"/>
      <c r="O1325" s="8"/>
      <c r="P1325" s="1"/>
      <c r="Q1325" s="8"/>
      <c r="R1325" s="8"/>
      <c r="S1325" s="1"/>
      <c r="T1325" s="8"/>
      <c r="U1325" s="8"/>
      <c r="V1325" s="16"/>
      <c r="W1325" s="1"/>
      <c r="X1325" s="1"/>
    </row>
    <row r="1326" spans="1:24" ht="14.4">
      <c r="A1326" s="1"/>
      <c r="B1326" s="8"/>
      <c r="C1326" s="8"/>
      <c r="D1326" s="8"/>
      <c r="E1326" s="8"/>
      <c r="F1326" s="8"/>
      <c r="G1326" s="8"/>
      <c r="H1326" s="8"/>
      <c r="I1326" s="8"/>
      <c r="J1326" s="8"/>
      <c r="K1326" s="8"/>
      <c r="L1326" s="56"/>
      <c r="M1326" s="26"/>
      <c r="N1326" s="26"/>
      <c r="O1326" s="8"/>
      <c r="P1326" s="1"/>
      <c r="Q1326" s="8"/>
      <c r="R1326" s="8"/>
      <c r="S1326" s="1"/>
      <c r="T1326" s="8"/>
      <c r="U1326" s="8"/>
      <c r="V1326" s="16"/>
      <c r="W1326" s="1"/>
      <c r="X1326" s="1"/>
    </row>
    <row r="1327" spans="1:24" ht="14.4">
      <c r="A1327" s="1"/>
      <c r="B1327" s="8"/>
      <c r="C1327" s="8"/>
      <c r="D1327" s="8"/>
      <c r="E1327" s="8"/>
      <c r="F1327" s="8"/>
      <c r="G1327" s="8"/>
      <c r="H1327" s="8"/>
      <c r="I1327" s="8"/>
      <c r="J1327" s="8"/>
      <c r="K1327" s="8"/>
      <c r="L1327" s="56"/>
      <c r="M1327" s="26"/>
      <c r="N1327" s="26"/>
      <c r="O1327" s="8"/>
      <c r="P1327" s="1"/>
      <c r="Q1327" s="8"/>
      <c r="R1327" s="8"/>
      <c r="S1327" s="1"/>
      <c r="T1327" s="8"/>
      <c r="U1327" s="8"/>
      <c r="V1327" s="16"/>
      <c r="W1327" s="1"/>
      <c r="X1327" s="1"/>
    </row>
    <row r="1328" spans="1:24" ht="14.4">
      <c r="A1328" s="1"/>
      <c r="B1328" s="8"/>
      <c r="C1328" s="8"/>
      <c r="D1328" s="8"/>
      <c r="E1328" s="8"/>
      <c r="F1328" s="8"/>
      <c r="G1328" s="8"/>
      <c r="H1328" s="8"/>
      <c r="I1328" s="8"/>
      <c r="J1328" s="8"/>
      <c r="K1328" s="8"/>
      <c r="L1328" s="56"/>
      <c r="M1328" s="26"/>
      <c r="N1328" s="26"/>
      <c r="O1328" s="8"/>
      <c r="P1328" s="1"/>
      <c r="Q1328" s="8"/>
      <c r="R1328" s="8"/>
      <c r="S1328" s="1"/>
      <c r="T1328" s="8"/>
      <c r="U1328" s="8"/>
      <c r="V1328" s="16"/>
      <c r="W1328" s="1"/>
      <c r="X1328" s="1"/>
    </row>
    <row r="1329" spans="1:24" ht="14.4">
      <c r="A1329" s="1"/>
      <c r="B1329" s="8"/>
      <c r="C1329" s="8"/>
      <c r="D1329" s="8"/>
      <c r="E1329" s="8"/>
      <c r="F1329" s="8"/>
      <c r="G1329" s="8"/>
      <c r="H1329" s="8"/>
      <c r="I1329" s="8"/>
      <c r="J1329" s="8"/>
      <c r="K1329" s="8"/>
      <c r="L1329" s="56"/>
      <c r="M1329" s="26"/>
      <c r="N1329" s="26"/>
      <c r="O1329" s="8"/>
      <c r="P1329" s="1"/>
      <c r="Q1329" s="8"/>
      <c r="R1329" s="8"/>
      <c r="S1329" s="1"/>
      <c r="T1329" s="8"/>
      <c r="U1329" s="8"/>
      <c r="V1329" s="16"/>
      <c r="W1329" s="1"/>
      <c r="X1329" s="1"/>
    </row>
    <row r="1330" spans="1:24" ht="14.4">
      <c r="A1330" s="1"/>
      <c r="B1330" s="8"/>
      <c r="C1330" s="8"/>
      <c r="D1330" s="8"/>
      <c r="E1330" s="8"/>
      <c r="F1330" s="8"/>
      <c r="G1330" s="8"/>
      <c r="H1330" s="8"/>
      <c r="I1330" s="8"/>
      <c r="J1330" s="8"/>
      <c r="K1330" s="8"/>
      <c r="L1330" s="56"/>
      <c r="M1330" s="26"/>
      <c r="N1330" s="26"/>
      <c r="O1330" s="8"/>
      <c r="P1330" s="1"/>
      <c r="Q1330" s="8"/>
      <c r="R1330" s="8"/>
      <c r="S1330" s="1"/>
      <c r="T1330" s="8"/>
      <c r="U1330" s="8"/>
      <c r="V1330" s="16"/>
      <c r="W1330" s="1"/>
      <c r="X1330" s="1"/>
    </row>
    <row r="1331" spans="1:24" ht="14.4">
      <c r="A1331" s="1"/>
      <c r="B1331" s="8"/>
      <c r="C1331" s="8"/>
      <c r="D1331" s="8"/>
      <c r="E1331" s="8"/>
      <c r="F1331" s="8"/>
      <c r="G1331" s="8"/>
      <c r="H1331" s="8"/>
      <c r="I1331" s="8"/>
      <c r="J1331" s="8"/>
      <c r="K1331" s="8"/>
      <c r="L1331" s="56"/>
      <c r="M1331" s="26"/>
      <c r="N1331" s="26"/>
      <c r="O1331" s="8"/>
      <c r="P1331" s="1"/>
      <c r="Q1331" s="8"/>
      <c r="R1331" s="8"/>
      <c r="S1331" s="1"/>
      <c r="T1331" s="8"/>
      <c r="U1331" s="8"/>
      <c r="V1331" s="16"/>
      <c r="W1331" s="1"/>
      <c r="X1331" s="1"/>
    </row>
    <row r="1332" spans="1:24" ht="14.4">
      <c r="A1332" s="1"/>
      <c r="B1332" s="8"/>
      <c r="C1332" s="8"/>
      <c r="D1332" s="8"/>
      <c r="E1332" s="8"/>
      <c r="F1332" s="8"/>
      <c r="G1332" s="8"/>
      <c r="H1332" s="8"/>
      <c r="I1332" s="8"/>
      <c r="J1332" s="8"/>
      <c r="K1332" s="8"/>
      <c r="L1332" s="56"/>
      <c r="M1332" s="26"/>
      <c r="N1332" s="26"/>
      <c r="O1332" s="8"/>
      <c r="P1332" s="1"/>
      <c r="Q1332" s="8"/>
      <c r="R1332" s="8"/>
      <c r="S1332" s="1"/>
      <c r="T1332" s="8"/>
      <c r="U1332" s="8"/>
      <c r="V1332" s="16"/>
      <c r="W1332" s="1"/>
      <c r="X1332" s="1"/>
    </row>
    <row r="1333" spans="1:24" ht="14.4">
      <c r="A1333" s="1"/>
      <c r="B1333" s="8"/>
      <c r="C1333" s="8"/>
      <c r="D1333" s="8"/>
      <c r="E1333" s="8"/>
      <c r="F1333" s="8"/>
      <c r="G1333" s="8"/>
      <c r="H1333" s="8"/>
      <c r="I1333" s="8"/>
      <c r="J1333" s="8"/>
      <c r="K1333" s="8"/>
      <c r="L1333" s="56"/>
      <c r="M1333" s="26"/>
      <c r="N1333" s="26"/>
      <c r="O1333" s="8"/>
      <c r="P1333" s="1"/>
      <c r="Q1333" s="8"/>
      <c r="R1333" s="8"/>
      <c r="S1333" s="1"/>
      <c r="T1333" s="8"/>
      <c r="U1333" s="8"/>
      <c r="V1333" s="16"/>
      <c r="W1333" s="1"/>
      <c r="X1333" s="1"/>
    </row>
    <row r="1334" spans="1:24" ht="14.4">
      <c r="A1334" s="1"/>
      <c r="B1334" s="8"/>
      <c r="C1334" s="8"/>
      <c r="D1334" s="8"/>
      <c r="E1334" s="8"/>
      <c r="F1334" s="8"/>
      <c r="G1334" s="8"/>
      <c r="H1334" s="8"/>
      <c r="I1334" s="8"/>
      <c r="J1334" s="8"/>
      <c r="K1334" s="8"/>
      <c r="L1334" s="56"/>
      <c r="M1334" s="26"/>
      <c r="N1334" s="26"/>
      <c r="O1334" s="8"/>
      <c r="P1334" s="1"/>
      <c r="Q1334" s="8"/>
      <c r="R1334" s="8"/>
      <c r="S1334" s="1"/>
      <c r="T1334" s="8"/>
      <c r="U1334" s="8"/>
      <c r="V1334" s="16"/>
      <c r="W1334" s="1"/>
      <c r="X1334" s="1"/>
    </row>
    <row r="1335" spans="1:24" ht="14.4">
      <c r="A1335" s="1"/>
      <c r="B1335" s="8"/>
      <c r="C1335" s="8"/>
      <c r="D1335" s="8"/>
      <c r="E1335" s="8"/>
      <c r="F1335" s="8"/>
      <c r="G1335" s="8"/>
      <c r="H1335" s="8"/>
      <c r="I1335" s="8"/>
      <c r="J1335" s="8"/>
      <c r="K1335" s="8"/>
      <c r="L1335" s="56"/>
      <c r="M1335" s="26"/>
      <c r="N1335" s="26"/>
      <c r="O1335" s="8"/>
      <c r="P1335" s="1"/>
      <c r="Q1335" s="8"/>
      <c r="R1335" s="8"/>
      <c r="S1335" s="1"/>
      <c r="T1335" s="8"/>
      <c r="U1335" s="8"/>
      <c r="V1335" s="16"/>
      <c r="W1335" s="1"/>
      <c r="X1335" s="1"/>
    </row>
    <row r="1336" spans="1:24" ht="14.4">
      <c r="A1336" s="1"/>
      <c r="B1336" s="8"/>
      <c r="C1336" s="8"/>
      <c r="D1336" s="8"/>
      <c r="E1336" s="8"/>
      <c r="F1336" s="8"/>
      <c r="G1336" s="8"/>
      <c r="H1336" s="8"/>
      <c r="I1336" s="8"/>
      <c r="J1336" s="8"/>
      <c r="K1336" s="8"/>
      <c r="L1336" s="56"/>
      <c r="M1336" s="26"/>
      <c r="N1336" s="26"/>
      <c r="O1336" s="8"/>
      <c r="P1336" s="1"/>
      <c r="Q1336" s="8"/>
      <c r="R1336" s="8"/>
      <c r="S1336" s="1"/>
      <c r="T1336" s="8"/>
      <c r="U1336" s="8"/>
      <c r="V1336" s="16"/>
      <c r="W1336" s="1"/>
      <c r="X1336" s="1"/>
    </row>
    <row r="1337" spans="1:24" ht="14.4">
      <c r="A1337" s="1"/>
      <c r="B1337" s="8"/>
      <c r="C1337" s="8"/>
      <c r="D1337" s="8"/>
      <c r="E1337" s="8"/>
      <c r="F1337" s="8"/>
      <c r="G1337" s="8"/>
      <c r="H1337" s="8"/>
      <c r="I1337" s="8"/>
      <c r="J1337" s="8"/>
      <c r="K1337" s="8"/>
      <c r="L1337" s="56"/>
      <c r="M1337" s="26"/>
      <c r="N1337" s="26"/>
      <c r="O1337" s="8"/>
      <c r="P1337" s="1"/>
      <c r="Q1337" s="8"/>
      <c r="R1337" s="8"/>
      <c r="S1337" s="1"/>
      <c r="T1337" s="8"/>
      <c r="U1337" s="8"/>
      <c r="V1337" s="16"/>
      <c r="W1337" s="1"/>
      <c r="X1337" s="1"/>
    </row>
    <row r="1338" spans="1:24" ht="14.4">
      <c r="A1338" s="1"/>
      <c r="B1338" s="8"/>
      <c r="C1338" s="8"/>
      <c r="D1338" s="8"/>
      <c r="E1338" s="8"/>
      <c r="F1338" s="8"/>
      <c r="G1338" s="8"/>
      <c r="H1338" s="8"/>
      <c r="I1338" s="8"/>
      <c r="J1338" s="8"/>
      <c r="K1338" s="8"/>
      <c r="L1338" s="56"/>
      <c r="M1338" s="26"/>
      <c r="N1338" s="26"/>
      <c r="O1338" s="8"/>
      <c r="P1338" s="1"/>
      <c r="Q1338" s="8"/>
      <c r="R1338" s="8"/>
      <c r="S1338" s="1"/>
      <c r="T1338" s="8"/>
      <c r="U1338" s="8"/>
      <c r="V1338" s="16"/>
      <c r="W1338" s="1"/>
      <c r="X1338" s="1"/>
    </row>
    <row r="1339" spans="1:24" ht="14.4">
      <c r="A1339" s="1"/>
      <c r="B1339" s="8"/>
      <c r="C1339" s="8"/>
      <c r="D1339" s="8"/>
      <c r="E1339" s="8"/>
      <c r="F1339" s="8"/>
      <c r="G1339" s="8"/>
      <c r="H1339" s="8"/>
      <c r="I1339" s="8"/>
      <c r="J1339" s="8"/>
      <c r="K1339" s="8"/>
      <c r="L1339" s="56"/>
      <c r="M1339" s="26"/>
      <c r="N1339" s="26"/>
      <c r="O1339" s="8"/>
      <c r="P1339" s="1"/>
      <c r="Q1339" s="8"/>
      <c r="R1339" s="8"/>
      <c r="S1339" s="1"/>
      <c r="T1339" s="8"/>
      <c r="U1339" s="8"/>
      <c r="V1339" s="16"/>
      <c r="W1339" s="1"/>
      <c r="X1339" s="1"/>
    </row>
    <row r="1340" spans="1:24" ht="14.4">
      <c r="A1340" s="1"/>
      <c r="B1340" s="8"/>
      <c r="C1340" s="8"/>
      <c r="D1340" s="8"/>
      <c r="E1340" s="8"/>
      <c r="F1340" s="8"/>
      <c r="G1340" s="8"/>
      <c r="H1340" s="8"/>
      <c r="I1340" s="8"/>
      <c r="J1340" s="8"/>
      <c r="K1340" s="8"/>
      <c r="L1340" s="56"/>
      <c r="M1340" s="26"/>
      <c r="N1340" s="26"/>
      <c r="O1340" s="8"/>
      <c r="P1340" s="1"/>
      <c r="Q1340" s="8"/>
      <c r="R1340" s="8"/>
      <c r="S1340" s="1"/>
      <c r="T1340" s="8"/>
      <c r="U1340" s="8"/>
      <c r="V1340" s="16"/>
      <c r="W1340" s="1"/>
      <c r="X1340" s="1"/>
    </row>
    <row r="1341" spans="1:24" ht="14.4">
      <c r="A1341" s="1"/>
      <c r="B1341" s="8"/>
      <c r="C1341" s="8"/>
      <c r="D1341" s="8"/>
      <c r="E1341" s="8"/>
      <c r="F1341" s="8"/>
      <c r="G1341" s="8"/>
      <c r="H1341" s="8"/>
      <c r="I1341" s="8"/>
      <c r="J1341" s="8"/>
      <c r="K1341" s="8"/>
      <c r="L1341" s="56"/>
      <c r="M1341" s="26"/>
      <c r="N1341" s="26"/>
      <c r="O1341" s="8"/>
      <c r="P1341" s="1"/>
      <c r="Q1341" s="8"/>
      <c r="R1341" s="8"/>
      <c r="S1341" s="1"/>
      <c r="T1341" s="8"/>
      <c r="U1341" s="8"/>
      <c r="V1341" s="16"/>
      <c r="W1341" s="1"/>
      <c r="X1341" s="1"/>
    </row>
    <row r="1342" spans="1:24" ht="14.4">
      <c r="A1342" s="1"/>
      <c r="B1342" s="8"/>
      <c r="C1342" s="8"/>
      <c r="D1342" s="8"/>
      <c r="E1342" s="8"/>
      <c r="F1342" s="8"/>
      <c r="G1342" s="8"/>
      <c r="H1342" s="8"/>
      <c r="I1342" s="8"/>
      <c r="J1342" s="8"/>
      <c r="K1342" s="8"/>
      <c r="L1342" s="56"/>
      <c r="M1342" s="26"/>
      <c r="N1342" s="26"/>
      <c r="O1342" s="8"/>
      <c r="P1342" s="1"/>
      <c r="Q1342" s="8"/>
      <c r="R1342" s="8"/>
      <c r="S1342" s="1"/>
      <c r="T1342" s="8"/>
      <c r="U1342" s="8"/>
      <c r="V1342" s="16"/>
      <c r="W1342" s="1"/>
      <c r="X1342" s="1"/>
    </row>
    <row r="1343" spans="1:24" ht="14.4">
      <c r="A1343" s="1"/>
      <c r="B1343" s="8"/>
      <c r="C1343" s="8"/>
      <c r="D1343" s="8"/>
      <c r="E1343" s="8"/>
      <c r="F1343" s="8"/>
      <c r="G1343" s="8"/>
      <c r="H1343" s="8"/>
      <c r="I1343" s="8"/>
      <c r="J1343" s="8"/>
      <c r="K1343" s="8"/>
      <c r="L1343" s="56"/>
      <c r="M1343" s="26"/>
      <c r="N1343" s="26"/>
      <c r="O1343" s="8"/>
      <c r="P1343" s="1"/>
      <c r="Q1343" s="8"/>
      <c r="R1343" s="8"/>
      <c r="S1343" s="1"/>
      <c r="T1343" s="8"/>
      <c r="U1343" s="8"/>
      <c r="V1343" s="16"/>
      <c r="W1343" s="1"/>
      <c r="X1343" s="1"/>
    </row>
    <row r="1344" spans="1:24" ht="14.4">
      <c r="A1344" s="1"/>
      <c r="B1344" s="8"/>
      <c r="C1344" s="8"/>
      <c r="D1344" s="8"/>
      <c r="E1344" s="8"/>
      <c r="F1344" s="8"/>
      <c r="G1344" s="8"/>
      <c r="H1344" s="8"/>
      <c r="I1344" s="8"/>
      <c r="J1344" s="8"/>
      <c r="K1344" s="8"/>
      <c r="L1344" s="56"/>
      <c r="M1344" s="26"/>
      <c r="N1344" s="26"/>
      <c r="O1344" s="8"/>
      <c r="P1344" s="1"/>
      <c r="Q1344" s="8"/>
      <c r="R1344" s="8"/>
      <c r="S1344" s="1"/>
      <c r="T1344" s="8"/>
      <c r="U1344" s="8"/>
      <c r="V1344" s="16"/>
      <c r="W1344" s="1"/>
      <c r="X1344" s="1"/>
    </row>
    <row r="1345" spans="1:24" ht="14.4">
      <c r="A1345" s="1"/>
      <c r="B1345" s="8"/>
      <c r="C1345" s="8"/>
      <c r="D1345" s="8"/>
      <c r="E1345" s="8"/>
      <c r="F1345" s="8"/>
      <c r="G1345" s="8"/>
      <c r="H1345" s="8"/>
      <c r="I1345" s="8"/>
      <c r="J1345" s="8"/>
      <c r="K1345" s="8"/>
      <c r="L1345" s="56"/>
      <c r="M1345" s="26"/>
      <c r="N1345" s="26"/>
      <c r="O1345" s="8"/>
      <c r="P1345" s="1"/>
      <c r="Q1345" s="8"/>
      <c r="R1345" s="8"/>
      <c r="S1345" s="1"/>
      <c r="T1345" s="8"/>
      <c r="U1345" s="8"/>
      <c r="V1345" s="16"/>
      <c r="W1345" s="1"/>
      <c r="X1345" s="1"/>
    </row>
    <row r="1346" spans="1:24" ht="14.4">
      <c r="A1346" s="1"/>
      <c r="B1346" s="8"/>
      <c r="C1346" s="8"/>
      <c r="D1346" s="8"/>
      <c r="E1346" s="8"/>
      <c r="F1346" s="8"/>
      <c r="G1346" s="8"/>
      <c r="H1346" s="8"/>
      <c r="I1346" s="8"/>
      <c r="J1346" s="8"/>
      <c r="K1346" s="8"/>
      <c r="L1346" s="56"/>
      <c r="M1346" s="26"/>
      <c r="N1346" s="26"/>
      <c r="O1346" s="8"/>
      <c r="P1346" s="1"/>
      <c r="Q1346" s="8"/>
      <c r="R1346" s="8"/>
      <c r="S1346" s="1"/>
      <c r="T1346" s="8"/>
      <c r="U1346" s="8"/>
      <c r="V1346" s="16"/>
      <c r="W1346" s="1"/>
      <c r="X1346" s="1"/>
    </row>
    <row r="1347" spans="1:24" ht="14.4">
      <c r="A1347" s="1"/>
      <c r="B1347" s="8"/>
      <c r="C1347" s="8"/>
      <c r="D1347" s="8"/>
      <c r="E1347" s="8"/>
      <c r="F1347" s="8"/>
      <c r="G1347" s="8"/>
      <c r="H1347" s="8"/>
      <c r="I1347" s="8"/>
      <c r="J1347" s="8"/>
      <c r="K1347" s="8"/>
      <c r="L1347" s="56"/>
      <c r="M1347" s="26"/>
      <c r="N1347" s="26"/>
      <c r="O1347" s="8"/>
      <c r="P1347" s="1"/>
      <c r="Q1347" s="8"/>
      <c r="R1347" s="8"/>
      <c r="S1347" s="1"/>
      <c r="T1347" s="8"/>
      <c r="U1347" s="8"/>
      <c r="V1347" s="16"/>
      <c r="W1347" s="1"/>
      <c r="X1347" s="1"/>
    </row>
    <row r="1348" spans="1:24" ht="14.4">
      <c r="A1348" s="1"/>
      <c r="B1348" s="8"/>
      <c r="C1348" s="8"/>
      <c r="D1348" s="8"/>
      <c r="E1348" s="8"/>
      <c r="F1348" s="8"/>
      <c r="G1348" s="8"/>
      <c r="H1348" s="8"/>
      <c r="I1348" s="8"/>
      <c r="J1348" s="8"/>
      <c r="K1348" s="8"/>
      <c r="L1348" s="56"/>
      <c r="M1348" s="26"/>
      <c r="N1348" s="26"/>
      <c r="O1348" s="8"/>
      <c r="P1348" s="1"/>
      <c r="Q1348" s="8"/>
      <c r="R1348" s="8"/>
      <c r="S1348" s="1"/>
      <c r="T1348" s="8"/>
      <c r="U1348" s="8"/>
      <c r="V1348" s="16"/>
      <c r="W1348" s="1"/>
      <c r="X1348" s="1"/>
    </row>
    <row r="1349" spans="1:24" ht="14.4">
      <c r="A1349" s="1"/>
      <c r="B1349" s="8"/>
      <c r="C1349" s="8"/>
      <c r="D1349" s="8"/>
      <c r="E1349" s="8"/>
      <c r="F1349" s="8"/>
      <c r="G1349" s="8"/>
      <c r="H1349" s="8"/>
      <c r="I1349" s="8"/>
      <c r="J1349" s="8"/>
      <c r="K1349" s="8"/>
      <c r="L1349" s="56"/>
      <c r="M1349" s="26"/>
      <c r="N1349" s="26"/>
      <c r="O1349" s="8"/>
      <c r="P1349" s="1"/>
      <c r="Q1349" s="8"/>
      <c r="R1349" s="8"/>
      <c r="S1349" s="1"/>
      <c r="T1349" s="8"/>
      <c r="U1349" s="8"/>
      <c r="V1349" s="16"/>
      <c r="W1349" s="1"/>
      <c r="X1349" s="1"/>
    </row>
    <row r="1350" spans="1:24" ht="14.4">
      <c r="A1350" s="1"/>
      <c r="B1350" s="8"/>
      <c r="C1350" s="8"/>
      <c r="D1350" s="8"/>
      <c r="E1350" s="8"/>
      <c r="F1350" s="8"/>
      <c r="G1350" s="8"/>
      <c r="H1350" s="8"/>
      <c r="I1350" s="8"/>
      <c r="J1350" s="8"/>
      <c r="K1350" s="8"/>
      <c r="L1350" s="56"/>
      <c r="M1350" s="26"/>
      <c r="N1350" s="26"/>
      <c r="O1350" s="8"/>
      <c r="P1350" s="1"/>
      <c r="Q1350" s="8"/>
      <c r="R1350" s="8"/>
      <c r="S1350" s="1"/>
      <c r="T1350" s="8"/>
      <c r="U1350" s="8"/>
      <c r="V1350" s="16"/>
      <c r="W1350" s="1"/>
      <c r="X1350" s="1"/>
    </row>
    <row r="1351" spans="1:24" ht="14.4">
      <c r="A1351" s="1"/>
      <c r="B1351" s="8"/>
      <c r="C1351" s="8"/>
      <c r="D1351" s="8"/>
      <c r="E1351" s="8"/>
      <c r="F1351" s="8"/>
      <c r="G1351" s="8"/>
      <c r="H1351" s="8"/>
      <c r="I1351" s="8"/>
      <c r="J1351" s="8"/>
      <c r="K1351" s="8"/>
      <c r="L1351" s="56"/>
      <c r="M1351" s="26"/>
      <c r="N1351" s="26"/>
      <c r="O1351" s="8"/>
      <c r="P1351" s="1"/>
      <c r="Q1351" s="8"/>
      <c r="R1351" s="8"/>
      <c r="S1351" s="1"/>
      <c r="T1351" s="8"/>
      <c r="U1351" s="8"/>
      <c r="V1351" s="16"/>
      <c r="W1351" s="1"/>
      <c r="X1351" s="1"/>
    </row>
    <row r="1352" spans="1:24" ht="14.4">
      <c r="A1352" s="1"/>
      <c r="B1352" s="8"/>
      <c r="C1352" s="8"/>
      <c r="D1352" s="8"/>
      <c r="E1352" s="8"/>
      <c r="F1352" s="8"/>
      <c r="G1352" s="8"/>
      <c r="H1352" s="8"/>
      <c r="I1352" s="8"/>
      <c r="J1352" s="8"/>
      <c r="K1352" s="8"/>
      <c r="L1352" s="56"/>
      <c r="M1352" s="26"/>
      <c r="N1352" s="26"/>
      <c r="O1352" s="8"/>
      <c r="P1352" s="1"/>
      <c r="Q1352" s="8"/>
      <c r="R1352" s="8"/>
      <c r="S1352" s="1"/>
      <c r="T1352" s="8"/>
      <c r="U1352" s="8"/>
      <c r="V1352" s="16"/>
      <c r="W1352" s="1"/>
      <c r="X1352" s="1"/>
    </row>
    <row r="1353" spans="1:24" ht="14.4">
      <c r="A1353" s="1"/>
      <c r="B1353" s="8"/>
      <c r="C1353" s="8"/>
      <c r="D1353" s="8"/>
      <c r="E1353" s="8"/>
      <c r="F1353" s="8"/>
      <c r="G1353" s="8"/>
      <c r="H1353" s="8"/>
      <c r="I1353" s="8"/>
      <c r="J1353" s="8"/>
      <c r="K1353" s="8"/>
      <c r="L1353" s="56"/>
      <c r="M1353" s="26"/>
      <c r="N1353" s="26"/>
      <c r="O1353" s="8"/>
      <c r="P1353" s="1"/>
      <c r="Q1353" s="8"/>
      <c r="R1353" s="8"/>
      <c r="S1353" s="1"/>
      <c r="T1353" s="8"/>
      <c r="U1353" s="8"/>
      <c r="V1353" s="16"/>
      <c r="W1353" s="1"/>
      <c r="X1353" s="1"/>
    </row>
    <row r="1354" spans="1:24" ht="14.4">
      <c r="A1354" s="1"/>
      <c r="B1354" s="8"/>
      <c r="C1354" s="8"/>
      <c r="D1354" s="8"/>
      <c r="E1354" s="8"/>
      <c r="F1354" s="8"/>
      <c r="G1354" s="8"/>
      <c r="H1354" s="8"/>
      <c r="I1354" s="8"/>
      <c r="J1354" s="8"/>
      <c r="K1354" s="8"/>
      <c r="L1354" s="56"/>
      <c r="M1354" s="26"/>
      <c r="N1354" s="26"/>
      <c r="O1354" s="8"/>
      <c r="P1354" s="1"/>
      <c r="Q1354" s="8"/>
      <c r="R1354" s="8"/>
      <c r="S1354" s="1"/>
      <c r="T1354" s="8"/>
      <c r="U1354" s="8"/>
      <c r="V1354" s="16"/>
      <c r="W1354" s="1"/>
      <c r="X1354" s="1"/>
    </row>
    <row r="1355" spans="1:24" ht="14.4">
      <c r="A1355" s="1"/>
      <c r="B1355" s="8"/>
      <c r="C1355" s="8"/>
      <c r="D1355" s="8"/>
      <c r="E1355" s="8"/>
      <c r="F1355" s="8"/>
      <c r="G1355" s="8"/>
      <c r="H1355" s="8"/>
      <c r="I1355" s="8"/>
      <c r="J1355" s="8"/>
      <c r="K1355" s="8"/>
      <c r="L1355" s="56"/>
      <c r="M1355" s="26"/>
      <c r="N1355" s="26"/>
      <c r="O1355" s="8"/>
      <c r="P1355" s="1"/>
      <c r="Q1355" s="8"/>
      <c r="R1355" s="8"/>
      <c r="S1355" s="1"/>
      <c r="T1355" s="8"/>
      <c r="U1355" s="8"/>
      <c r="V1355" s="16"/>
      <c r="W1355" s="1"/>
      <c r="X1355" s="1"/>
    </row>
    <row r="1356" spans="1:24" ht="14.4">
      <c r="A1356" s="1"/>
      <c r="B1356" s="8"/>
      <c r="C1356" s="8"/>
      <c r="D1356" s="8"/>
      <c r="E1356" s="8"/>
      <c r="F1356" s="8"/>
      <c r="G1356" s="8"/>
      <c r="H1356" s="8"/>
      <c r="I1356" s="8"/>
      <c r="J1356" s="8"/>
      <c r="K1356" s="8"/>
      <c r="L1356" s="56"/>
      <c r="M1356" s="26"/>
      <c r="N1356" s="26"/>
      <c r="O1356" s="8"/>
      <c r="P1356" s="1"/>
      <c r="Q1356" s="8"/>
      <c r="R1356" s="8"/>
      <c r="S1356" s="1"/>
      <c r="T1356" s="8"/>
      <c r="U1356" s="8"/>
      <c r="V1356" s="16"/>
      <c r="W1356" s="1"/>
      <c r="X1356" s="1"/>
    </row>
    <row r="1357" spans="1:24" ht="14.4">
      <c r="A1357" s="1"/>
      <c r="B1357" s="8"/>
      <c r="C1357" s="8"/>
      <c r="D1357" s="8"/>
      <c r="E1357" s="8"/>
      <c r="F1357" s="8"/>
      <c r="G1357" s="8"/>
      <c r="H1357" s="8"/>
      <c r="I1357" s="8"/>
      <c r="J1357" s="8"/>
      <c r="K1357" s="8"/>
      <c r="L1357" s="56"/>
      <c r="M1357" s="26"/>
      <c r="N1357" s="26"/>
      <c r="O1357" s="8"/>
      <c r="P1357" s="1"/>
      <c r="Q1357" s="8"/>
      <c r="R1357" s="8"/>
      <c r="S1357" s="1"/>
      <c r="T1357" s="8"/>
      <c r="U1357" s="8"/>
      <c r="V1357" s="16"/>
      <c r="W1357" s="1"/>
      <c r="X1357" s="1"/>
    </row>
    <row r="1358" spans="1:24" ht="14.4">
      <c r="A1358" s="1"/>
      <c r="B1358" s="8"/>
      <c r="C1358" s="8"/>
      <c r="D1358" s="8"/>
      <c r="E1358" s="8"/>
      <c r="F1358" s="8"/>
      <c r="G1358" s="8"/>
      <c r="H1358" s="8"/>
      <c r="I1358" s="8"/>
      <c r="J1358" s="8"/>
      <c r="K1358" s="8"/>
      <c r="L1358" s="56"/>
      <c r="M1358" s="26"/>
      <c r="N1358" s="26"/>
      <c r="O1358" s="8"/>
      <c r="P1358" s="1"/>
      <c r="Q1358" s="8"/>
      <c r="R1358" s="8"/>
      <c r="S1358" s="1"/>
      <c r="T1358" s="8"/>
      <c r="U1358" s="8"/>
      <c r="V1358" s="16"/>
      <c r="W1358" s="1"/>
      <c r="X1358" s="1"/>
    </row>
    <row r="1359" spans="1:24" ht="14.4">
      <c r="A1359" s="1"/>
      <c r="B1359" s="8"/>
      <c r="C1359" s="8"/>
      <c r="D1359" s="8"/>
      <c r="E1359" s="8"/>
      <c r="F1359" s="8"/>
      <c r="G1359" s="8"/>
      <c r="H1359" s="8"/>
      <c r="I1359" s="8"/>
      <c r="J1359" s="8"/>
      <c r="K1359" s="8"/>
      <c r="L1359" s="56"/>
      <c r="M1359" s="26"/>
      <c r="N1359" s="26"/>
      <c r="O1359" s="8"/>
      <c r="P1359" s="1"/>
      <c r="Q1359" s="8"/>
      <c r="R1359" s="8"/>
      <c r="S1359" s="1"/>
      <c r="T1359" s="8"/>
      <c r="U1359" s="8"/>
      <c r="V1359" s="16"/>
      <c r="W1359" s="1"/>
      <c r="X1359" s="1"/>
    </row>
    <row r="1360" spans="1:24" ht="14.4">
      <c r="A1360" s="1"/>
      <c r="B1360" s="8"/>
      <c r="C1360" s="8"/>
      <c r="D1360" s="8"/>
      <c r="E1360" s="8"/>
      <c r="F1360" s="8"/>
      <c r="G1360" s="8"/>
      <c r="H1360" s="8"/>
      <c r="I1360" s="8"/>
      <c r="J1360" s="8"/>
      <c r="K1360" s="8"/>
      <c r="L1360" s="56"/>
      <c r="M1360" s="26"/>
      <c r="N1360" s="26"/>
      <c r="O1360" s="8"/>
      <c r="P1360" s="1"/>
      <c r="Q1360" s="8"/>
      <c r="R1360" s="8"/>
      <c r="S1360" s="1"/>
      <c r="T1360" s="8"/>
      <c r="U1360" s="8"/>
      <c r="V1360" s="16"/>
      <c r="W1360" s="1"/>
      <c r="X1360" s="1"/>
    </row>
    <row r="1361" spans="1:24" ht="14.4">
      <c r="A1361" s="1"/>
      <c r="B1361" s="8"/>
      <c r="C1361" s="8"/>
      <c r="D1361" s="8"/>
      <c r="E1361" s="8"/>
      <c r="F1361" s="8"/>
      <c r="G1361" s="8"/>
      <c r="H1361" s="8"/>
      <c r="I1361" s="8"/>
      <c r="J1361" s="8"/>
      <c r="K1361" s="8"/>
      <c r="L1361" s="56"/>
      <c r="M1361" s="26"/>
      <c r="N1361" s="26"/>
      <c r="O1361" s="8"/>
      <c r="P1361" s="1"/>
      <c r="Q1361" s="8"/>
      <c r="R1361" s="8"/>
      <c r="S1361" s="1"/>
      <c r="T1361" s="8"/>
      <c r="U1361" s="8"/>
      <c r="V1361" s="16"/>
      <c r="W1361" s="1"/>
      <c r="X1361" s="1"/>
    </row>
    <row r="1362" spans="1:24" ht="14.4">
      <c r="A1362" s="1"/>
      <c r="B1362" s="8"/>
      <c r="C1362" s="8"/>
      <c r="D1362" s="8"/>
      <c r="E1362" s="8"/>
      <c r="F1362" s="8"/>
      <c r="G1362" s="8"/>
      <c r="H1362" s="8"/>
      <c r="I1362" s="8"/>
      <c r="J1362" s="8"/>
      <c r="K1362" s="8"/>
      <c r="L1362" s="56"/>
      <c r="M1362" s="26"/>
      <c r="N1362" s="26"/>
      <c r="O1362" s="8"/>
      <c r="P1362" s="1"/>
      <c r="Q1362" s="8"/>
      <c r="R1362" s="8"/>
      <c r="S1362" s="1"/>
      <c r="T1362" s="8"/>
      <c r="U1362" s="8"/>
      <c r="V1362" s="16"/>
      <c r="W1362" s="1"/>
      <c r="X1362" s="1"/>
    </row>
    <row r="1363" spans="1:24" ht="14.4">
      <c r="A1363" s="1"/>
      <c r="B1363" s="8"/>
      <c r="C1363" s="8"/>
      <c r="D1363" s="8"/>
      <c r="E1363" s="8"/>
      <c r="F1363" s="8"/>
      <c r="G1363" s="8"/>
      <c r="H1363" s="8"/>
      <c r="I1363" s="8"/>
      <c r="J1363" s="8"/>
      <c r="K1363" s="8"/>
      <c r="L1363" s="56"/>
      <c r="M1363" s="26"/>
      <c r="N1363" s="26"/>
      <c r="O1363" s="8"/>
      <c r="P1363" s="1"/>
      <c r="Q1363" s="8"/>
      <c r="R1363" s="8"/>
      <c r="S1363" s="1"/>
      <c r="T1363" s="8"/>
      <c r="U1363" s="8"/>
      <c r="V1363" s="16"/>
      <c r="W1363" s="1"/>
      <c r="X1363" s="1"/>
    </row>
    <row r="1364" spans="1:24" ht="14.4">
      <c r="A1364" s="1"/>
      <c r="B1364" s="8"/>
      <c r="C1364" s="8"/>
      <c r="D1364" s="8"/>
      <c r="E1364" s="8"/>
      <c r="F1364" s="8"/>
      <c r="G1364" s="8"/>
      <c r="H1364" s="8"/>
      <c r="I1364" s="8"/>
      <c r="J1364" s="8"/>
      <c r="K1364" s="8"/>
      <c r="L1364" s="56"/>
      <c r="M1364" s="26"/>
      <c r="N1364" s="26"/>
      <c r="O1364" s="8"/>
      <c r="P1364" s="1"/>
      <c r="Q1364" s="8"/>
      <c r="R1364" s="8"/>
      <c r="S1364" s="1"/>
      <c r="T1364" s="8"/>
      <c r="U1364" s="8"/>
      <c r="V1364" s="16"/>
      <c r="W1364" s="1"/>
      <c r="X1364" s="1"/>
    </row>
    <row r="1365" spans="1:24" ht="14.4">
      <c r="A1365" s="1"/>
      <c r="B1365" s="8"/>
      <c r="C1365" s="8"/>
      <c r="D1365" s="8"/>
      <c r="E1365" s="8"/>
      <c r="F1365" s="8"/>
      <c r="G1365" s="8"/>
      <c r="H1365" s="8"/>
      <c r="I1365" s="8"/>
      <c r="J1365" s="8"/>
      <c r="K1365" s="8"/>
      <c r="L1365" s="56"/>
      <c r="M1365" s="26"/>
      <c r="N1365" s="26"/>
      <c r="O1365" s="8"/>
      <c r="P1365" s="1"/>
      <c r="Q1365" s="8"/>
      <c r="R1365" s="8"/>
      <c r="S1365" s="1"/>
      <c r="T1365" s="8"/>
      <c r="U1365" s="8"/>
      <c r="V1365" s="16"/>
      <c r="W1365" s="1"/>
      <c r="X1365" s="1"/>
    </row>
    <row r="1366" spans="1:24" ht="14.4">
      <c r="A1366" s="1"/>
      <c r="B1366" s="8"/>
      <c r="C1366" s="8"/>
      <c r="D1366" s="8"/>
      <c r="E1366" s="8"/>
      <c r="F1366" s="8"/>
      <c r="G1366" s="8"/>
      <c r="H1366" s="8"/>
      <c r="I1366" s="8"/>
      <c r="J1366" s="8"/>
      <c r="K1366" s="8"/>
      <c r="L1366" s="56"/>
      <c r="M1366" s="26"/>
      <c r="N1366" s="26"/>
      <c r="O1366" s="8"/>
      <c r="P1366" s="1"/>
      <c r="Q1366" s="8"/>
      <c r="R1366" s="8"/>
      <c r="S1366" s="1"/>
      <c r="T1366" s="8"/>
      <c r="U1366" s="8"/>
      <c r="V1366" s="16"/>
      <c r="W1366" s="1"/>
      <c r="X1366" s="1"/>
    </row>
    <row r="1367" spans="1:24" ht="14.4">
      <c r="A1367" s="1"/>
      <c r="B1367" s="8"/>
      <c r="C1367" s="8"/>
      <c r="D1367" s="8"/>
      <c r="E1367" s="8"/>
      <c r="F1367" s="8"/>
      <c r="G1367" s="8"/>
      <c r="H1367" s="8"/>
      <c r="I1367" s="8"/>
      <c r="J1367" s="8"/>
      <c r="K1367" s="8"/>
      <c r="L1367" s="56"/>
      <c r="M1367" s="26"/>
      <c r="N1367" s="26"/>
      <c r="O1367" s="8"/>
      <c r="P1367" s="1"/>
      <c r="Q1367" s="8"/>
      <c r="R1367" s="8"/>
      <c r="S1367" s="1"/>
      <c r="T1367" s="8"/>
      <c r="U1367" s="8"/>
      <c r="V1367" s="16"/>
      <c r="W1367" s="1"/>
      <c r="X1367" s="1"/>
    </row>
    <row r="1368" spans="1:24" ht="14.4">
      <c r="A1368" s="1"/>
      <c r="B1368" s="8"/>
      <c r="C1368" s="8"/>
      <c r="D1368" s="8"/>
      <c r="E1368" s="8"/>
      <c r="F1368" s="8"/>
      <c r="G1368" s="8"/>
      <c r="H1368" s="8"/>
      <c r="I1368" s="8"/>
      <c r="J1368" s="8"/>
      <c r="K1368" s="8"/>
      <c r="L1368" s="56"/>
      <c r="M1368" s="26"/>
      <c r="N1368" s="26"/>
      <c r="O1368" s="8"/>
      <c r="P1368" s="1"/>
      <c r="Q1368" s="8"/>
      <c r="R1368" s="8"/>
      <c r="S1368" s="1"/>
      <c r="T1368" s="8"/>
      <c r="U1368" s="8"/>
      <c r="V1368" s="16"/>
      <c r="W1368" s="1"/>
      <c r="X1368" s="1"/>
    </row>
    <row r="1369" spans="1:24" ht="14.4">
      <c r="A1369" s="1"/>
      <c r="B1369" s="8"/>
      <c r="C1369" s="8"/>
      <c r="D1369" s="8"/>
      <c r="E1369" s="8"/>
      <c r="F1369" s="8"/>
      <c r="G1369" s="8"/>
      <c r="H1369" s="8"/>
      <c r="I1369" s="8"/>
      <c r="J1369" s="8"/>
      <c r="K1369" s="8"/>
      <c r="L1369" s="56"/>
      <c r="M1369" s="26"/>
      <c r="N1369" s="26"/>
      <c r="O1369" s="8"/>
      <c r="P1369" s="1"/>
      <c r="Q1369" s="8"/>
      <c r="R1369" s="8"/>
      <c r="S1369" s="1"/>
      <c r="T1369" s="8"/>
      <c r="U1369" s="8"/>
      <c r="V1369" s="16"/>
      <c r="W1369" s="1"/>
      <c r="X1369" s="1"/>
    </row>
    <row r="1370" spans="1:24" ht="14.4">
      <c r="A1370" s="1"/>
      <c r="B1370" s="8"/>
      <c r="C1370" s="8"/>
      <c r="D1370" s="8"/>
      <c r="E1370" s="8"/>
      <c r="F1370" s="8"/>
      <c r="G1370" s="8"/>
      <c r="H1370" s="8"/>
      <c r="I1370" s="8"/>
      <c r="J1370" s="8"/>
      <c r="K1370" s="8"/>
      <c r="L1370" s="56"/>
      <c r="M1370" s="26"/>
      <c r="N1370" s="26"/>
      <c r="O1370" s="8"/>
      <c r="P1370" s="1"/>
      <c r="Q1370" s="8"/>
      <c r="R1370" s="8"/>
      <c r="S1370" s="1"/>
      <c r="T1370" s="8"/>
      <c r="U1370" s="8"/>
      <c r="V1370" s="16"/>
      <c r="W1370" s="1"/>
      <c r="X1370" s="1"/>
    </row>
    <row r="1371" spans="1:24" ht="14.4">
      <c r="A1371" s="1"/>
      <c r="B1371" s="8"/>
      <c r="C1371" s="8"/>
      <c r="D1371" s="8"/>
      <c r="E1371" s="8"/>
      <c r="F1371" s="8"/>
      <c r="G1371" s="8"/>
      <c r="H1371" s="8"/>
      <c r="I1371" s="8"/>
      <c r="J1371" s="8"/>
      <c r="K1371" s="8"/>
      <c r="L1371" s="56"/>
      <c r="M1371" s="26"/>
      <c r="N1371" s="26"/>
      <c r="O1371" s="8"/>
      <c r="P1371" s="1"/>
      <c r="Q1371" s="8"/>
      <c r="R1371" s="8"/>
      <c r="S1371" s="1"/>
      <c r="T1371" s="8"/>
      <c r="U1371" s="8"/>
      <c r="V1371" s="16"/>
      <c r="W1371" s="1"/>
      <c r="X1371" s="1"/>
    </row>
    <row r="1372" spans="1:24" ht="14.4">
      <c r="A1372" s="1"/>
      <c r="B1372" s="8"/>
      <c r="C1372" s="8"/>
      <c r="D1372" s="8"/>
      <c r="E1372" s="8"/>
      <c r="F1372" s="8"/>
      <c r="G1372" s="8"/>
      <c r="H1372" s="8"/>
      <c r="I1372" s="8"/>
      <c r="J1372" s="8"/>
      <c r="K1372" s="8"/>
      <c r="L1372" s="56"/>
      <c r="M1372" s="26"/>
      <c r="N1372" s="26"/>
      <c r="O1372" s="8"/>
      <c r="P1372" s="1"/>
      <c r="Q1372" s="8"/>
      <c r="R1372" s="8"/>
      <c r="S1372" s="1"/>
      <c r="T1372" s="8"/>
      <c r="U1372" s="8"/>
      <c r="V1372" s="16"/>
      <c r="W1372" s="1"/>
      <c r="X1372" s="1"/>
    </row>
    <row r="1373" spans="1:24" ht="14.4">
      <c r="A1373" s="1"/>
      <c r="B1373" s="8"/>
      <c r="C1373" s="8"/>
      <c r="D1373" s="8"/>
      <c r="E1373" s="8"/>
      <c r="F1373" s="8"/>
      <c r="G1373" s="8"/>
      <c r="H1373" s="8"/>
      <c r="I1373" s="8"/>
      <c r="J1373" s="8"/>
      <c r="K1373" s="8"/>
      <c r="L1373" s="56"/>
      <c r="M1373" s="26"/>
      <c r="N1373" s="26"/>
      <c r="O1373" s="8"/>
      <c r="P1373" s="1"/>
      <c r="Q1373" s="8"/>
      <c r="R1373" s="8"/>
      <c r="S1373" s="1"/>
      <c r="T1373" s="8"/>
      <c r="U1373" s="8"/>
      <c r="V1373" s="16"/>
      <c r="W1373" s="1"/>
      <c r="X1373" s="1"/>
    </row>
    <row r="1374" spans="1:24" ht="14.4">
      <c r="A1374" s="1"/>
      <c r="B1374" s="8"/>
      <c r="C1374" s="8"/>
      <c r="D1374" s="8"/>
      <c r="E1374" s="8"/>
      <c r="F1374" s="8"/>
      <c r="G1374" s="8"/>
      <c r="H1374" s="8"/>
      <c r="I1374" s="8"/>
      <c r="J1374" s="8"/>
      <c r="K1374" s="8"/>
      <c r="L1374" s="56"/>
      <c r="M1374" s="26"/>
      <c r="N1374" s="26"/>
      <c r="O1374" s="8"/>
      <c r="P1374" s="1"/>
      <c r="Q1374" s="8"/>
      <c r="R1374" s="8"/>
      <c r="S1374" s="1"/>
      <c r="T1374" s="8"/>
      <c r="U1374" s="8"/>
      <c r="V1374" s="16"/>
      <c r="W1374" s="1"/>
      <c r="X1374" s="1"/>
    </row>
    <row r="1375" spans="1:24" ht="14.4">
      <c r="A1375" s="1"/>
      <c r="B1375" s="8"/>
      <c r="C1375" s="8"/>
      <c r="D1375" s="8"/>
      <c r="E1375" s="8"/>
      <c r="F1375" s="8"/>
      <c r="G1375" s="8"/>
      <c r="H1375" s="8"/>
      <c r="I1375" s="8"/>
      <c r="J1375" s="8"/>
      <c r="K1375" s="8"/>
      <c r="L1375" s="56"/>
      <c r="M1375" s="26"/>
      <c r="N1375" s="26"/>
      <c r="O1375" s="8"/>
      <c r="P1375" s="1"/>
      <c r="Q1375" s="8"/>
      <c r="R1375" s="8"/>
      <c r="S1375" s="1"/>
      <c r="T1375" s="8"/>
      <c r="U1375" s="8"/>
      <c r="V1375" s="16"/>
      <c r="W1375" s="1"/>
      <c r="X1375" s="1"/>
    </row>
    <row r="1376" spans="1:24" ht="14.4">
      <c r="A1376" s="1"/>
      <c r="B1376" s="8"/>
      <c r="C1376" s="8"/>
      <c r="D1376" s="8"/>
      <c r="E1376" s="8"/>
      <c r="F1376" s="8"/>
      <c r="G1376" s="8"/>
      <c r="H1376" s="8"/>
      <c r="I1376" s="8"/>
      <c r="J1376" s="8"/>
      <c r="K1376" s="8"/>
      <c r="L1376" s="56"/>
      <c r="M1376" s="26"/>
      <c r="N1376" s="26"/>
      <c r="O1376" s="8"/>
      <c r="P1376" s="1"/>
      <c r="Q1376" s="8"/>
      <c r="R1376" s="8"/>
      <c r="S1376" s="1"/>
      <c r="T1376" s="8"/>
      <c r="U1376" s="8"/>
      <c r="V1376" s="16"/>
      <c r="W1376" s="1"/>
      <c r="X1376" s="1"/>
    </row>
    <row r="1377" spans="1:24" ht="14.4">
      <c r="A1377" s="1"/>
      <c r="B1377" s="8"/>
      <c r="C1377" s="8"/>
      <c r="D1377" s="8"/>
      <c r="E1377" s="8"/>
      <c r="F1377" s="8"/>
      <c r="G1377" s="8"/>
      <c r="H1377" s="8"/>
      <c r="I1377" s="8"/>
      <c r="J1377" s="8"/>
      <c r="K1377" s="8"/>
      <c r="L1377" s="56"/>
      <c r="M1377" s="26"/>
      <c r="N1377" s="26"/>
      <c r="O1377" s="8"/>
      <c r="P1377" s="1"/>
      <c r="Q1377" s="8"/>
      <c r="R1377" s="8"/>
      <c r="S1377" s="1"/>
      <c r="T1377" s="8"/>
      <c r="U1377" s="8"/>
      <c r="V1377" s="16"/>
      <c r="W1377" s="1"/>
      <c r="X1377" s="1"/>
    </row>
    <row r="1378" spans="1:24" ht="14.4">
      <c r="A1378" s="1"/>
      <c r="B1378" s="8"/>
      <c r="C1378" s="8"/>
      <c r="D1378" s="8"/>
      <c r="E1378" s="8"/>
      <c r="F1378" s="8"/>
      <c r="G1378" s="8"/>
      <c r="H1378" s="8"/>
      <c r="I1378" s="8"/>
      <c r="J1378" s="8"/>
      <c r="K1378" s="8"/>
      <c r="L1378" s="56"/>
      <c r="M1378" s="26"/>
      <c r="N1378" s="26"/>
      <c r="O1378" s="8"/>
      <c r="P1378" s="1"/>
      <c r="Q1378" s="8"/>
      <c r="R1378" s="8"/>
      <c r="S1378" s="1"/>
      <c r="T1378" s="8"/>
      <c r="U1378" s="8"/>
      <c r="V1378" s="16"/>
      <c r="W1378" s="1"/>
      <c r="X1378" s="1"/>
    </row>
    <row r="1379" spans="1:24" ht="14.4">
      <c r="A1379" s="1"/>
      <c r="B1379" s="8"/>
      <c r="C1379" s="8"/>
      <c r="D1379" s="8"/>
      <c r="E1379" s="8"/>
      <c r="F1379" s="8"/>
      <c r="G1379" s="8"/>
      <c r="H1379" s="8"/>
      <c r="I1379" s="8"/>
      <c r="J1379" s="8"/>
      <c r="K1379" s="8"/>
      <c r="L1379" s="56"/>
      <c r="M1379" s="26"/>
      <c r="N1379" s="26"/>
      <c r="O1379" s="8"/>
      <c r="P1379" s="1"/>
      <c r="Q1379" s="8"/>
      <c r="R1379" s="8"/>
      <c r="S1379" s="1"/>
      <c r="T1379" s="8"/>
      <c r="U1379" s="8"/>
      <c r="V1379" s="16"/>
      <c r="W1379" s="1"/>
      <c r="X1379" s="1"/>
    </row>
    <row r="1380" spans="1:24" ht="14.4">
      <c r="A1380" s="1"/>
      <c r="B1380" s="8"/>
      <c r="C1380" s="8"/>
      <c r="D1380" s="8"/>
      <c r="E1380" s="8"/>
      <c r="F1380" s="8"/>
      <c r="G1380" s="8"/>
      <c r="H1380" s="8"/>
      <c r="I1380" s="8"/>
      <c r="J1380" s="8"/>
      <c r="K1380" s="8"/>
      <c r="L1380" s="56"/>
      <c r="M1380" s="26"/>
      <c r="N1380" s="26"/>
      <c r="O1380" s="8"/>
      <c r="P1380" s="1"/>
      <c r="Q1380" s="8"/>
      <c r="R1380" s="8"/>
      <c r="S1380" s="1"/>
      <c r="T1380" s="8"/>
      <c r="U1380" s="8"/>
      <c r="V1380" s="16"/>
      <c r="W1380" s="1"/>
      <c r="X1380" s="1"/>
    </row>
    <row r="1381" spans="1:24" ht="14.4">
      <c r="A1381" s="1"/>
      <c r="B1381" s="8"/>
      <c r="C1381" s="8"/>
      <c r="D1381" s="8"/>
      <c r="E1381" s="8"/>
      <c r="F1381" s="8"/>
      <c r="G1381" s="8"/>
      <c r="H1381" s="8"/>
      <c r="I1381" s="8"/>
      <c r="J1381" s="8"/>
      <c r="K1381" s="8"/>
      <c r="L1381" s="56"/>
      <c r="M1381" s="26"/>
      <c r="N1381" s="26"/>
      <c r="O1381" s="8"/>
      <c r="P1381" s="1"/>
      <c r="Q1381" s="8"/>
      <c r="R1381" s="8"/>
      <c r="S1381" s="1"/>
      <c r="T1381" s="8"/>
      <c r="U1381" s="8"/>
      <c r="V1381" s="16"/>
      <c r="W1381" s="1"/>
      <c r="X1381" s="1"/>
    </row>
    <row r="1382" spans="1:24" ht="14.4">
      <c r="A1382" s="1"/>
      <c r="B1382" s="8"/>
      <c r="C1382" s="8"/>
      <c r="D1382" s="8"/>
      <c r="E1382" s="8"/>
      <c r="F1382" s="8"/>
      <c r="G1382" s="8"/>
      <c r="H1382" s="8"/>
      <c r="I1382" s="8"/>
      <c r="J1382" s="8"/>
      <c r="K1382" s="8"/>
      <c r="L1382" s="56"/>
      <c r="M1382" s="26"/>
      <c r="N1382" s="26"/>
      <c r="O1382" s="8"/>
      <c r="P1382" s="1"/>
      <c r="Q1382" s="8"/>
      <c r="R1382" s="8"/>
      <c r="S1382" s="1"/>
      <c r="T1382" s="8"/>
      <c r="U1382" s="8"/>
      <c r="V1382" s="16"/>
      <c r="W1382" s="1"/>
      <c r="X1382" s="1"/>
    </row>
    <row r="1383" spans="1:24" ht="14.4">
      <c r="A1383" s="1"/>
      <c r="B1383" s="8"/>
      <c r="C1383" s="8"/>
      <c r="D1383" s="8"/>
      <c r="E1383" s="8"/>
      <c r="F1383" s="8"/>
      <c r="G1383" s="8"/>
      <c r="H1383" s="8"/>
      <c r="I1383" s="8"/>
      <c r="J1383" s="8"/>
      <c r="K1383" s="8"/>
      <c r="L1383" s="56"/>
      <c r="M1383" s="26"/>
      <c r="N1383" s="26"/>
      <c r="O1383" s="8"/>
      <c r="P1383" s="1"/>
      <c r="Q1383" s="8"/>
      <c r="R1383" s="8"/>
      <c r="S1383" s="1"/>
      <c r="T1383" s="8"/>
      <c r="U1383" s="8"/>
      <c r="V1383" s="16"/>
      <c r="W1383" s="1"/>
      <c r="X1383" s="1"/>
    </row>
    <row r="1384" spans="1:24" ht="14.4">
      <c r="A1384" s="1"/>
      <c r="B1384" s="8"/>
      <c r="C1384" s="8"/>
      <c r="D1384" s="8"/>
      <c r="E1384" s="8"/>
      <c r="F1384" s="8"/>
      <c r="G1384" s="8"/>
      <c r="H1384" s="8"/>
      <c r="I1384" s="8"/>
      <c r="J1384" s="8"/>
      <c r="K1384" s="8"/>
      <c r="L1384" s="56"/>
      <c r="M1384" s="26"/>
      <c r="N1384" s="26"/>
      <c r="O1384" s="8"/>
      <c r="P1384" s="1"/>
      <c r="Q1384" s="8"/>
      <c r="R1384" s="8"/>
      <c r="S1384" s="1"/>
      <c r="T1384" s="8"/>
      <c r="U1384" s="8"/>
      <c r="V1384" s="16"/>
      <c r="W1384" s="1"/>
      <c r="X1384" s="1"/>
    </row>
    <row r="1385" spans="1:24" ht="14.4">
      <c r="A1385" s="1"/>
      <c r="B1385" s="8"/>
      <c r="C1385" s="8"/>
      <c r="D1385" s="8"/>
      <c r="E1385" s="8"/>
      <c r="F1385" s="8"/>
      <c r="G1385" s="8"/>
      <c r="H1385" s="8"/>
      <c r="I1385" s="8"/>
      <c r="J1385" s="8"/>
      <c r="K1385" s="8"/>
      <c r="L1385" s="56"/>
      <c r="M1385" s="26"/>
      <c r="N1385" s="26"/>
      <c r="O1385" s="8"/>
      <c r="P1385" s="1"/>
      <c r="Q1385" s="8"/>
      <c r="R1385" s="8"/>
      <c r="S1385" s="1"/>
      <c r="T1385" s="8"/>
      <c r="U1385" s="8"/>
      <c r="V1385" s="16"/>
      <c r="W1385" s="1"/>
      <c r="X1385" s="1"/>
    </row>
    <row r="1386" spans="1:24" ht="14.4">
      <c r="A1386" s="1"/>
      <c r="B1386" s="8"/>
      <c r="C1386" s="8"/>
      <c r="D1386" s="8"/>
      <c r="E1386" s="8"/>
      <c r="F1386" s="8"/>
      <c r="G1386" s="8"/>
      <c r="H1386" s="8"/>
      <c r="I1386" s="8"/>
      <c r="J1386" s="8"/>
      <c r="K1386" s="8"/>
      <c r="L1386" s="56"/>
      <c r="M1386" s="26"/>
      <c r="N1386" s="26"/>
      <c r="O1386" s="8"/>
      <c r="P1386" s="1"/>
      <c r="Q1386" s="8"/>
      <c r="R1386" s="8"/>
      <c r="S1386" s="1"/>
      <c r="T1386" s="8"/>
      <c r="U1386" s="8"/>
      <c r="V1386" s="16"/>
      <c r="W1386" s="1"/>
      <c r="X1386" s="1"/>
    </row>
    <row r="1387" spans="1:24" ht="14.4">
      <c r="A1387" s="1"/>
      <c r="B1387" s="8"/>
      <c r="C1387" s="8"/>
      <c r="D1387" s="8"/>
      <c r="E1387" s="8"/>
      <c r="F1387" s="8"/>
      <c r="G1387" s="8"/>
      <c r="H1387" s="8"/>
      <c r="I1387" s="8"/>
      <c r="J1387" s="8"/>
      <c r="K1387" s="8"/>
      <c r="L1387" s="56"/>
      <c r="M1387" s="26"/>
      <c r="N1387" s="26"/>
      <c r="O1387" s="8"/>
      <c r="P1387" s="1"/>
      <c r="Q1387" s="8"/>
      <c r="R1387" s="8"/>
      <c r="S1387" s="1"/>
      <c r="T1387" s="8"/>
      <c r="U1387" s="8"/>
      <c r="V1387" s="16"/>
      <c r="W1387" s="1"/>
      <c r="X1387" s="1"/>
    </row>
    <row r="1388" spans="1:24" ht="14.4">
      <c r="A1388" s="1"/>
      <c r="B1388" s="8"/>
      <c r="C1388" s="8"/>
      <c r="D1388" s="8"/>
      <c r="E1388" s="8"/>
      <c r="F1388" s="8"/>
      <c r="G1388" s="8"/>
      <c r="H1388" s="8"/>
      <c r="I1388" s="8"/>
      <c r="J1388" s="8"/>
      <c r="K1388" s="8"/>
      <c r="L1388" s="56"/>
      <c r="M1388" s="26"/>
      <c r="N1388" s="26"/>
      <c r="O1388" s="8"/>
      <c r="P1388" s="1"/>
      <c r="Q1388" s="8"/>
      <c r="R1388" s="8"/>
      <c r="S1388" s="1"/>
      <c r="T1388" s="8"/>
      <c r="U1388" s="8"/>
      <c r="V1388" s="16"/>
      <c r="W1388" s="1"/>
      <c r="X1388" s="1"/>
    </row>
    <row r="1389" spans="1:24" ht="14.4">
      <c r="A1389" s="1"/>
      <c r="B1389" s="8"/>
      <c r="C1389" s="8"/>
      <c r="D1389" s="8"/>
      <c r="E1389" s="8"/>
      <c r="F1389" s="8"/>
      <c r="G1389" s="8"/>
      <c r="H1389" s="8"/>
      <c r="I1389" s="8"/>
      <c r="J1389" s="8"/>
      <c r="K1389" s="8"/>
      <c r="L1389" s="56"/>
      <c r="M1389" s="26"/>
      <c r="N1389" s="26"/>
      <c r="O1389" s="8"/>
      <c r="P1389" s="1"/>
      <c r="Q1389" s="8"/>
      <c r="R1389" s="8"/>
      <c r="S1389" s="1"/>
      <c r="T1389" s="8"/>
      <c r="U1389" s="8"/>
      <c r="V1389" s="16"/>
      <c r="W1389" s="1"/>
      <c r="X1389" s="1"/>
    </row>
    <row r="1390" spans="1:24" ht="14.4">
      <c r="A1390" s="1"/>
      <c r="B1390" s="8"/>
      <c r="C1390" s="8"/>
      <c r="D1390" s="8"/>
      <c r="E1390" s="8"/>
      <c r="F1390" s="8"/>
      <c r="G1390" s="8"/>
      <c r="H1390" s="8"/>
      <c r="I1390" s="8"/>
      <c r="J1390" s="8"/>
      <c r="K1390" s="8"/>
      <c r="L1390" s="56"/>
      <c r="M1390" s="26"/>
      <c r="N1390" s="26"/>
      <c r="O1390" s="8"/>
      <c r="P1390" s="1"/>
      <c r="Q1390" s="8"/>
      <c r="R1390" s="8"/>
      <c r="S1390" s="1"/>
      <c r="T1390" s="8"/>
      <c r="U1390" s="8"/>
      <c r="V1390" s="16"/>
      <c r="W1390" s="1"/>
      <c r="X1390" s="1"/>
    </row>
    <row r="1391" spans="1:24" ht="14.4">
      <c r="A1391" s="1"/>
      <c r="B1391" s="8"/>
      <c r="C1391" s="8"/>
      <c r="D1391" s="8"/>
      <c r="E1391" s="8"/>
      <c r="F1391" s="8"/>
      <c r="G1391" s="8"/>
      <c r="H1391" s="8"/>
      <c r="I1391" s="8"/>
      <c r="J1391" s="8"/>
      <c r="K1391" s="8"/>
      <c r="L1391" s="56"/>
      <c r="M1391" s="26"/>
      <c r="N1391" s="26"/>
      <c r="O1391" s="8"/>
      <c r="P1391" s="1"/>
      <c r="Q1391" s="8"/>
      <c r="R1391" s="8"/>
      <c r="S1391" s="1"/>
      <c r="T1391" s="8"/>
      <c r="U1391" s="8"/>
      <c r="V1391" s="16"/>
      <c r="W1391" s="1"/>
      <c r="X1391" s="1"/>
    </row>
    <row r="1392" spans="1:24" ht="14.4">
      <c r="A1392" s="1"/>
      <c r="B1392" s="8"/>
      <c r="C1392" s="8"/>
      <c r="D1392" s="8"/>
      <c r="E1392" s="8"/>
      <c r="F1392" s="8"/>
      <c r="G1392" s="8"/>
      <c r="H1392" s="8"/>
      <c r="I1392" s="8"/>
      <c r="J1392" s="8"/>
      <c r="K1392" s="8"/>
      <c r="L1392" s="56"/>
      <c r="M1392" s="26"/>
      <c r="N1392" s="26"/>
      <c r="O1392" s="8"/>
      <c r="P1392" s="1"/>
      <c r="Q1392" s="8"/>
      <c r="R1392" s="8"/>
      <c r="S1392" s="1"/>
      <c r="T1392" s="8"/>
      <c r="U1392" s="8"/>
      <c r="V1392" s="16"/>
      <c r="W1392" s="1"/>
      <c r="X1392" s="1"/>
    </row>
    <row r="1393" spans="1:24" ht="14.4">
      <c r="A1393" s="1"/>
      <c r="B1393" s="8"/>
      <c r="C1393" s="8"/>
      <c r="D1393" s="8"/>
      <c r="E1393" s="8"/>
      <c r="F1393" s="8"/>
      <c r="G1393" s="8"/>
      <c r="H1393" s="8"/>
      <c r="I1393" s="8"/>
      <c r="J1393" s="8"/>
      <c r="K1393" s="8"/>
      <c r="L1393" s="56"/>
      <c r="M1393" s="26"/>
      <c r="N1393" s="26"/>
      <c r="O1393" s="8"/>
      <c r="P1393" s="1"/>
      <c r="Q1393" s="8"/>
      <c r="R1393" s="8"/>
      <c r="S1393" s="1"/>
      <c r="T1393" s="8"/>
      <c r="U1393" s="8"/>
      <c r="V1393" s="16"/>
      <c r="W1393" s="1"/>
      <c r="X1393" s="1"/>
    </row>
    <row r="1394" spans="1:24" ht="14.4">
      <c r="A1394" s="1"/>
      <c r="B1394" s="8"/>
      <c r="C1394" s="8"/>
      <c r="D1394" s="8"/>
      <c r="E1394" s="8"/>
      <c r="F1394" s="8"/>
      <c r="G1394" s="8"/>
      <c r="H1394" s="8"/>
      <c r="I1394" s="8"/>
      <c r="J1394" s="8"/>
      <c r="K1394" s="8"/>
      <c r="L1394" s="56"/>
      <c r="M1394" s="26"/>
      <c r="N1394" s="26"/>
      <c r="O1394" s="8"/>
      <c r="P1394" s="1"/>
      <c r="Q1394" s="8"/>
      <c r="R1394" s="8"/>
      <c r="S1394" s="1"/>
      <c r="T1394" s="8"/>
      <c r="U1394" s="8"/>
      <c r="V1394" s="16"/>
      <c r="W1394" s="1"/>
      <c r="X1394" s="1"/>
    </row>
    <row r="1395" spans="1:24" ht="14.4">
      <c r="A1395" s="1"/>
      <c r="B1395" s="8"/>
      <c r="C1395" s="8"/>
      <c r="D1395" s="8"/>
      <c r="E1395" s="8"/>
      <c r="F1395" s="8"/>
      <c r="G1395" s="8"/>
      <c r="H1395" s="8"/>
      <c r="I1395" s="8"/>
      <c r="J1395" s="8"/>
      <c r="K1395" s="8"/>
      <c r="L1395" s="56"/>
      <c r="M1395" s="26"/>
      <c r="N1395" s="26"/>
      <c r="O1395" s="8"/>
      <c r="P1395" s="1"/>
      <c r="Q1395" s="8"/>
      <c r="R1395" s="8"/>
      <c r="S1395" s="1"/>
      <c r="T1395" s="8"/>
      <c r="U1395" s="8"/>
      <c r="V1395" s="16"/>
      <c r="W1395" s="1"/>
      <c r="X1395" s="1"/>
    </row>
    <row r="1396" spans="1:24" ht="14.4">
      <c r="A1396" s="1"/>
      <c r="B1396" s="8"/>
      <c r="C1396" s="8"/>
      <c r="D1396" s="8"/>
      <c r="E1396" s="8"/>
      <c r="F1396" s="8"/>
      <c r="G1396" s="8"/>
      <c r="H1396" s="8"/>
      <c r="I1396" s="8"/>
      <c r="J1396" s="8"/>
      <c r="K1396" s="8"/>
      <c r="L1396" s="56"/>
      <c r="M1396" s="26"/>
      <c r="N1396" s="26"/>
      <c r="O1396" s="8"/>
      <c r="P1396" s="1"/>
      <c r="Q1396" s="8"/>
      <c r="R1396" s="8"/>
      <c r="S1396" s="1"/>
      <c r="T1396" s="8"/>
      <c r="U1396" s="8"/>
      <c r="V1396" s="16"/>
      <c r="W1396" s="1"/>
      <c r="X1396" s="1"/>
    </row>
    <row r="1397" spans="1:24" ht="14.4">
      <c r="A1397" s="1"/>
      <c r="B1397" s="8"/>
      <c r="C1397" s="8"/>
      <c r="D1397" s="8"/>
      <c r="E1397" s="8"/>
      <c r="F1397" s="8"/>
      <c r="G1397" s="8"/>
      <c r="H1397" s="8"/>
      <c r="I1397" s="8"/>
      <c r="J1397" s="8"/>
      <c r="K1397" s="8"/>
      <c r="L1397" s="56"/>
      <c r="M1397" s="26"/>
      <c r="N1397" s="26"/>
      <c r="O1397" s="8"/>
      <c r="P1397" s="1"/>
      <c r="Q1397" s="8"/>
      <c r="R1397" s="8"/>
      <c r="S1397" s="1"/>
      <c r="T1397" s="8"/>
      <c r="U1397" s="8"/>
      <c r="V1397" s="16"/>
      <c r="W1397" s="1"/>
      <c r="X1397" s="1"/>
    </row>
    <row r="1398" spans="1:24" ht="14.4">
      <c r="A1398" s="1"/>
      <c r="B1398" s="8"/>
      <c r="C1398" s="8"/>
      <c r="D1398" s="8"/>
      <c r="E1398" s="8"/>
      <c r="F1398" s="8"/>
      <c r="G1398" s="8"/>
      <c r="H1398" s="8"/>
      <c r="I1398" s="8"/>
      <c r="J1398" s="8"/>
      <c r="K1398" s="8"/>
      <c r="L1398" s="56"/>
      <c r="M1398" s="26"/>
      <c r="N1398" s="26"/>
      <c r="O1398" s="8"/>
      <c r="P1398" s="1"/>
      <c r="Q1398" s="8"/>
      <c r="R1398" s="8"/>
      <c r="S1398" s="1"/>
      <c r="T1398" s="8"/>
      <c r="U1398" s="8"/>
      <c r="V1398" s="16"/>
      <c r="W1398" s="1"/>
      <c r="X1398" s="1"/>
    </row>
    <row r="1399" spans="1:24" ht="14.4">
      <c r="A1399" s="1"/>
      <c r="B1399" s="8"/>
      <c r="C1399" s="8"/>
      <c r="D1399" s="8"/>
      <c r="E1399" s="8"/>
      <c r="F1399" s="8"/>
      <c r="G1399" s="8"/>
      <c r="H1399" s="8"/>
      <c r="I1399" s="8"/>
      <c r="J1399" s="8"/>
      <c r="K1399" s="8"/>
      <c r="L1399" s="56"/>
      <c r="M1399" s="26"/>
      <c r="N1399" s="26"/>
      <c r="O1399" s="8"/>
      <c r="P1399" s="1"/>
      <c r="Q1399" s="8"/>
      <c r="R1399" s="8"/>
      <c r="S1399" s="1"/>
      <c r="T1399" s="8"/>
      <c r="U1399" s="8"/>
      <c r="V1399" s="16"/>
      <c r="W1399" s="1"/>
      <c r="X1399" s="1"/>
    </row>
    <row r="1400" spans="1:24" ht="14.4">
      <c r="A1400" s="1"/>
      <c r="B1400" s="8"/>
      <c r="C1400" s="8"/>
      <c r="D1400" s="8"/>
      <c r="E1400" s="8"/>
      <c r="F1400" s="8"/>
      <c r="G1400" s="8"/>
      <c r="H1400" s="8"/>
      <c r="I1400" s="8"/>
      <c r="J1400" s="8"/>
      <c r="K1400" s="8"/>
      <c r="L1400" s="56"/>
      <c r="M1400" s="26"/>
      <c r="N1400" s="26"/>
      <c r="O1400" s="8"/>
      <c r="P1400" s="1"/>
      <c r="Q1400" s="8"/>
      <c r="R1400" s="8"/>
      <c r="S1400" s="1"/>
      <c r="T1400" s="8"/>
      <c r="U1400" s="8"/>
      <c r="V1400" s="16"/>
      <c r="W1400" s="1"/>
      <c r="X1400" s="1"/>
    </row>
    <row r="1401" spans="1:24" ht="14.4">
      <c r="A1401" s="1"/>
      <c r="B1401" s="8"/>
      <c r="C1401" s="8"/>
      <c r="D1401" s="8"/>
      <c r="E1401" s="8"/>
      <c r="F1401" s="8"/>
      <c r="G1401" s="8"/>
      <c r="H1401" s="8"/>
      <c r="I1401" s="8"/>
      <c r="J1401" s="8"/>
      <c r="K1401" s="8"/>
      <c r="L1401" s="56"/>
      <c r="M1401" s="26"/>
      <c r="N1401" s="26"/>
      <c r="O1401" s="8"/>
      <c r="P1401" s="1"/>
      <c r="Q1401" s="8"/>
      <c r="R1401" s="8"/>
      <c r="S1401" s="1"/>
      <c r="T1401" s="8"/>
      <c r="U1401" s="8"/>
      <c r="V1401" s="16"/>
      <c r="W1401" s="1"/>
      <c r="X1401" s="1"/>
    </row>
    <row r="1402" spans="1:24" ht="14.4">
      <c r="A1402" s="1"/>
      <c r="B1402" s="8"/>
      <c r="C1402" s="8"/>
      <c r="D1402" s="8"/>
      <c r="E1402" s="8"/>
      <c r="F1402" s="8"/>
      <c r="G1402" s="8"/>
      <c r="H1402" s="8"/>
      <c r="I1402" s="8"/>
      <c r="J1402" s="8"/>
      <c r="K1402" s="8"/>
      <c r="L1402" s="56"/>
      <c r="M1402" s="26"/>
      <c r="N1402" s="26"/>
      <c r="O1402" s="8"/>
      <c r="P1402" s="1"/>
      <c r="Q1402" s="8"/>
      <c r="R1402" s="8"/>
      <c r="S1402" s="1"/>
      <c r="T1402" s="8"/>
      <c r="U1402" s="8"/>
      <c r="V1402" s="16"/>
      <c r="W1402" s="1"/>
      <c r="X1402" s="1"/>
    </row>
    <row r="1403" spans="1:24" ht="14.4">
      <c r="A1403" s="1"/>
      <c r="B1403" s="8"/>
      <c r="C1403" s="8"/>
      <c r="D1403" s="8"/>
      <c r="E1403" s="8"/>
      <c r="F1403" s="8"/>
      <c r="G1403" s="8"/>
      <c r="H1403" s="8"/>
      <c r="I1403" s="8"/>
      <c r="J1403" s="8"/>
      <c r="K1403" s="8"/>
      <c r="L1403" s="56"/>
      <c r="M1403" s="26"/>
      <c r="N1403" s="26"/>
      <c r="O1403" s="8"/>
      <c r="P1403" s="1"/>
      <c r="Q1403" s="8"/>
      <c r="R1403" s="8"/>
      <c r="S1403" s="1"/>
      <c r="T1403" s="8"/>
      <c r="U1403" s="8"/>
      <c r="V1403" s="16"/>
      <c r="W1403" s="1"/>
      <c r="X1403" s="1"/>
    </row>
    <row r="1404" spans="1:24" ht="14.4">
      <c r="A1404" s="1"/>
      <c r="B1404" s="8"/>
      <c r="C1404" s="8"/>
      <c r="D1404" s="8"/>
      <c r="E1404" s="8"/>
      <c r="F1404" s="8"/>
      <c r="G1404" s="8"/>
      <c r="H1404" s="8"/>
      <c r="I1404" s="8"/>
      <c r="J1404" s="8"/>
      <c r="K1404" s="8"/>
      <c r="L1404" s="56"/>
      <c r="M1404" s="26"/>
      <c r="N1404" s="26"/>
      <c r="O1404" s="8"/>
      <c r="P1404" s="1"/>
      <c r="Q1404" s="8"/>
      <c r="R1404" s="8"/>
      <c r="S1404" s="1"/>
      <c r="T1404" s="8"/>
      <c r="U1404" s="8"/>
      <c r="V1404" s="16"/>
      <c r="W1404" s="1"/>
      <c r="X1404" s="1"/>
    </row>
    <row r="1405" spans="1:24" ht="14.4">
      <c r="A1405" s="1"/>
      <c r="B1405" s="8"/>
      <c r="C1405" s="8"/>
      <c r="D1405" s="8"/>
      <c r="E1405" s="8"/>
      <c r="F1405" s="8"/>
      <c r="G1405" s="8"/>
      <c r="H1405" s="8"/>
      <c r="I1405" s="8"/>
      <c r="J1405" s="8"/>
      <c r="K1405" s="8"/>
      <c r="L1405" s="56"/>
      <c r="M1405" s="26"/>
      <c r="N1405" s="26"/>
      <c r="O1405" s="8"/>
      <c r="P1405" s="1"/>
      <c r="Q1405" s="8"/>
      <c r="R1405" s="8"/>
      <c r="S1405" s="1"/>
      <c r="T1405" s="8"/>
      <c r="U1405" s="8"/>
      <c r="V1405" s="16"/>
      <c r="W1405" s="1"/>
      <c r="X1405" s="1"/>
    </row>
    <row r="1406" spans="1:24" ht="14.4">
      <c r="A1406" s="1"/>
      <c r="B1406" s="8"/>
      <c r="C1406" s="8"/>
      <c r="D1406" s="8"/>
      <c r="E1406" s="8"/>
      <c r="F1406" s="8"/>
      <c r="G1406" s="8"/>
      <c r="H1406" s="8"/>
      <c r="I1406" s="8"/>
      <c r="J1406" s="8"/>
      <c r="K1406" s="8"/>
      <c r="L1406" s="56"/>
      <c r="M1406" s="26"/>
      <c r="N1406" s="26"/>
      <c r="O1406" s="8"/>
      <c r="P1406" s="1"/>
      <c r="Q1406" s="8"/>
      <c r="R1406" s="8"/>
      <c r="S1406" s="1"/>
      <c r="T1406" s="8"/>
      <c r="U1406" s="8"/>
      <c r="V1406" s="16"/>
      <c r="W1406" s="1"/>
      <c r="X1406" s="1"/>
    </row>
    <row r="1407" spans="1:24" ht="14.4">
      <c r="A1407" s="1"/>
      <c r="B1407" s="8"/>
      <c r="C1407" s="8"/>
      <c r="D1407" s="8"/>
      <c r="E1407" s="8"/>
      <c r="F1407" s="8"/>
      <c r="G1407" s="8"/>
      <c r="H1407" s="8"/>
      <c r="I1407" s="8"/>
      <c r="J1407" s="8"/>
      <c r="K1407" s="8"/>
      <c r="L1407" s="56"/>
      <c r="M1407" s="26"/>
      <c r="N1407" s="26"/>
      <c r="O1407" s="8"/>
      <c r="P1407" s="1"/>
      <c r="Q1407" s="8"/>
      <c r="R1407" s="8"/>
      <c r="S1407" s="1"/>
      <c r="T1407" s="8"/>
      <c r="U1407" s="8"/>
      <c r="V1407" s="16"/>
      <c r="W1407" s="1"/>
      <c r="X1407" s="1"/>
    </row>
    <row r="1408" spans="1:24" ht="14.4">
      <c r="A1408" s="1"/>
      <c r="B1408" s="8"/>
      <c r="C1408" s="8"/>
      <c r="D1408" s="8"/>
      <c r="E1408" s="8"/>
      <c r="F1408" s="8"/>
      <c r="G1408" s="8"/>
      <c r="H1408" s="8"/>
      <c r="I1408" s="8"/>
      <c r="J1408" s="8"/>
      <c r="K1408" s="8"/>
      <c r="L1408" s="56"/>
      <c r="M1408" s="26"/>
      <c r="N1408" s="26"/>
      <c r="O1408" s="8"/>
      <c r="P1408" s="1"/>
      <c r="Q1408" s="8"/>
      <c r="R1408" s="8"/>
      <c r="S1408" s="1"/>
      <c r="T1408" s="8"/>
      <c r="U1408" s="8"/>
      <c r="V1408" s="16"/>
      <c r="W1408" s="1"/>
      <c r="X1408" s="1"/>
    </row>
    <row r="1409" spans="1:24" ht="14.4">
      <c r="A1409" s="1"/>
      <c r="B1409" s="8"/>
      <c r="C1409" s="8"/>
      <c r="D1409" s="8"/>
      <c r="E1409" s="8"/>
      <c r="F1409" s="8"/>
      <c r="G1409" s="8"/>
      <c r="H1409" s="8"/>
      <c r="I1409" s="8"/>
      <c r="J1409" s="8"/>
      <c r="K1409" s="8"/>
      <c r="L1409" s="56"/>
      <c r="M1409" s="26"/>
      <c r="N1409" s="26"/>
      <c r="O1409" s="8"/>
      <c r="P1409" s="1"/>
      <c r="Q1409" s="8"/>
      <c r="R1409" s="8"/>
      <c r="S1409" s="1"/>
      <c r="T1409" s="8"/>
      <c r="U1409" s="8"/>
      <c r="V1409" s="16"/>
      <c r="W1409" s="1"/>
      <c r="X1409" s="1"/>
    </row>
    <row r="1410" spans="1:24" ht="14.4">
      <c r="A1410" s="1"/>
      <c r="B1410" s="8"/>
      <c r="C1410" s="8"/>
      <c r="D1410" s="8"/>
      <c r="E1410" s="8"/>
      <c r="F1410" s="8"/>
      <c r="G1410" s="8"/>
      <c r="H1410" s="8"/>
      <c r="I1410" s="8"/>
      <c r="J1410" s="8"/>
      <c r="K1410" s="8"/>
      <c r="L1410" s="56"/>
      <c r="M1410" s="26"/>
      <c r="N1410" s="26"/>
      <c r="O1410" s="8"/>
      <c r="P1410" s="1"/>
      <c r="Q1410" s="8"/>
      <c r="R1410" s="8"/>
      <c r="S1410" s="1"/>
      <c r="T1410" s="8"/>
      <c r="U1410" s="8"/>
      <c r="V1410" s="16"/>
      <c r="W1410" s="1"/>
      <c r="X1410" s="1"/>
    </row>
    <row r="1411" spans="1:24" ht="14.4">
      <c r="A1411" s="1"/>
      <c r="B1411" s="8"/>
      <c r="C1411" s="8"/>
      <c r="D1411" s="8"/>
      <c r="E1411" s="8"/>
      <c r="F1411" s="8"/>
      <c r="G1411" s="8"/>
      <c r="H1411" s="8"/>
      <c r="I1411" s="8"/>
      <c r="J1411" s="8"/>
      <c r="K1411" s="8"/>
      <c r="L1411" s="56"/>
      <c r="M1411" s="26"/>
      <c r="N1411" s="26"/>
      <c r="O1411" s="8"/>
      <c r="P1411" s="1"/>
      <c r="Q1411" s="8"/>
      <c r="R1411" s="8"/>
      <c r="S1411" s="1"/>
      <c r="T1411" s="8"/>
      <c r="U1411" s="8"/>
      <c r="V1411" s="16"/>
      <c r="W1411" s="1"/>
      <c r="X1411" s="1"/>
    </row>
    <row r="1412" spans="1:24" ht="14.4">
      <c r="A1412" s="1"/>
      <c r="B1412" s="8"/>
      <c r="C1412" s="8"/>
      <c r="D1412" s="8"/>
      <c r="E1412" s="8"/>
      <c r="F1412" s="8"/>
      <c r="G1412" s="8"/>
      <c r="H1412" s="8"/>
      <c r="I1412" s="8"/>
      <c r="J1412" s="8"/>
      <c r="K1412" s="8"/>
      <c r="L1412" s="56"/>
      <c r="M1412" s="26"/>
      <c r="N1412" s="26"/>
      <c r="O1412" s="8"/>
      <c r="P1412" s="1"/>
      <c r="Q1412" s="8"/>
      <c r="R1412" s="8"/>
      <c r="S1412" s="1"/>
      <c r="T1412" s="8"/>
      <c r="U1412" s="8"/>
      <c r="V1412" s="16"/>
      <c r="W1412" s="1"/>
      <c r="X1412" s="1"/>
    </row>
    <row r="1413" spans="1:24" ht="14.4">
      <c r="A1413" s="1"/>
      <c r="B1413" s="8"/>
      <c r="C1413" s="8"/>
      <c r="D1413" s="8"/>
      <c r="E1413" s="8"/>
      <c r="F1413" s="8"/>
      <c r="G1413" s="8"/>
      <c r="H1413" s="8"/>
      <c r="I1413" s="8"/>
      <c r="J1413" s="8"/>
      <c r="K1413" s="8"/>
      <c r="L1413" s="56"/>
      <c r="M1413" s="26"/>
      <c r="N1413" s="26"/>
      <c r="O1413" s="8"/>
      <c r="P1413" s="1"/>
      <c r="Q1413" s="8"/>
      <c r="R1413" s="8"/>
      <c r="S1413" s="1"/>
      <c r="T1413" s="8"/>
      <c r="U1413" s="8"/>
      <c r="V1413" s="16"/>
      <c r="W1413" s="1"/>
      <c r="X1413" s="1"/>
    </row>
    <row r="1414" spans="1:24" ht="14.4">
      <c r="A1414" s="1"/>
      <c r="B1414" s="8"/>
      <c r="C1414" s="8"/>
      <c r="D1414" s="8"/>
      <c r="E1414" s="8"/>
      <c r="F1414" s="8"/>
      <c r="G1414" s="8"/>
      <c r="H1414" s="8"/>
      <c r="I1414" s="8"/>
      <c r="J1414" s="8"/>
      <c r="K1414" s="8"/>
      <c r="L1414" s="56"/>
      <c r="M1414" s="26"/>
      <c r="N1414" s="26"/>
      <c r="O1414" s="8"/>
      <c r="P1414" s="1"/>
      <c r="Q1414" s="8"/>
      <c r="R1414" s="8"/>
      <c r="S1414" s="1"/>
      <c r="T1414" s="8"/>
      <c r="U1414" s="8"/>
      <c r="V1414" s="16"/>
      <c r="W1414" s="1"/>
      <c r="X1414" s="1"/>
    </row>
    <row r="1415" spans="1:24" ht="14.4">
      <c r="A1415" s="1"/>
      <c r="B1415" s="8"/>
      <c r="C1415" s="8"/>
      <c r="D1415" s="8"/>
      <c r="E1415" s="8"/>
      <c r="F1415" s="8"/>
      <c r="G1415" s="8"/>
      <c r="H1415" s="8"/>
      <c r="I1415" s="8"/>
      <c r="J1415" s="8"/>
      <c r="K1415" s="8"/>
      <c r="L1415" s="56"/>
      <c r="M1415" s="26"/>
      <c r="N1415" s="26"/>
      <c r="O1415" s="8"/>
      <c r="P1415" s="1"/>
      <c r="Q1415" s="8"/>
      <c r="R1415" s="8"/>
      <c r="S1415" s="1"/>
      <c r="T1415" s="8"/>
      <c r="U1415" s="8"/>
      <c r="V1415" s="16"/>
      <c r="W1415" s="1"/>
      <c r="X1415" s="1"/>
    </row>
    <row r="1416" spans="1:24" ht="14.4">
      <c r="A1416" s="1"/>
      <c r="B1416" s="8"/>
      <c r="C1416" s="8"/>
      <c r="D1416" s="8"/>
      <c r="E1416" s="8"/>
      <c r="F1416" s="8"/>
      <c r="G1416" s="8"/>
      <c r="H1416" s="8"/>
      <c r="I1416" s="8"/>
      <c r="J1416" s="8"/>
      <c r="K1416" s="8"/>
      <c r="L1416" s="56"/>
      <c r="M1416" s="26"/>
      <c r="N1416" s="26"/>
      <c r="O1416" s="8"/>
      <c r="P1416" s="1"/>
      <c r="Q1416" s="8"/>
      <c r="R1416" s="8"/>
      <c r="S1416" s="1"/>
      <c r="T1416" s="8"/>
      <c r="U1416" s="8"/>
      <c r="V1416" s="16"/>
      <c r="W1416" s="1"/>
      <c r="X1416" s="1"/>
    </row>
    <row r="1417" spans="1:24" ht="14.4">
      <c r="A1417" s="1"/>
      <c r="B1417" s="8"/>
      <c r="C1417" s="8"/>
      <c r="D1417" s="8"/>
      <c r="E1417" s="8"/>
      <c r="F1417" s="8"/>
      <c r="G1417" s="8"/>
      <c r="H1417" s="8"/>
      <c r="I1417" s="8"/>
      <c r="J1417" s="8"/>
      <c r="K1417" s="8"/>
      <c r="L1417" s="56"/>
      <c r="M1417" s="26"/>
      <c r="N1417" s="26"/>
      <c r="O1417" s="8"/>
      <c r="P1417" s="1"/>
      <c r="Q1417" s="8"/>
      <c r="R1417" s="8"/>
      <c r="S1417" s="1"/>
      <c r="T1417" s="8"/>
      <c r="U1417" s="8"/>
      <c r="V1417" s="16"/>
      <c r="W1417" s="1"/>
      <c r="X1417" s="1"/>
    </row>
    <row r="1418" spans="1:24" ht="14.4">
      <c r="A1418" s="1"/>
      <c r="B1418" s="8"/>
      <c r="C1418" s="8"/>
      <c r="D1418" s="8"/>
      <c r="E1418" s="8"/>
      <c r="F1418" s="8"/>
      <c r="G1418" s="8"/>
      <c r="H1418" s="8"/>
      <c r="I1418" s="8"/>
      <c r="J1418" s="8"/>
      <c r="K1418" s="8"/>
      <c r="L1418" s="56"/>
      <c r="M1418" s="26"/>
      <c r="N1418" s="26"/>
      <c r="O1418" s="8"/>
      <c r="P1418" s="1"/>
      <c r="Q1418" s="8"/>
      <c r="R1418" s="8"/>
      <c r="S1418" s="1"/>
      <c r="T1418" s="8"/>
      <c r="U1418" s="8"/>
      <c r="V1418" s="16"/>
      <c r="W1418" s="1"/>
      <c r="X1418" s="1"/>
    </row>
    <row r="1419" spans="1:24" ht="14.4">
      <c r="A1419" s="1"/>
      <c r="B1419" s="8"/>
      <c r="C1419" s="8"/>
      <c r="D1419" s="8"/>
      <c r="E1419" s="8"/>
      <c r="F1419" s="8"/>
      <c r="G1419" s="8"/>
      <c r="H1419" s="8"/>
      <c r="I1419" s="8"/>
      <c r="J1419" s="8"/>
      <c r="K1419" s="8"/>
      <c r="L1419" s="56"/>
      <c r="M1419" s="26"/>
      <c r="N1419" s="26"/>
      <c r="O1419" s="8"/>
      <c r="P1419" s="1"/>
      <c r="Q1419" s="8"/>
      <c r="R1419" s="8"/>
      <c r="S1419" s="1"/>
      <c r="T1419" s="8"/>
      <c r="U1419" s="8"/>
      <c r="V1419" s="16"/>
      <c r="W1419" s="1"/>
      <c r="X1419" s="1"/>
    </row>
    <row r="1420" spans="1:24" ht="14.4">
      <c r="A1420" s="1"/>
      <c r="B1420" s="8"/>
      <c r="C1420" s="8"/>
      <c r="D1420" s="8"/>
      <c r="E1420" s="8"/>
      <c r="F1420" s="8"/>
      <c r="G1420" s="8"/>
      <c r="H1420" s="8"/>
      <c r="I1420" s="8"/>
      <c r="J1420" s="8"/>
      <c r="K1420" s="8"/>
      <c r="L1420" s="56"/>
      <c r="M1420" s="26"/>
      <c r="N1420" s="26"/>
      <c r="O1420" s="8"/>
      <c r="P1420" s="1"/>
      <c r="Q1420" s="8"/>
      <c r="R1420" s="8"/>
      <c r="S1420" s="1"/>
      <c r="T1420" s="8"/>
      <c r="U1420" s="8"/>
      <c r="V1420" s="16"/>
      <c r="W1420" s="1"/>
      <c r="X1420" s="1"/>
    </row>
    <row r="1421" spans="1:24" ht="14.4">
      <c r="A1421" s="1"/>
      <c r="B1421" s="8"/>
      <c r="C1421" s="8"/>
      <c r="D1421" s="8"/>
      <c r="E1421" s="8"/>
      <c r="F1421" s="8"/>
      <c r="G1421" s="8"/>
      <c r="H1421" s="8"/>
      <c r="I1421" s="8"/>
      <c r="J1421" s="8"/>
      <c r="K1421" s="8"/>
      <c r="L1421" s="56"/>
      <c r="M1421" s="26"/>
      <c r="N1421" s="26"/>
      <c r="O1421" s="8"/>
      <c r="P1421" s="1"/>
      <c r="Q1421" s="8"/>
      <c r="R1421" s="8"/>
      <c r="S1421" s="1"/>
      <c r="T1421" s="8"/>
      <c r="U1421" s="8"/>
      <c r="V1421" s="16"/>
      <c r="W1421" s="1"/>
      <c r="X1421" s="1"/>
    </row>
    <row r="1422" spans="1:24" ht="14.4">
      <c r="A1422" s="1"/>
      <c r="B1422" s="8"/>
      <c r="C1422" s="8"/>
      <c r="D1422" s="8"/>
      <c r="E1422" s="8"/>
      <c r="F1422" s="8"/>
      <c r="G1422" s="8"/>
      <c r="H1422" s="8"/>
      <c r="I1422" s="8"/>
      <c r="J1422" s="8"/>
      <c r="K1422" s="8"/>
      <c r="L1422" s="56"/>
      <c r="M1422" s="26"/>
      <c r="N1422" s="26"/>
      <c r="O1422" s="8"/>
      <c r="P1422" s="1"/>
      <c r="Q1422" s="8"/>
      <c r="R1422" s="8"/>
      <c r="S1422" s="1"/>
      <c r="T1422" s="8"/>
      <c r="U1422" s="8"/>
      <c r="V1422" s="16"/>
      <c r="W1422" s="1"/>
      <c r="X1422" s="1"/>
    </row>
    <row r="1423" spans="1:24" ht="14.4">
      <c r="A1423" s="1"/>
      <c r="B1423" s="8"/>
      <c r="C1423" s="8"/>
      <c r="D1423" s="8"/>
      <c r="E1423" s="8"/>
      <c r="F1423" s="8"/>
      <c r="G1423" s="8"/>
      <c r="H1423" s="8"/>
      <c r="I1423" s="8"/>
      <c r="J1423" s="8"/>
      <c r="K1423" s="8"/>
      <c r="L1423" s="56"/>
      <c r="M1423" s="26"/>
      <c r="N1423" s="26"/>
      <c r="O1423" s="8"/>
      <c r="P1423" s="1"/>
      <c r="Q1423" s="8"/>
      <c r="R1423" s="8"/>
      <c r="S1423" s="1"/>
      <c r="T1423" s="8"/>
      <c r="U1423" s="8"/>
      <c r="V1423" s="16"/>
      <c r="W1423" s="1"/>
      <c r="X1423" s="1"/>
    </row>
    <row r="1424" spans="1:24" ht="14.4">
      <c r="A1424" s="1"/>
      <c r="B1424" s="8"/>
      <c r="C1424" s="8"/>
      <c r="D1424" s="8"/>
      <c r="E1424" s="8"/>
      <c r="F1424" s="8"/>
      <c r="G1424" s="8"/>
      <c r="H1424" s="8"/>
      <c r="I1424" s="8"/>
      <c r="J1424" s="8"/>
      <c r="K1424" s="8"/>
      <c r="L1424" s="56"/>
      <c r="M1424" s="26"/>
      <c r="N1424" s="26"/>
      <c r="O1424" s="8"/>
      <c r="P1424" s="1"/>
      <c r="Q1424" s="8"/>
      <c r="R1424" s="8"/>
      <c r="S1424" s="1"/>
      <c r="T1424" s="8"/>
      <c r="U1424" s="8"/>
      <c r="V1424" s="16"/>
      <c r="W1424" s="1"/>
      <c r="X1424" s="1"/>
    </row>
    <row r="1425" spans="1:24" ht="14.4">
      <c r="A1425" s="1"/>
      <c r="B1425" s="8"/>
      <c r="C1425" s="8"/>
      <c r="D1425" s="8"/>
      <c r="E1425" s="8"/>
      <c r="F1425" s="8"/>
      <c r="G1425" s="8"/>
      <c r="H1425" s="8"/>
      <c r="I1425" s="8"/>
      <c r="J1425" s="8"/>
      <c r="K1425" s="8"/>
      <c r="L1425" s="56"/>
      <c r="M1425" s="26"/>
      <c r="N1425" s="26"/>
      <c r="O1425" s="8"/>
      <c r="P1425" s="1"/>
      <c r="Q1425" s="8"/>
      <c r="R1425" s="8"/>
      <c r="S1425" s="1"/>
      <c r="T1425" s="8"/>
      <c r="U1425" s="8"/>
      <c r="V1425" s="16"/>
      <c r="W1425" s="1"/>
      <c r="X1425" s="1"/>
    </row>
    <row r="1426" spans="1:24" ht="14.4">
      <c r="A1426" s="1"/>
      <c r="B1426" s="8"/>
      <c r="C1426" s="8"/>
      <c r="D1426" s="8"/>
      <c r="E1426" s="8"/>
      <c r="F1426" s="8"/>
      <c r="G1426" s="8"/>
      <c r="H1426" s="8"/>
      <c r="I1426" s="8"/>
      <c r="J1426" s="8"/>
      <c r="K1426" s="8"/>
      <c r="L1426" s="56"/>
      <c r="M1426" s="26"/>
      <c r="N1426" s="26"/>
      <c r="O1426" s="8"/>
      <c r="P1426" s="1"/>
      <c r="Q1426" s="8"/>
      <c r="R1426" s="8"/>
      <c r="S1426" s="1"/>
      <c r="T1426" s="8"/>
      <c r="U1426" s="8"/>
      <c r="V1426" s="16"/>
      <c r="W1426" s="1"/>
      <c r="X1426" s="1"/>
    </row>
    <row r="1427" spans="1:24" ht="14.4">
      <c r="A1427" s="1"/>
      <c r="B1427" s="8"/>
      <c r="C1427" s="8"/>
      <c r="D1427" s="8"/>
      <c r="E1427" s="8"/>
      <c r="F1427" s="8"/>
      <c r="G1427" s="8"/>
      <c r="H1427" s="8"/>
      <c r="I1427" s="8"/>
      <c r="J1427" s="8"/>
      <c r="K1427" s="8"/>
      <c r="L1427" s="56"/>
      <c r="M1427" s="26"/>
      <c r="N1427" s="26"/>
      <c r="O1427" s="8"/>
      <c r="P1427" s="1"/>
      <c r="Q1427" s="8"/>
      <c r="R1427" s="8"/>
      <c r="S1427" s="1"/>
      <c r="T1427" s="8"/>
      <c r="U1427" s="8"/>
      <c r="V1427" s="16"/>
      <c r="W1427" s="1"/>
      <c r="X1427" s="1"/>
    </row>
    <row r="1428" spans="1:24" ht="14.4">
      <c r="A1428" s="1"/>
      <c r="B1428" s="8"/>
      <c r="C1428" s="8"/>
      <c r="D1428" s="8"/>
      <c r="E1428" s="8"/>
      <c r="F1428" s="8"/>
      <c r="G1428" s="8"/>
      <c r="H1428" s="8"/>
      <c r="I1428" s="8"/>
      <c r="J1428" s="8"/>
      <c r="K1428" s="8"/>
      <c r="L1428" s="56"/>
      <c r="M1428" s="26"/>
      <c r="N1428" s="26"/>
      <c r="O1428" s="8"/>
      <c r="P1428" s="1"/>
      <c r="Q1428" s="8"/>
      <c r="R1428" s="8"/>
      <c r="S1428" s="1"/>
      <c r="T1428" s="8"/>
      <c r="U1428" s="8"/>
      <c r="V1428" s="16"/>
      <c r="W1428" s="1"/>
      <c r="X1428" s="1"/>
    </row>
    <row r="1429" spans="1:24" ht="14.4">
      <c r="A1429" s="1"/>
      <c r="B1429" s="8"/>
      <c r="C1429" s="8"/>
      <c r="D1429" s="8"/>
      <c r="E1429" s="8"/>
      <c r="F1429" s="8"/>
      <c r="G1429" s="8"/>
      <c r="H1429" s="8"/>
      <c r="I1429" s="8"/>
      <c r="J1429" s="8"/>
      <c r="K1429" s="8"/>
      <c r="L1429" s="56"/>
      <c r="M1429" s="26"/>
      <c r="N1429" s="26"/>
      <c r="O1429" s="8"/>
      <c r="P1429" s="1"/>
      <c r="Q1429" s="8"/>
      <c r="R1429" s="8"/>
      <c r="S1429" s="1"/>
      <c r="T1429" s="8"/>
      <c r="U1429" s="8"/>
      <c r="V1429" s="16"/>
      <c r="W1429" s="1"/>
      <c r="X1429" s="1"/>
    </row>
    <row r="1430" spans="1:24" ht="14.4">
      <c r="A1430" s="1"/>
      <c r="B1430" s="8"/>
      <c r="C1430" s="8"/>
      <c r="D1430" s="8"/>
      <c r="E1430" s="8"/>
      <c r="F1430" s="8"/>
      <c r="G1430" s="8"/>
      <c r="H1430" s="8"/>
      <c r="I1430" s="8"/>
      <c r="J1430" s="8"/>
      <c r="K1430" s="8"/>
      <c r="L1430" s="56"/>
      <c r="M1430" s="26"/>
      <c r="N1430" s="26"/>
      <c r="O1430" s="8"/>
      <c r="P1430" s="1"/>
      <c r="Q1430" s="8"/>
      <c r="R1430" s="8"/>
      <c r="S1430" s="1"/>
      <c r="T1430" s="8"/>
      <c r="U1430" s="8"/>
      <c r="V1430" s="16"/>
      <c r="W1430" s="1"/>
      <c r="X1430" s="1"/>
    </row>
    <row r="1431" spans="1:24" ht="14.4">
      <c r="A1431" s="1"/>
      <c r="B1431" s="8"/>
      <c r="C1431" s="8"/>
      <c r="D1431" s="8"/>
      <c r="E1431" s="8"/>
      <c r="F1431" s="8"/>
      <c r="G1431" s="8"/>
      <c r="H1431" s="8"/>
      <c r="I1431" s="8"/>
      <c r="J1431" s="8"/>
      <c r="K1431" s="8"/>
      <c r="L1431" s="56"/>
      <c r="M1431" s="26"/>
      <c r="N1431" s="26"/>
      <c r="O1431" s="8"/>
      <c r="P1431" s="1"/>
      <c r="Q1431" s="8"/>
      <c r="R1431" s="8"/>
      <c r="S1431" s="1"/>
      <c r="T1431" s="8"/>
      <c r="U1431" s="8"/>
      <c r="V1431" s="16"/>
      <c r="W1431" s="1"/>
      <c r="X1431" s="1"/>
    </row>
    <row r="1432" spans="1:24" ht="14.4">
      <c r="A1432" s="1"/>
      <c r="B1432" s="8"/>
      <c r="C1432" s="8"/>
      <c r="D1432" s="8"/>
      <c r="E1432" s="8"/>
      <c r="F1432" s="8"/>
      <c r="G1432" s="8"/>
      <c r="H1432" s="8"/>
      <c r="I1432" s="8"/>
      <c r="J1432" s="8"/>
      <c r="K1432" s="8"/>
      <c r="L1432" s="56"/>
      <c r="M1432" s="26"/>
      <c r="N1432" s="26"/>
      <c r="O1432" s="8"/>
      <c r="P1432" s="1"/>
      <c r="Q1432" s="8"/>
      <c r="R1432" s="8"/>
      <c r="S1432" s="1"/>
      <c r="T1432" s="8"/>
      <c r="U1432" s="8"/>
      <c r="V1432" s="16"/>
      <c r="W1432" s="1"/>
      <c r="X1432" s="1"/>
    </row>
    <row r="1433" spans="1:24" ht="14.4">
      <c r="A1433" s="1"/>
      <c r="B1433" s="8"/>
      <c r="C1433" s="8"/>
      <c r="D1433" s="8"/>
      <c r="E1433" s="8"/>
      <c r="F1433" s="8"/>
      <c r="G1433" s="8"/>
      <c r="H1433" s="8"/>
      <c r="I1433" s="8"/>
      <c r="J1433" s="8"/>
      <c r="K1433" s="8"/>
      <c r="L1433" s="56"/>
      <c r="M1433" s="26"/>
      <c r="N1433" s="26"/>
      <c r="O1433" s="8"/>
      <c r="P1433" s="1"/>
      <c r="Q1433" s="8"/>
      <c r="R1433" s="8"/>
      <c r="S1433" s="1"/>
      <c r="T1433" s="8"/>
      <c r="U1433" s="8"/>
      <c r="V1433" s="16"/>
      <c r="W1433" s="1"/>
      <c r="X1433" s="1"/>
    </row>
    <row r="1434" spans="1:24" ht="14.4">
      <c r="A1434" s="1"/>
      <c r="B1434" s="8"/>
      <c r="C1434" s="8"/>
      <c r="D1434" s="8"/>
      <c r="E1434" s="8"/>
      <c r="F1434" s="8"/>
      <c r="G1434" s="8"/>
      <c r="H1434" s="8"/>
      <c r="I1434" s="8"/>
      <c r="J1434" s="8"/>
      <c r="K1434" s="8"/>
      <c r="L1434" s="56"/>
      <c r="M1434" s="26"/>
      <c r="N1434" s="26"/>
      <c r="O1434" s="8"/>
      <c r="P1434" s="1"/>
      <c r="Q1434" s="8"/>
      <c r="R1434" s="8"/>
      <c r="S1434" s="1"/>
      <c r="T1434" s="8"/>
      <c r="U1434" s="8"/>
      <c r="V1434" s="16"/>
      <c r="W1434" s="1"/>
      <c r="X1434" s="1"/>
    </row>
    <row r="1435" spans="1:24" ht="14.4">
      <c r="A1435" s="1"/>
      <c r="B1435" s="8"/>
      <c r="C1435" s="8"/>
      <c r="D1435" s="8"/>
      <c r="E1435" s="8"/>
      <c r="F1435" s="8"/>
      <c r="G1435" s="8"/>
      <c r="H1435" s="8"/>
      <c r="I1435" s="8"/>
      <c r="J1435" s="8"/>
      <c r="K1435" s="8"/>
      <c r="L1435" s="56"/>
      <c r="M1435" s="26"/>
      <c r="N1435" s="26"/>
      <c r="O1435" s="8"/>
      <c r="P1435" s="1"/>
      <c r="Q1435" s="8"/>
      <c r="R1435" s="8"/>
      <c r="S1435" s="1"/>
      <c r="T1435" s="8"/>
      <c r="U1435" s="8"/>
      <c r="V1435" s="16"/>
      <c r="W1435" s="1"/>
      <c r="X1435" s="1"/>
    </row>
    <row r="1436" spans="1:24" ht="14.4">
      <c r="A1436" s="1"/>
      <c r="B1436" s="8"/>
      <c r="C1436" s="8"/>
      <c r="D1436" s="8"/>
      <c r="E1436" s="8"/>
      <c r="F1436" s="8"/>
      <c r="G1436" s="8"/>
      <c r="H1436" s="8"/>
      <c r="I1436" s="8"/>
      <c r="J1436" s="8"/>
      <c r="K1436" s="8"/>
      <c r="L1436" s="56"/>
      <c r="M1436" s="26"/>
      <c r="N1436" s="26"/>
      <c r="O1436" s="8"/>
      <c r="P1436" s="1"/>
      <c r="Q1436" s="8"/>
      <c r="R1436" s="8"/>
      <c r="S1436" s="1"/>
      <c r="T1436" s="8"/>
      <c r="U1436" s="8"/>
      <c r="V1436" s="16"/>
      <c r="W1436" s="1"/>
      <c r="X1436" s="1"/>
    </row>
    <row r="1437" spans="1:24" ht="14.4">
      <c r="A1437" s="1"/>
      <c r="B1437" s="8"/>
      <c r="C1437" s="8"/>
      <c r="D1437" s="8"/>
      <c r="E1437" s="8"/>
      <c r="F1437" s="8"/>
      <c r="G1437" s="8"/>
      <c r="H1437" s="8"/>
      <c r="I1437" s="8"/>
      <c r="J1437" s="8"/>
      <c r="K1437" s="8"/>
      <c r="L1437" s="56"/>
      <c r="M1437" s="26"/>
      <c r="N1437" s="26"/>
      <c r="O1437" s="8"/>
      <c r="P1437" s="1"/>
      <c r="Q1437" s="8"/>
      <c r="R1437" s="8"/>
      <c r="S1437" s="1"/>
      <c r="T1437" s="8"/>
      <c r="U1437" s="8"/>
      <c r="V1437" s="16"/>
      <c r="W1437" s="1"/>
      <c r="X1437" s="1"/>
    </row>
    <row r="1438" spans="1:24" ht="14.4">
      <c r="A1438" s="1"/>
      <c r="B1438" s="8"/>
      <c r="C1438" s="8"/>
      <c r="D1438" s="8"/>
      <c r="E1438" s="8"/>
      <c r="F1438" s="8"/>
      <c r="G1438" s="8"/>
      <c r="H1438" s="8"/>
      <c r="I1438" s="8"/>
      <c r="J1438" s="8"/>
      <c r="K1438" s="8"/>
      <c r="L1438" s="56"/>
      <c r="M1438" s="26"/>
      <c r="N1438" s="26"/>
      <c r="O1438" s="8"/>
      <c r="P1438" s="1"/>
      <c r="Q1438" s="8"/>
      <c r="R1438" s="8"/>
      <c r="S1438" s="1"/>
      <c r="T1438" s="8"/>
      <c r="U1438" s="8"/>
      <c r="V1438" s="16"/>
      <c r="W1438" s="1"/>
      <c r="X1438" s="1"/>
    </row>
    <row r="1439" spans="1:24" ht="14.4">
      <c r="A1439" s="1"/>
      <c r="B1439" s="8"/>
      <c r="C1439" s="8"/>
      <c r="D1439" s="8"/>
      <c r="E1439" s="8"/>
      <c r="F1439" s="8"/>
      <c r="G1439" s="8"/>
      <c r="H1439" s="8"/>
      <c r="I1439" s="8"/>
      <c r="J1439" s="8"/>
      <c r="K1439" s="8"/>
      <c r="L1439" s="56"/>
      <c r="M1439" s="26"/>
      <c r="N1439" s="26"/>
      <c r="O1439" s="8"/>
      <c r="P1439" s="1"/>
      <c r="Q1439" s="8"/>
      <c r="R1439" s="8"/>
      <c r="S1439" s="1"/>
      <c r="T1439" s="8"/>
      <c r="U1439" s="8"/>
      <c r="V1439" s="16"/>
      <c r="W1439" s="1"/>
      <c r="X1439" s="1"/>
    </row>
    <row r="1440" spans="1:24" ht="14.4">
      <c r="A1440" s="1"/>
      <c r="B1440" s="8"/>
      <c r="C1440" s="8"/>
      <c r="D1440" s="8"/>
      <c r="E1440" s="8"/>
      <c r="F1440" s="8"/>
      <c r="G1440" s="8"/>
      <c r="H1440" s="8"/>
      <c r="I1440" s="8"/>
      <c r="J1440" s="8"/>
      <c r="K1440" s="8"/>
      <c r="L1440" s="56"/>
      <c r="M1440" s="26"/>
      <c r="N1440" s="26"/>
      <c r="O1440" s="8"/>
      <c r="P1440" s="1"/>
      <c r="Q1440" s="8"/>
      <c r="R1440" s="8"/>
      <c r="S1440" s="1"/>
      <c r="T1440" s="8"/>
      <c r="U1440" s="8"/>
      <c r="V1440" s="16"/>
      <c r="W1440" s="1"/>
      <c r="X1440" s="1"/>
    </row>
    <row r="1441" spans="1:24" ht="14.4">
      <c r="A1441" s="1"/>
      <c r="B1441" s="8"/>
      <c r="C1441" s="8"/>
      <c r="D1441" s="8"/>
      <c r="E1441" s="8"/>
      <c r="F1441" s="8"/>
      <c r="G1441" s="8"/>
      <c r="H1441" s="8"/>
      <c r="I1441" s="8"/>
      <c r="J1441" s="8"/>
      <c r="K1441" s="8"/>
      <c r="L1441" s="56"/>
      <c r="M1441" s="26"/>
      <c r="N1441" s="26"/>
      <c r="O1441" s="8"/>
      <c r="P1441" s="1"/>
      <c r="Q1441" s="8"/>
      <c r="R1441" s="8"/>
      <c r="S1441" s="1"/>
      <c r="T1441" s="8"/>
      <c r="U1441" s="8"/>
      <c r="V1441" s="16"/>
      <c r="W1441" s="1"/>
      <c r="X1441" s="1"/>
    </row>
    <row r="1442" spans="1:24" ht="14.4">
      <c r="A1442" s="1"/>
      <c r="B1442" s="8"/>
      <c r="C1442" s="8"/>
      <c r="D1442" s="8"/>
      <c r="E1442" s="8"/>
      <c r="F1442" s="8"/>
      <c r="G1442" s="8"/>
      <c r="H1442" s="8"/>
      <c r="I1442" s="8"/>
      <c r="J1442" s="8"/>
      <c r="K1442" s="8"/>
      <c r="L1442" s="56"/>
      <c r="M1442" s="26"/>
      <c r="N1442" s="26"/>
      <c r="O1442" s="8"/>
      <c r="P1442" s="1"/>
      <c r="Q1442" s="8"/>
      <c r="R1442" s="8"/>
      <c r="S1442" s="1"/>
      <c r="T1442" s="8"/>
      <c r="U1442" s="8"/>
      <c r="V1442" s="16"/>
      <c r="W1442" s="1"/>
      <c r="X1442" s="1"/>
    </row>
    <row r="1443" spans="1:24" ht="14.4">
      <c r="A1443" s="1"/>
      <c r="B1443" s="8"/>
      <c r="C1443" s="8"/>
      <c r="D1443" s="8"/>
      <c r="E1443" s="8"/>
      <c r="F1443" s="8"/>
      <c r="G1443" s="8"/>
      <c r="H1443" s="8"/>
      <c r="I1443" s="8"/>
      <c r="J1443" s="8"/>
      <c r="K1443" s="8"/>
      <c r="L1443" s="56"/>
      <c r="M1443" s="26"/>
      <c r="N1443" s="26"/>
      <c r="O1443" s="8"/>
      <c r="P1443" s="1"/>
      <c r="Q1443" s="8"/>
      <c r="R1443" s="8"/>
      <c r="S1443" s="1"/>
      <c r="T1443" s="8"/>
      <c r="U1443" s="8"/>
      <c r="V1443" s="16"/>
      <c r="W1443" s="1"/>
      <c r="X1443" s="1"/>
    </row>
    <row r="1444" spans="1:24" ht="14.4">
      <c r="A1444" s="1"/>
      <c r="B1444" s="8"/>
      <c r="C1444" s="8"/>
      <c r="D1444" s="8"/>
      <c r="E1444" s="8"/>
      <c r="F1444" s="8"/>
      <c r="G1444" s="8"/>
      <c r="H1444" s="8"/>
      <c r="I1444" s="8"/>
      <c r="J1444" s="8"/>
      <c r="K1444" s="8"/>
      <c r="L1444" s="56"/>
      <c r="M1444" s="26"/>
      <c r="N1444" s="26"/>
      <c r="O1444" s="8"/>
      <c r="P1444" s="1"/>
      <c r="Q1444" s="8"/>
      <c r="R1444" s="8"/>
      <c r="S1444" s="1"/>
      <c r="T1444" s="8"/>
      <c r="U1444" s="8"/>
      <c r="V1444" s="16"/>
      <c r="W1444" s="1"/>
      <c r="X1444" s="1"/>
    </row>
    <row r="1445" spans="1:24" ht="14.4">
      <c r="A1445" s="1"/>
      <c r="B1445" s="8"/>
      <c r="C1445" s="8"/>
      <c r="D1445" s="8"/>
      <c r="E1445" s="8"/>
      <c r="F1445" s="8"/>
      <c r="G1445" s="8"/>
      <c r="H1445" s="8"/>
      <c r="I1445" s="8"/>
      <c r="J1445" s="8"/>
      <c r="K1445" s="8"/>
      <c r="L1445" s="56"/>
      <c r="M1445" s="26"/>
      <c r="N1445" s="26"/>
      <c r="O1445" s="8"/>
      <c r="P1445" s="1"/>
      <c r="Q1445" s="8"/>
      <c r="R1445" s="8"/>
      <c r="S1445" s="1"/>
      <c r="T1445" s="8"/>
      <c r="U1445" s="8"/>
      <c r="V1445" s="16"/>
      <c r="W1445" s="1"/>
      <c r="X1445" s="1"/>
    </row>
    <row r="1446" spans="1:24" ht="14.4">
      <c r="A1446" s="1"/>
      <c r="B1446" s="8"/>
      <c r="C1446" s="8"/>
      <c r="D1446" s="8"/>
      <c r="E1446" s="8"/>
      <c r="F1446" s="8"/>
      <c r="G1446" s="8"/>
      <c r="H1446" s="8"/>
      <c r="I1446" s="8"/>
      <c r="J1446" s="8"/>
      <c r="K1446" s="8"/>
      <c r="L1446" s="56"/>
      <c r="M1446" s="26"/>
      <c r="N1446" s="26"/>
      <c r="O1446" s="8"/>
      <c r="P1446" s="1"/>
      <c r="Q1446" s="8"/>
      <c r="R1446" s="8"/>
      <c r="S1446" s="1"/>
      <c r="T1446" s="8"/>
      <c r="U1446" s="8"/>
      <c r="V1446" s="16"/>
      <c r="W1446" s="1"/>
      <c r="X1446" s="1"/>
    </row>
    <row r="1447" spans="1:24" ht="14.4">
      <c r="A1447" s="1"/>
      <c r="B1447" s="8"/>
      <c r="C1447" s="8"/>
      <c r="D1447" s="8"/>
      <c r="E1447" s="8"/>
      <c r="F1447" s="8"/>
      <c r="G1447" s="8"/>
      <c r="H1447" s="8"/>
      <c r="I1447" s="8"/>
      <c r="J1447" s="8"/>
      <c r="K1447" s="8"/>
      <c r="L1447" s="56"/>
      <c r="M1447" s="26"/>
      <c r="N1447" s="26"/>
      <c r="O1447" s="8"/>
      <c r="P1447" s="1"/>
      <c r="Q1447" s="8"/>
      <c r="R1447" s="8"/>
      <c r="S1447" s="1"/>
      <c r="T1447" s="8"/>
      <c r="U1447" s="8"/>
      <c r="V1447" s="16"/>
      <c r="W1447" s="1"/>
      <c r="X1447" s="1"/>
    </row>
    <row r="1448" spans="1:24" ht="14.4">
      <c r="A1448" s="1"/>
      <c r="B1448" s="8"/>
      <c r="C1448" s="8"/>
      <c r="D1448" s="8"/>
      <c r="E1448" s="8"/>
      <c r="F1448" s="8"/>
      <c r="G1448" s="8"/>
      <c r="H1448" s="8"/>
      <c r="I1448" s="8"/>
      <c r="J1448" s="8"/>
      <c r="K1448" s="8"/>
      <c r="L1448" s="56"/>
      <c r="M1448" s="26"/>
      <c r="N1448" s="26"/>
      <c r="O1448" s="8"/>
      <c r="P1448" s="1"/>
      <c r="Q1448" s="8"/>
      <c r="R1448" s="8"/>
      <c r="S1448" s="1"/>
      <c r="T1448" s="8"/>
      <c r="U1448" s="8"/>
      <c r="V1448" s="16"/>
      <c r="W1448" s="1"/>
      <c r="X1448" s="1"/>
    </row>
    <row r="1449" spans="1:24" ht="14.4">
      <c r="A1449" s="1"/>
      <c r="B1449" s="8"/>
      <c r="C1449" s="8"/>
      <c r="D1449" s="8"/>
      <c r="E1449" s="8"/>
      <c r="F1449" s="8"/>
      <c r="G1449" s="8"/>
      <c r="H1449" s="8"/>
      <c r="I1449" s="8"/>
      <c r="J1449" s="8"/>
      <c r="K1449" s="8"/>
      <c r="L1449" s="56"/>
      <c r="M1449" s="26"/>
      <c r="N1449" s="26"/>
      <c r="O1449" s="8"/>
      <c r="P1449" s="1"/>
      <c r="Q1449" s="8"/>
      <c r="R1449" s="8"/>
      <c r="S1449" s="1"/>
      <c r="T1449" s="8"/>
      <c r="U1449" s="8"/>
      <c r="V1449" s="16"/>
      <c r="W1449" s="1"/>
      <c r="X1449" s="1"/>
    </row>
    <row r="1450" spans="1:24" ht="14.4">
      <c r="A1450" s="1"/>
      <c r="B1450" s="8"/>
      <c r="C1450" s="8"/>
      <c r="D1450" s="8"/>
      <c r="E1450" s="8"/>
      <c r="F1450" s="8"/>
      <c r="G1450" s="8"/>
      <c r="H1450" s="8"/>
      <c r="I1450" s="8"/>
      <c r="J1450" s="8"/>
      <c r="K1450" s="8"/>
      <c r="L1450" s="56"/>
      <c r="M1450" s="26"/>
      <c r="N1450" s="26"/>
      <c r="O1450" s="8"/>
      <c r="P1450" s="1"/>
      <c r="Q1450" s="8"/>
      <c r="R1450" s="8"/>
      <c r="S1450" s="1"/>
      <c r="T1450" s="8"/>
      <c r="U1450" s="8"/>
      <c r="V1450" s="16"/>
      <c r="W1450" s="1"/>
      <c r="X1450" s="1"/>
    </row>
    <row r="1451" spans="1:24" ht="14.4">
      <c r="A1451" s="1"/>
      <c r="B1451" s="8"/>
      <c r="C1451" s="8"/>
      <c r="D1451" s="8"/>
      <c r="E1451" s="8"/>
      <c r="F1451" s="8"/>
      <c r="G1451" s="8"/>
      <c r="H1451" s="8"/>
      <c r="I1451" s="8"/>
      <c r="J1451" s="8"/>
      <c r="K1451" s="8"/>
      <c r="L1451" s="56"/>
      <c r="M1451" s="26"/>
      <c r="N1451" s="26"/>
      <c r="O1451" s="8"/>
      <c r="P1451" s="1"/>
      <c r="Q1451" s="8"/>
      <c r="R1451" s="8"/>
      <c r="S1451" s="1"/>
      <c r="T1451" s="8"/>
      <c r="U1451" s="8"/>
      <c r="V1451" s="16"/>
      <c r="W1451" s="1"/>
      <c r="X1451" s="1"/>
    </row>
    <row r="1452" spans="1:24" ht="14.4">
      <c r="A1452" s="1"/>
      <c r="B1452" s="8"/>
      <c r="C1452" s="8"/>
      <c r="D1452" s="8"/>
      <c r="E1452" s="8"/>
      <c r="F1452" s="8"/>
      <c r="G1452" s="8"/>
      <c r="H1452" s="8"/>
      <c r="I1452" s="8"/>
      <c r="J1452" s="8"/>
      <c r="K1452" s="8"/>
      <c r="L1452" s="56"/>
      <c r="M1452" s="26"/>
      <c r="N1452" s="26"/>
      <c r="O1452" s="8"/>
      <c r="P1452" s="1"/>
      <c r="Q1452" s="8"/>
      <c r="R1452" s="8"/>
      <c r="S1452" s="1"/>
      <c r="T1452" s="8"/>
      <c r="U1452" s="8"/>
      <c r="V1452" s="16"/>
      <c r="W1452" s="1"/>
      <c r="X1452" s="1"/>
    </row>
    <row r="1453" spans="1:24" ht="14.4">
      <c r="A1453" s="1"/>
      <c r="B1453" s="8"/>
      <c r="C1453" s="8"/>
      <c r="D1453" s="8"/>
      <c r="E1453" s="8"/>
      <c r="F1453" s="8"/>
      <c r="G1453" s="8"/>
      <c r="H1453" s="8"/>
      <c r="I1453" s="8"/>
      <c r="J1453" s="8"/>
      <c r="K1453" s="8"/>
      <c r="L1453" s="56"/>
      <c r="M1453" s="26"/>
      <c r="N1453" s="26"/>
      <c r="O1453" s="8"/>
      <c r="P1453" s="1"/>
      <c r="Q1453" s="8"/>
      <c r="R1453" s="8"/>
      <c r="S1453" s="1"/>
      <c r="T1453" s="8"/>
      <c r="U1453" s="8"/>
      <c r="V1453" s="16"/>
      <c r="W1453" s="1"/>
      <c r="X1453" s="1"/>
    </row>
    <row r="1454" spans="1:24" ht="14.4">
      <c r="A1454" s="1"/>
      <c r="B1454" s="8"/>
      <c r="C1454" s="8"/>
      <c r="D1454" s="8"/>
      <c r="E1454" s="8"/>
      <c r="F1454" s="8"/>
      <c r="G1454" s="8"/>
      <c r="H1454" s="8"/>
      <c r="I1454" s="8"/>
      <c r="J1454" s="8"/>
      <c r="K1454" s="8"/>
      <c r="L1454" s="56"/>
      <c r="M1454" s="26"/>
      <c r="N1454" s="26"/>
      <c r="O1454" s="8"/>
      <c r="P1454" s="1"/>
      <c r="Q1454" s="8"/>
      <c r="R1454" s="8"/>
      <c r="S1454" s="1"/>
      <c r="T1454" s="8"/>
      <c r="U1454" s="8"/>
      <c r="V1454" s="16"/>
      <c r="W1454" s="1"/>
      <c r="X1454" s="1"/>
    </row>
    <row r="1455" spans="1:24" ht="14.4">
      <c r="A1455" s="1"/>
      <c r="B1455" s="8"/>
      <c r="C1455" s="8"/>
      <c r="D1455" s="8"/>
      <c r="E1455" s="8"/>
      <c r="F1455" s="8"/>
      <c r="G1455" s="8"/>
      <c r="H1455" s="8"/>
      <c r="I1455" s="8"/>
      <c r="J1455" s="8"/>
      <c r="K1455" s="8"/>
      <c r="L1455" s="56"/>
      <c r="M1455" s="26"/>
      <c r="N1455" s="26"/>
      <c r="O1455" s="8"/>
      <c r="P1455" s="1"/>
      <c r="Q1455" s="8"/>
      <c r="R1455" s="8"/>
      <c r="S1455" s="1"/>
      <c r="T1455" s="8"/>
      <c r="U1455" s="8"/>
      <c r="V1455" s="16"/>
      <c r="W1455" s="1"/>
      <c r="X1455" s="1"/>
    </row>
    <row r="1456" spans="1:24" ht="14.4">
      <c r="A1456" s="1"/>
      <c r="B1456" s="8"/>
      <c r="C1456" s="8"/>
      <c r="D1456" s="8"/>
      <c r="E1456" s="8"/>
      <c r="F1456" s="8"/>
      <c r="G1456" s="8"/>
      <c r="H1456" s="8"/>
      <c r="I1456" s="8"/>
      <c r="J1456" s="8"/>
      <c r="K1456" s="8"/>
      <c r="L1456" s="56"/>
      <c r="M1456" s="26"/>
      <c r="N1456" s="26"/>
      <c r="O1456" s="8"/>
      <c r="P1456" s="1"/>
      <c r="Q1456" s="8"/>
      <c r="R1456" s="8"/>
      <c r="S1456" s="1"/>
      <c r="T1456" s="8"/>
      <c r="U1456" s="8"/>
      <c r="V1456" s="16"/>
      <c r="W1456" s="1"/>
      <c r="X1456" s="1"/>
    </row>
    <row r="1457" spans="1:24" ht="14.4">
      <c r="A1457" s="1"/>
      <c r="B1457" s="8"/>
      <c r="C1457" s="8"/>
      <c r="D1457" s="8"/>
      <c r="E1457" s="8"/>
      <c r="F1457" s="8"/>
      <c r="G1457" s="8"/>
      <c r="H1457" s="8"/>
      <c r="I1457" s="8"/>
      <c r="J1457" s="8"/>
      <c r="K1457" s="8"/>
      <c r="L1457" s="56"/>
      <c r="M1457" s="26"/>
      <c r="N1457" s="26"/>
      <c r="O1457" s="8"/>
      <c r="P1457" s="1"/>
      <c r="Q1457" s="8"/>
      <c r="R1457" s="8"/>
      <c r="S1457" s="1"/>
      <c r="T1457" s="8"/>
      <c r="U1457" s="8"/>
      <c r="V1457" s="16"/>
      <c r="W1457" s="1"/>
      <c r="X1457" s="1"/>
    </row>
    <row r="1458" spans="1:24" ht="14.4">
      <c r="A1458" s="1"/>
      <c r="B1458" s="8"/>
      <c r="C1458" s="8"/>
      <c r="D1458" s="8"/>
      <c r="E1458" s="8"/>
      <c r="F1458" s="8"/>
      <c r="G1458" s="8"/>
      <c r="H1458" s="8"/>
      <c r="I1458" s="8"/>
      <c r="J1458" s="8"/>
      <c r="K1458" s="8"/>
      <c r="L1458" s="56"/>
      <c r="M1458" s="26"/>
      <c r="N1458" s="26"/>
      <c r="O1458" s="8"/>
      <c r="P1458" s="1"/>
      <c r="Q1458" s="8"/>
      <c r="R1458" s="8"/>
      <c r="S1458" s="1"/>
      <c r="T1458" s="8"/>
      <c r="U1458" s="8"/>
      <c r="V1458" s="16"/>
      <c r="W1458" s="1"/>
      <c r="X1458" s="1"/>
    </row>
    <row r="1459" spans="1:24" ht="14.4">
      <c r="A1459" s="1"/>
      <c r="B1459" s="8"/>
      <c r="C1459" s="8"/>
      <c r="D1459" s="8"/>
      <c r="E1459" s="8"/>
      <c r="F1459" s="8"/>
      <c r="G1459" s="8"/>
      <c r="H1459" s="8"/>
      <c r="I1459" s="8"/>
      <c r="J1459" s="8"/>
      <c r="K1459" s="8"/>
      <c r="L1459" s="56"/>
      <c r="M1459" s="26"/>
      <c r="N1459" s="26"/>
      <c r="O1459" s="8"/>
      <c r="P1459" s="1"/>
      <c r="Q1459" s="8"/>
      <c r="R1459" s="8"/>
      <c r="S1459" s="1"/>
      <c r="T1459" s="8"/>
      <c r="U1459" s="8"/>
      <c r="V1459" s="16"/>
      <c r="W1459" s="1"/>
      <c r="X1459" s="1"/>
    </row>
    <row r="1460" spans="1:24" ht="14.4">
      <c r="A1460" s="1"/>
      <c r="B1460" s="8"/>
      <c r="C1460" s="8"/>
      <c r="D1460" s="8"/>
      <c r="E1460" s="8"/>
      <c r="F1460" s="8"/>
      <c r="G1460" s="8"/>
      <c r="H1460" s="8"/>
      <c r="I1460" s="8"/>
      <c r="J1460" s="8"/>
      <c r="K1460" s="8"/>
      <c r="L1460" s="56"/>
      <c r="M1460" s="26"/>
      <c r="N1460" s="26"/>
      <c r="O1460" s="8"/>
      <c r="P1460" s="1"/>
      <c r="Q1460" s="8"/>
      <c r="R1460" s="8"/>
      <c r="S1460" s="1"/>
      <c r="T1460" s="8"/>
      <c r="U1460" s="8"/>
      <c r="V1460" s="16"/>
      <c r="W1460" s="1"/>
      <c r="X1460" s="1"/>
    </row>
    <row r="1461" spans="1:24" ht="14.4">
      <c r="A1461" s="1"/>
      <c r="B1461" s="8"/>
      <c r="C1461" s="8"/>
      <c r="D1461" s="8"/>
      <c r="E1461" s="8"/>
      <c r="F1461" s="8"/>
      <c r="G1461" s="8"/>
      <c r="H1461" s="8"/>
      <c r="I1461" s="8"/>
      <c r="J1461" s="8"/>
      <c r="K1461" s="8"/>
      <c r="L1461" s="56"/>
      <c r="M1461" s="26"/>
      <c r="N1461" s="26"/>
      <c r="O1461" s="8"/>
      <c r="P1461" s="1"/>
      <c r="Q1461" s="8"/>
      <c r="R1461" s="8"/>
      <c r="S1461" s="1"/>
      <c r="T1461" s="8"/>
      <c r="U1461" s="8"/>
      <c r="V1461" s="16"/>
      <c r="W1461" s="1"/>
      <c r="X1461" s="1"/>
    </row>
    <row r="1462" spans="1:24" ht="14.4">
      <c r="A1462" s="1"/>
      <c r="B1462" s="8"/>
      <c r="C1462" s="8"/>
      <c r="D1462" s="8"/>
      <c r="E1462" s="8"/>
      <c r="F1462" s="8"/>
      <c r="G1462" s="8"/>
      <c r="H1462" s="8"/>
      <c r="I1462" s="8"/>
      <c r="J1462" s="8"/>
      <c r="K1462" s="8"/>
      <c r="L1462" s="56"/>
      <c r="M1462" s="26"/>
      <c r="N1462" s="26"/>
      <c r="O1462" s="8"/>
      <c r="P1462" s="1"/>
      <c r="Q1462" s="8"/>
      <c r="R1462" s="8"/>
      <c r="S1462" s="1"/>
      <c r="T1462" s="8"/>
      <c r="U1462" s="8"/>
      <c r="V1462" s="16"/>
      <c r="W1462" s="1"/>
      <c r="X1462" s="1"/>
    </row>
    <row r="1463" spans="1:24" ht="14.4">
      <c r="A1463" s="1"/>
      <c r="B1463" s="8"/>
      <c r="C1463" s="8"/>
      <c r="D1463" s="8"/>
      <c r="E1463" s="8"/>
      <c r="F1463" s="8"/>
      <c r="G1463" s="8"/>
      <c r="H1463" s="8"/>
      <c r="I1463" s="8"/>
      <c r="J1463" s="8"/>
      <c r="K1463" s="8"/>
      <c r="L1463" s="56"/>
      <c r="M1463" s="26"/>
      <c r="N1463" s="26"/>
      <c r="O1463" s="8"/>
      <c r="P1463" s="1"/>
      <c r="Q1463" s="8"/>
      <c r="R1463" s="8"/>
      <c r="S1463" s="1"/>
      <c r="T1463" s="8"/>
      <c r="U1463" s="8"/>
      <c r="V1463" s="16"/>
      <c r="W1463" s="1"/>
      <c r="X1463" s="1"/>
    </row>
    <row r="1464" spans="1:24" ht="14.4">
      <c r="A1464" s="1"/>
      <c r="B1464" s="8"/>
      <c r="C1464" s="8"/>
      <c r="D1464" s="8"/>
      <c r="E1464" s="8"/>
      <c r="F1464" s="8"/>
      <c r="G1464" s="8"/>
      <c r="H1464" s="8"/>
      <c r="I1464" s="8"/>
      <c r="J1464" s="8"/>
      <c r="K1464" s="8"/>
      <c r="L1464" s="56"/>
      <c r="M1464" s="26"/>
      <c r="N1464" s="26"/>
      <c r="O1464" s="8"/>
      <c r="P1464" s="1"/>
      <c r="Q1464" s="8"/>
      <c r="R1464" s="8"/>
      <c r="S1464" s="1"/>
      <c r="T1464" s="8"/>
      <c r="U1464" s="8"/>
      <c r="V1464" s="16"/>
      <c r="W1464" s="1"/>
      <c r="X1464" s="1"/>
    </row>
    <row r="1465" spans="1:24" ht="14.4">
      <c r="A1465" s="1"/>
      <c r="B1465" s="8"/>
      <c r="C1465" s="8"/>
      <c r="D1465" s="8"/>
      <c r="E1465" s="8"/>
      <c r="F1465" s="8"/>
      <c r="G1465" s="8"/>
      <c r="H1465" s="8"/>
      <c r="I1465" s="8"/>
      <c r="J1465" s="8"/>
      <c r="K1465" s="8"/>
      <c r="L1465" s="56"/>
      <c r="M1465" s="26"/>
      <c r="N1465" s="26"/>
      <c r="O1465" s="8"/>
      <c r="P1465" s="1"/>
      <c r="Q1465" s="8"/>
      <c r="R1465" s="8"/>
      <c r="S1465" s="1"/>
      <c r="T1465" s="8"/>
      <c r="U1465" s="8"/>
      <c r="V1465" s="16"/>
      <c r="W1465" s="1"/>
      <c r="X1465" s="1"/>
    </row>
    <row r="1466" spans="1:24" ht="14.4">
      <c r="A1466" s="1"/>
      <c r="B1466" s="8"/>
      <c r="C1466" s="8"/>
      <c r="D1466" s="8"/>
      <c r="E1466" s="8"/>
      <c r="F1466" s="8"/>
      <c r="G1466" s="8"/>
      <c r="H1466" s="8"/>
      <c r="I1466" s="8"/>
      <c r="J1466" s="8"/>
      <c r="K1466" s="8"/>
      <c r="L1466" s="56"/>
      <c r="M1466" s="26"/>
      <c r="N1466" s="26"/>
      <c r="O1466" s="8"/>
      <c r="P1466" s="1"/>
      <c r="Q1466" s="8"/>
      <c r="R1466" s="8"/>
      <c r="S1466" s="1"/>
      <c r="T1466" s="8"/>
      <c r="U1466" s="8"/>
      <c r="V1466" s="16"/>
      <c r="W1466" s="1"/>
      <c r="X1466" s="1"/>
    </row>
    <row r="1467" spans="1:24" ht="14.4">
      <c r="A1467" s="1"/>
      <c r="B1467" s="8"/>
      <c r="C1467" s="8"/>
      <c r="D1467" s="8"/>
      <c r="E1467" s="8"/>
      <c r="F1467" s="8"/>
      <c r="G1467" s="8"/>
      <c r="H1467" s="8"/>
      <c r="I1467" s="8"/>
      <c r="J1467" s="8"/>
      <c r="K1467" s="8"/>
      <c r="L1467" s="56"/>
      <c r="M1467" s="26"/>
      <c r="N1467" s="26"/>
      <c r="O1467" s="8"/>
      <c r="P1467" s="1"/>
      <c r="Q1467" s="8"/>
      <c r="R1467" s="8"/>
      <c r="S1467" s="1"/>
      <c r="T1467" s="8"/>
      <c r="U1467" s="8"/>
      <c r="V1467" s="16"/>
      <c r="W1467" s="1"/>
      <c r="X1467" s="1"/>
    </row>
    <row r="1468" spans="1:24" ht="14.4">
      <c r="A1468" s="1"/>
      <c r="B1468" s="8"/>
      <c r="C1468" s="8"/>
      <c r="D1468" s="8"/>
      <c r="E1468" s="8"/>
      <c r="F1468" s="8"/>
      <c r="G1468" s="8"/>
      <c r="H1468" s="8"/>
      <c r="I1468" s="8"/>
      <c r="J1468" s="8"/>
      <c r="K1468" s="8"/>
      <c r="L1468" s="56"/>
      <c r="M1468" s="26"/>
      <c r="N1468" s="26"/>
      <c r="O1468" s="8"/>
      <c r="P1468" s="1"/>
      <c r="Q1468" s="8"/>
      <c r="R1468" s="8"/>
      <c r="S1468" s="1"/>
      <c r="T1468" s="8"/>
      <c r="U1468" s="8"/>
      <c r="V1468" s="16"/>
      <c r="W1468" s="1"/>
      <c r="X1468" s="1"/>
    </row>
    <row r="1469" spans="1:24" ht="14.4">
      <c r="A1469" s="1"/>
      <c r="B1469" s="8"/>
      <c r="C1469" s="8"/>
      <c r="D1469" s="8"/>
      <c r="E1469" s="8"/>
      <c r="F1469" s="8"/>
      <c r="G1469" s="8"/>
      <c r="H1469" s="8"/>
      <c r="I1469" s="8"/>
      <c r="J1469" s="8"/>
      <c r="K1469" s="8"/>
      <c r="L1469" s="56"/>
      <c r="M1469" s="26"/>
      <c r="N1469" s="26"/>
      <c r="O1469" s="8"/>
      <c r="P1469" s="1"/>
      <c r="Q1469" s="8"/>
      <c r="R1469" s="8"/>
      <c r="S1469" s="1"/>
      <c r="T1469" s="8"/>
      <c r="U1469" s="8"/>
      <c r="V1469" s="16"/>
      <c r="W1469" s="1"/>
      <c r="X1469" s="1"/>
    </row>
    <row r="1470" spans="1:24" ht="14.4">
      <c r="A1470" s="1"/>
      <c r="B1470" s="8"/>
      <c r="C1470" s="8"/>
      <c r="D1470" s="8"/>
      <c r="E1470" s="8"/>
      <c r="F1470" s="8"/>
      <c r="G1470" s="8"/>
      <c r="H1470" s="8"/>
      <c r="I1470" s="8"/>
      <c r="J1470" s="8"/>
      <c r="K1470" s="8"/>
      <c r="L1470" s="56"/>
      <c r="M1470" s="26"/>
      <c r="N1470" s="26"/>
      <c r="O1470" s="8"/>
      <c r="P1470" s="1"/>
      <c r="Q1470" s="8"/>
      <c r="R1470" s="8"/>
      <c r="S1470" s="1"/>
      <c r="T1470" s="8"/>
      <c r="U1470" s="8"/>
      <c r="V1470" s="16"/>
      <c r="W1470" s="1"/>
      <c r="X1470" s="1"/>
    </row>
    <row r="1471" spans="1:24" ht="14.4">
      <c r="A1471" s="1"/>
      <c r="B1471" s="8"/>
      <c r="C1471" s="8"/>
      <c r="D1471" s="8"/>
      <c r="E1471" s="8"/>
      <c r="F1471" s="8"/>
      <c r="G1471" s="8"/>
      <c r="H1471" s="8"/>
      <c r="I1471" s="8"/>
      <c r="J1471" s="8"/>
      <c r="K1471" s="8"/>
      <c r="L1471" s="56"/>
      <c r="M1471" s="26"/>
      <c r="N1471" s="26"/>
      <c r="O1471" s="8"/>
      <c r="P1471" s="1"/>
      <c r="Q1471" s="8"/>
      <c r="R1471" s="8"/>
      <c r="S1471" s="1"/>
      <c r="T1471" s="8"/>
      <c r="U1471" s="8"/>
      <c r="V1471" s="16"/>
      <c r="W1471" s="1"/>
      <c r="X1471" s="1"/>
    </row>
    <row r="1472" spans="1:24" ht="14.4">
      <c r="A1472" s="1"/>
      <c r="B1472" s="8"/>
      <c r="C1472" s="8"/>
      <c r="D1472" s="8"/>
      <c r="E1472" s="8"/>
      <c r="F1472" s="8"/>
      <c r="G1472" s="8"/>
      <c r="H1472" s="8"/>
      <c r="I1472" s="8"/>
      <c r="J1472" s="8"/>
      <c r="K1472" s="8"/>
      <c r="L1472" s="56"/>
      <c r="M1472" s="26"/>
      <c r="N1472" s="26"/>
      <c r="O1472" s="8"/>
      <c r="P1472" s="1"/>
      <c r="Q1472" s="8"/>
      <c r="R1472" s="8"/>
      <c r="S1472" s="1"/>
      <c r="T1472" s="8"/>
      <c r="U1472" s="8"/>
      <c r="V1472" s="16"/>
      <c r="W1472" s="1"/>
      <c r="X1472" s="1"/>
    </row>
    <row r="1473" spans="1:24" ht="14.4">
      <c r="A1473" s="1"/>
      <c r="B1473" s="8"/>
      <c r="C1473" s="8"/>
      <c r="D1473" s="8"/>
      <c r="E1473" s="8"/>
      <c r="F1473" s="8"/>
      <c r="G1473" s="8"/>
      <c r="H1473" s="8"/>
      <c r="I1473" s="8"/>
      <c r="J1473" s="8"/>
      <c r="K1473" s="8"/>
      <c r="L1473" s="56"/>
      <c r="M1473" s="26"/>
      <c r="N1473" s="26"/>
      <c r="O1473" s="8"/>
      <c r="P1473" s="1"/>
      <c r="Q1473" s="8"/>
      <c r="R1473" s="8"/>
      <c r="S1473" s="1"/>
      <c r="T1473" s="8"/>
      <c r="U1473" s="8"/>
      <c r="V1473" s="16"/>
      <c r="W1473" s="1"/>
      <c r="X1473" s="1"/>
    </row>
    <row r="1474" spans="1:24" ht="14.4">
      <c r="A1474" s="1"/>
      <c r="B1474" s="8"/>
      <c r="C1474" s="8"/>
      <c r="D1474" s="8"/>
      <c r="E1474" s="8"/>
      <c r="F1474" s="8"/>
      <c r="G1474" s="8"/>
      <c r="H1474" s="8"/>
      <c r="I1474" s="8"/>
      <c r="J1474" s="8"/>
      <c r="K1474" s="8"/>
      <c r="L1474" s="56"/>
      <c r="M1474" s="26"/>
      <c r="N1474" s="26"/>
      <c r="O1474" s="8"/>
      <c r="P1474" s="1"/>
      <c r="Q1474" s="8"/>
      <c r="R1474" s="8"/>
      <c r="S1474" s="1"/>
      <c r="T1474" s="8"/>
      <c r="U1474" s="8"/>
      <c r="V1474" s="16"/>
      <c r="W1474" s="1"/>
      <c r="X1474" s="1"/>
    </row>
    <row r="1475" spans="1:24" ht="14.4">
      <c r="A1475" s="1"/>
      <c r="B1475" s="8"/>
      <c r="C1475" s="8"/>
      <c r="D1475" s="8"/>
      <c r="E1475" s="8"/>
      <c r="F1475" s="8"/>
      <c r="G1475" s="8"/>
      <c r="H1475" s="8"/>
      <c r="I1475" s="8"/>
      <c r="J1475" s="8"/>
      <c r="K1475" s="8"/>
      <c r="L1475" s="56"/>
      <c r="M1475" s="26"/>
      <c r="N1475" s="26"/>
      <c r="O1475" s="8"/>
      <c r="P1475" s="1"/>
      <c r="Q1475" s="8"/>
      <c r="R1475" s="8"/>
      <c r="S1475" s="1"/>
      <c r="T1475" s="8"/>
      <c r="U1475" s="8"/>
      <c r="V1475" s="16"/>
      <c r="W1475" s="1"/>
      <c r="X1475" s="1"/>
    </row>
    <row r="1476" spans="1:24" ht="14.4">
      <c r="A1476" s="1"/>
      <c r="B1476" s="8"/>
      <c r="C1476" s="8"/>
      <c r="D1476" s="8"/>
      <c r="E1476" s="8"/>
      <c r="F1476" s="8"/>
      <c r="G1476" s="8"/>
      <c r="H1476" s="8"/>
      <c r="I1476" s="8"/>
      <c r="J1476" s="8"/>
      <c r="K1476" s="8"/>
      <c r="L1476" s="56"/>
      <c r="M1476" s="26"/>
      <c r="N1476" s="26"/>
      <c r="O1476" s="8"/>
      <c r="P1476" s="1"/>
      <c r="Q1476" s="8"/>
      <c r="R1476" s="8"/>
      <c r="S1476" s="1"/>
      <c r="T1476" s="8"/>
      <c r="U1476" s="8"/>
      <c r="V1476" s="16"/>
      <c r="W1476" s="1"/>
      <c r="X1476" s="1"/>
    </row>
    <row r="1477" spans="1:24" ht="14.4">
      <c r="A1477" s="1"/>
      <c r="B1477" s="8"/>
      <c r="C1477" s="8"/>
      <c r="D1477" s="8"/>
      <c r="E1477" s="8"/>
      <c r="F1477" s="8"/>
      <c r="G1477" s="8"/>
      <c r="H1477" s="8"/>
      <c r="I1477" s="8"/>
      <c r="J1477" s="8"/>
      <c r="K1477" s="8"/>
      <c r="L1477" s="56"/>
      <c r="M1477" s="26"/>
      <c r="N1477" s="26"/>
      <c r="O1477" s="8"/>
      <c r="P1477" s="1"/>
      <c r="Q1477" s="8"/>
      <c r="R1477" s="8"/>
      <c r="S1477" s="1"/>
      <c r="T1477" s="8"/>
      <c r="U1477" s="8"/>
      <c r="V1477" s="16"/>
      <c r="W1477" s="1"/>
      <c r="X1477" s="1"/>
    </row>
    <row r="1478" spans="1:24" ht="14.4">
      <c r="A1478" s="1"/>
      <c r="B1478" s="8"/>
      <c r="C1478" s="8"/>
      <c r="D1478" s="8"/>
      <c r="E1478" s="8"/>
      <c r="F1478" s="8"/>
      <c r="G1478" s="8"/>
      <c r="H1478" s="8"/>
      <c r="I1478" s="8"/>
      <c r="J1478" s="8"/>
      <c r="K1478" s="8"/>
      <c r="L1478" s="56"/>
      <c r="M1478" s="26"/>
      <c r="N1478" s="26"/>
      <c r="O1478" s="8"/>
      <c r="P1478" s="1"/>
      <c r="Q1478" s="8"/>
      <c r="R1478" s="8"/>
      <c r="S1478" s="1"/>
      <c r="T1478" s="8"/>
      <c r="U1478" s="8"/>
      <c r="V1478" s="16"/>
      <c r="W1478" s="1"/>
      <c r="X1478" s="1"/>
    </row>
    <row r="1479" spans="1:24" ht="14.4">
      <c r="A1479" s="1"/>
      <c r="B1479" s="8"/>
      <c r="C1479" s="8"/>
      <c r="D1479" s="8"/>
      <c r="E1479" s="8"/>
      <c r="F1479" s="8"/>
      <c r="G1479" s="8"/>
      <c r="H1479" s="8"/>
      <c r="I1479" s="8"/>
      <c r="J1479" s="8"/>
      <c r="K1479" s="8"/>
      <c r="L1479" s="56"/>
      <c r="M1479" s="26"/>
      <c r="N1479" s="26"/>
      <c r="O1479" s="8"/>
      <c r="P1479" s="1"/>
      <c r="Q1479" s="8"/>
      <c r="R1479" s="8"/>
      <c r="S1479" s="1"/>
      <c r="T1479" s="8"/>
      <c r="U1479" s="8"/>
      <c r="V1479" s="16"/>
      <c r="W1479" s="1"/>
      <c r="X1479" s="1"/>
    </row>
    <row r="1480" spans="1:24" ht="14.4">
      <c r="A1480" s="1"/>
      <c r="B1480" s="8"/>
      <c r="C1480" s="8"/>
      <c r="D1480" s="8"/>
      <c r="E1480" s="8"/>
      <c r="F1480" s="8"/>
      <c r="G1480" s="8"/>
      <c r="H1480" s="8"/>
      <c r="I1480" s="8"/>
      <c r="J1480" s="8"/>
      <c r="K1480" s="8"/>
      <c r="L1480" s="56"/>
      <c r="M1480" s="26"/>
      <c r="N1480" s="26"/>
      <c r="O1480" s="8"/>
      <c r="P1480" s="1"/>
      <c r="Q1480" s="8"/>
      <c r="R1480" s="8"/>
      <c r="S1480" s="1"/>
      <c r="T1480" s="8"/>
      <c r="U1480" s="8"/>
      <c r="V1480" s="16"/>
      <c r="W1480" s="1"/>
      <c r="X1480" s="1"/>
    </row>
    <row r="1481" spans="1:24" ht="14.4">
      <c r="A1481" s="1"/>
      <c r="B1481" s="8"/>
      <c r="C1481" s="8"/>
      <c r="D1481" s="8"/>
      <c r="E1481" s="8"/>
      <c r="F1481" s="8"/>
      <c r="G1481" s="8"/>
      <c r="H1481" s="8"/>
      <c r="I1481" s="8"/>
      <c r="J1481" s="8"/>
      <c r="K1481" s="8"/>
      <c r="L1481" s="56"/>
      <c r="M1481" s="26"/>
      <c r="N1481" s="26"/>
      <c r="O1481" s="8"/>
      <c r="P1481" s="1"/>
      <c r="Q1481" s="8"/>
      <c r="R1481" s="8"/>
      <c r="S1481" s="1"/>
      <c r="T1481" s="8"/>
      <c r="U1481" s="8"/>
      <c r="V1481" s="16"/>
      <c r="W1481" s="1"/>
      <c r="X1481" s="1"/>
    </row>
    <row r="1482" spans="1:24" ht="14.4">
      <c r="A1482" s="1"/>
      <c r="B1482" s="8"/>
      <c r="C1482" s="8"/>
      <c r="D1482" s="8"/>
      <c r="E1482" s="8"/>
      <c r="F1482" s="8"/>
      <c r="G1482" s="8"/>
      <c r="H1482" s="8"/>
      <c r="I1482" s="8"/>
      <c r="J1482" s="8"/>
      <c r="K1482" s="8"/>
      <c r="L1482" s="56"/>
      <c r="M1482" s="26"/>
      <c r="N1482" s="26"/>
      <c r="O1482" s="8"/>
      <c r="P1482" s="1"/>
      <c r="Q1482" s="8"/>
      <c r="R1482" s="8"/>
      <c r="S1482" s="1"/>
      <c r="T1482" s="8"/>
      <c r="U1482" s="8"/>
      <c r="V1482" s="16"/>
      <c r="W1482" s="1"/>
      <c r="X1482" s="1"/>
    </row>
    <row r="1483" spans="1:24" ht="14.4">
      <c r="A1483" s="1"/>
      <c r="B1483" s="8"/>
      <c r="C1483" s="8"/>
      <c r="D1483" s="8"/>
      <c r="E1483" s="8"/>
      <c r="F1483" s="8"/>
      <c r="G1483" s="8"/>
      <c r="H1483" s="8"/>
      <c r="I1483" s="8"/>
      <c r="J1483" s="8"/>
      <c r="K1483" s="8"/>
      <c r="L1483" s="56"/>
      <c r="M1483" s="26"/>
      <c r="N1483" s="26"/>
      <c r="O1483" s="8"/>
      <c r="P1483" s="1"/>
      <c r="Q1483" s="8"/>
      <c r="R1483" s="8"/>
      <c r="S1483" s="1"/>
      <c r="T1483" s="8"/>
      <c r="U1483" s="8"/>
      <c r="V1483" s="16"/>
      <c r="W1483" s="1"/>
      <c r="X1483" s="1"/>
    </row>
    <row r="1484" spans="1:24" ht="14.4">
      <c r="A1484" s="1"/>
      <c r="B1484" s="8"/>
      <c r="C1484" s="8"/>
      <c r="D1484" s="8"/>
      <c r="E1484" s="8"/>
      <c r="F1484" s="8"/>
      <c r="G1484" s="8"/>
      <c r="H1484" s="8"/>
      <c r="I1484" s="8"/>
      <c r="J1484" s="8"/>
      <c r="K1484" s="8"/>
      <c r="L1484" s="56"/>
      <c r="M1484" s="26"/>
      <c r="N1484" s="26"/>
      <c r="O1484" s="8"/>
      <c r="P1484" s="1"/>
      <c r="Q1484" s="8"/>
      <c r="R1484" s="8"/>
      <c r="S1484" s="1"/>
      <c r="T1484" s="8"/>
      <c r="U1484" s="8"/>
      <c r="V1484" s="16"/>
      <c r="W1484" s="1"/>
      <c r="X1484" s="1"/>
    </row>
    <row r="1485" spans="1:24" ht="14.4">
      <c r="A1485" s="1"/>
      <c r="B1485" s="8"/>
      <c r="C1485" s="8"/>
      <c r="D1485" s="8"/>
      <c r="E1485" s="8"/>
      <c r="F1485" s="8"/>
      <c r="G1485" s="8"/>
      <c r="H1485" s="8"/>
      <c r="I1485" s="8"/>
      <c r="J1485" s="8"/>
      <c r="K1485" s="8"/>
      <c r="L1485" s="56"/>
      <c r="M1485" s="26"/>
      <c r="N1485" s="26"/>
      <c r="O1485" s="8"/>
      <c r="P1485" s="1"/>
      <c r="Q1485" s="8"/>
      <c r="R1485" s="8"/>
      <c r="S1485" s="1"/>
      <c r="T1485" s="8"/>
      <c r="U1485" s="8"/>
      <c r="V1485" s="16"/>
      <c r="W1485" s="1"/>
      <c r="X1485" s="1"/>
    </row>
    <row r="1486" spans="1:24" ht="14.4">
      <c r="A1486" s="1"/>
      <c r="B1486" s="8"/>
      <c r="C1486" s="8"/>
      <c r="D1486" s="8"/>
      <c r="E1486" s="8"/>
      <c r="F1486" s="8"/>
      <c r="G1486" s="8"/>
      <c r="H1486" s="8"/>
      <c r="I1486" s="8"/>
      <c r="J1486" s="8"/>
      <c r="K1486" s="8"/>
      <c r="L1486" s="56"/>
      <c r="M1486" s="26"/>
      <c r="N1486" s="26"/>
      <c r="O1486" s="8"/>
      <c r="P1486" s="1"/>
      <c r="Q1486" s="8"/>
      <c r="R1486" s="8"/>
      <c r="S1486" s="1"/>
      <c r="T1486" s="8"/>
      <c r="U1486" s="8"/>
      <c r="V1486" s="16"/>
      <c r="W1486" s="1"/>
      <c r="X1486" s="1"/>
    </row>
    <row r="1487" spans="1:24" ht="14.4">
      <c r="A1487" s="1"/>
      <c r="B1487" s="8"/>
      <c r="C1487" s="8"/>
      <c r="D1487" s="8"/>
      <c r="E1487" s="8"/>
      <c r="F1487" s="8"/>
      <c r="G1487" s="8"/>
      <c r="H1487" s="8"/>
      <c r="I1487" s="8"/>
      <c r="J1487" s="8"/>
      <c r="K1487" s="8"/>
      <c r="L1487" s="56"/>
      <c r="M1487" s="26"/>
      <c r="N1487" s="26"/>
      <c r="O1487" s="8"/>
      <c r="P1487" s="1"/>
      <c r="Q1487" s="8"/>
      <c r="R1487" s="8"/>
      <c r="S1487" s="1"/>
      <c r="T1487" s="8"/>
      <c r="U1487" s="8"/>
      <c r="V1487" s="16"/>
      <c r="W1487" s="1"/>
      <c r="X1487" s="1"/>
    </row>
    <row r="1488" spans="1:24" ht="14.4">
      <c r="A1488" s="1"/>
      <c r="B1488" s="8"/>
      <c r="C1488" s="8"/>
      <c r="D1488" s="8"/>
      <c r="E1488" s="8"/>
      <c r="F1488" s="8"/>
      <c r="G1488" s="8"/>
      <c r="H1488" s="8"/>
      <c r="I1488" s="8"/>
      <c r="J1488" s="8"/>
      <c r="K1488" s="8"/>
      <c r="L1488" s="56"/>
      <c r="M1488" s="26"/>
      <c r="N1488" s="26"/>
      <c r="O1488" s="8"/>
      <c r="P1488" s="1"/>
      <c r="Q1488" s="8"/>
      <c r="R1488" s="8"/>
      <c r="S1488" s="1"/>
      <c r="T1488" s="8"/>
      <c r="U1488" s="8"/>
      <c r="V1488" s="16"/>
      <c r="W1488" s="1"/>
      <c r="X1488" s="1"/>
    </row>
    <row r="1489" spans="1:24" ht="14.4">
      <c r="A1489" s="1"/>
      <c r="B1489" s="8"/>
      <c r="C1489" s="8"/>
      <c r="D1489" s="8"/>
      <c r="E1489" s="8"/>
      <c r="F1489" s="8"/>
      <c r="G1489" s="8"/>
      <c r="H1489" s="8"/>
      <c r="I1489" s="8"/>
      <c r="J1489" s="8"/>
      <c r="K1489" s="8"/>
      <c r="L1489" s="56"/>
      <c r="M1489" s="26"/>
      <c r="N1489" s="26"/>
      <c r="O1489" s="8"/>
      <c r="P1489" s="1"/>
      <c r="Q1489" s="8"/>
      <c r="R1489" s="8"/>
      <c r="S1489" s="1"/>
      <c r="T1489" s="8"/>
      <c r="U1489" s="8"/>
      <c r="V1489" s="16"/>
      <c r="W1489" s="1"/>
      <c r="X1489" s="1"/>
    </row>
    <row r="1490" spans="1:24" ht="14.4">
      <c r="A1490" s="1"/>
      <c r="B1490" s="8"/>
      <c r="C1490" s="8"/>
      <c r="D1490" s="8"/>
      <c r="E1490" s="8"/>
      <c r="F1490" s="8"/>
      <c r="G1490" s="8"/>
      <c r="H1490" s="8"/>
      <c r="I1490" s="8"/>
      <c r="J1490" s="8"/>
      <c r="K1490" s="8"/>
      <c r="L1490" s="56"/>
      <c r="M1490" s="26"/>
      <c r="N1490" s="26"/>
      <c r="O1490" s="8"/>
      <c r="P1490" s="1"/>
      <c r="Q1490" s="8"/>
      <c r="R1490" s="8"/>
      <c r="S1490" s="1"/>
      <c r="T1490" s="8"/>
      <c r="U1490" s="8"/>
      <c r="V1490" s="16"/>
      <c r="W1490" s="1"/>
      <c r="X1490" s="1"/>
    </row>
    <row r="1491" spans="1:24" ht="14.4">
      <c r="A1491" s="1"/>
      <c r="B1491" s="8"/>
      <c r="C1491" s="8"/>
      <c r="D1491" s="8"/>
      <c r="E1491" s="8"/>
      <c r="F1491" s="8"/>
      <c r="G1491" s="8"/>
      <c r="H1491" s="8"/>
      <c r="I1491" s="8"/>
      <c r="J1491" s="8"/>
      <c r="K1491" s="8"/>
      <c r="L1491" s="56"/>
      <c r="M1491" s="26"/>
      <c r="N1491" s="26"/>
      <c r="O1491" s="8"/>
      <c r="P1491" s="1"/>
      <c r="Q1491" s="8"/>
      <c r="R1491" s="8"/>
      <c r="S1491" s="1"/>
      <c r="T1491" s="8"/>
      <c r="U1491" s="8"/>
      <c r="V1491" s="16"/>
      <c r="W1491" s="1"/>
      <c r="X1491" s="1"/>
    </row>
    <row r="1492" spans="1:24" ht="14.4">
      <c r="A1492" s="1"/>
      <c r="B1492" s="8"/>
      <c r="C1492" s="8"/>
      <c r="D1492" s="8"/>
      <c r="E1492" s="8"/>
      <c r="F1492" s="8"/>
      <c r="G1492" s="8"/>
      <c r="H1492" s="8"/>
      <c r="I1492" s="8"/>
      <c r="J1492" s="8"/>
      <c r="K1492" s="8"/>
      <c r="L1492" s="56"/>
      <c r="M1492" s="26"/>
      <c r="N1492" s="26"/>
      <c r="O1492" s="8"/>
      <c r="P1492" s="1"/>
      <c r="Q1492" s="8"/>
      <c r="R1492" s="8"/>
      <c r="S1492" s="1"/>
      <c r="T1492" s="8"/>
      <c r="U1492" s="8"/>
      <c r="V1492" s="16"/>
      <c r="W1492" s="1"/>
      <c r="X1492" s="1"/>
    </row>
    <row r="1493" spans="1:24" ht="14.4">
      <c r="A1493" s="1"/>
      <c r="B1493" s="8"/>
      <c r="C1493" s="8"/>
      <c r="D1493" s="8"/>
      <c r="E1493" s="8"/>
      <c r="F1493" s="8"/>
      <c r="G1493" s="8"/>
      <c r="H1493" s="8"/>
      <c r="I1493" s="8"/>
      <c r="J1493" s="8"/>
      <c r="K1493" s="8"/>
      <c r="L1493" s="56"/>
      <c r="M1493" s="26"/>
      <c r="N1493" s="26"/>
      <c r="O1493" s="8"/>
      <c r="P1493" s="1"/>
      <c r="Q1493" s="8"/>
      <c r="R1493" s="8"/>
      <c r="S1493" s="1"/>
      <c r="T1493" s="8"/>
      <c r="U1493" s="8"/>
      <c r="V1493" s="16"/>
      <c r="W1493" s="1"/>
      <c r="X1493" s="1"/>
    </row>
    <row r="1494" spans="1:24" ht="14.4">
      <c r="A1494" s="1"/>
      <c r="B1494" s="8"/>
      <c r="C1494" s="8"/>
      <c r="D1494" s="8"/>
      <c r="E1494" s="8"/>
      <c r="F1494" s="8"/>
      <c r="G1494" s="8"/>
      <c r="H1494" s="8"/>
      <c r="I1494" s="8"/>
      <c r="J1494" s="8"/>
      <c r="K1494" s="8"/>
      <c r="L1494" s="56"/>
      <c r="M1494" s="26"/>
      <c r="N1494" s="26"/>
      <c r="O1494" s="8"/>
      <c r="P1494" s="1"/>
      <c r="Q1494" s="8"/>
      <c r="R1494" s="8"/>
      <c r="S1494" s="1"/>
      <c r="T1494" s="8"/>
      <c r="U1494" s="8"/>
      <c r="V1494" s="16"/>
      <c r="W1494" s="1"/>
      <c r="X1494" s="1"/>
    </row>
    <row r="1495" spans="1:24" ht="14.4">
      <c r="A1495" s="1"/>
      <c r="B1495" s="8"/>
      <c r="C1495" s="8"/>
      <c r="D1495" s="8"/>
      <c r="E1495" s="8"/>
      <c r="F1495" s="8"/>
      <c r="G1495" s="8"/>
      <c r="H1495" s="8"/>
      <c r="I1495" s="8"/>
      <c r="J1495" s="8"/>
      <c r="K1495" s="8"/>
      <c r="L1495" s="56"/>
      <c r="M1495" s="26"/>
      <c r="N1495" s="26"/>
      <c r="O1495" s="8"/>
      <c r="P1495" s="1"/>
      <c r="Q1495" s="8"/>
      <c r="R1495" s="8"/>
      <c r="S1495" s="1"/>
      <c r="T1495" s="8"/>
      <c r="U1495" s="8"/>
      <c r="V1495" s="16"/>
      <c r="W1495" s="1"/>
      <c r="X1495" s="1"/>
    </row>
    <row r="1496" spans="1:24" ht="14.4">
      <c r="A1496" s="1"/>
      <c r="B1496" s="8"/>
      <c r="C1496" s="8"/>
      <c r="D1496" s="8"/>
      <c r="E1496" s="8"/>
      <c r="F1496" s="8"/>
      <c r="G1496" s="8"/>
      <c r="H1496" s="8"/>
      <c r="I1496" s="8"/>
      <c r="J1496" s="8"/>
      <c r="K1496" s="8"/>
      <c r="L1496" s="56"/>
      <c r="M1496" s="26"/>
      <c r="N1496" s="26"/>
      <c r="O1496" s="8"/>
      <c r="P1496" s="1"/>
      <c r="Q1496" s="8"/>
      <c r="R1496" s="8"/>
      <c r="S1496" s="1"/>
      <c r="T1496" s="8"/>
      <c r="U1496" s="8"/>
      <c r="V1496" s="16"/>
      <c r="W1496" s="1"/>
      <c r="X1496" s="1"/>
    </row>
    <row r="1497" spans="1:24" ht="14.4">
      <c r="A1497" s="1"/>
      <c r="B1497" s="8"/>
      <c r="C1497" s="8"/>
      <c r="D1497" s="8"/>
      <c r="E1497" s="8"/>
      <c r="F1497" s="8"/>
      <c r="G1497" s="8"/>
      <c r="H1497" s="8"/>
      <c r="I1497" s="8"/>
      <c r="J1497" s="8"/>
      <c r="K1497" s="8"/>
      <c r="L1497" s="56"/>
      <c r="M1497" s="26"/>
      <c r="N1497" s="26"/>
      <c r="O1497" s="8"/>
      <c r="P1497" s="1"/>
      <c r="Q1497" s="8"/>
      <c r="R1497" s="8"/>
      <c r="S1497" s="1"/>
      <c r="T1497" s="8"/>
      <c r="U1497" s="8"/>
      <c r="V1497" s="16"/>
      <c r="W1497" s="1"/>
      <c r="X1497" s="1"/>
    </row>
    <row r="1498" spans="1:24" ht="14.4">
      <c r="A1498" s="1"/>
      <c r="B1498" s="8"/>
      <c r="C1498" s="8"/>
      <c r="D1498" s="8"/>
      <c r="E1498" s="8"/>
      <c r="F1498" s="8"/>
      <c r="G1498" s="8"/>
      <c r="H1498" s="8"/>
      <c r="I1498" s="8"/>
      <c r="J1498" s="8"/>
      <c r="K1498" s="8"/>
      <c r="L1498" s="56"/>
      <c r="M1498" s="26"/>
      <c r="N1498" s="26"/>
      <c r="O1498" s="8"/>
      <c r="P1498" s="1"/>
      <c r="Q1498" s="8"/>
      <c r="R1498" s="8"/>
      <c r="S1498" s="1"/>
      <c r="T1498" s="8"/>
      <c r="U1498" s="8"/>
      <c r="V1498" s="16"/>
      <c r="W1498" s="1"/>
      <c r="X1498" s="1"/>
    </row>
    <row r="1499" spans="1:24" ht="14.4">
      <c r="A1499" s="1"/>
      <c r="B1499" s="8"/>
      <c r="C1499" s="8"/>
      <c r="D1499" s="8"/>
      <c r="E1499" s="8"/>
      <c r="F1499" s="8"/>
      <c r="G1499" s="8"/>
      <c r="H1499" s="8"/>
      <c r="I1499" s="8"/>
      <c r="J1499" s="8"/>
      <c r="K1499" s="8"/>
      <c r="L1499" s="56"/>
      <c r="M1499" s="26"/>
      <c r="N1499" s="26"/>
      <c r="O1499" s="8"/>
      <c r="P1499" s="1"/>
      <c r="Q1499" s="8"/>
      <c r="R1499" s="8"/>
      <c r="S1499" s="1"/>
      <c r="T1499" s="8"/>
      <c r="U1499" s="8"/>
      <c r="V1499" s="16"/>
      <c r="W1499" s="1"/>
      <c r="X1499" s="1"/>
    </row>
    <row r="1500" spans="1:24" ht="14.4">
      <c r="A1500" s="1"/>
      <c r="B1500" s="8"/>
      <c r="C1500" s="8"/>
      <c r="D1500" s="8"/>
      <c r="E1500" s="8"/>
      <c r="F1500" s="8"/>
      <c r="G1500" s="8"/>
      <c r="H1500" s="8"/>
      <c r="I1500" s="8"/>
      <c r="J1500" s="8"/>
      <c r="K1500" s="8"/>
      <c r="L1500" s="56"/>
      <c r="M1500" s="26"/>
      <c r="N1500" s="26"/>
      <c r="O1500" s="8"/>
      <c r="P1500" s="1"/>
      <c r="Q1500" s="8"/>
      <c r="R1500" s="8"/>
      <c r="S1500" s="1"/>
      <c r="T1500" s="8"/>
      <c r="U1500" s="8"/>
      <c r="V1500" s="16"/>
      <c r="W1500" s="1"/>
      <c r="X1500" s="1"/>
    </row>
    <row r="1501" spans="1:24" ht="14.4">
      <c r="A1501" s="1"/>
      <c r="B1501" s="8"/>
      <c r="C1501" s="8"/>
      <c r="D1501" s="8"/>
      <c r="E1501" s="8"/>
      <c r="F1501" s="8"/>
      <c r="G1501" s="8"/>
      <c r="H1501" s="8"/>
      <c r="I1501" s="8"/>
      <c r="J1501" s="8"/>
      <c r="K1501" s="8"/>
      <c r="L1501" s="56"/>
      <c r="M1501" s="26"/>
      <c r="N1501" s="26"/>
      <c r="O1501" s="8"/>
      <c r="P1501" s="1"/>
      <c r="Q1501" s="8"/>
      <c r="R1501" s="8"/>
      <c r="S1501" s="1"/>
      <c r="T1501" s="8"/>
      <c r="U1501" s="8"/>
      <c r="V1501" s="16"/>
      <c r="W1501" s="1"/>
      <c r="X1501" s="1"/>
    </row>
    <row r="1502" spans="1:24" ht="14.4">
      <c r="A1502" s="1"/>
      <c r="B1502" s="8"/>
      <c r="C1502" s="8"/>
      <c r="D1502" s="8"/>
      <c r="E1502" s="8"/>
      <c r="F1502" s="8"/>
      <c r="G1502" s="8"/>
      <c r="H1502" s="8"/>
      <c r="I1502" s="8"/>
      <c r="J1502" s="8"/>
      <c r="K1502" s="8"/>
      <c r="L1502" s="56"/>
      <c r="M1502" s="26"/>
      <c r="N1502" s="26"/>
      <c r="O1502" s="8"/>
      <c r="P1502" s="1"/>
      <c r="Q1502" s="8"/>
      <c r="R1502" s="8"/>
      <c r="S1502" s="1"/>
      <c r="T1502" s="8"/>
      <c r="U1502" s="8"/>
      <c r="V1502" s="16"/>
      <c r="W1502" s="1"/>
      <c r="X1502" s="1"/>
    </row>
    <row r="1503" spans="1:24" ht="14.4">
      <c r="A1503" s="1"/>
      <c r="B1503" s="8"/>
      <c r="C1503" s="8"/>
      <c r="D1503" s="8"/>
      <c r="E1503" s="8"/>
      <c r="F1503" s="8"/>
      <c r="G1503" s="8"/>
      <c r="H1503" s="8"/>
      <c r="I1503" s="8"/>
      <c r="J1503" s="8"/>
      <c r="K1503" s="8"/>
      <c r="L1503" s="56"/>
      <c r="M1503" s="26"/>
      <c r="N1503" s="26"/>
      <c r="O1503" s="8"/>
      <c r="P1503" s="1"/>
      <c r="Q1503" s="8"/>
      <c r="R1503" s="8"/>
      <c r="S1503" s="1"/>
      <c r="T1503" s="8"/>
      <c r="U1503" s="8"/>
      <c r="V1503" s="16"/>
      <c r="W1503" s="1"/>
      <c r="X1503" s="1"/>
    </row>
    <row r="1504" spans="1:24" ht="14.4">
      <c r="A1504" s="1"/>
      <c r="B1504" s="8"/>
      <c r="C1504" s="8"/>
      <c r="D1504" s="8"/>
      <c r="E1504" s="8"/>
      <c r="F1504" s="8"/>
      <c r="G1504" s="8"/>
      <c r="H1504" s="8"/>
      <c r="I1504" s="8"/>
      <c r="J1504" s="8"/>
      <c r="K1504" s="8"/>
      <c r="L1504" s="56"/>
      <c r="M1504" s="26"/>
      <c r="N1504" s="26"/>
      <c r="O1504" s="8"/>
      <c r="P1504" s="1"/>
      <c r="Q1504" s="8"/>
      <c r="R1504" s="8"/>
      <c r="S1504" s="1"/>
      <c r="T1504" s="8"/>
      <c r="U1504" s="8"/>
      <c r="V1504" s="16"/>
      <c r="W1504" s="1"/>
      <c r="X1504" s="1"/>
    </row>
    <row r="1505" spans="1:24" ht="14.4">
      <c r="A1505" s="1"/>
      <c r="B1505" s="8"/>
      <c r="C1505" s="8"/>
      <c r="D1505" s="8"/>
      <c r="E1505" s="8"/>
      <c r="F1505" s="8"/>
      <c r="G1505" s="8"/>
      <c r="H1505" s="8"/>
      <c r="I1505" s="8"/>
      <c r="J1505" s="8"/>
      <c r="K1505" s="8"/>
      <c r="L1505" s="56"/>
      <c r="M1505" s="26"/>
      <c r="N1505" s="26"/>
      <c r="O1505" s="8"/>
      <c r="P1505" s="1"/>
      <c r="Q1505" s="8"/>
      <c r="R1505" s="8"/>
      <c r="S1505" s="1"/>
      <c r="T1505" s="8"/>
      <c r="U1505" s="8"/>
      <c r="V1505" s="16"/>
      <c r="W1505" s="1"/>
      <c r="X1505" s="1"/>
    </row>
    <row r="1506" spans="1:24" ht="14.4">
      <c r="A1506" s="1"/>
      <c r="B1506" s="8"/>
      <c r="C1506" s="8"/>
      <c r="D1506" s="8"/>
      <c r="E1506" s="8"/>
      <c r="F1506" s="8"/>
      <c r="G1506" s="8"/>
      <c r="H1506" s="8"/>
      <c r="I1506" s="8"/>
      <c r="J1506" s="8"/>
      <c r="K1506" s="8"/>
      <c r="L1506" s="56"/>
      <c r="M1506" s="26"/>
      <c r="N1506" s="26"/>
      <c r="O1506" s="8"/>
      <c r="P1506" s="1"/>
      <c r="Q1506" s="8"/>
      <c r="R1506" s="8"/>
      <c r="S1506" s="1"/>
      <c r="T1506" s="8"/>
      <c r="U1506" s="8"/>
      <c r="V1506" s="16"/>
      <c r="W1506" s="1"/>
      <c r="X1506" s="1"/>
    </row>
    <row r="1507" spans="1:24" ht="14.4">
      <c r="A1507" s="1"/>
      <c r="B1507" s="8"/>
      <c r="C1507" s="8"/>
      <c r="D1507" s="8"/>
      <c r="E1507" s="8"/>
      <c r="F1507" s="8"/>
      <c r="G1507" s="8"/>
      <c r="H1507" s="8"/>
      <c r="I1507" s="8"/>
      <c r="J1507" s="8"/>
      <c r="K1507" s="8"/>
      <c r="L1507" s="56"/>
      <c r="M1507" s="26"/>
      <c r="N1507" s="26"/>
      <c r="O1507" s="8"/>
      <c r="P1507" s="1"/>
      <c r="Q1507" s="8"/>
      <c r="R1507" s="8"/>
      <c r="S1507" s="1"/>
      <c r="T1507" s="8"/>
      <c r="U1507" s="8"/>
      <c r="V1507" s="16"/>
      <c r="W1507" s="1"/>
      <c r="X1507" s="1"/>
    </row>
    <row r="1508" spans="1:24" ht="14.4">
      <c r="A1508" s="1"/>
      <c r="B1508" s="8"/>
      <c r="C1508" s="8"/>
      <c r="D1508" s="8"/>
      <c r="E1508" s="8"/>
      <c r="F1508" s="8"/>
      <c r="G1508" s="8"/>
      <c r="H1508" s="8"/>
      <c r="I1508" s="8"/>
      <c r="J1508" s="8"/>
      <c r="K1508" s="8"/>
      <c r="L1508" s="56"/>
      <c r="M1508" s="26"/>
      <c r="N1508" s="26"/>
      <c r="O1508" s="8"/>
      <c r="P1508" s="1"/>
      <c r="Q1508" s="8"/>
      <c r="R1508" s="8"/>
      <c r="S1508" s="1"/>
      <c r="T1508" s="8"/>
      <c r="U1508" s="8"/>
      <c r="V1508" s="16"/>
      <c r="W1508" s="1"/>
      <c r="X1508" s="1"/>
    </row>
    <row r="1509" spans="1:24" ht="14.4">
      <c r="A1509" s="1"/>
      <c r="B1509" s="8"/>
      <c r="C1509" s="8"/>
      <c r="D1509" s="8"/>
      <c r="E1509" s="8"/>
      <c r="F1509" s="8"/>
      <c r="G1509" s="8"/>
      <c r="H1509" s="8"/>
      <c r="I1509" s="8"/>
      <c r="J1509" s="8"/>
      <c r="K1509" s="8"/>
      <c r="L1509" s="56"/>
      <c r="M1509" s="26"/>
      <c r="N1509" s="26"/>
      <c r="O1509" s="8"/>
      <c r="P1509" s="1"/>
      <c r="Q1509" s="8"/>
      <c r="R1509" s="8"/>
      <c r="S1509" s="1"/>
      <c r="T1509" s="8"/>
      <c r="U1509" s="8"/>
      <c r="V1509" s="16"/>
      <c r="W1509" s="1"/>
      <c r="X1509" s="1"/>
    </row>
    <row r="1510" spans="1:24" ht="14.4">
      <c r="A1510" s="1"/>
      <c r="B1510" s="8"/>
      <c r="C1510" s="8"/>
      <c r="D1510" s="8"/>
      <c r="E1510" s="8"/>
      <c r="F1510" s="8"/>
      <c r="G1510" s="8"/>
      <c r="H1510" s="8"/>
      <c r="I1510" s="8"/>
      <c r="J1510" s="8"/>
      <c r="K1510" s="8"/>
      <c r="L1510" s="56"/>
      <c r="M1510" s="26"/>
      <c r="N1510" s="26"/>
      <c r="O1510" s="8"/>
      <c r="P1510" s="1"/>
      <c r="Q1510" s="8"/>
      <c r="R1510" s="8"/>
      <c r="S1510" s="1"/>
      <c r="T1510" s="8"/>
      <c r="U1510" s="8"/>
      <c r="V1510" s="16"/>
      <c r="W1510" s="1"/>
      <c r="X1510" s="1"/>
    </row>
    <row r="1511" spans="1:24" ht="14.4">
      <c r="A1511" s="1"/>
      <c r="B1511" s="8"/>
      <c r="C1511" s="8"/>
      <c r="D1511" s="8"/>
      <c r="E1511" s="8"/>
      <c r="F1511" s="8"/>
      <c r="G1511" s="8"/>
      <c r="H1511" s="8"/>
      <c r="I1511" s="8"/>
      <c r="J1511" s="8"/>
      <c r="K1511" s="8"/>
      <c r="L1511" s="56"/>
      <c r="M1511" s="26"/>
      <c r="N1511" s="26"/>
      <c r="O1511" s="8"/>
      <c r="P1511" s="1"/>
      <c r="Q1511" s="8"/>
      <c r="R1511" s="8"/>
      <c r="S1511" s="1"/>
      <c r="T1511" s="8"/>
      <c r="U1511" s="8"/>
      <c r="V1511" s="16"/>
      <c r="W1511" s="1"/>
      <c r="X1511" s="1"/>
    </row>
    <row r="1512" spans="1:24" ht="14.4">
      <c r="A1512" s="1"/>
      <c r="B1512" s="8"/>
      <c r="C1512" s="8"/>
      <c r="D1512" s="8"/>
      <c r="E1512" s="8"/>
      <c r="F1512" s="8"/>
      <c r="G1512" s="8"/>
      <c r="H1512" s="8"/>
      <c r="I1512" s="8"/>
      <c r="J1512" s="8"/>
      <c r="K1512" s="8"/>
      <c r="L1512" s="56"/>
      <c r="M1512" s="26"/>
      <c r="N1512" s="26"/>
      <c r="O1512" s="8"/>
      <c r="P1512" s="1"/>
      <c r="Q1512" s="8"/>
      <c r="R1512" s="8"/>
      <c r="S1512" s="1"/>
      <c r="T1512" s="8"/>
      <c r="U1512" s="8"/>
      <c r="V1512" s="16"/>
      <c r="W1512" s="1"/>
      <c r="X1512" s="1"/>
    </row>
    <row r="1513" spans="1:24" ht="14.4">
      <c r="A1513" s="1"/>
      <c r="B1513" s="8"/>
      <c r="C1513" s="8"/>
      <c r="D1513" s="8"/>
      <c r="E1513" s="8"/>
      <c r="F1513" s="8"/>
      <c r="G1513" s="8"/>
      <c r="H1513" s="8"/>
      <c r="I1513" s="8"/>
      <c r="J1513" s="8"/>
      <c r="K1513" s="8"/>
      <c r="L1513" s="56"/>
      <c r="M1513" s="26"/>
      <c r="N1513" s="26"/>
      <c r="O1513" s="8"/>
      <c r="P1513" s="1"/>
      <c r="Q1513" s="8"/>
      <c r="R1513" s="8"/>
      <c r="S1513" s="1"/>
      <c r="T1513" s="8"/>
      <c r="U1513" s="8"/>
      <c r="V1513" s="16"/>
      <c r="W1513" s="1"/>
      <c r="X1513" s="1"/>
    </row>
    <row r="1514" spans="1:24" ht="14.4">
      <c r="A1514" s="1"/>
      <c r="B1514" s="8"/>
      <c r="C1514" s="8"/>
      <c r="D1514" s="8"/>
      <c r="E1514" s="8"/>
      <c r="F1514" s="8"/>
      <c r="G1514" s="8"/>
      <c r="H1514" s="8"/>
      <c r="I1514" s="8"/>
      <c r="J1514" s="8"/>
      <c r="K1514" s="8"/>
      <c r="L1514" s="56"/>
      <c r="M1514" s="26"/>
      <c r="N1514" s="26"/>
      <c r="O1514" s="8"/>
      <c r="P1514" s="1"/>
      <c r="Q1514" s="8"/>
      <c r="R1514" s="8"/>
      <c r="S1514" s="1"/>
      <c r="T1514" s="8"/>
      <c r="U1514" s="8"/>
      <c r="V1514" s="16"/>
      <c r="W1514" s="1"/>
      <c r="X1514" s="1"/>
    </row>
    <row r="1515" spans="1:24" ht="14.4">
      <c r="A1515" s="1"/>
      <c r="B1515" s="8"/>
      <c r="C1515" s="8"/>
      <c r="D1515" s="8"/>
      <c r="E1515" s="8"/>
      <c r="F1515" s="8"/>
      <c r="G1515" s="8"/>
      <c r="H1515" s="8"/>
      <c r="I1515" s="8"/>
      <c r="J1515" s="8"/>
      <c r="K1515" s="8"/>
      <c r="L1515" s="56"/>
      <c r="M1515" s="26"/>
      <c r="N1515" s="26"/>
      <c r="O1515" s="8"/>
      <c r="P1515" s="1"/>
      <c r="Q1515" s="8"/>
      <c r="R1515" s="8"/>
      <c r="S1515" s="1"/>
      <c r="T1515" s="8"/>
      <c r="U1515" s="8"/>
      <c r="V1515" s="16"/>
      <c r="W1515" s="1"/>
      <c r="X1515" s="1"/>
    </row>
    <row r="1516" spans="1:24" ht="14.4">
      <c r="A1516" s="1"/>
      <c r="B1516" s="8"/>
      <c r="C1516" s="8"/>
      <c r="D1516" s="8"/>
      <c r="E1516" s="8"/>
      <c r="F1516" s="8"/>
      <c r="G1516" s="8"/>
      <c r="H1516" s="8"/>
      <c r="I1516" s="8"/>
      <c r="J1516" s="8"/>
      <c r="K1516" s="8"/>
      <c r="L1516" s="56"/>
      <c r="M1516" s="26"/>
      <c r="N1516" s="26"/>
      <c r="O1516" s="8"/>
      <c r="P1516" s="1"/>
      <c r="Q1516" s="8"/>
      <c r="R1516" s="8"/>
      <c r="S1516" s="1"/>
      <c r="T1516" s="8"/>
      <c r="U1516" s="8"/>
      <c r="V1516" s="16"/>
      <c r="W1516" s="1"/>
      <c r="X1516" s="1"/>
    </row>
    <row r="1517" spans="1:24" ht="14.4">
      <c r="A1517" s="1"/>
      <c r="B1517" s="8"/>
      <c r="C1517" s="8"/>
      <c r="D1517" s="8"/>
      <c r="E1517" s="8"/>
      <c r="F1517" s="8"/>
      <c r="G1517" s="8"/>
      <c r="H1517" s="8"/>
      <c r="I1517" s="8"/>
      <c r="J1517" s="8"/>
      <c r="K1517" s="8"/>
      <c r="L1517" s="56"/>
      <c r="M1517" s="26"/>
      <c r="N1517" s="26"/>
      <c r="O1517" s="8"/>
      <c r="P1517" s="1"/>
      <c r="Q1517" s="8"/>
      <c r="R1517" s="8"/>
      <c r="S1517" s="1"/>
      <c r="T1517" s="8"/>
      <c r="U1517" s="8"/>
      <c r="V1517" s="16"/>
      <c r="W1517" s="1"/>
      <c r="X1517" s="1"/>
    </row>
    <row r="1518" spans="1:24" ht="14.4">
      <c r="A1518" s="1"/>
      <c r="B1518" s="8"/>
      <c r="C1518" s="8"/>
      <c r="D1518" s="8"/>
      <c r="E1518" s="8"/>
      <c r="F1518" s="8"/>
      <c r="G1518" s="8"/>
      <c r="H1518" s="8"/>
      <c r="I1518" s="8"/>
      <c r="J1518" s="8"/>
      <c r="K1518" s="8"/>
      <c r="L1518" s="56"/>
      <c r="M1518" s="26"/>
      <c r="N1518" s="26"/>
      <c r="O1518" s="8"/>
      <c r="P1518" s="1"/>
      <c r="Q1518" s="8"/>
      <c r="R1518" s="8"/>
      <c r="S1518" s="1"/>
      <c r="T1518" s="8"/>
      <c r="U1518" s="8"/>
      <c r="V1518" s="16"/>
      <c r="W1518" s="1"/>
      <c r="X1518" s="1"/>
    </row>
    <row r="1519" spans="1:24" ht="14.4">
      <c r="A1519" s="1"/>
      <c r="B1519" s="8"/>
      <c r="C1519" s="8"/>
      <c r="D1519" s="8"/>
      <c r="E1519" s="8"/>
      <c r="F1519" s="8"/>
      <c r="G1519" s="8"/>
      <c r="H1519" s="8"/>
      <c r="I1519" s="8"/>
      <c r="J1519" s="8"/>
      <c r="K1519" s="8"/>
      <c r="L1519" s="56"/>
      <c r="M1519" s="26"/>
      <c r="N1519" s="26"/>
      <c r="O1519" s="8"/>
      <c r="P1519" s="1"/>
      <c r="Q1519" s="8"/>
      <c r="R1519" s="8"/>
      <c r="S1519" s="1"/>
      <c r="T1519" s="8"/>
      <c r="U1519" s="8"/>
      <c r="V1519" s="16"/>
      <c r="W1519" s="1"/>
      <c r="X1519" s="1"/>
    </row>
    <row r="1520" spans="1:24" ht="14.4">
      <c r="A1520" s="1"/>
      <c r="B1520" s="8"/>
      <c r="C1520" s="8"/>
      <c r="D1520" s="8"/>
      <c r="E1520" s="8"/>
      <c r="F1520" s="8"/>
      <c r="G1520" s="8"/>
      <c r="H1520" s="8"/>
      <c r="I1520" s="8"/>
      <c r="J1520" s="8"/>
      <c r="K1520" s="8"/>
      <c r="L1520" s="56"/>
      <c r="M1520" s="26"/>
      <c r="N1520" s="26"/>
      <c r="O1520" s="8"/>
      <c r="P1520" s="1"/>
      <c r="Q1520" s="8"/>
      <c r="R1520" s="8"/>
      <c r="S1520" s="1"/>
      <c r="T1520" s="8"/>
      <c r="U1520" s="8"/>
      <c r="V1520" s="16"/>
      <c r="W1520" s="1"/>
      <c r="X1520" s="1"/>
    </row>
    <row r="1521" spans="1:24" ht="14.4">
      <c r="A1521" s="1"/>
      <c r="B1521" s="8"/>
      <c r="C1521" s="8"/>
      <c r="D1521" s="8"/>
      <c r="E1521" s="8"/>
      <c r="F1521" s="8"/>
      <c r="G1521" s="8"/>
      <c r="H1521" s="8"/>
      <c r="I1521" s="8"/>
      <c r="J1521" s="8"/>
      <c r="K1521" s="8"/>
      <c r="L1521" s="56"/>
      <c r="M1521" s="26"/>
      <c r="N1521" s="26"/>
      <c r="O1521" s="8"/>
      <c r="P1521" s="1"/>
      <c r="Q1521" s="8"/>
      <c r="R1521" s="8"/>
      <c r="S1521" s="1"/>
      <c r="T1521" s="8"/>
      <c r="U1521" s="8"/>
      <c r="V1521" s="16"/>
      <c r="W1521" s="1"/>
      <c r="X1521" s="1"/>
    </row>
    <row r="1522" spans="1:24" ht="14.4">
      <c r="A1522" s="1"/>
      <c r="B1522" s="8"/>
      <c r="C1522" s="8"/>
      <c r="D1522" s="8"/>
      <c r="E1522" s="8"/>
      <c r="F1522" s="8"/>
      <c r="G1522" s="8"/>
      <c r="H1522" s="8"/>
      <c r="I1522" s="8"/>
      <c r="J1522" s="8"/>
      <c r="K1522" s="8"/>
      <c r="L1522" s="56"/>
      <c r="M1522" s="26"/>
      <c r="N1522" s="26"/>
      <c r="O1522" s="8"/>
      <c r="P1522" s="1"/>
      <c r="Q1522" s="8"/>
      <c r="R1522" s="8"/>
      <c r="S1522" s="1"/>
      <c r="T1522" s="8"/>
      <c r="U1522" s="8"/>
      <c r="V1522" s="16"/>
      <c r="W1522" s="1"/>
      <c r="X1522" s="1"/>
    </row>
    <row r="1523" spans="1:24" ht="14.4">
      <c r="A1523" s="1"/>
      <c r="B1523" s="8"/>
      <c r="C1523" s="8"/>
      <c r="D1523" s="8"/>
      <c r="E1523" s="8"/>
      <c r="F1523" s="8"/>
      <c r="G1523" s="8"/>
      <c r="H1523" s="8"/>
      <c r="I1523" s="8"/>
      <c r="J1523" s="8"/>
      <c r="K1523" s="8"/>
      <c r="L1523" s="56"/>
      <c r="M1523" s="26"/>
      <c r="N1523" s="26"/>
      <c r="O1523" s="8"/>
      <c r="P1523" s="1"/>
      <c r="Q1523" s="8"/>
      <c r="R1523" s="8"/>
      <c r="S1523" s="1"/>
      <c r="T1523" s="8"/>
      <c r="U1523" s="8"/>
      <c r="V1523" s="16"/>
      <c r="W1523" s="1"/>
      <c r="X1523" s="1"/>
    </row>
    <row r="1524" spans="1:24" ht="14.4">
      <c r="A1524" s="1"/>
      <c r="B1524" s="8"/>
      <c r="C1524" s="8"/>
      <c r="D1524" s="8"/>
      <c r="E1524" s="8"/>
      <c r="F1524" s="8"/>
      <c r="G1524" s="8"/>
      <c r="H1524" s="8"/>
      <c r="I1524" s="8"/>
      <c r="J1524" s="8"/>
      <c r="K1524" s="8"/>
      <c r="L1524" s="56"/>
      <c r="M1524" s="26"/>
      <c r="N1524" s="26"/>
      <c r="O1524" s="8"/>
      <c r="P1524" s="1"/>
      <c r="Q1524" s="8"/>
      <c r="R1524" s="8"/>
      <c r="S1524" s="1"/>
      <c r="T1524" s="8"/>
      <c r="U1524" s="8"/>
      <c r="V1524" s="16"/>
      <c r="W1524" s="1"/>
      <c r="X1524" s="1"/>
    </row>
    <row r="1525" spans="1:24" ht="14.4">
      <c r="A1525" s="1"/>
      <c r="B1525" s="8"/>
      <c r="C1525" s="8"/>
      <c r="D1525" s="8"/>
      <c r="E1525" s="8"/>
      <c r="F1525" s="8"/>
      <c r="G1525" s="8"/>
      <c r="H1525" s="8"/>
      <c r="I1525" s="8"/>
      <c r="J1525" s="8"/>
      <c r="K1525" s="8"/>
      <c r="L1525" s="56"/>
      <c r="M1525" s="26"/>
      <c r="N1525" s="26"/>
      <c r="O1525" s="8"/>
      <c r="P1525" s="1"/>
      <c r="Q1525" s="8"/>
      <c r="R1525" s="8"/>
      <c r="S1525" s="1"/>
      <c r="T1525" s="8"/>
      <c r="U1525" s="8"/>
      <c r="V1525" s="16"/>
      <c r="W1525" s="1"/>
      <c r="X1525" s="1"/>
    </row>
    <row r="1526" spans="1:24" ht="14.4">
      <c r="A1526" s="1"/>
      <c r="B1526" s="8"/>
      <c r="C1526" s="8"/>
      <c r="D1526" s="8"/>
      <c r="E1526" s="8"/>
      <c r="F1526" s="8"/>
      <c r="G1526" s="8"/>
      <c r="H1526" s="8"/>
      <c r="I1526" s="8"/>
      <c r="J1526" s="8"/>
      <c r="K1526" s="8"/>
      <c r="L1526" s="56"/>
      <c r="M1526" s="26"/>
      <c r="N1526" s="26"/>
      <c r="O1526" s="8"/>
      <c r="P1526" s="1"/>
      <c r="Q1526" s="8"/>
      <c r="R1526" s="8"/>
      <c r="S1526" s="1"/>
      <c r="T1526" s="8"/>
      <c r="U1526" s="8"/>
      <c r="V1526" s="16"/>
      <c r="W1526" s="1"/>
      <c r="X1526" s="1"/>
    </row>
    <row r="1527" spans="1:24" ht="14.4">
      <c r="A1527" s="1"/>
      <c r="B1527" s="8"/>
      <c r="C1527" s="8"/>
      <c r="D1527" s="8"/>
      <c r="E1527" s="8"/>
      <c r="F1527" s="8"/>
      <c r="G1527" s="8"/>
      <c r="H1527" s="8"/>
      <c r="I1527" s="8"/>
      <c r="J1527" s="8"/>
      <c r="K1527" s="8"/>
      <c r="L1527" s="56"/>
      <c r="M1527" s="26"/>
      <c r="N1527" s="26"/>
      <c r="O1527" s="8"/>
      <c r="P1527" s="1"/>
      <c r="Q1527" s="8"/>
      <c r="R1527" s="8"/>
      <c r="S1527" s="1"/>
      <c r="T1527" s="8"/>
      <c r="U1527" s="8"/>
      <c r="V1527" s="16"/>
      <c r="W1527" s="1"/>
      <c r="X1527" s="1"/>
    </row>
    <row r="1528" spans="1:24" ht="14.4">
      <c r="A1528" s="1"/>
      <c r="B1528" s="8"/>
      <c r="C1528" s="8"/>
      <c r="D1528" s="8"/>
      <c r="E1528" s="8"/>
      <c r="F1528" s="8"/>
      <c r="G1528" s="8"/>
      <c r="H1528" s="8"/>
      <c r="I1528" s="8"/>
      <c r="J1528" s="8"/>
      <c r="K1528" s="8"/>
      <c r="L1528" s="56"/>
      <c r="M1528" s="26"/>
      <c r="N1528" s="26"/>
      <c r="O1528" s="8"/>
      <c r="P1528" s="1"/>
      <c r="Q1528" s="8"/>
      <c r="R1528" s="8"/>
      <c r="S1528" s="1"/>
      <c r="T1528" s="8"/>
      <c r="U1528" s="8"/>
      <c r="V1528" s="16"/>
      <c r="W1528" s="1"/>
      <c r="X1528" s="1"/>
    </row>
    <row r="1529" spans="1:24" ht="14.4">
      <c r="A1529" s="1"/>
      <c r="B1529" s="8"/>
      <c r="C1529" s="8"/>
      <c r="D1529" s="8"/>
      <c r="E1529" s="8"/>
      <c r="F1529" s="8"/>
      <c r="G1529" s="8"/>
      <c r="H1529" s="8"/>
      <c r="I1529" s="8"/>
      <c r="J1529" s="8"/>
      <c r="K1529" s="8"/>
      <c r="L1529" s="56"/>
      <c r="M1529" s="26"/>
      <c r="N1529" s="26"/>
      <c r="O1529" s="8"/>
      <c r="P1529" s="1"/>
      <c r="Q1529" s="8"/>
      <c r="R1529" s="8"/>
      <c r="S1529" s="1"/>
      <c r="T1529" s="8"/>
      <c r="U1529" s="8"/>
      <c r="V1529" s="16"/>
      <c r="W1529" s="1"/>
      <c r="X1529" s="1"/>
    </row>
    <row r="1530" spans="1:24" ht="14.4">
      <c r="A1530" s="1"/>
      <c r="B1530" s="8"/>
      <c r="C1530" s="8"/>
      <c r="D1530" s="8"/>
      <c r="E1530" s="8"/>
      <c r="F1530" s="8"/>
      <c r="G1530" s="8"/>
      <c r="H1530" s="8"/>
      <c r="I1530" s="8"/>
      <c r="J1530" s="8"/>
      <c r="K1530" s="8"/>
      <c r="L1530" s="56"/>
      <c r="M1530" s="26"/>
      <c r="N1530" s="26"/>
      <c r="O1530" s="8"/>
      <c r="P1530" s="1"/>
      <c r="Q1530" s="8"/>
      <c r="R1530" s="8"/>
      <c r="S1530" s="1"/>
      <c r="T1530" s="8"/>
      <c r="U1530" s="8"/>
      <c r="V1530" s="16"/>
      <c r="W1530" s="1"/>
      <c r="X1530" s="1"/>
    </row>
    <row r="1531" spans="1:24" ht="14.4">
      <c r="A1531" s="1"/>
      <c r="B1531" s="8"/>
      <c r="C1531" s="8"/>
      <c r="D1531" s="8"/>
      <c r="E1531" s="8"/>
      <c r="F1531" s="8"/>
      <c r="G1531" s="8"/>
      <c r="H1531" s="8"/>
      <c r="I1531" s="8"/>
      <c r="J1531" s="8"/>
      <c r="K1531" s="8"/>
      <c r="L1531" s="56"/>
      <c r="M1531" s="26"/>
      <c r="N1531" s="26"/>
      <c r="O1531" s="8"/>
      <c r="P1531" s="1"/>
      <c r="Q1531" s="8"/>
      <c r="R1531" s="8"/>
      <c r="S1531" s="1"/>
      <c r="T1531" s="8"/>
      <c r="U1531" s="8"/>
      <c r="V1531" s="16"/>
      <c r="W1531" s="1"/>
      <c r="X1531" s="1"/>
    </row>
    <row r="1532" spans="1:24" ht="14.4">
      <c r="A1532" s="1"/>
      <c r="B1532" s="8"/>
      <c r="C1532" s="8"/>
      <c r="D1532" s="8"/>
      <c r="E1532" s="8"/>
      <c r="F1532" s="8"/>
      <c r="G1532" s="8"/>
      <c r="H1532" s="8"/>
      <c r="I1532" s="8"/>
      <c r="J1532" s="8"/>
      <c r="K1532" s="8"/>
      <c r="L1532" s="56"/>
      <c r="M1532" s="26"/>
      <c r="N1532" s="26"/>
      <c r="O1532" s="8"/>
      <c r="P1532" s="1"/>
      <c r="Q1532" s="8"/>
      <c r="R1532" s="8"/>
      <c r="S1532" s="1"/>
      <c r="T1532" s="8"/>
      <c r="U1532" s="8"/>
      <c r="V1532" s="16"/>
      <c r="W1532" s="1"/>
      <c r="X1532" s="1"/>
    </row>
    <row r="1533" spans="1:24" ht="14.4">
      <c r="A1533" s="1"/>
      <c r="B1533" s="8"/>
      <c r="C1533" s="8"/>
      <c r="D1533" s="8"/>
      <c r="E1533" s="8"/>
      <c r="F1533" s="8"/>
      <c r="G1533" s="8"/>
      <c r="H1533" s="8"/>
      <c r="I1533" s="8"/>
      <c r="J1533" s="8"/>
      <c r="K1533" s="8"/>
      <c r="L1533" s="56"/>
      <c r="M1533" s="26"/>
      <c r="N1533" s="26"/>
      <c r="O1533" s="8"/>
      <c r="P1533" s="1"/>
      <c r="Q1533" s="8"/>
      <c r="R1533" s="8"/>
      <c r="S1533" s="1"/>
      <c r="T1533" s="8"/>
      <c r="U1533" s="8"/>
      <c r="V1533" s="16"/>
      <c r="W1533" s="1"/>
      <c r="X1533" s="1"/>
    </row>
    <row r="1534" spans="1:24" ht="14.4">
      <c r="A1534" s="1"/>
      <c r="B1534" s="8"/>
      <c r="C1534" s="8"/>
      <c r="D1534" s="8"/>
      <c r="E1534" s="8"/>
      <c r="F1534" s="8"/>
      <c r="G1534" s="8"/>
      <c r="H1534" s="8"/>
      <c r="I1534" s="8"/>
      <c r="J1534" s="8"/>
      <c r="K1534" s="8"/>
      <c r="L1534" s="56"/>
      <c r="M1534" s="26"/>
      <c r="N1534" s="26"/>
      <c r="O1534" s="8"/>
      <c r="P1534" s="1"/>
      <c r="Q1534" s="8"/>
      <c r="R1534" s="8"/>
      <c r="S1534" s="1"/>
      <c r="T1534" s="8"/>
      <c r="U1534" s="8"/>
      <c r="V1534" s="16"/>
      <c r="W1534" s="1"/>
      <c r="X1534" s="1"/>
    </row>
    <row r="1535" spans="1:24" ht="14.4">
      <c r="A1535" s="1"/>
      <c r="B1535" s="8"/>
      <c r="C1535" s="8"/>
      <c r="D1535" s="8"/>
      <c r="E1535" s="8"/>
      <c r="F1535" s="8"/>
      <c r="G1535" s="8"/>
      <c r="H1535" s="8"/>
      <c r="I1535" s="8"/>
      <c r="J1535" s="8"/>
      <c r="K1535" s="8"/>
      <c r="L1535" s="56"/>
      <c r="M1535" s="26"/>
      <c r="N1535" s="26"/>
      <c r="O1535" s="8"/>
      <c r="P1535" s="1"/>
      <c r="Q1535" s="8"/>
      <c r="R1535" s="8"/>
      <c r="S1535" s="1"/>
      <c r="T1535" s="8"/>
      <c r="U1535" s="8"/>
      <c r="V1535" s="16"/>
      <c r="W1535" s="1"/>
      <c r="X1535" s="1"/>
    </row>
    <row r="1536" spans="1:24" ht="14.4">
      <c r="A1536" s="1"/>
      <c r="B1536" s="8"/>
      <c r="C1536" s="8"/>
      <c r="D1536" s="8"/>
      <c r="E1536" s="8"/>
      <c r="F1536" s="8"/>
      <c r="G1536" s="8"/>
      <c r="H1536" s="8"/>
      <c r="I1536" s="8"/>
      <c r="J1536" s="8"/>
      <c r="K1536" s="8"/>
      <c r="L1536" s="56"/>
      <c r="M1536" s="26"/>
      <c r="N1536" s="26"/>
      <c r="O1536" s="8"/>
      <c r="P1536" s="1"/>
      <c r="Q1536" s="8"/>
      <c r="R1536" s="8"/>
      <c r="S1536" s="1"/>
      <c r="T1536" s="8"/>
      <c r="U1536" s="8"/>
      <c r="V1536" s="16"/>
      <c r="W1536" s="1"/>
      <c r="X1536" s="1"/>
    </row>
    <row r="1537" spans="1:24" ht="14.4">
      <c r="A1537" s="1"/>
      <c r="B1537" s="8"/>
      <c r="C1537" s="8"/>
      <c r="D1537" s="8"/>
      <c r="E1537" s="8"/>
      <c r="F1537" s="8"/>
      <c r="G1537" s="8"/>
      <c r="H1537" s="8"/>
      <c r="I1537" s="8"/>
      <c r="J1537" s="8"/>
      <c r="K1537" s="8"/>
      <c r="L1537" s="56"/>
      <c r="M1537" s="26"/>
      <c r="N1537" s="26"/>
      <c r="O1537" s="8"/>
      <c r="P1537" s="1"/>
      <c r="Q1537" s="8"/>
      <c r="R1537" s="8"/>
      <c r="S1537" s="1"/>
      <c r="T1537" s="8"/>
      <c r="U1537" s="8"/>
      <c r="V1537" s="16"/>
      <c r="W1537" s="1"/>
      <c r="X1537" s="1"/>
    </row>
    <row r="1538" spans="1:24" ht="14.4">
      <c r="A1538" s="1"/>
      <c r="B1538" s="8"/>
      <c r="C1538" s="8"/>
      <c r="D1538" s="8"/>
      <c r="E1538" s="8"/>
      <c r="F1538" s="8"/>
      <c r="G1538" s="8"/>
      <c r="H1538" s="8"/>
      <c r="I1538" s="8"/>
      <c r="J1538" s="8"/>
      <c r="K1538" s="8"/>
      <c r="L1538" s="56"/>
      <c r="M1538" s="26"/>
      <c r="N1538" s="26"/>
      <c r="O1538" s="8"/>
      <c r="P1538" s="1"/>
      <c r="Q1538" s="8"/>
      <c r="R1538" s="8"/>
      <c r="S1538" s="1"/>
      <c r="T1538" s="8"/>
      <c r="U1538" s="8"/>
      <c r="V1538" s="16"/>
      <c r="W1538" s="1"/>
      <c r="X1538" s="1"/>
    </row>
    <row r="1539" spans="1:24" ht="14.4">
      <c r="A1539" s="1"/>
      <c r="B1539" s="8"/>
      <c r="C1539" s="8"/>
      <c r="D1539" s="8"/>
      <c r="E1539" s="8"/>
      <c r="F1539" s="8"/>
      <c r="G1539" s="8"/>
      <c r="H1539" s="8"/>
      <c r="I1539" s="8"/>
      <c r="J1539" s="8"/>
      <c r="K1539" s="8"/>
      <c r="L1539" s="56"/>
      <c r="M1539" s="26"/>
      <c r="N1539" s="26"/>
      <c r="O1539" s="8"/>
      <c r="P1539" s="1"/>
      <c r="Q1539" s="8"/>
      <c r="R1539" s="8"/>
      <c r="S1539" s="1"/>
      <c r="T1539" s="8"/>
      <c r="U1539" s="8"/>
      <c r="V1539" s="16"/>
      <c r="W1539" s="1"/>
      <c r="X1539" s="1"/>
    </row>
    <row r="1540" spans="1:24" ht="14.4">
      <c r="A1540" s="1"/>
      <c r="B1540" s="8"/>
      <c r="C1540" s="8"/>
      <c r="D1540" s="8"/>
      <c r="E1540" s="8"/>
      <c r="F1540" s="8"/>
      <c r="G1540" s="8"/>
      <c r="H1540" s="8"/>
      <c r="I1540" s="8"/>
      <c r="J1540" s="8"/>
      <c r="K1540" s="8"/>
      <c r="L1540" s="56"/>
      <c r="M1540" s="26"/>
      <c r="N1540" s="26"/>
      <c r="O1540" s="8"/>
      <c r="P1540" s="1"/>
      <c r="Q1540" s="8"/>
      <c r="R1540" s="8"/>
      <c r="S1540" s="1"/>
      <c r="T1540" s="8"/>
      <c r="U1540" s="8"/>
      <c r="V1540" s="16"/>
      <c r="W1540" s="1"/>
      <c r="X1540" s="1"/>
    </row>
    <row r="1541" spans="1:24" ht="14.4">
      <c r="A1541" s="1"/>
      <c r="B1541" s="8"/>
      <c r="C1541" s="8"/>
      <c r="D1541" s="8"/>
      <c r="E1541" s="8"/>
      <c r="F1541" s="8"/>
      <c r="G1541" s="8"/>
      <c r="H1541" s="8"/>
      <c r="I1541" s="8"/>
      <c r="J1541" s="8"/>
      <c r="K1541" s="8"/>
      <c r="L1541" s="56"/>
      <c r="M1541" s="26"/>
      <c r="N1541" s="26"/>
      <c r="O1541" s="8"/>
      <c r="P1541" s="1"/>
      <c r="Q1541" s="8"/>
      <c r="R1541" s="8"/>
      <c r="S1541" s="1"/>
      <c r="T1541" s="8"/>
      <c r="U1541" s="8"/>
      <c r="V1541" s="16"/>
      <c r="W1541" s="1"/>
      <c r="X1541" s="1"/>
    </row>
    <row r="1542" spans="1:24" ht="14.4">
      <c r="A1542" s="1"/>
      <c r="B1542" s="8"/>
      <c r="C1542" s="8"/>
      <c r="D1542" s="8"/>
      <c r="E1542" s="8"/>
      <c r="F1542" s="8"/>
      <c r="G1542" s="8"/>
      <c r="H1542" s="8"/>
      <c r="I1542" s="8"/>
      <c r="J1542" s="8"/>
      <c r="K1542" s="8"/>
      <c r="L1542" s="56"/>
      <c r="M1542" s="26"/>
      <c r="N1542" s="26"/>
      <c r="O1542" s="8"/>
      <c r="P1542" s="1"/>
      <c r="Q1542" s="8"/>
      <c r="R1542" s="8"/>
      <c r="S1542" s="1"/>
      <c r="T1542" s="8"/>
      <c r="U1542" s="8"/>
      <c r="V1542" s="16"/>
      <c r="W1542" s="1"/>
      <c r="X1542" s="1"/>
    </row>
    <row r="1543" spans="1:24" ht="14.4">
      <c r="A1543" s="1"/>
      <c r="B1543" s="8"/>
      <c r="C1543" s="8"/>
      <c r="D1543" s="8"/>
      <c r="E1543" s="8"/>
      <c r="F1543" s="8"/>
      <c r="G1543" s="8"/>
      <c r="H1543" s="8"/>
      <c r="I1543" s="8"/>
      <c r="J1543" s="8"/>
      <c r="K1543" s="8"/>
      <c r="L1543" s="56"/>
      <c r="M1543" s="26"/>
      <c r="N1543" s="26"/>
      <c r="O1543" s="8"/>
      <c r="P1543" s="1"/>
      <c r="Q1543" s="8"/>
      <c r="R1543" s="8"/>
      <c r="S1543" s="1"/>
      <c r="T1543" s="8"/>
      <c r="U1543" s="8"/>
      <c r="V1543" s="16"/>
      <c r="W1543" s="1"/>
      <c r="X1543" s="1"/>
    </row>
    <row r="1544" spans="1:24" ht="14.4">
      <c r="A1544" s="1"/>
      <c r="B1544" s="8"/>
      <c r="C1544" s="8"/>
      <c r="D1544" s="8"/>
      <c r="E1544" s="8"/>
      <c r="F1544" s="8"/>
      <c r="G1544" s="8"/>
      <c r="H1544" s="8"/>
      <c r="I1544" s="8"/>
      <c r="J1544" s="8"/>
      <c r="K1544" s="8"/>
      <c r="L1544" s="56"/>
      <c r="M1544" s="26"/>
      <c r="N1544" s="26"/>
      <c r="O1544" s="8"/>
      <c r="P1544" s="1"/>
      <c r="Q1544" s="8"/>
      <c r="R1544" s="8"/>
      <c r="S1544" s="1"/>
      <c r="T1544" s="8"/>
      <c r="U1544" s="8"/>
      <c r="V1544" s="16"/>
      <c r="W1544" s="1"/>
      <c r="X1544" s="1"/>
    </row>
    <row r="1545" spans="1:24" ht="14.4">
      <c r="A1545" s="1"/>
      <c r="B1545" s="8"/>
      <c r="C1545" s="8"/>
      <c r="D1545" s="8"/>
      <c r="E1545" s="8"/>
      <c r="F1545" s="8"/>
      <c r="G1545" s="8"/>
      <c r="H1545" s="8"/>
      <c r="I1545" s="8"/>
      <c r="J1545" s="8"/>
      <c r="K1545" s="8"/>
      <c r="L1545" s="56"/>
      <c r="M1545" s="26"/>
      <c r="N1545" s="26"/>
      <c r="O1545" s="8"/>
      <c r="P1545" s="1"/>
      <c r="Q1545" s="8"/>
      <c r="R1545" s="8"/>
      <c r="S1545" s="1"/>
      <c r="T1545" s="8"/>
      <c r="U1545" s="8"/>
      <c r="V1545" s="16"/>
      <c r="W1545" s="1"/>
      <c r="X1545" s="1"/>
    </row>
    <row r="1546" spans="1:24" ht="14.4">
      <c r="A1546" s="1"/>
      <c r="B1546" s="8"/>
      <c r="C1546" s="8"/>
      <c r="D1546" s="8"/>
      <c r="E1546" s="8"/>
      <c r="F1546" s="8"/>
      <c r="G1546" s="8"/>
      <c r="H1546" s="8"/>
      <c r="I1546" s="8"/>
      <c r="J1546" s="8"/>
      <c r="K1546" s="8"/>
      <c r="L1546" s="56"/>
      <c r="M1546" s="26"/>
      <c r="N1546" s="26"/>
      <c r="O1546" s="8"/>
      <c r="P1546" s="1"/>
      <c r="Q1546" s="8"/>
      <c r="R1546" s="8"/>
      <c r="S1546" s="1"/>
      <c r="T1546" s="8"/>
      <c r="U1546" s="8"/>
      <c r="V1546" s="16"/>
      <c r="W1546" s="1"/>
      <c r="X1546" s="1"/>
    </row>
    <row r="1547" spans="1:24" ht="14.4">
      <c r="A1547" s="1"/>
      <c r="B1547" s="8"/>
      <c r="C1547" s="8"/>
      <c r="D1547" s="8"/>
      <c r="E1547" s="8"/>
      <c r="F1547" s="8"/>
      <c r="G1547" s="8"/>
      <c r="H1547" s="8"/>
      <c r="I1547" s="8"/>
      <c r="J1547" s="8"/>
      <c r="K1547" s="8"/>
      <c r="L1547" s="56"/>
      <c r="M1547" s="26"/>
      <c r="N1547" s="26"/>
      <c r="O1547" s="8"/>
      <c r="P1547" s="1"/>
      <c r="Q1547" s="8"/>
      <c r="R1547" s="8"/>
      <c r="S1547" s="1"/>
      <c r="T1547" s="8"/>
      <c r="U1547" s="8"/>
      <c r="V1547" s="16"/>
      <c r="W1547" s="1"/>
      <c r="X1547" s="1"/>
    </row>
    <row r="1548" spans="1:24" ht="14.4">
      <c r="A1548" s="1"/>
      <c r="B1548" s="8"/>
      <c r="C1548" s="8"/>
      <c r="D1548" s="8"/>
      <c r="E1548" s="8"/>
      <c r="F1548" s="8"/>
      <c r="G1548" s="8"/>
      <c r="H1548" s="8"/>
      <c r="I1548" s="8"/>
      <c r="J1548" s="8"/>
      <c r="K1548" s="8"/>
      <c r="L1548" s="56"/>
      <c r="M1548" s="26"/>
      <c r="N1548" s="26"/>
      <c r="O1548" s="8"/>
      <c r="P1548" s="1"/>
      <c r="Q1548" s="8"/>
      <c r="R1548" s="8"/>
      <c r="S1548" s="1"/>
      <c r="T1548" s="8"/>
      <c r="U1548" s="8"/>
      <c r="V1548" s="16"/>
      <c r="W1548" s="1"/>
      <c r="X1548" s="1"/>
    </row>
    <row r="1549" spans="1:24" ht="14.4">
      <c r="A1549" s="1"/>
      <c r="B1549" s="8"/>
      <c r="C1549" s="8"/>
      <c r="D1549" s="8"/>
      <c r="E1549" s="8"/>
      <c r="F1549" s="8"/>
      <c r="G1549" s="8"/>
      <c r="H1549" s="8"/>
      <c r="I1549" s="8"/>
      <c r="J1549" s="8"/>
      <c r="K1549" s="8"/>
      <c r="L1549" s="56"/>
      <c r="M1549" s="26"/>
      <c r="N1549" s="26"/>
      <c r="O1549" s="8"/>
      <c r="P1549" s="1"/>
      <c r="Q1549" s="8"/>
      <c r="R1549" s="8"/>
      <c r="S1549" s="1"/>
      <c r="T1549" s="8"/>
      <c r="U1549" s="8"/>
      <c r="V1549" s="16"/>
      <c r="W1549" s="1"/>
      <c r="X1549" s="1"/>
    </row>
    <row r="1550" spans="1:24" ht="14.4">
      <c r="A1550" s="1"/>
      <c r="B1550" s="8"/>
      <c r="C1550" s="8"/>
      <c r="D1550" s="8"/>
      <c r="E1550" s="8"/>
      <c r="F1550" s="8"/>
      <c r="G1550" s="8"/>
      <c r="H1550" s="8"/>
      <c r="I1550" s="8"/>
      <c r="J1550" s="8"/>
      <c r="K1550" s="8"/>
      <c r="L1550" s="56"/>
      <c r="M1550" s="26"/>
      <c r="N1550" s="26"/>
      <c r="O1550" s="8"/>
      <c r="P1550" s="1"/>
      <c r="Q1550" s="8"/>
      <c r="R1550" s="8"/>
      <c r="S1550" s="1"/>
      <c r="T1550" s="8"/>
      <c r="U1550" s="8"/>
      <c r="V1550" s="16"/>
      <c r="W1550" s="1"/>
      <c r="X1550" s="1"/>
    </row>
    <row r="1551" spans="1:24" ht="14.4">
      <c r="A1551" s="1"/>
      <c r="B1551" s="8"/>
      <c r="C1551" s="8"/>
      <c r="D1551" s="8"/>
      <c r="E1551" s="8"/>
      <c r="F1551" s="8"/>
      <c r="G1551" s="8"/>
      <c r="H1551" s="8"/>
      <c r="I1551" s="8"/>
      <c r="J1551" s="8"/>
      <c r="K1551" s="8"/>
      <c r="L1551" s="56"/>
      <c r="M1551" s="26"/>
      <c r="N1551" s="26"/>
      <c r="O1551" s="8"/>
      <c r="P1551" s="1"/>
      <c r="Q1551" s="8"/>
      <c r="R1551" s="8"/>
      <c r="S1551" s="1"/>
      <c r="T1551" s="8"/>
      <c r="U1551" s="8"/>
      <c r="V1551" s="16"/>
      <c r="W1551" s="1"/>
      <c r="X1551" s="1"/>
    </row>
    <row r="1552" spans="1:24" ht="14.4">
      <c r="A1552" s="1"/>
      <c r="B1552" s="8"/>
      <c r="C1552" s="8"/>
      <c r="D1552" s="8"/>
      <c r="E1552" s="8"/>
      <c r="F1552" s="8"/>
      <c r="G1552" s="8"/>
      <c r="H1552" s="8"/>
      <c r="I1552" s="8"/>
      <c r="J1552" s="8"/>
      <c r="K1552" s="8"/>
      <c r="L1552" s="56"/>
      <c r="M1552" s="26"/>
      <c r="N1552" s="26"/>
      <c r="O1552" s="8"/>
      <c r="P1552" s="1"/>
      <c r="Q1552" s="8"/>
      <c r="R1552" s="8"/>
      <c r="S1552" s="1"/>
      <c r="T1552" s="8"/>
      <c r="U1552" s="8"/>
      <c r="V1552" s="16"/>
      <c r="W1552" s="1"/>
      <c r="X1552" s="1"/>
    </row>
    <row r="1553" spans="1:24" ht="14.4">
      <c r="A1553" s="1"/>
      <c r="B1553" s="8"/>
      <c r="C1553" s="8"/>
      <c r="D1553" s="8"/>
      <c r="E1553" s="8"/>
      <c r="F1553" s="8"/>
      <c r="G1553" s="8"/>
      <c r="H1553" s="8"/>
      <c r="I1553" s="8"/>
      <c r="J1553" s="8"/>
      <c r="K1553" s="8"/>
      <c r="L1553" s="56"/>
      <c r="M1553" s="26"/>
      <c r="N1553" s="26"/>
      <c r="O1553" s="8"/>
      <c r="P1553" s="1"/>
      <c r="Q1553" s="8"/>
      <c r="R1553" s="8"/>
      <c r="S1553" s="1"/>
      <c r="T1553" s="8"/>
      <c r="U1553" s="8"/>
      <c r="V1553" s="16"/>
      <c r="W1553" s="1"/>
      <c r="X1553" s="1"/>
    </row>
    <row r="1554" spans="1:24" ht="14.4">
      <c r="A1554" s="1"/>
      <c r="B1554" s="8"/>
      <c r="C1554" s="8"/>
      <c r="D1554" s="8"/>
      <c r="E1554" s="8"/>
      <c r="F1554" s="8"/>
      <c r="G1554" s="8"/>
      <c r="H1554" s="8"/>
      <c r="I1554" s="8"/>
      <c r="J1554" s="8"/>
      <c r="K1554" s="8"/>
      <c r="L1554" s="56"/>
      <c r="M1554" s="26"/>
      <c r="N1554" s="26"/>
      <c r="O1554" s="8"/>
      <c r="P1554" s="1"/>
      <c r="Q1554" s="8"/>
      <c r="R1554" s="8"/>
      <c r="S1554" s="1"/>
      <c r="T1554" s="8"/>
      <c r="U1554" s="8"/>
      <c r="V1554" s="16"/>
      <c r="W1554" s="1"/>
      <c r="X1554" s="1"/>
    </row>
    <row r="1555" spans="1:24" ht="14.4">
      <c r="A1555" s="1"/>
      <c r="B1555" s="8"/>
      <c r="C1555" s="8"/>
      <c r="D1555" s="8"/>
      <c r="E1555" s="8"/>
      <c r="F1555" s="8"/>
      <c r="G1555" s="8"/>
      <c r="H1555" s="8"/>
      <c r="I1555" s="8"/>
      <c r="J1555" s="8"/>
      <c r="K1555" s="8"/>
      <c r="L1555" s="56"/>
      <c r="M1555" s="26"/>
      <c r="N1555" s="26"/>
      <c r="O1555" s="8"/>
      <c r="P1555" s="1"/>
      <c r="Q1555" s="8"/>
      <c r="R1555" s="8"/>
      <c r="S1555" s="1"/>
      <c r="T1555" s="8"/>
      <c r="U1555" s="8"/>
      <c r="V1555" s="16"/>
      <c r="W1555" s="1"/>
      <c r="X1555" s="1"/>
    </row>
    <row r="1556" spans="1:24" ht="14.4">
      <c r="A1556" s="1"/>
      <c r="B1556" s="8"/>
      <c r="C1556" s="8"/>
      <c r="D1556" s="8"/>
      <c r="E1556" s="8"/>
      <c r="F1556" s="8"/>
      <c r="G1556" s="8"/>
      <c r="H1556" s="8"/>
      <c r="I1556" s="8"/>
      <c r="J1556" s="8"/>
      <c r="K1556" s="8"/>
      <c r="L1556" s="56"/>
      <c r="M1556" s="26"/>
      <c r="N1556" s="26"/>
      <c r="O1556" s="8"/>
      <c r="P1556" s="1"/>
      <c r="Q1556" s="8"/>
      <c r="R1556" s="8"/>
      <c r="S1556" s="1"/>
      <c r="T1556" s="8"/>
      <c r="U1556" s="8"/>
      <c r="V1556" s="16"/>
      <c r="W1556" s="1"/>
      <c r="X1556" s="1"/>
    </row>
    <row r="1557" spans="1:24" ht="14.4">
      <c r="A1557" s="1"/>
      <c r="B1557" s="8"/>
      <c r="C1557" s="8"/>
      <c r="D1557" s="8"/>
      <c r="E1557" s="8"/>
      <c r="F1557" s="8"/>
      <c r="G1557" s="8"/>
      <c r="H1557" s="8"/>
      <c r="I1557" s="8"/>
      <c r="J1557" s="8"/>
      <c r="K1557" s="8"/>
      <c r="L1557" s="56"/>
      <c r="M1557" s="26"/>
      <c r="N1557" s="26"/>
      <c r="O1557" s="8"/>
      <c r="P1557" s="1"/>
      <c r="Q1557" s="8"/>
      <c r="R1557" s="8"/>
      <c r="S1557" s="1"/>
      <c r="T1557" s="8"/>
      <c r="U1557" s="8"/>
      <c r="V1557" s="16"/>
      <c r="W1557" s="1"/>
      <c r="X1557" s="1"/>
    </row>
    <row r="1558" spans="1:24" ht="14.4">
      <c r="A1558" s="1"/>
      <c r="B1558" s="8"/>
      <c r="C1558" s="8"/>
      <c r="D1558" s="8"/>
      <c r="E1558" s="8"/>
      <c r="F1558" s="8"/>
      <c r="G1558" s="8"/>
      <c r="H1558" s="8"/>
      <c r="I1558" s="8"/>
      <c r="J1558" s="8"/>
      <c r="K1558" s="8"/>
      <c r="L1558" s="56"/>
      <c r="M1558" s="26"/>
      <c r="N1558" s="26"/>
      <c r="O1558" s="8"/>
      <c r="P1558" s="1"/>
      <c r="Q1558" s="8"/>
      <c r="R1558" s="8"/>
      <c r="S1558" s="1"/>
      <c r="T1558" s="8"/>
      <c r="U1558" s="8"/>
      <c r="V1558" s="16"/>
      <c r="W1558" s="1"/>
      <c r="X1558" s="1"/>
    </row>
    <row r="1559" spans="1:24" ht="14.4">
      <c r="A1559" s="1"/>
      <c r="B1559" s="8"/>
      <c r="C1559" s="8"/>
      <c r="D1559" s="8"/>
      <c r="E1559" s="8"/>
      <c r="F1559" s="8"/>
      <c r="G1559" s="8"/>
      <c r="H1559" s="8"/>
      <c r="I1559" s="8"/>
      <c r="J1559" s="8"/>
      <c r="K1559" s="8"/>
      <c r="L1559" s="56"/>
      <c r="M1559" s="26"/>
      <c r="N1559" s="26"/>
      <c r="O1559" s="8"/>
      <c r="P1559" s="1"/>
      <c r="Q1559" s="8"/>
      <c r="R1559" s="8"/>
      <c r="S1559" s="1"/>
      <c r="T1559" s="8"/>
      <c r="U1559" s="8"/>
      <c r="V1559" s="16"/>
      <c r="W1559" s="1"/>
      <c r="X1559" s="1"/>
    </row>
    <row r="1560" spans="1:24" ht="14.4">
      <c r="A1560" s="1"/>
      <c r="B1560" s="8"/>
      <c r="C1560" s="8"/>
      <c r="D1560" s="8"/>
      <c r="E1560" s="8"/>
      <c r="F1560" s="8"/>
      <c r="G1560" s="8"/>
      <c r="H1560" s="8"/>
      <c r="I1560" s="8"/>
      <c r="J1560" s="8"/>
      <c r="K1560" s="8"/>
      <c r="L1560" s="56"/>
      <c r="M1560" s="26"/>
      <c r="N1560" s="26"/>
      <c r="O1560" s="8"/>
      <c r="P1560" s="1"/>
      <c r="Q1560" s="8"/>
      <c r="R1560" s="8"/>
      <c r="S1560" s="1"/>
      <c r="T1560" s="8"/>
      <c r="U1560" s="8"/>
      <c r="V1560" s="16"/>
      <c r="W1560" s="1"/>
      <c r="X1560" s="1"/>
    </row>
    <row r="1561" spans="1:24" ht="14.4">
      <c r="A1561" s="1"/>
      <c r="B1561" s="8"/>
      <c r="C1561" s="8"/>
      <c r="D1561" s="8"/>
      <c r="E1561" s="8"/>
      <c r="F1561" s="8"/>
      <c r="G1561" s="8"/>
      <c r="H1561" s="8"/>
      <c r="I1561" s="8"/>
      <c r="J1561" s="8"/>
      <c r="K1561" s="8"/>
      <c r="L1561" s="56"/>
      <c r="M1561" s="26"/>
      <c r="N1561" s="26"/>
      <c r="O1561" s="8"/>
      <c r="P1561" s="1"/>
      <c r="Q1561" s="8"/>
      <c r="R1561" s="8"/>
      <c r="S1561" s="1"/>
      <c r="T1561" s="8"/>
      <c r="U1561" s="8"/>
      <c r="V1561" s="16"/>
      <c r="W1561" s="1"/>
      <c r="X1561" s="1"/>
    </row>
    <row r="1562" spans="1:24" ht="14.4">
      <c r="A1562" s="1"/>
      <c r="B1562" s="8"/>
      <c r="C1562" s="8"/>
      <c r="D1562" s="8"/>
      <c r="E1562" s="8"/>
      <c r="F1562" s="8"/>
      <c r="G1562" s="8"/>
      <c r="H1562" s="8"/>
      <c r="I1562" s="8"/>
      <c r="J1562" s="8"/>
      <c r="K1562" s="8"/>
      <c r="L1562" s="56"/>
      <c r="M1562" s="26"/>
      <c r="N1562" s="26"/>
      <c r="O1562" s="8"/>
      <c r="P1562" s="1"/>
      <c r="Q1562" s="8"/>
      <c r="R1562" s="8"/>
      <c r="S1562" s="1"/>
      <c r="T1562" s="8"/>
      <c r="U1562" s="8"/>
      <c r="V1562" s="16"/>
      <c r="W1562" s="1"/>
      <c r="X1562" s="1"/>
    </row>
    <row r="1563" spans="1:24" ht="14.4">
      <c r="A1563" s="1"/>
      <c r="B1563" s="8"/>
      <c r="C1563" s="8"/>
      <c r="D1563" s="8"/>
      <c r="E1563" s="8"/>
      <c r="F1563" s="8"/>
      <c r="G1563" s="8"/>
      <c r="H1563" s="8"/>
      <c r="I1563" s="8"/>
      <c r="J1563" s="8"/>
      <c r="K1563" s="8"/>
      <c r="L1563" s="56"/>
      <c r="M1563" s="26"/>
      <c r="N1563" s="26"/>
      <c r="O1563" s="8"/>
      <c r="P1563" s="1"/>
      <c r="Q1563" s="8"/>
      <c r="R1563" s="8"/>
      <c r="S1563" s="1"/>
      <c r="T1563" s="8"/>
      <c r="U1563" s="8"/>
      <c r="V1563" s="16"/>
      <c r="W1563" s="1"/>
      <c r="X1563" s="1"/>
    </row>
    <row r="1564" spans="1:24" ht="14.4">
      <c r="A1564" s="1"/>
      <c r="B1564" s="8"/>
      <c r="C1564" s="8"/>
      <c r="D1564" s="8"/>
      <c r="E1564" s="8"/>
      <c r="F1564" s="8"/>
      <c r="G1564" s="8"/>
      <c r="H1564" s="8"/>
      <c r="I1564" s="8"/>
      <c r="J1564" s="8"/>
      <c r="K1564" s="8"/>
      <c r="L1564" s="56"/>
      <c r="M1564" s="26"/>
      <c r="N1564" s="26"/>
      <c r="O1564" s="8"/>
      <c r="P1564" s="1"/>
      <c r="Q1564" s="8"/>
      <c r="R1564" s="8"/>
      <c r="S1564" s="1"/>
      <c r="T1564" s="8"/>
      <c r="U1564" s="8"/>
      <c r="V1564" s="16"/>
      <c r="W1564" s="1"/>
      <c r="X1564" s="1"/>
    </row>
    <row r="1565" spans="1:24" ht="14.4">
      <c r="A1565" s="1"/>
      <c r="B1565" s="8"/>
      <c r="C1565" s="8"/>
      <c r="D1565" s="8"/>
      <c r="E1565" s="8"/>
      <c r="F1565" s="8"/>
      <c r="G1565" s="8"/>
      <c r="H1565" s="8"/>
      <c r="I1565" s="8"/>
      <c r="J1565" s="8"/>
      <c r="K1565" s="8"/>
      <c r="L1565" s="56"/>
      <c r="M1565" s="26"/>
      <c r="N1565" s="26"/>
      <c r="O1565" s="8"/>
      <c r="P1565" s="1"/>
      <c r="Q1565" s="8"/>
      <c r="R1565" s="8"/>
      <c r="S1565" s="1"/>
      <c r="T1565" s="8"/>
      <c r="U1565" s="8"/>
      <c r="V1565" s="16"/>
      <c r="W1565" s="1"/>
      <c r="X1565" s="1"/>
    </row>
    <row r="1566" spans="1:24" ht="14.4">
      <c r="A1566" s="1"/>
      <c r="B1566" s="8"/>
      <c r="C1566" s="8"/>
      <c r="D1566" s="8"/>
      <c r="E1566" s="8"/>
      <c r="F1566" s="8"/>
      <c r="G1566" s="8"/>
      <c r="H1566" s="8"/>
      <c r="I1566" s="8"/>
      <c r="J1566" s="8"/>
      <c r="K1566" s="8"/>
      <c r="L1566" s="56"/>
      <c r="M1566" s="26"/>
      <c r="N1566" s="26"/>
      <c r="O1566" s="8"/>
      <c r="P1566" s="1"/>
      <c r="Q1566" s="8"/>
      <c r="R1566" s="8"/>
      <c r="S1566" s="1"/>
      <c r="T1566" s="8"/>
      <c r="U1566" s="8"/>
      <c r="V1566" s="16"/>
      <c r="W1566" s="1"/>
      <c r="X1566" s="1"/>
    </row>
    <row r="1567" spans="1:24" ht="14.4">
      <c r="A1567" s="1"/>
      <c r="B1567" s="8"/>
      <c r="C1567" s="8"/>
      <c r="D1567" s="8"/>
      <c r="E1567" s="8"/>
      <c r="F1567" s="8"/>
      <c r="G1567" s="8"/>
      <c r="H1567" s="8"/>
      <c r="I1567" s="8"/>
      <c r="J1567" s="8"/>
      <c r="K1567" s="8"/>
      <c r="L1567" s="56"/>
      <c r="M1567" s="26"/>
      <c r="N1567" s="26"/>
      <c r="O1567" s="8"/>
      <c r="P1567" s="1"/>
      <c r="Q1567" s="8"/>
      <c r="R1567" s="8"/>
      <c r="S1567" s="1"/>
      <c r="T1567" s="8"/>
      <c r="U1567" s="8"/>
      <c r="V1567" s="16"/>
      <c r="W1567" s="1"/>
      <c r="X1567" s="1"/>
    </row>
    <row r="1568" spans="1:24" ht="14.4">
      <c r="A1568" s="1"/>
      <c r="B1568" s="8"/>
      <c r="C1568" s="8"/>
      <c r="D1568" s="8"/>
      <c r="E1568" s="8"/>
      <c r="F1568" s="8"/>
      <c r="G1568" s="8"/>
      <c r="H1568" s="8"/>
      <c r="I1568" s="8"/>
      <c r="J1568" s="8"/>
      <c r="K1568" s="8"/>
      <c r="L1568" s="56"/>
      <c r="M1568" s="26"/>
      <c r="N1568" s="26"/>
      <c r="O1568" s="8"/>
      <c r="P1568" s="1"/>
      <c r="Q1568" s="8"/>
      <c r="R1568" s="8"/>
      <c r="S1568" s="1"/>
      <c r="T1568" s="8"/>
      <c r="U1568" s="8"/>
      <c r="V1568" s="16"/>
      <c r="W1568" s="1"/>
      <c r="X1568" s="1"/>
    </row>
    <row r="1569" spans="1:24" ht="14.4">
      <c r="A1569" s="1"/>
      <c r="B1569" s="8"/>
      <c r="C1569" s="8"/>
      <c r="D1569" s="8"/>
      <c r="E1569" s="8"/>
      <c r="F1569" s="8"/>
      <c r="G1569" s="8"/>
      <c r="H1569" s="8"/>
      <c r="I1569" s="8"/>
      <c r="J1569" s="8"/>
      <c r="K1569" s="8"/>
      <c r="L1569" s="56"/>
      <c r="M1569" s="26"/>
      <c r="N1569" s="26"/>
      <c r="O1569" s="8"/>
      <c r="P1569" s="1"/>
      <c r="Q1569" s="8"/>
      <c r="R1569" s="8"/>
      <c r="S1569" s="1"/>
      <c r="T1569" s="8"/>
      <c r="U1569" s="8"/>
      <c r="V1569" s="16"/>
      <c r="W1569" s="1"/>
      <c r="X1569" s="1"/>
    </row>
    <row r="1570" spans="1:24" ht="14.4">
      <c r="A1570" s="1"/>
      <c r="B1570" s="8"/>
      <c r="C1570" s="8"/>
      <c r="D1570" s="8"/>
      <c r="E1570" s="8"/>
      <c r="F1570" s="8"/>
      <c r="G1570" s="8"/>
      <c r="H1570" s="8"/>
      <c r="I1570" s="8"/>
      <c r="J1570" s="8"/>
      <c r="K1570" s="8"/>
      <c r="L1570" s="56"/>
      <c r="M1570" s="26"/>
      <c r="N1570" s="26"/>
      <c r="O1570" s="8"/>
      <c r="P1570" s="1"/>
      <c r="Q1570" s="8"/>
      <c r="R1570" s="8"/>
      <c r="S1570" s="1"/>
      <c r="T1570" s="8"/>
      <c r="U1570" s="8"/>
      <c r="V1570" s="16"/>
      <c r="W1570" s="1"/>
      <c r="X1570" s="1"/>
    </row>
    <row r="1571" spans="1:24" ht="14.4">
      <c r="A1571" s="1"/>
      <c r="B1571" s="8"/>
      <c r="C1571" s="8"/>
      <c r="D1571" s="8"/>
      <c r="E1571" s="8"/>
      <c r="F1571" s="8"/>
      <c r="G1571" s="8"/>
      <c r="H1571" s="8"/>
      <c r="I1571" s="8"/>
      <c r="J1571" s="8"/>
      <c r="K1571" s="8"/>
      <c r="L1571" s="56"/>
      <c r="M1571" s="26"/>
      <c r="N1571" s="26"/>
      <c r="O1571" s="8"/>
      <c r="P1571" s="1"/>
      <c r="Q1571" s="8"/>
      <c r="R1571" s="8"/>
      <c r="S1571" s="1"/>
      <c r="T1571" s="8"/>
      <c r="U1571" s="8"/>
      <c r="V1571" s="16"/>
      <c r="W1571" s="1"/>
      <c r="X1571" s="1"/>
    </row>
    <row r="1572" spans="1:24" ht="14.4">
      <c r="A1572" s="1"/>
      <c r="B1572" s="8"/>
      <c r="C1572" s="8"/>
      <c r="D1572" s="8"/>
      <c r="E1572" s="8"/>
      <c r="F1572" s="8"/>
      <c r="G1572" s="8"/>
      <c r="H1572" s="8"/>
      <c r="I1572" s="8"/>
      <c r="J1572" s="8"/>
      <c r="K1572" s="8"/>
      <c r="L1572" s="56"/>
      <c r="M1572" s="26"/>
      <c r="N1572" s="26"/>
      <c r="O1572" s="8"/>
      <c r="P1572" s="1"/>
      <c r="Q1572" s="8"/>
      <c r="R1572" s="8"/>
      <c r="S1572" s="1"/>
      <c r="T1572" s="8"/>
      <c r="U1572" s="8"/>
      <c r="V1572" s="16"/>
      <c r="W1572" s="1"/>
      <c r="X1572" s="1"/>
    </row>
    <row r="1573" spans="1:24" ht="14.4">
      <c r="A1573" s="1"/>
      <c r="B1573" s="8"/>
      <c r="C1573" s="8"/>
      <c r="D1573" s="8"/>
      <c r="E1573" s="8"/>
      <c r="F1573" s="8"/>
      <c r="G1573" s="8"/>
      <c r="H1573" s="8"/>
      <c r="I1573" s="8"/>
      <c r="J1573" s="8"/>
      <c r="K1573" s="8"/>
      <c r="L1573" s="56"/>
      <c r="M1573" s="26"/>
      <c r="N1573" s="26"/>
      <c r="O1573" s="8"/>
      <c r="P1573" s="1"/>
      <c r="Q1573" s="8"/>
      <c r="R1573" s="8"/>
      <c r="S1573" s="1"/>
      <c r="T1573" s="8"/>
      <c r="U1573" s="8"/>
      <c r="V1573" s="16"/>
      <c r="W1573" s="1"/>
      <c r="X1573" s="1"/>
    </row>
    <row r="1574" spans="1:24" ht="14.4">
      <c r="A1574" s="1"/>
      <c r="B1574" s="8"/>
      <c r="C1574" s="8"/>
      <c r="D1574" s="8"/>
      <c r="E1574" s="8"/>
      <c r="F1574" s="8"/>
      <c r="G1574" s="8"/>
      <c r="H1574" s="8"/>
      <c r="I1574" s="8"/>
      <c r="J1574" s="8"/>
      <c r="K1574" s="8"/>
      <c r="L1574" s="56"/>
      <c r="M1574" s="26"/>
      <c r="N1574" s="26"/>
      <c r="O1574" s="8"/>
      <c r="P1574" s="1"/>
      <c r="Q1574" s="8"/>
      <c r="R1574" s="8"/>
      <c r="S1574" s="1"/>
      <c r="T1574" s="8"/>
      <c r="U1574" s="8"/>
      <c r="V1574" s="16"/>
      <c r="W1574" s="1"/>
      <c r="X1574" s="1"/>
    </row>
    <row r="1575" spans="1:24" ht="14.4">
      <c r="A1575" s="1"/>
      <c r="B1575" s="8"/>
      <c r="C1575" s="8"/>
      <c r="D1575" s="8"/>
      <c r="E1575" s="8"/>
      <c r="F1575" s="8"/>
      <c r="G1575" s="8"/>
      <c r="H1575" s="8"/>
      <c r="I1575" s="8"/>
      <c r="J1575" s="8"/>
      <c r="K1575" s="8"/>
      <c r="L1575" s="56"/>
      <c r="M1575" s="26"/>
      <c r="N1575" s="26"/>
      <c r="O1575" s="8"/>
      <c r="P1575" s="1"/>
      <c r="Q1575" s="8"/>
      <c r="R1575" s="8"/>
      <c r="S1575" s="1"/>
      <c r="T1575" s="8"/>
      <c r="U1575" s="8"/>
      <c r="V1575" s="16"/>
      <c r="W1575" s="1"/>
      <c r="X1575" s="1"/>
    </row>
    <row r="1576" spans="1:24" ht="14.4">
      <c r="A1576" s="1"/>
      <c r="B1576" s="8"/>
      <c r="C1576" s="8"/>
      <c r="D1576" s="8"/>
      <c r="E1576" s="8"/>
      <c r="F1576" s="8"/>
      <c r="G1576" s="8"/>
      <c r="H1576" s="8"/>
      <c r="I1576" s="8"/>
      <c r="J1576" s="8"/>
      <c r="K1576" s="8"/>
      <c r="L1576" s="56"/>
      <c r="M1576" s="26"/>
      <c r="N1576" s="26"/>
      <c r="O1576" s="8"/>
      <c r="P1576" s="1"/>
      <c r="Q1576" s="8"/>
      <c r="R1576" s="8"/>
      <c r="S1576" s="1"/>
      <c r="T1576" s="8"/>
      <c r="U1576" s="8"/>
      <c r="V1576" s="16"/>
      <c r="W1576" s="1"/>
      <c r="X1576" s="1"/>
    </row>
    <row r="1577" spans="1:24" ht="14.4">
      <c r="A1577" s="1"/>
      <c r="B1577" s="8"/>
      <c r="C1577" s="8"/>
      <c r="D1577" s="8"/>
      <c r="E1577" s="8"/>
      <c r="F1577" s="8"/>
      <c r="G1577" s="8"/>
      <c r="H1577" s="8"/>
      <c r="I1577" s="8"/>
      <c r="J1577" s="8"/>
      <c r="K1577" s="8"/>
      <c r="L1577" s="56"/>
      <c r="M1577" s="26"/>
      <c r="N1577" s="26"/>
      <c r="O1577" s="8"/>
      <c r="P1577" s="1"/>
      <c r="Q1577" s="8"/>
      <c r="R1577" s="8"/>
      <c r="S1577" s="1"/>
      <c r="T1577" s="8"/>
      <c r="U1577" s="8"/>
      <c r="V1577" s="16"/>
      <c r="W1577" s="1"/>
      <c r="X1577" s="1"/>
    </row>
    <row r="1578" spans="1:24" ht="14.4">
      <c r="A1578" s="1"/>
      <c r="B1578" s="8"/>
      <c r="C1578" s="8"/>
      <c r="D1578" s="8"/>
      <c r="E1578" s="8"/>
      <c r="F1578" s="8"/>
      <c r="G1578" s="8"/>
      <c r="H1578" s="8"/>
      <c r="I1578" s="8"/>
      <c r="J1578" s="8"/>
      <c r="K1578" s="8"/>
      <c r="L1578" s="56"/>
      <c r="M1578" s="26"/>
      <c r="N1578" s="26"/>
      <c r="O1578" s="8"/>
      <c r="P1578" s="1"/>
      <c r="Q1578" s="8"/>
      <c r="R1578" s="8"/>
      <c r="S1578" s="1"/>
      <c r="T1578" s="8"/>
      <c r="U1578" s="8"/>
      <c r="V1578" s="16"/>
      <c r="W1578" s="1"/>
      <c r="X1578" s="1"/>
    </row>
    <row r="1579" spans="1:24" ht="14.4">
      <c r="A1579" s="1"/>
      <c r="B1579" s="8"/>
      <c r="C1579" s="8"/>
      <c r="D1579" s="8"/>
      <c r="E1579" s="8"/>
      <c r="F1579" s="8"/>
      <c r="G1579" s="8"/>
      <c r="H1579" s="8"/>
      <c r="I1579" s="8"/>
      <c r="J1579" s="8"/>
      <c r="K1579" s="8"/>
      <c r="L1579" s="56"/>
      <c r="M1579" s="26"/>
      <c r="N1579" s="26"/>
      <c r="O1579" s="8"/>
      <c r="P1579" s="1"/>
      <c r="Q1579" s="8"/>
      <c r="R1579" s="8"/>
      <c r="S1579" s="1"/>
      <c r="T1579" s="8"/>
      <c r="U1579" s="8"/>
      <c r="V1579" s="16"/>
      <c r="W1579" s="1"/>
      <c r="X1579" s="1"/>
    </row>
    <row r="1580" spans="1:24" ht="14.4">
      <c r="A1580" s="1"/>
      <c r="B1580" s="8"/>
      <c r="C1580" s="8"/>
      <c r="D1580" s="8"/>
      <c r="E1580" s="8"/>
      <c r="F1580" s="8"/>
      <c r="G1580" s="8"/>
      <c r="H1580" s="8"/>
      <c r="I1580" s="8"/>
      <c r="J1580" s="8"/>
      <c r="K1580" s="8"/>
      <c r="L1580" s="56"/>
      <c r="M1580" s="26"/>
      <c r="N1580" s="26"/>
      <c r="O1580" s="8"/>
      <c r="P1580" s="1"/>
      <c r="Q1580" s="8"/>
      <c r="R1580" s="8"/>
      <c r="S1580" s="1"/>
      <c r="T1580" s="8"/>
      <c r="U1580" s="8"/>
      <c r="V1580" s="16"/>
      <c r="W1580" s="1"/>
      <c r="X1580" s="1"/>
    </row>
    <row r="1581" spans="1:24" ht="14.4">
      <c r="A1581" s="1"/>
      <c r="B1581" s="8"/>
      <c r="C1581" s="8"/>
      <c r="D1581" s="8"/>
      <c r="E1581" s="8"/>
      <c r="F1581" s="8"/>
      <c r="G1581" s="8"/>
      <c r="H1581" s="8"/>
      <c r="I1581" s="8"/>
      <c r="J1581" s="8"/>
      <c r="K1581" s="8"/>
      <c r="L1581" s="56"/>
      <c r="M1581" s="26"/>
      <c r="N1581" s="26"/>
      <c r="O1581" s="8"/>
      <c r="P1581" s="1"/>
      <c r="Q1581" s="8"/>
      <c r="R1581" s="8"/>
      <c r="S1581" s="1"/>
      <c r="T1581" s="8"/>
      <c r="U1581" s="8"/>
      <c r="V1581" s="16"/>
      <c r="W1581" s="1"/>
      <c r="X1581" s="1"/>
    </row>
    <row r="1582" spans="1:24" ht="14.4">
      <c r="A1582" s="1"/>
      <c r="B1582" s="8"/>
      <c r="C1582" s="8"/>
      <c r="D1582" s="8"/>
      <c r="E1582" s="8"/>
      <c r="F1582" s="8"/>
      <c r="G1582" s="8"/>
      <c r="H1582" s="8"/>
      <c r="I1582" s="8"/>
      <c r="J1582" s="8"/>
      <c r="K1582" s="8"/>
      <c r="L1582" s="56"/>
      <c r="M1582" s="26"/>
      <c r="N1582" s="26"/>
      <c r="O1582" s="8"/>
      <c r="P1582" s="1"/>
      <c r="Q1582" s="8"/>
      <c r="R1582" s="8"/>
      <c r="S1582" s="1"/>
      <c r="T1582" s="8"/>
      <c r="U1582" s="8"/>
      <c r="V1582" s="16"/>
      <c r="W1582" s="1"/>
      <c r="X1582" s="1"/>
    </row>
    <row r="1583" spans="1:24" ht="14.4">
      <c r="A1583" s="1"/>
      <c r="B1583" s="8"/>
      <c r="C1583" s="8"/>
      <c r="D1583" s="8"/>
      <c r="E1583" s="8"/>
      <c r="F1583" s="8"/>
      <c r="G1583" s="8"/>
      <c r="H1583" s="8"/>
      <c r="I1583" s="8"/>
      <c r="J1583" s="8"/>
      <c r="K1583" s="8"/>
      <c r="L1583" s="56"/>
      <c r="M1583" s="26"/>
      <c r="N1583" s="26"/>
      <c r="O1583" s="8"/>
      <c r="P1583" s="1"/>
      <c r="Q1583" s="8"/>
      <c r="R1583" s="8"/>
      <c r="S1583" s="1"/>
      <c r="T1583" s="8"/>
      <c r="U1583" s="8"/>
      <c r="V1583" s="16"/>
      <c r="W1583" s="1"/>
      <c r="X1583" s="1"/>
    </row>
    <row r="1584" spans="1:24" ht="14.4">
      <c r="A1584" s="1"/>
      <c r="B1584" s="8"/>
      <c r="C1584" s="8"/>
      <c r="D1584" s="8"/>
      <c r="E1584" s="8"/>
      <c r="F1584" s="8"/>
      <c r="G1584" s="8"/>
      <c r="H1584" s="8"/>
      <c r="I1584" s="8"/>
      <c r="J1584" s="8"/>
      <c r="K1584" s="8"/>
      <c r="L1584" s="56"/>
      <c r="M1584" s="26"/>
      <c r="N1584" s="26"/>
      <c r="O1584" s="8"/>
      <c r="P1584" s="1"/>
      <c r="Q1584" s="8"/>
      <c r="R1584" s="8"/>
      <c r="S1584" s="1"/>
      <c r="T1584" s="8"/>
      <c r="U1584" s="8"/>
      <c r="V1584" s="16"/>
      <c r="W1584" s="1"/>
      <c r="X1584" s="1"/>
    </row>
    <row r="1585" spans="1:24" ht="14.4">
      <c r="A1585" s="1"/>
      <c r="B1585" s="8"/>
      <c r="C1585" s="8"/>
      <c r="D1585" s="8"/>
      <c r="E1585" s="8"/>
      <c r="F1585" s="8"/>
      <c r="G1585" s="8"/>
      <c r="H1585" s="8"/>
      <c r="I1585" s="8"/>
      <c r="J1585" s="8"/>
      <c r="K1585" s="8"/>
      <c r="L1585" s="56"/>
      <c r="M1585" s="26"/>
      <c r="N1585" s="26"/>
      <c r="O1585" s="8"/>
      <c r="P1585" s="1"/>
      <c r="Q1585" s="8"/>
      <c r="R1585" s="8"/>
      <c r="S1585" s="1"/>
      <c r="T1585" s="8"/>
      <c r="U1585" s="8"/>
      <c r="V1585" s="16"/>
      <c r="W1585" s="1"/>
      <c r="X1585" s="1"/>
    </row>
    <row r="1586" spans="1:24" ht="14.4">
      <c r="A1586" s="1"/>
      <c r="B1586" s="8"/>
      <c r="C1586" s="8"/>
      <c r="D1586" s="8"/>
      <c r="E1586" s="8"/>
      <c r="F1586" s="8"/>
      <c r="G1586" s="8"/>
      <c r="H1586" s="8"/>
      <c r="I1586" s="8"/>
      <c r="J1586" s="8"/>
      <c r="K1586" s="8"/>
      <c r="L1586" s="56"/>
      <c r="M1586" s="26"/>
      <c r="N1586" s="26"/>
      <c r="O1586" s="8"/>
      <c r="P1586" s="1"/>
      <c r="Q1586" s="8"/>
      <c r="R1586" s="8"/>
      <c r="S1586" s="1"/>
      <c r="T1586" s="8"/>
      <c r="U1586" s="8"/>
      <c r="V1586" s="16"/>
      <c r="W1586" s="1"/>
      <c r="X1586" s="1"/>
    </row>
    <row r="1587" spans="1:24" ht="14.4">
      <c r="A1587" s="1"/>
      <c r="B1587" s="8"/>
      <c r="C1587" s="8"/>
      <c r="D1587" s="8"/>
      <c r="E1587" s="8"/>
      <c r="F1587" s="8"/>
      <c r="G1587" s="8"/>
      <c r="H1587" s="8"/>
      <c r="I1587" s="8"/>
      <c r="J1587" s="8"/>
      <c r="K1587" s="8"/>
      <c r="L1587" s="56"/>
      <c r="M1587" s="26"/>
      <c r="N1587" s="26"/>
      <c r="O1587" s="8"/>
      <c r="P1587" s="1"/>
      <c r="Q1587" s="8"/>
      <c r="R1587" s="8"/>
      <c r="S1587" s="1"/>
      <c r="T1587" s="8"/>
      <c r="U1587" s="8"/>
      <c r="V1587" s="16"/>
      <c r="W1587" s="1"/>
      <c r="X1587" s="1"/>
    </row>
    <row r="1588" spans="1:24" ht="14.4">
      <c r="A1588" s="1"/>
      <c r="B1588" s="8"/>
      <c r="C1588" s="8"/>
      <c r="D1588" s="8"/>
      <c r="E1588" s="8"/>
      <c r="F1588" s="8"/>
      <c r="G1588" s="8"/>
      <c r="H1588" s="8"/>
      <c r="I1588" s="8"/>
      <c r="J1588" s="8"/>
      <c r="K1588" s="8"/>
      <c r="L1588" s="56"/>
      <c r="M1588" s="26"/>
      <c r="N1588" s="26"/>
      <c r="O1588" s="8"/>
      <c r="P1588" s="1"/>
      <c r="Q1588" s="8"/>
      <c r="R1588" s="8"/>
      <c r="S1588" s="1"/>
      <c r="T1588" s="8"/>
      <c r="U1588" s="8"/>
      <c r="V1588" s="16"/>
      <c r="W1588" s="1"/>
      <c r="X1588" s="1"/>
    </row>
    <row r="1589" spans="1:24" ht="14.4">
      <c r="A1589" s="1"/>
      <c r="B1589" s="8"/>
      <c r="C1589" s="8"/>
      <c r="D1589" s="8"/>
      <c r="E1589" s="8"/>
      <c r="F1589" s="8"/>
      <c r="G1589" s="8"/>
      <c r="H1589" s="8"/>
      <c r="I1589" s="8"/>
      <c r="J1589" s="8"/>
      <c r="K1589" s="8"/>
      <c r="L1589" s="56"/>
      <c r="M1589" s="26"/>
      <c r="N1589" s="26"/>
      <c r="O1589" s="8"/>
      <c r="P1589" s="1"/>
      <c r="Q1589" s="8"/>
      <c r="R1589" s="8"/>
      <c r="S1589" s="1"/>
      <c r="T1589" s="8"/>
      <c r="U1589" s="8"/>
      <c r="V1589" s="16"/>
      <c r="W1589" s="1"/>
      <c r="X1589" s="1"/>
    </row>
    <row r="1590" spans="1:24" ht="14.4">
      <c r="A1590" s="1"/>
      <c r="B1590" s="8"/>
      <c r="C1590" s="8"/>
      <c r="D1590" s="8"/>
      <c r="E1590" s="8"/>
      <c r="F1590" s="8"/>
      <c r="G1590" s="8"/>
      <c r="H1590" s="8"/>
      <c r="I1590" s="8"/>
      <c r="J1590" s="8"/>
      <c r="K1590" s="8"/>
      <c r="L1590" s="56"/>
      <c r="M1590" s="26"/>
      <c r="N1590" s="26"/>
      <c r="O1590" s="8"/>
      <c r="P1590" s="1"/>
      <c r="Q1590" s="8"/>
      <c r="R1590" s="8"/>
      <c r="S1590" s="1"/>
      <c r="T1590" s="8"/>
      <c r="U1590" s="8"/>
      <c r="V1590" s="16"/>
      <c r="W1590" s="1"/>
      <c r="X1590" s="1"/>
    </row>
    <row r="1591" spans="1:24" ht="14.4">
      <c r="A1591" s="1"/>
      <c r="B1591" s="8"/>
      <c r="C1591" s="8"/>
      <c r="D1591" s="8"/>
      <c r="E1591" s="8"/>
      <c r="F1591" s="8"/>
      <c r="G1591" s="8"/>
      <c r="H1591" s="8"/>
      <c r="I1591" s="8"/>
      <c r="J1591" s="8"/>
      <c r="K1591" s="8"/>
      <c r="L1591" s="56"/>
      <c r="M1591" s="26"/>
      <c r="N1591" s="26"/>
      <c r="O1591" s="8"/>
      <c r="P1591" s="1"/>
      <c r="Q1591" s="8"/>
      <c r="R1591" s="8"/>
      <c r="S1591" s="1"/>
      <c r="T1591" s="8"/>
      <c r="U1591" s="8"/>
      <c r="V1591" s="16"/>
      <c r="W1591" s="1"/>
      <c r="X1591" s="1"/>
    </row>
    <row r="1592" spans="1:24" ht="14.4">
      <c r="A1592" s="1"/>
      <c r="B1592" s="8"/>
      <c r="C1592" s="8"/>
      <c r="D1592" s="8"/>
      <c r="E1592" s="8"/>
      <c r="F1592" s="8"/>
      <c r="G1592" s="8"/>
      <c r="H1592" s="8"/>
      <c r="I1592" s="8"/>
      <c r="J1592" s="8"/>
      <c r="K1592" s="8"/>
      <c r="L1592" s="56"/>
      <c r="M1592" s="26"/>
      <c r="N1592" s="26"/>
      <c r="O1592" s="8"/>
      <c r="P1592" s="1"/>
      <c r="Q1592" s="8"/>
      <c r="R1592" s="8"/>
      <c r="S1592" s="1"/>
      <c r="T1592" s="8"/>
      <c r="U1592" s="8"/>
      <c r="V1592" s="16"/>
      <c r="W1592" s="1"/>
      <c r="X1592" s="1"/>
    </row>
    <row r="1593" spans="1:24" ht="14.4">
      <c r="A1593" s="1"/>
      <c r="B1593" s="8"/>
      <c r="C1593" s="8"/>
      <c r="D1593" s="8"/>
      <c r="E1593" s="8"/>
      <c r="F1593" s="8"/>
      <c r="G1593" s="8"/>
      <c r="H1593" s="8"/>
      <c r="I1593" s="8"/>
      <c r="J1593" s="8"/>
      <c r="K1593" s="8"/>
      <c r="L1593" s="56"/>
      <c r="M1593" s="26"/>
      <c r="N1593" s="26"/>
      <c r="O1593" s="8"/>
      <c r="P1593" s="1"/>
      <c r="Q1593" s="8"/>
      <c r="R1593" s="8"/>
      <c r="S1593" s="1"/>
      <c r="T1593" s="8"/>
      <c r="U1593" s="8"/>
      <c r="V1593" s="16"/>
      <c r="W1593" s="1"/>
      <c r="X1593" s="1"/>
    </row>
    <row r="1594" spans="1:24" ht="14.4">
      <c r="A1594" s="1"/>
      <c r="B1594" s="8"/>
      <c r="C1594" s="8"/>
      <c r="D1594" s="8"/>
      <c r="E1594" s="8"/>
      <c r="F1594" s="8"/>
      <c r="G1594" s="8"/>
      <c r="H1594" s="8"/>
      <c r="I1594" s="8"/>
      <c r="J1594" s="8"/>
      <c r="K1594" s="8"/>
      <c r="L1594" s="56"/>
      <c r="M1594" s="26"/>
      <c r="N1594" s="26"/>
      <c r="O1594" s="8"/>
      <c r="P1594" s="1"/>
      <c r="Q1594" s="8"/>
      <c r="R1594" s="8"/>
      <c r="S1594" s="1"/>
      <c r="T1594" s="8"/>
      <c r="U1594" s="8"/>
      <c r="V1594" s="16"/>
      <c r="W1594" s="1"/>
      <c r="X1594" s="1"/>
    </row>
    <row r="1595" spans="1:24" ht="14.4">
      <c r="A1595" s="1"/>
      <c r="B1595" s="8"/>
      <c r="C1595" s="8"/>
      <c r="D1595" s="8"/>
      <c r="E1595" s="8"/>
      <c r="F1595" s="8"/>
      <c r="G1595" s="8"/>
      <c r="H1595" s="8"/>
      <c r="I1595" s="8"/>
      <c r="J1595" s="8"/>
      <c r="K1595" s="8"/>
      <c r="L1595" s="56"/>
      <c r="M1595" s="26"/>
      <c r="N1595" s="26"/>
      <c r="O1595" s="8"/>
      <c r="P1595" s="1"/>
      <c r="Q1595" s="8"/>
      <c r="R1595" s="8"/>
      <c r="S1595" s="1"/>
      <c r="T1595" s="8"/>
      <c r="U1595" s="8"/>
      <c r="V1595" s="16"/>
      <c r="W1595" s="1"/>
      <c r="X1595" s="1"/>
    </row>
    <row r="1596" spans="1:24" ht="14.4">
      <c r="A1596" s="1"/>
      <c r="B1596" s="8"/>
      <c r="C1596" s="8"/>
      <c r="D1596" s="8"/>
      <c r="E1596" s="8"/>
      <c r="F1596" s="8"/>
      <c r="G1596" s="8"/>
      <c r="H1596" s="8"/>
      <c r="I1596" s="8"/>
      <c r="J1596" s="8"/>
      <c r="K1596" s="8"/>
      <c r="L1596" s="56"/>
      <c r="M1596" s="26"/>
      <c r="N1596" s="26"/>
      <c r="O1596" s="8"/>
      <c r="P1596" s="1"/>
      <c r="Q1596" s="8"/>
      <c r="R1596" s="8"/>
      <c r="S1596" s="1"/>
      <c r="T1596" s="8"/>
      <c r="U1596" s="8"/>
      <c r="V1596" s="16"/>
      <c r="W1596" s="1"/>
      <c r="X1596" s="1"/>
    </row>
    <row r="1597" spans="1:24" ht="14.4">
      <c r="A1597" s="1"/>
      <c r="B1597" s="8"/>
      <c r="C1597" s="8"/>
      <c r="D1597" s="8"/>
      <c r="E1597" s="8"/>
      <c r="F1597" s="8"/>
      <c r="G1597" s="8"/>
      <c r="H1597" s="8"/>
      <c r="I1597" s="8"/>
      <c r="J1597" s="8"/>
      <c r="K1597" s="8"/>
      <c r="L1597" s="56"/>
      <c r="M1597" s="26"/>
      <c r="N1597" s="26"/>
      <c r="O1597" s="8"/>
      <c r="P1597" s="1"/>
      <c r="Q1597" s="8"/>
      <c r="R1597" s="8"/>
      <c r="S1597" s="1"/>
      <c r="T1597" s="8"/>
      <c r="U1597" s="8"/>
      <c r="V1597" s="16"/>
      <c r="W1597" s="1"/>
      <c r="X1597" s="1"/>
    </row>
    <row r="1598" spans="1:24" ht="14.4">
      <c r="A1598" s="1"/>
      <c r="B1598" s="8"/>
      <c r="C1598" s="8"/>
      <c r="D1598" s="8"/>
      <c r="E1598" s="8"/>
      <c r="F1598" s="8"/>
      <c r="G1598" s="8"/>
      <c r="H1598" s="8"/>
      <c r="I1598" s="8"/>
      <c r="J1598" s="8"/>
      <c r="K1598" s="8"/>
      <c r="L1598" s="56"/>
      <c r="M1598" s="26"/>
      <c r="N1598" s="26"/>
      <c r="O1598" s="8"/>
      <c r="P1598" s="1"/>
      <c r="Q1598" s="8"/>
      <c r="R1598" s="8"/>
      <c r="S1598" s="1"/>
      <c r="T1598" s="8"/>
      <c r="U1598" s="8"/>
      <c r="V1598" s="16"/>
      <c r="W1598" s="1"/>
      <c r="X1598" s="1"/>
    </row>
    <row r="1599" spans="1:24" ht="14.4">
      <c r="A1599" s="1"/>
      <c r="B1599" s="8"/>
      <c r="C1599" s="8"/>
      <c r="D1599" s="8"/>
      <c r="E1599" s="8"/>
      <c r="F1599" s="8"/>
      <c r="G1599" s="8"/>
      <c r="H1599" s="8"/>
      <c r="I1599" s="8"/>
      <c r="J1599" s="8"/>
      <c r="K1599" s="8"/>
      <c r="L1599" s="56"/>
      <c r="M1599" s="26"/>
      <c r="N1599" s="26"/>
      <c r="O1599" s="8"/>
      <c r="P1599" s="1"/>
      <c r="Q1599" s="8"/>
      <c r="R1599" s="8"/>
      <c r="S1599" s="1"/>
      <c r="T1599" s="8"/>
      <c r="U1599" s="8"/>
      <c r="V1599" s="16"/>
      <c r="W1599" s="1"/>
      <c r="X1599" s="1"/>
    </row>
    <row r="1600" spans="1:24" ht="14.4">
      <c r="A1600" s="1"/>
      <c r="B1600" s="8"/>
      <c r="C1600" s="8"/>
      <c r="D1600" s="8"/>
      <c r="E1600" s="8"/>
      <c r="F1600" s="8"/>
      <c r="G1600" s="8"/>
      <c r="H1600" s="8"/>
      <c r="I1600" s="8"/>
      <c r="J1600" s="8"/>
      <c r="K1600" s="8"/>
      <c r="L1600" s="56"/>
      <c r="M1600" s="26"/>
      <c r="N1600" s="26"/>
      <c r="O1600" s="8"/>
      <c r="P1600" s="1"/>
      <c r="Q1600" s="8"/>
      <c r="R1600" s="8"/>
      <c r="S1600" s="1"/>
      <c r="T1600" s="8"/>
      <c r="U1600" s="8"/>
      <c r="V1600" s="16"/>
      <c r="W1600" s="1"/>
      <c r="X1600" s="1"/>
    </row>
    <row r="1601" spans="1:24" ht="14.4">
      <c r="A1601" s="1"/>
      <c r="B1601" s="8"/>
      <c r="C1601" s="8"/>
      <c r="D1601" s="8"/>
      <c r="E1601" s="8"/>
      <c r="F1601" s="8"/>
      <c r="G1601" s="8"/>
      <c r="H1601" s="8"/>
      <c r="I1601" s="8"/>
      <c r="J1601" s="8"/>
      <c r="K1601" s="8"/>
      <c r="L1601" s="56"/>
      <c r="M1601" s="26"/>
      <c r="N1601" s="26"/>
      <c r="O1601" s="8"/>
      <c r="P1601" s="1"/>
      <c r="Q1601" s="8"/>
      <c r="R1601" s="8"/>
      <c r="S1601" s="1"/>
      <c r="T1601" s="8"/>
      <c r="U1601" s="8"/>
      <c r="V1601" s="16"/>
      <c r="W1601" s="1"/>
      <c r="X1601" s="1"/>
    </row>
    <row r="1602" spans="1:24" ht="14.4">
      <c r="A1602" s="1"/>
      <c r="B1602" s="8"/>
      <c r="C1602" s="8"/>
      <c r="D1602" s="8"/>
      <c r="E1602" s="8"/>
      <c r="F1602" s="8"/>
      <c r="G1602" s="8"/>
      <c r="H1602" s="8"/>
      <c r="I1602" s="8"/>
      <c r="J1602" s="8"/>
      <c r="K1602" s="8"/>
      <c r="L1602" s="56"/>
      <c r="M1602" s="26"/>
      <c r="N1602" s="26"/>
      <c r="O1602" s="8"/>
      <c r="P1602" s="1"/>
      <c r="Q1602" s="8"/>
      <c r="R1602" s="8"/>
      <c r="S1602" s="1"/>
      <c r="T1602" s="8"/>
      <c r="U1602" s="8"/>
      <c r="V1602" s="16"/>
      <c r="W1602" s="1"/>
      <c r="X1602" s="1"/>
    </row>
    <row r="1603" spans="1:24" ht="14.4">
      <c r="A1603" s="1"/>
      <c r="B1603" s="8"/>
      <c r="C1603" s="8"/>
      <c r="D1603" s="8"/>
      <c r="E1603" s="8"/>
      <c r="F1603" s="8"/>
      <c r="G1603" s="8"/>
      <c r="H1603" s="8"/>
      <c r="I1603" s="8"/>
      <c r="J1603" s="8"/>
      <c r="K1603" s="8"/>
      <c r="L1603" s="56"/>
      <c r="M1603" s="26"/>
      <c r="N1603" s="26"/>
      <c r="O1603" s="8"/>
      <c r="P1603" s="1"/>
      <c r="Q1603" s="8"/>
      <c r="R1603" s="8"/>
      <c r="S1603" s="1"/>
      <c r="T1603" s="8"/>
      <c r="U1603" s="8"/>
      <c r="V1603" s="16"/>
      <c r="W1603" s="1"/>
      <c r="X1603" s="1"/>
    </row>
    <row r="1604" spans="1:24" ht="14.4">
      <c r="A1604" s="1"/>
      <c r="B1604" s="8"/>
      <c r="C1604" s="8"/>
      <c r="D1604" s="8"/>
      <c r="E1604" s="8"/>
      <c r="F1604" s="8"/>
      <c r="G1604" s="8"/>
      <c r="H1604" s="8"/>
      <c r="I1604" s="8"/>
      <c r="J1604" s="8"/>
      <c r="K1604" s="8"/>
      <c r="L1604" s="56"/>
      <c r="M1604" s="26"/>
      <c r="N1604" s="26"/>
      <c r="O1604" s="8"/>
      <c r="P1604" s="1"/>
      <c r="Q1604" s="8"/>
      <c r="R1604" s="8"/>
      <c r="S1604" s="1"/>
      <c r="T1604" s="8"/>
      <c r="U1604" s="8"/>
      <c r="V1604" s="16"/>
      <c r="W1604" s="1"/>
      <c r="X1604" s="1"/>
    </row>
    <row r="1605" spans="1:24" ht="14.4">
      <c r="A1605" s="1"/>
      <c r="B1605" s="8"/>
      <c r="C1605" s="8"/>
      <c r="D1605" s="8"/>
      <c r="E1605" s="8"/>
      <c r="F1605" s="8"/>
      <c r="G1605" s="8"/>
      <c r="H1605" s="8"/>
      <c r="I1605" s="8"/>
      <c r="J1605" s="8"/>
      <c r="K1605" s="8"/>
      <c r="L1605" s="56"/>
      <c r="M1605" s="26"/>
      <c r="N1605" s="26"/>
      <c r="O1605" s="8"/>
      <c r="P1605" s="1"/>
      <c r="Q1605" s="8"/>
      <c r="R1605" s="8"/>
      <c r="S1605" s="1"/>
      <c r="T1605" s="8"/>
      <c r="U1605" s="8"/>
      <c r="V1605" s="16"/>
      <c r="W1605" s="1"/>
      <c r="X1605" s="1"/>
    </row>
    <row r="1606" spans="1:24" ht="14.4">
      <c r="A1606" s="1"/>
      <c r="B1606" s="8"/>
      <c r="C1606" s="8"/>
      <c r="D1606" s="8"/>
      <c r="E1606" s="8"/>
      <c r="F1606" s="8"/>
      <c r="G1606" s="8"/>
      <c r="H1606" s="8"/>
      <c r="I1606" s="8"/>
      <c r="J1606" s="8"/>
      <c r="K1606" s="8"/>
      <c r="L1606" s="56"/>
      <c r="M1606" s="26"/>
      <c r="N1606" s="26"/>
      <c r="O1606" s="8"/>
      <c r="P1606" s="1"/>
      <c r="Q1606" s="8"/>
      <c r="R1606" s="8"/>
      <c r="S1606" s="1"/>
      <c r="T1606" s="8"/>
      <c r="U1606" s="8"/>
      <c r="V1606" s="16"/>
      <c r="W1606" s="1"/>
      <c r="X1606" s="1"/>
    </row>
    <row r="1607" spans="1:24" ht="14.4">
      <c r="A1607" s="1"/>
      <c r="B1607" s="8"/>
      <c r="C1607" s="8"/>
      <c r="D1607" s="8"/>
      <c r="E1607" s="8"/>
      <c r="F1607" s="8"/>
      <c r="G1607" s="8"/>
      <c r="H1607" s="8"/>
      <c r="I1607" s="8"/>
      <c r="J1607" s="8"/>
      <c r="K1607" s="8"/>
      <c r="L1607" s="56"/>
      <c r="M1607" s="26"/>
      <c r="N1607" s="26"/>
      <c r="O1607" s="8"/>
      <c r="P1607" s="1"/>
      <c r="Q1607" s="8"/>
      <c r="R1607" s="8"/>
      <c r="S1607" s="1"/>
      <c r="T1607" s="8"/>
      <c r="U1607" s="8"/>
      <c r="V1607" s="16"/>
      <c r="W1607" s="1"/>
      <c r="X1607" s="1"/>
    </row>
    <row r="1608" spans="1:24" ht="14.4">
      <c r="A1608" s="1"/>
      <c r="B1608" s="8"/>
      <c r="C1608" s="8"/>
      <c r="D1608" s="8"/>
      <c r="E1608" s="8"/>
      <c r="F1608" s="8"/>
      <c r="G1608" s="8"/>
      <c r="H1608" s="8"/>
      <c r="I1608" s="8"/>
      <c r="J1608" s="8"/>
      <c r="K1608" s="8"/>
      <c r="L1608" s="56"/>
      <c r="M1608" s="26"/>
      <c r="N1608" s="26"/>
      <c r="O1608" s="8"/>
      <c r="P1608" s="1"/>
      <c r="Q1608" s="8"/>
      <c r="R1608" s="8"/>
      <c r="S1608" s="1"/>
      <c r="T1608" s="8"/>
      <c r="U1608" s="8"/>
      <c r="V1608" s="16"/>
      <c r="W1608" s="1"/>
      <c r="X1608" s="1"/>
    </row>
    <row r="1609" spans="1:24" ht="14.4">
      <c r="A1609" s="1"/>
      <c r="B1609" s="8"/>
      <c r="C1609" s="8"/>
      <c r="D1609" s="8"/>
      <c r="E1609" s="8"/>
      <c r="F1609" s="8"/>
      <c r="G1609" s="8"/>
      <c r="H1609" s="8"/>
      <c r="I1609" s="8"/>
      <c r="J1609" s="8"/>
      <c r="K1609" s="8"/>
      <c r="L1609" s="56"/>
      <c r="M1609" s="26"/>
      <c r="N1609" s="26"/>
      <c r="O1609" s="8"/>
      <c r="P1609" s="1"/>
      <c r="Q1609" s="8"/>
      <c r="R1609" s="8"/>
      <c r="S1609" s="1"/>
      <c r="T1609" s="8"/>
      <c r="U1609" s="8"/>
      <c r="V1609" s="16"/>
      <c r="W1609" s="1"/>
      <c r="X1609" s="1"/>
    </row>
    <row r="1610" spans="1:24" ht="14.4">
      <c r="A1610" s="1"/>
      <c r="B1610" s="8"/>
      <c r="C1610" s="8"/>
      <c r="D1610" s="8"/>
      <c r="E1610" s="8"/>
      <c r="F1610" s="8"/>
      <c r="G1610" s="8"/>
      <c r="H1610" s="8"/>
      <c r="I1610" s="8"/>
      <c r="J1610" s="8"/>
      <c r="K1610" s="8"/>
      <c r="L1610" s="56"/>
      <c r="M1610" s="26"/>
      <c r="N1610" s="26"/>
      <c r="O1610" s="8"/>
      <c r="P1610" s="1"/>
      <c r="Q1610" s="8"/>
      <c r="R1610" s="8"/>
      <c r="S1610" s="1"/>
      <c r="T1610" s="8"/>
      <c r="U1610" s="8"/>
      <c r="V1610" s="16"/>
      <c r="W1610" s="1"/>
      <c r="X1610" s="1"/>
    </row>
    <row r="1611" spans="1:24" ht="14.4">
      <c r="A1611" s="1"/>
      <c r="B1611" s="8"/>
      <c r="C1611" s="8"/>
      <c r="D1611" s="8"/>
      <c r="E1611" s="8"/>
      <c r="F1611" s="8"/>
      <c r="G1611" s="8"/>
      <c r="H1611" s="8"/>
      <c r="I1611" s="8"/>
      <c r="J1611" s="8"/>
      <c r="K1611" s="8"/>
      <c r="L1611" s="56"/>
      <c r="M1611" s="26"/>
      <c r="N1611" s="26"/>
      <c r="O1611" s="8"/>
      <c r="P1611" s="1"/>
      <c r="Q1611" s="8"/>
      <c r="R1611" s="8"/>
      <c r="S1611" s="1"/>
      <c r="T1611" s="8"/>
      <c r="U1611" s="8"/>
      <c r="V1611" s="16"/>
      <c r="W1611" s="1"/>
      <c r="X1611" s="1"/>
    </row>
    <row r="1612" spans="1:24" ht="14.4">
      <c r="A1612" s="1"/>
      <c r="B1612" s="8"/>
      <c r="C1612" s="8"/>
      <c r="D1612" s="8"/>
      <c r="E1612" s="8"/>
      <c r="F1612" s="8"/>
      <c r="G1612" s="8"/>
      <c r="H1612" s="8"/>
      <c r="I1612" s="8"/>
      <c r="J1612" s="8"/>
      <c r="K1612" s="8"/>
      <c r="L1612" s="56"/>
      <c r="M1612" s="26"/>
      <c r="N1612" s="26"/>
      <c r="O1612" s="8"/>
      <c r="P1612" s="1"/>
      <c r="Q1612" s="8"/>
      <c r="R1612" s="8"/>
      <c r="S1612" s="1"/>
      <c r="T1612" s="8"/>
      <c r="U1612" s="8"/>
      <c r="V1612" s="16"/>
      <c r="W1612" s="1"/>
      <c r="X1612" s="1"/>
    </row>
    <row r="1613" spans="1:24" ht="14.4">
      <c r="A1613" s="1"/>
      <c r="B1613" s="8"/>
      <c r="C1613" s="8"/>
      <c r="D1613" s="8"/>
      <c r="E1613" s="8"/>
      <c r="F1613" s="8"/>
      <c r="G1613" s="8"/>
      <c r="H1613" s="8"/>
      <c r="I1613" s="8"/>
      <c r="J1613" s="8"/>
      <c r="K1613" s="8"/>
      <c r="L1613" s="56"/>
      <c r="M1613" s="26"/>
      <c r="N1613" s="26"/>
      <c r="O1613" s="8"/>
      <c r="P1613" s="1"/>
      <c r="Q1613" s="8"/>
      <c r="R1613" s="8"/>
      <c r="S1613" s="1"/>
      <c r="T1613" s="8"/>
      <c r="U1613" s="8"/>
      <c r="V1613" s="16"/>
      <c r="W1613" s="1"/>
      <c r="X1613" s="1"/>
    </row>
    <row r="1614" spans="1:24" ht="14.4">
      <c r="A1614" s="1"/>
      <c r="B1614" s="8"/>
      <c r="C1614" s="8"/>
      <c r="D1614" s="8"/>
      <c r="E1614" s="8"/>
      <c r="F1614" s="8"/>
      <c r="G1614" s="8"/>
      <c r="H1614" s="8"/>
      <c r="I1614" s="8"/>
      <c r="J1614" s="8"/>
      <c r="K1614" s="8"/>
      <c r="L1614" s="56"/>
      <c r="M1614" s="26"/>
      <c r="N1614" s="26"/>
      <c r="O1614" s="8"/>
      <c r="P1614" s="1"/>
      <c r="Q1614" s="8"/>
      <c r="R1614" s="8"/>
      <c r="S1614" s="1"/>
      <c r="T1614" s="8"/>
      <c r="U1614" s="8"/>
      <c r="V1614" s="16"/>
      <c r="W1614" s="1"/>
      <c r="X1614" s="1"/>
    </row>
    <row r="1615" spans="1:24" ht="14.4">
      <c r="A1615" s="1"/>
      <c r="B1615" s="8"/>
      <c r="C1615" s="8"/>
      <c r="D1615" s="8"/>
      <c r="E1615" s="8"/>
      <c r="F1615" s="8"/>
      <c r="G1615" s="8"/>
      <c r="H1615" s="8"/>
      <c r="I1615" s="8"/>
      <c r="J1615" s="8"/>
      <c r="K1615" s="8"/>
      <c r="L1615" s="56"/>
      <c r="M1615" s="26"/>
      <c r="N1615" s="26"/>
      <c r="O1615" s="8"/>
      <c r="P1615" s="1"/>
      <c r="Q1615" s="8"/>
      <c r="R1615" s="8"/>
      <c r="S1615" s="1"/>
      <c r="T1615" s="8"/>
      <c r="U1615" s="8"/>
      <c r="V1615" s="16"/>
      <c r="W1615" s="1"/>
      <c r="X1615" s="1"/>
    </row>
    <row r="1616" spans="1:24" ht="14.4">
      <c r="A1616" s="1"/>
      <c r="B1616" s="8"/>
      <c r="C1616" s="8"/>
      <c r="D1616" s="8"/>
      <c r="E1616" s="8"/>
      <c r="F1616" s="8"/>
      <c r="G1616" s="8"/>
      <c r="H1616" s="8"/>
      <c r="I1616" s="8"/>
      <c r="J1616" s="8"/>
      <c r="K1616" s="8"/>
      <c r="L1616" s="56"/>
      <c r="M1616" s="26"/>
      <c r="N1616" s="26"/>
      <c r="O1616" s="8"/>
      <c r="P1616" s="1"/>
      <c r="Q1616" s="8"/>
      <c r="R1616" s="8"/>
      <c r="S1616" s="1"/>
      <c r="T1616" s="8"/>
      <c r="U1616" s="8"/>
      <c r="V1616" s="16"/>
      <c r="W1616" s="1"/>
      <c r="X1616" s="1"/>
    </row>
    <row r="1617" spans="1:24" ht="14.4">
      <c r="A1617" s="1"/>
      <c r="B1617" s="8"/>
      <c r="C1617" s="8"/>
      <c r="D1617" s="8"/>
      <c r="E1617" s="8"/>
      <c r="F1617" s="8"/>
      <c r="G1617" s="8"/>
      <c r="H1617" s="8"/>
      <c r="I1617" s="8"/>
      <c r="J1617" s="8"/>
      <c r="K1617" s="8"/>
      <c r="L1617" s="56"/>
      <c r="M1617" s="26"/>
      <c r="N1617" s="26"/>
      <c r="O1617" s="8"/>
      <c r="P1617" s="1"/>
      <c r="Q1617" s="8"/>
      <c r="R1617" s="8"/>
      <c r="S1617" s="1"/>
      <c r="T1617" s="8"/>
      <c r="U1617" s="8"/>
      <c r="V1617" s="16"/>
      <c r="W1617" s="1"/>
      <c r="X1617" s="1"/>
    </row>
    <row r="1618" spans="1:24" ht="14.4">
      <c r="A1618" s="1"/>
      <c r="B1618" s="8"/>
      <c r="C1618" s="8"/>
      <c r="D1618" s="8"/>
      <c r="E1618" s="8"/>
      <c r="F1618" s="8"/>
      <c r="G1618" s="8"/>
      <c r="H1618" s="8"/>
      <c r="I1618" s="8"/>
      <c r="J1618" s="8"/>
      <c r="K1618" s="8"/>
      <c r="L1618" s="56"/>
      <c r="M1618" s="26"/>
      <c r="N1618" s="26"/>
      <c r="O1618" s="8"/>
      <c r="P1618" s="1"/>
      <c r="Q1618" s="8"/>
      <c r="R1618" s="8"/>
      <c r="S1618" s="1"/>
      <c r="T1618" s="8"/>
      <c r="U1618" s="8"/>
      <c r="V1618" s="16"/>
      <c r="W1618" s="1"/>
      <c r="X1618" s="1"/>
    </row>
    <row r="1619" spans="1:24" ht="14.4">
      <c r="A1619" s="1"/>
      <c r="B1619" s="8"/>
      <c r="C1619" s="8"/>
      <c r="D1619" s="8"/>
      <c r="E1619" s="8"/>
      <c r="F1619" s="8"/>
      <c r="G1619" s="8"/>
      <c r="H1619" s="8"/>
      <c r="I1619" s="8"/>
      <c r="J1619" s="8"/>
      <c r="K1619" s="8"/>
      <c r="L1619" s="56"/>
      <c r="M1619" s="26"/>
      <c r="N1619" s="26"/>
      <c r="O1619" s="8"/>
      <c r="P1619" s="1"/>
      <c r="Q1619" s="8"/>
      <c r="R1619" s="8"/>
      <c r="S1619" s="1"/>
      <c r="T1619" s="8"/>
      <c r="U1619" s="8"/>
      <c r="V1619" s="16"/>
      <c r="W1619" s="1"/>
      <c r="X1619" s="1"/>
    </row>
    <row r="1620" spans="1:24" ht="14.4">
      <c r="A1620" s="1"/>
      <c r="B1620" s="8"/>
      <c r="C1620" s="8"/>
      <c r="D1620" s="8"/>
      <c r="E1620" s="8"/>
      <c r="F1620" s="8"/>
      <c r="G1620" s="8"/>
      <c r="H1620" s="8"/>
      <c r="I1620" s="8"/>
      <c r="J1620" s="8"/>
      <c r="K1620" s="8"/>
      <c r="L1620" s="56"/>
      <c r="M1620" s="26"/>
      <c r="N1620" s="26"/>
      <c r="O1620" s="8"/>
      <c r="P1620" s="1"/>
      <c r="Q1620" s="8"/>
      <c r="R1620" s="8"/>
      <c r="S1620" s="1"/>
      <c r="T1620" s="8"/>
      <c r="U1620" s="8"/>
      <c r="V1620" s="16"/>
      <c r="W1620" s="1"/>
      <c r="X1620" s="1"/>
    </row>
    <row r="1621" spans="1:24" ht="14.4">
      <c r="A1621" s="1"/>
      <c r="B1621" s="8"/>
      <c r="C1621" s="8"/>
      <c r="D1621" s="8"/>
      <c r="E1621" s="8"/>
      <c r="F1621" s="8"/>
      <c r="G1621" s="8"/>
      <c r="H1621" s="8"/>
      <c r="I1621" s="8"/>
      <c r="J1621" s="8"/>
      <c r="K1621" s="8"/>
      <c r="L1621" s="56"/>
      <c r="M1621" s="26"/>
      <c r="N1621" s="26"/>
      <c r="O1621" s="8"/>
      <c r="P1621" s="1"/>
      <c r="Q1621" s="8"/>
      <c r="R1621" s="8"/>
      <c r="S1621" s="1"/>
      <c r="T1621" s="8"/>
      <c r="U1621" s="8"/>
      <c r="V1621" s="16"/>
      <c r="W1621" s="1"/>
      <c r="X1621" s="1"/>
    </row>
    <row r="1622" spans="1:24" ht="14.4">
      <c r="A1622" s="1"/>
      <c r="B1622" s="8"/>
      <c r="C1622" s="8"/>
      <c r="D1622" s="8"/>
      <c r="E1622" s="8"/>
      <c r="F1622" s="8"/>
      <c r="G1622" s="8"/>
      <c r="H1622" s="8"/>
      <c r="I1622" s="8"/>
      <c r="J1622" s="8"/>
      <c r="K1622" s="8"/>
      <c r="L1622" s="56"/>
      <c r="M1622" s="26"/>
      <c r="N1622" s="26"/>
      <c r="O1622" s="8"/>
      <c r="P1622" s="1"/>
      <c r="Q1622" s="8"/>
      <c r="R1622" s="8"/>
      <c r="S1622" s="1"/>
      <c r="T1622" s="8"/>
      <c r="U1622" s="8"/>
      <c r="V1622" s="16"/>
      <c r="W1622" s="1"/>
      <c r="X1622" s="1"/>
    </row>
    <row r="1623" spans="1:24" ht="14.4">
      <c r="A1623" s="1"/>
      <c r="B1623" s="8"/>
      <c r="C1623" s="8"/>
      <c r="D1623" s="8"/>
      <c r="E1623" s="8"/>
      <c r="F1623" s="8"/>
      <c r="G1623" s="8"/>
      <c r="H1623" s="8"/>
      <c r="I1623" s="8"/>
      <c r="J1623" s="8"/>
      <c r="K1623" s="8"/>
      <c r="L1623" s="56"/>
      <c r="M1623" s="26"/>
      <c r="N1623" s="26"/>
      <c r="O1623" s="8"/>
      <c r="P1623" s="1"/>
      <c r="Q1623" s="8"/>
      <c r="R1623" s="8"/>
      <c r="S1623" s="1"/>
      <c r="T1623" s="8"/>
      <c r="U1623" s="8"/>
      <c r="V1623" s="16"/>
      <c r="W1623" s="1"/>
      <c r="X1623" s="1"/>
    </row>
    <row r="1624" spans="1:24" ht="14.4">
      <c r="A1624" s="1"/>
      <c r="B1624" s="8"/>
      <c r="C1624" s="8"/>
      <c r="D1624" s="8"/>
      <c r="E1624" s="8"/>
      <c r="F1624" s="8"/>
      <c r="G1624" s="8"/>
      <c r="H1624" s="8"/>
      <c r="I1624" s="8"/>
      <c r="J1624" s="8"/>
      <c r="K1624" s="8"/>
      <c r="L1624" s="56"/>
      <c r="M1624" s="26"/>
      <c r="N1624" s="26"/>
      <c r="O1624" s="8"/>
      <c r="P1624" s="1"/>
      <c r="Q1624" s="8"/>
      <c r="R1624" s="8"/>
      <c r="S1624" s="1"/>
      <c r="T1624" s="8"/>
      <c r="U1624" s="8"/>
      <c r="V1624" s="16"/>
      <c r="W1624" s="1"/>
      <c r="X1624" s="1"/>
    </row>
    <row r="1625" spans="1:24" ht="14.4">
      <c r="A1625" s="1"/>
      <c r="B1625" s="8"/>
      <c r="C1625" s="8"/>
      <c r="D1625" s="8"/>
      <c r="E1625" s="8"/>
      <c r="F1625" s="8"/>
      <c r="G1625" s="8"/>
      <c r="H1625" s="8"/>
      <c r="I1625" s="8"/>
      <c r="J1625" s="8"/>
      <c r="K1625" s="8"/>
      <c r="L1625" s="56"/>
      <c r="M1625" s="26"/>
      <c r="N1625" s="26"/>
      <c r="O1625" s="8"/>
      <c r="P1625" s="1"/>
      <c r="Q1625" s="8"/>
      <c r="R1625" s="8"/>
      <c r="S1625" s="1"/>
      <c r="T1625" s="8"/>
      <c r="U1625" s="8"/>
      <c r="V1625" s="16"/>
      <c r="W1625" s="1"/>
      <c r="X1625" s="1"/>
    </row>
    <row r="1626" spans="1:24" ht="14.4">
      <c r="A1626" s="1"/>
      <c r="B1626" s="8"/>
      <c r="C1626" s="8"/>
      <c r="D1626" s="8"/>
      <c r="E1626" s="8"/>
      <c r="F1626" s="8"/>
      <c r="G1626" s="8"/>
      <c r="H1626" s="8"/>
      <c r="I1626" s="8"/>
      <c r="J1626" s="8"/>
      <c r="K1626" s="8"/>
      <c r="L1626" s="56"/>
      <c r="M1626" s="26"/>
      <c r="N1626" s="26"/>
      <c r="O1626" s="8"/>
      <c r="P1626" s="1"/>
      <c r="Q1626" s="8"/>
      <c r="R1626" s="8"/>
      <c r="S1626" s="1"/>
      <c r="T1626" s="8"/>
      <c r="U1626" s="8"/>
      <c r="V1626" s="16"/>
      <c r="W1626" s="1"/>
      <c r="X1626" s="1"/>
    </row>
    <row r="1627" spans="1:24" ht="14.4">
      <c r="A1627" s="1"/>
      <c r="B1627" s="8"/>
      <c r="C1627" s="8"/>
      <c r="D1627" s="8"/>
      <c r="E1627" s="8"/>
      <c r="F1627" s="8"/>
      <c r="G1627" s="8"/>
      <c r="H1627" s="8"/>
      <c r="I1627" s="8"/>
      <c r="J1627" s="8"/>
      <c r="K1627" s="8"/>
      <c r="L1627" s="56"/>
      <c r="M1627" s="26"/>
      <c r="N1627" s="26"/>
      <c r="O1627" s="8"/>
      <c r="P1627" s="1"/>
      <c r="Q1627" s="8"/>
      <c r="R1627" s="8"/>
      <c r="S1627" s="1"/>
      <c r="T1627" s="8"/>
      <c r="U1627" s="8"/>
      <c r="V1627" s="16"/>
      <c r="W1627" s="1"/>
      <c r="X1627" s="1"/>
    </row>
    <row r="1628" spans="1:24" ht="14.4">
      <c r="A1628" s="1"/>
      <c r="B1628" s="8"/>
      <c r="C1628" s="8"/>
      <c r="D1628" s="8"/>
      <c r="E1628" s="8"/>
      <c r="F1628" s="8"/>
      <c r="G1628" s="8"/>
      <c r="H1628" s="8"/>
      <c r="I1628" s="8"/>
      <c r="J1628" s="8"/>
      <c r="K1628" s="8"/>
      <c r="L1628" s="56"/>
      <c r="M1628" s="26"/>
      <c r="N1628" s="26"/>
      <c r="O1628" s="8"/>
      <c r="P1628" s="1"/>
      <c r="Q1628" s="8"/>
      <c r="R1628" s="8"/>
      <c r="S1628" s="1"/>
      <c r="T1628" s="8"/>
      <c r="U1628" s="8"/>
      <c r="V1628" s="16"/>
      <c r="W1628" s="1"/>
      <c r="X1628" s="1"/>
    </row>
    <row r="1629" spans="1:24" ht="14.4">
      <c r="A1629" s="1"/>
      <c r="B1629" s="8"/>
      <c r="C1629" s="8"/>
      <c r="D1629" s="8"/>
      <c r="E1629" s="8"/>
      <c r="F1629" s="8"/>
      <c r="G1629" s="8"/>
      <c r="H1629" s="8"/>
      <c r="I1629" s="8"/>
      <c r="J1629" s="8"/>
      <c r="K1629" s="8"/>
      <c r="L1629" s="56"/>
      <c r="M1629" s="26"/>
      <c r="N1629" s="26"/>
      <c r="O1629" s="8"/>
      <c r="P1629" s="1"/>
      <c r="Q1629" s="8"/>
      <c r="R1629" s="8"/>
      <c r="S1629" s="1"/>
      <c r="T1629" s="8"/>
      <c r="U1629" s="8"/>
      <c r="V1629" s="16"/>
      <c r="W1629" s="1"/>
      <c r="X1629" s="1"/>
    </row>
    <row r="1630" spans="1:24" ht="14.4">
      <c r="A1630" s="1"/>
      <c r="B1630" s="8"/>
      <c r="C1630" s="8"/>
      <c r="D1630" s="8"/>
      <c r="E1630" s="8"/>
      <c r="F1630" s="8"/>
      <c r="G1630" s="8"/>
      <c r="H1630" s="8"/>
      <c r="I1630" s="8"/>
      <c r="J1630" s="8"/>
      <c r="K1630" s="8"/>
      <c r="L1630" s="56"/>
      <c r="M1630" s="26"/>
      <c r="N1630" s="26"/>
      <c r="O1630" s="8"/>
      <c r="P1630" s="1"/>
      <c r="Q1630" s="8"/>
      <c r="R1630" s="8"/>
      <c r="S1630" s="1"/>
      <c r="T1630" s="8"/>
      <c r="U1630" s="8"/>
      <c r="V1630" s="16"/>
      <c r="W1630" s="1"/>
      <c r="X1630" s="1"/>
    </row>
    <row r="1631" spans="1:24" ht="14.4">
      <c r="A1631" s="1"/>
      <c r="B1631" s="8"/>
      <c r="C1631" s="8"/>
      <c r="D1631" s="8"/>
      <c r="E1631" s="8"/>
      <c r="F1631" s="8"/>
      <c r="G1631" s="8"/>
      <c r="H1631" s="8"/>
      <c r="I1631" s="8"/>
      <c r="J1631" s="8"/>
      <c r="K1631" s="8"/>
      <c r="L1631" s="56"/>
      <c r="M1631" s="26"/>
      <c r="N1631" s="26"/>
      <c r="O1631" s="8"/>
      <c r="P1631" s="1"/>
      <c r="Q1631" s="8"/>
      <c r="R1631" s="8"/>
      <c r="S1631" s="1"/>
      <c r="T1631" s="8"/>
      <c r="U1631" s="8"/>
      <c r="V1631" s="16"/>
      <c r="W1631" s="1"/>
      <c r="X1631" s="1"/>
    </row>
    <row r="1632" spans="1:24" ht="14.4">
      <c r="A1632" s="1"/>
      <c r="B1632" s="8"/>
      <c r="C1632" s="8"/>
      <c r="D1632" s="8"/>
      <c r="E1632" s="8"/>
      <c r="F1632" s="8"/>
      <c r="G1632" s="8"/>
      <c r="H1632" s="8"/>
      <c r="I1632" s="8"/>
      <c r="J1632" s="8"/>
      <c r="K1632" s="8"/>
      <c r="L1632" s="56"/>
      <c r="M1632" s="26"/>
      <c r="N1632" s="26"/>
      <c r="O1632" s="8"/>
      <c r="P1632" s="1"/>
      <c r="Q1632" s="8"/>
      <c r="R1632" s="8"/>
      <c r="S1632" s="1"/>
      <c r="T1632" s="8"/>
      <c r="U1632" s="8"/>
      <c r="V1632" s="16"/>
      <c r="W1632" s="1"/>
      <c r="X1632" s="1"/>
    </row>
    <row r="1633" spans="1:24" ht="14.4">
      <c r="A1633" s="1"/>
      <c r="B1633" s="8"/>
      <c r="C1633" s="8"/>
      <c r="D1633" s="8"/>
      <c r="E1633" s="8"/>
      <c r="F1633" s="8"/>
      <c r="G1633" s="8"/>
      <c r="H1633" s="8"/>
      <c r="I1633" s="8"/>
      <c r="J1633" s="8"/>
      <c r="K1633" s="8"/>
      <c r="L1633" s="56"/>
      <c r="M1633" s="26"/>
      <c r="N1633" s="26"/>
      <c r="O1633" s="8"/>
      <c r="P1633" s="1"/>
      <c r="Q1633" s="8"/>
      <c r="R1633" s="8"/>
      <c r="S1633" s="1"/>
      <c r="T1633" s="8"/>
      <c r="U1633" s="8"/>
      <c r="V1633" s="16"/>
      <c r="W1633" s="1"/>
      <c r="X1633" s="1"/>
    </row>
    <row r="1634" spans="1:24" ht="14.4">
      <c r="A1634" s="1"/>
      <c r="B1634" s="8"/>
      <c r="C1634" s="8"/>
      <c r="D1634" s="8"/>
      <c r="E1634" s="8"/>
      <c r="F1634" s="8"/>
      <c r="G1634" s="8"/>
      <c r="H1634" s="8"/>
      <c r="I1634" s="8"/>
      <c r="J1634" s="8"/>
      <c r="K1634" s="8"/>
      <c r="L1634" s="56"/>
      <c r="M1634" s="26"/>
      <c r="N1634" s="26"/>
      <c r="O1634" s="8"/>
      <c r="P1634" s="1"/>
      <c r="Q1634" s="8"/>
      <c r="R1634" s="8"/>
      <c r="S1634" s="1"/>
      <c r="T1634" s="8"/>
      <c r="U1634" s="8"/>
      <c r="V1634" s="16"/>
      <c r="W1634" s="1"/>
      <c r="X1634" s="1"/>
    </row>
    <row r="1635" spans="1:24" ht="14.4">
      <c r="A1635" s="1"/>
      <c r="B1635" s="8"/>
      <c r="C1635" s="8"/>
      <c r="D1635" s="8"/>
      <c r="E1635" s="8"/>
      <c r="F1635" s="8"/>
      <c r="G1635" s="8"/>
      <c r="H1635" s="8"/>
      <c r="I1635" s="8"/>
      <c r="J1635" s="8"/>
      <c r="K1635" s="8"/>
      <c r="L1635" s="56"/>
      <c r="M1635" s="26"/>
      <c r="N1635" s="26"/>
      <c r="O1635" s="8"/>
      <c r="P1635" s="1"/>
      <c r="Q1635" s="8"/>
      <c r="R1635" s="8"/>
      <c r="S1635" s="1"/>
      <c r="T1635" s="8"/>
      <c r="U1635" s="8"/>
      <c r="V1635" s="16"/>
      <c r="W1635" s="1"/>
      <c r="X1635" s="1"/>
    </row>
    <row r="1636" spans="1:24" ht="14.4">
      <c r="A1636" s="1"/>
      <c r="B1636" s="8"/>
      <c r="C1636" s="8"/>
      <c r="D1636" s="8"/>
      <c r="E1636" s="8"/>
      <c r="F1636" s="8"/>
      <c r="G1636" s="8"/>
      <c r="H1636" s="8"/>
      <c r="I1636" s="8"/>
      <c r="J1636" s="8"/>
      <c r="K1636" s="8"/>
      <c r="L1636" s="56"/>
      <c r="M1636" s="26"/>
      <c r="N1636" s="26"/>
      <c r="O1636" s="8"/>
      <c r="P1636" s="1"/>
      <c r="Q1636" s="8"/>
      <c r="R1636" s="8"/>
      <c r="S1636" s="1"/>
      <c r="T1636" s="8"/>
      <c r="U1636" s="8"/>
      <c r="V1636" s="16"/>
      <c r="W1636" s="1"/>
      <c r="X1636" s="1"/>
    </row>
    <row r="1637" spans="1:24" ht="14.4">
      <c r="A1637" s="1"/>
      <c r="B1637" s="8"/>
      <c r="C1637" s="8"/>
      <c r="D1637" s="8"/>
      <c r="E1637" s="8"/>
      <c r="F1637" s="8"/>
      <c r="G1637" s="8"/>
      <c r="H1637" s="8"/>
      <c r="I1637" s="8"/>
      <c r="J1637" s="8"/>
      <c r="K1637" s="8"/>
      <c r="L1637" s="56"/>
      <c r="M1637" s="26"/>
      <c r="N1637" s="26"/>
      <c r="O1637" s="8"/>
      <c r="P1637" s="1"/>
      <c r="Q1637" s="8"/>
      <c r="R1637" s="8"/>
      <c r="S1637" s="1"/>
      <c r="T1637" s="8"/>
      <c r="U1637" s="8"/>
      <c r="V1637" s="16"/>
      <c r="W1637" s="1"/>
      <c r="X1637" s="1"/>
    </row>
    <row r="1638" spans="1:24" ht="14.4">
      <c r="A1638" s="1"/>
      <c r="B1638" s="8"/>
      <c r="C1638" s="8"/>
      <c r="D1638" s="8"/>
      <c r="E1638" s="8"/>
      <c r="F1638" s="8"/>
      <c r="G1638" s="8"/>
      <c r="H1638" s="8"/>
      <c r="I1638" s="8"/>
      <c r="J1638" s="8"/>
      <c r="K1638" s="8"/>
      <c r="L1638" s="56"/>
      <c r="M1638" s="26"/>
      <c r="N1638" s="26"/>
      <c r="O1638" s="8"/>
      <c r="P1638" s="1"/>
      <c r="Q1638" s="8"/>
      <c r="R1638" s="8"/>
      <c r="S1638" s="1"/>
      <c r="T1638" s="8"/>
      <c r="U1638" s="8"/>
      <c r="V1638" s="16"/>
      <c r="W1638" s="1"/>
      <c r="X1638" s="1"/>
    </row>
    <row r="1639" spans="1:24" ht="14.4">
      <c r="A1639" s="1"/>
      <c r="B1639" s="8"/>
      <c r="C1639" s="8"/>
      <c r="D1639" s="8"/>
      <c r="E1639" s="8"/>
      <c r="F1639" s="8"/>
      <c r="G1639" s="8"/>
      <c r="H1639" s="8"/>
      <c r="I1639" s="8"/>
      <c r="J1639" s="8"/>
      <c r="K1639" s="8"/>
      <c r="L1639" s="56"/>
      <c r="M1639" s="26"/>
      <c r="N1639" s="26"/>
      <c r="O1639" s="8"/>
      <c r="P1639" s="1"/>
      <c r="Q1639" s="8"/>
      <c r="R1639" s="8"/>
      <c r="S1639" s="1"/>
      <c r="T1639" s="8"/>
      <c r="U1639" s="8"/>
      <c r="V1639" s="16"/>
      <c r="W1639" s="1"/>
      <c r="X1639" s="1"/>
    </row>
    <row r="1640" spans="1:24" ht="14.4">
      <c r="A1640" s="1"/>
      <c r="B1640" s="8"/>
      <c r="C1640" s="8"/>
      <c r="D1640" s="8"/>
      <c r="E1640" s="8"/>
      <c r="F1640" s="8"/>
      <c r="G1640" s="8"/>
      <c r="H1640" s="8"/>
      <c r="I1640" s="8"/>
      <c r="J1640" s="8"/>
      <c r="K1640" s="8"/>
      <c r="L1640" s="56"/>
      <c r="M1640" s="26"/>
      <c r="N1640" s="26"/>
      <c r="O1640" s="8"/>
      <c r="P1640" s="1"/>
      <c r="Q1640" s="8"/>
      <c r="R1640" s="8"/>
      <c r="S1640" s="1"/>
      <c r="T1640" s="8"/>
      <c r="U1640" s="8"/>
      <c r="V1640" s="16"/>
      <c r="W1640" s="1"/>
      <c r="X1640" s="1"/>
    </row>
    <row r="1641" spans="1:24" ht="14.4">
      <c r="A1641" s="1"/>
      <c r="B1641" s="8"/>
      <c r="C1641" s="8"/>
      <c r="D1641" s="8"/>
      <c r="E1641" s="8"/>
      <c r="F1641" s="8"/>
      <c r="G1641" s="8"/>
      <c r="H1641" s="8"/>
      <c r="I1641" s="8"/>
      <c r="J1641" s="8"/>
      <c r="K1641" s="8"/>
      <c r="L1641" s="56"/>
      <c r="M1641" s="26"/>
      <c r="N1641" s="26"/>
      <c r="O1641" s="8"/>
      <c r="P1641" s="1"/>
      <c r="Q1641" s="8"/>
      <c r="R1641" s="8"/>
      <c r="S1641" s="1"/>
      <c r="T1641" s="8"/>
      <c r="U1641" s="8"/>
      <c r="V1641" s="16"/>
      <c r="W1641" s="1"/>
      <c r="X1641" s="1"/>
    </row>
    <row r="1642" spans="1:24" ht="14.4">
      <c r="A1642" s="1"/>
      <c r="B1642" s="8"/>
      <c r="C1642" s="8"/>
      <c r="D1642" s="8"/>
      <c r="E1642" s="8"/>
      <c r="F1642" s="8"/>
      <c r="G1642" s="8"/>
      <c r="H1642" s="8"/>
      <c r="I1642" s="8"/>
      <c r="J1642" s="8"/>
      <c r="K1642" s="8"/>
      <c r="L1642" s="56"/>
      <c r="M1642" s="26"/>
      <c r="N1642" s="26"/>
      <c r="O1642" s="8"/>
      <c r="P1642" s="1"/>
      <c r="Q1642" s="8"/>
      <c r="R1642" s="8"/>
      <c r="S1642" s="1"/>
      <c r="T1642" s="8"/>
      <c r="U1642" s="8"/>
      <c r="V1642" s="16"/>
      <c r="W1642" s="1"/>
      <c r="X1642" s="1"/>
    </row>
    <row r="1643" spans="1:24" ht="14.4">
      <c r="A1643" s="1"/>
      <c r="B1643" s="8"/>
      <c r="C1643" s="8"/>
      <c r="D1643" s="8"/>
      <c r="E1643" s="8"/>
      <c r="F1643" s="8"/>
      <c r="G1643" s="8"/>
      <c r="H1643" s="8"/>
      <c r="I1643" s="8"/>
      <c r="J1643" s="8"/>
      <c r="K1643" s="8"/>
      <c r="L1643" s="56"/>
      <c r="M1643" s="26"/>
      <c r="N1643" s="26"/>
      <c r="O1643" s="8"/>
      <c r="P1643" s="1"/>
      <c r="Q1643" s="8"/>
      <c r="R1643" s="8"/>
      <c r="S1643" s="1"/>
      <c r="T1643" s="8"/>
      <c r="U1643" s="8"/>
      <c r="V1643" s="16"/>
      <c r="W1643" s="1"/>
      <c r="X1643" s="1"/>
    </row>
    <row r="1644" spans="1:24" ht="14.4">
      <c r="A1644" s="1"/>
      <c r="B1644" s="8"/>
      <c r="C1644" s="8"/>
      <c r="D1644" s="8"/>
      <c r="E1644" s="8"/>
      <c r="F1644" s="8"/>
      <c r="G1644" s="8"/>
      <c r="H1644" s="8"/>
      <c r="I1644" s="8"/>
      <c r="J1644" s="8"/>
      <c r="K1644" s="8"/>
      <c r="L1644" s="56"/>
      <c r="M1644" s="26"/>
      <c r="N1644" s="26"/>
      <c r="O1644" s="8"/>
      <c r="P1644" s="1"/>
      <c r="Q1644" s="8"/>
      <c r="R1644" s="8"/>
      <c r="S1644" s="1"/>
      <c r="T1644" s="8"/>
      <c r="U1644" s="8"/>
      <c r="V1644" s="16"/>
      <c r="W1644" s="1"/>
      <c r="X1644" s="1"/>
    </row>
    <row r="1645" spans="1:24" ht="14.4">
      <c r="A1645" s="1"/>
      <c r="B1645" s="8"/>
      <c r="C1645" s="8"/>
      <c r="D1645" s="8"/>
      <c r="E1645" s="8"/>
      <c r="F1645" s="8"/>
      <c r="G1645" s="8"/>
      <c r="H1645" s="8"/>
      <c r="I1645" s="8"/>
      <c r="J1645" s="8"/>
      <c r="K1645" s="8"/>
      <c r="L1645" s="56"/>
      <c r="M1645" s="26"/>
      <c r="N1645" s="26"/>
      <c r="O1645" s="8"/>
      <c r="P1645" s="1"/>
      <c r="Q1645" s="8"/>
      <c r="R1645" s="8"/>
      <c r="S1645" s="1"/>
      <c r="T1645" s="8"/>
      <c r="U1645" s="8"/>
      <c r="V1645" s="16"/>
      <c r="W1645" s="1"/>
      <c r="X1645" s="1"/>
    </row>
    <row r="1646" spans="1:24" ht="14.4">
      <c r="A1646" s="1"/>
      <c r="B1646" s="8"/>
      <c r="C1646" s="8"/>
      <c r="D1646" s="8"/>
      <c r="E1646" s="8"/>
      <c r="F1646" s="8"/>
      <c r="G1646" s="8"/>
      <c r="H1646" s="8"/>
      <c r="I1646" s="8"/>
      <c r="J1646" s="8"/>
      <c r="K1646" s="8"/>
      <c r="L1646" s="56"/>
      <c r="M1646" s="26"/>
      <c r="N1646" s="26"/>
      <c r="O1646" s="8"/>
      <c r="P1646" s="1"/>
      <c r="Q1646" s="8"/>
      <c r="R1646" s="8"/>
      <c r="S1646" s="1"/>
      <c r="T1646" s="8"/>
      <c r="U1646" s="8"/>
      <c r="V1646" s="16"/>
      <c r="W1646" s="1"/>
      <c r="X1646" s="1"/>
    </row>
    <row r="1647" spans="1:24" ht="14.4">
      <c r="A1647" s="1"/>
      <c r="B1647" s="8"/>
      <c r="C1647" s="8"/>
      <c r="D1647" s="8"/>
      <c r="E1647" s="8"/>
      <c r="F1647" s="8"/>
      <c r="G1647" s="8"/>
      <c r="H1647" s="8"/>
      <c r="I1647" s="8"/>
      <c r="J1647" s="8"/>
      <c r="K1647" s="8"/>
      <c r="L1647" s="56"/>
      <c r="M1647" s="26"/>
      <c r="N1647" s="26"/>
      <c r="O1647" s="8"/>
      <c r="P1647" s="1"/>
      <c r="Q1647" s="8"/>
      <c r="R1647" s="8"/>
      <c r="S1647" s="1"/>
      <c r="T1647" s="8"/>
      <c r="U1647" s="8"/>
      <c r="V1647" s="16"/>
      <c r="W1647" s="1"/>
      <c r="X1647" s="1"/>
    </row>
    <row r="1648" spans="1:24" ht="14.4">
      <c r="A1648" s="1"/>
      <c r="B1648" s="8"/>
      <c r="C1648" s="8"/>
      <c r="D1648" s="8"/>
      <c r="E1648" s="8"/>
      <c r="F1648" s="8"/>
      <c r="G1648" s="8"/>
      <c r="H1648" s="8"/>
      <c r="I1648" s="8"/>
      <c r="J1648" s="8"/>
      <c r="K1648" s="8"/>
      <c r="L1648" s="56"/>
      <c r="M1648" s="26"/>
      <c r="N1648" s="26"/>
      <c r="O1648" s="8"/>
      <c r="P1648" s="1"/>
      <c r="Q1648" s="8"/>
      <c r="R1648" s="8"/>
      <c r="S1648" s="1"/>
      <c r="T1648" s="8"/>
      <c r="U1648" s="8"/>
      <c r="V1648" s="16"/>
      <c r="W1648" s="1"/>
      <c r="X1648" s="1"/>
    </row>
    <row r="1649" spans="1:24" ht="14.4">
      <c r="A1649" s="1"/>
      <c r="B1649" s="8"/>
      <c r="C1649" s="8"/>
      <c r="D1649" s="8"/>
      <c r="E1649" s="8"/>
      <c r="F1649" s="8"/>
      <c r="G1649" s="8"/>
      <c r="H1649" s="8"/>
      <c r="I1649" s="8"/>
      <c r="J1649" s="8"/>
      <c r="K1649" s="8"/>
      <c r="L1649" s="56"/>
      <c r="M1649" s="26"/>
      <c r="N1649" s="26"/>
      <c r="O1649" s="8"/>
      <c r="P1649" s="1"/>
      <c r="Q1649" s="8"/>
      <c r="R1649" s="8"/>
      <c r="S1649" s="1"/>
      <c r="T1649" s="8"/>
      <c r="U1649" s="8"/>
      <c r="V1649" s="16"/>
      <c r="W1649" s="1"/>
      <c r="X1649" s="1"/>
    </row>
    <row r="1650" spans="1:24" ht="14.4">
      <c r="A1650" s="1"/>
      <c r="B1650" s="8"/>
      <c r="C1650" s="8"/>
      <c r="D1650" s="8"/>
      <c r="E1650" s="8"/>
      <c r="F1650" s="8"/>
      <c r="G1650" s="8"/>
      <c r="H1650" s="8"/>
      <c r="I1650" s="8"/>
      <c r="J1650" s="8"/>
      <c r="K1650" s="8"/>
      <c r="L1650" s="56"/>
      <c r="M1650" s="26"/>
      <c r="N1650" s="26"/>
      <c r="O1650" s="8"/>
      <c r="P1650" s="1"/>
      <c r="Q1650" s="8"/>
      <c r="R1650" s="8"/>
      <c r="S1650" s="1"/>
      <c r="T1650" s="8"/>
      <c r="U1650" s="8"/>
      <c r="V1650" s="16"/>
      <c r="W1650" s="1"/>
      <c r="X1650" s="1"/>
    </row>
    <row r="1651" spans="1:24" ht="14.4">
      <c r="A1651" s="1"/>
      <c r="B1651" s="8"/>
      <c r="C1651" s="8"/>
      <c r="D1651" s="8"/>
      <c r="E1651" s="8"/>
      <c r="F1651" s="8"/>
      <c r="G1651" s="8"/>
      <c r="H1651" s="8"/>
      <c r="I1651" s="8"/>
      <c r="J1651" s="8"/>
      <c r="K1651" s="8"/>
      <c r="L1651" s="56"/>
      <c r="M1651" s="26"/>
      <c r="N1651" s="26"/>
      <c r="O1651" s="8"/>
      <c r="P1651" s="1"/>
      <c r="Q1651" s="8"/>
      <c r="R1651" s="8"/>
      <c r="S1651" s="1"/>
      <c r="T1651" s="8"/>
      <c r="U1651" s="8"/>
      <c r="V1651" s="16"/>
      <c r="W1651" s="1"/>
      <c r="X1651" s="1"/>
    </row>
    <row r="1652" spans="1:24" ht="14.4">
      <c r="A1652" s="1"/>
      <c r="B1652" s="8"/>
      <c r="C1652" s="8"/>
      <c r="D1652" s="8"/>
      <c r="E1652" s="8"/>
      <c r="F1652" s="8"/>
      <c r="G1652" s="8"/>
      <c r="H1652" s="8"/>
      <c r="I1652" s="8"/>
      <c r="J1652" s="8"/>
      <c r="K1652" s="8"/>
      <c r="L1652" s="56"/>
      <c r="M1652" s="26"/>
      <c r="N1652" s="26"/>
      <c r="O1652" s="8"/>
      <c r="P1652" s="1"/>
      <c r="Q1652" s="8"/>
      <c r="R1652" s="8"/>
      <c r="S1652" s="1"/>
      <c r="T1652" s="8"/>
      <c r="U1652" s="8"/>
      <c r="V1652" s="16"/>
      <c r="W1652" s="1"/>
      <c r="X1652" s="1"/>
    </row>
    <row r="1653" spans="1:24" ht="14.4">
      <c r="A1653" s="1"/>
      <c r="B1653" s="8"/>
      <c r="C1653" s="8"/>
      <c r="D1653" s="8"/>
      <c r="E1653" s="8"/>
      <c r="F1653" s="8"/>
      <c r="G1653" s="8"/>
      <c r="H1653" s="8"/>
      <c r="I1653" s="8"/>
      <c r="J1653" s="8"/>
      <c r="K1653" s="8"/>
      <c r="L1653" s="56"/>
      <c r="M1653" s="26"/>
      <c r="N1653" s="26"/>
      <c r="O1653" s="8"/>
      <c r="P1653" s="1"/>
      <c r="Q1653" s="8"/>
      <c r="R1653" s="8"/>
      <c r="S1653" s="1"/>
      <c r="T1653" s="8"/>
      <c r="U1653" s="8"/>
      <c r="V1653" s="16"/>
      <c r="W1653" s="1"/>
      <c r="X1653" s="1"/>
    </row>
    <row r="1654" spans="1:24" ht="14.4">
      <c r="A1654" s="1"/>
      <c r="B1654" s="8"/>
      <c r="C1654" s="8"/>
      <c r="D1654" s="8"/>
      <c r="E1654" s="8"/>
      <c r="F1654" s="8"/>
      <c r="G1654" s="8"/>
      <c r="H1654" s="8"/>
      <c r="I1654" s="8"/>
      <c r="J1654" s="8"/>
      <c r="K1654" s="8"/>
      <c r="L1654" s="56"/>
      <c r="M1654" s="26"/>
      <c r="N1654" s="26"/>
      <c r="O1654" s="8"/>
      <c r="P1654" s="1"/>
      <c r="Q1654" s="8"/>
      <c r="R1654" s="8"/>
      <c r="S1654" s="1"/>
      <c r="T1654" s="8"/>
      <c r="U1654" s="8"/>
      <c r="V1654" s="16"/>
      <c r="W1654" s="1"/>
      <c r="X1654" s="1"/>
    </row>
    <row r="1655" spans="1:24" ht="14.4">
      <c r="A1655" s="1"/>
      <c r="B1655" s="8"/>
      <c r="C1655" s="8"/>
      <c r="D1655" s="8"/>
      <c r="E1655" s="8"/>
      <c r="F1655" s="8"/>
      <c r="G1655" s="8"/>
      <c r="H1655" s="8"/>
      <c r="I1655" s="8"/>
      <c r="J1655" s="8"/>
      <c r="K1655" s="8"/>
      <c r="L1655" s="56"/>
      <c r="M1655" s="26"/>
      <c r="N1655" s="26"/>
      <c r="O1655" s="8"/>
      <c r="P1655" s="1"/>
      <c r="Q1655" s="8"/>
      <c r="R1655" s="8"/>
      <c r="S1655" s="1"/>
      <c r="T1655" s="8"/>
      <c r="U1655" s="8"/>
      <c r="V1655" s="16"/>
      <c r="W1655" s="1"/>
      <c r="X1655" s="1"/>
    </row>
    <row r="1656" spans="1:24" ht="14.4">
      <c r="A1656" s="1"/>
      <c r="B1656" s="8"/>
      <c r="C1656" s="8"/>
      <c r="D1656" s="8"/>
      <c r="E1656" s="8"/>
      <c r="F1656" s="8"/>
      <c r="G1656" s="8"/>
      <c r="H1656" s="8"/>
      <c r="I1656" s="8"/>
      <c r="J1656" s="8"/>
      <c r="K1656" s="8"/>
      <c r="L1656" s="56"/>
      <c r="M1656" s="26"/>
      <c r="N1656" s="26"/>
      <c r="O1656" s="8"/>
      <c r="P1656" s="1"/>
      <c r="Q1656" s="8"/>
      <c r="R1656" s="8"/>
      <c r="S1656" s="1"/>
      <c r="T1656" s="8"/>
      <c r="U1656" s="8"/>
      <c r="V1656" s="16"/>
      <c r="W1656" s="1"/>
      <c r="X1656" s="1"/>
    </row>
    <row r="1657" spans="1:24" ht="14.4">
      <c r="A1657" s="1"/>
      <c r="B1657" s="8"/>
      <c r="C1657" s="8"/>
      <c r="D1657" s="8"/>
      <c r="E1657" s="8"/>
      <c r="F1657" s="8"/>
      <c r="G1657" s="8"/>
      <c r="H1657" s="8"/>
      <c r="I1657" s="8"/>
      <c r="J1657" s="8"/>
      <c r="K1657" s="8"/>
      <c r="L1657" s="56"/>
      <c r="M1657" s="26"/>
      <c r="N1657" s="26"/>
      <c r="O1657" s="8"/>
      <c r="P1657" s="1"/>
      <c r="Q1657" s="8"/>
      <c r="R1657" s="8"/>
      <c r="S1657" s="1"/>
      <c r="T1657" s="8"/>
      <c r="U1657" s="8"/>
      <c r="V1657" s="16"/>
      <c r="W1657" s="1"/>
      <c r="X1657" s="1"/>
    </row>
    <row r="1658" spans="1:24" ht="14.4">
      <c r="A1658" s="1"/>
      <c r="B1658" s="8"/>
      <c r="C1658" s="8"/>
      <c r="D1658" s="8"/>
      <c r="E1658" s="8"/>
      <c r="F1658" s="8"/>
      <c r="G1658" s="8"/>
      <c r="H1658" s="8"/>
      <c r="I1658" s="8"/>
      <c r="J1658" s="8"/>
      <c r="K1658" s="8"/>
      <c r="L1658" s="56"/>
      <c r="M1658" s="26"/>
      <c r="N1658" s="26"/>
      <c r="O1658" s="8"/>
      <c r="P1658" s="1"/>
      <c r="Q1658" s="8"/>
      <c r="R1658" s="8"/>
      <c r="S1658" s="1"/>
      <c r="T1658" s="8"/>
      <c r="U1658" s="8"/>
      <c r="V1658" s="16"/>
      <c r="W1658" s="1"/>
      <c r="X1658" s="1"/>
    </row>
    <row r="1659" spans="1:24" ht="14.4">
      <c r="A1659" s="1"/>
      <c r="B1659" s="8"/>
      <c r="C1659" s="8"/>
      <c r="D1659" s="8"/>
      <c r="E1659" s="8"/>
      <c r="F1659" s="8"/>
      <c r="G1659" s="8"/>
      <c r="H1659" s="8"/>
      <c r="I1659" s="8"/>
      <c r="J1659" s="8"/>
      <c r="K1659" s="8"/>
      <c r="L1659" s="56"/>
      <c r="M1659" s="26"/>
      <c r="N1659" s="26"/>
      <c r="O1659" s="8"/>
      <c r="P1659" s="1"/>
      <c r="Q1659" s="8"/>
      <c r="R1659" s="8"/>
      <c r="S1659" s="1"/>
      <c r="T1659" s="8"/>
      <c r="U1659" s="8"/>
      <c r="V1659" s="16"/>
      <c r="W1659" s="1"/>
      <c r="X1659" s="1"/>
    </row>
    <row r="1660" spans="1:24" ht="14.4">
      <c r="A1660" s="1"/>
      <c r="B1660" s="8"/>
      <c r="C1660" s="8"/>
      <c r="D1660" s="8"/>
      <c r="E1660" s="8"/>
      <c r="F1660" s="8"/>
      <c r="G1660" s="8"/>
      <c r="H1660" s="8"/>
      <c r="I1660" s="8"/>
      <c r="J1660" s="8"/>
      <c r="K1660" s="8"/>
      <c r="L1660" s="56"/>
      <c r="M1660" s="26"/>
      <c r="N1660" s="26"/>
      <c r="O1660" s="8"/>
      <c r="P1660" s="1"/>
      <c r="Q1660" s="8"/>
      <c r="R1660" s="8"/>
      <c r="S1660" s="1"/>
      <c r="T1660" s="8"/>
      <c r="U1660" s="8"/>
      <c r="V1660" s="16"/>
      <c r="W1660" s="1"/>
      <c r="X1660" s="1"/>
    </row>
    <row r="1661" spans="1:24" ht="14.4">
      <c r="A1661" s="1"/>
      <c r="B1661" s="8"/>
      <c r="C1661" s="8"/>
      <c r="D1661" s="8"/>
      <c r="E1661" s="8"/>
      <c r="F1661" s="8"/>
      <c r="G1661" s="8"/>
      <c r="H1661" s="8"/>
      <c r="I1661" s="8"/>
      <c r="J1661" s="8"/>
      <c r="K1661" s="8"/>
      <c r="L1661" s="56"/>
      <c r="M1661" s="26"/>
      <c r="N1661" s="26"/>
      <c r="O1661" s="8"/>
      <c r="P1661" s="1"/>
      <c r="Q1661" s="8"/>
      <c r="R1661" s="8"/>
      <c r="S1661" s="1"/>
      <c r="T1661" s="8"/>
      <c r="U1661" s="8"/>
      <c r="V1661" s="16"/>
      <c r="W1661" s="1"/>
      <c r="X1661" s="1"/>
    </row>
    <row r="1662" spans="1:24" ht="14.4">
      <c r="A1662" s="1"/>
      <c r="B1662" s="8"/>
      <c r="C1662" s="8"/>
      <c r="D1662" s="8"/>
      <c r="E1662" s="8"/>
      <c r="F1662" s="8"/>
      <c r="G1662" s="8"/>
      <c r="H1662" s="8"/>
      <c r="I1662" s="8"/>
      <c r="J1662" s="8"/>
      <c r="K1662" s="8"/>
      <c r="L1662" s="56"/>
      <c r="M1662" s="26"/>
      <c r="N1662" s="26"/>
      <c r="O1662" s="8"/>
      <c r="P1662" s="1"/>
      <c r="Q1662" s="8"/>
      <c r="R1662" s="8"/>
      <c r="S1662" s="1"/>
      <c r="T1662" s="8"/>
      <c r="U1662" s="8"/>
      <c r="V1662" s="16"/>
      <c r="W1662" s="1"/>
      <c r="X1662" s="1"/>
    </row>
    <row r="1663" spans="1:24" ht="14.4">
      <c r="A1663" s="1"/>
      <c r="B1663" s="8"/>
      <c r="C1663" s="8"/>
      <c r="D1663" s="8"/>
      <c r="E1663" s="8"/>
      <c r="F1663" s="8"/>
      <c r="G1663" s="8"/>
      <c r="H1663" s="8"/>
      <c r="I1663" s="8"/>
      <c r="J1663" s="8"/>
      <c r="K1663" s="8"/>
      <c r="L1663" s="56"/>
      <c r="M1663" s="26"/>
      <c r="N1663" s="26"/>
      <c r="O1663" s="8"/>
      <c r="P1663" s="1"/>
      <c r="Q1663" s="8"/>
      <c r="R1663" s="8"/>
      <c r="S1663" s="1"/>
      <c r="T1663" s="8"/>
      <c r="U1663" s="8"/>
      <c r="V1663" s="16"/>
      <c r="W1663" s="1"/>
      <c r="X1663" s="1"/>
    </row>
    <row r="1664" spans="1:24" ht="14.4">
      <c r="A1664" s="1"/>
      <c r="B1664" s="8"/>
      <c r="C1664" s="8"/>
      <c r="D1664" s="8"/>
      <c r="E1664" s="8"/>
      <c r="F1664" s="8"/>
      <c r="G1664" s="8"/>
      <c r="H1664" s="8"/>
      <c r="I1664" s="8"/>
      <c r="J1664" s="8"/>
      <c r="K1664" s="8"/>
      <c r="L1664" s="56"/>
      <c r="M1664" s="26"/>
      <c r="N1664" s="26"/>
      <c r="O1664" s="8"/>
      <c r="P1664" s="1"/>
      <c r="Q1664" s="8"/>
      <c r="R1664" s="8"/>
      <c r="S1664" s="1"/>
      <c r="T1664" s="8"/>
      <c r="U1664" s="8"/>
      <c r="V1664" s="16"/>
      <c r="W1664" s="1"/>
      <c r="X1664" s="1"/>
    </row>
    <row r="1665" spans="1:24" ht="14.4">
      <c r="A1665" s="1"/>
      <c r="B1665" s="8"/>
      <c r="C1665" s="8"/>
      <c r="D1665" s="8"/>
      <c r="E1665" s="8"/>
      <c r="F1665" s="8"/>
      <c r="G1665" s="8"/>
      <c r="H1665" s="8"/>
      <c r="I1665" s="8"/>
      <c r="J1665" s="8"/>
      <c r="K1665" s="8"/>
      <c r="L1665" s="56"/>
      <c r="M1665" s="26"/>
      <c r="N1665" s="26"/>
      <c r="O1665" s="8"/>
      <c r="P1665" s="1"/>
      <c r="Q1665" s="8"/>
      <c r="R1665" s="8"/>
      <c r="S1665" s="1"/>
      <c r="T1665" s="8"/>
      <c r="U1665" s="8"/>
      <c r="V1665" s="16"/>
      <c r="W1665" s="1"/>
      <c r="X1665" s="1"/>
    </row>
    <row r="1666" spans="1:24" ht="14.4">
      <c r="A1666" s="1"/>
      <c r="B1666" s="8"/>
      <c r="C1666" s="8"/>
      <c r="D1666" s="8"/>
      <c r="E1666" s="8"/>
      <c r="F1666" s="8"/>
      <c r="G1666" s="8"/>
      <c r="H1666" s="8"/>
      <c r="I1666" s="8"/>
      <c r="J1666" s="8"/>
      <c r="K1666" s="8"/>
      <c r="L1666" s="56"/>
      <c r="M1666" s="26"/>
      <c r="N1666" s="26"/>
      <c r="O1666" s="8"/>
      <c r="P1666" s="1"/>
      <c r="Q1666" s="8"/>
      <c r="R1666" s="8"/>
      <c r="S1666" s="1"/>
      <c r="T1666" s="8"/>
      <c r="U1666" s="8"/>
      <c r="V1666" s="16"/>
      <c r="W1666" s="1"/>
      <c r="X1666" s="1"/>
    </row>
    <row r="1667" spans="1:24" ht="14.4">
      <c r="A1667" s="1"/>
      <c r="B1667" s="8"/>
      <c r="C1667" s="8"/>
      <c r="D1667" s="8"/>
      <c r="E1667" s="8"/>
      <c r="F1667" s="8"/>
      <c r="G1667" s="8"/>
      <c r="H1667" s="8"/>
      <c r="I1667" s="8"/>
      <c r="J1667" s="8"/>
      <c r="K1667" s="8"/>
      <c r="L1667" s="56"/>
      <c r="M1667" s="26"/>
      <c r="N1667" s="26"/>
      <c r="O1667" s="8"/>
      <c r="P1667" s="1"/>
      <c r="Q1667" s="8"/>
      <c r="R1667" s="8"/>
      <c r="S1667" s="1"/>
      <c r="T1667" s="8"/>
      <c r="U1667" s="8"/>
      <c r="V1667" s="16"/>
      <c r="W1667" s="1"/>
      <c r="X1667" s="1"/>
    </row>
    <row r="1668" spans="1:24" ht="14.4">
      <c r="A1668" s="1"/>
      <c r="B1668" s="8"/>
      <c r="C1668" s="8"/>
      <c r="D1668" s="8"/>
      <c r="E1668" s="8"/>
      <c r="F1668" s="8"/>
      <c r="G1668" s="8"/>
      <c r="H1668" s="8"/>
      <c r="I1668" s="8"/>
      <c r="J1668" s="8"/>
      <c r="K1668" s="8"/>
      <c r="L1668" s="56"/>
      <c r="M1668" s="26"/>
      <c r="N1668" s="26"/>
      <c r="O1668" s="8"/>
      <c r="P1668" s="1"/>
      <c r="Q1668" s="8"/>
      <c r="R1668" s="8"/>
      <c r="S1668" s="1"/>
      <c r="T1668" s="8"/>
      <c r="U1668" s="8"/>
      <c r="V1668" s="16"/>
      <c r="W1668" s="1"/>
      <c r="X1668" s="1"/>
    </row>
    <row r="1669" spans="1:24" ht="14.4">
      <c r="A1669" s="1"/>
      <c r="B1669" s="8"/>
      <c r="C1669" s="8"/>
      <c r="D1669" s="8"/>
      <c r="E1669" s="8"/>
      <c r="F1669" s="8"/>
      <c r="G1669" s="8"/>
      <c r="H1669" s="8"/>
      <c r="I1669" s="8"/>
      <c r="J1669" s="8"/>
      <c r="K1669" s="8"/>
      <c r="L1669" s="56"/>
      <c r="M1669" s="26"/>
      <c r="N1669" s="26"/>
      <c r="O1669" s="8"/>
      <c r="P1669" s="1"/>
      <c r="Q1669" s="8"/>
      <c r="R1669" s="8"/>
      <c r="S1669" s="1"/>
      <c r="T1669" s="8"/>
      <c r="U1669" s="8"/>
      <c r="V1669" s="16"/>
      <c r="W1669" s="1"/>
      <c r="X1669" s="1"/>
    </row>
    <row r="1670" spans="1:24" ht="14.4">
      <c r="A1670" s="1"/>
      <c r="B1670" s="8"/>
      <c r="C1670" s="8"/>
      <c r="D1670" s="8"/>
      <c r="E1670" s="8"/>
      <c r="F1670" s="8"/>
      <c r="G1670" s="8"/>
      <c r="H1670" s="8"/>
      <c r="I1670" s="8"/>
      <c r="J1670" s="8"/>
      <c r="K1670" s="8"/>
      <c r="L1670" s="56"/>
      <c r="M1670" s="26"/>
      <c r="N1670" s="26"/>
      <c r="O1670" s="8"/>
      <c r="P1670" s="1"/>
      <c r="Q1670" s="8"/>
      <c r="R1670" s="8"/>
      <c r="S1670" s="1"/>
      <c r="T1670" s="8"/>
      <c r="U1670" s="8"/>
      <c r="V1670" s="16"/>
      <c r="W1670" s="1"/>
      <c r="X1670" s="1"/>
    </row>
    <row r="1671" spans="1:24" ht="14.4">
      <c r="A1671" s="1"/>
      <c r="B1671" s="8"/>
      <c r="C1671" s="8"/>
      <c r="D1671" s="8"/>
      <c r="E1671" s="8"/>
      <c r="F1671" s="8"/>
      <c r="G1671" s="8"/>
      <c r="H1671" s="8"/>
      <c r="I1671" s="8"/>
      <c r="J1671" s="8"/>
      <c r="K1671" s="8"/>
      <c r="L1671" s="56"/>
      <c r="M1671" s="26"/>
      <c r="N1671" s="26"/>
      <c r="O1671" s="8"/>
      <c r="P1671" s="1"/>
      <c r="Q1671" s="8"/>
      <c r="R1671" s="8"/>
      <c r="S1671" s="1"/>
      <c r="T1671" s="8"/>
      <c r="U1671" s="8"/>
      <c r="V1671" s="16"/>
      <c r="W1671" s="1"/>
      <c r="X1671" s="1"/>
    </row>
    <row r="1672" spans="1:24" ht="14.4">
      <c r="A1672" s="1"/>
      <c r="B1672" s="8"/>
      <c r="C1672" s="8"/>
      <c r="D1672" s="8"/>
      <c r="E1672" s="8"/>
      <c r="F1672" s="8"/>
      <c r="G1672" s="8"/>
      <c r="H1672" s="8"/>
      <c r="I1672" s="8"/>
      <c r="J1672" s="8"/>
      <c r="K1672" s="8"/>
      <c r="L1672" s="56"/>
      <c r="M1672" s="26"/>
      <c r="N1672" s="26"/>
      <c r="O1672" s="8"/>
      <c r="P1672" s="1"/>
      <c r="Q1672" s="8"/>
      <c r="R1672" s="8"/>
      <c r="S1672" s="1"/>
      <c r="T1672" s="8"/>
      <c r="U1672" s="8"/>
      <c r="V1672" s="16"/>
      <c r="W1672" s="1"/>
      <c r="X1672" s="1"/>
    </row>
    <row r="1673" spans="1:24" ht="14.4">
      <c r="A1673" s="1"/>
      <c r="B1673" s="8"/>
      <c r="C1673" s="8"/>
      <c r="D1673" s="8"/>
      <c r="E1673" s="8"/>
      <c r="F1673" s="8"/>
      <c r="G1673" s="8"/>
      <c r="H1673" s="8"/>
      <c r="I1673" s="8"/>
      <c r="J1673" s="8"/>
      <c r="K1673" s="8"/>
      <c r="L1673" s="56"/>
      <c r="M1673" s="26"/>
      <c r="N1673" s="26"/>
      <c r="O1673" s="8"/>
      <c r="P1673" s="1"/>
      <c r="Q1673" s="8"/>
      <c r="R1673" s="8"/>
      <c r="S1673" s="1"/>
      <c r="T1673" s="8"/>
      <c r="U1673" s="8"/>
      <c r="V1673" s="16"/>
      <c r="W1673" s="1"/>
      <c r="X1673" s="1"/>
    </row>
    <row r="1674" spans="1:24" ht="14.4">
      <c r="A1674" s="1"/>
      <c r="B1674" s="8"/>
      <c r="C1674" s="8"/>
      <c r="D1674" s="8"/>
      <c r="E1674" s="8"/>
      <c r="F1674" s="8"/>
      <c r="G1674" s="8"/>
      <c r="H1674" s="8"/>
      <c r="I1674" s="8"/>
      <c r="J1674" s="8"/>
      <c r="K1674" s="8"/>
      <c r="L1674" s="56"/>
      <c r="M1674" s="26"/>
      <c r="N1674" s="26"/>
      <c r="O1674" s="8"/>
      <c r="P1674" s="1"/>
      <c r="Q1674" s="8"/>
      <c r="R1674" s="8"/>
      <c r="S1674" s="1"/>
      <c r="T1674" s="8"/>
      <c r="U1674" s="8"/>
      <c r="V1674" s="16"/>
      <c r="W1674" s="1"/>
      <c r="X1674" s="1"/>
    </row>
    <row r="1675" spans="1:24" ht="14.4">
      <c r="A1675" s="1"/>
      <c r="B1675" s="8"/>
      <c r="C1675" s="8"/>
      <c r="D1675" s="8"/>
      <c r="E1675" s="8"/>
      <c r="F1675" s="8"/>
      <c r="G1675" s="8"/>
      <c r="H1675" s="8"/>
      <c r="I1675" s="8"/>
      <c r="J1675" s="8"/>
      <c r="K1675" s="8"/>
      <c r="L1675" s="56"/>
      <c r="M1675" s="26"/>
      <c r="N1675" s="26"/>
      <c r="O1675" s="8"/>
      <c r="P1675" s="1"/>
      <c r="Q1675" s="8"/>
      <c r="R1675" s="8"/>
      <c r="S1675" s="1"/>
      <c r="T1675" s="8"/>
      <c r="U1675" s="8"/>
      <c r="V1675" s="16"/>
      <c r="W1675" s="1"/>
      <c r="X1675" s="1"/>
    </row>
    <row r="1676" spans="1:24" ht="14.4">
      <c r="A1676" s="1"/>
      <c r="B1676" s="8"/>
      <c r="C1676" s="8"/>
      <c r="D1676" s="8"/>
      <c r="E1676" s="8"/>
      <c r="F1676" s="8"/>
      <c r="G1676" s="8"/>
      <c r="H1676" s="8"/>
      <c r="I1676" s="8"/>
      <c r="J1676" s="8"/>
      <c r="K1676" s="8"/>
      <c r="L1676" s="56"/>
      <c r="M1676" s="26"/>
      <c r="N1676" s="26"/>
      <c r="O1676" s="8"/>
      <c r="P1676" s="1"/>
      <c r="Q1676" s="8"/>
      <c r="R1676" s="8"/>
      <c r="S1676" s="1"/>
      <c r="T1676" s="8"/>
      <c r="U1676" s="8"/>
      <c r="V1676" s="16"/>
      <c r="W1676" s="1"/>
      <c r="X1676" s="1"/>
    </row>
    <row r="1677" spans="1:24" ht="14.4">
      <c r="A1677" s="1"/>
      <c r="B1677" s="8"/>
      <c r="C1677" s="8"/>
      <c r="D1677" s="8"/>
      <c r="E1677" s="8"/>
      <c r="F1677" s="8"/>
      <c r="G1677" s="8"/>
      <c r="H1677" s="8"/>
      <c r="I1677" s="8"/>
      <c r="J1677" s="8"/>
      <c r="K1677" s="8"/>
      <c r="L1677" s="56"/>
      <c r="M1677" s="26"/>
      <c r="N1677" s="26"/>
      <c r="O1677" s="8"/>
      <c r="P1677" s="1"/>
      <c r="Q1677" s="8"/>
      <c r="R1677" s="8"/>
      <c r="S1677" s="1"/>
      <c r="T1677" s="8"/>
      <c r="U1677" s="8"/>
      <c r="V1677" s="16"/>
      <c r="W1677" s="1"/>
      <c r="X1677" s="1"/>
    </row>
    <row r="1678" spans="1:24" ht="14.4">
      <c r="A1678" s="1"/>
      <c r="B1678" s="8"/>
      <c r="C1678" s="8"/>
      <c r="D1678" s="8"/>
      <c r="E1678" s="8"/>
      <c r="F1678" s="8"/>
      <c r="G1678" s="8"/>
      <c r="H1678" s="8"/>
      <c r="I1678" s="8"/>
      <c r="J1678" s="8"/>
      <c r="K1678" s="8"/>
      <c r="L1678" s="56"/>
      <c r="M1678" s="26"/>
      <c r="N1678" s="26"/>
      <c r="O1678" s="8"/>
      <c r="P1678" s="1"/>
      <c r="Q1678" s="8"/>
      <c r="R1678" s="8"/>
      <c r="S1678" s="1"/>
      <c r="T1678" s="8"/>
      <c r="U1678" s="8"/>
      <c r="V1678" s="16"/>
      <c r="W1678" s="1"/>
      <c r="X1678" s="1"/>
    </row>
    <row r="1679" spans="1:24" ht="14.4">
      <c r="A1679" s="1"/>
      <c r="B1679" s="8"/>
      <c r="C1679" s="8"/>
      <c r="D1679" s="8"/>
      <c r="E1679" s="8"/>
      <c r="F1679" s="8"/>
      <c r="G1679" s="8"/>
      <c r="H1679" s="8"/>
      <c r="I1679" s="8"/>
      <c r="J1679" s="8"/>
      <c r="K1679" s="8"/>
      <c r="L1679" s="56"/>
      <c r="M1679" s="26"/>
      <c r="N1679" s="26"/>
      <c r="O1679" s="8"/>
      <c r="P1679" s="1"/>
      <c r="Q1679" s="8"/>
      <c r="R1679" s="8"/>
      <c r="S1679" s="1"/>
      <c r="T1679" s="8"/>
      <c r="U1679" s="8"/>
      <c r="V1679" s="16"/>
      <c r="W1679" s="1"/>
      <c r="X1679" s="1"/>
    </row>
    <row r="1680" spans="1:24" ht="14.4">
      <c r="A1680" s="1"/>
      <c r="B1680" s="8"/>
      <c r="C1680" s="8"/>
      <c r="D1680" s="8"/>
      <c r="E1680" s="8"/>
      <c r="F1680" s="8"/>
      <c r="G1680" s="8"/>
      <c r="H1680" s="8"/>
      <c r="I1680" s="8"/>
      <c r="J1680" s="8"/>
      <c r="K1680" s="8"/>
      <c r="L1680" s="56"/>
      <c r="M1680" s="26"/>
      <c r="N1680" s="26"/>
      <c r="O1680" s="8"/>
      <c r="P1680" s="1"/>
      <c r="Q1680" s="8"/>
      <c r="R1680" s="8"/>
      <c r="S1680" s="1"/>
      <c r="T1680" s="8"/>
      <c r="U1680" s="8"/>
      <c r="V1680" s="16"/>
      <c r="W1680" s="1"/>
      <c r="X1680" s="1"/>
    </row>
    <row r="1681" spans="1:24" ht="14.4">
      <c r="A1681" s="1"/>
      <c r="B1681" s="8"/>
      <c r="C1681" s="8"/>
      <c r="D1681" s="8"/>
      <c r="E1681" s="8"/>
      <c r="F1681" s="8"/>
      <c r="G1681" s="8"/>
      <c r="H1681" s="8"/>
      <c r="I1681" s="8"/>
      <c r="J1681" s="8"/>
      <c r="K1681" s="8"/>
      <c r="L1681" s="56"/>
      <c r="M1681" s="26"/>
      <c r="N1681" s="26"/>
      <c r="O1681" s="8"/>
      <c r="P1681" s="1"/>
      <c r="Q1681" s="8"/>
      <c r="R1681" s="8"/>
      <c r="S1681" s="1"/>
      <c r="T1681" s="8"/>
      <c r="U1681" s="8"/>
      <c r="V1681" s="16"/>
      <c r="W1681" s="1"/>
      <c r="X1681" s="1"/>
    </row>
    <row r="1682" spans="1:24" ht="14.4">
      <c r="A1682" s="1"/>
      <c r="B1682" s="8"/>
      <c r="C1682" s="8"/>
      <c r="D1682" s="8"/>
      <c r="E1682" s="8"/>
      <c r="F1682" s="8"/>
      <c r="G1682" s="8"/>
      <c r="H1682" s="8"/>
      <c r="I1682" s="8"/>
      <c r="J1682" s="8"/>
      <c r="K1682" s="8"/>
      <c r="L1682" s="56"/>
      <c r="M1682" s="26"/>
      <c r="N1682" s="26"/>
      <c r="O1682" s="8"/>
      <c r="P1682" s="1"/>
      <c r="Q1682" s="8"/>
      <c r="R1682" s="8"/>
      <c r="S1682" s="1"/>
      <c r="T1682" s="8"/>
      <c r="U1682" s="8"/>
      <c r="V1682" s="16"/>
      <c r="W1682" s="1"/>
      <c r="X1682" s="1"/>
    </row>
    <row r="1683" spans="1:24" ht="14.4">
      <c r="A1683" s="1"/>
      <c r="B1683" s="8"/>
      <c r="C1683" s="8"/>
      <c r="D1683" s="8"/>
      <c r="E1683" s="8"/>
      <c r="F1683" s="8"/>
      <c r="G1683" s="8"/>
      <c r="H1683" s="8"/>
      <c r="I1683" s="8"/>
      <c r="J1683" s="8"/>
      <c r="K1683" s="8"/>
      <c r="L1683" s="56"/>
      <c r="M1683" s="26"/>
      <c r="N1683" s="26"/>
      <c r="O1683" s="8"/>
      <c r="P1683" s="1"/>
      <c r="Q1683" s="8"/>
      <c r="R1683" s="8"/>
      <c r="S1683" s="1"/>
      <c r="T1683" s="8"/>
      <c r="U1683" s="8"/>
      <c r="V1683" s="16"/>
      <c r="W1683" s="1"/>
      <c r="X1683" s="1"/>
    </row>
    <row r="1684" spans="1:24" ht="14.4">
      <c r="A1684" s="1"/>
      <c r="B1684" s="8"/>
      <c r="C1684" s="8"/>
      <c r="D1684" s="8"/>
      <c r="E1684" s="8"/>
      <c r="F1684" s="8"/>
      <c r="G1684" s="8"/>
      <c r="H1684" s="8"/>
      <c r="I1684" s="8"/>
      <c r="J1684" s="8"/>
      <c r="K1684" s="8"/>
      <c r="L1684" s="56"/>
      <c r="M1684" s="26"/>
      <c r="N1684" s="26"/>
      <c r="O1684" s="8"/>
      <c r="P1684" s="1"/>
      <c r="Q1684" s="8"/>
      <c r="R1684" s="8"/>
      <c r="S1684" s="1"/>
      <c r="T1684" s="8"/>
      <c r="U1684" s="8"/>
      <c r="V1684" s="16"/>
      <c r="W1684" s="1"/>
      <c r="X1684" s="1"/>
    </row>
    <row r="1685" spans="1:24" ht="14.4">
      <c r="A1685" s="1"/>
      <c r="B1685" s="8"/>
      <c r="C1685" s="8"/>
      <c r="D1685" s="8"/>
      <c r="E1685" s="8"/>
      <c r="F1685" s="8"/>
      <c r="G1685" s="8"/>
      <c r="H1685" s="8"/>
      <c r="I1685" s="8"/>
      <c r="J1685" s="8"/>
      <c r="K1685" s="8"/>
      <c r="L1685" s="56"/>
      <c r="M1685" s="26"/>
      <c r="N1685" s="26"/>
      <c r="O1685" s="8"/>
      <c r="P1685" s="1"/>
      <c r="Q1685" s="8"/>
      <c r="R1685" s="8"/>
      <c r="S1685" s="1"/>
      <c r="T1685" s="8"/>
      <c r="U1685" s="8"/>
      <c r="V1685" s="16"/>
      <c r="W1685" s="1"/>
      <c r="X1685" s="1"/>
    </row>
    <row r="1686" spans="1:24" ht="14.4">
      <c r="A1686" s="1"/>
      <c r="B1686" s="8"/>
      <c r="C1686" s="8"/>
      <c r="D1686" s="8"/>
      <c r="E1686" s="8"/>
      <c r="F1686" s="8"/>
      <c r="G1686" s="8"/>
      <c r="H1686" s="8"/>
      <c r="I1686" s="8"/>
      <c r="J1686" s="8"/>
      <c r="K1686" s="8"/>
      <c r="L1686" s="56"/>
      <c r="M1686" s="26"/>
      <c r="N1686" s="26"/>
      <c r="O1686" s="8"/>
      <c r="P1686" s="1"/>
      <c r="Q1686" s="8"/>
      <c r="R1686" s="8"/>
      <c r="S1686" s="1"/>
      <c r="T1686" s="8"/>
      <c r="U1686" s="8"/>
      <c r="V1686" s="16"/>
      <c r="W1686" s="1"/>
      <c r="X1686" s="1"/>
    </row>
    <row r="1687" spans="1:24" ht="14.4">
      <c r="A1687" s="1"/>
      <c r="B1687" s="8"/>
      <c r="C1687" s="8"/>
      <c r="D1687" s="8"/>
      <c r="E1687" s="8"/>
      <c r="F1687" s="8"/>
      <c r="G1687" s="8"/>
      <c r="H1687" s="8"/>
      <c r="I1687" s="8"/>
      <c r="J1687" s="8"/>
      <c r="K1687" s="8"/>
      <c r="L1687" s="56"/>
      <c r="M1687" s="26"/>
      <c r="N1687" s="26"/>
      <c r="O1687" s="8"/>
      <c r="P1687" s="1"/>
      <c r="Q1687" s="8"/>
      <c r="R1687" s="8"/>
      <c r="S1687" s="1"/>
      <c r="T1687" s="8"/>
      <c r="U1687" s="8"/>
      <c r="V1687" s="16"/>
      <c r="W1687" s="1"/>
      <c r="X1687" s="1"/>
    </row>
    <row r="1688" spans="1:24" ht="14.4">
      <c r="A1688" s="1"/>
      <c r="B1688" s="8"/>
      <c r="C1688" s="8"/>
      <c r="D1688" s="8"/>
      <c r="E1688" s="8"/>
      <c r="F1688" s="8"/>
      <c r="G1688" s="8"/>
      <c r="H1688" s="8"/>
      <c r="I1688" s="8"/>
      <c r="J1688" s="8"/>
      <c r="K1688" s="8"/>
      <c r="L1688" s="56"/>
      <c r="M1688" s="26"/>
      <c r="N1688" s="26"/>
      <c r="O1688" s="8"/>
      <c r="P1688" s="1"/>
      <c r="Q1688" s="8"/>
      <c r="R1688" s="8"/>
      <c r="S1688" s="1"/>
      <c r="T1688" s="8"/>
      <c r="U1688" s="8"/>
      <c r="V1688" s="16"/>
      <c r="W1688" s="1"/>
      <c r="X1688" s="1"/>
    </row>
    <row r="1689" spans="1:24" ht="14.4">
      <c r="A1689" s="1"/>
      <c r="B1689" s="8"/>
      <c r="C1689" s="8"/>
      <c r="D1689" s="8"/>
      <c r="E1689" s="8"/>
      <c r="F1689" s="8"/>
      <c r="G1689" s="8"/>
      <c r="H1689" s="8"/>
      <c r="I1689" s="8"/>
      <c r="J1689" s="8"/>
      <c r="K1689" s="8"/>
      <c r="L1689" s="56"/>
      <c r="M1689" s="26"/>
      <c r="N1689" s="26"/>
      <c r="O1689" s="8"/>
      <c r="P1689" s="1"/>
      <c r="Q1689" s="8"/>
      <c r="R1689" s="8"/>
      <c r="S1689" s="1"/>
      <c r="T1689" s="8"/>
      <c r="U1689" s="8"/>
      <c r="V1689" s="16"/>
      <c r="W1689" s="1"/>
      <c r="X1689" s="1"/>
    </row>
    <row r="1690" spans="1:24" ht="14.4">
      <c r="A1690" s="1"/>
      <c r="B1690" s="8"/>
      <c r="C1690" s="8"/>
      <c r="D1690" s="8"/>
      <c r="E1690" s="8"/>
      <c r="F1690" s="8"/>
      <c r="G1690" s="8"/>
      <c r="H1690" s="8"/>
      <c r="I1690" s="8"/>
      <c r="J1690" s="8"/>
      <c r="K1690" s="8"/>
      <c r="L1690" s="56"/>
      <c r="M1690" s="26"/>
      <c r="N1690" s="26"/>
      <c r="O1690" s="8"/>
      <c r="P1690" s="1"/>
      <c r="Q1690" s="8"/>
      <c r="R1690" s="8"/>
      <c r="S1690" s="1"/>
      <c r="T1690" s="8"/>
      <c r="U1690" s="8"/>
      <c r="V1690" s="16"/>
      <c r="W1690" s="1"/>
      <c r="X1690" s="1"/>
    </row>
    <row r="1691" spans="1:24" ht="14.4">
      <c r="A1691" s="1"/>
      <c r="B1691" s="8"/>
      <c r="C1691" s="8"/>
      <c r="D1691" s="8"/>
      <c r="E1691" s="8"/>
      <c r="F1691" s="8"/>
      <c r="G1691" s="8"/>
      <c r="H1691" s="8"/>
      <c r="I1691" s="8"/>
      <c r="J1691" s="8"/>
      <c r="K1691" s="8"/>
      <c r="L1691" s="56"/>
      <c r="M1691" s="26"/>
      <c r="N1691" s="26"/>
      <c r="O1691" s="8"/>
      <c r="P1691" s="1"/>
      <c r="Q1691" s="8"/>
      <c r="R1691" s="8"/>
      <c r="S1691" s="1"/>
      <c r="T1691" s="8"/>
      <c r="U1691" s="8"/>
      <c r="V1691" s="16"/>
      <c r="W1691" s="1"/>
      <c r="X1691" s="1"/>
    </row>
    <row r="1692" spans="1:24" ht="14.4">
      <c r="A1692" s="1"/>
      <c r="B1692" s="8"/>
      <c r="C1692" s="8"/>
      <c r="D1692" s="8"/>
      <c r="E1692" s="8"/>
      <c r="F1692" s="8"/>
      <c r="G1692" s="8"/>
      <c r="H1692" s="8"/>
      <c r="I1692" s="8"/>
      <c r="J1692" s="8"/>
      <c r="K1692" s="8"/>
      <c r="L1692" s="56"/>
      <c r="M1692" s="26"/>
      <c r="N1692" s="26"/>
      <c r="O1692" s="8"/>
      <c r="P1692" s="1"/>
      <c r="Q1692" s="8"/>
      <c r="R1692" s="8"/>
      <c r="S1692" s="1"/>
      <c r="T1692" s="8"/>
      <c r="U1692" s="8"/>
      <c r="V1692" s="16"/>
      <c r="W1692" s="1"/>
      <c r="X1692" s="1"/>
    </row>
    <row r="1693" spans="1:24" ht="14.4">
      <c r="A1693" s="1"/>
      <c r="B1693" s="8"/>
      <c r="C1693" s="8"/>
      <c r="D1693" s="8"/>
      <c r="E1693" s="8"/>
      <c r="F1693" s="8"/>
      <c r="G1693" s="8"/>
      <c r="H1693" s="8"/>
      <c r="I1693" s="8"/>
      <c r="J1693" s="8"/>
      <c r="K1693" s="8"/>
      <c r="L1693" s="56"/>
      <c r="M1693" s="26"/>
      <c r="N1693" s="26"/>
      <c r="O1693" s="8"/>
      <c r="P1693" s="1"/>
      <c r="Q1693" s="8"/>
      <c r="R1693" s="8"/>
      <c r="S1693" s="1"/>
      <c r="T1693" s="8"/>
      <c r="U1693" s="8"/>
      <c r="V1693" s="16"/>
      <c r="W1693" s="1"/>
      <c r="X1693" s="1"/>
    </row>
    <row r="1694" spans="1:24" ht="14.4">
      <c r="A1694" s="1"/>
      <c r="B1694" s="8"/>
      <c r="C1694" s="8"/>
      <c r="D1694" s="8"/>
      <c r="E1694" s="8"/>
      <c r="F1694" s="8"/>
      <c r="G1694" s="8"/>
      <c r="H1694" s="8"/>
      <c r="I1694" s="8"/>
      <c r="J1694" s="8"/>
      <c r="K1694" s="8"/>
      <c r="L1694" s="56"/>
      <c r="M1694" s="26"/>
      <c r="N1694" s="26"/>
      <c r="O1694" s="8"/>
      <c r="P1694" s="1"/>
      <c r="Q1694" s="8"/>
      <c r="R1694" s="8"/>
      <c r="S1694" s="1"/>
      <c r="T1694" s="8"/>
      <c r="U1694" s="8"/>
      <c r="V1694" s="16"/>
      <c r="W1694" s="1"/>
      <c r="X1694" s="1"/>
    </row>
    <row r="1695" spans="1:24" ht="14.4">
      <c r="A1695" s="1"/>
      <c r="B1695" s="8"/>
      <c r="C1695" s="8"/>
      <c r="D1695" s="8"/>
      <c r="E1695" s="8"/>
      <c r="F1695" s="8"/>
      <c r="G1695" s="8"/>
      <c r="H1695" s="8"/>
      <c r="I1695" s="8"/>
      <c r="J1695" s="8"/>
      <c r="K1695" s="8"/>
      <c r="L1695" s="56"/>
      <c r="M1695" s="26"/>
      <c r="N1695" s="26"/>
      <c r="O1695" s="8"/>
      <c r="P1695" s="1"/>
      <c r="Q1695" s="8"/>
      <c r="R1695" s="8"/>
      <c r="S1695" s="1"/>
      <c r="T1695" s="8"/>
      <c r="U1695" s="8"/>
      <c r="V1695" s="16"/>
      <c r="W1695" s="1"/>
      <c r="X1695" s="1"/>
    </row>
    <row r="1696" spans="1:24" ht="14.4">
      <c r="A1696" s="1"/>
      <c r="B1696" s="8"/>
      <c r="C1696" s="8"/>
      <c r="D1696" s="8"/>
      <c r="E1696" s="8"/>
      <c r="F1696" s="8"/>
      <c r="G1696" s="8"/>
      <c r="H1696" s="8"/>
      <c r="I1696" s="8"/>
      <c r="J1696" s="8"/>
      <c r="K1696" s="8"/>
      <c r="L1696" s="56"/>
      <c r="M1696" s="26"/>
      <c r="N1696" s="26"/>
      <c r="O1696" s="8"/>
      <c r="P1696" s="1"/>
      <c r="Q1696" s="8"/>
      <c r="R1696" s="8"/>
      <c r="S1696" s="1"/>
      <c r="T1696" s="8"/>
      <c r="U1696" s="8"/>
      <c r="V1696" s="16"/>
      <c r="W1696" s="1"/>
      <c r="X1696" s="1"/>
    </row>
    <row r="1697" spans="1:24" ht="14.4">
      <c r="A1697" s="1"/>
      <c r="B1697" s="8"/>
      <c r="C1697" s="8"/>
      <c r="D1697" s="8"/>
      <c r="E1697" s="8"/>
      <c r="F1697" s="8"/>
      <c r="G1697" s="8"/>
      <c r="H1697" s="8"/>
      <c r="I1697" s="8"/>
      <c r="J1697" s="8"/>
      <c r="K1697" s="8"/>
      <c r="L1697" s="56"/>
      <c r="M1697" s="26"/>
      <c r="N1697" s="26"/>
      <c r="O1697" s="8"/>
      <c r="P1697" s="1"/>
      <c r="Q1697" s="8"/>
      <c r="R1697" s="8"/>
      <c r="S1697" s="1"/>
      <c r="T1697" s="8"/>
      <c r="U1697" s="8"/>
      <c r="V1697" s="16"/>
      <c r="W1697" s="1"/>
      <c r="X1697" s="1"/>
    </row>
    <row r="1698" spans="1:24" ht="14.4">
      <c r="A1698" s="1"/>
      <c r="B1698" s="8"/>
      <c r="C1698" s="8"/>
      <c r="D1698" s="8"/>
      <c r="E1698" s="8"/>
      <c r="F1698" s="8"/>
      <c r="G1698" s="8"/>
      <c r="H1698" s="8"/>
      <c r="I1698" s="8"/>
      <c r="J1698" s="8"/>
      <c r="K1698" s="8"/>
      <c r="L1698" s="56"/>
      <c r="M1698" s="26"/>
      <c r="N1698" s="26"/>
      <c r="O1698" s="8"/>
      <c r="P1698" s="1"/>
      <c r="Q1698" s="8"/>
      <c r="R1698" s="8"/>
      <c r="S1698" s="1"/>
      <c r="T1698" s="8"/>
      <c r="U1698" s="8"/>
      <c r="V1698" s="16"/>
      <c r="W1698" s="1"/>
      <c r="X1698" s="1"/>
    </row>
    <row r="1699" spans="1:24" ht="14.4">
      <c r="A1699" s="1"/>
      <c r="B1699" s="8"/>
      <c r="C1699" s="8"/>
      <c r="D1699" s="8"/>
      <c r="E1699" s="8"/>
      <c r="F1699" s="8"/>
      <c r="G1699" s="8"/>
      <c r="H1699" s="8"/>
      <c r="I1699" s="8"/>
      <c r="J1699" s="8"/>
      <c r="K1699" s="8"/>
      <c r="L1699" s="56"/>
      <c r="M1699" s="26"/>
      <c r="N1699" s="26"/>
      <c r="O1699" s="8"/>
      <c r="P1699" s="1"/>
      <c r="Q1699" s="8"/>
      <c r="R1699" s="8"/>
      <c r="S1699" s="1"/>
      <c r="T1699" s="8"/>
      <c r="U1699" s="8"/>
      <c r="V1699" s="16"/>
      <c r="W1699" s="1"/>
      <c r="X1699" s="1"/>
    </row>
    <row r="1700" spans="1:24" ht="14.4">
      <c r="A1700" s="1"/>
      <c r="B1700" s="8"/>
      <c r="C1700" s="8"/>
      <c r="D1700" s="8"/>
      <c r="E1700" s="8"/>
      <c r="F1700" s="8"/>
      <c r="G1700" s="8"/>
      <c r="H1700" s="8"/>
      <c r="I1700" s="8"/>
      <c r="J1700" s="8"/>
      <c r="K1700" s="8"/>
      <c r="L1700" s="56"/>
      <c r="M1700" s="26"/>
      <c r="N1700" s="26"/>
      <c r="O1700" s="8"/>
      <c r="P1700" s="1"/>
      <c r="Q1700" s="8"/>
      <c r="R1700" s="8"/>
      <c r="S1700" s="1"/>
      <c r="T1700" s="8"/>
      <c r="U1700" s="8"/>
      <c r="V1700" s="16"/>
      <c r="W1700" s="1"/>
      <c r="X1700" s="1"/>
    </row>
    <row r="1701" spans="1:24" ht="14.4">
      <c r="A1701" s="1"/>
      <c r="B1701" s="8"/>
      <c r="C1701" s="8"/>
      <c r="D1701" s="8"/>
      <c r="E1701" s="8"/>
      <c r="F1701" s="8"/>
      <c r="G1701" s="8"/>
      <c r="H1701" s="8"/>
      <c r="I1701" s="8"/>
      <c r="J1701" s="8"/>
      <c r="K1701" s="8"/>
      <c r="L1701" s="56"/>
      <c r="M1701" s="26"/>
      <c r="N1701" s="26"/>
      <c r="O1701" s="8"/>
      <c r="P1701" s="1"/>
      <c r="Q1701" s="8"/>
      <c r="R1701" s="8"/>
      <c r="S1701" s="1"/>
      <c r="T1701" s="8"/>
      <c r="U1701" s="8"/>
      <c r="V1701" s="16"/>
      <c r="W1701" s="1"/>
      <c r="X1701" s="1"/>
    </row>
    <row r="1702" spans="1:24" ht="14.4">
      <c r="A1702" s="1"/>
      <c r="B1702" s="8"/>
      <c r="C1702" s="8"/>
      <c r="D1702" s="8"/>
      <c r="E1702" s="8"/>
      <c r="F1702" s="8"/>
      <c r="G1702" s="8"/>
      <c r="H1702" s="8"/>
      <c r="I1702" s="8"/>
      <c r="J1702" s="8"/>
      <c r="K1702" s="8"/>
      <c r="L1702" s="56"/>
      <c r="M1702" s="26"/>
      <c r="N1702" s="26"/>
      <c r="O1702" s="8"/>
      <c r="P1702" s="1"/>
      <c r="Q1702" s="8"/>
      <c r="R1702" s="8"/>
      <c r="S1702" s="1"/>
      <c r="T1702" s="8"/>
      <c r="U1702" s="8"/>
      <c r="V1702" s="16"/>
      <c r="W1702" s="1"/>
      <c r="X1702" s="1"/>
    </row>
    <row r="1703" spans="1:24" ht="14.4">
      <c r="A1703" s="1"/>
      <c r="B1703" s="8"/>
      <c r="C1703" s="8"/>
      <c r="D1703" s="8"/>
      <c r="E1703" s="8"/>
      <c r="F1703" s="8"/>
      <c r="G1703" s="8"/>
      <c r="H1703" s="8"/>
      <c r="I1703" s="8"/>
      <c r="J1703" s="8"/>
      <c r="K1703" s="8"/>
      <c r="L1703" s="56"/>
      <c r="M1703" s="26"/>
      <c r="N1703" s="26"/>
      <c r="O1703" s="8"/>
      <c r="P1703" s="1"/>
      <c r="Q1703" s="8"/>
      <c r="R1703" s="8"/>
      <c r="S1703" s="1"/>
      <c r="T1703" s="8"/>
      <c r="U1703" s="8"/>
      <c r="V1703" s="16"/>
      <c r="W1703" s="1"/>
      <c r="X1703" s="1"/>
    </row>
    <row r="1704" spans="1:24" ht="14.4">
      <c r="A1704" s="1"/>
      <c r="B1704" s="8"/>
      <c r="C1704" s="8"/>
      <c r="D1704" s="8"/>
      <c r="E1704" s="8"/>
      <c r="F1704" s="8"/>
      <c r="G1704" s="8"/>
      <c r="H1704" s="8"/>
      <c r="I1704" s="8"/>
      <c r="J1704" s="8"/>
      <c r="K1704" s="8"/>
      <c r="L1704" s="56"/>
      <c r="M1704" s="26"/>
      <c r="N1704" s="26"/>
      <c r="O1704" s="8"/>
      <c r="P1704" s="1"/>
      <c r="Q1704" s="8"/>
      <c r="R1704" s="8"/>
      <c r="S1704" s="1"/>
      <c r="T1704" s="8"/>
      <c r="U1704" s="8"/>
      <c r="V1704" s="16"/>
      <c r="W1704" s="1"/>
      <c r="X1704" s="1"/>
    </row>
    <row r="1705" spans="1:24" ht="14.4">
      <c r="A1705" s="1"/>
      <c r="B1705" s="8"/>
      <c r="C1705" s="8"/>
      <c r="D1705" s="8"/>
      <c r="E1705" s="8"/>
      <c r="F1705" s="8"/>
      <c r="G1705" s="8"/>
      <c r="H1705" s="8"/>
      <c r="I1705" s="8"/>
      <c r="J1705" s="8"/>
      <c r="K1705" s="8"/>
      <c r="L1705" s="56"/>
      <c r="M1705" s="26"/>
      <c r="N1705" s="26"/>
      <c r="O1705" s="8"/>
      <c r="P1705" s="1"/>
      <c r="Q1705" s="8"/>
      <c r="R1705" s="8"/>
      <c r="S1705" s="1"/>
      <c r="T1705" s="8"/>
      <c r="U1705" s="8"/>
      <c r="V1705" s="16"/>
      <c r="W1705" s="1"/>
      <c r="X1705" s="1"/>
    </row>
    <row r="1706" spans="1:24" ht="14.4">
      <c r="A1706" s="1"/>
      <c r="B1706" s="8"/>
      <c r="C1706" s="8"/>
      <c r="D1706" s="8"/>
      <c r="E1706" s="8"/>
      <c r="F1706" s="8"/>
      <c r="G1706" s="8"/>
      <c r="H1706" s="8"/>
      <c r="I1706" s="8"/>
      <c r="J1706" s="8"/>
      <c r="K1706" s="8"/>
      <c r="L1706" s="56"/>
      <c r="M1706" s="26"/>
      <c r="N1706" s="26"/>
      <c r="O1706" s="8"/>
      <c r="P1706" s="1"/>
      <c r="Q1706" s="8"/>
      <c r="R1706" s="8"/>
      <c r="S1706" s="1"/>
      <c r="T1706" s="8"/>
      <c r="U1706" s="8"/>
      <c r="V1706" s="16"/>
      <c r="W1706" s="1"/>
      <c r="X1706" s="1"/>
    </row>
    <row r="1707" spans="1:24" ht="14.4">
      <c r="A1707" s="1"/>
      <c r="B1707" s="8"/>
      <c r="C1707" s="8"/>
      <c r="D1707" s="8"/>
      <c r="E1707" s="8"/>
      <c r="F1707" s="8"/>
      <c r="G1707" s="8"/>
      <c r="H1707" s="8"/>
      <c r="I1707" s="8"/>
      <c r="J1707" s="8"/>
      <c r="K1707" s="8"/>
      <c r="L1707" s="56"/>
      <c r="M1707" s="26"/>
      <c r="N1707" s="26"/>
      <c r="O1707" s="8"/>
      <c r="P1707" s="1"/>
      <c r="Q1707" s="8"/>
      <c r="R1707" s="8"/>
      <c r="S1707" s="1"/>
      <c r="T1707" s="8"/>
      <c r="U1707" s="8"/>
      <c r="V1707" s="16"/>
      <c r="W1707" s="1"/>
      <c r="X1707" s="1"/>
    </row>
    <row r="1708" spans="1:24" ht="14.4">
      <c r="A1708" s="1"/>
      <c r="B1708" s="8"/>
      <c r="C1708" s="8"/>
      <c r="D1708" s="8"/>
      <c r="E1708" s="8"/>
      <c r="F1708" s="8"/>
      <c r="G1708" s="8"/>
      <c r="H1708" s="8"/>
      <c r="I1708" s="8"/>
      <c r="J1708" s="8"/>
      <c r="K1708" s="8"/>
      <c r="L1708" s="56"/>
      <c r="M1708" s="26"/>
      <c r="N1708" s="26"/>
      <c r="O1708" s="8"/>
      <c r="P1708" s="1"/>
      <c r="Q1708" s="8"/>
      <c r="R1708" s="8"/>
      <c r="S1708" s="1"/>
      <c r="T1708" s="8"/>
      <c r="U1708" s="8"/>
      <c r="V1708" s="16"/>
      <c r="W1708" s="1"/>
      <c r="X1708" s="1"/>
    </row>
    <row r="1709" spans="1:24" ht="14.4">
      <c r="A1709" s="1"/>
      <c r="B1709" s="8"/>
      <c r="C1709" s="8"/>
      <c r="D1709" s="8"/>
      <c r="E1709" s="8"/>
      <c r="F1709" s="8"/>
      <c r="G1709" s="8"/>
      <c r="H1709" s="8"/>
      <c r="I1709" s="8"/>
      <c r="J1709" s="8"/>
      <c r="K1709" s="8"/>
      <c r="L1709" s="56"/>
      <c r="M1709" s="26"/>
      <c r="N1709" s="26"/>
      <c r="O1709" s="8"/>
      <c r="P1709" s="1"/>
      <c r="Q1709" s="8"/>
      <c r="R1709" s="8"/>
      <c r="S1709" s="1"/>
      <c r="T1709" s="8"/>
      <c r="U1709" s="8"/>
      <c r="V1709" s="16"/>
      <c r="W1709" s="1"/>
      <c r="X1709" s="1"/>
    </row>
    <row r="1710" spans="1:24" ht="14.4">
      <c r="A1710" s="1"/>
      <c r="B1710" s="8"/>
      <c r="C1710" s="8"/>
      <c r="D1710" s="8"/>
      <c r="E1710" s="8"/>
      <c r="F1710" s="8"/>
      <c r="G1710" s="8"/>
      <c r="H1710" s="8"/>
      <c r="I1710" s="8"/>
      <c r="J1710" s="8"/>
      <c r="K1710" s="8"/>
      <c r="L1710" s="56"/>
      <c r="M1710" s="26"/>
      <c r="N1710" s="26"/>
      <c r="O1710" s="8"/>
      <c r="P1710" s="1"/>
      <c r="Q1710" s="8"/>
      <c r="R1710" s="8"/>
      <c r="S1710" s="1"/>
      <c r="T1710" s="8"/>
      <c r="U1710" s="8"/>
      <c r="V1710" s="16"/>
      <c r="W1710" s="1"/>
      <c r="X1710" s="1"/>
    </row>
    <row r="1711" spans="1:24" ht="14.4">
      <c r="A1711" s="1"/>
      <c r="B1711" s="8"/>
      <c r="C1711" s="8"/>
      <c r="D1711" s="8"/>
      <c r="E1711" s="8"/>
      <c r="F1711" s="8"/>
      <c r="G1711" s="8"/>
      <c r="H1711" s="8"/>
      <c r="I1711" s="8"/>
      <c r="J1711" s="8"/>
      <c r="K1711" s="8"/>
      <c r="L1711" s="56"/>
      <c r="M1711" s="26"/>
      <c r="N1711" s="26"/>
      <c r="O1711" s="8"/>
      <c r="P1711" s="1"/>
      <c r="Q1711" s="8"/>
      <c r="R1711" s="8"/>
      <c r="S1711" s="1"/>
      <c r="T1711" s="8"/>
      <c r="U1711" s="8"/>
      <c r="V1711" s="16"/>
      <c r="W1711" s="1"/>
      <c r="X1711" s="1"/>
    </row>
    <row r="1712" spans="1:24" ht="14.4">
      <c r="A1712" s="1"/>
      <c r="B1712" s="8"/>
      <c r="C1712" s="8"/>
      <c r="D1712" s="8"/>
      <c r="E1712" s="8"/>
      <c r="F1712" s="8"/>
      <c r="G1712" s="8"/>
      <c r="H1712" s="8"/>
      <c r="I1712" s="8"/>
      <c r="J1712" s="8"/>
      <c r="K1712" s="8"/>
      <c r="L1712" s="56"/>
      <c r="M1712" s="26"/>
      <c r="N1712" s="26"/>
      <c r="O1712" s="8"/>
      <c r="P1712" s="1"/>
      <c r="Q1712" s="8"/>
      <c r="R1712" s="8"/>
      <c r="S1712" s="1"/>
      <c r="T1712" s="8"/>
      <c r="U1712" s="8"/>
      <c r="V1712" s="16"/>
      <c r="W1712" s="1"/>
      <c r="X1712" s="1"/>
    </row>
    <row r="1713" spans="1:24" ht="14.4">
      <c r="A1713" s="1"/>
      <c r="B1713" s="8"/>
      <c r="C1713" s="8"/>
      <c r="D1713" s="8"/>
      <c r="E1713" s="8"/>
      <c r="F1713" s="8"/>
      <c r="G1713" s="8"/>
      <c r="H1713" s="8"/>
      <c r="I1713" s="8"/>
      <c r="J1713" s="8"/>
      <c r="K1713" s="8"/>
      <c r="L1713" s="56"/>
      <c r="M1713" s="26"/>
      <c r="N1713" s="26"/>
      <c r="O1713" s="8"/>
      <c r="P1713" s="1"/>
      <c r="Q1713" s="8"/>
      <c r="R1713" s="8"/>
      <c r="S1713" s="1"/>
      <c r="T1713" s="8"/>
      <c r="U1713" s="8"/>
      <c r="V1713" s="16"/>
      <c r="W1713" s="1"/>
      <c r="X1713" s="1"/>
    </row>
    <row r="1714" spans="1:24" ht="14.4">
      <c r="A1714" s="1"/>
      <c r="B1714" s="8"/>
      <c r="C1714" s="8"/>
      <c r="D1714" s="8"/>
      <c r="E1714" s="8"/>
      <c r="F1714" s="8"/>
      <c r="G1714" s="8"/>
      <c r="H1714" s="8"/>
      <c r="I1714" s="8"/>
      <c r="J1714" s="8"/>
      <c r="K1714" s="8"/>
      <c r="L1714" s="56"/>
      <c r="M1714" s="26"/>
      <c r="N1714" s="26"/>
      <c r="O1714" s="8"/>
      <c r="P1714" s="1"/>
      <c r="Q1714" s="8"/>
      <c r="R1714" s="8"/>
      <c r="S1714" s="1"/>
      <c r="T1714" s="8"/>
      <c r="U1714" s="8"/>
      <c r="V1714" s="16"/>
      <c r="W1714" s="1"/>
      <c r="X1714" s="1"/>
    </row>
    <row r="1715" spans="1:24" ht="14.4">
      <c r="A1715" s="1"/>
      <c r="B1715" s="8"/>
      <c r="C1715" s="8"/>
      <c r="D1715" s="8"/>
      <c r="E1715" s="8"/>
      <c r="F1715" s="8"/>
      <c r="G1715" s="8"/>
      <c r="H1715" s="8"/>
      <c r="I1715" s="8"/>
      <c r="J1715" s="8"/>
      <c r="K1715" s="8"/>
      <c r="L1715" s="56"/>
      <c r="M1715" s="26"/>
      <c r="N1715" s="26"/>
      <c r="O1715" s="8"/>
      <c r="P1715" s="1"/>
      <c r="Q1715" s="8"/>
      <c r="R1715" s="8"/>
      <c r="S1715" s="1"/>
      <c r="T1715" s="8"/>
      <c r="U1715" s="8"/>
      <c r="V1715" s="16"/>
      <c r="W1715" s="1"/>
      <c r="X1715" s="1"/>
    </row>
    <row r="1716" spans="1:24" ht="14.4">
      <c r="A1716" s="1"/>
      <c r="B1716" s="8"/>
      <c r="C1716" s="8"/>
      <c r="D1716" s="8"/>
      <c r="E1716" s="8"/>
      <c r="F1716" s="8"/>
      <c r="G1716" s="8"/>
      <c r="H1716" s="8"/>
      <c r="I1716" s="8"/>
      <c r="J1716" s="8"/>
      <c r="K1716" s="8"/>
      <c r="L1716" s="56"/>
      <c r="M1716" s="26"/>
      <c r="N1716" s="26"/>
      <c r="O1716" s="8"/>
      <c r="P1716" s="1"/>
      <c r="Q1716" s="8"/>
      <c r="R1716" s="8"/>
      <c r="S1716" s="1"/>
      <c r="T1716" s="8"/>
      <c r="U1716" s="8"/>
      <c r="V1716" s="16"/>
      <c r="W1716" s="1"/>
      <c r="X1716" s="1"/>
    </row>
    <row r="1717" spans="1:24" ht="14.4">
      <c r="A1717" s="1"/>
      <c r="B1717" s="8"/>
      <c r="C1717" s="8"/>
      <c r="D1717" s="8"/>
      <c r="E1717" s="8"/>
      <c r="F1717" s="8"/>
      <c r="G1717" s="8"/>
      <c r="H1717" s="8"/>
      <c r="I1717" s="8"/>
      <c r="J1717" s="8"/>
      <c r="K1717" s="8"/>
      <c r="L1717" s="56"/>
      <c r="M1717" s="26"/>
      <c r="N1717" s="26"/>
      <c r="O1717" s="8"/>
      <c r="P1717" s="1"/>
      <c r="Q1717" s="8"/>
      <c r="R1717" s="8"/>
      <c r="S1717" s="1"/>
      <c r="T1717" s="8"/>
      <c r="U1717" s="8"/>
      <c r="V1717" s="16"/>
      <c r="W1717" s="1"/>
      <c r="X1717" s="1"/>
    </row>
    <row r="1718" spans="1:24" ht="14.4">
      <c r="A1718" s="1"/>
      <c r="B1718" s="8"/>
      <c r="C1718" s="8"/>
      <c r="D1718" s="8"/>
      <c r="E1718" s="8"/>
      <c r="F1718" s="8"/>
      <c r="G1718" s="8"/>
      <c r="H1718" s="8"/>
      <c r="I1718" s="8"/>
      <c r="J1718" s="8"/>
      <c r="K1718" s="8"/>
      <c r="L1718" s="56"/>
      <c r="M1718" s="26"/>
      <c r="N1718" s="26"/>
      <c r="O1718" s="8"/>
      <c r="P1718" s="1"/>
      <c r="Q1718" s="8"/>
      <c r="R1718" s="8"/>
      <c r="S1718" s="1"/>
      <c r="T1718" s="8"/>
      <c r="U1718" s="8"/>
      <c r="V1718" s="16"/>
      <c r="W1718" s="1"/>
      <c r="X1718" s="1"/>
    </row>
    <row r="1719" spans="1:24" ht="14.4">
      <c r="A1719" s="1"/>
      <c r="B1719" s="8"/>
      <c r="C1719" s="8"/>
      <c r="D1719" s="8"/>
      <c r="E1719" s="8"/>
      <c r="F1719" s="8"/>
      <c r="G1719" s="8"/>
      <c r="H1719" s="8"/>
      <c r="I1719" s="8"/>
      <c r="J1719" s="8"/>
      <c r="K1719" s="8"/>
      <c r="L1719" s="56"/>
      <c r="M1719" s="26"/>
      <c r="N1719" s="26"/>
      <c r="O1719" s="8"/>
      <c r="P1719" s="1"/>
      <c r="Q1719" s="8"/>
      <c r="R1719" s="8"/>
      <c r="S1719" s="1"/>
      <c r="T1719" s="8"/>
      <c r="U1719" s="8"/>
      <c r="V1719" s="16"/>
      <c r="W1719" s="1"/>
      <c r="X1719" s="1"/>
    </row>
    <row r="1720" spans="1:24" ht="14.4">
      <c r="A1720" s="1"/>
      <c r="B1720" s="8"/>
      <c r="C1720" s="8"/>
      <c r="D1720" s="8"/>
      <c r="E1720" s="8"/>
      <c r="F1720" s="8"/>
      <c r="G1720" s="8"/>
      <c r="H1720" s="8"/>
      <c r="I1720" s="8"/>
      <c r="J1720" s="8"/>
      <c r="K1720" s="8"/>
      <c r="L1720" s="56"/>
      <c r="M1720" s="26"/>
      <c r="N1720" s="26"/>
      <c r="O1720" s="8"/>
      <c r="P1720" s="1"/>
      <c r="Q1720" s="8"/>
      <c r="R1720" s="8"/>
      <c r="S1720" s="1"/>
      <c r="T1720" s="8"/>
      <c r="U1720" s="8"/>
      <c r="V1720" s="16"/>
      <c r="W1720" s="1"/>
      <c r="X1720" s="1"/>
    </row>
    <row r="1721" spans="1:24" ht="14.4">
      <c r="A1721" s="1"/>
      <c r="B1721" s="8"/>
      <c r="C1721" s="8"/>
      <c r="D1721" s="8"/>
      <c r="E1721" s="8"/>
      <c r="F1721" s="8"/>
      <c r="G1721" s="8"/>
      <c r="H1721" s="8"/>
      <c r="I1721" s="8"/>
      <c r="J1721" s="8"/>
      <c r="K1721" s="8"/>
      <c r="L1721" s="56"/>
      <c r="M1721" s="26"/>
      <c r="N1721" s="26"/>
      <c r="O1721" s="8"/>
      <c r="P1721" s="1"/>
      <c r="Q1721" s="8"/>
      <c r="R1721" s="8"/>
      <c r="S1721" s="1"/>
      <c r="T1721" s="8"/>
      <c r="U1721" s="8"/>
      <c r="V1721" s="16"/>
      <c r="W1721" s="1"/>
      <c r="X1721" s="1"/>
    </row>
    <row r="1722" spans="1:24" ht="14.4">
      <c r="A1722" s="1"/>
      <c r="B1722" s="8"/>
      <c r="C1722" s="8"/>
      <c r="D1722" s="8"/>
      <c r="E1722" s="8"/>
      <c r="F1722" s="8"/>
      <c r="G1722" s="8"/>
      <c r="H1722" s="8"/>
      <c r="I1722" s="8"/>
      <c r="J1722" s="8"/>
      <c r="K1722" s="8"/>
      <c r="L1722" s="56"/>
      <c r="M1722" s="26"/>
      <c r="N1722" s="26"/>
      <c r="O1722" s="8"/>
      <c r="P1722" s="1"/>
      <c r="Q1722" s="8"/>
      <c r="R1722" s="8"/>
      <c r="S1722" s="1"/>
      <c r="T1722" s="8"/>
      <c r="U1722" s="8"/>
      <c r="V1722" s="16"/>
      <c r="W1722" s="1"/>
      <c r="X1722" s="1"/>
    </row>
    <row r="1723" spans="1:24" ht="14.4">
      <c r="A1723" s="1"/>
      <c r="B1723" s="8"/>
      <c r="C1723" s="8"/>
      <c r="D1723" s="8"/>
      <c r="E1723" s="8"/>
      <c r="F1723" s="8"/>
      <c r="G1723" s="8"/>
      <c r="H1723" s="8"/>
      <c r="I1723" s="8"/>
      <c r="J1723" s="8"/>
      <c r="K1723" s="8"/>
      <c r="L1723" s="56"/>
      <c r="M1723" s="26"/>
      <c r="N1723" s="26"/>
      <c r="O1723" s="8"/>
      <c r="P1723" s="1"/>
      <c r="Q1723" s="8"/>
      <c r="R1723" s="8"/>
      <c r="S1723" s="1"/>
      <c r="T1723" s="8"/>
      <c r="U1723" s="8"/>
      <c r="V1723" s="16"/>
      <c r="W1723" s="1"/>
      <c r="X1723" s="1"/>
    </row>
    <row r="1724" spans="1:24" ht="14.4">
      <c r="A1724" s="1"/>
      <c r="B1724" s="8"/>
      <c r="C1724" s="8"/>
      <c r="D1724" s="8"/>
      <c r="E1724" s="8"/>
      <c r="F1724" s="8"/>
      <c r="G1724" s="8"/>
      <c r="H1724" s="8"/>
      <c r="I1724" s="8"/>
      <c r="J1724" s="8"/>
      <c r="K1724" s="8"/>
      <c r="L1724" s="56"/>
      <c r="M1724" s="26"/>
      <c r="N1724" s="26"/>
      <c r="O1724" s="8"/>
      <c r="P1724" s="1"/>
      <c r="Q1724" s="8"/>
      <c r="R1724" s="8"/>
      <c r="S1724" s="1"/>
      <c r="T1724" s="8"/>
      <c r="U1724" s="8"/>
      <c r="V1724" s="16"/>
      <c r="W1724" s="1"/>
      <c r="X1724" s="1"/>
    </row>
    <row r="1725" spans="1:24" ht="14.4">
      <c r="A1725" s="1"/>
      <c r="B1725" s="8"/>
      <c r="C1725" s="8"/>
      <c r="D1725" s="8"/>
      <c r="E1725" s="8"/>
      <c r="F1725" s="8"/>
      <c r="G1725" s="8"/>
      <c r="H1725" s="8"/>
      <c r="I1725" s="8"/>
      <c r="J1725" s="8"/>
      <c r="K1725" s="8"/>
      <c r="L1725" s="56"/>
      <c r="M1725" s="26"/>
      <c r="N1725" s="26"/>
      <c r="O1725" s="8"/>
      <c r="P1725" s="1"/>
      <c r="Q1725" s="8"/>
      <c r="R1725" s="8"/>
      <c r="S1725" s="1"/>
      <c r="T1725" s="8"/>
      <c r="U1725" s="8"/>
      <c r="V1725" s="16"/>
      <c r="W1725" s="1"/>
      <c r="X1725" s="1"/>
    </row>
    <row r="1726" spans="1:24" ht="14.4">
      <c r="A1726" s="1"/>
      <c r="B1726" s="8"/>
      <c r="C1726" s="8"/>
      <c r="D1726" s="8"/>
      <c r="E1726" s="8"/>
      <c r="F1726" s="8"/>
      <c r="G1726" s="8"/>
      <c r="H1726" s="8"/>
      <c r="I1726" s="8"/>
      <c r="J1726" s="8"/>
      <c r="K1726" s="8"/>
      <c r="L1726" s="56"/>
      <c r="M1726" s="26"/>
      <c r="N1726" s="26"/>
      <c r="O1726" s="8"/>
      <c r="P1726" s="1"/>
      <c r="Q1726" s="8"/>
      <c r="R1726" s="8"/>
      <c r="S1726" s="1"/>
      <c r="T1726" s="8"/>
      <c r="U1726" s="8"/>
      <c r="V1726" s="16"/>
      <c r="W1726" s="1"/>
      <c r="X1726" s="1"/>
    </row>
    <row r="1727" spans="1:24" ht="14.4">
      <c r="A1727" s="1"/>
      <c r="B1727" s="8"/>
      <c r="C1727" s="8"/>
      <c r="D1727" s="8"/>
      <c r="E1727" s="8"/>
      <c r="F1727" s="8"/>
      <c r="G1727" s="8"/>
      <c r="H1727" s="8"/>
      <c r="I1727" s="8"/>
      <c r="J1727" s="8"/>
      <c r="K1727" s="8"/>
      <c r="L1727" s="56"/>
      <c r="M1727" s="26"/>
      <c r="N1727" s="26"/>
      <c r="O1727" s="8"/>
      <c r="P1727" s="1"/>
      <c r="Q1727" s="8"/>
      <c r="R1727" s="8"/>
      <c r="S1727" s="1"/>
      <c r="T1727" s="8"/>
      <c r="U1727" s="8"/>
      <c r="V1727" s="16"/>
      <c r="W1727" s="1"/>
      <c r="X1727" s="1"/>
    </row>
    <row r="1728" spans="1:24" ht="14.4">
      <c r="A1728" s="1"/>
      <c r="B1728" s="8"/>
      <c r="C1728" s="8"/>
      <c r="D1728" s="8"/>
      <c r="E1728" s="8"/>
      <c r="F1728" s="8"/>
      <c r="G1728" s="8"/>
      <c r="H1728" s="8"/>
      <c r="I1728" s="8"/>
      <c r="J1728" s="8"/>
      <c r="K1728" s="8"/>
      <c r="L1728" s="56"/>
      <c r="M1728" s="26"/>
      <c r="N1728" s="26"/>
      <c r="O1728" s="8"/>
      <c r="P1728" s="1"/>
      <c r="Q1728" s="8"/>
      <c r="R1728" s="8"/>
      <c r="S1728" s="1"/>
      <c r="T1728" s="8"/>
      <c r="U1728" s="8"/>
      <c r="V1728" s="16"/>
      <c r="W1728" s="1"/>
      <c r="X1728" s="1"/>
    </row>
    <row r="1729" spans="1:24" ht="14.4">
      <c r="A1729" s="1"/>
      <c r="B1729" s="8"/>
      <c r="C1729" s="8"/>
      <c r="D1729" s="8"/>
      <c r="E1729" s="8"/>
      <c r="F1729" s="8"/>
      <c r="G1729" s="8"/>
      <c r="H1729" s="8"/>
      <c r="I1729" s="8"/>
      <c r="J1729" s="8"/>
      <c r="K1729" s="8"/>
      <c r="L1729" s="56"/>
      <c r="M1729" s="26"/>
      <c r="N1729" s="26"/>
      <c r="O1729" s="8"/>
      <c r="P1729" s="1"/>
      <c r="Q1729" s="8"/>
      <c r="R1729" s="8"/>
      <c r="S1729" s="1"/>
      <c r="T1729" s="8"/>
      <c r="U1729" s="8"/>
      <c r="V1729" s="16"/>
      <c r="W1729" s="1"/>
      <c r="X1729" s="1"/>
    </row>
    <row r="1730" spans="1:24" ht="14.4">
      <c r="A1730" s="1"/>
      <c r="B1730" s="8"/>
      <c r="C1730" s="8"/>
      <c r="D1730" s="8"/>
      <c r="E1730" s="8"/>
      <c r="F1730" s="8"/>
      <c r="G1730" s="8"/>
      <c r="H1730" s="8"/>
      <c r="I1730" s="8"/>
      <c r="J1730" s="8"/>
      <c r="K1730" s="8"/>
      <c r="L1730" s="56"/>
      <c r="M1730" s="26"/>
      <c r="N1730" s="26"/>
      <c r="O1730" s="8"/>
      <c r="P1730" s="1"/>
      <c r="Q1730" s="8"/>
      <c r="R1730" s="8"/>
      <c r="S1730" s="1"/>
      <c r="T1730" s="8"/>
      <c r="U1730" s="8"/>
      <c r="V1730" s="16"/>
      <c r="W1730" s="1"/>
      <c r="X1730" s="1"/>
    </row>
    <row r="1731" spans="1:24" ht="14.4">
      <c r="A1731" s="1"/>
      <c r="B1731" s="8"/>
      <c r="C1731" s="8"/>
      <c r="D1731" s="8"/>
      <c r="E1731" s="8"/>
      <c r="F1731" s="8"/>
      <c r="G1731" s="8"/>
      <c r="H1731" s="8"/>
      <c r="I1731" s="8"/>
      <c r="J1731" s="8"/>
      <c r="K1731" s="8"/>
      <c r="L1731" s="56"/>
      <c r="M1731" s="26"/>
      <c r="N1731" s="26"/>
      <c r="O1731" s="8"/>
      <c r="P1731" s="1"/>
      <c r="Q1731" s="8"/>
      <c r="R1731" s="8"/>
      <c r="S1731" s="1"/>
      <c r="T1731" s="8"/>
      <c r="U1731" s="8"/>
      <c r="V1731" s="16"/>
      <c r="W1731" s="1"/>
      <c r="X1731" s="1"/>
    </row>
    <row r="1732" spans="1:24" ht="14.4">
      <c r="A1732" s="1"/>
      <c r="B1732" s="8"/>
      <c r="C1732" s="8"/>
      <c r="D1732" s="8"/>
      <c r="E1732" s="8"/>
      <c r="F1732" s="8"/>
      <c r="G1732" s="8"/>
      <c r="H1732" s="8"/>
      <c r="I1732" s="8"/>
      <c r="J1732" s="8"/>
      <c r="K1732" s="8"/>
      <c r="L1732" s="56"/>
      <c r="M1732" s="26"/>
      <c r="N1732" s="26"/>
      <c r="O1732" s="8"/>
      <c r="P1732" s="1"/>
      <c r="Q1732" s="8"/>
      <c r="R1732" s="8"/>
      <c r="S1732" s="1"/>
      <c r="T1732" s="8"/>
      <c r="U1732" s="8"/>
      <c r="V1732" s="16"/>
      <c r="W1732" s="1"/>
      <c r="X1732" s="1"/>
    </row>
    <row r="1733" spans="1:24" ht="14.4">
      <c r="A1733" s="1"/>
      <c r="B1733" s="8"/>
      <c r="C1733" s="8"/>
      <c r="D1733" s="8"/>
      <c r="E1733" s="8"/>
      <c r="F1733" s="8"/>
      <c r="G1733" s="8"/>
      <c r="H1733" s="8"/>
      <c r="I1733" s="8"/>
      <c r="J1733" s="8"/>
      <c r="K1733" s="8"/>
      <c r="L1733" s="56"/>
      <c r="M1733" s="26"/>
      <c r="N1733" s="26"/>
      <c r="O1733" s="8"/>
      <c r="P1733" s="1"/>
      <c r="Q1733" s="8"/>
      <c r="R1733" s="8"/>
      <c r="S1733" s="1"/>
      <c r="T1733" s="8"/>
      <c r="U1733" s="8"/>
      <c r="V1733" s="16"/>
      <c r="W1733" s="1"/>
      <c r="X1733" s="1"/>
    </row>
    <row r="1734" spans="1:24" ht="14.4">
      <c r="A1734" s="1"/>
      <c r="B1734" s="8"/>
      <c r="C1734" s="8"/>
      <c r="D1734" s="8"/>
      <c r="E1734" s="8"/>
      <c r="F1734" s="8"/>
      <c r="G1734" s="8"/>
      <c r="H1734" s="8"/>
      <c r="I1734" s="8"/>
      <c r="J1734" s="8"/>
      <c r="K1734" s="8"/>
      <c r="L1734" s="56"/>
      <c r="M1734" s="26"/>
      <c r="N1734" s="26"/>
      <c r="O1734" s="8"/>
      <c r="P1734" s="1"/>
      <c r="Q1734" s="8"/>
      <c r="R1734" s="8"/>
      <c r="S1734" s="1"/>
      <c r="T1734" s="8"/>
      <c r="U1734" s="8"/>
      <c r="V1734" s="16"/>
      <c r="W1734" s="1"/>
      <c r="X1734" s="1"/>
    </row>
    <row r="1735" spans="1:24" ht="14.4">
      <c r="A1735" s="1"/>
      <c r="B1735" s="8"/>
      <c r="C1735" s="8"/>
      <c r="D1735" s="8"/>
      <c r="E1735" s="8"/>
      <c r="F1735" s="8"/>
      <c r="G1735" s="8"/>
      <c r="H1735" s="8"/>
      <c r="I1735" s="8"/>
      <c r="J1735" s="8"/>
      <c r="K1735" s="8"/>
      <c r="L1735" s="56"/>
      <c r="M1735" s="26"/>
      <c r="N1735" s="26"/>
      <c r="O1735" s="8"/>
      <c r="P1735" s="1"/>
      <c r="Q1735" s="8"/>
      <c r="R1735" s="8"/>
      <c r="S1735" s="1"/>
      <c r="T1735" s="8"/>
      <c r="U1735" s="8"/>
      <c r="V1735" s="16"/>
      <c r="W1735" s="1"/>
      <c r="X1735" s="1"/>
    </row>
    <row r="1736" spans="1:24" ht="14.4">
      <c r="A1736" s="1"/>
      <c r="B1736" s="8"/>
      <c r="C1736" s="8"/>
      <c r="D1736" s="8"/>
      <c r="E1736" s="8"/>
      <c r="F1736" s="8"/>
      <c r="G1736" s="8"/>
      <c r="H1736" s="8"/>
      <c r="I1736" s="8"/>
      <c r="J1736" s="8"/>
      <c r="K1736" s="8"/>
      <c r="L1736" s="56"/>
      <c r="M1736" s="26"/>
      <c r="N1736" s="26"/>
      <c r="O1736" s="8"/>
      <c r="P1736" s="1"/>
      <c r="Q1736" s="8"/>
      <c r="R1736" s="8"/>
      <c r="S1736" s="1"/>
      <c r="T1736" s="8"/>
      <c r="U1736" s="8"/>
      <c r="V1736" s="16"/>
      <c r="W1736" s="1"/>
      <c r="X1736" s="1"/>
    </row>
    <row r="1737" spans="1:24" ht="14.4">
      <c r="A1737" s="1"/>
      <c r="B1737" s="8"/>
      <c r="C1737" s="8"/>
      <c r="D1737" s="8"/>
      <c r="E1737" s="8"/>
      <c r="F1737" s="8"/>
      <c r="G1737" s="8"/>
      <c r="H1737" s="8"/>
      <c r="I1737" s="8"/>
      <c r="J1737" s="8"/>
      <c r="K1737" s="8"/>
      <c r="L1737" s="56"/>
      <c r="M1737" s="26"/>
      <c r="N1737" s="26"/>
      <c r="O1737" s="8"/>
      <c r="P1737" s="1"/>
      <c r="Q1737" s="8"/>
      <c r="R1737" s="8"/>
      <c r="S1737" s="1"/>
      <c r="T1737" s="8"/>
      <c r="U1737" s="8"/>
      <c r="V1737" s="16"/>
      <c r="W1737" s="1"/>
      <c r="X1737" s="1"/>
    </row>
    <row r="1738" spans="1:24" ht="14.4">
      <c r="A1738" s="1"/>
      <c r="B1738" s="8"/>
      <c r="C1738" s="8"/>
      <c r="D1738" s="8"/>
      <c r="E1738" s="8"/>
      <c r="F1738" s="8"/>
      <c r="G1738" s="8"/>
      <c r="H1738" s="8"/>
      <c r="I1738" s="8"/>
      <c r="J1738" s="8"/>
      <c r="K1738" s="8"/>
      <c r="L1738" s="56"/>
      <c r="M1738" s="26"/>
      <c r="N1738" s="26"/>
      <c r="O1738" s="8"/>
      <c r="P1738" s="1"/>
      <c r="Q1738" s="8"/>
      <c r="R1738" s="8"/>
      <c r="S1738" s="1"/>
      <c r="T1738" s="8"/>
      <c r="U1738" s="8"/>
      <c r="V1738" s="16"/>
      <c r="W1738" s="1"/>
      <c r="X1738" s="1"/>
    </row>
    <row r="1739" spans="1:24" ht="14.4">
      <c r="A1739" s="1"/>
      <c r="B1739" s="8"/>
      <c r="C1739" s="8"/>
      <c r="D1739" s="8"/>
      <c r="E1739" s="8"/>
      <c r="F1739" s="8"/>
      <c r="G1739" s="8"/>
      <c r="H1739" s="8"/>
      <c r="I1739" s="8"/>
      <c r="J1739" s="8"/>
      <c r="K1739" s="8"/>
      <c r="L1739" s="56"/>
      <c r="M1739" s="26"/>
      <c r="N1739" s="26"/>
      <c r="O1739" s="8"/>
      <c r="P1739" s="1"/>
      <c r="Q1739" s="8"/>
      <c r="R1739" s="8"/>
      <c r="S1739" s="1"/>
      <c r="T1739" s="8"/>
      <c r="U1739" s="8"/>
      <c r="V1739" s="16"/>
      <c r="W1739" s="1"/>
      <c r="X1739" s="1"/>
    </row>
    <row r="1740" spans="1:24" ht="14.4">
      <c r="A1740" s="1"/>
      <c r="B1740" s="8"/>
      <c r="C1740" s="8"/>
      <c r="D1740" s="8"/>
      <c r="E1740" s="8"/>
      <c r="F1740" s="8"/>
      <c r="G1740" s="8"/>
      <c r="H1740" s="8"/>
      <c r="I1740" s="8"/>
      <c r="J1740" s="8"/>
      <c r="K1740" s="8"/>
      <c r="L1740" s="56"/>
      <c r="M1740" s="26"/>
      <c r="N1740" s="26"/>
      <c r="O1740" s="8"/>
      <c r="P1740" s="1"/>
      <c r="Q1740" s="8"/>
      <c r="R1740" s="8"/>
      <c r="S1740" s="1"/>
      <c r="T1740" s="8"/>
      <c r="U1740" s="8"/>
      <c r="V1740" s="16"/>
      <c r="W1740" s="1"/>
      <c r="X1740" s="1"/>
    </row>
    <row r="1741" spans="1:24" ht="14.4">
      <c r="A1741" s="1"/>
      <c r="B1741" s="8"/>
      <c r="C1741" s="8"/>
      <c r="D1741" s="8"/>
      <c r="E1741" s="8"/>
      <c r="F1741" s="8"/>
      <c r="G1741" s="8"/>
      <c r="H1741" s="8"/>
      <c r="I1741" s="8"/>
      <c r="J1741" s="8"/>
      <c r="K1741" s="8"/>
      <c r="L1741" s="56"/>
      <c r="M1741" s="26"/>
      <c r="N1741" s="26"/>
      <c r="O1741" s="8"/>
      <c r="P1741" s="1"/>
      <c r="Q1741" s="8"/>
      <c r="R1741" s="8"/>
      <c r="S1741" s="1"/>
      <c r="T1741" s="8"/>
      <c r="U1741" s="8"/>
      <c r="V1741" s="16"/>
      <c r="W1741" s="1"/>
      <c r="X1741" s="1"/>
    </row>
    <row r="1742" spans="1:24" ht="14.4">
      <c r="A1742" s="1"/>
      <c r="B1742" s="8"/>
      <c r="C1742" s="8"/>
      <c r="D1742" s="8"/>
      <c r="E1742" s="8"/>
      <c r="F1742" s="8"/>
      <c r="G1742" s="8"/>
      <c r="H1742" s="8"/>
      <c r="I1742" s="8"/>
      <c r="J1742" s="8"/>
      <c r="K1742" s="8"/>
      <c r="L1742" s="56"/>
      <c r="M1742" s="26"/>
      <c r="N1742" s="26"/>
      <c r="O1742" s="8"/>
      <c r="P1742" s="1"/>
      <c r="Q1742" s="8"/>
      <c r="R1742" s="8"/>
      <c r="S1742" s="1"/>
      <c r="T1742" s="8"/>
      <c r="U1742" s="8"/>
      <c r="V1742" s="16"/>
      <c r="W1742" s="1"/>
      <c r="X1742" s="1"/>
    </row>
    <row r="1743" spans="1:24" ht="14.4">
      <c r="A1743" s="1"/>
      <c r="B1743" s="8"/>
      <c r="C1743" s="8"/>
      <c r="D1743" s="8"/>
      <c r="E1743" s="8"/>
      <c r="F1743" s="8"/>
      <c r="G1743" s="8"/>
      <c r="H1743" s="8"/>
      <c r="I1743" s="8"/>
      <c r="J1743" s="8"/>
      <c r="K1743" s="8"/>
      <c r="L1743" s="56"/>
      <c r="M1743" s="26"/>
      <c r="N1743" s="26"/>
      <c r="O1743" s="8"/>
      <c r="P1743" s="1"/>
      <c r="Q1743" s="8"/>
      <c r="R1743" s="8"/>
      <c r="S1743" s="1"/>
      <c r="T1743" s="8"/>
      <c r="U1743" s="8"/>
      <c r="V1743" s="16"/>
      <c r="W1743" s="1"/>
      <c r="X1743" s="1"/>
    </row>
    <row r="1744" spans="1:24" ht="14.4">
      <c r="A1744" s="1"/>
      <c r="B1744" s="8"/>
      <c r="C1744" s="8"/>
      <c r="D1744" s="8"/>
      <c r="E1744" s="8"/>
      <c r="F1744" s="8"/>
      <c r="G1744" s="8"/>
      <c r="H1744" s="8"/>
      <c r="I1744" s="8"/>
      <c r="J1744" s="8"/>
      <c r="K1744" s="8"/>
      <c r="L1744" s="56"/>
      <c r="M1744" s="26"/>
      <c r="N1744" s="26"/>
      <c r="O1744" s="8"/>
      <c r="P1744" s="1"/>
      <c r="Q1744" s="8"/>
      <c r="R1744" s="8"/>
      <c r="S1744" s="1"/>
      <c r="T1744" s="8"/>
      <c r="U1744" s="8"/>
      <c r="V1744" s="16"/>
      <c r="W1744" s="1"/>
      <c r="X1744" s="1"/>
    </row>
    <row r="1745" spans="1:24" ht="14.4">
      <c r="A1745" s="1"/>
      <c r="B1745" s="8"/>
      <c r="C1745" s="8"/>
      <c r="D1745" s="8"/>
      <c r="E1745" s="8"/>
      <c r="F1745" s="8"/>
      <c r="G1745" s="8"/>
      <c r="H1745" s="8"/>
      <c r="I1745" s="8"/>
      <c r="J1745" s="8"/>
      <c r="K1745" s="8"/>
      <c r="L1745" s="56"/>
      <c r="M1745" s="26"/>
      <c r="N1745" s="26"/>
      <c r="O1745" s="8"/>
      <c r="P1745" s="1"/>
      <c r="Q1745" s="8"/>
      <c r="R1745" s="8"/>
      <c r="S1745" s="1"/>
      <c r="T1745" s="8"/>
      <c r="U1745" s="8"/>
      <c r="V1745" s="16"/>
      <c r="W1745" s="1"/>
      <c r="X1745" s="1"/>
    </row>
    <row r="1746" spans="1:24" ht="14.4">
      <c r="A1746" s="1"/>
      <c r="B1746" s="8"/>
      <c r="C1746" s="8"/>
      <c r="D1746" s="8"/>
      <c r="E1746" s="8"/>
      <c r="F1746" s="8"/>
      <c r="G1746" s="8"/>
      <c r="H1746" s="8"/>
      <c r="I1746" s="8"/>
      <c r="J1746" s="8"/>
      <c r="K1746" s="8"/>
      <c r="L1746" s="56"/>
      <c r="M1746" s="26"/>
      <c r="N1746" s="26"/>
      <c r="O1746" s="8"/>
      <c r="P1746" s="1"/>
      <c r="Q1746" s="8"/>
      <c r="R1746" s="8"/>
      <c r="S1746" s="1"/>
      <c r="T1746" s="8"/>
      <c r="U1746" s="8"/>
      <c r="V1746" s="16"/>
      <c r="W1746" s="1"/>
      <c r="X1746" s="1"/>
    </row>
    <row r="1747" spans="1:24" ht="14.4">
      <c r="A1747" s="1"/>
      <c r="B1747" s="8"/>
      <c r="C1747" s="8"/>
      <c r="D1747" s="8"/>
      <c r="E1747" s="8"/>
      <c r="F1747" s="8"/>
      <c r="G1747" s="8"/>
      <c r="H1747" s="8"/>
      <c r="I1747" s="8"/>
      <c r="J1747" s="8"/>
      <c r="K1747" s="8"/>
      <c r="L1747" s="56"/>
      <c r="M1747" s="26"/>
      <c r="N1747" s="26"/>
      <c r="O1747" s="8"/>
      <c r="P1747" s="1"/>
      <c r="Q1747" s="8"/>
      <c r="R1747" s="8"/>
      <c r="S1747" s="1"/>
      <c r="T1747" s="8"/>
      <c r="U1747" s="8"/>
      <c r="V1747" s="16"/>
      <c r="W1747" s="1"/>
      <c r="X1747" s="1"/>
    </row>
    <row r="1748" spans="1:24" ht="14.4">
      <c r="A1748" s="1"/>
      <c r="B1748" s="8"/>
      <c r="C1748" s="8"/>
      <c r="D1748" s="8"/>
      <c r="E1748" s="8"/>
      <c r="F1748" s="8"/>
      <c r="G1748" s="8"/>
      <c r="H1748" s="8"/>
      <c r="I1748" s="8"/>
      <c r="J1748" s="8"/>
      <c r="K1748" s="8"/>
      <c r="L1748" s="56"/>
      <c r="M1748" s="26"/>
      <c r="N1748" s="26"/>
      <c r="O1748" s="8"/>
      <c r="P1748" s="1"/>
      <c r="Q1748" s="8"/>
      <c r="R1748" s="8"/>
      <c r="S1748" s="1"/>
      <c r="T1748" s="8"/>
      <c r="U1748" s="8"/>
      <c r="V1748" s="16"/>
      <c r="W1748" s="1"/>
      <c r="X1748" s="1"/>
    </row>
    <row r="1749" spans="1:24" ht="14.4">
      <c r="A1749" s="1"/>
      <c r="B1749" s="8"/>
      <c r="C1749" s="8"/>
      <c r="D1749" s="8"/>
      <c r="E1749" s="8"/>
      <c r="F1749" s="8"/>
      <c r="G1749" s="8"/>
      <c r="H1749" s="8"/>
      <c r="I1749" s="8"/>
      <c r="J1749" s="8"/>
      <c r="K1749" s="8"/>
      <c r="L1749" s="56"/>
      <c r="M1749" s="26"/>
      <c r="N1749" s="26"/>
      <c r="O1749" s="8"/>
      <c r="P1749" s="1"/>
      <c r="Q1749" s="8"/>
      <c r="R1749" s="8"/>
      <c r="S1749" s="1"/>
      <c r="T1749" s="8"/>
      <c r="U1749" s="8"/>
      <c r="V1749" s="16"/>
      <c r="W1749" s="1"/>
      <c r="X1749" s="1"/>
    </row>
    <row r="1750" spans="1:24" ht="14.4">
      <c r="A1750" s="1"/>
      <c r="B1750" s="8"/>
      <c r="C1750" s="8"/>
      <c r="D1750" s="8"/>
      <c r="E1750" s="8"/>
      <c r="F1750" s="8"/>
      <c r="G1750" s="8"/>
      <c r="H1750" s="8"/>
      <c r="I1750" s="8"/>
      <c r="J1750" s="8"/>
      <c r="K1750" s="8"/>
      <c r="L1750" s="56"/>
      <c r="M1750" s="26"/>
      <c r="N1750" s="26"/>
      <c r="O1750" s="8"/>
      <c r="P1750" s="1"/>
      <c r="Q1750" s="8"/>
      <c r="R1750" s="8"/>
      <c r="S1750" s="1"/>
      <c r="T1750" s="8"/>
      <c r="U1750" s="8"/>
      <c r="V1750" s="16"/>
      <c r="W1750" s="1"/>
      <c r="X1750" s="1"/>
    </row>
    <row r="1751" spans="1:24" ht="14.4">
      <c r="A1751" s="1"/>
      <c r="B1751" s="8"/>
      <c r="C1751" s="8"/>
      <c r="D1751" s="8"/>
      <c r="E1751" s="8"/>
      <c r="F1751" s="8"/>
      <c r="G1751" s="8"/>
      <c r="H1751" s="8"/>
      <c r="I1751" s="8"/>
      <c r="J1751" s="8"/>
      <c r="K1751" s="8"/>
      <c r="L1751" s="56"/>
      <c r="M1751" s="26"/>
      <c r="N1751" s="26"/>
      <c r="O1751" s="8"/>
      <c r="P1751" s="1"/>
      <c r="Q1751" s="8"/>
      <c r="R1751" s="8"/>
      <c r="S1751" s="1"/>
      <c r="T1751" s="8"/>
      <c r="U1751" s="8"/>
      <c r="V1751" s="16"/>
      <c r="W1751" s="1"/>
      <c r="X1751" s="1"/>
    </row>
    <row r="1752" spans="1:24" ht="14.4">
      <c r="A1752" s="1"/>
      <c r="B1752" s="8"/>
      <c r="C1752" s="8"/>
      <c r="D1752" s="8"/>
      <c r="E1752" s="8"/>
      <c r="F1752" s="8"/>
      <c r="G1752" s="8"/>
      <c r="H1752" s="8"/>
      <c r="I1752" s="8"/>
      <c r="J1752" s="8"/>
      <c r="K1752" s="8"/>
      <c r="L1752" s="56"/>
      <c r="M1752" s="26"/>
      <c r="N1752" s="26"/>
      <c r="O1752" s="8"/>
      <c r="P1752" s="1"/>
      <c r="Q1752" s="8"/>
      <c r="R1752" s="8"/>
      <c r="S1752" s="1"/>
      <c r="T1752" s="8"/>
      <c r="U1752" s="8"/>
      <c r="V1752" s="16"/>
      <c r="W1752" s="1"/>
      <c r="X1752" s="1"/>
    </row>
    <row r="1753" spans="1:24" ht="14.4">
      <c r="A1753" s="1"/>
      <c r="B1753" s="8"/>
      <c r="C1753" s="8"/>
      <c r="D1753" s="8"/>
      <c r="E1753" s="8"/>
      <c r="F1753" s="8"/>
      <c r="G1753" s="8"/>
      <c r="H1753" s="8"/>
      <c r="I1753" s="8"/>
      <c r="J1753" s="8"/>
      <c r="K1753" s="8"/>
      <c r="L1753" s="56"/>
      <c r="M1753" s="26"/>
      <c r="N1753" s="26"/>
      <c r="O1753" s="8"/>
      <c r="P1753" s="1"/>
      <c r="Q1753" s="8"/>
      <c r="R1753" s="8"/>
      <c r="S1753" s="1"/>
      <c r="T1753" s="8"/>
      <c r="U1753" s="8"/>
      <c r="V1753" s="16"/>
      <c r="W1753" s="1"/>
      <c r="X1753" s="1"/>
    </row>
    <row r="1754" spans="1:24" ht="14.4">
      <c r="A1754" s="1"/>
      <c r="B1754" s="8"/>
      <c r="C1754" s="8"/>
      <c r="D1754" s="8"/>
      <c r="E1754" s="8"/>
      <c r="F1754" s="8"/>
      <c r="G1754" s="8"/>
      <c r="H1754" s="8"/>
      <c r="I1754" s="8"/>
      <c r="J1754" s="8"/>
      <c r="K1754" s="8"/>
      <c r="L1754" s="56"/>
      <c r="M1754" s="26"/>
      <c r="N1754" s="26"/>
      <c r="O1754" s="8"/>
      <c r="P1754" s="1"/>
      <c r="Q1754" s="8"/>
      <c r="R1754" s="8"/>
      <c r="S1754" s="1"/>
      <c r="T1754" s="8"/>
      <c r="U1754" s="8"/>
      <c r="V1754" s="16"/>
      <c r="W1754" s="1"/>
      <c r="X1754" s="1"/>
    </row>
    <row r="1755" spans="1:24" ht="14.4">
      <c r="A1755" s="1"/>
      <c r="B1755" s="8"/>
      <c r="C1755" s="8"/>
      <c r="D1755" s="8"/>
      <c r="E1755" s="8"/>
      <c r="F1755" s="8"/>
      <c r="G1755" s="8"/>
      <c r="H1755" s="8"/>
      <c r="I1755" s="8"/>
      <c r="J1755" s="8"/>
      <c r="K1755" s="8"/>
      <c r="L1755" s="56"/>
      <c r="M1755" s="26"/>
      <c r="N1755" s="26"/>
      <c r="O1755" s="8"/>
      <c r="P1755" s="1"/>
      <c r="Q1755" s="8"/>
      <c r="R1755" s="8"/>
      <c r="S1755" s="1"/>
      <c r="T1755" s="8"/>
      <c r="U1755" s="8"/>
      <c r="V1755" s="16"/>
      <c r="W1755" s="1"/>
      <c r="X1755" s="1"/>
    </row>
    <row r="1756" spans="1:24" ht="14.4">
      <c r="A1756" s="1"/>
      <c r="B1756" s="8"/>
      <c r="C1756" s="8"/>
      <c r="D1756" s="8"/>
      <c r="E1756" s="8"/>
      <c r="F1756" s="8"/>
      <c r="G1756" s="8"/>
      <c r="H1756" s="8"/>
      <c r="I1756" s="8"/>
      <c r="J1756" s="8"/>
      <c r="K1756" s="8"/>
      <c r="L1756" s="56"/>
      <c r="M1756" s="26"/>
      <c r="N1756" s="26"/>
      <c r="O1756" s="8"/>
      <c r="P1756" s="1"/>
      <c r="Q1756" s="8"/>
      <c r="R1756" s="8"/>
      <c r="S1756" s="1"/>
      <c r="T1756" s="8"/>
      <c r="U1756" s="8"/>
      <c r="V1756" s="16"/>
      <c r="W1756" s="1"/>
      <c r="X1756" s="1"/>
    </row>
    <row r="1757" spans="1:24" ht="14.4">
      <c r="A1757" s="1"/>
      <c r="B1757" s="8"/>
      <c r="C1757" s="8"/>
      <c r="D1757" s="8"/>
      <c r="E1757" s="8"/>
      <c r="F1757" s="8"/>
      <c r="G1757" s="8"/>
      <c r="H1757" s="8"/>
      <c r="I1757" s="8"/>
      <c r="J1757" s="8"/>
      <c r="K1757" s="8"/>
      <c r="L1757" s="56"/>
      <c r="M1757" s="26"/>
      <c r="N1757" s="26"/>
      <c r="O1757" s="8"/>
      <c r="P1757" s="1"/>
      <c r="Q1757" s="8"/>
      <c r="R1757" s="8"/>
      <c r="S1757" s="1"/>
      <c r="T1757" s="8"/>
      <c r="U1757" s="8"/>
      <c r="V1757" s="16"/>
      <c r="W1757" s="1"/>
      <c r="X1757" s="1"/>
    </row>
    <row r="1758" spans="1:24" ht="14.4">
      <c r="A1758" s="1"/>
      <c r="B1758" s="8"/>
      <c r="C1758" s="8"/>
      <c r="D1758" s="8"/>
      <c r="E1758" s="8"/>
      <c r="F1758" s="8"/>
      <c r="G1758" s="8"/>
      <c r="H1758" s="8"/>
      <c r="I1758" s="8"/>
      <c r="J1758" s="8"/>
      <c r="K1758" s="8"/>
      <c r="L1758" s="56"/>
      <c r="M1758" s="26"/>
      <c r="N1758" s="26"/>
      <c r="O1758" s="8"/>
      <c r="P1758" s="1"/>
      <c r="Q1758" s="8"/>
      <c r="R1758" s="8"/>
      <c r="S1758" s="1"/>
      <c r="T1758" s="8"/>
      <c r="U1758" s="8"/>
      <c r="V1758" s="16"/>
      <c r="W1758" s="1"/>
      <c r="X1758" s="1"/>
    </row>
    <row r="1759" spans="1:24" ht="14.4">
      <c r="A1759" s="1"/>
      <c r="B1759" s="8"/>
      <c r="C1759" s="8"/>
      <c r="D1759" s="8"/>
      <c r="E1759" s="8"/>
      <c r="F1759" s="8"/>
      <c r="G1759" s="8"/>
      <c r="H1759" s="8"/>
      <c r="I1759" s="8"/>
      <c r="J1759" s="8"/>
      <c r="K1759" s="8"/>
      <c r="L1759" s="56"/>
      <c r="M1759" s="26"/>
      <c r="N1759" s="26"/>
      <c r="O1759" s="8"/>
      <c r="P1759" s="1"/>
      <c r="Q1759" s="8"/>
      <c r="R1759" s="8"/>
      <c r="S1759" s="1"/>
      <c r="T1759" s="8"/>
      <c r="U1759" s="8"/>
      <c r="V1759" s="16"/>
      <c r="W1759" s="1"/>
      <c r="X1759" s="1"/>
    </row>
    <row r="1760" spans="1:24" ht="14.4">
      <c r="A1760" s="1"/>
      <c r="B1760" s="8"/>
      <c r="C1760" s="8"/>
      <c r="D1760" s="8"/>
      <c r="E1760" s="8"/>
      <c r="F1760" s="8"/>
      <c r="G1760" s="8"/>
      <c r="H1760" s="8"/>
      <c r="I1760" s="8"/>
      <c r="J1760" s="8"/>
      <c r="K1760" s="8"/>
      <c r="L1760" s="56"/>
      <c r="M1760" s="26"/>
      <c r="N1760" s="26"/>
      <c r="O1760" s="8"/>
      <c r="P1760" s="1"/>
      <c r="Q1760" s="8"/>
      <c r="R1760" s="8"/>
      <c r="S1760" s="1"/>
      <c r="T1760" s="8"/>
      <c r="U1760" s="8"/>
      <c r="V1760" s="16"/>
      <c r="W1760" s="1"/>
      <c r="X1760" s="1"/>
    </row>
    <row r="1761" spans="1:24" ht="14.4">
      <c r="A1761" s="1"/>
      <c r="B1761" s="8"/>
      <c r="C1761" s="8"/>
      <c r="D1761" s="8"/>
      <c r="E1761" s="8"/>
      <c r="F1761" s="8"/>
      <c r="G1761" s="8"/>
      <c r="H1761" s="8"/>
      <c r="I1761" s="8"/>
      <c r="J1761" s="8"/>
      <c r="K1761" s="8"/>
      <c r="L1761" s="56"/>
      <c r="M1761" s="26"/>
      <c r="N1761" s="26"/>
      <c r="O1761" s="8"/>
      <c r="P1761" s="1"/>
      <c r="Q1761" s="8"/>
      <c r="R1761" s="8"/>
      <c r="S1761" s="1"/>
      <c r="T1761" s="8"/>
      <c r="U1761" s="8"/>
      <c r="V1761" s="16"/>
      <c r="W1761" s="1"/>
      <c r="X1761" s="1"/>
    </row>
    <row r="1762" spans="1:24" ht="14.4">
      <c r="A1762" s="1"/>
      <c r="B1762" s="8"/>
      <c r="C1762" s="8"/>
      <c r="D1762" s="8"/>
      <c r="E1762" s="8"/>
      <c r="F1762" s="8"/>
      <c r="G1762" s="8"/>
      <c r="H1762" s="8"/>
      <c r="I1762" s="8"/>
      <c r="J1762" s="8"/>
      <c r="K1762" s="8"/>
      <c r="L1762" s="56"/>
      <c r="M1762" s="26"/>
      <c r="N1762" s="26"/>
      <c r="O1762" s="8"/>
      <c r="P1762" s="1"/>
      <c r="Q1762" s="8"/>
      <c r="R1762" s="8"/>
      <c r="S1762" s="1"/>
      <c r="T1762" s="8"/>
      <c r="U1762" s="8"/>
      <c r="V1762" s="16"/>
      <c r="W1762" s="1"/>
      <c r="X1762" s="1"/>
    </row>
    <row r="1763" spans="1:24" ht="14.4">
      <c r="A1763" s="1"/>
      <c r="B1763" s="8"/>
      <c r="C1763" s="8"/>
      <c r="D1763" s="8"/>
      <c r="E1763" s="8"/>
      <c r="F1763" s="8"/>
      <c r="G1763" s="8"/>
      <c r="H1763" s="8"/>
      <c r="I1763" s="8"/>
      <c r="J1763" s="8"/>
      <c r="K1763" s="8"/>
      <c r="L1763" s="56"/>
      <c r="M1763" s="26"/>
      <c r="N1763" s="26"/>
      <c r="O1763" s="8"/>
      <c r="P1763" s="1"/>
      <c r="Q1763" s="8"/>
      <c r="R1763" s="8"/>
      <c r="S1763" s="1"/>
      <c r="T1763" s="8"/>
      <c r="U1763" s="8"/>
      <c r="V1763" s="16"/>
      <c r="W1763" s="1"/>
      <c r="X1763" s="1"/>
    </row>
    <row r="1764" spans="1:24" ht="14.4">
      <c r="A1764" s="1"/>
      <c r="B1764" s="8"/>
      <c r="C1764" s="8"/>
      <c r="D1764" s="8"/>
      <c r="E1764" s="8"/>
      <c r="F1764" s="8"/>
      <c r="G1764" s="8"/>
      <c r="H1764" s="8"/>
      <c r="I1764" s="8"/>
      <c r="J1764" s="8"/>
      <c r="K1764" s="8"/>
      <c r="L1764" s="56"/>
      <c r="M1764" s="26"/>
      <c r="N1764" s="26"/>
      <c r="O1764" s="8"/>
      <c r="P1764" s="1"/>
      <c r="Q1764" s="8"/>
      <c r="R1764" s="8"/>
      <c r="S1764" s="1"/>
      <c r="T1764" s="8"/>
      <c r="U1764" s="8"/>
      <c r="V1764" s="16"/>
      <c r="W1764" s="1"/>
      <c r="X1764" s="1"/>
    </row>
    <row r="1765" spans="1:24" ht="14.4">
      <c r="A1765" s="1"/>
      <c r="B1765" s="8"/>
      <c r="C1765" s="8"/>
      <c r="D1765" s="8"/>
      <c r="E1765" s="8"/>
      <c r="F1765" s="8"/>
      <c r="G1765" s="8"/>
      <c r="H1765" s="8"/>
      <c r="I1765" s="8"/>
      <c r="J1765" s="8"/>
      <c r="K1765" s="8"/>
      <c r="L1765" s="56"/>
      <c r="M1765" s="26"/>
      <c r="N1765" s="26"/>
      <c r="O1765" s="8"/>
      <c r="P1765" s="1"/>
      <c r="Q1765" s="8"/>
      <c r="R1765" s="8"/>
      <c r="S1765" s="1"/>
      <c r="T1765" s="8"/>
      <c r="U1765" s="8"/>
      <c r="V1765" s="16"/>
      <c r="W1765" s="1"/>
      <c r="X1765" s="1"/>
    </row>
    <row r="1766" spans="1:24" ht="14.4">
      <c r="A1766" s="1"/>
      <c r="B1766" s="8"/>
      <c r="C1766" s="8"/>
      <c r="D1766" s="8"/>
      <c r="E1766" s="8"/>
      <c r="F1766" s="8"/>
      <c r="G1766" s="8"/>
      <c r="H1766" s="8"/>
      <c r="I1766" s="8"/>
      <c r="J1766" s="8"/>
      <c r="K1766" s="8"/>
      <c r="L1766" s="56"/>
      <c r="M1766" s="26"/>
      <c r="N1766" s="26"/>
      <c r="O1766" s="8"/>
      <c r="P1766" s="1"/>
      <c r="Q1766" s="8"/>
      <c r="R1766" s="8"/>
      <c r="S1766" s="1"/>
      <c r="T1766" s="8"/>
      <c r="U1766" s="8"/>
      <c r="V1766" s="16"/>
      <c r="W1766" s="1"/>
      <c r="X1766" s="1"/>
    </row>
    <row r="1767" spans="1:24" ht="14.4">
      <c r="A1767" s="1"/>
      <c r="B1767" s="8"/>
      <c r="C1767" s="8"/>
      <c r="D1767" s="8"/>
      <c r="E1767" s="8"/>
      <c r="F1767" s="8"/>
      <c r="G1767" s="8"/>
      <c r="H1767" s="8"/>
      <c r="I1767" s="8"/>
      <c r="J1767" s="8"/>
      <c r="K1767" s="8"/>
      <c r="L1767" s="56"/>
      <c r="M1767" s="26"/>
      <c r="N1767" s="26"/>
      <c r="O1767" s="8"/>
      <c r="P1767" s="1"/>
      <c r="Q1767" s="8"/>
      <c r="R1767" s="8"/>
      <c r="S1767" s="1"/>
      <c r="T1767" s="8"/>
      <c r="U1767" s="8"/>
      <c r="V1767" s="16"/>
      <c r="W1767" s="1"/>
      <c r="X1767" s="1"/>
    </row>
    <row r="1768" spans="1:24" ht="14.4">
      <c r="A1768" s="1"/>
      <c r="B1768" s="8"/>
      <c r="C1768" s="8"/>
      <c r="D1768" s="8"/>
      <c r="E1768" s="8"/>
      <c r="F1768" s="8"/>
      <c r="G1768" s="8"/>
      <c r="H1768" s="8"/>
      <c r="I1768" s="8"/>
      <c r="J1768" s="8"/>
      <c r="K1768" s="8"/>
      <c r="L1768" s="56"/>
      <c r="M1768" s="26"/>
      <c r="N1768" s="26"/>
      <c r="O1768" s="8"/>
      <c r="P1768" s="1"/>
      <c r="Q1768" s="8"/>
      <c r="R1768" s="8"/>
      <c r="S1768" s="1"/>
      <c r="T1768" s="8"/>
      <c r="U1768" s="8"/>
      <c r="V1768" s="16"/>
      <c r="W1768" s="1"/>
      <c r="X1768" s="1"/>
    </row>
    <row r="1769" spans="1:24" ht="14.4">
      <c r="A1769" s="1"/>
      <c r="B1769" s="8"/>
      <c r="C1769" s="8"/>
      <c r="D1769" s="8"/>
      <c r="E1769" s="8"/>
      <c r="F1769" s="8"/>
      <c r="G1769" s="8"/>
      <c r="H1769" s="8"/>
      <c r="I1769" s="8"/>
      <c r="J1769" s="8"/>
      <c r="K1769" s="8"/>
      <c r="L1769" s="56"/>
      <c r="M1769" s="26"/>
      <c r="N1769" s="26"/>
      <c r="O1769" s="8"/>
      <c r="P1769" s="1"/>
      <c r="Q1769" s="8"/>
      <c r="R1769" s="8"/>
      <c r="S1769" s="1"/>
      <c r="T1769" s="8"/>
      <c r="U1769" s="8"/>
      <c r="V1769" s="16"/>
      <c r="W1769" s="1"/>
      <c r="X1769" s="1"/>
    </row>
    <row r="1770" spans="1:24" ht="14.4">
      <c r="A1770" s="1"/>
      <c r="B1770" s="8"/>
      <c r="C1770" s="8"/>
      <c r="D1770" s="8"/>
      <c r="E1770" s="8"/>
      <c r="F1770" s="8"/>
      <c r="G1770" s="8"/>
      <c r="H1770" s="8"/>
      <c r="I1770" s="8"/>
      <c r="J1770" s="8"/>
      <c r="K1770" s="8"/>
      <c r="L1770" s="56"/>
      <c r="M1770" s="26"/>
      <c r="N1770" s="26"/>
      <c r="O1770" s="8"/>
      <c r="P1770" s="1"/>
      <c r="Q1770" s="8"/>
      <c r="R1770" s="8"/>
      <c r="S1770" s="1"/>
      <c r="T1770" s="8"/>
      <c r="U1770" s="8"/>
      <c r="V1770" s="16"/>
      <c r="W1770" s="1"/>
      <c r="X1770" s="1"/>
    </row>
    <row r="1771" spans="1:24" ht="14.4">
      <c r="A1771" s="1"/>
      <c r="B1771" s="8"/>
      <c r="C1771" s="8"/>
      <c r="D1771" s="8"/>
      <c r="E1771" s="8"/>
      <c r="F1771" s="8"/>
      <c r="G1771" s="8"/>
      <c r="H1771" s="8"/>
      <c r="I1771" s="8"/>
      <c r="J1771" s="8"/>
      <c r="K1771" s="8"/>
      <c r="L1771" s="56"/>
      <c r="M1771" s="26"/>
      <c r="N1771" s="26"/>
      <c r="O1771" s="8"/>
      <c r="P1771" s="1"/>
      <c r="Q1771" s="8"/>
      <c r="R1771" s="8"/>
      <c r="S1771" s="1"/>
      <c r="T1771" s="8"/>
      <c r="U1771" s="8"/>
      <c r="V1771" s="16"/>
      <c r="W1771" s="1"/>
      <c r="X1771" s="1"/>
    </row>
    <row r="1772" spans="1:24" ht="14.4">
      <c r="A1772" s="1"/>
      <c r="B1772" s="8"/>
      <c r="C1772" s="8"/>
      <c r="D1772" s="8"/>
      <c r="E1772" s="8"/>
      <c r="F1772" s="8"/>
      <c r="G1772" s="8"/>
      <c r="H1772" s="8"/>
      <c r="I1772" s="8"/>
      <c r="J1772" s="8"/>
      <c r="K1772" s="8"/>
      <c r="L1772" s="56"/>
      <c r="M1772" s="26"/>
      <c r="N1772" s="26"/>
      <c r="O1772" s="8"/>
      <c r="P1772" s="1"/>
      <c r="Q1772" s="8"/>
      <c r="R1772" s="8"/>
      <c r="S1772" s="1"/>
      <c r="T1772" s="8"/>
      <c r="U1772" s="8"/>
      <c r="V1772" s="16"/>
      <c r="W1772" s="1"/>
      <c r="X1772" s="1"/>
    </row>
    <row r="1773" spans="1:24" ht="14.4">
      <c r="A1773" s="1"/>
      <c r="B1773" s="8"/>
      <c r="C1773" s="8"/>
      <c r="D1773" s="8"/>
      <c r="E1773" s="8"/>
      <c r="F1773" s="8"/>
      <c r="G1773" s="8"/>
      <c r="H1773" s="8"/>
      <c r="I1773" s="8"/>
      <c r="J1773" s="8"/>
      <c r="K1773" s="8"/>
      <c r="L1773" s="56"/>
      <c r="M1773" s="26"/>
      <c r="N1773" s="26"/>
      <c r="O1773" s="8"/>
      <c r="P1773" s="1"/>
      <c r="Q1773" s="8"/>
      <c r="R1773" s="8"/>
      <c r="S1773" s="1"/>
      <c r="T1773" s="8"/>
      <c r="U1773" s="8"/>
      <c r="V1773" s="16"/>
      <c r="W1773" s="1"/>
      <c r="X1773" s="1"/>
    </row>
    <row r="1774" spans="1:24" ht="14.4">
      <c r="A1774" s="1"/>
      <c r="B1774" s="8"/>
      <c r="C1774" s="8"/>
      <c r="D1774" s="8"/>
      <c r="E1774" s="8"/>
      <c r="F1774" s="8"/>
      <c r="G1774" s="8"/>
      <c r="H1774" s="8"/>
      <c r="I1774" s="8"/>
      <c r="J1774" s="8"/>
      <c r="K1774" s="8"/>
      <c r="L1774" s="56"/>
      <c r="M1774" s="26"/>
      <c r="N1774" s="26"/>
      <c r="O1774" s="8"/>
      <c r="P1774" s="1"/>
      <c r="Q1774" s="8"/>
      <c r="R1774" s="8"/>
      <c r="S1774" s="1"/>
      <c r="T1774" s="8"/>
      <c r="U1774" s="8"/>
      <c r="V1774" s="16"/>
      <c r="W1774" s="1"/>
      <c r="X1774" s="1"/>
    </row>
    <row r="1775" spans="1:24" ht="14.4">
      <c r="A1775" s="1"/>
      <c r="B1775" s="8"/>
      <c r="C1775" s="8"/>
      <c r="D1775" s="8"/>
      <c r="E1775" s="8"/>
      <c r="F1775" s="8"/>
      <c r="G1775" s="8"/>
      <c r="H1775" s="8"/>
      <c r="I1775" s="8"/>
      <c r="J1775" s="8"/>
      <c r="K1775" s="8"/>
      <c r="L1775" s="56"/>
      <c r="M1775" s="26"/>
      <c r="N1775" s="26"/>
      <c r="O1775" s="8"/>
      <c r="P1775" s="1"/>
      <c r="Q1775" s="8"/>
      <c r="R1775" s="8"/>
      <c r="S1775" s="1"/>
      <c r="T1775" s="8"/>
      <c r="U1775" s="8"/>
      <c r="V1775" s="16"/>
      <c r="W1775" s="1"/>
      <c r="X1775" s="1"/>
    </row>
    <row r="1776" spans="1:24" ht="14.4">
      <c r="A1776" s="1"/>
      <c r="B1776" s="8"/>
      <c r="C1776" s="8"/>
      <c r="D1776" s="8"/>
      <c r="E1776" s="8"/>
      <c r="F1776" s="8"/>
      <c r="G1776" s="8"/>
      <c r="H1776" s="8"/>
      <c r="I1776" s="8"/>
      <c r="J1776" s="8"/>
      <c r="K1776" s="8"/>
      <c r="L1776" s="56"/>
      <c r="M1776" s="26"/>
      <c r="N1776" s="26"/>
      <c r="O1776" s="8"/>
      <c r="P1776" s="1"/>
      <c r="Q1776" s="8"/>
      <c r="R1776" s="8"/>
      <c r="S1776" s="1"/>
      <c r="T1776" s="8"/>
      <c r="U1776" s="8"/>
      <c r="V1776" s="16"/>
      <c r="W1776" s="1"/>
      <c r="X1776" s="1"/>
    </row>
    <row r="1777" spans="1:24" ht="14.4">
      <c r="A1777" s="1"/>
      <c r="B1777" s="8"/>
      <c r="C1777" s="8"/>
      <c r="D1777" s="8"/>
      <c r="E1777" s="8"/>
      <c r="F1777" s="8"/>
      <c r="G1777" s="8"/>
      <c r="H1777" s="8"/>
      <c r="I1777" s="8"/>
      <c r="J1777" s="8"/>
      <c r="K1777" s="8"/>
      <c r="L1777" s="56"/>
      <c r="M1777" s="26"/>
      <c r="N1777" s="26"/>
      <c r="O1777" s="8"/>
      <c r="P1777" s="1"/>
      <c r="Q1777" s="8"/>
      <c r="R1777" s="8"/>
      <c r="S1777" s="1"/>
      <c r="T1777" s="8"/>
      <c r="U1777" s="8"/>
      <c r="V1777" s="16"/>
      <c r="W1777" s="1"/>
      <c r="X1777" s="1"/>
    </row>
    <row r="1778" spans="1:24" ht="14.4">
      <c r="A1778" s="1"/>
      <c r="B1778" s="8"/>
      <c r="C1778" s="8"/>
      <c r="D1778" s="8"/>
      <c r="E1778" s="8"/>
      <c r="F1778" s="8"/>
      <c r="G1778" s="8"/>
      <c r="H1778" s="8"/>
      <c r="I1778" s="8"/>
      <c r="J1778" s="8"/>
      <c r="K1778" s="8"/>
      <c r="L1778" s="56"/>
      <c r="M1778" s="26"/>
      <c r="N1778" s="26"/>
      <c r="O1778" s="8"/>
      <c r="P1778" s="1"/>
      <c r="Q1778" s="8"/>
      <c r="R1778" s="8"/>
      <c r="S1778" s="1"/>
      <c r="T1778" s="8"/>
      <c r="U1778" s="8"/>
      <c r="V1778" s="16"/>
      <c r="W1778" s="1"/>
      <c r="X1778" s="1"/>
    </row>
    <row r="1779" spans="1:24" ht="14.4">
      <c r="A1779" s="1"/>
      <c r="B1779" s="8"/>
      <c r="C1779" s="8"/>
      <c r="D1779" s="8"/>
      <c r="E1779" s="8"/>
      <c r="F1779" s="8"/>
      <c r="G1779" s="8"/>
      <c r="H1779" s="8"/>
      <c r="I1779" s="8"/>
      <c r="J1779" s="8"/>
      <c r="K1779" s="8"/>
      <c r="L1779" s="56"/>
      <c r="M1779" s="26"/>
      <c r="N1779" s="26"/>
      <c r="O1779" s="8"/>
      <c r="P1779" s="1"/>
      <c r="Q1779" s="8"/>
      <c r="R1779" s="8"/>
      <c r="S1779" s="1"/>
      <c r="T1779" s="8"/>
      <c r="U1779" s="8"/>
      <c r="V1779" s="16"/>
      <c r="W1779" s="1"/>
      <c r="X1779" s="1"/>
    </row>
    <row r="1780" spans="1:24" ht="14.4">
      <c r="A1780" s="1"/>
      <c r="B1780" s="8"/>
      <c r="C1780" s="8"/>
      <c r="D1780" s="8"/>
      <c r="E1780" s="8"/>
      <c r="F1780" s="8"/>
      <c r="G1780" s="8"/>
      <c r="H1780" s="8"/>
      <c r="I1780" s="8"/>
      <c r="J1780" s="8"/>
      <c r="K1780" s="8"/>
      <c r="L1780" s="56"/>
      <c r="M1780" s="26"/>
      <c r="N1780" s="26"/>
      <c r="O1780" s="8"/>
      <c r="P1780" s="1"/>
      <c r="Q1780" s="8"/>
      <c r="R1780" s="8"/>
      <c r="S1780" s="1"/>
      <c r="T1780" s="8"/>
      <c r="U1780" s="8"/>
      <c r="V1780" s="16"/>
      <c r="W1780" s="1"/>
      <c r="X1780" s="1"/>
    </row>
    <row r="1781" spans="1:24" ht="14.4">
      <c r="A1781" s="1"/>
      <c r="B1781" s="8"/>
      <c r="C1781" s="8"/>
      <c r="D1781" s="8"/>
      <c r="E1781" s="8"/>
      <c r="F1781" s="8"/>
      <c r="G1781" s="8"/>
      <c r="H1781" s="8"/>
      <c r="I1781" s="8"/>
      <c r="J1781" s="8"/>
      <c r="K1781" s="8"/>
      <c r="L1781" s="56"/>
      <c r="M1781" s="26"/>
      <c r="N1781" s="26"/>
      <c r="O1781" s="8"/>
      <c r="P1781" s="1"/>
      <c r="Q1781" s="8"/>
      <c r="R1781" s="8"/>
      <c r="S1781" s="1"/>
      <c r="T1781" s="8"/>
      <c r="U1781" s="8"/>
      <c r="V1781" s="16"/>
      <c r="W1781" s="1"/>
      <c r="X1781" s="1"/>
    </row>
    <row r="1782" spans="1:24" ht="14.4">
      <c r="A1782" s="1"/>
      <c r="B1782" s="8"/>
      <c r="C1782" s="8"/>
      <c r="D1782" s="8"/>
      <c r="E1782" s="8"/>
      <c r="F1782" s="8"/>
      <c r="G1782" s="8"/>
      <c r="H1782" s="8"/>
      <c r="I1782" s="8"/>
      <c r="J1782" s="8"/>
      <c r="K1782" s="8"/>
      <c r="L1782" s="56"/>
      <c r="M1782" s="26"/>
      <c r="N1782" s="26"/>
      <c r="O1782" s="8"/>
      <c r="P1782" s="1"/>
      <c r="Q1782" s="8"/>
      <c r="R1782" s="8"/>
      <c r="S1782" s="1"/>
      <c r="T1782" s="8"/>
      <c r="U1782" s="8"/>
      <c r="V1782" s="16"/>
      <c r="W1782" s="1"/>
      <c r="X1782" s="1"/>
    </row>
    <row r="1783" spans="1:24" ht="14.4">
      <c r="A1783" s="1"/>
      <c r="B1783" s="8"/>
      <c r="C1783" s="8"/>
      <c r="D1783" s="8"/>
      <c r="E1783" s="8"/>
      <c r="F1783" s="8"/>
      <c r="G1783" s="8"/>
      <c r="H1783" s="8"/>
      <c r="I1783" s="8"/>
      <c r="J1783" s="8"/>
      <c r="K1783" s="8"/>
      <c r="L1783" s="56"/>
      <c r="M1783" s="56"/>
      <c r="N1783" s="56"/>
      <c r="O1783" s="8"/>
      <c r="P1783" s="1"/>
      <c r="Q1783" s="8"/>
      <c r="R1783" s="8"/>
      <c r="S1783" s="1"/>
      <c r="T1783" s="8"/>
      <c r="U1783" s="8"/>
      <c r="V1783" s="16"/>
      <c r="W1783" s="1"/>
      <c r="X1783" s="1"/>
    </row>
    <row r="1784" spans="1:24" ht="14.4">
      <c r="A1784" s="1"/>
      <c r="B1784" s="8"/>
      <c r="C1784" s="8"/>
      <c r="D1784" s="8"/>
      <c r="E1784" s="8"/>
      <c r="F1784" s="8"/>
      <c r="G1784" s="8"/>
      <c r="H1784" s="8"/>
      <c r="I1784" s="8"/>
      <c r="J1784" s="8"/>
      <c r="K1784" s="8"/>
      <c r="L1784" s="56"/>
      <c r="M1784" s="56"/>
      <c r="N1784" s="56"/>
      <c r="O1784" s="8"/>
      <c r="P1784" s="1"/>
      <c r="Q1784" s="8"/>
      <c r="R1784" s="8"/>
      <c r="S1784" s="1"/>
      <c r="T1784" s="8"/>
      <c r="U1784" s="8"/>
      <c r="V1784" s="16"/>
      <c r="W1784" s="1"/>
      <c r="X1784" s="1"/>
    </row>
    <row r="1785" spans="1:24" ht="14.4">
      <c r="A1785" s="1"/>
      <c r="B1785" s="8"/>
      <c r="C1785" s="8"/>
      <c r="D1785" s="8"/>
      <c r="E1785" s="8"/>
      <c r="F1785" s="8"/>
      <c r="G1785" s="8"/>
      <c r="H1785" s="8"/>
      <c r="I1785" s="8"/>
      <c r="J1785" s="8"/>
      <c r="K1785" s="8"/>
      <c r="L1785" s="56"/>
      <c r="M1785" s="56"/>
      <c r="N1785" s="56"/>
      <c r="O1785" s="8"/>
      <c r="P1785" s="1"/>
      <c r="Q1785" s="8"/>
      <c r="R1785" s="8"/>
      <c r="S1785" s="1"/>
      <c r="T1785" s="8"/>
      <c r="U1785" s="8"/>
      <c r="V1785" s="16"/>
      <c r="W1785" s="1"/>
      <c r="X1785" s="1"/>
    </row>
    <row r="1786" spans="1:24" ht="14.4">
      <c r="A1786" s="1"/>
      <c r="B1786" s="8"/>
      <c r="C1786" s="8"/>
      <c r="D1786" s="8"/>
      <c r="E1786" s="8"/>
      <c r="F1786" s="8"/>
      <c r="G1786" s="8"/>
      <c r="H1786" s="8"/>
      <c r="I1786" s="8"/>
      <c r="J1786" s="8"/>
      <c r="K1786" s="8"/>
      <c r="L1786" s="56"/>
      <c r="M1786" s="56"/>
      <c r="N1786" s="56"/>
      <c r="O1786" s="8"/>
      <c r="P1786" s="1"/>
      <c r="Q1786" s="8"/>
      <c r="R1786" s="8"/>
      <c r="S1786" s="1"/>
      <c r="T1786" s="8"/>
      <c r="U1786" s="8"/>
      <c r="V1786" s="16"/>
      <c r="W1786" s="1"/>
      <c r="X1786" s="1"/>
    </row>
    <row r="1787" spans="1:24" ht="14.4">
      <c r="A1787" s="1"/>
      <c r="B1787" s="8"/>
      <c r="C1787" s="8"/>
      <c r="D1787" s="8"/>
      <c r="E1787" s="8"/>
      <c r="F1787" s="8"/>
      <c r="G1787" s="8"/>
      <c r="H1787" s="8"/>
      <c r="I1787" s="8"/>
      <c r="J1787" s="8"/>
      <c r="K1787" s="8"/>
      <c r="L1787" s="56"/>
      <c r="M1787" s="56"/>
      <c r="N1787" s="56"/>
      <c r="O1787" s="8"/>
      <c r="P1787" s="1"/>
      <c r="Q1787" s="8"/>
      <c r="R1787" s="8"/>
      <c r="S1787" s="8"/>
      <c r="T1787" s="8"/>
      <c r="U1787" s="8"/>
      <c r="V1787" s="16"/>
      <c r="W1787" s="1"/>
      <c r="X1787" s="1"/>
    </row>
  </sheetData>
  <mergeCells count="376">
    <mergeCell ref="F380:F384"/>
    <mergeCell ref="G380:G384"/>
    <mergeCell ref="H380:H384"/>
    <mergeCell ref="I380:I384"/>
    <mergeCell ref="J380:J384"/>
    <mergeCell ref="K380:K384"/>
    <mergeCell ref="L380:L384"/>
    <mergeCell ref="F385:F389"/>
    <mergeCell ref="G385:G389"/>
    <mergeCell ref="H385:H389"/>
    <mergeCell ref="I385:I389"/>
    <mergeCell ref="J385:J389"/>
    <mergeCell ref="K385:K389"/>
    <mergeCell ref="L385:L389"/>
    <mergeCell ref="F405:F409"/>
    <mergeCell ref="G405:G409"/>
    <mergeCell ref="H405:H409"/>
    <mergeCell ref="I405:I409"/>
    <mergeCell ref="J405:J409"/>
    <mergeCell ref="K405:K409"/>
    <mergeCell ref="L405:L409"/>
    <mergeCell ref="F390:F394"/>
    <mergeCell ref="G390:G394"/>
    <mergeCell ref="H390:H394"/>
    <mergeCell ref="I390:I394"/>
    <mergeCell ref="J390:J394"/>
    <mergeCell ref="K390:K394"/>
    <mergeCell ref="L390:L394"/>
    <mergeCell ref="F395:F399"/>
    <mergeCell ref="G395:G399"/>
    <mergeCell ref="H395:H399"/>
    <mergeCell ref="I395:I399"/>
    <mergeCell ref="J395:J399"/>
    <mergeCell ref="K395:K399"/>
    <mergeCell ref="L395:L399"/>
    <mergeCell ref="X1:X2"/>
    <mergeCell ref="O1:O2"/>
    <mergeCell ref="P1:P2"/>
    <mergeCell ref="Q1:Q2"/>
    <mergeCell ref="R1:R2"/>
    <mergeCell ref="S1:S2"/>
    <mergeCell ref="T1:T2"/>
    <mergeCell ref="U1:U2"/>
    <mergeCell ref="A1:A2"/>
    <mergeCell ref="B1:B2"/>
    <mergeCell ref="C1:C2"/>
    <mergeCell ref="D1:D2"/>
    <mergeCell ref="E1:E2"/>
    <mergeCell ref="F1:F2"/>
    <mergeCell ref="G1:G2"/>
    <mergeCell ref="H1:H2"/>
    <mergeCell ref="I1:I2"/>
    <mergeCell ref="J1:J2"/>
    <mergeCell ref="K1:K2"/>
    <mergeCell ref="L1:L2"/>
    <mergeCell ref="M1:M2"/>
    <mergeCell ref="N1:N2"/>
    <mergeCell ref="V1:V2"/>
    <mergeCell ref="W1:W2"/>
    <mergeCell ref="F375:F379"/>
    <mergeCell ref="G375:G379"/>
    <mergeCell ref="H375:H379"/>
    <mergeCell ref="I375:I379"/>
    <mergeCell ref="J375:J379"/>
    <mergeCell ref="K375:K379"/>
    <mergeCell ref="L375:L379"/>
    <mergeCell ref="B410:B414"/>
    <mergeCell ref="B415:B419"/>
    <mergeCell ref="B375:B379"/>
    <mergeCell ref="B380:B384"/>
    <mergeCell ref="B385:B389"/>
    <mergeCell ref="B390:B394"/>
    <mergeCell ref="B395:B399"/>
    <mergeCell ref="B400:B404"/>
    <mergeCell ref="B405:B409"/>
    <mergeCell ref="F415:F419"/>
    <mergeCell ref="F400:F404"/>
    <mergeCell ref="G400:G404"/>
    <mergeCell ref="H400:H404"/>
    <mergeCell ref="I400:I404"/>
    <mergeCell ref="J400:J404"/>
    <mergeCell ref="K400:K404"/>
    <mergeCell ref="L400:L404"/>
    <mergeCell ref="K440:K444"/>
    <mergeCell ref="L440:L444"/>
    <mergeCell ref="J435:J439"/>
    <mergeCell ref="K435:K439"/>
    <mergeCell ref="F440:F444"/>
    <mergeCell ref="G440:G444"/>
    <mergeCell ref="H440:H444"/>
    <mergeCell ref="I440:I444"/>
    <mergeCell ref="J440:J444"/>
    <mergeCell ref="F445:F449"/>
    <mergeCell ref="G445:G449"/>
    <mergeCell ref="H445:H449"/>
    <mergeCell ref="I445:I449"/>
    <mergeCell ref="J445:J449"/>
    <mergeCell ref="K445:K449"/>
    <mergeCell ref="L445:L449"/>
    <mergeCell ref="F465:F469"/>
    <mergeCell ref="G465:G469"/>
    <mergeCell ref="H465:H469"/>
    <mergeCell ref="I465:I469"/>
    <mergeCell ref="J465:J469"/>
    <mergeCell ref="K465:K469"/>
    <mergeCell ref="L465:L469"/>
    <mergeCell ref="F450:F454"/>
    <mergeCell ref="G450:G454"/>
    <mergeCell ref="H450:H454"/>
    <mergeCell ref="I450:I454"/>
    <mergeCell ref="J450:J454"/>
    <mergeCell ref="K450:K454"/>
    <mergeCell ref="L450:L454"/>
    <mergeCell ref="F460:F464"/>
    <mergeCell ref="G460:G464"/>
    <mergeCell ref="H460:H464"/>
    <mergeCell ref="B460:B464"/>
    <mergeCell ref="B465:B469"/>
    <mergeCell ref="B425:B429"/>
    <mergeCell ref="B430:B434"/>
    <mergeCell ref="B435:B439"/>
    <mergeCell ref="B440:B444"/>
    <mergeCell ref="B445:B449"/>
    <mergeCell ref="B450:B454"/>
    <mergeCell ref="B455:B459"/>
    <mergeCell ref="B475:B479"/>
    <mergeCell ref="G475:G479"/>
    <mergeCell ref="H475:H479"/>
    <mergeCell ref="I475:I479"/>
    <mergeCell ref="I480:I484"/>
    <mergeCell ref="F470:F474"/>
    <mergeCell ref="I470:I474"/>
    <mergeCell ref="J470:J474"/>
    <mergeCell ref="K470:K474"/>
    <mergeCell ref="F490:F494"/>
    <mergeCell ref="G490:G494"/>
    <mergeCell ref="H490:H494"/>
    <mergeCell ref="I490:I494"/>
    <mergeCell ref="J490:J494"/>
    <mergeCell ref="K490:K494"/>
    <mergeCell ref="L490:L494"/>
    <mergeCell ref="B480:B484"/>
    <mergeCell ref="B485:B489"/>
    <mergeCell ref="B490:B494"/>
    <mergeCell ref="K485:K489"/>
    <mergeCell ref="L485:L489"/>
    <mergeCell ref="F480:F484"/>
    <mergeCell ref="F485:F489"/>
    <mergeCell ref="G485:G489"/>
    <mergeCell ref="H485:H489"/>
    <mergeCell ref="I485:I489"/>
    <mergeCell ref="J485:J489"/>
    <mergeCell ref="G480:G484"/>
    <mergeCell ref="H480:H484"/>
    <mergeCell ref="J480:J484"/>
    <mergeCell ref="K480:K484"/>
    <mergeCell ref="L480:L484"/>
    <mergeCell ref="J540:J544"/>
    <mergeCell ref="K540:K544"/>
    <mergeCell ref="L540:L544"/>
    <mergeCell ref="B495:B499"/>
    <mergeCell ref="B500:B504"/>
    <mergeCell ref="B505:B509"/>
    <mergeCell ref="B510:B514"/>
    <mergeCell ref="B530:B534"/>
    <mergeCell ref="J525:J529"/>
    <mergeCell ref="K525:K529"/>
    <mergeCell ref="L525:L529"/>
    <mergeCell ref="J530:J534"/>
    <mergeCell ref="K530:K534"/>
    <mergeCell ref="L530:L534"/>
    <mergeCell ref="B515:B519"/>
    <mergeCell ref="B520:B524"/>
    <mergeCell ref="B525:B529"/>
    <mergeCell ref="F525:F529"/>
    <mergeCell ref="G525:G529"/>
    <mergeCell ref="H525:H529"/>
    <mergeCell ref="I525:I529"/>
    <mergeCell ref="F495:F499"/>
    <mergeCell ref="G495:G499"/>
    <mergeCell ref="H495:H499"/>
    <mergeCell ref="B540:B544"/>
    <mergeCell ref="B545:B549"/>
    <mergeCell ref="B550:B554"/>
    <mergeCell ref="B555:B559"/>
    <mergeCell ref="F530:F534"/>
    <mergeCell ref="G530:G534"/>
    <mergeCell ref="H530:H534"/>
    <mergeCell ref="I530:I534"/>
    <mergeCell ref="B535:B539"/>
    <mergeCell ref="G535:G539"/>
    <mergeCell ref="I540:I544"/>
    <mergeCell ref="H535:H539"/>
    <mergeCell ref="I535:I539"/>
    <mergeCell ref="G540:G544"/>
    <mergeCell ref="H540:H544"/>
    <mergeCell ref="K545:K549"/>
    <mergeCell ref="L545:L549"/>
    <mergeCell ref="H555:H559"/>
    <mergeCell ref="I555:I559"/>
    <mergeCell ref="J555:J559"/>
    <mergeCell ref="K555:K559"/>
    <mergeCell ref="L555:L559"/>
    <mergeCell ref="F535:F539"/>
    <mergeCell ref="F540:F544"/>
    <mergeCell ref="F545:F549"/>
    <mergeCell ref="G545:G549"/>
    <mergeCell ref="H545:H549"/>
    <mergeCell ref="I545:I549"/>
    <mergeCell ref="J545:J549"/>
    <mergeCell ref="F550:F554"/>
    <mergeCell ref="G550:G554"/>
    <mergeCell ref="H550:H554"/>
    <mergeCell ref="I550:I554"/>
    <mergeCell ref="J550:J554"/>
    <mergeCell ref="K550:K554"/>
    <mergeCell ref="L550:L554"/>
    <mergeCell ref="J535:J539"/>
    <mergeCell ref="K535:K539"/>
    <mergeCell ref="L535:L539"/>
    <mergeCell ref="H590:H594"/>
    <mergeCell ref="I590:I594"/>
    <mergeCell ref="J590:J594"/>
    <mergeCell ref="K590:K594"/>
    <mergeCell ref="L590:L594"/>
    <mergeCell ref="F585:F589"/>
    <mergeCell ref="G585:G589"/>
    <mergeCell ref="H585:H589"/>
    <mergeCell ref="I585:I589"/>
    <mergeCell ref="J585:J589"/>
    <mergeCell ref="K585:K589"/>
    <mergeCell ref="L585:L589"/>
    <mergeCell ref="B570:B574"/>
    <mergeCell ref="B575:B579"/>
    <mergeCell ref="B580:B584"/>
    <mergeCell ref="B585:B589"/>
    <mergeCell ref="B590:B594"/>
    <mergeCell ref="F555:F559"/>
    <mergeCell ref="G555:G559"/>
    <mergeCell ref="B560:B564"/>
    <mergeCell ref="G560:G564"/>
    <mergeCell ref="F580:F584"/>
    <mergeCell ref="G580:G584"/>
    <mergeCell ref="G565:G569"/>
    <mergeCell ref="B565:B569"/>
    <mergeCell ref="F590:F594"/>
    <mergeCell ref="G590:G594"/>
    <mergeCell ref="K570:K574"/>
    <mergeCell ref="L570:L574"/>
    <mergeCell ref="F560:F564"/>
    <mergeCell ref="F565:F569"/>
    <mergeCell ref="F570:F574"/>
    <mergeCell ref="G570:G574"/>
    <mergeCell ref="H570:H574"/>
    <mergeCell ref="I570:I574"/>
    <mergeCell ref="J570:J574"/>
    <mergeCell ref="J560:J564"/>
    <mergeCell ref="K560:K564"/>
    <mergeCell ref="L560:L564"/>
    <mergeCell ref="H565:H569"/>
    <mergeCell ref="J565:J569"/>
    <mergeCell ref="K565:K569"/>
    <mergeCell ref="L565:L569"/>
    <mergeCell ref="H560:H564"/>
    <mergeCell ref="I560:I564"/>
    <mergeCell ref="I565:I569"/>
    <mergeCell ref="H435:H439"/>
    <mergeCell ref="I435:I439"/>
    <mergeCell ref="L430:L434"/>
    <mergeCell ref="L435:L439"/>
    <mergeCell ref="G420:G424"/>
    <mergeCell ref="H420:H424"/>
    <mergeCell ref="G430:G434"/>
    <mergeCell ref="H430:H434"/>
    <mergeCell ref="I430:I434"/>
    <mergeCell ref="J430:J434"/>
    <mergeCell ref="K430:K434"/>
    <mergeCell ref="G425:G429"/>
    <mergeCell ref="H425:H429"/>
    <mergeCell ref="I425:I429"/>
    <mergeCell ref="J425:J429"/>
    <mergeCell ref="K425:K429"/>
    <mergeCell ref="L425:L429"/>
    <mergeCell ref="B470:B474"/>
    <mergeCell ref="F410:F414"/>
    <mergeCell ref="G410:G414"/>
    <mergeCell ref="H410:H414"/>
    <mergeCell ref="I410:I414"/>
    <mergeCell ref="J410:J414"/>
    <mergeCell ref="K410:K414"/>
    <mergeCell ref="L410:L414"/>
    <mergeCell ref="I420:I424"/>
    <mergeCell ref="J420:J424"/>
    <mergeCell ref="K420:K424"/>
    <mergeCell ref="L420:L424"/>
    <mergeCell ref="G415:G419"/>
    <mergeCell ref="H415:H419"/>
    <mergeCell ref="I415:I419"/>
    <mergeCell ref="J415:J419"/>
    <mergeCell ref="K415:K419"/>
    <mergeCell ref="L415:L419"/>
    <mergeCell ref="B420:B424"/>
    <mergeCell ref="F425:F429"/>
    <mergeCell ref="F420:F424"/>
    <mergeCell ref="F430:F434"/>
    <mergeCell ref="F435:F439"/>
    <mergeCell ref="G435:G439"/>
    <mergeCell ref="F455:F459"/>
    <mergeCell ref="G455:G459"/>
    <mergeCell ref="H455:H459"/>
    <mergeCell ref="I455:I459"/>
    <mergeCell ref="J455:J459"/>
    <mergeCell ref="K455:K459"/>
    <mergeCell ref="L455:L459"/>
    <mergeCell ref="J475:J479"/>
    <mergeCell ref="K475:K479"/>
    <mergeCell ref="L475:L479"/>
    <mergeCell ref="I460:I464"/>
    <mergeCell ref="J460:J464"/>
    <mergeCell ref="K460:K464"/>
    <mergeCell ref="L460:L464"/>
    <mergeCell ref="F475:F479"/>
    <mergeCell ref="G470:G474"/>
    <mergeCell ref="H470:H474"/>
    <mergeCell ref="L470:L474"/>
    <mergeCell ref="L495:L499"/>
    <mergeCell ref="F500:F504"/>
    <mergeCell ref="G500:G504"/>
    <mergeCell ref="H500:H504"/>
    <mergeCell ref="I500:I504"/>
    <mergeCell ref="J500:J504"/>
    <mergeCell ref="K500:K504"/>
    <mergeCell ref="L500:L504"/>
    <mergeCell ref="F505:F509"/>
    <mergeCell ref="G505:G509"/>
    <mergeCell ref="H505:H509"/>
    <mergeCell ref="I505:I509"/>
    <mergeCell ref="J505:J509"/>
    <mergeCell ref="K505:K509"/>
    <mergeCell ref="L505:L509"/>
    <mergeCell ref="I495:I499"/>
    <mergeCell ref="J495:J499"/>
    <mergeCell ref="K495:K499"/>
    <mergeCell ref="F510:F514"/>
    <mergeCell ref="G510:G514"/>
    <mergeCell ref="H510:H514"/>
    <mergeCell ref="I510:I514"/>
    <mergeCell ref="J510:J514"/>
    <mergeCell ref="K510:K514"/>
    <mergeCell ref="L510:L514"/>
    <mergeCell ref="F520:F524"/>
    <mergeCell ref="G520:G524"/>
    <mergeCell ref="H520:H524"/>
    <mergeCell ref="I520:I524"/>
    <mergeCell ref="J520:J524"/>
    <mergeCell ref="K520:K524"/>
    <mergeCell ref="L520:L524"/>
    <mergeCell ref="F515:F519"/>
    <mergeCell ref="G515:G519"/>
    <mergeCell ref="H515:H519"/>
    <mergeCell ref="I515:I519"/>
    <mergeCell ref="J515:J519"/>
    <mergeCell ref="K515:K519"/>
    <mergeCell ref="L515:L519"/>
    <mergeCell ref="H580:H584"/>
    <mergeCell ref="I580:I584"/>
    <mergeCell ref="J580:J584"/>
    <mergeCell ref="K580:K584"/>
    <mergeCell ref="L580:L584"/>
    <mergeCell ref="F575:F579"/>
    <mergeCell ref="G575:G579"/>
    <mergeCell ref="H575:H579"/>
    <mergeCell ref="I575:I579"/>
    <mergeCell ref="J575:J579"/>
    <mergeCell ref="K575:K579"/>
    <mergeCell ref="L575:L579"/>
  </mergeCells>
  <conditionalFormatting sqref="U1:U118 P3:Q118">
    <cfRule type="containsBlanks" dxfId="3" priority="1">
      <formula>LEN(TRIM(U1))=0</formula>
    </cfRule>
  </conditionalFormatting>
  <hyperlinks>
    <hyperlink ref="V3" r:id="rId1" xr:uid="{00000000-0004-0000-0900-000000000000}"/>
    <hyperlink ref="V4" r:id="rId2" xr:uid="{00000000-0004-0000-0900-000001000000}"/>
    <hyperlink ref="V5" r:id="rId3" xr:uid="{00000000-0004-0000-0900-000002000000}"/>
    <hyperlink ref="V6" r:id="rId4" xr:uid="{00000000-0004-0000-0900-000003000000}"/>
    <hyperlink ref="V7" r:id="rId5" xr:uid="{00000000-0004-0000-0900-000004000000}"/>
    <hyperlink ref="V8" r:id="rId6" xr:uid="{00000000-0004-0000-0900-000005000000}"/>
    <hyperlink ref="V9" r:id="rId7" xr:uid="{00000000-0004-0000-0900-000006000000}"/>
    <hyperlink ref="V10" r:id="rId8" xr:uid="{00000000-0004-0000-0900-000007000000}"/>
    <hyperlink ref="V11" r:id="rId9" xr:uid="{00000000-0004-0000-0900-000008000000}"/>
    <hyperlink ref="V12" r:id="rId10" xr:uid="{00000000-0004-0000-0900-000009000000}"/>
    <hyperlink ref="V13" r:id="rId11" xr:uid="{00000000-0004-0000-0900-00000A000000}"/>
    <hyperlink ref="V14" r:id="rId12" xr:uid="{00000000-0004-0000-0900-00000B000000}"/>
    <hyperlink ref="V15" r:id="rId13" xr:uid="{00000000-0004-0000-0900-00000C000000}"/>
    <hyperlink ref="V16" r:id="rId14" xr:uid="{00000000-0004-0000-0900-00000D000000}"/>
    <hyperlink ref="V17" r:id="rId15" xr:uid="{00000000-0004-0000-0900-00000E000000}"/>
    <hyperlink ref="V18" r:id="rId16" xr:uid="{00000000-0004-0000-0900-00000F000000}"/>
    <hyperlink ref="V19" r:id="rId17" xr:uid="{00000000-0004-0000-0900-000010000000}"/>
    <hyperlink ref="V20" r:id="rId18" xr:uid="{00000000-0004-0000-0900-000011000000}"/>
    <hyperlink ref="V21" r:id="rId19" xr:uid="{00000000-0004-0000-0900-000012000000}"/>
    <hyperlink ref="V22" r:id="rId20" xr:uid="{00000000-0004-0000-0900-000013000000}"/>
    <hyperlink ref="V23" r:id="rId21" xr:uid="{00000000-0004-0000-0900-000014000000}"/>
    <hyperlink ref="V24" r:id="rId22" xr:uid="{00000000-0004-0000-0900-000015000000}"/>
    <hyperlink ref="V25" r:id="rId23" xr:uid="{00000000-0004-0000-0900-000016000000}"/>
    <hyperlink ref="V26" r:id="rId24" xr:uid="{00000000-0004-0000-0900-000017000000}"/>
    <hyperlink ref="V27" r:id="rId25" xr:uid="{00000000-0004-0000-0900-000018000000}"/>
    <hyperlink ref="V28" r:id="rId26" xr:uid="{00000000-0004-0000-0900-000019000000}"/>
    <hyperlink ref="V29" r:id="rId27" xr:uid="{00000000-0004-0000-0900-00001A000000}"/>
    <hyperlink ref="V30" r:id="rId28" xr:uid="{00000000-0004-0000-0900-00001B000000}"/>
    <hyperlink ref="V31" r:id="rId29" xr:uid="{00000000-0004-0000-0900-00001C000000}"/>
    <hyperlink ref="V32" r:id="rId30" xr:uid="{00000000-0004-0000-0900-00001D000000}"/>
    <hyperlink ref="V33" r:id="rId31" xr:uid="{00000000-0004-0000-0900-00001E000000}"/>
    <hyperlink ref="V34" r:id="rId32" xr:uid="{00000000-0004-0000-0900-00001F000000}"/>
    <hyperlink ref="V35" r:id="rId33" xr:uid="{00000000-0004-0000-0900-000020000000}"/>
    <hyperlink ref="V36" r:id="rId34" xr:uid="{00000000-0004-0000-0900-000021000000}"/>
    <hyperlink ref="V37" r:id="rId35" xr:uid="{00000000-0004-0000-0900-000022000000}"/>
    <hyperlink ref="V38" r:id="rId36" xr:uid="{00000000-0004-0000-0900-000023000000}"/>
    <hyperlink ref="V39" r:id="rId37" xr:uid="{00000000-0004-0000-0900-000024000000}"/>
    <hyperlink ref="V40" r:id="rId38" xr:uid="{00000000-0004-0000-0900-000025000000}"/>
    <hyperlink ref="V41" r:id="rId39" xr:uid="{00000000-0004-0000-0900-000026000000}"/>
    <hyperlink ref="V42" r:id="rId40" xr:uid="{00000000-0004-0000-0900-000027000000}"/>
    <hyperlink ref="V43" r:id="rId41" xr:uid="{00000000-0004-0000-0900-000028000000}"/>
    <hyperlink ref="V44" r:id="rId42" xr:uid="{00000000-0004-0000-0900-000029000000}"/>
    <hyperlink ref="V45" r:id="rId43" xr:uid="{00000000-0004-0000-0900-00002A000000}"/>
    <hyperlink ref="V46" r:id="rId44" xr:uid="{00000000-0004-0000-0900-00002B000000}"/>
    <hyperlink ref="V47" r:id="rId45" xr:uid="{00000000-0004-0000-0900-00002C000000}"/>
    <hyperlink ref="V48" r:id="rId46" xr:uid="{00000000-0004-0000-0900-00002D000000}"/>
    <hyperlink ref="V49" r:id="rId47" xr:uid="{00000000-0004-0000-0900-00002E000000}"/>
    <hyperlink ref="V50" r:id="rId48" xr:uid="{00000000-0004-0000-0900-00002F000000}"/>
    <hyperlink ref="V51" r:id="rId49" xr:uid="{00000000-0004-0000-0900-000030000000}"/>
    <hyperlink ref="V52" r:id="rId50" xr:uid="{00000000-0004-0000-0900-000031000000}"/>
    <hyperlink ref="V53" r:id="rId51" xr:uid="{00000000-0004-0000-0900-000032000000}"/>
    <hyperlink ref="V54" r:id="rId52" xr:uid="{00000000-0004-0000-0900-000033000000}"/>
    <hyperlink ref="V55" r:id="rId53" xr:uid="{00000000-0004-0000-0900-000034000000}"/>
    <hyperlink ref="V56" r:id="rId54" xr:uid="{00000000-0004-0000-0900-000035000000}"/>
    <hyperlink ref="V57" r:id="rId55" xr:uid="{00000000-0004-0000-0900-000036000000}"/>
    <hyperlink ref="V58" r:id="rId56" xr:uid="{00000000-0004-0000-0900-000037000000}"/>
    <hyperlink ref="U59" r:id="rId57" xr:uid="{00000000-0004-0000-0900-000038000000}"/>
    <hyperlink ref="V59" r:id="rId58" xr:uid="{00000000-0004-0000-0900-000039000000}"/>
    <hyperlink ref="U60" r:id="rId59" xr:uid="{00000000-0004-0000-0900-00003A000000}"/>
    <hyperlink ref="V60" r:id="rId60" xr:uid="{00000000-0004-0000-0900-00003B000000}"/>
    <hyperlink ref="U61" r:id="rId61" xr:uid="{00000000-0004-0000-0900-00003C000000}"/>
    <hyperlink ref="V61" r:id="rId62" xr:uid="{00000000-0004-0000-0900-00003D000000}"/>
    <hyperlink ref="U62" r:id="rId63" xr:uid="{00000000-0004-0000-0900-00003E000000}"/>
    <hyperlink ref="V62" r:id="rId64" xr:uid="{00000000-0004-0000-0900-00003F000000}"/>
    <hyperlink ref="U63" r:id="rId65" xr:uid="{00000000-0004-0000-0900-000040000000}"/>
    <hyperlink ref="V63" r:id="rId66" xr:uid="{00000000-0004-0000-0900-000041000000}"/>
    <hyperlink ref="U64" r:id="rId67" xr:uid="{00000000-0004-0000-0900-000042000000}"/>
    <hyperlink ref="V64" r:id="rId68" xr:uid="{00000000-0004-0000-0900-000043000000}"/>
    <hyperlink ref="U65" r:id="rId69" xr:uid="{00000000-0004-0000-0900-000044000000}"/>
    <hyperlink ref="V65" r:id="rId70" xr:uid="{00000000-0004-0000-0900-000045000000}"/>
    <hyperlink ref="U66" r:id="rId71" xr:uid="{00000000-0004-0000-0900-000046000000}"/>
    <hyperlink ref="V66" r:id="rId72" xr:uid="{00000000-0004-0000-0900-000047000000}"/>
    <hyperlink ref="U67" r:id="rId73" xr:uid="{00000000-0004-0000-0900-000048000000}"/>
    <hyperlink ref="V67" r:id="rId74" xr:uid="{00000000-0004-0000-0900-000049000000}"/>
    <hyperlink ref="U68" r:id="rId75" xr:uid="{00000000-0004-0000-0900-00004A000000}"/>
    <hyperlink ref="V68" r:id="rId76" xr:uid="{00000000-0004-0000-0900-00004B000000}"/>
    <hyperlink ref="U69" r:id="rId77" xr:uid="{00000000-0004-0000-0900-00004C000000}"/>
    <hyperlink ref="V69" r:id="rId78" xr:uid="{00000000-0004-0000-0900-00004D000000}"/>
    <hyperlink ref="U70" r:id="rId79" xr:uid="{00000000-0004-0000-0900-00004E000000}"/>
    <hyperlink ref="V70" r:id="rId80" xr:uid="{00000000-0004-0000-0900-00004F000000}"/>
    <hyperlink ref="U71" r:id="rId81" xr:uid="{00000000-0004-0000-0900-000050000000}"/>
    <hyperlink ref="V71" r:id="rId82" xr:uid="{00000000-0004-0000-0900-000051000000}"/>
    <hyperlink ref="U72" r:id="rId83" xr:uid="{00000000-0004-0000-0900-000052000000}"/>
    <hyperlink ref="V72" r:id="rId84" xr:uid="{00000000-0004-0000-0900-000053000000}"/>
    <hyperlink ref="U73" r:id="rId85" xr:uid="{00000000-0004-0000-0900-000054000000}"/>
    <hyperlink ref="V73" r:id="rId86" xr:uid="{00000000-0004-0000-0900-000055000000}"/>
    <hyperlink ref="U74" r:id="rId87" xr:uid="{00000000-0004-0000-0900-000056000000}"/>
    <hyperlink ref="V74" r:id="rId88" xr:uid="{00000000-0004-0000-0900-000057000000}"/>
    <hyperlink ref="U75" r:id="rId89" xr:uid="{00000000-0004-0000-0900-000058000000}"/>
    <hyperlink ref="V75" r:id="rId90" xr:uid="{00000000-0004-0000-0900-000059000000}"/>
    <hyperlink ref="U76" r:id="rId91" xr:uid="{00000000-0004-0000-0900-00005A000000}"/>
    <hyperlink ref="V76" r:id="rId92" xr:uid="{00000000-0004-0000-0900-00005B000000}"/>
    <hyperlink ref="U77" r:id="rId93" xr:uid="{00000000-0004-0000-0900-00005C000000}"/>
    <hyperlink ref="V77" r:id="rId94" xr:uid="{00000000-0004-0000-0900-00005D000000}"/>
    <hyperlink ref="U78" r:id="rId95" xr:uid="{00000000-0004-0000-0900-00005E000000}"/>
    <hyperlink ref="V78" r:id="rId96" xr:uid="{00000000-0004-0000-0900-00005F000000}"/>
    <hyperlink ref="U79" r:id="rId97" xr:uid="{00000000-0004-0000-0900-000060000000}"/>
    <hyperlink ref="V79" r:id="rId98" xr:uid="{00000000-0004-0000-0900-000061000000}"/>
    <hyperlink ref="U80" r:id="rId99" xr:uid="{00000000-0004-0000-0900-000062000000}"/>
    <hyperlink ref="V80" r:id="rId100" xr:uid="{00000000-0004-0000-0900-000063000000}"/>
    <hyperlink ref="U81" r:id="rId101" xr:uid="{00000000-0004-0000-0900-000064000000}"/>
    <hyperlink ref="V81" r:id="rId102" xr:uid="{00000000-0004-0000-0900-000065000000}"/>
    <hyperlink ref="U82" r:id="rId103" xr:uid="{00000000-0004-0000-0900-000066000000}"/>
    <hyperlink ref="V82" r:id="rId104" xr:uid="{00000000-0004-0000-0900-000067000000}"/>
    <hyperlink ref="U83" r:id="rId105" xr:uid="{00000000-0004-0000-0900-000068000000}"/>
    <hyperlink ref="V83" r:id="rId106" xr:uid="{00000000-0004-0000-0900-000069000000}"/>
    <hyperlink ref="U84" r:id="rId107" xr:uid="{00000000-0004-0000-0900-00006A000000}"/>
    <hyperlink ref="V84" r:id="rId108" xr:uid="{00000000-0004-0000-0900-00006B000000}"/>
    <hyperlink ref="U85" r:id="rId109" xr:uid="{00000000-0004-0000-0900-00006C000000}"/>
    <hyperlink ref="V85" r:id="rId110" xr:uid="{00000000-0004-0000-0900-00006D000000}"/>
    <hyperlink ref="U86" r:id="rId111" xr:uid="{00000000-0004-0000-0900-00006E000000}"/>
    <hyperlink ref="V86" r:id="rId112" xr:uid="{00000000-0004-0000-0900-00006F000000}"/>
    <hyperlink ref="U87" r:id="rId113" xr:uid="{00000000-0004-0000-0900-000070000000}"/>
    <hyperlink ref="V87" r:id="rId114" xr:uid="{00000000-0004-0000-0900-000071000000}"/>
    <hyperlink ref="U88" r:id="rId115" xr:uid="{00000000-0004-0000-0900-000072000000}"/>
    <hyperlink ref="V88" r:id="rId116" xr:uid="{00000000-0004-0000-0900-000073000000}"/>
    <hyperlink ref="U89" r:id="rId117" xr:uid="{00000000-0004-0000-0900-000074000000}"/>
    <hyperlink ref="V89" r:id="rId118" xr:uid="{00000000-0004-0000-0900-000075000000}"/>
    <hyperlink ref="U90" r:id="rId119" xr:uid="{00000000-0004-0000-0900-000076000000}"/>
    <hyperlink ref="V90" r:id="rId120" xr:uid="{00000000-0004-0000-0900-000077000000}"/>
    <hyperlink ref="U91" r:id="rId121" xr:uid="{00000000-0004-0000-0900-000078000000}"/>
    <hyperlink ref="V91" r:id="rId122" xr:uid="{00000000-0004-0000-0900-000079000000}"/>
    <hyperlink ref="U92" r:id="rId123" xr:uid="{00000000-0004-0000-0900-00007A000000}"/>
    <hyperlink ref="V92" r:id="rId124" xr:uid="{00000000-0004-0000-0900-00007B000000}"/>
    <hyperlink ref="U93" r:id="rId125" xr:uid="{00000000-0004-0000-0900-00007C000000}"/>
    <hyperlink ref="V93" r:id="rId126" xr:uid="{00000000-0004-0000-0900-00007D000000}"/>
    <hyperlink ref="U94" r:id="rId127" xr:uid="{00000000-0004-0000-0900-00007E000000}"/>
    <hyperlink ref="V94" r:id="rId128" xr:uid="{00000000-0004-0000-0900-00007F000000}"/>
    <hyperlink ref="U95" r:id="rId129" xr:uid="{00000000-0004-0000-0900-000080000000}"/>
    <hyperlink ref="V95" r:id="rId130" xr:uid="{00000000-0004-0000-0900-000081000000}"/>
    <hyperlink ref="O96" r:id="rId131" xr:uid="{00000000-0004-0000-0900-000082000000}"/>
    <hyperlink ref="U96" r:id="rId132" xr:uid="{00000000-0004-0000-0900-000083000000}"/>
    <hyperlink ref="V96" r:id="rId133" xr:uid="{00000000-0004-0000-0900-000084000000}"/>
    <hyperlink ref="U97" r:id="rId134" xr:uid="{00000000-0004-0000-0900-000085000000}"/>
    <hyperlink ref="V97" r:id="rId135" xr:uid="{00000000-0004-0000-0900-000086000000}"/>
    <hyperlink ref="U98" r:id="rId136" xr:uid="{00000000-0004-0000-0900-000087000000}"/>
    <hyperlink ref="V98" r:id="rId137" xr:uid="{00000000-0004-0000-0900-000088000000}"/>
    <hyperlink ref="U99" r:id="rId138" xr:uid="{00000000-0004-0000-0900-000089000000}"/>
    <hyperlink ref="V99" r:id="rId139" xr:uid="{00000000-0004-0000-0900-00008A000000}"/>
    <hyperlink ref="U100" r:id="rId140" xr:uid="{00000000-0004-0000-0900-00008B000000}"/>
    <hyperlink ref="V100" r:id="rId141" xr:uid="{00000000-0004-0000-0900-00008C000000}"/>
    <hyperlink ref="U101" r:id="rId142" xr:uid="{00000000-0004-0000-0900-00008D000000}"/>
    <hyperlink ref="V101" r:id="rId143" xr:uid="{00000000-0004-0000-0900-00008E000000}"/>
    <hyperlink ref="U102" r:id="rId144" xr:uid="{00000000-0004-0000-0900-00008F000000}"/>
    <hyperlink ref="V102" r:id="rId145" xr:uid="{00000000-0004-0000-0900-000090000000}"/>
    <hyperlink ref="U103" r:id="rId146" xr:uid="{00000000-0004-0000-0900-000091000000}"/>
    <hyperlink ref="V103" r:id="rId147" xr:uid="{00000000-0004-0000-0900-000092000000}"/>
    <hyperlink ref="U104" r:id="rId148" xr:uid="{00000000-0004-0000-0900-000093000000}"/>
    <hyperlink ref="V104" r:id="rId149" xr:uid="{00000000-0004-0000-0900-000094000000}"/>
    <hyperlink ref="U105" r:id="rId150" xr:uid="{00000000-0004-0000-0900-000095000000}"/>
    <hyperlink ref="V105" r:id="rId151" xr:uid="{00000000-0004-0000-0900-000096000000}"/>
    <hyperlink ref="U106" r:id="rId152" xr:uid="{00000000-0004-0000-0900-000097000000}"/>
    <hyperlink ref="V106" r:id="rId153" xr:uid="{00000000-0004-0000-0900-000098000000}"/>
    <hyperlink ref="U107" r:id="rId154" xr:uid="{00000000-0004-0000-0900-000099000000}"/>
    <hyperlink ref="V107" r:id="rId155" xr:uid="{00000000-0004-0000-0900-00009A000000}"/>
    <hyperlink ref="U108" r:id="rId156" xr:uid="{00000000-0004-0000-0900-00009B000000}"/>
    <hyperlink ref="V108" r:id="rId157" xr:uid="{00000000-0004-0000-0900-00009C000000}"/>
    <hyperlink ref="U109" r:id="rId158" xr:uid="{00000000-0004-0000-0900-00009D000000}"/>
    <hyperlink ref="V109" r:id="rId159" xr:uid="{00000000-0004-0000-0900-00009E000000}"/>
    <hyperlink ref="U110" r:id="rId160" xr:uid="{00000000-0004-0000-0900-00009F000000}"/>
    <hyperlink ref="V110" r:id="rId161" xr:uid="{00000000-0004-0000-0900-0000A0000000}"/>
    <hyperlink ref="U111" r:id="rId162" xr:uid="{00000000-0004-0000-0900-0000A1000000}"/>
    <hyperlink ref="V111" r:id="rId163" xr:uid="{00000000-0004-0000-0900-0000A2000000}"/>
    <hyperlink ref="U112" r:id="rId164" xr:uid="{00000000-0004-0000-0900-0000A3000000}"/>
    <hyperlink ref="V112" r:id="rId165" xr:uid="{00000000-0004-0000-0900-0000A4000000}"/>
    <hyperlink ref="U113" r:id="rId166" xr:uid="{00000000-0004-0000-0900-0000A5000000}"/>
    <hyperlink ref="V113" r:id="rId167" xr:uid="{00000000-0004-0000-0900-0000A6000000}"/>
    <hyperlink ref="U114" r:id="rId168" xr:uid="{00000000-0004-0000-0900-0000A7000000}"/>
    <hyperlink ref="V114" r:id="rId169" xr:uid="{00000000-0004-0000-0900-0000A8000000}"/>
    <hyperlink ref="U115" r:id="rId170" xr:uid="{00000000-0004-0000-0900-0000A9000000}"/>
    <hyperlink ref="V115" r:id="rId171" xr:uid="{00000000-0004-0000-0900-0000AA000000}"/>
    <hyperlink ref="U116" r:id="rId172" xr:uid="{00000000-0004-0000-0900-0000AB000000}"/>
    <hyperlink ref="V116" r:id="rId173" xr:uid="{00000000-0004-0000-0900-0000AC000000}"/>
    <hyperlink ref="U117" r:id="rId174" xr:uid="{00000000-0004-0000-0900-0000AD000000}"/>
    <hyperlink ref="V117" r:id="rId175" xr:uid="{00000000-0004-0000-0900-0000AE000000}"/>
    <hyperlink ref="U118" r:id="rId176" xr:uid="{00000000-0004-0000-0900-0000AF000000}"/>
    <hyperlink ref="V118" r:id="rId177" xr:uid="{00000000-0004-0000-0900-0000B0000000}"/>
  </hyperlinks>
  <pageMargins left="0" right="0" top="0" bottom="0" header="0" footer="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X1787"/>
  <sheetViews>
    <sheetView workbookViewId="0">
      <pane xSplit="3" topLeftCell="D1" activePane="topRight" state="frozen"/>
      <selection pane="topRight" activeCell="E2" sqref="E2"/>
    </sheetView>
  </sheetViews>
  <sheetFormatPr defaultColWidth="14.44140625" defaultRowHeight="15" customHeight="1"/>
  <cols>
    <col min="1" max="1" width="5.44140625" customWidth="1"/>
    <col min="6" max="6" width="43.88671875" customWidth="1"/>
    <col min="11" max="12" width="22.6640625" customWidth="1"/>
    <col min="13" max="15" width="17.44140625" customWidth="1"/>
    <col min="18" max="18" width="15.44140625" customWidth="1"/>
    <col min="19" max="19" width="69.6640625" customWidth="1"/>
    <col min="20" max="20" width="15.44140625" hidden="1" customWidth="1"/>
    <col min="21" max="21" width="30.5546875" customWidth="1"/>
    <col min="22" max="22" width="23.109375" customWidth="1"/>
    <col min="23" max="23" width="23" customWidth="1"/>
    <col min="24" max="24" width="15.44140625" customWidth="1"/>
  </cols>
  <sheetData>
    <row r="1" spans="1:24">
      <c r="A1" s="98" t="s">
        <v>1182</v>
      </c>
      <c r="B1" s="96" t="s">
        <v>841</v>
      </c>
      <c r="C1" s="104" t="s">
        <v>842</v>
      </c>
      <c r="D1" s="104" t="s">
        <v>843</v>
      </c>
      <c r="E1" s="104" t="s">
        <v>844</v>
      </c>
      <c r="F1" s="104" t="s">
        <v>845</v>
      </c>
      <c r="G1" s="104" t="s">
        <v>846</v>
      </c>
      <c r="H1" s="104" t="s">
        <v>847</v>
      </c>
      <c r="I1" s="104" t="s">
        <v>848</v>
      </c>
      <c r="J1" s="104" t="s">
        <v>849</v>
      </c>
      <c r="K1" s="96" t="s">
        <v>850</v>
      </c>
      <c r="L1" s="96" t="s">
        <v>851</v>
      </c>
      <c r="M1" s="96" t="s">
        <v>852</v>
      </c>
      <c r="N1" s="96" t="s">
        <v>853</v>
      </c>
      <c r="O1" s="96" t="s">
        <v>853</v>
      </c>
      <c r="P1" s="95" t="s">
        <v>855</v>
      </c>
      <c r="Q1" s="95" t="s">
        <v>856</v>
      </c>
      <c r="R1" s="108" t="s">
        <v>857</v>
      </c>
      <c r="S1" s="95" t="s">
        <v>858</v>
      </c>
      <c r="T1" s="108" t="s">
        <v>859</v>
      </c>
      <c r="U1" s="95" t="s">
        <v>860</v>
      </c>
      <c r="V1" s="96" t="s">
        <v>861</v>
      </c>
      <c r="W1" s="96" t="s">
        <v>862</v>
      </c>
      <c r="X1" s="95" t="s">
        <v>863</v>
      </c>
    </row>
    <row r="2" spans="1:24">
      <c r="A2" s="97"/>
      <c r="B2" s="97"/>
      <c r="C2" s="105"/>
      <c r="D2" s="105"/>
      <c r="E2" s="105"/>
      <c r="F2" s="105"/>
      <c r="G2" s="105"/>
      <c r="H2" s="105"/>
      <c r="I2" s="105"/>
      <c r="J2" s="105"/>
      <c r="K2" s="97"/>
      <c r="L2" s="97"/>
      <c r="M2" s="97"/>
      <c r="N2" s="97"/>
      <c r="O2" s="97"/>
      <c r="P2" s="94"/>
      <c r="Q2" s="94"/>
      <c r="R2" s="94"/>
      <c r="S2" s="94"/>
      <c r="T2" s="94"/>
      <c r="U2" s="94"/>
      <c r="V2" s="97"/>
      <c r="W2" s="97"/>
      <c r="X2" s="94"/>
    </row>
    <row r="3" spans="1:24">
      <c r="A3" s="15">
        <v>1</v>
      </c>
      <c r="B3" s="15">
        <f ca="1">IFERROR(__xludf.DUMMYFUNCTION("query(Rekap!A2:AD1787,""Select B,E,F,G,D,H,U,V,W where C='PKM Riset Sosial Humaniora'"")"),3644)</f>
        <v>3644</v>
      </c>
      <c r="C3" s="16" t="str">
        <f ca="1">IFERROR(__xludf.DUMMYFUNCTION("""COMPUTED_VALUE"""),"TAQY SATRIAJI SANTOSO")</f>
        <v>TAQY SATRIAJI SANTOSO</v>
      </c>
      <c r="D3" s="16" t="str">
        <f ca="1">IFERROR(__xludf.DUMMYFUNCTION("""COMPUTED_VALUE"""),"08211840000054")</f>
        <v>08211840000054</v>
      </c>
      <c r="E3" s="16" t="str">
        <f ca="1">IFERROR(__xludf.DUMMYFUNCTION("""COMPUTED_VALUE"""),"Departemen Perencanaan Wilayah dan Kota")</f>
        <v>Departemen Perencanaan Wilayah dan Kota</v>
      </c>
      <c r="F3" s="16" t="str">
        <f ca="1">IFERROR(__xludf.DUMMYFUNCTION("""COMPUTED_VALUE"""),"Pendekatan Complete Street Sebagai Basis Pengembangan Koridor Ruas Jalan MERR, Surabaya yang Aman Dan Ramah Pengguna
")</f>
        <v xml:space="preserve">Pendekatan Complete Street Sebagai Basis Pengembangan Koridor Ruas Jalan MERR, Surabaya yang Aman Dan Ramah Pengguna
</v>
      </c>
      <c r="G3" s="16" t="str">
        <f ca="1">IFERROR(__xludf.DUMMYFUNCTION("""COMPUTED_VALUE"""),"Ketut Dewi Martha Erli Handayeni, ST, MT")</f>
        <v>Ketut Dewi Martha Erli Handayeni, ST, MT</v>
      </c>
      <c r="H3" s="16" t="str">
        <f ca="1">IFERROR(__xludf.DUMMYFUNCTION("""COMPUTED_VALUE"""),"Mochamad Yusuf, S.T., M.Sc.")</f>
        <v>Mochamad Yusuf, S.T., M.Sc.</v>
      </c>
      <c r="I3" s="16" t="str">
        <f ca="1">IFERROR(__xludf.DUMMYFUNCTION("""COMPUTED_VALUE"""),"Galuh Oktavia Siswono, S.Si., M.Si., M.Act,Sc.")</f>
        <v>Galuh Oktavia Siswono, S.Si., M.Si., M.Act,Sc.</v>
      </c>
      <c r="J3" s="16"/>
      <c r="K3" s="17" t="s">
        <v>1183</v>
      </c>
      <c r="L3" s="17" t="s">
        <v>1184</v>
      </c>
      <c r="M3" s="19" t="b">
        <v>1</v>
      </c>
      <c r="N3" s="19" t="b">
        <v>0</v>
      </c>
      <c r="O3" s="19" t="b">
        <v>0</v>
      </c>
      <c r="P3" s="7" t="str">
        <f ca="1">IFERROR(__xludf.DUMMYFUNCTION("iferror(vlookup(B3,importrange(""https://docs.google.com/spreadsheets/d/1boHyJQ4e2FU0QG8MHwEi6qjX4hvZWVCHcFfXjq7bbMc/edit?resourcekey#gid=923248883"",""Prop!$C$1:$M""),12,0),IFERROR(vlookup(B3,importrange(""https://docs.google.com/spreadsheets/d/1boHyJQ4e"&amp;"2FU0QG8MHwEi6qjX4hvZWVCHcFfXjq7bbMc/edit?resourcekey#gid=923248883"",""Prop!$N$1:$X""),11,0),iferror(vlookup(B3,importrange(""https://docs.google.com/spreadsheets/d/1boHyJQ4e2FU0QG8MHwEi6qjX4hvZWVCHcFfXjq7bbMc/edit?resourcekey#gid=923248883"",""Prop!$Y$1:"&amp;"$AI""),11,0),iferror(vlookup(B3,importrange(""https://docs.google.com/spreadsheets/d/1boHyJQ4e2FU0QG8MHwEi6qjX4hvZWVCHcFfXjq7bbMc/edit?resourcekey#gid=923248883"",""Prop!$AJ$1:$AT""),11,0),iferror(vlookup(B3,importrange(""https://docs.google.com/spreadshe"&amp;"ets/d/1boHyJQ4e2FU0QG8MHwEi6qjX4hvZWVCHcFfXjq7bbMc/edit?resourcekey#gid=923248883"",""Prop!$AU$1:$BE""),11,0),iferror(vlookup(B3,importrange(""https://docs.google.com/spreadsheets/d/1boHyJQ4e2FU0QG8MHwEi6qjX4hvZWVCHcFfXjq7bbMc/edit?resourcekey#gid=9232488"&amp;"83"",""Prop!$BF$1:$BP""),11,0),iferror(vlookup(B3,importrange(""https://docs.google.com/spreadsheets/d/1boHyJQ4e2FU0QG8MHwEi6qjX4hvZWVCHcFfXjq7bbMc/edit?resourcekey#gid=923248883"",""Prop!$BQ$1:$CA""),11,0),iferror(vlookup(B3,importrange(""https://docs.go"&amp;"ogle.com/spreadsheets/d/1boHyJQ4e2FU0QG8MHwEi6qjX4hvZWVCHcFfXjq7bbMc/edit?resourcekey#gid=923248883"",""Prop!$CB$1:$CL""),11,0),iferror(vlookup(B3,importrange(""https://docs.google.com/spreadsheets/d/1boHyJQ4e2FU0QG8MHwEi6qjX4hvZWVCHcFfXjq7bbMc/edit?resou"&amp;"rcekey#gid=923248883"",""Prop!$CM$1:$CX""),12,0),iferror(vlookup(B3,importrange(""https://docs.google.com/spreadsheets/d/1boHyJQ4e2FU0QG8MHwEi6qjX4hvZWVCHcFfXjq7bbMc/edit?resourcekey#gid=923248883"",""Prop!$CV$1:$DI""),11,0)))))))))))"),"https://drive.google.com/open?id=130OWtBicze0eyMshU0gwCLD42VM-TUiZ")</f>
        <v>https://drive.google.com/open?id=130OWtBicze0eyMshU0gwCLD42VM-TUiZ</v>
      </c>
      <c r="Q3" s="7" t="str">
        <f ca="1">IFERROR(__xludf.DUMMYFUNCTION("iferror(vlookup(B3,importrange(""https://docs.google.com/spreadsheets/d/1p53T2AuvvIqhP7Nf-bo3Uhj8cbKYRPpZdsrBv3x3bAQ/edit?resourcekey#gid=1321652304"",""Prop!$C$1:$M""),11,0),IFERROR(vlookup(B3,importrange(""https://docs.google.com/spreadsheets/d/1p53T2Au"&amp;"vvIqhP7Nf-bo3Uhj8cbKYRPpZdsrBv3x3bAQ/edit?resourcekey#gid=1321652304"",""Prop!$N$1:$X""),11,0),iferror(vlookup(B3,importrange(""https://docs.google.com/spreadsheets/d/1p53T2AuvvIqhP7Nf-bo3Uhj8cbKYRPpZdsrBv3x3bAQ/edit?resourcekey#gid=1321652304"",""Prop!$Y"&amp;"$1:$AI""),11,0),iferror(vlookup(B3,importrange(""https://docs.google.com/spreadsheets/d/1p53T2AuvvIqhP7Nf-bo3Uhj8cbKYRPpZdsrBv3x3bAQ/edit?resourcekey#gid=1321652304"",""Prop!$AJ$1:$AT""),11,0),iferror(vlookup(B3,importrange(""https://docs.google.com/sprea"&amp;"dsheets/d/1p53T2AuvvIqhP7Nf-bo3Uhj8cbKYRPpZdsrBv3x3bAQ/edit?resourcekey#gid=1321652304"",""Prop!$AU$1:$BE""),11,0),iferror(vlookup(B3,importrange(""https://docs.google.com/spreadsheets/d/1p53T2AuvvIqhP7Nf-bo3Uhj8cbKYRPpZdsrBv3x3bAQ/edit?resourcekey#gid=13"&amp;"21652304"",""Prop!$BF$1:$BP""),11,0),iferror(vlookup(B3,importrange(""https://docs.google.com/spreadsheets/d/1p53T2AuvvIqhP7Nf-bo3Uhj8cbKYRPpZdsrBv3x3bAQ/edit?resourcekey#gid=1321652304"",""Prop!$BQ$1:$CA""),11,0),iferror(vlookup(B3,importrange(""https://"&amp;"docs.google.com/spreadsheets/d/1p53T2AuvvIqhP7Nf-bo3Uhj8cbKYRPpZdsrBv3x3bAQ/edit?resourcekey#gid=1321652304"",""Prop!$CB$1:$CL""),11,0),iferror(vlookup(B3,importrange(""https://docs.google.com/spreadsheets/d/1p53T2AuvvIqhP7Nf-bo3Uhj8cbKYRPpZdsrBv3x3bAQ/ed"&amp;"it?resourcekey#gid=1321652304"",""Prop!$CM$1:$CX""),12,0),iferror(vlookup(B3,importrange(""https://docs.google.com/spreadsheets/d/1p53T2AuvvIqhP7Nf-bo3Uhj8cbKYRPpZdsrBv3x3bAQ/edit?resourcekey#gid=1321652304"",""Prop!$CY$1:$DI""),11,0)))))))))))"),"https://drive.google.com/open?id=19u-Mq7B7v7vVLAbrgr-BRGGu7wIuiC3K")</f>
        <v>https://drive.google.com/open?id=19u-Mq7B7v7vVLAbrgr-BRGGu7wIuiC3K</v>
      </c>
      <c r="R3" s="88" t="s">
        <v>1185</v>
      </c>
      <c r="S3" s="20" t="str">
        <f ca="1">IFERROR(__xludf.DUMMYFUNCTION("IFERROR(vlookup(B3,IMPORTRANGE(""https://docs.google.com/spreadsheets/d/1g_jfYYK_KeipEDNDUgqgrsxK94XiocfNQIcP-v1QVhI/edit?resourcekey#gid=233272945"",""Nilai!B:CT""),86,0),"" "")"),"dana kurang buwanget")</f>
        <v>dana kurang buwanget</v>
      </c>
      <c r="T3" s="20" t="str">
        <f ca="1">IFERROR(__xludf.DUMMYFUNCTION("IFERROR(vlookup(B3,IMPORTRANGE(""https://docs.google.com/spreadsheets/d/1g_jfYYK_KeipEDNDUgqgrsxK94XiocfNQIcP-v1QVhI/edit?resourcekey#gid=233272945"",""Nilai!B:CT""),97,0),"" "")"),"LAYAK UPLOAD KE SIMBELMAWA DENGAN REVISI")</f>
        <v>LAYAK UPLOAD KE SIMBELMAWA DENGAN REVISI</v>
      </c>
      <c r="U3" s="1" t="s">
        <v>786</v>
      </c>
      <c r="V3" s="1" t="s">
        <v>786</v>
      </c>
      <c r="W3" s="17" t="s">
        <v>1186</v>
      </c>
      <c r="X3" s="19" t="b">
        <v>0</v>
      </c>
    </row>
    <row r="4" spans="1:24">
      <c r="A4" s="15">
        <v>2</v>
      </c>
      <c r="B4" s="15">
        <f ca="1">IFERROR(__xludf.DUMMYFUNCTION("""COMPUTED_VALUE"""),2397)</f>
        <v>2397</v>
      </c>
      <c r="C4" s="16" t="str">
        <f ca="1">IFERROR(__xludf.DUMMYFUNCTION("""COMPUTED_VALUE"""),"PUTRI REGINA SUHARTONO")</f>
        <v>PUTRI REGINA SUHARTONO</v>
      </c>
      <c r="D4" s="16" t="str">
        <f ca="1">IFERROR(__xludf.DUMMYFUNCTION("""COMPUTED_VALUE"""),"5006201009")</f>
        <v>5006201009</v>
      </c>
      <c r="E4" s="16" t="str">
        <f ca="1">IFERROR(__xludf.DUMMYFUNCTION("""COMPUTED_VALUE"""),"Departemen Aktuaria")</f>
        <v>Departemen Aktuaria</v>
      </c>
      <c r="F4" s="16" t="str">
        <f ca="1">IFERROR(__xludf.DUMMYFUNCTION("""COMPUTED_VALUE"""),"Strategi Peningkatan Literasi Keuangan Guna Mewujudkan Generasi Z di Kota Surabaya yang Melek Finansial")</f>
        <v>Strategi Peningkatan Literasi Keuangan Guna Mewujudkan Generasi Z di Kota Surabaya yang Melek Finansial</v>
      </c>
      <c r="G4" s="16" t="str">
        <f ca="1">IFERROR(__xludf.DUMMYFUNCTION("""COMPUTED_VALUE"""),"Ulil 'Azmi, S.Si., M.Si.")</f>
        <v>Ulil 'Azmi, S.Si., M.Si.</v>
      </c>
      <c r="H4" s="16" t="str">
        <f ca="1">IFERROR(__xludf.DUMMYFUNCTION("""COMPUTED_VALUE"""),"Muchammad Nurif, S.E., M.T.")</f>
        <v>Muchammad Nurif, S.E., M.T.</v>
      </c>
      <c r="I4" s="16" t="str">
        <f ca="1">IFERROR(__xludf.DUMMYFUNCTION("""COMPUTED_VALUE"""),"Deqi Rizkivia Radita, S.T., M.Sc.")</f>
        <v>Deqi Rizkivia Radita, S.T., M.Sc.</v>
      </c>
      <c r="J4" s="16"/>
      <c r="K4" s="17" t="s">
        <v>1183</v>
      </c>
      <c r="L4" s="17" t="s">
        <v>1184</v>
      </c>
      <c r="M4" s="19" t="b">
        <v>1</v>
      </c>
      <c r="N4" s="19" t="b">
        <v>1</v>
      </c>
      <c r="O4" s="19" t="b">
        <v>1</v>
      </c>
      <c r="P4" s="7" t="str">
        <f ca="1">IFERROR(__xludf.DUMMYFUNCTION("iferror(vlookup(B4,importrange(""https://docs.google.com/spreadsheets/d/1boHyJQ4e2FU0QG8MHwEi6qjX4hvZWVCHcFfXjq7bbMc/edit?resourcekey#gid=923248883"",""Prop!$C$1:$M""),12,0),IFERROR(vlookup(B4,importrange(""https://docs.google.com/spreadsheets/d/1boHyJQ4e"&amp;"2FU0QG8MHwEi6qjX4hvZWVCHcFfXjq7bbMc/edit?resourcekey#gid=923248883"",""Prop!$N$1:$X""),11,0),iferror(vlookup(B4,importrange(""https://docs.google.com/spreadsheets/d/1boHyJQ4e2FU0QG8MHwEi6qjX4hvZWVCHcFfXjq7bbMc/edit?resourcekey#gid=923248883"",""Prop!$Y$1:"&amp;"$AI""),11,0),iferror(vlookup(B4,importrange(""https://docs.google.com/spreadsheets/d/1boHyJQ4e2FU0QG8MHwEi6qjX4hvZWVCHcFfXjq7bbMc/edit?resourcekey#gid=923248883"",""Prop!$AJ$1:$AT""),11,0),iferror(vlookup(B4,importrange(""https://docs.google.com/spreadshe"&amp;"ets/d/1boHyJQ4e2FU0QG8MHwEi6qjX4hvZWVCHcFfXjq7bbMc/edit?resourcekey#gid=923248883"",""Prop!$AU$1:$BE""),11,0),iferror(vlookup(B4,importrange(""https://docs.google.com/spreadsheets/d/1boHyJQ4e2FU0QG8MHwEi6qjX4hvZWVCHcFfXjq7bbMc/edit?resourcekey#gid=9232488"&amp;"83"",""Prop!$BF$1:$BP""),11,0),iferror(vlookup(B4,importrange(""https://docs.google.com/spreadsheets/d/1boHyJQ4e2FU0QG8MHwEi6qjX4hvZWVCHcFfXjq7bbMc/edit?resourcekey#gid=923248883"",""Prop!$BQ$1:$CA""),11,0),iferror(vlookup(B4,importrange(""https://docs.go"&amp;"ogle.com/spreadsheets/d/1boHyJQ4e2FU0QG8MHwEi6qjX4hvZWVCHcFfXjq7bbMc/edit?resourcekey#gid=923248883"",""Prop!$CB$1:$CL""),11,0),iferror(vlookup(B4,importrange(""https://docs.google.com/spreadsheets/d/1boHyJQ4e2FU0QG8MHwEi6qjX4hvZWVCHcFfXjq7bbMc/edit?resou"&amp;"rcekey#gid=923248883"",""Prop!$CM$1:$CX""),12,0),iferror(vlookup(B4,importrange(""https://docs.google.com/spreadsheets/d/1boHyJQ4e2FU0QG8MHwEi6qjX4hvZWVCHcFfXjq7bbMc/edit?resourcekey#gid=923248883"",""Prop!$CV$1:$DI""),11,0)))))))))))"),"https://drive.google.com/open?id=1t7OETkuOIfK01tlkaQOJL6NT6A3dKtr9")</f>
        <v>https://drive.google.com/open?id=1t7OETkuOIfK01tlkaQOJL6NT6A3dKtr9</v>
      </c>
      <c r="Q4" s="7" t="str">
        <f ca="1">IFERROR(__xludf.DUMMYFUNCTION("iferror(vlookup(B4,importrange(""https://docs.google.com/spreadsheets/d/1p53T2AuvvIqhP7Nf-bo3Uhj8cbKYRPpZdsrBv3x3bAQ/edit?resourcekey#gid=1321652304"",""Prop!$C$1:$M""),11,0),IFERROR(vlookup(B4,importrange(""https://docs.google.com/spreadsheets/d/1p53T2Au"&amp;"vvIqhP7Nf-bo3Uhj8cbKYRPpZdsrBv3x3bAQ/edit?resourcekey#gid=1321652304"",""Prop!$N$1:$X""),11,0),iferror(vlookup(B4,importrange(""https://docs.google.com/spreadsheets/d/1p53T2AuvvIqhP7Nf-bo3Uhj8cbKYRPpZdsrBv3x3bAQ/edit?resourcekey#gid=1321652304"",""Prop!$Y"&amp;"$1:$AI""),11,0),iferror(vlookup(B4,importrange(""https://docs.google.com/spreadsheets/d/1p53T2AuvvIqhP7Nf-bo3Uhj8cbKYRPpZdsrBv3x3bAQ/edit?resourcekey#gid=1321652304"",""Prop!$AJ$1:$AT""),11,0),iferror(vlookup(B4,importrange(""https://docs.google.com/sprea"&amp;"dsheets/d/1p53T2AuvvIqhP7Nf-bo3Uhj8cbKYRPpZdsrBv3x3bAQ/edit?resourcekey#gid=1321652304"",""Prop!$AU$1:$BE""),11,0),iferror(vlookup(B4,importrange(""https://docs.google.com/spreadsheets/d/1p53T2AuvvIqhP7Nf-bo3Uhj8cbKYRPpZdsrBv3x3bAQ/edit?resourcekey#gid=13"&amp;"21652304"",""Prop!$BF$1:$BP""),11,0),iferror(vlookup(B4,importrange(""https://docs.google.com/spreadsheets/d/1p53T2AuvvIqhP7Nf-bo3Uhj8cbKYRPpZdsrBv3x3bAQ/edit?resourcekey#gid=1321652304"",""Prop!$BQ$1:$CA""),11,0),iferror(vlookup(B4,importrange(""https://"&amp;"docs.google.com/spreadsheets/d/1p53T2AuvvIqhP7Nf-bo3Uhj8cbKYRPpZdsrBv3x3bAQ/edit?resourcekey#gid=1321652304"",""Prop!$CB$1:$CL""),11,0),iferror(vlookup(B4,importrange(""https://docs.google.com/spreadsheets/d/1p53T2AuvvIqhP7Nf-bo3Uhj8cbKYRPpZdsrBv3x3bAQ/ed"&amp;"it?resourcekey#gid=1321652304"",""Prop!$CM$1:$CX""),12,0),iferror(vlookup(B4,importrange(""https://docs.google.com/spreadsheets/d/1p53T2AuvvIqhP7Nf-bo3Uhj8cbKYRPpZdsrBv3x3bAQ/edit?resourcekey#gid=1321652304"",""Prop!$CY$1:$DI""),11,0)))))))))))"),"https://drive.google.com/open?id=1K9nFlwrH0EKpw_qVJ13vK9SQ89JOlsxy")</f>
        <v>https://drive.google.com/open?id=1K9nFlwrH0EKpw_qVJ13vK9SQ89JOlsxy</v>
      </c>
      <c r="R4" s="88" t="s">
        <v>1185</v>
      </c>
      <c r="S4" s="20" t="str">
        <f ca="1">IFERROR(__xludf.DUMMYFUNCTION("IFERROR(vlookup(B4,IMPORTRANGE(""https://docs.google.com/spreadsheets/d/1g_jfYYK_KeipEDNDUgqgrsxK94XiocfNQIcP-v1QVhI/edit?resourcekey#gid=233272945"",""Nilai!B:CT""),86,0),"" "")"),"-")</f>
        <v>-</v>
      </c>
      <c r="T4" s="20" t="str">
        <f ca="1">IFERROR(__xludf.DUMMYFUNCTION("IFERROR(vlookup(B4,IMPORTRANGE(""https://docs.google.com/spreadsheets/d/1g_jfYYK_KeipEDNDUgqgrsxK94XiocfNQIcP-v1QVhI/edit?resourcekey#gid=233272945"",""Nilai!B:CT""),97,0),"" "")"),"LAYAK UPLOAD KE SIMBELMAWA")</f>
        <v>LAYAK UPLOAD KE SIMBELMAWA</v>
      </c>
      <c r="U4" s="1" t="s">
        <v>786</v>
      </c>
      <c r="V4" s="1" t="s">
        <v>786</v>
      </c>
      <c r="W4" s="17" t="s">
        <v>1186</v>
      </c>
      <c r="X4" s="19" t="b">
        <v>1</v>
      </c>
    </row>
    <row r="5" spans="1:24">
      <c r="A5" s="15">
        <v>3</v>
      </c>
      <c r="B5" s="15">
        <f ca="1">IFERROR(__xludf.DUMMYFUNCTION("""COMPUTED_VALUE"""),3425)</f>
        <v>3425</v>
      </c>
      <c r="C5" s="16" t="str">
        <f ca="1">IFERROR(__xludf.DUMMYFUNCTION("""COMPUTED_VALUE"""),"Mukhammad Akbar Makhbubi")</f>
        <v>Mukhammad Akbar Makhbubi</v>
      </c>
      <c r="D5" s="16" t="str">
        <f ca="1">IFERROR(__xludf.DUMMYFUNCTION("""COMPUTED_VALUE"""),"08211940000021")</f>
        <v>08211940000021</v>
      </c>
      <c r="E5" s="16" t="str">
        <f ca="1">IFERROR(__xludf.DUMMYFUNCTION("""COMPUTED_VALUE"""),"Departemen Perencanaan Wilayah dan Kota")</f>
        <v>Departemen Perencanaan Wilayah dan Kota</v>
      </c>
      <c r="F5" s="16" t="str">
        <f ca="1">IFERROR(__xludf.DUMMYFUNCTION("""COMPUTED_VALUE"""),"Menelisik Sensibilitas Kultur Adat Suku Tengger dan Potensinya sebagai Pengembangan Cultural-Healing Tourism")</f>
        <v>Menelisik Sensibilitas Kultur Adat Suku Tengger dan Potensinya sebagai Pengembangan Cultural-Healing Tourism</v>
      </c>
      <c r="G5" s="16" t="str">
        <f ca="1">IFERROR(__xludf.DUMMYFUNCTION("""COMPUTED_VALUE"""),"Arwi Yudhi Koswara, S.T., M.T.")</f>
        <v>Arwi Yudhi Koswara, S.T., M.T.</v>
      </c>
      <c r="H5" s="16" t="str">
        <f ca="1">IFERROR(__xludf.DUMMYFUNCTION("""COMPUTED_VALUE"""),"Welly Herumurti, S.T., M.Sc.")</f>
        <v>Welly Herumurti, S.T., M.Sc.</v>
      </c>
      <c r="I5" s="16" t="str">
        <f ca="1">IFERROR(__xludf.DUMMYFUNCTION("""COMPUTED_VALUE"""),"Mukhammad Muryono, S.Si., M.Si., Ph.D.")</f>
        <v>Mukhammad Muryono, S.Si., M.Si., Ph.D.</v>
      </c>
      <c r="J5" s="16" t="str">
        <f ca="1">IFERROR(__xludf.DUMMYFUNCTION("""COMPUTED_VALUE"""),"Putu Gde Ariastita, S.T., M.T.")</f>
        <v>Putu Gde Ariastita, S.T., M.T.</v>
      </c>
      <c r="K5" s="17" t="s">
        <v>1183</v>
      </c>
      <c r="L5" s="17" t="s">
        <v>1184</v>
      </c>
      <c r="M5" s="19" t="b">
        <v>0</v>
      </c>
      <c r="N5" s="19" t="b">
        <v>1</v>
      </c>
      <c r="O5" s="19" t="b">
        <v>1</v>
      </c>
      <c r="P5" s="7" t="str">
        <f ca="1">IFERROR(__xludf.DUMMYFUNCTION("iferror(vlookup(B5,importrange(""https://docs.google.com/spreadsheets/d/1boHyJQ4e2FU0QG8MHwEi6qjX4hvZWVCHcFfXjq7bbMc/edit?resourcekey#gid=923248883"",""Prop!$C$1:$M""),12,0),IFERROR(vlookup(B5,importrange(""https://docs.google.com/spreadsheets/d/1boHyJQ4e"&amp;"2FU0QG8MHwEi6qjX4hvZWVCHcFfXjq7bbMc/edit?resourcekey#gid=923248883"",""Prop!$N$1:$X""),11,0),iferror(vlookup(B5,importrange(""https://docs.google.com/spreadsheets/d/1boHyJQ4e2FU0QG8MHwEi6qjX4hvZWVCHcFfXjq7bbMc/edit?resourcekey#gid=923248883"",""Prop!$Y$1:"&amp;"$AI""),11,0),iferror(vlookup(B5,importrange(""https://docs.google.com/spreadsheets/d/1boHyJQ4e2FU0QG8MHwEi6qjX4hvZWVCHcFfXjq7bbMc/edit?resourcekey#gid=923248883"",""Prop!$AJ$1:$AT""),11,0),iferror(vlookup(B5,importrange(""https://docs.google.com/spreadshe"&amp;"ets/d/1boHyJQ4e2FU0QG8MHwEi6qjX4hvZWVCHcFfXjq7bbMc/edit?resourcekey#gid=923248883"",""Prop!$AU$1:$BE""),11,0),iferror(vlookup(B5,importrange(""https://docs.google.com/spreadsheets/d/1boHyJQ4e2FU0QG8MHwEi6qjX4hvZWVCHcFfXjq7bbMc/edit?resourcekey#gid=9232488"&amp;"83"",""Prop!$BF$1:$BP""),11,0),iferror(vlookup(B5,importrange(""https://docs.google.com/spreadsheets/d/1boHyJQ4e2FU0QG8MHwEi6qjX4hvZWVCHcFfXjq7bbMc/edit?resourcekey#gid=923248883"",""Prop!$BQ$1:$CA""),11,0),iferror(vlookup(B5,importrange(""https://docs.go"&amp;"ogle.com/spreadsheets/d/1boHyJQ4e2FU0QG8MHwEi6qjX4hvZWVCHcFfXjq7bbMc/edit?resourcekey#gid=923248883"",""Prop!$CB$1:$CL""),11,0),iferror(vlookup(B5,importrange(""https://docs.google.com/spreadsheets/d/1boHyJQ4e2FU0QG8MHwEi6qjX4hvZWVCHcFfXjq7bbMc/edit?resou"&amp;"rcekey#gid=923248883"",""Prop!$CM$1:$CX""),12,0),iferror(vlookup(B5,importrange(""https://docs.google.com/spreadsheets/d/1boHyJQ4e2FU0QG8MHwEi6qjX4hvZWVCHcFfXjq7bbMc/edit?resourcekey#gid=923248883"",""Prop!$CV$1:$DI""),11,0)))))))))))"),"https://drive.google.com/open?id=1_lFjhICqdv1cXfhO8JoB5rLsipbSQrZJ")</f>
        <v>https://drive.google.com/open?id=1_lFjhICqdv1cXfhO8JoB5rLsipbSQrZJ</v>
      </c>
      <c r="Q5" s="7" t="str">
        <f ca="1">IFERROR(__xludf.DUMMYFUNCTION("iferror(vlookup(B5,importrange(""https://docs.google.com/spreadsheets/d/1p53T2AuvvIqhP7Nf-bo3Uhj8cbKYRPpZdsrBv3x3bAQ/edit?resourcekey#gid=1321652304"",""Prop!$C$1:$M""),11,0),IFERROR(vlookup(B5,importrange(""https://docs.google.com/spreadsheets/d/1p53T2Au"&amp;"vvIqhP7Nf-bo3Uhj8cbKYRPpZdsrBv3x3bAQ/edit?resourcekey#gid=1321652304"",""Prop!$N$1:$X""),11,0),iferror(vlookup(B5,importrange(""https://docs.google.com/spreadsheets/d/1p53T2AuvvIqhP7Nf-bo3Uhj8cbKYRPpZdsrBv3x3bAQ/edit?resourcekey#gid=1321652304"",""Prop!$Y"&amp;"$1:$AI""),11,0),iferror(vlookup(B5,importrange(""https://docs.google.com/spreadsheets/d/1p53T2AuvvIqhP7Nf-bo3Uhj8cbKYRPpZdsrBv3x3bAQ/edit?resourcekey#gid=1321652304"",""Prop!$AJ$1:$AT""),11,0),iferror(vlookup(B5,importrange(""https://docs.google.com/sprea"&amp;"dsheets/d/1p53T2AuvvIqhP7Nf-bo3Uhj8cbKYRPpZdsrBv3x3bAQ/edit?resourcekey#gid=1321652304"",""Prop!$AU$1:$BE""),11,0),iferror(vlookup(B5,importrange(""https://docs.google.com/spreadsheets/d/1p53T2AuvvIqhP7Nf-bo3Uhj8cbKYRPpZdsrBv3x3bAQ/edit?resourcekey#gid=13"&amp;"21652304"",""Prop!$BF$1:$BP""),11,0),iferror(vlookup(B5,importrange(""https://docs.google.com/spreadsheets/d/1p53T2AuvvIqhP7Nf-bo3Uhj8cbKYRPpZdsrBv3x3bAQ/edit?resourcekey#gid=1321652304"",""Prop!$BQ$1:$CA""),11,0),iferror(vlookup(B5,importrange(""https://"&amp;"docs.google.com/spreadsheets/d/1p53T2AuvvIqhP7Nf-bo3Uhj8cbKYRPpZdsrBv3x3bAQ/edit?resourcekey#gid=1321652304"",""Prop!$CB$1:$CL""),11,0),iferror(vlookup(B5,importrange(""https://docs.google.com/spreadsheets/d/1p53T2AuvvIqhP7Nf-bo3Uhj8cbKYRPpZdsrBv3x3bAQ/ed"&amp;"it?resourcekey#gid=1321652304"",""Prop!$CM$1:$CX""),12,0),iferror(vlookup(B5,importrange(""https://docs.google.com/spreadsheets/d/1p53T2AuvvIqhP7Nf-bo3Uhj8cbKYRPpZdsrBv3x3bAQ/edit?resourcekey#gid=1321652304"",""Prop!$CY$1:$DI""),11,0)))))))))))"),"https://drive.google.com/open?id=1riuTQxkjOx38ThXn5FX5kYu6nioAvADJ")</f>
        <v>https://drive.google.com/open?id=1riuTQxkjOx38ThXn5FX5kYu6nioAvADJ</v>
      </c>
      <c r="R5" s="88" t="s">
        <v>1185</v>
      </c>
      <c r="S5" s="20" t="str">
        <f ca="1">IFERROR(__xludf.DUMMYFUNCTION("IFERROR(vlookup(B5,IMPORTRANGE(""https://docs.google.com/spreadsheets/d/1g_jfYYK_KeipEDNDUgqgrsxK94XiocfNQIcP-v1QVhI/edit?resourcekey#gid=233272945"",""Nilai!B:CT""),86,0),"" "")"),"1, memperkaya eksplorasi penelitian terdahulu
2. memperkuat metode penelitian")</f>
        <v>1, memperkaya eksplorasi penelitian terdahulu
2. memperkuat metode penelitian</v>
      </c>
      <c r="T5" s="20" t="str">
        <f ca="1">IFERROR(__xludf.DUMMYFUNCTION("IFERROR(vlookup(B5,IMPORTRANGE(""https://docs.google.com/spreadsheets/d/1g_jfYYK_KeipEDNDUgqgrsxK94XiocfNQIcP-v1QVhI/edit?resourcekey#gid=233272945"",""Nilai!B:CT""),97,0),"" "")"),"LAYAK UPLOAD KE SIMBELMAWA DENGAN REVISI")</f>
        <v>LAYAK UPLOAD KE SIMBELMAWA DENGAN REVISI</v>
      </c>
      <c r="U5" s="1" t="s">
        <v>786</v>
      </c>
      <c r="V5" s="1" t="s">
        <v>786</v>
      </c>
      <c r="W5" s="17" t="s">
        <v>1186</v>
      </c>
      <c r="X5" s="19" t="b">
        <v>1</v>
      </c>
    </row>
    <row r="6" spans="1:24">
      <c r="A6" s="15">
        <v>4</v>
      </c>
      <c r="B6" s="15">
        <f ca="1">IFERROR(__xludf.DUMMYFUNCTION("""COMPUTED_VALUE"""),2159)</f>
        <v>2159</v>
      </c>
      <c r="C6" s="16" t="str">
        <f ca="1">IFERROR(__xludf.DUMMYFUNCTION("""COMPUTED_VALUE"""),"LAYLATUS SYARIFAH")</f>
        <v>LAYLATUS SYARIFAH</v>
      </c>
      <c r="D6" s="16" t="str">
        <f ca="1">IFERROR(__xludf.DUMMYFUNCTION("""COMPUTED_VALUE"""),"5002201034")</f>
        <v>5002201034</v>
      </c>
      <c r="E6" s="16" t="str">
        <f ca="1">IFERROR(__xludf.DUMMYFUNCTION("""COMPUTED_VALUE"""),"Departemen Matematika")</f>
        <v>Departemen Matematika</v>
      </c>
      <c r="F6" s="16" t="str">
        <f ca="1">IFERROR(__xludf.DUMMYFUNCTION("""COMPUTED_VALUE"""),"Kajian Etnomatematika dan Etimologi Angka-Angka pada Bahasa Jawa")</f>
        <v>Kajian Etnomatematika dan Etimologi Angka-Angka pada Bahasa Jawa</v>
      </c>
      <c r="G6" s="16" t="str">
        <f ca="1">IFERROR(__xludf.DUMMYFUNCTION("""COMPUTED_VALUE"""),"Muhammad Syifaul Mufid, S.Si.,M.Si")</f>
        <v>Muhammad Syifaul Mufid, S.Si.,M.Si</v>
      </c>
      <c r="H6" s="16" t="str">
        <f ca="1">IFERROR(__xludf.DUMMYFUNCTION("""COMPUTED_VALUE"""),"Dr. Soedarso, S.S., M.Hum.")</f>
        <v>Dr. Soedarso, S.S., M.Hum.</v>
      </c>
      <c r="I6" s="16" t="str">
        <f ca="1">IFERROR(__xludf.DUMMYFUNCTION("""COMPUTED_VALUE"""),"Mukti Ratna Dewi, S.Si., M.Sc.")</f>
        <v>Mukti Ratna Dewi, S.Si., M.Sc.</v>
      </c>
      <c r="J6" s="16" t="str">
        <f ca="1">IFERROR(__xludf.DUMMYFUNCTION("""COMPUTED_VALUE"""),"Putu Gde Ariastita, S.T., M.T.")</f>
        <v>Putu Gde Ariastita, S.T., M.T.</v>
      </c>
      <c r="K6" s="17" t="s">
        <v>1183</v>
      </c>
      <c r="L6" s="17" t="s">
        <v>1184</v>
      </c>
      <c r="M6" s="19" t="b">
        <v>1</v>
      </c>
      <c r="N6" s="19" t="b">
        <v>1</v>
      </c>
      <c r="O6" s="19" t="b">
        <v>1</v>
      </c>
      <c r="P6" s="7" t="str">
        <f ca="1">IFERROR(__xludf.DUMMYFUNCTION("iferror(vlookup(B6,importrange(""https://docs.google.com/spreadsheets/d/1boHyJQ4e2FU0QG8MHwEi6qjX4hvZWVCHcFfXjq7bbMc/edit?resourcekey#gid=923248883"",""Prop!$C$1:$M""),12,0),IFERROR(vlookup(B6,importrange(""https://docs.google.com/spreadsheets/d/1boHyJQ4e"&amp;"2FU0QG8MHwEi6qjX4hvZWVCHcFfXjq7bbMc/edit?resourcekey#gid=923248883"",""Prop!$N$1:$X""),11,0),iferror(vlookup(B6,importrange(""https://docs.google.com/spreadsheets/d/1boHyJQ4e2FU0QG8MHwEi6qjX4hvZWVCHcFfXjq7bbMc/edit?resourcekey#gid=923248883"",""Prop!$Y$1:"&amp;"$AI""),11,0),iferror(vlookup(B6,importrange(""https://docs.google.com/spreadsheets/d/1boHyJQ4e2FU0QG8MHwEi6qjX4hvZWVCHcFfXjq7bbMc/edit?resourcekey#gid=923248883"",""Prop!$AJ$1:$AT""),11,0),iferror(vlookup(B6,importrange(""https://docs.google.com/spreadshe"&amp;"ets/d/1boHyJQ4e2FU0QG8MHwEi6qjX4hvZWVCHcFfXjq7bbMc/edit?resourcekey#gid=923248883"",""Prop!$AU$1:$BE""),11,0),iferror(vlookup(B6,importrange(""https://docs.google.com/spreadsheets/d/1boHyJQ4e2FU0QG8MHwEi6qjX4hvZWVCHcFfXjq7bbMc/edit?resourcekey#gid=9232488"&amp;"83"",""Prop!$BF$1:$BP""),11,0),iferror(vlookup(B6,importrange(""https://docs.google.com/spreadsheets/d/1boHyJQ4e2FU0QG8MHwEi6qjX4hvZWVCHcFfXjq7bbMc/edit?resourcekey#gid=923248883"",""Prop!$BQ$1:$CA""),11,0),iferror(vlookup(B6,importrange(""https://docs.go"&amp;"ogle.com/spreadsheets/d/1boHyJQ4e2FU0QG8MHwEi6qjX4hvZWVCHcFfXjq7bbMc/edit?resourcekey#gid=923248883"",""Prop!$CB$1:$CL""),11,0),iferror(vlookup(B6,importrange(""https://docs.google.com/spreadsheets/d/1boHyJQ4e2FU0QG8MHwEi6qjX4hvZWVCHcFfXjq7bbMc/edit?resou"&amp;"rcekey#gid=923248883"",""Prop!$CM$1:$CX""),12,0),iferror(vlookup(B6,importrange(""https://docs.google.com/spreadsheets/d/1boHyJQ4e2FU0QG8MHwEi6qjX4hvZWVCHcFfXjq7bbMc/edit?resourcekey#gid=923248883"",""Prop!$CV$1:$DI""),11,0)))))))))))"),"https://drive.google.com/open?id=1hhZ-ypmJZGEHpFyfe8G0v0rrZhC2PWy2")</f>
        <v>https://drive.google.com/open?id=1hhZ-ypmJZGEHpFyfe8G0v0rrZhC2PWy2</v>
      </c>
      <c r="Q6" s="7" t="str">
        <f ca="1">IFERROR(__xludf.DUMMYFUNCTION("iferror(vlookup(B6,importrange(""https://docs.google.com/spreadsheets/d/1p53T2AuvvIqhP7Nf-bo3Uhj8cbKYRPpZdsrBv3x3bAQ/edit?resourcekey#gid=1321652304"",""Prop!$C$1:$M""),11,0),IFERROR(vlookup(B6,importrange(""https://docs.google.com/spreadsheets/d/1p53T2Au"&amp;"vvIqhP7Nf-bo3Uhj8cbKYRPpZdsrBv3x3bAQ/edit?resourcekey#gid=1321652304"",""Prop!$N$1:$X""),11,0),iferror(vlookup(B6,importrange(""https://docs.google.com/spreadsheets/d/1p53T2AuvvIqhP7Nf-bo3Uhj8cbKYRPpZdsrBv3x3bAQ/edit?resourcekey#gid=1321652304"",""Prop!$Y"&amp;"$1:$AI""),11,0),iferror(vlookup(B6,importrange(""https://docs.google.com/spreadsheets/d/1p53T2AuvvIqhP7Nf-bo3Uhj8cbKYRPpZdsrBv3x3bAQ/edit?resourcekey#gid=1321652304"",""Prop!$AJ$1:$AT""),11,0),iferror(vlookup(B6,importrange(""https://docs.google.com/sprea"&amp;"dsheets/d/1p53T2AuvvIqhP7Nf-bo3Uhj8cbKYRPpZdsrBv3x3bAQ/edit?resourcekey#gid=1321652304"",""Prop!$AU$1:$BE""),11,0),iferror(vlookup(B6,importrange(""https://docs.google.com/spreadsheets/d/1p53T2AuvvIqhP7Nf-bo3Uhj8cbKYRPpZdsrBv3x3bAQ/edit?resourcekey#gid=13"&amp;"21652304"",""Prop!$BF$1:$BP""),11,0),iferror(vlookup(B6,importrange(""https://docs.google.com/spreadsheets/d/1p53T2AuvvIqhP7Nf-bo3Uhj8cbKYRPpZdsrBv3x3bAQ/edit?resourcekey#gid=1321652304"",""Prop!$BQ$1:$CA""),11,0),iferror(vlookup(B6,importrange(""https://"&amp;"docs.google.com/spreadsheets/d/1p53T2AuvvIqhP7Nf-bo3Uhj8cbKYRPpZdsrBv3x3bAQ/edit?resourcekey#gid=1321652304"",""Prop!$CB$1:$CL""),11,0),iferror(vlookup(B6,importrange(""https://docs.google.com/spreadsheets/d/1p53T2AuvvIqhP7Nf-bo3Uhj8cbKYRPpZdsrBv3x3bAQ/ed"&amp;"it?resourcekey#gid=1321652304"",""Prop!$CM$1:$CX""),12,0),iferror(vlookup(B6,importrange(""https://docs.google.com/spreadsheets/d/1p53T2AuvvIqhP7Nf-bo3Uhj8cbKYRPpZdsrBv3x3bAQ/edit?resourcekey#gid=1321652304"",""Prop!$CY$1:$DI""),11,0)))))))))))"),"https://drive.google.com/open?id=1H3QFIpEyj3BPHSYODZub2WDX7d_DTk7z")</f>
        <v>https://drive.google.com/open?id=1H3QFIpEyj3BPHSYODZub2WDX7d_DTk7z</v>
      </c>
      <c r="R6" s="88" t="s">
        <v>1185</v>
      </c>
      <c r="S6" s="20" t="str">
        <f ca="1">IFERROR(__xludf.DUMMYFUNCTION("IFERROR(vlookup(B6,IMPORTRANGE(""https://docs.google.com/spreadsheets/d/1g_jfYYK_KeipEDNDUgqgrsxK94XiocfNQIcP-v1QVhI/edit?resourcekey#gid=233272945"",""Nilai!B:CT""),86,0),"" "")"),"Ide menarik, hanya urgensi merelevansikan angka jawa dan sosial kurang dimunculkan
tinjauan pustaka hanya definisi2, kurang elaboratif
penyampaian analisis kualitatif nya hingga mencapai kesimpulan kurang dikuatkan menggunaka metode apa")</f>
        <v>Ide menarik, hanya urgensi merelevansikan angka jawa dan sosial kurang dimunculkan
tinjauan pustaka hanya definisi2, kurang elaboratif
penyampaian analisis kualitatif nya hingga mencapai kesimpulan kurang dikuatkan menggunaka metode apa</v>
      </c>
      <c r="T6" s="20" t="str">
        <f ca="1">IFERROR(__xludf.DUMMYFUNCTION("IFERROR(vlookup(B6,IMPORTRANGE(""https://docs.google.com/spreadsheets/d/1g_jfYYK_KeipEDNDUgqgrsxK94XiocfNQIcP-v1QVhI/edit?resourcekey#gid=233272945"",""Nilai!B:CT""),97,0),"" "")"),"LAYAK UPLOAD KE SIMBELMAWA DENGAN REVISI")</f>
        <v>LAYAK UPLOAD KE SIMBELMAWA DENGAN REVISI</v>
      </c>
      <c r="U6" s="1" t="s">
        <v>786</v>
      </c>
      <c r="V6" s="1" t="s">
        <v>786</v>
      </c>
      <c r="W6" s="17" t="s">
        <v>1186</v>
      </c>
      <c r="X6" s="19" t="b">
        <v>1</v>
      </c>
    </row>
    <row r="7" spans="1:24">
      <c r="A7" s="15">
        <v>5</v>
      </c>
      <c r="B7" s="15">
        <f ca="1">IFERROR(__xludf.DUMMYFUNCTION("""COMPUTED_VALUE"""),3589)</f>
        <v>3589</v>
      </c>
      <c r="C7" s="16" t="str">
        <f ca="1">IFERROR(__xludf.DUMMYFUNCTION("""COMPUTED_VALUE"""),"ADINDA ALIFIA YUMNA")</f>
        <v>ADINDA ALIFIA YUMNA</v>
      </c>
      <c r="D7" s="16" t="str">
        <f ca="1">IFERROR(__xludf.DUMMYFUNCTION("""COMPUTED_VALUE"""),"5003201053")</f>
        <v>5003201053</v>
      </c>
      <c r="E7" s="16" t="str">
        <f ca="1">IFERROR(__xludf.DUMMYFUNCTION("""COMPUTED_VALUE"""),"Departemen Statistika")</f>
        <v>Departemen Statistika</v>
      </c>
      <c r="F7" s="16" t="str">
        <f ca="1">IFERROR(__xludf.DUMMYFUNCTION("""COMPUTED_VALUE"""),"KARAKTERISASI INDEKS KEBAHAGIAAN KABUPATEN/KOTA DI PROVINSI JAWA TIMUR PADA MASA PANDEMI COVID-19 MENGGUNAKAN PEMODELAN REGRESI NONPARAMETRIK SPLINE TRUNCATED")</f>
        <v>KARAKTERISASI INDEKS KEBAHAGIAAN KABUPATEN/KOTA DI PROVINSI JAWA TIMUR PADA MASA PANDEMI COVID-19 MENGGUNAKAN PEMODELAN REGRESI NONPARAMETRIK SPLINE TRUNCATED</v>
      </c>
      <c r="G7" s="16" t="str">
        <f ca="1">IFERROR(__xludf.DUMMYFUNCTION("""COMPUTED_VALUE"""),"Prof. Dr. Drs.  I Nyoman Budiantara, M.Si")</f>
        <v>Prof. Dr. Drs.  I Nyoman Budiantara, M.Si</v>
      </c>
      <c r="H7" s="16" t="str">
        <f ca="1">IFERROR(__xludf.DUMMYFUNCTION("""COMPUTED_VALUE"""),"Mochamad Yusuf, S.T., M.Sc.")</f>
        <v>Mochamad Yusuf, S.T., M.Sc.</v>
      </c>
      <c r="I7" s="16" t="str">
        <f ca="1">IFERROR(__xludf.DUMMYFUNCTION("""COMPUTED_VALUE"""),"Bahalwan Apriyansyah, S.T., MBA.")</f>
        <v>Bahalwan Apriyansyah, S.T., MBA.</v>
      </c>
      <c r="J7" s="16"/>
      <c r="K7" s="17" t="s">
        <v>1183</v>
      </c>
      <c r="L7" s="17" t="s">
        <v>1184</v>
      </c>
      <c r="M7" s="19" t="b">
        <v>1</v>
      </c>
      <c r="N7" s="19" t="b">
        <v>1</v>
      </c>
      <c r="O7" s="19" t="b">
        <v>1</v>
      </c>
      <c r="P7" s="7" t="str">
        <f ca="1">IFERROR(__xludf.DUMMYFUNCTION("iferror(vlookup(B7,importrange(""https://docs.google.com/spreadsheets/d/1boHyJQ4e2FU0QG8MHwEi6qjX4hvZWVCHcFfXjq7bbMc/edit?resourcekey#gid=923248883"",""Prop!$C$1:$M""),12,0),IFERROR(vlookup(B7,importrange(""https://docs.google.com/spreadsheets/d/1boHyJQ4e"&amp;"2FU0QG8MHwEi6qjX4hvZWVCHcFfXjq7bbMc/edit?resourcekey#gid=923248883"",""Prop!$N$1:$X""),11,0),iferror(vlookup(B7,importrange(""https://docs.google.com/spreadsheets/d/1boHyJQ4e2FU0QG8MHwEi6qjX4hvZWVCHcFfXjq7bbMc/edit?resourcekey#gid=923248883"",""Prop!$Y$1:"&amp;"$AI""),11,0),iferror(vlookup(B7,importrange(""https://docs.google.com/spreadsheets/d/1boHyJQ4e2FU0QG8MHwEi6qjX4hvZWVCHcFfXjq7bbMc/edit?resourcekey#gid=923248883"",""Prop!$AJ$1:$AT""),11,0),iferror(vlookup(B7,importrange(""https://docs.google.com/spreadshe"&amp;"ets/d/1boHyJQ4e2FU0QG8MHwEi6qjX4hvZWVCHcFfXjq7bbMc/edit?resourcekey#gid=923248883"",""Prop!$AU$1:$BE""),11,0),iferror(vlookup(B7,importrange(""https://docs.google.com/spreadsheets/d/1boHyJQ4e2FU0QG8MHwEi6qjX4hvZWVCHcFfXjq7bbMc/edit?resourcekey#gid=9232488"&amp;"83"",""Prop!$BF$1:$BP""),11,0),iferror(vlookup(B7,importrange(""https://docs.google.com/spreadsheets/d/1boHyJQ4e2FU0QG8MHwEi6qjX4hvZWVCHcFfXjq7bbMc/edit?resourcekey#gid=923248883"",""Prop!$BQ$1:$CA""),11,0),iferror(vlookup(B7,importrange(""https://docs.go"&amp;"ogle.com/spreadsheets/d/1boHyJQ4e2FU0QG8MHwEi6qjX4hvZWVCHcFfXjq7bbMc/edit?resourcekey#gid=923248883"",""Prop!$CB$1:$CL""),11,0),iferror(vlookup(B7,importrange(""https://docs.google.com/spreadsheets/d/1boHyJQ4e2FU0QG8MHwEi6qjX4hvZWVCHcFfXjq7bbMc/edit?resou"&amp;"rcekey#gid=923248883"",""Prop!$CM$1:$CX""),12,0),iferror(vlookup(B7,importrange(""https://docs.google.com/spreadsheets/d/1boHyJQ4e2FU0QG8MHwEi6qjX4hvZWVCHcFfXjq7bbMc/edit?resourcekey#gid=923248883"",""Prop!$CV$1:$DI""),11,0)))))))))))"),"https://drive.google.com/open?id=1INU9-vgeewpoiRfusSNi6gwHWHcsLk9W")</f>
        <v>https://drive.google.com/open?id=1INU9-vgeewpoiRfusSNi6gwHWHcsLk9W</v>
      </c>
      <c r="Q7" s="7" t="str">
        <f ca="1">IFERROR(__xludf.DUMMYFUNCTION("iferror(vlookup(B7,importrange(""https://docs.google.com/spreadsheets/d/1p53T2AuvvIqhP7Nf-bo3Uhj8cbKYRPpZdsrBv3x3bAQ/edit?resourcekey#gid=1321652304"",""Prop!$C$1:$M""),11,0),IFERROR(vlookup(B7,importrange(""https://docs.google.com/spreadsheets/d/1p53T2Au"&amp;"vvIqhP7Nf-bo3Uhj8cbKYRPpZdsrBv3x3bAQ/edit?resourcekey#gid=1321652304"",""Prop!$N$1:$X""),11,0),iferror(vlookup(B7,importrange(""https://docs.google.com/spreadsheets/d/1p53T2AuvvIqhP7Nf-bo3Uhj8cbKYRPpZdsrBv3x3bAQ/edit?resourcekey#gid=1321652304"",""Prop!$Y"&amp;"$1:$AI""),11,0),iferror(vlookup(B7,importrange(""https://docs.google.com/spreadsheets/d/1p53T2AuvvIqhP7Nf-bo3Uhj8cbKYRPpZdsrBv3x3bAQ/edit?resourcekey#gid=1321652304"",""Prop!$AJ$1:$AT""),11,0),iferror(vlookup(B7,importrange(""https://docs.google.com/sprea"&amp;"dsheets/d/1p53T2AuvvIqhP7Nf-bo3Uhj8cbKYRPpZdsrBv3x3bAQ/edit?resourcekey#gid=1321652304"",""Prop!$AU$1:$BE""),11,0),iferror(vlookup(B7,importrange(""https://docs.google.com/spreadsheets/d/1p53T2AuvvIqhP7Nf-bo3Uhj8cbKYRPpZdsrBv3x3bAQ/edit?resourcekey#gid=13"&amp;"21652304"",""Prop!$BF$1:$BP""),11,0),iferror(vlookup(B7,importrange(""https://docs.google.com/spreadsheets/d/1p53T2AuvvIqhP7Nf-bo3Uhj8cbKYRPpZdsrBv3x3bAQ/edit?resourcekey#gid=1321652304"",""Prop!$BQ$1:$CA""),11,0),iferror(vlookup(B7,importrange(""https://"&amp;"docs.google.com/spreadsheets/d/1p53T2AuvvIqhP7Nf-bo3Uhj8cbKYRPpZdsrBv3x3bAQ/edit?resourcekey#gid=1321652304"",""Prop!$CB$1:$CL""),11,0),iferror(vlookup(B7,importrange(""https://docs.google.com/spreadsheets/d/1p53T2AuvvIqhP7Nf-bo3Uhj8cbKYRPpZdsrBv3x3bAQ/ed"&amp;"it?resourcekey#gid=1321652304"",""Prop!$CM$1:$CX""),12,0),iferror(vlookup(B7,importrange(""https://docs.google.com/spreadsheets/d/1p53T2AuvvIqhP7Nf-bo3Uhj8cbKYRPpZdsrBv3x3bAQ/edit?resourcekey#gid=1321652304"",""Prop!$CY$1:$DI""),11,0)))))))))))"),"https://drive.google.com/open?id=1JhGIc35zvUi48qNEZZUe-Brk1p31mleL")</f>
        <v>https://drive.google.com/open?id=1JhGIc35zvUi48qNEZZUe-Brk1p31mleL</v>
      </c>
      <c r="R7" s="88" t="s">
        <v>1185</v>
      </c>
      <c r="S7" s="20" t="str">
        <f ca="1">IFERROR(__xludf.DUMMYFUNCTION("IFERROR(vlookup(B7,IMPORTRANGE(""https://docs.google.com/spreadsheets/d/1g_jfYYK_KeipEDNDUgqgrsxK94XiocfNQIcP-v1QVhI/edit?resourcekey#gid=233272945"",""Nilai!B:CT""),86,0),"" "")"),"1. urgensi dan keterbaruan penelitian kurang dijelaskan dengan baik di latar belakang
2. penelitian ini harus memperlihatkan applied riset nya, tdk pada simulasi modelnya
3. pandemi covid akan berakhir, perjelas konteks urgensi nya terkait ide ini
4. dana"&amp;" dari Belmawa harus minimal 5 jt")</f>
        <v>1. urgensi dan keterbaruan penelitian kurang dijelaskan dengan baik di latar belakang
2. penelitian ini harus memperlihatkan applied riset nya, tdk pada simulasi modelnya
3. pandemi covid akan berakhir, perjelas konteks urgensi nya terkait ide ini
4. dana dari Belmawa harus minimal 5 jt</v>
      </c>
      <c r="T7" s="20" t="str">
        <f ca="1">IFERROR(__xludf.DUMMYFUNCTION("IFERROR(vlookup(B7,IMPORTRANGE(""https://docs.google.com/spreadsheets/d/1g_jfYYK_KeipEDNDUgqgrsxK94XiocfNQIcP-v1QVhI/edit?resourcekey#gid=233272945"",""Nilai!B:CT""),97,0),"" "")"),"LAYAK UPLOAD KE SIMBELMAWA DENGAN REVISI")</f>
        <v>LAYAK UPLOAD KE SIMBELMAWA DENGAN REVISI</v>
      </c>
      <c r="U7" s="1" t="s">
        <v>786</v>
      </c>
      <c r="V7" s="1" t="s">
        <v>786</v>
      </c>
      <c r="W7" s="17" t="s">
        <v>1187</v>
      </c>
      <c r="X7" s="19" t="b">
        <v>1</v>
      </c>
    </row>
    <row r="8" spans="1:24">
      <c r="A8" s="15">
        <v>6</v>
      </c>
      <c r="B8" s="15">
        <f ca="1">IFERROR(__xludf.DUMMYFUNCTION("""COMPUTED_VALUE"""),3845)</f>
        <v>3845</v>
      </c>
      <c r="C8" s="16" t="str">
        <f ca="1">IFERROR(__xludf.DUMMYFUNCTION("""COMPUTED_VALUE"""),"AULIA NAILUL FITHRIA")</f>
        <v>AULIA NAILUL FITHRIA</v>
      </c>
      <c r="D8" s="16" t="str">
        <f ca="1">IFERROR(__xludf.DUMMYFUNCTION("""COMPUTED_VALUE"""),"5003201065")</f>
        <v>5003201065</v>
      </c>
      <c r="E8" s="16" t="str">
        <f ca="1">IFERROR(__xludf.DUMMYFUNCTION("""COMPUTED_VALUE"""),"Departemen Statistika")</f>
        <v>Departemen Statistika</v>
      </c>
      <c r="F8" s="16" t="str">
        <f ca="1">IFERROR(__xludf.DUMMYFUNCTION("""COMPUTED_VALUE"""),"Analisis Pengaruh Intensitas Penggunaan Instagram Terhadap Gangguan Instagramxiety Pada Mahasiswa di Surabaya")</f>
        <v>Analisis Pengaruh Intensitas Penggunaan Instagram Terhadap Gangguan Instagramxiety Pada Mahasiswa di Surabaya</v>
      </c>
      <c r="G8" s="16" t="str">
        <f ca="1">IFERROR(__xludf.DUMMYFUNCTION("""COMPUTED_VALUE"""),"Dr. Dra. Kartika Fithriasari, M.Si.")</f>
        <v>Dr. Dra. Kartika Fithriasari, M.Si.</v>
      </c>
      <c r="H8" s="16" t="str">
        <f ca="1">IFERROR(__xludf.DUMMYFUNCTION("""COMPUTED_VALUE"""),"Dr. Soedarso, S.S., M.Hum.")</f>
        <v>Dr. Soedarso, S.S., M.Hum.</v>
      </c>
      <c r="I8" s="16" t="str">
        <f ca="1">IFERROR(__xludf.DUMMYFUNCTION("""COMPUTED_VALUE"""),"Mukti Ratna Dewi, S.Si., M.Sc.")</f>
        <v>Mukti Ratna Dewi, S.Si., M.Sc.</v>
      </c>
      <c r="J8" s="16"/>
      <c r="K8" s="17" t="s">
        <v>1183</v>
      </c>
      <c r="L8" s="17" t="s">
        <v>1188</v>
      </c>
      <c r="M8" s="19" t="b">
        <v>1</v>
      </c>
      <c r="N8" s="19" t="b">
        <v>1</v>
      </c>
      <c r="O8" s="19" t="b">
        <v>1</v>
      </c>
      <c r="P8" s="7" t="str">
        <f ca="1">IFERROR(__xludf.DUMMYFUNCTION("iferror(vlookup(B8,importrange(""https://docs.google.com/spreadsheets/d/1boHyJQ4e2FU0QG8MHwEi6qjX4hvZWVCHcFfXjq7bbMc/edit?resourcekey#gid=923248883"",""Prop!$C$1:$M""),12,0),IFERROR(vlookup(B8,importrange(""https://docs.google.com/spreadsheets/d/1boHyJQ4e"&amp;"2FU0QG8MHwEi6qjX4hvZWVCHcFfXjq7bbMc/edit?resourcekey#gid=923248883"",""Prop!$N$1:$X""),11,0),iferror(vlookup(B8,importrange(""https://docs.google.com/spreadsheets/d/1boHyJQ4e2FU0QG8MHwEi6qjX4hvZWVCHcFfXjq7bbMc/edit?resourcekey#gid=923248883"",""Prop!$Y$1:"&amp;"$AI""),11,0),iferror(vlookup(B8,importrange(""https://docs.google.com/spreadsheets/d/1boHyJQ4e2FU0QG8MHwEi6qjX4hvZWVCHcFfXjq7bbMc/edit?resourcekey#gid=923248883"",""Prop!$AJ$1:$AT""),11,0),iferror(vlookup(B8,importrange(""https://docs.google.com/spreadshe"&amp;"ets/d/1boHyJQ4e2FU0QG8MHwEi6qjX4hvZWVCHcFfXjq7bbMc/edit?resourcekey#gid=923248883"",""Prop!$AU$1:$BE""),11,0),iferror(vlookup(B8,importrange(""https://docs.google.com/spreadsheets/d/1boHyJQ4e2FU0QG8MHwEi6qjX4hvZWVCHcFfXjq7bbMc/edit?resourcekey#gid=9232488"&amp;"83"",""Prop!$BF$1:$BP""),11,0),iferror(vlookup(B8,importrange(""https://docs.google.com/spreadsheets/d/1boHyJQ4e2FU0QG8MHwEi6qjX4hvZWVCHcFfXjq7bbMc/edit?resourcekey#gid=923248883"",""Prop!$BQ$1:$CA""),11,0),iferror(vlookup(B8,importrange(""https://docs.go"&amp;"ogle.com/spreadsheets/d/1boHyJQ4e2FU0QG8MHwEi6qjX4hvZWVCHcFfXjq7bbMc/edit?resourcekey#gid=923248883"",""Prop!$CB$1:$CL""),11,0),iferror(vlookup(B8,importrange(""https://docs.google.com/spreadsheets/d/1boHyJQ4e2FU0QG8MHwEi6qjX4hvZWVCHcFfXjq7bbMc/edit?resou"&amp;"rcekey#gid=923248883"",""Prop!$CM$1:$CX""),12,0),iferror(vlookup(B8,importrange(""https://docs.google.com/spreadsheets/d/1boHyJQ4e2FU0QG8MHwEi6qjX4hvZWVCHcFfXjq7bbMc/edit?resourcekey#gid=923248883"",""Prop!$CV$1:$DI""),11,0)))))))))))"),"https://drive.google.com/open?id=1EONWUN-cdIle3FU4dR_o1nwlCCXiL1Du")</f>
        <v>https://drive.google.com/open?id=1EONWUN-cdIle3FU4dR_o1nwlCCXiL1Du</v>
      </c>
      <c r="Q8" s="7" t="str">
        <f ca="1">IFERROR(__xludf.DUMMYFUNCTION("iferror(vlookup(B8,importrange(""https://docs.google.com/spreadsheets/d/1p53T2AuvvIqhP7Nf-bo3Uhj8cbKYRPpZdsrBv3x3bAQ/edit?resourcekey#gid=1321652304"",""Prop!$C$1:$M""),11,0),IFERROR(vlookup(B8,importrange(""https://docs.google.com/spreadsheets/d/1p53T2Au"&amp;"vvIqhP7Nf-bo3Uhj8cbKYRPpZdsrBv3x3bAQ/edit?resourcekey#gid=1321652304"",""Prop!$N$1:$X""),11,0),iferror(vlookup(B8,importrange(""https://docs.google.com/spreadsheets/d/1p53T2AuvvIqhP7Nf-bo3Uhj8cbKYRPpZdsrBv3x3bAQ/edit?resourcekey#gid=1321652304"",""Prop!$Y"&amp;"$1:$AI""),11,0),iferror(vlookup(B8,importrange(""https://docs.google.com/spreadsheets/d/1p53T2AuvvIqhP7Nf-bo3Uhj8cbKYRPpZdsrBv3x3bAQ/edit?resourcekey#gid=1321652304"",""Prop!$AJ$1:$AT""),11,0),iferror(vlookup(B8,importrange(""https://docs.google.com/sprea"&amp;"dsheets/d/1p53T2AuvvIqhP7Nf-bo3Uhj8cbKYRPpZdsrBv3x3bAQ/edit?resourcekey#gid=1321652304"",""Prop!$AU$1:$BE""),11,0),iferror(vlookup(B8,importrange(""https://docs.google.com/spreadsheets/d/1p53T2AuvvIqhP7Nf-bo3Uhj8cbKYRPpZdsrBv3x3bAQ/edit?resourcekey#gid=13"&amp;"21652304"",""Prop!$BF$1:$BP""),11,0),iferror(vlookup(B8,importrange(""https://docs.google.com/spreadsheets/d/1p53T2AuvvIqhP7Nf-bo3Uhj8cbKYRPpZdsrBv3x3bAQ/edit?resourcekey#gid=1321652304"",""Prop!$BQ$1:$CA""),11,0),iferror(vlookup(B8,importrange(""https://"&amp;"docs.google.com/spreadsheets/d/1p53T2AuvvIqhP7Nf-bo3Uhj8cbKYRPpZdsrBv3x3bAQ/edit?resourcekey#gid=1321652304"",""Prop!$CB$1:$CL""),11,0),iferror(vlookup(B8,importrange(""https://docs.google.com/spreadsheets/d/1p53T2AuvvIqhP7Nf-bo3Uhj8cbKYRPpZdsrBv3x3bAQ/ed"&amp;"it?resourcekey#gid=1321652304"",""Prop!$CM$1:$CX""),12,0),iferror(vlookup(B8,importrange(""https://docs.google.com/spreadsheets/d/1p53T2AuvvIqhP7Nf-bo3Uhj8cbKYRPpZdsrBv3x3bAQ/edit?resourcekey#gid=1321652304"",""Prop!$CY$1:$DI""),11,0)))))))))))"),"https://drive.google.com/open?id=1YcXr3Y08v_i-nQbxdZKitt5WI_p-M-43")</f>
        <v>https://drive.google.com/open?id=1YcXr3Y08v_i-nQbxdZKitt5WI_p-M-43</v>
      </c>
      <c r="R8" s="88" t="s">
        <v>1185</v>
      </c>
      <c r="S8" s="20" t="str">
        <f ca="1">IFERROR(__xludf.DUMMYFUNCTION("IFERROR(vlookup(B8,IMPORTRANGE(""https://docs.google.com/spreadsheets/d/1g_jfYYK_KeipEDNDUgqgrsxK94XiocfNQIcP-v1QVhI/edit?resourcekey#gid=233272945"",""Nilai!B:CT""),86,0),"" "")"),"1. kalau riset ini hanya mencari pengaruh, kreatifitasnya cukup sederhana. Perlu menambah kompleksitas permasalahan dan konteks kemanfaatannya
2. bila alat analisis yang menjadi penekanan, maka jelaskan keterbaruan dan kontribusi yang akan didapatkan deng"&amp;"an pemanfaatan alat analisis tsb")</f>
        <v>1. kalau riset ini hanya mencari pengaruh, kreatifitasnya cukup sederhana. Perlu menambah kompleksitas permasalahan dan konteks kemanfaatannya
2. bila alat analisis yang menjadi penekanan, maka jelaskan keterbaruan dan kontribusi yang akan didapatkan dengan pemanfaatan alat analisis tsb</v>
      </c>
      <c r="T8" s="20" t="str">
        <f ca="1">IFERROR(__xludf.DUMMYFUNCTION("IFERROR(vlookup(B8,IMPORTRANGE(""https://docs.google.com/spreadsheets/d/1g_jfYYK_KeipEDNDUgqgrsxK94XiocfNQIcP-v1QVhI/edit?resourcekey#gid=233272945"",""Nilai!B:CT""),97,0),"" "")"),"LAYAK UPLOAD KE SIMBELMAWA DENGAN REVISI")</f>
        <v>LAYAK UPLOAD KE SIMBELMAWA DENGAN REVISI</v>
      </c>
      <c r="U8" s="1" t="s">
        <v>786</v>
      </c>
      <c r="V8" s="1" t="s">
        <v>786</v>
      </c>
      <c r="W8" s="17" t="s">
        <v>1187</v>
      </c>
      <c r="X8" s="19" t="b">
        <v>1</v>
      </c>
    </row>
    <row r="9" spans="1:24">
      <c r="A9" s="15">
        <v>7</v>
      </c>
      <c r="B9" s="15">
        <f ca="1">IFERROR(__xludf.DUMMYFUNCTION("""COMPUTED_VALUE"""),2035)</f>
        <v>2035</v>
      </c>
      <c r="C9" s="16" t="str">
        <f ca="1">IFERROR(__xludf.DUMMYFUNCTION("""COMPUTED_VALUE"""),"Djamiatur Riskiyah")</f>
        <v>Djamiatur Riskiyah</v>
      </c>
      <c r="D9" s="16" t="str">
        <f ca="1">IFERROR(__xludf.DUMMYFUNCTION("""COMPUTED_VALUE"""),"08211840000031")</f>
        <v>08211840000031</v>
      </c>
      <c r="E9" s="16" t="str">
        <f ca="1">IFERROR(__xludf.DUMMYFUNCTION("""COMPUTED_VALUE"""),"Departemen Perencanaan Wilayah dan Kota")</f>
        <v>Departemen Perencanaan Wilayah dan Kota</v>
      </c>
      <c r="F9" s="16" t="str">
        <f ca="1">IFERROR(__xludf.DUMMYFUNCTION("""COMPUTED_VALUE"""),"PENILAIAN EFEKTIVITAS FUNGSI ALUN-ALUN AREK LANCOR SEBAGAI RUANG TERBUKA PUBLIK DENGAN PENDEKATAN SUSTAINABLE URBAN LANDSCAPE")</f>
        <v>PENILAIAN EFEKTIVITAS FUNGSI ALUN-ALUN AREK LANCOR SEBAGAI RUANG TERBUKA PUBLIK DENGAN PENDEKATAN SUSTAINABLE URBAN LANDSCAPE</v>
      </c>
      <c r="G9" s="16" t="str">
        <f ca="1">IFERROR(__xludf.DUMMYFUNCTION("""COMPUTED_VALUE"""),"Mochamad Yusuf, S.T., M.Sc.")</f>
        <v>Mochamad Yusuf, S.T., M.Sc.</v>
      </c>
      <c r="H9" s="16" t="str">
        <f ca="1">IFERROR(__xludf.DUMMYFUNCTION("""COMPUTED_VALUE"""),"Mochamad Yusuf, S.T., M.Sc.")</f>
        <v>Mochamad Yusuf, S.T., M.Sc.</v>
      </c>
      <c r="I9" s="16" t="str">
        <f ca="1">IFERROR(__xludf.DUMMYFUNCTION("""COMPUTED_VALUE"""),"Galuh Oktavia Siswono, S.Si., M.Si., M.Act,Sc.")</f>
        <v>Galuh Oktavia Siswono, S.Si., M.Si., M.Act,Sc.</v>
      </c>
      <c r="J9" s="16"/>
      <c r="K9" s="17" t="s">
        <v>1183</v>
      </c>
      <c r="L9" s="17" t="s">
        <v>1188</v>
      </c>
      <c r="M9" s="19" t="b">
        <v>1</v>
      </c>
      <c r="N9" s="19" t="b">
        <v>1</v>
      </c>
      <c r="O9" s="19" t="b">
        <v>1</v>
      </c>
      <c r="P9" s="7" t="str">
        <f ca="1">IFERROR(__xludf.DUMMYFUNCTION("iferror(vlookup(B9,importrange(""https://docs.google.com/spreadsheets/d/1boHyJQ4e2FU0QG8MHwEi6qjX4hvZWVCHcFfXjq7bbMc/edit?resourcekey#gid=923248883"",""Prop!$C$1:$M""),12,0),IFERROR(vlookup(B9,importrange(""https://docs.google.com/spreadsheets/d/1boHyJQ4e"&amp;"2FU0QG8MHwEi6qjX4hvZWVCHcFfXjq7bbMc/edit?resourcekey#gid=923248883"",""Prop!$N$1:$X""),11,0),iferror(vlookup(B9,importrange(""https://docs.google.com/spreadsheets/d/1boHyJQ4e2FU0QG8MHwEi6qjX4hvZWVCHcFfXjq7bbMc/edit?resourcekey#gid=923248883"",""Prop!$Y$1:"&amp;"$AI""),11,0),iferror(vlookup(B9,importrange(""https://docs.google.com/spreadsheets/d/1boHyJQ4e2FU0QG8MHwEi6qjX4hvZWVCHcFfXjq7bbMc/edit?resourcekey#gid=923248883"",""Prop!$AJ$1:$AT""),11,0),iferror(vlookup(B9,importrange(""https://docs.google.com/spreadshe"&amp;"ets/d/1boHyJQ4e2FU0QG8MHwEi6qjX4hvZWVCHcFfXjq7bbMc/edit?resourcekey#gid=923248883"",""Prop!$AU$1:$BE""),11,0),iferror(vlookup(B9,importrange(""https://docs.google.com/spreadsheets/d/1boHyJQ4e2FU0QG8MHwEi6qjX4hvZWVCHcFfXjq7bbMc/edit?resourcekey#gid=9232488"&amp;"83"",""Prop!$BF$1:$BP""),11,0),iferror(vlookup(B9,importrange(""https://docs.google.com/spreadsheets/d/1boHyJQ4e2FU0QG8MHwEi6qjX4hvZWVCHcFfXjq7bbMc/edit?resourcekey#gid=923248883"",""Prop!$BQ$1:$CA""),11,0),iferror(vlookup(B9,importrange(""https://docs.go"&amp;"ogle.com/spreadsheets/d/1boHyJQ4e2FU0QG8MHwEi6qjX4hvZWVCHcFfXjq7bbMc/edit?resourcekey#gid=923248883"",""Prop!$CB$1:$CL""),11,0),iferror(vlookup(B9,importrange(""https://docs.google.com/spreadsheets/d/1boHyJQ4e2FU0QG8MHwEi6qjX4hvZWVCHcFfXjq7bbMc/edit?resou"&amp;"rcekey#gid=923248883"",""Prop!$CM$1:$CX""),12,0),iferror(vlookup(B9,importrange(""https://docs.google.com/spreadsheets/d/1boHyJQ4e2FU0QG8MHwEi6qjX4hvZWVCHcFfXjq7bbMc/edit?resourcekey#gid=923248883"",""Prop!$CV$1:$DI""),11,0)))))))))))"),"https://drive.google.com/open?id=1m-1HqJfd2qvqCmpnZJpqI9gt1r9SNm7b")</f>
        <v>https://drive.google.com/open?id=1m-1HqJfd2qvqCmpnZJpqI9gt1r9SNm7b</v>
      </c>
      <c r="Q9" s="7" t="str">
        <f ca="1">IFERROR(__xludf.DUMMYFUNCTION("iferror(vlookup(B9,importrange(""https://docs.google.com/spreadsheets/d/1p53T2AuvvIqhP7Nf-bo3Uhj8cbKYRPpZdsrBv3x3bAQ/edit?resourcekey#gid=1321652304"",""Prop!$C$1:$M""),11,0),IFERROR(vlookup(B9,importrange(""https://docs.google.com/spreadsheets/d/1p53T2Au"&amp;"vvIqhP7Nf-bo3Uhj8cbKYRPpZdsrBv3x3bAQ/edit?resourcekey#gid=1321652304"",""Prop!$N$1:$X""),11,0),iferror(vlookup(B9,importrange(""https://docs.google.com/spreadsheets/d/1p53T2AuvvIqhP7Nf-bo3Uhj8cbKYRPpZdsrBv3x3bAQ/edit?resourcekey#gid=1321652304"",""Prop!$Y"&amp;"$1:$AI""),11,0),iferror(vlookup(B9,importrange(""https://docs.google.com/spreadsheets/d/1p53T2AuvvIqhP7Nf-bo3Uhj8cbKYRPpZdsrBv3x3bAQ/edit?resourcekey#gid=1321652304"",""Prop!$AJ$1:$AT""),11,0),iferror(vlookup(B9,importrange(""https://docs.google.com/sprea"&amp;"dsheets/d/1p53T2AuvvIqhP7Nf-bo3Uhj8cbKYRPpZdsrBv3x3bAQ/edit?resourcekey#gid=1321652304"",""Prop!$AU$1:$BE""),11,0),iferror(vlookup(B9,importrange(""https://docs.google.com/spreadsheets/d/1p53T2AuvvIqhP7Nf-bo3Uhj8cbKYRPpZdsrBv3x3bAQ/edit?resourcekey#gid=13"&amp;"21652304"",""Prop!$BF$1:$BP""),11,0),iferror(vlookup(B9,importrange(""https://docs.google.com/spreadsheets/d/1p53T2AuvvIqhP7Nf-bo3Uhj8cbKYRPpZdsrBv3x3bAQ/edit?resourcekey#gid=1321652304"",""Prop!$BQ$1:$CA""),11,0),iferror(vlookup(B9,importrange(""https://"&amp;"docs.google.com/spreadsheets/d/1p53T2AuvvIqhP7Nf-bo3Uhj8cbKYRPpZdsrBv3x3bAQ/edit?resourcekey#gid=1321652304"",""Prop!$CB$1:$CL""),11,0),iferror(vlookup(B9,importrange(""https://docs.google.com/spreadsheets/d/1p53T2AuvvIqhP7Nf-bo3Uhj8cbKYRPpZdsrBv3x3bAQ/ed"&amp;"it?resourcekey#gid=1321652304"",""Prop!$CM$1:$CX""),12,0),iferror(vlookup(B9,importrange(""https://docs.google.com/spreadsheets/d/1p53T2AuvvIqhP7Nf-bo3Uhj8cbKYRPpZdsrBv3x3bAQ/edit?resourcekey#gid=1321652304"",""Prop!$CY$1:$DI""),11,0)))))))))))"),"https://drive.google.com/open?id=1FIV9139rUBAjRv7H68dR8nejPX4JSXMv")</f>
        <v>https://drive.google.com/open?id=1FIV9139rUBAjRv7H68dR8nejPX4JSXMv</v>
      </c>
      <c r="R9" s="88" t="s">
        <v>1185</v>
      </c>
      <c r="S9" s="20" t="str">
        <f ca="1">IFERROR(__xludf.DUMMYFUNCTION("IFERROR(vlookup(B9,IMPORTRANGE(""https://docs.google.com/spreadsheets/d/1g_jfYYK_KeipEDNDUgqgrsxK94XiocfNQIcP-v1QVhI/edit?resourcekey#gid=233272945"",""Nilai!B:CT""),86,0),"" "")"),"1. scope dan judul penelitian disesuaikan lagi spt masukkan pada tujuan penelitian
2. perjelas keterbaruan dan kemanfaatan penelitian ini")</f>
        <v>1. scope dan judul penelitian disesuaikan lagi spt masukkan pada tujuan penelitian
2. perjelas keterbaruan dan kemanfaatan penelitian ini</v>
      </c>
      <c r="T9" s="20" t="str">
        <f ca="1">IFERROR(__xludf.DUMMYFUNCTION("IFERROR(vlookup(B9,IMPORTRANGE(""https://docs.google.com/spreadsheets/d/1g_jfYYK_KeipEDNDUgqgrsxK94XiocfNQIcP-v1QVhI/edit?resourcekey#gid=233272945"",""Nilai!B:CT""),97,0),"" "")"),"LAYAK UPLOAD KE SIMBELMAWA DENGAN REVISI")</f>
        <v>LAYAK UPLOAD KE SIMBELMAWA DENGAN REVISI</v>
      </c>
      <c r="U9" s="1" t="s">
        <v>786</v>
      </c>
      <c r="V9" s="1" t="s">
        <v>786</v>
      </c>
      <c r="W9" s="17" t="s">
        <v>1187</v>
      </c>
      <c r="X9" s="19" t="b">
        <v>1</v>
      </c>
    </row>
    <row r="10" spans="1:24">
      <c r="A10" s="15">
        <v>8</v>
      </c>
      <c r="B10" s="15">
        <f ca="1">IFERROR(__xludf.DUMMYFUNCTION("""COMPUTED_VALUE"""),2096)</f>
        <v>2096</v>
      </c>
      <c r="C10" s="16" t="str">
        <f ca="1">IFERROR(__xludf.DUMMYFUNCTION("""COMPUTED_VALUE"""),"Moch. Januar Akbar")</f>
        <v>Moch. Januar Akbar</v>
      </c>
      <c r="D10" s="16" t="str">
        <f ca="1">IFERROR(__xludf.DUMMYFUNCTION("""COMPUTED_VALUE"""),"5003211073")</f>
        <v>5003211073</v>
      </c>
      <c r="E10" s="16" t="str">
        <f ca="1">IFERROR(__xludf.DUMMYFUNCTION("""COMPUTED_VALUE"""),"Departemen Statistika")</f>
        <v>Departemen Statistika</v>
      </c>
      <c r="F10" s="16" t="str">
        <f ca="1">IFERROR(__xludf.DUMMYFUNCTION("""COMPUTED_VALUE"""),"Perubahan Metode Pembelajaran Daring Menjadi Metode Pembelajaran Luring dan Pengaruhnya terhadap Pemahaman Materi Akademik Siswa Sekolah Dasar
")</f>
        <v xml:space="preserve">Perubahan Metode Pembelajaran Daring Menjadi Metode Pembelajaran Luring dan Pengaruhnya terhadap Pemahaman Materi Akademik Siswa Sekolah Dasar
</v>
      </c>
      <c r="G10" s="16" t="str">
        <f ca="1">IFERROR(__xludf.DUMMYFUNCTION("""COMPUTED_VALUE"""),"Dr. Dra. Agnes Tuti Rumiati, M.Sc.")</f>
        <v>Dr. Dra. Agnes Tuti Rumiati, M.Sc.</v>
      </c>
      <c r="H10" s="16" t="str">
        <f ca="1">IFERROR(__xludf.DUMMYFUNCTION("""COMPUTED_VALUE"""),"Welly Herumurti, S.T., M.Sc.")</f>
        <v>Welly Herumurti, S.T., M.Sc.</v>
      </c>
      <c r="I10" s="16" t="str">
        <f ca="1">IFERROR(__xludf.DUMMYFUNCTION("""COMPUTED_VALUE"""),"Mukhammad Muryono, S.Si., M.Si., Ph.D.")</f>
        <v>Mukhammad Muryono, S.Si., M.Si., Ph.D.</v>
      </c>
      <c r="J10" s="16" t="str">
        <f ca="1">IFERROR(__xludf.DUMMYFUNCTION("""COMPUTED_VALUE"""),"Putu Gde Ariastita, S.T., M.T.")</f>
        <v>Putu Gde Ariastita, S.T., M.T.</v>
      </c>
      <c r="K10" s="17" t="s">
        <v>1183</v>
      </c>
      <c r="L10" s="17" t="s">
        <v>1188</v>
      </c>
      <c r="M10" s="19" t="b">
        <v>0</v>
      </c>
      <c r="N10" s="19" t="b">
        <v>0</v>
      </c>
      <c r="O10" s="19" t="b">
        <v>0</v>
      </c>
      <c r="P10" s="1" t="str">
        <f ca="1">IFERROR(__xludf.DUMMYFUNCTION("iferror(vlookup(B10,importrange(""https://docs.google.com/spreadsheets/d/1boHyJQ4e2FU0QG8MHwEi6qjX4hvZWVCHcFfXjq7bbMc/edit?resourcekey#gid=923248883"",""Prop!$C$1:$M""),12,0),IFERROR(vlookup(B10,importrange(""https://docs.google.com/spreadsheets/d/1boHyJQ"&amp;"4e2FU0QG8MHwEi6qjX4hvZWVCHcFfXjq7bbMc/edit?resourcekey#gid=923248883"",""Prop!$N$1:$X""),11,0),iferror(vlookup(B10,importrange(""https://docs.google.com/spreadsheets/d/1boHyJQ4e2FU0QG8MHwEi6qjX4hvZWVCHcFfXjq7bbMc/edit?resourcekey#gid=923248883"",""Prop!$Y"&amp;"$1:$AI""),11,0),iferror(vlookup(B10,importrange(""https://docs.google.com/spreadsheets/d/1boHyJQ4e2FU0QG8MHwEi6qjX4hvZWVCHcFfXjq7bbMc/edit?resourcekey#gid=923248883"",""Prop!$AJ$1:$AT""),11,0),iferror(vlookup(B10,importrange(""https://docs.google.com/spre"&amp;"adsheets/d/1boHyJQ4e2FU0QG8MHwEi6qjX4hvZWVCHcFfXjq7bbMc/edit?resourcekey#gid=923248883"",""Prop!$AU$1:$BE""),11,0),iferror(vlookup(B10,importrange(""https://docs.google.com/spreadsheets/d/1boHyJQ4e2FU0QG8MHwEi6qjX4hvZWVCHcFfXjq7bbMc/edit?resourcekey#gid=9"&amp;"23248883"",""Prop!$BF$1:$BP""),11,0),iferror(vlookup(B10,importrange(""https://docs.google.com/spreadsheets/d/1boHyJQ4e2FU0QG8MHwEi6qjX4hvZWVCHcFfXjq7bbMc/edit?resourcekey#gid=923248883"",""Prop!$BQ$1:$CA""),11,0),iferror(vlookup(B10,importrange(""https:/"&amp;"/docs.google.com/spreadsheets/d/1boHyJQ4e2FU0QG8MHwEi6qjX4hvZWVCHcFfXjq7bbMc/edit?resourcekey#gid=923248883"",""Prop!$CB$1:$CL""),11,0),iferror(vlookup(B10,importrange(""https://docs.google.com/spreadsheets/d/1boHyJQ4e2FU0QG8MHwEi6qjX4hvZWVCHcFfXjq7bbMc/e"&amp;"dit?resourcekey#gid=923248883"",""Prop!$CM$1:$CX""),12,0),iferror(vlookup(B10,importrange(""https://docs.google.com/spreadsheets/d/1boHyJQ4e2FU0QG8MHwEi6qjX4hvZWVCHcFfXjq7bbMc/edit?resourcekey#gid=923248883"",""Prop!$CV$1:$DI""),11,0)))))))))))"),"")</f>
        <v/>
      </c>
      <c r="Q10" s="1" t="str">
        <f ca="1">IFERROR(__xludf.DUMMYFUNCTION("iferror(vlookup(B10,importrange(""https://docs.google.com/spreadsheets/d/1p53T2AuvvIqhP7Nf-bo3Uhj8cbKYRPpZdsrBv3x3bAQ/edit?resourcekey#gid=1321652304"",""Prop!$C$1:$M""),11,0),IFERROR(vlookup(B10,importrange(""https://docs.google.com/spreadsheets/d/1p53T2"&amp;"AuvvIqhP7Nf-bo3Uhj8cbKYRPpZdsrBv3x3bAQ/edit?resourcekey#gid=1321652304"",""Prop!$N$1:$X""),11,0),iferror(vlookup(B10,importrange(""https://docs.google.com/spreadsheets/d/1p53T2AuvvIqhP7Nf-bo3Uhj8cbKYRPpZdsrBv3x3bAQ/edit?resourcekey#gid=1321652304"",""Prop"&amp;"!$Y$1:$AI""),11,0),iferror(vlookup(B10,importrange(""https://docs.google.com/spreadsheets/d/1p53T2AuvvIqhP7Nf-bo3Uhj8cbKYRPpZdsrBv3x3bAQ/edit?resourcekey#gid=1321652304"",""Prop!$AJ$1:$AT""),11,0),iferror(vlookup(B10,importrange(""https://docs.google.com/"&amp;"spreadsheets/d/1p53T2AuvvIqhP7Nf-bo3Uhj8cbKYRPpZdsrBv3x3bAQ/edit?resourcekey#gid=1321652304"",""Prop!$AU$1:$BE""),11,0),iferror(vlookup(B10,importrange(""https://docs.google.com/spreadsheets/d/1p53T2AuvvIqhP7Nf-bo3Uhj8cbKYRPpZdsrBv3x3bAQ/edit?resourcekey#"&amp;"gid=1321652304"",""Prop!$BF$1:$BP""),11,0),iferror(vlookup(B10,importrange(""https://docs.google.com/spreadsheets/d/1p53T2AuvvIqhP7Nf-bo3Uhj8cbKYRPpZdsrBv3x3bAQ/edit?resourcekey#gid=1321652304"",""Prop!$BQ$1:$CA""),11,0),iferror(vlookup(B10,importrange("""&amp;"https://docs.google.com/spreadsheets/d/1p53T2AuvvIqhP7Nf-bo3Uhj8cbKYRPpZdsrBv3x3bAQ/edit?resourcekey#gid=1321652304"",""Prop!$CB$1:$CL""),11,0),iferror(vlookup(B10,importrange(""https://docs.google.com/spreadsheets/d/1p53T2AuvvIqhP7Nf-bo3Uhj8cbKYRPpZdsrBv"&amp;"3x3bAQ/edit?resourcekey#gid=1321652304"",""Prop!$CM$1:$CX""),12,0),iferror(vlookup(B10,importrange(""https://docs.google.com/spreadsheets/d/1p53T2AuvvIqhP7Nf-bo3Uhj8cbKYRPpZdsrBv3x3bAQ/edit?resourcekey#gid=1321652304"",""Prop!$CY$1:$DI""),11,0)))))))))))"),"")</f>
        <v/>
      </c>
      <c r="R10" s="88" t="s">
        <v>1185</v>
      </c>
      <c r="S10" s="20" t="str">
        <f ca="1">IFERROR(__xludf.DUMMYFUNCTION("IFERROR(vlookup(B10,IMPORTRANGE(""https://docs.google.com/spreadsheets/d/1g_jfYYK_KeipEDNDUgqgrsxK94XiocfNQIcP-v1QVhI/edit?resourcekey#gid=233272945"",""Nilai!B:CT""),86,0),"" "")")," ")</f>
        <v xml:space="preserve"> </v>
      </c>
      <c r="T10" s="20" t="str">
        <f ca="1">IFERROR(__xludf.DUMMYFUNCTION("IFERROR(vlookup(B10,IMPORTRANGE(""https://docs.google.com/spreadsheets/d/1g_jfYYK_KeipEDNDUgqgrsxK94XiocfNQIcP-v1QVhI/edit?resourcekey#gid=233272945"",""Nilai!B:CT""),97,0),"" "")")," ")</f>
        <v xml:space="preserve"> </v>
      </c>
      <c r="U10" s="1" t="s">
        <v>786</v>
      </c>
      <c r="V10" s="1" t="s">
        <v>786</v>
      </c>
      <c r="W10" s="17" t="s">
        <v>1187</v>
      </c>
      <c r="X10" s="19" t="b">
        <v>0</v>
      </c>
    </row>
    <row r="11" spans="1:24">
      <c r="A11" s="15">
        <v>9</v>
      </c>
      <c r="B11" s="15">
        <f ca="1">IFERROR(__xludf.DUMMYFUNCTION("""COMPUTED_VALUE"""),3910)</f>
        <v>3910</v>
      </c>
      <c r="C11" s="16" t="str">
        <f ca="1">IFERROR(__xludf.DUMMYFUNCTION("""COMPUTED_VALUE"""),"AMRIH EKA PRATIWI")</f>
        <v>AMRIH EKA PRATIWI</v>
      </c>
      <c r="D11" s="16" t="str">
        <f ca="1">IFERROR(__xludf.DUMMYFUNCTION("""COMPUTED_VALUE"""),"08211840000081")</f>
        <v>08211840000081</v>
      </c>
      <c r="E11" s="16" t="str">
        <f ca="1">IFERROR(__xludf.DUMMYFUNCTION("""COMPUTED_VALUE"""),"Departemen Perencanaan Wilayah dan Kota")</f>
        <v>Departemen Perencanaan Wilayah dan Kota</v>
      </c>
      <c r="F11" s="16" t="str">
        <f ca="1">IFERROR(__xludf.DUMMYFUNCTION("""COMPUTED_VALUE"""),"Smart Tourism Village: Strategi Pengembangan Desa Wisata Kreatif Kenep")</f>
        <v>Smart Tourism Village: Strategi Pengembangan Desa Wisata Kreatif Kenep</v>
      </c>
      <c r="G11" s="16" t="str">
        <f ca="1">IFERROR(__xludf.DUMMYFUNCTION("""COMPUTED_VALUE"""),"Hertiari Idajati, S.T., M.Sc.")</f>
        <v>Hertiari Idajati, S.T., M.Sc.</v>
      </c>
      <c r="H11" s="16" t="str">
        <f ca="1">IFERROR(__xludf.DUMMYFUNCTION("""COMPUTED_VALUE"""),"Muchammad Nurif, S.E., M.T.")</f>
        <v>Muchammad Nurif, S.E., M.T.</v>
      </c>
      <c r="I11" s="16" t="str">
        <f ca="1">IFERROR(__xludf.DUMMYFUNCTION("""COMPUTED_VALUE"""),"Deqi Rizkivia Radita, S.T., M.Sc.")</f>
        <v>Deqi Rizkivia Radita, S.T., M.Sc.</v>
      </c>
      <c r="J11" s="16"/>
      <c r="K11" s="17" t="s">
        <v>1183</v>
      </c>
      <c r="L11" s="17" t="s">
        <v>1188</v>
      </c>
      <c r="M11" s="19" t="b">
        <v>1</v>
      </c>
      <c r="N11" s="19" t="b">
        <v>1</v>
      </c>
      <c r="O11" s="19" t="b">
        <v>1</v>
      </c>
      <c r="P11" s="7" t="str">
        <f ca="1">IFERROR(__xludf.DUMMYFUNCTION("iferror(vlookup(B11,importrange(""https://docs.google.com/spreadsheets/d/1boHyJQ4e2FU0QG8MHwEi6qjX4hvZWVCHcFfXjq7bbMc/edit?resourcekey#gid=923248883"",""Prop!$C$1:$M""),12,0),IFERROR(vlookup(B11,importrange(""https://docs.google.com/spreadsheets/d/1boHyJQ"&amp;"4e2FU0QG8MHwEi6qjX4hvZWVCHcFfXjq7bbMc/edit?resourcekey#gid=923248883"",""Prop!$N$1:$X""),11,0),iferror(vlookup(B11,importrange(""https://docs.google.com/spreadsheets/d/1boHyJQ4e2FU0QG8MHwEi6qjX4hvZWVCHcFfXjq7bbMc/edit?resourcekey#gid=923248883"",""Prop!$Y"&amp;"$1:$AI""),11,0),iferror(vlookup(B11,importrange(""https://docs.google.com/spreadsheets/d/1boHyJQ4e2FU0QG8MHwEi6qjX4hvZWVCHcFfXjq7bbMc/edit?resourcekey#gid=923248883"",""Prop!$AJ$1:$AT""),11,0),iferror(vlookup(B11,importrange(""https://docs.google.com/spre"&amp;"adsheets/d/1boHyJQ4e2FU0QG8MHwEi6qjX4hvZWVCHcFfXjq7bbMc/edit?resourcekey#gid=923248883"",""Prop!$AU$1:$BE""),11,0),iferror(vlookup(B11,importrange(""https://docs.google.com/spreadsheets/d/1boHyJQ4e2FU0QG8MHwEi6qjX4hvZWVCHcFfXjq7bbMc/edit?resourcekey#gid=9"&amp;"23248883"",""Prop!$BF$1:$BP""),11,0),iferror(vlookup(B11,importrange(""https://docs.google.com/spreadsheets/d/1boHyJQ4e2FU0QG8MHwEi6qjX4hvZWVCHcFfXjq7bbMc/edit?resourcekey#gid=923248883"",""Prop!$BQ$1:$CA""),11,0),iferror(vlookup(B11,importrange(""https:/"&amp;"/docs.google.com/spreadsheets/d/1boHyJQ4e2FU0QG8MHwEi6qjX4hvZWVCHcFfXjq7bbMc/edit?resourcekey#gid=923248883"",""Prop!$CB$1:$CL""),11,0),iferror(vlookup(B11,importrange(""https://docs.google.com/spreadsheets/d/1boHyJQ4e2FU0QG8MHwEi6qjX4hvZWVCHcFfXjq7bbMc/e"&amp;"dit?resourcekey#gid=923248883"",""Prop!$CM$1:$CX""),12,0),iferror(vlookup(B11,importrange(""https://docs.google.com/spreadsheets/d/1boHyJQ4e2FU0QG8MHwEi6qjX4hvZWVCHcFfXjq7bbMc/edit?resourcekey#gid=923248883"",""Prop!$CV$1:$DI""),11,0)))))))))))"),"https://drive.google.com/open?id=1u1QvBOtHD0eJ4YcU6-luCalbHudWCZ76")</f>
        <v>https://drive.google.com/open?id=1u1QvBOtHD0eJ4YcU6-luCalbHudWCZ76</v>
      </c>
      <c r="Q11" s="7" t="str">
        <f ca="1">IFERROR(__xludf.DUMMYFUNCTION("iferror(vlookup(B11,importrange(""https://docs.google.com/spreadsheets/d/1p53T2AuvvIqhP7Nf-bo3Uhj8cbKYRPpZdsrBv3x3bAQ/edit?resourcekey#gid=1321652304"",""Prop!$C$1:$M""),11,0),IFERROR(vlookup(B11,importrange(""https://docs.google.com/spreadsheets/d/1p53T2"&amp;"AuvvIqhP7Nf-bo3Uhj8cbKYRPpZdsrBv3x3bAQ/edit?resourcekey#gid=1321652304"",""Prop!$N$1:$X""),11,0),iferror(vlookup(B11,importrange(""https://docs.google.com/spreadsheets/d/1p53T2AuvvIqhP7Nf-bo3Uhj8cbKYRPpZdsrBv3x3bAQ/edit?resourcekey#gid=1321652304"",""Prop"&amp;"!$Y$1:$AI""),11,0),iferror(vlookup(B11,importrange(""https://docs.google.com/spreadsheets/d/1p53T2AuvvIqhP7Nf-bo3Uhj8cbKYRPpZdsrBv3x3bAQ/edit?resourcekey#gid=1321652304"",""Prop!$AJ$1:$AT""),11,0),iferror(vlookup(B11,importrange(""https://docs.google.com/"&amp;"spreadsheets/d/1p53T2AuvvIqhP7Nf-bo3Uhj8cbKYRPpZdsrBv3x3bAQ/edit?resourcekey#gid=1321652304"",""Prop!$AU$1:$BE""),11,0),iferror(vlookup(B11,importrange(""https://docs.google.com/spreadsheets/d/1p53T2AuvvIqhP7Nf-bo3Uhj8cbKYRPpZdsrBv3x3bAQ/edit?resourcekey#"&amp;"gid=1321652304"",""Prop!$BF$1:$BP""),11,0),iferror(vlookup(B11,importrange(""https://docs.google.com/spreadsheets/d/1p53T2AuvvIqhP7Nf-bo3Uhj8cbKYRPpZdsrBv3x3bAQ/edit?resourcekey#gid=1321652304"",""Prop!$BQ$1:$CA""),11,0),iferror(vlookup(B11,importrange("""&amp;"https://docs.google.com/spreadsheets/d/1p53T2AuvvIqhP7Nf-bo3Uhj8cbKYRPpZdsrBv3x3bAQ/edit?resourcekey#gid=1321652304"",""Prop!$CB$1:$CL""),11,0),iferror(vlookup(B11,importrange(""https://docs.google.com/spreadsheets/d/1p53T2AuvvIqhP7Nf-bo3Uhj8cbKYRPpZdsrBv"&amp;"3x3bAQ/edit?resourcekey#gid=1321652304"",""Prop!$CM$1:$CX""),12,0),iferror(vlookup(B11,importrange(""https://docs.google.com/spreadsheets/d/1p53T2AuvvIqhP7Nf-bo3Uhj8cbKYRPpZdsrBv3x3bAQ/edit?resourcekey#gid=1321652304"",""Prop!$CY$1:$DI""),11,0)))))))))))"),"https://drive.google.com/open?id=1DqdvduuakaABtWZ2F3ttShakSyKuF8VS")</f>
        <v>https://drive.google.com/open?id=1DqdvduuakaABtWZ2F3ttShakSyKuF8VS</v>
      </c>
      <c r="R11" s="88" t="s">
        <v>1185</v>
      </c>
      <c r="S11" s="20" t="str">
        <f ca="1">IFERROR(__xludf.DUMMYFUNCTION("IFERROR(vlookup(B11,IMPORTRANGE(""https://docs.google.com/spreadsheets/d/1g_jfYYK_KeipEDNDUgqgrsxK94XiocfNQIcP-v1QVhI/edit?resourcekey#gid=233272945"",""Nilai!B:CT""),86,0),"" "")"),"1. Memperjelas fokus penelitian dan keterbaruan sudut pandangnya
2. memperkaya rujukan penelitian sebelumnya
3. memperkuat metode penelitian")</f>
        <v>1. Memperjelas fokus penelitian dan keterbaruan sudut pandangnya
2. memperkaya rujukan penelitian sebelumnya
3. memperkuat metode penelitian</v>
      </c>
      <c r="T11" s="20" t="str">
        <f ca="1">IFERROR(__xludf.DUMMYFUNCTION("IFERROR(vlookup(B11,IMPORTRANGE(""https://docs.google.com/spreadsheets/d/1g_jfYYK_KeipEDNDUgqgrsxK94XiocfNQIcP-v1QVhI/edit?resourcekey#gid=233272945"",""Nilai!B:CT""),97,0),"" "")"),"LAYAK UPLOAD KE SIMBELMAWA DENGAN REVISI")</f>
        <v>LAYAK UPLOAD KE SIMBELMAWA DENGAN REVISI</v>
      </c>
      <c r="U11" s="1" t="s">
        <v>786</v>
      </c>
      <c r="V11" s="1" t="s">
        <v>786</v>
      </c>
      <c r="W11" s="17" t="s">
        <v>1189</v>
      </c>
      <c r="X11" s="19" t="b">
        <v>1</v>
      </c>
    </row>
    <row r="12" spans="1:24">
      <c r="A12" s="15">
        <v>10</v>
      </c>
      <c r="B12" s="15">
        <f ca="1">IFERROR(__xludf.DUMMYFUNCTION("""COMPUTED_VALUE"""),2959)</f>
        <v>2959</v>
      </c>
      <c r="C12" s="16" t="str">
        <f ca="1">IFERROR(__xludf.DUMMYFUNCTION("""COMPUTED_VALUE"""),"EIRENE CHRISTINA SELLYRA")</f>
        <v>EIRENE CHRISTINA SELLYRA</v>
      </c>
      <c r="D12" s="16" t="str">
        <f ca="1">IFERROR(__xludf.DUMMYFUNCTION("""COMPUTED_VALUE"""),"5003201069")</f>
        <v>5003201069</v>
      </c>
      <c r="E12" s="16" t="str">
        <f ca="1">IFERROR(__xludf.DUMMYFUNCTION("""COMPUTED_VALUE"""),"Departemen Statistika")</f>
        <v>Departemen Statistika</v>
      </c>
      <c r="F12" s="16" t="str">
        <f ca="1">IFERROR(__xludf.DUMMYFUNCTION("""COMPUTED_VALUE"""),"Pandemi Covid-19 Mereda, Bagaimana Pengaruhnya terhadap Pendapatan UMKM di Surabaya? Strategi Pemulihan Kondisi Ekonomi UMKM Pasca Pandemi")</f>
        <v>Pandemi Covid-19 Mereda, Bagaimana Pengaruhnya terhadap Pendapatan UMKM di Surabaya? Strategi Pemulihan Kondisi Ekonomi UMKM Pasca Pandemi</v>
      </c>
      <c r="G12" s="16" t="str">
        <f ca="1">IFERROR(__xludf.DUMMYFUNCTION("""COMPUTED_VALUE"""),"Dr. Dra. Ismaini Zain, M.Si")</f>
        <v>Dr. Dra. Ismaini Zain, M.Si</v>
      </c>
      <c r="H12" s="16" t="str">
        <f ca="1">IFERROR(__xludf.DUMMYFUNCTION("""COMPUTED_VALUE"""),"Welly Herumurti, S.T., M.Sc.")</f>
        <v>Welly Herumurti, S.T., M.Sc.</v>
      </c>
      <c r="I12" s="16" t="str">
        <f ca="1">IFERROR(__xludf.DUMMYFUNCTION("""COMPUTED_VALUE"""),"Mukhammad Muryono, S.Si., M.Si., Ph.D.")</f>
        <v>Mukhammad Muryono, S.Si., M.Si., Ph.D.</v>
      </c>
      <c r="J12" s="16"/>
      <c r="K12" s="17" t="s">
        <v>1183</v>
      </c>
      <c r="L12" s="17" t="s">
        <v>1188</v>
      </c>
      <c r="M12" s="19" t="b">
        <v>1</v>
      </c>
      <c r="N12" s="19" t="b">
        <v>1</v>
      </c>
      <c r="O12" s="19" t="b">
        <v>1</v>
      </c>
      <c r="P12" s="7" t="str">
        <f ca="1">IFERROR(__xludf.DUMMYFUNCTION("iferror(vlookup(B12,importrange(""https://docs.google.com/spreadsheets/d/1boHyJQ4e2FU0QG8MHwEi6qjX4hvZWVCHcFfXjq7bbMc/edit?resourcekey#gid=923248883"",""Prop!$C$1:$M""),12,0),IFERROR(vlookup(B12,importrange(""https://docs.google.com/spreadsheets/d/1boHyJQ"&amp;"4e2FU0QG8MHwEi6qjX4hvZWVCHcFfXjq7bbMc/edit?resourcekey#gid=923248883"",""Prop!$N$1:$X""),11,0),iferror(vlookup(B12,importrange(""https://docs.google.com/spreadsheets/d/1boHyJQ4e2FU0QG8MHwEi6qjX4hvZWVCHcFfXjq7bbMc/edit?resourcekey#gid=923248883"",""Prop!$Y"&amp;"$1:$AI""),11,0),iferror(vlookup(B12,importrange(""https://docs.google.com/spreadsheets/d/1boHyJQ4e2FU0QG8MHwEi6qjX4hvZWVCHcFfXjq7bbMc/edit?resourcekey#gid=923248883"",""Prop!$AJ$1:$AT""),11,0),iferror(vlookup(B12,importrange(""https://docs.google.com/spre"&amp;"adsheets/d/1boHyJQ4e2FU0QG8MHwEi6qjX4hvZWVCHcFfXjq7bbMc/edit?resourcekey#gid=923248883"",""Prop!$AU$1:$BE""),11,0),iferror(vlookup(B12,importrange(""https://docs.google.com/spreadsheets/d/1boHyJQ4e2FU0QG8MHwEi6qjX4hvZWVCHcFfXjq7bbMc/edit?resourcekey#gid=9"&amp;"23248883"",""Prop!$BF$1:$BP""),11,0),iferror(vlookup(B12,importrange(""https://docs.google.com/spreadsheets/d/1boHyJQ4e2FU0QG8MHwEi6qjX4hvZWVCHcFfXjq7bbMc/edit?resourcekey#gid=923248883"",""Prop!$BQ$1:$CA""),11,0),iferror(vlookup(B12,importrange(""https:/"&amp;"/docs.google.com/spreadsheets/d/1boHyJQ4e2FU0QG8MHwEi6qjX4hvZWVCHcFfXjq7bbMc/edit?resourcekey#gid=923248883"",""Prop!$CB$1:$CL""),11,0),iferror(vlookup(B12,importrange(""https://docs.google.com/spreadsheets/d/1boHyJQ4e2FU0QG8MHwEi6qjX4hvZWVCHcFfXjq7bbMc/e"&amp;"dit?resourcekey#gid=923248883"",""Prop!$CM$1:$CX""),12,0),iferror(vlookup(B12,importrange(""https://docs.google.com/spreadsheets/d/1boHyJQ4e2FU0QG8MHwEi6qjX4hvZWVCHcFfXjq7bbMc/edit?resourcekey#gid=923248883"",""Prop!$CV$1:$DI""),11,0)))))))))))"),"https://drive.google.com/open?id=1W15Y4Ywst1oFcD9OeIj7nbH9lLL2Ftet")</f>
        <v>https://drive.google.com/open?id=1W15Y4Ywst1oFcD9OeIj7nbH9lLL2Ftet</v>
      </c>
      <c r="Q12" s="7" t="str">
        <f ca="1">IFERROR(__xludf.DUMMYFUNCTION("iferror(vlookup(B12,importrange(""https://docs.google.com/spreadsheets/d/1p53T2AuvvIqhP7Nf-bo3Uhj8cbKYRPpZdsrBv3x3bAQ/edit?resourcekey#gid=1321652304"",""Prop!$C$1:$M""),11,0),IFERROR(vlookup(B12,importrange(""https://docs.google.com/spreadsheets/d/1p53T2"&amp;"AuvvIqhP7Nf-bo3Uhj8cbKYRPpZdsrBv3x3bAQ/edit?resourcekey#gid=1321652304"",""Prop!$N$1:$X""),11,0),iferror(vlookup(B12,importrange(""https://docs.google.com/spreadsheets/d/1p53T2AuvvIqhP7Nf-bo3Uhj8cbKYRPpZdsrBv3x3bAQ/edit?resourcekey#gid=1321652304"",""Prop"&amp;"!$Y$1:$AI""),11,0),iferror(vlookup(B12,importrange(""https://docs.google.com/spreadsheets/d/1p53T2AuvvIqhP7Nf-bo3Uhj8cbKYRPpZdsrBv3x3bAQ/edit?resourcekey#gid=1321652304"",""Prop!$AJ$1:$AT""),11,0),iferror(vlookup(B12,importrange(""https://docs.google.com/"&amp;"spreadsheets/d/1p53T2AuvvIqhP7Nf-bo3Uhj8cbKYRPpZdsrBv3x3bAQ/edit?resourcekey#gid=1321652304"",""Prop!$AU$1:$BE""),11,0),iferror(vlookup(B12,importrange(""https://docs.google.com/spreadsheets/d/1p53T2AuvvIqhP7Nf-bo3Uhj8cbKYRPpZdsrBv3x3bAQ/edit?resourcekey#"&amp;"gid=1321652304"",""Prop!$BF$1:$BP""),11,0),iferror(vlookup(B12,importrange(""https://docs.google.com/spreadsheets/d/1p53T2AuvvIqhP7Nf-bo3Uhj8cbKYRPpZdsrBv3x3bAQ/edit?resourcekey#gid=1321652304"",""Prop!$BQ$1:$CA""),11,0),iferror(vlookup(B12,importrange("""&amp;"https://docs.google.com/spreadsheets/d/1p53T2AuvvIqhP7Nf-bo3Uhj8cbKYRPpZdsrBv3x3bAQ/edit?resourcekey#gid=1321652304"",""Prop!$CB$1:$CL""),11,0),iferror(vlookup(B12,importrange(""https://docs.google.com/spreadsheets/d/1p53T2AuvvIqhP7Nf-bo3Uhj8cbKYRPpZdsrBv"&amp;"3x3bAQ/edit?resourcekey#gid=1321652304"",""Prop!$CM$1:$CX""),12,0),iferror(vlookup(B12,importrange(""https://docs.google.com/spreadsheets/d/1p53T2AuvvIqhP7Nf-bo3Uhj8cbKYRPpZdsrBv3x3bAQ/edit?resourcekey#gid=1321652304"",""Prop!$CY$1:$DI""),11,0)))))))))))"),"https://drive.google.com/open?id=1M1s8K-KZ4wCWiWLSTqCCwGZ2inLr2UzA")</f>
        <v>https://drive.google.com/open?id=1M1s8K-KZ4wCWiWLSTqCCwGZ2inLr2UzA</v>
      </c>
      <c r="R12" s="88" t="s">
        <v>1185</v>
      </c>
      <c r="S12" s="20" t="str">
        <f ca="1">IFERROR(__xludf.DUMMYFUNCTION("IFERROR(vlookup(B12,IMPORTRANGE(""https://docs.google.com/spreadsheets/d/1g_jfYYK_KeipEDNDUgqgrsxK94XiocfNQIcP-v1QVhI/edit?resourcekey#gid=233272945"",""Nilai!B:CT""),86,0),"" "")"),"1. perjelas keterbaruan penelitian
2. masa pandemi akan segera berakhir, cek lagi konteks penelitian
3. alat analisis tdk perlu diuraikan teorinya")</f>
        <v>1. perjelas keterbaruan penelitian
2. masa pandemi akan segera berakhir, cek lagi konteks penelitian
3. alat analisis tdk perlu diuraikan teorinya</v>
      </c>
      <c r="T12" s="20" t="str">
        <f ca="1">IFERROR(__xludf.DUMMYFUNCTION("IFERROR(vlookup(B12,IMPORTRANGE(""https://docs.google.com/spreadsheets/d/1g_jfYYK_KeipEDNDUgqgrsxK94XiocfNQIcP-v1QVhI/edit?resourcekey#gid=233272945"",""Nilai!B:CT""),97,0),"" "")"),"LAYAK UPLOAD KE SIMBELMAWA DENGAN REVISI")</f>
        <v>LAYAK UPLOAD KE SIMBELMAWA DENGAN REVISI</v>
      </c>
      <c r="U12" s="1" t="s">
        <v>786</v>
      </c>
      <c r="V12" s="1" t="s">
        <v>786</v>
      </c>
      <c r="W12" s="17" t="s">
        <v>1189</v>
      </c>
      <c r="X12" s="19" t="b">
        <v>0</v>
      </c>
    </row>
    <row r="13" spans="1:24">
      <c r="A13" s="15">
        <v>11</v>
      </c>
      <c r="B13" s="15">
        <f ca="1">IFERROR(__xludf.DUMMYFUNCTION("""COMPUTED_VALUE"""),3005)</f>
        <v>3005</v>
      </c>
      <c r="C13" s="16" t="str">
        <f ca="1">IFERROR(__xludf.DUMMYFUNCTION("""COMPUTED_VALUE"""),"Sukma Dyah Aini")</f>
        <v>Sukma Dyah Aini</v>
      </c>
      <c r="D13" s="16" t="str">
        <f ca="1">IFERROR(__xludf.DUMMYFUNCTION("""COMPUTED_VALUE"""),"08211840000003")</f>
        <v>08211840000003</v>
      </c>
      <c r="E13" s="16" t="str">
        <f ca="1">IFERROR(__xludf.DUMMYFUNCTION("""COMPUTED_VALUE"""),"Departemen Perencanaan Wilayah dan Kota")</f>
        <v>Departemen Perencanaan Wilayah dan Kota</v>
      </c>
      <c r="F13" s="16" t="str">
        <f ca="1">IFERROR(__xludf.DUMMYFUNCTION("""COMPUTED_VALUE"""),"Upaya Pengembangan Kawasan Heritage dengan Mempertimbangkan Nilai Visibilitas dan Kualitas Kota Pasuruan")</f>
        <v>Upaya Pengembangan Kawasan Heritage dengan Mempertimbangkan Nilai Visibilitas dan Kualitas Kota Pasuruan</v>
      </c>
      <c r="G13" s="16" t="str">
        <f ca="1">IFERROR(__xludf.DUMMYFUNCTION("""COMPUTED_VALUE"""),"Mochamad Yusuf, S.T., M.Sc.")</f>
        <v>Mochamad Yusuf, S.T., M.Sc.</v>
      </c>
      <c r="H13" s="16" t="str">
        <f ca="1">IFERROR(__xludf.DUMMYFUNCTION("""COMPUTED_VALUE"""),"Welly Herumurti, S.T., M.Sc.")</f>
        <v>Welly Herumurti, S.T., M.Sc.</v>
      </c>
      <c r="I13" s="16" t="str">
        <f ca="1">IFERROR(__xludf.DUMMYFUNCTION("""COMPUTED_VALUE"""),"Mukhammad Muryono, S.Si., M.Si., Ph.D.")</f>
        <v>Mukhammad Muryono, S.Si., M.Si., Ph.D.</v>
      </c>
      <c r="J13" s="16" t="str">
        <f ca="1">IFERROR(__xludf.DUMMYFUNCTION("""COMPUTED_VALUE"""),"Putu Gde Ariastita, S.T., M.T.")</f>
        <v>Putu Gde Ariastita, S.T., M.T.</v>
      </c>
      <c r="K13" s="17" t="s">
        <v>1190</v>
      </c>
      <c r="L13" s="17" t="s">
        <v>1191</v>
      </c>
      <c r="M13" s="19" t="b">
        <v>0</v>
      </c>
      <c r="N13" s="19" t="b">
        <v>0</v>
      </c>
      <c r="O13" s="19" t="b">
        <v>0</v>
      </c>
      <c r="P13" s="1" t="str">
        <f ca="1">IFERROR(__xludf.DUMMYFUNCTION("iferror(vlookup(B13,importrange(""https://docs.google.com/spreadsheets/d/1boHyJQ4e2FU0QG8MHwEi6qjX4hvZWVCHcFfXjq7bbMc/edit?resourcekey#gid=923248883"",""Prop!$C$1:$M""),12,0),IFERROR(vlookup(B13,importrange(""https://docs.google.com/spreadsheets/d/1boHyJQ"&amp;"4e2FU0QG8MHwEi6qjX4hvZWVCHcFfXjq7bbMc/edit?resourcekey#gid=923248883"",""Prop!$N$1:$X""),11,0),iferror(vlookup(B13,importrange(""https://docs.google.com/spreadsheets/d/1boHyJQ4e2FU0QG8MHwEi6qjX4hvZWVCHcFfXjq7bbMc/edit?resourcekey#gid=923248883"",""Prop!$Y"&amp;"$1:$AI""),11,0),iferror(vlookup(B13,importrange(""https://docs.google.com/spreadsheets/d/1boHyJQ4e2FU0QG8MHwEi6qjX4hvZWVCHcFfXjq7bbMc/edit?resourcekey#gid=923248883"",""Prop!$AJ$1:$AT""),11,0),iferror(vlookup(B13,importrange(""https://docs.google.com/spre"&amp;"adsheets/d/1boHyJQ4e2FU0QG8MHwEi6qjX4hvZWVCHcFfXjq7bbMc/edit?resourcekey#gid=923248883"",""Prop!$AU$1:$BE""),11,0),iferror(vlookup(B13,importrange(""https://docs.google.com/spreadsheets/d/1boHyJQ4e2FU0QG8MHwEi6qjX4hvZWVCHcFfXjq7bbMc/edit?resourcekey#gid=9"&amp;"23248883"",""Prop!$BF$1:$BP""),11,0),iferror(vlookup(B13,importrange(""https://docs.google.com/spreadsheets/d/1boHyJQ4e2FU0QG8MHwEi6qjX4hvZWVCHcFfXjq7bbMc/edit?resourcekey#gid=923248883"",""Prop!$BQ$1:$CA""),11,0),iferror(vlookup(B13,importrange(""https:/"&amp;"/docs.google.com/spreadsheets/d/1boHyJQ4e2FU0QG8MHwEi6qjX4hvZWVCHcFfXjq7bbMc/edit?resourcekey#gid=923248883"",""Prop!$CB$1:$CL""),11,0),iferror(vlookup(B13,importrange(""https://docs.google.com/spreadsheets/d/1boHyJQ4e2FU0QG8MHwEi6qjX4hvZWVCHcFfXjq7bbMc/e"&amp;"dit?resourcekey#gid=923248883"",""Prop!$CM$1:$CX""),12,0),iferror(vlookup(B13,importrange(""https://docs.google.com/spreadsheets/d/1boHyJQ4e2FU0QG8MHwEi6qjX4hvZWVCHcFfXjq7bbMc/edit?resourcekey#gid=923248883"",""Prop!$CV$1:$DI""),11,0)))))))))))"),"")</f>
        <v/>
      </c>
      <c r="Q13" s="1" t="str">
        <f ca="1">IFERROR(__xludf.DUMMYFUNCTION("iferror(vlookup(B13,importrange(""https://docs.google.com/spreadsheets/d/1p53T2AuvvIqhP7Nf-bo3Uhj8cbKYRPpZdsrBv3x3bAQ/edit?resourcekey#gid=1321652304"",""Prop!$C$1:$M""),11,0),IFERROR(vlookup(B13,importrange(""https://docs.google.com/spreadsheets/d/1p53T2"&amp;"AuvvIqhP7Nf-bo3Uhj8cbKYRPpZdsrBv3x3bAQ/edit?resourcekey#gid=1321652304"",""Prop!$N$1:$X""),11,0),iferror(vlookup(B13,importrange(""https://docs.google.com/spreadsheets/d/1p53T2AuvvIqhP7Nf-bo3Uhj8cbKYRPpZdsrBv3x3bAQ/edit?resourcekey#gid=1321652304"",""Prop"&amp;"!$Y$1:$AI""),11,0),iferror(vlookup(B13,importrange(""https://docs.google.com/spreadsheets/d/1p53T2AuvvIqhP7Nf-bo3Uhj8cbKYRPpZdsrBv3x3bAQ/edit?resourcekey#gid=1321652304"",""Prop!$AJ$1:$AT""),11,0),iferror(vlookup(B13,importrange(""https://docs.google.com/"&amp;"spreadsheets/d/1p53T2AuvvIqhP7Nf-bo3Uhj8cbKYRPpZdsrBv3x3bAQ/edit?resourcekey#gid=1321652304"",""Prop!$AU$1:$BE""),11,0),iferror(vlookup(B13,importrange(""https://docs.google.com/spreadsheets/d/1p53T2AuvvIqhP7Nf-bo3Uhj8cbKYRPpZdsrBv3x3bAQ/edit?resourcekey#"&amp;"gid=1321652304"",""Prop!$BF$1:$BP""),11,0),iferror(vlookup(B13,importrange(""https://docs.google.com/spreadsheets/d/1p53T2AuvvIqhP7Nf-bo3Uhj8cbKYRPpZdsrBv3x3bAQ/edit?resourcekey#gid=1321652304"",""Prop!$BQ$1:$CA""),11,0),iferror(vlookup(B13,importrange("""&amp;"https://docs.google.com/spreadsheets/d/1p53T2AuvvIqhP7Nf-bo3Uhj8cbKYRPpZdsrBv3x3bAQ/edit?resourcekey#gid=1321652304"",""Prop!$CB$1:$CL""),11,0),iferror(vlookup(B13,importrange(""https://docs.google.com/spreadsheets/d/1p53T2AuvvIqhP7Nf-bo3Uhj8cbKYRPpZdsrBv"&amp;"3x3bAQ/edit?resourcekey#gid=1321652304"",""Prop!$CM$1:$CX""),12,0),iferror(vlookup(B13,importrange(""https://docs.google.com/spreadsheets/d/1p53T2AuvvIqhP7Nf-bo3Uhj8cbKYRPpZdsrBv3x3bAQ/edit?resourcekey#gid=1321652304"",""Prop!$CY$1:$DI""),11,0)))))))))))"),"")</f>
        <v/>
      </c>
      <c r="R13" s="88" t="s">
        <v>1185</v>
      </c>
      <c r="S13" s="20" t="str">
        <f ca="1">IFERROR(__xludf.DUMMYFUNCTION("IFERROR(vlookup(B13,IMPORTRANGE(""https://docs.google.com/spreadsheets/d/1g_jfYYK_KeipEDNDUgqgrsxK94XiocfNQIcP-v1QVhI/edit?resourcekey#gid=233272945"",""Nilai!B:CT""),86,0),"" "")"),"1. mempertajam permasalahan penelitian dan keterbaruan sudut pandang penelitian
2. memperkaya rujukan penelitian2 sebelumnya")</f>
        <v>1. mempertajam permasalahan penelitian dan keterbaruan sudut pandang penelitian
2. memperkaya rujukan penelitian2 sebelumnya</v>
      </c>
      <c r="T13" s="20" t="str">
        <f ca="1">IFERROR(__xludf.DUMMYFUNCTION("IFERROR(vlookup(B13,IMPORTRANGE(""https://docs.google.com/spreadsheets/d/1g_jfYYK_KeipEDNDUgqgrsxK94XiocfNQIcP-v1QVhI/edit?resourcekey#gid=233272945"",""Nilai!B:CT""),97,0),"" "")"),"LAYAK UPLOAD KE SIMBELMAWA DENGAN REVISI")</f>
        <v>LAYAK UPLOAD KE SIMBELMAWA DENGAN REVISI</v>
      </c>
      <c r="U13" s="1" t="s">
        <v>786</v>
      </c>
      <c r="V13" s="1" t="s">
        <v>786</v>
      </c>
      <c r="W13" s="17" t="s">
        <v>1189</v>
      </c>
      <c r="X13" s="19" t="b">
        <v>0</v>
      </c>
    </row>
    <row r="14" spans="1:24">
      <c r="A14" s="15">
        <v>12</v>
      </c>
      <c r="B14" s="15">
        <f ca="1">IFERROR(__xludf.DUMMYFUNCTION("""COMPUTED_VALUE"""),3094)</f>
        <v>3094</v>
      </c>
      <c r="C14" s="16" t="str">
        <f ca="1">IFERROR(__xludf.DUMMYFUNCTION("""COMPUTED_VALUE"""),"SAFIRA SALSABILA")</f>
        <v>SAFIRA SALSABILA</v>
      </c>
      <c r="D14" s="16" t="str">
        <f ca="1">IFERROR(__xludf.DUMMYFUNCTION("""COMPUTED_VALUE"""),"08211840000096")</f>
        <v>08211840000096</v>
      </c>
      <c r="E14" s="16" t="str">
        <f ca="1">IFERROR(__xludf.DUMMYFUNCTION("""COMPUTED_VALUE"""),"Departemen Perencanaan Wilayah dan Kota")</f>
        <v>Departemen Perencanaan Wilayah dan Kota</v>
      </c>
      <c r="F14" s="16" t="str">
        <f ca="1">IFERROR(__xludf.DUMMYFUNCTION("""COMPUTED_VALUE"""),"Penilaian Kesesuaian Fungsi Estetika, Ekologi, dan Filosofi Ruang Terbuka Hijau di Kawasan Inti Kraton Yogyakarta")</f>
        <v>Penilaian Kesesuaian Fungsi Estetika, Ekologi, dan Filosofi Ruang Terbuka Hijau di Kawasan Inti Kraton Yogyakarta</v>
      </c>
      <c r="G14" s="16" t="str">
        <f ca="1">IFERROR(__xludf.DUMMYFUNCTION("""COMPUTED_VALUE"""),"Ardy Maulidy Navastara, S.T., M.T.")</f>
        <v>Ardy Maulidy Navastara, S.T., M.T.</v>
      </c>
      <c r="H14" s="16" t="str">
        <f ca="1">IFERROR(__xludf.DUMMYFUNCTION("""COMPUTED_VALUE"""),"Muchammad Nurif, S.E., M.T.")</f>
        <v>Muchammad Nurif, S.E., M.T.</v>
      </c>
      <c r="I14" s="16" t="str">
        <f ca="1">IFERROR(__xludf.DUMMYFUNCTION("""COMPUTED_VALUE"""),"Deqi Rizkivia Radita, S.T., M.Sc.")</f>
        <v>Deqi Rizkivia Radita, S.T., M.Sc.</v>
      </c>
      <c r="J14" s="16" t="str">
        <f ca="1">IFERROR(__xludf.DUMMYFUNCTION("""COMPUTED_VALUE"""),"Putu Gde Ariastita, S.T., M.T.")</f>
        <v>Putu Gde Ariastita, S.T., M.T.</v>
      </c>
      <c r="K14" s="17" t="s">
        <v>1190</v>
      </c>
      <c r="L14" s="17" t="s">
        <v>1191</v>
      </c>
      <c r="M14" s="19" t="b">
        <v>0</v>
      </c>
      <c r="N14" s="19" t="b">
        <v>0</v>
      </c>
      <c r="O14" s="19" t="b">
        <v>0</v>
      </c>
      <c r="P14" s="7" t="str">
        <f ca="1">IFERROR(__xludf.DUMMYFUNCTION("iferror(vlookup(B14,importrange(""https://docs.google.com/spreadsheets/d/1boHyJQ4e2FU0QG8MHwEi6qjX4hvZWVCHcFfXjq7bbMc/edit?resourcekey#gid=923248883"",""Prop!$C$1:$M""),12,0),IFERROR(vlookup(B14,importrange(""https://docs.google.com/spreadsheets/d/1boHyJQ"&amp;"4e2FU0QG8MHwEi6qjX4hvZWVCHcFfXjq7bbMc/edit?resourcekey#gid=923248883"",""Prop!$N$1:$X""),11,0),iferror(vlookup(B14,importrange(""https://docs.google.com/spreadsheets/d/1boHyJQ4e2FU0QG8MHwEi6qjX4hvZWVCHcFfXjq7bbMc/edit?resourcekey#gid=923248883"",""Prop!$Y"&amp;"$1:$AI""),11,0),iferror(vlookup(B14,importrange(""https://docs.google.com/spreadsheets/d/1boHyJQ4e2FU0QG8MHwEi6qjX4hvZWVCHcFfXjq7bbMc/edit?resourcekey#gid=923248883"",""Prop!$AJ$1:$AT""),11,0),iferror(vlookup(B14,importrange(""https://docs.google.com/spre"&amp;"adsheets/d/1boHyJQ4e2FU0QG8MHwEi6qjX4hvZWVCHcFfXjq7bbMc/edit?resourcekey#gid=923248883"",""Prop!$AU$1:$BE""),11,0),iferror(vlookup(B14,importrange(""https://docs.google.com/spreadsheets/d/1boHyJQ4e2FU0QG8MHwEi6qjX4hvZWVCHcFfXjq7bbMc/edit?resourcekey#gid=9"&amp;"23248883"",""Prop!$BF$1:$BP""),11,0),iferror(vlookup(B14,importrange(""https://docs.google.com/spreadsheets/d/1boHyJQ4e2FU0QG8MHwEi6qjX4hvZWVCHcFfXjq7bbMc/edit?resourcekey#gid=923248883"",""Prop!$BQ$1:$CA""),11,0),iferror(vlookup(B14,importrange(""https:/"&amp;"/docs.google.com/spreadsheets/d/1boHyJQ4e2FU0QG8MHwEi6qjX4hvZWVCHcFfXjq7bbMc/edit?resourcekey#gid=923248883"",""Prop!$CB$1:$CL""),11,0),iferror(vlookup(B14,importrange(""https://docs.google.com/spreadsheets/d/1boHyJQ4e2FU0QG8MHwEi6qjX4hvZWVCHcFfXjq7bbMc/e"&amp;"dit?resourcekey#gid=923248883"",""Prop!$CM$1:$CX""),12,0),iferror(vlookup(B14,importrange(""https://docs.google.com/spreadsheets/d/1boHyJQ4e2FU0QG8MHwEi6qjX4hvZWVCHcFfXjq7bbMc/edit?resourcekey#gid=923248883"",""Prop!$CV$1:$DI""),11,0)))))))))))"),"https://drive.google.com/open?id=1XEevS2qVuuZRBefbdSUtEDJ0ppv7Alje")</f>
        <v>https://drive.google.com/open?id=1XEevS2qVuuZRBefbdSUtEDJ0ppv7Alje</v>
      </c>
      <c r="Q14" s="7" t="str">
        <f ca="1">IFERROR(__xludf.DUMMYFUNCTION("iferror(vlookup(B14,importrange(""https://docs.google.com/spreadsheets/d/1p53T2AuvvIqhP7Nf-bo3Uhj8cbKYRPpZdsrBv3x3bAQ/edit?resourcekey#gid=1321652304"",""Prop!$C$1:$M""),11,0),IFERROR(vlookup(B14,importrange(""https://docs.google.com/spreadsheets/d/1p53T2"&amp;"AuvvIqhP7Nf-bo3Uhj8cbKYRPpZdsrBv3x3bAQ/edit?resourcekey#gid=1321652304"",""Prop!$N$1:$X""),11,0),iferror(vlookup(B14,importrange(""https://docs.google.com/spreadsheets/d/1p53T2AuvvIqhP7Nf-bo3Uhj8cbKYRPpZdsrBv3x3bAQ/edit?resourcekey#gid=1321652304"",""Prop"&amp;"!$Y$1:$AI""),11,0),iferror(vlookup(B14,importrange(""https://docs.google.com/spreadsheets/d/1p53T2AuvvIqhP7Nf-bo3Uhj8cbKYRPpZdsrBv3x3bAQ/edit?resourcekey#gid=1321652304"",""Prop!$AJ$1:$AT""),11,0),iferror(vlookup(B14,importrange(""https://docs.google.com/"&amp;"spreadsheets/d/1p53T2AuvvIqhP7Nf-bo3Uhj8cbKYRPpZdsrBv3x3bAQ/edit?resourcekey#gid=1321652304"",""Prop!$AU$1:$BE""),11,0),iferror(vlookup(B14,importrange(""https://docs.google.com/spreadsheets/d/1p53T2AuvvIqhP7Nf-bo3Uhj8cbKYRPpZdsrBv3x3bAQ/edit?resourcekey#"&amp;"gid=1321652304"",""Prop!$BF$1:$BP""),11,0),iferror(vlookup(B14,importrange(""https://docs.google.com/spreadsheets/d/1p53T2AuvvIqhP7Nf-bo3Uhj8cbKYRPpZdsrBv3x3bAQ/edit?resourcekey#gid=1321652304"",""Prop!$BQ$1:$CA""),11,0),iferror(vlookup(B14,importrange("""&amp;"https://docs.google.com/spreadsheets/d/1p53T2AuvvIqhP7Nf-bo3Uhj8cbKYRPpZdsrBv3x3bAQ/edit?resourcekey#gid=1321652304"",""Prop!$CB$1:$CL""),11,0),iferror(vlookup(B14,importrange(""https://docs.google.com/spreadsheets/d/1p53T2AuvvIqhP7Nf-bo3Uhj8cbKYRPpZdsrBv"&amp;"3x3bAQ/edit?resourcekey#gid=1321652304"",""Prop!$CM$1:$CX""),12,0),iferror(vlookup(B14,importrange(""https://docs.google.com/spreadsheets/d/1p53T2AuvvIqhP7Nf-bo3Uhj8cbKYRPpZdsrBv3x3bAQ/edit?resourcekey#gid=1321652304"",""Prop!$CY$1:$DI""),11,0)))))))))))"),"https://drive.google.com/open?id=1ZRK2yBwHBCs1N-B9wp5Lf42Fa8BqIwAK")</f>
        <v>https://drive.google.com/open?id=1ZRK2yBwHBCs1N-B9wp5Lf42Fa8BqIwAK</v>
      </c>
      <c r="R14" s="88" t="s">
        <v>1185</v>
      </c>
      <c r="S14" s="20" t="str">
        <f ca="1">IFERROR(__xludf.DUMMYFUNCTION("IFERROR(vlookup(B14,IMPORTRANGE(""https://docs.google.com/spreadsheets/d/1g_jfYYK_KeipEDNDUgqgrsxK94XiocfNQIcP-v1QVhI/edit?resourcekey#gid=233272945"",""Nilai!B:CT""),86,0),"" "")"),"jumlah halaman lebih dari 10")</f>
        <v>jumlah halaman lebih dari 10</v>
      </c>
      <c r="T14" s="20" t="str">
        <f ca="1">IFERROR(__xludf.DUMMYFUNCTION("IFERROR(vlookup(B14,IMPORTRANGE(""https://docs.google.com/spreadsheets/d/1g_jfYYK_KeipEDNDUgqgrsxK94XiocfNQIcP-v1QVhI/edit?resourcekey#gid=233272945"",""Nilai!B:CT""),97,0),"" "")"),"TIDAK LAYAK UPLOAD KE SIMBELMAWA")</f>
        <v>TIDAK LAYAK UPLOAD KE SIMBELMAWA</v>
      </c>
      <c r="U14" s="1" t="s">
        <v>786</v>
      </c>
      <c r="V14" s="1" t="s">
        <v>786</v>
      </c>
      <c r="W14" s="17" t="s">
        <v>1189</v>
      </c>
      <c r="X14" s="19" t="b">
        <v>0</v>
      </c>
    </row>
    <row r="15" spans="1:24">
      <c r="A15" s="15">
        <v>13</v>
      </c>
      <c r="B15" s="15">
        <f ca="1">IFERROR(__xludf.DUMMYFUNCTION("""COMPUTED_VALUE"""),2406)</f>
        <v>2406</v>
      </c>
      <c r="C15" s="16" t="str">
        <f ca="1">IFERROR(__xludf.DUMMYFUNCTION("""COMPUTED_VALUE"""),"Aliya Ulil Faddila")</f>
        <v>Aliya Ulil Faddila</v>
      </c>
      <c r="D15" s="16" t="str">
        <f ca="1">IFERROR(__xludf.DUMMYFUNCTION("""COMPUTED_VALUE"""),"08211840000011")</f>
        <v>08211840000011</v>
      </c>
      <c r="E15" s="16" t="str">
        <f ca="1">IFERROR(__xludf.DUMMYFUNCTION("""COMPUTED_VALUE"""),"Departemen Perencanaan Wilayah dan Kota")</f>
        <v>Departemen Perencanaan Wilayah dan Kota</v>
      </c>
      <c r="F15" s="16" t="str">
        <f ca="1">IFERROR(__xludf.DUMMYFUNCTION("""COMPUTED_VALUE"""),"Strategi Peningkatan Kualitas Koridor Jalan Kembang Jepun berdasarkan Persepsi Masyarakat")</f>
        <v>Strategi Peningkatan Kualitas Koridor Jalan Kembang Jepun berdasarkan Persepsi Masyarakat</v>
      </c>
      <c r="G15" s="16" t="str">
        <f ca="1">IFERROR(__xludf.DUMMYFUNCTION("""COMPUTED_VALUE"""),"Mochamad Yusuf, S.T., M.Sc.")</f>
        <v>Mochamad Yusuf, S.T., M.Sc.</v>
      </c>
      <c r="H15" s="16" t="str">
        <f ca="1">IFERROR(__xludf.DUMMYFUNCTION("""COMPUTED_VALUE"""),"Muchammad Nurif, S.E., M.T.")</f>
        <v>Muchammad Nurif, S.E., M.T.</v>
      </c>
      <c r="I15" s="16" t="str">
        <f ca="1">IFERROR(__xludf.DUMMYFUNCTION("""COMPUTED_VALUE"""),"Deqi Rizkivia Radita, S.T., M.Sc.")</f>
        <v>Deqi Rizkivia Radita, S.T., M.Sc.</v>
      </c>
      <c r="J15" s="16"/>
      <c r="K15" s="17" t="s">
        <v>1190</v>
      </c>
      <c r="L15" s="17" t="s">
        <v>1191</v>
      </c>
      <c r="M15" s="19" t="b">
        <v>0</v>
      </c>
      <c r="N15" s="19" t="b">
        <v>0</v>
      </c>
      <c r="O15" s="19" t="b">
        <v>0</v>
      </c>
      <c r="P15" s="7" t="str">
        <f ca="1">IFERROR(__xludf.DUMMYFUNCTION("iferror(vlookup(B15,importrange(""https://docs.google.com/spreadsheets/d/1boHyJQ4e2FU0QG8MHwEi6qjX4hvZWVCHcFfXjq7bbMc/edit?resourcekey#gid=923248883"",""Prop!$C$1:$M""),12,0),IFERROR(vlookup(B15,importrange(""https://docs.google.com/spreadsheets/d/1boHyJQ"&amp;"4e2FU0QG8MHwEi6qjX4hvZWVCHcFfXjq7bbMc/edit?resourcekey#gid=923248883"",""Prop!$N$1:$X""),11,0),iferror(vlookup(B15,importrange(""https://docs.google.com/spreadsheets/d/1boHyJQ4e2FU0QG8MHwEi6qjX4hvZWVCHcFfXjq7bbMc/edit?resourcekey#gid=923248883"",""Prop!$Y"&amp;"$1:$AI""),11,0),iferror(vlookup(B15,importrange(""https://docs.google.com/spreadsheets/d/1boHyJQ4e2FU0QG8MHwEi6qjX4hvZWVCHcFfXjq7bbMc/edit?resourcekey#gid=923248883"",""Prop!$AJ$1:$AT""),11,0),iferror(vlookup(B15,importrange(""https://docs.google.com/spre"&amp;"adsheets/d/1boHyJQ4e2FU0QG8MHwEi6qjX4hvZWVCHcFfXjq7bbMc/edit?resourcekey#gid=923248883"",""Prop!$AU$1:$BE""),11,0),iferror(vlookup(B15,importrange(""https://docs.google.com/spreadsheets/d/1boHyJQ4e2FU0QG8MHwEi6qjX4hvZWVCHcFfXjq7bbMc/edit?resourcekey#gid=9"&amp;"23248883"",""Prop!$BF$1:$BP""),11,0),iferror(vlookup(B15,importrange(""https://docs.google.com/spreadsheets/d/1boHyJQ4e2FU0QG8MHwEi6qjX4hvZWVCHcFfXjq7bbMc/edit?resourcekey#gid=923248883"",""Prop!$BQ$1:$CA""),11,0),iferror(vlookup(B15,importrange(""https:/"&amp;"/docs.google.com/spreadsheets/d/1boHyJQ4e2FU0QG8MHwEi6qjX4hvZWVCHcFfXjq7bbMc/edit?resourcekey#gid=923248883"",""Prop!$CB$1:$CL""),11,0),iferror(vlookup(B15,importrange(""https://docs.google.com/spreadsheets/d/1boHyJQ4e2FU0QG8MHwEi6qjX4hvZWVCHcFfXjq7bbMc/e"&amp;"dit?resourcekey#gid=923248883"",""Prop!$CM$1:$CX""),12,0),iferror(vlookup(B15,importrange(""https://docs.google.com/spreadsheets/d/1boHyJQ4e2FU0QG8MHwEi6qjX4hvZWVCHcFfXjq7bbMc/edit?resourcekey#gid=923248883"",""Prop!$CV$1:$DI""),11,0)))))))))))"),"https://drive.google.com/open?id=1_JCfrPheZSL96Heoija5CqhQ006RDx_m")</f>
        <v>https://drive.google.com/open?id=1_JCfrPheZSL96Heoija5CqhQ006RDx_m</v>
      </c>
      <c r="Q15" s="7" t="str">
        <f ca="1">IFERROR(__xludf.DUMMYFUNCTION("iferror(vlookup(B15,importrange(""https://docs.google.com/spreadsheets/d/1p53T2AuvvIqhP7Nf-bo3Uhj8cbKYRPpZdsrBv3x3bAQ/edit?resourcekey#gid=1321652304"",""Prop!$C$1:$M""),11,0),IFERROR(vlookup(B15,importrange(""https://docs.google.com/spreadsheets/d/1p53T2"&amp;"AuvvIqhP7Nf-bo3Uhj8cbKYRPpZdsrBv3x3bAQ/edit?resourcekey#gid=1321652304"",""Prop!$N$1:$X""),11,0),iferror(vlookup(B15,importrange(""https://docs.google.com/spreadsheets/d/1p53T2AuvvIqhP7Nf-bo3Uhj8cbKYRPpZdsrBv3x3bAQ/edit?resourcekey#gid=1321652304"",""Prop"&amp;"!$Y$1:$AI""),11,0),iferror(vlookup(B15,importrange(""https://docs.google.com/spreadsheets/d/1p53T2AuvvIqhP7Nf-bo3Uhj8cbKYRPpZdsrBv3x3bAQ/edit?resourcekey#gid=1321652304"",""Prop!$AJ$1:$AT""),11,0),iferror(vlookup(B15,importrange(""https://docs.google.com/"&amp;"spreadsheets/d/1p53T2AuvvIqhP7Nf-bo3Uhj8cbKYRPpZdsrBv3x3bAQ/edit?resourcekey#gid=1321652304"",""Prop!$AU$1:$BE""),11,0),iferror(vlookup(B15,importrange(""https://docs.google.com/spreadsheets/d/1p53T2AuvvIqhP7Nf-bo3Uhj8cbKYRPpZdsrBv3x3bAQ/edit?resourcekey#"&amp;"gid=1321652304"",""Prop!$BF$1:$BP""),11,0),iferror(vlookup(B15,importrange(""https://docs.google.com/spreadsheets/d/1p53T2AuvvIqhP7Nf-bo3Uhj8cbKYRPpZdsrBv3x3bAQ/edit?resourcekey#gid=1321652304"",""Prop!$BQ$1:$CA""),11,0),iferror(vlookup(B15,importrange("""&amp;"https://docs.google.com/spreadsheets/d/1p53T2AuvvIqhP7Nf-bo3Uhj8cbKYRPpZdsrBv3x3bAQ/edit?resourcekey#gid=1321652304"",""Prop!$CB$1:$CL""),11,0),iferror(vlookup(B15,importrange(""https://docs.google.com/spreadsheets/d/1p53T2AuvvIqhP7Nf-bo3Uhj8cbKYRPpZdsrBv"&amp;"3x3bAQ/edit?resourcekey#gid=1321652304"",""Prop!$CM$1:$CX""),12,0),iferror(vlookup(B15,importrange(""https://docs.google.com/spreadsheets/d/1p53T2AuvvIqhP7Nf-bo3Uhj8cbKYRPpZdsrBv3x3bAQ/edit?resourcekey#gid=1321652304"",""Prop!$CY$1:$DI""),11,0)))))))))))"),"https://drive.google.com/open?id=1hJkv_TsPlzUpYgNgBnLqmEEVnYrlS5Lb")</f>
        <v>https://drive.google.com/open?id=1hJkv_TsPlzUpYgNgBnLqmEEVnYrlS5Lb</v>
      </c>
      <c r="R15" s="88" t="s">
        <v>1185</v>
      </c>
      <c r="S15" s="20" t="str">
        <f ca="1">IFERROR(__xludf.DUMMYFUNCTION("IFERROR(vlookup(B15,IMPORTRANGE(""https://docs.google.com/spreadsheets/d/1g_jfYYK_KeipEDNDUgqgrsxK94XiocfNQIcP-v1QVhI/edit?resourcekey#gid=233272945"",""Nilai!B:CT""),86,0),"" "")"),"halaman kanan bawah hapus; lembar pernyataan beri materai")</f>
        <v>halaman kanan bawah hapus; lembar pernyataan beri materai</v>
      </c>
      <c r="T15" s="20" t="str">
        <f ca="1">IFERROR(__xludf.DUMMYFUNCTION("IFERROR(vlookup(B15,IMPORTRANGE(""https://docs.google.com/spreadsheets/d/1g_jfYYK_KeipEDNDUgqgrsxK94XiocfNQIcP-v1QVhI/edit?resourcekey#gid=233272945"",""Nilai!B:CT""),97,0),"" "")"),"LAYAK UPLOAD KE SIMBELMAWA DENGAN REVISI")</f>
        <v>LAYAK UPLOAD KE SIMBELMAWA DENGAN REVISI</v>
      </c>
      <c r="U15" s="1" t="s">
        <v>786</v>
      </c>
      <c r="V15" s="1" t="s">
        <v>786</v>
      </c>
      <c r="W15" s="17" t="s">
        <v>1192</v>
      </c>
      <c r="X15" s="19" t="b">
        <v>0</v>
      </c>
    </row>
    <row r="16" spans="1:24">
      <c r="A16" s="15">
        <v>14</v>
      </c>
      <c r="B16" s="15">
        <f ca="1">IFERROR(__xludf.DUMMYFUNCTION("""COMPUTED_VALUE"""),3540)</f>
        <v>3540</v>
      </c>
      <c r="C16" s="16" t="str">
        <f ca="1">IFERROR(__xludf.DUMMYFUNCTION("""COMPUTED_VALUE"""),"ALIF PRANADETHA")</f>
        <v>ALIF PRANADETHA</v>
      </c>
      <c r="D16" s="16" t="str">
        <f ca="1">IFERROR(__xludf.DUMMYFUNCTION("""COMPUTED_VALUE"""),"08211840000086")</f>
        <v>08211840000086</v>
      </c>
      <c r="E16" s="16" t="str">
        <f ca="1">IFERROR(__xludf.DUMMYFUNCTION("""COMPUTED_VALUE"""),"Departemen Perencanaan Wilayah dan Kota")</f>
        <v>Departemen Perencanaan Wilayah dan Kota</v>
      </c>
      <c r="F16" s="16" t="str">
        <f ca="1">IFERROR(__xludf.DUMMYFUNCTION("""COMPUTED_VALUE"""),"Potensi Implementasi Konsep Compact City pada Kecamatan Waru Kabupaten Sidoarjo Berdasarkan Preferensi Stakeholder Kunci")</f>
        <v>Potensi Implementasi Konsep Compact City pada Kecamatan Waru Kabupaten Sidoarjo Berdasarkan Preferensi Stakeholder Kunci</v>
      </c>
      <c r="G16" s="16" t="str">
        <f ca="1">IFERROR(__xludf.DUMMYFUNCTION("""COMPUTED_VALUE"""),"Mochamad Yusuf, S.T., M.Sc.")</f>
        <v>Mochamad Yusuf, S.T., M.Sc.</v>
      </c>
      <c r="H16" s="16" t="str">
        <f ca="1">IFERROR(__xludf.DUMMYFUNCTION("""COMPUTED_VALUE"""),"Muchammad Nurif, S.E., M.T.")</f>
        <v>Muchammad Nurif, S.E., M.T.</v>
      </c>
      <c r="I16" s="16" t="str">
        <f ca="1">IFERROR(__xludf.DUMMYFUNCTION("""COMPUTED_VALUE"""),"Mukhammad Muryono, S.Si., M.Si., Ph.D.")</f>
        <v>Mukhammad Muryono, S.Si., M.Si., Ph.D.</v>
      </c>
      <c r="J16" s="16"/>
      <c r="K16" s="17" t="s">
        <v>1190</v>
      </c>
      <c r="L16" s="17" t="s">
        <v>1191</v>
      </c>
      <c r="M16" s="19" t="b">
        <v>0</v>
      </c>
      <c r="N16" s="19" t="b">
        <v>0</v>
      </c>
      <c r="O16" s="19" t="b">
        <v>0</v>
      </c>
      <c r="P16" s="1" t="str">
        <f ca="1">IFERROR(__xludf.DUMMYFUNCTION("iferror(vlookup(B16,importrange(""https://docs.google.com/spreadsheets/d/1boHyJQ4e2FU0QG8MHwEi6qjX4hvZWVCHcFfXjq7bbMc/edit?resourcekey#gid=923248883"",""Prop!$C$1:$M""),12,0),IFERROR(vlookup(B16,importrange(""https://docs.google.com/spreadsheets/d/1boHyJQ"&amp;"4e2FU0QG8MHwEi6qjX4hvZWVCHcFfXjq7bbMc/edit?resourcekey#gid=923248883"",""Prop!$N$1:$X""),11,0),iferror(vlookup(B16,importrange(""https://docs.google.com/spreadsheets/d/1boHyJQ4e2FU0QG8MHwEi6qjX4hvZWVCHcFfXjq7bbMc/edit?resourcekey#gid=923248883"",""Prop!$Y"&amp;"$1:$AI""),11,0),iferror(vlookup(B16,importrange(""https://docs.google.com/spreadsheets/d/1boHyJQ4e2FU0QG8MHwEi6qjX4hvZWVCHcFfXjq7bbMc/edit?resourcekey#gid=923248883"",""Prop!$AJ$1:$AT""),11,0),iferror(vlookup(B16,importrange(""https://docs.google.com/spre"&amp;"adsheets/d/1boHyJQ4e2FU0QG8MHwEi6qjX4hvZWVCHcFfXjq7bbMc/edit?resourcekey#gid=923248883"",""Prop!$AU$1:$BE""),11,0),iferror(vlookup(B16,importrange(""https://docs.google.com/spreadsheets/d/1boHyJQ4e2FU0QG8MHwEi6qjX4hvZWVCHcFfXjq7bbMc/edit?resourcekey#gid=9"&amp;"23248883"",""Prop!$BF$1:$BP""),11,0),iferror(vlookup(B16,importrange(""https://docs.google.com/spreadsheets/d/1boHyJQ4e2FU0QG8MHwEi6qjX4hvZWVCHcFfXjq7bbMc/edit?resourcekey#gid=923248883"",""Prop!$BQ$1:$CA""),11,0),iferror(vlookup(B16,importrange(""https:/"&amp;"/docs.google.com/spreadsheets/d/1boHyJQ4e2FU0QG8MHwEi6qjX4hvZWVCHcFfXjq7bbMc/edit?resourcekey#gid=923248883"",""Prop!$CB$1:$CL""),11,0),iferror(vlookup(B16,importrange(""https://docs.google.com/spreadsheets/d/1boHyJQ4e2FU0QG8MHwEi6qjX4hvZWVCHcFfXjq7bbMc/e"&amp;"dit?resourcekey#gid=923248883"",""Prop!$CM$1:$CX""),12,0),iferror(vlookup(B16,importrange(""https://docs.google.com/spreadsheets/d/1boHyJQ4e2FU0QG8MHwEi6qjX4hvZWVCHcFfXjq7bbMc/edit?resourcekey#gid=923248883"",""Prop!$CV$1:$DI""),11,0)))))))))))"),"")</f>
        <v/>
      </c>
      <c r="Q16" s="1" t="str">
        <f ca="1">IFERROR(__xludf.DUMMYFUNCTION("iferror(vlookup(B16,importrange(""https://docs.google.com/spreadsheets/d/1p53T2AuvvIqhP7Nf-bo3Uhj8cbKYRPpZdsrBv3x3bAQ/edit?resourcekey#gid=1321652304"",""Prop!$C$1:$M""),11,0),IFERROR(vlookup(B16,importrange(""https://docs.google.com/spreadsheets/d/1p53T2"&amp;"AuvvIqhP7Nf-bo3Uhj8cbKYRPpZdsrBv3x3bAQ/edit?resourcekey#gid=1321652304"",""Prop!$N$1:$X""),11,0),iferror(vlookup(B16,importrange(""https://docs.google.com/spreadsheets/d/1p53T2AuvvIqhP7Nf-bo3Uhj8cbKYRPpZdsrBv3x3bAQ/edit?resourcekey#gid=1321652304"",""Prop"&amp;"!$Y$1:$AI""),11,0),iferror(vlookup(B16,importrange(""https://docs.google.com/spreadsheets/d/1p53T2AuvvIqhP7Nf-bo3Uhj8cbKYRPpZdsrBv3x3bAQ/edit?resourcekey#gid=1321652304"",""Prop!$AJ$1:$AT""),11,0),iferror(vlookup(B16,importrange(""https://docs.google.com/"&amp;"spreadsheets/d/1p53T2AuvvIqhP7Nf-bo3Uhj8cbKYRPpZdsrBv3x3bAQ/edit?resourcekey#gid=1321652304"",""Prop!$AU$1:$BE""),11,0),iferror(vlookup(B16,importrange(""https://docs.google.com/spreadsheets/d/1p53T2AuvvIqhP7Nf-bo3Uhj8cbKYRPpZdsrBv3x3bAQ/edit?resourcekey#"&amp;"gid=1321652304"",""Prop!$BF$1:$BP""),11,0),iferror(vlookup(B16,importrange(""https://docs.google.com/spreadsheets/d/1p53T2AuvvIqhP7Nf-bo3Uhj8cbKYRPpZdsrBv3x3bAQ/edit?resourcekey#gid=1321652304"",""Prop!$BQ$1:$CA""),11,0),iferror(vlookup(B16,importrange("""&amp;"https://docs.google.com/spreadsheets/d/1p53T2AuvvIqhP7Nf-bo3Uhj8cbKYRPpZdsrBv3x3bAQ/edit?resourcekey#gid=1321652304"",""Prop!$CB$1:$CL""),11,0),iferror(vlookup(B16,importrange(""https://docs.google.com/spreadsheets/d/1p53T2AuvvIqhP7Nf-bo3Uhj8cbKYRPpZdsrBv"&amp;"3x3bAQ/edit?resourcekey#gid=1321652304"",""Prop!$CM$1:$CX""),12,0),iferror(vlookup(B16,importrange(""https://docs.google.com/spreadsheets/d/1p53T2AuvvIqhP7Nf-bo3Uhj8cbKYRPpZdsrBv3x3bAQ/edit?resourcekey#gid=1321652304"",""Prop!$CY$1:$DI""),11,0)))))))))))"),"")</f>
        <v/>
      </c>
      <c r="R16" s="88" t="s">
        <v>1185</v>
      </c>
      <c r="S16" s="20" t="str">
        <f ca="1">IFERROR(__xludf.DUMMYFUNCTION("IFERROR(vlookup(B16,IMPORTRANGE(""https://docs.google.com/spreadsheets/d/1g_jfYYK_KeipEDNDUgqgrsxK94XiocfNQIcP-v1QVhI/edit?resourcekey#gid=233272945"",""Nilai!B:CT""),86,0),"" "")")," ")</f>
        <v xml:space="preserve"> </v>
      </c>
      <c r="T16" s="20" t="str">
        <f ca="1">IFERROR(__xludf.DUMMYFUNCTION("IFERROR(vlookup(B16,IMPORTRANGE(""https://docs.google.com/spreadsheets/d/1g_jfYYK_KeipEDNDUgqgrsxK94XiocfNQIcP-v1QVhI/edit?resourcekey#gid=233272945"",""Nilai!B:CT""),97,0),"" "")")," ")</f>
        <v xml:space="preserve"> </v>
      </c>
      <c r="U16" s="1" t="s">
        <v>786</v>
      </c>
      <c r="V16" s="1" t="s">
        <v>786</v>
      </c>
      <c r="W16" s="17" t="s">
        <v>1192</v>
      </c>
      <c r="X16" s="19" t="b">
        <v>0</v>
      </c>
    </row>
    <row r="17" spans="1:24">
      <c r="A17" s="15">
        <v>15</v>
      </c>
      <c r="B17" s="15">
        <f ca="1">IFERROR(__xludf.DUMMYFUNCTION("""COMPUTED_VALUE"""),2166)</f>
        <v>2166</v>
      </c>
      <c r="C17" s="16" t="str">
        <f ca="1">IFERROR(__xludf.DUMMYFUNCTION("""COMPUTED_VALUE"""),"Alfian Mahfudin")</f>
        <v>Alfian Mahfudin</v>
      </c>
      <c r="D17" s="16" t="str">
        <f ca="1">IFERROR(__xludf.DUMMYFUNCTION("""COMPUTED_VALUE"""),"08211840000010")</f>
        <v>08211840000010</v>
      </c>
      <c r="E17" s="16" t="str">
        <f ca="1">IFERROR(__xludf.DUMMYFUNCTION("""COMPUTED_VALUE"""),"Departemen Perencanaan Wilayah dan Kota")</f>
        <v>Departemen Perencanaan Wilayah dan Kota</v>
      </c>
      <c r="F17" s="16" t="str">
        <f ca="1">IFERROR(__xludf.DUMMYFUNCTION("""COMPUTED_VALUE"""),"Zonasi Tata Ruang Terintegrasi melalui Pendekatan Telapak Ekologis dan Expert Judgment untuk Menjaga Keseimbangan Daya Dukung Lingkungan di Kabupaten Lamongan
")</f>
        <v xml:space="preserve">Zonasi Tata Ruang Terintegrasi melalui Pendekatan Telapak Ekologis dan Expert Judgment untuk Menjaga Keseimbangan Daya Dukung Lingkungan di Kabupaten Lamongan
</v>
      </c>
      <c r="G17" s="16" t="str">
        <f ca="1">IFERROR(__xludf.DUMMYFUNCTION("""COMPUTED_VALUE"""),"Ummi Fadlilah Kurniawati, ST, M.Sc")</f>
        <v>Ummi Fadlilah Kurniawati, ST, M.Sc</v>
      </c>
      <c r="H17" s="16" t="str">
        <f ca="1">IFERROR(__xludf.DUMMYFUNCTION("""COMPUTED_VALUE"""),"Dr. Soedarso, S.S., M.Hum.")</f>
        <v>Dr. Soedarso, S.S., M.Hum.</v>
      </c>
      <c r="I17" s="16" t="str">
        <f ca="1">IFERROR(__xludf.DUMMYFUNCTION("""COMPUTED_VALUE"""),"Adi Suryani, S.S., M.ED(LM)., Ph.D.")</f>
        <v>Adi Suryani, S.S., M.ED(LM)., Ph.D.</v>
      </c>
      <c r="J17" s="16"/>
      <c r="K17" s="17" t="s">
        <v>1190</v>
      </c>
      <c r="L17" s="17" t="s">
        <v>1191</v>
      </c>
      <c r="M17" s="19" t="b">
        <v>1</v>
      </c>
      <c r="N17" s="19" t="b">
        <v>1</v>
      </c>
      <c r="O17" s="19" t="b">
        <v>1</v>
      </c>
      <c r="P17" s="7" t="str">
        <f ca="1">IFERROR(__xludf.DUMMYFUNCTION("iferror(vlookup(B17,importrange(""https://docs.google.com/spreadsheets/d/1boHyJQ4e2FU0QG8MHwEi6qjX4hvZWVCHcFfXjq7bbMc/edit?resourcekey#gid=923248883"",""Prop!$C$1:$M""),12,0),IFERROR(vlookup(B17,importrange(""https://docs.google.com/spreadsheets/d/1boHyJQ"&amp;"4e2FU0QG8MHwEi6qjX4hvZWVCHcFfXjq7bbMc/edit?resourcekey#gid=923248883"",""Prop!$N$1:$X""),11,0),iferror(vlookup(B17,importrange(""https://docs.google.com/spreadsheets/d/1boHyJQ4e2FU0QG8MHwEi6qjX4hvZWVCHcFfXjq7bbMc/edit?resourcekey#gid=923248883"",""Prop!$Y"&amp;"$1:$AI""),11,0),iferror(vlookup(B17,importrange(""https://docs.google.com/spreadsheets/d/1boHyJQ4e2FU0QG8MHwEi6qjX4hvZWVCHcFfXjq7bbMc/edit?resourcekey#gid=923248883"",""Prop!$AJ$1:$AT""),11,0),iferror(vlookup(B17,importrange(""https://docs.google.com/spre"&amp;"adsheets/d/1boHyJQ4e2FU0QG8MHwEi6qjX4hvZWVCHcFfXjq7bbMc/edit?resourcekey#gid=923248883"",""Prop!$AU$1:$BE""),11,0),iferror(vlookup(B17,importrange(""https://docs.google.com/spreadsheets/d/1boHyJQ4e2FU0QG8MHwEi6qjX4hvZWVCHcFfXjq7bbMc/edit?resourcekey#gid=9"&amp;"23248883"",""Prop!$BF$1:$BP""),11,0),iferror(vlookup(B17,importrange(""https://docs.google.com/spreadsheets/d/1boHyJQ4e2FU0QG8MHwEi6qjX4hvZWVCHcFfXjq7bbMc/edit?resourcekey#gid=923248883"",""Prop!$BQ$1:$CA""),11,0),iferror(vlookup(B17,importrange(""https:/"&amp;"/docs.google.com/spreadsheets/d/1boHyJQ4e2FU0QG8MHwEi6qjX4hvZWVCHcFfXjq7bbMc/edit?resourcekey#gid=923248883"",""Prop!$CB$1:$CL""),11,0),iferror(vlookup(B17,importrange(""https://docs.google.com/spreadsheets/d/1boHyJQ4e2FU0QG8MHwEi6qjX4hvZWVCHcFfXjq7bbMc/e"&amp;"dit?resourcekey#gid=923248883"",""Prop!$CM$1:$CX""),12,0),iferror(vlookup(B17,importrange(""https://docs.google.com/spreadsheets/d/1boHyJQ4e2FU0QG8MHwEi6qjX4hvZWVCHcFfXjq7bbMc/edit?resourcekey#gid=923248883"",""Prop!$CV$1:$DI""),11,0)))))))))))"),"https://drive.google.com/open?id=1Plo-tbSQJGk4iio7iMZ9bdMGh1cfQvuc")</f>
        <v>https://drive.google.com/open?id=1Plo-tbSQJGk4iio7iMZ9bdMGh1cfQvuc</v>
      </c>
      <c r="Q17" s="7" t="str">
        <f ca="1">IFERROR(__xludf.DUMMYFUNCTION("iferror(vlookup(B17,importrange(""https://docs.google.com/spreadsheets/d/1p53T2AuvvIqhP7Nf-bo3Uhj8cbKYRPpZdsrBv3x3bAQ/edit?resourcekey#gid=1321652304"",""Prop!$C$1:$M""),11,0),IFERROR(vlookup(B17,importrange(""https://docs.google.com/spreadsheets/d/1p53T2"&amp;"AuvvIqhP7Nf-bo3Uhj8cbKYRPpZdsrBv3x3bAQ/edit?resourcekey#gid=1321652304"",""Prop!$N$1:$X""),11,0),iferror(vlookup(B17,importrange(""https://docs.google.com/spreadsheets/d/1p53T2AuvvIqhP7Nf-bo3Uhj8cbKYRPpZdsrBv3x3bAQ/edit?resourcekey#gid=1321652304"",""Prop"&amp;"!$Y$1:$AI""),11,0),iferror(vlookup(B17,importrange(""https://docs.google.com/spreadsheets/d/1p53T2AuvvIqhP7Nf-bo3Uhj8cbKYRPpZdsrBv3x3bAQ/edit?resourcekey#gid=1321652304"",""Prop!$AJ$1:$AT""),11,0),iferror(vlookup(B17,importrange(""https://docs.google.com/"&amp;"spreadsheets/d/1p53T2AuvvIqhP7Nf-bo3Uhj8cbKYRPpZdsrBv3x3bAQ/edit?resourcekey#gid=1321652304"",""Prop!$AU$1:$BE""),11,0),iferror(vlookup(B17,importrange(""https://docs.google.com/spreadsheets/d/1p53T2AuvvIqhP7Nf-bo3Uhj8cbKYRPpZdsrBv3x3bAQ/edit?resourcekey#"&amp;"gid=1321652304"",""Prop!$BF$1:$BP""),11,0),iferror(vlookup(B17,importrange(""https://docs.google.com/spreadsheets/d/1p53T2AuvvIqhP7Nf-bo3Uhj8cbKYRPpZdsrBv3x3bAQ/edit?resourcekey#gid=1321652304"",""Prop!$BQ$1:$CA""),11,0),iferror(vlookup(B17,importrange("""&amp;"https://docs.google.com/spreadsheets/d/1p53T2AuvvIqhP7Nf-bo3Uhj8cbKYRPpZdsrBv3x3bAQ/edit?resourcekey#gid=1321652304"",""Prop!$CB$1:$CL""),11,0),iferror(vlookup(B17,importrange(""https://docs.google.com/spreadsheets/d/1p53T2AuvvIqhP7Nf-bo3Uhj8cbKYRPpZdsrBv"&amp;"3x3bAQ/edit?resourcekey#gid=1321652304"",""Prop!$CM$1:$CX""),12,0),iferror(vlookup(B17,importrange(""https://docs.google.com/spreadsheets/d/1p53T2AuvvIqhP7Nf-bo3Uhj8cbKYRPpZdsrBv3x3bAQ/edit?resourcekey#gid=1321652304"",""Prop!$CY$1:$DI""),11,0)))))))))))"),"https://drive.google.com/open?id=1khuaTrfgX09AswDfhrUjfIdiIsIrDiCD")</f>
        <v>https://drive.google.com/open?id=1khuaTrfgX09AswDfhrUjfIdiIsIrDiCD</v>
      </c>
      <c r="R17" s="88" t="s">
        <v>1185</v>
      </c>
      <c r="S17" s="20" t="str">
        <f ca="1">IFERROR(__xludf.DUMMYFUNCTION("IFERROR(vlookup(B17,IMPORTRANGE(""https://docs.google.com/spreadsheets/d/1g_jfYYK_KeipEDNDUgqgrsxK94XiocfNQIcP-v1QVhI/edit?resourcekey#gid=233272945"",""Nilai!B:CT""),86,0),"" "")"),"1. unsur RSH kurang terlihat dalam riset ini")</f>
        <v>1. unsur RSH kurang terlihat dalam riset ini</v>
      </c>
      <c r="T17" s="20" t="str">
        <f ca="1">IFERROR(__xludf.DUMMYFUNCTION("IFERROR(vlookup(B17,IMPORTRANGE(""https://docs.google.com/spreadsheets/d/1g_jfYYK_KeipEDNDUgqgrsxK94XiocfNQIcP-v1QVhI/edit?resourcekey#gid=233272945"",""Nilai!B:CT""),97,0),"" "")"),"TIDAK LAYAK UPLOAD KE SIMBELMAWA")</f>
        <v>TIDAK LAYAK UPLOAD KE SIMBELMAWA</v>
      </c>
      <c r="U17" s="1" t="s">
        <v>786</v>
      </c>
      <c r="V17" s="1" t="s">
        <v>786</v>
      </c>
      <c r="W17" s="17" t="s">
        <v>1192</v>
      </c>
      <c r="X17" s="19" t="b">
        <v>1</v>
      </c>
    </row>
    <row r="18" spans="1:24">
      <c r="A18" s="15">
        <v>16</v>
      </c>
      <c r="B18" s="15">
        <f ca="1">IFERROR(__xludf.DUMMYFUNCTION("""COMPUTED_VALUE"""),3626)</f>
        <v>3626</v>
      </c>
      <c r="C18" s="16" t="str">
        <f ca="1">IFERROR(__xludf.DUMMYFUNCTION("""COMPUTED_VALUE"""),"Septian Chandra Susanto")</f>
        <v>Septian Chandra Susanto</v>
      </c>
      <c r="D18" s="16" t="str">
        <f ca="1">IFERROR(__xludf.DUMMYFUNCTION("""COMPUTED_VALUE"""),"08211840000001")</f>
        <v>08211840000001</v>
      </c>
      <c r="E18" s="16" t="str">
        <f ca="1">IFERROR(__xludf.DUMMYFUNCTION("""COMPUTED_VALUE"""),"Departemen Perencanaan Wilayah dan Kota")</f>
        <v>Departemen Perencanaan Wilayah dan Kota</v>
      </c>
      <c r="F18" s="16" t="str">
        <f ca="1">IFERROR(__xludf.DUMMYFUNCTION("""COMPUTED_VALUE"""),"Pola Pengelolaan Ruang Terbuka Publik terhadap Biological Hazard")</f>
        <v>Pola Pengelolaan Ruang Terbuka Publik terhadap Biological Hazard</v>
      </c>
      <c r="G18" s="16" t="str">
        <f ca="1">IFERROR(__xludf.DUMMYFUNCTION("""COMPUTED_VALUE"""),"Adjie Pamungkas, S.T., M.Dev.Plg., Ph.D.")</f>
        <v>Adjie Pamungkas, S.T., M.Dev.Plg., Ph.D.</v>
      </c>
      <c r="H18" s="16" t="str">
        <f ca="1">IFERROR(__xludf.DUMMYFUNCTION("""COMPUTED_VALUE"""),"Mochamad Yusuf, S.T., M.Sc.")</f>
        <v>Mochamad Yusuf, S.T., M.Sc.</v>
      </c>
      <c r="I18" s="16" t="str">
        <f ca="1">IFERROR(__xludf.DUMMYFUNCTION("""COMPUTED_VALUE"""),"Bahalwan Apriyansyah, S.T., MBA.")</f>
        <v>Bahalwan Apriyansyah, S.T., MBA.</v>
      </c>
      <c r="J18" s="16"/>
      <c r="K18" s="17" t="s">
        <v>1190</v>
      </c>
      <c r="L18" s="17" t="s">
        <v>1193</v>
      </c>
      <c r="M18" s="19" t="b">
        <v>0</v>
      </c>
      <c r="N18" s="19" t="b">
        <v>0</v>
      </c>
      <c r="O18" s="19" t="b">
        <v>0</v>
      </c>
      <c r="P18" s="1" t="str">
        <f ca="1">IFERROR(__xludf.DUMMYFUNCTION("iferror(vlookup(B18,importrange(""https://docs.google.com/spreadsheets/d/1boHyJQ4e2FU0QG8MHwEi6qjX4hvZWVCHcFfXjq7bbMc/edit?resourcekey#gid=923248883"",""Prop!$C$1:$M""),12,0),IFERROR(vlookup(B18,importrange(""https://docs.google.com/spreadsheets/d/1boHyJQ"&amp;"4e2FU0QG8MHwEi6qjX4hvZWVCHcFfXjq7bbMc/edit?resourcekey#gid=923248883"",""Prop!$N$1:$X""),11,0),iferror(vlookup(B18,importrange(""https://docs.google.com/spreadsheets/d/1boHyJQ4e2FU0QG8MHwEi6qjX4hvZWVCHcFfXjq7bbMc/edit?resourcekey#gid=923248883"",""Prop!$Y"&amp;"$1:$AI""),11,0),iferror(vlookup(B18,importrange(""https://docs.google.com/spreadsheets/d/1boHyJQ4e2FU0QG8MHwEi6qjX4hvZWVCHcFfXjq7bbMc/edit?resourcekey#gid=923248883"",""Prop!$AJ$1:$AT""),11,0),iferror(vlookup(B18,importrange(""https://docs.google.com/spre"&amp;"adsheets/d/1boHyJQ4e2FU0QG8MHwEi6qjX4hvZWVCHcFfXjq7bbMc/edit?resourcekey#gid=923248883"",""Prop!$AU$1:$BE""),11,0),iferror(vlookup(B18,importrange(""https://docs.google.com/spreadsheets/d/1boHyJQ4e2FU0QG8MHwEi6qjX4hvZWVCHcFfXjq7bbMc/edit?resourcekey#gid=9"&amp;"23248883"",""Prop!$BF$1:$BP""),11,0),iferror(vlookup(B18,importrange(""https://docs.google.com/spreadsheets/d/1boHyJQ4e2FU0QG8MHwEi6qjX4hvZWVCHcFfXjq7bbMc/edit?resourcekey#gid=923248883"",""Prop!$BQ$1:$CA""),11,0),iferror(vlookup(B18,importrange(""https:/"&amp;"/docs.google.com/spreadsheets/d/1boHyJQ4e2FU0QG8MHwEi6qjX4hvZWVCHcFfXjq7bbMc/edit?resourcekey#gid=923248883"",""Prop!$CB$1:$CL""),11,0),iferror(vlookup(B18,importrange(""https://docs.google.com/spreadsheets/d/1boHyJQ4e2FU0QG8MHwEi6qjX4hvZWVCHcFfXjq7bbMc/e"&amp;"dit?resourcekey#gid=923248883"",""Prop!$CM$1:$CX""),12,0),iferror(vlookup(B18,importrange(""https://docs.google.com/spreadsheets/d/1boHyJQ4e2FU0QG8MHwEi6qjX4hvZWVCHcFfXjq7bbMc/edit?resourcekey#gid=923248883"",""Prop!$CV$1:$DI""),11,0)))))))))))"),"")</f>
        <v/>
      </c>
      <c r="Q18" s="1" t="str">
        <f ca="1">IFERROR(__xludf.DUMMYFUNCTION("iferror(vlookup(B18,importrange(""https://docs.google.com/spreadsheets/d/1p53T2AuvvIqhP7Nf-bo3Uhj8cbKYRPpZdsrBv3x3bAQ/edit?resourcekey#gid=1321652304"",""Prop!$C$1:$M""),11,0),IFERROR(vlookup(B18,importrange(""https://docs.google.com/spreadsheets/d/1p53T2"&amp;"AuvvIqhP7Nf-bo3Uhj8cbKYRPpZdsrBv3x3bAQ/edit?resourcekey#gid=1321652304"",""Prop!$N$1:$X""),11,0),iferror(vlookup(B18,importrange(""https://docs.google.com/spreadsheets/d/1p53T2AuvvIqhP7Nf-bo3Uhj8cbKYRPpZdsrBv3x3bAQ/edit?resourcekey#gid=1321652304"",""Prop"&amp;"!$Y$1:$AI""),11,0),iferror(vlookup(B18,importrange(""https://docs.google.com/spreadsheets/d/1p53T2AuvvIqhP7Nf-bo3Uhj8cbKYRPpZdsrBv3x3bAQ/edit?resourcekey#gid=1321652304"",""Prop!$AJ$1:$AT""),11,0),iferror(vlookup(B18,importrange(""https://docs.google.com/"&amp;"spreadsheets/d/1p53T2AuvvIqhP7Nf-bo3Uhj8cbKYRPpZdsrBv3x3bAQ/edit?resourcekey#gid=1321652304"",""Prop!$AU$1:$BE""),11,0),iferror(vlookup(B18,importrange(""https://docs.google.com/spreadsheets/d/1p53T2AuvvIqhP7Nf-bo3Uhj8cbKYRPpZdsrBv3x3bAQ/edit?resourcekey#"&amp;"gid=1321652304"",""Prop!$BF$1:$BP""),11,0),iferror(vlookup(B18,importrange(""https://docs.google.com/spreadsheets/d/1p53T2AuvvIqhP7Nf-bo3Uhj8cbKYRPpZdsrBv3x3bAQ/edit?resourcekey#gid=1321652304"",""Prop!$BQ$1:$CA""),11,0),iferror(vlookup(B18,importrange("""&amp;"https://docs.google.com/spreadsheets/d/1p53T2AuvvIqhP7Nf-bo3Uhj8cbKYRPpZdsrBv3x3bAQ/edit?resourcekey#gid=1321652304"",""Prop!$CB$1:$CL""),11,0),iferror(vlookup(B18,importrange(""https://docs.google.com/spreadsheets/d/1p53T2AuvvIqhP7Nf-bo3Uhj8cbKYRPpZdsrBv"&amp;"3x3bAQ/edit?resourcekey#gid=1321652304"",""Prop!$CM$1:$CX""),12,0),iferror(vlookup(B18,importrange(""https://docs.google.com/spreadsheets/d/1p53T2AuvvIqhP7Nf-bo3Uhj8cbKYRPpZdsrBv3x3bAQ/edit?resourcekey#gid=1321652304"",""Prop!$CY$1:$DI""),11,0)))))))))))"),"")</f>
        <v/>
      </c>
      <c r="R18" s="88" t="s">
        <v>1185</v>
      </c>
      <c r="S18" s="20" t="str">
        <f ca="1">IFERROR(__xludf.DUMMYFUNCTION("IFERROR(vlookup(B18,IMPORTRANGE(""https://docs.google.com/spreadsheets/d/1g_jfYYK_KeipEDNDUgqgrsxK94XiocfNQIcP-v1QVhI/edit?resourcekey#gid=233272945"",""Nilai!B:CT""),86,0),"" "")")," ")</f>
        <v xml:space="preserve"> </v>
      </c>
      <c r="T18" s="20" t="str">
        <f ca="1">IFERROR(__xludf.DUMMYFUNCTION("IFERROR(vlookup(B18,IMPORTRANGE(""https://docs.google.com/spreadsheets/d/1g_jfYYK_KeipEDNDUgqgrsxK94XiocfNQIcP-v1QVhI/edit?resourcekey#gid=233272945"",""Nilai!B:CT""),97,0),"" "")")," ")</f>
        <v xml:space="preserve"> </v>
      </c>
      <c r="U18" s="1" t="s">
        <v>786</v>
      </c>
      <c r="V18" s="1" t="s">
        <v>786</v>
      </c>
      <c r="W18" s="17" t="s">
        <v>1192</v>
      </c>
      <c r="X18" s="19" t="b">
        <v>0</v>
      </c>
    </row>
    <row r="19" spans="1:24">
      <c r="A19" s="15">
        <v>17</v>
      </c>
      <c r="B19" s="15">
        <f ca="1">IFERROR(__xludf.DUMMYFUNCTION("""COMPUTED_VALUE"""),2111)</f>
        <v>2111</v>
      </c>
      <c r="C19" s="16" t="str">
        <f ca="1">IFERROR(__xludf.DUMMYFUNCTION("""COMPUTED_VALUE"""),"MARIA ULFA YANUAR")</f>
        <v>MARIA ULFA YANUAR</v>
      </c>
      <c r="D19" s="16" t="str">
        <f ca="1">IFERROR(__xludf.DUMMYFUNCTION("""COMPUTED_VALUE"""),"10611910000011")</f>
        <v>10611910000011</v>
      </c>
      <c r="E19" s="16" t="str">
        <f ca="1">IFERROR(__xludf.DUMMYFUNCTION("""COMPUTED_VALUE"""),"Departemen Statistika Bisnis")</f>
        <v>Departemen Statistika Bisnis</v>
      </c>
      <c r="F19" s="16" t="str">
        <f ca="1">IFERROR(__xludf.DUMMYFUNCTION("""COMPUTED_VALUE"""),"Preferensi Siswa SD dalam Melakukan Pembelajaran Tatap Muka dan Daring Sebagai Upaya Evaluasi Pembelajaran yang Dilakukan Sekolah di Era Pandemi")</f>
        <v>Preferensi Siswa SD dalam Melakukan Pembelajaran Tatap Muka dan Daring Sebagai Upaya Evaluasi Pembelajaran yang Dilakukan Sekolah di Era Pandemi</v>
      </c>
      <c r="G19" s="16" t="str">
        <f ca="1">IFERROR(__xludf.DUMMYFUNCTION("""COMPUTED_VALUE"""),"Iis Dewi Ratih, S.Si., M.Si.")</f>
        <v>Iis Dewi Ratih, S.Si., M.Si.</v>
      </c>
      <c r="H19" s="16" t="str">
        <f ca="1">IFERROR(__xludf.DUMMYFUNCTION("""COMPUTED_VALUE"""),"Mochamad Yusuf, S.T., M.Sc.")</f>
        <v>Mochamad Yusuf, S.T., M.Sc.</v>
      </c>
      <c r="I19" s="16" t="str">
        <f ca="1">IFERROR(__xludf.DUMMYFUNCTION("""COMPUTED_VALUE"""),"Mahardika F. Rois, S.T, M.T")</f>
        <v>Mahardika F. Rois, S.T, M.T</v>
      </c>
      <c r="J19" s="16" t="str">
        <f ca="1">IFERROR(__xludf.DUMMYFUNCTION("""COMPUTED_VALUE"""),"Putu Gde Ariastita, S.T., M.T.")</f>
        <v>Putu Gde Ariastita, S.T., M.T.</v>
      </c>
      <c r="K19" s="17" t="s">
        <v>1190</v>
      </c>
      <c r="L19" s="17" t="s">
        <v>1194</v>
      </c>
      <c r="M19" s="19" t="b">
        <v>1</v>
      </c>
      <c r="N19" s="19" t="b">
        <v>1</v>
      </c>
      <c r="O19" s="19" t="b">
        <v>1</v>
      </c>
      <c r="P19" s="7" t="str">
        <f ca="1">IFERROR(__xludf.DUMMYFUNCTION("iferror(vlookup(B19,importrange(""https://docs.google.com/spreadsheets/d/1boHyJQ4e2FU0QG8MHwEi6qjX4hvZWVCHcFfXjq7bbMc/edit?resourcekey#gid=923248883"",""Prop!$C$1:$M""),12,0),IFERROR(vlookup(B19,importrange(""https://docs.google.com/spreadsheets/d/1boHyJQ"&amp;"4e2FU0QG8MHwEi6qjX4hvZWVCHcFfXjq7bbMc/edit?resourcekey#gid=923248883"",""Prop!$N$1:$X""),11,0),iferror(vlookup(B19,importrange(""https://docs.google.com/spreadsheets/d/1boHyJQ4e2FU0QG8MHwEi6qjX4hvZWVCHcFfXjq7bbMc/edit?resourcekey#gid=923248883"",""Prop!$Y"&amp;"$1:$AI""),11,0),iferror(vlookup(B19,importrange(""https://docs.google.com/spreadsheets/d/1boHyJQ4e2FU0QG8MHwEi6qjX4hvZWVCHcFfXjq7bbMc/edit?resourcekey#gid=923248883"",""Prop!$AJ$1:$AT""),11,0),iferror(vlookup(B19,importrange(""https://docs.google.com/spre"&amp;"adsheets/d/1boHyJQ4e2FU0QG8MHwEi6qjX4hvZWVCHcFfXjq7bbMc/edit?resourcekey#gid=923248883"",""Prop!$AU$1:$BE""),11,0),iferror(vlookup(B19,importrange(""https://docs.google.com/spreadsheets/d/1boHyJQ4e2FU0QG8MHwEi6qjX4hvZWVCHcFfXjq7bbMc/edit?resourcekey#gid=9"&amp;"23248883"",""Prop!$BF$1:$BP""),11,0),iferror(vlookup(B19,importrange(""https://docs.google.com/spreadsheets/d/1boHyJQ4e2FU0QG8MHwEi6qjX4hvZWVCHcFfXjq7bbMc/edit?resourcekey#gid=923248883"",""Prop!$BQ$1:$CA""),11,0),iferror(vlookup(B19,importrange(""https:/"&amp;"/docs.google.com/spreadsheets/d/1boHyJQ4e2FU0QG8MHwEi6qjX4hvZWVCHcFfXjq7bbMc/edit?resourcekey#gid=923248883"",""Prop!$CB$1:$CL""),11,0),iferror(vlookup(B19,importrange(""https://docs.google.com/spreadsheets/d/1boHyJQ4e2FU0QG8MHwEi6qjX4hvZWVCHcFfXjq7bbMc/e"&amp;"dit?resourcekey#gid=923248883"",""Prop!$CM$1:$CX""),12,0),iferror(vlookup(B19,importrange(""https://docs.google.com/spreadsheets/d/1boHyJQ4e2FU0QG8MHwEi6qjX4hvZWVCHcFfXjq7bbMc/edit?resourcekey#gid=923248883"",""Prop!$CV$1:$DI""),11,0)))))))))))"),"https://drive.google.com/open?id=1viMwfW78NShB3nhaypOlfQkJcnKqWig9")</f>
        <v>https://drive.google.com/open?id=1viMwfW78NShB3nhaypOlfQkJcnKqWig9</v>
      </c>
      <c r="Q19" s="7" t="str">
        <f ca="1">IFERROR(__xludf.DUMMYFUNCTION("iferror(vlookup(B19,importrange(""https://docs.google.com/spreadsheets/d/1p53T2AuvvIqhP7Nf-bo3Uhj8cbKYRPpZdsrBv3x3bAQ/edit?resourcekey#gid=1321652304"",""Prop!$C$1:$M""),11,0),IFERROR(vlookup(B19,importrange(""https://docs.google.com/spreadsheets/d/1p53T2"&amp;"AuvvIqhP7Nf-bo3Uhj8cbKYRPpZdsrBv3x3bAQ/edit?resourcekey#gid=1321652304"",""Prop!$N$1:$X""),11,0),iferror(vlookup(B19,importrange(""https://docs.google.com/spreadsheets/d/1p53T2AuvvIqhP7Nf-bo3Uhj8cbKYRPpZdsrBv3x3bAQ/edit?resourcekey#gid=1321652304"",""Prop"&amp;"!$Y$1:$AI""),11,0),iferror(vlookup(B19,importrange(""https://docs.google.com/spreadsheets/d/1p53T2AuvvIqhP7Nf-bo3Uhj8cbKYRPpZdsrBv3x3bAQ/edit?resourcekey#gid=1321652304"",""Prop!$AJ$1:$AT""),11,0),iferror(vlookup(B19,importrange(""https://docs.google.com/"&amp;"spreadsheets/d/1p53T2AuvvIqhP7Nf-bo3Uhj8cbKYRPpZdsrBv3x3bAQ/edit?resourcekey#gid=1321652304"",""Prop!$AU$1:$BE""),11,0),iferror(vlookup(B19,importrange(""https://docs.google.com/spreadsheets/d/1p53T2AuvvIqhP7Nf-bo3Uhj8cbKYRPpZdsrBv3x3bAQ/edit?resourcekey#"&amp;"gid=1321652304"",""Prop!$BF$1:$BP""),11,0),iferror(vlookup(B19,importrange(""https://docs.google.com/spreadsheets/d/1p53T2AuvvIqhP7Nf-bo3Uhj8cbKYRPpZdsrBv3x3bAQ/edit?resourcekey#gid=1321652304"",""Prop!$BQ$1:$CA""),11,0),iferror(vlookup(B19,importrange("""&amp;"https://docs.google.com/spreadsheets/d/1p53T2AuvvIqhP7Nf-bo3Uhj8cbKYRPpZdsrBv3x3bAQ/edit?resourcekey#gid=1321652304"",""Prop!$CB$1:$CL""),11,0),iferror(vlookup(B19,importrange(""https://docs.google.com/spreadsheets/d/1p53T2AuvvIqhP7Nf-bo3Uhj8cbKYRPpZdsrBv"&amp;"3x3bAQ/edit?resourcekey#gid=1321652304"",""Prop!$CM$1:$CX""),12,0),iferror(vlookup(B19,importrange(""https://docs.google.com/spreadsheets/d/1p53T2AuvvIqhP7Nf-bo3Uhj8cbKYRPpZdsrBv3x3bAQ/edit?resourcekey#gid=1321652304"",""Prop!$CY$1:$DI""),11,0)))))))))))"),"https://drive.google.com/open?id=136tkY1AmRMuQ-xZ7Job38hMYn7oAWidE")</f>
        <v>https://drive.google.com/open?id=136tkY1AmRMuQ-xZ7Job38hMYn7oAWidE</v>
      </c>
      <c r="R19" s="88" t="s">
        <v>1185</v>
      </c>
      <c r="S19" s="20" t="str">
        <f ca="1">IFERROR(__xludf.DUMMYFUNCTION("IFERROR(vlookup(B19,IMPORTRANGE(""https://docs.google.com/spreadsheets/d/1g_jfYYK_KeipEDNDUgqgrsxK94XiocfNQIcP-v1QVhI/edit?resourcekey#gid=233272945"",""Nilai!B:CT""),86,0),"" "")"),"-")</f>
        <v>-</v>
      </c>
      <c r="T19" s="20" t="str">
        <f ca="1">IFERROR(__xludf.DUMMYFUNCTION("IFERROR(vlookup(B19,IMPORTRANGE(""https://docs.google.com/spreadsheets/d/1g_jfYYK_KeipEDNDUgqgrsxK94XiocfNQIcP-v1QVhI/edit?resourcekey#gid=233272945"",""Nilai!B:CT""),97,0),"" "")"),"LAYAK UPLOAD KE SIMBELMAWA")</f>
        <v>LAYAK UPLOAD KE SIMBELMAWA</v>
      </c>
      <c r="U19" s="1" t="s">
        <v>786</v>
      </c>
      <c r="V19" s="1" t="s">
        <v>786</v>
      </c>
      <c r="W19" s="23" t="s">
        <v>1195</v>
      </c>
      <c r="X19" s="19" t="b">
        <v>1</v>
      </c>
    </row>
    <row r="20" spans="1:24">
      <c r="A20" s="15">
        <v>18</v>
      </c>
      <c r="B20" s="15">
        <f ca="1">IFERROR(__xludf.DUMMYFUNCTION("""COMPUTED_VALUE"""),3809)</f>
        <v>3809</v>
      </c>
      <c r="C20" s="16" t="str">
        <f ca="1">IFERROR(__xludf.DUMMYFUNCTION("""COMPUTED_VALUE"""),"SYAHRUL FATHONI")</f>
        <v>SYAHRUL FATHONI</v>
      </c>
      <c r="D20" s="16" t="str">
        <f ca="1">IFERROR(__xludf.DUMMYFUNCTION("""COMPUTED_VALUE"""),"08211840000084")</f>
        <v>08211840000084</v>
      </c>
      <c r="E20" s="16" t="str">
        <f ca="1">IFERROR(__xludf.DUMMYFUNCTION("""COMPUTED_VALUE"""),"Departemen Perencanaan Wilayah dan Kota")</f>
        <v>Departemen Perencanaan Wilayah dan Kota</v>
      </c>
      <c r="F20" s="16" t="str">
        <f ca="1">IFERROR(__xludf.DUMMYFUNCTION("""COMPUTED_VALUE"""),"EVALUASI TINGKAT AKSESIBILITAS SUROBOYO BUS MELALUI PEMETAAN SPASIAL DENGAN PENDEKATAN PUBLIC TRANSPORT ACCESSIBILITY LEVELS (PTAL) DI KOTA SURABAYA")</f>
        <v>EVALUASI TINGKAT AKSESIBILITAS SUROBOYO BUS MELALUI PEMETAAN SPASIAL DENGAN PENDEKATAN PUBLIC TRANSPORT ACCESSIBILITY LEVELS (PTAL) DI KOTA SURABAYA</v>
      </c>
      <c r="G20" s="16" t="str">
        <f ca="1">IFERROR(__xludf.DUMMYFUNCTION("""COMPUTED_VALUE"""),"Ketut Dewi Martha Erli Handayeni, ST, MT")</f>
        <v>Ketut Dewi Martha Erli Handayeni, ST, MT</v>
      </c>
      <c r="H20" s="16" t="str">
        <f ca="1">IFERROR(__xludf.DUMMYFUNCTION("""COMPUTED_VALUE"""),"Mochamad Yusuf, S.T., M.Sc.")</f>
        <v>Mochamad Yusuf, S.T., M.Sc.</v>
      </c>
      <c r="I20" s="16" t="str">
        <f ca="1">IFERROR(__xludf.DUMMYFUNCTION("""COMPUTED_VALUE"""),"Galuh Oktavia Siswono, S.Si., M.Si., M.Act,Sc.")</f>
        <v>Galuh Oktavia Siswono, S.Si., M.Si., M.Act,Sc.</v>
      </c>
      <c r="J20" s="16"/>
      <c r="K20" s="17" t="s">
        <v>1190</v>
      </c>
      <c r="L20" s="17" t="s">
        <v>1194</v>
      </c>
      <c r="M20" s="19" t="b">
        <v>1</v>
      </c>
      <c r="N20" s="19" t="b">
        <v>1</v>
      </c>
      <c r="O20" s="19" t="b">
        <v>1</v>
      </c>
      <c r="P20" s="7" t="str">
        <f ca="1">IFERROR(__xludf.DUMMYFUNCTION("iferror(vlookup(B20,importrange(""https://docs.google.com/spreadsheets/d/1boHyJQ4e2FU0QG8MHwEi6qjX4hvZWVCHcFfXjq7bbMc/edit?resourcekey#gid=923248883"",""Prop!$C$1:$M""),12,0),IFERROR(vlookup(B20,importrange(""https://docs.google.com/spreadsheets/d/1boHyJQ"&amp;"4e2FU0QG8MHwEi6qjX4hvZWVCHcFfXjq7bbMc/edit?resourcekey#gid=923248883"",""Prop!$N$1:$X""),11,0),iferror(vlookup(B20,importrange(""https://docs.google.com/spreadsheets/d/1boHyJQ4e2FU0QG8MHwEi6qjX4hvZWVCHcFfXjq7bbMc/edit?resourcekey#gid=923248883"",""Prop!$Y"&amp;"$1:$AI""),11,0),iferror(vlookup(B20,importrange(""https://docs.google.com/spreadsheets/d/1boHyJQ4e2FU0QG8MHwEi6qjX4hvZWVCHcFfXjq7bbMc/edit?resourcekey#gid=923248883"",""Prop!$AJ$1:$AT""),11,0),iferror(vlookup(B20,importrange(""https://docs.google.com/spre"&amp;"adsheets/d/1boHyJQ4e2FU0QG8MHwEi6qjX4hvZWVCHcFfXjq7bbMc/edit?resourcekey#gid=923248883"",""Prop!$AU$1:$BE""),11,0),iferror(vlookup(B20,importrange(""https://docs.google.com/spreadsheets/d/1boHyJQ4e2FU0QG8MHwEi6qjX4hvZWVCHcFfXjq7bbMc/edit?resourcekey#gid=9"&amp;"23248883"",""Prop!$BF$1:$BP""),11,0),iferror(vlookup(B20,importrange(""https://docs.google.com/spreadsheets/d/1boHyJQ4e2FU0QG8MHwEi6qjX4hvZWVCHcFfXjq7bbMc/edit?resourcekey#gid=923248883"",""Prop!$BQ$1:$CA""),11,0),iferror(vlookup(B20,importrange(""https:/"&amp;"/docs.google.com/spreadsheets/d/1boHyJQ4e2FU0QG8MHwEi6qjX4hvZWVCHcFfXjq7bbMc/edit?resourcekey#gid=923248883"",""Prop!$CB$1:$CL""),11,0),iferror(vlookup(B20,importrange(""https://docs.google.com/spreadsheets/d/1boHyJQ4e2FU0QG8MHwEi6qjX4hvZWVCHcFfXjq7bbMc/e"&amp;"dit?resourcekey#gid=923248883"",""Prop!$CM$1:$CX""),12,0),iferror(vlookup(B20,importrange(""https://docs.google.com/spreadsheets/d/1boHyJQ4e2FU0QG8MHwEi6qjX4hvZWVCHcFfXjq7bbMc/edit?resourcekey#gid=923248883"",""Prop!$CV$1:$DI""),11,0)))))))))))"),"https://drive.google.com/open?id=1ehrcIraw2-cat2XXBGalzbBVdmD0R_qJ")</f>
        <v>https://drive.google.com/open?id=1ehrcIraw2-cat2XXBGalzbBVdmD0R_qJ</v>
      </c>
      <c r="Q20" s="7" t="str">
        <f ca="1">IFERROR(__xludf.DUMMYFUNCTION("iferror(vlookup(B20,importrange(""https://docs.google.com/spreadsheets/d/1p53T2AuvvIqhP7Nf-bo3Uhj8cbKYRPpZdsrBv3x3bAQ/edit?resourcekey#gid=1321652304"",""Prop!$C$1:$M""),11,0),IFERROR(vlookup(B20,importrange(""https://docs.google.com/spreadsheets/d/1p53T2"&amp;"AuvvIqhP7Nf-bo3Uhj8cbKYRPpZdsrBv3x3bAQ/edit?resourcekey#gid=1321652304"",""Prop!$N$1:$X""),11,0),iferror(vlookup(B20,importrange(""https://docs.google.com/spreadsheets/d/1p53T2AuvvIqhP7Nf-bo3Uhj8cbKYRPpZdsrBv3x3bAQ/edit?resourcekey#gid=1321652304"",""Prop"&amp;"!$Y$1:$AI""),11,0),iferror(vlookup(B20,importrange(""https://docs.google.com/spreadsheets/d/1p53T2AuvvIqhP7Nf-bo3Uhj8cbKYRPpZdsrBv3x3bAQ/edit?resourcekey#gid=1321652304"",""Prop!$AJ$1:$AT""),11,0),iferror(vlookup(B20,importrange(""https://docs.google.com/"&amp;"spreadsheets/d/1p53T2AuvvIqhP7Nf-bo3Uhj8cbKYRPpZdsrBv3x3bAQ/edit?resourcekey#gid=1321652304"",""Prop!$AU$1:$BE""),11,0),iferror(vlookup(B20,importrange(""https://docs.google.com/spreadsheets/d/1p53T2AuvvIqhP7Nf-bo3Uhj8cbKYRPpZdsrBv3x3bAQ/edit?resourcekey#"&amp;"gid=1321652304"",""Prop!$BF$1:$BP""),11,0),iferror(vlookup(B20,importrange(""https://docs.google.com/spreadsheets/d/1p53T2AuvvIqhP7Nf-bo3Uhj8cbKYRPpZdsrBv3x3bAQ/edit?resourcekey#gid=1321652304"",""Prop!$BQ$1:$CA""),11,0),iferror(vlookup(B20,importrange("""&amp;"https://docs.google.com/spreadsheets/d/1p53T2AuvvIqhP7Nf-bo3Uhj8cbKYRPpZdsrBv3x3bAQ/edit?resourcekey#gid=1321652304"",""Prop!$CB$1:$CL""),11,0),iferror(vlookup(B20,importrange(""https://docs.google.com/spreadsheets/d/1p53T2AuvvIqhP7Nf-bo3Uhj8cbKYRPpZdsrBv"&amp;"3x3bAQ/edit?resourcekey#gid=1321652304"",""Prop!$CM$1:$CX""),12,0),iferror(vlookup(B20,importrange(""https://docs.google.com/spreadsheets/d/1p53T2AuvvIqhP7Nf-bo3Uhj8cbKYRPpZdsrBv3x3bAQ/edit?resourcekey#gid=1321652304"",""Prop!$CY$1:$DI""),11,0)))))))))))"),"https://drive.google.com/open?id=1l9Sc9k5_SwckzE7MYjkwHbXva2JsjVsP")</f>
        <v>https://drive.google.com/open?id=1l9Sc9k5_SwckzE7MYjkwHbXva2JsjVsP</v>
      </c>
      <c r="R20" s="88" t="s">
        <v>1185</v>
      </c>
      <c r="S20" s="20" t="str">
        <f ca="1">IFERROR(__xludf.DUMMYFUNCTION("IFERROR(vlookup(B20,IMPORTRANGE(""https://docs.google.com/spreadsheets/d/1g_jfYYK_KeipEDNDUgqgrsxK94XiocfNQIcP-v1QVhI/edit?resourcekey#gid=233272945"",""Nilai!B:CT""),86,0),"" "")"),"aspek soshum dan urgensi perlu ditingkatkan, sangat regulatif")</f>
        <v>aspek soshum dan urgensi perlu ditingkatkan, sangat regulatif</v>
      </c>
      <c r="T20" s="20" t="str">
        <f ca="1">IFERROR(__xludf.DUMMYFUNCTION("IFERROR(vlookup(B20,IMPORTRANGE(""https://docs.google.com/spreadsheets/d/1g_jfYYK_KeipEDNDUgqgrsxK94XiocfNQIcP-v1QVhI/edit?resourcekey#gid=233272945"",""Nilai!B:CT""),97,0),"" "")"),"LAYAK UPLOAD KE SIMBELMAWA DENGAN REVISI")</f>
        <v>LAYAK UPLOAD KE SIMBELMAWA DENGAN REVISI</v>
      </c>
      <c r="U20" s="1" t="s">
        <v>786</v>
      </c>
      <c r="V20" s="1" t="s">
        <v>786</v>
      </c>
      <c r="W20" s="23" t="s">
        <v>1195</v>
      </c>
      <c r="X20" s="53" t="b">
        <v>0</v>
      </c>
    </row>
    <row r="21" spans="1:24">
      <c r="A21" s="15">
        <v>19</v>
      </c>
      <c r="B21" s="15">
        <f ca="1">IFERROR(__xludf.DUMMYFUNCTION("""COMPUTED_VALUE"""),3001)</f>
        <v>3001</v>
      </c>
      <c r="C21" s="16" t="str">
        <f ca="1">IFERROR(__xludf.DUMMYFUNCTION("""COMPUTED_VALUE"""),"FATIN AFIANTI")</f>
        <v>FATIN AFIANTI</v>
      </c>
      <c r="D21" s="16" t="str">
        <f ca="1">IFERROR(__xludf.DUMMYFUNCTION("""COMPUTED_VALUE"""),"5017201046")</f>
        <v>5017201046</v>
      </c>
      <c r="E21" s="16" t="str">
        <f ca="1">IFERROR(__xludf.DUMMYFUNCTION("""COMPUTED_VALUE"""),"Departemen Teknik Geofisika")</f>
        <v>Departemen Teknik Geofisika</v>
      </c>
      <c r="F21" s="16" t="str">
        <f ca="1">IFERROR(__xludf.DUMMYFUNCTION("""COMPUTED_VALUE"""),"Pengembangan Pola Edukasi Masyarakat Desa Tieng, Wonosobo Berbasis Kearifan Lokal dalam Upaya Mitigasi Bencana Alam")</f>
        <v>Pengembangan Pola Edukasi Masyarakat Desa Tieng, Wonosobo Berbasis Kearifan Lokal dalam Upaya Mitigasi Bencana Alam</v>
      </c>
      <c r="G21" s="16" t="str">
        <f ca="1">IFERROR(__xludf.DUMMYFUNCTION("""COMPUTED_VALUE"""),"Moh. Singgih Purwanto, S.Si., M.T")</f>
        <v>Moh. Singgih Purwanto, S.Si., M.T</v>
      </c>
      <c r="H21" s="16" t="str">
        <f ca="1">IFERROR(__xludf.DUMMYFUNCTION("""COMPUTED_VALUE"""),"Welly Herumurti, S.T., M.Sc.")</f>
        <v>Welly Herumurti, S.T., M.Sc.</v>
      </c>
      <c r="I21" s="16" t="str">
        <f ca="1">IFERROR(__xludf.DUMMYFUNCTION("""COMPUTED_VALUE"""),"Mukhammad Muryono, S.Si., M.Si., Ph.D.")</f>
        <v>Mukhammad Muryono, S.Si., M.Si., Ph.D.</v>
      </c>
      <c r="J21" s="16" t="str">
        <f ca="1">IFERROR(__xludf.DUMMYFUNCTION("""COMPUTED_VALUE"""),"Putu Gde Ariastita, S.T., M.T.")</f>
        <v>Putu Gde Ariastita, S.T., M.T.</v>
      </c>
      <c r="K21" s="17" t="s">
        <v>1190</v>
      </c>
      <c r="L21" s="17" t="s">
        <v>1194</v>
      </c>
      <c r="M21" s="19" t="b">
        <v>1</v>
      </c>
      <c r="N21" s="19" t="b">
        <v>1</v>
      </c>
      <c r="O21" s="19" t="b">
        <v>1</v>
      </c>
      <c r="P21" s="7" t="str">
        <f ca="1">IFERROR(__xludf.DUMMYFUNCTION("iferror(vlookup(B21,importrange(""https://docs.google.com/spreadsheets/d/1boHyJQ4e2FU0QG8MHwEi6qjX4hvZWVCHcFfXjq7bbMc/edit?resourcekey#gid=923248883"",""Prop!$C$1:$M""),12,0),IFERROR(vlookup(B21,importrange(""https://docs.google.com/spreadsheets/d/1boHyJQ"&amp;"4e2FU0QG8MHwEi6qjX4hvZWVCHcFfXjq7bbMc/edit?resourcekey#gid=923248883"",""Prop!$N$1:$X""),11,0),iferror(vlookup(B21,importrange(""https://docs.google.com/spreadsheets/d/1boHyJQ4e2FU0QG8MHwEi6qjX4hvZWVCHcFfXjq7bbMc/edit?resourcekey#gid=923248883"",""Prop!$Y"&amp;"$1:$AI""),11,0),iferror(vlookup(B21,importrange(""https://docs.google.com/spreadsheets/d/1boHyJQ4e2FU0QG8MHwEi6qjX4hvZWVCHcFfXjq7bbMc/edit?resourcekey#gid=923248883"",""Prop!$AJ$1:$AT""),11,0),iferror(vlookup(B21,importrange(""https://docs.google.com/spre"&amp;"adsheets/d/1boHyJQ4e2FU0QG8MHwEi6qjX4hvZWVCHcFfXjq7bbMc/edit?resourcekey#gid=923248883"",""Prop!$AU$1:$BE""),11,0),iferror(vlookup(B21,importrange(""https://docs.google.com/spreadsheets/d/1boHyJQ4e2FU0QG8MHwEi6qjX4hvZWVCHcFfXjq7bbMc/edit?resourcekey#gid=9"&amp;"23248883"",""Prop!$BF$1:$BP""),11,0),iferror(vlookup(B21,importrange(""https://docs.google.com/spreadsheets/d/1boHyJQ4e2FU0QG8MHwEi6qjX4hvZWVCHcFfXjq7bbMc/edit?resourcekey#gid=923248883"",""Prop!$BQ$1:$CA""),11,0),iferror(vlookup(B21,importrange(""https:/"&amp;"/docs.google.com/spreadsheets/d/1boHyJQ4e2FU0QG8MHwEi6qjX4hvZWVCHcFfXjq7bbMc/edit?resourcekey#gid=923248883"",""Prop!$CB$1:$CL""),11,0),iferror(vlookup(B21,importrange(""https://docs.google.com/spreadsheets/d/1boHyJQ4e2FU0QG8MHwEi6qjX4hvZWVCHcFfXjq7bbMc/e"&amp;"dit?resourcekey#gid=923248883"",""Prop!$CM$1:$CX""),12,0),iferror(vlookup(B21,importrange(""https://docs.google.com/spreadsheets/d/1boHyJQ4e2FU0QG8MHwEi6qjX4hvZWVCHcFfXjq7bbMc/edit?resourcekey#gid=923248883"",""Prop!$CV$1:$DI""),11,0)))))))))))"),"https://drive.google.com/open?id=1bRrSQulBVRwM2nrxO_qdR2j7p4k9B0p3")</f>
        <v>https://drive.google.com/open?id=1bRrSQulBVRwM2nrxO_qdR2j7p4k9B0p3</v>
      </c>
      <c r="Q21" s="7" t="str">
        <f ca="1">IFERROR(__xludf.DUMMYFUNCTION("iferror(vlookup(B21,importrange(""https://docs.google.com/spreadsheets/d/1p53T2AuvvIqhP7Nf-bo3Uhj8cbKYRPpZdsrBv3x3bAQ/edit?resourcekey#gid=1321652304"",""Prop!$C$1:$M""),11,0),IFERROR(vlookup(B21,importrange(""https://docs.google.com/spreadsheets/d/1p53T2"&amp;"AuvvIqhP7Nf-bo3Uhj8cbKYRPpZdsrBv3x3bAQ/edit?resourcekey#gid=1321652304"",""Prop!$N$1:$X""),11,0),iferror(vlookup(B21,importrange(""https://docs.google.com/spreadsheets/d/1p53T2AuvvIqhP7Nf-bo3Uhj8cbKYRPpZdsrBv3x3bAQ/edit?resourcekey#gid=1321652304"",""Prop"&amp;"!$Y$1:$AI""),11,0),iferror(vlookup(B21,importrange(""https://docs.google.com/spreadsheets/d/1p53T2AuvvIqhP7Nf-bo3Uhj8cbKYRPpZdsrBv3x3bAQ/edit?resourcekey#gid=1321652304"",""Prop!$AJ$1:$AT""),11,0),iferror(vlookup(B21,importrange(""https://docs.google.com/"&amp;"spreadsheets/d/1p53T2AuvvIqhP7Nf-bo3Uhj8cbKYRPpZdsrBv3x3bAQ/edit?resourcekey#gid=1321652304"",""Prop!$AU$1:$BE""),11,0),iferror(vlookup(B21,importrange(""https://docs.google.com/spreadsheets/d/1p53T2AuvvIqhP7Nf-bo3Uhj8cbKYRPpZdsrBv3x3bAQ/edit?resourcekey#"&amp;"gid=1321652304"",""Prop!$BF$1:$BP""),11,0),iferror(vlookup(B21,importrange(""https://docs.google.com/spreadsheets/d/1p53T2AuvvIqhP7Nf-bo3Uhj8cbKYRPpZdsrBv3x3bAQ/edit?resourcekey#gid=1321652304"",""Prop!$BQ$1:$CA""),11,0),iferror(vlookup(B21,importrange("""&amp;"https://docs.google.com/spreadsheets/d/1p53T2AuvvIqhP7Nf-bo3Uhj8cbKYRPpZdsrBv3x3bAQ/edit?resourcekey#gid=1321652304"",""Prop!$CB$1:$CL""),11,0),iferror(vlookup(B21,importrange(""https://docs.google.com/spreadsheets/d/1p53T2AuvvIqhP7Nf-bo3Uhj8cbKYRPpZdsrBv"&amp;"3x3bAQ/edit?resourcekey#gid=1321652304"",""Prop!$CM$1:$CX""),12,0),iferror(vlookup(B21,importrange(""https://docs.google.com/spreadsheets/d/1p53T2AuvvIqhP7Nf-bo3Uhj8cbKYRPpZdsrBv3x3bAQ/edit?resourcekey#gid=1321652304"",""Prop!$CY$1:$DI""),11,0)))))))))))"),"https://drive.google.com/open?id=1DBpxxBRlLKVCHUp6ipY_DGHx9zpKjdjO")</f>
        <v>https://drive.google.com/open?id=1DBpxxBRlLKVCHUp6ipY_DGHx9zpKjdjO</v>
      </c>
      <c r="R21" s="88" t="s">
        <v>1185</v>
      </c>
      <c r="S21" s="20" t="str">
        <f ca="1">IFERROR(__xludf.DUMMYFUNCTION("IFERROR(vlookup(B21,IMPORTRANGE(""https://docs.google.com/spreadsheets/d/1g_jfYYK_KeipEDNDUgqgrsxK94XiocfNQIcP-v1QVhI/edit?resourcekey#gid=233272945"",""Nilai!B:CT""),86,0),"" "")"),"surat pernyataan kasih materai")</f>
        <v>surat pernyataan kasih materai</v>
      </c>
      <c r="T21" s="20" t="str">
        <f ca="1">IFERROR(__xludf.DUMMYFUNCTION("IFERROR(vlookup(B21,IMPORTRANGE(""https://docs.google.com/spreadsheets/d/1g_jfYYK_KeipEDNDUgqgrsxK94XiocfNQIcP-v1QVhI/edit?resourcekey#gid=233272945"",""Nilai!B:CT""),97,0),"" "")"),"LAYAK UPLOAD KE SIMBELMAWA DENGAN REVISI")</f>
        <v>LAYAK UPLOAD KE SIMBELMAWA DENGAN REVISI</v>
      </c>
      <c r="U21" s="1" t="s">
        <v>786</v>
      </c>
      <c r="V21" s="1" t="s">
        <v>786</v>
      </c>
      <c r="W21" s="23" t="s">
        <v>1195</v>
      </c>
      <c r="X21" s="65" t="b">
        <v>1</v>
      </c>
    </row>
    <row r="22" spans="1:24">
      <c r="A22" s="15">
        <v>20</v>
      </c>
      <c r="B22" s="15">
        <f ca="1">IFERROR(__xludf.DUMMYFUNCTION("""COMPUTED_VALUE"""),2059)</f>
        <v>2059</v>
      </c>
      <c r="C22" s="16" t="str">
        <f ca="1">IFERROR(__xludf.DUMMYFUNCTION("""COMPUTED_VALUE"""),"Selvi Aini Mutiara Fadillah")</f>
        <v>Selvi Aini Mutiara Fadillah</v>
      </c>
      <c r="D22" s="16" t="str">
        <f ca="1">IFERROR(__xludf.DUMMYFUNCTION("""COMPUTED_VALUE"""),"08211840000028")</f>
        <v>08211840000028</v>
      </c>
      <c r="E22" s="16" t="str">
        <f ca="1">IFERROR(__xludf.DUMMYFUNCTION("""COMPUTED_VALUE"""),"Departemen Perencanaan Wilayah dan Kota")</f>
        <v>Departemen Perencanaan Wilayah dan Kota</v>
      </c>
      <c r="F22" s="16" t="str">
        <f ca="1">IFERROR(__xludf.DUMMYFUNCTION("""COMPUTED_VALUE"""),"Preferensi Partisipasi Generasi Milenial dalam Pengembangan Heritage Tourism di Kota Pasuruan")</f>
        <v>Preferensi Partisipasi Generasi Milenial dalam Pengembangan Heritage Tourism di Kota Pasuruan</v>
      </c>
      <c r="G22" s="16" t="str">
        <f ca="1">IFERROR(__xludf.DUMMYFUNCTION("""COMPUTED_VALUE"""),"Mochamad Yusuf, S.T., M.Sc.")</f>
        <v>Mochamad Yusuf, S.T., M.Sc.</v>
      </c>
      <c r="H22" s="16" t="str">
        <f ca="1">IFERROR(__xludf.DUMMYFUNCTION("""COMPUTED_VALUE"""),"Mochamad Yusuf, S.T., M.Sc.")</f>
        <v>Mochamad Yusuf, S.T., M.Sc.</v>
      </c>
      <c r="I22" s="16" t="str">
        <f ca="1">IFERROR(__xludf.DUMMYFUNCTION("""COMPUTED_VALUE"""),"Galuh Oktavia Siswono, S.Si., M.Si., M.Act,Sc.")</f>
        <v>Galuh Oktavia Siswono, S.Si., M.Si., M.Act,Sc.</v>
      </c>
      <c r="J22" s="16"/>
      <c r="K22" s="17" t="s">
        <v>1190</v>
      </c>
      <c r="L22" s="17" t="s">
        <v>1194</v>
      </c>
      <c r="M22" s="19" t="b">
        <v>0</v>
      </c>
      <c r="N22" s="19" t="b">
        <v>0</v>
      </c>
      <c r="O22" s="19" t="b">
        <v>0</v>
      </c>
      <c r="P22" s="1" t="str">
        <f ca="1">IFERROR(__xludf.DUMMYFUNCTION("iferror(vlookup(B22,importrange(""https://docs.google.com/spreadsheets/d/1boHyJQ4e2FU0QG8MHwEi6qjX4hvZWVCHcFfXjq7bbMc/edit?resourcekey#gid=923248883"",""Prop!$C$1:$M""),12,0),IFERROR(vlookup(B22,importrange(""https://docs.google.com/spreadsheets/d/1boHyJQ"&amp;"4e2FU0QG8MHwEi6qjX4hvZWVCHcFfXjq7bbMc/edit?resourcekey#gid=923248883"",""Prop!$N$1:$X""),11,0),iferror(vlookup(B22,importrange(""https://docs.google.com/spreadsheets/d/1boHyJQ4e2FU0QG8MHwEi6qjX4hvZWVCHcFfXjq7bbMc/edit?resourcekey#gid=923248883"",""Prop!$Y"&amp;"$1:$AI""),11,0),iferror(vlookup(B22,importrange(""https://docs.google.com/spreadsheets/d/1boHyJQ4e2FU0QG8MHwEi6qjX4hvZWVCHcFfXjq7bbMc/edit?resourcekey#gid=923248883"",""Prop!$AJ$1:$AT""),11,0),iferror(vlookup(B22,importrange(""https://docs.google.com/spre"&amp;"adsheets/d/1boHyJQ4e2FU0QG8MHwEi6qjX4hvZWVCHcFfXjq7bbMc/edit?resourcekey#gid=923248883"",""Prop!$AU$1:$BE""),11,0),iferror(vlookup(B22,importrange(""https://docs.google.com/spreadsheets/d/1boHyJQ4e2FU0QG8MHwEi6qjX4hvZWVCHcFfXjq7bbMc/edit?resourcekey#gid=9"&amp;"23248883"",""Prop!$BF$1:$BP""),11,0),iferror(vlookup(B22,importrange(""https://docs.google.com/spreadsheets/d/1boHyJQ4e2FU0QG8MHwEi6qjX4hvZWVCHcFfXjq7bbMc/edit?resourcekey#gid=923248883"",""Prop!$BQ$1:$CA""),11,0),iferror(vlookup(B22,importrange(""https:/"&amp;"/docs.google.com/spreadsheets/d/1boHyJQ4e2FU0QG8MHwEi6qjX4hvZWVCHcFfXjq7bbMc/edit?resourcekey#gid=923248883"",""Prop!$CB$1:$CL""),11,0),iferror(vlookup(B22,importrange(""https://docs.google.com/spreadsheets/d/1boHyJQ4e2FU0QG8MHwEi6qjX4hvZWVCHcFfXjq7bbMc/e"&amp;"dit?resourcekey#gid=923248883"",""Prop!$CM$1:$CX""),12,0),iferror(vlookup(B22,importrange(""https://docs.google.com/spreadsheets/d/1boHyJQ4e2FU0QG8MHwEi6qjX4hvZWVCHcFfXjq7bbMc/edit?resourcekey#gid=923248883"",""Prop!$CV$1:$DI""),11,0)))))))))))"),"")</f>
        <v/>
      </c>
      <c r="Q22" s="7" t="str">
        <f ca="1">IFERROR(__xludf.DUMMYFUNCTION("iferror(vlookup(B22,importrange(""https://docs.google.com/spreadsheets/d/1p53T2AuvvIqhP7Nf-bo3Uhj8cbKYRPpZdsrBv3x3bAQ/edit?resourcekey#gid=1321652304"",""Prop!$C$1:$M""),11,0),IFERROR(vlookup(B22,importrange(""https://docs.google.com/spreadsheets/d/1p53T2"&amp;"AuvvIqhP7Nf-bo3Uhj8cbKYRPpZdsrBv3x3bAQ/edit?resourcekey#gid=1321652304"",""Prop!$N$1:$X""),11,0),iferror(vlookup(B22,importrange(""https://docs.google.com/spreadsheets/d/1p53T2AuvvIqhP7Nf-bo3Uhj8cbKYRPpZdsrBv3x3bAQ/edit?resourcekey#gid=1321652304"",""Prop"&amp;"!$Y$1:$AI""),11,0),iferror(vlookup(B22,importrange(""https://docs.google.com/spreadsheets/d/1p53T2AuvvIqhP7Nf-bo3Uhj8cbKYRPpZdsrBv3x3bAQ/edit?resourcekey#gid=1321652304"",""Prop!$AJ$1:$AT""),11,0),iferror(vlookup(B22,importrange(""https://docs.google.com/"&amp;"spreadsheets/d/1p53T2AuvvIqhP7Nf-bo3Uhj8cbKYRPpZdsrBv3x3bAQ/edit?resourcekey#gid=1321652304"",""Prop!$AU$1:$BE""),11,0),iferror(vlookup(B22,importrange(""https://docs.google.com/spreadsheets/d/1p53T2AuvvIqhP7Nf-bo3Uhj8cbKYRPpZdsrBv3x3bAQ/edit?resourcekey#"&amp;"gid=1321652304"",""Prop!$BF$1:$BP""),11,0),iferror(vlookup(B22,importrange(""https://docs.google.com/spreadsheets/d/1p53T2AuvvIqhP7Nf-bo3Uhj8cbKYRPpZdsrBv3x3bAQ/edit?resourcekey#gid=1321652304"",""Prop!$BQ$1:$CA""),11,0),iferror(vlookup(B22,importrange("""&amp;"https://docs.google.com/spreadsheets/d/1p53T2AuvvIqhP7Nf-bo3Uhj8cbKYRPpZdsrBv3x3bAQ/edit?resourcekey#gid=1321652304"",""Prop!$CB$1:$CL""),11,0),iferror(vlookup(B22,importrange(""https://docs.google.com/spreadsheets/d/1p53T2AuvvIqhP7Nf-bo3Uhj8cbKYRPpZdsrBv"&amp;"3x3bAQ/edit?resourcekey#gid=1321652304"",""Prop!$CM$1:$CX""),12,0),iferror(vlookup(B22,importrange(""https://docs.google.com/spreadsheets/d/1p53T2AuvvIqhP7Nf-bo3Uhj8cbKYRPpZdsrBv3x3bAQ/edit?resourcekey#gid=1321652304"",""Prop!$CY$1:$DI""),11,0)))))))))))"),"https://drive.google.com/open?id=1creqXivpnOF56eXwkNHBh8tGv3padlb0")</f>
        <v>https://drive.google.com/open?id=1creqXivpnOF56eXwkNHBh8tGv3padlb0</v>
      </c>
      <c r="R22" s="88" t="s">
        <v>1185</v>
      </c>
      <c r="S22" s="20" t="str">
        <f ca="1">IFERROR(__xludf.DUMMYFUNCTION("IFERROR(vlookup(B22,IMPORTRANGE(""https://docs.google.com/spreadsheets/d/1g_jfYYK_KeipEDNDUgqgrsxK94XiocfNQIcP-v1QVhI/edit?resourcekey#gid=233272945"",""Nilai!B:CT""),86,0),"" "")"),"1. ada kesalahan sistematika bab 2
2. kelebihan halaman, perbaiki proporsi tabel jadwal")</f>
        <v>1. ada kesalahan sistematika bab 2
2. kelebihan halaman, perbaiki proporsi tabel jadwal</v>
      </c>
      <c r="T22" s="20" t="str">
        <f ca="1">IFERROR(__xludf.DUMMYFUNCTION("IFERROR(vlookup(B22,IMPORTRANGE(""https://docs.google.com/spreadsheets/d/1g_jfYYK_KeipEDNDUgqgrsxK94XiocfNQIcP-v1QVhI/edit?resourcekey#gid=233272945"",""Nilai!B:CT""),97,0),"" "")"),"LAYAK UPLOAD KE SIMBELMAWA DENGAN REVISI")</f>
        <v>LAYAK UPLOAD KE SIMBELMAWA DENGAN REVISI</v>
      </c>
      <c r="U22" s="1" t="s">
        <v>786</v>
      </c>
      <c r="V22" s="1" t="s">
        <v>786</v>
      </c>
      <c r="W22" s="23" t="s">
        <v>1195</v>
      </c>
      <c r="X22" s="65" t="b">
        <v>1</v>
      </c>
    </row>
    <row r="23" spans="1:24">
      <c r="A23" s="15">
        <v>21</v>
      </c>
      <c r="B23" s="15">
        <f ca="1">IFERROR(__xludf.DUMMYFUNCTION("""COMPUTED_VALUE"""),3053)</f>
        <v>3053</v>
      </c>
      <c r="C23" s="16" t="str">
        <f ca="1">IFERROR(__xludf.DUMMYFUNCTION("""COMPUTED_VALUE"""),"Dwi Andi Ramadhanti")</f>
        <v>Dwi Andi Ramadhanti</v>
      </c>
      <c r="D23" s="16" t="str">
        <f ca="1">IFERROR(__xludf.DUMMYFUNCTION("""COMPUTED_VALUE"""),"08211840000014")</f>
        <v>08211840000014</v>
      </c>
      <c r="E23" s="16" t="str">
        <f ca="1">IFERROR(__xludf.DUMMYFUNCTION("""COMPUTED_VALUE"""),"Departemen Perencanaan Wilayah dan Kota")</f>
        <v>Departemen Perencanaan Wilayah dan Kota</v>
      </c>
      <c r="F23" s="16" t="str">
        <f ca="1">IFERROR(__xludf.DUMMYFUNCTION("""COMPUTED_VALUE"""),"PKM RSH_Eco Culture Tourism Konsep Pariwisata Alam dan Sejarah Sebagai Arahan Pengembangan Desa Wisata di Desa Sendangduwur")</f>
        <v>PKM RSH_Eco Culture Tourism Konsep Pariwisata Alam dan Sejarah Sebagai Arahan Pengembangan Desa Wisata di Desa Sendangduwur</v>
      </c>
      <c r="G23" s="16" t="str">
        <f ca="1">IFERROR(__xludf.DUMMYFUNCTION("""COMPUTED_VALUE"""),"Ummi Fadlilah Kurniawati, ST, M.Sc")</f>
        <v>Ummi Fadlilah Kurniawati, ST, M.Sc</v>
      </c>
      <c r="H23" s="16" t="str">
        <f ca="1">IFERROR(__xludf.DUMMYFUNCTION("""COMPUTED_VALUE"""),"Muchammad Nurif, S.E., M.T.")</f>
        <v>Muchammad Nurif, S.E., M.T.</v>
      </c>
      <c r="I23" s="16" t="str">
        <f ca="1">IFERROR(__xludf.DUMMYFUNCTION("""COMPUTED_VALUE"""),"Deqi Rizkivia Radita, S.T., M.Sc.")</f>
        <v>Deqi Rizkivia Radita, S.T., M.Sc.</v>
      </c>
      <c r="J23" s="16"/>
      <c r="K23" s="17" t="s">
        <v>1196</v>
      </c>
      <c r="L23" s="17" t="s">
        <v>1194</v>
      </c>
      <c r="M23" s="19" t="b">
        <v>0</v>
      </c>
      <c r="N23" s="19" t="b">
        <v>0</v>
      </c>
      <c r="O23" s="19" t="b">
        <v>0</v>
      </c>
      <c r="P23" s="1" t="str">
        <f ca="1">IFERROR(__xludf.DUMMYFUNCTION("iferror(vlookup(B23,importrange(""https://docs.google.com/spreadsheets/d/1boHyJQ4e2FU0QG8MHwEi6qjX4hvZWVCHcFfXjq7bbMc/edit?resourcekey#gid=923248883"",""Prop!$C$1:$M""),12,0),IFERROR(vlookup(B23,importrange(""https://docs.google.com/spreadsheets/d/1boHyJQ"&amp;"4e2FU0QG8MHwEi6qjX4hvZWVCHcFfXjq7bbMc/edit?resourcekey#gid=923248883"",""Prop!$N$1:$X""),11,0),iferror(vlookup(B23,importrange(""https://docs.google.com/spreadsheets/d/1boHyJQ4e2FU0QG8MHwEi6qjX4hvZWVCHcFfXjq7bbMc/edit?resourcekey#gid=923248883"",""Prop!$Y"&amp;"$1:$AI""),11,0),iferror(vlookup(B23,importrange(""https://docs.google.com/spreadsheets/d/1boHyJQ4e2FU0QG8MHwEi6qjX4hvZWVCHcFfXjq7bbMc/edit?resourcekey#gid=923248883"",""Prop!$AJ$1:$AT""),11,0),iferror(vlookup(B23,importrange(""https://docs.google.com/spre"&amp;"adsheets/d/1boHyJQ4e2FU0QG8MHwEi6qjX4hvZWVCHcFfXjq7bbMc/edit?resourcekey#gid=923248883"",""Prop!$AU$1:$BE""),11,0),iferror(vlookup(B23,importrange(""https://docs.google.com/spreadsheets/d/1boHyJQ4e2FU0QG8MHwEi6qjX4hvZWVCHcFfXjq7bbMc/edit?resourcekey#gid=9"&amp;"23248883"",""Prop!$BF$1:$BP""),11,0),iferror(vlookup(B23,importrange(""https://docs.google.com/spreadsheets/d/1boHyJQ4e2FU0QG8MHwEi6qjX4hvZWVCHcFfXjq7bbMc/edit?resourcekey#gid=923248883"",""Prop!$BQ$1:$CA""),11,0),iferror(vlookup(B23,importrange(""https:/"&amp;"/docs.google.com/spreadsheets/d/1boHyJQ4e2FU0QG8MHwEi6qjX4hvZWVCHcFfXjq7bbMc/edit?resourcekey#gid=923248883"",""Prop!$CB$1:$CL""),11,0),iferror(vlookup(B23,importrange(""https://docs.google.com/spreadsheets/d/1boHyJQ4e2FU0QG8MHwEi6qjX4hvZWVCHcFfXjq7bbMc/e"&amp;"dit?resourcekey#gid=923248883"",""Prop!$CM$1:$CX""),12,0),iferror(vlookup(B23,importrange(""https://docs.google.com/spreadsheets/d/1boHyJQ4e2FU0QG8MHwEi6qjX4hvZWVCHcFfXjq7bbMc/edit?resourcekey#gid=923248883"",""Prop!$CV$1:$DI""),11,0)))))))))))"),"")</f>
        <v/>
      </c>
      <c r="Q23" s="1" t="str">
        <f ca="1">IFERROR(__xludf.DUMMYFUNCTION("iferror(vlookup(B23,importrange(""https://docs.google.com/spreadsheets/d/1p53T2AuvvIqhP7Nf-bo3Uhj8cbKYRPpZdsrBv3x3bAQ/edit?resourcekey#gid=1321652304"",""Prop!$C$1:$M""),11,0),IFERROR(vlookup(B23,importrange(""https://docs.google.com/spreadsheets/d/1p53T2"&amp;"AuvvIqhP7Nf-bo3Uhj8cbKYRPpZdsrBv3x3bAQ/edit?resourcekey#gid=1321652304"",""Prop!$N$1:$X""),11,0),iferror(vlookup(B23,importrange(""https://docs.google.com/spreadsheets/d/1p53T2AuvvIqhP7Nf-bo3Uhj8cbKYRPpZdsrBv3x3bAQ/edit?resourcekey#gid=1321652304"",""Prop"&amp;"!$Y$1:$AI""),11,0),iferror(vlookup(B23,importrange(""https://docs.google.com/spreadsheets/d/1p53T2AuvvIqhP7Nf-bo3Uhj8cbKYRPpZdsrBv3x3bAQ/edit?resourcekey#gid=1321652304"",""Prop!$AJ$1:$AT""),11,0),iferror(vlookup(B23,importrange(""https://docs.google.com/"&amp;"spreadsheets/d/1p53T2AuvvIqhP7Nf-bo3Uhj8cbKYRPpZdsrBv3x3bAQ/edit?resourcekey#gid=1321652304"",""Prop!$AU$1:$BE""),11,0),iferror(vlookup(B23,importrange(""https://docs.google.com/spreadsheets/d/1p53T2AuvvIqhP7Nf-bo3Uhj8cbKYRPpZdsrBv3x3bAQ/edit?resourcekey#"&amp;"gid=1321652304"",""Prop!$BF$1:$BP""),11,0),iferror(vlookup(B23,importrange(""https://docs.google.com/spreadsheets/d/1p53T2AuvvIqhP7Nf-bo3Uhj8cbKYRPpZdsrBv3x3bAQ/edit?resourcekey#gid=1321652304"",""Prop!$BQ$1:$CA""),11,0),iferror(vlookup(B23,importrange("""&amp;"https://docs.google.com/spreadsheets/d/1p53T2AuvvIqhP7Nf-bo3Uhj8cbKYRPpZdsrBv3x3bAQ/edit?resourcekey#gid=1321652304"",""Prop!$CB$1:$CL""),11,0),iferror(vlookup(B23,importrange(""https://docs.google.com/spreadsheets/d/1p53T2AuvvIqhP7Nf-bo3Uhj8cbKYRPpZdsrBv"&amp;"3x3bAQ/edit?resourcekey#gid=1321652304"",""Prop!$CM$1:$CX""),12,0),iferror(vlookup(B23,importrange(""https://docs.google.com/spreadsheets/d/1p53T2AuvvIqhP7Nf-bo3Uhj8cbKYRPpZdsrBv3x3bAQ/edit?resourcekey#gid=1321652304"",""Prop!$CY$1:$DI""),11,0)))))))))))"),"")</f>
        <v/>
      </c>
      <c r="R23" s="88" t="s">
        <v>1185</v>
      </c>
      <c r="S23" s="20" t="str">
        <f ca="1">IFERROR(__xludf.DUMMYFUNCTION("IFERROR(vlookup(B23,IMPORTRANGE(""https://docs.google.com/spreadsheets/d/1g_jfYYK_KeipEDNDUgqgrsxK94XiocfNQIcP-v1QVhI/edit?resourcekey#gid=233272945"",""Nilai!B:CT""),86,0),"" "")")," ")</f>
        <v xml:space="preserve"> </v>
      </c>
      <c r="T23" s="20" t="str">
        <f ca="1">IFERROR(__xludf.DUMMYFUNCTION("IFERROR(vlookup(B23,IMPORTRANGE(""https://docs.google.com/spreadsheets/d/1g_jfYYK_KeipEDNDUgqgrsxK94XiocfNQIcP-v1QVhI/edit?resourcekey#gid=233272945"",""Nilai!B:CT""),97,0),"" "")")," ")</f>
        <v xml:space="preserve"> </v>
      </c>
      <c r="U23" s="1" t="s">
        <v>786</v>
      </c>
      <c r="V23" s="1" t="s">
        <v>786</v>
      </c>
      <c r="W23" s="23" t="s">
        <v>1197</v>
      </c>
      <c r="X23" s="53" t="b">
        <v>0</v>
      </c>
    </row>
    <row r="24" spans="1:24">
      <c r="A24" s="15">
        <v>22</v>
      </c>
      <c r="B24" s="15">
        <f ca="1">IFERROR(__xludf.DUMMYFUNCTION("""COMPUTED_VALUE"""),2184)</f>
        <v>2184</v>
      </c>
      <c r="C24" s="16" t="str">
        <f ca="1">IFERROR(__xludf.DUMMYFUNCTION("""COMPUTED_VALUE"""),"Putri Rizky Fadilla")</f>
        <v>Putri Rizky Fadilla</v>
      </c>
      <c r="D24" s="16" t="str">
        <f ca="1">IFERROR(__xludf.DUMMYFUNCTION("""COMPUTED_VALUE"""),"08211840000025")</f>
        <v>08211840000025</v>
      </c>
      <c r="E24" s="16" t="str">
        <f ca="1">IFERROR(__xludf.DUMMYFUNCTION("""COMPUTED_VALUE"""),"Departemen Perencanaan Wilayah dan Kota")</f>
        <v>Departemen Perencanaan Wilayah dan Kota</v>
      </c>
      <c r="F24" s="16" t="str">
        <f ca="1">IFERROR(__xludf.DUMMYFUNCTION("""COMPUTED_VALUE"""),"STRATEGI PENINGKATAN RESILIENSI PERMUKIMAN KUMUH KOTA SURABAYA TERHADAP BIOLOGICAL HAZARDS BERDASARKAN CITY RESILIENT INDEX (CRI) ")</f>
        <v xml:space="preserve">STRATEGI PENINGKATAN RESILIENSI PERMUKIMAN KUMUH KOTA SURABAYA TERHADAP BIOLOGICAL HAZARDS BERDASARKAN CITY RESILIENT INDEX (CRI) </v>
      </c>
      <c r="G24" s="16" t="str">
        <f ca="1">IFERROR(__xludf.DUMMYFUNCTION("""COMPUTED_VALUE"""),"Adjie Pamungkas, S.T., M.Dev.Plg., Ph.D.")</f>
        <v>Adjie Pamungkas, S.T., M.Dev.Plg., Ph.D.</v>
      </c>
      <c r="H24" s="16" t="str">
        <f ca="1">IFERROR(__xludf.DUMMYFUNCTION("""COMPUTED_VALUE"""),"Dr. Soedarso, S.S., M.Hum.")</f>
        <v>Dr. Soedarso, S.S., M.Hum.</v>
      </c>
      <c r="I24" s="16" t="str">
        <f ca="1">IFERROR(__xludf.DUMMYFUNCTION("""COMPUTED_VALUE"""),"Adi Suryani, S.S., M.ED(LM)., Ph.D.")</f>
        <v>Adi Suryani, S.S., M.ED(LM)., Ph.D.</v>
      </c>
      <c r="J24" s="16"/>
      <c r="K24" s="17" t="s">
        <v>1196</v>
      </c>
      <c r="L24" s="17" t="s">
        <v>1194</v>
      </c>
      <c r="M24" s="19" t="b">
        <v>1</v>
      </c>
      <c r="N24" s="19" t="b">
        <v>1</v>
      </c>
      <c r="O24" s="19" t="b">
        <v>1</v>
      </c>
      <c r="P24" s="7" t="str">
        <f ca="1">IFERROR(__xludf.DUMMYFUNCTION("iferror(vlookup(B24,importrange(""https://docs.google.com/spreadsheets/d/1boHyJQ4e2FU0QG8MHwEi6qjX4hvZWVCHcFfXjq7bbMc/edit?resourcekey#gid=923248883"",""Prop!$C$1:$M""),12,0),IFERROR(vlookup(B24,importrange(""https://docs.google.com/spreadsheets/d/1boHyJQ"&amp;"4e2FU0QG8MHwEi6qjX4hvZWVCHcFfXjq7bbMc/edit?resourcekey#gid=923248883"",""Prop!$N$1:$X""),11,0),iferror(vlookup(B24,importrange(""https://docs.google.com/spreadsheets/d/1boHyJQ4e2FU0QG8MHwEi6qjX4hvZWVCHcFfXjq7bbMc/edit?resourcekey#gid=923248883"",""Prop!$Y"&amp;"$1:$AI""),11,0),iferror(vlookup(B24,importrange(""https://docs.google.com/spreadsheets/d/1boHyJQ4e2FU0QG8MHwEi6qjX4hvZWVCHcFfXjq7bbMc/edit?resourcekey#gid=923248883"",""Prop!$AJ$1:$AT""),11,0),iferror(vlookup(B24,importrange(""https://docs.google.com/spre"&amp;"adsheets/d/1boHyJQ4e2FU0QG8MHwEi6qjX4hvZWVCHcFfXjq7bbMc/edit?resourcekey#gid=923248883"",""Prop!$AU$1:$BE""),11,0),iferror(vlookup(B24,importrange(""https://docs.google.com/spreadsheets/d/1boHyJQ4e2FU0QG8MHwEi6qjX4hvZWVCHcFfXjq7bbMc/edit?resourcekey#gid=9"&amp;"23248883"",""Prop!$BF$1:$BP""),11,0),iferror(vlookup(B24,importrange(""https://docs.google.com/spreadsheets/d/1boHyJQ4e2FU0QG8MHwEi6qjX4hvZWVCHcFfXjq7bbMc/edit?resourcekey#gid=923248883"",""Prop!$BQ$1:$CA""),11,0),iferror(vlookup(B24,importrange(""https:/"&amp;"/docs.google.com/spreadsheets/d/1boHyJQ4e2FU0QG8MHwEi6qjX4hvZWVCHcFfXjq7bbMc/edit?resourcekey#gid=923248883"",""Prop!$CB$1:$CL""),11,0),iferror(vlookup(B24,importrange(""https://docs.google.com/spreadsheets/d/1boHyJQ4e2FU0QG8MHwEi6qjX4hvZWVCHcFfXjq7bbMc/e"&amp;"dit?resourcekey#gid=923248883"",""Prop!$CM$1:$CX""),12,0),iferror(vlookup(B24,importrange(""https://docs.google.com/spreadsheets/d/1boHyJQ4e2FU0QG8MHwEi6qjX4hvZWVCHcFfXjq7bbMc/edit?resourcekey#gid=923248883"",""Prop!$CV$1:$DI""),11,0)))))))))))"),"https://drive.google.com/open?id=1dcV2ITo-2l-f-7oevbiHWDpBxA9zHv8H")</f>
        <v>https://drive.google.com/open?id=1dcV2ITo-2l-f-7oevbiHWDpBxA9zHv8H</v>
      </c>
      <c r="Q24" s="7" t="str">
        <f ca="1">IFERROR(__xludf.DUMMYFUNCTION("iferror(vlookup(B24,importrange(""https://docs.google.com/spreadsheets/d/1p53T2AuvvIqhP7Nf-bo3Uhj8cbKYRPpZdsrBv3x3bAQ/edit?resourcekey#gid=1321652304"",""Prop!$C$1:$M""),11,0),IFERROR(vlookup(B24,importrange(""https://docs.google.com/spreadsheets/d/1p53T2"&amp;"AuvvIqhP7Nf-bo3Uhj8cbKYRPpZdsrBv3x3bAQ/edit?resourcekey#gid=1321652304"",""Prop!$N$1:$X""),11,0),iferror(vlookup(B24,importrange(""https://docs.google.com/spreadsheets/d/1p53T2AuvvIqhP7Nf-bo3Uhj8cbKYRPpZdsrBv3x3bAQ/edit?resourcekey#gid=1321652304"",""Prop"&amp;"!$Y$1:$AI""),11,0),iferror(vlookup(B24,importrange(""https://docs.google.com/spreadsheets/d/1p53T2AuvvIqhP7Nf-bo3Uhj8cbKYRPpZdsrBv3x3bAQ/edit?resourcekey#gid=1321652304"",""Prop!$AJ$1:$AT""),11,0),iferror(vlookup(B24,importrange(""https://docs.google.com/"&amp;"spreadsheets/d/1p53T2AuvvIqhP7Nf-bo3Uhj8cbKYRPpZdsrBv3x3bAQ/edit?resourcekey#gid=1321652304"",""Prop!$AU$1:$BE""),11,0),iferror(vlookup(B24,importrange(""https://docs.google.com/spreadsheets/d/1p53T2AuvvIqhP7Nf-bo3Uhj8cbKYRPpZdsrBv3x3bAQ/edit?resourcekey#"&amp;"gid=1321652304"",""Prop!$BF$1:$BP""),11,0),iferror(vlookup(B24,importrange(""https://docs.google.com/spreadsheets/d/1p53T2AuvvIqhP7Nf-bo3Uhj8cbKYRPpZdsrBv3x3bAQ/edit?resourcekey#gid=1321652304"",""Prop!$BQ$1:$CA""),11,0),iferror(vlookup(B24,importrange("""&amp;"https://docs.google.com/spreadsheets/d/1p53T2AuvvIqhP7Nf-bo3Uhj8cbKYRPpZdsrBv3x3bAQ/edit?resourcekey#gid=1321652304"",""Prop!$CB$1:$CL""),11,0),iferror(vlookup(B24,importrange(""https://docs.google.com/spreadsheets/d/1p53T2AuvvIqhP7Nf-bo3Uhj8cbKYRPpZdsrBv"&amp;"3x3bAQ/edit?resourcekey#gid=1321652304"",""Prop!$CM$1:$CX""),12,0),iferror(vlookup(B24,importrange(""https://docs.google.com/spreadsheets/d/1p53T2AuvvIqhP7Nf-bo3Uhj8cbKYRPpZdsrBv3x3bAQ/edit?resourcekey#gid=1321652304"",""Prop!$CY$1:$DI""),11,0)))))))))))"),"https://drive.google.com/open?id=1dCwS2NzNmYSPqdBE08SRuIprtMRGQ2fU")</f>
        <v>https://drive.google.com/open?id=1dCwS2NzNmYSPqdBE08SRuIprtMRGQ2fU</v>
      </c>
      <c r="R24" s="88" t="s">
        <v>1185</v>
      </c>
      <c r="S24" s="20" t="str">
        <f ca="1">IFERROR(__xludf.DUMMYFUNCTION("IFERROR(vlookup(B24,IMPORTRANGE(""https://docs.google.com/spreadsheets/d/1g_jfYYK_KeipEDNDUgqgrsxK94XiocfNQIcP-v1QVhI/edit?resourcekey#gid=233272945"",""Nilai!B:CT""),86,0),"" "")"),"Perlu mempertajam aspek kreatifitasnya (detail ada di proposal)")</f>
        <v>Perlu mempertajam aspek kreatifitasnya (detail ada di proposal)</v>
      </c>
      <c r="T24" s="20" t="str">
        <f ca="1">IFERROR(__xludf.DUMMYFUNCTION("IFERROR(vlookup(B24,IMPORTRANGE(""https://docs.google.com/spreadsheets/d/1g_jfYYK_KeipEDNDUgqgrsxK94XiocfNQIcP-v1QVhI/edit?resourcekey#gid=233272945"",""Nilai!B:CT""),97,0),"" "")"),"LAYAK UPLOAD KE SIMBELMAWA DENGAN REVISI")</f>
        <v>LAYAK UPLOAD KE SIMBELMAWA DENGAN REVISI</v>
      </c>
      <c r="U24" s="1" t="s">
        <v>786</v>
      </c>
      <c r="V24" s="1" t="s">
        <v>786</v>
      </c>
      <c r="W24" s="23" t="s">
        <v>1197</v>
      </c>
      <c r="X24" s="65" t="b">
        <v>1</v>
      </c>
    </row>
    <row r="25" spans="1:24">
      <c r="A25" s="15">
        <v>23</v>
      </c>
      <c r="B25" s="15">
        <f ca="1">IFERROR(__xludf.DUMMYFUNCTION("""COMPUTED_VALUE"""),2843)</f>
        <v>2843</v>
      </c>
      <c r="C25" s="16" t="str">
        <f ca="1">IFERROR(__xludf.DUMMYFUNCTION("""COMPUTED_VALUE"""),"I DEWA AYU DINDA GITA DEWI")</f>
        <v>I DEWA AYU DINDA GITA DEWI</v>
      </c>
      <c r="D25" s="16" t="str">
        <f ca="1">IFERROR(__xludf.DUMMYFUNCTION("""COMPUTED_VALUE"""),"08211840000094")</f>
        <v>08211840000094</v>
      </c>
      <c r="E25" s="16" t="str">
        <f ca="1">IFERROR(__xludf.DUMMYFUNCTION("""COMPUTED_VALUE"""),"Departemen Perencanaan Wilayah dan Kota")</f>
        <v>Departemen Perencanaan Wilayah dan Kota</v>
      </c>
      <c r="F25" s="16" t="str">
        <f ca="1">IFERROR(__xludf.DUMMYFUNCTION("""COMPUTED_VALUE"""),"Eksplorasi Tri Hita Karana sebagai Kearifan Lokal Desa Adat Kuta dalam Membentuk Tourism Resilience")</f>
        <v>Eksplorasi Tri Hita Karana sebagai Kearifan Lokal Desa Adat Kuta dalam Membentuk Tourism Resilience</v>
      </c>
      <c r="G25" s="16" t="str">
        <f ca="1">IFERROR(__xludf.DUMMYFUNCTION("""COMPUTED_VALUE"""),"Hertiari Idajati, S.T., M.Sc.")</f>
        <v>Hertiari Idajati, S.T., M.Sc.</v>
      </c>
      <c r="H25" s="16" t="str">
        <f ca="1">IFERROR(__xludf.DUMMYFUNCTION("""COMPUTED_VALUE"""),"Mochamad Yusuf, S.T., M.Sc.")</f>
        <v>Mochamad Yusuf, S.T., M.Sc.</v>
      </c>
      <c r="I25" s="16" t="str">
        <f ca="1">IFERROR(__xludf.DUMMYFUNCTION("""COMPUTED_VALUE"""),"Mahardika F. Rois, S.T, M.T")</f>
        <v>Mahardika F. Rois, S.T, M.T</v>
      </c>
      <c r="J25" s="16"/>
      <c r="K25" s="17" t="s">
        <v>1196</v>
      </c>
      <c r="L25" s="17" t="s">
        <v>1194</v>
      </c>
      <c r="M25" s="19" t="b">
        <v>0</v>
      </c>
      <c r="N25" s="19" t="b">
        <v>0</v>
      </c>
      <c r="O25" s="19" t="b">
        <v>0</v>
      </c>
      <c r="P25" s="7" t="str">
        <f ca="1">IFERROR(__xludf.DUMMYFUNCTION("iferror(vlookup(B25,importrange(""https://docs.google.com/spreadsheets/d/1boHyJQ4e2FU0QG8MHwEi6qjX4hvZWVCHcFfXjq7bbMc/edit?resourcekey#gid=923248883"",""Prop!$C$1:$M""),12,0),IFERROR(vlookup(B25,importrange(""https://docs.google.com/spreadsheets/d/1boHyJQ"&amp;"4e2FU0QG8MHwEi6qjX4hvZWVCHcFfXjq7bbMc/edit?resourcekey#gid=923248883"",""Prop!$N$1:$X""),11,0),iferror(vlookup(B25,importrange(""https://docs.google.com/spreadsheets/d/1boHyJQ4e2FU0QG8MHwEi6qjX4hvZWVCHcFfXjq7bbMc/edit?resourcekey#gid=923248883"",""Prop!$Y"&amp;"$1:$AI""),11,0),iferror(vlookup(B25,importrange(""https://docs.google.com/spreadsheets/d/1boHyJQ4e2FU0QG8MHwEi6qjX4hvZWVCHcFfXjq7bbMc/edit?resourcekey#gid=923248883"",""Prop!$AJ$1:$AT""),11,0),iferror(vlookup(B25,importrange(""https://docs.google.com/spre"&amp;"adsheets/d/1boHyJQ4e2FU0QG8MHwEi6qjX4hvZWVCHcFfXjq7bbMc/edit?resourcekey#gid=923248883"",""Prop!$AU$1:$BE""),11,0),iferror(vlookup(B25,importrange(""https://docs.google.com/spreadsheets/d/1boHyJQ4e2FU0QG8MHwEi6qjX4hvZWVCHcFfXjq7bbMc/edit?resourcekey#gid=9"&amp;"23248883"",""Prop!$BF$1:$BP""),11,0),iferror(vlookup(B25,importrange(""https://docs.google.com/spreadsheets/d/1boHyJQ4e2FU0QG8MHwEi6qjX4hvZWVCHcFfXjq7bbMc/edit?resourcekey#gid=923248883"",""Prop!$BQ$1:$CA""),11,0),iferror(vlookup(B25,importrange(""https:/"&amp;"/docs.google.com/spreadsheets/d/1boHyJQ4e2FU0QG8MHwEi6qjX4hvZWVCHcFfXjq7bbMc/edit?resourcekey#gid=923248883"",""Prop!$CB$1:$CL""),11,0),iferror(vlookup(B25,importrange(""https://docs.google.com/spreadsheets/d/1boHyJQ4e2FU0QG8MHwEi6qjX4hvZWVCHcFfXjq7bbMc/e"&amp;"dit?resourcekey#gid=923248883"",""Prop!$CM$1:$CX""),12,0),iferror(vlookup(B25,importrange(""https://docs.google.com/spreadsheets/d/1boHyJQ4e2FU0QG8MHwEi6qjX4hvZWVCHcFfXjq7bbMc/edit?resourcekey#gid=923248883"",""Prop!$CV$1:$DI""),11,0)))))))))))"),"https://drive.google.com/open?id=1voOma_iFtyVYhw77ppTQm9Ubqa1MIvjp")</f>
        <v>https://drive.google.com/open?id=1voOma_iFtyVYhw77ppTQm9Ubqa1MIvjp</v>
      </c>
      <c r="Q25" s="7" t="str">
        <f ca="1">IFERROR(__xludf.DUMMYFUNCTION("iferror(vlookup(B25,importrange(""https://docs.google.com/spreadsheets/d/1p53T2AuvvIqhP7Nf-bo3Uhj8cbKYRPpZdsrBv3x3bAQ/edit?resourcekey#gid=1321652304"",""Prop!$C$1:$M""),11,0),IFERROR(vlookup(B25,importrange(""https://docs.google.com/spreadsheets/d/1p53T2"&amp;"AuvvIqhP7Nf-bo3Uhj8cbKYRPpZdsrBv3x3bAQ/edit?resourcekey#gid=1321652304"",""Prop!$N$1:$X""),11,0),iferror(vlookup(B25,importrange(""https://docs.google.com/spreadsheets/d/1p53T2AuvvIqhP7Nf-bo3Uhj8cbKYRPpZdsrBv3x3bAQ/edit?resourcekey#gid=1321652304"",""Prop"&amp;"!$Y$1:$AI""),11,0),iferror(vlookup(B25,importrange(""https://docs.google.com/spreadsheets/d/1p53T2AuvvIqhP7Nf-bo3Uhj8cbKYRPpZdsrBv3x3bAQ/edit?resourcekey#gid=1321652304"",""Prop!$AJ$1:$AT""),11,0),iferror(vlookup(B25,importrange(""https://docs.google.com/"&amp;"spreadsheets/d/1p53T2AuvvIqhP7Nf-bo3Uhj8cbKYRPpZdsrBv3x3bAQ/edit?resourcekey#gid=1321652304"",""Prop!$AU$1:$BE""),11,0),iferror(vlookup(B25,importrange(""https://docs.google.com/spreadsheets/d/1p53T2AuvvIqhP7Nf-bo3Uhj8cbKYRPpZdsrBv3x3bAQ/edit?resourcekey#"&amp;"gid=1321652304"",""Prop!$BF$1:$BP""),11,0),iferror(vlookup(B25,importrange(""https://docs.google.com/spreadsheets/d/1p53T2AuvvIqhP7Nf-bo3Uhj8cbKYRPpZdsrBv3x3bAQ/edit?resourcekey#gid=1321652304"",""Prop!$BQ$1:$CA""),11,0),iferror(vlookup(B25,importrange("""&amp;"https://docs.google.com/spreadsheets/d/1p53T2AuvvIqhP7Nf-bo3Uhj8cbKYRPpZdsrBv3x3bAQ/edit?resourcekey#gid=1321652304"",""Prop!$CB$1:$CL""),11,0),iferror(vlookup(B25,importrange(""https://docs.google.com/spreadsheets/d/1p53T2AuvvIqhP7Nf-bo3Uhj8cbKYRPpZdsrBv"&amp;"3x3bAQ/edit?resourcekey#gid=1321652304"",""Prop!$CM$1:$CX""),12,0),iferror(vlookup(B25,importrange(""https://docs.google.com/spreadsheets/d/1p53T2AuvvIqhP7Nf-bo3Uhj8cbKYRPpZdsrBv3x3bAQ/edit?resourcekey#gid=1321652304"",""Prop!$CY$1:$DI""),11,0)))))))))))"),"https://drive.google.com/open?id=1Wlrv_JnLBfbPb5S49NJ4yDf5yhUsipjm")</f>
        <v>https://drive.google.com/open?id=1Wlrv_JnLBfbPb5S49NJ4yDf5yhUsipjm</v>
      </c>
      <c r="R25" s="88" t="s">
        <v>1185</v>
      </c>
      <c r="S25" s="20" t="str">
        <f ca="1">IFERROR(__xludf.DUMMYFUNCTION("IFERROR(vlookup(B25,IMPORTRANGE(""https://docs.google.com/spreadsheets/d/1g_jfYYK_KeipEDNDUgqgrsxK94XiocfNQIcP-v1QVhI/edit?resourcekey#gid=233272945"",""Nilai!B:CT""),86,0),"" "")"),"1. memperbaiki fokus masalah dan keterbaruan penelitian
2. memperkaya rujukan penelitian sebelumnya
3. menyesuaikan metode penelitian")</f>
        <v>1. memperbaiki fokus masalah dan keterbaruan penelitian
2. memperkaya rujukan penelitian sebelumnya
3. menyesuaikan metode penelitian</v>
      </c>
      <c r="T25" s="20" t="str">
        <f ca="1">IFERROR(__xludf.DUMMYFUNCTION("IFERROR(vlookup(B25,IMPORTRANGE(""https://docs.google.com/spreadsheets/d/1g_jfYYK_KeipEDNDUgqgrsxK94XiocfNQIcP-v1QVhI/edit?resourcekey#gid=233272945"",""Nilai!B:CT""),97,0),"" "")"),"LAYAK UPLOAD KE SIMBELMAWA DENGAN REVISI")</f>
        <v>LAYAK UPLOAD KE SIMBELMAWA DENGAN REVISI</v>
      </c>
      <c r="U25" s="1" t="s">
        <v>786</v>
      </c>
      <c r="V25" s="1" t="s">
        <v>786</v>
      </c>
      <c r="W25" s="23" t="s">
        <v>1197</v>
      </c>
      <c r="X25" s="65" t="b">
        <v>1</v>
      </c>
    </row>
    <row r="26" spans="1:24">
      <c r="A26" s="15">
        <v>24</v>
      </c>
      <c r="B26" s="15">
        <f ca="1">IFERROR(__xludf.DUMMYFUNCTION("""COMPUTED_VALUE"""),2997)</f>
        <v>2997</v>
      </c>
      <c r="C26" s="16" t="str">
        <f ca="1">IFERROR(__xludf.DUMMYFUNCTION("""COMPUTED_VALUE"""),"FILDZAH NADILAH HANINA")</f>
        <v>FILDZAH NADILAH HANINA</v>
      </c>
      <c r="D26" s="16" t="str">
        <f ca="1">IFERROR(__xludf.DUMMYFUNCTION("""COMPUTED_VALUE"""),"08211840000056")</f>
        <v>08211840000056</v>
      </c>
      <c r="E26" s="16" t="str">
        <f ca="1">IFERROR(__xludf.DUMMYFUNCTION("""COMPUTED_VALUE"""),"Departemen Perencanaan Wilayah dan Kota")</f>
        <v>Departemen Perencanaan Wilayah dan Kota</v>
      </c>
      <c r="F26" s="16" t="str">
        <f ca="1">IFERROR(__xludf.DUMMYFUNCTION("""COMPUTED_VALUE"""),"Rancangan Ruang Publik Melalui Pendekatan Crime Prevention Through Enviromental Design (CPTED) Untuk Mengurangi Tindak Kejahatan")</f>
        <v>Rancangan Ruang Publik Melalui Pendekatan Crime Prevention Through Enviromental Design (CPTED) Untuk Mengurangi Tindak Kejahatan</v>
      </c>
      <c r="G26" s="16" t="str">
        <f ca="1">IFERROR(__xludf.DUMMYFUNCTION("""COMPUTED_VALUE"""),"Prananda Navitas, S.T., M.Sc.")</f>
        <v>Prananda Navitas, S.T., M.Sc.</v>
      </c>
      <c r="H26" s="16" t="str">
        <f ca="1">IFERROR(__xludf.DUMMYFUNCTION("""COMPUTED_VALUE"""),"Welly Herumurti, S.T., M.Sc.")</f>
        <v>Welly Herumurti, S.T., M.Sc.</v>
      </c>
      <c r="I26" s="16" t="str">
        <f ca="1">IFERROR(__xludf.DUMMYFUNCTION("""COMPUTED_VALUE"""),"Mukti Ratna Dewi, S.Si., M.Sc.")</f>
        <v>Mukti Ratna Dewi, S.Si., M.Sc.</v>
      </c>
      <c r="J26" s="16" t="str">
        <f ca="1">IFERROR(__xludf.DUMMYFUNCTION("""COMPUTED_VALUE"""),"Putu Gde Ariastita, S.T., M.T.")</f>
        <v>Putu Gde Ariastita, S.T., M.T.</v>
      </c>
      <c r="K26" s="17" t="s">
        <v>1196</v>
      </c>
      <c r="L26" s="17" t="s">
        <v>1194</v>
      </c>
      <c r="M26" s="19" t="b">
        <v>1</v>
      </c>
      <c r="N26" s="19" t="b">
        <v>1</v>
      </c>
      <c r="O26" s="19" t="b">
        <v>1</v>
      </c>
      <c r="P26" s="7" t="str">
        <f ca="1">IFERROR(__xludf.DUMMYFUNCTION("iferror(vlookup(B26,importrange(""https://docs.google.com/spreadsheets/d/1boHyJQ4e2FU0QG8MHwEi6qjX4hvZWVCHcFfXjq7bbMc/edit?resourcekey#gid=923248883"",""Prop!$C$1:$M""),12,0),IFERROR(vlookup(B26,importrange(""https://docs.google.com/spreadsheets/d/1boHyJQ"&amp;"4e2FU0QG8MHwEi6qjX4hvZWVCHcFfXjq7bbMc/edit?resourcekey#gid=923248883"",""Prop!$N$1:$X""),11,0),iferror(vlookup(B26,importrange(""https://docs.google.com/spreadsheets/d/1boHyJQ4e2FU0QG8MHwEi6qjX4hvZWVCHcFfXjq7bbMc/edit?resourcekey#gid=923248883"",""Prop!$Y"&amp;"$1:$AI""),11,0),iferror(vlookup(B26,importrange(""https://docs.google.com/spreadsheets/d/1boHyJQ4e2FU0QG8MHwEi6qjX4hvZWVCHcFfXjq7bbMc/edit?resourcekey#gid=923248883"",""Prop!$AJ$1:$AT""),11,0),iferror(vlookup(B26,importrange(""https://docs.google.com/spre"&amp;"adsheets/d/1boHyJQ4e2FU0QG8MHwEi6qjX4hvZWVCHcFfXjq7bbMc/edit?resourcekey#gid=923248883"",""Prop!$AU$1:$BE""),11,0),iferror(vlookup(B26,importrange(""https://docs.google.com/spreadsheets/d/1boHyJQ4e2FU0QG8MHwEi6qjX4hvZWVCHcFfXjq7bbMc/edit?resourcekey#gid=9"&amp;"23248883"",""Prop!$BF$1:$BP""),11,0),iferror(vlookup(B26,importrange(""https://docs.google.com/spreadsheets/d/1boHyJQ4e2FU0QG8MHwEi6qjX4hvZWVCHcFfXjq7bbMc/edit?resourcekey#gid=923248883"",""Prop!$BQ$1:$CA""),11,0),iferror(vlookup(B26,importrange(""https:/"&amp;"/docs.google.com/spreadsheets/d/1boHyJQ4e2FU0QG8MHwEi6qjX4hvZWVCHcFfXjq7bbMc/edit?resourcekey#gid=923248883"",""Prop!$CB$1:$CL""),11,0),iferror(vlookup(B26,importrange(""https://docs.google.com/spreadsheets/d/1boHyJQ4e2FU0QG8MHwEi6qjX4hvZWVCHcFfXjq7bbMc/e"&amp;"dit?resourcekey#gid=923248883"",""Prop!$CM$1:$CX""),12,0),iferror(vlookup(B26,importrange(""https://docs.google.com/spreadsheets/d/1boHyJQ4e2FU0QG8MHwEi6qjX4hvZWVCHcFfXjq7bbMc/edit?resourcekey#gid=923248883"",""Prop!$CV$1:$DI""),11,0)))))))))))"),"https://drive.google.com/open?id=1-x-1toS7sZI91PlEQ78O5IMIu9YNajXf")</f>
        <v>https://drive.google.com/open?id=1-x-1toS7sZI91PlEQ78O5IMIu9YNajXf</v>
      </c>
      <c r="Q26" s="7" t="str">
        <f ca="1">IFERROR(__xludf.DUMMYFUNCTION("iferror(vlookup(B26,importrange(""https://docs.google.com/spreadsheets/d/1p53T2AuvvIqhP7Nf-bo3Uhj8cbKYRPpZdsrBv3x3bAQ/edit?resourcekey#gid=1321652304"",""Prop!$C$1:$M""),11,0),IFERROR(vlookup(B26,importrange(""https://docs.google.com/spreadsheets/d/1p53T2"&amp;"AuvvIqhP7Nf-bo3Uhj8cbKYRPpZdsrBv3x3bAQ/edit?resourcekey#gid=1321652304"",""Prop!$N$1:$X""),11,0),iferror(vlookup(B26,importrange(""https://docs.google.com/spreadsheets/d/1p53T2AuvvIqhP7Nf-bo3Uhj8cbKYRPpZdsrBv3x3bAQ/edit?resourcekey#gid=1321652304"",""Prop"&amp;"!$Y$1:$AI""),11,0),iferror(vlookup(B26,importrange(""https://docs.google.com/spreadsheets/d/1p53T2AuvvIqhP7Nf-bo3Uhj8cbKYRPpZdsrBv3x3bAQ/edit?resourcekey#gid=1321652304"",""Prop!$AJ$1:$AT""),11,0),iferror(vlookup(B26,importrange(""https://docs.google.com/"&amp;"spreadsheets/d/1p53T2AuvvIqhP7Nf-bo3Uhj8cbKYRPpZdsrBv3x3bAQ/edit?resourcekey#gid=1321652304"",""Prop!$AU$1:$BE""),11,0),iferror(vlookup(B26,importrange(""https://docs.google.com/spreadsheets/d/1p53T2AuvvIqhP7Nf-bo3Uhj8cbKYRPpZdsrBv3x3bAQ/edit?resourcekey#"&amp;"gid=1321652304"",""Prop!$BF$1:$BP""),11,0),iferror(vlookup(B26,importrange(""https://docs.google.com/spreadsheets/d/1p53T2AuvvIqhP7Nf-bo3Uhj8cbKYRPpZdsrBv3x3bAQ/edit?resourcekey#gid=1321652304"",""Prop!$BQ$1:$CA""),11,0),iferror(vlookup(B26,importrange("""&amp;"https://docs.google.com/spreadsheets/d/1p53T2AuvvIqhP7Nf-bo3Uhj8cbKYRPpZdsrBv3x3bAQ/edit?resourcekey#gid=1321652304"",""Prop!$CB$1:$CL""),11,0),iferror(vlookup(B26,importrange(""https://docs.google.com/spreadsheets/d/1p53T2AuvvIqhP7Nf-bo3Uhj8cbKYRPpZdsrBv"&amp;"3x3bAQ/edit?resourcekey#gid=1321652304"",""Prop!$CM$1:$CX""),12,0),iferror(vlookup(B26,importrange(""https://docs.google.com/spreadsheets/d/1p53T2AuvvIqhP7Nf-bo3Uhj8cbKYRPpZdsrBv3x3bAQ/edit?resourcekey#gid=1321652304"",""Prop!$CY$1:$DI""),11,0)))))))))))"),"https://drive.google.com/open?id=1R9KzBzv2rzhPTsrV0_uh66FVyeNz6AUP")</f>
        <v>https://drive.google.com/open?id=1R9KzBzv2rzhPTsrV0_uh66FVyeNz6AUP</v>
      </c>
      <c r="R26" s="88" t="s">
        <v>1185</v>
      </c>
      <c r="S26" s="20" t="str">
        <f ca="1">IFERROR(__xludf.DUMMYFUNCTION("IFERROR(vlookup(B26,IMPORTRANGE(""https://docs.google.com/spreadsheets/d/1g_jfYYK_KeipEDNDUgqgrsxK94XiocfNQIcP-v1QVhI/edit?resourcekey#gid=233272945"",""Nilai!B:CT""),86,0),"" "")"),"1. format anggaran masih keliru
2. jumlah halaman lebih dari ketentuan
3. ide ok, tinggal memperkuat latar belakang ")</f>
        <v xml:space="preserve">1. format anggaran masih keliru
2. jumlah halaman lebih dari ketentuan
3. ide ok, tinggal memperkuat latar belakang </v>
      </c>
      <c r="T26" s="20" t="str">
        <f ca="1">IFERROR(__xludf.DUMMYFUNCTION("IFERROR(vlookup(B26,IMPORTRANGE(""https://docs.google.com/spreadsheets/d/1g_jfYYK_KeipEDNDUgqgrsxK94XiocfNQIcP-v1QVhI/edit?resourcekey#gid=233272945"",""Nilai!B:CT""),97,0),"" "")"),"LAYAK UPLOAD KE SIMBELMAWA DENGAN REVISI")</f>
        <v>LAYAK UPLOAD KE SIMBELMAWA DENGAN REVISI</v>
      </c>
      <c r="U26" s="1" t="s">
        <v>786</v>
      </c>
      <c r="V26" s="1" t="s">
        <v>786</v>
      </c>
      <c r="W26" s="23" t="s">
        <v>1197</v>
      </c>
      <c r="X26" s="53" t="b">
        <v>0</v>
      </c>
    </row>
    <row r="27" spans="1:24">
      <c r="A27" s="15">
        <v>25</v>
      </c>
      <c r="B27" s="15">
        <f ca="1">IFERROR(__xludf.DUMMYFUNCTION("""COMPUTED_VALUE"""),3875)</f>
        <v>3875</v>
      </c>
      <c r="C27" s="16" t="str">
        <f ca="1">IFERROR(__xludf.DUMMYFUNCTION("""COMPUTED_VALUE"""),"TALITHA AURELLIA ALFIANSYAH")</f>
        <v>TALITHA AURELLIA ALFIANSYAH</v>
      </c>
      <c r="D27" s="16" t="str">
        <f ca="1">IFERROR(__xludf.DUMMYFUNCTION("""COMPUTED_VALUE"""),"08211840000004")</f>
        <v>08211840000004</v>
      </c>
      <c r="E27" s="16" t="str">
        <f ca="1">IFERROR(__xludf.DUMMYFUNCTION("""COMPUTED_VALUE"""),"Departemen Perencanaan Wilayah dan Kota")</f>
        <v>Departemen Perencanaan Wilayah dan Kota</v>
      </c>
      <c r="F27" s="16" t="str">
        <f ca="1">IFERROR(__xludf.DUMMYFUNCTION("""COMPUTED_VALUE"""),"PENGARUH AKSESIBILITAS DAN PENGGUNAAN RTH PUBLIK TERHADAP KONDISI SUBJECTIVE WELL-BEING PENDUDUK KOTA SURABAYA")</f>
        <v>PENGARUH AKSESIBILITAS DAN PENGGUNAAN RTH PUBLIK TERHADAP KONDISI SUBJECTIVE WELL-BEING PENDUDUK KOTA SURABAYA</v>
      </c>
      <c r="G27" s="16" t="str">
        <f ca="1">IFERROR(__xludf.DUMMYFUNCTION("""COMPUTED_VALUE"""),"Rulli Pratiwi Setiawan, S.T., M.Sc., Ph.D.")</f>
        <v>Rulli Pratiwi Setiawan, S.T., M.Sc., Ph.D.</v>
      </c>
      <c r="H27" s="16" t="str">
        <f ca="1">IFERROR(__xludf.DUMMYFUNCTION("""COMPUTED_VALUE"""),"Dr. Soedarso, S.S., M.Hum.")</f>
        <v>Dr. Soedarso, S.S., M.Hum.</v>
      </c>
      <c r="I27" s="16" t="str">
        <f ca="1">IFERROR(__xludf.DUMMYFUNCTION("""COMPUTED_VALUE"""),"Mukti Ratna Dewi, S.Si., M.Sc.")</f>
        <v>Mukti Ratna Dewi, S.Si., M.Sc.</v>
      </c>
      <c r="J27" s="16"/>
      <c r="K27" s="17" t="s">
        <v>1196</v>
      </c>
      <c r="L27" s="17" t="s">
        <v>1194</v>
      </c>
      <c r="M27" s="19" t="b">
        <v>0</v>
      </c>
      <c r="N27" s="19" t="b">
        <v>0</v>
      </c>
      <c r="O27" s="19" t="b">
        <v>0</v>
      </c>
      <c r="P27" s="1" t="str">
        <f ca="1">IFERROR(__xludf.DUMMYFUNCTION("iferror(vlookup(B27,importrange(""https://docs.google.com/spreadsheets/d/1boHyJQ4e2FU0QG8MHwEi6qjX4hvZWVCHcFfXjq7bbMc/edit?resourcekey#gid=923248883"",""Prop!$C$1:$M""),12,0),IFERROR(vlookup(B27,importrange(""https://docs.google.com/spreadsheets/d/1boHyJQ"&amp;"4e2FU0QG8MHwEi6qjX4hvZWVCHcFfXjq7bbMc/edit?resourcekey#gid=923248883"",""Prop!$N$1:$X""),11,0),iferror(vlookup(B27,importrange(""https://docs.google.com/spreadsheets/d/1boHyJQ4e2FU0QG8MHwEi6qjX4hvZWVCHcFfXjq7bbMc/edit?resourcekey#gid=923248883"",""Prop!$Y"&amp;"$1:$AI""),11,0),iferror(vlookup(B27,importrange(""https://docs.google.com/spreadsheets/d/1boHyJQ4e2FU0QG8MHwEi6qjX4hvZWVCHcFfXjq7bbMc/edit?resourcekey#gid=923248883"",""Prop!$AJ$1:$AT""),11,0),iferror(vlookup(B27,importrange(""https://docs.google.com/spre"&amp;"adsheets/d/1boHyJQ4e2FU0QG8MHwEi6qjX4hvZWVCHcFfXjq7bbMc/edit?resourcekey#gid=923248883"",""Prop!$AU$1:$BE""),11,0),iferror(vlookup(B27,importrange(""https://docs.google.com/spreadsheets/d/1boHyJQ4e2FU0QG8MHwEi6qjX4hvZWVCHcFfXjq7bbMc/edit?resourcekey#gid=9"&amp;"23248883"",""Prop!$BF$1:$BP""),11,0),iferror(vlookup(B27,importrange(""https://docs.google.com/spreadsheets/d/1boHyJQ4e2FU0QG8MHwEi6qjX4hvZWVCHcFfXjq7bbMc/edit?resourcekey#gid=923248883"",""Prop!$BQ$1:$CA""),11,0),iferror(vlookup(B27,importrange(""https:/"&amp;"/docs.google.com/spreadsheets/d/1boHyJQ4e2FU0QG8MHwEi6qjX4hvZWVCHcFfXjq7bbMc/edit?resourcekey#gid=923248883"",""Prop!$CB$1:$CL""),11,0),iferror(vlookup(B27,importrange(""https://docs.google.com/spreadsheets/d/1boHyJQ4e2FU0QG8MHwEi6qjX4hvZWVCHcFfXjq7bbMc/e"&amp;"dit?resourcekey#gid=923248883"",""Prop!$CM$1:$CX""),12,0),iferror(vlookup(B27,importrange(""https://docs.google.com/spreadsheets/d/1boHyJQ4e2FU0QG8MHwEi6qjX4hvZWVCHcFfXjq7bbMc/edit?resourcekey#gid=923248883"",""Prop!$CV$1:$DI""),11,0)))))))))))"),"")</f>
        <v/>
      </c>
      <c r="Q27" s="7" t="str">
        <f ca="1">IFERROR(__xludf.DUMMYFUNCTION("iferror(vlookup(B27,importrange(""https://docs.google.com/spreadsheets/d/1p53T2AuvvIqhP7Nf-bo3Uhj8cbKYRPpZdsrBv3x3bAQ/edit?resourcekey#gid=1321652304"",""Prop!$C$1:$M""),11,0),IFERROR(vlookup(B27,importrange(""https://docs.google.com/spreadsheets/d/1p53T2"&amp;"AuvvIqhP7Nf-bo3Uhj8cbKYRPpZdsrBv3x3bAQ/edit?resourcekey#gid=1321652304"",""Prop!$N$1:$X""),11,0),iferror(vlookup(B27,importrange(""https://docs.google.com/spreadsheets/d/1p53T2AuvvIqhP7Nf-bo3Uhj8cbKYRPpZdsrBv3x3bAQ/edit?resourcekey#gid=1321652304"",""Prop"&amp;"!$Y$1:$AI""),11,0),iferror(vlookup(B27,importrange(""https://docs.google.com/spreadsheets/d/1p53T2AuvvIqhP7Nf-bo3Uhj8cbKYRPpZdsrBv3x3bAQ/edit?resourcekey#gid=1321652304"",""Prop!$AJ$1:$AT""),11,0),iferror(vlookup(B27,importrange(""https://docs.google.com/"&amp;"spreadsheets/d/1p53T2AuvvIqhP7Nf-bo3Uhj8cbKYRPpZdsrBv3x3bAQ/edit?resourcekey#gid=1321652304"",""Prop!$AU$1:$BE""),11,0),iferror(vlookup(B27,importrange(""https://docs.google.com/spreadsheets/d/1p53T2AuvvIqhP7Nf-bo3Uhj8cbKYRPpZdsrBv3x3bAQ/edit?resourcekey#"&amp;"gid=1321652304"",""Prop!$BF$1:$BP""),11,0),iferror(vlookup(B27,importrange(""https://docs.google.com/spreadsheets/d/1p53T2AuvvIqhP7Nf-bo3Uhj8cbKYRPpZdsrBv3x3bAQ/edit?resourcekey#gid=1321652304"",""Prop!$BQ$1:$CA""),11,0),iferror(vlookup(B27,importrange("""&amp;"https://docs.google.com/spreadsheets/d/1p53T2AuvvIqhP7Nf-bo3Uhj8cbKYRPpZdsrBv3x3bAQ/edit?resourcekey#gid=1321652304"",""Prop!$CB$1:$CL""),11,0),iferror(vlookup(B27,importrange(""https://docs.google.com/spreadsheets/d/1p53T2AuvvIqhP7Nf-bo3Uhj8cbKYRPpZdsrBv"&amp;"3x3bAQ/edit?resourcekey#gid=1321652304"",""Prop!$CM$1:$CX""),12,0),iferror(vlookup(B27,importrange(""https://docs.google.com/spreadsheets/d/1p53T2AuvvIqhP7Nf-bo3Uhj8cbKYRPpZdsrBv3x3bAQ/edit?resourcekey#gid=1321652304"",""Prop!$CY$1:$DI""),11,0)))))))))))"),"https://drive.google.com/open?id=1v3MU_VPVE6M5NnQaWMc7BbdqXUHCRcKL")</f>
        <v>https://drive.google.com/open?id=1v3MU_VPVE6M5NnQaWMc7BbdqXUHCRcKL</v>
      </c>
      <c r="R27" s="88" t="s">
        <v>1185</v>
      </c>
      <c r="S27" s="20" t="str">
        <f ca="1">IFERROR(__xludf.DUMMYFUNCTION("IFERROR(vlookup(B27,IMPORTRANGE(""https://docs.google.com/spreadsheets/d/1g_jfYYK_KeipEDNDUgqgrsxK94XiocfNQIcP-v1QVhI/edit?resourcekey#gid=233272945"",""Nilai!B:CT""),86,0),"" "")"),"-")</f>
        <v>-</v>
      </c>
      <c r="T27" s="20" t="str">
        <f ca="1">IFERROR(__xludf.DUMMYFUNCTION("IFERROR(vlookup(B27,IMPORTRANGE(""https://docs.google.com/spreadsheets/d/1g_jfYYK_KeipEDNDUgqgrsxK94XiocfNQIcP-v1QVhI/edit?resourcekey#gid=233272945"",""Nilai!B:CT""),97,0),"" "")"),"TIDAK LAYAK UPLOAD KE SIMBELMAWA")</f>
        <v>TIDAK LAYAK UPLOAD KE SIMBELMAWA</v>
      </c>
      <c r="U27" s="1" t="s">
        <v>786</v>
      </c>
      <c r="V27" s="1" t="s">
        <v>786</v>
      </c>
      <c r="W27" s="23" t="s">
        <v>1198</v>
      </c>
      <c r="X27" s="53" t="b">
        <v>0</v>
      </c>
    </row>
    <row r="28" spans="1:24">
      <c r="A28" s="15">
        <v>26</v>
      </c>
      <c r="B28" s="15">
        <f ca="1">IFERROR(__xludf.DUMMYFUNCTION("""COMPUTED_VALUE"""),2460)</f>
        <v>2460</v>
      </c>
      <c r="C28" s="16" t="str">
        <f ca="1">IFERROR(__xludf.DUMMYFUNCTION("""COMPUTED_VALUE"""),"MUHAMMAD HUSEIN HABIBULLAH")</f>
        <v>MUHAMMAD HUSEIN HABIBULLAH</v>
      </c>
      <c r="D28" s="16" t="str">
        <f ca="1">IFERROR(__xludf.DUMMYFUNCTION("""COMPUTED_VALUE"""),"08211840000049")</f>
        <v>08211840000049</v>
      </c>
      <c r="E28" s="16" t="str">
        <f ca="1">IFERROR(__xludf.DUMMYFUNCTION("""COMPUTED_VALUE"""),"Departemen Perencanaan Wilayah dan Kota")</f>
        <v>Departemen Perencanaan Wilayah dan Kota</v>
      </c>
      <c r="F28" s="16" t="str">
        <f ca="1">IFERROR(__xludf.DUMMYFUNCTION("""COMPUTED_VALUE"""),"PENERAPAN KONSEP LOW CARBON CITY PADA ASPEK TRANSPORTASI DI SURABAYA")</f>
        <v>PENERAPAN KONSEP LOW CARBON CITY PADA ASPEK TRANSPORTASI DI SURABAYA</v>
      </c>
      <c r="G28" s="16" t="str">
        <f ca="1">IFERROR(__xludf.DUMMYFUNCTION("""COMPUTED_VALUE"""),"Cahyono Susetyo, S.T., M.Sc.")</f>
        <v>Cahyono Susetyo, S.T., M.Sc.</v>
      </c>
      <c r="H28" s="16" t="str">
        <f ca="1">IFERROR(__xludf.DUMMYFUNCTION("""COMPUTED_VALUE"""),"Dr. Soedarso, S.S., M.Hum.")</f>
        <v>Dr. Soedarso, S.S., M.Hum.</v>
      </c>
      <c r="I28" s="16" t="str">
        <f ca="1">IFERROR(__xludf.DUMMYFUNCTION("""COMPUTED_VALUE"""),"Mukti Ratna Dewi, S.Si., M.Sc.")</f>
        <v>Mukti Ratna Dewi, S.Si., M.Sc.</v>
      </c>
      <c r="J28" s="16"/>
      <c r="K28" s="17" t="s">
        <v>1196</v>
      </c>
      <c r="L28" s="17" t="s">
        <v>1194</v>
      </c>
      <c r="M28" s="19" t="b">
        <v>0</v>
      </c>
      <c r="N28" s="19" t="b">
        <v>0</v>
      </c>
      <c r="O28" s="19" t="b">
        <v>0</v>
      </c>
      <c r="P28" s="7" t="str">
        <f ca="1">IFERROR(__xludf.DUMMYFUNCTION("iferror(vlookup(B28,importrange(""https://docs.google.com/spreadsheets/d/1boHyJQ4e2FU0QG8MHwEi6qjX4hvZWVCHcFfXjq7bbMc/edit?resourcekey#gid=923248883"",""Prop!$C$1:$M""),12,0),IFERROR(vlookup(B28,importrange(""https://docs.google.com/spreadsheets/d/1boHyJQ"&amp;"4e2FU0QG8MHwEi6qjX4hvZWVCHcFfXjq7bbMc/edit?resourcekey#gid=923248883"",""Prop!$N$1:$X""),11,0),iferror(vlookup(B28,importrange(""https://docs.google.com/spreadsheets/d/1boHyJQ4e2FU0QG8MHwEi6qjX4hvZWVCHcFfXjq7bbMc/edit?resourcekey#gid=923248883"",""Prop!$Y"&amp;"$1:$AI""),11,0),iferror(vlookup(B28,importrange(""https://docs.google.com/spreadsheets/d/1boHyJQ4e2FU0QG8MHwEi6qjX4hvZWVCHcFfXjq7bbMc/edit?resourcekey#gid=923248883"",""Prop!$AJ$1:$AT""),11,0),iferror(vlookup(B28,importrange(""https://docs.google.com/spre"&amp;"adsheets/d/1boHyJQ4e2FU0QG8MHwEi6qjX4hvZWVCHcFfXjq7bbMc/edit?resourcekey#gid=923248883"",""Prop!$AU$1:$BE""),11,0),iferror(vlookup(B28,importrange(""https://docs.google.com/spreadsheets/d/1boHyJQ4e2FU0QG8MHwEi6qjX4hvZWVCHcFfXjq7bbMc/edit?resourcekey#gid=9"&amp;"23248883"",""Prop!$BF$1:$BP""),11,0),iferror(vlookup(B28,importrange(""https://docs.google.com/spreadsheets/d/1boHyJQ4e2FU0QG8MHwEi6qjX4hvZWVCHcFfXjq7bbMc/edit?resourcekey#gid=923248883"",""Prop!$BQ$1:$CA""),11,0),iferror(vlookup(B28,importrange(""https:/"&amp;"/docs.google.com/spreadsheets/d/1boHyJQ4e2FU0QG8MHwEi6qjX4hvZWVCHcFfXjq7bbMc/edit?resourcekey#gid=923248883"",""Prop!$CB$1:$CL""),11,0),iferror(vlookup(B28,importrange(""https://docs.google.com/spreadsheets/d/1boHyJQ4e2FU0QG8MHwEi6qjX4hvZWVCHcFfXjq7bbMc/e"&amp;"dit?resourcekey#gid=923248883"",""Prop!$CM$1:$CX""),12,0),iferror(vlookup(B28,importrange(""https://docs.google.com/spreadsheets/d/1boHyJQ4e2FU0QG8MHwEi6qjX4hvZWVCHcFfXjq7bbMc/edit?resourcekey#gid=923248883"",""Prop!$CV$1:$DI""),11,0)))))))))))"),"https://drive.google.com/open?id=1UynMr0xIbZ-IFHuV7f_7aTzikzX3wsnD")</f>
        <v>https://drive.google.com/open?id=1UynMr0xIbZ-IFHuV7f_7aTzikzX3wsnD</v>
      </c>
      <c r="Q28" s="1" t="str">
        <f ca="1">IFERROR(__xludf.DUMMYFUNCTION("iferror(vlookup(B28,importrange(""https://docs.google.com/spreadsheets/d/1p53T2AuvvIqhP7Nf-bo3Uhj8cbKYRPpZdsrBv3x3bAQ/edit?resourcekey#gid=1321652304"",""Prop!$C$1:$M""),11,0),IFERROR(vlookup(B28,importrange(""https://docs.google.com/spreadsheets/d/1p53T2"&amp;"AuvvIqhP7Nf-bo3Uhj8cbKYRPpZdsrBv3x3bAQ/edit?resourcekey#gid=1321652304"",""Prop!$N$1:$X""),11,0),iferror(vlookup(B28,importrange(""https://docs.google.com/spreadsheets/d/1p53T2AuvvIqhP7Nf-bo3Uhj8cbKYRPpZdsrBv3x3bAQ/edit?resourcekey#gid=1321652304"",""Prop"&amp;"!$Y$1:$AI""),11,0),iferror(vlookup(B28,importrange(""https://docs.google.com/spreadsheets/d/1p53T2AuvvIqhP7Nf-bo3Uhj8cbKYRPpZdsrBv3x3bAQ/edit?resourcekey#gid=1321652304"",""Prop!$AJ$1:$AT""),11,0),iferror(vlookup(B28,importrange(""https://docs.google.com/"&amp;"spreadsheets/d/1p53T2AuvvIqhP7Nf-bo3Uhj8cbKYRPpZdsrBv3x3bAQ/edit?resourcekey#gid=1321652304"",""Prop!$AU$1:$BE""),11,0),iferror(vlookup(B28,importrange(""https://docs.google.com/spreadsheets/d/1p53T2AuvvIqhP7Nf-bo3Uhj8cbKYRPpZdsrBv3x3bAQ/edit?resourcekey#"&amp;"gid=1321652304"",""Prop!$BF$1:$BP""),11,0),iferror(vlookup(B28,importrange(""https://docs.google.com/spreadsheets/d/1p53T2AuvvIqhP7Nf-bo3Uhj8cbKYRPpZdsrBv3x3bAQ/edit?resourcekey#gid=1321652304"",""Prop!$BQ$1:$CA""),11,0),iferror(vlookup(B28,importrange("""&amp;"https://docs.google.com/spreadsheets/d/1p53T2AuvvIqhP7Nf-bo3Uhj8cbKYRPpZdsrBv3x3bAQ/edit?resourcekey#gid=1321652304"",""Prop!$CB$1:$CL""),11,0),iferror(vlookup(B28,importrange(""https://docs.google.com/spreadsheets/d/1p53T2AuvvIqhP7Nf-bo3Uhj8cbKYRPpZdsrBv"&amp;"3x3bAQ/edit?resourcekey#gid=1321652304"",""Prop!$CM$1:$CX""),12,0),iferror(vlookup(B28,importrange(""https://docs.google.com/spreadsheets/d/1p53T2AuvvIqhP7Nf-bo3Uhj8cbKYRPpZdsrBv3x3bAQ/edit?resourcekey#gid=1321652304"",""Prop!$CY$1:$DI""),11,0)))))))))))"),"")</f>
        <v/>
      </c>
      <c r="R28" s="88" t="s">
        <v>1185</v>
      </c>
      <c r="S28" s="20" t="str">
        <f ca="1">IFERROR(__xludf.DUMMYFUNCTION("IFERROR(vlookup(B28,IMPORTRANGE(""https://docs.google.com/spreadsheets/d/1g_jfYYK_KeipEDNDUgqgrsxK94XiocfNQIcP-v1QVhI/edit?resourcekey#gid=233272945"",""Nilai!B:CT""),86,0),"" "")")," ")</f>
        <v xml:space="preserve"> </v>
      </c>
      <c r="T28" s="20" t="str">
        <f ca="1">IFERROR(__xludf.DUMMYFUNCTION("IFERROR(vlookup(B28,IMPORTRANGE(""https://docs.google.com/spreadsheets/d/1g_jfYYK_KeipEDNDUgqgrsxK94XiocfNQIcP-v1QVhI/edit?resourcekey#gid=233272945"",""Nilai!B:CT""),97,0),"" "")")," ")</f>
        <v xml:space="preserve"> </v>
      </c>
      <c r="U28" s="1" t="s">
        <v>786</v>
      </c>
      <c r="V28" s="1" t="s">
        <v>786</v>
      </c>
      <c r="W28" s="23" t="s">
        <v>1198</v>
      </c>
      <c r="X28" s="53" t="b">
        <v>0</v>
      </c>
    </row>
    <row r="29" spans="1:24">
      <c r="A29" s="15">
        <v>27</v>
      </c>
      <c r="B29" s="15">
        <f ca="1">IFERROR(__xludf.DUMMYFUNCTION("""COMPUTED_VALUE"""),2655)</f>
        <v>2655</v>
      </c>
      <c r="C29" s="16" t="str">
        <f ca="1">IFERROR(__xludf.DUMMYFUNCTION("""COMPUTED_VALUE"""),"DHIDAN TOMYAGISTYAWAN")</f>
        <v>DHIDAN TOMYAGISTYAWAN</v>
      </c>
      <c r="D29" s="16" t="str">
        <f ca="1">IFERROR(__xludf.DUMMYFUNCTION("""COMPUTED_VALUE"""),"08211940000039")</f>
        <v>08211940000039</v>
      </c>
      <c r="E29" s="16" t="str">
        <f ca="1">IFERROR(__xludf.DUMMYFUNCTION("""COMPUTED_VALUE"""),"Departemen Perencanaan Wilayah dan Kota")</f>
        <v>Departemen Perencanaan Wilayah dan Kota</v>
      </c>
      <c r="F29" s="16" t="str">
        <f ca="1">IFERROR(__xludf.DUMMYFUNCTION("""COMPUTED_VALUE"""),"Perubahan Perilaku Masyarakat Terdampak Proyek Kilang Minyak Tuban dan Implikasinya terhadap Perencanaan Kawasan")</f>
        <v>Perubahan Perilaku Masyarakat Terdampak Proyek Kilang Minyak Tuban dan Implikasinya terhadap Perencanaan Kawasan</v>
      </c>
      <c r="G29" s="16" t="str">
        <f ca="1">IFERROR(__xludf.DUMMYFUNCTION("""COMPUTED_VALUE"""),"Putu Gde Ariastita, S.T., M.T.")</f>
        <v>Putu Gde Ariastita, S.T., M.T.</v>
      </c>
      <c r="H29" s="16" t="str">
        <f ca="1">IFERROR(__xludf.DUMMYFUNCTION("""COMPUTED_VALUE"""),"Mochamad Yusuf, S.T., M.Sc.")</f>
        <v>Mochamad Yusuf, S.T., M.Sc.</v>
      </c>
      <c r="I29" s="16" t="str">
        <f ca="1">IFERROR(__xludf.DUMMYFUNCTION("""COMPUTED_VALUE"""),"Galuh Oktavia Siswono, S.Si., M.Si., M.Act,Sc.")</f>
        <v>Galuh Oktavia Siswono, S.Si., M.Si., M.Act,Sc.</v>
      </c>
      <c r="J29" s="16"/>
      <c r="K29" s="17" t="s">
        <v>1196</v>
      </c>
      <c r="L29" s="17" t="s">
        <v>1194</v>
      </c>
      <c r="M29" s="19" t="b">
        <v>1</v>
      </c>
      <c r="N29" s="19" t="b">
        <v>1</v>
      </c>
      <c r="O29" s="19" t="b">
        <v>1</v>
      </c>
      <c r="P29" s="7" t="str">
        <f ca="1">IFERROR(__xludf.DUMMYFUNCTION("iferror(vlookup(B29,importrange(""https://docs.google.com/spreadsheets/d/1boHyJQ4e2FU0QG8MHwEi6qjX4hvZWVCHcFfXjq7bbMc/edit?resourcekey#gid=923248883"",""Prop!$C$1:$M""),12,0),IFERROR(vlookup(B29,importrange(""https://docs.google.com/spreadsheets/d/1boHyJQ"&amp;"4e2FU0QG8MHwEi6qjX4hvZWVCHcFfXjq7bbMc/edit?resourcekey#gid=923248883"",""Prop!$N$1:$X""),11,0),iferror(vlookup(B29,importrange(""https://docs.google.com/spreadsheets/d/1boHyJQ4e2FU0QG8MHwEi6qjX4hvZWVCHcFfXjq7bbMc/edit?resourcekey#gid=923248883"",""Prop!$Y"&amp;"$1:$AI""),11,0),iferror(vlookup(B29,importrange(""https://docs.google.com/spreadsheets/d/1boHyJQ4e2FU0QG8MHwEi6qjX4hvZWVCHcFfXjq7bbMc/edit?resourcekey#gid=923248883"",""Prop!$AJ$1:$AT""),11,0),iferror(vlookup(B29,importrange(""https://docs.google.com/spre"&amp;"adsheets/d/1boHyJQ4e2FU0QG8MHwEi6qjX4hvZWVCHcFfXjq7bbMc/edit?resourcekey#gid=923248883"",""Prop!$AU$1:$BE""),11,0),iferror(vlookup(B29,importrange(""https://docs.google.com/spreadsheets/d/1boHyJQ4e2FU0QG8MHwEi6qjX4hvZWVCHcFfXjq7bbMc/edit?resourcekey#gid=9"&amp;"23248883"",""Prop!$BF$1:$BP""),11,0),iferror(vlookup(B29,importrange(""https://docs.google.com/spreadsheets/d/1boHyJQ4e2FU0QG8MHwEi6qjX4hvZWVCHcFfXjq7bbMc/edit?resourcekey#gid=923248883"",""Prop!$BQ$1:$CA""),11,0),iferror(vlookup(B29,importrange(""https:/"&amp;"/docs.google.com/spreadsheets/d/1boHyJQ4e2FU0QG8MHwEi6qjX4hvZWVCHcFfXjq7bbMc/edit?resourcekey#gid=923248883"",""Prop!$CB$1:$CL""),11,0),iferror(vlookup(B29,importrange(""https://docs.google.com/spreadsheets/d/1boHyJQ4e2FU0QG8MHwEi6qjX4hvZWVCHcFfXjq7bbMc/e"&amp;"dit?resourcekey#gid=923248883"",""Prop!$CM$1:$CX""),12,0),iferror(vlookup(B29,importrange(""https://docs.google.com/spreadsheets/d/1boHyJQ4e2FU0QG8MHwEi6qjX4hvZWVCHcFfXjq7bbMc/edit?resourcekey#gid=923248883"",""Prop!$CV$1:$DI""),11,0)))))))))))"),"https://drive.google.com/open?id=1CVzw_Dsr7m-vhBjjzk4pACjrLkiOAONy")</f>
        <v>https://drive.google.com/open?id=1CVzw_Dsr7m-vhBjjzk4pACjrLkiOAONy</v>
      </c>
      <c r="Q29" s="7" t="str">
        <f ca="1">IFERROR(__xludf.DUMMYFUNCTION("iferror(vlookup(B29,importrange(""https://docs.google.com/spreadsheets/d/1p53T2AuvvIqhP7Nf-bo3Uhj8cbKYRPpZdsrBv3x3bAQ/edit?resourcekey#gid=1321652304"",""Prop!$C$1:$M""),11,0),IFERROR(vlookup(B29,importrange(""https://docs.google.com/spreadsheets/d/1p53T2"&amp;"AuvvIqhP7Nf-bo3Uhj8cbKYRPpZdsrBv3x3bAQ/edit?resourcekey#gid=1321652304"",""Prop!$N$1:$X""),11,0),iferror(vlookup(B29,importrange(""https://docs.google.com/spreadsheets/d/1p53T2AuvvIqhP7Nf-bo3Uhj8cbKYRPpZdsrBv3x3bAQ/edit?resourcekey#gid=1321652304"",""Prop"&amp;"!$Y$1:$AI""),11,0),iferror(vlookup(B29,importrange(""https://docs.google.com/spreadsheets/d/1p53T2AuvvIqhP7Nf-bo3Uhj8cbKYRPpZdsrBv3x3bAQ/edit?resourcekey#gid=1321652304"",""Prop!$AJ$1:$AT""),11,0),iferror(vlookup(B29,importrange(""https://docs.google.com/"&amp;"spreadsheets/d/1p53T2AuvvIqhP7Nf-bo3Uhj8cbKYRPpZdsrBv3x3bAQ/edit?resourcekey#gid=1321652304"",""Prop!$AU$1:$BE""),11,0),iferror(vlookup(B29,importrange(""https://docs.google.com/spreadsheets/d/1p53T2AuvvIqhP7Nf-bo3Uhj8cbKYRPpZdsrBv3x3bAQ/edit?resourcekey#"&amp;"gid=1321652304"",""Prop!$BF$1:$BP""),11,0),iferror(vlookup(B29,importrange(""https://docs.google.com/spreadsheets/d/1p53T2AuvvIqhP7Nf-bo3Uhj8cbKYRPpZdsrBv3x3bAQ/edit?resourcekey#gid=1321652304"",""Prop!$BQ$1:$CA""),11,0),iferror(vlookup(B29,importrange("""&amp;"https://docs.google.com/spreadsheets/d/1p53T2AuvvIqhP7Nf-bo3Uhj8cbKYRPpZdsrBv3x3bAQ/edit?resourcekey#gid=1321652304"",""Prop!$CB$1:$CL""),11,0),iferror(vlookup(B29,importrange(""https://docs.google.com/spreadsheets/d/1p53T2AuvvIqhP7Nf-bo3Uhj8cbKYRPpZdsrBv"&amp;"3x3bAQ/edit?resourcekey#gid=1321652304"",""Prop!$CM$1:$CX""),12,0),iferror(vlookup(B29,importrange(""https://docs.google.com/spreadsheets/d/1p53T2AuvvIqhP7Nf-bo3Uhj8cbKYRPpZdsrBv3x3bAQ/edit?resourcekey#gid=1321652304"",""Prop!$CY$1:$DI""),11,0)))))))))))"),"https://drive.google.com/open?id=1zN4yvH44xjp87DhyuOdowMYMvx2erneU")</f>
        <v>https://drive.google.com/open?id=1zN4yvH44xjp87DhyuOdowMYMvx2erneU</v>
      </c>
      <c r="R29" s="88" t="s">
        <v>1185</v>
      </c>
      <c r="S29" s="20" t="str">
        <f ca="1">IFERROR(__xludf.DUMMYFUNCTION("IFERROR(vlookup(B29,IMPORTRANGE(""https://docs.google.com/spreadsheets/d/1g_jfYYK_KeipEDNDUgqgrsxK94XiocfNQIcP-v1QVhI/edit?resourcekey#gid=233272945"",""Nilai!B:CT""),86,0),"" "")"),"1. menambah aspek modal sosial dalam pembahasan gentrifikasi
2. memperkuat keterbaruan penelitian
3. menambah rujukan penelitian sebelumnya")</f>
        <v>1. menambah aspek modal sosial dalam pembahasan gentrifikasi
2. memperkuat keterbaruan penelitian
3. menambah rujukan penelitian sebelumnya</v>
      </c>
      <c r="T29" s="20" t="str">
        <f ca="1">IFERROR(__xludf.DUMMYFUNCTION("IFERROR(vlookup(B29,IMPORTRANGE(""https://docs.google.com/spreadsheets/d/1g_jfYYK_KeipEDNDUgqgrsxK94XiocfNQIcP-v1QVhI/edit?resourcekey#gid=233272945"",""Nilai!B:CT""),97,0),"" "")"),"LAYAK UPLOAD KE SIMBELMAWA DENGAN REVISI")</f>
        <v>LAYAK UPLOAD KE SIMBELMAWA DENGAN REVISI</v>
      </c>
      <c r="U29" s="1" t="s">
        <v>786</v>
      </c>
      <c r="V29" s="1" t="s">
        <v>786</v>
      </c>
      <c r="W29" s="23" t="s">
        <v>1198</v>
      </c>
      <c r="X29" s="65" t="b">
        <v>1</v>
      </c>
    </row>
    <row r="30" spans="1:24">
      <c r="A30" s="15">
        <v>28</v>
      </c>
      <c r="B30" s="15">
        <f ca="1">IFERROR(__xludf.DUMMYFUNCTION("""COMPUTED_VALUE"""),2113)</f>
        <v>2113</v>
      </c>
      <c r="C30" s="16" t="str">
        <f ca="1">IFERROR(__xludf.DUMMYFUNCTION("""COMPUTED_VALUE"""),"JULIA OKTAVIANI HARDIYANTO")</f>
        <v>JULIA OKTAVIANI HARDIYANTO</v>
      </c>
      <c r="D30" s="16" t="str">
        <f ca="1">IFERROR(__xludf.DUMMYFUNCTION("""COMPUTED_VALUE"""),"08211840000037")</f>
        <v>08211840000037</v>
      </c>
      <c r="E30" s="16" t="str">
        <f ca="1">IFERROR(__xludf.DUMMYFUNCTION("""COMPUTED_VALUE"""),"Departemen Perencanaan Wilayah dan Kota")</f>
        <v>Departemen Perencanaan Wilayah dan Kota</v>
      </c>
      <c r="F30" s="16" t="str">
        <f ca="1">IFERROR(__xludf.DUMMYFUNCTION("""COMPUTED_VALUE"""),"Pendekatan Livable Street Dalam Rangka Mewujudkan Ruang Komunitas Generasi Muda Kota Malang di Koridor Kafe Sudimoro
")</f>
        <v xml:space="preserve">Pendekatan Livable Street Dalam Rangka Mewujudkan Ruang Komunitas Generasi Muda Kota Malang di Koridor Kafe Sudimoro
</v>
      </c>
      <c r="G30" s="16" t="str">
        <f ca="1">IFERROR(__xludf.DUMMYFUNCTION("""COMPUTED_VALUE"""),"Prananda Navitas, S.T., M.Sc.")</f>
        <v>Prananda Navitas, S.T., M.Sc.</v>
      </c>
      <c r="H30" s="16" t="str">
        <f ca="1">IFERROR(__xludf.DUMMYFUNCTION("""COMPUTED_VALUE"""),"Mochamad Yusuf, S.T., M.Sc.")</f>
        <v>Mochamad Yusuf, S.T., M.Sc.</v>
      </c>
      <c r="I30" s="16" t="str">
        <f ca="1">IFERROR(__xludf.DUMMYFUNCTION("""COMPUTED_VALUE"""),"Mahardika F. Rois, S.T, M.T")</f>
        <v>Mahardika F. Rois, S.T, M.T</v>
      </c>
      <c r="J30" s="16"/>
      <c r="K30" s="17" t="s">
        <v>1196</v>
      </c>
      <c r="L30" s="17" t="s">
        <v>1194</v>
      </c>
      <c r="M30" s="19" t="b">
        <v>1</v>
      </c>
      <c r="N30" s="19" t="b">
        <v>1</v>
      </c>
      <c r="O30" s="19" t="b">
        <v>1</v>
      </c>
      <c r="P30" s="7" t="str">
        <f ca="1">IFERROR(__xludf.DUMMYFUNCTION("iferror(vlookup(B30,importrange(""https://docs.google.com/spreadsheets/d/1boHyJQ4e2FU0QG8MHwEi6qjX4hvZWVCHcFfXjq7bbMc/edit?resourcekey#gid=923248883"",""Prop!$C$1:$M""),12,0),IFERROR(vlookup(B30,importrange(""https://docs.google.com/spreadsheets/d/1boHyJQ"&amp;"4e2FU0QG8MHwEi6qjX4hvZWVCHcFfXjq7bbMc/edit?resourcekey#gid=923248883"",""Prop!$N$1:$X""),11,0),iferror(vlookup(B30,importrange(""https://docs.google.com/spreadsheets/d/1boHyJQ4e2FU0QG8MHwEi6qjX4hvZWVCHcFfXjq7bbMc/edit?resourcekey#gid=923248883"",""Prop!$Y"&amp;"$1:$AI""),11,0),iferror(vlookup(B30,importrange(""https://docs.google.com/spreadsheets/d/1boHyJQ4e2FU0QG8MHwEi6qjX4hvZWVCHcFfXjq7bbMc/edit?resourcekey#gid=923248883"",""Prop!$AJ$1:$AT""),11,0),iferror(vlookup(B30,importrange(""https://docs.google.com/spre"&amp;"adsheets/d/1boHyJQ4e2FU0QG8MHwEi6qjX4hvZWVCHcFfXjq7bbMc/edit?resourcekey#gid=923248883"",""Prop!$AU$1:$BE""),11,0),iferror(vlookup(B30,importrange(""https://docs.google.com/spreadsheets/d/1boHyJQ4e2FU0QG8MHwEi6qjX4hvZWVCHcFfXjq7bbMc/edit?resourcekey#gid=9"&amp;"23248883"",""Prop!$BF$1:$BP""),11,0),iferror(vlookup(B30,importrange(""https://docs.google.com/spreadsheets/d/1boHyJQ4e2FU0QG8MHwEi6qjX4hvZWVCHcFfXjq7bbMc/edit?resourcekey#gid=923248883"",""Prop!$BQ$1:$CA""),11,0),iferror(vlookup(B30,importrange(""https:/"&amp;"/docs.google.com/spreadsheets/d/1boHyJQ4e2FU0QG8MHwEi6qjX4hvZWVCHcFfXjq7bbMc/edit?resourcekey#gid=923248883"",""Prop!$CB$1:$CL""),11,0),iferror(vlookup(B30,importrange(""https://docs.google.com/spreadsheets/d/1boHyJQ4e2FU0QG8MHwEi6qjX4hvZWVCHcFfXjq7bbMc/e"&amp;"dit?resourcekey#gid=923248883"",""Prop!$CM$1:$CX""),12,0),iferror(vlookup(B30,importrange(""https://docs.google.com/spreadsheets/d/1boHyJQ4e2FU0QG8MHwEi6qjX4hvZWVCHcFfXjq7bbMc/edit?resourcekey#gid=923248883"",""Prop!$CV$1:$DI""),11,0)))))))))))"),"https://drive.google.com/open?id=12zwMa0owhlxxoqurZOaLgEZMWJslevMb")</f>
        <v>https://drive.google.com/open?id=12zwMa0owhlxxoqurZOaLgEZMWJslevMb</v>
      </c>
      <c r="Q30" s="7" t="str">
        <f ca="1">IFERROR(__xludf.DUMMYFUNCTION("iferror(vlookup(B30,importrange(""https://docs.google.com/spreadsheets/d/1p53T2AuvvIqhP7Nf-bo3Uhj8cbKYRPpZdsrBv3x3bAQ/edit?resourcekey#gid=1321652304"",""Prop!$C$1:$M""),11,0),IFERROR(vlookup(B30,importrange(""https://docs.google.com/spreadsheets/d/1p53T2"&amp;"AuvvIqhP7Nf-bo3Uhj8cbKYRPpZdsrBv3x3bAQ/edit?resourcekey#gid=1321652304"",""Prop!$N$1:$X""),11,0),iferror(vlookup(B30,importrange(""https://docs.google.com/spreadsheets/d/1p53T2AuvvIqhP7Nf-bo3Uhj8cbKYRPpZdsrBv3x3bAQ/edit?resourcekey#gid=1321652304"",""Prop"&amp;"!$Y$1:$AI""),11,0),iferror(vlookup(B30,importrange(""https://docs.google.com/spreadsheets/d/1p53T2AuvvIqhP7Nf-bo3Uhj8cbKYRPpZdsrBv3x3bAQ/edit?resourcekey#gid=1321652304"",""Prop!$AJ$1:$AT""),11,0),iferror(vlookup(B30,importrange(""https://docs.google.com/"&amp;"spreadsheets/d/1p53T2AuvvIqhP7Nf-bo3Uhj8cbKYRPpZdsrBv3x3bAQ/edit?resourcekey#gid=1321652304"",""Prop!$AU$1:$BE""),11,0),iferror(vlookup(B30,importrange(""https://docs.google.com/spreadsheets/d/1p53T2AuvvIqhP7Nf-bo3Uhj8cbKYRPpZdsrBv3x3bAQ/edit?resourcekey#"&amp;"gid=1321652304"",""Prop!$BF$1:$BP""),11,0),iferror(vlookup(B30,importrange(""https://docs.google.com/spreadsheets/d/1p53T2AuvvIqhP7Nf-bo3Uhj8cbKYRPpZdsrBv3x3bAQ/edit?resourcekey#gid=1321652304"",""Prop!$BQ$1:$CA""),11,0),iferror(vlookup(B30,importrange("""&amp;"https://docs.google.com/spreadsheets/d/1p53T2AuvvIqhP7Nf-bo3Uhj8cbKYRPpZdsrBv3x3bAQ/edit?resourcekey#gid=1321652304"",""Prop!$CB$1:$CL""),11,0),iferror(vlookup(B30,importrange(""https://docs.google.com/spreadsheets/d/1p53T2AuvvIqhP7Nf-bo3Uhj8cbKYRPpZdsrBv"&amp;"3x3bAQ/edit?resourcekey#gid=1321652304"",""Prop!$CM$1:$CX""),12,0),iferror(vlookup(B30,importrange(""https://docs.google.com/spreadsheets/d/1p53T2AuvvIqhP7Nf-bo3Uhj8cbKYRPpZdsrBv3x3bAQ/edit?resourcekey#gid=1321652304"",""Prop!$CY$1:$DI""),11,0)))))))))))"),"https://drive.google.com/open?id=13SNxlsvnDZL_fys7ioJhBe9Etz7Tn3MV")</f>
        <v>https://drive.google.com/open?id=13SNxlsvnDZL_fys7ioJhBe9Etz7Tn3MV</v>
      </c>
      <c r="R30" s="88" t="s">
        <v>1185</v>
      </c>
      <c r="S30" s="20" t="str">
        <f ca="1">IFERROR(__xludf.DUMMYFUNCTION("IFERROR(vlookup(B30,IMPORTRANGE(""https://docs.google.com/spreadsheets/d/1g_jfYYK_KeipEDNDUgqgrsxK94XiocfNQIcP-v1QVhI/edit?resourcekey#gid=233272945"",""Nilai!B:CT""),86,0),"" "")"),"di cek lagi sebelum upload")</f>
        <v>di cek lagi sebelum upload</v>
      </c>
      <c r="T30" s="20" t="str">
        <f ca="1">IFERROR(__xludf.DUMMYFUNCTION("IFERROR(vlookup(B30,IMPORTRANGE(""https://docs.google.com/spreadsheets/d/1g_jfYYK_KeipEDNDUgqgrsxK94XiocfNQIcP-v1QVhI/edit?resourcekey#gid=233272945"",""Nilai!B:CT""),97,0),"" "")"),"LAYAK UPLOAD KE SIMBELMAWA")</f>
        <v>LAYAK UPLOAD KE SIMBELMAWA</v>
      </c>
      <c r="U30" s="1" t="s">
        <v>786</v>
      </c>
      <c r="V30" s="1" t="s">
        <v>786</v>
      </c>
      <c r="W30" s="23" t="s">
        <v>1198</v>
      </c>
      <c r="X30" s="65" t="b">
        <v>1</v>
      </c>
    </row>
    <row r="31" spans="1:24">
      <c r="A31" s="15">
        <v>29</v>
      </c>
      <c r="B31" s="15">
        <f ca="1">IFERROR(__xludf.DUMMYFUNCTION("""COMPUTED_VALUE"""),3775)</f>
        <v>3775</v>
      </c>
      <c r="C31" s="16" t="str">
        <f ca="1">IFERROR(__xludf.DUMMYFUNCTION("""COMPUTED_VALUE"""),"Novitamara")</f>
        <v>Novitamara</v>
      </c>
      <c r="D31" s="16" t="str">
        <f ca="1">IFERROR(__xludf.DUMMYFUNCTION("""COMPUTED_VALUE"""),"06211840000030")</f>
        <v>06211840000030</v>
      </c>
      <c r="E31" s="16" t="str">
        <f ca="1">IFERROR(__xludf.DUMMYFUNCTION("""COMPUTED_VALUE"""),"Departemen Statistika")</f>
        <v>Departemen Statistika</v>
      </c>
      <c r="F31" s="16" t="str">
        <f ca="1">IFERROR(__xludf.DUMMYFUNCTION("""COMPUTED_VALUE"""),"Analisis Faktor-faktor yang Berpengaruh Terhadap Derajat Keparahan DBD dengan Metode Regresi Logistik Elastic Net")</f>
        <v>Analisis Faktor-faktor yang Berpengaruh Terhadap Derajat Keparahan DBD dengan Metode Regresi Logistik Elastic Net</v>
      </c>
      <c r="G31" s="16" t="str">
        <f ca="1">IFERROR(__xludf.DUMMYFUNCTION("""COMPUTED_VALUE"""),"Dr. Achmad Choiruddin, S.Si., M.Sc.")</f>
        <v>Dr. Achmad Choiruddin, S.Si., M.Sc.</v>
      </c>
      <c r="H31" s="16" t="str">
        <f ca="1">IFERROR(__xludf.DUMMYFUNCTION("""COMPUTED_VALUE"""),"Muchammad Nurif, S.E., M.T.")</f>
        <v>Muchammad Nurif, S.E., M.T.</v>
      </c>
      <c r="I31" s="16" t="str">
        <f ca="1">IFERROR(__xludf.DUMMYFUNCTION("""COMPUTED_VALUE"""),"Deqi Rizkivia Radita, S.T., M.Sc.")</f>
        <v>Deqi Rizkivia Radita, S.T., M.Sc.</v>
      </c>
      <c r="J31" s="16"/>
      <c r="K31" s="17" t="s">
        <v>1196</v>
      </c>
      <c r="L31" s="17" t="s">
        <v>1194</v>
      </c>
      <c r="M31" s="19" t="b">
        <v>1</v>
      </c>
      <c r="N31" s="19" t="b">
        <v>1</v>
      </c>
      <c r="O31" s="19" t="b">
        <v>1</v>
      </c>
      <c r="P31" s="7" t="str">
        <f ca="1">IFERROR(__xludf.DUMMYFUNCTION("iferror(vlookup(B31,importrange(""https://docs.google.com/spreadsheets/d/1boHyJQ4e2FU0QG8MHwEi6qjX4hvZWVCHcFfXjq7bbMc/edit?resourcekey#gid=923248883"",""Prop!$C$1:$M""),12,0),IFERROR(vlookup(B31,importrange(""https://docs.google.com/spreadsheets/d/1boHyJQ"&amp;"4e2FU0QG8MHwEi6qjX4hvZWVCHcFfXjq7bbMc/edit?resourcekey#gid=923248883"",""Prop!$N$1:$X""),11,0),iferror(vlookup(B31,importrange(""https://docs.google.com/spreadsheets/d/1boHyJQ4e2FU0QG8MHwEi6qjX4hvZWVCHcFfXjq7bbMc/edit?resourcekey#gid=923248883"",""Prop!$Y"&amp;"$1:$AI""),11,0),iferror(vlookup(B31,importrange(""https://docs.google.com/spreadsheets/d/1boHyJQ4e2FU0QG8MHwEi6qjX4hvZWVCHcFfXjq7bbMc/edit?resourcekey#gid=923248883"",""Prop!$AJ$1:$AT""),11,0),iferror(vlookup(B31,importrange(""https://docs.google.com/spre"&amp;"adsheets/d/1boHyJQ4e2FU0QG8MHwEi6qjX4hvZWVCHcFfXjq7bbMc/edit?resourcekey#gid=923248883"",""Prop!$AU$1:$BE""),11,0),iferror(vlookup(B31,importrange(""https://docs.google.com/spreadsheets/d/1boHyJQ4e2FU0QG8MHwEi6qjX4hvZWVCHcFfXjq7bbMc/edit?resourcekey#gid=9"&amp;"23248883"",""Prop!$BF$1:$BP""),11,0),iferror(vlookup(B31,importrange(""https://docs.google.com/spreadsheets/d/1boHyJQ4e2FU0QG8MHwEi6qjX4hvZWVCHcFfXjq7bbMc/edit?resourcekey#gid=923248883"",""Prop!$BQ$1:$CA""),11,0),iferror(vlookup(B31,importrange(""https:/"&amp;"/docs.google.com/spreadsheets/d/1boHyJQ4e2FU0QG8MHwEi6qjX4hvZWVCHcFfXjq7bbMc/edit?resourcekey#gid=923248883"",""Prop!$CB$1:$CL""),11,0),iferror(vlookup(B31,importrange(""https://docs.google.com/spreadsheets/d/1boHyJQ4e2FU0QG8MHwEi6qjX4hvZWVCHcFfXjq7bbMc/e"&amp;"dit?resourcekey#gid=923248883"",""Prop!$CM$1:$CX""),12,0),iferror(vlookup(B31,importrange(""https://docs.google.com/spreadsheets/d/1boHyJQ4e2FU0QG8MHwEi6qjX4hvZWVCHcFfXjq7bbMc/edit?resourcekey#gid=923248883"",""Prop!$CV$1:$DI""),11,0)))))))))))"),"https://drive.google.com/open?id=1VnBGNjT1CKAtEgZTroMxDG83khh2zdRu")</f>
        <v>https://drive.google.com/open?id=1VnBGNjT1CKAtEgZTroMxDG83khh2zdRu</v>
      </c>
      <c r="Q31" s="7" t="str">
        <f ca="1">IFERROR(__xludf.DUMMYFUNCTION("iferror(vlookup(B31,importrange(""https://docs.google.com/spreadsheets/d/1p53T2AuvvIqhP7Nf-bo3Uhj8cbKYRPpZdsrBv3x3bAQ/edit?resourcekey#gid=1321652304"",""Prop!$C$1:$M""),11,0),IFERROR(vlookup(B31,importrange(""https://docs.google.com/spreadsheets/d/1p53T2"&amp;"AuvvIqhP7Nf-bo3Uhj8cbKYRPpZdsrBv3x3bAQ/edit?resourcekey#gid=1321652304"",""Prop!$N$1:$X""),11,0),iferror(vlookup(B31,importrange(""https://docs.google.com/spreadsheets/d/1p53T2AuvvIqhP7Nf-bo3Uhj8cbKYRPpZdsrBv3x3bAQ/edit?resourcekey#gid=1321652304"",""Prop"&amp;"!$Y$1:$AI""),11,0),iferror(vlookup(B31,importrange(""https://docs.google.com/spreadsheets/d/1p53T2AuvvIqhP7Nf-bo3Uhj8cbKYRPpZdsrBv3x3bAQ/edit?resourcekey#gid=1321652304"",""Prop!$AJ$1:$AT""),11,0),iferror(vlookup(B31,importrange(""https://docs.google.com/"&amp;"spreadsheets/d/1p53T2AuvvIqhP7Nf-bo3Uhj8cbKYRPpZdsrBv3x3bAQ/edit?resourcekey#gid=1321652304"",""Prop!$AU$1:$BE""),11,0),iferror(vlookup(B31,importrange(""https://docs.google.com/spreadsheets/d/1p53T2AuvvIqhP7Nf-bo3Uhj8cbKYRPpZdsrBv3x3bAQ/edit?resourcekey#"&amp;"gid=1321652304"",""Prop!$BF$1:$BP""),11,0),iferror(vlookup(B31,importrange(""https://docs.google.com/spreadsheets/d/1p53T2AuvvIqhP7Nf-bo3Uhj8cbKYRPpZdsrBv3x3bAQ/edit?resourcekey#gid=1321652304"",""Prop!$BQ$1:$CA""),11,0),iferror(vlookup(B31,importrange("""&amp;"https://docs.google.com/spreadsheets/d/1p53T2AuvvIqhP7Nf-bo3Uhj8cbKYRPpZdsrBv3x3bAQ/edit?resourcekey#gid=1321652304"",""Prop!$CB$1:$CL""),11,0),iferror(vlookup(B31,importrange(""https://docs.google.com/spreadsheets/d/1p53T2AuvvIqhP7Nf-bo3Uhj8cbKYRPpZdsrBv"&amp;"3x3bAQ/edit?resourcekey#gid=1321652304"",""Prop!$CM$1:$CX""),12,0),iferror(vlookup(B31,importrange(""https://docs.google.com/spreadsheets/d/1p53T2AuvvIqhP7Nf-bo3Uhj8cbKYRPpZdsrBv3x3bAQ/edit?resourcekey#gid=1321652304"",""Prop!$CY$1:$DI""),11,0)))))))))))"),"https://drive.google.com/open?id=1N_q_S5_s5lqQ4l8facqEqQfoB4g23uOO")</f>
        <v>https://drive.google.com/open?id=1N_q_S5_s5lqQ4l8facqEqQfoB4g23uOO</v>
      </c>
      <c r="R31" s="88" t="s">
        <v>1185</v>
      </c>
      <c r="S31" s="20" t="str">
        <f ca="1">IFERROR(__xludf.DUMMYFUNCTION("IFERROR(vlookup(B31,IMPORTRANGE(""https://docs.google.com/spreadsheets/d/1g_jfYYK_KeipEDNDUgqgrsxK94XiocfNQIcP-v1QVhI/edit?resourcekey#gid=233272945"",""Nilai!B:CT""),86,0),"" "")"),"1. tekankan pada kemanfaatan riset ini (applied)
2. memperjelas generalisasi untuk kota surabaya
3. memperjelas keterbaruan penelitian")</f>
        <v>1. tekankan pada kemanfaatan riset ini (applied)
2. memperjelas generalisasi untuk kota surabaya
3. memperjelas keterbaruan penelitian</v>
      </c>
      <c r="T31" s="20" t="str">
        <f ca="1">IFERROR(__xludf.DUMMYFUNCTION("IFERROR(vlookup(B31,IMPORTRANGE(""https://docs.google.com/spreadsheets/d/1g_jfYYK_KeipEDNDUgqgrsxK94XiocfNQIcP-v1QVhI/edit?resourcekey#gid=233272945"",""Nilai!B:CT""),97,0),"" "")"),"LAYAK UPLOAD KE SIMBELMAWA DENGAN REVISI")</f>
        <v>LAYAK UPLOAD KE SIMBELMAWA DENGAN REVISI</v>
      </c>
      <c r="U31" s="1" t="s">
        <v>786</v>
      </c>
      <c r="V31" s="1" t="s">
        <v>786</v>
      </c>
      <c r="W31" s="23" t="s">
        <v>1199</v>
      </c>
      <c r="X31" s="65" t="b">
        <v>1</v>
      </c>
    </row>
    <row r="32" spans="1:24">
      <c r="A32" s="15">
        <v>30</v>
      </c>
      <c r="B32" s="15">
        <f ca="1">IFERROR(__xludf.DUMMYFUNCTION("""COMPUTED_VALUE"""),2021)</f>
        <v>2021</v>
      </c>
      <c r="C32" s="16" t="str">
        <f ca="1">IFERROR(__xludf.DUMMYFUNCTION("""COMPUTED_VALUE"""),"Abdul Rahmat")</f>
        <v>Abdul Rahmat</v>
      </c>
      <c r="D32" s="16" t="str">
        <f ca="1">IFERROR(__xludf.DUMMYFUNCTION("""COMPUTED_VALUE"""),"08211840000029")</f>
        <v>08211840000029</v>
      </c>
      <c r="E32" s="16" t="str">
        <f ca="1">IFERROR(__xludf.DUMMYFUNCTION("""COMPUTED_VALUE"""),"Departemen Perencanaan Wilayah dan Kota")</f>
        <v>Departemen Perencanaan Wilayah dan Kota</v>
      </c>
      <c r="F32" s="16" t="str">
        <f ca="1">IFERROR(__xludf.DUMMYFUNCTION("""COMPUTED_VALUE"""),"Arahan Strategi Pola Spasial Persebaran dan Aksesibilitas Pelayanan Fasilitas Kesehatan Dalam Penanganan COVID-19 Di Provinsi DKI Jakarta")</f>
        <v>Arahan Strategi Pola Spasial Persebaran dan Aksesibilitas Pelayanan Fasilitas Kesehatan Dalam Penanganan COVID-19 Di Provinsi DKI Jakarta</v>
      </c>
      <c r="G32" s="16" t="str">
        <f ca="1">IFERROR(__xludf.DUMMYFUNCTION("""COMPUTED_VALUE"""),"Cahyono Susetyo, S.T., M.Sc.")</f>
        <v>Cahyono Susetyo, S.T., M.Sc.</v>
      </c>
      <c r="H32" s="16" t="str">
        <f ca="1">IFERROR(__xludf.DUMMYFUNCTION("""COMPUTED_VALUE"""),"Mochamad Yusuf, S.T., M.Sc.")</f>
        <v>Mochamad Yusuf, S.T., M.Sc.</v>
      </c>
      <c r="I32" s="16" t="str">
        <f ca="1">IFERROR(__xludf.DUMMYFUNCTION("""COMPUTED_VALUE"""),"Galuh Oktavia Siswono, S.Si., M.Si., M.Act,Sc.")</f>
        <v>Galuh Oktavia Siswono, S.Si., M.Si., M.Act,Sc.</v>
      </c>
      <c r="J32" s="16"/>
      <c r="K32" s="17" t="s">
        <v>1196</v>
      </c>
      <c r="L32" s="17" t="s">
        <v>1194</v>
      </c>
      <c r="M32" s="19" t="b">
        <v>1</v>
      </c>
      <c r="N32" s="19" t="b">
        <v>1</v>
      </c>
      <c r="O32" s="19" t="b">
        <v>1</v>
      </c>
      <c r="P32" s="7" t="str">
        <f ca="1">IFERROR(__xludf.DUMMYFUNCTION("iferror(vlookup(B32,importrange(""https://docs.google.com/spreadsheets/d/1boHyJQ4e2FU0QG8MHwEi6qjX4hvZWVCHcFfXjq7bbMc/edit?resourcekey#gid=923248883"",""Prop!$C$1:$M""),12,0),IFERROR(vlookup(B32,importrange(""https://docs.google.com/spreadsheets/d/1boHyJQ"&amp;"4e2FU0QG8MHwEi6qjX4hvZWVCHcFfXjq7bbMc/edit?resourcekey#gid=923248883"",""Prop!$N$1:$X""),11,0),iferror(vlookup(B32,importrange(""https://docs.google.com/spreadsheets/d/1boHyJQ4e2FU0QG8MHwEi6qjX4hvZWVCHcFfXjq7bbMc/edit?resourcekey#gid=923248883"",""Prop!$Y"&amp;"$1:$AI""),11,0),iferror(vlookup(B32,importrange(""https://docs.google.com/spreadsheets/d/1boHyJQ4e2FU0QG8MHwEi6qjX4hvZWVCHcFfXjq7bbMc/edit?resourcekey#gid=923248883"",""Prop!$AJ$1:$AT""),11,0),iferror(vlookup(B32,importrange(""https://docs.google.com/spre"&amp;"adsheets/d/1boHyJQ4e2FU0QG8MHwEi6qjX4hvZWVCHcFfXjq7bbMc/edit?resourcekey#gid=923248883"",""Prop!$AU$1:$BE""),11,0),iferror(vlookup(B32,importrange(""https://docs.google.com/spreadsheets/d/1boHyJQ4e2FU0QG8MHwEi6qjX4hvZWVCHcFfXjq7bbMc/edit?resourcekey#gid=9"&amp;"23248883"",""Prop!$BF$1:$BP""),11,0),iferror(vlookup(B32,importrange(""https://docs.google.com/spreadsheets/d/1boHyJQ4e2FU0QG8MHwEi6qjX4hvZWVCHcFfXjq7bbMc/edit?resourcekey#gid=923248883"",""Prop!$BQ$1:$CA""),11,0),iferror(vlookup(B32,importrange(""https:/"&amp;"/docs.google.com/spreadsheets/d/1boHyJQ4e2FU0QG8MHwEi6qjX4hvZWVCHcFfXjq7bbMc/edit?resourcekey#gid=923248883"",""Prop!$CB$1:$CL""),11,0),iferror(vlookup(B32,importrange(""https://docs.google.com/spreadsheets/d/1boHyJQ4e2FU0QG8MHwEi6qjX4hvZWVCHcFfXjq7bbMc/e"&amp;"dit?resourcekey#gid=923248883"",""Prop!$CM$1:$CX""),12,0),iferror(vlookup(B32,importrange(""https://docs.google.com/spreadsheets/d/1boHyJQ4e2FU0QG8MHwEi6qjX4hvZWVCHcFfXjq7bbMc/edit?resourcekey#gid=923248883"",""Prop!$CV$1:$DI""),11,0)))))))))))"),"https://drive.google.com/open?id=1M-XMkh0B9ESMBqw_z-dlcmMm8SEeO3HZ")</f>
        <v>https://drive.google.com/open?id=1M-XMkh0B9ESMBqw_z-dlcmMm8SEeO3HZ</v>
      </c>
      <c r="Q32" s="7" t="str">
        <f ca="1">IFERROR(__xludf.DUMMYFUNCTION("iferror(vlookup(B32,importrange(""https://docs.google.com/spreadsheets/d/1p53T2AuvvIqhP7Nf-bo3Uhj8cbKYRPpZdsrBv3x3bAQ/edit?resourcekey#gid=1321652304"",""Prop!$C$1:$M""),11,0),IFERROR(vlookup(B32,importrange(""https://docs.google.com/spreadsheets/d/1p53T2"&amp;"AuvvIqhP7Nf-bo3Uhj8cbKYRPpZdsrBv3x3bAQ/edit?resourcekey#gid=1321652304"",""Prop!$N$1:$X""),11,0),iferror(vlookup(B32,importrange(""https://docs.google.com/spreadsheets/d/1p53T2AuvvIqhP7Nf-bo3Uhj8cbKYRPpZdsrBv3x3bAQ/edit?resourcekey#gid=1321652304"",""Prop"&amp;"!$Y$1:$AI""),11,0),iferror(vlookup(B32,importrange(""https://docs.google.com/spreadsheets/d/1p53T2AuvvIqhP7Nf-bo3Uhj8cbKYRPpZdsrBv3x3bAQ/edit?resourcekey#gid=1321652304"",""Prop!$AJ$1:$AT""),11,0),iferror(vlookup(B32,importrange(""https://docs.google.com/"&amp;"spreadsheets/d/1p53T2AuvvIqhP7Nf-bo3Uhj8cbKYRPpZdsrBv3x3bAQ/edit?resourcekey#gid=1321652304"",""Prop!$AU$1:$BE""),11,0),iferror(vlookup(B32,importrange(""https://docs.google.com/spreadsheets/d/1p53T2AuvvIqhP7Nf-bo3Uhj8cbKYRPpZdsrBv3x3bAQ/edit?resourcekey#"&amp;"gid=1321652304"",""Prop!$BF$1:$BP""),11,0),iferror(vlookup(B32,importrange(""https://docs.google.com/spreadsheets/d/1p53T2AuvvIqhP7Nf-bo3Uhj8cbKYRPpZdsrBv3x3bAQ/edit?resourcekey#gid=1321652304"",""Prop!$BQ$1:$CA""),11,0),iferror(vlookup(B32,importrange("""&amp;"https://docs.google.com/spreadsheets/d/1p53T2AuvvIqhP7Nf-bo3Uhj8cbKYRPpZdsrBv3x3bAQ/edit?resourcekey#gid=1321652304"",""Prop!$CB$1:$CL""),11,0),iferror(vlookup(B32,importrange(""https://docs.google.com/spreadsheets/d/1p53T2AuvvIqhP7Nf-bo3Uhj8cbKYRPpZdsrBv"&amp;"3x3bAQ/edit?resourcekey#gid=1321652304"",""Prop!$CM$1:$CX""),12,0),iferror(vlookup(B32,importrange(""https://docs.google.com/spreadsheets/d/1p53T2AuvvIqhP7Nf-bo3Uhj8cbKYRPpZdsrBv3x3bAQ/edit?resourcekey#gid=1321652304"",""Prop!$CY$1:$DI""),11,0)))))))))))"),"https://drive.google.com/open?id=1zP0_DcmxpuNaUDOo53fxXbTP20mQDtvi")</f>
        <v>https://drive.google.com/open?id=1zP0_DcmxpuNaUDOo53fxXbTP20mQDtvi</v>
      </c>
      <c r="R32" s="88" t="s">
        <v>1185</v>
      </c>
      <c r="S32" s="20" t="str">
        <f ca="1">IFERROR(__xludf.DUMMYFUNCTION("IFERROR(vlookup(B32,IMPORTRANGE(""https://docs.google.com/spreadsheets/d/1g_jfYYK_KeipEDNDUgqgrsxK94XiocfNQIcP-v1QVhI/edit?resourcekey#gid=233272945"",""Nilai!B:CT""),86,0),"" "")"),"1. ide penelitian ini kurang kuat aspek humanioranya, utk itu perlu memperkuat sudut pandang RSH nya
2. konteksnya sdh tidak relevan lagi, karena pandemi covid sdh akan berakhir")</f>
        <v>1. ide penelitian ini kurang kuat aspek humanioranya, utk itu perlu memperkuat sudut pandang RSH nya
2. konteksnya sdh tidak relevan lagi, karena pandemi covid sdh akan berakhir</v>
      </c>
      <c r="T32" s="20" t="str">
        <f ca="1">IFERROR(__xludf.DUMMYFUNCTION("IFERROR(vlookup(B32,IMPORTRANGE(""https://docs.google.com/spreadsheets/d/1g_jfYYK_KeipEDNDUgqgrsxK94XiocfNQIcP-v1QVhI/edit?resourcekey#gid=233272945"",""Nilai!B:CT""),97,0),"" "")"),"TIDAK LAYAK UPLOAD KE SIMBELMAWA")</f>
        <v>TIDAK LAYAK UPLOAD KE SIMBELMAWA</v>
      </c>
      <c r="U32" s="1" t="s">
        <v>786</v>
      </c>
      <c r="V32" s="1" t="s">
        <v>786</v>
      </c>
      <c r="W32" s="23" t="s">
        <v>1199</v>
      </c>
      <c r="X32" s="53" t="b">
        <v>0</v>
      </c>
    </row>
    <row r="33" spans="1:24">
      <c r="A33" s="15">
        <v>31</v>
      </c>
      <c r="B33" s="15">
        <f ca="1">IFERROR(__xludf.DUMMYFUNCTION("""COMPUTED_VALUE"""),2496)</f>
        <v>2496</v>
      </c>
      <c r="C33" s="16" t="str">
        <f ca="1">IFERROR(__xludf.DUMMYFUNCTION("""COMPUTED_VALUE"""),"RISCA TASYA QORINA")</f>
        <v>RISCA TASYA QORINA</v>
      </c>
      <c r="D33" s="16" t="str">
        <f ca="1">IFERROR(__xludf.DUMMYFUNCTION("""COMPUTED_VALUE"""),"08211840000048")</f>
        <v>08211840000048</v>
      </c>
      <c r="E33" s="16" t="str">
        <f ca="1">IFERROR(__xludf.DUMMYFUNCTION("""COMPUTED_VALUE"""),"Departemen Perencanaan Wilayah dan Kota")</f>
        <v>Departemen Perencanaan Wilayah dan Kota</v>
      </c>
      <c r="F33" s="16" t="str">
        <f ca="1">IFERROR(__xludf.DUMMYFUNCTION("""COMPUTED_VALUE"""),"Arahan Pengembangan Kawasan Lahan Pertanian Tanaman Pangan Berbasis Neraca Lahan (Pendekatan Tapak Ekologis) Di Kabupaten Tuban")</f>
        <v>Arahan Pengembangan Kawasan Lahan Pertanian Tanaman Pangan Berbasis Neraca Lahan (Pendekatan Tapak Ekologis) Di Kabupaten Tuban</v>
      </c>
      <c r="G33" s="16"/>
      <c r="H33" s="16" t="str">
        <f ca="1">IFERROR(__xludf.DUMMYFUNCTION("""COMPUTED_VALUE"""),"Mochamad Yusuf, S.T., M.Sc.")</f>
        <v>Mochamad Yusuf, S.T., M.Sc.</v>
      </c>
      <c r="I33" s="16" t="str">
        <f ca="1">IFERROR(__xludf.DUMMYFUNCTION("""COMPUTED_VALUE"""),"Galuh Oktavia Siswono, S.Si., M.Si., M.Act,Sc.")</f>
        <v>Galuh Oktavia Siswono, S.Si., M.Si., M.Act,Sc.</v>
      </c>
      <c r="J33" s="16"/>
      <c r="K33" s="17" t="s">
        <v>1200</v>
      </c>
      <c r="L33" s="17" t="s">
        <v>1194</v>
      </c>
      <c r="M33" s="19" t="b">
        <v>0</v>
      </c>
      <c r="N33" s="19" t="b">
        <v>0</v>
      </c>
      <c r="O33" s="19" t="b">
        <v>0</v>
      </c>
      <c r="P33" s="1" t="str">
        <f ca="1">IFERROR(__xludf.DUMMYFUNCTION("iferror(vlookup(B33,importrange(""https://docs.google.com/spreadsheets/d/1boHyJQ4e2FU0QG8MHwEi6qjX4hvZWVCHcFfXjq7bbMc/edit?resourcekey#gid=923248883"",""Prop!$C$1:$M""),12,0),IFERROR(vlookup(B33,importrange(""https://docs.google.com/spreadsheets/d/1boHyJQ"&amp;"4e2FU0QG8MHwEi6qjX4hvZWVCHcFfXjq7bbMc/edit?resourcekey#gid=923248883"",""Prop!$N$1:$X""),11,0),iferror(vlookup(B33,importrange(""https://docs.google.com/spreadsheets/d/1boHyJQ4e2FU0QG8MHwEi6qjX4hvZWVCHcFfXjq7bbMc/edit?resourcekey#gid=923248883"",""Prop!$Y"&amp;"$1:$AI""),11,0),iferror(vlookup(B33,importrange(""https://docs.google.com/spreadsheets/d/1boHyJQ4e2FU0QG8MHwEi6qjX4hvZWVCHcFfXjq7bbMc/edit?resourcekey#gid=923248883"",""Prop!$AJ$1:$AT""),11,0),iferror(vlookup(B33,importrange(""https://docs.google.com/spre"&amp;"adsheets/d/1boHyJQ4e2FU0QG8MHwEi6qjX4hvZWVCHcFfXjq7bbMc/edit?resourcekey#gid=923248883"",""Prop!$AU$1:$BE""),11,0),iferror(vlookup(B33,importrange(""https://docs.google.com/spreadsheets/d/1boHyJQ4e2FU0QG8MHwEi6qjX4hvZWVCHcFfXjq7bbMc/edit?resourcekey#gid=9"&amp;"23248883"",""Prop!$BF$1:$BP""),11,0),iferror(vlookup(B33,importrange(""https://docs.google.com/spreadsheets/d/1boHyJQ4e2FU0QG8MHwEi6qjX4hvZWVCHcFfXjq7bbMc/edit?resourcekey#gid=923248883"",""Prop!$BQ$1:$CA""),11,0),iferror(vlookup(B33,importrange(""https:/"&amp;"/docs.google.com/spreadsheets/d/1boHyJQ4e2FU0QG8MHwEi6qjX4hvZWVCHcFfXjq7bbMc/edit?resourcekey#gid=923248883"",""Prop!$CB$1:$CL""),11,0),iferror(vlookup(B33,importrange(""https://docs.google.com/spreadsheets/d/1boHyJQ4e2FU0QG8MHwEi6qjX4hvZWVCHcFfXjq7bbMc/e"&amp;"dit?resourcekey#gid=923248883"",""Prop!$CM$1:$CX""),12,0),iferror(vlookup(B33,importrange(""https://docs.google.com/spreadsheets/d/1boHyJQ4e2FU0QG8MHwEi6qjX4hvZWVCHcFfXjq7bbMc/edit?resourcekey#gid=923248883"",""Prop!$CV$1:$DI""),11,0)))))))))))"),"")</f>
        <v/>
      </c>
      <c r="Q33" s="7" t="str">
        <f ca="1">IFERROR(__xludf.DUMMYFUNCTION("iferror(vlookup(B33,importrange(""https://docs.google.com/spreadsheets/d/1p53T2AuvvIqhP7Nf-bo3Uhj8cbKYRPpZdsrBv3x3bAQ/edit?resourcekey#gid=1321652304"",""Prop!$C$1:$M""),11,0),IFERROR(vlookup(B33,importrange(""https://docs.google.com/spreadsheets/d/1p53T2"&amp;"AuvvIqhP7Nf-bo3Uhj8cbKYRPpZdsrBv3x3bAQ/edit?resourcekey#gid=1321652304"",""Prop!$N$1:$X""),11,0),iferror(vlookup(B33,importrange(""https://docs.google.com/spreadsheets/d/1p53T2AuvvIqhP7Nf-bo3Uhj8cbKYRPpZdsrBv3x3bAQ/edit?resourcekey#gid=1321652304"",""Prop"&amp;"!$Y$1:$AI""),11,0),iferror(vlookup(B33,importrange(""https://docs.google.com/spreadsheets/d/1p53T2AuvvIqhP7Nf-bo3Uhj8cbKYRPpZdsrBv3x3bAQ/edit?resourcekey#gid=1321652304"",""Prop!$AJ$1:$AT""),11,0),iferror(vlookup(B33,importrange(""https://docs.google.com/"&amp;"spreadsheets/d/1p53T2AuvvIqhP7Nf-bo3Uhj8cbKYRPpZdsrBv3x3bAQ/edit?resourcekey#gid=1321652304"",""Prop!$AU$1:$BE""),11,0),iferror(vlookup(B33,importrange(""https://docs.google.com/spreadsheets/d/1p53T2AuvvIqhP7Nf-bo3Uhj8cbKYRPpZdsrBv3x3bAQ/edit?resourcekey#"&amp;"gid=1321652304"",""Prop!$BF$1:$BP""),11,0),iferror(vlookup(B33,importrange(""https://docs.google.com/spreadsheets/d/1p53T2AuvvIqhP7Nf-bo3Uhj8cbKYRPpZdsrBv3x3bAQ/edit?resourcekey#gid=1321652304"",""Prop!$BQ$1:$CA""),11,0),iferror(vlookup(B33,importrange("""&amp;"https://docs.google.com/spreadsheets/d/1p53T2AuvvIqhP7Nf-bo3Uhj8cbKYRPpZdsrBv3x3bAQ/edit?resourcekey#gid=1321652304"",""Prop!$CB$1:$CL""),11,0),iferror(vlookup(B33,importrange(""https://docs.google.com/spreadsheets/d/1p53T2AuvvIqhP7Nf-bo3Uhj8cbKYRPpZdsrBv"&amp;"3x3bAQ/edit?resourcekey#gid=1321652304"",""Prop!$CM$1:$CX""),12,0),iferror(vlookup(B33,importrange(""https://docs.google.com/spreadsheets/d/1p53T2AuvvIqhP7Nf-bo3Uhj8cbKYRPpZdsrBv3x3bAQ/edit?resourcekey#gid=1321652304"",""Prop!$CY$1:$DI""),11,0)))))))))))"),"https://drive.google.com/open?id=1M14T16zgA96KyPoyChOWHjGsb53PSxZH")</f>
        <v>https://drive.google.com/open?id=1M14T16zgA96KyPoyChOWHjGsb53PSxZH</v>
      </c>
      <c r="R33" s="88" t="s">
        <v>1185</v>
      </c>
      <c r="S33" s="20" t="str">
        <f ca="1">IFERROR(__xludf.DUMMYFUNCTION("IFERROR(vlookup(B33,IMPORTRANGE(""https://docs.google.com/spreadsheets/d/1g_jfYYK_KeipEDNDUgqgrsxK94XiocfNQIcP-v1QVhI/edit?resourcekey#gid=233272945"",""Nilai!B:CT""),86,0),"" "")"),"anggaran tidak dipecah, pernyataan ketua tidak ada ttd dan materai")</f>
        <v>anggaran tidak dipecah, pernyataan ketua tidak ada ttd dan materai</v>
      </c>
      <c r="T33" s="20" t="str">
        <f ca="1">IFERROR(__xludf.DUMMYFUNCTION("IFERROR(vlookup(B33,IMPORTRANGE(""https://docs.google.com/spreadsheets/d/1g_jfYYK_KeipEDNDUgqgrsxK94XiocfNQIcP-v1QVhI/edit?resourcekey#gid=233272945"",""Nilai!B:CT""),97,0),"" "")"),"TIDAK LAYAK UPLOAD KE SIMBELMAWA")</f>
        <v>TIDAK LAYAK UPLOAD KE SIMBELMAWA</v>
      </c>
      <c r="U33" s="1" t="s">
        <v>786</v>
      </c>
      <c r="V33" s="1" t="s">
        <v>786</v>
      </c>
      <c r="W33" s="23" t="s">
        <v>1199</v>
      </c>
      <c r="X33" s="53" t="b">
        <v>0</v>
      </c>
    </row>
    <row r="34" spans="1:24">
      <c r="A34" s="15">
        <v>32</v>
      </c>
      <c r="B34" s="15">
        <f ca="1">IFERROR(__xludf.DUMMYFUNCTION("""COMPUTED_VALUE"""),2040)</f>
        <v>2040</v>
      </c>
      <c r="C34" s="16" t="str">
        <f ca="1">IFERROR(__xludf.DUMMYFUNCTION("""COMPUTED_VALUE"""),"ALBERTUS ARYOBIMO BAGAS AMANDARU")</f>
        <v>ALBERTUS ARYOBIMO BAGAS AMANDARU</v>
      </c>
      <c r="D34" s="16" t="str">
        <f ca="1">IFERROR(__xludf.DUMMYFUNCTION("""COMPUTED_VALUE"""),"08211840000059")</f>
        <v>08211840000059</v>
      </c>
      <c r="E34" s="16" t="str">
        <f ca="1">IFERROR(__xludf.DUMMYFUNCTION("""COMPUTED_VALUE"""),"Departemen Perencanaan Wilayah dan Kota")</f>
        <v>Departemen Perencanaan Wilayah dan Kota</v>
      </c>
      <c r="F34" s="16" t="str">
        <f ca="1">IFERROR(__xludf.DUMMYFUNCTION("""COMPUTED_VALUE"""),"Penentuan Lokasi Prioritas Tempat Pemakaman Umum di Jakarta Timur")</f>
        <v>Penentuan Lokasi Prioritas Tempat Pemakaman Umum di Jakarta Timur</v>
      </c>
      <c r="G34" s="16" t="str">
        <f ca="1">IFERROR(__xludf.DUMMYFUNCTION("""COMPUTED_VALUE"""),"Putu Gde Ariastita, S.T., M.T.")</f>
        <v>Putu Gde Ariastita, S.T., M.T.</v>
      </c>
      <c r="H34" s="16" t="str">
        <f ca="1">IFERROR(__xludf.DUMMYFUNCTION("""COMPUTED_VALUE"""),"Mochamad Yusuf, S.T., M.Sc.")</f>
        <v>Mochamad Yusuf, S.T., M.Sc.</v>
      </c>
      <c r="I34" s="16" t="str">
        <f ca="1">IFERROR(__xludf.DUMMYFUNCTION("""COMPUTED_VALUE"""),"Galuh Oktavia Siswono, S.Si., M.Si., M.Act,Sc.")</f>
        <v>Galuh Oktavia Siswono, S.Si., M.Si., M.Act,Sc.</v>
      </c>
      <c r="J34" s="16"/>
      <c r="K34" s="17" t="s">
        <v>1200</v>
      </c>
      <c r="L34" s="17" t="s">
        <v>1194</v>
      </c>
      <c r="M34" s="19" t="b">
        <v>1</v>
      </c>
      <c r="N34" s="19" t="b">
        <v>1</v>
      </c>
      <c r="O34" s="19" t="b">
        <v>1</v>
      </c>
      <c r="P34" s="7" t="str">
        <f ca="1">IFERROR(__xludf.DUMMYFUNCTION("iferror(vlookup(B34,importrange(""https://docs.google.com/spreadsheets/d/1boHyJQ4e2FU0QG8MHwEi6qjX4hvZWVCHcFfXjq7bbMc/edit?resourcekey#gid=923248883"",""Prop!$C$1:$M""),12,0),IFERROR(vlookup(B34,importrange(""https://docs.google.com/spreadsheets/d/1boHyJQ"&amp;"4e2FU0QG8MHwEi6qjX4hvZWVCHcFfXjq7bbMc/edit?resourcekey#gid=923248883"",""Prop!$N$1:$X""),11,0),iferror(vlookup(B34,importrange(""https://docs.google.com/spreadsheets/d/1boHyJQ4e2FU0QG8MHwEi6qjX4hvZWVCHcFfXjq7bbMc/edit?resourcekey#gid=923248883"",""Prop!$Y"&amp;"$1:$AI""),11,0),iferror(vlookup(B34,importrange(""https://docs.google.com/spreadsheets/d/1boHyJQ4e2FU0QG8MHwEi6qjX4hvZWVCHcFfXjq7bbMc/edit?resourcekey#gid=923248883"",""Prop!$AJ$1:$AT""),11,0),iferror(vlookup(B34,importrange(""https://docs.google.com/spre"&amp;"adsheets/d/1boHyJQ4e2FU0QG8MHwEi6qjX4hvZWVCHcFfXjq7bbMc/edit?resourcekey#gid=923248883"",""Prop!$AU$1:$BE""),11,0),iferror(vlookup(B34,importrange(""https://docs.google.com/spreadsheets/d/1boHyJQ4e2FU0QG8MHwEi6qjX4hvZWVCHcFfXjq7bbMc/edit?resourcekey#gid=9"&amp;"23248883"",""Prop!$BF$1:$BP""),11,0),iferror(vlookup(B34,importrange(""https://docs.google.com/spreadsheets/d/1boHyJQ4e2FU0QG8MHwEi6qjX4hvZWVCHcFfXjq7bbMc/edit?resourcekey#gid=923248883"",""Prop!$BQ$1:$CA""),11,0),iferror(vlookup(B34,importrange(""https:/"&amp;"/docs.google.com/spreadsheets/d/1boHyJQ4e2FU0QG8MHwEi6qjX4hvZWVCHcFfXjq7bbMc/edit?resourcekey#gid=923248883"",""Prop!$CB$1:$CL""),11,0),iferror(vlookup(B34,importrange(""https://docs.google.com/spreadsheets/d/1boHyJQ4e2FU0QG8MHwEi6qjX4hvZWVCHcFfXjq7bbMc/e"&amp;"dit?resourcekey#gid=923248883"",""Prop!$CM$1:$CX""),12,0),iferror(vlookup(B34,importrange(""https://docs.google.com/spreadsheets/d/1boHyJQ4e2FU0QG8MHwEi6qjX4hvZWVCHcFfXjq7bbMc/edit?resourcekey#gid=923248883"",""Prop!$CV$1:$DI""),11,0)))))))))))"),"https://drive.google.com/open?id=1nj_SltEOeL4BOQjMCrb74L3kTPB0fKS8")</f>
        <v>https://drive.google.com/open?id=1nj_SltEOeL4BOQjMCrb74L3kTPB0fKS8</v>
      </c>
      <c r="Q34" s="7" t="str">
        <f ca="1">IFERROR(__xludf.DUMMYFUNCTION("iferror(vlookup(B34,importrange(""https://docs.google.com/spreadsheets/d/1p53T2AuvvIqhP7Nf-bo3Uhj8cbKYRPpZdsrBv3x3bAQ/edit?resourcekey#gid=1321652304"",""Prop!$C$1:$M""),11,0),IFERROR(vlookup(B34,importrange(""https://docs.google.com/spreadsheets/d/1p53T2"&amp;"AuvvIqhP7Nf-bo3Uhj8cbKYRPpZdsrBv3x3bAQ/edit?resourcekey#gid=1321652304"",""Prop!$N$1:$X""),11,0),iferror(vlookup(B34,importrange(""https://docs.google.com/spreadsheets/d/1p53T2AuvvIqhP7Nf-bo3Uhj8cbKYRPpZdsrBv3x3bAQ/edit?resourcekey#gid=1321652304"",""Prop"&amp;"!$Y$1:$AI""),11,0),iferror(vlookup(B34,importrange(""https://docs.google.com/spreadsheets/d/1p53T2AuvvIqhP7Nf-bo3Uhj8cbKYRPpZdsrBv3x3bAQ/edit?resourcekey#gid=1321652304"",""Prop!$AJ$1:$AT""),11,0),iferror(vlookup(B34,importrange(""https://docs.google.com/"&amp;"spreadsheets/d/1p53T2AuvvIqhP7Nf-bo3Uhj8cbKYRPpZdsrBv3x3bAQ/edit?resourcekey#gid=1321652304"",""Prop!$AU$1:$BE""),11,0),iferror(vlookup(B34,importrange(""https://docs.google.com/spreadsheets/d/1p53T2AuvvIqhP7Nf-bo3Uhj8cbKYRPpZdsrBv3x3bAQ/edit?resourcekey#"&amp;"gid=1321652304"",""Prop!$BF$1:$BP""),11,0),iferror(vlookup(B34,importrange(""https://docs.google.com/spreadsheets/d/1p53T2AuvvIqhP7Nf-bo3Uhj8cbKYRPpZdsrBv3x3bAQ/edit?resourcekey#gid=1321652304"",""Prop!$BQ$1:$CA""),11,0),iferror(vlookup(B34,importrange("""&amp;"https://docs.google.com/spreadsheets/d/1p53T2AuvvIqhP7Nf-bo3Uhj8cbKYRPpZdsrBv3x3bAQ/edit?resourcekey#gid=1321652304"",""Prop!$CB$1:$CL""),11,0),iferror(vlookup(B34,importrange(""https://docs.google.com/spreadsheets/d/1p53T2AuvvIqhP7Nf-bo3Uhj8cbKYRPpZdsrBv"&amp;"3x3bAQ/edit?resourcekey#gid=1321652304"",""Prop!$CM$1:$CX""),12,0),iferror(vlookup(B34,importrange(""https://docs.google.com/spreadsheets/d/1p53T2AuvvIqhP7Nf-bo3Uhj8cbKYRPpZdsrBv3x3bAQ/edit?resourcekey#gid=1321652304"",""Prop!$CY$1:$DI""),11,0)))))))))))"),"https://drive.google.com/open?id=1e_3F86QyoQfRzsYyWTJIprJbwEEj-9ec")</f>
        <v>https://drive.google.com/open?id=1e_3F86QyoQfRzsYyWTJIprJbwEEj-9ec</v>
      </c>
      <c r="R34" s="88" t="s">
        <v>1185</v>
      </c>
      <c r="S34" s="20" t="str">
        <f ca="1">IFERROR(__xludf.DUMMYFUNCTION("IFERROR(vlookup(B34,IMPORTRANGE(""https://docs.google.com/spreadsheets/d/1g_jfYYK_KeipEDNDUgqgrsxK94XiocfNQIcP-v1QVhI/edit?resourcekey#gid=233272945"",""Nilai!B:CT""),86,0),"" "")"),"nuansa sosial sangat kurang, pendekatan terlalu spasial, urgensi penelitian tidak muncul")</f>
        <v>nuansa sosial sangat kurang, pendekatan terlalu spasial, urgensi penelitian tidak muncul</v>
      </c>
      <c r="T34" s="20" t="str">
        <f ca="1">IFERROR(__xludf.DUMMYFUNCTION("IFERROR(vlookup(B34,IMPORTRANGE(""https://docs.google.com/spreadsheets/d/1g_jfYYK_KeipEDNDUgqgrsxK94XiocfNQIcP-v1QVhI/edit?resourcekey#gid=233272945"",""Nilai!B:CT""),97,0),"" "")"),"LAYAK UPLOAD KE SIMBELMAWA DENGAN REVISI")</f>
        <v>LAYAK UPLOAD KE SIMBELMAWA DENGAN REVISI</v>
      </c>
      <c r="U34" s="1" t="s">
        <v>786</v>
      </c>
      <c r="V34" s="1" t="s">
        <v>786</v>
      </c>
      <c r="W34" s="23" t="s">
        <v>1199</v>
      </c>
      <c r="X34" s="53" t="b">
        <v>0</v>
      </c>
    </row>
    <row r="35" spans="1:24">
      <c r="A35" s="15">
        <v>33</v>
      </c>
      <c r="B35" s="15">
        <f ca="1">IFERROR(__xludf.DUMMYFUNCTION("""COMPUTED_VALUE"""),2423)</f>
        <v>2423</v>
      </c>
      <c r="C35" s="16" t="str">
        <f ca="1">IFERROR(__xludf.DUMMYFUNCTION("""COMPUTED_VALUE"""),"DHEA MUTIARA PERTIWI")</f>
        <v>DHEA MUTIARA PERTIWI</v>
      </c>
      <c r="D35" s="16" t="str">
        <f ca="1">IFERROR(__xludf.DUMMYFUNCTION("""COMPUTED_VALUE"""),"5003201095")</f>
        <v>5003201095</v>
      </c>
      <c r="E35" s="16" t="str">
        <f ca="1">IFERROR(__xludf.DUMMYFUNCTION("""COMPUTED_VALUE"""),"Departemen Statistika")</f>
        <v>Departemen Statistika</v>
      </c>
      <c r="F35" s="16" t="str">
        <f ca="1">IFERROR(__xludf.DUMMYFUNCTION("""COMPUTED_VALUE"""),"STRATEGI MENGATASI TINGKAT KEMACETAN DI SURABAYA MELALUI ANALISIS REGRESI BERGANDA HUBUNGAN KETERBATASAN ANGKUTAN UMUM DENGAN NAIKNYA TINGKAT KEMACETAN KOTA SURABAYA")</f>
        <v>STRATEGI MENGATASI TINGKAT KEMACETAN DI SURABAYA MELALUI ANALISIS REGRESI BERGANDA HUBUNGAN KETERBATASAN ANGKUTAN UMUM DENGAN NAIKNYA TINGKAT KEMACETAN KOTA SURABAYA</v>
      </c>
      <c r="G35" s="16" t="str">
        <f ca="1">IFERROR(__xludf.DUMMYFUNCTION("""COMPUTED_VALUE"""),"Jerry Dwi Trijoyo Purnomo, S.Si., M.Si., Ph.D.")</f>
        <v>Jerry Dwi Trijoyo Purnomo, S.Si., M.Si., Ph.D.</v>
      </c>
      <c r="H35" s="16" t="str">
        <f ca="1">IFERROR(__xludf.DUMMYFUNCTION("""COMPUTED_VALUE"""),"Muchammad Nurif, S.E., M.T.")</f>
        <v>Muchammad Nurif, S.E., M.T.</v>
      </c>
      <c r="I35" s="16" t="str">
        <f ca="1">IFERROR(__xludf.DUMMYFUNCTION("""COMPUTED_VALUE"""),"Deqi Rizkivia Radita, S.T., M.Sc.")</f>
        <v>Deqi Rizkivia Radita, S.T., M.Sc.</v>
      </c>
      <c r="J35" s="16"/>
      <c r="K35" s="17" t="s">
        <v>1200</v>
      </c>
      <c r="L35" s="17" t="s">
        <v>1194</v>
      </c>
      <c r="M35" s="19" t="b">
        <v>1</v>
      </c>
      <c r="N35" s="19" t="b">
        <v>1</v>
      </c>
      <c r="O35" s="19" t="b">
        <v>1</v>
      </c>
      <c r="P35" s="7" t="str">
        <f ca="1">IFERROR(__xludf.DUMMYFUNCTION("iferror(vlookup(B35,importrange(""https://docs.google.com/spreadsheets/d/1boHyJQ4e2FU0QG8MHwEi6qjX4hvZWVCHcFfXjq7bbMc/edit?resourcekey#gid=923248883"",""Prop!$C$1:$M""),12,0),IFERROR(vlookup(B35,importrange(""https://docs.google.com/spreadsheets/d/1boHyJQ"&amp;"4e2FU0QG8MHwEi6qjX4hvZWVCHcFfXjq7bbMc/edit?resourcekey#gid=923248883"",""Prop!$N$1:$X""),11,0),iferror(vlookup(B35,importrange(""https://docs.google.com/spreadsheets/d/1boHyJQ4e2FU0QG8MHwEi6qjX4hvZWVCHcFfXjq7bbMc/edit?resourcekey#gid=923248883"",""Prop!$Y"&amp;"$1:$AI""),11,0),iferror(vlookup(B35,importrange(""https://docs.google.com/spreadsheets/d/1boHyJQ4e2FU0QG8MHwEi6qjX4hvZWVCHcFfXjq7bbMc/edit?resourcekey#gid=923248883"",""Prop!$AJ$1:$AT""),11,0),iferror(vlookup(B35,importrange(""https://docs.google.com/spre"&amp;"adsheets/d/1boHyJQ4e2FU0QG8MHwEi6qjX4hvZWVCHcFfXjq7bbMc/edit?resourcekey#gid=923248883"",""Prop!$AU$1:$BE""),11,0),iferror(vlookup(B35,importrange(""https://docs.google.com/spreadsheets/d/1boHyJQ4e2FU0QG8MHwEi6qjX4hvZWVCHcFfXjq7bbMc/edit?resourcekey#gid=9"&amp;"23248883"",""Prop!$BF$1:$BP""),11,0),iferror(vlookup(B35,importrange(""https://docs.google.com/spreadsheets/d/1boHyJQ4e2FU0QG8MHwEi6qjX4hvZWVCHcFfXjq7bbMc/edit?resourcekey#gid=923248883"",""Prop!$BQ$1:$CA""),11,0),iferror(vlookup(B35,importrange(""https:/"&amp;"/docs.google.com/spreadsheets/d/1boHyJQ4e2FU0QG8MHwEi6qjX4hvZWVCHcFfXjq7bbMc/edit?resourcekey#gid=923248883"",""Prop!$CB$1:$CL""),11,0),iferror(vlookup(B35,importrange(""https://docs.google.com/spreadsheets/d/1boHyJQ4e2FU0QG8MHwEi6qjX4hvZWVCHcFfXjq7bbMc/e"&amp;"dit?resourcekey#gid=923248883"",""Prop!$CM$1:$CX""),12,0),iferror(vlookup(B35,importrange(""https://docs.google.com/spreadsheets/d/1boHyJQ4e2FU0QG8MHwEi6qjX4hvZWVCHcFfXjq7bbMc/edit?resourcekey#gid=923248883"",""Prop!$CV$1:$DI""),11,0)))))))))))"),"https://drive.google.com/open?id=1qEFOUO5vOVk_os2pbkgneDXK39SimP99")</f>
        <v>https://drive.google.com/open?id=1qEFOUO5vOVk_os2pbkgneDXK39SimP99</v>
      </c>
      <c r="Q35" s="7" t="str">
        <f ca="1">IFERROR(__xludf.DUMMYFUNCTION("iferror(vlookup(B35,importrange(""https://docs.google.com/spreadsheets/d/1p53T2AuvvIqhP7Nf-bo3Uhj8cbKYRPpZdsrBv3x3bAQ/edit?resourcekey#gid=1321652304"",""Prop!$C$1:$M""),11,0),IFERROR(vlookup(B35,importrange(""https://docs.google.com/spreadsheets/d/1p53T2"&amp;"AuvvIqhP7Nf-bo3Uhj8cbKYRPpZdsrBv3x3bAQ/edit?resourcekey#gid=1321652304"",""Prop!$N$1:$X""),11,0),iferror(vlookup(B35,importrange(""https://docs.google.com/spreadsheets/d/1p53T2AuvvIqhP7Nf-bo3Uhj8cbKYRPpZdsrBv3x3bAQ/edit?resourcekey#gid=1321652304"",""Prop"&amp;"!$Y$1:$AI""),11,0),iferror(vlookup(B35,importrange(""https://docs.google.com/spreadsheets/d/1p53T2AuvvIqhP7Nf-bo3Uhj8cbKYRPpZdsrBv3x3bAQ/edit?resourcekey#gid=1321652304"",""Prop!$AJ$1:$AT""),11,0),iferror(vlookup(B35,importrange(""https://docs.google.com/"&amp;"spreadsheets/d/1p53T2AuvvIqhP7Nf-bo3Uhj8cbKYRPpZdsrBv3x3bAQ/edit?resourcekey#gid=1321652304"",""Prop!$AU$1:$BE""),11,0),iferror(vlookup(B35,importrange(""https://docs.google.com/spreadsheets/d/1p53T2AuvvIqhP7Nf-bo3Uhj8cbKYRPpZdsrBv3x3bAQ/edit?resourcekey#"&amp;"gid=1321652304"",""Prop!$BF$1:$BP""),11,0),iferror(vlookup(B35,importrange(""https://docs.google.com/spreadsheets/d/1p53T2AuvvIqhP7Nf-bo3Uhj8cbKYRPpZdsrBv3x3bAQ/edit?resourcekey#gid=1321652304"",""Prop!$BQ$1:$CA""),11,0),iferror(vlookup(B35,importrange("""&amp;"https://docs.google.com/spreadsheets/d/1p53T2AuvvIqhP7Nf-bo3Uhj8cbKYRPpZdsrBv3x3bAQ/edit?resourcekey#gid=1321652304"",""Prop!$CB$1:$CL""),11,0),iferror(vlookup(B35,importrange(""https://docs.google.com/spreadsheets/d/1p53T2AuvvIqhP7Nf-bo3Uhj8cbKYRPpZdsrBv"&amp;"3x3bAQ/edit?resourcekey#gid=1321652304"",""Prop!$CM$1:$CX""),12,0),iferror(vlookup(B35,importrange(""https://docs.google.com/spreadsheets/d/1p53T2AuvvIqhP7Nf-bo3Uhj8cbKYRPpZdsrBv3x3bAQ/edit?resourcekey#gid=1321652304"",""Prop!$CY$1:$DI""),11,0)))))))))))"),"https://drive.google.com/open?id=1nyTqXoxFHlhXmE51bXMAzYQiNB58QVv4")</f>
        <v>https://drive.google.com/open?id=1nyTqXoxFHlhXmE51bXMAzYQiNB58QVv4</v>
      </c>
      <c r="R35" s="88" t="s">
        <v>1185</v>
      </c>
      <c r="S35" s="20" t="str">
        <f ca="1">IFERROR(__xludf.DUMMYFUNCTION("IFERROR(vlookup(B35,IMPORTRANGE(""https://docs.google.com/spreadsheets/d/1g_jfYYK_KeipEDNDUgqgrsxK94XiocfNQIcP-v1QVhI/edit?resourcekey#gid=233272945"",""Nilai!B:CT""),86,0),"" "")"),"Jumlah halaman lebih dari 10, urgensi soshum tidak muncul")</f>
        <v>Jumlah halaman lebih dari 10, urgensi soshum tidak muncul</v>
      </c>
      <c r="T35" s="20" t="str">
        <f ca="1">IFERROR(__xludf.DUMMYFUNCTION("IFERROR(vlookup(B35,IMPORTRANGE(""https://docs.google.com/spreadsheets/d/1g_jfYYK_KeipEDNDUgqgrsxK94XiocfNQIcP-v1QVhI/edit?resourcekey#gid=233272945"",""Nilai!B:CT""),97,0),"" "")"),"TIDAK LAYAK UPLOAD KE SIMBELMAWA")</f>
        <v>TIDAK LAYAK UPLOAD KE SIMBELMAWA</v>
      </c>
      <c r="U35" s="1" t="s">
        <v>786</v>
      </c>
      <c r="V35" s="1" t="s">
        <v>786</v>
      </c>
      <c r="W35" s="23" t="s">
        <v>1201</v>
      </c>
      <c r="X35" s="53" t="b">
        <v>0</v>
      </c>
    </row>
    <row r="36" spans="1:24">
      <c r="A36" s="15">
        <v>34</v>
      </c>
      <c r="B36" s="15">
        <f ca="1">IFERROR(__xludf.DUMMYFUNCTION("""COMPUTED_VALUE"""),2018)</f>
        <v>2018</v>
      </c>
      <c r="C36" s="16" t="str">
        <f ca="1">IFERROR(__xludf.DUMMYFUNCTION("""COMPUTED_VALUE"""),"BILLIE ALDERO SURYA SAPUTRA")</f>
        <v>BILLIE ALDERO SURYA SAPUTRA</v>
      </c>
      <c r="D36" s="16" t="str">
        <f ca="1">IFERROR(__xludf.DUMMYFUNCTION("""COMPUTED_VALUE"""),"08211840000095")</f>
        <v>08211840000095</v>
      </c>
      <c r="E36" s="16" t="str">
        <f ca="1">IFERROR(__xludf.DUMMYFUNCTION("""COMPUTED_VALUE"""),"Departemen Perencanaan Wilayah dan Kota")</f>
        <v>Departemen Perencanaan Wilayah dan Kota</v>
      </c>
      <c r="F36" s="16" t="str">
        <f ca="1">IFERROR(__xludf.DUMMYFUNCTION("""COMPUTED_VALUE"""),"Pemodelan Pertumbuhan Lahan Terbangun Sebagai Upaya Melindungi LP2B Di Kecamatan Kota Sumenep")</f>
        <v>Pemodelan Pertumbuhan Lahan Terbangun Sebagai Upaya Melindungi LP2B Di Kecamatan Kota Sumenep</v>
      </c>
      <c r="G36" s="16" t="str">
        <f ca="1">IFERROR(__xludf.DUMMYFUNCTION("""COMPUTED_VALUE"""),"Nursakti Adhi Pratomoatmojo, ST., M.Sc.")</f>
        <v>Nursakti Adhi Pratomoatmojo, ST., M.Sc.</v>
      </c>
      <c r="H36" s="16" t="str">
        <f ca="1">IFERROR(__xludf.DUMMYFUNCTION("""COMPUTED_VALUE"""),"Mochamad Yusuf, S.T., M.Sc.")</f>
        <v>Mochamad Yusuf, S.T., M.Sc.</v>
      </c>
      <c r="I36" s="16" t="str">
        <f ca="1">IFERROR(__xludf.DUMMYFUNCTION("""COMPUTED_VALUE"""),"Galuh Oktavia Siswono, S.Si., M.Si., M.Act,Sc.")</f>
        <v>Galuh Oktavia Siswono, S.Si., M.Si., M.Act,Sc.</v>
      </c>
      <c r="J36" s="16"/>
      <c r="K36" s="17" t="s">
        <v>1200</v>
      </c>
      <c r="L36" s="17" t="s">
        <v>1194</v>
      </c>
      <c r="M36" s="19" t="b">
        <v>0</v>
      </c>
      <c r="N36" s="19" t="b">
        <v>0</v>
      </c>
      <c r="O36" s="19" t="b">
        <v>0</v>
      </c>
      <c r="P36" s="7" t="str">
        <f ca="1">IFERROR(__xludf.DUMMYFUNCTION("iferror(vlookup(B36,importrange(""https://docs.google.com/spreadsheets/d/1boHyJQ4e2FU0QG8MHwEi6qjX4hvZWVCHcFfXjq7bbMc/edit?resourcekey#gid=923248883"",""Prop!$C$1:$M""),12,0),IFERROR(vlookup(B36,importrange(""https://docs.google.com/spreadsheets/d/1boHyJQ"&amp;"4e2FU0QG8MHwEi6qjX4hvZWVCHcFfXjq7bbMc/edit?resourcekey#gid=923248883"",""Prop!$N$1:$X""),11,0),iferror(vlookup(B36,importrange(""https://docs.google.com/spreadsheets/d/1boHyJQ4e2FU0QG8MHwEi6qjX4hvZWVCHcFfXjq7bbMc/edit?resourcekey#gid=923248883"",""Prop!$Y"&amp;"$1:$AI""),11,0),iferror(vlookup(B36,importrange(""https://docs.google.com/spreadsheets/d/1boHyJQ4e2FU0QG8MHwEi6qjX4hvZWVCHcFfXjq7bbMc/edit?resourcekey#gid=923248883"",""Prop!$AJ$1:$AT""),11,0),iferror(vlookup(B36,importrange(""https://docs.google.com/spre"&amp;"adsheets/d/1boHyJQ4e2FU0QG8MHwEi6qjX4hvZWVCHcFfXjq7bbMc/edit?resourcekey#gid=923248883"",""Prop!$AU$1:$BE""),11,0),iferror(vlookup(B36,importrange(""https://docs.google.com/spreadsheets/d/1boHyJQ4e2FU0QG8MHwEi6qjX4hvZWVCHcFfXjq7bbMc/edit?resourcekey#gid=9"&amp;"23248883"",""Prop!$BF$1:$BP""),11,0),iferror(vlookup(B36,importrange(""https://docs.google.com/spreadsheets/d/1boHyJQ4e2FU0QG8MHwEi6qjX4hvZWVCHcFfXjq7bbMc/edit?resourcekey#gid=923248883"",""Prop!$BQ$1:$CA""),11,0),iferror(vlookup(B36,importrange(""https:/"&amp;"/docs.google.com/spreadsheets/d/1boHyJQ4e2FU0QG8MHwEi6qjX4hvZWVCHcFfXjq7bbMc/edit?resourcekey#gid=923248883"",""Prop!$CB$1:$CL""),11,0),iferror(vlookup(B36,importrange(""https://docs.google.com/spreadsheets/d/1boHyJQ4e2FU0QG8MHwEi6qjX4hvZWVCHcFfXjq7bbMc/e"&amp;"dit?resourcekey#gid=923248883"",""Prop!$CM$1:$CX""),12,0),iferror(vlookup(B36,importrange(""https://docs.google.com/spreadsheets/d/1boHyJQ4e2FU0QG8MHwEi6qjX4hvZWVCHcFfXjq7bbMc/edit?resourcekey#gid=923248883"",""Prop!$CV$1:$DI""),11,0)))))))))))"),"https://drive.google.com/open?id=1F4HJdiCuyoEywEo7PEX8_N5_7SfN1k33")</f>
        <v>https://drive.google.com/open?id=1F4HJdiCuyoEywEo7PEX8_N5_7SfN1k33</v>
      </c>
      <c r="Q36" s="1" t="str">
        <f ca="1">IFERROR(__xludf.DUMMYFUNCTION("iferror(vlookup(B36,importrange(""https://docs.google.com/spreadsheets/d/1p53T2AuvvIqhP7Nf-bo3Uhj8cbKYRPpZdsrBv3x3bAQ/edit?resourcekey#gid=1321652304"",""Prop!$C$1:$M""),11,0),IFERROR(vlookup(B36,importrange(""https://docs.google.com/spreadsheets/d/1p53T2"&amp;"AuvvIqhP7Nf-bo3Uhj8cbKYRPpZdsrBv3x3bAQ/edit?resourcekey#gid=1321652304"",""Prop!$N$1:$X""),11,0),iferror(vlookup(B36,importrange(""https://docs.google.com/spreadsheets/d/1p53T2AuvvIqhP7Nf-bo3Uhj8cbKYRPpZdsrBv3x3bAQ/edit?resourcekey#gid=1321652304"",""Prop"&amp;"!$Y$1:$AI""),11,0),iferror(vlookup(B36,importrange(""https://docs.google.com/spreadsheets/d/1p53T2AuvvIqhP7Nf-bo3Uhj8cbKYRPpZdsrBv3x3bAQ/edit?resourcekey#gid=1321652304"",""Prop!$AJ$1:$AT""),11,0),iferror(vlookup(B36,importrange(""https://docs.google.com/"&amp;"spreadsheets/d/1p53T2AuvvIqhP7Nf-bo3Uhj8cbKYRPpZdsrBv3x3bAQ/edit?resourcekey#gid=1321652304"",""Prop!$AU$1:$BE""),11,0),iferror(vlookup(B36,importrange(""https://docs.google.com/spreadsheets/d/1p53T2AuvvIqhP7Nf-bo3Uhj8cbKYRPpZdsrBv3x3bAQ/edit?resourcekey#"&amp;"gid=1321652304"",""Prop!$BF$1:$BP""),11,0),iferror(vlookup(B36,importrange(""https://docs.google.com/spreadsheets/d/1p53T2AuvvIqhP7Nf-bo3Uhj8cbKYRPpZdsrBv3x3bAQ/edit?resourcekey#gid=1321652304"",""Prop!$BQ$1:$CA""),11,0),iferror(vlookup(B36,importrange("""&amp;"https://docs.google.com/spreadsheets/d/1p53T2AuvvIqhP7Nf-bo3Uhj8cbKYRPpZdsrBv3x3bAQ/edit?resourcekey#gid=1321652304"",""Prop!$CB$1:$CL""),11,0),iferror(vlookup(B36,importrange(""https://docs.google.com/spreadsheets/d/1p53T2AuvvIqhP7Nf-bo3Uhj8cbKYRPpZdsrBv"&amp;"3x3bAQ/edit?resourcekey#gid=1321652304"",""Prop!$CM$1:$CX""),12,0),iferror(vlookup(B36,importrange(""https://docs.google.com/spreadsheets/d/1p53T2AuvvIqhP7Nf-bo3Uhj8cbKYRPpZdsrBv3x3bAQ/edit?resourcekey#gid=1321652304"",""Prop!$CY$1:$DI""),11,0)))))))))))"),"")</f>
        <v/>
      </c>
      <c r="R36" s="88" t="s">
        <v>1185</v>
      </c>
      <c r="S36" s="20" t="str">
        <f ca="1">IFERROR(__xludf.DUMMYFUNCTION("IFERROR(vlookup(B36,IMPORTRANGE(""https://docs.google.com/spreadsheets/d/1g_jfYYK_KeipEDNDUgqgrsxK94XiocfNQIcP-v1QVhI/edit?resourcekey#gid=233272945"",""Nilai!B:CT""),86,0),"" "")")," ")</f>
        <v xml:space="preserve"> </v>
      </c>
      <c r="T36" s="20" t="str">
        <f ca="1">IFERROR(__xludf.DUMMYFUNCTION("IFERROR(vlookup(B36,IMPORTRANGE(""https://docs.google.com/spreadsheets/d/1g_jfYYK_KeipEDNDUgqgrsxK94XiocfNQIcP-v1QVhI/edit?resourcekey#gid=233272945"",""Nilai!B:CT""),97,0),"" "")")," ")</f>
        <v xml:space="preserve"> </v>
      </c>
      <c r="U36" s="1" t="s">
        <v>786</v>
      </c>
      <c r="V36" s="1" t="s">
        <v>786</v>
      </c>
      <c r="W36" s="23" t="s">
        <v>1201</v>
      </c>
      <c r="X36" s="53" t="b">
        <v>0</v>
      </c>
    </row>
    <row r="37" spans="1:24">
      <c r="A37" s="15">
        <v>35</v>
      </c>
      <c r="B37" s="15">
        <f ca="1">IFERROR(__xludf.DUMMYFUNCTION("""COMPUTED_VALUE"""),2126)</f>
        <v>2126</v>
      </c>
      <c r="C37" s="16" t="str">
        <f ca="1">IFERROR(__xludf.DUMMYFUNCTION("""COMPUTED_VALUE"""),"Dea Mahendra")</f>
        <v>Dea Mahendra</v>
      </c>
      <c r="D37" s="16" t="str">
        <f ca="1">IFERROR(__xludf.DUMMYFUNCTION("""COMPUTED_VALUE"""),"08211840000008")</f>
        <v>08211840000008</v>
      </c>
      <c r="E37" s="16" t="str">
        <f ca="1">IFERROR(__xludf.DUMMYFUNCTION("""COMPUTED_VALUE"""),"Departemen Perencanaan Wilayah dan Kota")</f>
        <v>Departemen Perencanaan Wilayah dan Kota</v>
      </c>
      <c r="F37" s="16" t="str">
        <f ca="1">IFERROR(__xludf.DUMMYFUNCTION("""COMPUTED_VALUE"""),"Strategi Pengembangan Wisata di Masa Pandemi Berdasarkan Kinerja Wisata dan Motivasi Wisatawan di Wisata Pantai Boom Marina")</f>
        <v>Strategi Pengembangan Wisata di Masa Pandemi Berdasarkan Kinerja Wisata dan Motivasi Wisatawan di Wisata Pantai Boom Marina</v>
      </c>
      <c r="G37" s="16" t="str">
        <f ca="1">IFERROR(__xludf.DUMMYFUNCTION("""COMPUTED_VALUE"""),"Ema Umilia, S.T., M.T.")</f>
        <v>Ema Umilia, S.T., M.T.</v>
      </c>
      <c r="H37" s="16" t="str">
        <f ca="1">IFERROR(__xludf.DUMMYFUNCTION("""COMPUTED_VALUE"""),"Mochamad Yusuf, S.T., M.Sc.")</f>
        <v>Mochamad Yusuf, S.T., M.Sc.</v>
      </c>
      <c r="I37" s="16" t="str">
        <f ca="1">IFERROR(__xludf.DUMMYFUNCTION("""COMPUTED_VALUE"""),"Adi Suryani, S.S., M.ED(LM)., Ph.D.")</f>
        <v>Adi Suryani, S.S., M.ED(LM)., Ph.D.</v>
      </c>
      <c r="J37" s="16"/>
      <c r="K37" s="17" t="s">
        <v>1200</v>
      </c>
      <c r="L37" s="17" t="s">
        <v>1194</v>
      </c>
      <c r="M37" s="19" t="b">
        <v>0</v>
      </c>
      <c r="N37" s="19" t="b">
        <v>0</v>
      </c>
      <c r="O37" s="19" t="b">
        <v>0</v>
      </c>
      <c r="P37" s="1" t="str">
        <f ca="1">IFERROR(__xludf.DUMMYFUNCTION("iferror(vlookup(B37,importrange(""https://docs.google.com/spreadsheets/d/1boHyJQ4e2FU0QG8MHwEi6qjX4hvZWVCHcFfXjq7bbMc/edit?resourcekey#gid=923248883"",""Prop!$C$1:$M""),12,0),IFERROR(vlookup(B37,importrange(""https://docs.google.com/spreadsheets/d/1boHyJQ"&amp;"4e2FU0QG8MHwEi6qjX4hvZWVCHcFfXjq7bbMc/edit?resourcekey#gid=923248883"",""Prop!$N$1:$X""),11,0),iferror(vlookup(B37,importrange(""https://docs.google.com/spreadsheets/d/1boHyJQ4e2FU0QG8MHwEi6qjX4hvZWVCHcFfXjq7bbMc/edit?resourcekey#gid=923248883"",""Prop!$Y"&amp;"$1:$AI""),11,0),iferror(vlookup(B37,importrange(""https://docs.google.com/spreadsheets/d/1boHyJQ4e2FU0QG8MHwEi6qjX4hvZWVCHcFfXjq7bbMc/edit?resourcekey#gid=923248883"",""Prop!$AJ$1:$AT""),11,0),iferror(vlookup(B37,importrange(""https://docs.google.com/spre"&amp;"adsheets/d/1boHyJQ4e2FU0QG8MHwEi6qjX4hvZWVCHcFfXjq7bbMc/edit?resourcekey#gid=923248883"",""Prop!$AU$1:$BE""),11,0),iferror(vlookup(B37,importrange(""https://docs.google.com/spreadsheets/d/1boHyJQ4e2FU0QG8MHwEi6qjX4hvZWVCHcFfXjq7bbMc/edit?resourcekey#gid=9"&amp;"23248883"",""Prop!$BF$1:$BP""),11,0),iferror(vlookup(B37,importrange(""https://docs.google.com/spreadsheets/d/1boHyJQ4e2FU0QG8MHwEi6qjX4hvZWVCHcFfXjq7bbMc/edit?resourcekey#gid=923248883"",""Prop!$BQ$1:$CA""),11,0),iferror(vlookup(B37,importrange(""https:/"&amp;"/docs.google.com/spreadsheets/d/1boHyJQ4e2FU0QG8MHwEi6qjX4hvZWVCHcFfXjq7bbMc/edit?resourcekey#gid=923248883"",""Prop!$CB$1:$CL""),11,0),iferror(vlookup(B37,importrange(""https://docs.google.com/spreadsheets/d/1boHyJQ4e2FU0QG8MHwEi6qjX4hvZWVCHcFfXjq7bbMc/e"&amp;"dit?resourcekey#gid=923248883"",""Prop!$CM$1:$CX""),12,0),iferror(vlookup(B37,importrange(""https://docs.google.com/spreadsheets/d/1boHyJQ4e2FU0QG8MHwEi6qjX4hvZWVCHcFfXjq7bbMc/edit?resourcekey#gid=923248883"",""Prop!$CV$1:$DI""),11,0)))))))))))"),"")</f>
        <v/>
      </c>
      <c r="Q37" s="7" t="str">
        <f ca="1">IFERROR(__xludf.DUMMYFUNCTION("iferror(vlookup(B37,importrange(""https://docs.google.com/spreadsheets/d/1p53T2AuvvIqhP7Nf-bo3Uhj8cbKYRPpZdsrBv3x3bAQ/edit?resourcekey#gid=1321652304"",""Prop!$C$1:$M""),11,0),IFERROR(vlookup(B37,importrange(""https://docs.google.com/spreadsheets/d/1p53T2"&amp;"AuvvIqhP7Nf-bo3Uhj8cbKYRPpZdsrBv3x3bAQ/edit?resourcekey#gid=1321652304"",""Prop!$N$1:$X""),11,0),iferror(vlookup(B37,importrange(""https://docs.google.com/spreadsheets/d/1p53T2AuvvIqhP7Nf-bo3Uhj8cbKYRPpZdsrBv3x3bAQ/edit?resourcekey#gid=1321652304"",""Prop"&amp;"!$Y$1:$AI""),11,0),iferror(vlookup(B37,importrange(""https://docs.google.com/spreadsheets/d/1p53T2AuvvIqhP7Nf-bo3Uhj8cbKYRPpZdsrBv3x3bAQ/edit?resourcekey#gid=1321652304"",""Prop!$AJ$1:$AT""),11,0),iferror(vlookup(B37,importrange(""https://docs.google.com/"&amp;"spreadsheets/d/1p53T2AuvvIqhP7Nf-bo3Uhj8cbKYRPpZdsrBv3x3bAQ/edit?resourcekey#gid=1321652304"",""Prop!$AU$1:$BE""),11,0),iferror(vlookup(B37,importrange(""https://docs.google.com/spreadsheets/d/1p53T2AuvvIqhP7Nf-bo3Uhj8cbKYRPpZdsrBv3x3bAQ/edit?resourcekey#"&amp;"gid=1321652304"",""Prop!$BF$1:$BP""),11,0),iferror(vlookup(B37,importrange(""https://docs.google.com/spreadsheets/d/1p53T2AuvvIqhP7Nf-bo3Uhj8cbKYRPpZdsrBv3x3bAQ/edit?resourcekey#gid=1321652304"",""Prop!$BQ$1:$CA""),11,0),iferror(vlookup(B37,importrange("""&amp;"https://docs.google.com/spreadsheets/d/1p53T2AuvvIqhP7Nf-bo3Uhj8cbKYRPpZdsrBv3x3bAQ/edit?resourcekey#gid=1321652304"",""Prop!$CB$1:$CL""),11,0),iferror(vlookup(B37,importrange(""https://docs.google.com/spreadsheets/d/1p53T2AuvvIqhP7Nf-bo3Uhj8cbKYRPpZdsrBv"&amp;"3x3bAQ/edit?resourcekey#gid=1321652304"",""Prop!$CM$1:$CX""),12,0),iferror(vlookup(B37,importrange(""https://docs.google.com/spreadsheets/d/1p53T2AuvvIqhP7Nf-bo3Uhj8cbKYRPpZdsrBv3x3bAQ/edit?resourcekey#gid=1321652304"",""Prop!$CY$1:$DI""),11,0)))))))))))"),"https://drive.google.com/open?id=11R7WbTp4SlIdOavJyNDsWT4R-1YbJnDU")</f>
        <v>https://drive.google.com/open?id=11R7WbTp4SlIdOavJyNDsWT4R-1YbJnDU</v>
      </c>
      <c r="R37" s="88" t="s">
        <v>1185</v>
      </c>
      <c r="S37" s="20" t="str">
        <f ca="1">IFERROR(__xludf.DUMMYFUNCTION("IFERROR(vlookup(B37,IMPORTRANGE(""https://docs.google.com/spreadsheets/d/1g_jfYYK_KeipEDNDUgqgrsxK94XiocfNQIcP-v1QVhI/edit?resourcekey#gid=233272945"",""Nilai!B:CT""),86,0),"" "")"),"jumlah halaman lebih dr 10; luaran kurang, sisi soshum tidak muncul")</f>
        <v>jumlah halaman lebih dr 10; luaran kurang, sisi soshum tidak muncul</v>
      </c>
      <c r="T37" s="20" t="str">
        <f ca="1">IFERROR(__xludf.DUMMYFUNCTION("IFERROR(vlookup(B37,IMPORTRANGE(""https://docs.google.com/spreadsheets/d/1g_jfYYK_KeipEDNDUgqgrsxK94XiocfNQIcP-v1QVhI/edit?resourcekey#gid=233272945"",""Nilai!B:CT""),97,0),"" "")"),"TIDAK LAYAK UPLOAD KE SIMBELMAWA")</f>
        <v>TIDAK LAYAK UPLOAD KE SIMBELMAWA</v>
      </c>
      <c r="U37" s="1" t="s">
        <v>786</v>
      </c>
      <c r="V37" s="1" t="s">
        <v>786</v>
      </c>
      <c r="W37" s="23" t="s">
        <v>1201</v>
      </c>
      <c r="X37" s="53" t="b">
        <v>0</v>
      </c>
    </row>
    <row r="38" spans="1:24">
      <c r="A38" s="15">
        <v>36</v>
      </c>
      <c r="B38" s="15">
        <f ca="1">IFERROR(__xludf.DUMMYFUNCTION("""COMPUTED_VALUE"""),3149)</f>
        <v>3149</v>
      </c>
      <c r="C38" s="16" t="str">
        <f ca="1">IFERROR(__xludf.DUMMYFUNCTION("""COMPUTED_VALUE"""),"WAODE NURUL JASMIN AZZAHRA BUDIMAN")</f>
        <v>WAODE NURUL JASMIN AZZAHRA BUDIMAN</v>
      </c>
      <c r="D38" s="16" t="str">
        <f ca="1">IFERROR(__xludf.DUMMYFUNCTION("""COMPUTED_VALUE"""),"08211840000057")</f>
        <v>08211840000057</v>
      </c>
      <c r="E38" s="16" t="str">
        <f ca="1">IFERROR(__xludf.DUMMYFUNCTION("""COMPUTED_VALUE"""),"Departemen Perencanaan Wilayah dan Kota")</f>
        <v>Departemen Perencanaan Wilayah dan Kota</v>
      </c>
      <c r="F38" s="16" t="str">
        <f ca="1">IFERROR(__xludf.DUMMYFUNCTION("""COMPUTED_VALUE"""),"Persepsi dan Preferensi Masyarakat Terhadap Pembangunan Infrastruktur Kawasan Margonda Raya Berdasarkan Pendekatan Pembangunan Berkelanjutan")</f>
        <v>Persepsi dan Preferensi Masyarakat Terhadap Pembangunan Infrastruktur Kawasan Margonda Raya Berdasarkan Pendekatan Pembangunan Berkelanjutan</v>
      </c>
      <c r="G38" s="16" t="str">
        <f ca="1">IFERROR(__xludf.DUMMYFUNCTION("""COMPUTED_VALUE"""),"Ardy Maulidy Navastara, S.T., M.T.")</f>
        <v>Ardy Maulidy Navastara, S.T., M.T.</v>
      </c>
      <c r="H38" s="16" t="str">
        <f ca="1">IFERROR(__xludf.DUMMYFUNCTION("""COMPUTED_VALUE"""),"Dr. Soedarso, S.S., M.Hum.")</f>
        <v>Dr. Soedarso, S.S., M.Hum.</v>
      </c>
      <c r="I38" s="16" t="str">
        <f ca="1">IFERROR(__xludf.DUMMYFUNCTION("""COMPUTED_VALUE"""),"Mahardika F. Rois, S.T, M.T")</f>
        <v>Mahardika F. Rois, S.T, M.T</v>
      </c>
      <c r="J38" s="16"/>
      <c r="K38" s="17" t="s">
        <v>1202</v>
      </c>
      <c r="L38" s="17" t="s">
        <v>1194</v>
      </c>
      <c r="M38" s="19" t="b">
        <v>1</v>
      </c>
      <c r="N38" s="19" t="b">
        <v>1</v>
      </c>
      <c r="O38" s="19" t="b">
        <v>1</v>
      </c>
      <c r="P38" s="7" t="str">
        <f ca="1">IFERROR(__xludf.DUMMYFUNCTION("iferror(vlookup(B38,importrange(""https://docs.google.com/spreadsheets/d/1boHyJQ4e2FU0QG8MHwEi6qjX4hvZWVCHcFfXjq7bbMc/edit?resourcekey#gid=923248883"",""Prop!$C$1:$M""),12,0),IFERROR(vlookup(B38,importrange(""https://docs.google.com/spreadsheets/d/1boHyJQ"&amp;"4e2FU0QG8MHwEi6qjX4hvZWVCHcFfXjq7bbMc/edit?resourcekey#gid=923248883"",""Prop!$N$1:$X""),11,0),iferror(vlookup(B38,importrange(""https://docs.google.com/spreadsheets/d/1boHyJQ4e2FU0QG8MHwEi6qjX4hvZWVCHcFfXjq7bbMc/edit?resourcekey#gid=923248883"",""Prop!$Y"&amp;"$1:$AI""),11,0),iferror(vlookup(B38,importrange(""https://docs.google.com/spreadsheets/d/1boHyJQ4e2FU0QG8MHwEi6qjX4hvZWVCHcFfXjq7bbMc/edit?resourcekey#gid=923248883"",""Prop!$AJ$1:$AT""),11,0),iferror(vlookup(B38,importrange(""https://docs.google.com/spre"&amp;"adsheets/d/1boHyJQ4e2FU0QG8MHwEi6qjX4hvZWVCHcFfXjq7bbMc/edit?resourcekey#gid=923248883"",""Prop!$AU$1:$BE""),11,0),iferror(vlookup(B38,importrange(""https://docs.google.com/spreadsheets/d/1boHyJQ4e2FU0QG8MHwEi6qjX4hvZWVCHcFfXjq7bbMc/edit?resourcekey#gid=9"&amp;"23248883"",""Prop!$BF$1:$BP""),11,0),iferror(vlookup(B38,importrange(""https://docs.google.com/spreadsheets/d/1boHyJQ4e2FU0QG8MHwEi6qjX4hvZWVCHcFfXjq7bbMc/edit?resourcekey#gid=923248883"",""Prop!$BQ$1:$CA""),11,0),iferror(vlookup(B38,importrange(""https:/"&amp;"/docs.google.com/spreadsheets/d/1boHyJQ4e2FU0QG8MHwEi6qjX4hvZWVCHcFfXjq7bbMc/edit?resourcekey#gid=923248883"",""Prop!$CB$1:$CL""),11,0),iferror(vlookup(B38,importrange(""https://docs.google.com/spreadsheets/d/1boHyJQ4e2FU0QG8MHwEi6qjX4hvZWVCHcFfXjq7bbMc/e"&amp;"dit?resourcekey#gid=923248883"",""Prop!$CM$1:$CX""),12,0),iferror(vlookup(B38,importrange(""https://docs.google.com/spreadsheets/d/1boHyJQ4e2FU0QG8MHwEi6qjX4hvZWVCHcFfXjq7bbMc/edit?resourcekey#gid=923248883"",""Prop!$CV$1:$DI""),11,0)))))))))))"),"https://drive.google.com/open?id=1VJ5RQLB2pe-Jd-vLWnTmKBze62rzoFj5")</f>
        <v>https://drive.google.com/open?id=1VJ5RQLB2pe-Jd-vLWnTmKBze62rzoFj5</v>
      </c>
      <c r="Q38" s="7" t="str">
        <f ca="1">IFERROR(__xludf.DUMMYFUNCTION("iferror(vlookup(B38,importrange(""https://docs.google.com/spreadsheets/d/1p53T2AuvvIqhP7Nf-bo3Uhj8cbKYRPpZdsrBv3x3bAQ/edit?resourcekey#gid=1321652304"",""Prop!$C$1:$M""),11,0),IFERROR(vlookup(B38,importrange(""https://docs.google.com/spreadsheets/d/1p53T2"&amp;"AuvvIqhP7Nf-bo3Uhj8cbKYRPpZdsrBv3x3bAQ/edit?resourcekey#gid=1321652304"",""Prop!$N$1:$X""),11,0),iferror(vlookup(B38,importrange(""https://docs.google.com/spreadsheets/d/1p53T2AuvvIqhP7Nf-bo3Uhj8cbKYRPpZdsrBv3x3bAQ/edit?resourcekey#gid=1321652304"",""Prop"&amp;"!$Y$1:$AI""),11,0),iferror(vlookup(B38,importrange(""https://docs.google.com/spreadsheets/d/1p53T2AuvvIqhP7Nf-bo3Uhj8cbKYRPpZdsrBv3x3bAQ/edit?resourcekey#gid=1321652304"",""Prop!$AJ$1:$AT""),11,0),iferror(vlookup(B38,importrange(""https://docs.google.com/"&amp;"spreadsheets/d/1p53T2AuvvIqhP7Nf-bo3Uhj8cbKYRPpZdsrBv3x3bAQ/edit?resourcekey#gid=1321652304"",""Prop!$AU$1:$BE""),11,0),iferror(vlookup(B38,importrange(""https://docs.google.com/spreadsheets/d/1p53T2AuvvIqhP7Nf-bo3Uhj8cbKYRPpZdsrBv3x3bAQ/edit?resourcekey#"&amp;"gid=1321652304"",""Prop!$BF$1:$BP""),11,0),iferror(vlookup(B38,importrange(""https://docs.google.com/spreadsheets/d/1p53T2AuvvIqhP7Nf-bo3Uhj8cbKYRPpZdsrBv3x3bAQ/edit?resourcekey#gid=1321652304"",""Prop!$BQ$1:$CA""),11,0),iferror(vlookup(B38,importrange("""&amp;"https://docs.google.com/spreadsheets/d/1p53T2AuvvIqhP7Nf-bo3Uhj8cbKYRPpZdsrBv3x3bAQ/edit?resourcekey#gid=1321652304"",""Prop!$CB$1:$CL""),11,0),iferror(vlookup(B38,importrange(""https://docs.google.com/spreadsheets/d/1p53T2AuvvIqhP7Nf-bo3Uhj8cbKYRPpZdsrBv"&amp;"3x3bAQ/edit?resourcekey#gid=1321652304"",""Prop!$CM$1:$CX""),12,0),iferror(vlookup(B38,importrange(""https://docs.google.com/spreadsheets/d/1p53T2AuvvIqhP7Nf-bo3Uhj8cbKYRPpZdsrBv3x3bAQ/edit?resourcekey#gid=1321652304"",""Prop!$CY$1:$DI""),11,0)))))))))))"),"https://drive.google.com/open?id=1k85Juapt3J2OAejMLZVXZSPKO6IMEU5D")</f>
        <v>https://drive.google.com/open?id=1k85Juapt3J2OAejMLZVXZSPKO6IMEU5D</v>
      </c>
      <c r="R38" s="88" t="s">
        <v>1185</v>
      </c>
      <c r="S38" s="20" t="str">
        <f ca="1">IFERROR(__xludf.DUMMYFUNCTION("IFERROR(vlookup(B38,IMPORTRANGE(""https://docs.google.com/spreadsheets/d/1g_jfYYK_KeipEDNDUgqgrsxK94XiocfNQIcP-v1QVhI/edit?resourcekey#gid=233272945"",""Nilai!B:CT""),86,0),"" "")"),"-")</f>
        <v>-</v>
      </c>
      <c r="T38" s="20" t="str">
        <f ca="1">IFERROR(__xludf.DUMMYFUNCTION("IFERROR(vlookup(B38,IMPORTRANGE(""https://docs.google.com/spreadsheets/d/1g_jfYYK_KeipEDNDUgqgrsxK94XiocfNQIcP-v1QVhI/edit?resourcekey#gid=233272945"",""Nilai!B:CT""),97,0),"" "")"),"LAYAK UPLOAD KE SIMBELMAWA DENGAN REVISI")</f>
        <v>LAYAK UPLOAD KE SIMBELMAWA DENGAN REVISI</v>
      </c>
      <c r="U38" s="1" t="s">
        <v>786</v>
      </c>
      <c r="V38" s="1" t="s">
        <v>786</v>
      </c>
      <c r="W38" s="23" t="s">
        <v>1201</v>
      </c>
      <c r="X38" s="53" t="b">
        <v>0</v>
      </c>
    </row>
    <row r="39" spans="1:24">
      <c r="A39" s="15">
        <v>37</v>
      </c>
      <c r="B39" s="15">
        <f ca="1">IFERROR(__xludf.DUMMYFUNCTION("""COMPUTED_VALUE"""),2546)</f>
        <v>2546</v>
      </c>
      <c r="C39" s="16" t="str">
        <f ca="1">IFERROR(__xludf.DUMMYFUNCTION("""COMPUTED_VALUE"""),"RIZQI FITRIYANTO")</f>
        <v>RIZQI FITRIYANTO</v>
      </c>
      <c r="D39" s="16" t="str">
        <f ca="1">IFERROR(__xludf.DUMMYFUNCTION("""COMPUTED_VALUE"""),"08211840000083")</f>
        <v>08211840000083</v>
      </c>
      <c r="E39" s="16" t="str">
        <f ca="1">IFERROR(__xludf.DUMMYFUNCTION("""COMPUTED_VALUE"""),"Departemen Perencanaan Wilayah dan Kota")</f>
        <v>Departemen Perencanaan Wilayah dan Kota</v>
      </c>
      <c r="F39" s="16" t="str">
        <f ca="1">IFERROR(__xludf.DUMMYFUNCTION("""COMPUTED_VALUE"""),"PREDIKSI PERUBAHAN PENGGUNAAN LAHAN TERBANGUN BERBASIS CELLULAR AUTO MATA DI PERKOTAAN NGAWI")</f>
        <v>PREDIKSI PERUBAHAN PENGGUNAAN LAHAN TERBANGUN BERBASIS CELLULAR AUTO MATA DI PERKOTAAN NGAWI</v>
      </c>
      <c r="G39" s="16" t="str">
        <f ca="1">IFERROR(__xludf.DUMMYFUNCTION("""COMPUTED_VALUE"""),"Cahyono Susetyo, S.T., M.Sc.")</f>
        <v>Cahyono Susetyo, S.T., M.Sc.</v>
      </c>
      <c r="H39" s="16" t="str">
        <f ca="1">IFERROR(__xludf.DUMMYFUNCTION("""COMPUTED_VALUE"""),"Dr. Soedarso, S.S., M.Hum.")</f>
        <v>Dr. Soedarso, S.S., M.Hum.</v>
      </c>
      <c r="I39" s="16" t="str">
        <f ca="1">IFERROR(__xludf.DUMMYFUNCTION("""COMPUTED_VALUE"""),"Mukti Ratna Dewi, S.Si., M.Sc.")</f>
        <v>Mukti Ratna Dewi, S.Si., M.Sc.</v>
      </c>
      <c r="J39" s="16"/>
      <c r="K39" s="17" t="s">
        <v>1202</v>
      </c>
      <c r="L39" s="17" t="s">
        <v>1194</v>
      </c>
      <c r="M39" s="19" t="b">
        <v>0</v>
      </c>
      <c r="N39" s="19" t="b">
        <v>0</v>
      </c>
      <c r="O39" s="19" t="b">
        <v>0</v>
      </c>
      <c r="P39" s="1" t="str">
        <f ca="1">IFERROR(__xludf.DUMMYFUNCTION("iferror(vlookup(B39,importrange(""https://docs.google.com/spreadsheets/d/1boHyJQ4e2FU0QG8MHwEi6qjX4hvZWVCHcFfXjq7bbMc/edit?resourcekey#gid=923248883"",""Prop!$C$1:$M""),12,0),IFERROR(vlookup(B39,importrange(""https://docs.google.com/spreadsheets/d/1boHyJQ"&amp;"4e2FU0QG8MHwEi6qjX4hvZWVCHcFfXjq7bbMc/edit?resourcekey#gid=923248883"",""Prop!$N$1:$X""),11,0),iferror(vlookup(B39,importrange(""https://docs.google.com/spreadsheets/d/1boHyJQ4e2FU0QG8MHwEi6qjX4hvZWVCHcFfXjq7bbMc/edit?resourcekey#gid=923248883"",""Prop!$Y"&amp;"$1:$AI""),11,0),iferror(vlookup(B39,importrange(""https://docs.google.com/spreadsheets/d/1boHyJQ4e2FU0QG8MHwEi6qjX4hvZWVCHcFfXjq7bbMc/edit?resourcekey#gid=923248883"",""Prop!$AJ$1:$AT""),11,0),iferror(vlookup(B39,importrange(""https://docs.google.com/spre"&amp;"adsheets/d/1boHyJQ4e2FU0QG8MHwEi6qjX4hvZWVCHcFfXjq7bbMc/edit?resourcekey#gid=923248883"",""Prop!$AU$1:$BE""),11,0),iferror(vlookup(B39,importrange(""https://docs.google.com/spreadsheets/d/1boHyJQ4e2FU0QG8MHwEi6qjX4hvZWVCHcFfXjq7bbMc/edit?resourcekey#gid=9"&amp;"23248883"",""Prop!$BF$1:$BP""),11,0),iferror(vlookup(B39,importrange(""https://docs.google.com/spreadsheets/d/1boHyJQ4e2FU0QG8MHwEi6qjX4hvZWVCHcFfXjq7bbMc/edit?resourcekey#gid=923248883"",""Prop!$BQ$1:$CA""),11,0),iferror(vlookup(B39,importrange(""https:/"&amp;"/docs.google.com/spreadsheets/d/1boHyJQ4e2FU0QG8MHwEi6qjX4hvZWVCHcFfXjq7bbMc/edit?resourcekey#gid=923248883"",""Prop!$CB$1:$CL""),11,0),iferror(vlookup(B39,importrange(""https://docs.google.com/spreadsheets/d/1boHyJQ4e2FU0QG8MHwEi6qjX4hvZWVCHcFfXjq7bbMc/e"&amp;"dit?resourcekey#gid=923248883"",""Prop!$CM$1:$CX""),12,0),iferror(vlookup(B39,importrange(""https://docs.google.com/spreadsheets/d/1boHyJQ4e2FU0QG8MHwEi6qjX4hvZWVCHcFfXjq7bbMc/edit?resourcekey#gid=923248883"",""Prop!$CV$1:$DI""),11,0)))))))))))"),"")</f>
        <v/>
      </c>
      <c r="Q39" s="1" t="str">
        <f ca="1">IFERROR(__xludf.DUMMYFUNCTION("iferror(vlookup(B39,importrange(""https://docs.google.com/spreadsheets/d/1p53T2AuvvIqhP7Nf-bo3Uhj8cbKYRPpZdsrBv3x3bAQ/edit?resourcekey#gid=1321652304"",""Prop!$C$1:$M""),11,0),IFERROR(vlookup(B39,importrange(""https://docs.google.com/spreadsheets/d/1p53T2"&amp;"AuvvIqhP7Nf-bo3Uhj8cbKYRPpZdsrBv3x3bAQ/edit?resourcekey#gid=1321652304"",""Prop!$N$1:$X""),11,0),iferror(vlookup(B39,importrange(""https://docs.google.com/spreadsheets/d/1p53T2AuvvIqhP7Nf-bo3Uhj8cbKYRPpZdsrBv3x3bAQ/edit?resourcekey#gid=1321652304"",""Prop"&amp;"!$Y$1:$AI""),11,0),iferror(vlookup(B39,importrange(""https://docs.google.com/spreadsheets/d/1p53T2AuvvIqhP7Nf-bo3Uhj8cbKYRPpZdsrBv3x3bAQ/edit?resourcekey#gid=1321652304"",""Prop!$AJ$1:$AT""),11,0),iferror(vlookup(B39,importrange(""https://docs.google.com/"&amp;"spreadsheets/d/1p53T2AuvvIqhP7Nf-bo3Uhj8cbKYRPpZdsrBv3x3bAQ/edit?resourcekey#gid=1321652304"",""Prop!$AU$1:$BE""),11,0),iferror(vlookup(B39,importrange(""https://docs.google.com/spreadsheets/d/1p53T2AuvvIqhP7Nf-bo3Uhj8cbKYRPpZdsrBv3x3bAQ/edit?resourcekey#"&amp;"gid=1321652304"",""Prop!$BF$1:$BP""),11,0),iferror(vlookup(B39,importrange(""https://docs.google.com/spreadsheets/d/1p53T2AuvvIqhP7Nf-bo3Uhj8cbKYRPpZdsrBv3x3bAQ/edit?resourcekey#gid=1321652304"",""Prop!$BQ$1:$CA""),11,0),iferror(vlookup(B39,importrange("""&amp;"https://docs.google.com/spreadsheets/d/1p53T2AuvvIqhP7Nf-bo3Uhj8cbKYRPpZdsrBv3x3bAQ/edit?resourcekey#gid=1321652304"",""Prop!$CB$1:$CL""),11,0),iferror(vlookup(B39,importrange(""https://docs.google.com/spreadsheets/d/1p53T2AuvvIqhP7Nf-bo3Uhj8cbKYRPpZdsrBv"&amp;"3x3bAQ/edit?resourcekey#gid=1321652304"",""Prop!$CM$1:$CX""),12,0),iferror(vlookup(B39,importrange(""https://docs.google.com/spreadsheets/d/1p53T2AuvvIqhP7Nf-bo3Uhj8cbKYRPpZdsrBv3x3bAQ/edit?resourcekey#gid=1321652304"",""Prop!$CY$1:$DI""),11,0)))))))))))"),"")</f>
        <v/>
      </c>
      <c r="R39" s="88" t="s">
        <v>1185</v>
      </c>
      <c r="S39" s="20" t="str">
        <f ca="1">IFERROR(__xludf.DUMMYFUNCTION("IFERROR(vlookup(B39,IMPORTRANGE(""https://docs.google.com/spreadsheets/d/1g_jfYYK_KeipEDNDUgqgrsxK94XiocfNQIcP-v1QVhI/edit?resourcekey#gid=233272945"",""Nilai!B:CT""),86,0),"" "")")," ")</f>
        <v xml:space="preserve"> </v>
      </c>
      <c r="T39" s="20" t="str">
        <f ca="1">IFERROR(__xludf.DUMMYFUNCTION("IFERROR(vlookup(B39,IMPORTRANGE(""https://docs.google.com/spreadsheets/d/1g_jfYYK_KeipEDNDUgqgrsxK94XiocfNQIcP-v1QVhI/edit?resourcekey#gid=233272945"",""Nilai!B:CT""),97,0),"" "")")," ")</f>
        <v xml:space="preserve"> </v>
      </c>
      <c r="U39" s="1" t="s">
        <v>786</v>
      </c>
      <c r="V39" s="1" t="s">
        <v>786</v>
      </c>
      <c r="W39" s="23" t="s">
        <v>1203</v>
      </c>
      <c r="X39" s="53" t="b">
        <v>0</v>
      </c>
    </row>
    <row r="40" spans="1:24">
      <c r="A40" s="15">
        <v>38</v>
      </c>
      <c r="B40" s="15">
        <f ca="1">IFERROR(__xludf.DUMMYFUNCTION("""COMPUTED_VALUE"""),2296)</f>
        <v>2296</v>
      </c>
      <c r="C40" s="16" t="str">
        <f ca="1">IFERROR(__xludf.DUMMYFUNCTION("""COMPUTED_VALUE"""),"DEVI NUR FITRIANI")</f>
        <v>DEVI NUR FITRIANI</v>
      </c>
      <c r="D40" s="16" t="str">
        <f ca="1">IFERROR(__xludf.DUMMYFUNCTION("""COMPUTED_VALUE"""),"5003201032")</f>
        <v>5003201032</v>
      </c>
      <c r="E40" s="16" t="str">
        <f ca="1">IFERROR(__xludf.DUMMYFUNCTION("""COMPUTED_VALUE"""),"Departemen Statistika")</f>
        <v>Departemen Statistika</v>
      </c>
      <c r="F40" s="16" t="str">
        <f ca="1">IFERROR(__xludf.DUMMYFUNCTION("""COMPUTED_VALUE"""),"Pengelompokan Potensi Daerah Sentra Hortikultura dengan Metode K-Prototype sebagai Solusi Ketahanan Pangan di Indonesia
")</f>
        <v xml:space="preserve">Pengelompokan Potensi Daerah Sentra Hortikultura dengan Metode K-Prototype sebagai Solusi Ketahanan Pangan di Indonesia
</v>
      </c>
      <c r="G40" s="16" t="str">
        <f ca="1">IFERROR(__xludf.DUMMYFUNCTION("""COMPUTED_VALUE"""),"Adatul Mukarromah, S.Si., M.Si.")</f>
        <v>Adatul Mukarromah, S.Si., M.Si.</v>
      </c>
      <c r="H40" s="16" t="str">
        <f ca="1">IFERROR(__xludf.DUMMYFUNCTION("""COMPUTED_VALUE"""),"Welly Herumurti, S.T., M.Sc.")</f>
        <v>Welly Herumurti, S.T., M.Sc.</v>
      </c>
      <c r="I40" s="16" t="str">
        <f ca="1">IFERROR(__xludf.DUMMYFUNCTION("""COMPUTED_VALUE"""),"Mukhammad Muryono, S.Si., M.Si., Ph.D.")</f>
        <v>Mukhammad Muryono, S.Si., M.Si., Ph.D.</v>
      </c>
      <c r="J40" s="16"/>
      <c r="K40" s="17" t="s">
        <v>1202</v>
      </c>
      <c r="L40" s="17" t="s">
        <v>1194</v>
      </c>
      <c r="M40" s="19" t="b">
        <v>1</v>
      </c>
      <c r="N40" s="19" t="b">
        <v>1</v>
      </c>
      <c r="O40" s="19" t="b">
        <v>1</v>
      </c>
      <c r="P40" s="7" t="str">
        <f ca="1">IFERROR(__xludf.DUMMYFUNCTION("iferror(vlookup(B40,importrange(""https://docs.google.com/spreadsheets/d/1boHyJQ4e2FU0QG8MHwEi6qjX4hvZWVCHcFfXjq7bbMc/edit?resourcekey#gid=923248883"",""Prop!$C$1:$M""),12,0),IFERROR(vlookup(B40,importrange(""https://docs.google.com/spreadsheets/d/1boHyJQ"&amp;"4e2FU0QG8MHwEi6qjX4hvZWVCHcFfXjq7bbMc/edit?resourcekey#gid=923248883"",""Prop!$N$1:$X""),11,0),iferror(vlookup(B40,importrange(""https://docs.google.com/spreadsheets/d/1boHyJQ4e2FU0QG8MHwEi6qjX4hvZWVCHcFfXjq7bbMc/edit?resourcekey#gid=923248883"",""Prop!$Y"&amp;"$1:$AI""),11,0),iferror(vlookup(B40,importrange(""https://docs.google.com/spreadsheets/d/1boHyJQ4e2FU0QG8MHwEi6qjX4hvZWVCHcFfXjq7bbMc/edit?resourcekey#gid=923248883"",""Prop!$AJ$1:$AT""),11,0),iferror(vlookup(B40,importrange(""https://docs.google.com/spre"&amp;"adsheets/d/1boHyJQ4e2FU0QG8MHwEi6qjX4hvZWVCHcFfXjq7bbMc/edit?resourcekey#gid=923248883"",""Prop!$AU$1:$BE""),11,0),iferror(vlookup(B40,importrange(""https://docs.google.com/spreadsheets/d/1boHyJQ4e2FU0QG8MHwEi6qjX4hvZWVCHcFfXjq7bbMc/edit?resourcekey#gid=9"&amp;"23248883"",""Prop!$BF$1:$BP""),11,0),iferror(vlookup(B40,importrange(""https://docs.google.com/spreadsheets/d/1boHyJQ4e2FU0QG8MHwEi6qjX4hvZWVCHcFfXjq7bbMc/edit?resourcekey#gid=923248883"",""Prop!$BQ$1:$CA""),11,0),iferror(vlookup(B40,importrange(""https:/"&amp;"/docs.google.com/spreadsheets/d/1boHyJQ4e2FU0QG8MHwEi6qjX4hvZWVCHcFfXjq7bbMc/edit?resourcekey#gid=923248883"",""Prop!$CB$1:$CL""),11,0),iferror(vlookup(B40,importrange(""https://docs.google.com/spreadsheets/d/1boHyJQ4e2FU0QG8MHwEi6qjX4hvZWVCHcFfXjq7bbMc/e"&amp;"dit?resourcekey#gid=923248883"",""Prop!$CM$1:$CX""),12,0),iferror(vlookup(B40,importrange(""https://docs.google.com/spreadsheets/d/1boHyJQ4e2FU0QG8MHwEi6qjX4hvZWVCHcFfXjq7bbMc/edit?resourcekey#gid=923248883"",""Prop!$CV$1:$DI""),11,0)))))))))))"),"https://drive.google.com/open?id=1xA66hIZmN5TAw1gxYxCaGNIA-f29DtB_")</f>
        <v>https://drive.google.com/open?id=1xA66hIZmN5TAw1gxYxCaGNIA-f29DtB_</v>
      </c>
      <c r="Q40" s="7" t="str">
        <f ca="1">IFERROR(__xludf.DUMMYFUNCTION("iferror(vlookup(B40,importrange(""https://docs.google.com/spreadsheets/d/1p53T2AuvvIqhP7Nf-bo3Uhj8cbKYRPpZdsrBv3x3bAQ/edit?resourcekey#gid=1321652304"",""Prop!$C$1:$M""),11,0),IFERROR(vlookup(B40,importrange(""https://docs.google.com/spreadsheets/d/1p53T2"&amp;"AuvvIqhP7Nf-bo3Uhj8cbKYRPpZdsrBv3x3bAQ/edit?resourcekey#gid=1321652304"",""Prop!$N$1:$X""),11,0),iferror(vlookup(B40,importrange(""https://docs.google.com/spreadsheets/d/1p53T2AuvvIqhP7Nf-bo3Uhj8cbKYRPpZdsrBv3x3bAQ/edit?resourcekey#gid=1321652304"",""Prop"&amp;"!$Y$1:$AI""),11,0),iferror(vlookup(B40,importrange(""https://docs.google.com/spreadsheets/d/1p53T2AuvvIqhP7Nf-bo3Uhj8cbKYRPpZdsrBv3x3bAQ/edit?resourcekey#gid=1321652304"",""Prop!$AJ$1:$AT""),11,0),iferror(vlookup(B40,importrange(""https://docs.google.com/"&amp;"spreadsheets/d/1p53T2AuvvIqhP7Nf-bo3Uhj8cbKYRPpZdsrBv3x3bAQ/edit?resourcekey#gid=1321652304"",""Prop!$AU$1:$BE""),11,0),iferror(vlookup(B40,importrange(""https://docs.google.com/spreadsheets/d/1p53T2AuvvIqhP7Nf-bo3Uhj8cbKYRPpZdsrBv3x3bAQ/edit?resourcekey#"&amp;"gid=1321652304"",""Prop!$BF$1:$BP""),11,0),iferror(vlookup(B40,importrange(""https://docs.google.com/spreadsheets/d/1p53T2AuvvIqhP7Nf-bo3Uhj8cbKYRPpZdsrBv3x3bAQ/edit?resourcekey#gid=1321652304"",""Prop!$BQ$1:$CA""),11,0),iferror(vlookup(B40,importrange("""&amp;"https://docs.google.com/spreadsheets/d/1p53T2AuvvIqhP7Nf-bo3Uhj8cbKYRPpZdsrBv3x3bAQ/edit?resourcekey#gid=1321652304"",""Prop!$CB$1:$CL""),11,0),iferror(vlookup(B40,importrange(""https://docs.google.com/spreadsheets/d/1p53T2AuvvIqhP7Nf-bo3Uhj8cbKYRPpZdsrBv"&amp;"3x3bAQ/edit?resourcekey#gid=1321652304"",""Prop!$CM$1:$CX""),12,0),iferror(vlookup(B40,importrange(""https://docs.google.com/spreadsheets/d/1p53T2AuvvIqhP7Nf-bo3Uhj8cbKYRPpZdsrBv3x3bAQ/edit?resourcekey#gid=1321652304"",""Prop!$CY$1:$DI""),11,0)))))))))))"),"https://drive.google.com/open?id=1NRXT6ccInOE7ucQjCPSlnJ9vCLpNh6qm")</f>
        <v>https://drive.google.com/open?id=1NRXT6ccInOE7ucQjCPSlnJ9vCLpNh6qm</v>
      </c>
      <c r="R40" s="88" t="s">
        <v>1185</v>
      </c>
      <c r="S40" s="20" t="str">
        <f ca="1">IFERROR(__xludf.DUMMYFUNCTION("IFERROR(vlookup(B40,IMPORTRANGE(""https://docs.google.com/spreadsheets/d/1g_jfYYK_KeipEDNDUgqgrsxK94XiocfNQIcP-v1QVhI/edit?resourcekey#gid=233272945"",""Nilai!B:CT""),86,0),"" "")"),"1. kurang kuat unsur RSH nya
2. substasi tinjauan pustaka kurang tepat
3, masih kelebihan halaman")</f>
        <v>1. kurang kuat unsur RSH nya
2. substasi tinjauan pustaka kurang tepat
3, masih kelebihan halaman</v>
      </c>
      <c r="T40" s="20" t="str">
        <f ca="1">IFERROR(__xludf.DUMMYFUNCTION("IFERROR(vlookup(B40,IMPORTRANGE(""https://docs.google.com/spreadsheets/d/1g_jfYYK_KeipEDNDUgqgrsxK94XiocfNQIcP-v1QVhI/edit?resourcekey#gid=233272945"",""Nilai!B:CT""),97,0),"" "")"),"TIDAK LAYAK UPLOAD KE SIMBELMAWA")</f>
        <v>TIDAK LAYAK UPLOAD KE SIMBELMAWA</v>
      </c>
      <c r="U40" s="1" t="s">
        <v>786</v>
      </c>
      <c r="V40" s="1" t="s">
        <v>786</v>
      </c>
      <c r="W40" s="23" t="s">
        <v>1203</v>
      </c>
      <c r="X40" s="53" t="b">
        <v>0</v>
      </c>
    </row>
    <row r="41" spans="1:24">
      <c r="A41" s="15">
        <v>39</v>
      </c>
      <c r="B41" s="15">
        <f ca="1">IFERROR(__xludf.DUMMYFUNCTION("""COMPUTED_VALUE"""),2733)</f>
        <v>2733</v>
      </c>
      <c r="C41" s="16" t="str">
        <f ca="1">IFERROR(__xludf.DUMMYFUNCTION("""COMPUTED_VALUE"""),"SITI ASMAUL KUSNAH")</f>
        <v>SITI ASMAUL KUSNAH</v>
      </c>
      <c r="D41" s="16" t="str">
        <f ca="1">IFERROR(__xludf.DUMMYFUNCTION("""COMPUTED_VALUE"""),"5003201036")</f>
        <v>5003201036</v>
      </c>
      <c r="E41" s="16" t="str">
        <f ca="1">IFERROR(__xludf.DUMMYFUNCTION("""COMPUTED_VALUE"""),"Departemen Statistika")</f>
        <v>Departemen Statistika</v>
      </c>
      <c r="F41" s="16" t="str">
        <f ca="1">IFERROR(__xludf.DUMMYFUNCTION("""COMPUTED_VALUE"""),"Strategi Pengidentifikasian Tingkat Maskulinitas Siswa SMA di Surabaya Timur sebagai Pengaruh Tren TikTok.")</f>
        <v>Strategi Pengidentifikasian Tingkat Maskulinitas Siswa SMA di Surabaya Timur sebagai Pengaruh Tren TikTok.</v>
      </c>
      <c r="G41" s="16" t="str">
        <f ca="1">IFERROR(__xludf.DUMMYFUNCTION("""COMPUTED_VALUE"""),"Dr. Dra. Ismaini Zain, M.Si")</f>
        <v>Dr. Dra. Ismaini Zain, M.Si</v>
      </c>
      <c r="H41" s="16" t="str">
        <f ca="1">IFERROR(__xludf.DUMMYFUNCTION("""COMPUTED_VALUE"""),"Muchammad Nurif, S.E., M.T.")</f>
        <v>Muchammad Nurif, S.E., M.T.</v>
      </c>
      <c r="I41" s="16" t="str">
        <f ca="1">IFERROR(__xludf.DUMMYFUNCTION("""COMPUTED_VALUE"""),"Mahardika F. Rois, S.T, M.T")</f>
        <v>Mahardika F. Rois, S.T, M.T</v>
      </c>
      <c r="J41" s="16"/>
      <c r="K41" s="17" t="s">
        <v>1202</v>
      </c>
      <c r="L41" s="17" t="s">
        <v>1194</v>
      </c>
      <c r="M41" s="19" t="b">
        <v>1</v>
      </c>
      <c r="N41" s="19" t="b">
        <v>1</v>
      </c>
      <c r="O41" s="19" t="b">
        <v>1</v>
      </c>
      <c r="P41" s="7" t="str">
        <f ca="1">IFERROR(__xludf.DUMMYFUNCTION("iferror(vlookup(B41,importrange(""https://docs.google.com/spreadsheets/d/1boHyJQ4e2FU0QG8MHwEi6qjX4hvZWVCHcFfXjq7bbMc/edit?resourcekey#gid=923248883"",""Prop!$C$1:$M""),12,0),IFERROR(vlookup(B41,importrange(""https://docs.google.com/spreadsheets/d/1boHyJQ"&amp;"4e2FU0QG8MHwEi6qjX4hvZWVCHcFfXjq7bbMc/edit?resourcekey#gid=923248883"",""Prop!$N$1:$X""),11,0),iferror(vlookup(B41,importrange(""https://docs.google.com/spreadsheets/d/1boHyJQ4e2FU0QG8MHwEi6qjX4hvZWVCHcFfXjq7bbMc/edit?resourcekey#gid=923248883"",""Prop!$Y"&amp;"$1:$AI""),11,0),iferror(vlookup(B41,importrange(""https://docs.google.com/spreadsheets/d/1boHyJQ4e2FU0QG8MHwEi6qjX4hvZWVCHcFfXjq7bbMc/edit?resourcekey#gid=923248883"",""Prop!$AJ$1:$AT""),11,0),iferror(vlookup(B41,importrange(""https://docs.google.com/spre"&amp;"adsheets/d/1boHyJQ4e2FU0QG8MHwEi6qjX4hvZWVCHcFfXjq7bbMc/edit?resourcekey#gid=923248883"",""Prop!$AU$1:$BE""),11,0),iferror(vlookup(B41,importrange(""https://docs.google.com/spreadsheets/d/1boHyJQ4e2FU0QG8MHwEi6qjX4hvZWVCHcFfXjq7bbMc/edit?resourcekey#gid=9"&amp;"23248883"",""Prop!$BF$1:$BP""),11,0),iferror(vlookup(B41,importrange(""https://docs.google.com/spreadsheets/d/1boHyJQ4e2FU0QG8MHwEi6qjX4hvZWVCHcFfXjq7bbMc/edit?resourcekey#gid=923248883"",""Prop!$BQ$1:$CA""),11,0),iferror(vlookup(B41,importrange(""https:/"&amp;"/docs.google.com/spreadsheets/d/1boHyJQ4e2FU0QG8MHwEi6qjX4hvZWVCHcFfXjq7bbMc/edit?resourcekey#gid=923248883"",""Prop!$CB$1:$CL""),11,0),iferror(vlookup(B41,importrange(""https://docs.google.com/spreadsheets/d/1boHyJQ4e2FU0QG8MHwEi6qjX4hvZWVCHcFfXjq7bbMc/e"&amp;"dit?resourcekey#gid=923248883"",""Prop!$CM$1:$CX""),12,0),iferror(vlookup(B41,importrange(""https://docs.google.com/spreadsheets/d/1boHyJQ4e2FU0QG8MHwEi6qjX4hvZWVCHcFfXjq7bbMc/edit?resourcekey#gid=923248883"",""Prop!$CV$1:$DI""),11,0)))))))))))"),"https://drive.google.com/open?id=1ckO_IhsMNOYjDE6wws3B-KY98EmXP0JM")</f>
        <v>https://drive.google.com/open?id=1ckO_IhsMNOYjDE6wws3B-KY98EmXP0JM</v>
      </c>
      <c r="Q41" s="7" t="str">
        <f ca="1">IFERROR(__xludf.DUMMYFUNCTION("iferror(vlookup(B41,importrange(""https://docs.google.com/spreadsheets/d/1p53T2AuvvIqhP7Nf-bo3Uhj8cbKYRPpZdsrBv3x3bAQ/edit?resourcekey#gid=1321652304"",""Prop!$C$1:$M""),11,0),IFERROR(vlookup(B41,importrange(""https://docs.google.com/spreadsheets/d/1p53T2"&amp;"AuvvIqhP7Nf-bo3Uhj8cbKYRPpZdsrBv3x3bAQ/edit?resourcekey#gid=1321652304"",""Prop!$N$1:$X""),11,0),iferror(vlookup(B41,importrange(""https://docs.google.com/spreadsheets/d/1p53T2AuvvIqhP7Nf-bo3Uhj8cbKYRPpZdsrBv3x3bAQ/edit?resourcekey#gid=1321652304"",""Prop"&amp;"!$Y$1:$AI""),11,0),iferror(vlookup(B41,importrange(""https://docs.google.com/spreadsheets/d/1p53T2AuvvIqhP7Nf-bo3Uhj8cbKYRPpZdsrBv3x3bAQ/edit?resourcekey#gid=1321652304"",""Prop!$AJ$1:$AT""),11,0),iferror(vlookup(B41,importrange(""https://docs.google.com/"&amp;"spreadsheets/d/1p53T2AuvvIqhP7Nf-bo3Uhj8cbKYRPpZdsrBv3x3bAQ/edit?resourcekey#gid=1321652304"",""Prop!$AU$1:$BE""),11,0),iferror(vlookup(B41,importrange(""https://docs.google.com/spreadsheets/d/1p53T2AuvvIqhP7Nf-bo3Uhj8cbKYRPpZdsrBv3x3bAQ/edit?resourcekey#"&amp;"gid=1321652304"",""Prop!$BF$1:$BP""),11,0),iferror(vlookup(B41,importrange(""https://docs.google.com/spreadsheets/d/1p53T2AuvvIqhP7Nf-bo3Uhj8cbKYRPpZdsrBv3x3bAQ/edit?resourcekey#gid=1321652304"",""Prop!$BQ$1:$CA""),11,0),iferror(vlookup(B41,importrange("""&amp;"https://docs.google.com/spreadsheets/d/1p53T2AuvvIqhP7Nf-bo3Uhj8cbKYRPpZdsrBv3x3bAQ/edit?resourcekey#gid=1321652304"",""Prop!$CB$1:$CL""),11,0),iferror(vlookup(B41,importrange(""https://docs.google.com/spreadsheets/d/1p53T2AuvvIqhP7Nf-bo3Uhj8cbKYRPpZdsrBv"&amp;"3x3bAQ/edit?resourcekey#gid=1321652304"",""Prop!$CM$1:$CX""),12,0),iferror(vlookup(B41,importrange(""https://docs.google.com/spreadsheets/d/1p53T2AuvvIqhP7Nf-bo3Uhj8cbKYRPpZdsrBv3x3bAQ/edit?resourcekey#gid=1321652304"",""Prop!$CY$1:$DI""),11,0)))))))))))"),"https://drive.google.com/open?id=18gk621-bjmjaSNeiIh-dh1NF3kSE0qE2")</f>
        <v>https://drive.google.com/open?id=18gk621-bjmjaSNeiIh-dh1NF3kSE0qE2</v>
      </c>
      <c r="R41" s="88" t="s">
        <v>1185</v>
      </c>
      <c r="S41" s="20" t="str">
        <f ca="1">IFERROR(__xludf.DUMMYFUNCTION("IFERROR(vlookup(B41,IMPORTRANGE(""https://docs.google.com/spreadsheets/d/1g_jfYYK_KeipEDNDUgqgrsxK94XiocfNQIcP-v1QVhI/edit?resourcekey#gid=233272945"",""Nilai!B:CT""),86,0),"" "")"),"Anggaran perlu dituliskan semua walaupun nilainya 0")</f>
        <v>Anggaran perlu dituliskan semua walaupun nilainya 0</v>
      </c>
      <c r="T41" s="20" t="str">
        <f ca="1">IFERROR(__xludf.DUMMYFUNCTION("IFERROR(vlookup(B41,IMPORTRANGE(""https://docs.google.com/spreadsheets/d/1g_jfYYK_KeipEDNDUgqgrsxK94XiocfNQIcP-v1QVhI/edit?resourcekey#gid=233272945"",""Nilai!B:CT""),97,0),"" "")"),"LAYAK UPLOAD KE SIMBELMAWA DENGAN REVISI")</f>
        <v>LAYAK UPLOAD KE SIMBELMAWA DENGAN REVISI</v>
      </c>
      <c r="U41" s="1" t="s">
        <v>786</v>
      </c>
      <c r="V41" s="1" t="s">
        <v>786</v>
      </c>
      <c r="W41" s="23" t="s">
        <v>1203</v>
      </c>
      <c r="X41" s="65" t="b">
        <v>1</v>
      </c>
    </row>
    <row r="42" spans="1:24">
      <c r="A42" s="15"/>
      <c r="B42" s="15"/>
      <c r="C42" s="16"/>
      <c r="D42" s="16"/>
      <c r="E42" s="16"/>
      <c r="F42" s="16"/>
      <c r="G42" s="16"/>
      <c r="H42" s="16"/>
      <c r="I42" s="16"/>
      <c r="J42" s="16"/>
      <c r="K42" s="16"/>
      <c r="L42" s="38"/>
      <c r="M42" s="25"/>
      <c r="N42" s="25"/>
      <c r="O42" s="25"/>
      <c r="P42" s="1"/>
      <c r="Q42" s="1"/>
      <c r="R42" s="88"/>
      <c r="S42" s="20" t="str">
        <f ca="1">IFERROR(__xludf.DUMMYFUNCTION("IFERROR(vlookup(B42,IMPORTRANGE(""https://docs.google.com/spreadsheets/d/1g_jfYYK_KeipEDNDUgqgrsxK94XiocfNQIcP-v1QVhI/edit?resourcekey#gid=233272945"",""Nilai!B:CT""),86,0),"" "")")," ")</f>
        <v xml:space="preserve"> </v>
      </c>
      <c r="T42" s="88"/>
      <c r="U42" s="1"/>
      <c r="V42" s="1"/>
      <c r="W42" s="1"/>
      <c r="X42" s="1"/>
    </row>
    <row r="43" spans="1:24">
      <c r="A43" s="15"/>
      <c r="B43" s="15"/>
      <c r="C43" s="16"/>
      <c r="D43" s="16"/>
      <c r="E43" s="16"/>
      <c r="F43" s="16"/>
      <c r="G43" s="16"/>
      <c r="H43" s="16"/>
      <c r="I43" s="16"/>
      <c r="J43" s="16"/>
      <c r="K43" s="16"/>
      <c r="L43" s="38"/>
      <c r="M43" s="25"/>
      <c r="N43" s="25"/>
      <c r="O43" s="25"/>
      <c r="P43" s="1"/>
      <c r="Q43" s="1"/>
      <c r="R43" s="88"/>
      <c r="S43" s="20" t="str">
        <f ca="1">IFERROR(__xludf.DUMMYFUNCTION("IFERROR(vlookup(B43,IMPORTRANGE(""https://docs.google.com/spreadsheets/d/1g_jfYYK_KeipEDNDUgqgrsxK94XiocfNQIcP-v1QVhI/edit?resourcekey#gid=233272945"",""Nilai!B:CT""),86,0),"" "")")," ")</f>
        <v xml:space="preserve"> </v>
      </c>
      <c r="T43" s="88"/>
      <c r="U43" s="1"/>
      <c r="V43" s="1"/>
      <c r="W43" s="1"/>
      <c r="X43" s="1"/>
    </row>
    <row r="44" spans="1:24">
      <c r="A44" s="15"/>
      <c r="B44" s="15"/>
      <c r="C44" s="16"/>
      <c r="D44" s="16"/>
      <c r="E44" s="16"/>
      <c r="F44" s="16"/>
      <c r="G44" s="16"/>
      <c r="H44" s="16"/>
      <c r="I44" s="16"/>
      <c r="J44" s="16"/>
      <c r="K44" s="16"/>
      <c r="L44" s="38"/>
      <c r="M44" s="25"/>
      <c r="N44" s="25"/>
      <c r="O44" s="25"/>
      <c r="P44" s="1"/>
      <c r="Q44" s="1"/>
      <c r="R44" s="88"/>
      <c r="S44" s="20" t="str">
        <f ca="1">IFERROR(__xludf.DUMMYFUNCTION("IFERROR(vlookup(B44,IMPORTRANGE(""https://docs.google.com/spreadsheets/d/1g_jfYYK_KeipEDNDUgqgrsxK94XiocfNQIcP-v1QVhI/edit?resourcekey#gid=233272945"",""Nilai!B:CT""),86,0),"" "")")," ")</f>
        <v xml:space="preserve"> </v>
      </c>
      <c r="T44" s="88"/>
      <c r="U44" s="1"/>
      <c r="V44" s="1"/>
      <c r="W44" s="1"/>
      <c r="X44" s="1"/>
    </row>
    <row r="45" spans="1:24">
      <c r="A45" s="15"/>
      <c r="B45" s="15"/>
      <c r="C45" s="16"/>
      <c r="D45" s="16"/>
      <c r="E45" s="16"/>
      <c r="F45" s="16"/>
      <c r="G45" s="16"/>
      <c r="H45" s="16"/>
      <c r="I45" s="16"/>
      <c r="J45" s="16"/>
      <c r="K45" s="16"/>
      <c r="L45" s="38"/>
      <c r="M45" s="25"/>
      <c r="N45" s="25"/>
      <c r="O45" s="25"/>
      <c r="P45" s="1"/>
      <c r="Q45" s="1"/>
      <c r="R45" s="88"/>
      <c r="S45" s="20" t="str">
        <f ca="1">IFERROR(__xludf.DUMMYFUNCTION("IFERROR(vlookup(B45,IMPORTRANGE(""https://docs.google.com/spreadsheets/d/1g_jfYYK_KeipEDNDUgqgrsxK94XiocfNQIcP-v1QVhI/edit?resourcekey#gid=233272945"",""Nilai!B:CT""),86,0),"" "")")," ")</f>
        <v xml:space="preserve"> </v>
      </c>
      <c r="T45" s="88"/>
      <c r="U45" s="1"/>
      <c r="V45" s="1"/>
      <c r="W45" s="1"/>
      <c r="X45" s="1"/>
    </row>
    <row r="46" spans="1:24">
      <c r="A46" s="15"/>
      <c r="B46" s="15"/>
      <c r="C46" s="16"/>
      <c r="D46" s="16"/>
      <c r="E46" s="16"/>
      <c r="F46" s="16"/>
      <c r="G46" s="16"/>
      <c r="H46" s="16"/>
      <c r="I46" s="16"/>
      <c r="J46" s="16"/>
      <c r="K46" s="16"/>
      <c r="L46" s="38"/>
      <c r="M46" s="25"/>
      <c r="N46" s="25"/>
      <c r="O46" s="25"/>
      <c r="P46" s="1"/>
      <c r="Q46" s="1"/>
      <c r="R46" s="88"/>
      <c r="S46" s="20" t="str">
        <f ca="1">IFERROR(__xludf.DUMMYFUNCTION("IFERROR(vlookup(B46,IMPORTRANGE(""https://docs.google.com/spreadsheets/d/1g_jfYYK_KeipEDNDUgqgrsxK94XiocfNQIcP-v1QVhI/edit?resourcekey#gid=233272945"",""Nilai!B:CT""),86,0),"" "")")," ")</f>
        <v xml:space="preserve"> </v>
      </c>
      <c r="T46" s="88"/>
      <c r="U46" s="1"/>
      <c r="V46" s="1"/>
      <c r="W46" s="1"/>
      <c r="X46" s="1"/>
    </row>
    <row r="47" spans="1:24">
      <c r="A47" s="15"/>
      <c r="B47" s="15"/>
      <c r="C47" s="16"/>
      <c r="D47" s="16"/>
      <c r="E47" s="16"/>
      <c r="F47" s="16"/>
      <c r="G47" s="16"/>
      <c r="H47" s="16"/>
      <c r="I47" s="16"/>
      <c r="J47" s="16"/>
      <c r="K47" s="16"/>
      <c r="L47" s="38"/>
      <c r="M47" s="25"/>
      <c r="N47" s="25"/>
      <c r="O47" s="25"/>
      <c r="P47" s="1"/>
      <c r="Q47" s="1"/>
      <c r="R47" s="88"/>
      <c r="S47" s="20" t="str">
        <f ca="1">IFERROR(__xludf.DUMMYFUNCTION("IFERROR(vlookup(B47,IMPORTRANGE(""https://docs.google.com/spreadsheets/d/1g_jfYYK_KeipEDNDUgqgrsxK94XiocfNQIcP-v1QVhI/edit?resourcekey#gid=233272945"",""Nilai!B:CT""),86,0),"" "")")," ")</f>
        <v xml:space="preserve"> </v>
      </c>
      <c r="T47" s="88"/>
      <c r="U47" s="1"/>
      <c r="V47" s="1"/>
      <c r="W47" s="1"/>
      <c r="X47" s="1"/>
    </row>
    <row r="48" spans="1:24">
      <c r="A48" s="15"/>
      <c r="B48" s="15"/>
      <c r="C48" s="16"/>
      <c r="D48" s="16"/>
      <c r="E48" s="16"/>
      <c r="F48" s="16"/>
      <c r="G48" s="16"/>
      <c r="H48" s="16"/>
      <c r="I48" s="16"/>
      <c r="J48" s="16"/>
      <c r="K48" s="16"/>
      <c r="L48" s="38"/>
      <c r="M48" s="25"/>
      <c r="N48" s="25"/>
      <c r="O48" s="25"/>
      <c r="P48" s="1"/>
      <c r="Q48" s="1"/>
      <c r="R48" s="88"/>
      <c r="S48" s="20" t="str">
        <f ca="1">IFERROR(__xludf.DUMMYFUNCTION("IFERROR(vlookup(B48,IMPORTRANGE(""https://docs.google.com/spreadsheets/d/1g_jfYYK_KeipEDNDUgqgrsxK94XiocfNQIcP-v1QVhI/edit?resourcekey#gid=233272945"",""Nilai!B:CT""),86,0),"" "")")," ")</f>
        <v xml:space="preserve"> </v>
      </c>
      <c r="T48" s="88"/>
      <c r="U48" s="1"/>
      <c r="V48" s="1"/>
      <c r="W48" s="1"/>
      <c r="X48" s="1"/>
    </row>
    <row r="49" spans="1:24">
      <c r="A49" s="15"/>
      <c r="B49" s="15"/>
      <c r="C49" s="16"/>
      <c r="D49" s="16"/>
      <c r="E49" s="16"/>
      <c r="F49" s="16"/>
      <c r="G49" s="16"/>
      <c r="H49" s="16"/>
      <c r="I49" s="16"/>
      <c r="J49" s="16"/>
      <c r="K49" s="16"/>
      <c r="L49" s="38"/>
      <c r="M49" s="25"/>
      <c r="N49" s="25"/>
      <c r="O49" s="25"/>
      <c r="P49" s="1"/>
      <c r="Q49" s="1"/>
      <c r="R49" s="88"/>
      <c r="S49" s="20" t="str">
        <f ca="1">IFERROR(__xludf.DUMMYFUNCTION("IFERROR(vlookup(B49,IMPORTRANGE(""https://docs.google.com/spreadsheets/d/1g_jfYYK_KeipEDNDUgqgrsxK94XiocfNQIcP-v1QVhI/edit?resourcekey#gid=233272945"",""Nilai!B:CT""),86,0),"" "")")," ")</f>
        <v xml:space="preserve"> </v>
      </c>
      <c r="T49" s="88"/>
      <c r="U49" s="1"/>
      <c r="V49" s="1"/>
      <c r="W49" s="1"/>
      <c r="X49" s="1"/>
    </row>
    <row r="50" spans="1:24">
      <c r="A50" s="15"/>
      <c r="B50" s="15"/>
      <c r="C50" s="16"/>
      <c r="D50" s="16"/>
      <c r="E50" s="16"/>
      <c r="F50" s="16"/>
      <c r="G50" s="16"/>
      <c r="H50" s="16"/>
      <c r="I50" s="16"/>
      <c r="J50" s="16"/>
      <c r="K50" s="16"/>
      <c r="L50" s="38"/>
      <c r="M50" s="25"/>
      <c r="N50" s="25"/>
      <c r="O50" s="25"/>
      <c r="P50" s="1"/>
      <c r="Q50" s="1"/>
      <c r="R50" s="88"/>
      <c r="S50" s="20" t="str">
        <f ca="1">IFERROR(__xludf.DUMMYFUNCTION("IFERROR(vlookup(B50,IMPORTRANGE(""https://docs.google.com/spreadsheets/d/1g_jfYYK_KeipEDNDUgqgrsxK94XiocfNQIcP-v1QVhI/edit?resourcekey#gid=233272945"",""Nilai!B:CT""),86,0),"" "")")," ")</f>
        <v xml:space="preserve"> </v>
      </c>
      <c r="T50" s="88"/>
      <c r="U50" s="1"/>
      <c r="V50" s="1"/>
      <c r="W50" s="1"/>
      <c r="X50" s="1"/>
    </row>
    <row r="51" spans="1:24">
      <c r="A51" s="15"/>
      <c r="B51" s="15"/>
      <c r="C51" s="16"/>
      <c r="D51" s="16"/>
      <c r="E51" s="16"/>
      <c r="F51" s="16"/>
      <c r="G51" s="16"/>
      <c r="H51" s="16"/>
      <c r="I51" s="16"/>
      <c r="J51" s="16"/>
      <c r="K51" s="16"/>
      <c r="L51" s="38"/>
      <c r="M51" s="25"/>
      <c r="N51" s="25"/>
      <c r="O51" s="25"/>
      <c r="P51" s="1"/>
      <c r="Q51" s="1"/>
      <c r="R51" s="88"/>
      <c r="S51" s="20" t="str">
        <f ca="1">IFERROR(__xludf.DUMMYFUNCTION("IFERROR(vlookup(B51,IMPORTRANGE(""https://docs.google.com/spreadsheets/d/1g_jfYYK_KeipEDNDUgqgrsxK94XiocfNQIcP-v1QVhI/edit?resourcekey#gid=233272945"",""Nilai!B:CT""),86,0),"" "")")," ")</f>
        <v xml:space="preserve"> </v>
      </c>
      <c r="T51" s="88"/>
      <c r="U51" s="1"/>
      <c r="V51" s="1"/>
      <c r="W51" s="1"/>
      <c r="X51" s="1"/>
    </row>
    <row r="52" spans="1:24">
      <c r="A52" s="15"/>
      <c r="B52" s="15"/>
      <c r="C52" s="16"/>
      <c r="D52" s="16"/>
      <c r="E52" s="16"/>
      <c r="F52" s="16"/>
      <c r="G52" s="16"/>
      <c r="H52" s="16"/>
      <c r="I52" s="16"/>
      <c r="J52" s="16"/>
      <c r="K52" s="16"/>
      <c r="L52" s="38"/>
      <c r="M52" s="25"/>
      <c r="N52" s="25"/>
      <c r="O52" s="25"/>
      <c r="P52" s="1"/>
      <c r="Q52" s="1"/>
      <c r="R52" s="88"/>
      <c r="S52" s="20" t="str">
        <f ca="1">IFERROR(__xludf.DUMMYFUNCTION("IFERROR(vlookup(B52,IMPORTRANGE(""https://docs.google.com/spreadsheets/d/1g_jfYYK_KeipEDNDUgqgrsxK94XiocfNQIcP-v1QVhI/edit?resourcekey#gid=233272945"",""Nilai!B:CT""),86,0),"" "")")," ")</f>
        <v xml:space="preserve"> </v>
      </c>
      <c r="T52" s="88"/>
      <c r="U52" s="1"/>
      <c r="V52" s="1"/>
      <c r="W52" s="1"/>
      <c r="X52" s="1"/>
    </row>
    <row r="53" spans="1:24">
      <c r="A53" s="15"/>
      <c r="B53" s="15"/>
      <c r="C53" s="16"/>
      <c r="D53" s="16"/>
      <c r="E53" s="16"/>
      <c r="F53" s="16"/>
      <c r="G53" s="16"/>
      <c r="H53" s="16"/>
      <c r="I53" s="16"/>
      <c r="J53" s="16"/>
      <c r="K53" s="16"/>
      <c r="L53" s="38"/>
      <c r="M53" s="25"/>
      <c r="N53" s="25"/>
      <c r="O53" s="25"/>
      <c r="P53" s="1"/>
      <c r="Q53" s="1"/>
      <c r="R53" s="88"/>
      <c r="S53" s="20" t="str">
        <f ca="1">IFERROR(__xludf.DUMMYFUNCTION("IFERROR(vlookup(B53,IMPORTRANGE(""https://docs.google.com/spreadsheets/d/1g_jfYYK_KeipEDNDUgqgrsxK94XiocfNQIcP-v1QVhI/edit?resourcekey#gid=233272945"",""Nilai!B:CT""),86,0),"" "")")," ")</f>
        <v xml:space="preserve"> </v>
      </c>
      <c r="T53" s="88"/>
      <c r="U53" s="1"/>
      <c r="V53" s="1"/>
      <c r="W53" s="1"/>
      <c r="X53" s="1"/>
    </row>
    <row r="54" spans="1:24">
      <c r="A54" s="15"/>
      <c r="B54" s="15"/>
      <c r="C54" s="16"/>
      <c r="D54" s="16"/>
      <c r="E54" s="16"/>
      <c r="F54" s="16"/>
      <c r="G54" s="16"/>
      <c r="H54" s="16"/>
      <c r="I54" s="16"/>
      <c r="J54" s="16"/>
      <c r="K54" s="16"/>
      <c r="L54" s="38"/>
      <c r="M54" s="25"/>
      <c r="N54" s="25"/>
      <c r="O54" s="25"/>
      <c r="P54" s="1"/>
      <c r="Q54" s="1"/>
      <c r="R54" s="88"/>
      <c r="S54" s="20" t="str">
        <f ca="1">IFERROR(__xludf.DUMMYFUNCTION("IFERROR(vlookup(B54,IMPORTRANGE(""https://docs.google.com/spreadsheets/d/1g_jfYYK_KeipEDNDUgqgrsxK94XiocfNQIcP-v1QVhI/edit?resourcekey#gid=233272945"",""Nilai!B:CT""),86,0),"" "")")," ")</f>
        <v xml:space="preserve"> </v>
      </c>
      <c r="T54" s="88"/>
      <c r="U54" s="1"/>
      <c r="V54" s="1"/>
      <c r="W54" s="1"/>
      <c r="X54" s="1"/>
    </row>
    <row r="55" spans="1:24">
      <c r="A55" s="15"/>
      <c r="B55" s="15"/>
      <c r="C55" s="16"/>
      <c r="D55" s="16"/>
      <c r="E55" s="16"/>
      <c r="F55" s="16"/>
      <c r="G55" s="16"/>
      <c r="H55" s="16"/>
      <c r="I55" s="16"/>
      <c r="J55" s="16"/>
      <c r="K55" s="16"/>
      <c r="L55" s="38"/>
      <c r="M55" s="25"/>
      <c r="N55" s="25"/>
      <c r="O55" s="25"/>
      <c r="P55" s="1"/>
      <c r="Q55" s="1"/>
      <c r="R55" s="88"/>
      <c r="S55" s="20" t="str">
        <f ca="1">IFERROR(__xludf.DUMMYFUNCTION("IFERROR(vlookup(B55,IMPORTRANGE(""https://docs.google.com/spreadsheets/d/1g_jfYYK_KeipEDNDUgqgrsxK94XiocfNQIcP-v1QVhI/edit?resourcekey#gid=233272945"",""Nilai!B:CT""),86,0),"" "")")," ")</f>
        <v xml:space="preserve"> </v>
      </c>
      <c r="T55" s="88"/>
      <c r="U55" s="1"/>
      <c r="V55" s="1"/>
      <c r="W55" s="1"/>
      <c r="X55" s="1"/>
    </row>
    <row r="56" spans="1:24">
      <c r="A56" s="15"/>
      <c r="B56" s="15"/>
      <c r="C56" s="16"/>
      <c r="D56" s="16"/>
      <c r="E56" s="16"/>
      <c r="F56" s="16"/>
      <c r="G56" s="16"/>
      <c r="H56" s="16"/>
      <c r="I56" s="16"/>
      <c r="J56" s="16"/>
      <c r="K56" s="16"/>
      <c r="L56" s="38"/>
      <c r="M56" s="25"/>
      <c r="N56" s="25"/>
      <c r="O56" s="25"/>
      <c r="P56" s="1"/>
      <c r="Q56" s="1"/>
      <c r="R56" s="88"/>
      <c r="S56" s="20" t="str">
        <f ca="1">IFERROR(__xludf.DUMMYFUNCTION("IFERROR(vlookup(B56,IMPORTRANGE(""https://docs.google.com/spreadsheets/d/1g_jfYYK_KeipEDNDUgqgrsxK94XiocfNQIcP-v1QVhI/edit?resourcekey#gid=233272945"",""Nilai!B:CT""),86,0),"" "")")," ")</f>
        <v xml:space="preserve"> </v>
      </c>
      <c r="T56" s="88"/>
      <c r="U56" s="1"/>
      <c r="V56" s="1"/>
      <c r="W56" s="1"/>
      <c r="X56" s="1"/>
    </row>
    <row r="57" spans="1:24">
      <c r="A57" s="15"/>
      <c r="B57" s="15"/>
      <c r="C57" s="16"/>
      <c r="D57" s="16"/>
      <c r="E57" s="16"/>
      <c r="F57" s="16"/>
      <c r="G57" s="16"/>
      <c r="H57" s="16"/>
      <c r="I57" s="16"/>
      <c r="J57" s="16"/>
      <c r="K57" s="16"/>
      <c r="L57" s="38"/>
      <c r="M57" s="25"/>
      <c r="N57" s="25"/>
      <c r="O57" s="25"/>
      <c r="P57" s="1"/>
      <c r="Q57" s="1"/>
      <c r="R57" s="88"/>
      <c r="S57" s="20" t="str">
        <f ca="1">IFERROR(__xludf.DUMMYFUNCTION("IFERROR(vlookup(B57,IMPORTRANGE(""https://docs.google.com/spreadsheets/d/1g_jfYYK_KeipEDNDUgqgrsxK94XiocfNQIcP-v1QVhI/edit?resourcekey#gid=233272945"",""Nilai!B:CT""),86,0),"" "")")," ")</f>
        <v xml:space="preserve"> </v>
      </c>
      <c r="T57" s="88"/>
      <c r="U57" s="1"/>
      <c r="V57" s="1"/>
      <c r="W57" s="1"/>
      <c r="X57" s="1"/>
    </row>
    <row r="58" spans="1:24">
      <c r="A58" s="15"/>
      <c r="B58" s="15"/>
      <c r="C58" s="16"/>
      <c r="D58" s="16"/>
      <c r="E58" s="16"/>
      <c r="F58" s="16"/>
      <c r="G58" s="16"/>
      <c r="H58" s="16"/>
      <c r="I58" s="16"/>
      <c r="J58" s="16"/>
      <c r="K58" s="16"/>
      <c r="L58" s="38"/>
      <c r="M58" s="25"/>
      <c r="N58" s="25"/>
      <c r="O58" s="25"/>
      <c r="P58" s="1"/>
      <c r="Q58" s="1"/>
      <c r="R58" s="88"/>
      <c r="S58" s="20" t="str">
        <f ca="1">IFERROR(__xludf.DUMMYFUNCTION("IFERROR(vlookup(B58,IMPORTRANGE(""https://docs.google.com/spreadsheets/d/1g_jfYYK_KeipEDNDUgqgrsxK94XiocfNQIcP-v1QVhI/edit?resourcekey#gid=233272945"",""Nilai!B:CT""),86,0),"" "")")," ")</f>
        <v xml:space="preserve"> </v>
      </c>
      <c r="T58" s="88"/>
      <c r="U58" s="1"/>
      <c r="V58" s="1"/>
      <c r="W58" s="1"/>
      <c r="X58" s="1"/>
    </row>
    <row r="59" spans="1:24">
      <c r="A59" s="15"/>
      <c r="B59" s="15"/>
      <c r="C59" s="16"/>
      <c r="D59" s="16"/>
      <c r="E59" s="16"/>
      <c r="F59" s="16"/>
      <c r="G59" s="16"/>
      <c r="H59" s="16"/>
      <c r="I59" s="16"/>
      <c r="J59" s="16"/>
      <c r="K59" s="16"/>
      <c r="L59" s="38"/>
      <c r="M59" s="25"/>
      <c r="N59" s="25"/>
      <c r="O59" s="25"/>
      <c r="P59" s="1"/>
      <c r="Q59" s="1"/>
      <c r="R59" s="88"/>
      <c r="S59" s="20" t="str">
        <f ca="1">IFERROR(__xludf.DUMMYFUNCTION("IFERROR(vlookup(B59,IMPORTRANGE(""https://docs.google.com/spreadsheets/d/1g_jfYYK_KeipEDNDUgqgrsxK94XiocfNQIcP-v1QVhI/edit?resourcekey#gid=233272945"",""Nilai!B:CT""),86,0),"" "")")," ")</f>
        <v xml:space="preserve"> </v>
      </c>
      <c r="T59" s="88"/>
      <c r="U59" s="1"/>
      <c r="V59" s="1"/>
      <c r="W59" s="1"/>
      <c r="X59" s="1"/>
    </row>
    <row r="60" spans="1:24">
      <c r="A60" s="15"/>
      <c r="B60" s="15"/>
      <c r="C60" s="16"/>
      <c r="D60" s="16"/>
      <c r="E60" s="16"/>
      <c r="F60" s="16"/>
      <c r="G60" s="16"/>
      <c r="H60" s="16"/>
      <c r="I60" s="16"/>
      <c r="J60" s="16"/>
      <c r="K60" s="16"/>
      <c r="L60" s="38"/>
      <c r="M60" s="25"/>
      <c r="N60" s="25"/>
      <c r="O60" s="25"/>
      <c r="P60" s="1"/>
      <c r="Q60" s="1"/>
      <c r="R60" s="88"/>
      <c r="S60" s="20" t="str">
        <f ca="1">IFERROR(__xludf.DUMMYFUNCTION("IFERROR(vlookup(B60,IMPORTRANGE(""https://docs.google.com/spreadsheets/d/1g_jfYYK_KeipEDNDUgqgrsxK94XiocfNQIcP-v1QVhI/edit?resourcekey#gid=233272945"",""Nilai!B:CT""),86,0),"" "")")," ")</f>
        <v xml:space="preserve"> </v>
      </c>
      <c r="T60" s="88"/>
      <c r="U60" s="1"/>
      <c r="V60" s="1"/>
      <c r="W60" s="1"/>
      <c r="X60" s="1"/>
    </row>
    <row r="61" spans="1:24">
      <c r="A61" s="15"/>
      <c r="B61" s="15"/>
      <c r="C61" s="16"/>
      <c r="D61" s="16"/>
      <c r="E61" s="16"/>
      <c r="F61" s="16"/>
      <c r="G61" s="16"/>
      <c r="H61" s="16"/>
      <c r="I61" s="16"/>
      <c r="J61" s="16"/>
      <c r="K61" s="16"/>
      <c r="L61" s="38"/>
      <c r="M61" s="25"/>
      <c r="N61" s="25"/>
      <c r="O61" s="25"/>
      <c r="P61" s="1"/>
      <c r="Q61" s="1"/>
      <c r="R61" s="88"/>
      <c r="S61" s="20" t="str">
        <f ca="1">IFERROR(__xludf.DUMMYFUNCTION("IFERROR(vlookup(B61,IMPORTRANGE(""https://docs.google.com/spreadsheets/d/1g_jfYYK_KeipEDNDUgqgrsxK94XiocfNQIcP-v1QVhI/edit?resourcekey#gid=233272945"",""Nilai!B:CT""),86,0),"" "")")," ")</f>
        <v xml:space="preserve"> </v>
      </c>
      <c r="T61" s="88"/>
      <c r="U61" s="1"/>
      <c r="V61" s="1"/>
      <c r="W61" s="1"/>
      <c r="X61" s="1"/>
    </row>
    <row r="62" spans="1:24">
      <c r="A62" s="15"/>
      <c r="B62" s="15"/>
      <c r="C62" s="16"/>
      <c r="D62" s="16"/>
      <c r="E62" s="16"/>
      <c r="F62" s="16"/>
      <c r="G62" s="16"/>
      <c r="H62" s="16"/>
      <c r="I62" s="16"/>
      <c r="J62" s="16"/>
      <c r="K62" s="16"/>
      <c r="L62" s="38"/>
      <c r="M62" s="25"/>
      <c r="N62" s="25"/>
      <c r="O62" s="25"/>
      <c r="P62" s="1"/>
      <c r="Q62" s="1"/>
      <c r="R62" s="88"/>
      <c r="S62" s="20" t="str">
        <f ca="1">IFERROR(__xludf.DUMMYFUNCTION("IFERROR(vlookup(B62,IMPORTRANGE(""https://docs.google.com/spreadsheets/d/1g_jfYYK_KeipEDNDUgqgrsxK94XiocfNQIcP-v1QVhI/edit?resourcekey#gid=233272945"",""Nilai!B:CT""),86,0),"" "")")," ")</f>
        <v xml:space="preserve"> </v>
      </c>
      <c r="T62" s="88"/>
      <c r="U62" s="1"/>
      <c r="V62" s="1"/>
      <c r="W62" s="1"/>
      <c r="X62" s="1"/>
    </row>
    <row r="63" spans="1:24">
      <c r="A63" s="15"/>
      <c r="B63" s="15"/>
      <c r="C63" s="16"/>
      <c r="D63" s="16"/>
      <c r="E63" s="16"/>
      <c r="F63" s="16"/>
      <c r="G63" s="16"/>
      <c r="H63" s="16"/>
      <c r="I63" s="16"/>
      <c r="J63" s="16"/>
      <c r="K63" s="16"/>
      <c r="L63" s="38"/>
      <c r="M63" s="25"/>
      <c r="N63" s="25"/>
      <c r="O63" s="25"/>
      <c r="P63" s="1"/>
      <c r="Q63" s="1"/>
      <c r="R63" s="88"/>
      <c r="S63" s="20" t="str">
        <f ca="1">IFERROR(__xludf.DUMMYFUNCTION("IFERROR(vlookup(B63,IMPORTRANGE(""https://docs.google.com/spreadsheets/d/1g_jfYYK_KeipEDNDUgqgrsxK94XiocfNQIcP-v1QVhI/edit?resourcekey#gid=233272945"",""Nilai!B:CT""),86,0),"" "")")," ")</f>
        <v xml:space="preserve"> </v>
      </c>
      <c r="T63" s="88"/>
      <c r="U63" s="1"/>
      <c r="V63" s="1"/>
      <c r="W63" s="1"/>
      <c r="X63" s="1"/>
    </row>
    <row r="64" spans="1:24">
      <c r="A64" s="15"/>
      <c r="B64" s="15"/>
      <c r="C64" s="16"/>
      <c r="D64" s="16"/>
      <c r="E64" s="16"/>
      <c r="F64" s="16"/>
      <c r="G64" s="16"/>
      <c r="H64" s="16"/>
      <c r="I64" s="16"/>
      <c r="J64" s="16"/>
      <c r="K64" s="16"/>
      <c r="L64" s="38"/>
      <c r="M64" s="25"/>
      <c r="N64" s="25"/>
      <c r="O64" s="25"/>
      <c r="P64" s="1"/>
      <c r="Q64" s="1"/>
      <c r="R64" s="8"/>
      <c r="S64" s="20" t="str">
        <f ca="1">IFERROR(__xludf.DUMMYFUNCTION("IFERROR(vlookup(B64,IMPORTRANGE(""https://docs.google.com/spreadsheets/d/1g_jfYYK_KeipEDNDUgqgrsxK94XiocfNQIcP-v1QVhI/edit?resourcekey#gid=233272945"",""Nilai!B:CT""),86,0),"" "")")," ")</f>
        <v xml:space="preserve"> </v>
      </c>
      <c r="T64" s="8"/>
      <c r="U64" s="1"/>
      <c r="V64" s="1"/>
      <c r="W64" s="1"/>
      <c r="X64" s="1"/>
    </row>
    <row r="65" spans="1:24">
      <c r="A65" s="15"/>
      <c r="B65" s="15"/>
      <c r="C65" s="16"/>
      <c r="D65" s="16"/>
      <c r="E65" s="16"/>
      <c r="F65" s="16"/>
      <c r="G65" s="16"/>
      <c r="H65" s="16"/>
      <c r="I65" s="16"/>
      <c r="J65" s="16"/>
      <c r="K65" s="16"/>
      <c r="L65" s="38"/>
      <c r="M65" s="25"/>
      <c r="N65" s="25"/>
      <c r="O65" s="25"/>
      <c r="P65" s="1"/>
      <c r="Q65" s="1"/>
      <c r="R65" s="8"/>
      <c r="S65" s="20" t="str">
        <f ca="1">IFERROR(__xludf.DUMMYFUNCTION("IFERROR(vlookup(B65,IMPORTRANGE(""https://docs.google.com/spreadsheets/d/1g_jfYYK_KeipEDNDUgqgrsxK94XiocfNQIcP-v1QVhI/edit?resourcekey#gid=233272945"",""Nilai!B:CT""),86,0),"" "")")," ")</f>
        <v xml:space="preserve"> </v>
      </c>
      <c r="T65" s="8"/>
      <c r="U65" s="1"/>
      <c r="V65" s="1"/>
      <c r="W65" s="1"/>
      <c r="X65" s="1"/>
    </row>
    <row r="66" spans="1:24">
      <c r="A66" s="15"/>
      <c r="B66" s="15"/>
      <c r="C66" s="16"/>
      <c r="D66" s="16"/>
      <c r="E66" s="16"/>
      <c r="F66" s="16"/>
      <c r="G66" s="16"/>
      <c r="H66" s="16"/>
      <c r="I66" s="16"/>
      <c r="J66" s="16"/>
      <c r="K66" s="16"/>
      <c r="L66" s="38"/>
      <c r="M66" s="25"/>
      <c r="N66" s="25"/>
      <c r="O66" s="25"/>
      <c r="P66" s="1"/>
      <c r="Q66" s="1"/>
      <c r="R66" s="8"/>
      <c r="S66" s="20" t="str">
        <f ca="1">IFERROR(__xludf.DUMMYFUNCTION("IFERROR(vlookup(B66,IMPORTRANGE(""https://docs.google.com/spreadsheets/d/1g_jfYYK_KeipEDNDUgqgrsxK94XiocfNQIcP-v1QVhI/edit?resourcekey#gid=233272945"",""Nilai!B:CT""),86,0),"" "")")," ")</f>
        <v xml:space="preserve"> </v>
      </c>
      <c r="T66" s="8"/>
      <c r="U66" s="1"/>
      <c r="V66" s="1"/>
      <c r="W66" s="1"/>
      <c r="X66" s="1"/>
    </row>
    <row r="67" spans="1:24">
      <c r="A67" s="15"/>
      <c r="B67" s="15"/>
      <c r="C67" s="16"/>
      <c r="D67" s="16"/>
      <c r="E67" s="16"/>
      <c r="F67" s="16"/>
      <c r="G67" s="16"/>
      <c r="H67" s="16"/>
      <c r="I67" s="16"/>
      <c r="J67" s="16"/>
      <c r="K67" s="16"/>
      <c r="L67" s="38"/>
      <c r="M67" s="25"/>
      <c r="N67" s="25"/>
      <c r="O67" s="25"/>
      <c r="P67" s="1"/>
      <c r="Q67" s="1"/>
      <c r="R67" s="8"/>
      <c r="S67" s="20" t="str">
        <f ca="1">IFERROR(__xludf.DUMMYFUNCTION("IFERROR(vlookup(B67,IMPORTRANGE(""https://docs.google.com/spreadsheets/d/1g_jfYYK_KeipEDNDUgqgrsxK94XiocfNQIcP-v1QVhI/edit?resourcekey#gid=233272945"",""Nilai!B:CT""),86,0),"" "")")," ")</f>
        <v xml:space="preserve"> </v>
      </c>
      <c r="T67" s="8"/>
      <c r="U67" s="1"/>
      <c r="V67" s="1"/>
      <c r="W67" s="1"/>
      <c r="X67" s="1"/>
    </row>
    <row r="68" spans="1:24">
      <c r="A68" s="15"/>
      <c r="B68" s="15"/>
      <c r="C68" s="16"/>
      <c r="D68" s="16"/>
      <c r="E68" s="16"/>
      <c r="F68" s="16"/>
      <c r="G68" s="16"/>
      <c r="H68" s="16"/>
      <c r="I68" s="16"/>
      <c r="J68" s="16"/>
      <c r="K68" s="16"/>
      <c r="L68" s="38"/>
      <c r="M68" s="25"/>
      <c r="N68" s="25"/>
      <c r="O68" s="25"/>
      <c r="P68" s="1"/>
      <c r="Q68" s="1"/>
      <c r="R68" s="8"/>
      <c r="S68" s="20" t="str">
        <f ca="1">IFERROR(__xludf.DUMMYFUNCTION("IFERROR(vlookup(B68,IMPORTRANGE(""https://docs.google.com/spreadsheets/d/1g_jfYYK_KeipEDNDUgqgrsxK94XiocfNQIcP-v1QVhI/edit?resourcekey#gid=233272945"",""Nilai!B:CT""),86,0),"" "")")," ")</f>
        <v xml:space="preserve"> </v>
      </c>
      <c r="T68" s="8"/>
      <c r="U68" s="1"/>
      <c r="V68" s="1"/>
      <c r="W68" s="1"/>
      <c r="X68" s="1"/>
    </row>
    <row r="69" spans="1:24">
      <c r="A69" s="15"/>
      <c r="B69" s="15"/>
      <c r="C69" s="16"/>
      <c r="D69" s="16"/>
      <c r="E69" s="16"/>
      <c r="F69" s="16"/>
      <c r="G69" s="16"/>
      <c r="H69" s="16"/>
      <c r="I69" s="16"/>
      <c r="J69" s="16"/>
      <c r="K69" s="16"/>
      <c r="L69" s="38"/>
      <c r="M69" s="25"/>
      <c r="N69" s="25"/>
      <c r="O69" s="25"/>
      <c r="P69" s="1"/>
      <c r="Q69" s="1"/>
      <c r="R69" s="8"/>
      <c r="S69" s="20" t="str">
        <f ca="1">IFERROR(__xludf.DUMMYFUNCTION("IFERROR(vlookup(B69,IMPORTRANGE(""https://docs.google.com/spreadsheets/d/1g_jfYYK_KeipEDNDUgqgrsxK94XiocfNQIcP-v1QVhI/edit?resourcekey#gid=233272945"",""Nilai!B:CT""),86,0),"" "")")," ")</f>
        <v xml:space="preserve"> </v>
      </c>
      <c r="T69" s="8"/>
      <c r="U69" s="1"/>
      <c r="V69" s="1"/>
      <c r="W69" s="1"/>
      <c r="X69" s="1"/>
    </row>
    <row r="70" spans="1:24">
      <c r="A70" s="15"/>
      <c r="B70" s="15"/>
      <c r="C70" s="16"/>
      <c r="D70" s="16"/>
      <c r="E70" s="16"/>
      <c r="F70" s="16"/>
      <c r="G70" s="16"/>
      <c r="H70" s="16"/>
      <c r="I70" s="16"/>
      <c r="J70" s="16"/>
      <c r="K70" s="16"/>
      <c r="L70" s="38"/>
      <c r="M70" s="25"/>
      <c r="N70" s="25"/>
      <c r="O70" s="25"/>
      <c r="P70" s="1"/>
      <c r="Q70" s="1"/>
      <c r="R70" s="8"/>
      <c r="S70" s="20" t="str">
        <f ca="1">IFERROR(__xludf.DUMMYFUNCTION("IFERROR(vlookup(B70,IMPORTRANGE(""https://docs.google.com/spreadsheets/d/1g_jfYYK_KeipEDNDUgqgrsxK94XiocfNQIcP-v1QVhI/edit?resourcekey#gid=233272945"",""Nilai!B:CT""),86,0),"" "")")," ")</f>
        <v xml:space="preserve"> </v>
      </c>
      <c r="T70" s="8"/>
      <c r="U70" s="1"/>
      <c r="V70" s="1"/>
      <c r="W70" s="1"/>
      <c r="X70" s="1"/>
    </row>
    <row r="71" spans="1:24">
      <c r="A71" s="15"/>
      <c r="B71" s="15"/>
      <c r="C71" s="16"/>
      <c r="D71" s="16"/>
      <c r="E71" s="16"/>
      <c r="F71" s="16"/>
      <c r="G71" s="16"/>
      <c r="H71" s="16"/>
      <c r="I71" s="16"/>
      <c r="J71" s="16"/>
      <c r="K71" s="16"/>
      <c r="L71" s="38"/>
      <c r="M71" s="25"/>
      <c r="N71" s="25"/>
      <c r="O71" s="25"/>
      <c r="P71" s="1"/>
      <c r="Q71" s="1"/>
      <c r="R71" s="8"/>
      <c r="S71" s="20" t="str">
        <f ca="1">IFERROR(__xludf.DUMMYFUNCTION("IFERROR(vlookup(B71,IMPORTRANGE(""https://docs.google.com/spreadsheets/d/1g_jfYYK_KeipEDNDUgqgrsxK94XiocfNQIcP-v1QVhI/edit?resourcekey#gid=233272945"",""Nilai!B:CT""),86,0),"" "")")," ")</f>
        <v xml:space="preserve"> </v>
      </c>
      <c r="T71" s="8"/>
      <c r="U71" s="1"/>
      <c r="V71" s="1"/>
      <c r="W71" s="1"/>
      <c r="X71" s="1"/>
    </row>
    <row r="72" spans="1:24">
      <c r="A72" s="15"/>
      <c r="B72" s="15"/>
      <c r="C72" s="16"/>
      <c r="D72" s="16"/>
      <c r="E72" s="16"/>
      <c r="F72" s="16"/>
      <c r="G72" s="16"/>
      <c r="H72" s="16"/>
      <c r="I72" s="16"/>
      <c r="J72" s="16"/>
      <c r="K72" s="16"/>
      <c r="L72" s="38"/>
      <c r="M72" s="25"/>
      <c r="N72" s="25"/>
      <c r="O72" s="25"/>
      <c r="P72" s="1"/>
      <c r="Q72" s="1"/>
      <c r="R72" s="8"/>
      <c r="S72" s="20" t="str">
        <f ca="1">IFERROR(__xludf.DUMMYFUNCTION("IFERROR(vlookup(B72,IMPORTRANGE(""https://docs.google.com/spreadsheets/d/1g_jfYYK_KeipEDNDUgqgrsxK94XiocfNQIcP-v1QVhI/edit?resourcekey#gid=233272945"",""Nilai!B:CT""),86,0),"" "")")," ")</f>
        <v xml:space="preserve"> </v>
      </c>
      <c r="T72" s="8"/>
      <c r="U72" s="1"/>
      <c r="V72" s="1"/>
      <c r="W72" s="1"/>
      <c r="X72" s="1"/>
    </row>
    <row r="73" spans="1:24">
      <c r="A73" s="15"/>
      <c r="B73" s="15"/>
      <c r="C73" s="16"/>
      <c r="D73" s="16"/>
      <c r="E73" s="16"/>
      <c r="F73" s="16"/>
      <c r="G73" s="16"/>
      <c r="H73" s="16"/>
      <c r="I73" s="16"/>
      <c r="J73" s="16"/>
      <c r="K73" s="16"/>
      <c r="L73" s="38"/>
      <c r="M73" s="25"/>
      <c r="N73" s="25"/>
      <c r="O73" s="25"/>
      <c r="P73" s="1"/>
      <c r="Q73" s="1"/>
      <c r="R73" s="8"/>
      <c r="S73" s="20" t="str">
        <f ca="1">IFERROR(__xludf.DUMMYFUNCTION("IFERROR(vlookup(B73,IMPORTRANGE(""https://docs.google.com/spreadsheets/d/1g_jfYYK_KeipEDNDUgqgrsxK94XiocfNQIcP-v1QVhI/edit?resourcekey#gid=233272945"",""Nilai!B:CT""),86,0),"" "")")," ")</f>
        <v xml:space="preserve"> </v>
      </c>
      <c r="T73" s="8"/>
      <c r="U73" s="1"/>
      <c r="V73" s="1"/>
      <c r="W73" s="1"/>
      <c r="X73" s="1"/>
    </row>
    <row r="74" spans="1:24">
      <c r="A74" s="15"/>
      <c r="B74" s="15"/>
      <c r="C74" s="16"/>
      <c r="D74" s="16"/>
      <c r="E74" s="16"/>
      <c r="F74" s="16"/>
      <c r="G74" s="16"/>
      <c r="H74" s="16"/>
      <c r="I74" s="16"/>
      <c r="J74" s="16"/>
      <c r="K74" s="16"/>
      <c r="L74" s="38"/>
      <c r="M74" s="25"/>
      <c r="N74" s="25"/>
      <c r="O74" s="25"/>
      <c r="P74" s="1"/>
      <c r="Q74" s="1"/>
      <c r="R74" s="8"/>
      <c r="S74" s="20" t="str">
        <f ca="1">IFERROR(__xludf.DUMMYFUNCTION("IFERROR(vlookup(B74,IMPORTRANGE(""https://docs.google.com/spreadsheets/d/1g_jfYYK_KeipEDNDUgqgrsxK94XiocfNQIcP-v1QVhI/edit?resourcekey#gid=233272945"",""Nilai!B:CT""),86,0),"" "")")," ")</f>
        <v xml:space="preserve"> </v>
      </c>
      <c r="T74" s="8"/>
      <c r="U74" s="1"/>
      <c r="V74" s="1"/>
      <c r="W74" s="1"/>
      <c r="X74" s="1"/>
    </row>
    <row r="75" spans="1:24">
      <c r="A75" s="15"/>
      <c r="B75" s="15"/>
      <c r="C75" s="16"/>
      <c r="D75" s="16"/>
      <c r="E75" s="16"/>
      <c r="F75" s="16"/>
      <c r="G75" s="16"/>
      <c r="H75" s="16"/>
      <c r="I75" s="16"/>
      <c r="J75" s="16"/>
      <c r="K75" s="16"/>
      <c r="L75" s="38"/>
      <c r="M75" s="25"/>
      <c r="N75" s="25"/>
      <c r="O75" s="25"/>
      <c r="P75" s="1"/>
      <c r="Q75" s="1"/>
      <c r="R75" s="8"/>
      <c r="S75" s="20" t="str">
        <f ca="1">IFERROR(__xludf.DUMMYFUNCTION("IFERROR(vlookup(B75,IMPORTRANGE(""https://docs.google.com/spreadsheets/d/1g_jfYYK_KeipEDNDUgqgrsxK94XiocfNQIcP-v1QVhI/edit?resourcekey#gid=233272945"",""Nilai!B:CT""),57,0),"" "")")," ")</f>
        <v xml:space="preserve"> </v>
      </c>
      <c r="T75" s="8"/>
      <c r="U75" s="1"/>
      <c r="V75" s="1"/>
      <c r="W75" s="1"/>
      <c r="X75" s="1"/>
    </row>
    <row r="76" spans="1:24">
      <c r="A76" s="15"/>
      <c r="B76" s="15"/>
      <c r="C76" s="16"/>
      <c r="D76" s="16"/>
      <c r="E76" s="16"/>
      <c r="F76" s="16"/>
      <c r="G76" s="16"/>
      <c r="H76" s="16"/>
      <c r="I76" s="16"/>
      <c r="J76" s="16"/>
      <c r="K76" s="16"/>
      <c r="L76" s="38"/>
      <c r="M76" s="25"/>
      <c r="N76" s="25"/>
      <c r="O76" s="25"/>
      <c r="P76" s="1"/>
      <c r="Q76" s="1"/>
      <c r="R76" s="8"/>
      <c r="S76" s="20" t="str">
        <f ca="1">IFERROR(__xludf.DUMMYFUNCTION("IFERROR(vlookup(B76,IMPORTRANGE(""https://docs.google.com/spreadsheets/d/1g_jfYYK_KeipEDNDUgqgrsxK94XiocfNQIcP-v1QVhI/edit?resourcekey#gid=233272945"",""Nilai!B:CT""),57,0),"" "")")," ")</f>
        <v xml:space="preserve"> </v>
      </c>
      <c r="T76" s="8"/>
      <c r="U76" s="1"/>
      <c r="V76" s="1"/>
      <c r="W76" s="1"/>
      <c r="X76" s="1"/>
    </row>
    <row r="77" spans="1:24">
      <c r="A77" s="15"/>
      <c r="B77" s="15"/>
      <c r="C77" s="16"/>
      <c r="D77" s="16"/>
      <c r="E77" s="16"/>
      <c r="F77" s="16"/>
      <c r="G77" s="16"/>
      <c r="H77" s="16"/>
      <c r="I77" s="16"/>
      <c r="J77" s="16"/>
      <c r="K77" s="16"/>
      <c r="L77" s="38"/>
      <c r="M77" s="25"/>
      <c r="N77" s="25"/>
      <c r="O77" s="25"/>
      <c r="P77" s="1"/>
      <c r="Q77" s="1"/>
      <c r="R77" s="8"/>
      <c r="S77" s="20" t="str">
        <f ca="1">IFERROR(__xludf.DUMMYFUNCTION("IFERROR(vlookup(B77,IMPORTRANGE(""https://docs.google.com/spreadsheets/d/1g_jfYYK_KeipEDNDUgqgrsxK94XiocfNQIcP-v1QVhI/edit?resourcekey#gid=233272945"",""Nilai!B:CT""),57,0),"" "")")," ")</f>
        <v xml:space="preserve"> </v>
      </c>
      <c r="T77" s="8"/>
      <c r="U77" s="1"/>
      <c r="V77" s="1"/>
      <c r="W77" s="1"/>
      <c r="X77" s="1"/>
    </row>
    <row r="78" spans="1:24">
      <c r="A78" s="15"/>
      <c r="B78" s="15"/>
      <c r="C78" s="16"/>
      <c r="D78" s="16"/>
      <c r="E78" s="16"/>
      <c r="F78" s="16"/>
      <c r="G78" s="16"/>
      <c r="H78" s="16"/>
      <c r="I78" s="16"/>
      <c r="J78" s="16"/>
      <c r="K78" s="16"/>
      <c r="L78" s="38"/>
      <c r="M78" s="25"/>
      <c r="N78" s="25"/>
      <c r="O78" s="25"/>
      <c r="P78" s="1"/>
      <c r="Q78" s="1"/>
      <c r="R78" s="8"/>
      <c r="S78" s="20" t="str">
        <f ca="1">IFERROR(__xludf.DUMMYFUNCTION("IFERROR(vlookup(B78,IMPORTRANGE(""https://docs.google.com/spreadsheets/d/1g_jfYYK_KeipEDNDUgqgrsxK94XiocfNQIcP-v1QVhI/edit?resourcekey#gid=233272945"",""Nilai!B:CT""),57,0),"" "")")," ")</f>
        <v xml:space="preserve"> </v>
      </c>
      <c r="T78" s="8"/>
      <c r="U78" s="1"/>
      <c r="V78" s="1"/>
      <c r="W78" s="1"/>
      <c r="X78" s="1"/>
    </row>
    <row r="79" spans="1:24">
      <c r="A79" s="15"/>
      <c r="B79" s="15"/>
      <c r="C79" s="16"/>
      <c r="D79" s="16"/>
      <c r="E79" s="16"/>
      <c r="F79" s="16"/>
      <c r="G79" s="16"/>
      <c r="H79" s="16"/>
      <c r="I79" s="16"/>
      <c r="J79" s="16"/>
      <c r="K79" s="16"/>
      <c r="L79" s="38"/>
      <c r="M79" s="25"/>
      <c r="N79" s="25"/>
      <c r="O79" s="25"/>
      <c r="P79" s="1"/>
      <c r="Q79" s="1"/>
      <c r="R79" s="8"/>
      <c r="S79" s="20" t="str">
        <f ca="1">IFERROR(__xludf.DUMMYFUNCTION("IFERROR(vlookup(B79,IMPORTRANGE(""https://docs.google.com/spreadsheets/d/1g_jfYYK_KeipEDNDUgqgrsxK94XiocfNQIcP-v1QVhI/edit?resourcekey#gid=233272945"",""Nilai!B:CT""),57,0),"" "")")," ")</f>
        <v xml:space="preserve"> </v>
      </c>
      <c r="T79" s="8"/>
      <c r="U79" s="1"/>
      <c r="V79" s="1"/>
      <c r="W79" s="1"/>
      <c r="X79" s="1"/>
    </row>
    <row r="80" spans="1:24">
      <c r="A80" s="15"/>
      <c r="B80" s="15"/>
      <c r="C80" s="16"/>
      <c r="D80" s="16"/>
      <c r="E80" s="16"/>
      <c r="F80" s="16"/>
      <c r="G80" s="16"/>
      <c r="H80" s="16"/>
      <c r="I80" s="16"/>
      <c r="J80" s="16"/>
      <c r="K80" s="16"/>
      <c r="L80" s="38"/>
      <c r="M80" s="25"/>
      <c r="N80" s="25"/>
      <c r="O80" s="25"/>
      <c r="P80" s="1"/>
      <c r="Q80" s="1"/>
      <c r="R80" s="8"/>
      <c r="S80" s="20" t="str">
        <f ca="1">IFERROR(__xludf.DUMMYFUNCTION("IFERROR(vlookup(B80,IMPORTRANGE(""https://docs.google.com/spreadsheets/d/1g_jfYYK_KeipEDNDUgqgrsxK94XiocfNQIcP-v1QVhI/edit?resourcekey#gid=233272945"",""Nilai!B:CT""),57,0),"" "")")," ")</f>
        <v xml:space="preserve"> </v>
      </c>
      <c r="T80" s="8"/>
      <c r="U80" s="1"/>
      <c r="V80" s="1"/>
      <c r="W80" s="1"/>
      <c r="X80" s="1"/>
    </row>
    <row r="81" spans="1:24">
      <c r="A81" s="15"/>
      <c r="B81" s="15"/>
      <c r="C81" s="16"/>
      <c r="D81" s="16"/>
      <c r="E81" s="16"/>
      <c r="F81" s="16"/>
      <c r="G81" s="16"/>
      <c r="H81" s="16"/>
      <c r="I81" s="16"/>
      <c r="J81" s="16"/>
      <c r="K81" s="16"/>
      <c r="L81" s="38"/>
      <c r="M81" s="25"/>
      <c r="N81" s="25"/>
      <c r="O81" s="25"/>
      <c r="P81" s="1"/>
      <c r="Q81" s="1"/>
      <c r="R81" s="8"/>
      <c r="S81" s="20" t="str">
        <f ca="1">IFERROR(__xludf.DUMMYFUNCTION("IFERROR(vlookup(B81,IMPORTRANGE(""https://docs.google.com/spreadsheets/d/1g_jfYYK_KeipEDNDUgqgrsxK94XiocfNQIcP-v1QVhI/edit?resourcekey#gid=233272945"",""Nilai!B:CT""),57,0),"" "")")," ")</f>
        <v xml:space="preserve"> </v>
      </c>
      <c r="T81" s="8"/>
      <c r="U81" s="1"/>
      <c r="V81" s="1"/>
      <c r="W81" s="1"/>
      <c r="X81" s="1"/>
    </row>
    <row r="82" spans="1:24">
      <c r="A82" s="15"/>
      <c r="B82" s="15"/>
      <c r="C82" s="16"/>
      <c r="D82" s="16"/>
      <c r="E82" s="16"/>
      <c r="F82" s="16"/>
      <c r="G82" s="16"/>
      <c r="H82" s="16"/>
      <c r="I82" s="16"/>
      <c r="J82" s="16"/>
      <c r="K82" s="16"/>
      <c r="L82" s="38"/>
      <c r="M82" s="25"/>
      <c r="N82" s="25"/>
      <c r="O82" s="25"/>
      <c r="P82" s="1"/>
      <c r="Q82" s="1"/>
      <c r="R82" s="8"/>
      <c r="S82" s="20" t="str">
        <f ca="1">IFERROR(__xludf.DUMMYFUNCTION("IFERROR(vlookup(B82,IMPORTRANGE(""https://docs.google.com/spreadsheets/d/1g_jfYYK_KeipEDNDUgqgrsxK94XiocfNQIcP-v1QVhI/edit?resourcekey#gid=233272945"",""Nilai!B:CT""),57,0),"" "")")," ")</f>
        <v xml:space="preserve"> </v>
      </c>
      <c r="T82" s="8"/>
      <c r="U82" s="1"/>
      <c r="V82" s="1"/>
      <c r="W82" s="1"/>
      <c r="X82" s="1"/>
    </row>
    <row r="83" spans="1:24">
      <c r="A83" s="15"/>
      <c r="B83" s="15"/>
      <c r="C83" s="16"/>
      <c r="D83" s="16"/>
      <c r="E83" s="16"/>
      <c r="F83" s="16"/>
      <c r="G83" s="16"/>
      <c r="H83" s="16"/>
      <c r="I83" s="16"/>
      <c r="J83" s="16"/>
      <c r="K83" s="16"/>
      <c r="L83" s="38"/>
      <c r="M83" s="25"/>
      <c r="N83" s="25"/>
      <c r="O83" s="25"/>
      <c r="P83" s="1"/>
      <c r="Q83" s="1"/>
      <c r="R83" s="8"/>
      <c r="S83" s="20" t="str">
        <f ca="1">IFERROR(__xludf.DUMMYFUNCTION("IFERROR(vlookup(B83,IMPORTRANGE(""https://docs.google.com/spreadsheets/d/1g_jfYYK_KeipEDNDUgqgrsxK94XiocfNQIcP-v1QVhI/edit?resourcekey#gid=233272945"",""Nilai!B:CT""),57,0),"" "")")," ")</f>
        <v xml:space="preserve"> </v>
      </c>
      <c r="T83" s="8"/>
      <c r="U83" s="1"/>
      <c r="V83" s="1"/>
      <c r="W83" s="1"/>
      <c r="X83" s="1"/>
    </row>
    <row r="84" spans="1:24">
      <c r="A84" s="15"/>
      <c r="B84" s="15"/>
      <c r="C84" s="16"/>
      <c r="D84" s="16"/>
      <c r="E84" s="16"/>
      <c r="F84" s="16"/>
      <c r="G84" s="16"/>
      <c r="H84" s="16"/>
      <c r="I84" s="16"/>
      <c r="J84" s="16"/>
      <c r="K84" s="16"/>
      <c r="L84" s="38"/>
      <c r="M84" s="25"/>
      <c r="N84" s="25"/>
      <c r="O84" s="25"/>
      <c r="P84" s="1"/>
      <c r="Q84" s="1"/>
      <c r="R84" s="8"/>
      <c r="S84" s="20" t="str">
        <f ca="1">IFERROR(__xludf.DUMMYFUNCTION("IFERROR(vlookup(B84,IMPORTRANGE(""https://docs.google.com/spreadsheets/d/1g_jfYYK_KeipEDNDUgqgrsxK94XiocfNQIcP-v1QVhI/edit?resourcekey#gid=233272945"",""Nilai!B:CT""),57,0),"" "")")," ")</f>
        <v xml:space="preserve"> </v>
      </c>
      <c r="T84" s="8"/>
      <c r="U84" s="1"/>
      <c r="V84" s="1"/>
      <c r="W84" s="1"/>
      <c r="X84" s="1"/>
    </row>
    <row r="85" spans="1:24">
      <c r="A85" s="15"/>
      <c r="B85" s="15"/>
      <c r="C85" s="16"/>
      <c r="D85" s="16"/>
      <c r="E85" s="16"/>
      <c r="F85" s="16"/>
      <c r="G85" s="16"/>
      <c r="H85" s="16"/>
      <c r="I85" s="16"/>
      <c r="J85" s="16"/>
      <c r="K85" s="16"/>
      <c r="L85" s="38"/>
      <c r="M85" s="25"/>
      <c r="N85" s="25"/>
      <c r="O85" s="25"/>
      <c r="P85" s="1"/>
      <c r="Q85" s="1"/>
      <c r="R85" s="8"/>
      <c r="S85" s="20" t="str">
        <f ca="1">IFERROR(__xludf.DUMMYFUNCTION("IFERROR(vlookup(B85,IMPORTRANGE(""https://docs.google.com/spreadsheets/d/1g_jfYYK_KeipEDNDUgqgrsxK94XiocfNQIcP-v1QVhI/edit?resourcekey#gid=233272945"",""Nilai!B:CT""),57,0),"" "")")," ")</f>
        <v xml:space="preserve"> </v>
      </c>
      <c r="T85" s="8"/>
      <c r="U85" s="1"/>
      <c r="V85" s="1"/>
      <c r="W85" s="1"/>
      <c r="X85" s="1"/>
    </row>
    <row r="86" spans="1:24">
      <c r="A86" s="15"/>
      <c r="B86" s="15"/>
      <c r="C86" s="16"/>
      <c r="D86" s="16"/>
      <c r="E86" s="16"/>
      <c r="F86" s="16"/>
      <c r="G86" s="16"/>
      <c r="H86" s="16"/>
      <c r="I86" s="16"/>
      <c r="J86" s="16"/>
      <c r="K86" s="16"/>
      <c r="L86" s="38"/>
      <c r="M86" s="25"/>
      <c r="N86" s="25"/>
      <c r="O86" s="25"/>
      <c r="P86" s="1"/>
      <c r="Q86" s="1"/>
      <c r="R86" s="8"/>
      <c r="S86" s="20" t="str">
        <f ca="1">IFERROR(__xludf.DUMMYFUNCTION("IFERROR(vlookup(B86,IMPORTRANGE(""https://docs.google.com/spreadsheets/d/1g_jfYYK_KeipEDNDUgqgrsxK94XiocfNQIcP-v1QVhI/edit?resourcekey#gid=233272945"",""Nilai!B:CT""),57,0),"" "")")," ")</f>
        <v xml:space="preserve"> </v>
      </c>
      <c r="T86" s="8"/>
      <c r="U86" s="1"/>
      <c r="V86" s="1"/>
      <c r="W86" s="1"/>
      <c r="X86" s="1"/>
    </row>
    <row r="87" spans="1:24">
      <c r="A87" s="15"/>
      <c r="B87" s="15"/>
      <c r="C87" s="16"/>
      <c r="D87" s="16"/>
      <c r="E87" s="16"/>
      <c r="F87" s="16"/>
      <c r="G87" s="16"/>
      <c r="H87" s="16"/>
      <c r="I87" s="16"/>
      <c r="J87" s="16"/>
      <c r="K87" s="16"/>
      <c r="L87" s="38"/>
      <c r="M87" s="25"/>
      <c r="N87" s="25"/>
      <c r="O87" s="25"/>
      <c r="P87" s="1"/>
      <c r="Q87" s="1"/>
      <c r="R87" s="8"/>
      <c r="S87" s="20" t="str">
        <f ca="1">IFERROR(__xludf.DUMMYFUNCTION("IFERROR(vlookup(B87,IMPORTRANGE(""https://docs.google.com/spreadsheets/d/1g_jfYYK_KeipEDNDUgqgrsxK94XiocfNQIcP-v1QVhI/edit?resourcekey#gid=233272945"",""Nilai!B:CT""),57,0),"" "")")," ")</f>
        <v xml:space="preserve"> </v>
      </c>
      <c r="T87" s="8"/>
      <c r="U87" s="1"/>
      <c r="V87" s="1"/>
      <c r="W87" s="1"/>
      <c r="X87" s="1"/>
    </row>
    <row r="88" spans="1:24">
      <c r="A88" s="15"/>
      <c r="B88" s="15"/>
      <c r="C88" s="16"/>
      <c r="D88" s="16"/>
      <c r="E88" s="16"/>
      <c r="F88" s="16"/>
      <c r="G88" s="16"/>
      <c r="H88" s="16"/>
      <c r="I88" s="16"/>
      <c r="J88" s="16"/>
      <c r="K88" s="16"/>
      <c r="L88" s="38"/>
      <c r="M88" s="25"/>
      <c r="N88" s="25"/>
      <c r="O88" s="25"/>
      <c r="P88" s="1"/>
      <c r="Q88" s="1"/>
      <c r="R88" s="8"/>
      <c r="S88" s="20" t="str">
        <f ca="1">IFERROR(__xludf.DUMMYFUNCTION("IFERROR(vlookup(B88,IMPORTRANGE(""https://docs.google.com/spreadsheets/d/1g_jfYYK_KeipEDNDUgqgrsxK94XiocfNQIcP-v1QVhI/edit?resourcekey#gid=233272945"",""Nilai!B:CT""),57,0),"" "")")," ")</f>
        <v xml:space="preserve"> </v>
      </c>
      <c r="T88" s="8"/>
      <c r="U88" s="1"/>
      <c r="V88" s="1"/>
      <c r="W88" s="1"/>
      <c r="X88" s="1"/>
    </row>
    <row r="89" spans="1:24">
      <c r="A89" s="15"/>
      <c r="B89" s="15"/>
      <c r="C89" s="16"/>
      <c r="D89" s="16"/>
      <c r="E89" s="16"/>
      <c r="F89" s="16"/>
      <c r="G89" s="16"/>
      <c r="H89" s="16"/>
      <c r="I89" s="16"/>
      <c r="J89" s="16"/>
      <c r="K89" s="16"/>
      <c r="L89" s="38"/>
      <c r="M89" s="25"/>
      <c r="N89" s="25"/>
      <c r="O89" s="25"/>
      <c r="P89" s="1"/>
      <c r="Q89" s="1"/>
      <c r="R89" s="8"/>
      <c r="S89" s="20" t="str">
        <f ca="1">IFERROR(__xludf.DUMMYFUNCTION("IFERROR(vlookup(B89,IMPORTRANGE(""https://docs.google.com/spreadsheets/d/1g_jfYYK_KeipEDNDUgqgrsxK94XiocfNQIcP-v1QVhI/edit?resourcekey#gid=233272945"",""Nilai!B:CT""),57,0),"" "")")," ")</f>
        <v xml:space="preserve"> </v>
      </c>
      <c r="T89" s="8"/>
      <c r="U89" s="1"/>
      <c r="V89" s="1"/>
      <c r="W89" s="1"/>
      <c r="X89" s="1"/>
    </row>
    <row r="90" spans="1:24">
      <c r="A90" s="15"/>
      <c r="B90" s="15"/>
      <c r="C90" s="16"/>
      <c r="D90" s="16"/>
      <c r="E90" s="16"/>
      <c r="F90" s="16"/>
      <c r="G90" s="16"/>
      <c r="H90" s="16"/>
      <c r="I90" s="16"/>
      <c r="J90" s="16"/>
      <c r="K90" s="16"/>
      <c r="L90" s="38"/>
      <c r="M90" s="25"/>
      <c r="N90" s="25"/>
      <c r="O90" s="25"/>
      <c r="P90" s="1"/>
      <c r="Q90" s="1"/>
      <c r="R90" s="8"/>
      <c r="S90" s="20" t="str">
        <f ca="1">IFERROR(__xludf.DUMMYFUNCTION("IFERROR(vlookup(B90,IMPORTRANGE(""https://docs.google.com/spreadsheets/d/1g_jfYYK_KeipEDNDUgqgrsxK94XiocfNQIcP-v1QVhI/edit?resourcekey#gid=233272945"",""Nilai!B:CT""),57,0),"" "")")," ")</f>
        <v xml:space="preserve"> </v>
      </c>
      <c r="T90" s="8"/>
      <c r="U90" s="1"/>
      <c r="V90" s="1"/>
      <c r="W90" s="1"/>
      <c r="X90" s="1"/>
    </row>
    <row r="91" spans="1:24">
      <c r="A91" s="15"/>
      <c r="B91" s="15"/>
      <c r="C91" s="16"/>
      <c r="D91" s="16"/>
      <c r="E91" s="16"/>
      <c r="F91" s="16"/>
      <c r="G91" s="16"/>
      <c r="H91" s="16"/>
      <c r="I91" s="16"/>
      <c r="J91" s="16"/>
      <c r="K91" s="16"/>
      <c r="L91" s="38"/>
      <c r="M91" s="25"/>
      <c r="N91" s="25"/>
      <c r="O91" s="25"/>
      <c r="P91" s="1"/>
      <c r="Q91" s="1"/>
      <c r="R91" s="8"/>
      <c r="S91" s="20" t="str">
        <f ca="1">IFERROR(__xludf.DUMMYFUNCTION("IFERROR(vlookup(B91,IMPORTRANGE(""https://docs.google.com/spreadsheets/d/1g_jfYYK_KeipEDNDUgqgrsxK94XiocfNQIcP-v1QVhI/edit?resourcekey#gid=233272945"",""Nilai!B:CT""),57,0),"" "")")," ")</f>
        <v xml:space="preserve"> </v>
      </c>
      <c r="T91" s="8"/>
      <c r="U91" s="1"/>
      <c r="V91" s="1"/>
      <c r="W91" s="1"/>
      <c r="X91" s="1"/>
    </row>
    <row r="92" spans="1:24">
      <c r="A92" s="15"/>
      <c r="B92" s="15"/>
      <c r="C92" s="16"/>
      <c r="D92" s="16"/>
      <c r="E92" s="16"/>
      <c r="F92" s="16"/>
      <c r="G92" s="16"/>
      <c r="H92" s="16"/>
      <c r="I92" s="16"/>
      <c r="J92" s="16"/>
      <c r="K92" s="16"/>
      <c r="L92" s="38"/>
      <c r="M92" s="25"/>
      <c r="N92" s="25"/>
      <c r="O92" s="25"/>
      <c r="P92" s="1"/>
      <c r="Q92" s="1"/>
      <c r="R92" s="8"/>
      <c r="S92" s="20" t="str">
        <f ca="1">IFERROR(__xludf.DUMMYFUNCTION("IFERROR(vlookup(B92,IMPORTRANGE(""https://docs.google.com/spreadsheets/d/1g_jfYYK_KeipEDNDUgqgrsxK94XiocfNQIcP-v1QVhI/edit?resourcekey#gid=233272945"",""Nilai!B:CT""),57,0),"" "")")," ")</f>
        <v xml:space="preserve"> </v>
      </c>
      <c r="T92" s="8"/>
      <c r="U92" s="1"/>
      <c r="V92" s="1"/>
      <c r="W92" s="1"/>
      <c r="X92" s="1"/>
    </row>
    <row r="93" spans="1:24">
      <c r="A93" s="15"/>
      <c r="B93" s="15"/>
      <c r="C93" s="16"/>
      <c r="D93" s="16"/>
      <c r="E93" s="16"/>
      <c r="F93" s="16"/>
      <c r="G93" s="16"/>
      <c r="H93" s="16"/>
      <c r="I93" s="16"/>
      <c r="J93" s="16"/>
      <c r="K93" s="16"/>
      <c r="L93" s="38"/>
      <c r="M93" s="25"/>
      <c r="N93" s="25"/>
      <c r="O93" s="25"/>
      <c r="P93" s="1"/>
      <c r="Q93" s="1"/>
      <c r="R93" s="8"/>
      <c r="S93" s="20" t="str">
        <f ca="1">IFERROR(__xludf.DUMMYFUNCTION("IFERROR(vlookup(B93,IMPORTRANGE(""https://docs.google.com/spreadsheets/d/1g_jfYYK_KeipEDNDUgqgrsxK94XiocfNQIcP-v1QVhI/edit?resourcekey#gid=233272945"",""Nilai!B:CT""),57,0),"" "")")," ")</f>
        <v xml:space="preserve"> </v>
      </c>
      <c r="T93" s="8"/>
      <c r="U93" s="1"/>
      <c r="V93" s="1"/>
      <c r="W93" s="1"/>
      <c r="X93" s="1"/>
    </row>
    <row r="94" spans="1:24">
      <c r="A94" s="15"/>
      <c r="B94" s="15"/>
      <c r="C94" s="16"/>
      <c r="D94" s="16"/>
      <c r="E94" s="16"/>
      <c r="F94" s="16"/>
      <c r="G94" s="16"/>
      <c r="H94" s="16"/>
      <c r="I94" s="16"/>
      <c r="J94" s="16"/>
      <c r="K94" s="16"/>
      <c r="L94" s="38"/>
      <c r="M94" s="25"/>
      <c r="N94" s="25"/>
      <c r="O94" s="25"/>
      <c r="P94" s="1"/>
      <c r="Q94" s="1"/>
      <c r="R94" s="8"/>
      <c r="S94" s="20" t="str">
        <f ca="1">IFERROR(__xludf.DUMMYFUNCTION("IFERROR(vlookup(B94,IMPORTRANGE(""https://docs.google.com/spreadsheets/d/1g_jfYYK_KeipEDNDUgqgrsxK94XiocfNQIcP-v1QVhI/edit?resourcekey#gid=233272945"",""Nilai!B:CT""),57,0),"" "")")," ")</f>
        <v xml:space="preserve"> </v>
      </c>
      <c r="T94" s="8"/>
      <c r="U94" s="1"/>
      <c r="V94" s="1"/>
      <c r="W94" s="1"/>
      <c r="X94" s="1"/>
    </row>
    <row r="95" spans="1:24">
      <c r="A95" s="15"/>
      <c r="B95" s="15"/>
      <c r="C95" s="16"/>
      <c r="D95" s="16"/>
      <c r="E95" s="16"/>
      <c r="F95" s="16"/>
      <c r="G95" s="16"/>
      <c r="H95" s="16"/>
      <c r="I95" s="16"/>
      <c r="J95" s="16"/>
      <c r="K95" s="16"/>
      <c r="L95" s="38"/>
      <c r="M95" s="25"/>
      <c r="N95" s="25"/>
      <c r="O95" s="25"/>
      <c r="P95" s="1"/>
      <c r="Q95" s="1"/>
      <c r="R95" s="8"/>
      <c r="S95" s="20" t="str">
        <f ca="1">IFERROR(__xludf.DUMMYFUNCTION("IFERROR(vlookup(B95,IMPORTRANGE(""https://docs.google.com/spreadsheets/d/1g_jfYYK_KeipEDNDUgqgrsxK94XiocfNQIcP-v1QVhI/edit?resourcekey#gid=233272945"",""Nilai!B:CT""),57,0),"" "")")," ")</f>
        <v xml:space="preserve"> </v>
      </c>
      <c r="T95" s="8"/>
      <c r="U95" s="1"/>
      <c r="V95" s="1"/>
      <c r="W95" s="1"/>
      <c r="X95" s="1"/>
    </row>
    <row r="96" spans="1:24">
      <c r="A96" s="15"/>
      <c r="B96" s="15"/>
      <c r="C96" s="16"/>
      <c r="D96" s="16"/>
      <c r="E96" s="16"/>
      <c r="F96" s="16"/>
      <c r="G96" s="16"/>
      <c r="H96" s="16"/>
      <c r="I96" s="16"/>
      <c r="J96" s="16"/>
      <c r="K96" s="16"/>
      <c r="L96" s="38"/>
      <c r="M96" s="25"/>
      <c r="N96" s="25"/>
      <c r="O96" s="25"/>
      <c r="P96" s="1"/>
      <c r="Q96" s="1"/>
      <c r="R96" s="8"/>
      <c r="S96" s="20" t="str">
        <f ca="1">IFERROR(__xludf.DUMMYFUNCTION("IFERROR(vlookup(B96,IMPORTRANGE(""https://docs.google.com/spreadsheets/d/1g_jfYYK_KeipEDNDUgqgrsxK94XiocfNQIcP-v1QVhI/edit?resourcekey#gid=233272945"",""Nilai!B:CT""),57,0),"" "")")," ")</f>
        <v xml:space="preserve"> </v>
      </c>
      <c r="T96" s="8"/>
      <c r="U96" s="1"/>
      <c r="V96" s="1"/>
      <c r="W96" s="1"/>
      <c r="X96" s="1"/>
    </row>
    <row r="97" spans="1:24">
      <c r="A97" s="15"/>
      <c r="B97" s="15"/>
      <c r="C97" s="16"/>
      <c r="D97" s="16"/>
      <c r="E97" s="16"/>
      <c r="F97" s="16"/>
      <c r="G97" s="16"/>
      <c r="H97" s="16"/>
      <c r="I97" s="16"/>
      <c r="J97" s="16"/>
      <c r="K97" s="16"/>
      <c r="L97" s="38"/>
      <c r="M97" s="25"/>
      <c r="N97" s="25"/>
      <c r="O97" s="25"/>
      <c r="P97" s="1"/>
      <c r="Q97" s="1"/>
      <c r="R97" s="8"/>
      <c r="S97" s="20" t="str">
        <f ca="1">IFERROR(__xludf.DUMMYFUNCTION("IFERROR(vlookup(B97,IMPORTRANGE(""https://docs.google.com/spreadsheets/d/1g_jfYYK_KeipEDNDUgqgrsxK94XiocfNQIcP-v1QVhI/edit?resourcekey#gid=233272945"",""Nilai!B:CT""),57,0),"" "")")," ")</f>
        <v xml:space="preserve"> </v>
      </c>
      <c r="T97" s="8"/>
      <c r="U97" s="1"/>
      <c r="V97" s="1"/>
      <c r="W97" s="1"/>
      <c r="X97" s="1"/>
    </row>
    <row r="98" spans="1:24">
      <c r="A98" s="15"/>
      <c r="B98" s="15"/>
      <c r="C98" s="16"/>
      <c r="D98" s="16"/>
      <c r="E98" s="16"/>
      <c r="F98" s="16"/>
      <c r="G98" s="16"/>
      <c r="H98" s="16"/>
      <c r="I98" s="16"/>
      <c r="J98" s="16"/>
      <c r="K98" s="16"/>
      <c r="L98" s="38"/>
      <c r="M98" s="25"/>
      <c r="N98" s="25"/>
      <c r="O98" s="25"/>
      <c r="P98" s="1"/>
      <c r="Q98" s="1"/>
      <c r="R98" s="8"/>
      <c r="S98" s="20" t="str">
        <f ca="1">IFERROR(__xludf.DUMMYFUNCTION("IFERROR(vlookup(B98,IMPORTRANGE(""https://docs.google.com/spreadsheets/d/1g_jfYYK_KeipEDNDUgqgrsxK94XiocfNQIcP-v1QVhI/edit?resourcekey#gid=233272945"",""Nilai!B:CT""),57,0),"" "")")," ")</f>
        <v xml:space="preserve"> </v>
      </c>
      <c r="T98" s="8"/>
      <c r="U98" s="1"/>
      <c r="V98" s="1"/>
      <c r="W98" s="1"/>
      <c r="X98" s="1"/>
    </row>
    <row r="99" spans="1:24">
      <c r="A99" s="15"/>
      <c r="B99" s="15"/>
      <c r="C99" s="16"/>
      <c r="D99" s="16"/>
      <c r="E99" s="16"/>
      <c r="F99" s="16"/>
      <c r="G99" s="16"/>
      <c r="H99" s="16"/>
      <c r="I99" s="16"/>
      <c r="J99" s="16"/>
      <c r="K99" s="16"/>
      <c r="L99" s="38"/>
      <c r="M99" s="25"/>
      <c r="N99" s="25"/>
      <c r="O99" s="25"/>
      <c r="P99" s="1"/>
      <c r="Q99" s="1"/>
      <c r="R99" s="8"/>
      <c r="S99" s="20" t="str">
        <f ca="1">IFERROR(__xludf.DUMMYFUNCTION("IFERROR(vlookup(B99,IMPORTRANGE(""https://docs.google.com/spreadsheets/d/1g_jfYYK_KeipEDNDUgqgrsxK94XiocfNQIcP-v1QVhI/edit?resourcekey#gid=233272945"",""Nilai!B:CT""),57,0),"" "")")," ")</f>
        <v xml:space="preserve"> </v>
      </c>
      <c r="T99" s="8"/>
      <c r="U99" s="1"/>
      <c r="V99" s="1"/>
      <c r="W99" s="1"/>
      <c r="X99" s="1"/>
    </row>
    <row r="100" spans="1:24">
      <c r="A100" s="15"/>
      <c r="B100" s="15"/>
      <c r="C100" s="16"/>
      <c r="D100" s="16"/>
      <c r="E100" s="16"/>
      <c r="F100" s="16"/>
      <c r="G100" s="16"/>
      <c r="H100" s="16"/>
      <c r="I100" s="16"/>
      <c r="J100" s="16"/>
      <c r="K100" s="16"/>
      <c r="L100" s="38"/>
      <c r="M100" s="25"/>
      <c r="N100" s="25"/>
      <c r="O100" s="25"/>
      <c r="P100" s="1"/>
      <c r="Q100" s="1"/>
      <c r="R100" s="8"/>
      <c r="S100" s="20" t="str">
        <f ca="1">IFERROR(__xludf.DUMMYFUNCTION("IFERROR(vlookup(B100,IMPORTRANGE(""https://docs.google.com/spreadsheets/d/1g_jfYYK_KeipEDNDUgqgrsxK94XiocfNQIcP-v1QVhI/edit?resourcekey#gid=233272945"",""Nilai!B:CT""),57,0),"" "")")," ")</f>
        <v xml:space="preserve"> </v>
      </c>
      <c r="T100" s="8"/>
      <c r="U100" s="1"/>
      <c r="V100" s="1"/>
      <c r="W100" s="1"/>
      <c r="X100" s="1"/>
    </row>
    <row r="101" spans="1:24">
      <c r="A101" s="15"/>
      <c r="B101" s="15"/>
      <c r="C101" s="16"/>
      <c r="D101" s="16"/>
      <c r="E101" s="16"/>
      <c r="F101" s="16"/>
      <c r="G101" s="16"/>
      <c r="H101" s="16"/>
      <c r="I101" s="16"/>
      <c r="J101" s="16"/>
      <c r="K101" s="16"/>
      <c r="L101" s="38"/>
      <c r="M101" s="25"/>
      <c r="N101" s="25"/>
      <c r="O101" s="25"/>
      <c r="P101" s="1"/>
      <c r="Q101" s="1"/>
      <c r="R101" s="8"/>
      <c r="S101" s="20" t="str">
        <f ca="1">IFERROR(__xludf.DUMMYFUNCTION("IFERROR(vlookup(B101,IMPORTRANGE(""https://docs.google.com/spreadsheets/d/1g_jfYYK_KeipEDNDUgqgrsxK94XiocfNQIcP-v1QVhI/edit?resourcekey#gid=233272945"",""Nilai!B:CT""),57,0),"" "")")," ")</f>
        <v xml:space="preserve"> </v>
      </c>
      <c r="T101" s="8"/>
      <c r="U101" s="1"/>
      <c r="V101" s="1"/>
      <c r="W101" s="1"/>
      <c r="X101" s="1"/>
    </row>
    <row r="102" spans="1:24">
      <c r="A102" s="15"/>
      <c r="B102" s="15"/>
      <c r="C102" s="16"/>
      <c r="D102" s="16"/>
      <c r="E102" s="16"/>
      <c r="F102" s="16"/>
      <c r="G102" s="16"/>
      <c r="H102" s="16"/>
      <c r="I102" s="16"/>
      <c r="J102" s="16"/>
      <c r="K102" s="16"/>
      <c r="L102" s="38"/>
      <c r="M102" s="25"/>
      <c r="N102" s="25"/>
      <c r="O102" s="25"/>
      <c r="P102" s="1"/>
      <c r="Q102" s="1"/>
      <c r="R102" s="8"/>
      <c r="S102" s="20" t="str">
        <f ca="1">IFERROR(__xludf.DUMMYFUNCTION("IFERROR(vlookup(B102,IMPORTRANGE(""https://docs.google.com/spreadsheets/d/1g_jfYYK_KeipEDNDUgqgrsxK94XiocfNQIcP-v1QVhI/edit?resourcekey#gid=233272945"",""Nilai!B:CT""),57,0),"" "")")," ")</f>
        <v xml:space="preserve"> </v>
      </c>
      <c r="T102" s="8"/>
      <c r="U102" s="1"/>
      <c r="V102" s="1"/>
      <c r="W102" s="1"/>
      <c r="X102" s="1"/>
    </row>
    <row r="103" spans="1:24">
      <c r="A103" s="15"/>
      <c r="B103" s="15"/>
      <c r="C103" s="16"/>
      <c r="D103" s="16"/>
      <c r="E103" s="16"/>
      <c r="F103" s="16"/>
      <c r="G103" s="16"/>
      <c r="H103" s="16"/>
      <c r="I103" s="16"/>
      <c r="J103" s="16"/>
      <c r="K103" s="16"/>
      <c r="L103" s="38"/>
      <c r="M103" s="25"/>
      <c r="N103" s="25"/>
      <c r="O103" s="25"/>
      <c r="P103" s="1"/>
      <c r="Q103" s="1"/>
      <c r="R103" s="8"/>
      <c r="S103" s="20" t="str">
        <f ca="1">IFERROR(__xludf.DUMMYFUNCTION("IFERROR(vlookup(B103,IMPORTRANGE(""https://docs.google.com/spreadsheets/d/1g_jfYYK_KeipEDNDUgqgrsxK94XiocfNQIcP-v1QVhI/edit?resourcekey#gid=233272945"",""Nilai!B:CT""),57,0),"" "")")," ")</f>
        <v xml:space="preserve"> </v>
      </c>
      <c r="T103" s="8"/>
      <c r="U103" s="1"/>
      <c r="V103" s="1"/>
      <c r="W103" s="1"/>
      <c r="X103" s="1"/>
    </row>
    <row r="104" spans="1:24">
      <c r="A104" s="15"/>
      <c r="B104" s="15"/>
      <c r="C104" s="16"/>
      <c r="D104" s="16"/>
      <c r="E104" s="16"/>
      <c r="F104" s="16"/>
      <c r="G104" s="16"/>
      <c r="H104" s="16"/>
      <c r="I104" s="16"/>
      <c r="J104" s="16"/>
      <c r="K104" s="16"/>
      <c r="L104" s="38"/>
      <c r="M104" s="25"/>
      <c r="N104" s="25"/>
      <c r="O104" s="25"/>
      <c r="P104" s="1"/>
      <c r="Q104" s="1"/>
      <c r="R104" s="8"/>
      <c r="S104" s="20" t="str">
        <f ca="1">IFERROR(__xludf.DUMMYFUNCTION("IFERROR(vlookup(B104,IMPORTRANGE(""https://docs.google.com/spreadsheets/d/1g_jfYYK_KeipEDNDUgqgrsxK94XiocfNQIcP-v1QVhI/edit?resourcekey#gid=233272945"",""Nilai!B:CT""),57,0),"" "")")," ")</f>
        <v xml:space="preserve"> </v>
      </c>
      <c r="T104" s="8"/>
      <c r="U104" s="1"/>
      <c r="V104" s="1"/>
      <c r="W104" s="1"/>
      <c r="X104" s="1"/>
    </row>
    <row r="105" spans="1:24">
      <c r="A105" s="15"/>
      <c r="B105" s="15"/>
      <c r="C105" s="16"/>
      <c r="D105" s="16"/>
      <c r="E105" s="16"/>
      <c r="F105" s="16"/>
      <c r="G105" s="16"/>
      <c r="H105" s="16"/>
      <c r="I105" s="16"/>
      <c r="J105" s="16"/>
      <c r="K105" s="16"/>
      <c r="L105" s="38"/>
      <c r="M105" s="25"/>
      <c r="N105" s="25"/>
      <c r="O105" s="25"/>
      <c r="P105" s="1"/>
      <c r="Q105" s="1"/>
      <c r="R105" s="8"/>
      <c r="S105" s="20" t="str">
        <f ca="1">IFERROR(__xludf.DUMMYFUNCTION("IFERROR(vlookup(B105,IMPORTRANGE(""https://docs.google.com/spreadsheets/d/1g_jfYYK_KeipEDNDUgqgrsxK94XiocfNQIcP-v1QVhI/edit?resourcekey#gid=233272945"",""Nilai!B:CT""),57,0),"" "")")," ")</f>
        <v xml:space="preserve"> </v>
      </c>
      <c r="T105" s="8"/>
      <c r="U105" s="1"/>
      <c r="V105" s="1"/>
      <c r="W105" s="1"/>
      <c r="X105" s="1"/>
    </row>
    <row r="106" spans="1:24">
      <c r="A106" s="15"/>
      <c r="B106" s="15"/>
      <c r="C106" s="16"/>
      <c r="D106" s="16"/>
      <c r="E106" s="16"/>
      <c r="F106" s="16"/>
      <c r="G106" s="16"/>
      <c r="H106" s="16"/>
      <c r="I106" s="16"/>
      <c r="J106" s="16"/>
      <c r="K106" s="16"/>
      <c r="L106" s="38"/>
      <c r="M106" s="25"/>
      <c r="N106" s="25"/>
      <c r="O106" s="25"/>
      <c r="P106" s="1"/>
      <c r="Q106" s="1"/>
      <c r="R106" s="8"/>
      <c r="S106" s="20" t="str">
        <f ca="1">IFERROR(__xludf.DUMMYFUNCTION("IFERROR(vlookup(B106,IMPORTRANGE(""https://docs.google.com/spreadsheets/d/1g_jfYYK_KeipEDNDUgqgrsxK94XiocfNQIcP-v1QVhI/edit?resourcekey#gid=233272945"",""Nilai!B:CT""),57,0),"" "")")," ")</f>
        <v xml:space="preserve"> </v>
      </c>
      <c r="T106" s="8"/>
      <c r="U106" s="1"/>
      <c r="V106" s="1"/>
      <c r="W106" s="1"/>
      <c r="X106" s="1"/>
    </row>
    <row r="107" spans="1:24">
      <c r="A107" s="15"/>
      <c r="B107" s="15"/>
      <c r="C107" s="16"/>
      <c r="D107" s="16"/>
      <c r="E107" s="16"/>
      <c r="F107" s="16"/>
      <c r="G107" s="16"/>
      <c r="H107" s="16"/>
      <c r="I107" s="16"/>
      <c r="J107" s="16"/>
      <c r="K107" s="16"/>
      <c r="L107" s="38"/>
      <c r="M107" s="25"/>
      <c r="N107" s="25"/>
      <c r="O107" s="25"/>
      <c r="P107" s="1"/>
      <c r="Q107" s="1"/>
      <c r="R107" s="8"/>
      <c r="S107" s="20" t="str">
        <f ca="1">IFERROR(__xludf.DUMMYFUNCTION("IFERROR(vlookup(B107,IMPORTRANGE(""https://docs.google.com/spreadsheets/d/1g_jfYYK_KeipEDNDUgqgrsxK94XiocfNQIcP-v1QVhI/edit?resourcekey#gid=233272945"",""Nilai!B:CT""),57,0),"" "")")," ")</f>
        <v xml:space="preserve"> </v>
      </c>
      <c r="T107" s="8"/>
      <c r="U107" s="1"/>
      <c r="V107" s="1"/>
      <c r="W107" s="1"/>
      <c r="X107" s="1"/>
    </row>
    <row r="108" spans="1:24">
      <c r="A108" s="15"/>
      <c r="B108" s="15"/>
      <c r="C108" s="16"/>
      <c r="D108" s="16"/>
      <c r="E108" s="16"/>
      <c r="F108" s="16"/>
      <c r="G108" s="16"/>
      <c r="H108" s="16"/>
      <c r="I108" s="16"/>
      <c r="J108" s="16"/>
      <c r="K108" s="16"/>
      <c r="L108" s="38"/>
      <c r="M108" s="25"/>
      <c r="N108" s="25"/>
      <c r="O108" s="25"/>
      <c r="P108" s="1"/>
      <c r="Q108" s="1"/>
      <c r="R108" s="8"/>
      <c r="S108" s="20" t="str">
        <f ca="1">IFERROR(__xludf.DUMMYFUNCTION("IFERROR(vlookup(B108,IMPORTRANGE(""https://docs.google.com/spreadsheets/d/1g_jfYYK_KeipEDNDUgqgrsxK94XiocfNQIcP-v1QVhI/edit?resourcekey#gid=233272945"",""Nilai!B:CT""),57,0),"" "")")," ")</f>
        <v xml:space="preserve"> </v>
      </c>
      <c r="T108" s="8"/>
      <c r="U108" s="1"/>
      <c r="V108" s="1"/>
      <c r="W108" s="1"/>
      <c r="X108" s="1"/>
    </row>
    <row r="109" spans="1:24">
      <c r="A109" s="15"/>
      <c r="B109" s="15"/>
      <c r="C109" s="16"/>
      <c r="D109" s="16"/>
      <c r="E109" s="16"/>
      <c r="F109" s="16"/>
      <c r="G109" s="16"/>
      <c r="H109" s="16"/>
      <c r="I109" s="16"/>
      <c r="J109" s="16"/>
      <c r="K109" s="16"/>
      <c r="L109" s="38"/>
      <c r="M109" s="25"/>
      <c r="N109" s="25"/>
      <c r="O109" s="25"/>
      <c r="P109" s="1"/>
      <c r="Q109" s="1"/>
      <c r="R109" s="8"/>
      <c r="S109" s="20" t="str">
        <f ca="1">IFERROR(__xludf.DUMMYFUNCTION("IFERROR(vlookup(B109,IMPORTRANGE(""https://docs.google.com/spreadsheets/d/1g_jfYYK_KeipEDNDUgqgrsxK94XiocfNQIcP-v1QVhI/edit?resourcekey#gid=233272945"",""Nilai!B:CT""),57,0),"" "")")," ")</f>
        <v xml:space="preserve"> </v>
      </c>
      <c r="T109" s="8"/>
      <c r="U109" s="1"/>
      <c r="V109" s="1"/>
      <c r="W109" s="1"/>
      <c r="X109" s="1"/>
    </row>
    <row r="110" spans="1:24">
      <c r="A110" s="15"/>
      <c r="B110" s="15"/>
      <c r="C110" s="16"/>
      <c r="D110" s="16"/>
      <c r="E110" s="16"/>
      <c r="F110" s="16"/>
      <c r="G110" s="16"/>
      <c r="H110" s="16"/>
      <c r="I110" s="16"/>
      <c r="J110" s="16"/>
      <c r="K110" s="16"/>
      <c r="L110" s="38"/>
      <c r="M110" s="25"/>
      <c r="N110" s="25"/>
      <c r="O110" s="25"/>
      <c r="P110" s="1"/>
      <c r="Q110" s="1"/>
      <c r="R110" s="8"/>
      <c r="S110" s="20" t="str">
        <f ca="1">IFERROR(__xludf.DUMMYFUNCTION("IFERROR(vlookup(B110,IMPORTRANGE(""https://docs.google.com/spreadsheets/d/1g_jfYYK_KeipEDNDUgqgrsxK94XiocfNQIcP-v1QVhI/edit?resourcekey#gid=233272945"",""Nilai!B:CT""),57,0),"" "")")," ")</f>
        <v xml:space="preserve"> </v>
      </c>
      <c r="T110" s="8"/>
      <c r="U110" s="1"/>
      <c r="V110" s="1"/>
      <c r="W110" s="1"/>
      <c r="X110" s="1"/>
    </row>
    <row r="111" spans="1:24">
      <c r="A111" s="15"/>
      <c r="B111" s="15"/>
      <c r="C111" s="16"/>
      <c r="D111" s="16"/>
      <c r="E111" s="16"/>
      <c r="F111" s="16"/>
      <c r="G111" s="16"/>
      <c r="H111" s="16"/>
      <c r="I111" s="16"/>
      <c r="J111" s="16"/>
      <c r="K111" s="16"/>
      <c r="L111" s="38"/>
      <c r="M111" s="25"/>
      <c r="N111" s="25"/>
      <c r="O111" s="25"/>
      <c r="P111" s="1"/>
      <c r="Q111" s="1"/>
      <c r="R111" s="8"/>
      <c r="S111" s="20" t="str">
        <f ca="1">IFERROR(__xludf.DUMMYFUNCTION("IFERROR(vlookup(B111,IMPORTRANGE(""https://docs.google.com/spreadsheets/d/1g_jfYYK_KeipEDNDUgqgrsxK94XiocfNQIcP-v1QVhI/edit?resourcekey#gid=233272945"",""Nilai!B:CT""),57,0),"" "")")," ")</f>
        <v xml:space="preserve"> </v>
      </c>
      <c r="T111" s="8"/>
      <c r="U111" s="1"/>
      <c r="V111" s="1"/>
      <c r="W111" s="1"/>
      <c r="X111" s="1"/>
    </row>
    <row r="112" spans="1:24">
      <c r="A112" s="15"/>
      <c r="B112" s="15"/>
      <c r="C112" s="16"/>
      <c r="D112" s="16"/>
      <c r="E112" s="16"/>
      <c r="F112" s="16"/>
      <c r="G112" s="16"/>
      <c r="H112" s="16"/>
      <c r="I112" s="16"/>
      <c r="J112" s="16"/>
      <c r="K112" s="16"/>
      <c r="L112" s="38"/>
      <c r="M112" s="25"/>
      <c r="N112" s="25"/>
      <c r="O112" s="25"/>
      <c r="P112" s="1"/>
      <c r="Q112" s="1"/>
      <c r="R112" s="8"/>
      <c r="S112" s="20" t="str">
        <f ca="1">IFERROR(__xludf.DUMMYFUNCTION("IFERROR(vlookup(B112,IMPORTRANGE(""https://docs.google.com/spreadsheets/d/1g_jfYYK_KeipEDNDUgqgrsxK94XiocfNQIcP-v1QVhI/edit?resourcekey#gid=233272945"",""Nilai!B:CT""),57,0),"" "")")," ")</f>
        <v xml:space="preserve"> </v>
      </c>
      <c r="T112" s="8"/>
      <c r="U112" s="1"/>
      <c r="V112" s="1"/>
      <c r="W112" s="1"/>
      <c r="X112" s="1"/>
    </row>
    <row r="113" spans="1:24">
      <c r="A113" s="15"/>
      <c r="B113" s="15"/>
      <c r="C113" s="16"/>
      <c r="D113" s="16"/>
      <c r="E113" s="16"/>
      <c r="F113" s="16"/>
      <c r="G113" s="16"/>
      <c r="H113" s="16"/>
      <c r="I113" s="16"/>
      <c r="J113" s="16"/>
      <c r="K113" s="16"/>
      <c r="L113" s="38"/>
      <c r="M113" s="25"/>
      <c r="N113" s="25"/>
      <c r="O113" s="25"/>
      <c r="P113" s="1"/>
      <c r="Q113" s="1"/>
      <c r="R113" s="8"/>
      <c r="S113" s="20" t="str">
        <f ca="1">IFERROR(__xludf.DUMMYFUNCTION("IFERROR(vlookup(B113,IMPORTRANGE(""https://docs.google.com/spreadsheets/d/1g_jfYYK_KeipEDNDUgqgrsxK94XiocfNQIcP-v1QVhI/edit?resourcekey#gid=233272945"",""Nilai!B:CT""),57,0),"" "")")," ")</f>
        <v xml:space="preserve"> </v>
      </c>
      <c r="T113" s="8"/>
      <c r="U113" s="1"/>
      <c r="V113" s="1"/>
      <c r="W113" s="1"/>
      <c r="X113" s="1"/>
    </row>
    <row r="114" spans="1:24">
      <c r="A114" s="15"/>
      <c r="B114" s="15"/>
      <c r="C114" s="16"/>
      <c r="D114" s="16"/>
      <c r="E114" s="16"/>
      <c r="F114" s="16"/>
      <c r="G114" s="16"/>
      <c r="H114" s="16"/>
      <c r="I114" s="16"/>
      <c r="J114" s="16"/>
      <c r="K114" s="16"/>
      <c r="L114" s="38"/>
      <c r="M114" s="25"/>
      <c r="N114" s="25"/>
      <c r="O114" s="25"/>
      <c r="P114" s="1"/>
      <c r="Q114" s="1"/>
      <c r="R114" s="8"/>
      <c r="S114" s="20" t="str">
        <f ca="1">IFERROR(__xludf.DUMMYFUNCTION("IFERROR(vlookup(B114,IMPORTRANGE(""https://docs.google.com/spreadsheets/d/1g_jfYYK_KeipEDNDUgqgrsxK94XiocfNQIcP-v1QVhI/edit?resourcekey#gid=233272945"",""Nilai!B:CT""),57,0),"" "")")," ")</f>
        <v xml:space="preserve"> </v>
      </c>
      <c r="T114" s="8"/>
      <c r="U114" s="1"/>
      <c r="V114" s="1"/>
      <c r="W114" s="1"/>
      <c r="X114" s="1"/>
    </row>
    <row r="115" spans="1:24">
      <c r="A115" s="15"/>
      <c r="B115" s="15"/>
      <c r="C115" s="16"/>
      <c r="D115" s="16"/>
      <c r="E115" s="16"/>
      <c r="F115" s="16"/>
      <c r="G115" s="16"/>
      <c r="H115" s="16"/>
      <c r="I115" s="16"/>
      <c r="J115" s="16"/>
      <c r="K115" s="16"/>
      <c r="L115" s="38"/>
      <c r="M115" s="25"/>
      <c r="N115" s="25"/>
      <c r="O115" s="25"/>
      <c r="P115" s="1"/>
      <c r="Q115" s="1"/>
      <c r="R115" s="8"/>
      <c r="S115" s="20" t="str">
        <f ca="1">IFERROR(__xludf.DUMMYFUNCTION("IFERROR(vlookup(B115,IMPORTRANGE(""https://docs.google.com/spreadsheets/d/1g_jfYYK_KeipEDNDUgqgrsxK94XiocfNQIcP-v1QVhI/edit?resourcekey#gid=233272945"",""Nilai!B:CT""),57,0),"" "")")," ")</f>
        <v xml:space="preserve"> </v>
      </c>
      <c r="T115" s="8"/>
      <c r="U115" s="1"/>
      <c r="V115" s="1"/>
      <c r="W115" s="1"/>
      <c r="X115" s="1"/>
    </row>
    <row r="116" spans="1:24">
      <c r="A116" s="15"/>
      <c r="B116" s="15"/>
      <c r="C116" s="16"/>
      <c r="D116" s="16"/>
      <c r="E116" s="16"/>
      <c r="F116" s="16"/>
      <c r="G116" s="16"/>
      <c r="H116" s="16"/>
      <c r="I116" s="16"/>
      <c r="J116" s="16"/>
      <c r="K116" s="16"/>
      <c r="L116" s="38"/>
      <c r="M116" s="25"/>
      <c r="N116" s="25"/>
      <c r="O116" s="25"/>
      <c r="P116" s="1"/>
      <c r="Q116" s="1"/>
      <c r="R116" s="8"/>
      <c r="S116" s="20" t="str">
        <f ca="1">IFERROR(__xludf.DUMMYFUNCTION("IFERROR(vlookup(B116,IMPORTRANGE(""https://docs.google.com/spreadsheets/d/1g_jfYYK_KeipEDNDUgqgrsxK94XiocfNQIcP-v1QVhI/edit?resourcekey#gid=233272945"",""Nilai!B:CT""),57,0),"" "")")," ")</f>
        <v xml:space="preserve"> </v>
      </c>
      <c r="T116" s="8"/>
      <c r="U116" s="1"/>
      <c r="V116" s="1"/>
      <c r="W116" s="1"/>
      <c r="X116" s="1"/>
    </row>
    <row r="117" spans="1:24">
      <c r="A117" s="15"/>
      <c r="B117" s="15"/>
      <c r="C117" s="16"/>
      <c r="D117" s="16"/>
      <c r="E117" s="16"/>
      <c r="F117" s="16"/>
      <c r="G117" s="16"/>
      <c r="H117" s="16"/>
      <c r="I117" s="16"/>
      <c r="J117" s="16"/>
      <c r="K117" s="16"/>
      <c r="L117" s="38"/>
      <c r="M117" s="25"/>
      <c r="N117" s="25"/>
      <c r="O117" s="25"/>
      <c r="P117" s="1"/>
      <c r="Q117" s="1"/>
      <c r="R117" s="8"/>
      <c r="S117" s="20" t="str">
        <f ca="1">IFERROR(__xludf.DUMMYFUNCTION("IFERROR(vlookup(B117,IMPORTRANGE(""https://docs.google.com/spreadsheets/d/1g_jfYYK_KeipEDNDUgqgrsxK94XiocfNQIcP-v1QVhI/edit?resourcekey#gid=233272945"",""Nilai!B:CT""),57,0),"" "")")," ")</f>
        <v xml:space="preserve"> </v>
      </c>
      <c r="T117" s="8"/>
      <c r="U117" s="1"/>
      <c r="V117" s="1"/>
      <c r="W117" s="1"/>
      <c r="X117" s="1"/>
    </row>
    <row r="118" spans="1:24">
      <c r="A118" s="15"/>
      <c r="B118" s="15"/>
      <c r="C118" s="16"/>
      <c r="D118" s="16"/>
      <c r="E118" s="16"/>
      <c r="F118" s="16"/>
      <c r="G118" s="16"/>
      <c r="H118" s="16"/>
      <c r="I118" s="16"/>
      <c r="J118" s="16"/>
      <c r="K118" s="16"/>
      <c r="L118" s="38"/>
      <c r="M118" s="25"/>
      <c r="N118" s="25"/>
      <c r="O118" s="25"/>
      <c r="P118" s="1"/>
      <c r="Q118" s="1"/>
      <c r="R118" s="8"/>
      <c r="S118" s="20" t="str">
        <f ca="1">IFERROR(__xludf.DUMMYFUNCTION("IFERROR(vlookup(B118,IMPORTRANGE(""https://docs.google.com/spreadsheets/d/1g_jfYYK_KeipEDNDUgqgrsxK94XiocfNQIcP-v1QVhI/edit?resourcekey#gid=233272945"",""Nilai!B:CT""),57,0),"" "")")," ")</f>
        <v xml:space="preserve"> </v>
      </c>
      <c r="T118" s="8"/>
      <c r="U118" s="1"/>
      <c r="V118" s="1"/>
      <c r="W118" s="1"/>
      <c r="X118" s="1"/>
    </row>
    <row r="119" spans="1:24">
      <c r="A119" s="15"/>
      <c r="B119" s="15"/>
      <c r="C119" s="16"/>
      <c r="D119" s="16"/>
      <c r="E119" s="16"/>
      <c r="F119" s="16"/>
      <c r="G119" s="16"/>
      <c r="H119" s="16"/>
      <c r="I119" s="16"/>
      <c r="J119" s="16"/>
      <c r="K119" s="16"/>
      <c r="L119" s="38"/>
      <c r="M119" s="25"/>
      <c r="N119" s="25"/>
      <c r="O119" s="25"/>
      <c r="P119" s="1"/>
      <c r="Q119" s="1"/>
      <c r="R119" s="8"/>
      <c r="S119" s="20" t="str">
        <f ca="1">IFERROR(__xludf.DUMMYFUNCTION("IFERROR(vlookup(B119,IMPORTRANGE(""https://docs.google.com/spreadsheets/d/1g_jfYYK_KeipEDNDUgqgrsxK94XiocfNQIcP-v1QVhI/edit?resourcekey#gid=233272945"",""Nilai!B:CT""),57,0),"" "")")," ")</f>
        <v xml:space="preserve"> </v>
      </c>
      <c r="T119" s="8"/>
      <c r="U119" s="1"/>
      <c r="V119" s="1"/>
      <c r="W119" s="1"/>
      <c r="X119" s="1"/>
    </row>
    <row r="120" spans="1:24">
      <c r="A120" s="15"/>
      <c r="B120" s="15"/>
      <c r="C120" s="16"/>
      <c r="D120" s="16"/>
      <c r="E120" s="16"/>
      <c r="F120" s="16"/>
      <c r="G120" s="16"/>
      <c r="H120" s="16"/>
      <c r="I120" s="16"/>
      <c r="J120" s="16"/>
      <c r="K120" s="16"/>
      <c r="L120" s="38"/>
      <c r="M120" s="25"/>
      <c r="N120" s="25"/>
      <c r="O120" s="25"/>
      <c r="P120" s="1"/>
      <c r="Q120" s="1"/>
      <c r="R120" s="8"/>
      <c r="S120" s="20" t="str">
        <f ca="1">IFERROR(__xludf.DUMMYFUNCTION("IFERROR(vlookup(B120,IMPORTRANGE(""https://docs.google.com/spreadsheets/d/1g_jfYYK_KeipEDNDUgqgrsxK94XiocfNQIcP-v1QVhI/edit?resourcekey#gid=233272945"",""Nilai!B:CT""),57,0),"" "")")," ")</f>
        <v xml:space="preserve"> </v>
      </c>
      <c r="T120" s="8"/>
      <c r="U120" s="1"/>
      <c r="V120" s="1"/>
      <c r="W120" s="1"/>
      <c r="X120" s="1"/>
    </row>
    <row r="121" spans="1:24">
      <c r="A121" s="15"/>
      <c r="B121" s="15"/>
      <c r="C121" s="16"/>
      <c r="D121" s="16"/>
      <c r="E121" s="16"/>
      <c r="F121" s="16"/>
      <c r="G121" s="16"/>
      <c r="H121" s="16"/>
      <c r="I121" s="16"/>
      <c r="J121" s="16"/>
      <c r="K121" s="16"/>
      <c r="L121" s="38"/>
      <c r="M121" s="25"/>
      <c r="N121" s="25"/>
      <c r="O121" s="25"/>
      <c r="P121" s="1"/>
      <c r="Q121" s="1"/>
      <c r="R121" s="8"/>
      <c r="S121" s="20" t="str">
        <f ca="1">IFERROR(__xludf.DUMMYFUNCTION("IFERROR(vlookup(B121,IMPORTRANGE(""https://docs.google.com/spreadsheets/d/1g_jfYYK_KeipEDNDUgqgrsxK94XiocfNQIcP-v1QVhI/edit?resourcekey#gid=233272945"",""Nilai!B:CT""),57,0),"" "")")," ")</f>
        <v xml:space="preserve"> </v>
      </c>
      <c r="T121" s="8"/>
      <c r="U121" s="1"/>
      <c r="V121" s="1"/>
      <c r="W121" s="1"/>
      <c r="X121" s="1"/>
    </row>
    <row r="122" spans="1:24">
      <c r="A122" s="15"/>
      <c r="B122" s="15"/>
      <c r="C122" s="16"/>
      <c r="D122" s="16"/>
      <c r="E122" s="16"/>
      <c r="F122" s="16"/>
      <c r="G122" s="16"/>
      <c r="H122" s="16"/>
      <c r="I122" s="16"/>
      <c r="J122" s="16"/>
      <c r="K122" s="16"/>
      <c r="L122" s="38"/>
      <c r="M122" s="25"/>
      <c r="N122" s="25"/>
      <c r="O122" s="25"/>
      <c r="P122" s="1"/>
      <c r="Q122" s="1"/>
      <c r="R122" s="8"/>
      <c r="S122" s="20" t="str">
        <f ca="1">IFERROR(__xludf.DUMMYFUNCTION("IFERROR(vlookup(B122,IMPORTRANGE(""https://docs.google.com/spreadsheets/d/1g_jfYYK_KeipEDNDUgqgrsxK94XiocfNQIcP-v1QVhI/edit?resourcekey#gid=233272945"",""Nilai!B:CT""),57,0),"" "")")," ")</f>
        <v xml:space="preserve"> </v>
      </c>
      <c r="T122" s="8"/>
      <c r="U122" s="1"/>
      <c r="V122" s="1"/>
      <c r="W122" s="1"/>
      <c r="X122" s="1"/>
    </row>
    <row r="123" spans="1:24">
      <c r="A123" s="15"/>
      <c r="B123" s="15"/>
      <c r="C123" s="16"/>
      <c r="D123" s="16"/>
      <c r="E123" s="16"/>
      <c r="F123" s="16"/>
      <c r="G123" s="16"/>
      <c r="H123" s="16"/>
      <c r="I123" s="16"/>
      <c r="J123" s="16"/>
      <c r="K123" s="16"/>
      <c r="L123" s="38"/>
      <c r="M123" s="25"/>
      <c r="N123" s="25"/>
      <c r="O123" s="25"/>
      <c r="P123" s="1"/>
      <c r="Q123" s="1"/>
      <c r="R123" s="8"/>
      <c r="S123" s="20" t="str">
        <f ca="1">IFERROR(__xludf.DUMMYFUNCTION("IFERROR(vlookup(B123,IMPORTRANGE(""https://docs.google.com/spreadsheets/d/1g_jfYYK_KeipEDNDUgqgrsxK94XiocfNQIcP-v1QVhI/edit?resourcekey#gid=233272945"",""Nilai!B:CT""),57,0),"" "")")," ")</f>
        <v xml:space="preserve"> </v>
      </c>
      <c r="T123" s="8"/>
      <c r="U123" s="1"/>
      <c r="V123" s="1"/>
      <c r="W123" s="1"/>
      <c r="X123" s="1"/>
    </row>
    <row r="124" spans="1:24">
      <c r="A124" s="15"/>
      <c r="B124" s="15"/>
      <c r="C124" s="16"/>
      <c r="D124" s="16"/>
      <c r="E124" s="16"/>
      <c r="F124" s="16"/>
      <c r="G124" s="16"/>
      <c r="H124" s="16"/>
      <c r="I124" s="16"/>
      <c r="J124" s="16"/>
      <c r="K124" s="16"/>
      <c r="L124" s="38"/>
      <c r="M124" s="25"/>
      <c r="N124" s="25"/>
      <c r="O124" s="25"/>
      <c r="P124" s="1"/>
      <c r="Q124" s="1"/>
      <c r="R124" s="8"/>
      <c r="S124" s="20" t="str">
        <f ca="1">IFERROR(__xludf.DUMMYFUNCTION("IFERROR(vlookup(B124,IMPORTRANGE(""https://docs.google.com/spreadsheets/d/1g_jfYYK_KeipEDNDUgqgrsxK94XiocfNQIcP-v1QVhI/edit?resourcekey#gid=233272945"",""Nilai!B:CT""),57,0),"" "")")," ")</f>
        <v xml:space="preserve"> </v>
      </c>
      <c r="T124" s="8"/>
      <c r="U124" s="1"/>
      <c r="V124" s="1"/>
      <c r="W124" s="1"/>
      <c r="X124" s="1"/>
    </row>
    <row r="125" spans="1:24">
      <c r="A125" s="15"/>
      <c r="B125" s="15"/>
      <c r="C125" s="16"/>
      <c r="D125" s="16"/>
      <c r="E125" s="16"/>
      <c r="F125" s="16"/>
      <c r="G125" s="16"/>
      <c r="H125" s="16"/>
      <c r="I125" s="16"/>
      <c r="J125" s="16"/>
      <c r="K125" s="16"/>
      <c r="L125" s="38"/>
      <c r="M125" s="25"/>
      <c r="N125" s="25"/>
      <c r="O125" s="25"/>
      <c r="P125" s="1"/>
      <c r="Q125" s="1"/>
      <c r="R125" s="8"/>
      <c r="S125" s="20" t="str">
        <f ca="1">IFERROR(__xludf.DUMMYFUNCTION("IFERROR(vlookup(B125,IMPORTRANGE(""https://docs.google.com/spreadsheets/d/1g_jfYYK_KeipEDNDUgqgrsxK94XiocfNQIcP-v1QVhI/edit?resourcekey#gid=233272945"",""Nilai!B:CT""),57,0),"" "")")," ")</f>
        <v xml:space="preserve"> </v>
      </c>
      <c r="T125" s="8"/>
      <c r="U125" s="1"/>
      <c r="V125" s="1"/>
      <c r="W125" s="1"/>
      <c r="X125" s="1"/>
    </row>
    <row r="126" spans="1:24">
      <c r="A126" s="15"/>
      <c r="B126" s="15"/>
      <c r="C126" s="16"/>
      <c r="D126" s="16"/>
      <c r="E126" s="16"/>
      <c r="F126" s="16"/>
      <c r="G126" s="16"/>
      <c r="H126" s="16"/>
      <c r="I126" s="16"/>
      <c r="J126" s="16"/>
      <c r="K126" s="16"/>
      <c r="L126" s="38"/>
      <c r="M126" s="25"/>
      <c r="N126" s="25"/>
      <c r="O126" s="25"/>
      <c r="P126" s="1"/>
      <c r="Q126" s="1"/>
      <c r="R126" s="8"/>
      <c r="S126" s="20" t="str">
        <f ca="1">IFERROR(__xludf.DUMMYFUNCTION("IFERROR(vlookup(B126,IMPORTRANGE(""https://docs.google.com/spreadsheets/d/1g_jfYYK_KeipEDNDUgqgrsxK94XiocfNQIcP-v1QVhI/edit?resourcekey#gid=233272945"",""Nilai!B:CT""),57,0),"" "")")," ")</f>
        <v xml:space="preserve"> </v>
      </c>
      <c r="T126" s="8"/>
      <c r="U126" s="1"/>
      <c r="V126" s="1"/>
      <c r="W126" s="1"/>
      <c r="X126" s="1"/>
    </row>
    <row r="127" spans="1:24">
      <c r="A127" s="15"/>
      <c r="B127" s="15"/>
      <c r="C127" s="16"/>
      <c r="D127" s="16"/>
      <c r="E127" s="16"/>
      <c r="F127" s="16"/>
      <c r="G127" s="16"/>
      <c r="H127" s="16"/>
      <c r="I127" s="16"/>
      <c r="J127" s="16"/>
      <c r="K127" s="16"/>
      <c r="L127" s="38"/>
      <c r="M127" s="25"/>
      <c r="N127" s="25"/>
      <c r="O127" s="25"/>
      <c r="P127" s="1"/>
      <c r="Q127" s="1"/>
      <c r="R127" s="8"/>
      <c r="S127" s="20" t="str">
        <f ca="1">IFERROR(__xludf.DUMMYFUNCTION("IFERROR(vlookup(B127,IMPORTRANGE(""https://docs.google.com/spreadsheets/d/1g_jfYYK_KeipEDNDUgqgrsxK94XiocfNQIcP-v1QVhI/edit?resourcekey#gid=233272945"",""Nilai!B:CT""),57,0),"" "")")," ")</f>
        <v xml:space="preserve"> </v>
      </c>
      <c r="T127" s="8"/>
      <c r="U127" s="1"/>
      <c r="V127" s="1"/>
      <c r="W127" s="1"/>
      <c r="X127" s="1"/>
    </row>
    <row r="128" spans="1:24">
      <c r="A128" s="15"/>
      <c r="B128" s="15"/>
      <c r="C128" s="16"/>
      <c r="D128" s="16"/>
      <c r="E128" s="16"/>
      <c r="F128" s="16"/>
      <c r="G128" s="16"/>
      <c r="H128" s="16"/>
      <c r="I128" s="16"/>
      <c r="J128" s="16"/>
      <c r="K128" s="16"/>
      <c r="L128" s="38"/>
      <c r="M128" s="25"/>
      <c r="N128" s="25"/>
      <c r="O128" s="25"/>
      <c r="P128" s="1"/>
      <c r="Q128" s="1"/>
      <c r="R128" s="8"/>
      <c r="S128" s="20" t="str">
        <f ca="1">IFERROR(__xludf.DUMMYFUNCTION("IFERROR(vlookup(B128,IMPORTRANGE(""https://docs.google.com/spreadsheets/d/1g_jfYYK_KeipEDNDUgqgrsxK94XiocfNQIcP-v1QVhI/edit?resourcekey#gid=233272945"",""Nilai!B:CT""),57,0),"" "")")," ")</f>
        <v xml:space="preserve"> </v>
      </c>
      <c r="T128" s="8"/>
      <c r="U128" s="1"/>
      <c r="V128" s="1"/>
      <c r="W128" s="1"/>
      <c r="X128" s="1"/>
    </row>
    <row r="129" spans="1:24">
      <c r="A129" s="15"/>
      <c r="B129" s="15"/>
      <c r="C129" s="16"/>
      <c r="D129" s="16"/>
      <c r="E129" s="16"/>
      <c r="F129" s="16"/>
      <c r="G129" s="16"/>
      <c r="H129" s="16"/>
      <c r="I129" s="16"/>
      <c r="J129" s="16"/>
      <c r="K129" s="16"/>
      <c r="L129" s="38"/>
      <c r="M129" s="25"/>
      <c r="N129" s="25"/>
      <c r="O129" s="25"/>
      <c r="P129" s="1"/>
      <c r="Q129" s="1"/>
      <c r="R129" s="8"/>
      <c r="S129" s="20" t="str">
        <f ca="1">IFERROR(__xludf.DUMMYFUNCTION("IFERROR(vlookup(B129,IMPORTRANGE(""https://docs.google.com/spreadsheets/d/1g_jfYYK_KeipEDNDUgqgrsxK94XiocfNQIcP-v1QVhI/edit?resourcekey#gid=233272945"",""Nilai!B:CT""),57,0),"" "")")," ")</f>
        <v xml:space="preserve"> </v>
      </c>
      <c r="T129" s="8"/>
      <c r="U129" s="1"/>
      <c r="V129" s="1"/>
      <c r="W129" s="1"/>
      <c r="X129" s="1"/>
    </row>
    <row r="130" spans="1:24">
      <c r="A130" s="15"/>
      <c r="B130" s="15"/>
      <c r="C130" s="16"/>
      <c r="D130" s="16"/>
      <c r="E130" s="16"/>
      <c r="F130" s="16"/>
      <c r="G130" s="16"/>
      <c r="H130" s="16"/>
      <c r="I130" s="16"/>
      <c r="J130" s="16"/>
      <c r="K130" s="16"/>
      <c r="L130" s="38"/>
      <c r="M130" s="25"/>
      <c r="N130" s="25"/>
      <c r="O130" s="25"/>
      <c r="P130" s="1"/>
      <c r="Q130" s="1"/>
      <c r="R130" s="8"/>
      <c r="S130" s="20" t="str">
        <f ca="1">IFERROR(__xludf.DUMMYFUNCTION("IFERROR(vlookup(B130,IMPORTRANGE(""https://docs.google.com/spreadsheets/d/1g_jfYYK_KeipEDNDUgqgrsxK94XiocfNQIcP-v1QVhI/edit?resourcekey#gid=233272945"",""Nilai!B:CT""),57,0),"" "")")," ")</f>
        <v xml:space="preserve"> </v>
      </c>
      <c r="T130" s="8"/>
      <c r="U130" s="1"/>
      <c r="V130" s="1"/>
      <c r="W130" s="1"/>
      <c r="X130" s="1"/>
    </row>
    <row r="131" spans="1:24">
      <c r="A131" s="15"/>
      <c r="B131" s="15"/>
      <c r="C131" s="16"/>
      <c r="D131" s="16"/>
      <c r="E131" s="16"/>
      <c r="F131" s="16"/>
      <c r="G131" s="16"/>
      <c r="H131" s="16"/>
      <c r="I131" s="16"/>
      <c r="J131" s="16"/>
      <c r="K131" s="16"/>
      <c r="L131" s="38"/>
      <c r="M131" s="25"/>
      <c r="N131" s="25"/>
      <c r="O131" s="25"/>
      <c r="P131" s="1"/>
      <c r="Q131" s="1"/>
      <c r="R131" s="8"/>
      <c r="S131" s="20" t="str">
        <f ca="1">IFERROR(__xludf.DUMMYFUNCTION("IFERROR(vlookup(B131,IMPORTRANGE(""https://docs.google.com/spreadsheets/d/1g_jfYYK_KeipEDNDUgqgrsxK94XiocfNQIcP-v1QVhI/edit?resourcekey#gid=233272945"",""Nilai!B:CT""),57,0),"" "")")," ")</f>
        <v xml:space="preserve"> </v>
      </c>
      <c r="T131" s="8"/>
      <c r="U131" s="1"/>
      <c r="V131" s="1"/>
      <c r="W131" s="1"/>
      <c r="X131" s="1"/>
    </row>
    <row r="132" spans="1:24">
      <c r="A132" s="15"/>
      <c r="B132" s="15"/>
      <c r="C132" s="16"/>
      <c r="D132" s="16"/>
      <c r="E132" s="16"/>
      <c r="F132" s="16"/>
      <c r="G132" s="16"/>
      <c r="H132" s="16"/>
      <c r="I132" s="16"/>
      <c r="J132" s="16"/>
      <c r="K132" s="16"/>
      <c r="L132" s="38"/>
      <c r="M132" s="25"/>
      <c r="N132" s="25"/>
      <c r="O132" s="25"/>
      <c r="P132" s="1"/>
      <c r="Q132" s="1"/>
      <c r="R132" s="8"/>
      <c r="S132" s="20" t="str">
        <f ca="1">IFERROR(__xludf.DUMMYFUNCTION("IFERROR(vlookup(B132,IMPORTRANGE(""https://docs.google.com/spreadsheets/d/1g_jfYYK_KeipEDNDUgqgrsxK94XiocfNQIcP-v1QVhI/edit?resourcekey#gid=233272945"",""Nilai!B:CT""),57,0),"" "")")," ")</f>
        <v xml:space="preserve"> </v>
      </c>
      <c r="T132" s="8"/>
      <c r="U132" s="1"/>
      <c r="V132" s="1"/>
      <c r="W132" s="1"/>
      <c r="X132" s="1"/>
    </row>
    <row r="133" spans="1:24">
      <c r="A133" s="15"/>
      <c r="B133" s="15"/>
      <c r="C133" s="16"/>
      <c r="D133" s="16"/>
      <c r="E133" s="16"/>
      <c r="F133" s="16"/>
      <c r="G133" s="16"/>
      <c r="H133" s="16"/>
      <c r="I133" s="16"/>
      <c r="J133" s="16"/>
      <c r="K133" s="16"/>
      <c r="L133" s="38"/>
      <c r="M133" s="25"/>
      <c r="N133" s="25"/>
      <c r="O133" s="25"/>
      <c r="P133" s="1"/>
      <c r="Q133" s="1"/>
      <c r="R133" s="8"/>
      <c r="S133" s="20" t="str">
        <f ca="1">IFERROR(__xludf.DUMMYFUNCTION("IFERROR(vlookup(B133,IMPORTRANGE(""https://docs.google.com/spreadsheets/d/1g_jfYYK_KeipEDNDUgqgrsxK94XiocfNQIcP-v1QVhI/edit?resourcekey#gid=233272945"",""Nilai!B:CT""),57,0),"" "")")," ")</f>
        <v xml:space="preserve"> </v>
      </c>
      <c r="T133" s="8"/>
      <c r="U133" s="1"/>
      <c r="V133" s="1"/>
      <c r="W133" s="1"/>
      <c r="X133" s="1"/>
    </row>
    <row r="134" spans="1:24">
      <c r="A134" s="15"/>
      <c r="B134" s="15"/>
      <c r="C134" s="16"/>
      <c r="D134" s="16"/>
      <c r="E134" s="16"/>
      <c r="F134" s="16"/>
      <c r="G134" s="16"/>
      <c r="H134" s="16"/>
      <c r="I134" s="16"/>
      <c r="J134" s="16"/>
      <c r="K134" s="16"/>
      <c r="L134" s="38"/>
      <c r="M134" s="25"/>
      <c r="N134" s="25"/>
      <c r="O134" s="25"/>
      <c r="P134" s="1"/>
      <c r="Q134" s="1"/>
      <c r="R134" s="8"/>
      <c r="S134" s="20" t="str">
        <f ca="1">IFERROR(__xludf.DUMMYFUNCTION("IFERROR(vlookup(B134,IMPORTRANGE(""https://docs.google.com/spreadsheets/d/1g_jfYYK_KeipEDNDUgqgrsxK94XiocfNQIcP-v1QVhI/edit?resourcekey#gid=233272945"",""Nilai!B:CT""),57,0),"" "")")," ")</f>
        <v xml:space="preserve"> </v>
      </c>
      <c r="T134" s="8"/>
      <c r="U134" s="1"/>
      <c r="V134" s="1"/>
      <c r="W134" s="1"/>
      <c r="X134" s="1"/>
    </row>
    <row r="135" spans="1:24">
      <c r="A135" s="15"/>
      <c r="B135" s="15"/>
      <c r="C135" s="16"/>
      <c r="D135" s="16"/>
      <c r="E135" s="16"/>
      <c r="F135" s="16"/>
      <c r="G135" s="16"/>
      <c r="H135" s="16"/>
      <c r="I135" s="16"/>
      <c r="J135" s="16"/>
      <c r="K135" s="16"/>
      <c r="L135" s="38"/>
      <c r="M135" s="25"/>
      <c r="N135" s="25"/>
      <c r="O135" s="25"/>
      <c r="P135" s="1"/>
      <c r="Q135" s="1"/>
      <c r="R135" s="8"/>
      <c r="S135" s="20" t="str">
        <f ca="1">IFERROR(__xludf.DUMMYFUNCTION("IFERROR(vlookup(B135,IMPORTRANGE(""https://docs.google.com/spreadsheets/d/1g_jfYYK_KeipEDNDUgqgrsxK94XiocfNQIcP-v1QVhI/edit?resourcekey#gid=233272945"",""Nilai!B:CT""),57,0),"" "")")," ")</f>
        <v xml:space="preserve"> </v>
      </c>
      <c r="T135" s="8"/>
      <c r="U135" s="1"/>
      <c r="V135" s="1"/>
      <c r="W135" s="1"/>
      <c r="X135" s="1"/>
    </row>
    <row r="136" spans="1:24">
      <c r="A136" s="15"/>
      <c r="B136" s="15"/>
      <c r="C136" s="16"/>
      <c r="D136" s="16"/>
      <c r="E136" s="16"/>
      <c r="F136" s="16"/>
      <c r="G136" s="16"/>
      <c r="H136" s="16"/>
      <c r="I136" s="16"/>
      <c r="J136" s="16"/>
      <c r="K136" s="16"/>
      <c r="L136" s="38"/>
      <c r="M136" s="25"/>
      <c r="N136" s="25"/>
      <c r="O136" s="25"/>
      <c r="P136" s="1"/>
      <c r="Q136" s="1"/>
      <c r="R136" s="8"/>
      <c r="S136" s="20" t="str">
        <f ca="1">IFERROR(__xludf.DUMMYFUNCTION("IFERROR(vlookup(B136,IMPORTRANGE(""https://docs.google.com/spreadsheets/d/1g_jfYYK_KeipEDNDUgqgrsxK94XiocfNQIcP-v1QVhI/edit?resourcekey#gid=233272945"",""Nilai!B:CT""),57,0),"" "")")," ")</f>
        <v xml:space="preserve"> </v>
      </c>
      <c r="T136" s="8"/>
      <c r="U136" s="1"/>
      <c r="V136" s="1"/>
      <c r="W136" s="1"/>
      <c r="X136" s="1"/>
    </row>
    <row r="137" spans="1:24">
      <c r="A137" s="15"/>
      <c r="B137" s="15"/>
      <c r="C137" s="16"/>
      <c r="D137" s="16"/>
      <c r="E137" s="16"/>
      <c r="F137" s="16"/>
      <c r="G137" s="16"/>
      <c r="H137" s="16"/>
      <c r="I137" s="16"/>
      <c r="J137" s="16"/>
      <c r="K137" s="16"/>
      <c r="L137" s="38"/>
      <c r="M137" s="25"/>
      <c r="N137" s="25"/>
      <c r="O137" s="25"/>
      <c r="P137" s="1"/>
      <c r="Q137" s="1"/>
      <c r="R137" s="8"/>
      <c r="S137" s="20" t="str">
        <f ca="1">IFERROR(__xludf.DUMMYFUNCTION("IFERROR(vlookup(B137,IMPORTRANGE(""https://docs.google.com/spreadsheets/d/1g_jfYYK_KeipEDNDUgqgrsxK94XiocfNQIcP-v1QVhI/edit?resourcekey#gid=233272945"",""Nilai!B:CT""),57,0),"" "")")," ")</f>
        <v xml:space="preserve"> </v>
      </c>
      <c r="T137" s="8"/>
      <c r="U137" s="1"/>
      <c r="V137" s="1"/>
      <c r="W137" s="1"/>
      <c r="X137" s="1"/>
    </row>
    <row r="138" spans="1:24">
      <c r="A138" s="15"/>
      <c r="B138" s="15"/>
      <c r="C138" s="16"/>
      <c r="D138" s="16"/>
      <c r="E138" s="16"/>
      <c r="F138" s="16"/>
      <c r="G138" s="16"/>
      <c r="H138" s="16"/>
      <c r="I138" s="16"/>
      <c r="J138" s="16"/>
      <c r="K138" s="16"/>
      <c r="L138" s="38"/>
      <c r="M138" s="25"/>
      <c r="N138" s="25"/>
      <c r="O138" s="25"/>
      <c r="P138" s="1"/>
      <c r="Q138" s="1"/>
      <c r="R138" s="8"/>
      <c r="S138" s="20" t="str">
        <f ca="1">IFERROR(__xludf.DUMMYFUNCTION("IFERROR(vlookup(B138,IMPORTRANGE(""https://docs.google.com/spreadsheets/d/1g_jfYYK_KeipEDNDUgqgrsxK94XiocfNQIcP-v1QVhI/edit?resourcekey#gid=233272945"",""Nilai!B:CT""),57,0),"" "")")," ")</f>
        <v xml:space="preserve"> </v>
      </c>
      <c r="T138" s="8"/>
      <c r="U138" s="1"/>
      <c r="V138" s="1"/>
      <c r="W138" s="1"/>
      <c r="X138" s="1"/>
    </row>
    <row r="139" spans="1:24">
      <c r="A139" s="15"/>
      <c r="B139" s="15"/>
      <c r="C139" s="16"/>
      <c r="D139" s="16"/>
      <c r="E139" s="16"/>
      <c r="F139" s="16"/>
      <c r="G139" s="16"/>
      <c r="H139" s="16"/>
      <c r="I139" s="16"/>
      <c r="J139" s="16"/>
      <c r="K139" s="16"/>
      <c r="L139" s="38"/>
      <c r="M139" s="25"/>
      <c r="N139" s="25"/>
      <c r="O139" s="25"/>
      <c r="P139" s="1"/>
      <c r="Q139" s="1"/>
      <c r="R139" s="8"/>
      <c r="S139" s="20" t="str">
        <f ca="1">IFERROR(__xludf.DUMMYFUNCTION("IFERROR(vlookup(B139,IMPORTRANGE(""https://docs.google.com/spreadsheets/d/1g_jfYYK_KeipEDNDUgqgrsxK94XiocfNQIcP-v1QVhI/edit?resourcekey#gid=233272945"",""Nilai!B:CT""),57,0),"" "")")," ")</f>
        <v xml:space="preserve"> </v>
      </c>
      <c r="T139" s="8"/>
      <c r="U139" s="1"/>
      <c r="V139" s="1"/>
      <c r="W139" s="1"/>
      <c r="X139" s="1"/>
    </row>
    <row r="140" spans="1:24">
      <c r="A140" s="15"/>
      <c r="B140" s="15"/>
      <c r="C140" s="16"/>
      <c r="D140" s="16"/>
      <c r="E140" s="16"/>
      <c r="F140" s="16"/>
      <c r="G140" s="16"/>
      <c r="H140" s="16"/>
      <c r="I140" s="16"/>
      <c r="J140" s="16"/>
      <c r="K140" s="16"/>
      <c r="L140" s="38"/>
      <c r="M140" s="25"/>
      <c r="N140" s="25"/>
      <c r="O140" s="25"/>
      <c r="P140" s="1"/>
      <c r="Q140" s="1"/>
      <c r="R140" s="8"/>
      <c r="S140" s="20" t="str">
        <f ca="1">IFERROR(__xludf.DUMMYFUNCTION("IFERROR(vlookup(B140,IMPORTRANGE(""https://docs.google.com/spreadsheets/d/1g_jfYYK_KeipEDNDUgqgrsxK94XiocfNQIcP-v1QVhI/edit?resourcekey#gid=233272945"",""Nilai!B:CT""),57,0),"" "")")," ")</f>
        <v xml:space="preserve"> </v>
      </c>
      <c r="T140" s="8"/>
      <c r="U140" s="1"/>
      <c r="V140" s="1"/>
      <c r="W140" s="1"/>
      <c r="X140" s="1"/>
    </row>
    <row r="141" spans="1:24">
      <c r="A141" s="15"/>
      <c r="B141" s="15"/>
      <c r="C141" s="16"/>
      <c r="D141" s="16"/>
      <c r="E141" s="16"/>
      <c r="F141" s="16"/>
      <c r="G141" s="16"/>
      <c r="H141" s="16"/>
      <c r="I141" s="16"/>
      <c r="J141" s="16"/>
      <c r="K141" s="16"/>
      <c r="L141" s="38"/>
      <c r="M141" s="25"/>
      <c r="N141" s="25"/>
      <c r="O141" s="25"/>
      <c r="P141" s="1"/>
      <c r="Q141" s="1"/>
      <c r="R141" s="8"/>
      <c r="S141" s="20" t="str">
        <f ca="1">IFERROR(__xludf.DUMMYFUNCTION("IFERROR(vlookup(B141,IMPORTRANGE(""https://docs.google.com/spreadsheets/d/1g_jfYYK_KeipEDNDUgqgrsxK94XiocfNQIcP-v1QVhI/edit?resourcekey#gid=233272945"",""Nilai!B:CT""),57,0),"" "")")," ")</f>
        <v xml:space="preserve"> </v>
      </c>
      <c r="T141" s="8"/>
      <c r="U141" s="1"/>
      <c r="V141" s="1"/>
      <c r="W141" s="1"/>
      <c r="X141" s="1"/>
    </row>
    <row r="142" spans="1:24">
      <c r="A142" s="15"/>
      <c r="B142" s="15"/>
      <c r="C142" s="16"/>
      <c r="D142" s="16"/>
      <c r="E142" s="16"/>
      <c r="F142" s="16"/>
      <c r="G142" s="16"/>
      <c r="H142" s="16"/>
      <c r="I142" s="16"/>
      <c r="J142" s="16"/>
      <c r="K142" s="16"/>
      <c r="L142" s="38"/>
      <c r="M142" s="25"/>
      <c r="N142" s="25"/>
      <c r="O142" s="25"/>
      <c r="P142" s="1"/>
      <c r="Q142" s="1"/>
      <c r="R142" s="8"/>
      <c r="S142" s="20" t="str">
        <f ca="1">IFERROR(__xludf.DUMMYFUNCTION("IFERROR(vlookup(B142,IMPORTRANGE(""https://docs.google.com/spreadsheets/d/1g_jfYYK_KeipEDNDUgqgrsxK94XiocfNQIcP-v1QVhI/edit?resourcekey#gid=233272945"",""Nilai!B:CT""),57,0),"" "")")," ")</f>
        <v xml:space="preserve"> </v>
      </c>
      <c r="T142" s="8"/>
      <c r="U142" s="1"/>
      <c r="V142" s="1"/>
      <c r="W142" s="1"/>
      <c r="X142" s="1"/>
    </row>
    <row r="143" spans="1:24">
      <c r="A143" s="15"/>
      <c r="B143" s="15"/>
      <c r="C143" s="16"/>
      <c r="D143" s="16"/>
      <c r="E143" s="16"/>
      <c r="F143" s="16"/>
      <c r="G143" s="16"/>
      <c r="H143" s="16"/>
      <c r="I143" s="16"/>
      <c r="J143" s="16"/>
      <c r="K143" s="16"/>
      <c r="L143" s="38"/>
      <c r="M143" s="25"/>
      <c r="N143" s="25"/>
      <c r="O143" s="25"/>
      <c r="P143" s="1"/>
      <c r="Q143" s="1"/>
      <c r="R143" s="8"/>
      <c r="S143" s="20" t="str">
        <f ca="1">IFERROR(__xludf.DUMMYFUNCTION("IFERROR(vlookup(B143,IMPORTRANGE(""https://docs.google.com/spreadsheets/d/1g_jfYYK_KeipEDNDUgqgrsxK94XiocfNQIcP-v1QVhI/edit?resourcekey#gid=233272945"",""Nilai!B:CT""),57,0),"" "")")," ")</f>
        <v xml:space="preserve"> </v>
      </c>
      <c r="T143" s="8"/>
      <c r="U143" s="1"/>
      <c r="V143" s="1"/>
      <c r="W143" s="1"/>
      <c r="X143" s="1"/>
    </row>
    <row r="144" spans="1:24">
      <c r="A144" s="15"/>
      <c r="B144" s="15"/>
      <c r="C144" s="16"/>
      <c r="D144" s="16"/>
      <c r="E144" s="16"/>
      <c r="F144" s="16"/>
      <c r="G144" s="16"/>
      <c r="H144" s="16"/>
      <c r="I144" s="16"/>
      <c r="J144" s="16"/>
      <c r="K144" s="16"/>
      <c r="L144" s="38"/>
      <c r="M144" s="25"/>
      <c r="N144" s="25"/>
      <c r="O144" s="25"/>
      <c r="P144" s="1"/>
      <c r="Q144" s="1"/>
      <c r="R144" s="8"/>
      <c r="S144" s="1"/>
      <c r="T144" s="8"/>
      <c r="U144" s="1"/>
      <c r="V144" s="1"/>
      <c r="W144" s="1"/>
      <c r="X144" s="1"/>
    </row>
    <row r="145" spans="1:24">
      <c r="A145" s="15"/>
      <c r="B145" s="15"/>
      <c r="C145" s="16"/>
      <c r="D145" s="16"/>
      <c r="E145" s="16"/>
      <c r="F145" s="16"/>
      <c r="G145" s="16"/>
      <c r="H145" s="16"/>
      <c r="I145" s="16"/>
      <c r="J145" s="16"/>
      <c r="K145" s="16"/>
      <c r="L145" s="38"/>
      <c r="M145" s="25"/>
      <c r="N145" s="25"/>
      <c r="O145" s="25"/>
      <c r="P145" s="1"/>
      <c r="Q145" s="1"/>
      <c r="R145" s="8"/>
      <c r="S145" s="1"/>
      <c r="T145" s="8"/>
      <c r="U145" s="1"/>
      <c r="V145" s="1"/>
      <c r="W145" s="1"/>
      <c r="X145" s="1"/>
    </row>
    <row r="146" spans="1:24">
      <c r="A146" s="15"/>
      <c r="B146" s="15"/>
      <c r="C146" s="16"/>
      <c r="D146" s="16"/>
      <c r="E146" s="16"/>
      <c r="F146" s="16"/>
      <c r="G146" s="16"/>
      <c r="H146" s="16"/>
      <c r="I146" s="16"/>
      <c r="J146" s="16"/>
      <c r="K146" s="16"/>
      <c r="L146" s="38"/>
      <c r="M146" s="25"/>
      <c r="N146" s="25"/>
      <c r="O146" s="25"/>
      <c r="P146" s="1"/>
      <c r="Q146" s="1"/>
      <c r="R146" s="8"/>
      <c r="S146" s="1"/>
      <c r="T146" s="8"/>
      <c r="U146" s="1"/>
      <c r="V146" s="1"/>
      <c r="W146" s="1"/>
      <c r="X146" s="1"/>
    </row>
    <row r="147" spans="1:24">
      <c r="A147" s="15"/>
      <c r="B147" s="15"/>
      <c r="C147" s="16"/>
      <c r="D147" s="16"/>
      <c r="E147" s="16"/>
      <c r="F147" s="16"/>
      <c r="G147" s="16"/>
      <c r="H147" s="16"/>
      <c r="I147" s="16"/>
      <c r="J147" s="16"/>
      <c r="K147" s="16"/>
      <c r="L147" s="38"/>
      <c r="M147" s="25"/>
      <c r="N147" s="25"/>
      <c r="O147" s="25"/>
      <c r="P147" s="1"/>
      <c r="Q147" s="1"/>
      <c r="R147" s="8"/>
      <c r="S147" s="1"/>
      <c r="T147" s="8"/>
      <c r="U147" s="1"/>
      <c r="V147" s="1"/>
      <c r="W147" s="1"/>
      <c r="X147" s="1"/>
    </row>
    <row r="148" spans="1:24">
      <c r="A148" s="15"/>
      <c r="B148" s="15"/>
      <c r="C148" s="16"/>
      <c r="D148" s="16"/>
      <c r="E148" s="16"/>
      <c r="F148" s="16"/>
      <c r="G148" s="16"/>
      <c r="H148" s="16"/>
      <c r="I148" s="16"/>
      <c r="J148" s="16"/>
      <c r="K148" s="16"/>
      <c r="L148" s="38"/>
      <c r="M148" s="25"/>
      <c r="N148" s="25"/>
      <c r="O148" s="25"/>
      <c r="P148" s="1"/>
      <c r="Q148" s="1"/>
      <c r="R148" s="8"/>
      <c r="S148" s="1"/>
      <c r="T148" s="8"/>
      <c r="U148" s="1"/>
      <c r="V148" s="1"/>
      <c r="W148" s="1"/>
      <c r="X148" s="1"/>
    </row>
    <row r="149" spans="1:24">
      <c r="A149" s="15"/>
      <c r="B149" s="15"/>
      <c r="C149" s="16"/>
      <c r="D149" s="16"/>
      <c r="E149" s="16"/>
      <c r="F149" s="16"/>
      <c r="G149" s="16"/>
      <c r="H149" s="16"/>
      <c r="I149" s="16"/>
      <c r="J149" s="16"/>
      <c r="K149" s="16"/>
      <c r="L149" s="38"/>
      <c r="M149" s="25"/>
      <c r="N149" s="25"/>
      <c r="O149" s="25"/>
      <c r="P149" s="1"/>
      <c r="Q149" s="1"/>
      <c r="R149" s="8"/>
      <c r="S149" s="1"/>
      <c r="T149" s="8"/>
      <c r="U149" s="1"/>
      <c r="V149" s="1"/>
      <c r="W149" s="1"/>
      <c r="X149" s="1"/>
    </row>
    <row r="150" spans="1:24">
      <c r="A150" s="15"/>
      <c r="B150" s="15"/>
      <c r="C150" s="16"/>
      <c r="D150" s="16"/>
      <c r="E150" s="16"/>
      <c r="F150" s="16"/>
      <c r="G150" s="16"/>
      <c r="H150" s="16"/>
      <c r="I150" s="16"/>
      <c r="J150" s="16"/>
      <c r="K150" s="16"/>
      <c r="L150" s="38"/>
      <c r="M150" s="25"/>
      <c r="N150" s="25"/>
      <c r="O150" s="25"/>
      <c r="P150" s="1"/>
      <c r="Q150" s="1"/>
      <c r="R150" s="8"/>
      <c r="S150" s="1"/>
      <c r="T150" s="8"/>
      <c r="U150" s="1"/>
      <c r="V150" s="1"/>
      <c r="W150" s="1"/>
      <c r="X150" s="1"/>
    </row>
    <row r="151" spans="1:24">
      <c r="A151" s="15"/>
      <c r="B151" s="15"/>
      <c r="C151" s="16"/>
      <c r="D151" s="16"/>
      <c r="E151" s="16"/>
      <c r="F151" s="16"/>
      <c r="G151" s="16"/>
      <c r="H151" s="16"/>
      <c r="I151" s="16"/>
      <c r="J151" s="16"/>
      <c r="K151" s="16"/>
      <c r="L151" s="38"/>
      <c r="M151" s="25"/>
      <c r="N151" s="25"/>
      <c r="O151" s="25"/>
      <c r="P151" s="1"/>
      <c r="Q151" s="1"/>
      <c r="R151" s="8"/>
      <c r="S151" s="1"/>
      <c r="T151" s="8"/>
      <c r="U151" s="1"/>
      <c r="V151" s="1"/>
      <c r="W151" s="1"/>
      <c r="X151" s="1"/>
    </row>
    <row r="152" spans="1:24">
      <c r="A152" s="15"/>
      <c r="B152" s="15"/>
      <c r="C152" s="16"/>
      <c r="D152" s="16"/>
      <c r="E152" s="16"/>
      <c r="F152" s="16"/>
      <c r="G152" s="16"/>
      <c r="H152" s="16"/>
      <c r="I152" s="16"/>
      <c r="J152" s="16"/>
      <c r="K152" s="16"/>
      <c r="L152" s="38"/>
      <c r="M152" s="25"/>
      <c r="N152" s="25"/>
      <c r="O152" s="25"/>
      <c r="P152" s="1"/>
      <c r="Q152" s="1"/>
      <c r="R152" s="8"/>
      <c r="S152" s="1"/>
      <c r="T152" s="8"/>
      <c r="U152" s="1"/>
      <c r="V152" s="1"/>
      <c r="W152" s="1"/>
      <c r="X152" s="1"/>
    </row>
    <row r="153" spans="1:24">
      <c r="A153" s="15"/>
      <c r="B153" s="15"/>
      <c r="C153" s="16"/>
      <c r="D153" s="16"/>
      <c r="E153" s="16"/>
      <c r="F153" s="16"/>
      <c r="G153" s="16"/>
      <c r="H153" s="16"/>
      <c r="I153" s="16"/>
      <c r="J153" s="16"/>
      <c r="K153" s="16"/>
      <c r="L153" s="38"/>
      <c r="M153" s="25"/>
      <c r="N153" s="25"/>
      <c r="O153" s="25"/>
      <c r="P153" s="1"/>
      <c r="Q153" s="1"/>
      <c r="R153" s="8"/>
      <c r="S153" s="1"/>
      <c r="T153" s="8"/>
      <c r="U153" s="1"/>
      <c r="V153" s="1"/>
      <c r="W153" s="1"/>
      <c r="X153" s="1"/>
    </row>
    <row r="154" spans="1:24">
      <c r="A154" s="15"/>
      <c r="B154" s="15"/>
      <c r="C154" s="16"/>
      <c r="D154" s="16"/>
      <c r="E154" s="16"/>
      <c r="F154" s="16"/>
      <c r="G154" s="16"/>
      <c r="H154" s="16"/>
      <c r="I154" s="16"/>
      <c r="J154" s="16"/>
      <c r="K154" s="16"/>
      <c r="L154" s="38"/>
      <c r="M154" s="25"/>
      <c r="N154" s="25"/>
      <c r="O154" s="25"/>
      <c r="P154" s="1"/>
      <c r="Q154" s="1"/>
      <c r="R154" s="8"/>
      <c r="S154" s="1"/>
      <c r="T154" s="8"/>
      <c r="U154" s="1"/>
      <c r="V154" s="1"/>
      <c r="W154" s="1"/>
      <c r="X154" s="1"/>
    </row>
    <row r="155" spans="1:24">
      <c r="A155" s="15"/>
      <c r="B155" s="15"/>
      <c r="C155" s="16"/>
      <c r="D155" s="16"/>
      <c r="E155" s="16"/>
      <c r="F155" s="16"/>
      <c r="G155" s="16"/>
      <c r="H155" s="16"/>
      <c r="I155" s="16"/>
      <c r="J155" s="16"/>
      <c r="K155" s="16"/>
      <c r="L155" s="38"/>
      <c r="M155" s="25"/>
      <c r="N155" s="25"/>
      <c r="O155" s="25"/>
      <c r="P155" s="1"/>
      <c r="Q155" s="1"/>
      <c r="R155" s="8"/>
      <c r="S155" s="1"/>
      <c r="T155" s="8"/>
      <c r="U155" s="1"/>
      <c r="V155" s="1"/>
      <c r="W155" s="1"/>
      <c r="X155" s="1"/>
    </row>
    <row r="156" spans="1:24">
      <c r="A156" s="15"/>
      <c r="B156" s="15"/>
      <c r="C156" s="16"/>
      <c r="D156" s="16"/>
      <c r="E156" s="16"/>
      <c r="F156" s="16"/>
      <c r="G156" s="16"/>
      <c r="H156" s="16"/>
      <c r="I156" s="16"/>
      <c r="J156" s="16"/>
      <c r="K156" s="16"/>
      <c r="L156" s="38"/>
      <c r="M156" s="25"/>
      <c r="N156" s="25"/>
      <c r="O156" s="25"/>
      <c r="P156" s="1"/>
      <c r="Q156" s="1"/>
      <c r="R156" s="8"/>
      <c r="S156" s="1"/>
      <c r="T156" s="8"/>
      <c r="U156" s="1"/>
      <c r="V156" s="1"/>
      <c r="W156" s="1"/>
      <c r="X156" s="1"/>
    </row>
    <row r="157" spans="1:24">
      <c r="A157" s="15"/>
      <c r="B157" s="15"/>
      <c r="C157" s="16"/>
      <c r="D157" s="16"/>
      <c r="E157" s="16"/>
      <c r="F157" s="16"/>
      <c r="G157" s="16"/>
      <c r="H157" s="16"/>
      <c r="I157" s="16"/>
      <c r="J157" s="16"/>
      <c r="K157" s="16"/>
      <c r="L157" s="38"/>
      <c r="M157" s="25"/>
      <c r="N157" s="25"/>
      <c r="O157" s="25"/>
      <c r="P157" s="1"/>
      <c r="Q157" s="1"/>
      <c r="R157" s="8"/>
      <c r="S157" s="1"/>
      <c r="T157" s="8"/>
      <c r="U157" s="1"/>
      <c r="V157" s="1"/>
      <c r="W157" s="1"/>
      <c r="X157" s="1"/>
    </row>
    <row r="158" spans="1:24">
      <c r="A158" s="15"/>
      <c r="B158" s="15"/>
      <c r="C158" s="16"/>
      <c r="D158" s="16"/>
      <c r="E158" s="16"/>
      <c r="F158" s="16"/>
      <c r="G158" s="16"/>
      <c r="H158" s="16"/>
      <c r="I158" s="16"/>
      <c r="J158" s="16"/>
      <c r="K158" s="16"/>
      <c r="L158" s="38"/>
      <c r="M158" s="25"/>
      <c r="N158" s="25"/>
      <c r="O158" s="25"/>
      <c r="P158" s="1"/>
      <c r="Q158" s="1"/>
      <c r="R158" s="8"/>
      <c r="S158" s="1"/>
      <c r="T158" s="8"/>
      <c r="U158" s="1"/>
      <c r="V158" s="1"/>
      <c r="W158" s="1"/>
      <c r="X158" s="1"/>
    </row>
    <row r="159" spans="1:24">
      <c r="A159" s="15"/>
      <c r="B159" s="15"/>
      <c r="C159" s="16"/>
      <c r="D159" s="16"/>
      <c r="E159" s="16"/>
      <c r="F159" s="16"/>
      <c r="G159" s="16"/>
      <c r="H159" s="16"/>
      <c r="I159" s="16"/>
      <c r="J159" s="16"/>
      <c r="K159" s="16"/>
      <c r="L159" s="38"/>
      <c r="M159" s="25"/>
      <c r="N159" s="25"/>
      <c r="O159" s="25"/>
      <c r="P159" s="1"/>
      <c r="Q159" s="1"/>
      <c r="R159" s="8"/>
      <c r="S159" s="1"/>
      <c r="T159" s="8"/>
      <c r="U159" s="1"/>
      <c r="V159" s="1"/>
      <c r="W159" s="1"/>
      <c r="X159" s="1"/>
    </row>
    <row r="160" spans="1:24">
      <c r="A160" s="15"/>
      <c r="B160" s="15"/>
      <c r="C160" s="16"/>
      <c r="D160" s="16"/>
      <c r="E160" s="16"/>
      <c r="F160" s="16"/>
      <c r="G160" s="16"/>
      <c r="H160" s="16"/>
      <c r="I160" s="16"/>
      <c r="J160" s="16"/>
      <c r="K160" s="16"/>
      <c r="L160" s="38"/>
      <c r="M160" s="25"/>
      <c r="N160" s="25"/>
      <c r="O160" s="25"/>
      <c r="P160" s="1"/>
      <c r="Q160" s="1"/>
      <c r="R160" s="8"/>
      <c r="S160" s="1"/>
      <c r="T160" s="8"/>
      <c r="U160" s="1"/>
      <c r="V160" s="1"/>
      <c r="W160" s="1"/>
      <c r="X160" s="1"/>
    </row>
    <row r="161" spans="1:24">
      <c r="A161" s="15"/>
      <c r="B161" s="15"/>
      <c r="C161" s="16"/>
      <c r="D161" s="16"/>
      <c r="E161" s="16"/>
      <c r="F161" s="16"/>
      <c r="G161" s="16"/>
      <c r="H161" s="16"/>
      <c r="I161" s="16"/>
      <c r="J161" s="16"/>
      <c r="K161" s="16"/>
      <c r="L161" s="38"/>
      <c r="M161" s="25"/>
      <c r="N161" s="25"/>
      <c r="O161" s="25"/>
      <c r="P161" s="1"/>
      <c r="Q161" s="1"/>
      <c r="R161" s="8"/>
      <c r="S161" s="1"/>
      <c r="T161" s="8"/>
      <c r="U161" s="1"/>
      <c r="V161" s="1"/>
      <c r="W161" s="1"/>
      <c r="X161" s="1"/>
    </row>
    <row r="162" spans="1:24">
      <c r="A162" s="15"/>
      <c r="B162" s="15"/>
      <c r="C162" s="16"/>
      <c r="D162" s="16"/>
      <c r="E162" s="16"/>
      <c r="F162" s="16"/>
      <c r="G162" s="16"/>
      <c r="H162" s="16"/>
      <c r="I162" s="16"/>
      <c r="J162" s="16"/>
      <c r="K162" s="16"/>
      <c r="L162" s="38"/>
      <c r="M162" s="25"/>
      <c r="N162" s="25"/>
      <c r="O162" s="25"/>
      <c r="P162" s="1"/>
      <c r="Q162" s="1"/>
      <c r="R162" s="8"/>
      <c r="S162" s="1"/>
      <c r="T162" s="8"/>
      <c r="U162" s="1"/>
      <c r="V162" s="1"/>
      <c r="W162" s="1"/>
      <c r="X162" s="1"/>
    </row>
    <row r="163" spans="1:24">
      <c r="A163" s="15"/>
      <c r="B163" s="15"/>
      <c r="C163" s="16"/>
      <c r="D163" s="16"/>
      <c r="E163" s="16"/>
      <c r="F163" s="16"/>
      <c r="G163" s="16"/>
      <c r="H163" s="16"/>
      <c r="I163" s="16"/>
      <c r="J163" s="16"/>
      <c r="K163" s="16"/>
      <c r="L163" s="38"/>
      <c r="M163" s="25"/>
      <c r="N163" s="25"/>
      <c r="O163" s="25"/>
      <c r="P163" s="1"/>
      <c r="Q163" s="1"/>
      <c r="R163" s="8"/>
      <c r="S163" s="1"/>
      <c r="T163" s="8"/>
      <c r="U163" s="1"/>
      <c r="V163" s="1"/>
      <c r="W163" s="1"/>
      <c r="X163" s="1"/>
    </row>
    <row r="164" spans="1:24">
      <c r="A164" s="15"/>
      <c r="B164" s="15"/>
      <c r="C164" s="16"/>
      <c r="D164" s="16"/>
      <c r="E164" s="16"/>
      <c r="F164" s="16"/>
      <c r="G164" s="16"/>
      <c r="H164" s="16"/>
      <c r="I164" s="16"/>
      <c r="J164" s="16"/>
      <c r="K164" s="16"/>
      <c r="L164" s="38"/>
      <c r="M164" s="25"/>
      <c r="N164" s="25"/>
      <c r="O164" s="25"/>
      <c r="P164" s="1"/>
      <c r="Q164" s="1"/>
      <c r="R164" s="8"/>
      <c r="S164" s="1"/>
      <c r="T164" s="8"/>
      <c r="U164" s="1"/>
      <c r="V164" s="1"/>
      <c r="W164" s="1"/>
      <c r="X164" s="1"/>
    </row>
    <row r="165" spans="1:24">
      <c r="A165" s="15"/>
      <c r="B165" s="15"/>
      <c r="C165" s="16"/>
      <c r="D165" s="16"/>
      <c r="E165" s="16"/>
      <c r="F165" s="16"/>
      <c r="G165" s="16"/>
      <c r="H165" s="16"/>
      <c r="I165" s="16"/>
      <c r="J165" s="16"/>
      <c r="K165" s="16"/>
      <c r="L165" s="38"/>
      <c r="M165" s="25"/>
      <c r="N165" s="25"/>
      <c r="O165" s="25"/>
      <c r="P165" s="1"/>
      <c r="Q165" s="1"/>
      <c r="R165" s="8"/>
      <c r="S165" s="1"/>
      <c r="T165" s="8"/>
      <c r="U165" s="1"/>
      <c r="V165" s="1"/>
      <c r="W165" s="1"/>
      <c r="X165" s="1"/>
    </row>
    <row r="166" spans="1:24">
      <c r="A166" s="15"/>
      <c r="B166" s="15"/>
      <c r="C166" s="16"/>
      <c r="D166" s="16"/>
      <c r="E166" s="16"/>
      <c r="F166" s="16"/>
      <c r="G166" s="16"/>
      <c r="H166" s="16"/>
      <c r="I166" s="16"/>
      <c r="J166" s="16"/>
      <c r="K166" s="16"/>
      <c r="L166" s="38"/>
      <c r="M166" s="25"/>
      <c r="N166" s="25"/>
      <c r="O166" s="25"/>
      <c r="P166" s="1"/>
      <c r="Q166" s="1"/>
      <c r="R166" s="8"/>
      <c r="S166" s="1"/>
      <c r="T166" s="8"/>
      <c r="U166" s="1"/>
      <c r="V166" s="1"/>
      <c r="W166" s="1"/>
      <c r="X166" s="1"/>
    </row>
    <row r="167" spans="1:24">
      <c r="A167" s="15"/>
      <c r="B167" s="15"/>
      <c r="C167" s="16"/>
      <c r="D167" s="16"/>
      <c r="E167" s="16"/>
      <c r="F167" s="16"/>
      <c r="G167" s="16"/>
      <c r="H167" s="16"/>
      <c r="I167" s="16"/>
      <c r="J167" s="16"/>
      <c r="K167" s="16"/>
      <c r="L167" s="38"/>
      <c r="M167" s="25"/>
      <c r="N167" s="25"/>
      <c r="O167" s="25"/>
      <c r="P167" s="1"/>
      <c r="Q167" s="1"/>
      <c r="R167" s="8"/>
      <c r="S167" s="1"/>
      <c r="T167" s="8"/>
      <c r="U167" s="1"/>
      <c r="V167" s="1"/>
      <c r="W167" s="1"/>
      <c r="X167" s="1"/>
    </row>
    <row r="168" spans="1:24">
      <c r="A168" s="15"/>
      <c r="B168" s="15"/>
      <c r="C168" s="16"/>
      <c r="D168" s="16"/>
      <c r="E168" s="16"/>
      <c r="F168" s="16"/>
      <c r="G168" s="16"/>
      <c r="H168" s="16"/>
      <c r="I168" s="16"/>
      <c r="J168" s="16"/>
      <c r="K168" s="16"/>
      <c r="L168" s="38"/>
      <c r="M168" s="25"/>
      <c r="N168" s="25"/>
      <c r="O168" s="25"/>
      <c r="P168" s="1"/>
      <c r="Q168" s="1"/>
      <c r="R168" s="8"/>
      <c r="S168" s="1"/>
      <c r="T168" s="8"/>
      <c r="U168" s="1"/>
      <c r="V168" s="1"/>
      <c r="W168" s="1"/>
      <c r="X168" s="1"/>
    </row>
    <row r="169" spans="1:24">
      <c r="A169" s="15"/>
      <c r="B169" s="15"/>
      <c r="C169" s="16"/>
      <c r="D169" s="16"/>
      <c r="E169" s="16"/>
      <c r="F169" s="16"/>
      <c r="G169" s="16"/>
      <c r="H169" s="16"/>
      <c r="I169" s="16"/>
      <c r="J169" s="16"/>
      <c r="K169" s="16"/>
      <c r="L169" s="38"/>
      <c r="M169" s="25"/>
      <c r="N169" s="25"/>
      <c r="O169" s="25"/>
      <c r="P169" s="1"/>
      <c r="Q169" s="1"/>
      <c r="R169" s="8"/>
      <c r="S169" s="1"/>
      <c r="T169" s="8"/>
      <c r="U169" s="1"/>
      <c r="V169" s="1"/>
      <c r="W169" s="1"/>
      <c r="X169" s="1"/>
    </row>
    <row r="170" spans="1:24">
      <c r="A170" s="15"/>
      <c r="B170" s="15"/>
      <c r="C170" s="16"/>
      <c r="D170" s="16"/>
      <c r="E170" s="16"/>
      <c r="F170" s="16"/>
      <c r="G170" s="16"/>
      <c r="H170" s="16"/>
      <c r="I170" s="16"/>
      <c r="J170" s="16"/>
      <c r="K170" s="16"/>
      <c r="L170" s="38"/>
      <c r="M170" s="25"/>
      <c r="N170" s="25"/>
      <c r="O170" s="25"/>
      <c r="P170" s="1"/>
      <c r="Q170" s="1"/>
      <c r="R170" s="8"/>
      <c r="S170" s="1"/>
      <c r="T170" s="8"/>
      <c r="U170" s="1"/>
      <c r="V170" s="1"/>
      <c r="W170" s="1"/>
      <c r="X170" s="1"/>
    </row>
    <row r="171" spans="1:24">
      <c r="A171" s="15"/>
      <c r="B171" s="15"/>
      <c r="C171" s="16"/>
      <c r="D171" s="16"/>
      <c r="E171" s="16"/>
      <c r="F171" s="16"/>
      <c r="G171" s="16"/>
      <c r="H171" s="16"/>
      <c r="I171" s="16"/>
      <c r="J171" s="16"/>
      <c r="K171" s="16"/>
      <c r="L171" s="38"/>
      <c r="M171" s="25"/>
      <c r="N171" s="25"/>
      <c r="O171" s="25"/>
      <c r="P171" s="1"/>
      <c r="Q171" s="1"/>
      <c r="R171" s="8"/>
      <c r="S171" s="1"/>
      <c r="T171" s="8"/>
      <c r="U171" s="1"/>
      <c r="V171" s="1"/>
      <c r="W171" s="1"/>
      <c r="X171" s="1"/>
    </row>
    <row r="172" spans="1:24">
      <c r="A172" s="15"/>
      <c r="B172" s="15"/>
      <c r="C172" s="16"/>
      <c r="D172" s="16"/>
      <c r="E172" s="16"/>
      <c r="F172" s="16"/>
      <c r="G172" s="16"/>
      <c r="H172" s="16"/>
      <c r="I172" s="16"/>
      <c r="J172" s="16"/>
      <c r="K172" s="16"/>
      <c r="L172" s="38"/>
      <c r="M172" s="25"/>
      <c r="N172" s="25"/>
      <c r="O172" s="25"/>
      <c r="P172" s="1"/>
      <c r="Q172" s="1"/>
      <c r="R172" s="8"/>
      <c r="S172" s="1"/>
      <c r="T172" s="8"/>
      <c r="U172" s="1"/>
      <c r="V172" s="1"/>
      <c r="W172" s="1"/>
      <c r="X172" s="1"/>
    </row>
    <row r="173" spans="1:24">
      <c r="A173" s="15"/>
      <c r="B173" s="15"/>
      <c r="C173" s="16"/>
      <c r="D173" s="16"/>
      <c r="E173" s="16"/>
      <c r="F173" s="16"/>
      <c r="G173" s="16"/>
      <c r="H173" s="16"/>
      <c r="I173" s="16"/>
      <c r="J173" s="16"/>
      <c r="K173" s="16"/>
      <c r="L173" s="38"/>
      <c r="M173" s="25"/>
      <c r="N173" s="25"/>
      <c r="O173" s="25"/>
      <c r="P173" s="1"/>
      <c r="Q173" s="1"/>
      <c r="R173" s="8"/>
      <c r="S173" s="1"/>
      <c r="T173" s="8"/>
      <c r="U173" s="1"/>
      <c r="V173" s="1"/>
      <c r="W173" s="1"/>
      <c r="X173" s="1"/>
    </row>
    <row r="174" spans="1:24">
      <c r="A174" s="15"/>
      <c r="B174" s="15"/>
      <c r="C174" s="16"/>
      <c r="D174" s="16"/>
      <c r="E174" s="16"/>
      <c r="F174" s="16"/>
      <c r="G174" s="16"/>
      <c r="H174" s="16"/>
      <c r="I174" s="16"/>
      <c r="J174" s="16"/>
      <c r="K174" s="16"/>
      <c r="L174" s="38"/>
      <c r="M174" s="25"/>
      <c r="N174" s="25"/>
      <c r="O174" s="25"/>
      <c r="P174" s="1"/>
      <c r="Q174" s="1"/>
      <c r="R174" s="8"/>
      <c r="S174" s="1"/>
      <c r="T174" s="8"/>
      <c r="U174" s="1"/>
      <c r="V174" s="1"/>
      <c r="W174" s="1"/>
      <c r="X174" s="1"/>
    </row>
    <row r="175" spans="1:24">
      <c r="A175" s="15"/>
      <c r="B175" s="15"/>
      <c r="C175" s="16"/>
      <c r="D175" s="16"/>
      <c r="E175" s="16"/>
      <c r="F175" s="16"/>
      <c r="G175" s="16"/>
      <c r="H175" s="16"/>
      <c r="I175" s="16"/>
      <c r="J175" s="16"/>
      <c r="K175" s="16"/>
      <c r="L175" s="38"/>
      <c r="M175" s="25"/>
      <c r="N175" s="25"/>
      <c r="O175" s="25"/>
      <c r="P175" s="1"/>
      <c r="Q175" s="1"/>
      <c r="R175" s="8"/>
      <c r="S175" s="1"/>
      <c r="T175" s="8"/>
      <c r="U175" s="1"/>
      <c r="V175" s="1"/>
      <c r="W175" s="1"/>
      <c r="X175" s="1"/>
    </row>
    <row r="176" spans="1:24">
      <c r="A176" s="15"/>
      <c r="B176" s="15"/>
      <c r="C176" s="16"/>
      <c r="D176" s="16"/>
      <c r="E176" s="16"/>
      <c r="F176" s="16"/>
      <c r="G176" s="16"/>
      <c r="H176" s="16"/>
      <c r="I176" s="16"/>
      <c r="J176" s="16"/>
      <c r="K176" s="16"/>
      <c r="L176" s="38"/>
      <c r="M176" s="25"/>
      <c r="N176" s="25"/>
      <c r="O176" s="25"/>
      <c r="P176" s="1"/>
      <c r="Q176" s="1"/>
      <c r="R176" s="8"/>
      <c r="S176" s="1"/>
      <c r="T176" s="8"/>
      <c r="U176" s="1"/>
      <c r="V176" s="1"/>
      <c r="W176" s="1"/>
      <c r="X176" s="1"/>
    </row>
    <row r="177" spans="1:24">
      <c r="A177" s="15"/>
      <c r="B177" s="15"/>
      <c r="C177" s="16"/>
      <c r="D177" s="16"/>
      <c r="E177" s="16"/>
      <c r="F177" s="16"/>
      <c r="G177" s="16"/>
      <c r="H177" s="16"/>
      <c r="I177" s="16"/>
      <c r="J177" s="16"/>
      <c r="K177" s="16"/>
      <c r="L177" s="38"/>
      <c r="M177" s="25"/>
      <c r="N177" s="25"/>
      <c r="O177" s="25"/>
      <c r="P177" s="1"/>
      <c r="Q177" s="1"/>
      <c r="R177" s="8"/>
      <c r="S177" s="1"/>
      <c r="T177" s="8"/>
      <c r="U177" s="1"/>
      <c r="V177" s="1"/>
      <c r="W177" s="1"/>
      <c r="X177" s="1"/>
    </row>
    <row r="178" spans="1:24">
      <c r="A178" s="15"/>
      <c r="B178" s="15"/>
      <c r="C178" s="16"/>
      <c r="D178" s="16"/>
      <c r="E178" s="16"/>
      <c r="F178" s="16"/>
      <c r="G178" s="16"/>
      <c r="H178" s="16"/>
      <c r="I178" s="16"/>
      <c r="J178" s="16"/>
      <c r="K178" s="16"/>
      <c r="L178" s="38"/>
      <c r="M178" s="25"/>
      <c r="N178" s="25"/>
      <c r="O178" s="25"/>
      <c r="P178" s="1"/>
      <c r="Q178" s="1"/>
      <c r="R178" s="8"/>
      <c r="S178" s="1"/>
      <c r="T178" s="8"/>
      <c r="U178" s="1"/>
      <c r="V178" s="1"/>
      <c r="W178" s="1"/>
      <c r="X178" s="1"/>
    </row>
    <row r="179" spans="1:24">
      <c r="A179" s="15"/>
      <c r="B179" s="15"/>
      <c r="C179" s="16"/>
      <c r="D179" s="16"/>
      <c r="E179" s="16"/>
      <c r="F179" s="16"/>
      <c r="G179" s="16"/>
      <c r="H179" s="16"/>
      <c r="I179" s="16"/>
      <c r="J179" s="16"/>
      <c r="K179" s="16"/>
      <c r="L179" s="38"/>
      <c r="M179" s="25"/>
      <c r="N179" s="25"/>
      <c r="O179" s="25"/>
      <c r="P179" s="1"/>
      <c r="Q179" s="1"/>
      <c r="R179" s="8"/>
      <c r="S179" s="1"/>
      <c r="T179" s="8"/>
      <c r="U179" s="1"/>
      <c r="V179" s="1"/>
      <c r="W179" s="1"/>
      <c r="X179" s="1"/>
    </row>
    <row r="180" spans="1:24">
      <c r="A180" s="15"/>
      <c r="B180" s="15"/>
      <c r="C180" s="16"/>
      <c r="D180" s="16"/>
      <c r="E180" s="16"/>
      <c r="F180" s="16"/>
      <c r="G180" s="16"/>
      <c r="H180" s="16"/>
      <c r="I180" s="16"/>
      <c r="J180" s="16"/>
      <c r="K180" s="16"/>
      <c r="L180" s="38"/>
      <c r="M180" s="25"/>
      <c r="N180" s="25"/>
      <c r="O180" s="25"/>
      <c r="P180" s="1"/>
      <c r="Q180" s="1"/>
      <c r="R180" s="8"/>
      <c r="S180" s="1"/>
      <c r="T180" s="8"/>
      <c r="U180" s="1"/>
      <c r="V180" s="1"/>
      <c r="W180" s="1"/>
      <c r="X180" s="1"/>
    </row>
    <row r="181" spans="1:24">
      <c r="A181" s="15"/>
      <c r="B181" s="15"/>
      <c r="C181" s="16"/>
      <c r="D181" s="16"/>
      <c r="E181" s="16"/>
      <c r="F181" s="16"/>
      <c r="G181" s="16"/>
      <c r="H181" s="16"/>
      <c r="I181" s="16"/>
      <c r="J181" s="16"/>
      <c r="K181" s="16"/>
      <c r="L181" s="38"/>
      <c r="M181" s="25"/>
      <c r="N181" s="25"/>
      <c r="O181" s="25"/>
      <c r="P181" s="1"/>
      <c r="Q181" s="1"/>
      <c r="R181" s="8"/>
      <c r="S181" s="1"/>
      <c r="T181" s="8"/>
      <c r="U181" s="1"/>
      <c r="V181" s="1"/>
      <c r="W181" s="1"/>
      <c r="X181" s="1"/>
    </row>
    <row r="182" spans="1:24">
      <c r="A182" s="15"/>
      <c r="B182" s="15"/>
      <c r="C182" s="16"/>
      <c r="D182" s="16"/>
      <c r="E182" s="16"/>
      <c r="F182" s="16"/>
      <c r="G182" s="16"/>
      <c r="H182" s="16"/>
      <c r="I182" s="16"/>
      <c r="J182" s="16"/>
      <c r="K182" s="16"/>
      <c r="L182" s="38"/>
      <c r="M182" s="25"/>
      <c r="N182" s="25"/>
      <c r="O182" s="25"/>
      <c r="P182" s="1"/>
      <c r="Q182" s="1"/>
      <c r="R182" s="8"/>
      <c r="S182" s="1"/>
      <c r="T182" s="8"/>
      <c r="U182" s="1"/>
      <c r="V182" s="1"/>
      <c r="W182" s="1"/>
      <c r="X182" s="1"/>
    </row>
    <row r="183" spans="1:24">
      <c r="A183" s="15"/>
      <c r="B183" s="15"/>
      <c r="C183" s="16"/>
      <c r="D183" s="16"/>
      <c r="E183" s="16"/>
      <c r="F183" s="16"/>
      <c r="G183" s="16"/>
      <c r="H183" s="16"/>
      <c r="I183" s="16"/>
      <c r="J183" s="16"/>
      <c r="K183" s="16"/>
      <c r="L183" s="38"/>
      <c r="M183" s="25"/>
      <c r="N183" s="25"/>
      <c r="O183" s="25"/>
      <c r="P183" s="1"/>
      <c r="Q183" s="1"/>
      <c r="R183" s="8"/>
      <c r="S183" s="1"/>
      <c r="T183" s="8"/>
      <c r="U183" s="1"/>
      <c r="V183" s="1"/>
      <c r="W183" s="1"/>
      <c r="X183" s="1"/>
    </row>
    <row r="184" spans="1:24">
      <c r="A184" s="15"/>
      <c r="B184" s="15"/>
      <c r="C184" s="16"/>
      <c r="D184" s="16"/>
      <c r="E184" s="16"/>
      <c r="F184" s="16"/>
      <c r="G184" s="16"/>
      <c r="H184" s="16"/>
      <c r="I184" s="16"/>
      <c r="J184" s="16"/>
      <c r="K184" s="16"/>
      <c r="L184" s="38"/>
      <c r="M184" s="25"/>
      <c r="N184" s="25"/>
      <c r="O184" s="25"/>
      <c r="P184" s="1"/>
      <c r="Q184" s="1"/>
      <c r="R184" s="8"/>
      <c r="S184" s="1"/>
      <c r="T184" s="8"/>
      <c r="U184" s="1"/>
      <c r="V184" s="1"/>
      <c r="W184" s="1"/>
      <c r="X184" s="1"/>
    </row>
    <row r="185" spans="1:24">
      <c r="A185" s="15"/>
      <c r="B185" s="15"/>
      <c r="C185" s="16"/>
      <c r="D185" s="16"/>
      <c r="E185" s="16"/>
      <c r="F185" s="16"/>
      <c r="G185" s="16"/>
      <c r="H185" s="16"/>
      <c r="I185" s="16"/>
      <c r="J185" s="16"/>
      <c r="K185" s="16"/>
      <c r="L185" s="38"/>
      <c r="M185" s="25"/>
      <c r="N185" s="25"/>
      <c r="O185" s="25"/>
      <c r="P185" s="1"/>
      <c r="Q185" s="1"/>
      <c r="R185" s="8"/>
      <c r="S185" s="1"/>
      <c r="T185" s="8"/>
      <c r="U185" s="1"/>
      <c r="V185" s="1"/>
      <c r="W185" s="1"/>
      <c r="X185" s="1"/>
    </row>
    <row r="186" spans="1:24">
      <c r="A186" s="15"/>
      <c r="B186" s="15"/>
      <c r="C186" s="16"/>
      <c r="D186" s="16"/>
      <c r="E186" s="16"/>
      <c r="F186" s="16"/>
      <c r="G186" s="16"/>
      <c r="H186" s="16"/>
      <c r="I186" s="16"/>
      <c r="J186" s="16"/>
      <c r="K186" s="16"/>
      <c r="L186" s="38"/>
      <c r="M186" s="25"/>
      <c r="N186" s="25"/>
      <c r="O186" s="25"/>
      <c r="P186" s="1"/>
      <c r="Q186" s="1"/>
      <c r="R186" s="8"/>
      <c r="S186" s="1"/>
      <c r="T186" s="8"/>
      <c r="U186" s="1"/>
      <c r="V186" s="1"/>
      <c r="W186" s="1"/>
      <c r="X186" s="1"/>
    </row>
    <row r="187" spans="1:24">
      <c r="A187" s="15"/>
      <c r="B187" s="15"/>
      <c r="C187" s="16"/>
      <c r="D187" s="16"/>
      <c r="E187" s="16"/>
      <c r="F187" s="16"/>
      <c r="G187" s="16"/>
      <c r="H187" s="16"/>
      <c r="I187" s="16"/>
      <c r="J187" s="16"/>
      <c r="K187" s="16"/>
      <c r="L187" s="38"/>
      <c r="M187" s="25"/>
      <c r="N187" s="25"/>
      <c r="O187" s="25"/>
      <c r="P187" s="1"/>
      <c r="Q187" s="1"/>
      <c r="R187" s="8"/>
      <c r="S187" s="1"/>
      <c r="T187" s="8"/>
      <c r="U187" s="1"/>
      <c r="V187" s="1"/>
      <c r="W187" s="1"/>
      <c r="X187" s="1"/>
    </row>
    <row r="188" spans="1:24">
      <c r="A188" s="15"/>
      <c r="B188" s="15"/>
      <c r="C188" s="16"/>
      <c r="D188" s="16"/>
      <c r="E188" s="16"/>
      <c r="F188" s="16"/>
      <c r="G188" s="16"/>
      <c r="H188" s="16"/>
      <c r="I188" s="16"/>
      <c r="J188" s="16"/>
      <c r="K188" s="16"/>
      <c r="L188" s="38"/>
      <c r="M188" s="25"/>
      <c r="N188" s="25"/>
      <c r="O188" s="25"/>
      <c r="P188" s="1"/>
      <c r="Q188" s="1"/>
      <c r="R188" s="8"/>
      <c r="S188" s="1"/>
      <c r="T188" s="8"/>
      <c r="U188" s="1"/>
      <c r="V188" s="1"/>
      <c r="W188" s="1"/>
      <c r="X188" s="1"/>
    </row>
    <row r="189" spans="1:24">
      <c r="A189" s="15"/>
      <c r="B189" s="15"/>
      <c r="C189" s="16"/>
      <c r="D189" s="16"/>
      <c r="E189" s="16"/>
      <c r="F189" s="16"/>
      <c r="G189" s="16"/>
      <c r="H189" s="16"/>
      <c r="I189" s="16"/>
      <c r="J189" s="16"/>
      <c r="K189" s="16"/>
      <c r="L189" s="38"/>
      <c r="M189" s="25"/>
      <c r="N189" s="25"/>
      <c r="O189" s="25"/>
      <c r="P189" s="1"/>
      <c r="Q189" s="1"/>
      <c r="R189" s="8"/>
      <c r="S189" s="1"/>
      <c r="T189" s="8"/>
      <c r="U189" s="1"/>
      <c r="V189" s="1"/>
      <c r="W189" s="1"/>
      <c r="X189" s="1"/>
    </row>
    <row r="190" spans="1:24">
      <c r="A190" s="15"/>
      <c r="B190" s="15"/>
      <c r="C190" s="16"/>
      <c r="D190" s="16"/>
      <c r="E190" s="16"/>
      <c r="F190" s="16"/>
      <c r="G190" s="16"/>
      <c r="H190" s="16"/>
      <c r="I190" s="16"/>
      <c r="J190" s="16"/>
      <c r="K190" s="16"/>
      <c r="L190" s="38"/>
      <c r="M190" s="25"/>
      <c r="N190" s="25"/>
      <c r="O190" s="25"/>
      <c r="P190" s="1"/>
      <c r="Q190" s="1"/>
      <c r="R190" s="8"/>
      <c r="S190" s="1"/>
      <c r="T190" s="8"/>
      <c r="U190" s="1"/>
      <c r="V190" s="1"/>
      <c r="W190" s="1"/>
      <c r="X190" s="1"/>
    </row>
    <row r="191" spans="1:24">
      <c r="A191" s="15"/>
      <c r="B191" s="15"/>
      <c r="C191" s="16"/>
      <c r="D191" s="16"/>
      <c r="E191" s="16"/>
      <c r="F191" s="16"/>
      <c r="G191" s="16"/>
      <c r="H191" s="16"/>
      <c r="I191" s="16"/>
      <c r="J191" s="16"/>
      <c r="K191" s="16"/>
      <c r="L191" s="38"/>
      <c r="M191" s="25"/>
      <c r="N191" s="25"/>
      <c r="O191" s="25"/>
      <c r="P191" s="1"/>
      <c r="Q191" s="1"/>
      <c r="R191" s="8"/>
      <c r="S191" s="1"/>
      <c r="T191" s="8"/>
      <c r="U191" s="1"/>
      <c r="V191" s="1"/>
      <c r="W191" s="1"/>
      <c r="X191" s="1"/>
    </row>
    <row r="192" spans="1:24">
      <c r="A192" s="15"/>
      <c r="B192" s="15"/>
      <c r="C192" s="16"/>
      <c r="D192" s="16"/>
      <c r="E192" s="16"/>
      <c r="F192" s="16"/>
      <c r="G192" s="16"/>
      <c r="H192" s="16"/>
      <c r="I192" s="16"/>
      <c r="J192" s="16"/>
      <c r="K192" s="16"/>
      <c r="L192" s="38"/>
      <c r="M192" s="25"/>
      <c r="N192" s="25"/>
      <c r="O192" s="25"/>
      <c r="P192" s="1"/>
      <c r="Q192" s="1"/>
      <c r="R192" s="8"/>
      <c r="S192" s="1"/>
      <c r="T192" s="8"/>
      <c r="U192" s="1"/>
      <c r="V192" s="1"/>
      <c r="W192" s="1"/>
      <c r="X192" s="1"/>
    </row>
    <row r="193" spans="1:24">
      <c r="A193" s="15"/>
      <c r="B193" s="15"/>
      <c r="C193" s="16"/>
      <c r="D193" s="16"/>
      <c r="E193" s="16"/>
      <c r="F193" s="16"/>
      <c r="G193" s="16"/>
      <c r="H193" s="16"/>
      <c r="I193" s="16"/>
      <c r="J193" s="16"/>
      <c r="K193" s="16"/>
      <c r="L193" s="38"/>
      <c r="M193" s="25"/>
      <c r="N193" s="25"/>
      <c r="O193" s="25"/>
      <c r="P193" s="1"/>
      <c r="Q193" s="1"/>
      <c r="R193" s="8"/>
      <c r="S193" s="1"/>
      <c r="T193" s="8"/>
      <c r="U193" s="1"/>
      <c r="V193" s="1"/>
      <c r="W193" s="1"/>
      <c r="X193" s="1"/>
    </row>
    <row r="194" spans="1:24">
      <c r="A194" s="15"/>
      <c r="B194" s="15"/>
      <c r="C194" s="16"/>
      <c r="D194" s="16"/>
      <c r="E194" s="16"/>
      <c r="F194" s="16"/>
      <c r="G194" s="16"/>
      <c r="H194" s="16"/>
      <c r="I194" s="16"/>
      <c r="J194" s="16"/>
      <c r="K194" s="16"/>
      <c r="L194" s="38"/>
      <c r="M194" s="25"/>
      <c r="N194" s="25"/>
      <c r="O194" s="25"/>
      <c r="P194" s="1"/>
      <c r="Q194" s="1"/>
      <c r="R194" s="8"/>
      <c r="S194" s="1"/>
      <c r="T194" s="8"/>
      <c r="U194" s="1"/>
      <c r="V194" s="1"/>
      <c r="W194" s="1"/>
      <c r="X194" s="1"/>
    </row>
    <row r="195" spans="1:24">
      <c r="A195" s="15"/>
      <c r="B195" s="15"/>
      <c r="C195" s="16"/>
      <c r="D195" s="16"/>
      <c r="E195" s="16"/>
      <c r="F195" s="16"/>
      <c r="G195" s="16"/>
      <c r="H195" s="16"/>
      <c r="I195" s="16"/>
      <c r="J195" s="16"/>
      <c r="K195" s="16"/>
      <c r="L195" s="38"/>
      <c r="M195" s="25"/>
      <c r="N195" s="25"/>
      <c r="O195" s="25"/>
      <c r="P195" s="1"/>
      <c r="Q195" s="1"/>
      <c r="R195" s="8"/>
      <c r="S195" s="1"/>
      <c r="T195" s="8"/>
      <c r="U195" s="1"/>
      <c r="V195" s="1"/>
      <c r="W195" s="1"/>
      <c r="X195" s="1"/>
    </row>
    <row r="196" spans="1:24">
      <c r="A196" s="15"/>
      <c r="B196" s="15"/>
      <c r="C196" s="16"/>
      <c r="D196" s="16"/>
      <c r="E196" s="16"/>
      <c r="F196" s="16"/>
      <c r="G196" s="16"/>
      <c r="H196" s="16"/>
      <c r="I196" s="16"/>
      <c r="J196" s="16"/>
      <c r="K196" s="16"/>
      <c r="L196" s="38"/>
      <c r="M196" s="25"/>
      <c r="N196" s="25"/>
      <c r="O196" s="25"/>
      <c r="P196" s="1"/>
      <c r="Q196" s="1"/>
      <c r="R196" s="8"/>
      <c r="S196" s="1"/>
      <c r="T196" s="8"/>
      <c r="U196" s="1"/>
      <c r="V196" s="1"/>
      <c r="W196" s="1"/>
      <c r="X196" s="1"/>
    </row>
    <row r="197" spans="1:24">
      <c r="A197" s="15"/>
      <c r="B197" s="15"/>
      <c r="C197" s="16"/>
      <c r="D197" s="16"/>
      <c r="E197" s="16"/>
      <c r="F197" s="16"/>
      <c r="G197" s="16"/>
      <c r="H197" s="16"/>
      <c r="I197" s="16"/>
      <c r="J197" s="16"/>
      <c r="K197" s="16"/>
      <c r="L197" s="38"/>
      <c r="M197" s="25"/>
      <c r="N197" s="25"/>
      <c r="O197" s="25"/>
      <c r="P197" s="1"/>
      <c r="Q197" s="1"/>
      <c r="R197" s="8"/>
      <c r="S197" s="1"/>
      <c r="T197" s="8"/>
      <c r="U197" s="1"/>
      <c r="V197" s="1"/>
      <c r="W197" s="1"/>
      <c r="X197" s="1"/>
    </row>
    <row r="198" spans="1:24">
      <c r="A198" s="15"/>
      <c r="B198" s="15"/>
      <c r="C198" s="16"/>
      <c r="D198" s="16"/>
      <c r="E198" s="16"/>
      <c r="F198" s="16"/>
      <c r="G198" s="16"/>
      <c r="H198" s="16"/>
      <c r="I198" s="16"/>
      <c r="J198" s="16"/>
      <c r="K198" s="16"/>
      <c r="L198" s="38"/>
      <c r="M198" s="25"/>
      <c r="N198" s="25"/>
      <c r="O198" s="25"/>
      <c r="P198" s="1"/>
      <c r="Q198" s="1"/>
      <c r="R198" s="8"/>
      <c r="S198" s="1"/>
      <c r="T198" s="8"/>
      <c r="U198" s="1"/>
      <c r="V198" s="1"/>
      <c r="W198" s="1"/>
      <c r="X198" s="1"/>
    </row>
    <row r="199" spans="1:24">
      <c r="A199" s="15"/>
      <c r="B199" s="15"/>
      <c r="C199" s="16"/>
      <c r="D199" s="16"/>
      <c r="E199" s="16"/>
      <c r="F199" s="16"/>
      <c r="G199" s="16"/>
      <c r="H199" s="16"/>
      <c r="I199" s="16"/>
      <c r="J199" s="16"/>
      <c r="K199" s="16"/>
      <c r="L199" s="38"/>
      <c r="M199" s="25"/>
      <c r="N199" s="25"/>
      <c r="O199" s="25"/>
      <c r="P199" s="1"/>
      <c r="Q199" s="1"/>
      <c r="R199" s="8"/>
      <c r="S199" s="1"/>
      <c r="T199" s="8"/>
      <c r="U199" s="1"/>
      <c r="V199" s="1"/>
      <c r="W199" s="1"/>
      <c r="X199" s="1"/>
    </row>
    <row r="200" spans="1:24">
      <c r="A200" s="15"/>
      <c r="B200" s="15"/>
      <c r="C200" s="16"/>
      <c r="D200" s="16"/>
      <c r="E200" s="16"/>
      <c r="F200" s="16"/>
      <c r="G200" s="16"/>
      <c r="H200" s="16"/>
      <c r="I200" s="16"/>
      <c r="J200" s="16"/>
      <c r="K200" s="16"/>
      <c r="L200" s="38"/>
      <c r="M200" s="25"/>
      <c r="N200" s="25"/>
      <c r="O200" s="25"/>
      <c r="P200" s="1"/>
      <c r="Q200" s="1"/>
      <c r="R200" s="8"/>
      <c r="S200" s="1"/>
      <c r="T200" s="8"/>
      <c r="U200" s="1"/>
      <c r="V200" s="1"/>
      <c r="W200" s="1"/>
      <c r="X200" s="1"/>
    </row>
    <row r="201" spans="1:24">
      <c r="A201" s="15"/>
      <c r="B201" s="15"/>
      <c r="C201" s="16"/>
      <c r="D201" s="16"/>
      <c r="E201" s="16"/>
      <c r="F201" s="16"/>
      <c r="G201" s="16"/>
      <c r="H201" s="16"/>
      <c r="I201" s="16"/>
      <c r="J201" s="16"/>
      <c r="K201" s="16"/>
      <c r="L201" s="38"/>
      <c r="M201" s="25"/>
      <c r="N201" s="25"/>
      <c r="O201" s="25"/>
      <c r="P201" s="1"/>
      <c r="Q201" s="1"/>
      <c r="R201" s="8"/>
      <c r="S201" s="1"/>
      <c r="T201" s="8"/>
      <c r="U201" s="1"/>
      <c r="V201" s="1"/>
      <c r="W201" s="1"/>
      <c r="X201" s="1"/>
    </row>
    <row r="202" spans="1:24">
      <c r="A202" s="15"/>
      <c r="B202" s="15"/>
      <c r="C202" s="16"/>
      <c r="D202" s="16"/>
      <c r="E202" s="16"/>
      <c r="F202" s="16"/>
      <c r="G202" s="16"/>
      <c r="H202" s="16"/>
      <c r="I202" s="16"/>
      <c r="J202" s="16"/>
      <c r="K202" s="16"/>
      <c r="L202" s="38"/>
      <c r="M202" s="25"/>
      <c r="N202" s="25"/>
      <c r="O202" s="25"/>
      <c r="P202" s="1"/>
      <c r="Q202" s="1"/>
      <c r="R202" s="8"/>
      <c r="S202" s="1"/>
      <c r="T202" s="8"/>
      <c r="U202" s="1"/>
      <c r="V202" s="1"/>
      <c r="W202" s="1"/>
      <c r="X202" s="1"/>
    </row>
    <row r="203" spans="1:24">
      <c r="A203" s="15"/>
      <c r="B203" s="15"/>
      <c r="C203" s="16"/>
      <c r="D203" s="16"/>
      <c r="E203" s="16"/>
      <c r="F203" s="16"/>
      <c r="G203" s="16"/>
      <c r="H203" s="16"/>
      <c r="I203" s="16"/>
      <c r="J203" s="16"/>
      <c r="K203" s="16"/>
      <c r="L203" s="38"/>
      <c r="M203" s="25"/>
      <c r="N203" s="25"/>
      <c r="O203" s="25"/>
      <c r="P203" s="1"/>
      <c r="Q203" s="1"/>
      <c r="R203" s="8"/>
      <c r="S203" s="1"/>
      <c r="T203" s="8"/>
      <c r="U203" s="1"/>
      <c r="V203" s="1"/>
      <c r="W203" s="1"/>
      <c r="X203" s="1"/>
    </row>
    <row r="204" spans="1:24">
      <c r="A204" s="15"/>
      <c r="B204" s="15"/>
      <c r="C204" s="16"/>
      <c r="D204" s="16"/>
      <c r="E204" s="16"/>
      <c r="F204" s="16"/>
      <c r="G204" s="16"/>
      <c r="H204" s="16"/>
      <c r="I204" s="16"/>
      <c r="J204" s="16"/>
      <c r="K204" s="16"/>
      <c r="L204" s="38"/>
      <c r="M204" s="25"/>
      <c r="N204" s="25"/>
      <c r="O204" s="25"/>
      <c r="P204" s="1"/>
      <c r="Q204" s="1"/>
      <c r="R204" s="8"/>
      <c r="S204" s="1"/>
      <c r="T204" s="8"/>
      <c r="U204" s="1"/>
      <c r="V204" s="1"/>
      <c r="W204" s="1"/>
      <c r="X204" s="1"/>
    </row>
    <row r="205" spans="1:24">
      <c r="A205" s="15"/>
      <c r="B205" s="15"/>
      <c r="C205" s="16"/>
      <c r="D205" s="16"/>
      <c r="E205" s="16"/>
      <c r="F205" s="16"/>
      <c r="G205" s="16"/>
      <c r="H205" s="16"/>
      <c r="I205" s="16"/>
      <c r="J205" s="16"/>
      <c r="K205" s="16"/>
      <c r="L205" s="38"/>
      <c r="M205" s="25"/>
      <c r="N205" s="25"/>
      <c r="O205" s="25"/>
      <c r="P205" s="1"/>
      <c r="Q205" s="1"/>
      <c r="R205" s="8"/>
      <c r="S205" s="1"/>
      <c r="T205" s="8"/>
      <c r="U205" s="1"/>
      <c r="V205" s="1"/>
      <c r="W205" s="1"/>
      <c r="X205" s="1"/>
    </row>
    <row r="206" spans="1:24">
      <c r="A206" s="15"/>
      <c r="B206" s="15"/>
      <c r="C206" s="16"/>
      <c r="D206" s="16"/>
      <c r="E206" s="16"/>
      <c r="F206" s="16"/>
      <c r="G206" s="16"/>
      <c r="H206" s="16"/>
      <c r="I206" s="16"/>
      <c r="J206" s="16"/>
      <c r="K206" s="16"/>
      <c r="L206" s="38"/>
      <c r="M206" s="25"/>
      <c r="N206" s="25"/>
      <c r="O206" s="25"/>
      <c r="P206" s="1"/>
      <c r="Q206" s="1"/>
      <c r="R206" s="8"/>
      <c r="S206" s="1"/>
      <c r="T206" s="8"/>
      <c r="U206" s="1"/>
      <c r="V206" s="1"/>
      <c r="W206" s="1"/>
      <c r="X206" s="1"/>
    </row>
    <row r="207" spans="1:24">
      <c r="A207" s="15"/>
      <c r="B207" s="15"/>
      <c r="C207" s="16"/>
      <c r="D207" s="16"/>
      <c r="E207" s="16"/>
      <c r="F207" s="16"/>
      <c r="G207" s="16"/>
      <c r="H207" s="16"/>
      <c r="I207" s="16"/>
      <c r="J207" s="16"/>
      <c r="K207" s="16"/>
      <c r="L207" s="38"/>
      <c r="M207" s="25"/>
      <c r="N207" s="25"/>
      <c r="O207" s="25"/>
      <c r="P207" s="1"/>
      <c r="Q207" s="1"/>
      <c r="R207" s="8"/>
      <c r="S207" s="1"/>
      <c r="T207" s="8"/>
      <c r="U207" s="1"/>
      <c r="V207" s="1"/>
      <c r="W207" s="1"/>
      <c r="X207" s="1"/>
    </row>
    <row r="208" spans="1:24">
      <c r="A208" s="15"/>
      <c r="B208" s="15"/>
      <c r="C208" s="16"/>
      <c r="D208" s="16"/>
      <c r="E208" s="16"/>
      <c r="F208" s="16"/>
      <c r="G208" s="16"/>
      <c r="H208" s="16"/>
      <c r="I208" s="16"/>
      <c r="J208" s="16"/>
      <c r="K208" s="16"/>
      <c r="L208" s="38"/>
      <c r="M208" s="25"/>
      <c r="N208" s="25"/>
      <c r="O208" s="25"/>
      <c r="P208" s="1"/>
      <c r="Q208" s="1"/>
      <c r="R208" s="8"/>
      <c r="S208" s="1"/>
      <c r="T208" s="8"/>
      <c r="U208" s="1"/>
      <c r="V208" s="1"/>
      <c r="W208" s="1"/>
      <c r="X208" s="1"/>
    </row>
    <row r="209" spans="1:24">
      <c r="A209" s="15"/>
      <c r="B209" s="15"/>
      <c r="C209" s="16"/>
      <c r="D209" s="16"/>
      <c r="E209" s="16"/>
      <c r="F209" s="16"/>
      <c r="G209" s="16"/>
      <c r="H209" s="16"/>
      <c r="I209" s="16"/>
      <c r="J209" s="16"/>
      <c r="K209" s="16"/>
      <c r="L209" s="38"/>
      <c r="M209" s="25"/>
      <c r="N209" s="25"/>
      <c r="O209" s="25"/>
      <c r="P209" s="1"/>
      <c r="Q209" s="1"/>
      <c r="R209" s="8"/>
      <c r="S209" s="1"/>
      <c r="T209" s="8"/>
      <c r="U209" s="1"/>
      <c r="V209" s="1"/>
      <c r="W209" s="1"/>
      <c r="X209" s="1"/>
    </row>
    <row r="210" spans="1:24">
      <c r="A210" s="15"/>
      <c r="B210" s="15"/>
      <c r="C210" s="16"/>
      <c r="D210" s="16"/>
      <c r="E210" s="16"/>
      <c r="F210" s="16"/>
      <c r="G210" s="16"/>
      <c r="H210" s="16"/>
      <c r="I210" s="16"/>
      <c r="J210" s="16"/>
      <c r="K210" s="16"/>
      <c r="L210" s="38"/>
      <c r="M210" s="25"/>
      <c r="N210" s="25"/>
      <c r="O210" s="25"/>
      <c r="P210" s="1"/>
      <c r="Q210" s="1"/>
      <c r="R210" s="8"/>
      <c r="S210" s="1"/>
      <c r="T210" s="8"/>
      <c r="U210" s="1"/>
      <c r="V210" s="1"/>
      <c r="W210" s="1"/>
      <c r="X210" s="1"/>
    </row>
    <row r="211" spans="1:24">
      <c r="A211" s="15"/>
      <c r="B211" s="15"/>
      <c r="C211" s="16"/>
      <c r="D211" s="16"/>
      <c r="E211" s="16"/>
      <c r="F211" s="16"/>
      <c r="G211" s="16"/>
      <c r="H211" s="16"/>
      <c r="I211" s="16"/>
      <c r="J211" s="16"/>
      <c r="K211" s="16"/>
      <c r="L211" s="38"/>
      <c r="M211" s="25"/>
      <c r="N211" s="25"/>
      <c r="O211" s="25"/>
      <c r="P211" s="1"/>
      <c r="Q211" s="1"/>
      <c r="R211" s="8"/>
      <c r="S211" s="1"/>
      <c r="T211" s="8"/>
      <c r="U211" s="1"/>
      <c r="V211" s="1"/>
      <c r="W211" s="1"/>
      <c r="X211" s="1"/>
    </row>
    <row r="212" spans="1:24">
      <c r="A212" s="15"/>
      <c r="B212" s="15"/>
      <c r="C212" s="16"/>
      <c r="D212" s="16"/>
      <c r="E212" s="16"/>
      <c r="F212" s="16"/>
      <c r="G212" s="16"/>
      <c r="H212" s="16"/>
      <c r="I212" s="16"/>
      <c r="J212" s="16"/>
      <c r="K212" s="16"/>
      <c r="L212" s="38"/>
      <c r="M212" s="25"/>
      <c r="N212" s="25"/>
      <c r="O212" s="25"/>
      <c r="P212" s="1"/>
      <c r="Q212" s="1"/>
      <c r="R212" s="8"/>
      <c r="S212" s="1"/>
      <c r="T212" s="8"/>
      <c r="U212" s="1"/>
      <c r="V212" s="1"/>
      <c r="W212" s="1"/>
      <c r="X212" s="1"/>
    </row>
    <row r="213" spans="1:24">
      <c r="A213" s="15"/>
      <c r="B213" s="15"/>
      <c r="C213" s="16"/>
      <c r="D213" s="16"/>
      <c r="E213" s="16"/>
      <c r="F213" s="16"/>
      <c r="G213" s="16"/>
      <c r="H213" s="16"/>
      <c r="I213" s="16"/>
      <c r="J213" s="16"/>
      <c r="K213" s="16"/>
      <c r="L213" s="38"/>
      <c r="M213" s="25"/>
      <c r="N213" s="25"/>
      <c r="O213" s="25"/>
      <c r="P213" s="1"/>
      <c r="Q213" s="1"/>
      <c r="R213" s="8"/>
      <c r="S213" s="1"/>
      <c r="T213" s="8"/>
      <c r="U213" s="1"/>
      <c r="V213" s="1"/>
      <c r="W213" s="1"/>
      <c r="X213" s="1"/>
    </row>
    <row r="214" spans="1:24">
      <c r="A214" s="15"/>
      <c r="B214" s="15"/>
      <c r="C214" s="16"/>
      <c r="D214" s="16"/>
      <c r="E214" s="16"/>
      <c r="F214" s="16"/>
      <c r="G214" s="16"/>
      <c r="H214" s="16"/>
      <c r="I214" s="16"/>
      <c r="J214" s="16"/>
      <c r="K214" s="16"/>
      <c r="L214" s="38"/>
      <c r="M214" s="25"/>
      <c r="N214" s="25"/>
      <c r="O214" s="25"/>
      <c r="P214" s="1"/>
      <c r="Q214" s="1"/>
      <c r="R214" s="8"/>
      <c r="S214" s="1"/>
      <c r="T214" s="8"/>
      <c r="U214" s="1"/>
      <c r="V214" s="1"/>
      <c r="W214" s="1"/>
      <c r="X214" s="1"/>
    </row>
    <row r="215" spans="1:24">
      <c r="A215" s="15"/>
      <c r="B215" s="15"/>
      <c r="C215" s="16"/>
      <c r="D215" s="16"/>
      <c r="E215" s="16"/>
      <c r="F215" s="16"/>
      <c r="G215" s="16"/>
      <c r="H215" s="16"/>
      <c r="I215" s="16"/>
      <c r="J215" s="16"/>
      <c r="K215" s="16"/>
      <c r="L215" s="38"/>
      <c r="M215" s="25"/>
      <c r="N215" s="25"/>
      <c r="O215" s="25"/>
      <c r="P215" s="1"/>
      <c r="Q215" s="1"/>
      <c r="R215" s="8"/>
      <c r="S215" s="1"/>
      <c r="T215" s="8"/>
      <c r="U215" s="1"/>
      <c r="V215" s="1"/>
      <c r="W215" s="1"/>
      <c r="X215" s="1"/>
    </row>
    <row r="216" spans="1:24">
      <c r="A216" s="15"/>
      <c r="B216" s="15"/>
      <c r="C216" s="16"/>
      <c r="D216" s="16"/>
      <c r="E216" s="16"/>
      <c r="F216" s="16"/>
      <c r="G216" s="16"/>
      <c r="H216" s="16"/>
      <c r="I216" s="16"/>
      <c r="J216" s="16"/>
      <c r="K216" s="16"/>
      <c r="L216" s="38"/>
      <c r="M216" s="25"/>
      <c r="N216" s="25"/>
      <c r="O216" s="25"/>
      <c r="P216" s="1"/>
      <c r="Q216" s="1"/>
      <c r="R216" s="8"/>
      <c r="S216" s="1"/>
      <c r="T216" s="8"/>
      <c r="U216" s="1"/>
      <c r="V216" s="1"/>
      <c r="W216" s="1"/>
      <c r="X216" s="1"/>
    </row>
    <row r="217" spans="1:24">
      <c r="A217" s="15"/>
      <c r="B217" s="15"/>
      <c r="C217" s="16"/>
      <c r="D217" s="16"/>
      <c r="E217" s="16"/>
      <c r="F217" s="16"/>
      <c r="G217" s="16"/>
      <c r="H217" s="16"/>
      <c r="I217" s="16"/>
      <c r="J217" s="16"/>
      <c r="K217" s="16"/>
      <c r="L217" s="38"/>
      <c r="M217" s="25"/>
      <c r="N217" s="25"/>
      <c r="O217" s="25"/>
      <c r="P217" s="1"/>
      <c r="Q217" s="1"/>
      <c r="R217" s="8"/>
      <c r="S217" s="1"/>
      <c r="T217" s="8"/>
      <c r="U217" s="1"/>
      <c r="V217" s="1"/>
      <c r="W217" s="1"/>
      <c r="X217" s="1"/>
    </row>
    <row r="218" spans="1:24">
      <c r="A218" s="15"/>
      <c r="B218" s="15"/>
      <c r="C218" s="16"/>
      <c r="D218" s="16"/>
      <c r="E218" s="16"/>
      <c r="F218" s="16"/>
      <c r="G218" s="16"/>
      <c r="H218" s="16"/>
      <c r="I218" s="16"/>
      <c r="J218" s="16"/>
      <c r="K218" s="16"/>
      <c r="L218" s="38"/>
      <c r="M218" s="25"/>
      <c r="N218" s="25"/>
      <c r="O218" s="25"/>
      <c r="P218" s="1"/>
      <c r="Q218" s="1"/>
      <c r="R218" s="8"/>
      <c r="S218" s="1"/>
      <c r="T218" s="8"/>
      <c r="U218" s="1"/>
      <c r="V218" s="1"/>
      <c r="W218" s="1"/>
      <c r="X218" s="1"/>
    </row>
    <row r="219" spans="1:24">
      <c r="A219" s="15"/>
      <c r="B219" s="15"/>
      <c r="C219" s="16"/>
      <c r="D219" s="16"/>
      <c r="E219" s="16"/>
      <c r="F219" s="16"/>
      <c r="G219" s="16"/>
      <c r="H219" s="16"/>
      <c r="I219" s="16"/>
      <c r="J219" s="16"/>
      <c r="K219" s="16"/>
      <c r="L219" s="38"/>
      <c r="M219" s="25"/>
      <c r="N219" s="25"/>
      <c r="O219" s="25"/>
      <c r="P219" s="1"/>
      <c r="Q219" s="1"/>
      <c r="R219" s="8"/>
      <c r="S219" s="1"/>
      <c r="T219" s="8"/>
      <c r="U219" s="1"/>
      <c r="V219" s="1"/>
      <c r="W219" s="1"/>
      <c r="X219" s="1"/>
    </row>
    <row r="220" spans="1:24">
      <c r="A220" s="15"/>
      <c r="B220" s="15"/>
      <c r="C220" s="16"/>
      <c r="D220" s="16"/>
      <c r="E220" s="16"/>
      <c r="F220" s="16"/>
      <c r="G220" s="16"/>
      <c r="H220" s="16"/>
      <c r="I220" s="16"/>
      <c r="J220" s="16"/>
      <c r="K220" s="16"/>
      <c r="L220" s="38"/>
      <c r="M220" s="25"/>
      <c r="N220" s="25"/>
      <c r="O220" s="25"/>
      <c r="P220" s="1"/>
      <c r="Q220" s="1"/>
      <c r="R220" s="8"/>
      <c r="S220" s="1"/>
      <c r="T220" s="8"/>
      <c r="U220" s="1"/>
      <c r="V220" s="1"/>
      <c r="W220" s="1"/>
      <c r="X220" s="1"/>
    </row>
    <row r="221" spans="1:24">
      <c r="A221" s="15"/>
      <c r="B221" s="15"/>
      <c r="C221" s="16"/>
      <c r="D221" s="16"/>
      <c r="E221" s="16"/>
      <c r="F221" s="16"/>
      <c r="G221" s="16"/>
      <c r="H221" s="16"/>
      <c r="I221" s="16"/>
      <c r="J221" s="16"/>
      <c r="K221" s="16"/>
      <c r="L221" s="38"/>
      <c r="M221" s="25"/>
      <c r="N221" s="25"/>
      <c r="O221" s="25"/>
      <c r="P221" s="1"/>
      <c r="Q221" s="1"/>
      <c r="R221" s="8"/>
      <c r="S221" s="1"/>
      <c r="T221" s="8"/>
      <c r="U221" s="1"/>
      <c r="V221" s="1"/>
      <c r="W221" s="1"/>
      <c r="X221" s="1"/>
    </row>
    <row r="222" spans="1:24">
      <c r="A222" s="15"/>
      <c r="B222" s="15"/>
      <c r="C222" s="16"/>
      <c r="D222" s="16"/>
      <c r="E222" s="16"/>
      <c r="F222" s="16"/>
      <c r="G222" s="16"/>
      <c r="H222" s="16"/>
      <c r="I222" s="16"/>
      <c r="J222" s="16"/>
      <c r="K222" s="16"/>
      <c r="L222" s="38"/>
      <c r="M222" s="25"/>
      <c r="N222" s="25"/>
      <c r="O222" s="25"/>
      <c r="P222" s="1"/>
      <c r="Q222" s="1"/>
      <c r="R222" s="8"/>
      <c r="S222" s="1"/>
      <c r="T222" s="8"/>
      <c r="U222" s="1"/>
      <c r="V222" s="1"/>
      <c r="W222" s="1"/>
      <c r="X222" s="1"/>
    </row>
    <row r="223" spans="1:24">
      <c r="A223" s="15"/>
      <c r="B223" s="15"/>
      <c r="C223" s="16"/>
      <c r="D223" s="16"/>
      <c r="E223" s="16"/>
      <c r="F223" s="16"/>
      <c r="G223" s="16"/>
      <c r="H223" s="16"/>
      <c r="I223" s="16"/>
      <c r="J223" s="16"/>
      <c r="K223" s="16"/>
      <c r="L223" s="38"/>
      <c r="M223" s="25"/>
      <c r="N223" s="25"/>
      <c r="O223" s="25"/>
      <c r="P223" s="1"/>
      <c r="Q223" s="1"/>
      <c r="R223" s="8"/>
      <c r="S223" s="1"/>
      <c r="T223" s="8"/>
      <c r="U223" s="1"/>
      <c r="V223" s="1"/>
      <c r="W223" s="1"/>
      <c r="X223" s="1"/>
    </row>
    <row r="224" spans="1:24">
      <c r="A224" s="15"/>
      <c r="B224" s="15"/>
      <c r="C224" s="16"/>
      <c r="D224" s="16"/>
      <c r="E224" s="16"/>
      <c r="F224" s="16"/>
      <c r="G224" s="16"/>
      <c r="H224" s="16"/>
      <c r="I224" s="16"/>
      <c r="J224" s="16"/>
      <c r="K224" s="16"/>
      <c r="L224" s="38"/>
      <c r="M224" s="25"/>
      <c r="N224" s="25"/>
      <c r="O224" s="25"/>
      <c r="P224" s="1"/>
      <c r="Q224" s="1"/>
      <c r="R224" s="8"/>
      <c r="S224" s="1"/>
      <c r="T224" s="8"/>
      <c r="U224" s="1"/>
      <c r="V224" s="1"/>
      <c r="W224" s="1"/>
      <c r="X224" s="1"/>
    </row>
    <row r="225" spans="1:24">
      <c r="A225" s="15"/>
      <c r="B225" s="15"/>
      <c r="C225" s="16"/>
      <c r="D225" s="16"/>
      <c r="E225" s="16"/>
      <c r="F225" s="16"/>
      <c r="G225" s="16"/>
      <c r="H225" s="16"/>
      <c r="I225" s="16"/>
      <c r="J225" s="16"/>
      <c r="K225" s="16"/>
      <c r="L225" s="38"/>
      <c r="M225" s="25"/>
      <c r="N225" s="25"/>
      <c r="O225" s="25"/>
      <c r="P225" s="1"/>
      <c r="Q225" s="1"/>
      <c r="R225" s="8"/>
      <c r="S225" s="1"/>
      <c r="T225" s="8"/>
      <c r="U225" s="1"/>
      <c r="V225" s="1"/>
      <c r="W225" s="1"/>
      <c r="X225" s="1"/>
    </row>
    <row r="226" spans="1:24">
      <c r="A226" s="15"/>
      <c r="B226" s="15"/>
      <c r="C226" s="16"/>
      <c r="D226" s="16"/>
      <c r="E226" s="16"/>
      <c r="F226" s="16"/>
      <c r="G226" s="16"/>
      <c r="H226" s="16"/>
      <c r="I226" s="16"/>
      <c r="J226" s="16"/>
      <c r="K226" s="16"/>
      <c r="L226" s="38"/>
      <c r="M226" s="25"/>
      <c r="N226" s="25"/>
      <c r="O226" s="25"/>
      <c r="P226" s="1"/>
      <c r="Q226" s="1"/>
      <c r="R226" s="8"/>
      <c r="S226" s="1"/>
      <c r="T226" s="8"/>
      <c r="U226" s="1"/>
      <c r="V226" s="1"/>
      <c r="W226" s="1"/>
      <c r="X226" s="1"/>
    </row>
    <row r="227" spans="1:24">
      <c r="A227" s="15"/>
      <c r="B227" s="15"/>
      <c r="C227" s="16"/>
      <c r="D227" s="16"/>
      <c r="E227" s="16"/>
      <c r="F227" s="16"/>
      <c r="G227" s="16"/>
      <c r="H227" s="16"/>
      <c r="I227" s="16"/>
      <c r="J227" s="16"/>
      <c r="K227" s="16"/>
      <c r="L227" s="38"/>
      <c r="M227" s="25"/>
      <c r="N227" s="25"/>
      <c r="O227" s="25"/>
      <c r="P227" s="1"/>
      <c r="Q227" s="1"/>
      <c r="R227" s="8"/>
      <c r="S227" s="1"/>
      <c r="T227" s="8"/>
      <c r="U227" s="1"/>
      <c r="V227" s="1"/>
      <c r="W227" s="1"/>
      <c r="X227" s="1"/>
    </row>
    <row r="228" spans="1:24">
      <c r="A228" s="15"/>
      <c r="B228" s="15"/>
      <c r="C228" s="16"/>
      <c r="D228" s="16"/>
      <c r="E228" s="16"/>
      <c r="F228" s="16"/>
      <c r="G228" s="16"/>
      <c r="H228" s="16"/>
      <c r="I228" s="16"/>
      <c r="J228" s="16"/>
      <c r="K228" s="16"/>
      <c r="L228" s="38"/>
      <c r="M228" s="25"/>
      <c r="N228" s="25"/>
      <c r="O228" s="25"/>
      <c r="P228" s="1"/>
      <c r="Q228" s="1"/>
      <c r="R228" s="8"/>
      <c r="S228" s="1"/>
      <c r="T228" s="8"/>
      <c r="U228" s="1"/>
      <c r="V228" s="1"/>
      <c r="W228" s="1"/>
      <c r="X228" s="1"/>
    </row>
    <row r="229" spans="1:24">
      <c r="A229" s="15"/>
      <c r="B229" s="15"/>
      <c r="C229" s="16"/>
      <c r="D229" s="16"/>
      <c r="E229" s="16"/>
      <c r="F229" s="16"/>
      <c r="G229" s="16"/>
      <c r="H229" s="16"/>
      <c r="I229" s="16"/>
      <c r="J229" s="16"/>
      <c r="K229" s="16"/>
      <c r="L229" s="38"/>
      <c r="M229" s="25"/>
      <c r="N229" s="25"/>
      <c r="O229" s="25"/>
      <c r="P229" s="1"/>
      <c r="Q229" s="1"/>
      <c r="R229" s="8"/>
      <c r="S229" s="1"/>
      <c r="T229" s="8"/>
      <c r="U229" s="1"/>
      <c r="V229" s="1"/>
      <c r="W229" s="1"/>
      <c r="X229" s="1"/>
    </row>
    <row r="230" spans="1:24">
      <c r="A230" s="15"/>
      <c r="B230" s="15"/>
      <c r="C230" s="16"/>
      <c r="D230" s="16"/>
      <c r="E230" s="16"/>
      <c r="F230" s="16"/>
      <c r="G230" s="16"/>
      <c r="H230" s="16"/>
      <c r="I230" s="16"/>
      <c r="J230" s="16"/>
      <c r="K230" s="16"/>
      <c r="L230" s="38"/>
      <c r="M230" s="25"/>
      <c r="N230" s="25"/>
      <c r="O230" s="25"/>
      <c r="P230" s="1"/>
      <c r="Q230" s="1"/>
      <c r="R230" s="8"/>
      <c r="S230" s="1"/>
      <c r="T230" s="8"/>
      <c r="U230" s="1"/>
      <c r="V230" s="1"/>
      <c r="W230" s="1"/>
      <c r="X230" s="1"/>
    </row>
    <row r="231" spans="1:24">
      <c r="A231" s="15"/>
      <c r="B231" s="15"/>
      <c r="C231" s="16"/>
      <c r="D231" s="16"/>
      <c r="E231" s="16"/>
      <c r="F231" s="16"/>
      <c r="G231" s="16"/>
      <c r="H231" s="16"/>
      <c r="I231" s="16"/>
      <c r="J231" s="16"/>
      <c r="K231" s="16"/>
      <c r="L231" s="38"/>
      <c r="M231" s="25"/>
      <c r="N231" s="25"/>
      <c r="O231" s="25"/>
      <c r="P231" s="1"/>
      <c r="Q231" s="1"/>
      <c r="R231" s="8"/>
      <c r="S231" s="1"/>
      <c r="T231" s="8"/>
      <c r="U231" s="1"/>
      <c r="V231" s="1"/>
      <c r="W231" s="1"/>
      <c r="X231" s="1"/>
    </row>
    <row r="232" spans="1:24">
      <c r="A232" s="15"/>
      <c r="B232" s="15"/>
      <c r="C232" s="16"/>
      <c r="D232" s="16"/>
      <c r="E232" s="16"/>
      <c r="F232" s="16"/>
      <c r="G232" s="16"/>
      <c r="H232" s="16"/>
      <c r="I232" s="16"/>
      <c r="J232" s="16"/>
      <c r="K232" s="16"/>
      <c r="L232" s="38"/>
      <c r="M232" s="25"/>
      <c r="N232" s="25"/>
      <c r="O232" s="25"/>
      <c r="P232" s="1"/>
      <c r="Q232" s="1"/>
      <c r="R232" s="8"/>
      <c r="S232" s="1"/>
      <c r="T232" s="8"/>
      <c r="U232" s="1"/>
      <c r="V232" s="1"/>
      <c r="W232" s="1"/>
      <c r="X232" s="1"/>
    </row>
    <row r="233" spans="1:24">
      <c r="A233" s="15"/>
      <c r="B233" s="15"/>
      <c r="C233" s="16"/>
      <c r="D233" s="16"/>
      <c r="E233" s="16"/>
      <c r="F233" s="16"/>
      <c r="G233" s="16"/>
      <c r="H233" s="16"/>
      <c r="I233" s="16"/>
      <c r="J233" s="16"/>
      <c r="K233" s="16"/>
      <c r="L233" s="38"/>
      <c r="M233" s="25"/>
      <c r="N233" s="25"/>
      <c r="O233" s="25"/>
      <c r="P233" s="1"/>
      <c r="Q233" s="1"/>
      <c r="R233" s="8"/>
      <c r="S233" s="1"/>
      <c r="T233" s="8"/>
      <c r="U233" s="1"/>
      <c r="V233" s="1"/>
      <c r="W233" s="1"/>
      <c r="X233" s="1"/>
    </row>
    <row r="234" spans="1:24">
      <c r="A234" s="15"/>
      <c r="B234" s="15"/>
      <c r="C234" s="16"/>
      <c r="D234" s="16"/>
      <c r="E234" s="16"/>
      <c r="F234" s="16"/>
      <c r="G234" s="16"/>
      <c r="H234" s="16"/>
      <c r="I234" s="16"/>
      <c r="J234" s="16"/>
      <c r="K234" s="16"/>
      <c r="L234" s="38"/>
      <c r="M234" s="25"/>
      <c r="N234" s="25"/>
      <c r="O234" s="25"/>
      <c r="P234" s="1"/>
      <c r="Q234" s="1"/>
      <c r="R234" s="8"/>
      <c r="S234" s="1"/>
      <c r="T234" s="8"/>
      <c r="U234" s="1"/>
      <c r="V234" s="1"/>
      <c r="W234" s="1"/>
      <c r="X234" s="1"/>
    </row>
    <row r="235" spans="1:24">
      <c r="A235" s="15"/>
      <c r="B235" s="15"/>
      <c r="C235" s="16"/>
      <c r="D235" s="16"/>
      <c r="E235" s="16"/>
      <c r="F235" s="16"/>
      <c r="G235" s="16"/>
      <c r="H235" s="16"/>
      <c r="I235" s="16"/>
      <c r="J235" s="16"/>
      <c r="K235" s="16"/>
      <c r="L235" s="38"/>
      <c r="M235" s="25"/>
      <c r="N235" s="25"/>
      <c r="O235" s="25"/>
      <c r="P235" s="1"/>
      <c r="Q235" s="1"/>
      <c r="R235" s="8"/>
      <c r="S235" s="1"/>
      <c r="T235" s="8"/>
      <c r="U235" s="1"/>
      <c r="V235" s="1"/>
      <c r="W235" s="1"/>
      <c r="X235" s="1"/>
    </row>
    <row r="236" spans="1:24">
      <c r="A236" s="15"/>
      <c r="B236" s="15"/>
      <c r="C236" s="16"/>
      <c r="D236" s="16"/>
      <c r="E236" s="16"/>
      <c r="F236" s="16"/>
      <c r="G236" s="16"/>
      <c r="H236" s="16"/>
      <c r="I236" s="16"/>
      <c r="J236" s="16"/>
      <c r="K236" s="16"/>
      <c r="L236" s="38"/>
      <c r="M236" s="25"/>
      <c r="N236" s="25"/>
      <c r="O236" s="25"/>
      <c r="P236" s="1"/>
      <c r="Q236" s="1"/>
      <c r="R236" s="8"/>
      <c r="S236" s="1"/>
      <c r="T236" s="8"/>
      <c r="U236" s="1"/>
      <c r="V236" s="1"/>
      <c r="W236" s="1"/>
      <c r="X236" s="1"/>
    </row>
    <row r="237" spans="1:24">
      <c r="A237" s="15"/>
      <c r="B237" s="15"/>
      <c r="C237" s="16"/>
      <c r="D237" s="16"/>
      <c r="E237" s="16"/>
      <c r="F237" s="16"/>
      <c r="G237" s="16"/>
      <c r="H237" s="16"/>
      <c r="I237" s="16"/>
      <c r="J237" s="16"/>
      <c r="K237" s="16"/>
      <c r="L237" s="38"/>
      <c r="M237" s="25"/>
      <c r="N237" s="25"/>
      <c r="O237" s="25"/>
      <c r="P237" s="1"/>
      <c r="Q237" s="1"/>
      <c r="R237" s="8"/>
      <c r="S237" s="1"/>
      <c r="T237" s="8"/>
      <c r="U237" s="1"/>
      <c r="V237" s="1"/>
      <c r="W237" s="1"/>
      <c r="X237" s="1"/>
    </row>
    <row r="238" spans="1:24">
      <c r="A238" s="15"/>
      <c r="B238" s="15"/>
      <c r="C238" s="16"/>
      <c r="D238" s="16"/>
      <c r="E238" s="16"/>
      <c r="F238" s="16"/>
      <c r="G238" s="16"/>
      <c r="H238" s="16"/>
      <c r="I238" s="16"/>
      <c r="J238" s="16"/>
      <c r="K238" s="16"/>
      <c r="L238" s="38"/>
      <c r="M238" s="25"/>
      <c r="N238" s="25"/>
      <c r="O238" s="25"/>
      <c r="P238" s="1"/>
      <c r="Q238" s="1"/>
      <c r="R238" s="8"/>
      <c r="S238" s="1"/>
      <c r="T238" s="8"/>
      <c r="U238" s="1"/>
      <c r="V238" s="1"/>
      <c r="W238" s="1"/>
      <c r="X238" s="1"/>
    </row>
    <row r="239" spans="1:24">
      <c r="A239" s="15"/>
      <c r="B239" s="15"/>
      <c r="C239" s="16"/>
      <c r="D239" s="16"/>
      <c r="E239" s="16"/>
      <c r="F239" s="16"/>
      <c r="G239" s="16"/>
      <c r="H239" s="16"/>
      <c r="I239" s="16"/>
      <c r="J239" s="16"/>
      <c r="K239" s="16"/>
      <c r="L239" s="38"/>
      <c r="M239" s="25"/>
      <c r="N239" s="25"/>
      <c r="O239" s="25"/>
      <c r="P239" s="1"/>
      <c r="Q239" s="1"/>
      <c r="R239" s="8"/>
      <c r="S239" s="1"/>
      <c r="T239" s="8"/>
      <c r="U239" s="1"/>
      <c r="V239" s="1"/>
      <c r="W239" s="1"/>
      <c r="X239" s="1"/>
    </row>
    <row r="240" spans="1:24">
      <c r="A240" s="15"/>
      <c r="B240" s="15"/>
      <c r="C240" s="16"/>
      <c r="D240" s="16"/>
      <c r="E240" s="16"/>
      <c r="F240" s="16"/>
      <c r="G240" s="16"/>
      <c r="H240" s="16"/>
      <c r="I240" s="16"/>
      <c r="J240" s="16"/>
      <c r="K240" s="16"/>
      <c r="L240" s="38"/>
      <c r="M240" s="25"/>
      <c r="N240" s="25"/>
      <c r="O240" s="25"/>
      <c r="P240" s="1"/>
      <c r="Q240" s="1"/>
      <c r="R240" s="8"/>
      <c r="S240" s="1"/>
      <c r="T240" s="8"/>
      <c r="U240" s="1"/>
      <c r="V240" s="1"/>
      <c r="W240" s="1"/>
      <c r="X240" s="1"/>
    </row>
    <row r="241" spans="1:24">
      <c r="A241" s="15"/>
      <c r="B241" s="15"/>
      <c r="C241" s="16"/>
      <c r="D241" s="16"/>
      <c r="E241" s="16"/>
      <c r="F241" s="16"/>
      <c r="G241" s="16"/>
      <c r="H241" s="16"/>
      <c r="I241" s="16"/>
      <c r="J241" s="16"/>
      <c r="K241" s="16"/>
      <c r="L241" s="38"/>
      <c r="M241" s="25"/>
      <c r="N241" s="25"/>
      <c r="O241" s="25"/>
      <c r="P241" s="1"/>
      <c r="Q241" s="1"/>
      <c r="R241" s="8"/>
      <c r="S241" s="1"/>
      <c r="T241" s="8"/>
      <c r="U241" s="1"/>
      <c r="V241" s="1"/>
      <c r="W241" s="1"/>
      <c r="X241" s="1"/>
    </row>
    <row r="242" spans="1:24">
      <c r="A242" s="15"/>
      <c r="B242" s="15"/>
      <c r="C242" s="16"/>
      <c r="D242" s="16"/>
      <c r="E242" s="16"/>
      <c r="F242" s="16"/>
      <c r="G242" s="16"/>
      <c r="H242" s="16"/>
      <c r="I242" s="16"/>
      <c r="J242" s="16"/>
      <c r="K242" s="16"/>
      <c r="L242" s="38"/>
      <c r="M242" s="25"/>
      <c r="N242" s="25"/>
      <c r="O242" s="25"/>
      <c r="P242" s="1"/>
      <c r="Q242" s="1"/>
      <c r="R242" s="8"/>
      <c r="S242" s="1"/>
      <c r="T242" s="8"/>
      <c r="U242" s="1"/>
      <c r="V242" s="1"/>
      <c r="W242" s="1"/>
      <c r="X242" s="1"/>
    </row>
    <row r="243" spans="1:24">
      <c r="A243" s="15"/>
      <c r="B243" s="15"/>
      <c r="C243" s="16"/>
      <c r="D243" s="16"/>
      <c r="E243" s="16"/>
      <c r="F243" s="16"/>
      <c r="G243" s="16"/>
      <c r="H243" s="16"/>
      <c r="I243" s="16"/>
      <c r="J243" s="16"/>
      <c r="K243" s="16"/>
      <c r="L243" s="38"/>
      <c r="M243" s="25"/>
      <c r="N243" s="25"/>
      <c r="O243" s="25"/>
      <c r="P243" s="1"/>
      <c r="Q243" s="1"/>
      <c r="R243" s="8"/>
      <c r="S243" s="1"/>
      <c r="T243" s="8"/>
      <c r="U243" s="1"/>
      <c r="V243" s="1"/>
      <c r="W243" s="1"/>
      <c r="X243" s="1"/>
    </row>
    <row r="244" spans="1:24">
      <c r="A244" s="15"/>
      <c r="B244" s="15"/>
      <c r="C244" s="16"/>
      <c r="D244" s="16"/>
      <c r="E244" s="16"/>
      <c r="F244" s="16"/>
      <c r="G244" s="16"/>
      <c r="H244" s="16"/>
      <c r="I244" s="16"/>
      <c r="J244" s="16"/>
      <c r="K244" s="16"/>
      <c r="L244" s="38"/>
      <c r="M244" s="25"/>
      <c r="N244" s="25"/>
      <c r="O244" s="25"/>
      <c r="P244" s="1"/>
      <c r="Q244" s="1"/>
      <c r="R244" s="8"/>
      <c r="S244" s="1"/>
      <c r="T244" s="8"/>
      <c r="U244" s="1"/>
      <c r="V244" s="1"/>
      <c r="W244" s="1"/>
      <c r="X244" s="1"/>
    </row>
    <row r="245" spans="1:24">
      <c r="A245" s="15"/>
      <c r="B245" s="15"/>
      <c r="C245" s="16"/>
      <c r="D245" s="16"/>
      <c r="E245" s="16"/>
      <c r="F245" s="16"/>
      <c r="G245" s="16"/>
      <c r="H245" s="16"/>
      <c r="I245" s="16"/>
      <c r="J245" s="16"/>
      <c r="K245" s="16"/>
      <c r="L245" s="38"/>
      <c r="M245" s="25"/>
      <c r="N245" s="25"/>
      <c r="O245" s="25"/>
      <c r="P245" s="1"/>
      <c r="Q245" s="1"/>
      <c r="R245" s="8"/>
      <c r="S245" s="1"/>
      <c r="T245" s="8"/>
      <c r="U245" s="1"/>
      <c r="V245" s="1"/>
      <c r="W245" s="1"/>
      <c r="X245" s="1"/>
    </row>
    <row r="246" spans="1:24">
      <c r="A246" s="15"/>
      <c r="B246" s="15"/>
      <c r="C246" s="16"/>
      <c r="D246" s="16"/>
      <c r="E246" s="16"/>
      <c r="F246" s="16"/>
      <c r="G246" s="16"/>
      <c r="H246" s="16"/>
      <c r="I246" s="16"/>
      <c r="J246" s="16"/>
      <c r="K246" s="16"/>
      <c r="L246" s="38"/>
      <c r="M246" s="25"/>
      <c r="N246" s="25"/>
      <c r="O246" s="25"/>
      <c r="P246" s="1"/>
      <c r="Q246" s="1"/>
      <c r="R246" s="8"/>
      <c r="S246" s="1"/>
      <c r="T246" s="8"/>
      <c r="U246" s="1"/>
      <c r="V246" s="1"/>
      <c r="W246" s="1"/>
      <c r="X246" s="1"/>
    </row>
    <row r="247" spans="1:24">
      <c r="A247" s="15"/>
      <c r="B247" s="15"/>
      <c r="C247" s="16"/>
      <c r="D247" s="16"/>
      <c r="E247" s="16"/>
      <c r="F247" s="16"/>
      <c r="G247" s="16"/>
      <c r="H247" s="16"/>
      <c r="I247" s="16"/>
      <c r="J247" s="16"/>
      <c r="K247" s="16"/>
      <c r="L247" s="38"/>
      <c r="M247" s="25"/>
      <c r="N247" s="25"/>
      <c r="O247" s="25"/>
      <c r="P247" s="1"/>
      <c r="Q247" s="1"/>
      <c r="R247" s="8"/>
      <c r="S247" s="1"/>
      <c r="T247" s="8"/>
      <c r="U247" s="1"/>
      <c r="V247" s="1"/>
      <c r="W247" s="1"/>
      <c r="X247" s="1"/>
    </row>
    <row r="248" spans="1:24">
      <c r="A248" s="15"/>
      <c r="B248" s="15"/>
      <c r="C248" s="16"/>
      <c r="D248" s="16"/>
      <c r="E248" s="16"/>
      <c r="F248" s="16"/>
      <c r="G248" s="16"/>
      <c r="H248" s="16"/>
      <c r="I248" s="16"/>
      <c r="J248" s="16"/>
      <c r="K248" s="16"/>
      <c r="L248" s="38"/>
      <c r="M248" s="25"/>
      <c r="N248" s="25"/>
      <c r="O248" s="25"/>
      <c r="P248" s="1"/>
      <c r="Q248" s="1"/>
      <c r="R248" s="8"/>
      <c r="S248" s="1"/>
      <c r="T248" s="8"/>
      <c r="U248" s="1"/>
      <c r="V248" s="1"/>
      <c r="W248" s="1"/>
      <c r="X248" s="1"/>
    </row>
    <row r="249" spans="1:24">
      <c r="A249" s="15"/>
      <c r="B249" s="15"/>
      <c r="C249" s="16"/>
      <c r="D249" s="16"/>
      <c r="E249" s="16"/>
      <c r="F249" s="16"/>
      <c r="G249" s="16"/>
      <c r="H249" s="16"/>
      <c r="I249" s="16"/>
      <c r="J249" s="16"/>
      <c r="K249" s="16"/>
      <c r="L249" s="38"/>
      <c r="M249" s="25"/>
      <c r="N249" s="25"/>
      <c r="O249" s="25"/>
      <c r="P249" s="1"/>
      <c r="Q249" s="1"/>
      <c r="R249" s="8"/>
      <c r="S249" s="1"/>
      <c r="T249" s="8"/>
      <c r="U249" s="1"/>
      <c r="V249" s="1"/>
      <c r="W249" s="1"/>
      <c r="X249" s="1"/>
    </row>
    <row r="250" spans="1:24">
      <c r="A250" s="15"/>
      <c r="B250" s="15"/>
      <c r="C250" s="16"/>
      <c r="D250" s="16"/>
      <c r="E250" s="16"/>
      <c r="F250" s="16"/>
      <c r="G250" s="16"/>
      <c r="H250" s="16"/>
      <c r="I250" s="16"/>
      <c r="J250" s="16"/>
      <c r="K250" s="16"/>
      <c r="L250" s="38"/>
      <c r="M250" s="25"/>
      <c r="N250" s="25"/>
      <c r="O250" s="25"/>
      <c r="P250" s="1"/>
      <c r="Q250" s="1"/>
      <c r="R250" s="8"/>
      <c r="S250" s="1"/>
      <c r="T250" s="8"/>
      <c r="U250" s="1"/>
      <c r="V250" s="1"/>
      <c r="W250" s="1"/>
      <c r="X250" s="1"/>
    </row>
    <row r="251" spans="1:24">
      <c r="A251" s="15"/>
      <c r="B251" s="15"/>
      <c r="C251" s="16"/>
      <c r="D251" s="16"/>
      <c r="E251" s="16"/>
      <c r="F251" s="16"/>
      <c r="G251" s="16"/>
      <c r="H251" s="16"/>
      <c r="I251" s="16"/>
      <c r="J251" s="16"/>
      <c r="K251" s="16"/>
      <c r="L251" s="38"/>
      <c r="M251" s="25"/>
      <c r="N251" s="25"/>
      <c r="O251" s="25"/>
      <c r="P251" s="1"/>
      <c r="Q251" s="1"/>
      <c r="R251" s="8"/>
      <c r="S251" s="1"/>
      <c r="T251" s="8"/>
      <c r="U251" s="1"/>
      <c r="V251" s="1"/>
      <c r="W251" s="1"/>
      <c r="X251" s="1"/>
    </row>
    <row r="252" spans="1:24">
      <c r="A252" s="15"/>
      <c r="B252" s="15"/>
      <c r="C252" s="16"/>
      <c r="D252" s="16"/>
      <c r="E252" s="16"/>
      <c r="F252" s="16"/>
      <c r="G252" s="16"/>
      <c r="H252" s="16"/>
      <c r="I252" s="16"/>
      <c r="J252" s="16"/>
      <c r="K252" s="16"/>
      <c r="L252" s="38"/>
      <c r="M252" s="25"/>
      <c r="N252" s="25"/>
      <c r="O252" s="25"/>
      <c r="P252" s="1"/>
      <c r="Q252" s="1"/>
      <c r="R252" s="8"/>
      <c r="S252" s="1"/>
      <c r="T252" s="8"/>
      <c r="U252" s="1"/>
      <c r="V252" s="1"/>
      <c r="W252" s="1"/>
      <c r="X252" s="1"/>
    </row>
    <row r="253" spans="1:24">
      <c r="A253" s="15"/>
      <c r="B253" s="15"/>
      <c r="C253" s="16"/>
      <c r="D253" s="16"/>
      <c r="E253" s="16"/>
      <c r="F253" s="16"/>
      <c r="G253" s="16"/>
      <c r="H253" s="16"/>
      <c r="I253" s="16"/>
      <c r="J253" s="16"/>
      <c r="K253" s="16"/>
      <c r="L253" s="38"/>
      <c r="M253" s="25"/>
      <c r="N253" s="25"/>
      <c r="O253" s="25"/>
      <c r="P253" s="1"/>
      <c r="Q253" s="1"/>
      <c r="R253" s="8"/>
      <c r="S253" s="1"/>
      <c r="T253" s="8"/>
      <c r="U253" s="1"/>
      <c r="V253" s="1"/>
      <c r="W253" s="1"/>
      <c r="X253" s="1"/>
    </row>
    <row r="254" spans="1:24">
      <c r="A254" s="15"/>
      <c r="B254" s="15"/>
      <c r="C254" s="16"/>
      <c r="D254" s="16"/>
      <c r="E254" s="16"/>
      <c r="F254" s="16"/>
      <c r="G254" s="16"/>
      <c r="H254" s="16"/>
      <c r="I254" s="16"/>
      <c r="J254" s="16"/>
      <c r="K254" s="16"/>
      <c r="L254" s="38"/>
      <c r="M254" s="25"/>
      <c r="N254" s="25"/>
      <c r="O254" s="25"/>
      <c r="P254" s="1"/>
      <c r="Q254" s="1"/>
      <c r="R254" s="8"/>
      <c r="S254" s="1"/>
      <c r="T254" s="8"/>
      <c r="U254" s="1"/>
      <c r="V254" s="1"/>
      <c r="W254" s="1"/>
      <c r="X254" s="1"/>
    </row>
    <row r="255" spans="1:24">
      <c r="A255" s="15"/>
      <c r="B255" s="15"/>
      <c r="C255" s="16"/>
      <c r="D255" s="16"/>
      <c r="E255" s="16"/>
      <c r="F255" s="16"/>
      <c r="G255" s="16"/>
      <c r="H255" s="16"/>
      <c r="I255" s="16"/>
      <c r="J255" s="16"/>
      <c r="K255" s="16"/>
      <c r="L255" s="38"/>
      <c r="M255" s="25"/>
      <c r="N255" s="25"/>
      <c r="O255" s="25"/>
      <c r="P255" s="1"/>
      <c r="Q255" s="1"/>
      <c r="R255" s="8"/>
      <c r="S255" s="1"/>
      <c r="T255" s="8"/>
      <c r="U255" s="1"/>
      <c r="V255" s="1"/>
      <c r="W255" s="1"/>
      <c r="X255" s="1"/>
    </row>
    <row r="256" spans="1:24">
      <c r="A256" s="15"/>
      <c r="B256" s="15"/>
      <c r="C256" s="16"/>
      <c r="D256" s="16"/>
      <c r="E256" s="16"/>
      <c r="F256" s="16"/>
      <c r="G256" s="16"/>
      <c r="H256" s="16"/>
      <c r="I256" s="16"/>
      <c r="J256" s="16"/>
      <c r="K256" s="16"/>
      <c r="L256" s="38"/>
      <c r="M256" s="25"/>
      <c r="N256" s="25"/>
      <c r="O256" s="25"/>
      <c r="P256" s="1"/>
      <c r="Q256" s="1"/>
      <c r="R256" s="8"/>
      <c r="S256" s="1"/>
      <c r="T256" s="8"/>
      <c r="U256" s="1"/>
      <c r="V256" s="1"/>
      <c r="W256" s="1"/>
      <c r="X256" s="1"/>
    </row>
    <row r="257" spans="1:24">
      <c r="A257" s="15"/>
      <c r="B257" s="15"/>
      <c r="C257" s="16"/>
      <c r="D257" s="16"/>
      <c r="E257" s="16"/>
      <c r="F257" s="16"/>
      <c r="G257" s="16"/>
      <c r="H257" s="16"/>
      <c r="I257" s="16"/>
      <c r="J257" s="16"/>
      <c r="K257" s="16"/>
      <c r="L257" s="38"/>
      <c r="M257" s="25"/>
      <c r="N257" s="25"/>
      <c r="O257" s="25"/>
      <c r="P257" s="1"/>
      <c r="Q257" s="1"/>
      <c r="R257" s="8"/>
      <c r="S257" s="1"/>
      <c r="T257" s="8"/>
      <c r="U257" s="1"/>
      <c r="V257" s="1"/>
      <c r="W257" s="1"/>
      <c r="X257" s="1"/>
    </row>
    <row r="258" spans="1:24">
      <c r="A258" s="15"/>
      <c r="B258" s="15"/>
      <c r="C258" s="16"/>
      <c r="D258" s="16"/>
      <c r="E258" s="16"/>
      <c r="F258" s="16"/>
      <c r="G258" s="16"/>
      <c r="H258" s="16"/>
      <c r="I258" s="16"/>
      <c r="J258" s="16"/>
      <c r="K258" s="16"/>
      <c r="L258" s="38"/>
      <c r="M258" s="25"/>
      <c r="N258" s="25"/>
      <c r="O258" s="25"/>
      <c r="P258" s="1"/>
      <c r="Q258" s="1"/>
      <c r="R258" s="8"/>
      <c r="S258" s="1"/>
      <c r="T258" s="8"/>
      <c r="U258" s="1"/>
      <c r="V258" s="1"/>
      <c r="W258" s="1"/>
      <c r="X258" s="1"/>
    </row>
    <row r="259" spans="1:24">
      <c r="A259" s="15"/>
      <c r="B259" s="15"/>
      <c r="C259" s="16"/>
      <c r="D259" s="16"/>
      <c r="E259" s="16"/>
      <c r="F259" s="16"/>
      <c r="G259" s="16"/>
      <c r="H259" s="16"/>
      <c r="I259" s="16"/>
      <c r="J259" s="16"/>
      <c r="K259" s="16"/>
      <c r="L259" s="38"/>
      <c r="M259" s="25"/>
      <c r="N259" s="25"/>
      <c r="O259" s="25"/>
      <c r="P259" s="1"/>
      <c r="Q259" s="1"/>
      <c r="R259" s="8"/>
      <c r="S259" s="1"/>
      <c r="T259" s="8"/>
      <c r="U259" s="1"/>
      <c r="V259" s="1"/>
      <c r="W259" s="1"/>
      <c r="X259" s="1"/>
    </row>
    <row r="260" spans="1:24">
      <c r="A260" s="15"/>
      <c r="B260" s="15"/>
      <c r="C260" s="16"/>
      <c r="D260" s="16"/>
      <c r="E260" s="16"/>
      <c r="F260" s="16"/>
      <c r="G260" s="16"/>
      <c r="H260" s="16"/>
      <c r="I260" s="16"/>
      <c r="J260" s="16"/>
      <c r="K260" s="16"/>
      <c r="L260" s="38"/>
      <c r="M260" s="25"/>
      <c r="N260" s="25"/>
      <c r="O260" s="25"/>
      <c r="P260" s="1"/>
      <c r="Q260" s="1"/>
      <c r="R260" s="8"/>
      <c r="S260" s="1"/>
      <c r="T260" s="8"/>
      <c r="U260" s="1"/>
      <c r="V260" s="1"/>
      <c r="W260" s="1"/>
      <c r="X260" s="1"/>
    </row>
    <row r="261" spans="1:24">
      <c r="A261" s="15"/>
      <c r="B261" s="15"/>
      <c r="C261" s="16"/>
      <c r="D261" s="16"/>
      <c r="E261" s="16"/>
      <c r="F261" s="16"/>
      <c r="G261" s="16"/>
      <c r="H261" s="16"/>
      <c r="I261" s="16"/>
      <c r="J261" s="16"/>
      <c r="K261" s="16"/>
      <c r="L261" s="38"/>
      <c r="M261" s="25"/>
      <c r="N261" s="25"/>
      <c r="O261" s="25"/>
      <c r="P261" s="1"/>
      <c r="Q261" s="1"/>
      <c r="R261" s="8"/>
      <c r="S261" s="1"/>
      <c r="T261" s="8"/>
      <c r="U261" s="1"/>
      <c r="V261" s="1"/>
      <c r="W261" s="1"/>
      <c r="X261" s="1"/>
    </row>
    <row r="262" spans="1:24">
      <c r="A262" s="15"/>
      <c r="B262" s="15"/>
      <c r="C262" s="16"/>
      <c r="D262" s="16"/>
      <c r="E262" s="16"/>
      <c r="F262" s="16"/>
      <c r="G262" s="16"/>
      <c r="H262" s="16"/>
      <c r="I262" s="16"/>
      <c r="J262" s="16"/>
      <c r="K262" s="16"/>
      <c r="L262" s="38"/>
      <c r="M262" s="25"/>
      <c r="N262" s="25"/>
      <c r="O262" s="25"/>
      <c r="P262" s="1"/>
      <c r="Q262" s="1"/>
      <c r="R262" s="8"/>
      <c r="S262" s="1"/>
      <c r="T262" s="8"/>
      <c r="U262" s="1"/>
      <c r="V262" s="1"/>
      <c r="W262" s="1"/>
      <c r="X262" s="1"/>
    </row>
    <row r="263" spans="1:24">
      <c r="A263" s="15"/>
      <c r="B263" s="15"/>
      <c r="C263" s="16"/>
      <c r="D263" s="16"/>
      <c r="E263" s="16"/>
      <c r="F263" s="16"/>
      <c r="G263" s="16"/>
      <c r="H263" s="16"/>
      <c r="I263" s="16"/>
      <c r="J263" s="16"/>
      <c r="K263" s="16"/>
      <c r="L263" s="38"/>
      <c r="M263" s="25"/>
      <c r="N263" s="25"/>
      <c r="O263" s="25"/>
      <c r="P263" s="1"/>
      <c r="Q263" s="1"/>
      <c r="R263" s="8"/>
      <c r="S263" s="1"/>
      <c r="T263" s="8"/>
      <c r="U263" s="1"/>
      <c r="V263" s="1"/>
      <c r="W263" s="1"/>
      <c r="X263" s="1"/>
    </row>
    <row r="264" spans="1:24">
      <c r="A264" s="15"/>
      <c r="B264" s="15"/>
      <c r="C264" s="16"/>
      <c r="D264" s="16"/>
      <c r="E264" s="16"/>
      <c r="F264" s="16"/>
      <c r="G264" s="16"/>
      <c r="H264" s="16"/>
      <c r="I264" s="16"/>
      <c r="J264" s="16"/>
      <c r="K264" s="16"/>
      <c r="L264" s="38"/>
      <c r="M264" s="25"/>
      <c r="N264" s="25"/>
      <c r="O264" s="25"/>
      <c r="P264" s="1"/>
      <c r="Q264" s="1"/>
      <c r="R264" s="8"/>
      <c r="S264" s="1"/>
      <c r="T264" s="8"/>
      <c r="U264" s="1"/>
      <c r="V264" s="1"/>
      <c r="W264" s="1"/>
      <c r="X264" s="1"/>
    </row>
    <row r="265" spans="1:24">
      <c r="A265" s="15"/>
      <c r="B265" s="15"/>
      <c r="C265" s="16"/>
      <c r="D265" s="16"/>
      <c r="E265" s="16"/>
      <c r="F265" s="16"/>
      <c r="G265" s="16"/>
      <c r="H265" s="16"/>
      <c r="I265" s="16"/>
      <c r="J265" s="16"/>
      <c r="K265" s="16"/>
      <c r="L265" s="38"/>
      <c r="M265" s="25"/>
      <c r="N265" s="25"/>
      <c r="O265" s="25"/>
      <c r="P265" s="1"/>
      <c r="Q265" s="1"/>
      <c r="R265" s="8"/>
      <c r="S265" s="1"/>
      <c r="T265" s="8"/>
      <c r="U265" s="1"/>
      <c r="V265" s="1"/>
      <c r="W265" s="1"/>
      <c r="X265" s="1"/>
    </row>
    <row r="266" spans="1:24">
      <c r="A266" s="15"/>
      <c r="B266" s="15"/>
      <c r="C266" s="16"/>
      <c r="D266" s="16"/>
      <c r="E266" s="16"/>
      <c r="F266" s="16"/>
      <c r="G266" s="16"/>
      <c r="H266" s="16"/>
      <c r="I266" s="16"/>
      <c r="J266" s="16"/>
      <c r="K266" s="16"/>
      <c r="L266" s="38"/>
      <c r="M266" s="25"/>
      <c r="N266" s="25"/>
      <c r="O266" s="25"/>
      <c r="P266" s="1"/>
      <c r="Q266" s="1"/>
      <c r="R266" s="8"/>
      <c r="S266" s="1"/>
      <c r="T266" s="8"/>
      <c r="U266" s="1"/>
      <c r="V266" s="1"/>
      <c r="W266" s="1"/>
      <c r="X266" s="1"/>
    </row>
    <row r="267" spans="1:24">
      <c r="A267" s="15"/>
      <c r="B267" s="15"/>
      <c r="C267" s="16"/>
      <c r="D267" s="16"/>
      <c r="E267" s="16"/>
      <c r="F267" s="16"/>
      <c r="G267" s="16"/>
      <c r="H267" s="16"/>
      <c r="I267" s="16"/>
      <c r="J267" s="16"/>
      <c r="K267" s="16"/>
      <c r="L267" s="38"/>
      <c r="M267" s="25"/>
      <c r="N267" s="25"/>
      <c r="O267" s="25"/>
      <c r="P267" s="1"/>
      <c r="Q267" s="1"/>
      <c r="R267" s="8"/>
      <c r="S267" s="1"/>
      <c r="T267" s="8"/>
      <c r="U267" s="1"/>
      <c r="V267" s="1"/>
      <c r="W267" s="1"/>
      <c r="X267" s="1"/>
    </row>
    <row r="268" spans="1:24">
      <c r="A268" s="15"/>
      <c r="B268" s="15"/>
      <c r="C268" s="16"/>
      <c r="D268" s="16"/>
      <c r="E268" s="16"/>
      <c r="F268" s="16"/>
      <c r="G268" s="16"/>
      <c r="H268" s="16"/>
      <c r="I268" s="16"/>
      <c r="J268" s="16"/>
      <c r="K268" s="16"/>
      <c r="L268" s="38"/>
      <c r="M268" s="25"/>
      <c r="N268" s="25"/>
      <c r="O268" s="25"/>
      <c r="P268" s="1"/>
      <c r="Q268" s="1"/>
      <c r="R268" s="8"/>
      <c r="S268" s="1"/>
      <c r="T268" s="8"/>
      <c r="U268" s="1"/>
      <c r="V268" s="1"/>
      <c r="W268" s="1"/>
      <c r="X268" s="1"/>
    </row>
    <row r="269" spans="1:24">
      <c r="A269" s="15"/>
      <c r="B269" s="15"/>
      <c r="C269" s="16"/>
      <c r="D269" s="16"/>
      <c r="E269" s="16"/>
      <c r="F269" s="16"/>
      <c r="G269" s="16"/>
      <c r="H269" s="16"/>
      <c r="I269" s="16"/>
      <c r="J269" s="16"/>
      <c r="K269" s="16"/>
      <c r="L269" s="38"/>
      <c r="M269" s="25"/>
      <c r="N269" s="25"/>
      <c r="O269" s="25"/>
      <c r="P269" s="1"/>
      <c r="Q269" s="1"/>
      <c r="R269" s="8"/>
      <c r="S269" s="1"/>
      <c r="T269" s="8"/>
      <c r="U269" s="1"/>
      <c r="V269" s="1"/>
      <c r="W269" s="1"/>
      <c r="X269" s="1"/>
    </row>
    <row r="270" spans="1:24">
      <c r="A270" s="15"/>
      <c r="B270" s="15"/>
      <c r="C270" s="16"/>
      <c r="D270" s="16"/>
      <c r="E270" s="16"/>
      <c r="F270" s="16"/>
      <c r="G270" s="16"/>
      <c r="H270" s="16"/>
      <c r="I270" s="16"/>
      <c r="J270" s="16"/>
      <c r="K270" s="16"/>
      <c r="L270" s="38"/>
      <c r="M270" s="25"/>
      <c r="N270" s="25"/>
      <c r="O270" s="25"/>
      <c r="P270" s="1"/>
      <c r="Q270" s="1"/>
      <c r="R270" s="8"/>
      <c r="S270" s="1"/>
      <c r="T270" s="8"/>
      <c r="U270" s="1"/>
      <c r="V270" s="1"/>
      <c r="W270" s="1"/>
      <c r="X270" s="1"/>
    </row>
    <row r="271" spans="1:24">
      <c r="A271" s="15"/>
      <c r="B271" s="15"/>
      <c r="C271" s="16"/>
      <c r="D271" s="16"/>
      <c r="E271" s="16"/>
      <c r="F271" s="16"/>
      <c r="G271" s="16"/>
      <c r="H271" s="16"/>
      <c r="I271" s="16"/>
      <c r="J271" s="16"/>
      <c r="K271" s="16"/>
      <c r="L271" s="38"/>
      <c r="M271" s="25"/>
      <c r="N271" s="25"/>
      <c r="O271" s="25"/>
      <c r="P271" s="1"/>
      <c r="Q271" s="1"/>
      <c r="R271" s="8"/>
      <c r="S271" s="1"/>
      <c r="T271" s="8"/>
      <c r="U271" s="1"/>
      <c r="V271" s="1"/>
      <c r="W271" s="1"/>
      <c r="X271" s="1"/>
    </row>
    <row r="272" spans="1:24">
      <c r="A272" s="15"/>
      <c r="B272" s="15"/>
      <c r="C272" s="16"/>
      <c r="D272" s="16"/>
      <c r="E272" s="16"/>
      <c r="F272" s="16"/>
      <c r="G272" s="16"/>
      <c r="H272" s="16"/>
      <c r="I272" s="16"/>
      <c r="J272" s="16"/>
      <c r="K272" s="16"/>
      <c r="L272" s="38"/>
      <c r="M272" s="25"/>
      <c r="N272" s="25"/>
      <c r="O272" s="25"/>
      <c r="P272" s="1"/>
      <c r="Q272" s="1"/>
      <c r="R272" s="8"/>
      <c r="S272" s="1"/>
      <c r="T272" s="8"/>
      <c r="U272" s="1"/>
      <c r="V272" s="1"/>
      <c r="W272" s="1"/>
      <c r="X272" s="1"/>
    </row>
    <row r="273" spans="1:24">
      <c r="A273" s="15"/>
      <c r="B273" s="15"/>
      <c r="C273" s="16"/>
      <c r="D273" s="16"/>
      <c r="E273" s="16"/>
      <c r="F273" s="16"/>
      <c r="G273" s="16"/>
      <c r="H273" s="16"/>
      <c r="I273" s="16"/>
      <c r="J273" s="16"/>
      <c r="K273" s="16"/>
      <c r="L273" s="38"/>
      <c r="M273" s="25"/>
      <c r="N273" s="25"/>
      <c r="O273" s="25"/>
      <c r="P273" s="1"/>
      <c r="Q273" s="1"/>
      <c r="R273" s="8"/>
      <c r="S273" s="1"/>
      <c r="T273" s="8"/>
      <c r="U273" s="1"/>
      <c r="V273" s="1"/>
      <c r="W273" s="1"/>
      <c r="X273" s="1"/>
    </row>
    <row r="274" spans="1:24">
      <c r="A274" s="15"/>
      <c r="B274" s="15"/>
      <c r="C274" s="16"/>
      <c r="D274" s="16"/>
      <c r="E274" s="16"/>
      <c r="F274" s="16"/>
      <c r="G274" s="16"/>
      <c r="H274" s="16"/>
      <c r="I274" s="16"/>
      <c r="J274" s="16"/>
      <c r="K274" s="16"/>
      <c r="L274" s="38"/>
      <c r="M274" s="25"/>
      <c r="N274" s="25"/>
      <c r="O274" s="25"/>
      <c r="P274" s="1"/>
      <c r="Q274" s="1"/>
      <c r="R274" s="8"/>
      <c r="S274" s="1"/>
      <c r="T274" s="8"/>
      <c r="U274" s="1"/>
      <c r="V274" s="1"/>
      <c r="W274" s="1"/>
      <c r="X274" s="1"/>
    </row>
    <row r="275" spans="1:24">
      <c r="A275" s="15"/>
      <c r="B275" s="15"/>
      <c r="C275" s="16"/>
      <c r="D275" s="16"/>
      <c r="E275" s="16"/>
      <c r="F275" s="16"/>
      <c r="G275" s="16"/>
      <c r="H275" s="16"/>
      <c r="I275" s="16"/>
      <c r="J275" s="16"/>
      <c r="K275" s="16"/>
      <c r="L275" s="38"/>
      <c r="M275" s="25"/>
      <c r="N275" s="25"/>
      <c r="O275" s="25"/>
      <c r="P275" s="1"/>
      <c r="Q275" s="1"/>
      <c r="R275" s="8"/>
      <c r="S275" s="1"/>
      <c r="T275" s="8"/>
      <c r="U275" s="1"/>
      <c r="V275" s="1"/>
      <c r="W275" s="1"/>
      <c r="X275" s="1"/>
    </row>
    <row r="276" spans="1:24">
      <c r="A276" s="15"/>
      <c r="B276" s="15"/>
      <c r="C276" s="16"/>
      <c r="D276" s="16"/>
      <c r="E276" s="16"/>
      <c r="F276" s="16"/>
      <c r="G276" s="16"/>
      <c r="H276" s="16"/>
      <c r="I276" s="16"/>
      <c r="J276" s="16"/>
      <c r="K276" s="16"/>
      <c r="L276" s="38"/>
      <c r="M276" s="25"/>
      <c r="N276" s="25"/>
      <c r="O276" s="25"/>
      <c r="P276" s="1"/>
      <c r="Q276" s="1"/>
      <c r="R276" s="8"/>
      <c r="S276" s="1"/>
      <c r="T276" s="8"/>
      <c r="U276" s="1"/>
      <c r="V276" s="1"/>
      <c r="W276" s="1"/>
      <c r="X276" s="1"/>
    </row>
    <row r="277" spans="1:24">
      <c r="A277" s="15"/>
      <c r="B277" s="15"/>
      <c r="C277" s="16"/>
      <c r="D277" s="16"/>
      <c r="E277" s="16"/>
      <c r="F277" s="16"/>
      <c r="G277" s="16"/>
      <c r="H277" s="16"/>
      <c r="I277" s="16"/>
      <c r="J277" s="16"/>
      <c r="K277" s="16"/>
      <c r="L277" s="38"/>
      <c r="M277" s="25"/>
      <c r="N277" s="25"/>
      <c r="O277" s="25"/>
      <c r="P277" s="1"/>
      <c r="Q277" s="1"/>
      <c r="R277" s="8"/>
      <c r="S277" s="1"/>
      <c r="T277" s="8"/>
      <c r="U277" s="1"/>
      <c r="V277" s="1"/>
      <c r="W277" s="1"/>
      <c r="X277" s="1"/>
    </row>
    <row r="278" spans="1:24">
      <c r="A278" s="15"/>
      <c r="B278" s="15"/>
      <c r="C278" s="16"/>
      <c r="D278" s="16"/>
      <c r="E278" s="16"/>
      <c r="F278" s="16"/>
      <c r="G278" s="16"/>
      <c r="H278" s="16"/>
      <c r="I278" s="16"/>
      <c r="J278" s="16"/>
      <c r="K278" s="16"/>
      <c r="L278" s="38"/>
      <c r="M278" s="25"/>
      <c r="N278" s="25"/>
      <c r="O278" s="25"/>
      <c r="P278" s="1"/>
      <c r="Q278" s="1"/>
      <c r="R278" s="8"/>
      <c r="S278" s="1"/>
      <c r="T278" s="8"/>
      <c r="U278" s="1"/>
      <c r="V278" s="1"/>
      <c r="W278" s="1"/>
      <c r="X278" s="1"/>
    </row>
    <row r="279" spans="1:24">
      <c r="A279" s="15"/>
      <c r="B279" s="15"/>
      <c r="C279" s="16"/>
      <c r="D279" s="16"/>
      <c r="E279" s="16"/>
      <c r="F279" s="16"/>
      <c r="G279" s="16"/>
      <c r="H279" s="16"/>
      <c r="I279" s="16"/>
      <c r="J279" s="16"/>
      <c r="K279" s="16"/>
      <c r="L279" s="38"/>
      <c r="M279" s="25"/>
      <c r="N279" s="25"/>
      <c r="O279" s="25"/>
      <c r="P279" s="1"/>
      <c r="Q279" s="1"/>
      <c r="R279" s="8"/>
      <c r="S279" s="1"/>
      <c r="T279" s="8"/>
      <c r="U279" s="1"/>
      <c r="V279" s="1"/>
      <c r="W279" s="1"/>
      <c r="X279" s="1"/>
    </row>
    <row r="280" spans="1:24">
      <c r="A280" s="15"/>
      <c r="B280" s="15"/>
      <c r="C280" s="16"/>
      <c r="D280" s="16"/>
      <c r="E280" s="16"/>
      <c r="F280" s="16"/>
      <c r="G280" s="16"/>
      <c r="H280" s="16"/>
      <c r="I280" s="16"/>
      <c r="J280" s="16"/>
      <c r="K280" s="16"/>
      <c r="L280" s="38"/>
      <c r="M280" s="25"/>
      <c r="N280" s="25"/>
      <c r="O280" s="25"/>
      <c r="P280" s="1"/>
      <c r="Q280" s="1"/>
      <c r="R280" s="8"/>
      <c r="S280" s="1"/>
      <c r="T280" s="8"/>
      <c r="U280" s="1"/>
      <c r="V280" s="1"/>
      <c r="W280" s="1"/>
      <c r="X280" s="1"/>
    </row>
    <row r="281" spans="1:24">
      <c r="A281" s="15"/>
      <c r="B281" s="15"/>
      <c r="C281" s="16"/>
      <c r="D281" s="16"/>
      <c r="E281" s="16"/>
      <c r="F281" s="16"/>
      <c r="G281" s="16"/>
      <c r="H281" s="16"/>
      <c r="I281" s="16"/>
      <c r="J281" s="16"/>
      <c r="K281" s="16"/>
      <c r="L281" s="38"/>
      <c r="M281" s="25"/>
      <c r="N281" s="25"/>
      <c r="O281" s="25"/>
      <c r="P281" s="1"/>
      <c r="Q281" s="1"/>
      <c r="R281" s="8"/>
      <c r="S281" s="1"/>
      <c r="T281" s="8"/>
      <c r="U281" s="1"/>
      <c r="V281" s="1"/>
      <c r="W281" s="1"/>
      <c r="X281" s="1"/>
    </row>
    <row r="282" spans="1:24">
      <c r="A282" s="15"/>
      <c r="B282" s="15"/>
      <c r="C282" s="16"/>
      <c r="D282" s="16"/>
      <c r="E282" s="16"/>
      <c r="F282" s="16"/>
      <c r="G282" s="16"/>
      <c r="H282" s="16"/>
      <c r="I282" s="16"/>
      <c r="J282" s="16"/>
      <c r="K282" s="16"/>
      <c r="L282" s="38"/>
      <c r="M282" s="25"/>
      <c r="N282" s="25"/>
      <c r="O282" s="25"/>
      <c r="P282" s="1"/>
      <c r="Q282" s="1"/>
      <c r="R282" s="8"/>
      <c r="S282" s="1"/>
      <c r="T282" s="8"/>
      <c r="U282" s="1"/>
      <c r="V282" s="1"/>
      <c r="W282" s="1"/>
      <c r="X282" s="1"/>
    </row>
    <row r="283" spans="1:24">
      <c r="A283" s="15"/>
      <c r="B283" s="15"/>
      <c r="C283" s="16"/>
      <c r="D283" s="16"/>
      <c r="E283" s="16"/>
      <c r="F283" s="16"/>
      <c r="G283" s="16"/>
      <c r="H283" s="16"/>
      <c r="I283" s="16"/>
      <c r="J283" s="16"/>
      <c r="K283" s="16"/>
      <c r="L283" s="38"/>
      <c r="M283" s="25"/>
      <c r="N283" s="25"/>
      <c r="O283" s="25"/>
      <c r="P283" s="1"/>
      <c r="Q283" s="1"/>
      <c r="R283" s="8"/>
      <c r="S283" s="1"/>
      <c r="T283" s="8"/>
      <c r="U283" s="1"/>
      <c r="V283" s="1"/>
      <c r="W283" s="1"/>
      <c r="X283" s="1"/>
    </row>
    <row r="284" spans="1:24">
      <c r="A284" s="15"/>
      <c r="B284" s="15"/>
      <c r="C284" s="16"/>
      <c r="D284" s="16"/>
      <c r="E284" s="16"/>
      <c r="F284" s="16"/>
      <c r="G284" s="16"/>
      <c r="H284" s="16"/>
      <c r="I284" s="16"/>
      <c r="J284" s="16"/>
      <c r="K284" s="16"/>
      <c r="L284" s="38"/>
      <c r="M284" s="25"/>
      <c r="N284" s="25"/>
      <c r="O284" s="25"/>
      <c r="P284" s="1"/>
      <c r="Q284" s="1"/>
      <c r="R284" s="8"/>
      <c r="S284" s="1"/>
      <c r="T284" s="8"/>
      <c r="U284" s="1"/>
      <c r="V284" s="1"/>
      <c r="W284" s="1"/>
      <c r="X284" s="1"/>
    </row>
    <row r="285" spans="1:24">
      <c r="A285" s="15"/>
      <c r="B285" s="15"/>
      <c r="C285" s="16"/>
      <c r="D285" s="16"/>
      <c r="E285" s="16"/>
      <c r="F285" s="16"/>
      <c r="G285" s="16"/>
      <c r="H285" s="16"/>
      <c r="I285" s="16"/>
      <c r="J285" s="16"/>
      <c r="K285" s="16"/>
      <c r="L285" s="38"/>
      <c r="M285" s="25"/>
      <c r="N285" s="25"/>
      <c r="O285" s="25"/>
      <c r="P285" s="1"/>
      <c r="Q285" s="1"/>
      <c r="R285" s="8"/>
      <c r="S285" s="1"/>
      <c r="T285" s="8"/>
      <c r="U285" s="1"/>
      <c r="V285" s="1"/>
      <c r="W285" s="1"/>
      <c r="X285" s="1"/>
    </row>
    <row r="286" spans="1:24">
      <c r="A286" s="15"/>
      <c r="B286" s="15"/>
      <c r="C286" s="16"/>
      <c r="D286" s="16"/>
      <c r="E286" s="16"/>
      <c r="F286" s="16"/>
      <c r="G286" s="16"/>
      <c r="H286" s="16"/>
      <c r="I286" s="16"/>
      <c r="J286" s="16"/>
      <c r="K286" s="16"/>
      <c r="L286" s="38"/>
      <c r="M286" s="25"/>
      <c r="N286" s="25"/>
      <c r="O286" s="25"/>
      <c r="P286" s="1"/>
      <c r="Q286" s="1"/>
      <c r="R286" s="8"/>
      <c r="S286" s="1"/>
      <c r="T286" s="8"/>
      <c r="U286" s="1"/>
      <c r="V286" s="1"/>
      <c r="W286" s="1"/>
      <c r="X286" s="1"/>
    </row>
    <row r="287" spans="1:24">
      <c r="A287" s="15"/>
      <c r="B287" s="15"/>
      <c r="C287" s="16"/>
      <c r="D287" s="16"/>
      <c r="E287" s="16"/>
      <c r="F287" s="16"/>
      <c r="G287" s="16"/>
      <c r="H287" s="16"/>
      <c r="I287" s="16"/>
      <c r="J287" s="16"/>
      <c r="K287" s="16"/>
      <c r="L287" s="38"/>
      <c r="M287" s="25"/>
      <c r="N287" s="25"/>
      <c r="O287" s="25"/>
      <c r="P287" s="1"/>
      <c r="Q287" s="1"/>
      <c r="R287" s="8"/>
      <c r="S287" s="1"/>
      <c r="T287" s="8"/>
      <c r="U287" s="1"/>
      <c r="V287" s="1"/>
      <c r="W287" s="1"/>
      <c r="X287" s="1"/>
    </row>
    <row r="288" spans="1:24">
      <c r="A288" s="15"/>
      <c r="B288" s="15"/>
      <c r="C288" s="16"/>
      <c r="D288" s="16"/>
      <c r="E288" s="16"/>
      <c r="F288" s="16"/>
      <c r="G288" s="16"/>
      <c r="H288" s="16"/>
      <c r="I288" s="16"/>
      <c r="J288" s="16"/>
      <c r="K288" s="16"/>
      <c r="L288" s="38"/>
      <c r="M288" s="25"/>
      <c r="N288" s="25"/>
      <c r="O288" s="25"/>
      <c r="P288" s="1"/>
      <c r="Q288" s="1"/>
      <c r="R288" s="8"/>
      <c r="S288" s="1"/>
      <c r="T288" s="8"/>
      <c r="U288" s="1"/>
      <c r="V288" s="1"/>
      <c r="W288" s="1"/>
      <c r="X288" s="1"/>
    </row>
    <row r="289" spans="1:24">
      <c r="A289" s="15"/>
      <c r="B289" s="15"/>
      <c r="C289" s="16"/>
      <c r="D289" s="16"/>
      <c r="E289" s="16"/>
      <c r="F289" s="16"/>
      <c r="G289" s="16"/>
      <c r="H289" s="16"/>
      <c r="I289" s="16"/>
      <c r="J289" s="16"/>
      <c r="K289" s="16"/>
      <c r="L289" s="38"/>
      <c r="M289" s="25"/>
      <c r="N289" s="25"/>
      <c r="O289" s="25"/>
      <c r="P289" s="1"/>
      <c r="Q289" s="1"/>
      <c r="R289" s="8"/>
      <c r="S289" s="1"/>
      <c r="T289" s="8"/>
      <c r="U289" s="1"/>
      <c r="V289" s="1"/>
      <c r="W289" s="1"/>
      <c r="X289" s="1"/>
    </row>
    <row r="290" spans="1:24">
      <c r="A290" s="15"/>
      <c r="B290" s="15"/>
      <c r="C290" s="16"/>
      <c r="D290" s="16"/>
      <c r="E290" s="16"/>
      <c r="F290" s="16"/>
      <c r="G290" s="16"/>
      <c r="H290" s="16"/>
      <c r="I290" s="16"/>
      <c r="J290" s="16"/>
      <c r="K290" s="16"/>
      <c r="L290" s="38"/>
      <c r="M290" s="25"/>
      <c r="N290" s="25"/>
      <c r="O290" s="25"/>
      <c r="P290" s="1"/>
      <c r="Q290" s="1"/>
      <c r="R290" s="8"/>
      <c r="S290" s="1"/>
      <c r="T290" s="8"/>
      <c r="U290" s="1"/>
      <c r="V290" s="1"/>
      <c r="W290" s="1"/>
      <c r="X290" s="1"/>
    </row>
    <row r="291" spans="1:24">
      <c r="A291" s="15"/>
      <c r="B291" s="15"/>
      <c r="C291" s="16"/>
      <c r="D291" s="16"/>
      <c r="E291" s="16"/>
      <c r="F291" s="16"/>
      <c r="G291" s="16"/>
      <c r="H291" s="16"/>
      <c r="I291" s="16"/>
      <c r="J291" s="16"/>
      <c r="K291" s="16"/>
      <c r="L291" s="38"/>
      <c r="M291" s="25"/>
      <c r="N291" s="25"/>
      <c r="O291" s="25"/>
      <c r="P291" s="1"/>
      <c r="Q291" s="1"/>
      <c r="R291" s="8"/>
      <c r="S291" s="1"/>
      <c r="T291" s="8"/>
      <c r="U291" s="1"/>
      <c r="V291" s="1"/>
      <c r="W291" s="1"/>
      <c r="X291" s="1"/>
    </row>
    <row r="292" spans="1:24">
      <c r="A292" s="15"/>
      <c r="B292" s="15"/>
      <c r="C292" s="16"/>
      <c r="D292" s="16"/>
      <c r="E292" s="16"/>
      <c r="F292" s="16"/>
      <c r="G292" s="16"/>
      <c r="H292" s="16"/>
      <c r="I292" s="16"/>
      <c r="J292" s="16"/>
      <c r="K292" s="16"/>
      <c r="L292" s="38"/>
      <c r="M292" s="25"/>
      <c r="N292" s="25"/>
      <c r="O292" s="25"/>
      <c r="P292" s="1"/>
      <c r="Q292" s="1"/>
      <c r="R292" s="8"/>
      <c r="S292" s="1"/>
      <c r="T292" s="8"/>
      <c r="U292" s="1"/>
      <c r="V292" s="1"/>
      <c r="W292" s="1"/>
      <c r="X292" s="1"/>
    </row>
    <row r="293" spans="1:24">
      <c r="A293" s="15"/>
      <c r="B293" s="15"/>
      <c r="C293" s="16"/>
      <c r="D293" s="16"/>
      <c r="E293" s="16"/>
      <c r="F293" s="16"/>
      <c r="G293" s="16"/>
      <c r="H293" s="16"/>
      <c r="I293" s="16"/>
      <c r="J293" s="16"/>
      <c r="K293" s="16"/>
      <c r="L293" s="38"/>
      <c r="M293" s="25"/>
      <c r="N293" s="25"/>
      <c r="O293" s="25"/>
      <c r="P293" s="1"/>
      <c r="Q293" s="1"/>
      <c r="R293" s="8"/>
      <c r="S293" s="1"/>
      <c r="T293" s="8"/>
      <c r="U293" s="1"/>
      <c r="V293" s="1"/>
      <c r="W293" s="1"/>
      <c r="X293" s="1"/>
    </row>
    <row r="294" spans="1:24">
      <c r="A294" s="15"/>
      <c r="B294" s="15"/>
      <c r="C294" s="16"/>
      <c r="D294" s="16"/>
      <c r="E294" s="16"/>
      <c r="F294" s="16"/>
      <c r="G294" s="16"/>
      <c r="H294" s="16"/>
      <c r="I294" s="16"/>
      <c r="J294" s="16"/>
      <c r="K294" s="16"/>
      <c r="L294" s="38"/>
      <c r="M294" s="25"/>
      <c r="N294" s="25"/>
      <c r="O294" s="25"/>
      <c r="P294" s="1"/>
      <c r="Q294" s="1"/>
      <c r="R294" s="8"/>
      <c r="S294" s="1"/>
      <c r="T294" s="8"/>
      <c r="U294" s="1"/>
      <c r="V294" s="1"/>
      <c r="W294" s="1"/>
      <c r="X294" s="1"/>
    </row>
    <row r="295" spans="1:24">
      <c r="A295" s="15"/>
      <c r="B295" s="15"/>
      <c r="C295" s="16"/>
      <c r="D295" s="16"/>
      <c r="E295" s="16"/>
      <c r="F295" s="16"/>
      <c r="G295" s="16"/>
      <c r="H295" s="16"/>
      <c r="I295" s="16"/>
      <c r="J295" s="16"/>
      <c r="K295" s="16"/>
      <c r="L295" s="38"/>
      <c r="M295" s="25"/>
      <c r="N295" s="25"/>
      <c r="O295" s="25"/>
      <c r="P295" s="1"/>
      <c r="Q295" s="1"/>
      <c r="R295" s="8"/>
      <c r="S295" s="1"/>
      <c r="T295" s="8"/>
      <c r="U295" s="1"/>
      <c r="V295" s="1"/>
      <c r="W295" s="1"/>
      <c r="X295" s="1"/>
    </row>
    <row r="296" spans="1:24">
      <c r="A296" s="15"/>
      <c r="B296" s="15"/>
      <c r="C296" s="16"/>
      <c r="D296" s="16"/>
      <c r="E296" s="16"/>
      <c r="F296" s="16"/>
      <c r="G296" s="16"/>
      <c r="H296" s="16"/>
      <c r="I296" s="16"/>
      <c r="J296" s="16"/>
      <c r="K296" s="16"/>
      <c r="L296" s="38"/>
      <c r="M296" s="25"/>
      <c r="N296" s="25"/>
      <c r="O296" s="25"/>
      <c r="P296" s="1"/>
      <c r="Q296" s="1"/>
      <c r="R296" s="8"/>
      <c r="S296" s="1"/>
      <c r="T296" s="8"/>
      <c r="U296" s="1"/>
      <c r="V296" s="1"/>
      <c r="W296" s="1"/>
      <c r="X296" s="1"/>
    </row>
    <row r="297" spans="1:24">
      <c r="A297" s="15"/>
      <c r="B297" s="15"/>
      <c r="C297" s="16"/>
      <c r="D297" s="16"/>
      <c r="E297" s="16"/>
      <c r="F297" s="16"/>
      <c r="G297" s="16"/>
      <c r="H297" s="16"/>
      <c r="I297" s="16"/>
      <c r="J297" s="16"/>
      <c r="K297" s="16"/>
      <c r="L297" s="38"/>
      <c r="M297" s="25"/>
      <c r="N297" s="25"/>
      <c r="O297" s="25"/>
      <c r="P297" s="1"/>
      <c r="Q297" s="1"/>
      <c r="R297" s="8"/>
      <c r="S297" s="1"/>
      <c r="T297" s="8"/>
      <c r="U297" s="1"/>
      <c r="V297" s="1"/>
      <c r="W297" s="1"/>
      <c r="X297" s="1"/>
    </row>
    <row r="298" spans="1:24">
      <c r="A298" s="15"/>
      <c r="B298" s="15"/>
      <c r="C298" s="16"/>
      <c r="D298" s="16"/>
      <c r="E298" s="16"/>
      <c r="F298" s="16"/>
      <c r="G298" s="16"/>
      <c r="H298" s="16"/>
      <c r="I298" s="16"/>
      <c r="J298" s="16"/>
      <c r="K298" s="16"/>
      <c r="L298" s="38"/>
      <c r="M298" s="25"/>
      <c r="N298" s="25"/>
      <c r="O298" s="25"/>
      <c r="P298" s="1"/>
      <c r="Q298" s="1"/>
      <c r="R298" s="8"/>
      <c r="S298" s="1"/>
      <c r="T298" s="8"/>
      <c r="U298" s="1"/>
      <c r="V298" s="1"/>
      <c r="W298" s="1"/>
      <c r="X298" s="1"/>
    </row>
    <row r="299" spans="1:24">
      <c r="A299" s="15"/>
      <c r="B299" s="15"/>
      <c r="C299" s="16"/>
      <c r="D299" s="16"/>
      <c r="E299" s="16"/>
      <c r="F299" s="16"/>
      <c r="G299" s="16"/>
      <c r="H299" s="16"/>
      <c r="I299" s="16"/>
      <c r="J299" s="16"/>
      <c r="K299" s="16"/>
      <c r="L299" s="38"/>
      <c r="M299" s="25"/>
      <c r="N299" s="25"/>
      <c r="O299" s="25"/>
      <c r="P299" s="1"/>
      <c r="Q299" s="1"/>
      <c r="R299" s="8"/>
      <c r="S299" s="1"/>
      <c r="T299" s="8"/>
      <c r="U299" s="1"/>
      <c r="V299" s="1"/>
      <c r="W299" s="1"/>
      <c r="X299" s="1"/>
    </row>
    <row r="300" spans="1:24">
      <c r="A300" s="15"/>
      <c r="B300" s="15"/>
      <c r="C300" s="16"/>
      <c r="D300" s="16"/>
      <c r="E300" s="16"/>
      <c r="F300" s="16"/>
      <c r="G300" s="16"/>
      <c r="H300" s="16"/>
      <c r="I300" s="16"/>
      <c r="J300" s="16"/>
      <c r="K300" s="16"/>
      <c r="L300" s="38"/>
      <c r="M300" s="25"/>
      <c r="N300" s="25"/>
      <c r="O300" s="25"/>
      <c r="P300" s="1"/>
      <c r="Q300" s="1"/>
      <c r="R300" s="8"/>
      <c r="S300" s="1"/>
      <c r="T300" s="8"/>
      <c r="U300" s="1"/>
      <c r="V300" s="1"/>
      <c r="W300" s="1"/>
      <c r="X300" s="1"/>
    </row>
    <row r="301" spans="1:24">
      <c r="A301" s="15"/>
      <c r="B301" s="15"/>
      <c r="C301" s="16"/>
      <c r="D301" s="16"/>
      <c r="E301" s="16"/>
      <c r="F301" s="16"/>
      <c r="G301" s="16"/>
      <c r="H301" s="16"/>
      <c r="I301" s="16"/>
      <c r="J301" s="16"/>
      <c r="K301" s="16"/>
      <c r="L301" s="38"/>
      <c r="M301" s="25"/>
      <c r="N301" s="25"/>
      <c r="O301" s="25"/>
      <c r="P301" s="1"/>
      <c r="Q301" s="1"/>
      <c r="R301" s="8"/>
      <c r="S301" s="1"/>
      <c r="T301" s="8"/>
      <c r="U301" s="1"/>
      <c r="V301" s="1"/>
      <c r="W301" s="1"/>
      <c r="X301" s="1"/>
    </row>
    <row r="302" spans="1:24">
      <c r="A302" s="15"/>
      <c r="B302" s="15"/>
      <c r="C302" s="16"/>
      <c r="D302" s="16"/>
      <c r="E302" s="16"/>
      <c r="F302" s="16"/>
      <c r="G302" s="16"/>
      <c r="H302" s="16"/>
      <c r="I302" s="16"/>
      <c r="J302" s="16"/>
      <c r="K302" s="16"/>
      <c r="L302" s="38"/>
      <c r="M302" s="25"/>
      <c r="N302" s="25"/>
      <c r="O302" s="25"/>
      <c r="P302" s="1"/>
      <c r="Q302" s="1"/>
      <c r="R302" s="8"/>
      <c r="S302" s="1"/>
      <c r="T302" s="8"/>
      <c r="U302" s="1"/>
      <c r="V302" s="1"/>
      <c r="W302" s="1"/>
      <c r="X302" s="1"/>
    </row>
    <row r="303" spans="1:24">
      <c r="A303" s="15"/>
      <c r="B303" s="15"/>
      <c r="C303" s="16"/>
      <c r="D303" s="16"/>
      <c r="E303" s="16"/>
      <c r="F303" s="16"/>
      <c r="G303" s="16"/>
      <c r="H303" s="16"/>
      <c r="I303" s="16"/>
      <c r="J303" s="16"/>
      <c r="K303" s="16"/>
      <c r="L303" s="38"/>
      <c r="M303" s="25"/>
      <c r="N303" s="25"/>
      <c r="O303" s="25"/>
      <c r="P303" s="1"/>
      <c r="Q303" s="1"/>
      <c r="R303" s="8"/>
      <c r="S303" s="1"/>
      <c r="T303" s="8"/>
      <c r="U303" s="1"/>
      <c r="V303" s="1"/>
      <c r="W303" s="1"/>
      <c r="X303" s="1"/>
    </row>
    <row r="304" spans="1:24">
      <c r="A304" s="15"/>
      <c r="B304" s="15"/>
      <c r="C304" s="16"/>
      <c r="D304" s="16"/>
      <c r="E304" s="16"/>
      <c r="F304" s="16"/>
      <c r="G304" s="16"/>
      <c r="H304" s="16"/>
      <c r="I304" s="16"/>
      <c r="J304" s="16"/>
      <c r="K304" s="16"/>
      <c r="L304" s="38"/>
      <c r="M304" s="25"/>
      <c r="N304" s="25"/>
      <c r="O304" s="25"/>
      <c r="P304" s="1"/>
      <c r="Q304" s="1"/>
      <c r="R304" s="8"/>
      <c r="S304" s="1"/>
      <c r="T304" s="8"/>
      <c r="U304" s="1"/>
      <c r="V304" s="1"/>
      <c r="W304" s="1"/>
      <c r="X304" s="1"/>
    </row>
    <row r="305" spans="1:24">
      <c r="A305" s="15"/>
      <c r="B305" s="15"/>
      <c r="C305" s="16"/>
      <c r="D305" s="16"/>
      <c r="E305" s="16"/>
      <c r="F305" s="16"/>
      <c r="G305" s="16"/>
      <c r="H305" s="16"/>
      <c r="I305" s="16"/>
      <c r="J305" s="16"/>
      <c r="K305" s="16"/>
      <c r="L305" s="38"/>
      <c r="M305" s="25"/>
      <c r="N305" s="25"/>
      <c r="O305" s="25"/>
      <c r="P305" s="1"/>
      <c r="Q305" s="1"/>
      <c r="R305" s="8"/>
      <c r="S305" s="1"/>
      <c r="T305" s="8"/>
      <c r="U305" s="1"/>
      <c r="V305" s="1"/>
      <c r="W305" s="1"/>
      <c r="X305" s="1"/>
    </row>
    <row r="306" spans="1:24">
      <c r="A306" s="15"/>
      <c r="B306" s="15"/>
      <c r="C306" s="16"/>
      <c r="D306" s="16"/>
      <c r="E306" s="16"/>
      <c r="F306" s="16"/>
      <c r="G306" s="16"/>
      <c r="H306" s="16"/>
      <c r="I306" s="16"/>
      <c r="J306" s="16"/>
      <c r="K306" s="16"/>
      <c r="L306" s="38"/>
      <c r="M306" s="25"/>
      <c r="N306" s="25"/>
      <c r="O306" s="25"/>
      <c r="P306" s="1"/>
      <c r="Q306" s="1"/>
      <c r="R306" s="8"/>
      <c r="S306" s="1"/>
      <c r="T306" s="8"/>
      <c r="U306" s="1"/>
      <c r="V306" s="1"/>
      <c r="W306" s="1"/>
      <c r="X306" s="1"/>
    </row>
    <row r="307" spans="1:24">
      <c r="A307" s="15"/>
      <c r="B307" s="15"/>
      <c r="C307" s="16"/>
      <c r="D307" s="16"/>
      <c r="E307" s="16"/>
      <c r="F307" s="16"/>
      <c r="G307" s="16"/>
      <c r="H307" s="16"/>
      <c r="I307" s="16"/>
      <c r="J307" s="16"/>
      <c r="K307" s="16"/>
      <c r="L307" s="38"/>
      <c r="M307" s="25"/>
      <c r="N307" s="25"/>
      <c r="O307" s="25"/>
      <c r="P307" s="1"/>
      <c r="Q307" s="1"/>
      <c r="R307" s="8"/>
      <c r="S307" s="1"/>
      <c r="T307" s="8"/>
      <c r="U307" s="1"/>
      <c r="V307" s="1"/>
      <c r="W307" s="1"/>
      <c r="X307" s="1"/>
    </row>
    <row r="308" spans="1:24">
      <c r="A308" s="15"/>
      <c r="B308" s="15"/>
      <c r="C308" s="16"/>
      <c r="D308" s="16"/>
      <c r="E308" s="16"/>
      <c r="F308" s="16"/>
      <c r="G308" s="16"/>
      <c r="H308" s="16"/>
      <c r="I308" s="16"/>
      <c r="J308" s="16"/>
      <c r="K308" s="16"/>
      <c r="L308" s="38"/>
      <c r="M308" s="25"/>
      <c r="N308" s="25"/>
      <c r="O308" s="25"/>
      <c r="P308" s="1"/>
      <c r="Q308" s="1"/>
      <c r="R308" s="8"/>
      <c r="S308" s="1"/>
      <c r="T308" s="8"/>
      <c r="U308" s="1"/>
      <c r="V308" s="1"/>
      <c r="W308" s="1"/>
      <c r="X308" s="1"/>
    </row>
    <row r="309" spans="1:24">
      <c r="A309" s="15"/>
      <c r="B309" s="15"/>
      <c r="C309" s="16"/>
      <c r="D309" s="16"/>
      <c r="E309" s="16"/>
      <c r="F309" s="16"/>
      <c r="G309" s="16"/>
      <c r="H309" s="16"/>
      <c r="I309" s="16"/>
      <c r="J309" s="16"/>
      <c r="K309" s="16"/>
      <c r="L309" s="38"/>
      <c r="M309" s="25"/>
      <c r="N309" s="25"/>
      <c r="O309" s="25"/>
      <c r="P309" s="1"/>
      <c r="Q309" s="1"/>
      <c r="R309" s="8"/>
      <c r="S309" s="1"/>
      <c r="T309" s="8"/>
      <c r="U309" s="1"/>
      <c r="V309" s="1"/>
      <c r="W309" s="1"/>
      <c r="X309" s="1"/>
    </row>
    <row r="310" spans="1:24">
      <c r="A310" s="15"/>
      <c r="B310" s="15"/>
      <c r="C310" s="16"/>
      <c r="D310" s="16"/>
      <c r="E310" s="16"/>
      <c r="F310" s="16"/>
      <c r="G310" s="16"/>
      <c r="H310" s="16"/>
      <c r="I310" s="16"/>
      <c r="J310" s="16"/>
      <c r="K310" s="16"/>
      <c r="L310" s="38"/>
      <c r="M310" s="25"/>
      <c r="N310" s="25"/>
      <c r="O310" s="25"/>
      <c r="P310" s="1"/>
      <c r="Q310" s="1"/>
      <c r="R310" s="8"/>
      <c r="S310" s="1"/>
      <c r="T310" s="8"/>
      <c r="U310" s="1"/>
      <c r="V310" s="1"/>
      <c r="W310" s="1"/>
      <c r="X310" s="1"/>
    </row>
    <row r="311" spans="1:24">
      <c r="A311" s="15"/>
      <c r="B311" s="15"/>
      <c r="C311" s="16"/>
      <c r="D311" s="16"/>
      <c r="E311" s="16"/>
      <c r="F311" s="16"/>
      <c r="G311" s="16"/>
      <c r="H311" s="16"/>
      <c r="I311" s="16"/>
      <c r="J311" s="16"/>
      <c r="K311" s="16"/>
      <c r="L311" s="38"/>
      <c r="M311" s="25"/>
      <c r="N311" s="25"/>
      <c r="O311" s="25"/>
      <c r="P311" s="1"/>
      <c r="Q311" s="1"/>
      <c r="R311" s="8"/>
      <c r="S311" s="1"/>
      <c r="T311" s="8"/>
      <c r="U311" s="1"/>
      <c r="V311" s="1"/>
      <c r="W311" s="1"/>
      <c r="X311" s="1"/>
    </row>
    <row r="312" spans="1:24">
      <c r="A312" s="15"/>
      <c r="B312" s="15"/>
      <c r="C312" s="16"/>
      <c r="D312" s="16"/>
      <c r="E312" s="16"/>
      <c r="F312" s="16"/>
      <c r="G312" s="16"/>
      <c r="H312" s="16"/>
      <c r="I312" s="16"/>
      <c r="J312" s="16"/>
      <c r="K312" s="16"/>
      <c r="L312" s="38"/>
      <c r="M312" s="25"/>
      <c r="N312" s="25"/>
      <c r="O312" s="25"/>
      <c r="P312" s="1"/>
      <c r="Q312" s="1"/>
      <c r="R312" s="8"/>
      <c r="S312" s="1"/>
      <c r="T312" s="8"/>
      <c r="U312" s="1"/>
      <c r="V312" s="1"/>
      <c r="W312" s="1"/>
      <c r="X312" s="1"/>
    </row>
    <row r="313" spans="1:24">
      <c r="A313" s="15"/>
      <c r="B313" s="15"/>
      <c r="C313" s="16"/>
      <c r="D313" s="16"/>
      <c r="E313" s="16"/>
      <c r="F313" s="16"/>
      <c r="G313" s="16"/>
      <c r="H313" s="16"/>
      <c r="I313" s="16"/>
      <c r="J313" s="16"/>
      <c r="K313" s="16"/>
      <c r="L313" s="38"/>
      <c r="M313" s="25"/>
      <c r="N313" s="25"/>
      <c r="O313" s="25"/>
      <c r="P313" s="1"/>
      <c r="Q313" s="1"/>
      <c r="R313" s="8"/>
      <c r="S313" s="1"/>
      <c r="T313" s="8"/>
      <c r="U313" s="1"/>
      <c r="V313" s="1"/>
      <c r="W313" s="1"/>
      <c r="X313" s="1"/>
    </row>
    <row r="314" spans="1:24">
      <c r="A314" s="15"/>
      <c r="B314" s="15"/>
      <c r="C314" s="16"/>
      <c r="D314" s="16"/>
      <c r="E314" s="16"/>
      <c r="F314" s="16"/>
      <c r="G314" s="16"/>
      <c r="H314" s="16"/>
      <c r="I314" s="16"/>
      <c r="J314" s="16"/>
      <c r="K314" s="16"/>
      <c r="L314" s="38"/>
      <c r="M314" s="25"/>
      <c r="N314" s="25"/>
      <c r="O314" s="25"/>
      <c r="P314" s="1"/>
      <c r="Q314" s="1"/>
      <c r="R314" s="8"/>
      <c r="S314" s="1"/>
      <c r="T314" s="8"/>
      <c r="U314" s="1"/>
      <c r="V314" s="1"/>
      <c r="W314" s="1"/>
      <c r="X314" s="1"/>
    </row>
    <row r="315" spans="1:24">
      <c r="A315" s="15"/>
      <c r="B315" s="15"/>
      <c r="C315" s="16"/>
      <c r="D315" s="16"/>
      <c r="E315" s="16"/>
      <c r="F315" s="16"/>
      <c r="G315" s="16"/>
      <c r="H315" s="16"/>
      <c r="I315" s="16"/>
      <c r="J315" s="16"/>
      <c r="K315" s="16"/>
      <c r="L315" s="38"/>
      <c r="M315" s="25"/>
      <c r="N315" s="25"/>
      <c r="O315" s="25"/>
      <c r="P315" s="1"/>
      <c r="Q315" s="1"/>
      <c r="R315" s="8"/>
      <c r="S315" s="1"/>
      <c r="T315" s="8"/>
      <c r="U315" s="1"/>
      <c r="V315" s="1"/>
      <c r="W315" s="1"/>
      <c r="X315" s="1"/>
    </row>
    <row r="316" spans="1:24">
      <c r="A316" s="15"/>
      <c r="B316" s="15"/>
      <c r="C316" s="16"/>
      <c r="D316" s="16"/>
      <c r="E316" s="16"/>
      <c r="F316" s="16"/>
      <c r="G316" s="16"/>
      <c r="H316" s="16"/>
      <c r="I316" s="16"/>
      <c r="J316" s="16"/>
      <c r="K316" s="16"/>
      <c r="L316" s="38"/>
      <c r="M316" s="25"/>
      <c r="N316" s="25"/>
      <c r="O316" s="25"/>
      <c r="P316" s="1"/>
      <c r="Q316" s="1"/>
      <c r="R316" s="8"/>
      <c r="S316" s="1"/>
      <c r="T316" s="8"/>
      <c r="U316" s="1"/>
      <c r="V316" s="1"/>
      <c r="W316" s="1"/>
      <c r="X316" s="1"/>
    </row>
    <row r="317" spans="1:24">
      <c r="A317" s="15"/>
      <c r="B317" s="15"/>
      <c r="C317" s="16"/>
      <c r="D317" s="16"/>
      <c r="E317" s="16"/>
      <c r="F317" s="16"/>
      <c r="G317" s="16"/>
      <c r="H317" s="16"/>
      <c r="I317" s="16"/>
      <c r="J317" s="16"/>
      <c r="K317" s="16"/>
      <c r="L317" s="38"/>
      <c r="M317" s="25"/>
      <c r="N317" s="25"/>
      <c r="O317" s="25"/>
      <c r="P317" s="1"/>
      <c r="Q317" s="1"/>
      <c r="R317" s="8"/>
      <c r="S317" s="1"/>
      <c r="T317" s="8"/>
      <c r="U317" s="1"/>
      <c r="V317" s="1"/>
      <c r="W317" s="1"/>
      <c r="X317" s="1"/>
    </row>
    <row r="318" spans="1:24">
      <c r="A318" s="15"/>
      <c r="B318" s="15"/>
      <c r="C318" s="16"/>
      <c r="D318" s="16"/>
      <c r="E318" s="16"/>
      <c r="F318" s="16"/>
      <c r="G318" s="16"/>
      <c r="H318" s="16"/>
      <c r="I318" s="16"/>
      <c r="J318" s="16"/>
      <c r="K318" s="16"/>
      <c r="L318" s="38"/>
      <c r="M318" s="25"/>
      <c r="N318" s="25"/>
      <c r="O318" s="25"/>
      <c r="P318" s="1"/>
      <c r="Q318" s="1"/>
      <c r="R318" s="8"/>
      <c r="S318" s="1"/>
      <c r="T318" s="8"/>
      <c r="U318" s="1"/>
      <c r="V318" s="1"/>
      <c r="W318" s="1"/>
      <c r="X318" s="1"/>
    </row>
    <row r="319" spans="1:24">
      <c r="A319" s="15"/>
      <c r="B319" s="15"/>
      <c r="C319" s="16"/>
      <c r="D319" s="16"/>
      <c r="E319" s="16"/>
      <c r="F319" s="16"/>
      <c r="G319" s="16"/>
      <c r="H319" s="16"/>
      <c r="I319" s="16"/>
      <c r="J319" s="16"/>
      <c r="K319" s="16"/>
      <c r="L319" s="38"/>
      <c r="M319" s="25"/>
      <c r="N319" s="25"/>
      <c r="O319" s="25"/>
      <c r="P319" s="1"/>
      <c r="Q319" s="1"/>
      <c r="R319" s="8"/>
      <c r="S319" s="1"/>
      <c r="T319" s="8"/>
      <c r="U319" s="1"/>
      <c r="V319" s="1"/>
      <c r="W319" s="1"/>
      <c r="X319" s="1"/>
    </row>
    <row r="320" spans="1:24">
      <c r="A320" s="15"/>
      <c r="B320" s="15"/>
      <c r="C320" s="16"/>
      <c r="D320" s="16"/>
      <c r="E320" s="16"/>
      <c r="F320" s="16"/>
      <c r="G320" s="16"/>
      <c r="H320" s="16"/>
      <c r="I320" s="16"/>
      <c r="J320" s="16"/>
      <c r="K320" s="16"/>
      <c r="L320" s="38"/>
      <c r="M320" s="25"/>
      <c r="N320" s="25"/>
      <c r="O320" s="25"/>
      <c r="P320" s="1"/>
      <c r="Q320" s="1"/>
      <c r="R320" s="8"/>
      <c r="S320" s="1"/>
      <c r="T320" s="8"/>
      <c r="U320" s="1"/>
      <c r="V320" s="1"/>
      <c r="W320" s="1"/>
      <c r="X320" s="1"/>
    </row>
    <row r="321" spans="1:24">
      <c r="A321" s="15"/>
      <c r="B321" s="15"/>
      <c r="C321" s="16"/>
      <c r="D321" s="16"/>
      <c r="E321" s="16"/>
      <c r="F321" s="16"/>
      <c r="G321" s="16"/>
      <c r="H321" s="16"/>
      <c r="I321" s="16"/>
      <c r="J321" s="16"/>
      <c r="K321" s="16"/>
      <c r="L321" s="38"/>
      <c r="M321" s="25"/>
      <c r="N321" s="25"/>
      <c r="O321" s="25"/>
      <c r="P321" s="1"/>
      <c r="Q321" s="1"/>
      <c r="R321" s="8"/>
      <c r="S321" s="1"/>
      <c r="T321" s="8"/>
      <c r="U321" s="1"/>
      <c r="V321" s="1"/>
      <c r="W321" s="1"/>
      <c r="X321" s="1"/>
    </row>
    <row r="322" spans="1:24">
      <c r="A322" s="15"/>
      <c r="B322" s="15"/>
      <c r="C322" s="16"/>
      <c r="D322" s="16"/>
      <c r="E322" s="16"/>
      <c r="F322" s="16"/>
      <c r="G322" s="16"/>
      <c r="H322" s="16"/>
      <c r="I322" s="16"/>
      <c r="J322" s="16"/>
      <c r="K322" s="16"/>
      <c r="L322" s="38"/>
      <c r="M322" s="25"/>
      <c r="N322" s="25"/>
      <c r="O322" s="25"/>
      <c r="P322" s="1"/>
      <c r="Q322" s="1"/>
      <c r="R322" s="8"/>
      <c r="S322" s="1"/>
      <c r="T322" s="8"/>
      <c r="U322" s="1"/>
      <c r="V322" s="1"/>
      <c r="W322" s="1"/>
      <c r="X322" s="1"/>
    </row>
    <row r="323" spans="1:24">
      <c r="A323" s="15"/>
      <c r="B323" s="15"/>
      <c r="C323" s="16"/>
      <c r="D323" s="16"/>
      <c r="E323" s="16"/>
      <c r="F323" s="16"/>
      <c r="G323" s="16"/>
      <c r="H323" s="16"/>
      <c r="I323" s="16"/>
      <c r="J323" s="16"/>
      <c r="K323" s="16"/>
      <c r="L323" s="38"/>
      <c r="M323" s="25"/>
      <c r="N323" s="25"/>
      <c r="O323" s="25"/>
      <c r="P323" s="1"/>
      <c r="Q323" s="1"/>
      <c r="R323" s="8"/>
      <c r="S323" s="1"/>
      <c r="T323" s="8"/>
      <c r="U323" s="1"/>
      <c r="V323" s="1"/>
      <c r="W323" s="1"/>
      <c r="X323" s="1"/>
    </row>
    <row r="324" spans="1:24">
      <c r="A324" s="15"/>
      <c r="B324" s="15"/>
      <c r="C324" s="16"/>
      <c r="D324" s="16"/>
      <c r="E324" s="16"/>
      <c r="F324" s="16"/>
      <c r="G324" s="16"/>
      <c r="H324" s="16"/>
      <c r="I324" s="16"/>
      <c r="J324" s="16"/>
      <c r="K324" s="16"/>
      <c r="L324" s="38"/>
      <c r="M324" s="25"/>
      <c r="N324" s="25"/>
      <c r="O324" s="25"/>
      <c r="P324" s="1"/>
      <c r="Q324" s="1"/>
      <c r="R324" s="8"/>
      <c r="S324" s="1"/>
      <c r="T324" s="8"/>
      <c r="U324" s="1"/>
      <c r="V324" s="1"/>
      <c r="W324" s="1"/>
      <c r="X324" s="1"/>
    </row>
    <row r="325" spans="1:24">
      <c r="A325" s="15"/>
      <c r="B325" s="15"/>
      <c r="C325" s="16"/>
      <c r="D325" s="16"/>
      <c r="E325" s="16"/>
      <c r="F325" s="16"/>
      <c r="G325" s="16"/>
      <c r="H325" s="16"/>
      <c r="I325" s="16"/>
      <c r="J325" s="16"/>
      <c r="K325" s="16"/>
      <c r="L325" s="38"/>
      <c r="M325" s="25"/>
      <c r="N325" s="25"/>
      <c r="O325" s="25"/>
      <c r="P325" s="1"/>
      <c r="Q325" s="1"/>
      <c r="R325" s="8"/>
      <c r="S325" s="1"/>
      <c r="T325" s="8"/>
      <c r="U325" s="1"/>
      <c r="V325" s="1"/>
      <c r="W325" s="1"/>
      <c r="X325" s="1"/>
    </row>
    <row r="326" spans="1:24">
      <c r="A326" s="15"/>
      <c r="B326" s="15"/>
      <c r="C326" s="16"/>
      <c r="D326" s="16"/>
      <c r="E326" s="16"/>
      <c r="F326" s="16"/>
      <c r="G326" s="16"/>
      <c r="H326" s="16"/>
      <c r="I326" s="16"/>
      <c r="J326" s="16"/>
      <c r="K326" s="16"/>
      <c r="L326" s="38"/>
      <c r="M326" s="25"/>
      <c r="N326" s="25"/>
      <c r="O326" s="25"/>
      <c r="P326" s="1"/>
      <c r="Q326" s="1"/>
      <c r="R326" s="8"/>
      <c r="S326" s="1"/>
      <c r="T326" s="8"/>
      <c r="U326" s="1"/>
      <c r="V326" s="1"/>
      <c r="W326" s="1"/>
      <c r="X326" s="1"/>
    </row>
    <row r="327" spans="1:24">
      <c r="A327" s="15"/>
      <c r="B327" s="15"/>
      <c r="C327" s="16"/>
      <c r="D327" s="16"/>
      <c r="E327" s="16"/>
      <c r="F327" s="16"/>
      <c r="G327" s="16"/>
      <c r="H327" s="16"/>
      <c r="I327" s="16"/>
      <c r="J327" s="16"/>
      <c r="K327" s="16"/>
      <c r="L327" s="38"/>
      <c r="M327" s="25"/>
      <c r="N327" s="25"/>
      <c r="O327" s="25"/>
      <c r="P327" s="1"/>
      <c r="Q327" s="1"/>
      <c r="R327" s="8"/>
      <c r="S327" s="1"/>
      <c r="T327" s="8"/>
      <c r="U327" s="1"/>
      <c r="V327" s="1"/>
      <c r="W327" s="1"/>
      <c r="X327" s="1"/>
    </row>
    <row r="328" spans="1:24">
      <c r="A328" s="15"/>
      <c r="B328" s="15"/>
      <c r="C328" s="16"/>
      <c r="D328" s="16"/>
      <c r="E328" s="16"/>
      <c r="F328" s="16"/>
      <c r="G328" s="16"/>
      <c r="H328" s="16"/>
      <c r="I328" s="16"/>
      <c r="J328" s="16"/>
      <c r="K328" s="16"/>
      <c r="L328" s="38"/>
      <c r="M328" s="25"/>
      <c r="N328" s="25"/>
      <c r="O328" s="25"/>
      <c r="P328" s="1"/>
      <c r="Q328" s="1"/>
      <c r="R328" s="8"/>
      <c r="S328" s="1"/>
      <c r="T328" s="8"/>
      <c r="U328" s="1"/>
      <c r="V328" s="1"/>
      <c r="W328" s="1"/>
      <c r="X328" s="1"/>
    </row>
    <row r="329" spans="1:24">
      <c r="A329" s="15"/>
      <c r="B329" s="15"/>
      <c r="C329" s="16"/>
      <c r="D329" s="16"/>
      <c r="E329" s="16"/>
      <c r="F329" s="16"/>
      <c r="G329" s="16"/>
      <c r="H329" s="16"/>
      <c r="I329" s="16"/>
      <c r="J329" s="16"/>
      <c r="K329" s="16"/>
      <c r="L329" s="38"/>
      <c r="M329" s="25"/>
      <c r="N329" s="25"/>
      <c r="O329" s="25"/>
      <c r="P329" s="1"/>
      <c r="Q329" s="1"/>
      <c r="R329" s="8"/>
      <c r="S329" s="1"/>
      <c r="T329" s="8"/>
      <c r="U329" s="1"/>
      <c r="V329" s="1"/>
      <c r="W329" s="1"/>
      <c r="X329" s="1"/>
    </row>
    <row r="330" spans="1:24">
      <c r="A330" s="15"/>
      <c r="B330" s="15"/>
      <c r="C330" s="16"/>
      <c r="D330" s="16"/>
      <c r="E330" s="16"/>
      <c r="F330" s="16"/>
      <c r="G330" s="16"/>
      <c r="H330" s="16"/>
      <c r="I330" s="16"/>
      <c r="J330" s="16"/>
      <c r="K330" s="16"/>
      <c r="L330" s="38"/>
      <c r="M330" s="25"/>
      <c r="N330" s="25"/>
      <c r="O330" s="25"/>
      <c r="P330" s="1"/>
      <c r="Q330" s="1"/>
      <c r="R330" s="8"/>
      <c r="S330" s="1"/>
      <c r="T330" s="8"/>
      <c r="U330" s="1"/>
      <c r="V330" s="1"/>
      <c r="W330" s="1"/>
      <c r="X330" s="1"/>
    </row>
    <row r="331" spans="1:24">
      <c r="A331" s="15"/>
      <c r="B331" s="15"/>
      <c r="C331" s="16"/>
      <c r="D331" s="16"/>
      <c r="E331" s="16"/>
      <c r="F331" s="16"/>
      <c r="G331" s="16"/>
      <c r="H331" s="16"/>
      <c r="I331" s="16"/>
      <c r="J331" s="16"/>
      <c r="K331" s="16"/>
      <c r="L331" s="38"/>
      <c r="M331" s="25"/>
      <c r="N331" s="25"/>
      <c r="O331" s="25"/>
      <c r="P331" s="1"/>
      <c r="Q331" s="1"/>
      <c r="R331" s="8"/>
      <c r="S331" s="1"/>
      <c r="T331" s="8"/>
      <c r="U331" s="1"/>
      <c r="V331" s="1"/>
      <c r="W331" s="1"/>
      <c r="X331" s="1"/>
    </row>
    <row r="332" spans="1:24">
      <c r="A332" s="15"/>
      <c r="B332" s="15"/>
      <c r="C332" s="16"/>
      <c r="D332" s="16"/>
      <c r="E332" s="16"/>
      <c r="F332" s="16"/>
      <c r="G332" s="16"/>
      <c r="H332" s="16"/>
      <c r="I332" s="16"/>
      <c r="J332" s="16"/>
      <c r="K332" s="16"/>
      <c r="L332" s="38"/>
      <c r="M332" s="25"/>
      <c r="N332" s="25"/>
      <c r="O332" s="25"/>
      <c r="P332" s="1"/>
      <c r="Q332" s="1"/>
      <c r="R332" s="8"/>
      <c r="S332" s="1"/>
      <c r="T332" s="8"/>
      <c r="U332" s="1"/>
      <c r="V332" s="1"/>
      <c r="W332" s="1"/>
      <c r="X332" s="1"/>
    </row>
    <row r="333" spans="1:24">
      <c r="A333" s="15"/>
      <c r="B333" s="15"/>
      <c r="C333" s="16"/>
      <c r="D333" s="16"/>
      <c r="E333" s="16"/>
      <c r="F333" s="16"/>
      <c r="G333" s="16"/>
      <c r="H333" s="16"/>
      <c r="I333" s="16"/>
      <c r="J333" s="16"/>
      <c r="K333" s="16"/>
      <c r="L333" s="38"/>
      <c r="M333" s="25"/>
      <c r="N333" s="25"/>
      <c r="O333" s="25"/>
      <c r="P333" s="1"/>
      <c r="Q333" s="1"/>
      <c r="R333" s="8"/>
      <c r="S333" s="1"/>
      <c r="T333" s="8"/>
      <c r="U333" s="1"/>
      <c r="V333" s="1"/>
      <c r="W333" s="1"/>
      <c r="X333" s="1"/>
    </row>
    <row r="334" spans="1:24">
      <c r="A334" s="15"/>
      <c r="B334" s="15"/>
      <c r="C334" s="16"/>
      <c r="D334" s="16"/>
      <c r="E334" s="16"/>
      <c r="F334" s="16"/>
      <c r="G334" s="16"/>
      <c r="H334" s="16"/>
      <c r="I334" s="16"/>
      <c r="J334" s="16"/>
      <c r="K334" s="16"/>
      <c r="L334" s="38"/>
      <c r="M334" s="25"/>
      <c r="N334" s="25"/>
      <c r="O334" s="25"/>
      <c r="P334" s="1"/>
      <c r="Q334" s="1"/>
      <c r="R334" s="8"/>
      <c r="S334" s="1"/>
      <c r="T334" s="8"/>
      <c r="U334" s="1"/>
      <c r="V334" s="1"/>
      <c r="W334" s="1"/>
      <c r="X334" s="1"/>
    </row>
    <row r="335" spans="1:24">
      <c r="A335" s="15"/>
      <c r="B335" s="15"/>
      <c r="C335" s="16"/>
      <c r="D335" s="16"/>
      <c r="E335" s="16"/>
      <c r="F335" s="16"/>
      <c r="G335" s="16"/>
      <c r="H335" s="16"/>
      <c r="I335" s="16"/>
      <c r="J335" s="16"/>
      <c r="K335" s="16"/>
      <c r="L335" s="38"/>
      <c r="M335" s="25"/>
      <c r="N335" s="25"/>
      <c r="O335" s="25"/>
      <c r="P335" s="1"/>
      <c r="Q335" s="1"/>
      <c r="R335" s="8"/>
      <c r="S335" s="1"/>
      <c r="T335" s="8"/>
      <c r="U335" s="1"/>
      <c r="V335" s="1"/>
      <c r="W335" s="1"/>
      <c r="X335" s="1"/>
    </row>
    <row r="336" spans="1:24">
      <c r="A336" s="15"/>
      <c r="B336" s="15"/>
      <c r="C336" s="16"/>
      <c r="D336" s="16"/>
      <c r="E336" s="16"/>
      <c r="F336" s="16"/>
      <c r="G336" s="16"/>
      <c r="H336" s="16"/>
      <c r="I336" s="16"/>
      <c r="J336" s="16"/>
      <c r="K336" s="16"/>
      <c r="L336" s="38"/>
      <c r="M336" s="25"/>
      <c r="N336" s="25"/>
      <c r="O336" s="25"/>
      <c r="P336" s="1"/>
      <c r="Q336" s="1"/>
      <c r="R336" s="8"/>
      <c r="S336" s="1"/>
      <c r="T336" s="8"/>
      <c r="U336" s="1"/>
      <c r="V336" s="1"/>
      <c r="W336" s="1"/>
      <c r="X336" s="1"/>
    </row>
    <row r="337" spans="1:24">
      <c r="A337" s="15"/>
      <c r="B337" s="15"/>
      <c r="C337" s="16"/>
      <c r="D337" s="16"/>
      <c r="E337" s="16"/>
      <c r="F337" s="16"/>
      <c r="G337" s="16"/>
      <c r="H337" s="16"/>
      <c r="I337" s="16"/>
      <c r="J337" s="16"/>
      <c r="K337" s="16"/>
      <c r="L337" s="38"/>
      <c r="M337" s="25"/>
      <c r="N337" s="25"/>
      <c r="O337" s="25"/>
      <c r="P337" s="1"/>
      <c r="Q337" s="1"/>
      <c r="R337" s="8"/>
      <c r="S337" s="1"/>
      <c r="T337" s="8"/>
      <c r="U337" s="1"/>
      <c r="V337" s="1"/>
      <c r="W337" s="1"/>
      <c r="X337" s="1"/>
    </row>
    <row r="338" spans="1:24">
      <c r="A338" s="15"/>
      <c r="B338" s="15"/>
      <c r="C338" s="16"/>
      <c r="D338" s="16"/>
      <c r="E338" s="16"/>
      <c r="F338" s="16"/>
      <c r="G338" s="16"/>
      <c r="H338" s="16"/>
      <c r="I338" s="16"/>
      <c r="J338" s="16"/>
      <c r="K338" s="16"/>
      <c r="L338" s="38"/>
      <c r="M338" s="25"/>
      <c r="N338" s="25"/>
      <c r="O338" s="25"/>
      <c r="P338" s="1"/>
      <c r="Q338" s="1"/>
      <c r="R338" s="8"/>
      <c r="S338" s="1"/>
      <c r="T338" s="8"/>
      <c r="U338" s="1"/>
      <c r="V338" s="1"/>
      <c r="W338" s="1"/>
      <c r="X338" s="1"/>
    </row>
    <row r="339" spans="1:24">
      <c r="A339" s="15"/>
      <c r="B339" s="15"/>
      <c r="C339" s="16"/>
      <c r="D339" s="16"/>
      <c r="E339" s="16"/>
      <c r="F339" s="16"/>
      <c r="G339" s="16"/>
      <c r="H339" s="16"/>
      <c r="I339" s="16"/>
      <c r="J339" s="16"/>
      <c r="K339" s="16"/>
      <c r="L339" s="38"/>
      <c r="M339" s="25"/>
      <c r="N339" s="25"/>
      <c r="O339" s="25"/>
      <c r="P339" s="1"/>
      <c r="Q339" s="1"/>
      <c r="R339" s="8"/>
      <c r="S339" s="1"/>
      <c r="T339" s="8"/>
      <c r="U339" s="1"/>
      <c r="V339" s="1"/>
      <c r="W339" s="1"/>
      <c r="X339" s="1"/>
    </row>
    <row r="340" spans="1:24">
      <c r="A340" s="15"/>
      <c r="B340" s="15"/>
      <c r="C340" s="16"/>
      <c r="D340" s="16"/>
      <c r="E340" s="16"/>
      <c r="F340" s="16"/>
      <c r="G340" s="16"/>
      <c r="H340" s="16"/>
      <c r="I340" s="16"/>
      <c r="J340" s="16"/>
      <c r="K340" s="16"/>
      <c r="L340" s="38"/>
      <c r="M340" s="25"/>
      <c r="N340" s="25"/>
      <c r="O340" s="25"/>
      <c r="P340" s="1"/>
      <c r="Q340" s="1"/>
      <c r="R340" s="8"/>
      <c r="S340" s="1"/>
      <c r="T340" s="8"/>
      <c r="U340" s="1"/>
      <c r="V340" s="1"/>
      <c r="W340" s="1"/>
      <c r="X340" s="1"/>
    </row>
    <row r="341" spans="1:24">
      <c r="A341" s="15"/>
      <c r="B341" s="15"/>
      <c r="C341" s="16"/>
      <c r="D341" s="16"/>
      <c r="E341" s="16"/>
      <c r="F341" s="16"/>
      <c r="G341" s="16"/>
      <c r="H341" s="16"/>
      <c r="I341" s="16"/>
      <c r="J341" s="16"/>
      <c r="K341" s="16"/>
      <c r="L341" s="38"/>
      <c r="M341" s="25"/>
      <c r="N341" s="25"/>
      <c r="O341" s="25"/>
      <c r="P341" s="1"/>
      <c r="Q341" s="1"/>
      <c r="R341" s="8"/>
      <c r="S341" s="1"/>
      <c r="T341" s="8"/>
      <c r="U341" s="1"/>
      <c r="V341" s="1"/>
      <c r="W341" s="1"/>
      <c r="X341" s="1"/>
    </row>
    <row r="342" spans="1:24">
      <c r="A342" s="15"/>
      <c r="B342" s="15"/>
      <c r="C342" s="16"/>
      <c r="D342" s="16"/>
      <c r="E342" s="16"/>
      <c r="F342" s="16"/>
      <c r="G342" s="16"/>
      <c r="H342" s="16"/>
      <c r="I342" s="16"/>
      <c r="J342" s="16"/>
      <c r="K342" s="16"/>
      <c r="L342" s="38"/>
      <c r="M342" s="25"/>
      <c r="N342" s="25"/>
      <c r="O342" s="25"/>
      <c r="P342" s="1"/>
      <c r="Q342" s="1"/>
      <c r="R342" s="8"/>
      <c r="S342" s="1"/>
      <c r="T342" s="8"/>
      <c r="U342" s="1"/>
      <c r="V342" s="1"/>
      <c r="W342" s="1"/>
      <c r="X342" s="1"/>
    </row>
    <row r="343" spans="1:24">
      <c r="A343" s="15"/>
      <c r="B343" s="15"/>
      <c r="C343" s="16"/>
      <c r="D343" s="16"/>
      <c r="E343" s="16"/>
      <c r="F343" s="16"/>
      <c r="G343" s="16"/>
      <c r="H343" s="16"/>
      <c r="I343" s="16"/>
      <c r="J343" s="16"/>
      <c r="K343" s="16"/>
      <c r="L343" s="38"/>
      <c r="M343" s="25"/>
      <c r="N343" s="25"/>
      <c r="O343" s="25"/>
      <c r="P343" s="1"/>
      <c r="Q343" s="1"/>
      <c r="R343" s="8"/>
      <c r="S343" s="1"/>
      <c r="T343" s="8"/>
      <c r="U343" s="1"/>
      <c r="V343" s="1"/>
      <c r="W343" s="1"/>
      <c r="X343" s="1"/>
    </row>
    <row r="344" spans="1:24">
      <c r="A344" s="15"/>
      <c r="B344" s="15"/>
      <c r="C344" s="16"/>
      <c r="D344" s="16"/>
      <c r="E344" s="16"/>
      <c r="F344" s="16"/>
      <c r="G344" s="16"/>
      <c r="H344" s="16"/>
      <c r="I344" s="16"/>
      <c r="J344" s="16"/>
      <c r="K344" s="16"/>
      <c r="L344" s="38"/>
      <c r="M344" s="25"/>
      <c r="N344" s="25"/>
      <c r="O344" s="25"/>
      <c r="P344" s="1"/>
      <c r="Q344" s="1"/>
      <c r="R344" s="8"/>
      <c r="S344" s="1"/>
      <c r="T344" s="8"/>
      <c r="U344" s="1"/>
      <c r="V344" s="1"/>
      <c r="W344" s="1"/>
      <c r="X344" s="1"/>
    </row>
    <row r="345" spans="1:24">
      <c r="A345" s="15"/>
      <c r="B345" s="15"/>
      <c r="C345" s="16"/>
      <c r="D345" s="16"/>
      <c r="E345" s="16"/>
      <c r="F345" s="16"/>
      <c r="G345" s="16"/>
      <c r="H345" s="16"/>
      <c r="I345" s="16"/>
      <c r="J345" s="16"/>
      <c r="K345" s="16"/>
      <c r="L345" s="38"/>
      <c r="M345" s="25"/>
      <c r="N345" s="25"/>
      <c r="O345" s="25"/>
      <c r="P345" s="1"/>
      <c r="Q345" s="1"/>
      <c r="R345" s="8"/>
      <c r="S345" s="1"/>
      <c r="T345" s="8"/>
      <c r="U345" s="1"/>
      <c r="V345" s="1"/>
      <c r="W345" s="1"/>
      <c r="X345" s="1"/>
    </row>
    <row r="346" spans="1:24">
      <c r="A346" s="15"/>
      <c r="B346" s="15"/>
      <c r="C346" s="16"/>
      <c r="D346" s="16"/>
      <c r="E346" s="16"/>
      <c r="F346" s="16"/>
      <c r="G346" s="16"/>
      <c r="H346" s="16"/>
      <c r="I346" s="16"/>
      <c r="J346" s="16"/>
      <c r="K346" s="16"/>
      <c r="L346" s="38"/>
      <c r="M346" s="25"/>
      <c r="N346" s="25"/>
      <c r="O346" s="25"/>
      <c r="P346" s="1"/>
      <c r="Q346" s="1"/>
      <c r="R346" s="8"/>
      <c r="S346" s="1"/>
      <c r="T346" s="8"/>
      <c r="U346" s="1"/>
      <c r="V346" s="1"/>
      <c r="W346" s="1"/>
      <c r="X346" s="1"/>
    </row>
    <row r="347" spans="1:24">
      <c r="A347" s="15"/>
      <c r="B347" s="15"/>
      <c r="C347" s="16"/>
      <c r="D347" s="16"/>
      <c r="E347" s="16"/>
      <c r="F347" s="16"/>
      <c r="G347" s="16"/>
      <c r="H347" s="16"/>
      <c r="I347" s="16"/>
      <c r="J347" s="16"/>
      <c r="K347" s="16"/>
      <c r="L347" s="38"/>
      <c r="M347" s="25"/>
      <c r="N347" s="25"/>
      <c r="O347" s="25"/>
      <c r="P347" s="1"/>
      <c r="Q347" s="1"/>
      <c r="R347" s="8"/>
      <c r="S347" s="1"/>
      <c r="T347" s="8"/>
      <c r="U347" s="1"/>
      <c r="V347" s="1"/>
      <c r="W347" s="1"/>
      <c r="X347" s="1"/>
    </row>
    <row r="348" spans="1:24">
      <c r="A348" s="15"/>
      <c r="B348" s="15"/>
      <c r="C348" s="16"/>
      <c r="D348" s="16"/>
      <c r="E348" s="16"/>
      <c r="F348" s="16"/>
      <c r="G348" s="16"/>
      <c r="H348" s="16"/>
      <c r="I348" s="16"/>
      <c r="J348" s="16"/>
      <c r="K348" s="16"/>
      <c r="L348" s="38"/>
      <c r="M348" s="25"/>
      <c r="N348" s="25"/>
      <c r="O348" s="25"/>
      <c r="P348" s="1"/>
      <c r="Q348" s="1"/>
      <c r="R348" s="8"/>
      <c r="S348" s="1"/>
      <c r="T348" s="8"/>
      <c r="U348" s="1"/>
      <c r="V348" s="1"/>
      <c r="W348" s="1"/>
      <c r="X348" s="1"/>
    </row>
    <row r="349" spans="1:24">
      <c r="A349" s="15"/>
      <c r="B349" s="15"/>
      <c r="C349" s="16"/>
      <c r="D349" s="16"/>
      <c r="E349" s="16"/>
      <c r="F349" s="16"/>
      <c r="G349" s="16"/>
      <c r="H349" s="16"/>
      <c r="I349" s="16"/>
      <c r="J349" s="16"/>
      <c r="K349" s="16"/>
      <c r="L349" s="38"/>
      <c r="M349" s="25"/>
      <c r="N349" s="25"/>
      <c r="O349" s="25"/>
      <c r="P349" s="1"/>
      <c r="Q349" s="1"/>
      <c r="R349" s="8"/>
      <c r="S349" s="1"/>
      <c r="T349" s="8"/>
      <c r="U349" s="1"/>
      <c r="V349" s="1"/>
      <c r="W349" s="1"/>
      <c r="X349" s="1"/>
    </row>
    <row r="350" spans="1:24">
      <c r="A350" s="15"/>
      <c r="B350" s="15"/>
      <c r="C350" s="16"/>
      <c r="D350" s="16"/>
      <c r="E350" s="16"/>
      <c r="F350" s="16"/>
      <c r="G350" s="16"/>
      <c r="H350" s="16"/>
      <c r="I350" s="16"/>
      <c r="J350" s="16"/>
      <c r="K350" s="16"/>
      <c r="L350" s="38"/>
      <c r="M350" s="25"/>
      <c r="N350" s="25"/>
      <c r="O350" s="25"/>
      <c r="P350" s="1"/>
      <c r="Q350" s="1"/>
      <c r="R350" s="8"/>
      <c r="S350" s="1"/>
      <c r="T350" s="8"/>
      <c r="U350" s="1"/>
      <c r="V350" s="1"/>
      <c r="W350" s="1"/>
      <c r="X350" s="1"/>
    </row>
    <row r="351" spans="1:24">
      <c r="A351" s="15"/>
      <c r="B351" s="15"/>
      <c r="C351" s="16"/>
      <c r="D351" s="16"/>
      <c r="E351" s="16"/>
      <c r="F351" s="16"/>
      <c r="G351" s="16"/>
      <c r="H351" s="16"/>
      <c r="I351" s="16"/>
      <c r="J351" s="16"/>
      <c r="K351" s="16"/>
      <c r="L351" s="38"/>
      <c r="M351" s="25"/>
      <c r="N351" s="25"/>
      <c r="O351" s="25"/>
      <c r="P351" s="1"/>
      <c r="Q351" s="1"/>
      <c r="R351" s="8"/>
      <c r="S351" s="1"/>
      <c r="T351" s="8"/>
      <c r="U351" s="1"/>
      <c r="V351" s="1"/>
      <c r="W351" s="1"/>
      <c r="X351" s="1"/>
    </row>
    <row r="352" spans="1:24">
      <c r="A352" s="15"/>
      <c r="B352" s="15"/>
      <c r="C352" s="16"/>
      <c r="D352" s="16"/>
      <c r="E352" s="16"/>
      <c r="F352" s="16"/>
      <c r="G352" s="16"/>
      <c r="H352" s="16"/>
      <c r="I352" s="16"/>
      <c r="J352" s="16"/>
      <c r="K352" s="16"/>
      <c r="L352" s="38"/>
      <c r="M352" s="25"/>
      <c r="N352" s="25"/>
      <c r="O352" s="25"/>
      <c r="P352" s="1"/>
      <c r="Q352" s="1"/>
      <c r="R352" s="8"/>
      <c r="S352" s="1"/>
      <c r="T352" s="8"/>
      <c r="U352" s="1"/>
      <c r="V352" s="1"/>
      <c r="W352" s="1"/>
      <c r="X352" s="1"/>
    </row>
    <row r="353" spans="1:24">
      <c r="A353" s="15"/>
      <c r="B353" s="15"/>
      <c r="C353" s="16"/>
      <c r="D353" s="16"/>
      <c r="E353" s="16"/>
      <c r="F353" s="16"/>
      <c r="G353" s="16"/>
      <c r="H353" s="16"/>
      <c r="I353" s="16"/>
      <c r="J353" s="16"/>
      <c r="K353" s="16"/>
      <c r="L353" s="38"/>
      <c r="M353" s="25"/>
      <c r="N353" s="25"/>
      <c r="O353" s="25"/>
      <c r="P353" s="1"/>
      <c r="Q353" s="1"/>
      <c r="R353" s="8"/>
      <c r="S353" s="1"/>
      <c r="T353" s="8"/>
      <c r="U353" s="1"/>
      <c r="V353" s="1"/>
      <c r="W353" s="1"/>
      <c r="X353" s="1"/>
    </row>
    <row r="354" spans="1:24">
      <c r="A354" s="15"/>
      <c r="B354" s="15"/>
      <c r="C354" s="16"/>
      <c r="D354" s="16"/>
      <c r="E354" s="16"/>
      <c r="F354" s="16"/>
      <c r="G354" s="16"/>
      <c r="H354" s="16"/>
      <c r="I354" s="16"/>
      <c r="J354" s="16"/>
      <c r="K354" s="16"/>
      <c r="L354" s="38"/>
      <c r="M354" s="25"/>
      <c r="N354" s="25"/>
      <c r="O354" s="25"/>
      <c r="P354" s="1"/>
      <c r="Q354" s="1"/>
      <c r="R354" s="8"/>
      <c r="S354" s="1"/>
      <c r="T354" s="8"/>
      <c r="U354" s="1"/>
      <c r="V354" s="1"/>
      <c r="W354" s="1"/>
      <c r="X354" s="1"/>
    </row>
    <row r="355" spans="1:24">
      <c r="A355" s="15"/>
      <c r="B355" s="15"/>
      <c r="C355" s="16"/>
      <c r="D355" s="16"/>
      <c r="E355" s="16"/>
      <c r="F355" s="16"/>
      <c r="G355" s="16"/>
      <c r="H355" s="16"/>
      <c r="I355" s="16"/>
      <c r="J355" s="16"/>
      <c r="K355" s="16"/>
      <c r="L355" s="38"/>
      <c r="M355" s="25"/>
      <c r="N355" s="25"/>
      <c r="O355" s="25"/>
      <c r="P355" s="1"/>
      <c r="Q355" s="1"/>
      <c r="R355" s="8"/>
      <c r="S355" s="1"/>
      <c r="T355" s="8"/>
      <c r="U355" s="1"/>
      <c r="V355" s="1"/>
      <c r="W355" s="1"/>
      <c r="X355" s="1"/>
    </row>
    <row r="356" spans="1:24">
      <c r="A356" s="15"/>
      <c r="B356" s="15"/>
      <c r="C356" s="16"/>
      <c r="D356" s="16"/>
      <c r="E356" s="16"/>
      <c r="F356" s="16"/>
      <c r="G356" s="16"/>
      <c r="H356" s="16"/>
      <c r="I356" s="16"/>
      <c r="J356" s="16"/>
      <c r="K356" s="16"/>
      <c r="L356" s="38"/>
      <c r="M356" s="25"/>
      <c r="N356" s="25"/>
      <c r="O356" s="25"/>
      <c r="P356" s="1"/>
      <c r="Q356" s="1"/>
      <c r="R356" s="8"/>
      <c r="S356" s="1"/>
      <c r="T356" s="8"/>
      <c r="U356" s="1"/>
      <c r="V356" s="1"/>
      <c r="W356" s="1"/>
      <c r="X356" s="1"/>
    </row>
    <row r="357" spans="1:24">
      <c r="A357" s="15"/>
      <c r="B357" s="15"/>
      <c r="C357" s="16"/>
      <c r="D357" s="16"/>
      <c r="E357" s="16"/>
      <c r="F357" s="16"/>
      <c r="G357" s="16"/>
      <c r="H357" s="16"/>
      <c r="I357" s="16"/>
      <c r="J357" s="16"/>
      <c r="K357" s="16"/>
      <c r="L357" s="38"/>
      <c r="M357" s="25"/>
      <c r="N357" s="25"/>
      <c r="O357" s="25"/>
      <c r="P357" s="1"/>
      <c r="Q357" s="1"/>
      <c r="R357" s="8"/>
      <c r="S357" s="1"/>
      <c r="T357" s="8"/>
      <c r="U357" s="1"/>
      <c r="V357" s="1"/>
      <c r="W357" s="1"/>
      <c r="X357" s="1"/>
    </row>
    <row r="358" spans="1:24">
      <c r="A358" s="15"/>
      <c r="B358" s="15"/>
      <c r="C358" s="16"/>
      <c r="D358" s="16"/>
      <c r="E358" s="16"/>
      <c r="F358" s="16"/>
      <c r="G358" s="16"/>
      <c r="H358" s="16"/>
      <c r="I358" s="16"/>
      <c r="J358" s="16"/>
      <c r="K358" s="16"/>
      <c r="L358" s="38"/>
      <c r="M358" s="25"/>
      <c r="N358" s="25"/>
      <c r="O358" s="25"/>
      <c r="P358" s="1"/>
      <c r="Q358" s="1"/>
      <c r="R358" s="8"/>
      <c r="S358" s="1"/>
      <c r="T358" s="8"/>
      <c r="U358" s="1"/>
      <c r="V358" s="1"/>
      <c r="W358" s="1"/>
      <c r="X358" s="1"/>
    </row>
    <row r="359" spans="1:24">
      <c r="A359" s="15"/>
      <c r="B359" s="15"/>
      <c r="C359" s="16"/>
      <c r="D359" s="16"/>
      <c r="E359" s="16"/>
      <c r="F359" s="16"/>
      <c r="G359" s="16"/>
      <c r="H359" s="16"/>
      <c r="I359" s="16"/>
      <c r="J359" s="16"/>
      <c r="K359" s="16"/>
      <c r="L359" s="38"/>
      <c r="M359" s="25"/>
      <c r="N359" s="25"/>
      <c r="O359" s="25"/>
      <c r="P359" s="1"/>
      <c r="Q359" s="1"/>
      <c r="R359" s="8"/>
      <c r="S359" s="1"/>
      <c r="T359" s="8"/>
      <c r="U359" s="1"/>
      <c r="V359" s="1"/>
      <c r="W359" s="1"/>
      <c r="X359" s="1"/>
    </row>
    <row r="360" spans="1:24">
      <c r="A360" s="15"/>
      <c r="B360" s="15"/>
      <c r="C360" s="16"/>
      <c r="D360" s="16"/>
      <c r="E360" s="16"/>
      <c r="F360" s="16"/>
      <c r="G360" s="16"/>
      <c r="H360" s="16"/>
      <c r="I360" s="16"/>
      <c r="J360" s="16"/>
      <c r="K360" s="16"/>
      <c r="L360" s="38"/>
      <c r="M360" s="25"/>
      <c r="N360" s="25"/>
      <c r="O360" s="25"/>
      <c r="P360" s="1"/>
      <c r="Q360" s="1"/>
      <c r="R360" s="8"/>
      <c r="S360" s="1"/>
      <c r="T360" s="8"/>
      <c r="U360" s="1"/>
      <c r="V360" s="1"/>
      <c r="W360" s="1"/>
      <c r="X360" s="1"/>
    </row>
    <row r="361" spans="1:24">
      <c r="A361" s="15"/>
      <c r="B361" s="15"/>
      <c r="C361" s="16"/>
      <c r="D361" s="16"/>
      <c r="E361" s="16"/>
      <c r="F361" s="16"/>
      <c r="G361" s="16"/>
      <c r="H361" s="16"/>
      <c r="I361" s="16"/>
      <c r="J361" s="16"/>
      <c r="K361" s="16"/>
      <c r="L361" s="38"/>
      <c r="M361" s="25"/>
      <c r="N361" s="25"/>
      <c r="O361" s="25"/>
      <c r="P361" s="1"/>
      <c r="Q361" s="1"/>
      <c r="R361" s="8"/>
      <c r="S361" s="1"/>
      <c r="T361" s="8"/>
      <c r="U361" s="1"/>
      <c r="V361" s="1"/>
      <c r="W361" s="1"/>
      <c r="X361" s="1"/>
    </row>
    <row r="362" spans="1:24">
      <c r="A362" s="15"/>
      <c r="B362" s="15"/>
      <c r="C362" s="16"/>
      <c r="D362" s="16"/>
      <c r="E362" s="16"/>
      <c r="F362" s="16"/>
      <c r="G362" s="16"/>
      <c r="H362" s="16"/>
      <c r="I362" s="16"/>
      <c r="J362" s="16"/>
      <c r="K362" s="16"/>
      <c r="L362" s="38"/>
      <c r="M362" s="25"/>
      <c r="N362" s="25"/>
      <c r="O362" s="25"/>
      <c r="P362" s="1"/>
      <c r="Q362" s="1"/>
      <c r="R362" s="8"/>
      <c r="S362" s="1"/>
      <c r="T362" s="8"/>
      <c r="U362" s="1"/>
      <c r="V362" s="1"/>
      <c r="W362" s="1"/>
      <c r="X362" s="1"/>
    </row>
    <row r="363" spans="1:24">
      <c r="A363" s="15"/>
      <c r="B363" s="15"/>
      <c r="C363" s="16"/>
      <c r="D363" s="16"/>
      <c r="E363" s="16"/>
      <c r="F363" s="16"/>
      <c r="G363" s="16"/>
      <c r="H363" s="16"/>
      <c r="I363" s="16"/>
      <c r="J363" s="16"/>
      <c r="K363" s="16"/>
      <c r="L363" s="38"/>
      <c r="M363" s="25"/>
      <c r="N363" s="25"/>
      <c r="O363" s="25"/>
      <c r="P363" s="1"/>
      <c r="Q363" s="1"/>
      <c r="R363" s="8"/>
      <c r="S363" s="1"/>
      <c r="T363" s="8"/>
      <c r="U363" s="1"/>
      <c r="V363" s="1"/>
      <c r="W363" s="1"/>
      <c r="X363" s="1"/>
    </row>
    <row r="364" spans="1:24">
      <c r="A364" s="15"/>
      <c r="B364" s="15"/>
      <c r="C364" s="16"/>
      <c r="D364" s="16"/>
      <c r="E364" s="16"/>
      <c r="F364" s="16"/>
      <c r="G364" s="16"/>
      <c r="H364" s="16"/>
      <c r="I364" s="16"/>
      <c r="J364" s="16"/>
      <c r="K364" s="16"/>
      <c r="L364" s="38"/>
      <c r="M364" s="25"/>
      <c r="N364" s="25"/>
      <c r="O364" s="25"/>
      <c r="P364" s="1"/>
      <c r="Q364" s="1"/>
      <c r="R364" s="8"/>
      <c r="S364" s="1"/>
      <c r="T364" s="8"/>
      <c r="U364" s="1"/>
      <c r="V364" s="1"/>
      <c r="W364" s="1"/>
      <c r="X364" s="1"/>
    </row>
    <row r="365" spans="1:24">
      <c r="A365" s="15"/>
      <c r="B365" s="15"/>
      <c r="C365" s="16"/>
      <c r="D365" s="16"/>
      <c r="E365" s="16"/>
      <c r="F365" s="16"/>
      <c r="G365" s="16"/>
      <c r="H365" s="16"/>
      <c r="I365" s="16"/>
      <c r="J365" s="16"/>
      <c r="K365" s="16"/>
      <c r="L365" s="38"/>
      <c r="M365" s="25"/>
      <c r="N365" s="25"/>
      <c r="O365" s="25"/>
      <c r="P365" s="1"/>
      <c r="Q365" s="1"/>
      <c r="R365" s="8"/>
      <c r="S365" s="1"/>
      <c r="T365" s="8"/>
      <c r="U365" s="1"/>
      <c r="V365" s="1"/>
      <c r="W365" s="1"/>
      <c r="X365" s="1"/>
    </row>
    <row r="366" spans="1:24">
      <c r="A366" s="15"/>
      <c r="B366" s="15"/>
      <c r="C366" s="16"/>
      <c r="D366" s="16"/>
      <c r="E366" s="16"/>
      <c r="F366" s="16"/>
      <c r="G366" s="16"/>
      <c r="H366" s="16"/>
      <c r="I366" s="16"/>
      <c r="J366" s="16"/>
      <c r="K366" s="16"/>
      <c r="L366" s="38"/>
      <c r="M366" s="25"/>
      <c r="N366" s="25"/>
      <c r="O366" s="25"/>
      <c r="P366" s="1"/>
      <c r="Q366" s="1"/>
      <c r="R366" s="8"/>
      <c r="S366" s="1"/>
      <c r="T366" s="8"/>
      <c r="U366" s="1"/>
      <c r="V366" s="1"/>
      <c r="W366" s="1"/>
      <c r="X366" s="1"/>
    </row>
    <row r="367" spans="1:24">
      <c r="A367" s="15"/>
      <c r="B367" s="15"/>
      <c r="C367" s="16"/>
      <c r="D367" s="16"/>
      <c r="E367" s="16"/>
      <c r="F367" s="16"/>
      <c r="G367" s="16"/>
      <c r="H367" s="16"/>
      <c r="I367" s="16"/>
      <c r="J367" s="16"/>
      <c r="K367" s="16"/>
      <c r="L367" s="38"/>
      <c r="M367" s="25"/>
      <c r="N367" s="25"/>
      <c r="O367" s="25"/>
      <c r="P367" s="1"/>
      <c r="Q367" s="1"/>
      <c r="R367" s="8"/>
      <c r="S367" s="1"/>
      <c r="T367" s="8"/>
      <c r="U367" s="1"/>
      <c r="V367" s="1"/>
      <c r="W367" s="1"/>
      <c r="X367" s="1"/>
    </row>
    <row r="368" spans="1:24">
      <c r="A368" s="15"/>
      <c r="B368" s="15"/>
      <c r="C368" s="16"/>
      <c r="D368" s="16"/>
      <c r="E368" s="16"/>
      <c r="F368" s="16"/>
      <c r="G368" s="16"/>
      <c r="H368" s="16"/>
      <c r="I368" s="16"/>
      <c r="J368" s="16"/>
      <c r="K368" s="16"/>
      <c r="L368" s="38"/>
      <c r="M368" s="25"/>
      <c r="N368" s="25"/>
      <c r="O368" s="25"/>
      <c r="P368" s="1"/>
      <c r="Q368" s="1"/>
      <c r="R368" s="8"/>
      <c r="S368" s="1"/>
      <c r="T368" s="8"/>
      <c r="U368" s="1"/>
      <c r="V368" s="1"/>
      <c r="W368" s="1"/>
      <c r="X368" s="1"/>
    </row>
    <row r="369" spans="1:24">
      <c r="A369" s="15"/>
      <c r="B369" s="15"/>
      <c r="C369" s="16"/>
      <c r="D369" s="16"/>
      <c r="E369" s="16"/>
      <c r="F369" s="16"/>
      <c r="G369" s="16"/>
      <c r="H369" s="16"/>
      <c r="I369" s="16"/>
      <c r="J369" s="16"/>
      <c r="K369" s="16"/>
      <c r="L369" s="38"/>
      <c r="M369" s="25"/>
      <c r="N369" s="25"/>
      <c r="O369" s="25"/>
      <c r="P369" s="1"/>
      <c r="Q369" s="1"/>
      <c r="R369" s="8"/>
      <c r="S369" s="1"/>
      <c r="T369" s="8"/>
      <c r="U369" s="1"/>
      <c r="V369" s="1"/>
      <c r="W369" s="1"/>
      <c r="X369" s="1"/>
    </row>
    <row r="370" spans="1:24">
      <c r="A370" s="15"/>
      <c r="B370" s="15"/>
      <c r="C370" s="16"/>
      <c r="D370" s="16"/>
      <c r="E370" s="16"/>
      <c r="F370" s="16"/>
      <c r="G370" s="16"/>
      <c r="H370" s="16"/>
      <c r="I370" s="16"/>
      <c r="J370" s="16"/>
      <c r="K370" s="16"/>
      <c r="L370" s="38"/>
      <c r="M370" s="25"/>
      <c r="N370" s="25"/>
      <c r="O370" s="25"/>
      <c r="P370" s="1"/>
      <c r="Q370" s="1"/>
      <c r="R370" s="8"/>
      <c r="S370" s="1"/>
      <c r="T370" s="8"/>
      <c r="U370" s="1"/>
      <c r="V370" s="1"/>
      <c r="W370" s="1"/>
      <c r="X370" s="1"/>
    </row>
    <row r="371" spans="1:24">
      <c r="A371" s="15"/>
      <c r="B371" s="15"/>
      <c r="C371" s="16"/>
      <c r="D371" s="16"/>
      <c r="E371" s="16"/>
      <c r="F371" s="16"/>
      <c r="G371" s="16"/>
      <c r="H371" s="16"/>
      <c r="I371" s="16"/>
      <c r="J371" s="16"/>
      <c r="K371" s="16"/>
      <c r="L371" s="38"/>
      <c r="M371" s="25"/>
      <c r="N371" s="25"/>
      <c r="O371" s="25"/>
      <c r="P371" s="1"/>
      <c r="Q371" s="1"/>
      <c r="R371" s="8"/>
      <c r="S371" s="1"/>
      <c r="T371" s="8"/>
      <c r="U371" s="1"/>
      <c r="V371" s="1"/>
      <c r="W371" s="1"/>
      <c r="X371" s="1"/>
    </row>
    <row r="372" spans="1:24">
      <c r="A372" s="15"/>
      <c r="B372" s="15"/>
      <c r="C372" s="16"/>
      <c r="D372" s="16"/>
      <c r="E372" s="16"/>
      <c r="F372" s="16"/>
      <c r="G372" s="16"/>
      <c r="H372" s="16"/>
      <c r="I372" s="16"/>
      <c r="J372" s="16"/>
      <c r="K372" s="16"/>
      <c r="L372" s="38"/>
      <c r="M372" s="25"/>
      <c r="N372" s="25"/>
      <c r="O372" s="25"/>
      <c r="P372" s="1"/>
      <c r="Q372" s="1"/>
      <c r="R372" s="8"/>
      <c r="S372" s="1"/>
      <c r="T372" s="8"/>
      <c r="U372" s="1"/>
      <c r="V372" s="1"/>
      <c r="W372" s="1"/>
      <c r="X372" s="1"/>
    </row>
    <row r="373" spans="1:24">
      <c r="A373" s="15"/>
      <c r="B373" s="15"/>
      <c r="C373" s="16"/>
      <c r="D373" s="16"/>
      <c r="E373" s="16"/>
      <c r="F373" s="16"/>
      <c r="G373" s="16"/>
      <c r="H373" s="16"/>
      <c r="I373" s="16"/>
      <c r="J373" s="16"/>
      <c r="K373" s="16"/>
      <c r="L373" s="38"/>
      <c r="M373" s="25"/>
      <c r="N373" s="25"/>
      <c r="O373" s="25"/>
      <c r="P373" s="1"/>
      <c r="Q373" s="1"/>
      <c r="R373" s="8"/>
      <c r="S373" s="1"/>
      <c r="T373" s="8"/>
      <c r="U373" s="1"/>
      <c r="V373" s="1"/>
      <c r="W373" s="1"/>
      <c r="X373" s="1"/>
    </row>
    <row r="374" spans="1:24">
      <c r="A374" s="15"/>
      <c r="B374" s="15"/>
      <c r="C374" s="16"/>
      <c r="D374" s="16"/>
      <c r="E374" s="16"/>
      <c r="F374" s="16"/>
      <c r="G374" s="16"/>
      <c r="H374" s="16"/>
      <c r="I374" s="16"/>
      <c r="J374" s="16"/>
      <c r="K374" s="16"/>
      <c r="L374" s="38"/>
      <c r="M374" s="26"/>
      <c r="N374" s="26"/>
      <c r="O374" s="26"/>
      <c r="P374" s="1"/>
      <c r="Q374" s="1"/>
      <c r="R374" s="8"/>
      <c r="S374" s="1"/>
      <c r="T374" s="8"/>
      <c r="U374" s="1"/>
      <c r="V374" s="1"/>
      <c r="W374" s="1"/>
      <c r="X374" s="1"/>
    </row>
    <row r="375" spans="1:24">
      <c r="A375" s="15"/>
      <c r="B375" s="54"/>
      <c r="C375" s="8"/>
      <c r="D375" s="8"/>
      <c r="E375" s="8"/>
      <c r="F375" s="8"/>
      <c r="G375" s="8"/>
      <c r="H375" s="8"/>
      <c r="I375" s="8"/>
      <c r="J375" s="8"/>
      <c r="K375" s="8"/>
      <c r="L375" s="56"/>
      <c r="M375" s="26"/>
      <c r="N375" s="26"/>
      <c r="O375" s="26"/>
      <c r="P375" s="1"/>
      <c r="Q375" s="1"/>
      <c r="R375" s="8"/>
      <c r="S375" s="1"/>
      <c r="T375" s="8"/>
      <c r="U375" s="1"/>
      <c r="V375" s="1"/>
      <c r="W375" s="1"/>
      <c r="X375" s="1"/>
    </row>
    <row r="376" spans="1:24">
      <c r="A376" s="15"/>
      <c r="B376" s="54"/>
      <c r="C376" s="8"/>
      <c r="D376" s="8"/>
      <c r="E376" s="8"/>
      <c r="F376" s="8"/>
      <c r="G376" s="8"/>
      <c r="H376" s="8"/>
      <c r="I376" s="8"/>
      <c r="J376" s="8"/>
      <c r="K376" s="8"/>
      <c r="L376" s="56"/>
      <c r="M376" s="26"/>
      <c r="N376" s="26"/>
      <c r="O376" s="26"/>
      <c r="P376" s="1"/>
      <c r="Q376" s="1"/>
      <c r="R376" s="8"/>
      <c r="S376" s="1"/>
      <c r="T376" s="8"/>
      <c r="U376" s="1"/>
      <c r="V376" s="1"/>
      <c r="W376" s="1"/>
      <c r="X376" s="1"/>
    </row>
    <row r="377" spans="1:24">
      <c r="A377" s="15"/>
      <c r="B377" s="54"/>
      <c r="C377" s="8"/>
      <c r="D377" s="8"/>
      <c r="E377" s="8"/>
      <c r="F377" s="8"/>
      <c r="G377" s="8"/>
      <c r="H377" s="8"/>
      <c r="I377" s="8"/>
      <c r="J377" s="8"/>
      <c r="K377" s="8"/>
      <c r="L377" s="56"/>
      <c r="M377" s="26"/>
      <c r="N377" s="26"/>
      <c r="O377" s="26"/>
      <c r="P377" s="1"/>
      <c r="Q377" s="1"/>
      <c r="R377" s="8"/>
      <c r="S377" s="1"/>
      <c r="T377" s="8"/>
      <c r="U377" s="1"/>
      <c r="V377" s="1"/>
      <c r="W377" s="1"/>
      <c r="X377" s="1"/>
    </row>
    <row r="378" spans="1:24">
      <c r="A378" s="1"/>
      <c r="B378" s="103"/>
      <c r="C378" s="8"/>
      <c r="D378" s="8"/>
      <c r="E378" s="8"/>
      <c r="F378" s="101"/>
      <c r="G378" s="101"/>
      <c r="H378" s="101"/>
      <c r="I378" s="101"/>
      <c r="J378" s="101"/>
      <c r="K378" s="101"/>
      <c r="L378" s="109"/>
      <c r="M378" s="26"/>
      <c r="N378" s="26"/>
      <c r="O378" s="26"/>
      <c r="P378" s="1"/>
      <c r="Q378" s="1"/>
      <c r="R378" s="8"/>
      <c r="S378" s="1"/>
      <c r="T378" s="8"/>
      <c r="U378" s="1"/>
      <c r="V378" s="1"/>
      <c r="W378" s="1"/>
      <c r="X378" s="1"/>
    </row>
    <row r="379" spans="1:24">
      <c r="A379" s="1"/>
      <c r="B379" s="94"/>
      <c r="C379" s="8"/>
      <c r="D379" s="8"/>
      <c r="E379" s="8"/>
      <c r="F379" s="94"/>
      <c r="G379" s="94"/>
      <c r="H379" s="94"/>
      <c r="I379" s="94"/>
      <c r="J379" s="94"/>
      <c r="K379" s="94"/>
      <c r="L379" s="94"/>
      <c r="M379" s="26"/>
      <c r="N379" s="26"/>
      <c r="O379" s="26"/>
      <c r="P379" s="1"/>
      <c r="Q379" s="1"/>
      <c r="R379" s="8"/>
      <c r="S379" s="1"/>
      <c r="T379" s="8"/>
      <c r="U379" s="1"/>
      <c r="V379" s="1"/>
      <c r="W379" s="1"/>
      <c r="X379" s="1"/>
    </row>
    <row r="380" spans="1:24">
      <c r="A380" s="1"/>
      <c r="B380" s="94"/>
      <c r="C380" s="8"/>
      <c r="D380" s="8"/>
      <c r="E380" s="8"/>
      <c r="F380" s="94"/>
      <c r="G380" s="94"/>
      <c r="H380" s="94"/>
      <c r="I380" s="94"/>
      <c r="J380" s="94"/>
      <c r="K380" s="94"/>
      <c r="L380" s="94"/>
      <c r="M380" s="26"/>
      <c r="N380" s="26"/>
      <c r="O380" s="26"/>
      <c r="P380" s="1"/>
      <c r="Q380" s="1"/>
      <c r="R380" s="8"/>
      <c r="S380" s="1"/>
      <c r="T380" s="8"/>
      <c r="U380" s="1"/>
      <c r="V380" s="1"/>
      <c r="W380" s="1"/>
      <c r="X380" s="1"/>
    </row>
    <row r="381" spans="1:24">
      <c r="A381" s="1"/>
      <c r="B381" s="94"/>
      <c r="C381" s="8"/>
      <c r="D381" s="8"/>
      <c r="E381" s="8"/>
      <c r="F381" s="94"/>
      <c r="G381" s="94"/>
      <c r="H381" s="94"/>
      <c r="I381" s="94"/>
      <c r="J381" s="94"/>
      <c r="K381" s="94"/>
      <c r="L381" s="94"/>
      <c r="M381" s="26"/>
      <c r="N381" s="26"/>
      <c r="O381" s="26"/>
      <c r="P381" s="1"/>
      <c r="Q381" s="1"/>
      <c r="R381" s="8"/>
      <c r="S381" s="1"/>
      <c r="T381" s="8"/>
      <c r="U381" s="1"/>
      <c r="V381" s="1"/>
      <c r="W381" s="1"/>
      <c r="X381" s="1"/>
    </row>
    <row r="382" spans="1:24">
      <c r="A382" s="1"/>
      <c r="B382" s="94"/>
      <c r="C382" s="8"/>
      <c r="D382" s="8"/>
      <c r="E382" s="8"/>
      <c r="F382" s="94"/>
      <c r="G382" s="94"/>
      <c r="H382" s="94"/>
      <c r="I382" s="94"/>
      <c r="J382" s="94"/>
      <c r="K382" s="94"/>
      <c r="L382" s="94"/>
      <c r="M382" s="26"/>
      <c r="N382" s="26"/>
      <c r="O382" s="26"/>
      <c r="P382" s="1"/>
      <c r="Q382" s="1"/>
      <c r="R382" s="8"/>
      <c r="S382" s="1"/>
      <c r="T382" s="8"/>
      <c r="U382" s="1"/>
      <c r="V382" s="1"/>
      <c r="W382" s="1"/>
      <c r="X382" s="1"/>
    </row>
    <row r="383" spans="1:24">
      <c r="A383" s="1"/>
      <c r="B383" s="103"/>
      <c r="C383" s="8"/>
      <c r="D383" s="8"/>
      <c r="E383" s="8"/>
      <c r="F383" s="101"/>
      <c r="G383" s="101"/>
      <c r="H383" s="101"/>
      <c r="I383" s="101"/>
      <c r="J383" s="101"/>
      <c r="K383" s="101"/>
      <c r="L383" s="109"/>
      <c r="M383" s="26"/>
      <c r="N383" s="26"/>
      <c r="O383" s="26"/>
      <c r="P383" s="1"/>
      <c r="Q383" s="1"/>
      <c r="R383" s="8"/>
      <c r="S383" s="1"/>
      <c r="T383" s="8"/>
      <c r="U383" s="1"/>
      <c r="V383" s="1"/>
      <c r="W383" s="1"/>
      <c r="X383" s="1"/>
    </row>
    <row r="384" spans="1:24">
      <c r="A384" s="1"/>
      <c r="B384" s="94"/>
      <c r="C384" s="8"/>
      <c r="D384" s="8"/>
      <c r="E384" s="8"/>
      <c r="F384" s="94"/>
      <c r="G384" s="94"/>
      <c r="H384" s="94"/>
      <c r="I384" s="94"/>
      <c r="J384" s="94"/>
      <c r="K384" s="94"/>
      <c r="L384" s="94"/>
      <c r="M384" s="26"/>
      <c r="N384" s="26"/>
      <c r="O384" s="26"/>
      <c r="P384" s="1"/>
      <c r="Q384" s="1"/>
      <c r="R384" s="8"/>
      <c r="S384" s="1"/>
      <c r="T384" s="8"/>
      <c r="U384" s="1"/>
      <c r="V384" s="1"/>
      <c r="W384" s="1"/>
      <c r="X384" s="1"/>
    </row>
    <row r="385" spans="1:24">
      <c r="A385" s="1"/>
      <c r="B385" s="94"/>
      <c r="C385" s="8"/>
      <c r="D385" s="8"/>
      <c r="E385" s="8"/>
      <c r="F385" s="94"/>
      <c r="G385" s="94"/>
      <c r="H385" s="94"/>
      <c r="I385" s="94"/>
      <c r="J385" s="94"/>
      <c r="K385" s="94"/>
      <c r="L385" s="94"/>
      <c r="M385" s="26"/>
      <c r="N385" s="26"/>
      <c r="O385" s="26"/>
      <c r="P385" s="1"/>
      <c r="Q385" s="1"/>
      <c r="R385" s="8"/>
      <c r="S385" s="1"/>
      <c r="T385" s="8"/>
      <c r="U385" s="1"/>
      <c r="V385" s="1"/>
      <c r="W385" s="1"/>
      <c r="X385" s="1"/>
    </row>
    <row r="386" spans="1:24">
      <c r="A386" s="1"/>
      <c r="B386" s="94"/>
      <c r="C386" s="8"/>
      <c r="D386" s="8"/>
      <c r="E386" s="8"/>
      <c r="F386" s="94"/>
      <c r="G386" s="94"/>
      <c r="H386" s="94"/>
      <c r="I386" s="94"/>
      <c r="J386" s="94"/>
      <c r="K386" s="94"/>
      <c r="L386" s="94"/>
      <c r="M386" s="26"/>
      <c r="N386" s="26"/>
      <c r="O386" s="26"/>
      <c r="P386" s="1"/>
      <c r="Q386" s="1"/>
      <c r="R386" s="8"/>
      <c r="S386" s="1"/>
      <c r="T386" s="8"/>
      <c r="U386" s="1"/>
      <c r="V386" s="1"/>
      <c r="W386" s="1"/>
      <c r="X386" s="1"/>
    </row>
    <row r="387" spans="1:24">
      <c r="A387" s="1"/>
      <c r="B387" s="94"/>
      <c r="C387" s="8"/>
      <c r="D387" s="8"/>
      <c r="E387" s="8"/>
      <c r="F387" s="94"/>
      <c r="G387" s="94"/>
      <c r="H387" s="94"/>
      <c r="I387" s="94"/>
      <c r="J387" s="94"/>
      <c r="K387" s="94"/>
      <c r="L387" s="94"/>
      <c r="M387" s="26"/>
      <c r="N387" s="26"/>
      <c r="O387" s="26"/>
      <c r="P387" s="1"/>
      <c r="Q387" s="1"/>
      <c r="R387" s="8"/>
      <c r="S387" s="1"/>
      <c r="T387" s="8"/>
      <c r="U387" s="1"/>
      <c r="V387" s="1"/>
      <c r="W387" s="1"/>
      <c r="X387" s="1"/>
    </row>
    <row r="388" spans="1:24">
      <c r="A388" s="1"/>
      <c r="B388" s="103"/>
      <c r="C388" s="8"/>
      <c r="D388" s="8"/>
      <c r="E388" s="8"/>
      <c r="F388" s="101"/>
      <c r="G388" s="101"/>
      <c r="H388" s="101"/>
      <c r="I388" s="101"/>
      <c r="J388" s="101"/>
      <c r="K388" s="101"/>
      <c r="L388" s="109"/>
      <c r="M388" s="26"/>
      <c r="N388" s="26"/>
      <c r="O388" s="26"/>
      <c r="P388" s="1"/>
      <c r="Q388" s="1"/>
      <c r="R388" s="8"/>
      <c r="S388" s="1"/>
      <c r="T388" s="8"/>
      <c r="U388" s="1"/>
      <c r="V388" s="1"/>
      <c r="W388" s="1"/>
      <c r="X388" s="1"/>
    </row>
    <row r="389" spans="1:24">
      <c r="A389" s="1"/>
      <c r="B389" s="94"/>
      <c r="C389" s="8"/>
      <c r="D389" s="8"/>
      <c r="E389" s="8"/>
      <c r="F389" s="94"/>
      <c r="G389" s="94"/>
      <c r="H389" s="94"/>
      <c r="I389" s="94"/>
      <c r="J389" s="94"/>
      <c r="K389" s="94"/>
      <c r="L389" s="94"/>
      <c r="M389" s="26"/>
      <c r="N389" s="26"/>
      <c r="O389" s="26"/>
      <c r="P389" s="1"/>
      <c r="Q389" s="1"/>
      <c r="R389" s="8"/>
      <c r="S389" s="1"/>
      <c r="T389" s="8"/>
      <c r="U389" s="1"/>
      <c r="V389" s="1"/>
      <c r="W389" s="1"/>
      <c r="X389" s="1"/>
    </row>
    <row r="390" spans="1:24">
      <c r="A390" s="1"/>
      <c r="B390" s="94"/>
      <c r="C390" s="8"/>
      <c r="D390" s="8"/>
      <c r="E390" s="8"/>
      <c r="F390" s="94"/>
      <c r="G390" s="94"/>
      <c r="H390" s="94"/>
      <c r="I390" s="94"/>
      <c r="J390" s="94"/>
      <c r="K390" s="94"/>
      <c r="L390" s="94"/>
      <c r="M390" s="26"/>
      <c r="N390" s="26"/>
      <c r="O390" s="26"/>
      <c r="P390" s="1"/>
      <c r="Q390" s="1"/>
      <c r="R390" s="8"/>
      <c r="S390" s="1"/>
      <c r="T390" s="8"/>
      <c r="U390" s="1"/>
      <c r="V390" s="1"/>
      <c r="W390" s="1"/>
      <c r="X390" s="1"/>
    </row>
    <row r="391" spans="1:24">
      <c r="A391" s="1"/>
      <c r="B391" s="94"/>
      <c r="C391" s="8"/>
      <c r="D391" s="8"/>
      <c r="E391" s="8"/>
      <c r="F391" s="94"/>
      <c r="G391" s="94"/>
      <c r="H391" s="94"/>
      <c r="I391" s="94"/>
      <c r="J391" s="94"/>
      <c r="K391" s="94"/>
      <c r="L391" s="94"/>
      <c r="M391" s="26"/>
      <c r="N391" s="26"/>
      <c r="O391" s="26"/>
      <c r="P391" s="1"/>
      <c r="Q391" s="1"/>
      <c r="R391" s="8"/>
      <c r="S391" s="1"/>
      <c r="T391" s="8"/>
      <c r="U391" s="1"/>
      <c r="V391" s="1"/>
      <c r="W391" s="1"/>
      <c r="X391" s="1"/>
    </row>
    <row r="392" spans="1:24">
      <c r="A392" s="1"/>
      <c r="B392" s="94"/>
      <c r="C392" s="8"/>
      <c r="D392" s="8"/>
      <c r="E392" s="8"/>
      <c r="F392" s="94"/>
      <c r="G392" s="94"/>
      <c r="H392" s="94"/>
      <c r="I392" s="94"/>
      <c r="J392" s="94"/>
      <c r="K392" s="94"/>
      <c r="L392" s="94"/>
      <c r="M392" s="26"/>
      <c r="N392" s="26"/>
      <c r="O392" s="26"/>
      <c r="P392" s="1"/>
      <c r="Q392" s="1"/>
      <c r="R392" s="8"/>
      <c r="S392" s="1"/>
      <c r="T392" s="8"/>
      <c r="U392" s="1"/>
      <c r="V392" s="1"/>
      <c r="W392" s="1"/>
      <c r="X392" s="1"/>
    </row>
    <row r="393" spans="1:24">
      <c r="A393" s="1"/>
      <c r="B393" s="103"/>
      <c r="C393" s="8"/>
      <c r="D393" s="8"/>
      <c r="E393" s="8"/>
      <c r="F393" s="101"/>
      <c r="G393" s="101"/>
      <c r="H393" s="101"/>
      <c r="I393" s="101"/>
      <c r="J393" s="101"/>
      <c r="K393" s="101"/>
      <c r="L393" s="109"/>
      <c r="M393" s="26"/>
      <c r="N393" s="26"/>
      <c r="O393" s="26"/>
      <c r="P393" s="1"/>
      <c r="Q393" s="1"/>
      <c r="R393" s="8"/>
      <c r="S393" s="1"/>
      <c r="T393" s="8"/>
      <c r="U393" s="1"/>
      <c r="V393" s="1"/>
      <c r="W393" s="1"/>
      <c r="X393" s="1"/>
    </row>
    <row r="394" spans="1:24">
      <c r="A394" s="1"/>
      <c r="B394" s="94"/>
      <c r="C394" s="8"/>
      <c r="D394" s="8"/>
      <c r="E394" s="8"/>
      <c r="F394" s="94"/>
      <c r="G394" s="94"/>
      <c r="H394" s="94"/>
      <c r="I394" s="94"/>
      <c r="J394" s="94"/>
      <c r="K394" s="94"/>
      <c r="L394" s="94"/>
      <c r="M394" s="26"/>
      <c r="N394" s="26"/>
      <c r="O394" s="26"/>
      <c r="P394" s="1"/>
      <c r="Q394" s="1"/>
      <c r="R394" s="8"/>
      <c r="S394" s="1"/>
      <c r="T394" s="8"/>
      <c r="U394" s="1"/>
      <c r="V394" s="1"/>
      <c r="W394" s="1"/>
      <c r="X394" s="1"/>
    </row>
    <row r="395" spans="1:24">
      <c r="A395" s="1"/>
      <c r="B395" s="94"/>
      <c r="C395" s="8"/>
      <c r="D395" s="8"/>
      <c r="E395" s="8"/>
      <c r="F395" s="94"/>
      <c r="G395" s="94"/>
      <c r="H395" s="94"/>
      <c r="I395" s="94"/>
      <c r="J395" s="94"/>
      <c r="K395" s="94"/>
      <c r="L395" s="94"/>
      <c r="M395" s="26"/>
      <c r="N395" s="26"/>
      <c r="O395" s="26"/>
      <c r="P395" s="1"/>
      <c r="Q395" s="1"/>
      <c r="R395" s="8"/>
      <c r="S395" s="1"/>
      <c r="T395" s="8"/>
      <c r="U395" s="1"/>
      <c r="V395" s="1"/>
      <c r="W395" s="1"/>
      <c r="X395" s="1"/>
    </row>
    <row r="396" spans="1:24">
      <c r="A396" s="1"/>
      <c r="B396" s="94"/>
      <c r="C396" s="8"/>
      <c r="D396" s="8"/>
      <c r="E396" s="8"/>
      <c r="F396" s="94"/>
      <c r="G396" s="94"/>
      <c r="H396" s="94"/>
      <c r="I396" s="94"/>
      <c r="J396" s="94"/>
      <c r="K396" s="94"/>
      <c r="L396" s="94"/>
      <c r="M396" s="26"/>
      <c r="N396" s="26"/>
      <c r="O396" s="26"/>
      <c r="P396" s="1"/>
      <c r="Q396" s="1"/>
      <c r="R396" s="8"/>
      <c r="S396" s="1"/>
      <c r="T396" s="8"/>
      <c r="U396" s="1"/>
      <c r="V396" s="1"/>
      <c r="W396" s="1"/>
      <c r="X396" s="1"/>
    </row>
    <row r="397" spans="1:24">
      <c r="A397" s="1"/>
      <c r="B397" s="94"/>
      <c r="C397" s="8"/>
      <c r="D397" s="8"/>
      <c r="E397" s="8"/>
      <c r="F397" s="94"/>
      <c r="G397" s="94"/>
      <c r="H397" s="94"/>
      <c r="I397" s="94"/>
      <c r="J397" s="94"/>
      <c r="K397" s="94"/>
      <c r="L397" s="94"/>
      <c r="M397" s="26"/>
      <c r="N397" s="26"/>
      <c r="O397" s="26"/>
      <c r="P397" s="1"/>
      <c r="Q397" s="1"/>
      <c r="R397" s="8"/>
      <c r="S397" s="1"/>
      <c r="T397" s="8"/>
      <c r="U397" s="1"/>
      <c r="V397" s="1"/>
      <c r="W397" s="1"/>
      <c r="X397" s="1"/>
    </row>
    <row r="398" spans="1:24">
      <c r="A398" s="1"/>
      <c r="B398" s="103"/>
      <c r="C398" s="8"/>
      <c r="D398" s="8"/>
      <c r="E398" s="8"/>
      <c r="F398" s="101"/>
      <c r="G398" s="101"/>
      <c r="H398" s="101"/>
      <c r="I398" s="101"/>
      <c r="J398" s="101"/>
      <c r="K398" s="101"/>
      <c r="L398" s="109"/>
      <c r="M398" s="26"/>
      <c r="N398" s="26"/>
      <c r="O398" s="26"/>
      <c r="P398" s="1"/>
      <c r="Q398" s="1"/>
      <c r="R398" s="8"/>
      <c r="S398" s="1"/>
      <c r="T398" s="8"/>
      <c r="U398" s="1"/>
      <c r="V398" s="1"/>
      <c r="W398" s="1"/>
      <c r="X398" s="1"/>
    </row>
    <row r="399" spans="1:24">
      <c r="A399" s="1"/>
      <c r="B399" s="94"/>
      <c r="C399" s="8"/>
      <c r="D399" s="8"/>
      <c r="E399" s="8"/>
      <c r="F399" s="94"/>
      <c r="G399" s="94"/>
      <c r="H399" s="94"/>
      <c r="I399" s="94"/>
      <c r="J399" s="94"/>
      <c r="K399" s="94"/>
      <c r="L399" s="94"/>
      <c r="M399" s="26"/>
      <c r="N399" s="26"/>
      <c r="O399" s="26"/>
      <c r="P399" s="1"/>
      <c r="Q399" s="1"/>
      <c r="R399" s="8"/>
      <c r="S399" s="1"/>
      <c r="T399" s="8"/>
      <c r="U399" s="1"/>
      <c r="V399" s="1"/>
      <c r="W399" s="1"/>
      <c r="X399" s="1"/>
    </row>
    <row r="400" spans="1:24">
      <c r="A400" s="1"/>
      <c r="B400" s="94"/>
      <c r="C400" s="8"/>
      <c r="D400" s="8"/>
      <c r="E400" s="8"/>
      <c r="F400" s="94"/>
      <c r="G400" s="94"/>
      <c r="H400" s="94"/>
      <c r="I400" s="94"/>
      <c r="J400" s="94"/>
      <c r="K400" s="94"/>
      <c r="L400" s="94"/>
      <c r="M400" s="26"/>
      <c r="N400" s="26"/>
      <c r="O400" s="26"/>
      <c r="P400" s="1"/>
      <c r="Q400" s="1"/>
      <c r="R400" s="8"/>
      <c r="S400" s="1"/>
      <c r="T400" s="8"/>
      <c r="U400" s="1"/>
      <c r="V400" s="1"/>
      <c r="W400" s="1"/>
      <c r="X400" s="1"/>
    </row>
    <row r="401" spans="1:24">
      <c r="A401" s="1"/>
      <c r="B401" s="94"/>
      <c r="C401" s="8"/>
      <c r="D401" s="8"/>
      <c r="E401" s="8"/>
      <c r="F401" s="94"/>
      <c r="G401" s="94"/>
      <c r="H401" s="94"/>
      <c r="I401" s="94"/>
      <c r="J401" s="94"/>
      <c r="K401" s="94"/>
      <c r="L401" s="94"/>
      <c r="M401" s="26"/>
      <c r="N401" s="26"/>
      <c r="O401" s="26"/>
      <c r="P401" s="1"/>
      <c r="Q401" s="1"/>
      <c r="R401" s="8"/>
      <c r="S401" s="1"/>
      <c r="T401" s="8"/>
      <c r="U401" s="1"/>
      <c r="V401" s="1"/>
      <c r="W401" s="1"/>
      <c r="X401" s="1"/>
    </row>
    <row r="402" spans="1:24">
      <c r="A402" s="1"/>
      <c r="B402" s="94"/>
      <c r="C402" s="8"/>
      <c r="D402" s="8"/>
      <c r="E402" s="8"/>
      <c r="F402" s="94"/>
      <c r="G402" s="94"/>
      <c r="H402" s="94"/>
      <c r="I402" s="94"/>
      <c r="J402" s="94"/>
      <c r="K402" s="94"/>
      <c r="L402" s="94"/>
      <c r="M402" s="26"/>
      <c r="N402" s="26"/>
      <c r="O402" s="26"/>
      <c r="P402" s="1"/>
      <c r="Q402" s="1"/>
      <c r="R402" s="8"/>
      <c r="S402" s="1"/>
      <c r="T402" s="8"/>
      <c r="U402" s="1"/>
      <c r="V402" s="1"/>
      <c r="W402" s="1"/>
      <c r="X402" s="1"/>
    </row>
    <row r="403" spans="1:24">
      <c r="A403" s="1"/>
      <c r="B403" s="103"/>
      <c r="C403" s="8"/>
      <c r="D403" s="8"/>
      <c r="E403" s="8"/>
      <c r="F403" s="101"/>
      <c r="G403" s="101"/>
      <c r="H403" s="101"/>
      <c r="I403" s="101"/>
      <c r="J403" s="101"/>
      <c r="K403" s="101"/>
      <c r="L403" s="109"/>
      <c r="M403" s="26"/>
      <c r="N403" s="26"/>
      <c r="O403" s="26"/>
      <c r="P403" s="1"/>
      <c r="Q403" s="1"/>
      <c r="R403" s="8"/>
      <c r="S403" s="1"/>
      <c r="T403" s="8"/>
      <c r="U403" s="1"/>
      <c r="V403" s="1"/>
      <c r="W403" s="1"/>
      <c r="X403" s="1"/>
    </row>
    <row r="404" spans="1:24">
      <c r="A404" s="1"/>
      <c r="B404" s="94"/>
      <c r="C404" s="8"/>
      <c r="D404" s="8"/>
      <c r="E404" s="8"/>
      <c r="F404" s="94"/>
      <c r="G404" s="94"/>
      <c r="H404" s="94"/>
      <c r="I404" s="94"/>
      <c r="J404" s="94"/>
      <c r="K404" s="94"/>
      <c r="L404" s="94"/>
      <c r="M404" s="26"/>
      <c r="N404" s="26"/>
      <c r="O404" s="26"/>
      <c r="P404" s="1"/>
      <c r="Q404" s="1"/>
      <c r="R404" s="8"/>
      <c r="S404" s="1"/>
      <c r="T404" s="8"/>
      <c r="U404" s="1"/>
      <c r="V404" s="1"/>
      <c r="W404" s="1"/>
      <c r="X404" s="1"/>
    </row>
    <row r="405" spans="1:24">
      <c r="A405" s="1"/>
      <c r="B405" s="94"/>
      <c r="C405" s="8"/>
      <c r="D405" s="8"/>
      <c r="E405" s="8"/>
      <c r="F405" s="94"/>
      <c r="G405" s="94"/>
      <c r="H405" s="94"/>
      <c r="I405" s="94"/>
      <c r="J405" s="94"/>
      <c r="K405" s="94"/>
      <c r="L405" s="94"/>
      <c r="M405" s="26"/>
      <c r="N405" s="26"/>
      <c r="O405" s="26"/>
      <c r="P405" s="1"/>
      <c r="Q405" s="1"/>
      <c r="R405" s="8"/>
      <c r="S405" s="1"/>
      <c r="T405" s="8"/>
      <c r="U405" s="1"/>
      <c r="V405" s="1"/>
      <c r="W405" s="1"/>
      <c r="X405" s="1"/>
    </row>
    <row r="406" spans="1:24">
      <c r="A406" s="1"/>
      <c r="B406" s="94"/>
      <c r="C406" s="8"/>
      <c r="D406" s="8"/>
      <c r="E406" s="8"/>
      <c r="F406" s="94"/>
      <c r="G406" s="94"/>
      <c r="H406" s="94"/>
      <c r="I406" s="94"/>
      <c r="J406" s="94"/>
      <c r="K406" s="94"/>
      <c r="L406" s="94"/>
      <c r="M406" s="26"/>
      <c r="N406" s="26"/>
      <c r="O406" s="26"/>
      <c r="P406" s="1"/>
      <c r="Q406" s="1"/>
      <c r="R406" s="8"/>
      <c r="S406" s="1"/>
      <c r="T406" s="8"/>
      <c r="U406" s="1"/>
      <c r="V406" s="1"/>
      <c r="W406" s="1"/>
      <c r="X406" s="1"/>
    </row>
    <row r="407" spans="1:24">
      <c r="A407" s="1"/>
      <c r="B407" s="94"/>
      <c r="C407" s="8"/>
      <c r="D407" s="8"/>
      <c r="E407" s="8"/>
      <c r="F407" s="94"/>
      <c r="G407" s="94"/>
      <c r="H407" s="94"/>
      <c r="I407" s="94"/>
      <c r="J407" s="94"/>
      <c r="K407" s="94"/>
      <c r="L407" s="94"/>
      <c r="M407" s="26"/>
      <c r="N407" s="26"/>
      <c r="O407" s="26"/>
      <c r="P407" s="1"/>
      <c r="Q407" s="1"/>
      <c r="R407" s="8"/>
      <c r="S407" s="1"/>
      <c r="T407" s="8"/>
      <c r="U407" s="1"/>
      <c r="V407" s="1"/>
      <c r="W407" s="1"/>
      <c r="X407" s="1"/>
    </row>
    <row r="408" spans="1:24">
      <c r="A408" s="1"/>
      <c r="B408" s="103"/>
      <c r="C408" s="8"/>
      <c r="D408" s="8"/>
      <c r="E408" s="8"/>
      <c r="F408" s="101"/>
      <c r="G408" s="101"/>
      <c r="H408" s="101"/>
      <c r="I408" s="101"/>
      <c r="J408" s="101"/>
      <c r="K408" s="101"/>
      <c r="L408" s="109"/>
      <c r="M408" s="26"/>
      <c r="N408" s="26"/>
      <c r="O408" s="26"/>
      <c r="P408" s="1"/>
      <c r="Q408" s="1"/>
      <c r="R408" s="8"/>
      <c r="S408" s="1"/>
      <c r="T408" s="8"/>
      <c r="U408" s="1"/>
      <c r="V408" s="1"/>
      <c r="W408" s="1"/>
      <c r="X408" s="1"/>
    </row>
    <row r="409" spans="1:24">
      <c r="A409" s="1"/>
      <c r="B409" s="94"/>
      <c r="C409" s="8"/>
      <c r="D409" s="8"/>
      <c r="E409" s="8"/>
      <c r="F409" s="94"/>
      <c r="G409" s="94"/>
      <c r="H409" s="94"/>
      <c r="I409" s="94"/>
      <c r="J409" s="94"/>
      <c r="K409" s="94"/>
      <c r="L409" s="94"/>
      <c r="M409" s="26"/>
      <c r="N409" s="26"/>
      <c r="O409" s="26"/>
      <c r="P409" s="1"/>
      <c r="Q409" s="1"/>
      <c r="R409" s="8"/>
      <c r="S409" s="1"/>
      <c r="T409" s="8"/>
      <c r="U409" s="1"/>
      <c r="V409" s="1"/>
      <c r="W409" s="1"/>
      <c r="X409" s="1"/>
    </row>
    <row r="410" spans="1:24">
      <c r="A410" s="1"/>
      <c r="B410" s="94"/>
      <c r="C410" s="8"/>
      <c r="D410" s="8"/>
      <c r="E410" s="8"/>
      <c r="F410" s="94"/>
      <c r="G410" s="94"/>
      <c r="H410" s="94"/>
      <c r="I410" s="94"/>
      <c r="J410" s="94"/>
      <c r="K410" s="94"/>
      <c r="L410" s="94"/>
      <c r="M410" s="26"/>
      <c r="N410" s="26"/>
      <c r="O410" s="26"/>
      <c r="P410" s="1"/>
      <c r="Q410" s="1"/>
      <c r="R410" s="8"/>
      <c r="S410" s="1"/>
      <c r="T410" s="8"/>
      <c r="U410" s="1"/>
      <c r="V410" s="1"/>
      <c r="W410" s="1"/>
      <c r="X410" s="1"/>
    </row>
    <row r="411" spans="1:24">
      <c r="A411" s="1"/>
      <c r="B411" s="94"/>
      <c r="C411" s="8"/>
      <c r="D411" s="8"/>
      <c r="E411" s="8"/>
      <c r="F411" s="94"/>
      <c r="G411" s="94"/>
      <c r="H411" s="94"/>
      <c r="I411" s="94"/>
      <c r="J411" s="94"/>
      <c r="K411" s="94"/>
      <c r="L411" s="94"/>
      <c r="M411" s="26"/>
      <c r="N411" s="26"/>
      <c r="O411" s="26"/>
      <c r="P411" s="1"/>
      <c r="Q411" s="1"/>
      <c r="R411" s="8"/>
      <c r="S411" s="1"/>
      <c r="T411" s="8"/>
      <c r="U411" s="1"/>
      <c r="V411" s="1"/>
      <c r="W411" s="1"/>
      <c r="X411" s="1"/>
    </row>
    <row r="412" spans="1:24">
      <c r="A412" s="1"/>
      <c r="B412" s="94"/>
      <c r="C412" s="8"/>
      <c r="D412" s="8"/>
      <c r="E412" s="8"/>
      <c r="F412" s="94"/>
      <c r="G412" s="94"/>
      <c r="H412" s="94"/>
      <c r="I412" s="94"/>
      <c r="J412" s="94"/>
      <c r="K412" s="94"/>
      <c r="L412" s="94"/>
      <c r="M412" s="26"/>
      <c r="N412" s="26"/>
      <c r="O412" s="26"/>
      <c r="P412" s="1"/>
      <c r="Q412" s="1"/>
      <c r="R412" s="8"/>
      <c r="S412" s="1"/>
      <c r="T412" s="8"/>
      <c r="U412" s="1"/>
      <c r="V412" s="1"/>
      <c r="W412" s="1"/>
      <c r="X412" s="1"/>
    </row>
    <row r="413" spans="1:24">
      <c r="A413" s="1"/>
      <c r="B413" s="103"/>
      <c r="C413" s="8"/>
      <c r="D413" s="8"/>
      <c r="E413" s="8"/>
      <c r="F413" s="101"/>
      <c r="G413" s="101"/>
      <c r="H413" s="101"/>
      <c r="I413" s="101"/>
      <c r="J413" s="101"/>
      <c r="K413" s="101"/>
      <c r="L413" s="109"/>
      <c r="M413" s="26"/>
      <c r="N413" s="26"/>
      <c r="O413" s="26"/>
      <c r="P413" s="1"/>
      <c r="Q413" s="1"/>
      <c r="R413" s="8"/>
      <c r="S413" s="1"/>
      <c r="T413" s="8"/>
      <c r="U413" s="1"/>
      <c r="V413" s="1"/>
      <c r="W413" s="1"/>
      <c r="X413" s="1"/>
    </row>
    <row r="414" spans="1:24">
      <c r="A414" s="1"/>
      <c r="B414" s="94"/>
      <c r="C414" s="8"/>
      <c r="D414" s="8"/>
      <c r="E414" s="8"/>
      <c r="F414" s="94"/>
      <c r="G414" s="94"/>
      <c r="H414" s="94"/>
      <c r="I414" s="94"/>
      <c r="J414" s="94"/>
      <c r="K414" s="94"/>
      <c r="L414" s="94"/>
      <c r="M414" s="26"/>
      <c r="N414" s="26"/>
      <c r="O414" s="26"/>
      <c r="P414" s="1"/>
      <c r="Q414" s="1"/>
      <c r="R414" s="8"/>
      <c r="S414" s="1"/>
      <c r="T414" s="8"/>
      <c r="U414" s="1"/>
      <c r="V414" s="1"/>
      <c r="W414" s="1"/>
      <c r="X414" s="1"/>
    </row>
    <row r="415" spans="1:24">
      <c r="A415" s="1"/>
      <c r="B415" s="94"/>
      <c r="C415" s="8"/>
      <c r="D415" s="8"/>
      <c r="E415" s="8"/>
      <c r="F415" s="94"/>
      <c r="G415" s="94"/>
      <c r="H415" s="94"/>
      <c r="I415" s="94"/>
      <c r="J415" s="94"/>
      <c r="K415" s="94"/>
      <c r="L415" s="94"/>
      <c r="M415" s="26"/>
      <c r="N415" s="26"/>
      <c r="O415" s="26"/>
      <c r="P415" s="1"/>
      <c r="Q415" s="1"/>
      <c r="R415" s="8"/>
      <c r="S415" s="1"/>
      <c r="T415" s="8"/>
      <c r="U415" s="1"/>
      <c r="V415" s="1"/>
      <c r="W415" s="1"/>
      <c r="X415" s="1"/>
    </row>
    <row r="416" spans="1:24">
      <c r="A416" s="1"/>
      <c r="B416" s="94"/>
      <c r="C416" s="8"/>
      <c r="D416" s="8"/>
      <c r="E416" s="8"/>
      <c r="F416" s="94"/>
      <c r="G416" s="94"/>
      <c r="H416" s="94"/>
      <c r="I416" s="94"/>
      <c r="J416" s="94"/>
      <c r="K416" s="94"/>
      <c r="L416" s="94"/>
      <c r="M416" s="26"/>
      <c r="N416" s="26"/>
      <c r="O416" s="26"/>
      <c r="P416" s="1"/>
      <c r="Q416" s="1"/>
      <c r="R416" s="8"/>
      <c r="S416" s="1"/>
      <c r="T416" s="8"/>
      <c r="U416" s="1"/>
      <c r="V416" s="1"/>
      <c r="W416" s="1"/>
      <c r="X416" s="1"/>
    </row>
    <row r="417" spans="1:24">
      <c r="A417" s="1"/>
      <c r="B417" s="94"/>
      <c r="C417" s="8"/>
      <c r="D417" s="8"/>
      <c r="E417" s="8"/>
      <c r="F417" s="94"/>
      <c r="G417" s="94"/>
      <c r="H417" s="94"/>
      <c r="I417" s="94"/>
      <c r="J417" s="94"/>
      <c r="K417" s="94"/>
      <c r="L417" s="94"/>
      <c r="M417" s="26"/>
      <c r="N417" s="26"/>
      <c r="O417" s="26"/>
      <c r="P417" s="1"/>
      <c r="Q417" s="1"/>
      <c r="R417" s="8"/>
      <c r="S417" s="1"/>
      <c r="T417" s="8"/>
      <c r="U417" s="1"/>
      <c r="V417" s="1"/>
      <c r="W417" s="1"/>
      <c r="X417" s="1"/>
    </row>
    <row r="418" spans="1:24">
      <c r="A418" s="1"/>
      <c r="B418" s="103"/>
      <c r="C418" s="8"/>
      <c r="D418" s="8"/>
      <c r="E418" s="8"/>
      <c r="F418" s="101"/>
      <c r="G418" s="101"/>
      <c r="H418" s="101"/>
      <c r="I418" s="101"/>
      <c r="J418" s="101"/>
      <c r="K418" s="101"/>
      <c r="L418" s="109"/>
      <c r="M418" s="26"/>
      <c r="N418" s="26"/>
      <c r="O418" s="26"/>
      <c r="P418" s="1"/>
      <c r="Q418" s="1"/>
      <c r="R418" s="8"/>
      <c r="S418" s="1"/>
      <c r="T418" s="8"/>
      <c r="U418" s="1"/>
      <c r="V418" s="1"/>
      <c r="W418" s="1"/>
      <c r="X418" s="1"/>
    </row>
    <row r="419" spans="1:24">
      <c r="A419" s="1"/>
      <c r="B419" s="94"/>
      <c r="C419" s="8"/>
      <c r="D419" s="8"/>
      <c r="E419" s="8"/>
      <c r="F419" s="94"/>
      <c r="G419" s="94"/>
      <c r="H419" s="94"/>
      <c r="I419" s="94"/>
      <c r="J419" s="94"/>
      <c r="K419" s="94"/>
      <c r="L419" s="94"/>
      <c r="M419" s="26"/>
      <c r="N419" s="26"/>
      <c r="O419" s="26"/>
      <c r="P419" s="1"/>
      <c r="Q419" s="1"/>
      <c r="R419" s="8"/>
      <c r="S419" s="1"/>
      <c r="T419" s="8"/>
      <c r="U419" s="1"/>
      <c r="V419" s="1"/>
      <c r="W419" s="1"/>
      <c r="X419" s="1"/>
    </row>
    <row r="420" spans="1:24">
      <c r="A420" s="1"/>
      <c r="B420" s="94"/>
      <c r="C420" s="8"/>
      <c r="D420" s="8"/>
      <c r="E420" s="8"/>
      <c r="F420" s="94"/>
      <c r="G420" s="94"/>
      <c r="H420" s="94"/>
      <c r="I420" s="94"/>
      <c r="J420" s="94"/>
      <c r="K420" s="94"/>
      <c r="L420" s="94"/>
      <c r="M420" s="26"/>
      <c r="N420" s="26"/>
      <c r="O420" s="26"/>
      <c r="P420" s="1"/>
      <c r="Q420" s="1"/>
      <c r="R420" s="8"/>
      <c r="S420" s="1"/>
      <c r="T420" s="8"/>
      <c r="U420" s="1"/>
      <c r="V420" s="1"/>
      <c r="W420" s="1"/>
      <c r="X420" s="1"/>
    </row>
    <row r="421" spans="1:24">
      <c r="A421" s="1"/>
      <c r="B421" s="94"/>
      <c r="C421" s="8"/>
      <c r="D421" s="8"/>
      <c r="E421" s="8"/>
      <c r="F421" s="94"/>
      <c r="G421" s="94"/>
      <c r="H421" s="94"/>
      <c r="I421" s="94"/>
      <c r="J421" s="94"/>
      <c r="K421" s="94"/>
      <c r="L421" s="94"/>
      <c r="M421" s="26"/>
      <c r="N421" s="26"/>
      <c r="O421" s="26"/>
      <c r="P421" s="1"/>
      <c r="Q421" s="1"/>
      <c r="R421" s="8"/>
      <c r="S421" s="1"/>
      <c r="T421" s="8"/>
      <c r="U421" s="1"/>
      <c r="V421" s="1"/>
      <c r="W421" s="1"/>
      <c r="X421" s="1"/>
    </row>
    <row r="422" spans="1:24">
      <c r="A422" s="1"/>
      <c r="B422" s="94"/>
      <c r="C422" s="8"/>
      <c r="D422" s="8"/>
      <c r="E422" s="8"/>
      <c r="F422" s="94"/>
      <c r="G422" s="94"/>
      <c r="H422" s="94"/>
      <c r="I422" s="94"/>
      <c r="J422" s="94"/>
      <c r="K422" s="94"/>
      <c r="L422" s="94"/>
      <c r="M422" s="26"/>
      <c r="N422" s="26"/>
      <c r="O422" s="26"/>
      <c r="P422" s="1"/>
      <c r="Q422" s="1"/>
      <c r="R422" s="8"/>
      <c r="S422" s="1"/>
      <c r="T422" s="8"/>
      <c r="U422" s="1"/>
      <c r="V422" s="1"/>
      <c r="W422" s="1"/>
      <c r="X422" s="1"/>
    </row>
    <row r="423" spans="1:24">
      <c r="A423" s="1"/>
      <c r="B423" s="103"/>
      <c r="C423" s="8"/>
      <c r="D423" s="8"/>
      <c r="E423" s="8"/>
      <c r="F423" s="101"/>
      <c r="G423" s="101"/>
      <c r="H423" s="101"/>
      <c r="I423" s="101"/>
      <c r="J423" s="101"/>
      <c r="K423" s="101"/>
      <c r="L423" s="109"/>
      <c r="M423" s="26"/>
      <c r="N423" s="26"/>
      <c r="O423" s="26"/>
      <c r="P423" s="1"/>
      <c r="Q423" s="1"/>
      <c r="R423" s="8"/>
      <c r="S423" s="1"/>
      <c r="T423" s="8"/>
      <c r="U423" s="1"/>
      <c r="V423" s="1"/>
      <c r="W423" s="1"/>
      <c r="X423" s="1"/>
    </row>
    <row r="424" spans="1:24">
      <c r="A424" s="1"/>
      <c r="B424" s="94"/>
      <c r="C424" s="8"/>
      <c r="D424" s="8"/>
      <c r="E424" s="8"/>
      <c r="F424" s="94"/>
      <c r="G424" s="94"/>
      <c r="H424" s="94"/>
      <c r="I424" s="94"/>
      <c r="J424" s="94"/>
      <c r="K424" s="94"/>
      <c r="L424" s="94"/>
      <c r="M424" s="26"/>
      <c r="N424" s="26"/>
      <c r="O424" s="26"/>
      <c r="P424" s="1"/>
      <c r="Q424" s="1"/>
      <c r="R424" s="8"/>
      <c r="S424" s="1"/>
      <c r="T424" s="8"/>
      <c r="U424" s="1"/>
      <c r="V424" s="1"/>
      <c r="W424" s="1"/>
      <c r="X424" s="1"/>
    </row>
    <row r="425" spans="1:24">
      <c r="A425" s="1"/>
      <c r="B425" s="94"/>
      <c r="C425" s="8"/>
      <c r="D425" s="8"/>
      <c r="E425" s="8"/>
      <c r="F425" s="94"/>
      <c r="G425" s="94"/>
      <c r="H425" s="94"/>
      <c r="I425" s="94"/>
      <c r="J425" s="94"/>
      <c r="K425" s="94"/>
      <c r="L425" s="94"/>
      <c r="M425" s="26"/>
      <c r="N425" s="26"/>
      <c r="O425" s="26"/>
      <c r="P425" s="1"/>
      <c r="Q425" s="1"/>
      <c r="R425" s="8"/>
      <c r="S425" s="1"/>
      <c r="T425" s="8"/>
      <c r="U425" s="1"/>
      <c r="V425" s="1"/>
      <c r="W425" s="1"/>
      <c r="X425" s="1"/>
    </row>
    <row r="426" spans="1:24">
      <c r="A426" s="1"/>
      <c r="B426" s="94"/>
      <c r="C426" s="8"/>
      <c r="D426" s="8"/>
      <c r="E426" s="8"/>
      <c r="F426" s="94"/>
      <c r="G426" s="94"/>
      <c r="H426" s="94"/>
      <c r="I426" s="94"/>
      <c r="J426" s="94"/>
      <c r="K426" s="94"/>
      <c r="L426" s="94"/>
      <c r="M426" s="26"/>
      <c r="N426" s="26"/>
      <c r="O426" s="26"/>
      <c r="P426" s="1"/>
      <c r="Q426" s="1"/>
      <c r="R426" s="8"/>
      <c r="S426" s="1"/>
      <c r="T426" s="8"/>
      <c r="U426" s="1"/>
      <c r="V426" s="1"/>
      <c r="W426" s="1"/>
      <c r="X426" s="1"/>
    </row>
    <row r="427" spans="1:24">
      <c r="A427" s="1"/>
      <c r="B427" s="94"/>
      <c r="C427" s="8"/>
      <c r="D427" s="8"/>
      <c r="E427" s="8"/>
      <c r="F427" s="94"/>
      <c r="G427" s="94"/>
      <c r="H427" s="94"/>
      <c r="I427" s="94"/>
      <c r="J427" s="94"/>
      <c r="K427" s="94"/>
      <c r="L427" s="94"/>
      <c r="M427" s="26"/>
      <c r="N427" s="26"/>
      <c r="O427" s="26"/>
      <c r="P427" s="1"/>
      <c r="Q427" s="1"/>
      <c r="R427" s="8"/>
      <c r="S427" s="1"/>
      <c r="T427" s="8"/>
      <c r="U427" s="1"/>
      <c r="V427" s="1"/>
      <c r="W427" s="1"/>
      <c r="X427" s="1"/>
    </row>
    <row r="428" spans="1:24">
      <c r="A428" s="1"/>
      <c r="B428" s="103"/>
      <c r="C428" s="8"/>
      <c r="D428" s="8"/>
      <c r="E428" s="8"/>
      <c r="F428" s="101"/>
      <c r="G428" s="101"/>
      <c r="H428" s="101"/>
      <c r="I428" s="101"/>
      <c r="J428" s="101"/>
      <c r="K428" s="101"/>
      <c r="L428" s="109"/>
      <c r="M428" s="26"/>
      <c r="N428" s="26"/>
      <c r="O428" s="26"/>
      <c r="P428" s="1"/>
      <c r="Q428" s="1"/>
      <c r="R428" s="8"/>
      <c r="S428" s="1"/>
      <c r="T428" s="8"/>
      <c r="U428" s="1"/>
      <c r="V428" s="1"/>
      <c r="W428" s="1"/>
      <c r="X428" s="1"/>
    </row>
    <row r="429" spans="1:24">
      <c r="A429" s="1"/>
      <c r="B429" s="94"/>
      <c r="C429" s="8"/>
      <c r="D429" s="8"/>
      <c r="E429" s="8"/>
      <c r="F429" s="94"/>
      <c r="G429" s="94"/>
      <c r="H429" s="94"/>
      <c r="I429" s="94"/>
      <c r="J429" s="94"/>
      <c r="K429" s="94"/>
      <c r="L429" s="94"/>
      <c r="M429" s="26"/>
      <c r="N429" s="26"/>
      <c r="O429" s="26"/>
      <c r="P429" s="1"/>
      <c r="Q429" s="1"/>
      <c r="R429" s="8"/>
      <c r="S429" s="1"/>
      <c r="T429" s="8"/>
      <c r="U429" s="1"/>
      <c r="V429" s="1"/>
      <c r="W429" s="1"/>
      <c r="X429" s="1"/>
    </row>
    <row r="430" spans="1:24">
      <c r="A430" s="1"/>
      <c r="B430" s="94"/>
      <c r="C430" s="8"/>
      <c r="D430" s="8"/>
      <c r="E430" s="8"/>
      <c r="F430" s="94"/>
      <c r="G430" s="94"/>
      <c r="H430" s="94"/>
      <c r="I430" s="94"/>
      <c r="J430" s="94"/>
      <c r="K430" s="94"/>
      <c r="L430" s="94"/>
      <c r="M430" s="26"/>
      <c r="N430" s="26"/>
      <c r="O430" s="26"/>
      <c r="P430" s="1"/>
      <c r="Q430" s="1"/>
      <c r="R430" s="8"/>
      <c r="S430" s="1"/>
      <c r="T430" s="8"/>
      <c r="U430" s="1"/>
      <c r="V430" s="1"/>
      <c r="W430" s="1"/>
      <c r="X430" s="1"/>
    </row>
    <row r="431" spans="1:24">
      <c r="A431" s="1"/>
      <c r="B431" s="94"/>
      <c r="C431" s="8"/>
      <c r="D431" s="8"/>
      <c r="E431" s="8"/>
      <c r="F431" s="94"/>
      <c r="G431" s="94"/>
      <c r="H431" s="94"/>
      <c r="I431" s="94"/>
      <c r="J431" s="94"/>
      <c r="K431" s="94"/>
      <c r="L431" s="94"/>
      <c r="M431" s="26"/>
      <c r="N431" s="26"/>
      <c r="O431" s="26"/>
      <c r="P431" s="1"/>
      <c r="Q431" s="1"/>
      <c r="R431" s="8"/>
      <c r="S431" s="1"/>
      <c r="T431" s="8"/>
      <c r="U431" s="1"/>
      <c r="V431" s="1"/>
      <c r="W431" s="1"/>
      <c r="X431" s="1"/>
    </row>
    <row r="432" spans="1:24">
      <c r="A432" s="1"/>
      <c r="B432" s="94"/>
      <c r="C432" s="8"/>
      <c r="D432" s="8"/>
      <c r="E432" s="8"/>
      <c r="F432" s="94"/>
      <c r="G432" s="94"/>
      <c r="H432" s="94"/>
      <c r="I432" s="94"/>
      <c r="J432" s="94"/>
      <c r="K432" s="94"/>
      <c r="L432" s="94"/>
      <c r="M432" s="26"/>
      <c r="N432" s="26"/>
      <c r="O432" s="26"/>
      <c r="P432" s="1"/>
      <c r="Q432" s="1"/>
      <c r="R432" s="8"/>
      <c r="S432" s="1"/>
      <c r="T432" s="8"/>
      <c r="U432" s="1"/>
      <c r="V432" s="1"/>
      <c r="W432" s="1"/>
      <c r="X432" s="1"/>
    </row>
    <row r="433" spans="1:24">
      <c r="A433" s="1"/>
      <c r="B433" s="103"/>
      <c r="C433" s="8"/>
      <c r="D433" s="8"/>
      <c r="E433" s="8"/>
      <c r="F433" s="101"/>
      <c r="G433" s="101"/>
      <c r="H433" s="101"/>
      <c r="I433" s="101"/>
      <c r="J433" s="101"/>
      <c r="K433" s="101"/>
      <c r="L433" s="109"/>
      <c r="M433" s="26"/>
      <c r="N433" s="26"/>
      <c r="O433" s="26"/>
      <c r="P433" s="1"/>
      <c r="Q433" s="1"/>
      <c r="R433" s="8"/>
      <c r="S433" s="1"/>
      <c r="T433" s="8"/>
      <c r="U433" s="1"/>
      <c r="V433" s="1"/>
      <c r="W433" s="1"/>
      <c r="X433" s="1"/>
    </row>
    <row r="434" spans="1:24">
      <c r="A434" s="1"/>
      <c r="B434" s="94"/>
      <c r="C434" s="8"/>
      <c r="D434" s="8"/>
      <c r="E434" s="8"/>
      <c r="F434" s="94"/>
      <c r="G434" s="94"/>
      <c r="H434" s="94"/>
      <c r="I434" s="94"/>
      <c r="J434" s="94"/>
      <c r="K434" s="94"/>
      <c r="L434" s="94"/>
      <c r="M434" s="26"/>
      <c r="N434" s="26"/>
      <c r="O434" s="26"/>
      <c r="P434" s="1"/>
      <c r="Q434" s="1"/>
      <c r="R434" s="8"/>
      <c r="S434" s="1"/>
      <c r="T434" s="8"/>
      <c r="U434" s="1"/>
      <c r="V434" s="1"/>
      <c r="W434" s="1"/>
      <c r="X434" s="1"/>
    </row>
    <row r="435" spans="1:24">
      <c r="A435" s="1"/>
      <c r="B435" s="94"/>
      <c r="C435" s="8"/>
      <c r="D435" s="8"/>
      <c r="E435" s="8"/>
      <c r="F435" s="94"/>
      <c r="G435" s="94"/>
      <c r="H435" s="94"/>
      <c r="I435" s="94"/>
      <c r="J435" s="94"/>
      <c r="K435" s="94"/>
      <c r="L435" s="94"/>
      <c r="M435" s="26"/>
      <c r="N435" s="26"/>
      <c r="O435" s="26"/>
      <c r="P435" s="1"/>
      <c r="Q435" s="1"/>
      <c r="R435" s="8"/>
      <c r="S435" s="1"/>
      <c r="T435" s="8"/>
      <c r="U435" s="1"/>
      <c r="V435" s="1"/>
      <c r="W435" s="1"/>
      <c r="X435" s="1"/>
    </row>
    <row r="436" spans="1:24">
      <c r="A436" s="1"/>
      <c r="B436" s="94"/>
      <c r="C436" s="8"/>
      <c r="D436" s="8"/>
      <c r="E436" s="8"/>
      <c r="F436" s="94"/>
      <c r="G436" s="94"/>
      <c r="H436" s="94"/>
      <c r="I436" s="94"/>
      <c r="J436" s="94"/>
      <c r="K436" s="94"/>
      <c r="L436" s="94"/>
      <c r="M436" s="26"/>
      <c r="N436" s="26"/>
      <c r="O436" s="26"/>
      <c r="P436" s="1"/>
      <c r="Q436" s="1"/>
      <c r="R436" s="8"/>
      <c r="S436" s="1"/>
      <c r="T436" s="8"/>
      <c r="U436" s="1"/>
      <c r="V436" s="1"/>
      <c r="W436" s="1"/>
      <c r="X436" s="1"/>
    </row>
    <row r="437" spans="1:24">
      <c r="A437" s="1"/>
      <c r="B437" s="94"/>
      <c r="C437" s="8"/>
      <c r="D437" s="8"/>
      <c r="E437" s="8"/>
      <c r="F437" s="94"/>
      <c r="G437" s="94"/>
      <c r="H437" s="94"/>
      <c r="I437" s="94"/>
      <c r="J437" s="94"/>
      <c r="K437" s="94"/>
      <c r="L437" s="94"/>
      <c r="M437" s="26"/>
      <c r="N437" s="26"/>
      <c r="O437" s="26"/>
      <c r="P437" s="1"/>
      <c r="Q437" s="1"/>
      <c r="R437" s="8"/>
      <c r="S437" s="1"/>
      <c r="T437" s="8"/>
      <c r="U437" s="1"/>
      <c r="V437" s="1"/>
      <c r="W437" s="1"/>
      <c r="X437" s="1"/>
    </row>
    <row r="438" spans="1:24">
      <c r="A438" s="1"/>
      <c r="B438" s="103"/>
      <c r="C438" s="8"/>
      <c r="D438" s="8"/>
      <c r="E438" s="8"/>
      <c r="F438" s="101"/>
      <c r="G438" s="101"/>
      <c r="H438" s="101"/>
      <c r="I438" s="101"/>
      <c r="J438" s="101"/>
      <c r="K438" s="101"/>
      <c r="L438" s="109"/>
      <c r="M438" s="26"/>
      <c r="N438" s="26"/>
      <c r="O438" s="26"/>
      <c r="P438" s="1"/>
      <c r="Q438" s="1"/>
      <c r="R438" s="8"/>
      <c r="S438" s="1"/>
      <c r="T438" s="8"/>
      <c r="U438" s="1"/>
      <c r="V438" s="1"/>
      <c r="W438" s="1"/>
      <c r="X438" s="1"/>
    </row>
    <row r="439" spans="1:24">
      <c r="A439" s="1"/>
      <c r="B439" s="94"/>
      <c r="C439" s="8"/>
      <c r="D439" s="8"/>
      <c r="E439" s="8"/>
      <c r="F439" s="94"/>
      <c r="G439" s="94"/>
      <c r="H439" s="94"/>
      <c r="I439" s="94"/>
      <c r="J439" s="94"/>
      <c r="K439" s="94"/>
      <c r="L439" s="94"/>
      <c r="M439" s="26"/>
      <c r="N439" s="26"/>
      <c r="O439" s="26"/>
      <c r="P439" s="1"/>
      <c r="Q439" s="1"/>
      <c r="R439" s="8"/>
      <c r="S439" s="1"/>
      <c r="T439" s="8"/>
      <c r="U439" s="1"/>
      <c r="V439" s="1"/>
      <c r="W439" s="1"/>
      <c r="X439" s="1"/>
    </row>
    <row r="440" spans="1:24">
      <c r="A440" s="1"/>
      <c r="B440" s="94"/>
      <c r="C440" s="8"/>
      <c r="D440" s="8"/>
      <c r="E440" s="8"/>
      <c r="F440" s="94"/>
      <c r="G440" s="94"/>
      <c r="H440" s="94"/>
      <c r="I440" s="94"/>
      <c r="J440" s="94"/>
      <c r="K440" s="94"/>
      <c r="L440" s="94"/>
      <c r="M440" s="26"/>
      <c r="N440" s="26"/>
      <c r="O440" s="26"/>
      <c r="P440" s="1"/>
      <c r="Q440" s="1"/>
      <c r="R440" s="8"/>
      <c r="S440" s="1"/>
      <c r="T440" s="8"/>
      <c r="U440" s="1"/>
      <c r="V440" s="1"/>
      <c r="W440" s="1"/>
      <c r="X440" s="1"/>
    </row>
    <row r="441" spans="1:24">
      <c r="A441" s="1"/>
      <c r="B441" s="94"/>
      <c r="C441" s="8"/>
      <c r="D441" s="8"/>
      <c r="E441" s="8"/>
      <c r="F441" s="94"/>
      <c r="G441" s="94"/>
      <c r="H441" s="94"/>
      <c r="I441" s="94"/>
      <c r="J441" s="94"/>
      <c r="K441" s="94"/>
      <c r="L441" s="94"/>
      <c r="M441" s="26"/>
      <c r="N441" s="26"/>
      <c r="O441" s="26"/>
      <c r="P441" s="1"/>
      <c r="Q441" s="1"/>
      <c r="R441" s="8"/>
      <c r="S441" s="1"/>
      <c r="T441" s="8"/>
      <c r="U441" s="1"/>
      <c r="V441" s="1"/>
      <c r="W441" s="1"/>
      <c r="X441" s="1"/>
    </row>
    <row r="442" spans="1:24">
      <c r="A442" s="1"/>
      <c r="B442" s="94"/>
      <c r="C442" s="8"/>
      <c r="D442" s="8"/>
      <c r="E442" s="8"/>
      <c r="F442" s="94"/>
      <c r="G442" s="94"/>
      <c r="H442" s="94"/>
      <c r="I442" s="94"/>
      <c r="J442" s="94"/>
      <c r="K442" s="94"/>
      <c r="L442" s="94"/>
      <c r="M442" s="26"/>
      <c r="N442" s="26"/>
      <c r="O442" s="26"/>
      <c r="P442" s="1"/>
      <c r="Q442" s="1"/>
      <c r="R442" s="8"/>
      <c r="S442" s="1"/>
      <c r="T442" s="8"/>
      <c r="U442" s="1"/>
      <c r="V442" s="1"/>
      <c r="W442" s="1"/>
      <c r="X442" s="1"/>
    </row>
    <row r="443" spans="1:24">
      <c r="A443" s="1"/>
      <c r="B443" s="103"/>
      <c r="C443" s="8"/>
      <c r="D443" s="8"/>
      <c r="E443" s="8"/>
      <c r="F443" s="101"/>
      <c r="G443" s="101"/>
      <c r="H443" s="101"/>
      <c r="I443" s="101"/>
      <c r="J443" s="101"/>
      <c r="K443" s="101"/>
      <c r="L443" s="109"/>
      <c r="M443" s="26"/>
      <c r="N443" s="26"/>
      <c r="O443" s="26"/>
      <c r="P443" s="1"/>
      <c r="Q443" s="1"/>
      <c r="R443" s="8"/>
      <c r="S443" s="1"/>
      <c r="T443" s="8"/>
      <c r="U443" s="1"/>
      <c r="V443" s="1"/>
      <c r="W443" s="1"/>
      <c r="X443" s="1"/>
    </row>
    <row r="444" spans="1:24">
      <c r="A444" s="1"/>
      <c r="B444" s="94"/>
      <c r="C444" s="8"/>
      <c r="D444" s="8"/>
      <c r="E444" s="8"/>
      <c r="F444" s="94"/>
      <c r="G444" s="94"/>
      <c r="H444" s="94"/>
      <c r="I444" s="94"/>
      <c r="J444" s="94"/>
      <c r="K444" s="94"/>
      <c r="L444" s="94"/>
      <c r="M444" s="26"/>
      <c r="N444" s="26"/>
      <c r="O444" s="26"/>
      <c r="P444" s="1"/>
      <c r="Q444" s="1"/>
      <c r="R444" s="8"/>
      <c r="S444" s="1"/>
      <c r="T444" s="8"/>
      <c r="U444" s="1"/>
      <c r="V444" s="1"/>
      <c r="W444" s="1"/>
      <c r="X444" s="1"/>
    </row>
    <row r="445" spans="1:24">
      <c r="A445" s="1"/>
      <c r="B445" s="94"/>
      <c r="C445" s="8"/>
      <c r="D445" s="8"/>
      <c r="E445" s="8"/>
      <c r="F445" s="94"/>
      <c r="G445" s="94"/>
      <c r="H445" s="94"/>
      <c r="I445" s="94"/>
      <c r="J445" s="94"/>
      <c r="K445" s="94"/>
      <c r="L445" s="94"/>
      <c r="M445" s="26"/>
      <c r="N445" s="26"/>
      <c r="O445" s="26"/>
      <c r="P445" s="1"/>
      <c r="Q445" s="1"/>
      <c r="R445" s="8"/>
      <c r="S445" s="1"/>
      <c r="T445" s="8"/>
      <c r="U445" s="1"/>
      <c r="V445" s="1"/>
      <c r="W445" s="1"/>
      <c r="X445" s="1"/>
    </row>
    <row r="446" spans="1:24">
      <c r="A446" s="1"/>
      <c r="B446" s="94"/>
      <c r="C446" s="8"/>
      <c r="D446" s="8"/>
      <c r="E446" s="8"/>
      <c r="F446" s="94"/>
      <c r="G446" s="94"/>
      <c r="H446" s="94"/>
      <c r="I446" s="94"/>
      <c r="J446" s="94"/>
      <c r="K446" s="94"/>
      <c r="L446" s="94"/>
      <c r="M446" s="26"/>
      <c r="N446" s="26"/>
      <c r="O446" s="26"/>
      <c r="P446" s="1"/>
      <c r="Q446" s="1"/>
      <c r="R446" s="8"/>
      <c r="S446" s="1"/>
      <c r="T446" s="8"/>
      <c r="U446" s="1"/>
      <c r="V446" s="1"/>
      <c r="W446" s="1"/>
      <c r="X446" s="1"/>
    </row>
    <row r="447" spans="1:24">
      <c r="A447" s="1"/>
      <c r="B447" s="94"/>
      <c r="C447" s="8"/>
      <c r="D447" s="8"/>
      <c r="E447" s="8"/>
      <c r="F447" s="94"/>
      <c r="G447" s="94"/>
      <c r="H447" s="94"/>
      <c r="I447" s="94"/>
      <c r="J447" s="94"/>
      <c r="K447" s="94"/>
      <c r="L447" s="94"/>
      <c r="M447" s="26"/>
      <c r="N447" s="26"/>
      <c r="O447" s="26"/>
      <c r="P447" s="1"/>
      <c r="Q447" s="1"/>
      <c r="R447" s="8"/>
      <c r="S447" s="1"/>
      <c r="T447" s="8"/>
      <c r="U447" s="1"/>
      <c r="V447" s="1"/>
      <c r="W447" s="1"/>
      <c r="X447" s="1"/>
    </row>
    <row r="448" spans="1:24">
      <c r="A448" s="1"/>
      <c r="B448" s="103"/>
      <c r="C448" s="8"/>
      <c r="D448" s="8"/>
      <c r="E448" s="8"/>
      <c r="F448" s="101"/>
      <c r="G448" s="101"/>
      <c r="H448" s="101"/>
      <c r="I448" s="101"/>
      <c r="J448" s="101"/>
      <c r="K448" s="101"/>
      <c r="L448" s="109"/>
      <c r="M448" s="26"/>
      <c r="N448" s="26"/>
      <c r="O448" s="26"/>
      <c r="P448" s="1"/>
      <c r="Q448" s="1"/>
      <c r="R448" s="8"/>
      <c r="S448" s="1"/>
      <c r="T448" s="8"/>
      <c r="U448" s="1"/>
      <c r="V448" s="1"/>
      <c r="W448" s="1"/>
      <c r="X448" s="1"/>
    </row>
    <row r="449" spans="1:24">
      <c r="A449" s="1"/>
      <c r="B449" s="94"/>
      <c r="C449" s="8"/>
      <c r="D449" s="8"/>
      <c r="E449" s="8"/>
      <c r="F449" s="94"/>
      <c r="G449" s="94"/>
      <c r="H449" s="94"/>
      <c r="I449" s="94"/>
      <c r="J449" s="94"/>
      <c r="K449" s="94"/>
      <c r="L449" s="94"/>
      <c r="M449" s="26"/>
      <c r="N449" s="26"/>
      <c r="O449" s="26"/>
      <c r="P449" s="1"/>
      <c r="Q449" s="1"/>
      <c r="R449" s="8"/>
      <c r="S449" s="1"/>
      <c r="T449" s="8"/>
      <c r="U449" s="1"/>
      <c r="V449" s="1"/>
      <c r="W449" s="1"/>
      <c r="X449" s="1"/>
    </row>
    <row r="450" spans="1:24">
      <c r="A450" s="1"/>
      <c r="B450" s="94"/>
      <c r="C450" s="8"/>
      <c r="D450" s="8"/>
      <c r="E450" s="8"/>
      <c r="F450" s="94"/>
      <c r="G450" s="94"/>
      <c r="H450" s="94"/>
      <c r="I450" s="94"/>
      <c r="J450" s="94"/>
      <c r="K450" s="94"/>
      <c r="L450" s="94"/>
      <c r="M450" s="26"/>
      <c r="N450" s="26"/>
      <c r="O450" s="26"/>
      <c r="P450" s="1"/>
      <c r="Q450" s="1"/>
      <c r="R450" s="8"/>
      <c r="S450" s="1"/>
      <c r="T450" s="8"/>
      <c r="U450" s="1"/>
      <c r="V450" s="1"/>
      <c r="W450" s="1"/>
      <c r="X450" s="1"/>
    </row>
    <row r="451" spans="1:24">
      <c r="A451" s="1"/>
      <c r="B451" s="94"/>
      <c r="C451" s="8"/>
      <c r="D451" s="8"/>
      <c r="E451" s="8"/>
      <c r="F451" s="94"/>
      <c r="G451" s="94"/>
      <c r="H451" s="94"/>
      <c r="I451" s="94"/>
      <c r="J451" s="94"/>
      <c r="K451" s="94"/>
      <c r="L451" s="94"/>
      <c r="M451" s="26"/>
      <c r="N451" s="26"/>
      <c r="O451" s="26"/>
      <c r="P451" s="1"/>
      <c r="Q451" s="1"/>
      <c r="R451" s="8"/>
      <c r="S451" s="1"/>
      <c r="T451" s="8"/>
      <c r="U451" s="1"/>
      <c r="V451" s="1"/>
      <c r="W451" s="1"/>
      <c r="X451" s="1"/>
    </row>
    <row r="452" spans="1:24">
      <c r="A452" s="1"/>
      <c r="B452" s="94"/>
      <c r="C452" s="8"/>
      <c r="D452" s="8"/>
      <c r="E452" s="8"/>
      <c r="F452" s="94"/>
      <c r="G452" s="94"/>
      <c r="H452" s="94"/>
      <c r="I452" s="94"/>
      <c r="J452" s="94"/>
      <c r="K452" s="94"/>
      <c r="L452" s="94"/>
      <c r="M452" s="26"/>
      <c r="N452" s="26"/>
      <c r="O452" s="26"/>
      <c r="P452" s="1"/>
      <c r="Q452" s="1"/>
      <c r="R452" s="8"/>
      <c r="S452" s="1"/>
      <c r="T452" s="8"/>
      <c r="U452" s="1"/>
      <c r="V452" s="1"/>
      <c r="W452" s="1"/>
      <c r="X452" s="1"/>
    </row>
    <row r="453" spans="1:24">
      <c r="A453" s="1"/>
      <c r="B453" s="103"/>
      <c r="C453" s="8"/>
      <c r="D453" s="8"/>
      <c r="E453" s="8"/>
      <c r="F453" s="101"/>
      <c r="G453" s="101"/>
      <c r="H453" s="101"/>
      <c r="I453" s="101"/>
      <c r="J453" s="101"/>
      <c r="K453" s="101"/>
      <c r="L453" s="109"/>
      <c r="M453" s="26"/>
      <c r="N453" s="26"/>
      <c r="O453" s="26"/>
      <c r="P453" s="1"/>
      <c r="Q453" s="1"/>
      <c r="R453" s="8"/>
      <c r="S453" s="1"/>
      <c r="T453" s="8"/>
      <c r="U453" s="1"/>
      <c r="V453" s="1"/>
      <c r="W453" s="1"/>
      <c r="X453" s="1"/>
    </row>
    <row r="454" spans="1:24">
      <c r="A454" s="1"/>
      <c r="B454" s="94"/>
      <c r="C454" s="8"/>
      <c r="D454" s="8"/>
      <c r="E454" s="8"/>
      <c r="F454" s="94"/>
      <c r="G454" s="94"/>
      <c r="H454" s="94"/>
      <c r="I454" s="94"/>
      <c r="J454" s="94"/>
      <c r="K454" s="94"/>
      <c r="L454" s="94"/>
      <c r="M454" s="26"/>
      <c r="N454" s="26"/>
      <c r="O454" s="26"/>
      <c r="P454" s="1"/>
      <c r="Q454" s="1"/>
      <c r="R454" s="8"/>
      <c r="S454" s="1"/>
      <c r="T454" s="8"/>
      <c r="U454" s="1"/>
      <c r="V454" s="1"/>
      <c r="W454" s="1"/>
      <c r="X454" s="1"/>
    </row>
    <row r="455" spans="1:24">
      <c r="A455" s="1"/>
      <c r="B455" s="94"/>
      <c r="C455" s="8"/>
      <c r="D455" s="8"/>
      <c r="E455" s="8"/>
      <c r="F455" s="94"/>
      <c r="G455" s="94"/>
      <c r="H455" s="94"/>
      <c r="I455" s="94"/>
      <c r="J455" s="94"/>
      <c r="K455" s="94"/>
      <c r="L455" s="94"/>
      <c r="M455" s="26"/>
      <c r="N455" s="26"/>
      <c r="O455" s="26"/>
      <c r="P455" s="1"/>
      <c r="Q455" s="1"/>
      <c r="R455" s="8"/>
      <c r="S455" s="1"/>
      <c r="T455" s="8"/>
      <c r="U455" s="1"/>
      <c r="V455" s="1"/>
      <c r="W455" s="1"/>
      <c r="X455" s="1"/>
    </row>
    <row r="456" spans="1:24">
      <c r="A456" s="1"/>
      <c r="B456" s="94"/>
      <c r="C456" s="8"/>
      <c r="D456" s="8"/>
      <c r="E456" s="8"/>
      <c r="F456" s="94"/>
      <c r="G456" s="94"/>
      <c r="H456" s="94"/>
      <c r="I456" s="94"/>
      <c r="J456" s="94"/>
      <c r="K456" s="94"/>
      <c r="L456" s="94"/>
      <c r="M456" s="26"/>
      <c r="N456" s="26"/>
      <c r="O456" s="26"/>
      <c r="P456" s="1"/>
      <c r="Q456" s="1"/>
      <c r="R456" s="8"/>
      <c r="S456" s="1"/>
      <c r="T456" s="8"/>
      <c r="U456" s="1"/>
      <c r="V456" s="1"/>
      <c r="W456" s="1"/>
      <c r="X456" s="1"/>
    </row>
    <row r="457" spans="1:24">
      <c r="A457" s="1"/>
      <c r="B457" s="94"/>
      <c r="C457" s="8"/>
      <c r="D457" s="8"/>
      <c r="E457" s="8"/>
      <c r="F457" s="94"/>
      <c r="G457" s="94"/>
      <c r="H457" s="94"/>
      <c r="I457" s="94"/>
      <c r="J457" s="94"/>
      <c r="K457" s="94"/>
      <c r="L457" s="94"/>
      <c r="M457" s="26"/>
      <c r="N457" s="26"/>
      <c r="O457" s="26"/>
      <c r="P457" s="1"/>
      <c r="Q457" s="1"/>
      <c r="R457" s="8"/>
      <c r="S457" s="1"/>
      <c r="T457" s="8"/>
      <c r="U457" s="1"/>
      <c r="V457" s="1"/>
      <c r="W457" s="1"/>
      <c r="X457" s="1"/>
    </row>
    <row r="458" spans="1:24">
      <c r="A458" s="1"/>
      <c r="B458" s="103"/>
      <c r="C458" s="8"/>
      <c r="D458" s="8"/>
      <c r="E458" s="8"/>
      <c r="F458" s="101"/>
      <c r="G458" s="101"/>
      <c r="H458" s="101"/>
      <c r="I458" s="101"/>
      <c r="J458" s="101"/>
      <c r="K458" s="101"/>
      <c r="L458" s="109"/>
      <c r="M458" s="26"/>
      <c r="N458" s="26"/>
      <c r="O458" s="26"/>
      <c r="P458" s="1"/>
      <c r="Q458" s="1"/>
      <c r="R458" s="8"/>
      <c r="S458" s="1"/>
      <c r="T458" s="8"/>
      <c r="U458" s="1"/>
      <c r="V458" s="1"/>
      <c r="W458" s="1"/>
      <c r="X458" s="1"/>
    </row>
    <row r="459" spans="1:24">
      <c r="A459" s="1"/>
      <c r="B459" s="94"/>
      <c r="C459" s="8"/>
      <c r="D459" s="8"/>
      <c r="E459" s="8"/>
      <c r="F459" s="94"/>
      <c r="G459" s="94"/>
      <c r="H459" s="94"/>
      <c r="I459" s="94"/>
      <c r="J459" s="94"/>
      <c r="K459" s="94"/>
      <c r="L459" s="94"/>
      <c r="M459" s="26"/>
      <c r="N459" s="26"/>
      <c r="O459" s="26"/>
      <c r="P459" s="1"/>
      <c r="Q459" s="1"/>
      <c r="R459" s="8"/>
      <c r="S459" s="1"/>
      <c r="T459" s="8"/>
      <c r="U459" s="1"/>
      <c r="V459" s="1"/>
      <c r="W459" s="1"/>
      <c r="X459" s="1"/>
    </row>
    <row r="460" spans="1:24">
      <c r="A460" s="1"/>
      <c r="B460" s="94"/>
      <c r="C460" s="8"/>
      <c r="D460" s="8"/>
      <c r="E460" s="8"/>
      <c r="F460" s="94"/>
      <c r="G460" s="94"/>
      <c r="H460" s="94"/>
      <c r="I460" s="94"/>
      <c r="J460" s="94"/>
      <c r="K460" s="94"/>
      <c r="L460" s="94"/>
      <c r="M460" s="26"/>
      <c r="N460" s="26"/>
      <c r="O460" s="26"/>
      <c r="P460" s="1"/>
      <c r="Q460" s="1"/>
      <c r="R460" s="8"/>
      <c r="S460" s="1"/>
      <c r="T460" s="8"/>
      <c r="U460" s="1"/>
      <c r="V460" s="1"/>
      <c r="W460" s="1"/>
      <c r="X460" s="1"/>
    </row>
    <row r="461" spans="1:24">
      <c r="A461" s="1"/>
      <c r="B461" s="94"/>
      <c r="C461" s="8"/>
      <c r="D461" s="8"/>
      <c r="E461" s="8"/>
      <c r="F461" s="94"/>
      <c r="G461" s="94"/>
      <c r="H461" s="94"/>
      <c r="I461" s="94"/>
      <c r="J461" s="94"/>
      <c r="K461" s="94"/>
      <c r="L461" s="94"/>
      <c r="M461" s="26"/>
      <c r="N461" s="26"/>
      <c r="O461" s="26"/>
      <c r="P461" s="1"/>
      <c r="Q461" s="1"/>
      <c r="R461" s="8"/>
      <c r="S461" s="1"/>
      <c r="T461" s="8"/>
      <c r="U461" s="1"/>
      <c r="V461" s="1"/>
      <c r="W461" s="1"/>
      <c r="X461" s="1"/>
    </row>
    <row r="462" spans="1:24">
      <c r="A462" s="1"/>
      <c r="B462" s="94"/>
      <c r="C462" s="8"/>
      <c r="D462" s="8"/>
      <c r="E462" s="8"/>
      <c r="F462" s="94"/>
      <c r="G462" s="94"/>
      <c r="H462" s="94"/>
      <c r="I462" s="94"/>
      <c r="J462" s="94"/>
      <c r="K462" s="94"/>
      <c r="L462" s="94"/>
      <c r="M462" s="26"/>
      <c r="N462" s="26"/>
      <c r="O462" s="26"/>
      <c r="P462" s="1"/>
      <c r="Q462" s="1"/>
      <c r="R462" s="8"/>
      <c r="S462" s="1"/>
      <c r="T462" s="8"/>
      <c r="U462" s="1"/>
      <c r="V462" s="1"/>
      <c r="W462" s="1"/>
      <c r="X462" s="1"/>
    </row>
    <row r="463" spans="1:24">
      <c r="A463" s="1"/>
      <c r="B463" s="103"/>
      <c r="C463" s="8"/>
      <c r="D463" s="8"/>
      <c r="E463" s="8"/>
      <c r="F463" s="101"/>
      <c r="G463" s="101"/>
      <c r="H463" s="101"/>
      <c r="I463" s="101"/>
      <c r="J463" s="101"/>
      <c r="K463" s="101"/>
      <c r="L463" s="109"/>
      <c r="M463" s="26"/>
      <c r="N463" s="26"/>
      <c r="O463" s="26"/>
      <c r="P463" s="1"/>
      <c r="Q463" s="1"/>
      <c r="R463" s="8"/>
      <c r="S463" s="1"/>
      <c r="T463" s="8"/>
      <c r="U463" s="1"/>
      <c r="V463" s="1"/>
      <c r="W463" s="1"/>
      <c r="X463" s="1"/>
    </row>
    <row r="464" spans="1:24">
      <c r="A464" s="1"/>
      <c r="B464" s="94"/>
      <c r="C464" s="8"/>
      <c r="D464" s="8"/>
      <c r="E464" s="8"/>
      <c r="F464" s="94"/>
      <c r="G464" s="94"/>
      <c r="H464" s="94"/>
      <c r="I464" s="94"/>
      <c r="J464" s="94"/>
      <c r="K464" s="94"/>
      <c r="L464" s="94"/>
      <c r="M464" s="26"/>
      <c r="N464" s="26"/>
      <c r="O464" s="26"/>
      <c r="P464" s="1"/>
      <c r="Q464" s="1"/>
      <c r="R464" s="8"/>
      <c r="S464" s="1"/>
      <c r="T464" s="8"/>
      <c r="U464" s="1"/>
      <c r="V464" s="1"/>
      <c r="W464" s="1"/>
      <c r="X464" s="1"/>
    </row>
    <row r="465" spans="1:24">
      <c r="A465" s="1"/>
      <c r="B465" s="94"/>
      <c r="C465" s="8"/>
      <c r="D465" s="8"/>
      <c r="E465" s="8"/>
      <c r="F465" s="94"/>
      <c r="G465" s="94"/>
      <c r="H465" s="94"/>
      <c r="I465" s="94"/>
      <c r="J465" s="94"/>
      <c r="K465" s="94"/>
      <c r="L465" s="94"/>
      <c r="M465" s="26"/>
      <c r="N465" s="26"/>
      <c r="O465" s="26"/>
      <c r="P465" s="1"/>
      <c r="Q465" s="1"/>
      <c r="R465" s="8"/>
      <c r="S465" s="1"/>
      <c r="T465" s="8"/>
      <c r="U465" s="1"/>
      <c r="V465" s="1"/>
      <c r="W465" s="1"/>
      <c r="X465" s="1"/>
    </row>
    <row r="466" spans="1:24">
      <c r="A466" s="1"/>
      <c r="B466" s="94"/>
      <c r="C466" s="8"/>
      <c r="D466" s="8"/>
      <c r="E466" s="8"/>
      <c r="F466" s="94"/>
      <c r="G466" s="94"/>
      <c r="H466" s="94"/>
      <c r="I466" s="94"/>
      <c r="J466" s="94"/>
      <c r="K466" s="94"/>
      <c r="L466" s="94"/>
      <c r="M466" s="26"/>
      <c r="N466" s="26"/>
      <c r="O466" s="26"/>
      <c r="P466" s="1"/>
      <c r="Q466" s="1"/>
      <c r="R466" s="8"/>
      <c r="S466" s="1"/>
      <c r="T466" s="8"/>
      <c r="U466" s="1"/>
      <c r="V466" s="1"/>
      <c r="W466" s="1"/>
      <c r="X466" s="1"/>
    </row>
    <row r="467" spans="1:24">
      <c r="A467" s="1"/>
      <c r="B467" s="94"/>
      <c r="C467" s="8"/>
      <c r="D467" s="8"/>
      <c r="E467" s="8"/>
      <c r="F467" s="94"/>
      <c r="G467" s="94"/>
      <c r="H467" s="94"/>
      <c r="I467" s="94"/>
      <c r="J467" s="94"/>
      <c r="K467" s="94"/>
      <c r="L467" s="94"/>
      <c r="M467" s="26"/>
      <c r="N467" s="26"/>
      <c r="O467" s="26"/>
      <c r="P467" s="1"/>
      <c r="Q467" s="1"/>
      <c r="R467" s="8"/>
      <c r="S467" s="1"/>
      <c r="T467" s="8"/>
      <c r="U467" s="1"/>
      <c r="V467" s="1"/>
      <c r="W467" s="1"/>
      <c r="X467" s="1"/>
    </row>
    <row r="468" spans="1:24">
      <c r="A468" s="1"/>
      <c r="B468" s="103"/>
      <c r="C468" s="8"/>
      <c r="D468" s="8"/>
      <c r="E468" s="8"/>
      <c r="F468" s="101"/>
      <c r="G468" s="101"/>
      <c r="H468" s="101"/>
      <c r="I468" s="101"/>
      <c r="J468" s="101"/>
      <c r="K468" s="101"/>
      <c r="L468" s="109"/>
      <c r="M468" s="26"/>
      <c r="N468" s="26"/>
      <c r="O468" s="26"/>
      <c r="P468" s="1"/>
      <c r="Q468" s="1"/>
      <c r="R468" s="8"/>
      <c r="S468" s="1"/>
      <c r="T468" s="8"/>
      <c r="U468" s="1"/>
      <c r="V468" s="1"/>
      <c r="W468" s="1"/>
      <c r="X468" s="1"/>
    </row>
    <row r="469" spans="1:24">
      <c r="A469" s="1"/>
      <c r="B469" s="94"/>
      <c r="C469" s="8"/>
      <c r="D469" s="8"/>
      <c r="E469" s="8"/>
      <c r="F469" s="94"/>
      <c r="G469" s="94"/>
      <c r="H469" s="94"/>
      <c r="I469" s="94"/>
      <c r="J469" s="94"/>
      <c r="K469" s="94"/>
      <c r="L469" s="94"/>
      <c r="M469" s="26"/>
      <c r="N469" s="26"/>
      <c r="O469" s="26"/>
      <c r="P469" s="1"/>
      <c r="Q469" s="1"/>
      <c r="R469" s="8"/>
      <c r="S469" s="1"/>
      <c r="T469" s="8"/>
      <c r="U469" s="1"/>
      <c r="V469" s="1"/>
      <c r="W469" s="1"/>
      <c r="X469" s="1"/>
    </row>
    <row r="470" spans="1:24">
      <c r="A470" s="1"/>
      <c r="B470" s="94"/>
      <c r="C470" s="8"/>
      <c r="D470" s="8"/>
      <c r="E470" s="8"/>
      <c r="F470" s="94"/>
      <c r="G470" s="94"/>
      <c r="H470" s="94"/>
      <c r="I470" s="94"/>
      <c r="J470" s="94"/>
      <c r="K470" s="94"/>
      <c r="L470" s="94"/>
      <c r="M470" s="26"/>
      <c r="N470" s="26"/>
      <c r="O470" s="26"/>
      <c r="P470" s="1"/>
      <c r="Q470" s="1"/>
      <c r="R470" s="8"/>
      <c r="S470" s="1"/>
      <c r="T470" s="8"/>
      <c r="U470" s="1"/>
      <c r="V470" s="1"/>
      <c r="W470" s="1"/>
      <c r="X470" s="1"/>
    </row>
    <row r="471" spans="1:24">
      <c r="A471" s="1"/>
      <c r="B471" s="94"/>
      <c r="C471" s="8"/>
      <c r="D471" s="8"/>
      <c r="E471" s="8"/>
      <c r="F471" s="94"/>
      <c r="G471" s="94"/>
      <c r="H471" s="94"/>
      <c r="I471" s="94"/>
      <c r="J471" s="94"/>
      <c r="K471" s="94"/>
      <c r="L471" s="94"/>
      <c r="M471" s="26"/>
      <c r="N471" s="26"/>
      <c r="O471" s="26"/>
      <c r="P471" s="1"/>
      <c r="Q471" s="1"/>
      <c r="R471" s="8"/>
      <c r="S471" s="1"/>
      <c r="T471" s="8"/>
      <c r="U471" s="1"/>
      <c r="V471" s="1"/>
      <c r="W471" s="1"/>
      <c r="X471" s="1"/>
    </row>
    <row r="472" spans="1:24">
      <c r="A472" s="1"/>
      <c r="B472" s="94"/>
      <c r="C472" s="8"/>
      <c r="D472" s="8"/>
      <c r="E472" s="8"/>
      <c r="F472" s="94"/>
      <c r="G472" s="94"/>
      <c r="H472" s="94"/>
      <c r="I472" s="94"/>
      <c r="J472" s="94"/>
      <c r="K472" s="94"/>
      <c r="L472" s="94"/>
      <c r="M472" s="26"/>
      <c r="N472" s="26"/>
      <c r="O472" s="26"/>
      <c r="P472" s="1"/>
      <c r="Q472" s="1"/>
      <c r="R472" s="8"/>
      <c r="S472" s="1"/>
      <c r="T472" s="8"/>
      <c r="U472" s="1"/>
      <c r="V472" s="1"/>
      <c r="W472" s="1"/>
      <c r="X472" s="1"/>
    </row>
    <row r="473" spans="1:24">
      <c r="A473" s="1"/>
      <c r="B473" s="103"/>
      <c r="C473" s="8"/>
      <c r="D473" s="8"/>
      <c r="E473" s="8"/>
      <c r="F473" s="101"/>
      <c r="G473" s="101"/>
      <c r="H473" s="101"/>
      <c r="I473" s="101"/>
      <c r="J473" s="101"/>
      <c r="K473" s="101"/>
      <c r="L473" s="109"/>
      <c r="M473" s="26"/>
      <c r="N473" s="26"/>
      <c r="O473" s="26"/>
      <c r="P473" s="1"/>
      <c r="Q473" s="1"/>
      <c r="R473" s="8"/>
      <c r="S473" s="1"/>
      <c r="T473" s="8"/>
      <c r="U473" s="1"/>
      <c r="V473" s="1"/>
      <c r="W473" s="1"/>
      <c r="X473" s="1"/>
    </row>
    <row r="474" spans="1:24">
      <c r="A474" s="1"/>
      <c r="B474" s="94"/>
      <c r="C474" s="8"/>
      <c r="D474" s="8"/>
      <c r="E474" s="8"/>
      <c r="F474" s="94"/>
      <c r="G474" s="94"/>
      <c r="H474" s="94"/>
      <c r="I474" s="94"/>
      <c r="J474" s="94"/>
      <c r="K474" s="94"/>
      <c r="L474" s="94"/>
      <c r="M474" s="26"/>
      <c r="N474" s="26"/>
      <c r="O474" s="26"/>
      <c r="P474" s="1"/>
      <c r="Q474" s="1"/>
      <c r="R474" s="8"/>
      <c r="S474" s="1"/>
      <c r="T474" s="8"/>
      <c r="U474" s="1"/>
      <c r="V474" s="1"/>
      <c r="W474" s="1"/>
      <c r="X474" s="1"/>
    </row>
    <row r="475" spans="1:24">
      <c r="A475" s="1"/>
      <c r="B475" s="94"/>
      <c r="C475" s="8"/>
      <c r="D475" s="8"/>
      <c r="E475" s="8"/>
      <c r="F475" s="94"/>
      <c r="G475" s="94"/>
      <c r="H475" s="94"/>
      <c r="I475" s="94"/>
      <c r="J475" s="94"/>
      <c r="K475" s="94"/>
      <c r="L475" s="94"/>
      <c r="M475" s="26"/>
      <c r="N475" s="26"/>
      <c r="O475" s="26"/>
      <c r="P475" s="1"/>
      <c r="Q475" s="1"/>
      <c r="R475" s="8"/>
      <c r="S475" s="1"/>
      <c r="T475" s="8"/>
      <c r="U475" s="1"/>
      <c r="V475" s="1"/>
      <c r="W475" s="1"/>
      <c r="X475" s="1"/>
    </row>
    <row r="476" spans="1:24">
      <c r="A476" s="1"/>
      <c r="B476" s="94"/>
      <c r="C476" s="8"/>
      <c r="D476" s="8"/>
      <c r="E476" s="8"/>
      <c r="F476" s="94"/>
      <c r="G476" s="94"/>
      <c r="H476" s="94"/>
      <c r="I476" s="94"/>
      <c r="J476" s="94"/>
      <c r="K476" s="94"/>
      <c r="L476" s="94"/>
      <c r="M476" s="26"/>
      <c r="N476" s="26"/>
      <c r="O476" s="26"/>
      <c r="P476" s="1"/>
      <c r="Q476" s="1"/>
      <c r="R476" s="8"/>
      <c r="S476" s="1"/>
      <c r="T476" s="8"/>
      <c r="U476" s="1"/>
      <c r="V476" s="1"/>
      <c r="W476" s="1"/>
      <c r="X476" s="1"/>
    </row>
    <row r="477" spans="1:24">
      <c r="A477" s="1"/>
      <c r="B477" s="94"/>
      <c r="C477" s="8"/>
      <c r="D477" s="8"/>
      <c r="E477" s="8"/>
      <c r="F477" s="94"/>
      <c r="G477" s="94"/>
      <c r="H477" s="94"/>
      <c r="I477" s="94"/>
      <c r="J477" s="94"/>
      <c r="K477" s="94"/>
      <c r="L477" s="94"/>
      <c r="M477" s="26"/>
      <c r="N477" s="26"/>
      <c r="O477" s="26"/>
      <c r="P477" s="1"/>
      <c r="Q477" s="1"/>
      <c r="R477" s="8"/>
      <c r="S477" s="1"/>
      <c r="T477" s="8"/>
      <c r="U477" s="1"/>
      <c r="V477" s="1"/>
      <c r="W477" s="1"/>
      <c r="X477" s="1"/>
    </row>
    <row r="478" spans="1:24">
      <c r="A478" s="1"/>
      <c r="B478" s="103"/>
      <c r="C478" s="8"/>
      <c r="D478" s="8"/>
      <c r="E478" s="8"/>
      <c r="F478" s="101"/>
      <c r="G478" s="101"/>
      <c r="H478" s="101"/>
      <c r="I478" s="101"/>
      <c r="J478" s="101"/>
      <c r="K478" s="101"/>
      <c r="L478" s="109"/>
      <c r="M478" s="26"/>
      <c r="N478" s="26"/>
      <c r="O478" s="26"/>
      <c r="P478" s="1"/>
      <c r="Q478" s="1"/>
      <c r="R478" s="8"/>
      <c r="S478" s="1"/>
      <c r="T478" s="8"/>
      <c r="U478" s="1"/>
      <c r="V478" s="1"/>
      <c r="W478" s="1"/>
      <c r="X478" s="1"/>
    </row>
    <row r="479" spans="1:24">
      <c r="A479" s="1"/>
      <c r="B479" s="94"/>
      <c r="C479" s="8"/>
      <c r="D479" s="8"/>
      <c r="E479" s="8"/>
      <c r="F479" s="94"/>
      <c r="G479" s="94"/>
      <c r="H479" s="94"/>
      <c r="I479" s="94"/>
      <c r="J479" s="94"/>
      <c r="K479" s="94"/>
      <c r="L479" s="94"/>
      <c r="M479" s="26"/>
      <c r="N479" s="26"/>
      <c r="O479" s="26"/>
      <c r="P479" s="1"/>
      <c r="Q479" s="1"/>
      <c r="R479" s="8"/>
      <c r="S479" s="1"/>
      <c r="T479" s="8"/>
      <c r="U479" s="1"/>
      <c r="V479" s="1"/>
      <c r="W479" s="1"/>
      <c r="X479" s="1"/>
    </row>
    <row r="480" spans="1:24">
      <c r="A480" s="1"/>
      <c r="B480" s="94"/>
      <c r="C480" s="8"/>
      <c r="D480" s="8"/>
      <c r="E480" s="8"/>
      <c r="F480" s="94"/>
      <c r="G480" s="94"/>
      <c r="H480" s="94"/>
      <c r="I480" s="94"/>
      <c r="J480" s="94"/>
      <c r="K480" s="94"/>
      <c r="L480" s="94"/>
      <c r="M480" s="26"/>
      <c r="N480" s="26"/>
      <c r="O480" s="26"/>
      <c r="P480" s="1"/>
      <c r="Q480" s="1"/>
      <c r="R480" s="8"/>
      <c r="S480" s="1"/>
      <c r="T480" s="8"/>
      <c r="U480" s="1"/>
      <c r="V480" s="1"/>
      <c r="W480" s="1"/>
      <c r="X480" s="1"/>
    </row>
    <row r="481" spans="1:24">
      <c r="A481" s="1"/>
      <c r="B481" s="94"/>
      <c r="C481" s="8"/>
      <c r="D481" s="8"/>
      <c r="E481" s="8"/>
      <c r="F481" s="94"/>
      <c r="G481" s="94"/>
      <c r="H481" s="94"/>
      <c r="I481" s="94"/>
      <c r="J481" s="94"/>
      <c r="K481" s="94"/>
      <c r="L481" s="94"/>
      <c r="M481" s="26"/>
      <c r="N481" s="26"/>
      <c r="O481" s="26"/>
      <c r="P481" s="1"/>
      <c r="Q481" s="1"/>
      <c r="R481" s="8"/>
      <c r="S481" s="1"/>
      <c r="T481" s="8"/>
      <c r="U481" s="1"/>
      <c r="V481" s="1"/>
      <c r="W481" s="1"/>
      <c r="X481" s="1"/>
    </row>
    <row r="482" spans="1:24">
      <c r="A482" s="1"/>
      <c r="B482" s="94"/>
      <c r="C482" s="8"/>
      <c r="D482" s="8"/>
      <c r="E482" s="8"/>
      <c r="F482" s="94"/>
      <c r="G482" s="94"/>
      <c r="H482" s="94"/>
      <c r="I482" s="94"/>
      <c r="J482" s="94"/>
      <c r="K482" s="94"/>
      <c r="L482" s="94"/>
      <c r="M482" s="26"/>
      <c r="N482" s="26"/>
      <c r="O482" s="26"/>
      <c r="P482" s="1"/>
      <c r="Q482" s="1"/>
      <c r="R482" s="8"/>
      <c r="S482" s="1"/>
      <c r="T482" s="8"/>
      <c r="U482" s="1"/>
      <c r="V482" s="1"/>
      <c r="W482" s="1"/>
      <c r="X482" s="1"/>
    </row>
    <row r="483" spans="1:24">
      <c r="A483" s="1"/>
      <c r="B483" s="103"/>
      <c r="C483" s="8"/>
      <c r="D483" s="8"/>
      <c r="E483" s="8"/>
      <c r="F483" s="101"/>
      <c r="G483" s="101"/>
      <c r="H483" s="101"/>
      <c r="I483" s="101"/>
      <c r="J483" s="101"/>
      <c r="K483" s="101"/>
      <c r="L483" s="109"/>
      <c r="M483" s="26"/>
      <c r="N483" s="26"/>
      <c r="O483" s="26"/>
      <c r="P483" s="1"/>
      <c r="Q483" s="1"/>
      <c r="R483" s="8"/>
      <c r="S483" s="1"/>
      <c r="T483" s="8"/>
      <c r="U483" s="1"/>
      <c r="V483" s="1"/>
      <c r="W483" s="1"/>
      <c r="X483" s="1"/>
    </row>
    <row r="484" spans="1:24">
      <c r="A484" s="1"/>
      <c r="B484" s="94"/>
      <c r="C484" s="8"/>
      <c r="D484" s="8"/>
      <c r="E484" s="8"/>
      <c r="F484" s="94"/>
      <c r="G484" s="94"/>
      <c r="H484" s="94"/>
      <c r="I484" s="94"/>
      <c r="J484" s="94"/>
      <c r="K484" s="94"/>
      <c r="L484" s="94"/>
      <c r="M484" s="26"/>
      <c r="N484" s="26"/>
      <c r="O484" s="26"/>
      <c r="P484" s="1"/>
      <c r="Q484" s="1"/>
      <c r="R484" s="8"/>
      <c r="S484" s="1"/>
      <c r="T484" s="8"/>
      <c r="U484" s="1"/>
      <c r="V484" s="1"/>
      <c r="W484" s="1"/>
      <c r="X484" s="1"/>
    </row>
    <row r="485" spans="1:24">
      <c r="A485" s="1"/>
      <c r="B485" s="94"/>
      <c r="C485" s="8"/>
      <c r="D485" s="8"/>
      <c r="E485" s="8"/>
      <c r="F485" s="94"/>
      <c r="G485" s="94"/>
      <c r="H485" s="94"/>
      <c r="I485" s="94"/>
      <c r="J485" s="94"/>
      <c r="K485" s="94"/>
      <c r="L485" s="94"/>
      <c r="M485" s="26"/>
      <c r="N485" s="26"/>
      <c r="O485" s="26"/>
      <c r="P485" s="1"/>
      <c r="Q485" s="1"/>
      <c r="R485" s="8"/>
      <c r="S485" s="1"/>
      <c r="T485" s="8"/>
      <c r="U485" s="1"/>
      <c r="V485" s="1"/>
      <c r="W485" s="1"/>
      <c r="X485" s="1"/>
    </row>
    <row r="486" spans="1:24">
      <c r="A486" s="1"/>
      <c r="B486" s="94"/>
      <c r="C486" s="8"/>
      <c r="D486" s="8"/>
      <c r="E486" s="8"/>
      <c r="F486" s="94"/>
      <c r="G486" s="94"/>
      <c r="H486" s="94"/>
      <c r="I486" s="94"/>
      <c r="J486" s="94"/>
      <c r="K486" s="94"/>
      <c r="L486" s="94"/>
      <c r="M486" s="26"/>
      <c r="N486" s="26"/>
      <c r="O486" s="26"/>
      <c r="P486" s="1"/>
      <c r="Q486" s="1"/>
      <c r="R486" s="8"/>
      <c r="S486" s="1"/>
      <c r="T486" s="8"/>
      <c r="U486" s="1"/>
      <c r="V486" s="1"/>
      <c r="W486" s="1"/>
      <c r="X486" s="1"/>
    </row>
    <row r="487" spans="1:24">
      <c r="A487" s="1"/>
      <c r="B487" s="94"/>
      <c r="C487" s="8"/>
      <c r="D487" s="8"/>
      <c r="E487" s="8"/>
      <c r="F487" s="94"/>
      <c r="G487" s="94"/>
      <c r="H487" s="94"/>
      <c r="I487" s="94"/>
      <c r="J487" s="94"/>
      <c r="K487" s="94"/>
      <c r="L487" s="94"/>
      <c r="M487" s="26"/>
      <c r="N487" s="26"/>
      <c r="O487" s="26"/>
      <c r="P487" s="1"/>
      <c r="Q487" s="1"/>
      <c r="R487" s="8"/>
      <c r="S487" s="1"/>
      <c r="T487" s="8"/>
      <c r="U487" s="1"/>
      <c r="V487" s="1"/>
      <c r="W487" s="1"/>
      <c r="X487" s="1"/>
    </row>
    <row r="488" spans="1:24">
      <c r="A488" s="1"/>
      <c r="B488" s="103"/>
      <c r="C488" s="8"/>
      <c r="D488" s="8"/>
      <c r="E488" s="8"/>
      <c r="F488" s="101"/>
      <c r="G488" s="101"/>
      <c r="H488" s="101"/>
      <c r="I488" s="101"/>
      <c r="J488" s="101"/>
      <c r="K488" s="101"/>
      <c r="L488" s="109"/>
      <c r="M488" s="26"/>
      <c r="N488" s="26"/>
      <c r="O488" s="26"/>
      <c r="P488" s="1"/>
      <c r="Q488" s="1"/>
      <c r="R488" s="8"/>
      <c r="S488" s="1"/>
      <c r="T488" s="8"/>
      <c r="U488" s="1"/>
      <c r="V488" s="1"/>
      <c r="W488" s="1"/>
      <c r="X488" s="1"/>
    </row>
    <row r="489" spans="1:24">
      <c r="A489" s="1"/>
      <c r="B489" s="94"/>
      <c r="C489" s="8"/>
      <c r="D489" s="8"/>
      <c r="E489" s="8"/>
      <c r="F489" s="94"/>
      <c r="G489" s="94"/>
      <c r="H489" s="94"/>
      <c r="I489" s="94"/>
      <c r="J489" s="94"/>
      <c r="K489" s="94"/>
      <c r="L489" s="94"/>
      <c r="M489" s="26"/>
      <c r="N489" s="26"/>
      <c r="O489" s="26"/>
      <c r="P489" s="1"/>
      <c r="Q489" s="1"/>
      <c r="R489" s="8"/>
      <c r="S489" s="1"/>
      <c r="T489" s="8"/>
      <c r="U489" s="1"/>
      <c r="V489" s="1"/>
      <c r="W489" s="1"/>
      <c r="X489" s="1"/>
    </row>
    <row r="490" spans="1:24">
      <c r="A490" s="1"/>
      <c r="B490" s="94"/>
      <c r="C490" s="8"/>
      <c r="D490" s="8"/>
      <c r="E490" s="8"/>
      <c r="F490" s="94"/>
      <c r="G490" s="94"/>
      <c r="H490" s="94"/>
      <c r="I490" s="94"/>
      <c r="J490" s="94"/>
      <c r="K490" s="94"/>
      <c r="L490" s="94"/>
      <c r="M490" s="26"/>
      <c r="N490" s="26"/>
      <c r="O490" s="26"/>
      <c r="P490" s="1"/>
      <c r="Q490" s="1"/>
      <c r="R490" s="8"/>
      <c r="S490" s="1"/>
      <c r="T490" s="8"/>
      <c r="U490" s="1"/>
      <c r="V490" s="1"/>
      <c r="W490" s="1"/>
      <c r="X490" s="1"/>
    </row>
    <row r="491" spans="1:24">
      <c r="A491" s="1"/>
      <c r="B491" s="94"/>
      <c r="C491" s="8"/>
      <c r="D491" s="8"/>
      <c r="E491" s="8"/>
      <c r="F491" s="94"/>
      <c r="G491" s="94"/>
      <c r="H491" s="94"/>
      <c r="I491" s="94"/>
      <c r="J491" s="94"/>
      <c r="K491" s="94"/>
      <c r="L491" s="94"/>
      <c r="M491" s="26"/>
      <c r="N491" s="26"/>
      <c r="O491" s="26"/>
      <c r="P491" s="1"/>
      <c r="Q491" s="1"/>
      <c r="R491" s="8"/>
      <c r="S491" s="1"/>
      <c r="T491" s="8"/>
      <c r="U491" s="1"/>
      <c r="V491" s="1"/>
      <c r="W491" s="1"/>
      <c r="X491" s="1"/>
    </row>
    <row r="492" spans="1:24">
      <c r="A492" s="1"/>
      <c r="B492" s="94"/>
      <c r="C492" s="8"/>
      <c r="D492" s="8"/>
      <c r="E492" s="8"/>
      <c r="F492" s="94"/>
      <c r="G492" s="94"/>
      <c r="H492" s="94"/>
      <c r="I492" s="94"/>
      <c r="J492" s="94"/>
      <c r="K492" s="94"/>
      <c r="L492" s="94"/>
      <c r="M492" s="26"/>
      <c r="N492" s="26"/>
      <c r="O492" s="26"/>
      <c r="P492" s="1"/>
      <c r="Q492" s="1"/>
      <c r="R492" s="8"/>
      <c r="S492" s="1"/>
      <c r="T492" s="8"/>
      <c r="U492" s="1"/>
      <c r="V492" s="1"/>
      <c r="W492" s="1"/>
      <c r="X492" s="1"/>
    </row>
    <row r="493" spans="1:24">
      <c r="A493" s="1"/>
      <c r="B493" s="103"/>
      <c r="C493" s="8"/>
      <c r="D493" s="8"/>
      <c r="E493" s="8"/>
      <c r="F493" s="101"/>
      <c r="G493" s="101"/>
      <c r="H493" s="101"/>
      <c r="I493" s="101"/>
      <c r="J493" s="101"/>
      <c r="K493" s="101"/>
      <c r="L493" s="109"/>
      <c r="M493" s="26"/>
      <c r="N493" s="26"/>
      <c r="O493" s="26"/>
      <c r="P493" s="1"/>
      <c r="Q493" s="1"/>
      <c r="R493" s="8"/>
      <c r="S493" s="1"/>
      <c r="T493" s="8"/>
      <c r="U493" s="1"/>
      <c r="V493" s="1"/>
      <c r="W493" s="1"/>
      <c r="X493" s="1"/>
    </row>
    <row r="494" spans="1:24">
      <c r="A494" s="1"/>
      <c r="B494" s="94"/>
      <c r="C494" s="8"/>
      <c r="D494" s="8"/>
      <c r="E494" s="8"/>
      <c r="F494" s="94"/>
      <c r="G494" s="94"/>
      <c r="H494" s="94"/>
      <c r="I494" s="94"/>
      <c r="J494" s="94"/>
      <c r="K494" s="94"/>
      <c r="L494" s="94"/>
      <c r="M494" s="26"/>
      <c r="N494" s="26"/>
      <c r="O494" s="26"/>
      <c r="P494" s="1"/>
      <c r="Q494" s="1"/>
      <c r="R494" s="8"/>
      <c r="S494" s="1"/>
      <c r="T494" s="8"/>
      <c r="U494" s="1"/>
      <c r="V494" s="1"/>
      <c r="W494" s="1"/>
      <c r="X494" s="1"/>
    </row>
    <row r="495" spans="1:24">
      <c r="A495" s="1"/>
      <c r="B495" s="94"/>
      <c r="C495" s="8"/>
      <c r="D495" s="8"/>
      <c r="E495" s="8"/>
      <c r="F495" s="94"/>
      <c r="G495" s="94"/>
      <c r="H495" s="94"/>
      <c r="I495" s="94"/>
      <c r="J495" s="94"/>
      <c r="K495" s="94"/>
      <c r="L495" s="94"/>
      <c r="M495" s="26"/>
      <c r="N495" s="26"/>
      <c r="O495" s="26"/>
      <c r="P495" s="1"/>
      <c r="Q495" s="1"/>
      <c r="R495" s="8"/>
      <c r="S495" s="1"/>
      <c r="T495" s="8"/>
      <c r="U495" s="1"/>
      <c r="V495" s="1"/>
      <c r="W495" s="1"/>
      <c r="X495" s="1"/>
    </row>
    <row r="496" spans="1:24">
      <c r="A496" s="1"/>
      <c r="B496" s="94"/>
      <c r="C496" s="8"/>
      <c r="D496" s="8"/>
      <c r="E496" s="8"/>
      <c r="F496" s="94"/>
      <c r="G496" s="94"/>
      <c r="H496" s="94"/>
      <c r="I496" s="94"/>
      <c r="J496" s="94"/>
      <c r="K496" s="94"/>
      <c r="L496" s="94"/>
      <c r="M496" s="26"/>
      <c r="N496" s="26"/>
      <c r="O496" s="26"/>
      <c r="P496" s="1"/>
      <c r="Q496" s="1"/>
      <c r="R496" s="8"/>
      <c r="S496" s="1"/>
      <c r="T496" s="8"/>
      <c r="U496" s="1"/>
      <c r="V496" s="1"/>
      <c r="W496" s="1"/>
      <c r="X496" s="1"/>
    </row>
    <row r="497" spans="1:24">
      <c r="A497" s="1"/>
      <c r="B497" s="94"/>
      <c r="C497" s="8"/>
      <c r="D497" s="8"/>
      <c r="E497" s="8"/>
      <c r="F497" s="94"/>
      <c r="G497" s="94"/>
      <c r="H497" s="94"/>
      <c r="I497" s="94"/>
      <c r="J497" s="94"/>
      <c r="K497" s="94"/>
      <c r="L497" s="94"/>
      <c r="M497" s="26"/>
      <c r="N497" s="26"/>
      <c r="O497" s="26"/>
      <c r="P497" s="1"/>
      <c r="Q497" s="1"/>
      <c r="R497" s="8"/>
      <c r="S497" s="1"/>
      <c r="T497" s="8"/>
      <c r="U497" s="1"/>
      <c r="V497" s="1"/>
      <c r="W497" s="1"/>
      <c r="X497" s="1"/>
    </row>
    <row r="498" spans="1:24">
      <c r="A498" s="1"/>
      <c r="B498" s="103"/>
      <c r="C498" s="8"/>
      <c r="D498" s="8"/>
      <c r="E498" s="8"/>
      <c r="F498" s="101"/>
      <c r="G498" s="101"/>
      <c r="H498" s="101"/>
      <c r="I498" s="101"/>
      <c r="J498" s="101"/>
      <c r="K498" s="101"/>
      <c r="L498" s="109"/>
      <c r="M498" s="26"/>
      <c r="N498" s="26"/>
      <c r="O498" s="26"/>
      <c r="P498" s="1"/>
      <c r="Q498" s="1"/>
      <c r="R498" s="8"/>
      <c r="S498" s="1"/>
      <c r="T498" s="8"/>
      <c r="U498" s="1"/>
      <c r="V498" s="1"/>
      <c r="W498" s="1"/>
      <c r="X498" s="1"/>
    </row>
    <row r="499" spans="1:24">
      <c r="A499" s="1"/>
      <c r="B499" s="94"/>
      <c r="C499" s="8"/>
      <c r="D499" s="8"/>
      <c r="E499" s="8"/>
      <c r="F499" s="94"/>
      <c r="G499" s="94"/>
      <c r="H499" s="94"/>
      <c r="I499" s="94"/>
      <c r="J499" s="94"/>
      <c r="K499" s="94"/>
      <c r="L499" s="94"/>
      <c r="M499" s="26"/>
      <c r="N499" s="26"/>
      <c r="O499" s="26"/>
      <c r="P499" s="1"/>
      <c r="Q499" s="1"/>
      <c r="R499" s="8"/>
      <c r="S499" s="1"/>
      <c r="T499" s="8"/>
      <c r="U499" s="1"/>
      <c r="V499" s="1"/>
      <c r="W499" s="1"/>
      <c r="X499" s="1"/>
    </row>
    <row r="500" spans="1:24">
      <c r="A500" s="1"/>
      <c r="B500" s="94"/>
      <c r="C500" s="8"/>
      <c r="D500" s="8"/>
      <c r="E500" s="8"/>
      <c r="F500" s="94"/>
      <c r="G500" s="94"/>
      <c r="H500" s="94"/>
      <c r="I500" s="94"/>
      <c r="J500" s="94"/>
      <c r="K500" s="94"/>
      <c r="L500" s="94"/>
      <c r="M500" s="26"/>
      <c r="N500" s="26"/>
      <c r="O500" s="26"/>
      <c r="P500" s="1"/>
      <c r="Q500" s="1"/>
      <c r="R500" s="8"/>
      <c r="S500" s="1"/>
      <c r="T500" s="8"/>
      <c r="U500" s="1"/>
      <c r="V500" s="1"/>
      <c r="W500" s="1"/>
      <c r="X500" s="1"/>
    </row>
    <row r="501" spans="1:24">
      <c r="A501" s="1"/>
      <c r="B501" s="94"/>
      <c r="C501" s="8"/>
      <c r="D501" s="8"/>
      <c r="E501" s="8"/>
      <c r="F501" s="94"/>
      <c r="G501" s="94"/>
      <c r="H501" s="94"/>
      <c r="I501" s="94"/>
      <c r="J501" s="94"/>
      <c r="K501" s="94"/>
      <c r="L501" s="94"/>
      <c r="M501" s="26"/>
      <c r="N501" s="26"/>
      <c r="O501" s="26"/>
      <c r="P501" s="1"/>
      <c r="Q501" s="1"/>
      <c r="R501" s="8"/>
      <c r="S501" s="1"/>
      <c r="T501" s="8"/>
      <c r="U501" s="1"/>
      <c r="V501" s="1"/>
      <c r="W501" s="1"/>
      <c r="X501" s="1"/>
    </row>
    <row r="502" spans="1:24">
      <c r="A502" s="1"/>
      <c r="B502" s="94"/>
      <c r="C502" s="8"/>
      <c r="D502" s="8"/>
      <c r="E502" s="8"/>
      <c r="F502" s="94"/>
      <c r="G502" s="94"/>
      <c r="H502" s="94"/>
      <c r="I502" s="94"/>
      <c r="J502" s="94"/>
      <c r="K502" s="94"/>
      <c r="L502" s="94"/>
      <c r="M502" s="26"/>
      <c r="N502" s="26"/>
      <c r="O502" s="26"/>
      <c r="P502" s="1"/>
      <c r="Q502" s="1"/>
      <c r="R502" s="8"/>
      <c r="S502" s="1"/>
      <c r="T502" s="8"/>
      <c r="U502" s="1"/>
      <c r="V502" s="1"/>
      <c r="W502" s="1"/>
      <c r="X502" s="1"/>
    </row>
    <row r="503" spans="1:24">
      <c r="A503" s="1"/>
      <c r="B503" s="103"/>
      <c r="C503" s="8"/>
      <c r="D503" s="8"/>
      <c r="E503" s="8"/>
      <c r="F503" s="101"/>
      <c r="G503" s="101"/>
      <c r="H503" s="101"/>
      <c r="I503" s="101"/>
      <c r="J503" s="101"/>
      <c r="K503" s="101"/>
      <c r="L503" s="109"/>
      <c r="M503" s="26"/>
      <c r="N503" s="26"/>
      <c r="O503" s="26"/>
      <c r="P503" s="1"/>
      <c r="Q503" s="1"/>
      <c r="R503" s="8"/>
      <c r="S503" s="1"/>
      <c r="T503" s="8"/>
      <c r="U503" s="1"/>
      <c r="V503" s="1"/>
      <c r="W503" s="1"/>
      <c r="X503" s="1"/>
    </row>
    <row r="504" spans="1:24">
      <c r="A504" s="1"/>
      <c r="B504" s="94"/>
      <c r="C504" s="8"/>
      <c r="D504" s="8"/>
      <c r="E504" s="8"/>
      <c r="F504" s="94"/>
      <c r="G504" s="94"/>
      <c r="H504" s="94"/>
      <c r="I504" s="94"/>
      <c r="J504" s="94"/>
      <c r="K504" s="94"/>
      <c r="L504" s="94"/>
      <c r="M504" s="26"/>
      <c r="N504" s="26"/>
      <c r="O504" s="26"/>
      <c r="P504" s="1"/>
      <c r="Q504" s="1"/>
      <c r="R504" s="8"/>
      <c r="S504" s="1"/>
      <c r="T504" s="8"/>
      <c r="U504" s="1"/>
      <c r="V504" s="1"/>
      <c r="W504" s="1"/>
      <c r="X504" s="1"/>
    </row>
    <row r="505" spans="1:24">
      <c r="A505" s="1"/>
      <c r="B505" s="94"/>
      <c r="C505" s="8"/>
      <c r="D505" s="8"/>
      <c r="E505" s="8"/>
      <c r="F505" s="94"/>
      <c r="G505" s="94"/>
      <c r="H505" s="94"/>
      <c r="I505" s="94"/>
      <c r="J505" s="94"/>
      <c r="K505" s="94"/>
      <c r="L505" s="94"/>
      <c r="M505" s="26"/>
      <c r="N505" s="26"/>
      <c r="O505" s="26"/>
      <c r="P505" s="1"/>
      <c r="Q505" s="1"/>
      <c r="R505" s="8"/>
      <c r="S505" s="1"/>
      <c r="T505" s="8"/>
      <c r="U505" s="1"/>
      <c r="V505" s="1"/>
      <c r="W505" s="1"/>
      <c r="X505" s="1"/>
    </row>
    <row r="506" spans="1:24">
      <c r="A506" s="1"/>
      <c r="B506" s="94"/>
      <c r="C506" s="8"/>
      <c r="D506" s="8"/>
      <c r="E506" s="8"/>
      <c r="F506" s="94"/>
      <c r="G506" s="94"/>
      <c r="H506" s="94"/>
      <c r="I506" s="94"/>
      <c r="J506" s="94"/>
      <c r="K506" s="94"/>
      <c r="L506" s="94"/>
      <c r="M506" s="26"/>
      <c r="N506" s="26"/>
      <c r="O506" s="26"/>
      <c r="P506" s="1"/>
      <c r="Q506" s="1"/>
      <c r="R506" s="8"/>
      <c r="S506" s="1"/>
      <c r="T506" s="8"/>
      <c r="U506" s="1"/>
      <c r="V506" s="1"/>
      <c r="W506" s="1"/>
      <c r="X506" s="1"/>
    </row>
    <row r="507" spans="1:24">
      <c r="A507" s="1"/>
      <c r="B507" s="94"/>
      <c r="C507" s="8"/>
      <c r="D507" s="8"/>
      <c r="E507" s="8"/>
      <c r="F507" s="94"/>
      <c r="G507" s="94"/>
      <c r="H507" s="94"/>
      <c r="I507" s="94"/>
      <c r="J507" s="94"/>
      <c r="K507" s="94"/>
      <c r="L507" s="94"/>
      <c r="M507" s="26"/>
      <c r="N507" s="26"/>
      <c r="O507" s="26"/>
      <c r="P507" s="1"/>
      <c r="Q507" s="1"/>
      <c r="R507" s="8"/>
      <c r="S507" s="1"/>
      <c r="T507" s="8"/>
      <c r="U507" s="1"/>
      <c r="V507" s="1"/>
      <c r="W507" s="1"/>
      <c r="X507" s="1"/>
    </row>
    <row r="508" spans="1:24">
      <c r="A508" s="1"/>
      <c r="B508" s="103"/>
      <c r="C508" s="8"/>
      <c r="D508" s="8"/>
      <c r="E508" s="8"/>
      <c r="F508" s="101"/>
      <c r="G508" s="101"/>
      <c r="H508" s="101"/>
      <c r="I508" s="101"/>
      <c r="J508" s="101"/>
      <c r="K508" s="101"/>
      <c r="L508" s="109"/>
      <c r="M508" s="26"/>
      <c r="N508" s="26"/>
      <c r="O508" s="26"/>
      <c r="P508" s="1"/>
      <c r="Q508" s="1"/>
      <c r="R508" s="8"/>
      <c r="S508" s="1"/>
      <c r="T508" s="8"/>
      <c r="U508" s="1"/>
      <c r="V508" s="1"/>
      <c r="W508" s="1"/>
      <c r="X508" s="1"/>
    </row>
    <row r="509" spans="1:24">
      <c r="A509" s="1"/>
      <c r="B509" s="94"/>
      <c r="C509" s="8"/>
      <c r="D509" s="8"/>
      <c r="E509" s="8"/>
      <c r="F509" s="94"/>
      <c r="G509" s="94"/>
      <c r="H509" s="94"/>
      <c r="I509" s="94"/>
      <c r="J509" s="94"/>
      <c r="K509" s="94"/>
      <c r="L509" s="94"/>
      <c r="M509" s="26"/>
      <c r="N509" s="26"/>
      <c r="O509" s="26"/>
      <c r="P509" s="1"/>
      <c r="Q509" s="1"/>
      <c r="R509" s="8"/>
      <c r="S509" s="1"/>
      <c r="T509" s="8"/>
      <c r="U509" s="1"/>
      <c r="V509" s="1"/>
      <c r="W509" s="1"/>
      <c r="X509" s="1"/>
    </row>
    <row r="510" spans="1:24">
      <c r="A510" s="1"/>
      <c r="B510" s="94"/>
      <c r="C510" s="8"/>
      <c r="D510" s="8"/>
      <c r="E510" s="8"/>
      <c r="F510" s="94"/>
      <c r="G510" s="94"/>
      <c r="H510" s="94"/>
      <c r="I510" s="94"/>
      <c r="J510" s="94"/>
      <c r="K510" s="94"/>
      <c r="L510" s="94"/>
      <c r="M510" s="26"/>
      <c r="N510" s="26"/>
      <c r="O510" s="26"/>
      <c r="P510" s="1"/>
      <c r="Q510" s="1"/>
      <c r="R510" s="8"/>
      <c r="S510" s="1"/>
      <c r="T510" s="8"/>
      <c r="U510" s="1"/>
      <c r="V510" s="1"/>
      <c r="W510" s="1"/>
      <c r="X510" s="1"/>
    </row>
    <row r="511" spans="1:24">
      <c r="A511" s="1"/>
      <c r="B511" s="94"/>
      <c r="C511" s="8"/>
      <c r="D511" s="8"/>
      <c r="E511" s="8"/>
      <c r="F511" s="94"/>
      <c r="G511" s="94"/>
      <c r="H511" s="94"/>
      <c r="I511" s="94"/>
      <c r="J511" s="94"/>
      <c r="K511" s="94"/>
      <c r="L511" s="94"/>
      <c r="M511" s="26"/>
      <c r="N511" s="26"/>
      <c r="O511" s="26"/>
      <c r="P511" s="1"/>
      <c r="Q511" s="1"/>
      <c r="R511" s="8"/>
      <c r="S511" s="1"/>
      <c r="T511" s="8"/>
      <c r="U511" s="1"/>
      <c r="V511" s="1"/>
      <c r="W511" s="1"/>
      <c r="X511" s="1"/>
    </row>
    <row r="512" spans="1:24">
      <c r="A512" s="1"/>
      <c r="B512" s="94"/>
      <c r="C512" s="8"/>
      <c r="D512" s="8"/>
      <c r="E512" s="8"/>
      <c r="F512" s="94"/>
      <c r="G512" s="94"/>
      <c r="H512" s="94"/>
      <c r="I512" s="94"/>
      <c r="J512" s="94"/>
      <c r="K512" s="94"/>
      <c r="L512" s="94"/>
      <c r="M512" s="26"/>
      <c r="N512" s="26"/>
      <c r="O512" s="26"/>
      <c r="P512" s="1"/>
      <c r="Q512" s="1"/>
      <c r="R512" s="8"/>
      <c r="S512" s="1"/>
      <c r="T512" s="8"/>
      <c r="U512" s="1"/>
      <c r="V512" s="1"/>
      <c r="W512" s="1"/>
      <c r="X512" s="1"/>
    </row>
    <row r="513" spans="1:24">
      <c r="A513" s="1"/>
      <c r="B513" s="101"/>
      <c r="C513" s="8"/>
      <c r="D513" s="8"/>
      <c r="E513" s="8"/>
      <c r="F513" s="101"/>
      <c r="G513" s="101"/>
      <c r="H513" s="101"/>
      <c r="I513" s="101"/>
      <c r="J513" s="101"/>
      <c r="K513" s="101"/>
      <c r="L513" s="109"/>
      <c r="M513" s="26"/>
      <c r="N513" s="26"/>
      <c r="O513" s="26"/>
      <c r="P513" s="1"/>
      <c r="Q513" s="1"/>
      <c r="R513" s="8"/>
      <c r="S513" s="1"/>
      <c r="T513" s="8"/>
      <c r="U513" s="1"/>
      <c r="V513" s="1"/>
      <c r="W513" s="1"/>
      <c r="X513" s="1"/>
    </row>
    <row r="514" spans="1:24">
      <c r="A514" s="1"/>
      <c r="B514" s="94"/>
      <c r="C514" s="8"/>
      <c r="D514" s="8"/>
      <c r="E514" s="8"/>
      <c r="F514" s="94"/>
      <c r="G514" s="94"/>
      <c r="H514" s="94"/>
      <c r="I514" s="94"/>
      <c r="J514" s="94"/>
      <c r="K514" s="94"/>
      <c r="L514" s="94"/>
      <c r="M514" s="26"/>
      <c r="N514" s="26"/>
      <c r="O514" s="26"/>
      <c r="P514" s="1"/>
      <c r="Q514" s="1"/>
      <c r="R514" s="8"/>
      <c r="S514" s="1"/>
      <c r="T514" s="8"/>
      <c r="U514" s="1"/>
      <c r="V514" s="1"/>
      <c r="W514" s="1"/>
      <c r="X514" s="1"/>
    </row>
    <row r="515" spans="1:24">
      <c r="A515" s="1"/>
      <c r="B515" s="94"/>
      <c r="C515" s="8"/>
      <c r="D515" s="8"/>
      <c r="E515" s="8"/>
      <c r="F515" s="94"/>
      <c r="G515" s="94"/>
      <c r="H515" s="94"/>
      <c r="I515" s="94"/>
      <c r="J515" s="94"/>
      <c r="K515" s="94"/>
      <c r="L515" s="94"/>
      <c r="M515" s="26"/>
      <c r="N515" s="26"/>
      <c r="O515" s="26"/>
      <c r="P515" s="1"/>
      <c r="Q515" s="1"/>
      <c r="R515" s="8"/>
      <c r="S515" s="1"/>
      <c r="T515" s="8"/>
      <c r="U515" s="1"/>
      <c r="V515" s="1"/>
      <c r="W515" s="1"/>
      <c r="X515" s="1"/>
    </row>
    <row r="516" spans="1:24">
      <c r="A516" s="1"/>
      <c r="B516" s="94"/>
      <c r="C516" s="8"/>
      <c r="D516" s="8"/>
      <c r="E516" s="8"/>
      <c r="F516" s="94"/>
      <c r="G516" s="94"/>
      <c r="H516" s="94"/>
      <c r="I516" s="94"/>
      <c r="J516" s="94"/>
      <c r="K516" s="94"/>
      <c r="L516" s="94"/>
      <c r="M516" s="26"/>
      <c r="N516" s="26"/>
      <c r="O516" s="26"/>
      <c r="P516" s="1"/>
      <c r="Q516" s="1"/>
      <c r="R516" s="8"/>
      <c r="S516" s="1"/>
      <c r="T516" s="8"/>
      <c r="U516" s="1"/>
      <c r="V516" s="1"/>
      <c r="W516" s="1"/>
      <c r="X516" s="1"/>
    </row>
    <row r="517" spans="1:24">
      <c r="A517" s="1"/>
      <c r="B517" s="94"/>
      <c r="C517" s="8"/>
      <c r="D517" s="8"/>
      <c r="E517" s="8"/>
      <c r="F517" s="94"/>
      <c r="G517" s="94"/>
      <c r="H517" s="94"/>
      <c r="I517" s="94"/>
      <c r="J517" s="94"/>
      <c r="K517" s="94"/>
      <c r="L517" s="94"/>
      <c r="M517" s="26"/>
      <c r="N517" s="26"/>
      <c r="O517" s="26"/>
      <c r="P517" s="1"/>
      <c r="Q517" s="1"/>
      <c r="R517" s="8"/>
      <c r="S517" s="1"/>
      <c r="T517" s="8"/>
      <c r="U517" s="1"/>
      <c r="V517" s="1"/>
      <c r="W517" s="1"/>
      <c r="X517" s="1"/>
    </row>
    <row r="518" spans="1:24">
      <c r="A518" s="1"/>
      <c r="B518" s="101"/>
      <c r="C518" s="8"/>
      <c r="D518" s="8"/>
      <c r="E518" s="8"/>
      <c r="F518" s="101"/>
      <c r="G518" s="101"/>
      <c r="H518" s="101"/>
      <c r="I518" s="101"/>
      <c r="J518" s="101"/>
      <c r="K518" s="101"/>
      <c r="L518" s="109"/>
      <c r="M518" s="26"/>
      <c r="N518" s="26"/>
      <c r="O518" s="26"/>
      <c r="P518" s="1"/>
      <c r="Q518" s="1"/>
      <c r="R518" s="8"/>
      <c r="S518" s="1"/>
      <c r="T518" s="8"/>
      <c r="U518" s="1"/>
      <c r="V518" s="1"/>
      <c r="W518" s="1"/>
      <c r="X518" s="1"/>
    </row>
    <row r="519" spans="1:24">
      <c r="A519" s="1"/>
      <c r="B519" s="94"/>
      <c r="C519" s="8"/>
      <c r="D519" s="8"/>
      <c r="E519" s="8"/>
      <c r="F519" s="94"/>
      <c r="G519" s="94"/>
      <c r="H519" s="94"/>
      <c r="I519" s="94"/>
      <c r="J519" s="94"/>
      <c r="K519" s="94"/>
      <c r="L519" s="94"/>
      <c r="M519" s="26"/>
      <c r="N519" s="26"/>
      <c r="O519" s="26"/>
      <c r="P519" s="1"/>
      <c r="Q519" s="1"/>
      <c r="R519" s="8"/>
      <c r="S519" s="1"/>
      <c r="T519" s="8"/>
      <c r="U519" s="1"/>
      <c r="V519" s="1"/>
      <c r="W519" s="1"/>
      <c r="X519" s="1"/>
    </row>
    <row r="520" spans="1:24">
      <c r="A520" s="1"/>
      <c r="B520" s="94"/>
      <c r="C520" s="8"/>
      <c r="D520" s="8"/>
      <c r="E520" s="8"/>
      <c r="F520" s="94"/>
      <c r="G520" s="94"/>
      <c r="H520" s="94"/>
      <c r="I520" s="94"/>
      <c r="J520" s="94"/>
      <c r="K520" s="94"/>
      <c r="L520" s="94"/>
      <c r="M520" s="26"/>
      <c r="N520" s="26"/>
      <c r="O520" s="26"/>
      <c r="P520" s="1"/>
      <c r="Q520" s="1"/>
      <c r="R520" s="8"/>
      <c r="S520" s="1"/>
      <c r="T520" s="8"/>
      <c r="U520" s="1"/>
      <c r="V520" s="1"/>
      <c r="W520" s="1"/>
      <c r="X520" s="1"/>
    </row>
    <row r="521" spans="1:24">
      <c r="A521" s="1"/>
      <c r="B521" s="94"/>
      <c r="C521" s="8"/>
      <c r="D521" s="8"/>
      <c r="E521" s="8"/>
      <c r="F521" s="94"/>
      <c r="G521" s="94"/>
      <c r="H521" s="94"/>
      <c r="I521" s="94"/>
      <c r="J521" s="94"/>
      <c r="K521" s="94"/>
      <c r="L521" s="94"/>
      <c r="M521" s="26"/>
      <c r="N521" s="26"/>
      <c r="O521" s="26"/>
      <c r="P521" s="1"/>
      <c r="Q521" s="1"/>
      <c r="R521" s="8"/>
      <c r="S521" s="1"/>
      <c r="T521" s="8"/>
      <c r="U521" s="1"/>
      <c r="V521" s="1"/>
      <c r="W521" s="1"/>
      <c r="X521" s="1"/>
    </row>
    <row r="522" spans="1:24">
      <c r="A522" s="1"/>
      <c r="B522" s="94"/>
      <c r="C522" s="8"/>
      <c r="D522" s="8"/>
      <c r="E522" s="8"/>
      <c r="F522" s="94"/>
      <c r="G522" s="94"/>
      <c r="H522" s="94"/>
      <c r="I522" s="94"/>
      <c r="J522" s="94"/>
      <c r="K522" s="94"/>
      <c r="L522" s="94"/>
      <c r="M522" s="26"/>
      <c r="N522" s="26"/>
      <c r="O522" s="26"/>
      <c r="P522" s="1"/>
      <c r="Q522" s="1"/>
      <c r="R522" s="8"/>
      <c r="S522" s="1"/>
      <c r="T522" s="8"/>
      <c r="U522" s="1"/>
      <c r="V522" s="1"/>
      <c r="W522" s="1"/>
      <c r="X522" s="1"/>
    </row>
    <row r="523" spans="1:24">
      <c r="A523" s="1"/>
      <c r="B523" s="101"/>
      <c r="C523" s="8"/>
      <c r="D523" s="8"/>
      <c r="E523" s="8"/>
      <c r="F523" s="101"/>
      <c r="G523" s="101"/>
      <c r="H523" s="101"/>
      <c r="I523" s="101"/>
      <c r="J523" s="101"/>
      <c r="K523" s="101"/>
      <c r="L523" s="109"/>
      <c r="M523" s="26"/>
      <c r="N523" s="26"/>
      <c r="O523" s="26"/>
      <c r="P523" s="1"/>
      <c r="Q523" s="1"/>
      <c r="R523" s="8"/>
      <c r="S523" s="1"/>
      <c r="T523" s="8"/>
      <c r="U523" s="1"/>
      <c r="V523" s="1"/>
      <c r="W523" s="1"/>
      <c r="X523" s="1"/>
    </row>
    <row r="524" spans="1:24">
      <c r="A524" s="1"/>
      <c r="B524" s="94"/>
      <c r="C524" s="8"/>
      <c r="D524" s="8"/>
      <c r="E524" s="8"/>
      <c r="F524" s="94"/>
      <c r="G524" s="94"/>
      <c r="H524" s="94"/>
      <c r="I524" s="94"/>
      <c r="J524" s="94"/>
      <c r="K524" s="94"/>
      <c r="L524" s="94"/>
      <c r="M524" s="26"/>
      <c r="N524" s="26"/>
      <c r="O524" s="26"/>
      <c r="P524" s="1"/>
      <c r="Q524" s="1"/>
      <c r="R524" s="8"/>
      <c r="S524" s="1"/>
      <c r="T524" s="8"/>
      <c r="U524" s="1"/>
      <c r="V524" s="1"/>
      <c r="W524" s="1"/>
      <c r="X524" s="1"/>
    </row>
    <row r="525" spans="1:24">
      <c r="A525" s="1"/>
      <c r="B525" s="94"/>
      <c r="C525" s="8"/>
      <c r="D525" s="8"/>
      <c r="E525" s="8"/>
      <c r="F525" s="94"/>
      <c r="G525" s="94"/>
      <c r="H525" s="94"/>
      <c r="I525" s="94"/>
      <c r="J525" s="94"/>
      <c r="K525" s="94"/>
      <c r="L525" s="94"/>
      <c r="M525" s="26"/>
      <c r="N525" s="26"/>
      <c r="O525" s="26"/>
      <c r="P525" s="1"/>
      <c r="Q525" s="1"/>
      <c r="R525" s="8"/>
      <c r="S525" s="1"/>
      <c r="T525" s="8"/>
      <c r="U525" s="1"/>
      <c r="V525" s="1"/>
      <c r="W525" s="1"/>
      <c r="X525" s="1"/>
    </row>
    <row r="526" spans="1:24">
      <c r="A526" s="1"/>
      <c r="B526" s="94"/>
      <c r="C526" s="8"/>
      <c r="D526" s="8"/>
      <c r="E526" s="8"/>
      <c r="F526" s="94"/>
      <c r="G526" s="94"/>
      <c r="H526" s="94"/>
      <c r="I526" s="94"/>
      <c r="J526" s="94"/>
      <c r="K526" s="94"/>
      <c r="L526" s="94"/>
      <c r="M526" s="26"/>
      <c r="N526" s="26"/>
      <c r="O526" s="26"/>
      <c r="P526" s="1"/>
      <c r="Q526" s="1"/>
      <c r="R526" s="8"/>
      <c r="S526" s="1"/>
      <c r="T526" s="8"/>
      <c r="U526" s="1"/>
      <c r="V526" s="1"/>
      <c r="W526" s="1"/>
      <c r="X526" s="1"/>
    </row>
    <row r="527" spans="1:24">
      <c r="A527" s="1"/>
      <c r="B527" s="94"/>
      <c r="C527" s="8"/>
      <c r="D527" s="8"/>
      <c r="E527" s="8"/>
      <c r="F527" s="94"/>
      <c r="G527" s="94"/>
      <c r="H527" s="94"/>
      <c r="I527" s="94"/>
      <c r="J527" s="94"/>
      <c r="K527" s="94"/>
      <c r="L527" s="94"/>
      <c r="M527" s="26"/>
      <c r="N527" s="26"/>
      <c r="O527" s="26"/>
      <c r="P527" s="1"/>
      <c r="Q527" s="1"/>
      <c r="R527" s="8"/>
      <c r="S527" s="1"/>
      <c r="T527" s="8"/>
      <c r="U527" s="1"/>
      <c r="V527" s="1"/>
      <c r="W527" s="1"/>
      <c r="X527" s="1"/>
    </row>
    <row r="528" spans="1:24">
      <c r="A528" s="1"/>
      <c r="B528" s="101"/>
      <c r="C528" s="8"/>
      <c r="D528" s="8"/>
      <c r="E528" s="8"/>
      <c r="F528" s="101"/>
      <c r="G528" s="101"/>
      <c r="H528" s="101"/>
      <c r="I528" s="101"/>
      <c r="J528" s="101"/>
      <c r="K528" s="101"/>
      <c r="L528" s="109"/>
      <c r="M528" s="26"/>
      <c r="N528" s="26"/>
      <c r="O528" s="26"/>
      <c r="P528" s="1"/>
      <c r="Q528" s="1"/>
      <c r="R528" s="8"/>
      <c r="S528" s="1"/>
      <c r="T528" s="8"/>
      <c r="U528" s="1"/>
      <c r="V528" s="1"/>
      <c r="W528" s="1"/>
      <c r="X528" s="1"/>
    </row>
    <row r="529" spans="1:24">
      <c r="A529" s="1"/>
      <c r="B529" s="94"/>
      <c r="C529" s="8"/>
      <c r="D529" s="8"/>
      <c r="E529" s="8"/>
      <c r="F529" s="94"/>
      <c r="G529" s="94"/>
      <c r="H529" s="94"/>
      <c r="I529" s="94"/>
      <c r="J529" s="94"/>
      <c r="K529" s="94"/>
      <c r="L529" s="94"/>
      <c r="M529" s="26"/>
      <c r="N529" s="26"/>
      <c r="O529" s="26"/>
      <c r="P529" s="1"/>
      <c r="Q529" s="1"/>
      <c r="R529" s="8"/>
      <c r="S529" s="1"/>
      <c r="T529" s="8"/>
      <c r="U529" s="1"/>
      <c r="V529" s="1"/>
      <c r="W529" s="1"/>
      <c r="X529" s="1"/>
    </row>
    <row r="530" spans="1:24">
      <c r="A530" s="1"/>
      <c r="B530" s="94"/>
      <c r="C530" s="8"/>
      <c r="D530" s="8"/>
      <c r="E530" s="8"/>
      <c r="F530" s="94"/>
      <c r="G530" s="94"/>
      <c r="H530" s="94"/>
      <c r="I530" s="94"/>
      <c r="J530" s="94"/>
      <c r="K530" s="94"/>
      <c r="L530" s="94"/>
      <c r="M530" s="26"/>
      <c r="N530" s="26"/>
      <c r="O530" s="26"/>
      <c r="P530" s="1"/>
      <c r="Q530" s="1"/>
      <c r="R530" s="8"/>
      <c r="S530" s="1"/>
      <c r="T530" s="8"/>
      <c r="U530" s="1"/>
      <c r="V530" s="1"/>
      <c r="W530" s="1"/>
      <c r="X530" s="1"/>
    </row>
    <row r="531" spans="1:24">
      <c r="A531" s="1"/>
      <c r="B531" s="94"/>
      <c r="C531" s="8"/>
      <c r="D531" s="8"/>
      <c r="E531" s="8"/>
      <c r="F531" s="94"/>
      <c r="G531" s="94"/>
      <c r="H531" s="94"/>
      <c r="I531" s="94"/>
      <c r="J531" s="94"/>
      <c r="K531" s="94"/>
      <c r="L531" s="94"/>
      <c r="M531" s="26"/>
      <c r="N531" s="26"/>
      <c r="O531" s="26"/>
      <c r="P531" s="1"/>
      <c r="Q531" s="1"/>
      <c r="R531" s="8"/>
      <c r="S531" s="1"/>
      <c r="T531" s="8"/>
      <c r="U531" s="1"/>
      <c r="V531" s="1"/>
      <c r="W531" s="1"/>
      <c r="X531" s="1"/>
    </row>
    <row r="532" spans="1:24">
      <c r="A532" s="1"/>
      <c r="B532" s="94"/>
      <c r="C532" s="8"/>
      <c r="D532" s="8"/>
      <c r="E532" s="8"/>
      <c r="F532" s="94"/>
      <c r="G532" s="94"/>
      <c r="H532" s="94"/>
      <c r="I532" s="94"/>
      <c r="J532" s="94"/>
      <c r="K532" s="94"/>
      <c r="L532" s="94"/>
      <c r="M532" s="26"/>
      <c r="N532" s="26"/>
      <c r="O532" s="26"/>
      <c r="P532" s="1"/>
      <c r="Q532" s="1"/>
      <c r="R532" s="8"/>
      <c r="S532" s="1"/>
      <c r="T532" s="8"/>
      <c r="U532" s="1"/>
      <c r="V532" s="1"/>
      <c r="W532" s="1"/>
      <c r="X532" s="1"/>
    </row>
    <row r="533" spans="1:24">
      <c r="A533" s="1"/>
      <c r="B533" s="101"/>
      <c r="C533" s="8"/>
      <c r="D533" s="8"/>
      <c r="E533" s="8"/>
      <c r="F533" s="101"/>
      <c r="G533" s="101"/>
      <c r="H533" s="101"/>
      <c r="I533" s="101"/>
      <c r="J533" s="101"/>
      <c r="K533" s="101"/>
      <c r="L533" s="109"/>
      <c r="M533" s="26"/>
      <c r="N533" s="26"/>
      <c r="O533" s="26"/>
      <c r="P533" s="1"/>
      <c r="Q533" s="1"/>
      <c r="R533" s="8"/>
      <c r="S533" s="1"/>
      <c r="T533" s="8"/>
      <c r="U533" s="1"/>
      <c r="V533" s="1"/>
      <c r="W533" s="1"/>
      <c r="X533" s="1"/>
    </row>
    <row r="534" spans="1:24">
      <c r="A534" s="1"/>
      <c r="B534" s="94"/>
      <c r="C534" s="8"/>
      <c r="D534" s="8"/>
      <c r="E534" s="8"/>
      <c r="F534" s="94"/>
      <c r="G534" s="94"/>
      <c r="H534" s="94"/>
      <c r="I534" s="94"/>
      <c r="J534" s="94"/>
      <c r="K534" s="94"/>
      <c r="L534" s="94"/>
      <c r="M534" s="26"/>
      <c r="N534" s="26"/>
      <c r="O534" s="26"/>
      <c r="P534" s="1"/>
      <c r="Q534" s="1"/>
      <c r="R534" s="8"/>
      <c r="S534" s="1"/>
      <c r="T534" s="8"/>
      <c r="U534" s="1"/>
      <c r="V534" s="1"/>
      <c r="W534" s="1"/>
      <c r="X534" s="1"/>
    </row>
    <row r="535" spans="1:24">
      <c r="A535" s="1"/>
      <c r="B535" s="94"/>
      <c r="C535" s="8"/>
      <c r="D535" s="8"/>
      <c r="E535" s="8"/>
      <c r="F535" s="94"/>
      <c r="G535" s="94"/>
      <c r="H535" s="94"/>
      <c r="I535" s="94"/>
      <c r="J535" s="94"/>
      <c r="K535" s="94"/>
      <c r="L535" s="94"/>
      <c r="M535" s="26"/>
      <c r="N535" s="26"/>
      <c r="O535" s="26"/>
      <c r="P535" s="1"/>
      <c r="Q535" s="1"/>
      <c r="R535" s="8"/>
      <c r="S535" s="1"/>
      <c r="T535" s="8"/>
      <c r="U535" s="1"/>
      <c r="V535" s="1"/>
      <c r="W535" s="1"/>
      <c r="X535" s="1"/>
    </row>
    <row r="536" spans="1:24">
      <c r="A536" s="1"/>
      <c r="B536" s="94"/>
      <c r="C536" s="8"/>
      <c r="D536" s="8"/>
      <c r="E536" s="8"/>
      <c r="F536" s="94"/>
      <c r="G536" s="94"/>
      <c r="H536" s="94"/>
      <c r="I536" s="94"/>
      <c r="J536" s="94"/>
      <c r="K536" s="94"/>
      <c r="L536" s="94"/>
      <c r="M536" s="26"/>
      <c r="N536" s="26"/>
      <c r="O536" s="26"/>
      <c r="P536" s="1"/>
      <c r="Q536" s="1"/>
      <c r="R536" s="8"/>
      <c r="S536" s="1"/>
      <c r="T536" s="8"/>
      <c r="U536" s="1"/>
      <c r="V536" s="1"/>
      <c r="W536" s="1"/>
      <c r="X536" s="1"/>
    </row>
    <row r="537" spans="1:24">
      <c r="A537" s="1"/>
      <c r="B537" s="94"/>
      <c r="C537" s="8"/>
      <c r="D537" s="8"/>
      <c r="E537" s="8"/>
      <c r="F537" s="94"/>
      <c r="G537" s="94"/>
      <c r="H537" s="94"/>
      <c r="I537" s="94"/>
      <c r="J537" s="94"/>
      <c r="K537" s="94"/>
      <c r="L537" s="94"/>
      <c r="M537" s="26"/>
      <c r="N537" s="26"/>
      <c r="O537" s="26"/>
      <c r="P537" s="1"/>
      <c r="Q537" s="1"/>
      <c r="R537" s="8"/>
      <c r="S537" s="1"/>
      <c r="T537" s="8"/>
      <c r="U537" s="1"/>
      <c r="V537" s="1"/>
      <c r="W537" s="1"/>
      <c r="X537" s="1"/>
    </row>
    <row r="538" spans="1:24">
      <c r="A538" s="1"/>
      <c r="B538" s="101"/>
      <c r="C538" s="8"/>
      <c r="D538" s="8"/>
      <c r="E538" s="8"/>
      <c r="F538" s="101"/>
      <c r="G538" s="101"/>
      <c r="H538" s="101"/>
      <c r="I538" s="101"/>
      <c r="J538" s="101"/>
      <c r="K538" s="101"/>
      <c r="L538" s="109"/>
      <c r="M538" s="26"/>
      <c r="N538" s="26"/>
      <c r="O538" s="26"/>
      <c r="P538" s="1"/>
      <c r="Q538" s="1"/>
      <c r="R538" s="8"/>
      <c r="S538" s="1"/>
      <c r="T538" s="8"/>
      <c r="U538" s="1"/>
      <c r="V538" s="1"/>
      <c r="W538" s="1"/>
      <c r="X538" s="1"/>
    </row>
    <row r="539" spans="1:24">
      <c r="A539" s="1"/>
      <c r="B539" s="94"/>
      <c r="C539" s="8"/>
      <c r="D539" s="8"/>
      <c r="E539" s="8"/>
      <c r="F539" s="94"/>
      <c r="G539" s="94"/>
      <c r="H539" s="94"/>
      <c r="I539" s="94"/>
      <c r="J539" s="94"/>
      <c r="K539" s="94"/>
      <c r="L539" s="94"/>
      <c r="M539" s="26"/>
      <c r="N539" s="26"/>
      <c r="O539" s="26"/>
      <c r="P539" s="1"/>
      <c r="Q539" s="1"/>
      <c r="R539" s="8"/>
      <c r="S539" s="1"/>
      <c r="T539" s="8"/>
      <c r="U539" s="1"/>
      <c r="V539" s="1"/>
      <c r="W539" s="1"/>
      <c r="X539" s="1"/>
    </row>
    <row r="540" spans="1:24">
      <c r="A540" s="1"/>
      <c r="B540" s="94"/>
      <c r="C540" s="8"/>
      <c r="D540" s="8"/>
      <c r="E540" s="8"/>
      <c r="F540" s="94"/>
      <c r="G540" s="94"/>
      <c r="H540" s="94"/>
      <c r="I540" s="94"/>
      <c r="J540" s="94"/>
      <c r="K540" s="94"/>
      <c r="L540" s="94"/>
      <c r="M540" s="26"/>
      <c r="N540" s="26"/>
      <c r="O540" s="26"/>
      <c r="P540" s="1"/>
      <c r="Q540" s="1"/>
      <c r="R540" s="8"/>
      <c r="S540" s="1"/>
      <c r="T540" s="8"/>
      <c r="U540" s="1"/>
      <c r="V540" s="1"/>
      <c r="W540" s="1"/>
      <c r="X540" s="1"/>
    </row>
    <row r="541" spans="1:24">
      <c r="A541" s="1"/>
      <c r="B541" s="94"/>
      <c r="C541" s="8"/>
      <c r="D541" s="8"/>
      <c r="E541" s="8"/>
      <c r="F541" s="94"/>
      <c r="G541" s="94"/>
      <c r="H541" s="94"/>
      <c r="I541" s="94"/>
      <c r="J541" s="94"/>
      <c r="K541" s="94"/>
      <c r="L541" s="94"/>
      <c r="M541" s="26"/>
      <c r="N541" s="26"/>
      <c r="O541" s="26"/>
      <c r="P541" s="1"/>
      <c r="Q541" s="1"/>
      <c r="R541" s="8"/>
      <c r="S541" s="1"/>
      <c r="T541" s="8"/>
      <c r="U541" s="1"/>
      <c r="V541" s="1"/>
      <c r="W541" s="1"/>
      <c r="X541" s="1"/>
    </row>
    <row r="542" spans="1:24">
      <c r="A542" s="1"/>
      <c r="B542" s="94"/>
      <c r="C542" s="8"/>
      <c r="D542" s="8"/>
      <c r="E542" s="8"/>
      <c r="F542" s="94"/>
      <c r="G542" s="94"/>
      <c r="H542" s="94"/>
      <c r="I542" s="94"/>
      <c r="J542" s="94"/>
      <c r="K542" s="94"/>
      <c r="L542" s="94"/>
      <c r="M542" s="26"/>
      <c r="N542" s="26"/>
      <c r="O542" s="26"/>
      <c r="P542" s="1"/>
      <c r="Q542" s="1"/>
      <c r="R542" s="8"/>
      <c r="S542" s="1"/>
      <c r="T542" s="8"/>
      <c r="U542" s="1"/>
      <c r="V542" s="1"/>
      <c r="W542" s="1"/>
      <c r="X542" s="1"/>
    </row>
    <row r="543" spans="1:24">
      <c r="A543" s="1"/>
      <c r="B543" s="101"/>
      <c r="C543" s="8"/>
      <c r="D543" s="8"/>
      <c r="E543" s="8"/>
      <c r="F543" s="101"/>
      <c r="G543" s="101"/>
      <c r="H543" s="101"/>
      <c r="I543" s="101"/>
      <c r="J543" s="101"/>
      <c r="K543" s="101"/>
      <c r="L543" s="109"/>
      <c r="M543" s="26"/>
      <c r="N543" s="26"/>
      <c r="O543" s="26"/>
      <c r="P543" s="1"/>
      <c r="Q543" s="1"/>
      <c r="R543" s="8"/>
      <c r="S543" s="1"/>
      <c r="T543" s="8"/>
      <c r="U543" s="1"/>
      <c r="V543" s="1"/>
      <c r="W543" s="1"/>
      <c r="X543" s="1"/>
    </row>
    <row r="544" spans="1:24">
      <c r="A544" s="1"/>
      <c r="B544" s="94"/>
      <c r="C544" s="8"/>
      <c r="D544" s="8"/>
      <c r="E544" s="8"/>
      <c r="F544" s="94"/>
      <c r="G544" s="94"/>
      <c r="H544" s="94"/>
      <c r="I544" s="94"/>
      <c r="J544" s="94"/>
      <c r="K544" s="94"/>
      <c r="L544" s="94"/>
      <c r="M544" s="26"/>
      <c r="N544" s="26"/>
      <c r="O544" s="26"/>
      <c r="P544" s="1"/>
      <c r="Q544" s="1"/>
      <c r="R544" s="8"/>
      <c r="S544" s="1"/>
      <c r="T544" s="8"/>
      <c r="U544" s="1"/>
      <c r="V544" s="1"/>
      <c r="W544" s="1"/>
      <c r="X544" s="1"/>
    </row>
    <row r="545" spans="1:24">
      <c r="A545" s="1"/>
      <c r="B545" s="94"/>
      <c r="C545" s="8"/>
      <c r="D545" s="8"/>
      <c r="E545" s="8"/>
      <c r="F545" s="94"/>
      <c r="G545" s="94"/>
      <c r="H545" s="94"/>
      <c r="I545" s="94"/>
      <c r="J545" s="94"/>
      <c r="K545" s="94"/>
      <c r="L545" s="94"/>
      <c r="M545" s="26"/>
      <c r="N545" s="26"/>
      <c r="O545" s="26"/>
      <c r="P545" s="1"/>
      <c r="Q545" s="1"/>
      <c r="R545" s="8"/>
      <c r="S545" s="1"/>
      <c r="T545" s="8"/>
      <c r="U545" s="1"/>
      <c r="V545" s="1"/>
      <c r="W545" s="1"/>
      <c r="X545" s="1"/>
    </row>
    <row r="546" spans="1:24">
      <c r="A546" s="1"/>
      <c r="B546" s="94"/>
      <c r="C546" s="8"/>
      <c r="D546" s="8"/>
      <c r="E546" s="8"/>
      <c r="F546" s="94"/>
      <c r="G546" s="94"/>
      <c r="H546" s="94"/>
      <c r="I546" s="94"/>
      <c r="J546" s="94"/>
      <c r="K546" s="94"/>
      <c r="L546" s="94"/>
      <c r="M546" s="26"/>
      <c r="N546" s="26"/>
      <c r="O546" s="26"/>
      <c r="P546" s="1"/>
      <c r="Q546" s="1"/>
      <c r="R546" s="8"/>
      <c r="S546" s="1"/>
      <c r="T546" s="8"/>
      <c r="U546" s="1"/>
      <c r="V546" s="1"/>
      <c r="W546" s="1"/>
      <c r="X546" s="1"/>
    </row>
    <row r="547" spans="1:24">
      <c r="A547" s="1"/>
      <c r="B547" s="94"/>
      <c r="C547" s="8"/>
      <c r="D547" s="8"/>
      <c r="E547" s="8"/>
      <c r="F547" s="94"/>
      <c r="G547" s="94"/>
      <c r="H547" s="94"/>
      <c r="I547" s="94"/>
      <c r="J547" s="94"/>
      <c r="K547" s="94"/>
      <c r="L547" s="94"/>
      <c r="M547" s="26"/>
      <c r="N547" s="26"/>
      <c r="O547" s="26"/>
      <c r="P547" s="1"/>
      <c r="Q547" s="1"/>
      <c r="R547" s="8"/>
      <c r="S547" s="1"/>
      <c r="T547" s="8"/>
      <c r="U547" s="1"/>
      <c r="V547" s="1"/>
      <c r="W547" s="1"/>
      <c r="X547" s="1"/>
    </row>
    <row r="548" spans="1:24">
      <c r="A548" s="1"/>
      <c r="B548" s="8"/>
      <c r="C548" s="8"/>
      <c r="D548" s="8"/>
      <c r="E548" s="8"/>
      <c r="F548" s="8"/>
      <c r="G548" s="8"/>
      <c r="H548" s="8"/>
      <c r="I548" s="8"/>
      <c r="J548" s="8"/>
      <c r="K548" s="8"/>
      <c r="L548" s="56"/>
      <c r="M548" s="26"/>
      <c r="N548" s="26"/>
      <c r="O548" s="26"/>
      <c r="P548" s="1"/>
      <c r="Q548" s="1"/>
      <c r="R548" s="8"/>
      <c r="S548" s="1"/>
      <c r="T548" s="8"/>
      <c r="U548" s="1"/>
      <c r="V548" s="1"/>
      <c r="W548" s="1"/>
      <c r="X548" s="1"/>
    </row>
    <row r="549" spans="1:24">
      <c r="A549" s="1"/>
      <c r="B549" s="8"/>
      <c r="C549" s="8"/>
      <c r="D549" s="8"/>
      <c r="E549" s="8"/>
      <c r="F549" s="8"/>
      <c r="G549" s="8"/>
      <c r="H549" s="8"/>
      <c r="I549" s="8"/>
      <c r="J549" s="8"/>
      <c r="K549" s="8"/>
      <c r="L549" s="56"/>
      <c r="M549" s="26"/>
      <c r="N549" s="26"/>
      <c r="O549" s="26"/>
      <c r="P549" s="1"/>
      <c r="Q549" s="1"/>
      <c r="R549" s="8"/>
      <c r="S549" s="1"/>
      <c r="T549" s="8"/>
      <c r="U549" s="1"/>
      <c r="V549" s="1"/>
      <c r="W549" s="1"/>
      <c r="X549" s="1"/>
    </row>
    <row r="550" spans="1:24">
      <c r="A550" s="1"/>
      <c r="B550" s="8"/>
      <c r="C550" s="8"/>
      <c r="D550" s="8"/>
      <c r="E550" s="8"/>
      <c r="F550" s="8"/>
      <c r="G550" s="8"/>
      <c r="H550" s="8"/>
      <c r="I550" s="8"/>
      <c r="J550" s="8"/>
      <c r="K550" s="8"/>
      <c r="L550" s="56"/>
      <c r="M550" s="26"/>
      <c r="N550" s="26"/>
      <c r="O550" s="26"/>
      <c r="P550" s="1"/>
      <c r="Q550" s="1"/>
      <c r="R550" s="8"/>
      <c r="S550" s="1"/>
      <c r="T550" s="8"/>
      <c r="U550" s="1"/>
      <c r="V550" s="1"/>
      <c r="W550" s="1"/>
      <c r="X550" s="1"/>
    </row>
    <row r="551" spans="1:24">
      <c r="A551" s="1"/>
      <c r="B551" s="8"/>
      <c r="C551" s="8"/>
      <c r="D551" s="8"/>
      <c r="E551" s="8"/>
      <c r="F551" s="8"/>
      <c r="G551" s="8"/>
      <c r="H551" s="8"/>
      <c r="I551" s="8"/>
      <c r="J551" s="8"/>
      <c r="K551" s="8"/>
      <c r="L551" s="56"/>
      <c r="M551" s="26"/>
      <c r="N551" s="26"/>
      <c r="O551" s="26"/>
      <c r="P551" s="1"/>
      <c r="Q551" s="1"/>
      <c r="R551" s="8"/>
      <c r="S551" s="1"/>
      <c r="T551" s="8"/>
      <c r="U551" s="1"/>
      <c r="V551" s="1"/>
      <c r="W551" s="1"/>
      <c r="X551" s="1"/>
    </row>
    <row r="552" spans="1:24">
      <c r="A552" s="1"/>
      <c r="B552" s="8"/>
      <c r="C552" s="8"/>
      <c r="D552" s="8"/>
      <c r="E552" s="8"/>
      <c r="F552" s="8"/>
      <c r="G552" s="8"/>
      <c r="H552" s="8"/>
      <c r="I552" s="8"/>
      <c r="J552" s="8"/>
      <c r="K552" s="8"/>
      <c r="L552" s="56"/>
      <c r="M552" s="26"/>
      <c r="N552" s="26"/>
      <c r="O552" s="26"/>
      <c r="P552" s="1"/>
      <c r="Q552" s="1"/>
      <c r="R552" s="8"/>
      <c r="S552" s="1"/>
      <c r="T552" s="8"/>
      <c r="U552" s="1"/>
      <c r="V552" s="1"/>
      <c r="W552" s="1"/>
      <c r="X552" s="1"/>
    </row>
    <row r="553" spans="1:24">
      <c r="A553" s="1"/>
      <c r="B553" s="8"/>
      <c r="C553" s="8"/>
      <c r="D553" s="8"/>
      <c r="E553" s="8"/>
      <c r="F553" s="8"/>
      <c r="G553" s="8"/>
      <c r="H553" s="8"/>
      <c r="I553" s="8"/>
      <c r="J553" s="8"/>
      <c r="K553" s="8"/>
      <c r="L553" s="56"/>
      <c r="M553" s="26"/>
      <c r="N553" s="26"/>
      <c r="O553" s="26"/>
      <c r="P553" s="1"/>
      <c r="Q553" s="1"/>
      <c r="R553" s="8"/>
      <c r="S553" s="1"/>
      <c r="T553" s="8"/>
      <c r="U553" s="1"/>
      <c r="V553" s="1"/>
      <c r="W553" s="1"/>
      <c r="X553" s="1"/>
    </row>
    <row r="554" spans="1:24">
      <c r="A554" s="1"/>
      <c r="B554" s="8"/>
      <c r="C554" s="8"/>
      <c r="D554" s="8"/>
      <c r="E554" s="8"/>
      <c r="F554" s="8"/>
      <c r="G554" s="8"/>
      <c r="H554" s="8"/>
      <c r="I554" s="8"/>
      <c r="J554" s="8"/>
      <c r="K554" s="8"/>
      <c r="L554" s="56"/>
      <c r="M554" s="26"/>
      <c r="N554" s="26"/>
      <c r="O554" s="26"/>
      <c r="P554" s="1"/>
      <c r="Q554" s="1"/>
      <c r="R554" s="8"/>
      <c r="S554" s="1"/>
      <c r="T554" s="8"/>
      <c r="U554" s="1"/>
      <c r="V554" s="1"/>
      <c r="W554" s="1"/>
      <c r="X554" s="1"/>
    </row>
    <row r="555" spans="1:24">
      <c r="A555" s="1"/>
      <c r="B555" s="8"/>
      <c r="C555" s="8"/>
      <c r="D555" s="8"/>
      <c r="E555" s="8"/>
      <c r="F555" s="8"/>
      <c r="G555" s="8"/>
      <c r="H555" s="8"/>
      <c r="I555" s="8"/>
      <c r="J555" s="8"/>
      <c r="K555" s="8"/>
      <c r="L555" s="56"/>
      <c r="M555" s="26"/>
      <c r="N555" s="26"/>
      <c r="O555" s="26"/>
      <c r="P555" s="1"/>
      <c r="Q555" s="1"/>
      <c r="R555" s="8"/>
      <c r="S555" s="1"/>
      <c r="T555" s="8"/>
      <c r="U555" s="1"/>
      <c r="V555" s="1"/>
      <c r="W555" s="1"/>
      <c r="X555" s="1"/>
    </row>
    <row r="556" spans="1:24">
      <c r="A556" s="1"/>
      <c r="B556" s="8"/>
      <c r="C556" s="8"/>
      <c r="D556" s="8"/>
      <c r="E556" s="8"/>
      <c r="F556" s="8"/>
      <c r="G556" s="8"/>
      <c r="H556" s="8"/>
      <c r="I556" s="8"/>
      <c r="J556" s="8"/>
      <c r="K556" s="8"/>
      <c r="L556" s="56"/>
      <c r="M556" s="26"/>
      <c r="N556" s="26"/>
      <c r="O556" s="26"/>
      <c r="P556" s="1"/>
      <c r="Q556" s="1"/>
      <c r="R556" s="8"/>
      <c r="S556" s="1"/>
      <c r="T556" s="8"/>
      <c r="U556" s="1"/>
      <c r="V556" s="1"/>
      <c r="W556" s="1"/>
      <c r="X556" s="1"/>
    </row>
    <row r="557" spans="1:24">
      <c r="A557" s="1"/>
      <c r="B557" s="8"/>
      <c r="C557" s="8"/>
      <c r="D557" s="8"/>
      <c r="E557" s="8"/>
      <c r="F557" s="8"/>
      <c r="G557" s="8"/>
      <c r="H557" s="8"/>
      <c r="I557" s="8"/>
      <c r="J557" s="8"/>
      <c r="K557" s="8"/>
      <c r="L557" s="56"/>
      <c r="M557" s="26"/>
      <c r="N557" s="26"/>
      <c r="O557" s="26"/>
      <c r="P557" s="1"/>
      <c r="Q557" s="1"/>
      <c r="R557" s="8"/>
      <c r="S557" s="1"/>
      <c r="T557" s="8"/>
      <c r="U557" s="1"/>
      <c r="V557" s="1"/>
      <c r="W557" s="1"/>
      <c r="X557" s="1"/>
    </row>
    <row r="558" spans="1:24">
      <c r="A558" s="1"/>
      <c r="B558" s="8"/>
      <c r="C558" s="8"/>
      <c r="D558" s="8"/>
      <c r="E558" s="8"/>
      <c r="F558" s="8"/>
      <c r="G558" s="8"/>
      <c r="H558" s="8"/>
      <c r="I558" s="8"/>
      <c r="J558" s="8"/>
      <c r="K558" s="8"/>
      <c r="L558" s="56"/>
      <c r="M558" s="26"/>
      <c r="N558" s="26"/>
      <c r="O558" s="26"/>
      <c r="P558" s="1"/>
      <c r="Q558" s="1"/>
      <c r="R558" s="8"/>
      <c r="S558" s="1"/>
      <c r="T558" s="8"/>
      <c r="U558" s="1"/>
      <c r="V558" s="1"/>
      <c r="W558" s="1"/>
      <c r="X558" s="1"/>
    </row>
    <row r="559" spans="1:24">
      <c r="A559" s="1"/>
      <c r="B559" s="8"/>
      <c r="C559" s="8"/>
      <c r="D559" s="8"/>
      <c r="E559" s="8"/>
      <c r="F559" s="8"/>
      <c r="G559" s="8"/>
      <c r="H559" s="8"/>
      <c r="I559" s="8"/>
      <c r="J559" s="8"/>
      <c r="K559" s="8"/>
      <c r="L559" s="56"/>
      <c r="M559" s="26"/>
      <c r="N559" s="26"/>
      <c r="O559" s="26"/>
      <c r="P559" s="1"/>
      <c r="Q559" s="1"/>
      <c r="R559" s="8"/>
      <c r="S559" s="1"/>
      <c r="T559" s="8"/>
      <c r="U559" s="1"/>
      <c r="V559" s="1"/>
      <c r="W559" s="1"/>
      <c r="X559" s="1"/>
    </row>
    <row r="560" spans="1:24">
      <c r="A560" s="1"/>
      <c r="B560" s="8"/>
      <c r="C560" s="8"/>
      <c r="D560" s="8"/>
      <c r="E560" s="8"/>
      <c r="F560" s="8"/>
      <c r="G560" s="8"/>
      <c r="H560" s="8"/>
      <c r="I560" s="8"/>
      <c r="J560" s="8"/>
      <c r="K560" s="8"/>
      <c r="L560" s="56"/>
      <c r="M560" s="26"/>
      <c r="N560" s="26"/>
      <c r="O560" s="26"/>
      <c r="P560" s="1"/>
      <c r="Q560" s="1"/>
      <c r="R560" s="8"/>
      <c r="S560" s="1"/>
      <c r="T560" s="8"/>
      <c r="U560" s="1"/>
      <c r="V560" s="1"/>
      <c r="W560" s="1"/>
      <c r="X560" s="1"/>
    </row>
    <row r="561" spans="1:24">
      <c r="A561" s="1"/>
      <c r="B561" s="8"/>
      <c r="C561" s="8"/>
      <c r="D561" s="8"/>
      <c r="E561" s="8"/>
      <c r="F561" s="8"/>
      <c r="G561" s="8"/>
      <c r="H561" s="8"/>
      <c r="I561" s="8"/>
      <c r="J561" s="8"/>
      <c r="K561" s="8"/>
      <c r="L561" s="56"/>
      <c r="M561" s="26"/>
      <c r="N561" s="26"/>
      <c r="O561" s="26"/>
      <c r="P561" s="1"/>
      <c r="Q561" s="1"/>
      <c r="R561" s="8"/>
      <c r="S561" s="1"/>
      <c r="T561" s="8"/>
      <c r="U561" s="1"/>
      <c r="V561" s="1"/>
      <c r="W561" s="1"/>
      <c r="X561" s="1"/>
    </row>
    <row r="562" spans="1:24">
      <c r="A562" s="1"/>
      <c r="B562" s="8"/>
      <c r="C562" s="8"/>
      <c r="D562" s="8"/>
      <c r="E562" s="8"/>
      <c r="F562" s="8"/>
      <c r="G562" s="8"/>
      <c r="H562" s="8"/>
      <c r="I562" s="8"/>
      <c r="J562" s="8"/>
      <c r="K562" s="8"/>
      <c r="L562" s="56"/>
      <c r="M562" s="26"/>
      <c r="N562" s="26"/>
      <c r="O562" s="26"/>
      <c r="P562" s="1"/>
      <c r="Q562" s="1"/>
      <c r="R562" s="8"/>
      <c r="S562" s="1"/>
      <c r="T562" s="8"/>
      <c r="U562" s="1"/>
      <c r="V562" s="1"/>
      <c r="W562" s="1"/>
      <c r="X562" s="1"/>
    </row>
    <row r="563" spans="1:24">
      <c r="A563" s="1"/>
      <c r="B563" s="8"/>
      <c r="C563" s="8"/>
      <c r="D563" s="8"/>
      <c r="E563" s="8"/>
      <c r="F563" s="8"/>
      <c r="G563" s="8"/>
      <c r="H563" s="8"/>
      <c r="I563" s="8"/>
      <c r="J563" s="8"/>
      <c r="K563" s="8"/>
      <c r="L563" s="56"/>
      <c r="M563" s="26"/>
      <c r="N563" s="26"/>
      <c r="O563" s="26"/>
      <c r="P563" s="1"/>
      <c r="Q563" s="1"/>
      <c r="R563" s="8"/>
      <c r="S563" s="1"/>
      <c r="T563" s="8"/>
      <c r="U563" s="1"/>
      <c r="V563" s="1"/>
      <c r="W563" s="1"/>
      <c r="X563" s="1"/>
    </row>
    <row r="564" spans="1:24">
      <c r="A564" s="1"/>
      <c r="B564" s="8"/>
      <c r="C564" s="8"/>
      <c r="D564" s="8"/>
      <c r="E564" s="8"/>
      <c r="F564" s="8"/>
      <c r="G564" s="8"/>
      <c r="H564" s="8"/>
      <c r="I564" s="8"/>
      <c r="J564" s="8"/>
      <c r="K564" s="8"/>
      <c r="L564" s="56"/>
      <c r="M564" s="26"/>
      <c r="N564" s="26"/>
      <c r="O564" s="26"/>
      <c r="P564" s="1"/>
      <c r="Q564" s="1"/>
      <c r="R564" s="8"/>
      <c r="S564" s="1"/>
      <c r="T564" s="8"/>
      <c r="U564" s="1"/>
      <c r="V564" s="1"/>
      <c r="W564" s="1"/>
      <c r="X564" s="1"/>
    </row>
    <row r="565" spans="1:24">
      <c r="A565" s="1"/>
      <c r="B565" s="8"/>
      <c r="C565" s="8"/>
      <c r="D565" s="8"/>
      <c r="E565" s="8"/>
      <c r="F565" s="8"/>
      <c r="G565" s="8"/>
      <c r="H565" s="8"/>
      <c r="I565" s="8"/>
      <c r="J565" s="8"/>
      <c r="K565" s="8"/>
      <c r="L565" s="56"/>
      <c r="M565" s="26"/>
      <c r="N565" s="26"/>
      <c r="O565" s="26"/>
      <c r="P565" s="1"/>
      <c r="Q565" s="1"/>
      <c r="R565" s="8"/>
      <c r="S565" s="1"/>
      <c r="T565" s="8"/>
      <c r="U565" s="1"/>
      <c r="V565" s="1"/>
      <c r="W565" s="1"/>
      <c r="X565" s="1"/>
    </row>
    <row r="566" spans="1:24">
      <c r="A566" s="1"/>
      <c r="B566" s="8"/>
      <c r="C566" s="8"/>
      <c r="D566" s="8"/>
      <c r="E566" s="8"/>
      <c r="F566" s="8"/>
      <c r="G566" s="8"/>
      <c r="H566" s="8"/>
      <c r="I566" s="8"/>
      <c r="J566" s="8"/>
      <c r="K566" s="8"/>
      <c r="L566" s="56"/>
      <c r="M566" s="26"/>
      <c r="N566" s="26"/>
      <c r="O566" s="26"/>
      <c r="P566" s="1"/>
      <c r="Q566" s="1"/>
      <c r="R566" s="8"/>
      <c r="S566" s="1"/>
      <c r="T566" s="8"/>
      <c r="U566" s="1"/>
      <c r="V566" s="1"/>
      <c r="W566" s="1"/>
      <c r="X566" s="1"/>
    </row>
    <row r="567" spans="1:24">
      <c r="A567" s="1"/>
      <c r="B567" s="8"/>
      <c r="C567" s="8"/>
      <c r="D567" s="8"/>
      <c r="E567" s="8"/>
      <c r="F567" s="8"/>
      <c r="G567" s="8"/>
      <c r="H567" s="8"/>
      <c r="I567" s="8"/>
      <c r="J567" s="8"/>
      <c r="K567" s="8"/>
      <c r="L567" s="56"/>
      <c r="M567" s="26"/>
      <c r="N567" s="26"/>
      <c r="O567" s="26"/>
      <c r="P567" s="1"/>
      <c r="Q567" s="1"/>
      <c r="R567" s="8"/>
      <c r="S567" s="1"/>
      <c r="T567" s="8"/>
      <c r="U567" s="1"/>
      <c r="V567" s="1"/>
      <c r="W567" s="1"/>
      <c r="X567" s="1"/>
    </row>
    <row r="568" spans="1:24">
      <c r="A568" s="1"/>
      <c r="B568" s="8"/>
      <c r="C568" s="8"/>
      <c r="D568" s="8"/>
      <c r="E568" s="8"/>
      <c r="F568" s="8"/>
      <c r="G568" s="8"/>
      <c r="H568" s="8"/>
      <c r="I568" s="8"/>
      <c r="J568" s="8"/>
      <c r="K568" s="8"/>
      <c r="L568" s="56"/>
      <c r="M568" s="26"/>
      <c r="N568" s="26"/>
      <c r="O568" s="26"/>
      <c r="P568" s="1"/>
      <c r="Q568" s="1"/>
      <c r="R568" s="8"/>
      <c r="S568" s="1"/>
      <c r="T568" s="8"/>
      <c r="U568" s="1"/>
      <c r="V568" s="1"/>
      <c r="W568" s="1"/>
      <c r="X568" s="1"/>
    </row>
    <row r="569" spans="1:24">
      <c r="A569" s="1"/>
      <c r="B569" s="8"/>
      <c r="C569" s="8"/>
      <c r="D569" s="8"/>
      <c r="E569" s="8"/>
      <c r="F569" s="8"/>
      <c r="G569" s="8"/>
      <c r="H569" s="8"/>
      <c r="I569" s="8"/>
      <c r="J569" s="8"/>
      <c r="K569" s="8"/>
      <c r="L569" s="56"/>
      <c r="M569" s="26"/>
      <c r="N569" s="26"/>
      <c r="O569" s="26"/>
      <c r="P569" s="1"/>
      <c r="Q569" s="1"/>
      <c r="R569" s="8"/>
      <c r="S569" s="1"/>
      <c r="T569" s="8"/>
      <c r="U569" s="1"/>
      <c r="V569" s="1"/>
      <c r="W569" s="1"/>
      <c r="X569" s="1"/>
    </row>
    <row r="570" spans="1:24">
      <c r="A570" s="1"/>
      <c r="B570" s="8"/>
      <c r="C570" s="8"/>
      <c r="D570" s="8"/>
      <c r="E570" s="8"/>
      <c r="F570" s="8"/>
      <c r="G570" s="8"/>
      <c r="H570" s="8"/>
      <c r="I570" s="8"/>
      <c r="J570" s="8"/>
      <c r="K570" s="8"/>
      <c r="L570" s="56"/>
      <c r="M570" s="26"/>
      <c r="N570" s="26"/>
      <c r="O570" s="26"/>
      <c r="P570" s="1"/>
      <c r="Q570" s="1"/>
      <c r="R570" s="8"/>
      <c r="S570" s="1"/>
      <c r="T570" s="8"/>
      <c r="U570" s="1"/>
      <c r="V570" s="1"/>
      <c r="W570" s="1"/>
      <c r="X570" s="1"/>
    </row>
    <row r="571" spans="1:24">
      <c r="A571" s="1"/>
      <c r="B571" s="8"/>
      <c r="C571" s="8"/>
      <c r="D571" s="8"/>
      <c r="E571" s="8"/>
      <c r="F571" s="8"/>
      <c r="G571" s="8"/>
      <c r="H571" s="8"/>
      <c r="I571" s="8"/>
      <c r="J571" s="8"/>
      <c r="K571" s="8"/>
      <c r="L571" s="56"/>
      <c r="M571" s="26"/>
      <c r="N571" s="26"/>
      <c r="O571" s="26"/>
      <c r="P571" s="1"/>
      <c r="Q571" s="1"/>
      <c r="R571" s="8"/>
      <c r="S571" s="1"/>
      <c r="T571" s="8"/>
      <c r="U571" s="1"/>
      <c r="V571" s="1"/>
      <c r="W571" s="1"/>
      <c r="X571" s="1"/>
    </row>
    <row r="572" spans="1:24">
      <c r="A572" s="1"/>
      <c r="B572" s="8"/>
      <c r="C572" s="8"/>
      <c r="D572" s="8"/>
      <c r="E572" s="8"/>
      <c r="F572" s="8"/>
      <c r="G572" s="8"/>
      <c r="H572" s="8"/>
      <c r="I572" s="8"/>
      <c r="J572" s="8"/>
      <c r="K572" s="8"/>
      <c r="L572" s="56"/>
      <c r="M572" s="26"/>
      <c r="N572" s="26"/>
      <c r="O572" s="26"/>
      <c r="P572" s="1"/>
      <c r="Q572" s="1"/>
      <c r="R572" s="8"/>
      <c r="S572" s="1"/>
      <c r="T572" s="8"/>
      <c r="U572" s="1"/>
      <c r="V572" s="1"/>
      <c r="W572" s="1"/>
      <c r="X572" s="1"/>
    </row>
    <row r="573" spans="1:24">
      <c r="A573" s="1"/>
      <c r="B573" s="8"/>
      <c r="C573" s="8"/>
      <c r="D573" s="8"/>
      <c r="E573" s="8"/>
      <c r="F573" s="8"/>
      <c r="G573" s="8"/>
      <c r="H573" s="8"/>
      <c r="I573" s="8"/>
      <c r="J573" s="8"/>
      <c r="K573" s="8"/>
      <c r="L573" s="56"/>
      <c r="M573" s="26"/>
      <c r="N573" s="26"/>
      <c r="O573" s="26"/>
      <c r="P573" s="1"/>
      <c r="Q573" s="1"/>
      <c r="R573" s="8"/>
      <c r="S573" s="1"/>
      <c r="T573" s="8"/>
      <c r="U573" s="1"/>
      <c r="V573" s="1"/>
      <c r="W573" s="1"/>
      <c r="X573" s="1"/>
    </row>
    <row r="574" spans="1:24">
      <c r="A574" s="1"/>
      <c r="B574" s="8"/>
      <c r="C574" s="8"/>
      <c r="D574" s="8"/>
      <c r="E574" s="8"/>
      <c r="F574" s="8"/>
      <c r="G574" s="8"/>
      <c r="H574" s="8"/>
      <c r="I574" s="8"/>
      <c r="J574" s="8"/>
      <c r="K574" s="8"/>
      <c r="L574" s="56"/>
      <c r="M574" s="26"/>
      <c r="N574" s="26"/>
      <c r="O574" s="26"/>
      <c r="P574" s="1"/>
      <c r="Q574" s="1"/>
      <c r="R574" s="8"/>
      <c r="S574" s="1"/>
      <c r="T574" s="8"/>
      <c r="U574" s="1"/>
      <c r="V574" s="1"/>
      <c r="W574" s="1"/>
      <c r="X574" s="1"/>
    </row>
    <row r="575" spans="1:24">
      <c r="A575" s="1"/>
      <c r="B575" s="8"/>
      <c r="C575" s="8"/>
      <c r="D575" s="8"/>
      <c r="E575" s="8"/>
      <c r="F575" s="8"/>
      <c r="G575" s="8"/>
      <c r="H575" s="8"/>
      <c r="I575" s="8"/>
      <c r="J575" s="8"/>
      <c r="K575" s="8"/>
      <c r="L575" s="56"/>
      <c r="M575" s="26"/>
      <c r="N575" s="26"/>
      <c r="O575" s="26"/>
      <c r="P575" s="1"/>
      <c r="Q575" s="1"/>
      <c r="R575" s="8"/>
      <c r="S575" s="1"/>
      <c r="T575" s="8"/>
      <c r="U575" s="1"/>
      <c r="V575" s="1"/>
      <c r="W575" s="1"/>
      <c r="X575" s="1"/>
    </row>
    <row r="576" spans="1:24">
      <c r="A576" s="1"/>
      <c r="B576" s="8"/>
      <c r="C576" s="8"/>
      <c r="D576" s="8"/>
      <c r="E576" s="8"/>
      <c r="F576" s="8"/>
      <c r="G576" s="8"/>
      <c r="H576" s="8"/>
      <c r="I576" s="8"/>
      <c r="J576" s="8"/>
      <c r="K576" s="8"/>
      <c r="L576" s="56"/>
      <c r="M576" s="26"/>
      <c r="N576" s="26"/>
      <c r="O576" s="26"/>
      <c r="P576" s="1"/>
      <c r="Q576" s="1"/>
      <c r="R576" s="8"/>
      <c r="S576" s="1"/>
      <c r="T576" s="8"/>
      <c r="U576" s="1"/>
      <c r="V576" s="1"/>
      <c r="W576" s="1"/>
      <c r="X576" s="1"/>
    </row>
    <row r="577" spans="1:24">
      <c r="A577" s="1"/>
      <c r="B577" s="8"/>
      <c r="C577" s="8"/>
      <c r="D577" s="8"/>
      <c r="E577" s="8"/>
      <c r="F577" s="8"/>
      <c r="G577" s="8"/>
      <c r="H577" s="8"/>
      <c r="I577" s="8"/>
      <c r="J577" s="8"/>
      <c r="K577" s="8"/>
      <c r="L577" s="56"/>
      <c r="M577" s="26"/>
      <c r="N577" s="26"/>
      <c r="O577" s="26"/>
      <c r="P577" s="1"/>
      <c r="Q577" s="1"/>
      <c r="R577" s="8"/>
      <c r="S577" s="1"/>
      <c r="T577" s="8"/>
      <c r="U577" s="1"/>
      <c r="V577" s="1"/>
      <c r="W577" s="1"/>
      <c r="X577" s="1"/>
    </row>
    <row r="578" spans="1:24">
      <c r="A578" s="1"/>
      <c r="B578" s="8"/>
      <c r="C578" s="8"/>
      <c r="D578" s="8"/>
      <c r="E578" s="8"/>
      <c r="F578" s="8"/>
      <c r="G578" s="8"/>
      <c r="H578" s="8"/>
      <c r="I578" s="8"/>
      <c r="J578" s="8"/>
      <c r="K578" s="8"/>
      <c r="L578" s="56"/>
      <c r="M578" s="26"/>
      <c r="N578" s="26"/>
      <c r="O578" s="26"/>
      <c r="P578" s="1"/>
      <c r="Q578" s="1"/>
      <c r="R578" s="8"/>
      <c r="S578" s="1"/>
      <c r="T578" s="8"/>
      <c r="U578" s="1"/>
      <c r="V578" s="1"/>
      <c r="W578" s="1"/>
      <c r="X578" s="1"/>
    </row>
    <row r="579" spans="1:24">
      <c r="A579" s="1"/>
      <c r="B579" s="8"/>
      <c r="C579" s="8"/>
      <c r="D579" s="8"/>
      <c r="E579" s="8"/>
      <c r="F579" s="8"/>
      <c r="G579" s="8"/>
      <c r="H579" s="8"/>
      <c r="I579" s="8"/>
      <c r="J579" s="8"/>
      <c r="K579" s="8"/>
      <c r="L579" s="56"/>
      <c r="M579" s="26"/>
      <c r="N579" s="26"/>
      <c r="O579" s="26"/>
      <c r="P579" s="1"/>
      <c r="Q579" s="1"/>
      <c r="R579" s="8"/>
      <c r="S579" s="1"/>
      <c r="T579" s="8"/>
      <c r="U579" s="1"/>
      <c r="V579" s="1"/>
      <c r="W579" s="1"/>
      <c r="X579" s="1"/>
    </row>
    <row r="580" spans="1:24">
      <c r="A580" s="1"/>
      <c r="B580" s="8"/>
      <c r="C580" s="8"/>
      <c r="D580" s="8"/>
      <c r="E580" s="8"/>
      <c r="F580" s="8"/>
      <c r="G580" s="8"/>
      <c r="H580" s="8"/>
      <c r="I580" s="8"/>
      <c r="J580" s="8"/>
      <c r="K580" s="8"/>
      <c r="L580" s="56"/>
      <c r="M580" s="26"/>
      <c r="N580" s="26"/>
      <c r="O580" s="26"/>
      <c r="P580" s="1"/>
      <c r="Q580" s="1"/>
      <c r="R580" s="8"/>
      <c r="S580" s="1"/>
      <c r="T580" s="8"/>
      <c r="U580" s="1"/>
      <c r="V580" s="1"/>
      <c r="W580" s="1"/>
      <c r="X580" s="1"/>
    </row>
    <row r="581" spans="1:24">
      <c r="A581" s="1"/>
      <c r="B581" s="8"/>
      <c r="C581" s="8"/>
      <c r="D581" s="8"/>
      <c r="E581" s="8"/>
      <c r="F581" s="8"/>
      <c r="G581" s="8"/>
      <c r="H581" s="8"/>
      <c r="I581" s="8"/>
      <c r="J581" s="8"/>
      <c r="K581" s="8"/>
      <c r="L581" s="56"/>
      <c r="M581" s="26"/>
      <c r="N581" s="26"/>
      <c r="O581" s="26"/>
      <c r="P581" s="1"/>
      <c r="Q581" s="1"/>
      <c r="R581" s="8"/>
      <c r="S581" s="1"/>
      <c r="T581" s="8"/>
      <c r="U581" s="1"/>
      <c r="V581" s="1"/>
      <c r="W581" s="1"/>
      <c r="X581" s="1"/>
    </row>
    <row r="582" spans="1:24">
      <c r="A582" s="1"/>
      <c r="B582" s="8"/>
      <c r="C582" s="8"/>
      <c r="D582" s="8"/>
      <c r="E582" s="8"/>
      <c r="F582" s="8"/>
      <c r="G582" s="8"/>
      <c r="H582" s="8"/>
      <c r="I582" s="8"/>
      <c r="J582" s="8"/>
      <c r="K582" s="8"/>
      <c r="L582" s="56"/>
      <c r="M582" s="26"/>
      <c r="N582" s="26"/>
      <c r="O582" s="26"/>
      <c r="P582" s="1"/>
      <c r="Q582" s="1"/>
      <c r="R582" s="8"/>
      <c r="S582" s="1"/>
      <c r="T582" s="8"/>
      <c r="U582" s="1"/>
      <c r="V582" s="1"/>
      <c r="W582" s="1"/>
      <c r="X582" s="1"/>
    </row>
    <row r="583" spans="1:24">
      <c r="A583" s="1"/>
      <c r="B583" s="8"/>
      <c r="C583" s="8"/>
      <c r="D583" s="8"/>
      <c r="E583" s="8"/>
      <c r="F583" s="8"/>
      <c r="G583" s="8"/>
      <c r="H583" s="8"/>
      <c r="I583" s="8"/>
      <c r="J583" s="8"/>
      <c r="K583" s="8"/>
      <c r="L583" s="56"/>
      <c r="M583" s="26"/>
      <c r="N583" s="26"/>
      <c r="O583" s="26"/>
      <c r="P583" s="1"/>
      <c r="Q583" s="1"/>
      <c r="R583" s="8"/>
      <c r="S583" s="1"/>
      <c r="T583" s="8"/>
      <c r="U583" s="1"/>
      <c r="V583" s="1"/>
      <c r="W583" s="1"/>
      <c r="X583" s="1"/>
    </row>
    <row r="584" spans="1:24">
      <c r="A584" s="1"/>
      <c r="B584" s="8"/>
      <c r="C584" s="8"/>
      <c r="D584" s="8"/>
      <c r="E584" s="8"/>
      <c r="F584" s="8"/>
      <c r="G584" s="8"/>
      <c r="H584" s="8"/>
      <c r="I584" s="8"/>
      <c r="J584" s="8"/>
      <c r="K584" s="8"/>
      <c r="L584" s="56"/>
      <c r="M584" s="26"/>
      <c r="N584" s="26"/>
      <c r="O584" s="26"/>
      <c r="P584" s="1"/>
      <c r="Q584" s="1"/>
      <c r="R584" s="8"/>
      <c r="S584" s="1"/>
      <c r="T584" s="8"/>
      <c r="U584" s="1"/>
      <c r="V584" s="1"/>
      <c r="W584" s="1"/>
      <c r="X584" s="1"/>
    </row>
    <row r="585" spans="1:24">
      <c r="A585" s="1"/>
      <c r="B585" s="8"/>
      <c r="C585" s="8"/>
      <c r="D585" s="8"/>
      <c r="E585" s="8"/>
      <c r="F585" s="8"/>
      <c r="G585" s="8"/>
      <c r="H585" s="8"/>
      <c r="I585" s="8"/>
      <c r="J585" s="8"/>
      <c r="K585" s="8"/>
      <c r="L585" s="56"/>
      <c r="M585" s="26"/>
      <c r="N585" s="26"/>
      <c r="O585" s="26"/>
      <c r="P585" s="1"/>
      <c r="Q585" s="1"/>
      <c r="R585" s="8"/>
      <c r="S585" s="1"/>
      <c r="T585" s="8"/>
      <c r="U585" s="1"/>
      <c r="V585" s="1"/>
      <c r="W585" s="1"/>
      <c r="X585" s="1"/>
    </row>
    <row r="586" spans="1:24">
      <c r="A586" s="1"/>
      <c r="B586" s="8"/>
      <c r="C586" s="8"/>
      <c r="D586" s="8"/>
      <c r="E586" s="8"/>
      <c r="F586" s="8"/>
      <c r="G586" s="8"/>
      <c r="H586" s="8"/>
      <c r="I586" s="8"/>
      <c r="J586" s="8"/>
      <c r="K586" s="8"/>
      <c r="L586" s="56"/>
      <c r="M586" s="26"/>
      <c r="N586" s="26"/>
      <c r="O586" s="26"/>
      <c r="P586" s="1"/>
      <c r="Q586" s="1"/>
      <c r="R586" s="8"/>
      <c r="S586" s="1"/>
      <c r="T586" s="8"/>
      <c r="U586" s="1"/>
      <c r="V586" s="1"/>
      <c r="W586" s="1"/>
      <c r="X586" s="1"/>
    </row>
    <row r="587" spans="1:24">
      <c r="A587" s="1"/>
      <c r="B587" s="8"/>
      <c r="C587" s="8"/>
      <c r="D587" s="8"/>
      <c r="E587" s="8"/>
      <c r="F587" s="8"/>
      <c r="G587" s="8"/>
      <c r="H587" s="8"/>
      <c r="I587" s="8"/>
      <c r="J587" s="8"/>
      <c r="K587" s="8"/>
      <c r="L587" s="56"/>
      <c r="M587" s="26"/>
      <c r="N587" s="26"/>
      <c r="O587" s="26"/>
      <c r="P587" s="1"/>
      <c r="Q587" s="1"/>
      <c r="R587" s="8"/>
      <c r="S587" s="1"/>
      <c r="T587" s="8"/>
      <c r="U587" s="1"/>
      <c r="V587" s="1"/>
      <c r="W587" s="1"/>
      <c r="X587" s="1"/>
    </row>
    <row r="588" spans="1:24">
      <c r="A588" s="1"/>
      <c r="B588" s="8"/>
      <c r="C588" s="8"/>
      <c r="D588" s="8"/>
      <c r="E588" s="8"/>
      <c r="F588" s="8"/>
      <c r="G588" s="8"/>
      <c r="H588" s="8"/>
      <c r="I588" s="8"/>
      <c r="J588" s="8"/>
      <c r="K588" s="8"/>
      <c r="L588" s="56"/>
      <c r="M588" s="26"/>
      <c r="N588" s="26"/>
      <c r="O588" s="26"/>
      <c r="P588" s="1"/>
      <c r="Q588" s="1"/>
      <c r="R588" s="8"/>
      <c r="S588" s="1"/>
      <c r="T588" s="8"/>
      <c r="U588" s="1"/>
      <c r="V588" s="1"/>
      <c r="W588" s="1"/>
      <c r="X588" s="1"/>
    </row>
    <row r="589" spans="1:24">
      <c r="A589" s="1"/>
      <c r="B589" s="8"/>
      <c r="C589" s="8"/>
      <c r="D589" s="8"/>
      <c r="E589" s="8"/>
      <c r="F589" s="8"/>
      <c r="G589" s="8"/>
      <c r="H589" s="8"/>
      <c r="I589" s="8"/>
      <c r="J589" s="8"/>
      <c r="K589" s="8"/>
      <c r="L589" s="56"/>
      <c r="M589" s="26"/>
      <c r="N589" s="26"/>
      <c r="O589" s="26"/>
      <c r="P589" s="1"/>
      <c r="Q589" s="1"/>
      <c r="R589" s="8"/>
      <c r="S589" s="1"/>
      <c r="T589" s="8"/>
      <c r="U589" s="1"/>
      <c r="V589" s="1"/>
      <c r="W589" s="1"/>
      <c r="X589" s="1"/>
    </row>
    <row r="590" spans="1:24">
      <c r="A590" s="1"/>
      <c r="B590" s="8"/>
      <c r="C590" s="8"/>
      <c r="D590" s="8"/>
      <c r="E590" s="8"/>
      <c r="F590" s="8"/>
      <c r="G590" s="8"/>
      <c r="H590" s="8"/>
      <c r="I590" s="8"/>
      <c r="J590" s="8"/>
      <c r="K590" s="8"/>
      <c r="L590" s="56"/>
      <c r="M590" s="26"/>
      <c r="N590" s="26"/>
      <c r="O590" s="26"/>
      <c r="P590" s="1"/>
      <c r="Q590" s="1"/>
      <c r="R590" s="8"/>
      <c r="S590" s="1"/>
      <c r="T590" s="8"/>
      <c r="U590" s="1"/>
      <c r="V590" s="1"/>
      <c r="W590" s="1"/>
      <c r="X590" s="1"/>
    </row>
    <row r="591" spans="1:24">
      <c r="A591" s="1"/>
      <c r="B591" s="8"/>
      <c r="C591" s="8"/>
      <c r="D591" s="8"/>
      <c r="E591" s="8"/>
      <c r="F591" s="8"/>
      <c r="G591" s="8"/>
      <c r="H591" s="8"/>
      <c r="I591" s="8"/>
      <c r="J591" s="8"/>
      <c r="K591" s="8"/>
      <c r="L591" s="56"/>
      <c r="M591" s="26"/>
      <c r="N591" s="26"/>
      <c r="O591" s="26"/>
      <c r="P591" s="1"/>
      <c r="Q591" s="1"/>
      <c r="R591" s="8"/>
      <c r="S591" s="1"/>
      <c r="T591" s="8"/>
      <c r="U591" s="1"/>
      <c r="V591" s="1"/>
      <c r="W591" s="1"/>
      <c r="X591" s="1"/>
    </row>
    <row r="592" spans="1:24">
      <c r="A592" s="1"/>
      <c r="B592" s="8"/>
      <c r="C592" s="8"/>
      <c r="D592" s="8"/>
      <c r="E592" s="8"/>
      <c r="F592" s="8"/>
      <c r="G592" s="8"/>
      <c r="H592" s="8"/>
      <c r="I592" s="8"/>
      <c r="J592" s="8"/>
      <c r="K592" s="8"/>
      <c r="L592" s="56"/>
      <c r="M592" s="26"/>
      <c r="N592" s="26"/>
      <c r="O592" s="26"/>
      <c r="P592" s="1"/>
      <c r="Q592" s="1"/>
      <c r="R592" s="8"/>
      <c r="S592" s="1"/>
      <c r="T592" s="8"/>
      <c r="U592" s="1"/>
      <c r="V592" s="1"/>
      <c r="W592" s="1"/>
      <c r="X592" s="1"/>
    </row>
    <row r="593" spans="1:24">
      <c r="A593" s="1"/>
      <c r="B593" s="8"/>
      <c r="C593" s="8"/>
      <c r="D593" s="8"/>
      <c r="E593" s="8"/>
      <c r="F593" s="8"/>
      <c r="G593" s="8"/>
      <c r="H593" s="8"/>
      <c r="I593" s="8"/>
      <c r="J593" s="8"/>
      <c r="K593" s="8"/>
      <c r="L593" s="56"/>
      <c r="M593" s="26"/>
      <c r="N593" s="26"/>
      <c r="O593" s="26"/>
      <c r="P593" s="1"/>
      <c r="Q593" s="1"/>
      <c r="R593" s="8"/>
      <c r="S593" s="1"/>
      <c r="T593" s="8"/>
      <c r="U593" s="1"/>
      <c r="V593" s="1"/>
      <c r="W593" s="1"/>
      <c r="X593" s="1"/>
    </row>
    <row r="594" spans="1:24">
      <c r="A594" s="1"/>
      <c r="B594" s="8"/>
      <c r="C594" s="8"/>
      <c r="D594" s="8"/>
      <c r="E594" s="8"/>
      <c r="F594" s="8"/>
      <c r="G594" s="8"/>
      <c r="H594" s="8"/>
      <c r="I594" s="8"/>
      <c r="J594" s="8"/>
      <c r="K594" s="8"/>
      <c r="L594" s="56"/>
      <c r="M594" s="26"/>
      <c r="N594" s="26"/>
      <c r="O594" s="26"/>
      <c r="P594" s="1"/>
      <c r="Q594" s="1"/>
      <c r="R594" s="8"/>
      <c r="S594" s="1"/>
      <c r="T594" s="8"/>
      <c r="U594" s="1"/>
      <c r="V594" s="1"/>
      <c r="W594" s="1"/>
      <c r="X594" s="1"/>
    </row>
    <row r="595" spans="1:24">
      <c r="A595" s="1"/>
      <c r="B595" s="8"/>
      <c r="C595" s="8"/>
      <c r="D595" s="8"/>
      <c r="E595" s="8"/>
      <c r="F595" s="8"/>
      <c r="G595" s="8"/>
      <c r="H595" s="8"/>
      <c r="I595" s="8"/>
      <c r="J595" s="8"/>
      <c r="K595" s="8"/>
      <c r="L595" s="56"/>
      <c r="M595" s="26"/>
      <c r="N595" s="26"/>
      <c r="O595" s="26"/>
      <c r="P595" s="1"/>
      <c r="Q595" s="1"/>
      <c r="R595" s="8"/>
      <c r="S595" s="1"/>
      <c r="T595" s="8"/>
      <c r="U595" s="1"/>
      <c r="V595" s="1"/>
      <c r="W595" s="1"/>
      <c r="X595" s="1"/>
    </row>
    <row r="596" spans="1:24">
      <c r="A596" s="1"/>
      <c r="B596" s="8"/>
      <c r="C596" s="8"/>
      <c r="D596" s="8"/>
      <c r="E596" s="8"/>
      <c r="F596" s="8"/>
      <c r="G596" s="8"/>
      <c r="H596" s="8"/>
      <c r="I596" s="8"/>
      <c r="J596" s="8"/>
      <c r="K596" s="8"/>
      <c r="L596" s="56"/>
      <c r="M596" s="26"/>
      <c r="N596" s="26"/>
      <c r="O596" s="26"/>
      <c r="P596" s="1"/>
      <c r="Q596" s="1"/>
      <c r="R596" s="8"/>
      <c r="S596" s="1"/>
      <c r="T596" s="8"/>
      <c r="U596" s="1"/>
      <c r="V596" s="1"/>
      <c r="W596" s="1"/>
      <c r="X596" s="1"/>
    </row>
    <row r="597" spans="1:24">
      <c r="A597" s="1"/>
      <c r="B597" s="8"/>
      <c r="C597" s="8"/>
      <c r="D597" s="8"/>
      <c r="E597" s="8"/>
      <c r="F597" s="8"/>
      <c r="G597" s="8"/>
      <c r="H597" s="8"/>
      <c r="I597" s="8"/>
      <c r="J597" s="8"/>
      <c r="K597" s="8"/>
      <c r="L597" s="56"/>
      <c r="M597" s="26"/>
      <c r="N597" s="26"/>
      <c r="O597" s="26"/>
      <c r="P597" s="1"/>
      <c r="Q597" s="1"/>
      <c r="R597" s="8"/>
      <c r="S597" s="1"/>
      <c r="T597" s="8"/>
      <c r="U597" s="1"/>
      <c r="V597" s="1"/>
      <c r="W597" s="1"/>
      <c r="X597" s="1"/>
    </row>
    <row r="598" spans="1:24">
      <c r="A598" s="1"/>
      <c r="B598" s="8"/>
      <c r="C598" s="8"/>
      <c r="D598" s="8"/>
      <c r="E598" s="8"/>
      <c r="F598" s="8"/>
      <c r="G598" s="8"/>
      <c r="H598" s="8"/>
      <c r="I598" s="8"/>
      <c r="J598" s="8"/>
      <c r="K598" s="8"/>
      <c r="L598" s="56"/>
      <c r="M598" s="26"/>
      <c r="N598" s="26"/>
      <c r="O598" s="26"/>
      <c r="P598" s="1"/>
      <c r="Q598" s="1"/>
      <c r="R598" s="8"/>
      <c r="S598" s="1"/>
      <c r="T598" s="8"/>
      <c r="U598" s="1"/>
      <c r="V598" s="1"/>
      <c r="W598" s="1"/>
      <c r="X598" s="1"/>
    </row>
    <row r="599" spans="1:24">
      <c r="A599" s="1"/>
      <c r="B599" s="8"/>
      <c r="C599" s="8"/>
      <c r="D599" s="8"/>
      <c r="E599" s="8"/>
      <c r="F599" s="8"/>
      <c r="G599" s="8"/>
      <c r="H599" s="8"/>
      <c r="I599" s="8"/>
      <c r="J599" s="8"/>
      <c r="K599" s="8"/>
      <c r="L599" s="56"/>
      <c r="M599" s="26"/>
      <c r="N599" s="26"/>
      <c r="O599" s="26"/>
      <c r="P599" s="1"/>
      <c r="Q599" s="1"/>
      <c r="R599" s="8"/>
      <c r="S599" s="1"/>
      <c r="T599" s="8"/>
      <c r="U599" s="1"/>
      <c r="V599" s="1"/>
      <c r="W599" s="1"/>
      <c r="X599" s="1"/>
    </row>
    <row r="600" spans="1:24">
      <c r="A600" s="1"/>
      <c r="B600" s="8"/>
      <c r="C600" s="8"/>
      <c r="D600" s="8"/>
      <c r="E600" s="8"/>
      <c r="F600" s="8"/>
      <c r="G600" s="8"/>
      <c r="H600" s="8"/>
      <c r="I600" s="8"/>
      <c r="J600" s="8"/>
      <c r="K600" s="8"/>
      <c r="L600" s="56"/>
      <c r="M600" s="26"/>
      <c r="N600" s="26"/>
      <c r="O600" s="26"/>
      <c r="P600" s="1"/>
      <c r="Q600" s="1"/>
      <c r="R600" s="8"/>
      <c r="S600" s="1"/>
      <c r="T600" s="8"/>
      <c r="U600" s="1"/>
      <c r="V600" s="1"/>
      <c r="W600" s="1"/>
      <c r="X600" s="1"/>
    </row>
    <row r="601" spans="1:24">
      <c r="A601" s="1"/>
      <c r="B601" s="8"/>
      <c r="C601" s="8"/>
      <c r="D601" s="8"/>
      <c r="E601" s="8"/>
      <c r="F601" s="8"/>
      <c r="G601" s="8"/>
      <c r="H601" s="8"/>
      <c r="I601" s="8"/>
      <c r="J601" s="8"/>
      <c r="K601" s="8"/>
      <c r="L601" s="56"/>
      <c r="M601" s="26"/>
      <c r="N601" s="26"/>
      <c r="O601" s="26"/>
      <c r="P601" s="1"/>
      <c r="Q601" s="1"/>
      <c r="R601" s="8"/>
      <c r="S601" s="1"/>
      <c r="T601" s="8"/>
      <c r="U601" s="1"/>
      <c r="V601" s="1"/>
      <c r="W601" s="1"/>
      <c r="X601" s="1"/>
    </row>
    <row r="602" spans="1:24">
      <c r="A602" s="1"/>
      <c r="B602" s="8"/>
      <c r="C602" s="8"/>
      <c r="D602" s="8"/>
      <c r="E602" s="8"/>
      <c r="F602" s="8"/>
      <c r="G602" s="8"/>
      <c r="H602" s="8"/>
      <c r="I602" s="8"/>
      <c r="J602" s="8"/>
      <c r="K602" s="8"/>
      <c r="L602" s="56"/>
      <c r="M602" s="26"/>
      <c r="N602" s="26"/>
      <c r="O602" s="26"/>
      <c r="P602" s="1"/>
      <c r="Q602" s="1"/>
      <c r="R602" s="8"/>
      <c r="S602" s="1"/>
      <c r="T602" s="8"/>
      <c r="U602" s="1"/>
      <c r="V602" s="1"/>
      <c r="W602" s="1"/>
      <c r="X602" s="1"/>
    </row>
    <row r="603" spans="1:24">
      <c r="A603" s="1"/>
      <c r="B603" s="8"/>
      <c r="C603" s="8"/>
      <c r="D603" s="8"/>
      <c r="E603" s="8"/>
      <c r="F603" s="8"/>
      <c r="G603" s="8"/>
      <c r="H603" s="8"/>
      <c r="I603" s="8"/>
      <c r="J603" s="8"/>
      <c r="K603" s="8"/>
      <c r="L603" s="56"/>
      <c r="M603" s="26"/>
      <c r="N603" s="26"/>
      <c r="O603" s="26"/>
      <c r="P603" s="1"/>
      <c r="Q603" s="1"/>
      <c r="R603" s="8"/>
      <c r="S603" s="1"/>
      <c r="T603" s="8"/>
      <c r="U603" s="1"/>
      <c r="V603" s="1"/>
      <c r="W603" s="1"/>
      <c r="X603" s="1"/>
    </row>
    <row r="604" spans="1:24">
      <c r="A604" s="1"/>
      <c r="B604" s="8"/>
      <c r="C604" s="8"/>
      <c r="D604" s="8"/>
      <c r="E604" s="8"/>
      <c r="F604" s="8"/>
      <c r="G604" s="8"/>
      <c r="H604" s="8"/>
      <c r="I604" s="8"/>
      <c r="J604" s="8"/>
      <c r="K604" s="8"/>
      <c r="L604" s="56"/>
      <c r="M604" s="26"/>
      <c r="N604" s="26"/>
      <c r="O604" s="26"/>
      <c r="P604" s="1"/>
      <c r="Q604" s="1"/>
      <c r="R604" s="8"/>
      <c r="S604" s="1"/>
      <c r="T604" s="8"/>
      <c r="U604" s="1"/>
      <c r="V604" s="1"/>
      <c r="W604" s="1"/>
      <c r="X604" s="1"/>
    </row>
    <row r="605" spans="1:24">
      <c r="A605" s="1"/>
      <c r="B605" s="8"/>
      <c r="C605" s="8"/>
      <c r="D605" s="8"/>
      <c r="E605" s="8"/>
      <c r="F605" s="8"/>
      <c r="G605" s="8"/>
      <c r="H605" s="8"/>
      <c r="I605" s="8"/>
      <c r="J605" s="8"/>
      <c r="K605" s="8"/>
      <c r="L605" s="56"/>
      <c r="M605" s="26"/>
      <c r="N605" s="26"/>
      <c r="O605" s="26"/>
      <c r="P605" s="1"/>
      <c r="Q605" s="1"/>
      <c r="R605" s="8"/>
      <c r="S605" s="1"/>
      <c r="T605" s="8"/>
      <c r="U605" s="1"/>
      <c r="V605" s="1"/>
      <c r="W605" s="1"/>
      <c r="X605" s="1"/>
    </row>
    <row r="606" spans="1:24">
      <c r="A606" s="1"/>
      <c r="B606" s="8"/>
      <c r="C606" s="8"/>
      <c r="D606" s="8"/>
      <c r="E606" s="8"/>
      <c r="F606" s="8"/>
      <c r="G606" s="8"/>
      <c r="H606" s="8"/>
      <c r="I606" s="8"/>
      <c r="J606" s="8"/>
      <c r="K606" s="8"/>
      <c r="L606" s="56"/>
      <c r="M606" s="26"/>
      <c r="N606" s="26"/>
      <c r="O606" s="26"/>
      <c r="P606" s="1"/>
      <c r="Q606" s="1"/>
      <c r="R606" s="8"/>
      <c r="S606" s="1"/>
      <c r="T606" s="8"/>
      <c r="U606" s="1"/>
      <c r="V606" s="1"/>
      <c r="W606" s="1"/>
      <c r="X606" s="1"/>
    </row>
    <row r="607" spans="1:24">
      <c r="A607" s="1"/>
      <c r="B607" s="8"/>
      <c r="C607" s="8"/>
      <c r="D607" s="8"/>
      <c r="E607" s="8"/>
      <c r="F607" s="8"/>
      <c r="G607" s="8"/>
      <c r="H607" s="8"/>
      <c r="I607" s="8"/>
      <c r="J607" s="8"/>
      <c r="K607" s="8"/>
      <c r="L607" s="56"/>
      <c r="M607" s="26"/>
      <c r="N607" s="26"/>
      <c r="O607" s="26"/>
      <c r="P607" s="1"/>
      <c r="Q607" s="1"/>
      <c r="R607" s="8"/>
      <c r="S607" s="1"/>
      <c r="T607" s="8"/>
      <c r="U607" s="1"/>
      <c r="V607" s="1"/>
      <c r="W607" s="1"/>
      <c r="X607" s="1"/>
    </row>
    <row r="608" spans="1:24">
      <c r="A608" s="1"/>
      <c r="B608" s="8"/>
      <c r="C608" s="8"/>
      <c r="D608" s="8"/>
      <c r="E608" s="8"/>
      <c r="F608" s="8"/>
      <c r="G608" s="8"/>
      <c r="H608" s="8"/>
      <c r="I608" s="8"/>
      <c r="J608" s="8"/>
      <c r="K608" s="8"/>
      <c r="L608" s="56"/>
      <c r="M608" s="26"/>
      <c r="N608" s="26"/>
      <c r="O608" s="26"/>
      <c r="P608" s="1"/>
      <c r="Q608" s="1"/>
      <c r="R608" s="8"/>
      <c r="S608" s="1"/>
      <c r="T608" s="8"/>
      <c r="U608" s="1"/>
      <c r="V608" s="1"/>
      <c r="W608" s="1"/>
      <c r="X608" s="1"/>
    </row>
    <row r="609" spans="1:24">
      <c r="A609" s="1"/>
      <c r="B609" s="8"/>
      <c r="C609" s="8"/>
      <c r="D609" s="8"/>
      <c r="E609" s="8"/>
      <c r="F609" s="8"/>
      <c r="G609" s="8"/>
      <c r="H609" s="8"/>
      <c r="I609" s="8"/>
      <c r="J609" s="8"/>
      <c r="K609" s="8"/>
      <c r="L609" s="56"/>
      <c r="M609" s="26"/>
      <c r="N609" s="26"/>
      <c r="O609" s="26"/>
      <c r="P609" s="1"/>
      <c r="Q609" s="1"/>
      <c r="R609" s="8"/>
      <c r="S609" s="1"/>
      <c r="T609" s="8"/>
      <c r="U609" s="1"/>
      <c r="V609" s="1"/>
      <c r="W609" s="1"/>
      <c r="X609" s="1"/>
    </row>
    <row r="610" spans="1:24">
      <c r="A610" s="1"/>
      <c r="B610" s="8"/>
      <c r="C610" s="8"/>
      <c r="D610" s="8"/>
      <c r="E610" s="8"/>
      <c r="F610" s="8"/>
      <c r="G610" s="8"/>
      <c r="H610" s="8"/>
      <c r="I610" s="8"/>
      <c r="J610" s="8"/>
      <c r="K610" s="8"/>
      <c r="L610" s="56"/>
      <c r="M610" s="26"/>
      <c r="N610" s="26"/>
      <c r="O610" s="26"/>
      <c r="P610" s="1"/>
      <c r="Q610" s="1"/>
      <c r="R610" s="8"/>
      <c r="S610" s="1"/>
      <c r="T610" s="8"/>
      <c r="U610" s="1"/>
      <c r="V610" s="1"/>
      <c r="W610" s="1"/>
      <c r="X610" s="1"/>
    </row>
    <row r="611" spans="1:24">
      <c r="A611" s="1"/>
      <c r="B611" s="8"/>
      <c r="C611" s="8"/>
      <c r="D611" s="8"/>
      <c r="E611" s="8"/>
      <c r="F611" s="8"/>
      <c r="G611" s="8"/>
      <c r="H611" s="8"/>
      <c r="I611" s="8"/>
      <c r="J611" s="8"/>
      <c r="K611" s="8"/>
      <c r="L611" s="56"/>
      <c r="M611" s="26"/>
      <c r="N611" s="26"/>
      <c r="O611" s="26"/>
      <c r="P611" s="1"/>
      <c r="Q611" s="1"/>
      <c r="R611" s="8"/>
      <c r="S611" s="1"/>
      <c r="T611" s="8"/>
      <c r="U611" s="1"/>
      <c r="V611" s="1"/>
      <c r="W611" s="1"/>
      <c r="X611" s="1"/>
    </row>
    <row r="612" spans="1:24">
      <c r="A612" s="1"/>
      <c r="B612" s="8"/>
      <c r="C612" s="8"/>
      <c r="D612" s="8"/>
      <c r="E612" s="8"/>
      <c r="F612" s="8"/>
      <c r="G612" s="8"/>
      <c r="H612" s="8"/>
      <c r="I612" s="8"/>
      <c r="J612" s="8"/>
      <c r="K612" s="8"/>
      <c r="L612" s="56"/>
      <c r="M612" s="26"/>
      <c r="N612" s="26"/>
      <c r="O612" s="26"/>
      <c r="P612" s="1"/>
      <c r="Q612" s="1"/>
      <c r="R612" s="8"/>
      <c r="S612" s="1"/>
      <c r="T612" s="8"/>
      <c r="U612" s="1"/>
      <c r="V612" s="1"/>
      <c r="W612" s="1"/>
      <c r="X612" s="1"/>
    </row>
    <row r="613" spans="1:24">
      <c r="A613" s="1"/>
      <c r="B613" s="8"/>
      <c r="C613" s="8"/>
      <c r="D613" s="8"/>
      <c r="E613" s="8"/>
      <c r="F613" s="8"/>
      <c r="G613" s="8"/>
      <c r="H613" s="8"/>
      <c r="I613" s="8"/>
      <c r="J613" s="8"/>
      <c r="K613" s="8"/>
      <c r="L613" s="56"/>
      <c r="M613" s="26"/>
      <c r="N613" s="26"/>
      <c r="O613" s="26"/>
      <c r="P613" s="1"/>
      <c r="Q613" s="1"/>
      <c r="R613" s="8"/>
      <c r="S613" s="1"/>
      <c r="T613" s="8"/>
      <c r="U613" s="1"/>
      <c r="V613" s="1"/>
      <c r="W613" s="1"/>
      <c r="X613" s="1"/>
    </row>
    <row r="614" spans="1:24">
      <c r="A614" s="1"/>
      <c r="B614" s="8"/>
      <c r="C614" s="8"/>
      <c r="D614" s="8"/>
      <c r="E614" s="8"/>
      <c r="F614" s="8"/>
      <c r="G614" s="8"/>
      <c r="H614" s="8"/>
      <c r="I614" s="8"/>
      <c r="J614" s="8"/>
      <c r="K614" s="8"/>
      <c r="L614" s="56"/>
      <c r="M614" s="26"/>
      <c r="N614" s="26"/>
      <c r="O614" s="26"/>
      <c r="P614" s="1"/>
      <c r="Q614" s="1"/>
      <c r="R614" s="8"/>
      <c r="S614" s="1"/>
      <c r="T614" s="8"/>
      <c r="U614" s="1"/>
      <c r="V614" s="1"/>
      <c r="W614" s="1"/>
      <c r="X614" s="1"/>
    </row>
    <row r="615" spans="1:24">
      <c r="A615" s="1"/>
      <c r="B615" s="8"/>
      <c r="C615" s="8"/>
      <c r="D615" s="8"/>
      <c r="E615" s="8"/>
      <c r="F615" s="8"/>
      <c r="G615" s="8"/>
      <c r="H615" s="8"/>
      <c r="I615" s="8"/>
      <c r="J615" s="8"/>
      <c r="K615" s="8"/>
      <c r="L615" s="56"/>
      <c r="M615" s="26"/>
      <c r="N615" s="26"/>
      <c r="O615" s="26"/>
      <c r="P615" s="1"/>
      <c r="Q615" s="1"/>
      <c r="R615" s="8"/>
      <c r="S615" s="1"/>
      <c r="T615" s="8"/>
      <c r="U615" s="1"/>
      <c r="V615" s="1"/>
      <c r="W615" s="1"/>
      <c r="X615" s="1"/>
    </row>
    <row r="616" spans="1:24">
      <c r="A616" s="1"/>
      <c r="B616" s="8"/>
      <c r="C616" s="8"/>
      <c r="D616" s="8"/>
      <c r="E616" s="8"/>
      <c r="F616" s="8"/>
      <c r="G616" s="8"/>
      <c r="H616" s="8"/>
      <c r="I616" s="8"/>
      <c r="J616" s="8"/>
      <c r="K616" s="8"/>
      <c r="L616" s="56"/>
      <c r="M616" s="26"/>
      <c r="N616" s="26"/>
      <c r="O616" s="26"/>
      <c r="P616" s="1"/>
      <c r="Q616" s="1"/>
      <c r="R616" s="8"/>
      <c r="S616" s="1"/>
      <c r="T616" s="8"/>
      <c r="U616" s="1"/>
      <c r="V616" s="1"/>
      <c r="W616" s="1"/>
      <c r="X616" s="1"/>
    </row>
    <row r="617" spans="1:24">
      <c r="A617" s="1"/>
      <c r="B617" s="8"/>
      <c r="C617" s="8"/>
      <c r="D617" s="8"/>
      <c r="E617" s="8"/>
      <c r="F617" s="8"/>
      <c r="G617" s="8"/>
      <c r="H617" s="8"/>
      <c r="I617" s="8"/>
      <c r="J617" s="8"/>
      <c r="K617" s="8"/>
      <c r="L617" s="56"/>
      <c r="M617" s="26"/>
      <c r="N617" s="26"/>
      <c r="O617" s="26"/>
      <c r="P617" s="1"/>
      <c r="Q617" s="1"/>
      <c r="R617" s="8"/>
      <c r="S617" s="1"/>
      <c r="T617" s="8"/>
      <c r="U617" s="1"/>
      <c r="V617" s="1"/>
      <c r="W617" s="1"/>
      <c r="X617" s="1"/>
    </row>
    <row r="618" spans="1:24">
      <c r="A618" s="1"/>
      <c r="B618" s="8"/>
      <c r="C618" s="8"/>
      <c r="D618" s="8"/>
      <c r="E618" s="8"/>
      <c r="F618" s="8"/>
      <c r="G618" s="8"/>
      <c r="H618" s="8"/>
      <c r="I618" s="8"/>
      <c r="J618" s="8"/>
      <c r="K618" s="8"/>
      <c r="L618" s="56"/>
      <c r="M618" s="26"/>
      <c r="N618" s="26"/>
      <c r="O618" s="26"/>
      <c r="P618" s="1"/>
      <c r="Q618" s="1"/>
      <c r="R618" s="8"/>
      <c r="S618" s="1"/>
      <c r="T618" s="8"/>
      <c r="U618" s="1"/>
      <c r="V618" s="1"/>
      <c r="W618" s="1"/>
      <c r="X618" s="1"/>
    </row>
    <row r="619" spans="1:24">
      <c r="A619" s="1"/>
      <c r="B619" s="8"/>
      <c r="C619" s="8"/>
      <c r="D619" s="8"/>
      <c r="E619" s="8"/>
      <c r="F619" s="8"/>
      <c r="G619" s="8"/>
      <c r="H619" s="8"/>
      <c r="I619" s="8"/>
      <c r="J619" s="8"/>
      <c r="K619" s="8"/>
      <c r="L619" s="56"/>
      <c r="M619" s="26"/>
      <c r="N619" s="26"/>
      <c r="O619" s="26"/>
      <c r="P619" s="1"/>
      <c r="Q619" s="1"/>
      <c r="R619" s="8"/>
      <c r="S619" s="1"/>
      <c r="T619" s="8"/>
      <c r="U619" s="1"/>
      <c r="V619" s="1"/>
      <c r="W619" s="1"/>
      <c r="X619" s="1"/>
    </row>
    <row r="620" spans="1:24">
      <c r="A620" s="1"/>
      <c r="B620" s="8"/>
      <c r="C620" s="8"/>
      <c r="D620" s="8"/>
      <c r="E620" s="8"/>
      <c r="F620" s="8"/>
      <c r="G620" s="8"/>
      <c r="H620" s="8"/>
      <c r="I620" s="8"/>
      <c r="J620" s="8"/>
      <c r="K620" s="8"/>
      <c r="L620" s="56"/>
      <c r="M620" s="26"/>
      <c r="N620" s="26"/>
      <c r="O620" s="26"/>
      <c r="P620" s="1"/>
      <c r="Q620" s="1"/>
      <c r="R620" s="8"/>
      <c r="S620" s="1"/>
      <c r="T620" s="8"/>
      <c r="U620" s="1"/>
      <c r="V620" s="1"/>
      <c r="W620" s="1"/>
      <c r="X620" s="1"/>
    </row>
    <row r="621" spans="1:24">
      <c r="A621" s="1"/>
      <c r="B621" s="8"/>
      <c r="C621" s="8"/>
      <c r="D621" s="8"/>
      <c r="E621" s="8"/>
      <c r="F621" s="8"/>
      <c r="G621" s="8"/>
      <c r="H621" s="8"/>
      <c r="I621" s="8"/>
      <c r="J621" s="8"/>
      <c r="K621" s="8"/>
      <c r="L621" s="56"/>
      <c r="M621" s="26"/>
      <c r="N621" s="26"/>
      <c r="O621" s="26"/>
      <c r="P621" s="1"/>
      <c r="Q621" s="1"/>
      <c r="R621" s="8"/>
      <c r="S621" s="1"/>
      <c r="T621" s="8"/>
      <c r="U621" s="1"/>
      <c r="V621" s="1"/>
      <c r="W621" s="1"/>
      <c r="X621" s="1"/>
    </row>
    <row r="622" spans="1:24">
      <c r="A622" s="1"/>
      <c r="B622" s="8"/>
      <c r="C622" s="8"/>
      <c r="D622" s="8"/>
      <c r="E622" s="8"/>
      <c r="F622" s="8"/>
      <c r="G622" s="8"/>
      <c r="H622" s="8"/>
      <c r="I622" s="8"/>
      <c r="J622" s="8"/>
      <c r="K622" s="8"/>
      <c r="L622" s="56"/>
      <c r="M622" s="26"/>
      <c r="N622" s="26"/>
      <c r="O622" s="26"/>
      <c r="P622" s="1"/>
      <c r="Q622" s="1"/>
      <c r="R622" s="8"/>
      <c r="S622" s="1"/>
      <c r="T622" s="8"/>
      <c r="U622" s="1"/>
      <c r="V622" s="1"/>
      <c r="W622" s="1"/>
      <c r="X622" s="1"/>
    </row>
    <row r="623" spans="1:24">
      <c r="A623" s="1"/>
      <c r="B623" s="8"/>
      <c r="C623" s="8"/>
      <c r="D623" s="8"/>
      <c r="E623" s="8"/>
      <c r="F623" s="8"/>
      <c r="G623" s="8"/>
      <c r="H623" s="8"/>
      <c r="I623" s="8"/>
      <c r="J623" s="8"/>
      <c r="K623" s="8"/>
      <c r="L623" s="56"/>
      <c r="M623" s="26"/>
      <c r="N623" s="26"/>
      <c r="O623" s="26"/>
      <c r="P623" s="1"/>
      <c r="Q623" s="1"/>
      <c r="R623" s="8"/>
      <c r="S623" s="1"/>
      <c r="T623" s="8"/>
      <c r="U623" s="1"/>
      <c r="V623" s="1"/>
      <c r="W623" s="1"/>
      <c r="X623" s="1"/>
    </row>
    <row r="624" spans="1:24">
      <c r="A624" s="1"/>
      <c r="B624" s="8"/>
      <c r="C624" s="8"/>
      <c r="D624" s="8"/>
      <c r="E624" s="8"/>
      <c r="F624" s="8"/>
      <c r="G624" s="8"/>
      <c r="H624" s="8"/>
      <c r="I624" s="8"/>
      <c r="J624" s="8"/>
      <c r="K624" s="8"/>
      <c r="L624" s="56"/>
      <c r="M624" s="26"/>
      <c r="N624" s="26"/>
      <c r="O624" s="26"/>
      <c r="P624" s="1"/>
      <c r="Q624" s="1"/>
      <c r="R624" s="8"/>
      <c r="S624" s="1"/>
      <c r="T624" s="8"/>
      <c r="U624" s="1"/>
      <c r="V624" s="1"/>
      <c r="W624" s="1"/>
      <c r="X624" s="1"/>
    </row>
    <row r="625" spans="1:24">
      <c r="A625" s="1"/>
      <c r="B625" s="8"/>
      <c r="C625" s="8"/>
      <c r="D625" s="8"/>
      <c r="E625" s="8"/>
      <c r="F625" s="8"/>
      <c r="G625" s="8"/>
      <c r="H625" s="8"/>
      <c r="I625" s="8"/>
      <c r="J625" s="8"/>
      <c r="K625" s="8"/>
      <c r="L625" s="56"/>
      <c r="M625" s="26"/>
      <c r="N625" s="26"/>
      <c r="O625" s="26"/>
      <c r="P625" s="1"/>
      <c r="Q625" s="1"/>
      <c r="R625" s="8"/>
      <c r="S625" s="1"/>
      <c r="T625" s="8"/>
      <c r="U625" s="1"/>
      <c r="V625" s="1"/>
      <c r="W625" s="1"/>
      <c r="X625" s="1"/>
    </row>
    <row r="626" spans="1:24">
      <c r="A626" s="1"/>
      <c r="B626" s="8"/>
      <c r="C626" s="8"/>
      <c r="D626" s="8"/>
      <c r="E626" s="8"/>
      <c r="F626" s="8"/>
      <c r="G626" s="8"/>
      <c r="H626" s="8"/>
      <c r="I626" s="8"/>
      <c r="J626" s="8"/>
      <c r="K626" s="8"/>
      <c r="L626" s="56"/>
      <c r="M626" s="26"/>
      <c r="N626" s="26"/>
      <c r="O626" s="26"/>
      <c r="P626" s="1"/>
      <c r="Q626" s="1"/>
      <c r="R626" s="8"/>
      <c r="S626" s="1"/>
      <c r="T626" s="8"/>
      <c r="U626" s="1"/>
      <c r="V626" s="1"/>
      <c r="W626" s="1"/>
      <c r="X626" s="1"/>
    </row>
    <row r="627" spans="1:24">
      <c r="A627" s="1"/>
      <c r="B627" s="8"/>
      <c r="C627" s="8"/>
      <c r="D627" s="8"/>
      <c r="E627" s="8"/>
      <c r="F627" s="8"/>
      <c r="G627" s="8"/>
      <c r="H627" s="8"/>
      <c r="I627" s="8"/>
      <c r="J627" s="8"/>
      <c r="K627" s="8"/>
      <c r="L627" s="56"/>
      <c r="M627" s="26"/>
      <c r="N627" s="26"/>
      <c r="O627" s="26"/>
      <c r="P627" s="1"/>
      <c r="Q627" s="1"/>
      <c r="R627" s="8"/>
      <c r="S627" s="1"/>
      <c r="T627" s="8"/>
      <c r="U627" s="1"/>
      <c r="V627" s="1"/>
      <c r="W627" s="1"/>
      <c r="X627" s="1"/>
    </row>
    <row r="628" spans="1:24">
      <c r="A628" s="1"/>
      <c r="B628" s="8"/>
      <c r="C628" s="8"/>
      <c r="D628" s="8"/>
      <c r="E628" s="8"/>
      <c r="F628" s="8"/>
      <c r="G628" s="8"/>
      <c r="H628" s="8"/>
      <c r="I628" s="8"/>
      <c r="J628" s="8"/>
      <c r="K628" s="8"/>
      <c r="L628" s="56"/>
      <c r="M628" s="26"/>
      <c r="N628" s="26"/>
      <c r="O628" s="26"/>
      <c r="P628" s="1"/>
      <c r="Q628" s="1"/>
      <c r="R628" s="8"/>
      <c r="S628" s="1"/>
      <c r="T628" s="8"/>
      <c r="U628" s="1"/>
      <c r="V628" s="1"/>
      <c r="W628" s="1"/>
      <c r="X628" s="1"/>
    </row>
    <row r="629" spans="1:24">
      <c r="A629" s="1"/>
      <c r="B629" s="8"/>
      <c r="C629" s="8"/>
      <c r="D629" s="8"/>
      <c r="E629" s="8"/>
      <c r="F629" s="8"/>
      <c r="G629" s="8"/>
      <c r="H629" s="8"/>
      <c r="I629" s="8"/>
      <c r="J629" s="8"/>
      <c r="K629" s="8"/>
      <c r="L629" s="56"/>
      <c r="M629" s="26"/>
      <c r="N629" s="26"/>
      <c r="O629" s="26"/>
      <c r="P629" s="1"/>
      <c r="Q629" s="1"/>
      <c r="R629" s="8"/>
      <c r="S629" s="1"/>
      <c r="T629" s="8"/>
      <c r="U629" s="1"/>
      <c r="V629" s="1"/>
      <c r="W629" s="1"/>
      <c r="X629" s="1"/>
    </row>
    <row r="630" spans="1:24">
      <c r="A630" s="1"/>
      <c r="B630" s="8"/>
      <c r="C630" s="8"/>
      <c r="D630" s="8"/>
      <c r="E630" s="8"/>
      <c r="F630" s="8"/>
      <c r="G630" s="8"/>
      <c r="H630" s="8"/>
      <c r="I630" s="8"/>
      <c r="J630" s="8"/>
      <c r="K630" s="8"/>
      <c r="L630" s="56"/>
      <c r="M630" s="26"/>
      <c r="N630" s="26"/>
      <c r="O630" s="26"/>
      <c r="P630" s="1"/>
      <c r="Q630" s="1"/>
      <c r="R630" s="8"/>
      <c r="S630" s="1"/>
      <c r="T630" s="8"/>
      <c r="U630" s="1"/>
      <c r="V630" s="1"/>
      <c r="W630" s="1"/>
      <c r="X630" s="1"/>
    </row>
    <row r="631" spans="1:24">
      <c r="A631" s="1"/>
      <c r="B631" s="8"/>
      <c r="C631" s="8"/>
      <c r="D631" s="8"/>
      <c r="E631" s="8"/>
      <c r="F631" s="8"/>
      <c r="G631" s="8"/>
      <c r="H631" s="8"/>
      <c r="I631" s="8"/>
      <c r="J631" s="8"/>
      <c r="K631" s="8"/>
      <c r="L631" s="56"/>
      <c r="M631" s="26"/>
      <c r="N631" s="26"/>
      <c r="O631" s="26"/>
      <c r="P631" s="1"/>
      <c r="Q631" s="1"/>
      <c r="R631" s="8"/>
      <c r="S631" s="1"/>
      <c r="T631" s="8"/>
      <c r="U631" s="1"/>
      <c r="V631" s="1"/>
      <c r="W631" s="1"/>
      <c r="X631" s="1"/>
    </row>
    <row r="632" spans="1:24">
      <c r="A632" s="1"/>
      <c r="B632" s="8"/>
      <c r="C632" s="8"/>
      <c r="D632" s="8"/>
      <c r="E632" s="8"/>
      <c r="F632" s="8"/>
      <c r="G632" s="8"/>
      <c r="H632" s="8"/>
      <c r="I632" s="8"/>
      <c r="J632" s="8"/>
      <c r="K632" s="8"/>
      <c r="L632" s="56"/>
      <c r="M632" s="26"/>
      <c r="N632" s="26"/>
      <c r="O632" s="26"/>
      <c r="P632" s="1"/>
      <c r="Q632" s="1"/>
      <c r="R632" s="8"/>
      <c r="S632" s="1"/>
      <c r="T632" s="8"/>
      <c r="U632" s="1"/>
      <c r="V632" s="1"/>
      <c r="W632" s="1"/>
      <c r="X632" s="1"/>
    </row>
    <row r="633" spans="1:24">
      <c r="A633" s="1"/>
      <c r="B633" s="8"/>
      <c r="C633" s="8"/>
      <c r="D633" s="8"/>
      <c r="E633" s="8"/>
      <c r="F633" s="8"/>
      <c r="G633" s="8"/>
      <c r="H633" s="8"/>
      <c r="I633" s="8"/>
      <c r="J633" s="8"/>
      <c r="K633" s="8"/>
      <c r="L633" s="56"/>
      <c r="M633" s="26"/>
      <c r="N633" s="26"/>
      <c r="O633" s="26"/>
      <c r="P633" s="1"/>
      <c r="Q633" s="1"/>
      <c r="R633" s="8"/>
      <c r="S633" s="1"/>
      <c r="T633" s="8"/>
      <c r="U633" s="1"/>
      <c r="V633" s="1"/>
      <c r="W633" s="1"/>
      <c r="X633" s="1"/>
    </row>
    <row r="634" spans="1:24">
      <c r="A634" s="1"/>
      <c r="B634" s="8"/>
      <c r="C634" s="8"/>
      <c r="D634" s="8"/>
      <c r="E634" s="8"/>
      <c r="F634" s="8"/>
      <c r="G634" s="8"/>
      <c r="H634" s="8"/>
      <c r="I634" s="8"/>
      <c r="J634" s="8"/>
      <c r="K634" s="8"/>
      <c r="L634" s="56"/>
      <c r="M634" s="26"/>
      <c r="N634" s="26"/>
      <c r="O634" s="26"/>
      <c r="P634" s="1"/>
      <c r="Q634" s="1"/>
      <c r="R634" s="8"/>
      <c r="S634" s="1"/>
      <c r="T634" s="8"/>
      <c r="U634" s="1"/>
      <c r="V634" s="1"/>
      <c r="W634" s="1"/>
      <c r="X634" s="1"/>
    </row>
    <row r="635" spans="1:24">
      <c r="A635" s="1"/>
      <c r="B635" s="8"/>
      <c r="C635" s="8"/>
      <c r="D635" s="8"/>
      <c r="E635" s="8"/>
      <c r="F635" s="8"/>
      <c r="G635" s="8"/>
      <c r="H635" s="8"/>
      <c r="I635" s="8"/>
      <c r="J635" s="8"/>
      <c r="K635" s="8"/>
      <c r="L635" s="56"/>
      <c r="M635" s="26"/>
      <c r="N635" s="26"/>
      <c r="O635" s="26"/>
      <c r="P635" s="1"/>
      <c r="Q635" s="1"/>
      <c r="R635" s="8"/>
      <c r="S635" s="1"/>
      <c r="T635" s="8"/>
      <c r="U635" s="1"/>
      <c r="V635" s="1"/>
      <c r="W635" s="1"/>
      <c r="X635" s="1"/>
    </row>
    <row r="636" spans="1:24">
      <c r="A636" s="1"/>
      <c r="B636" s="8"/>
      <c r="C636" s="8"/>
      <c r="D636" s="8"/>
      <c r="E636" s="8"/>
      <c r="F636" s="8"/>
      <c r="G636" s="8"/>
      <c r="H636" s="8"/>
      <c r="I636" s="8"/>
      <c r="J636" s="8"/>
      <c r="K636" s="8"/>
      <c r="L636" s="56"/>
      <c r="M636" s="26"/>
      <c r="N636" s="26"/>
      <c r="O636" s="26"/>
      <c r="P636" s="1"/>
      <c r="Q636" s="1"/>
      <c r="R636" s="8"/>
      <c r="S636" s="1"/>
      <c r="T636" s="8"/>
      <c r="U636" s="1"/>
      <c r="V636" s="1"/>
      <c r="W636" s="1"/>
      <c r="X636" s="1"/>
    </row>
    <row r="637" spans="1:24">
      <c r="A637" s="1"/>
      <c r="B637" s="8"/>
      <c r="C637" s="8"/>
      <c r="D637" s="8"/>
      <c r="E637" s="8"/>
      <c r="F637" s="8"/>
      <c r="G637" s="8"/>
      <c r="H637" s="8"/>
      <c r="I637" s="8"/>
      <c r="J637" s="8"/>
      <c r="K637" s="8"/>
      <c r="L637" s="56"/>
      <c r="M637" s="26"/>
      <c r="N637" s="26"/>
      <c r="O637" s="26"/>
      <c r="P637" s="1"/>
      <c r="Q637" s="1"/>
      <c r="R637" s="8"/>
      <c r="S637" s="1"/>
      <c r="T637" s="8"/>
      <c r="U637" s="1"/>
      <c r="V637" s="1"/>
      <c r="W637" s="1"/>
      <c r="X637" s="1"/>
    </row>
    <row r="638" spans="1:24">
      <c r="A638" s="1"/>
      <c r="B638" s="8"/>
      <c r="C638" s="8"/>
      <c r="D638" s="8"/>
      <c r="E638" s="8"/>
      <c r="F638" s="8"/>
      <c r="G638" s="8"/>
      <c r="H638" s="8"/>
      <c r="I638" s="8"/>
      <c r="J638" s="8"/>
      <c r="K638" s="8"/>
      <c r="L638" s="56"/>
      <c r="M638" s="26"/>
      <c r="N638" s="26"/>
      <c r="O638" s="26"/>
      <c r="P638" s="1"/>
      <c r="Q638" s="1"/>
      <c r="R638" s="8"/>
      <c r="S638" s="1"/>
      <c r="T638" s="8"/>
      <c r="U638" s="1"/>
      <c r="V638" s="1"/>
      <c r="W638" s="1"/>
      <c r="X638" s="1"/>
    </row>
    <row r="639" spans="1:24">
      <c r="A639" s="1"/>
      <c r="B639" s="8"/>
      <c r="C639" s="8"/>
      <c r="D639" s="8"/>
      <c r="E639" s="8"/>
      <c r="F639" s="8"/>
      <c r="G639" s="8"/>
      <c r="H639" s="8"/>
      <c r="I639" s="8"/>
      <c r="J639" s="8"/>
      <c r="K639" s="8"/>
      <c r="L639" s="56"/>
      <c r="M639" s="26"/>
      <c r="N639" s="26"/>
      <c r="O639" s="26"/>
      <c r="P639" s="1"/>
      <c r="Q639" s="1"/>
      <c r="R639" s="8"/>
      <c r="S639" s="1"/>
      <c r="T639" s="8"/>
      <c r="U639" s="1"/>
      <c r="V639" s="1"/>
      <c r="W639" s="1"/>
      <c r="X639" s="1"/>
    </row>
    <row r="640" spans="1:24">
      <c r="A640" s="1"/>
      <c r="B640" s="8"/>
      <c r="C640" s="8"/>
      <c r="D640" s="8"/>
      <c r="E640" s="8"/>
      <c r="F640" s="8"/>
      <c r="G640" s="8"/>
      <c r="H640" s="8"/>
      <c r="I640" s="8"/>
      <c r="J640" s="8"/>
      <c r="K640" s="8"/>
      <c r="L640" s="56"/>
      <c r="M640" s="26"/>
      <c r="N640" s="26"/>
      <c r="O640" s="26"/>
      <c r="P640" s="1"/>
      <c r="Q640" s="1"/>
      <c r="R640" s="8"/>
      <c r="S640" s="1"/>
      <c r="T640" s="8"/>
      <c r="U640" s="1"/>
      <c r="V640" s="1"/>
      <c r="W640" s="1"/>
      <c r="X640" s="1"/>
    </row>
    <row r="641" spans="1:24">
      <c r="A641" s="1"/>
      <c r="B641" s="8"/>
      <c r="C641" s="8"/>
      <c r="D641" s="8"/>
      <c r="E641" s="8"/>
      <c r="F641" s="8"/>
      <c r="G641" s="8"/>
      <c r="H641" s="8"/>
      <c r="I641" s="8"/>
      <c r="J641" s="8"/>
      <c r="K641" s="8"/>
      <c r="L641" s="56"/>
      <c r="M641" s="26"/>
      <c r="N641" s="26"/>
      <c r="O641" s="26"/>
      <c r="P641" s="1"/>
      <c r="Q641" s="1"/>
      <c r="R641" s="8"/>
      <c r="S641" s="1"/>
      <c r="T641" s="8"/>
      <c r="U641" s="1"/>
      <c r="V641" s="1"/>
      <c r="W641" s="1"/>
      <c r="X641" s="1"/>
    </row>
    <row r="642" spans="1:24">
      <c r="A642" s="1"/>
      <c r="B642" s="8"/>
      <c r="C642" s="8"/>
      <c r="D642" s="8"/>
      <c r="E642" s="8"/>
      <c r="F642" s="8"/>
      <c r="G642" s="8"/>
      <c r="H642" s="8"/>
      <c r="I642" s="8"/>
      <c r="J642" s="8"/>
      <c r="K642" s="8"/>
      <c r="L642" s="56"/>
      <c r="M642" s="26"/>
      <c r="N642" s="26"/>
      <c r="O642" s="26"/>
      <c r="P642" s="1"/>
      <c r="Q642" s="1"/>
      <c r="R642" s="8"/>
      <c r="S642" s="1"/>
      <c r="T642" s="8"/>
      <c r="U642" s="1"/>
      <c r="V642" s="1"/>
      <c r="W642" s="1"/>
      <c r="X642" s="1"/>
    </row>
    <row r="643" spans="1:24">
      <c r="A643" s="1"/>
      <c r="B643" s="8"/>
      <c r="C643" s="8"/>
      <c r="D643" s="8"/>
      <c r="E643" s="8"/>
      <c r="F643" s="8"/>
      <c r="G643" s="8"/>
      <c r="H643" s="8"/>
      <c r="I643" s="8"/>
      <c r="J643" s="8"/>
      <c r="K643" s="8"/>
      <c r="L643" s="56"/>
      <c r="M643" s="26"/>
      <c r="N643" s="26"/>
      <c r="O643" s="26"/>
      <c r="P643" s="1"/>
      <c r="Q643" s="1"/>
      <c r="R643" s="8"/>
      <c r="S643" s="1"/>
      <c r="T643" s="8"/>
      <c r="U643" s="1"/>
      <c r="V643" s="1"/>
      <c r="W643" s="1"/>
      <c r="X643" s="1"/>
    </row>
    <row r="644" spans="1:24">
      <c r="A644" s="1"/>
      <c r="B644" s="8"/>
      <c r="C644" s="8"/>
      <c r="D644" s="8"/>
      <c r="E644" s="8"/>
      <c r="F644" s="8"/>
      <c r="G644" s="8"/>
      <c r="H644" s="8"/>
      <c r="I644" s="8"/>
      <c r="J644" s="8"/>
      <c r="K644" s="8"/>
      <c r="L644" s="56"/>
      <c r="M644" s="26"/>
      <c r="N644" s="26"/>
      <c r="O644" s="26"/>
      <c r="P644" s="1"/>
      <c r="Q644" s="1"/>
      <c r="R644" s="8"/>
      <c r="S644" s="1"/>
      <c r="T644" s="8"/>
      <c r="U644" s="1"/>
      <c r="V644" s="1"/>
      <c r="W644" s="1"/>
      <c r="X644" s="1"/>
    </row>
    <row r="645" spans="1:24">
      <c r="A645" s="1"/>
      <c r="B645" s="8"/>
      <c r="C645" s="8"/>
      <c r="D645" s="8"/>
      <c r="E645" s="8"/>
      <c r="F645" s="8"/>
      <c r="G645" s="8"/>
      <c r="H645" s="8"/>
      <c r="I645" s="8"/>
      <c r="J645" s="8"/>
      <c r="K645" s="8"/>
      <c r="L645" s="56"/>
      <c r="M645" s="26"/>
      <c r="N645" s="26"/>
      <c r="O645" s="26"/>
      <c r="P645" s="1"/>
      <c r="Q645" s="1"/>
      <c r="R645" s="8"/>
      <c r="S645" s="1"/>
      <c r="T645" s="8"/>
      <c r="U645" s="1"/>
      <c r="V645" s="1"/>
      <c r="W645" s="1"/>
      <c r="X645" s="1"/>
    </row>
    <row r="646" spans="1:24">
      <c r="A646" s="1"/>
      <c r="B646" s="8"/>
      <c r="C646" s="8"/>
      <c r="D646" s="8"/>
      <c r="E646" s="8"/>
      <c r="F646" s="8"/>
      <c r="G646" s="8"/>
      <c r="H646" s="8"/>
      <c r="I646" s="8"/>
      <c r="J646" s="8"/>
      <c r="K646" s="8"/>
      <c r="L646" s="56"/>
      <c r="M646" s="26"/>
      <c r="N646" s="26"/>
      <c r="O646" s="26"/>
      <c r="P646" s="1"/>
      <c r="Q646" s="1"/>
      <c r="R646" s="8"/>
      <c r="S646" s="1"/>
      <c r="T646" s="8"/>
      <c r="U646" s="1"/>
      <c r="V646" s="1"/>
      <c r="W646" s="1"/>
      <c r="X646" s="1"/>
    </row>
    <row r="647" spans="1:24">
      <c r="A647" s="1"/>
      <c r="B647" s="8"/>
      <c r="C647" s="8"/>
      <c r="D647" s="8"/>
      <c r="E647" s="8"/>
      <c r="F647" s="8"/>
      <c r="G647" s="8"/>
      <c r="H647" s="8"/>
      <c r="I647" s="8"/>
      <c r="J647" s="8"/>
      <c r="K647" s="8"/>
      <c r="L647" s="56"/>
      <c r="M647" s="26"/>
      <c r="N647" s="26"/>
      <c r="O647" s="26"/>
      <c r="P647" s="1"/>
      <c r="Q647" s="1"/>
      <c r="R647" s="8"/>
      <c r="S647" s="1"/>
      <c r="T647" s="8"/>
      <c r="U647" s="1"/>
      <c r="V647" s="1"/>
      <c r="W647" s="1"/>
      <c r="X647" s="1"/>
    </row>
    <row r="648" spans="1:24">
      <c r="A648" s="1"/>
      <c r="B648" s="8"/>
      <c r="C648" s="8"/>
      <c r="D648" s="8"/>
      <c r="E648" s="8"/>
      <c r="F648" s="8"/>
      <c r="G648" s="8"/>
      <c r="H648" s="8"/>
      <c r="I648" s="8"/>
      <c r="J648" s="8"/>
      <c r="K648" s="8"/>
      <c r="L648" s="56"/>
      <c r="M648" s="26"/>
      <c r="N648" s="26"/>
      <c r="O648" s="26"/>
      <c r="P648" s="1"/>
      <c r="Q648" s="1"/>
      <c r="R648" s="8"/>
      <c r="S648" s="1"/>
      <c r="T648" s="8"/>
      <c r="U648" s="1"/>
      <c r="V648" s="1"/>
      <c r="W648" s="1"/>
      <c r="X648" s="1"/>
    </row>
    <row r="649" spans="1:24">
      <c r="A649" s="1"/>
      <c r="B649" s="8"/>
      <c r="C649" s="8"/>
      <c r="D649" s="8"/>
      <c r="E649" s="8"/>
      <c r="F649" s="8"/>
      <c r="G649" s="8"/>
      <c r="H649" s="8"/>
      <c r="I649" s="8"/>
      <c r="J649" s="8"/>
      <c r="K649" s="8"/>
      <c r="L649" s="56"/>
      <c r="M649" s="26"/>
      <c r="N649" s="26"/>
      <c r="O649" s="26"/>
      <c r="P649" s="1"/>
      <c r="Q649" s="1"/>
      <c r="R649" s="8"/>
      <c r="S649" s="1"/>
      <c r="T649" s="8"/>
      <c r="U649" s="1"/>
      <c r="V649" s="1"/>
      <c r="W649" s="1"/>
      <c r="X649" s="1"/>
    </row>
    <row r="650" spans="1:24">
      <c r="A650" s="1"/>
      <c r="B650" s="8"/>
      <c r="C650" s="8"/>
      <c r="D650" s="8"/>
      <c r="E650" s="8"/>
      <c r="F650" s="8"/>
      <c r="G650" s="8"/>
      <c r="H650" s="8"/>
      <c r="I650" s="8"/>
      <c r="J650" s="8"/>
      <c r="K650" s="8"/>
      <c r="L650" s="56"/>
      <c r="M650" s="26"/>
      <c r="N650" s="26"/>
      <c r="O650" s="26"/>
      <c r="P650" s="1"/>
      <c r="Q650" s="1"/>
      <c r="R650" s="8"/>
      <c r="S650" s="1"/>
      <c r="T650" s="8"/>
      <c r="U650" s="1"/>
      <c r="V650" s="1"/>
      <c r="W650" s="1"/>
      <c r="X650" s="1"/>
    </row>
    <row r="651" spans="1:24">
      <c r="A651" s="1"/>
      <c r="B651" s="8"/>
      <c r="C651" s="8"/>
      <c r="D651" s="8"/>
      <c r="E651" s="8"/>
      <c r="F651" s="8"/>
      <c r="G651" s="8"/>
      <c r="H651" s="8"/>
      <c r="I651" s="8"/>
      <c r="J651" s="8"/>
      <c r="K651" s="8"/>
      <c r="L651" s="56"/>
      <c r="M651" s="26"/>
      <c r="N651" s="26"/>
      <c r="O651" s="26"/>
      <c r="P651" s="1"/>
      <c r="Q651" s="1"/>
      <c r="R651" s="8"/>
      <c r="S651" s="1"/>
      <c r="T651" s="8"/>
      <c r="U651" s="1"/>
      <c r="V651" s="1"/>
      <c r="W651" s="1"/>
      <c r="X651" s="1"/>
    </row>
    <row r="652" spans="1:24">
      <c r="A652" s="1"/>
      <c r="B652" s="8"/>
      <c r="C652" s="8"/>
      <c r="D652" s="8"/>
      <c r="E652" s="8"/>
      <c r="F652" s="8"/>
      <c r="G652" s="8"/>
      <c r="H652" s="8"/>
      <c r="I652" s="8"/>
      <c r="J652" s="8"/>
      <c r="K652" s="8"/>
      <c r="L652" s="56"/>
      <c r="M652" s="26"/>
      <c r="N652" s="26"/>
      <c r="O652" s="26"/>
      <c r="P652" s="1"/>
      <c r="Q652" s="1"/>
      <c r="R652" s="8"/>
      <c r="S652" s="1"/>
      <c r="T652" s="8"/>
      <c r="U652" s="1"/>
      <c r="V652" s="1"/>
      <c r="W652" s="1"/>
      <c r="X652" s="1"/>
    </row>
    <row r="653" spans="1:24">
      <c r="A653" s="1"/>
      <c r="B653" s="8"/>
      <c r="C653" s="8"/>
      <c r="D653" s="8"/>
      <c r="E653" s="8"/>
      <c r="F653" s="8"/>
      <c r="G653" s="8"/>
      <c r="H653" s="8"/>
      <c r="I653" s="8"/>
      <c r="J653" s="8"/>
      <c r="K653" s="8"/>
      <c r="L653" s="56"/>
      <c r="M653" s="26"/>
      <c r="N653" s="26"/>
      <c r="O653" s="26"/>
      <c r="P653" s="1"/>
      <c r="Q653" s="1"/>
      <c r="R653" s="8"/>
      <c r="S653" s="1"/>
      <c r="T653" s="8"/>
      <c r="U653" s="1"/>
      <c r="V653" s="1"/>
      <c r="W653" s="1"/>
      <c r="X653" s="1"/>
    </row>
    <row r="654" spans="1:24">
      <c r="A654" s="1"/>
      <c r="B654" s="8"/>
      <c r="C654" s="8"/>
      <c r="D654" s="8"/>
      <c r="E654" s="8"/>
      <c r="F654" s="8"/>
      <c r="G654" s="8"/>
      <c r="H654" s="8"/>
      <c r="I654" s="8"/>
      <c r="J654" s="8"/>
      <c r="K654" s="8"/>
      <c r="L654" s="56"/>
      <c r="M654" s="26"/>
      <c r="N654" s="26"/>
      <c r="O654" s="26"/>
      <c r="P654" s="1"/>
      <c r="Q654" s="1"/>
      <c r="R654" s="8"/>
      <c r="S654" s="1"/>
      <c r="T654" s="8"/>
      <c r="U654" s="1"/>
      <c r="V654" s="1"/>
      <c r="W654" s="1"/>
      <c r="X654" s="1"/>
    </row>
    <row r="655" spans="1:24">
      <c r="A655" s="1"/>
      <c r="B655" s="8"/>
      <c r="C655" s="8"/>
      <c r="D655" s="8"/>
      <c r="E655" s="8"/>
      <c r="F655" s="8"/>
      <c r="G655" s="8"/>
      <c r="H655" s="8"/>
      <c r="I655" s="8"/>
      <c r="J655" s="8"/>
      <c r="K655" s="8"/>
      <c r="L655" s="56"/>
      <c r="M655" s="26"/>
      <c r="N655" s="26"/>
      <c r="O655" s="26"/>
      <c r="P655" s="1"/>
      <c r="Q655" s="1"/>
      <c r="R655" s="8"/>
      <c r="S655" s="1"/>
      <c r="T655" s="8"/>
      <c r="U655" s="1"/>
      <c r="V655" s="1"/>
      <c r="W655" s="1"/>
      <c r="X655" s="1"/>
    </row>
    <row r="656" spans="1:24">
      <c r="A656" s="1"/>
      <c r="B656" s="8"/>
      <c r="C656" s="8"/>
      <c r="D656" s="8"/>
      <c r="E656" s="8"/>
      <c r="F656" s="8"/>
      <c r="G656" s="8"/>
      <c r="H656" s="8"/>
      <c r="I656" s="8"/>
      <c r="J656" s="8"/>
      <c r="K656" s="8"/>
      <c r="L656" s="56"/>
      <c r="M656" s="26"/>
      <c r="N656" s="26"/>
      <c r="O656" s="26"/>
      <c r="P656" s="1"/>
      <c r="Q656" s="1"/>
      <c r="R656" s="8"/>
      <c r="S656" s="1"/>
      <c r="T656" s="8"/>
      <c r="U656" s="1"/>
      <c r="V656" s="1"/>
      <c r="W656" s="1"/>
      <c r="X656" s="1"/>
    </row>
    <row r="657" spans="1:24">
      <c r="A657" s="1"/>
      <c r="B657" s="8"/>
      <c r="C657" s="8"/>
      <c r="D657" s="8"/>
      <c r="E657" s="8"/>
      <c r="F657" s="8"/>
      <c r="G657" s="8"/>
      <c r="H657" s="8"/>
      <c r="I657" s="8"/>
      <c r="J657" s="8"/>
      <c r="K657" s="8"/>
      <c r="L657" s="56"/>
      <c r="M657" s="26"/>
      <c r="N657" s="26"/>
      <c r="O657" s="26"/>
      <c r="P657" s="1"/>
      <c r="Q657" s="1"/>
      <c r="R657" s="8"/>
      <c r="S657" s="1"/>
      <c r="T657" s="8"/>
      <c r="U657" s="1"/>
      <c r="V657" s="1"/>
      <c r="W657" s="1"/>
      <c r="X657" s="1"/>
    </row>
    <row r="658" spans="1:24">
      <c r="A658" s="1"/>
      <c r="B658" s="8"/>
      <c r="C658" s="8"/>
      <c r="D658" s="8"/>
      <c r="E658" s="8"/>
      <c r="F658" s="8"/>
      <c r="G658" s="8"/>
      <c r="H658" s="8"/>
      <c r="I658" s="8"/>
      <c r="J658" s="8"/>
      <c r="K658" s="8"/>
      <c r="L658" s="56"/>
      <c r="M658" s="26"/>
      <c r="N658" s="26"/>
      <c r="O658" s="26"/>
      <c r="P658" s="1"/>
      <c r="Q658" s="1"/>
      <c r="R658" s="8"/>
      <c r="S658" s="1"/>
      <c r="T658" s="8"/>
      <c r="U658" s="1"/>
      <c r="V658" s="1"/>
      <c r="W658" s="1"/>
      <c r="X658" s="1"/>
    </row>
    <row r="659" spans="1:24">
      <c r="A659" s="1"/>
      <c r="B659" s="8"/>
      <c r="C659" s="8"/>
      <c r="D659" s="8"/>
      <c r="E659" s="8"/>
      <c r="F659" s="8"/>
      <c r="G659" s="8"/>
      <c r="H659" s="8"/>
      <c r="I659" s="8"/>
      <c r="J659" s="8"/>
      <c r="K659" s="8"/>
      <c r="L659" s="56"/>
      <c r="M659" s="26"/>
      <c r="N659" s="26"/>
      <c r="O659" s="26"/>
      <c r="P659" s="1"/>
      <c r="Q659" s="1"/>
      <c r="R659" s="8"/>
      <c r="S659" s="1"/>
      <c r="T659" s="8"/>
      <c r="U659" s="1"/>
      <c r="V659" s="1"/>
      <c r="W659" s="1"/>
      <c r="X659" s="1"/>
    </row>
    <row r="660" spans="1:24">
      <c r="A660" s="1"/>
      <c r="B660" s="8"/>
      <c r="C660" s="8"/>
      <c r="D660" s="8"/>
      <c r="E660" s="8"/>
      <c r="F660" s="8"/>
      <c r="G660" s="8"/>
      <c r="H660" s="8"/>
      <c r="I660" s="8"/>
      <c r="J660" s="8"/>
      <c r="K660" s="8"/>
      <c r="L660" s="56"/>
      <c r="M660" s="26"/>
      <c r="N660" s="26"/>
      <c r="O660" s="26"/>
      <c r="P660" s="1"/>
      <c r="Q660" s="1"/>
      <c r="R660" s="8"/>
      <c r="S660" s="1"/>
      <c r="T660" s="8"/>
      <c r="U660" s="1"/>
      <c r="V660" s="1"/>
      <c r="W660" s="1"/>
      <c r="X660" s="1"/>
    </row>
    <row r="661" spans="1:24">
      <c r="A661" s="1"/>
      <c r="B661" s="8"/>
      <c r="C661" s="8"/>
      <c r="D661" s="8"/>
      <c r="E661" s="8"/>
      <c r="F661" s="8"/>
      <c r="G661" s="8"/>
      <c r="H661" s="8"/>
      <c r="I661" s="8"/>
      <c r="J661" s="8"/>
      <c r="K661" s="8"/>
      <c r="L661" s="56"/>
      <c r="M661" s="26"/>
      <c r="N661" s="26"/>
      <c r="O661" s="26"/>
      <c r="P661" s="1"/>
      <c r="Q661" s="1"/>
      <c r="R661" s="8"/>
      <c r="S661" s="1"/>
      <c r="T661" s="8"/>
      <c r="U661" s="1"/>
      <c r="V661" s="1"/>
      <c r="W661" s="1"/>
      <c r="X661" s="1"/>
    </row>
    <row r="662" spans="1:24">
      <c r="A662" s="1"/>
      <c r="B662" s="8"/>
      <c r="C662" s="8"/>
      <c r="D662" s="8"/>
      <c r="E662" s="8"/>
      <c r="F662" s="8"/>
      <c r="G662" s="8"/>
      <c r="H662" s="8"/>
      <c r="I662" s="8"/>
      <c r="J662" s="8"/>
      <c r="K662" s="8"/>
      <c r="L662" s="56"/>
      <c r="M662" s="26"/>
      <c r="N662" s="26"/>
      <c r="O662" s="26"/>
      <c r="P662" s="1"/>
      <c r="Q662" s="1"/>
      <c r="R662" s="8"/>
      <c r="S662" s="1"/>
      <c r="T662" s="8"/>
      <c r="U662" s="1"/>
      <c r="V662" s="1"/>
      <c r="W662" s="1"/>
      <c r="X662" s="1"/>
    </row>
    <row r="663" spans="1:24">
      <c r="A663" s="1"/>
      <c r="B663" s="8"/>
      <c r="C663" s="8"/>
      <c r="D663" s="8"/>
      <c r="E663" s="8"/>
      <c r="F663" s="8"/>
      <c r="G663" s="8"/>
      <c r="H663" s="8"/>
      <c r="I663" s="8"/>
      <c r="J663" s="8"/>
      <c r="K663" s="8"/>
      <c r="L663" s="56"/>
      <c r="M663" s="26"/>
      <c r="N663" s="26"/>
      <c r="O663" s="26"/>
      <c r="P663" s="1"/>
      <c r="Q663" s="1"/>
      <c r="R663" s="8"/>
      <c r="S663" s="1"/>
      <c r="T663" s="8"/>
      <c r="U663" s="1"/>
      <c r="V663" s="1"/>
      <c r="W663" s="1"/>
      <c r="X663" s="1"/>
    </row>
    <row r="664" spans="1:24">
      <c r="A664" s="1"/>
      <c r="B664" s="8"/>
      <c r="C664" s="8"/>
      <c r="D664" s="8"/>
      <c r="E664" s="8"/>
      <c r="F664" s="8"/>
      <c r="G664" s="8"/>
      <c r="H664" s="8"/>
      <c r="I664" s="8"/>
      <c r="J664" s="8"/>
      <c r="K664" s="8"/>
      <c r="L664" s="56"/>
      <c r="M664" s="26"/>
      <c r="N664" s="26"/>
      <c r="O664" s="26"/>
      <c r="P664" s="1"/>
      <c r="Q664" s="1"/>
      <c r="R664" s="8"/>
      <c r="S664" s="1"/>
      <c r="T664" s="8"/>
      <c r="U664" s="1"/>
      <c r="V664" s="1"/>
      <c r="W664" s="1"/>
      <c r="X664" s="1"/>
    </row>
    <row r="665" spans="1:24">
      <c r="A665" s="1"/>
      <c r="B665" s="8"/>
      <c r="C665" s="8"/>
      <c r="D665" s="8"/>
      <c r="E665" s="8"/>
      <c r="F665" s="8"/>
      <c r="G665" s="8"/>
      <c r="H665" s="8"/>
      <c r="I665" s="8"/>
      <c r="J665" s="8"/>
      <c r="K665" s="8"/>
      <c r="L665" s="56"/>
      <c r="M665" s="26"/>
      <c r="N665" s="26"/>
      <c r="O665" s="26"/>
      <c r="P665" s="1"/>
      <c r="Q665" s="1"/>
      <c r="R665" s="8"/>
      <c r="S665" s="1"/>
      <c r="T665" s="8"/>
      <c r="U665" s="1"/>
      <c r="V665" s="1"/>
      <c r="W665" s="1"/>
      <c r="X665" s="1"/>
    </row>
    <row r="666" spans="1:24">
      <c r="A666" s="1"/>
      <c r="B666" s="8"/>
      <c r="C666" s="8"/>
      <c r="D666" s="8"/>
      <c r="E666" s="8"/>
      <c r="F666" s="8"/>
      <c r="G666" s="8"/>
      <c r="H666" s="8"/>
      <c r="I666" s="8"/>
      <c r="J666" s="8"/>
      <c r="K666" s="8"/>
      <c r="L666" s="56"/>
      <c r="M666" s="26"/>
      <c r="N666" s="26"/>
      <c r="O666" s="26"/>
      <c r="P666" s="1"/>
      <c r="Q666" s="1"/>
      <c r="R666" s="8"/>
      <c r="S666" s="1"/>
      <c r="T666" s="8"/>
      <c r="U666" s="1"/>
      <c r="V666" s="1"/>
      <c r="W666" s="1"/>
      <c r="X666" s="1"/>
    </row>
    <row r="667" spans="1:24">
      <c r="A667" s="1"/>
      <c r="B667" s="8"/>
      <c r="C667" s="8"/>
      <c r="D667" s="8"/>
      <c r="E667" s="8"/>
      <c r="F667" s="8"/>
      <c r="G667" s="8"/>
      <c r="H667" s="8"/>
      <c r="I667" s="8"/>
      <c r="J667" s="8"/>
      <c r="K667" s="8"/>
      <c r="L667" s="56"/>
      <c r="M667" s="26"/>
      <c r="N667" s="26"/>
      <c r="O667" s="26"/>
      <c r="P667" s="1"/>
      <c r="Q667" s="1"/>
      <c r="R667" s="8"/>
      <c r="S667" s="1"/>
      <c r="T667" s="8"/>
      <c r="U667" s="1"/>
      <c r="V667" s="1"/>
      <c r="W667" s="1"/>
      <c r="X667" s="1"/>
    </row>
    <row r="668" spans="1:24">
      <c r="A668" s="1"/>
      <c r="B668" s="8"/>
      <c r="C668" s="8"/>
      <c r="D668" s="8"/>
      <c r="E668" s="8"/>
      <c r="F668" s="8"/>
      <c r="G668" s="8"/>
      <c r="H668" s="8"/>
      <c r="I668" s="8"/>
      <c r="J668" s="8"/>
      <c r="K668" s="8"/>
      <c r="L668" s="56"/>
      <c r="M668" s="26"/>
      <c r="N668" s="26"/>
      <c r="O668" s="26"/>
      <c r="P668" s="1"/>
      <c r="Q668" s="1"/>
      <c r="R668" s="8"/>
      <c r="S668" s="1"/>
      <c r="T668" s="8"/>
      <c r="U668" s="1"/>
      <c r="V668" s="1"/>
      <c r="W668" s="1"/>
      <c r="X668" s="1"/>
    </row>
    <row r="669" spans="1:24">
      <c r="A669" s="1"/>
      <c r="B669" s="8"/>
      <c r="C669" s="8"/>
      <c r="D669" s="8"/>
      <c r="E669" s="8"/>
      <c r="F669" s="8"/>
      <c r="G669" s="8"/>
      <c r="H669" s="8"/>
      <c r="I669" s="8"/>
      <c r="J669" s="8"/>
      <c r="K669" s="8"/>
      <c r="L669" s="56"/>
      <c r="M669" s="26"/>
      <c r="N669" s="26"/>
      <c r="O669" s="26"/>
      <c r="P669" s="1"/>
      <c r="Q669" s="1"/>
      <c r="R669" s="8"/>
      <c r="S669" s="1"/>
      <c r="T669" s="8"/>
      <c r="U669" s="1"/>
      <c r="V669" s="1"/>
      <c r="W669" s="1"/>
      <c r="X669" s="1"/>
    </row>
    <row r="670" spans="1:24">
      <c r="A670" s="1"/>
      <c r="B670" s="8"/>
      <c r="C670" s="8"/>
      <c r="D670" s="8"/>
      <c r="E670" s="8"/>
      <c r="F670" s="8"/>
      <c r="G670" s="8"/>
      <c r="H670" s="8"/>
      <c r="I670" s="8"/>
      <c r="J670" s="8"/>
      <c r="K670" s="8"/>
      <c r="L670" s="56"/>
      <c r="M670" s="26"/>
      <c r="N670" s="26"/>
      <c r="O670" s="26"/>
      <c r="P670" s="1"/>
      <c r="Q670" s="1"/>
      <c r="R670" s="8"/>
      <c r="S670" s="1"/>
      <c r="T670" s="8"/>
      <c r="U670" s="1"/>
      <c r="V670" s="1"/>
      <c r="W670" s="1"/>
      <c r="X670" s="1"/>
    </row>
    <row r="671" spans="1:24">
      <c r="A671" s="1"/>
      <c r="B671" s="8"/>
      <c r="C671" s="8"/>
      <c r="D671" s="8"/>
      <c r="E671" s="8"/>
      <c r="F671" s="8"/>
      <c r="G671" s="8"/>
      <c r="H671" s="8"/>
      <c r="I671" s="8"/>
      <c r="J671" s="8"/>
      <c r="K671" s="8"/>
      <c r="L671" s="56"/>
      <c r="M671" s="26"/>
      <c r="N671" s="26"/>
      <c r="O671" s="26"/>
      <c r="P671" s="1"/>
      <c r="Q671" s="1"/>
      <c r="R671" s="8"/>
      <c r="S671" s="1"/>
      <c r="T671" s="8"/>
      <c r="U671" s="1"/>
      <c r="V671" s="1"/>
      <c r="W671" s="1"/>
      <c r="X671" s="1"/>
    </row>
    <row r="672" spans="1:24">
      <c r="A672" s="1"/>
      <c r="B672" s="8"/>
      <c r="C672" s="8"/>
      <c r="D672" s="8"/>
      <c r="E672" s="8"/>
      <c r="F672" s="8"/>
      <c r="G672" s="8"/>
      <c r="H672" s="8"/>
      <c r="I672" s="8"/>
      <c r="J672" s="8"/>
      <c r="K672" s="8"/>
      <c r="L672" s="56"/>
      <c r="M672" s="26"/>
      <c r="N672" s="26"/>
      <c r="O672" s="26"/>
      <c r="P672" s="1"/>
      <c r="Q672" s="1"/>
      <c r="R672" s="8"/>
      <c r="S672" s="1"/>
      <c r="T672" s="8"/>
      <c r="U672" s="1"/>
      <c r="V672" s="1"/>
      <c r="W672" s="1"/>
      <c r="X672" s="1"/>
    </row>
    <row r="673" spans="1:24">
      <c r="A673" s="1"/>
      <c r="B673" s="8"/>
      <c r="C673" s="8"/>
      <c r="D673" s="8"/>
      <c r="E673" s="8"/>
      <c r="F673" s="8"/>
      <c r="G673" s="8"/>
      <c r="H673" s="8"/>
      <c r="I673" s="8"/>
      <c r="J673" s="8"/>
      <c r="K673" s="8"/>
      <c r="L673" s="56"/>
      <c r="M673" s="26"/>
      <c r="N673" s="26"/>
      <c r="O673" s="26"/>
      <c r="P673" s="1"/>
      <c r="Q673" s="1"/>
      <c r="R673" s="8"/>
      <c r="S673" s="1"/>
      <c r="T673" s="8"/>
      <c r="U673" s="1"/>
      <c r="V673" s="1"/>
      <c r="W673" s="1"/>
      <c r="X673" s="1"/>
    </row>
    <row r="674" spans="1:24">
      <c r="A674" s="1"/>
      <c r="B674" s="8"/>
      <c r="C674" s="8"/>
      <c r="D674" s="8"/>
      <c r="E674" s="8"/>
      <c r="F674" s="8"/>
      <c r="G674" s="8"/>
      <c r="H674" s="8"/>
      <c r="I674" s="8"/>
      <c r="J674" s="8"/>
      <c r="K674" s="8"/>
      <c r="L674" s="56"/>
      <c r="M674" s="26"/>
      <c r="N674" s="26"/>
      <c r="O674" s="26"/>
      <c r="P674" s="1"/>
      <c r="Q674" s="1"/>
      <c r="R674" s="8"/>
      <c r="S674" s="1"/>
      <c r="T674" s="8"/>
      <c r="U674" s="1"/>
      <c r="V674" s="1"/>
      <c r="W674" s="1"/>
      <c r="X674" s="1"/>
    </row>
    <row r="675" spans="1:24">
      <c r="A675" s="1"/>
      <c r="B675" s="8"/>
      <c r="C675" s="8"/>
      <c r="D675" s="8"/>
      <c r="E675" s="8"/>
      <c r="F675" s="8"/>
      <c r="G675" s="8"/>
      <c r="H675" s="8"/>
      <c r="I675" s="8"/>
      <c r="J675" s="8"/>
      <c r="K675" s="8"/>
      <c r="L675" s="56"/>
      <c r="M675" s="26"/>
      <c r="N675" s="26"/>
      <c r="O675" s="26"/>
      <c r="P675" s="1"/>
      <c r="Q675" s="1"/>
      <c r="R675" s="8"/>
      <c r="S675" s="1"/>
      <c r="T675" s="8"/>
      <c r="U675" s="1"/>
      <c r="V675" s="1"/>
      <c r="W675" s="1"/>
      <c r="X675" s="1"/>
    </row>
    <row r="676" spans="1:24">
      <c r="A676" s="1"/>
      <c r="B676" s="8"/>
      <c r="C676" s="8"/>
      <c r="D676" s="8"/>
      <c r="E676" s="8"/>
      <c r="F676" s="8"/>
      <c r="G676" s="8"/>
      <c r="H676" s="8"/>
      <c r="I676" s="8"/>
      <c r="J676" s="8"/>
      <c r="K676" s="8"/>
      <c r="L676" s="56"/>
      <c r="M676" s="26"/>
      <c r="N676" s="26"/>
      <c r="O676" s="26"/>
      <c r="P676" s="1"/>
      <c r="Q676" s="1"/>
      <c r="R676" s="8"/>
      <c r="S676" s="1"/>
      <c r="T676" s="8"/>
      <c r="U676" s="1"/>
      <c r="V676" s="1"/>
      <c r="W676" s="1"/>
      <c r="X676" s="1"/>
    </row>
    <row r="677" spans="1:24">
      <c r="A677" s="1"/>
      <c r="B677" s="8"/>
      <c r="C677" s="8"/>
      <c r="D677" s="8"/>
      <c r="E677" s="8"/>
      <c r="F677" s="8"/>
      <c r="G677" s="8"/>
      <c r="H677" s="8"/>
      <c r="I677" s="8"/>
      <c r="J677" s="8"/>
      <c r="K677" s="8"/>
      <c r="L677" s="56"/>
      <c r="M677" s="26"/>
      <c r="N677" s="26"/>
      <c r="O677" s="26"/>
      <c r="P677" s="1"/>
      <c r="Q677" s="1"/>
      <c r="R677" s="8"/>
      <c r="S677" s="1"/>
      <c r="T677" s="8"/>
      <c r="U677" s="1"/>
      <c r="V677" s="1"/>
      <c r="W677" s="1"/>
      <c r="X677" s="1"/>
    </row>
    <row r="678" spans="1:24">
      <c r="A678" s="1"/>
      <c r="B678" s="8"/>
      <c r="C678" s="8"/>
      <c r="D678" s="8"/>
      <c r="E678" s="8"/>
      <c r="F678" s="8"/>
      <c r="G678" s="8"/>
      <c r="H678" s="8"/>
      <c r="I678" s="8"/>
      <c r="J678" s="8"/>
      <c r="K678" s="8"/>
      <c r="L678" s="56"/>
      <c r="M678" s="26"/>
      <c r="N678" s="26"/>
      <c r="O678" s="26"/>
      <c r="P678" s="1"/>
      <c r="Q678" s="1"/>
      <c r="R678" s="8"/>
      <c r="S678" s="1"/>
      <c r="T678" s="8"/>
      <c r="U678" s="1"/>
      <c r="V678" s="1"/>
      <c r="W678" s="1"/>
      <c r="X678" s="1"/>
    </row>
    <row r="679" spans="1:24">
      <c r="A679" s="1"/>
      <c r="B679" s="8"/>
      <c r="C679" s="8"/>
      <c r="D679" s="8"/>
      <c r="E679" s="8"/>
      <c r="F679" s="8"/>
      <c r="G679" s="8"/>
      <c r="H679" s="8"/>
      <c r="I679" s="8"/>
      <c r="J679" s="8"/>
      <c r="K679" s="8"/>
      <c r="L679" s="56"/>
      <c r="M679" s="26"/>
      <c r="N679" s="26"/>
      <c r="O679" s="26"/>
      <c r="P679" s="1"/>
      <c r="Q679" s="1"/>
      <c r="R679" s="8"/>
      <c r="S679" s="1"/>
      <c r="T679" s="8"/>
      <c r="U679" s="1"/>
      <c r="V679" s="1"/>
      <c r="W679" s="1"/>
      <c r="X679" s="1"/>
    </row>
    <row r="680" spans="1:24">
      <c r="A680" s="1"/>
      <c r="B680" s="8"/>
      <c r="C680" s="8"/>
      <c r="D680" s="8"/>
      <c r="E680" s="8"/>
      <c r="F680" s="8"/>
      <c r="G680" s="8"/>
      <c r="H680" s="8"/>
      <c r="I680" s="8"/>
      <c r="J680" s="8"/>
      <c r="K680" s="8"/>
      <c r="L680" s="56"/>
      <c r="M680" s="26"/>
      <c r="N680" s="26"/>
      <c r="O680" s="26"/>
      <c r="P680" s="1"/>
      <c r="Q680" s="1"/>
      <c r="R680" s="8"/>
      <c r="S680" s="1"/>
      <c r="T680" s="8"/>
      <c r="U680" s="1"/>
      <c r="V680" s="1"/>
      <c r="W680" s="1"/>
      <c r="X680" s="1"/>
    </row>
    <row r="681" spans="1:24">
      <c r="A681" s="1"/>
      <c r="B681" s="8"/>
      <c r="C681" s="8"/>
      <c r="D681" s="8"/>
      <c r="E681" s="8"/>
      <c r="F681" s="8"/>
      <c r="G681" s="8"/>
      <c r="H681" s="8"/>
      <c r="I681" s="8"/>
      <c r="J681" s="8"/>
      <c r="K681" s="8"/>
      <c r="L681" s="56"/>
      <c r="M681" s="26"/>
      <c r="N681" s="26"/>
      <c r="O681" s="26"/>
      <c r="P681" s="1"/>
      <c r="Q681" s="1"/>
      <c r="R681" s="8"/>
      <c r="S681" s="1"/>
      <c r="T681" s="8"/>
      <c r="U681" s="1"/>
      <c r="V681" s="1"/>
      <c r="W681" s="1"/>
      <c r="X681" s="1"/>
    </row>
    <row r="682" spans="1:24">
      <c r="A682" s="1"/>
      <c r="B682" s="8"/>
      <c r="C682" s="8"/>
      <c r="D682" s="8"/>
      <c r="E682" s="8"/>
      <c r="F682" s="8"/>
      <c r="G682" s="8"/>
      <c r="H682" s="8"/>
      <c r="I682" s="8"/>
      <c r="J682" s="8"/>
      <c r="K682" s="8"/>
      <c r="L682" s="56"/>
      <c r="M682" s="26"/>
      <c r="N682" s="26"/>
      <c r="O682" s="26"/>
      <c r="P682" s="1"/>
      <c r="Q682" s="1"/>
      <c r="R682" s="8"/>
      <c r="S682" s="1"/>
      <c r="T682" s="8"/>
      <c r="U682" s="1"/>
      <c r="V682" s="1"/>
      <c r="W682" s="1"/>
      <c r="X682" s="1"/>
    </row>
    <row r="683" spans="1:24">
      <c r="A683" s="1"/>
      <c r="B683" s="8"/>
      <c r="C683" s="8"/>
      <c r="D683" s="8"/>
      <c r="E683" s="8"/>
      <c r="F683" s="8"/>
      <c r="G683" s="8"/>
      <c r="H683" s="8"/>
      <c r="I683" s="8"/>
      <c r="J683" s="8"/>
      <c r="K683" s="8"/>
      <c r="L683" s="56"/>
      <c r="M683" s="26"/>
      <c r="N683" s="26"/>
      <c r="O683" s="26"/>
      <c r="P683" s="1"/>
      <c r="Q683" s="1"/>
      <c r="R683" s="8"/>
      <c r="S683" s="1"/>
      <c r="T683" s="8"/>
      <c r="U683" s="1"/>
      <c r="V683" s="1"/>
      <c r="W683" s="1"/>
      <c r="X683" s="1"/>
    </row>
    <row r="684" spans="1:24">
      <c r="A684" s="1"/>
      <c r="B684" s="8"/>
      <c r="C684" s="8"/>
      <c r="D684" s="8"/>
      <c r="E684" s="8"/>
      <c r="F684" s="8"/>
      <c r="G684" s="8"/>
      <c r="H684" s="8"/>
      <c r="I684" s="8"/>
      <c r="J684" s="8"/>
      <c r="K684" s="8"/>
      <c r="L684" s="56"/>
      <c r="M684" s="26"/>
      <c r="N684" s="26"/>
      <c r="O684" s="26"/>
      <c r="P684" s="1"/>
      <c r="Q684" s="1"/>
      <c r="R684" s="8"/>
      <c r="S684" s="1"/>
      <c r="T684" s="8"/>
      <c r="U684" s="1"/>
      <c r="V684" s="1"/>
      <c r="W684" s="1"/>
      <c r="X684" s="1"/>
    </row>
    <row r="685" spans="1:24">
      <c r="A685" s="1"/>
      <c r="B685" s="8"/>
      <c r="C685" s="8"/>
      <c r="D685" s="8"/>
      <c r="E685" s="8"/>
      <c r="F685" s="8"/>
      <c r="G685" s="8"/>
      <c r="H685" s="8"/>
      <c r="I685" s="8"/>
      <c r="J685" s="8"/>
      <c r="K685" s="8"/>
      <c r="L685" s="56"/>
      <c r="M685" s="26"/>
      <c r="N685" s="26"/>
      <c r="O685" s="26"/>
      <c r="P685" s="1"/>
      <c r="Q685" s="1"/>
      <c r="R685" s="8"/>
      <c r="S685" s="1"/>
      <c r="T685" s="8"/>
      <c r="U685" s="1"/>
      <c r="V685" s="1"/>
      <c r="W685" s="1"/>
      <c r="X685" s="1"/>
    </row>
    <row r="686" spans="1:24">
      <c r="A686" s="1"/>
      <c r="B686" s="8"/>
      <c r="C686" s="8"/>
      <c r="D686" s="8"/>
      <c r="E686" s="8"/>
      <c r="F686" s="8"/>
      <c r="G686" s="8"/>
      <c r="H686" s="8"/>
      <c r="I686" s="8"/>
      <c r="J686" s="8"/>
      <c r="K686" s="8"/>
      <c r="L686" s="56"/>
      <c r="M686" s="26"/>
      <c r="N686" s="26"/>
      <c r="O686" s="26"/>
      <c r="P686" s="1"/>
      <c r="Q686" s="1"/>
      <c r="R686" s="8"/>
      <c r="S686" s="1"/>
      <c r="T686" s="8"/>
      <c r="U686" s="1"/>
      <c r="V686" s="1"/>
      <c r="W686" s="1"/>
      <c r="X686" s="1"/>
    </row>
    <row r="687" spans="1:24">
      <c r="A687" s="1"/>
      <c r="B687" s="8"/>
      <c r="C687" s="8"/>
      <c r="D687" s="8"/>
      <c r="E687" s="8"/>
      <c r="F687" s="8"/>
      <c r="G687" s="8"/>
      <c r="H687" s="8"/>
      <c r="I687" s="8"/>
      <c r="J687" s="8"/>
      <c r="K687" s="8"/>
      <c r="L687" s="56"/>
      <c r="M687" s="26"/>
      <c r="N687" s="26"/>
      <c r="O687" s="26"/>
      <c r="P687" s="1"/>
      <c r="Q687" s="1"/>
      <c r="R687" s="8"/>
      <c r="S687" s="1"/>
      <c r="T687" s="8"/>
      <c r="U687" s="1"/>
      <c r="V687" s="1"/>
      <c r="W687" s="1"/>
      <c r="X687" s="1"/>
    </row>
    <row r="688" spans="1:24">
      <c r="A688" s="1"/>
      <c r="B688" s="8"/>
      <c r="C688" s="8"/>
      <c r="D688" s="8"/>
      <c r="E688" s="8"/>
      <c r="F688" s="8"/>
      <c r="G688" s="8"/>
      <c r="H688" s="8"/>
      <c r="I688" s="8"/>
      <c r="J688" s="8"/>
      <c r="K688" s="8"/>
      <c r="L688" s="56"/>
      <c r="M688" s="26"/>
      <c r="N688" s="26"/>
      <c r="O688" s="26"/>
      <c r="P688" s="1"/>
      <c r="Q688" s="1"/>
      <c r="R688" s="8"/>
      <c r="S688" s="1"/>
      <c r="T688" s="8"/>
      <c r="U688" s="1"/>
      <c r="V688" s="1"/>
      <c r="W688" s="1"/>
      <c r="X688" s="1"/>
    </row>
    <row r="689" spans="1:24">
      <c r="A689" s="1"/>
      <c r="B689" s="8"/>
      <c r="C689" s="8"/>
      <c r="D689" s="8"/>
      <c r="E689" s="8"/>
      <c r="F689" s="8"/>
      <c r="G689" s="8"/>
      <c r="H689" s="8"/>
      <c r="I689" s="8"/>
      <c r="J689" s="8"/>
      <c r="K689" s="8"/>
      <c r="L689" s="56"/>
      <c r="M689" s="26"/>
      <c r="N689" s="26"/>
      <c r="O689" s="26"/>
      <c r="P689" s="1"/>
      <c r="Q689" s="1"/>
      <c r="R689" s="8"/>
      <c r="S689" s="1"/>
      <c r="T689" s="8"/>
      <c r="U689" s="1"/>
      <c r="V689" s="1"/>
      <c r="W689" s="1"/>
      <c r="X689" s="1"/>
    </row>
    <row r="690" spans="1:24">
      <c r="A690" s="1"/>
      <c r="B690" s="8"/>
      <c r="C690" s="8"/>
      <c r="D690" s="8"/>
      <c r="E690" s="8"/>
      <c r="F690" s="8"/>
      <c r="G690" s="8"/>
      <c r="H690" s="8"/>
      <c r="I690" s="8"/>
      <c r="J690" s="8"/>
      <c r="K690" s="8"/>
      <c r="L690" s="56"/>
      <c r="M690" s="26"/>
      <c r="N690" s="26"/>
      <c r="O690" s="26"/>
      <c r="P690" s="1"/>
      <c r="Q690" s="1"/>
      <c r="R690" s="8"/>
      <c r="S690" s="1"/>
      <c r="T690" s="8"/>
      <c r="U690" s="1"/>
      <c r="V690" s="1"/>
      <c r="W690" s="1"/>
      <c r="X690" s="1"/>
    </row>
    <row r="691" spans="1:24">
      <c r="A691" s="1"/>
      <c r="B691" s="8"/>
      <c r="C691" s="8"/>
      <c r="D691" s="8"/>
      <c r="E691" s="8"/>
      <c r="F691" s="8"/>
      <c r="G691" s="8"/>
      <c r="H691" s="8"/>
      <c r="I691" s="8"/>
      <c r="J691" s="8"/>
      <c r="K691" s="8"/>
      <c r="L691" s="56"/>
      <c r="M691" s="26"/>
      <c r="N691" s="26"/>
      <c r="O691" s="26"/>
      <c r="P691" s="1"/>
      <c r="Q691" s="1"/>
      <c r="R691" s="8"/>
      <c r="S691" s="1"/>
      <c r="T691" s="8"/>
      <c r="U691" s="1"/>
      <c r="V691" s="1"/>
      <c r="W691" s="1"/>
      <c r="X691" s="1"/>
    </row>
    <row r="692" spans="1:24">
      <c r="A692" s="1"/>
      <c r="B692" s="8"/>
      <c r="C692" s="8"/>
      <c r="D692" s="8"/>
      <c r="E692" s="8"/>
      <c r="F692" s="8"/>
      <c r="G692" s="8"/>
      <c r="H692" s="8"/>
      <c r="I692" s="8"/>
      <c r="J692" s="8"/>
      <c r="K692" s="8"/>
      <c r="L692" s="56"/>
      <c r="M692" s="26"/>
      <c r="N692" s="26"/>
      <c r="O692" s="26"/>
      <c r="P692" s="1"/>
      <c r="Q692" s="1"/>
      <c r="R692" s="8"/>
      <c r="S692" s="1"/>
      <c r="T692" s="8"/>
      <c r="U692" s="1"/>
      <c r="V692" s="1"/>
      <c r="W692" s="1"/>
      <c r="X692" s="1"/>
    </row>
    <row r="693" spans="1:24">
      <c r="A693" s="1"/>
      <c r="B693" s="8"/>
      <c r="C693" s="8"/>
      <c r="D693" s="8"/>
      <c r="E693" s="8"/>
      <c r="F693" s="8"/>
      <c r="G693" s="8"/>
      <c r="H693" s="8"/>
      <c r="I693" s="8"/>
      <c r="J693" s="8"/>
      <c r="K693" s="8"/>
      <c r="L693" s="56"/>
      <c r="M693" s="26"/>
      <c r="N693" s="26"/>
      <c r="O693" s="26"/>
      <c r="P693" s="1"/>
      <c r="Q693" s="1"/>
      <c r="R693" s="8"/>
      <c r="S693" s="1"/>
      <c r="T693" s="8"/>
      <c r="U693" s="1"/>
      <c r="V693" s="1"/>
      <c r="W693" s="1"/>
      <c r="X693" s="1"/>
    </row>
    <row r="694" spans="1:24">
      <c r="A694" s="1"/>
      <c r="B694" s="8"/>
      <c r="C694" s="8"/>
      <c r="D694" s="8"/>
      <c r="E694" s="8"/>
      <c r="F694" s="8"/>
      <c r="G694" s="8"/>
      <c r="H694" s="8"/>
      <c r="I694" s="8"/>
      <c r="J694" s="8"/>
      <c r="K694" s="8"/>
      <c r="L694" s="56"/>
      <c r="M694" s="26"/>
      <c r="N694" s="26"/>
      <c r="O694" s="26"/>
      <c r="P694" s="1"/>
      <c r="Q694" s="1"/>
      <c r="R694" s="8"/>
      <c r="S694" s="1"/>
      <c r="T694" s="8"/>
      <c r="U694" s="1"/>
      <c r="V694" s="1"/>
      <c r="W694" s="1"/>
      <c r="X694" s="1"/>
    </row>
    <row r="695" spans="1:24">
      <c r="A695" s="1"/>
      <c r="B695" s="8"/>
      <c r="C695" s="8"/>
      <c r="D695" s="8"/>
      <c r="E695" s="8"/>
      <c r="F695" s="8"/>
      <c r="G695" s="8"/>
      <c r="H695" s="8"/>
      <c r="I695" s="8"/>
      <c r="J695" s="8"/>
      <c r="K695" s="8"/>
      <c r="L695" s="56"/>
      <c r="M695" s="26"/>
      <c r="N695" s="26"/>
      <c r="O695" s="26"/>
      <c r="P695" s="1"/>
      <c r="Q695" s="1"/>
      <c r="R695" s="8"/>
      <c r="S695" s="1"/>
      <c r="T695" s="8"/>
      <c r="U695" s="1"/>
      <c r="V695" s="1"/>
      <c r="W695" s="1"/>
      <c r="X695" s="1"/>
    </row>
    <row r="696" spans="1:24">
      <c r="A696" s="1"/>
      <c r="B696" s="8"/>
      <c r="C696" s="8"/>
      <c r="D696" s="8"/>
      <c r="E696" s="8"/>
      <c r="F696" s="8"/>
      <c r="G696" s="8"/>
      <c r="H696" s="8"/>
      <c r="I696" s="8"/>
      <c r="J696" s="8"/>
      <c r="K696" s="8"/>
      <c r="L696" s="56"/>
      <c r="M696" s="26"/>
      <c r="N696" s="26"/>
      <c r="O696" s="26"/>
      <c r="P696" s="1"/>
      <c r="Q696" s="1"/>
      <c r="R696" s="8"/>
      <c r="S696" s="1"/>
      <c r="T696" s="8"/>
      <c r="U696" s="1"/>
      <c r="V696" s="1"/>
      <c r="W696" s="1"/>
      <c r="X696" s="1"/>
    </row>
    <row r="697" spans="1:24">
      <c r="A697" s="1"/>
      <c r="B697" s="8"/>
      <c r="C697" s="8"/>
      <c r="D697" s="8"/>
      <c r="E697" s="8"/>
      <c r="F697" s="8"/>
      <c r="G697" s="8"/>
      <c r="H697" s="8"/>
      <c r="I697" s="8"/>
      <c r="J697" s="8"/>
      <c r="K697" s="8"/>
      <c r="L697" s="56"/>
      <c r="M697" s="26"/>
      <c r="N697" s="26"/>
      <c r="O697" s="26"/>
      <c r="P697" s="1"/>
      <c r="Q697" s="1"/>
      <c r="R697" s="8"/>
      <c r="S697" s="1"/>
      <c r="T697" s="8"/>
      <c r="U697" s="1"/>
      <c r="V697" s="1"/>
      <c r="W697" s="1"/>
      <c r="X697" s="1"/>
    </row>
    <row r="698" spans="1:24">
      <c r="A698" s="1"/>
      <c r="B698" s="8"/>
      <c r="C698" s="8"/>
      <c r="D698" s="8"/>
      <c r="E698" s="8"/>
      <c r="F698" s="8"/>
      <c r="G698" s="8"/>
      <c r="H698" s="8"/>
      <c r="I698" s="8"/>
      <c r="J698" s="8"/>
      <c r="K698" s="8"/>
      <c r="L698" s="56"/>
      <c r="M698" s="26"/>
      <c r="N698" s="26"/>
      <c r="O698" s="26"/>
      <c r="P698" s="1"/>
      <c r="Q698" s="1"/>
      <c r="R698" s="8"/>
      <c r="S698" s="1"/>
      <c r="T698" s="8"/>
      <c r="U698" s="1"/>
      <c r="V698" s="1"/>
      <c r="W698" s="1"/>
      <c r="X698" s="1"/>
    </row>
    <row r="699" spans="1:24">
      <c r="A699" s="1"/>
      <c r="B699" s="8"/>
      <c r="C699" s="8"/>
      <c r="D699" s="8"/>
      <c r="E699" s="8"/>
      <c r="F699" s="8"/>
      <c r="G699" s="8"/>
      <c r="H699" s="8"/>
      <c r="I699" s="8"/>
      <c r="J699" s="8"/>
      <c r="K699" s="8"/>
      <c r="L699" s="56"/>
      <c r="M699" s="26"/>
      <c r="N699" s="26"/>
      <c r="O699" s="26"/>
      <c r="P699" s="1"/>
      <c r="Q699" s="1"/>
      <c r="R699" s="8"/>
      <c r="S699" s="1"/>
      <c r="T699" s="8"/>
      <c r="U699" s="1"/>
      <c r="V699" s="1"/>
      <c r="W699" s="1"/>
      <c r="X699" s="1"/>
    </row>
    <row r="700" spans="1:24">
      <c r="A700" s="1"/>
      <c r="B700" s="8"/>
      <c r="C700" s="8"/>
      <c r="D700" s="8"/>
      <c r="E700" s="8"/>
      <c r="F700" s="8"/>
      <c r="G700" s="8"/>
      <c r="H700" s="8"/>
      <c r="I700" s="8"/>
      <c r="J700" s="8"/>
      <c r="K700" s="8"/>
      <c r="L700" s="56"/>
      <c r="M700" s="26"/>
      <c r="N700" s="26"/>
      <c r="O700" s="26"/>
      <c r="P700" s="1"/>
      <c r="Q700" s="1"/>
      <c r="R700" s="8"/>
      <c r="S700" s="1"/>
      <c r="T700" s="8"/>
      <c r="U700" s="1"/>
      <c r="V700" s="1"/>
      <c r="W700" s="1"/>
      <c r="X700" s="1"/>
    </row>
    <row r="701" spans="1:24">
      <c r="A701" s="1"/>
      <c r="B701" s="8"/>
      <c r="C701" s="8"/>
      <c r="D701" s="8"/>
      <c r="E701" s="8"/>
      <c r="F701" s="8"/>
      <c r="G701" s="8"/>
      <c r="H701" s="8"/>
      <c r="I701" s="8"/>
      <c r="J701" s="8"/>
      <c r="K701" s="8"/>
      <c r="L701" s="56"/>
      <c r="M701" s="26"/>
      <c r="N701" s="26"/>
      <c r="O701" s="26"/>
      <c r="P701" s="1"/>
      <c r="Q701" s="1"/>
      <c r="R701" s="8"/>
      <c r="S701" s="1"/>
      <c r="T701" s="8"/>
      <c r="U701" s="1"/>
      <c r="V701" s="1"/>
      <c r="W701" s="1"/>
      <c r="X701" s="1"/>
    </row>
    <row r="702" spans="1:24">
      <c r="A702" s="1"/>
      <c r="B702" s="8"/>
      <c r="C702" s="8"/>
      <c r="D702" s="8"/>
      <c r="E702" s="8"/>
      <c r="F702" s="8"/>
      <c r="G702" s="8"/>
      <c r="H702" s="8"/>
      <c r="I702" s="8"/>
      <c r="J702" s="8"/>
      <c r="K702" s="8"/>
      <c r="L702" s="56"/>
      <c r="M702" s="26"/>
      <c r="N702" s="26"/>
      <c r="O702" s="26"/>
      <c r="P702" s="1"/>
      <c r="Q702" s="1"/>
      <c r="R702" s="8"/>
      <c r="S702" s="1"/>
      <c r="T702" s="8"/>
      <c r="U702" s="1"/>
      <c r="V702" s="1"/>
      <c r="W702" s="1"/>
      <c r="X702" s="1"/>
    </row>
    <row r="703" spans="1:24">
      <c r="A703" s="1"/>
      <c r="B703" s="8"/>
      <c r="C703" s="8"/>
      <c r="D703" s="8"/>
      <c r="E703" s="8"/>
      <c r="F703" s="8"/>
      <c r="G703" s="8"/>
      <c r="H703" s="8"/>
      <c r="I703" s="8"/>
      <c r="J703" s="8"/>
      <c r="K703" s="8"/>
      <c r="L703" s="56"/>
      <c r="M703" s="26"/>
      <c r="N703" s="26"/>
      <c r="O703" s="26"/>
      <c r="P703" s="1"/>
      <c r="Q703" s="1"/>
      <c r="R703" s="8"/>
      <c r="S703" s="1"/>
      <c r="T703" s="8"/>
      <c r="U703" s="1"/>
      <c r="V703" s="1"/>
      <c r="W703" s="1"/>
      <c r="X703" s="1"/>
    </row>
    <row r="704" spans="1:24">
      <c r="A704" s="1"/>
      <c r="B704" s="8"/>
      <c r="C704" s="8"/>
      <c r="D704" s="8"/>
      <c r="E704" s="8"/>
      <c r="F704" s="8"/>
      <c r="G704" s="8"/>
      <c r="H704" s="8"/>
      <c r="I704" s="8"/>
      <c r="J704" s="8"/>
      <c r="K704" s="8"/>
      <c r="L704" s="56"/>
      <c r="M704" s="26"/>
      <c r="N704" s="26"/>
      <c r="O704" s="26"/>
      <c r="P704" s="1"/>
      <c r="Q704" s="1"/>
      <c r="R704" s="8"/>
      <c r="S704" s="1"/>
      <c r="T704" s="8"/>
      <c r="U704" s="1"/>
      <c r="V704" s="1"/>
      <c r="W704" s="1"/>
      <c r="X704" s="1"/>
    </row>
    <row r="705" spans="1:24">
      <c r="A705" s="1"/>
      <c r="B705" s="8"/>
      <c r="C705" s="8"/>
      <c r="D705" s="8"/>
      <c r="E705" s="8"/>
      <c r="F705" s="8"/>
      <c r="G705" s="8"/>
      <c r="H705" s="8"/>
      <c r="I705" s="8"/>
      <c r="J705" s="8"/>
      <c r="K705" s="8"/>
      <c r="L705" s="56"/>
      <c r="M705" s="26"/>
      <c r="N705" s="26"/>
      <c r="O705" s="26"/>
      <c r="P705" s="1"/>
      <c r="Q705" s="1"/>
      <c r="R705" s="8"/>
      <c r="S705" s="1"/>
      <c r="T705" s="8"/>
      <c r="U705" s="1"/>
      <c r="V705" s="1"/>
      <c r="W705" s="1"/>
      <c r="X705" s="1"/>
    </row>
    <row r="706" spans="1:24">
      <c r="A706" s="1"/>
      <c r="B706" s="8"/>
      <c r="C706" s="8"/>
      <c r="D706" s="8"/>
      <c r="E706" s="8"/>
      <c r="F706" s="8"/>
      <c r="G706" s="8"/>
      <c r="H706" s="8"/>
      <c r="I706" s="8"/>
      <c r="J706" s="8"/>
      <c r="K706" s="8"/>
      <c r="L706" s="56"/>
      <c r="M706" s="26"/>
      <c r="N706" s="26"/>
      <c r="O706" s="26"/>
      <c r="P706" s="1"/>
      <c r="Q706" s="1"/>
      <c r="R706" s="8"/>
      <c r="S706" s="1"/>
      <c r="T706" s="8"/>
      <c r="U706" s="1"/>
      <c r="V706" s="1"/>
      <c r="W706" s="1"/>
      <c r="X706" s="1"/>
    </row>
    <row r="707" spans="1:24">
      <c r="A707" s="1"/>
      <c r="B707" s="8"/>
      <c r="C707" s="8"/>
      <c r="D707" s="8"/>
      <c r="E707" s="8"/>
      <c r="F707" s="8"/>
      <c r="G707" s="8"/>
      <c r="H707" s="8"/>
      <c r="I707" s="8"/>
      <c r="J707" s="8"/>
      <c r="K707" s="8"/>
      <c r="L707" s="56"/>
      <c r="M707" s="26"/>
      <c r="N707" s="26"/>
      <c r="O707" s="26"/>
      <c r="P707" s="1"/>
      <c r="Q707" s="1"/>
      <c r="R707" s="8"/>
      <c r="S707" s="1"/>
      <c r="T707" s="8"/>
      <c r="U707" s="1"/>
      <c r="V707" s="1"/>
      <c r="W707" s="1"/>
      <c r="X707" s="1"/>
    </row>
    <row r="708" spans="1:24">
      <c r="A708" s="1"/>
      <c r="B708" s="8"/>
      <c r="C708" s="8"/>
      <c r="D708" s="8"/>
      <c r="E708" s="8"/>
      <c r="F708" s="8"/>
      <c r="G708" s="8"/>
      <c r="H708" s="8"/>
      <c r="I708" s="8"/>
      <c r="J708" s="8"/>
      <c r="K708" s="8"/>
      <c r="L708" s="56"/>
      <c r="M708" s="26"/>
      <c r="N708" s="26"/>
      <c r="O708" s="26"/>
      <c r="P708" s="1"/>
      <c r="Q708" s="1"/>
      <c r="R708" s="8"/>
      <c r="S708" s="1"/>
      <c r="T708" s="8"/>
      <c r="U708" s="1"/>
      <c r="V708" s="1"/>
      <c r="W708" s="1"/>
      <c r="X708" s="1"/>
    </row>
    <row r="709" spans="1:24">
      <c r="A709" s="1"/>
      <c r="B709" s="8"/>
      <c r="C709" s="8"/>
      <c r="D709" s="8"/>
      <c r="E709" s="8"/>
      <c r="F709" s="8"/>
      <c r="G709" s="8"/>
      <c r="H709" s="8"/>
      <c r="I709" s="8"/>
      <c r="J709" s="8"/>
      <c r="K709" s="8"/>
      <c r="L709" s="56"/>
      <c r="M709" s="26"/>
      <c r="N709" s="26"/>
      <c r="O709" s="26"/>
      <c r="P709" s="1"/>
      <c r="Q709" s="1"/>
      <c r="R709" s="8"/>
      <c r="S709" s="1"/>
      <c r="T709" s="8"/>
      <c r="U709" s="1"/>
      <c r="V709" s="1"/>
      <c r="W709" s="1"/>
      <c r="X709" s="1"/>
    </row>
    <row r="710" spans="1:24">
      <c r="A710" s="1"/>
      <c r="B710" s="8"/>
      <c r="C710" s="8"/>
      <c r="D710" s="8"/>
      <c r="E710" s="8"/>
      <c r="F710" s="8"/>
      <c r="G710" s="8"/>
      <c r="H710" s="8"/>
      <c r="I710" s="8"/>
      <c r="J710" s="8"/>
      <c r="K710" s="8"/>
      <c r="L710" s="56"/>
      <c r="M710" s="26"/>
      <c r="N710" s="26"/>
      <c r="O710" s="26"/>
      <c r="P710" s="1"/>
      <c r="Q710" s="1"/>
      <c r="R710" s="8"/>
      <c r="S710" s="1"/>
      <c r="T710" s="8"/>
      <c r="U710" s="1"/>
      <c r="V710" s="1"/>
      <c r="W710" s="1"/>
      <c r="X710" s="1"/>
    </row>
    <row r="711" spans="1:24">
      <c r="A711" s="1"/>
      <c r="B711" s="8"/>
      <c r="C711" s="8"/>
      <c r="D711" s="8"/>
      <c r="E711" s="8"/>
      <c r="F711" s="8"/>
      <c r="G711" s="8"/>
      <c r="H711" s="8"/>
      <c r="I711" s="8"/>
      <c r="J711" s="8"/>
      <c r="K711" s="8"/>
      <c r="L711" s="56"/>
      <c r="M711" s="26"/>
      <c r="N711" s="26"/>
      <c r="O711" s="26"/>
      <c r="P711" s="1"/>
      <c r="Q711" s="1"/>
      <c r="R711" s="8"/>
      <c r="S711" s="1"/>
      <c r="T711" s="8"/>
      <c r="U711" s="1"/>
      <c r="V711" s="1"/>
      <c r="W711" s="1"/>
      <c r="X711" s="1"/>
    </row>
    <row r="712" spans="1:24">
      <c r="A712" s="1"/>
      <c r="B712" s="8"/>
      <c r="C712" s="8"/>
      <c r="D712" s="8"/>
      <c r="E712" s="8"/>
      <c r="F712" s="8"/>
      <c r="G712" s="8"/>
      <c r="H712" s="8"/>
      <c r="I712" s="8"/>
      <c r="J712" s="8"/>
      <c r="K712" s="8"/>
      <c r="L712" s="56"/>
      <c r="M712" s="26"/>
      <c r="N712" s="26"/>
      <c r="O712" s="26"/>
      <c r="P712" s="1"/>
      <c r="Q712" s="1"/>
      <c r="R712" s="8"/>
      <c r="S712" s="1"/>
      <c r="T712" s="8"/>
      <c r="U712" s="1"/>
      <c r="V712" s="1"/>
      <c r="W712" s="1"/>
      <c r="X712" s="1"/>
    </row>
    <row r="713" spans="1:24">
      <c r="A713" s="1"/>
      <c r="B713" s="8"/>
      <c r="C713" s="8"/>
      <c r="D713" s="8"/>
      <c r="E713" s="8"/>
      <c r="F713" s="8"/>
      <c r="G713" s="8"/>
      <c r="H713" s="8"/>
      <c r="I713" s="8"/>
      <c r="J713" s="8"/>
      <c r="K713" s="8"/>
      <c r="L713" s="56"/>
      <c r="M713" s="26"/>
      <c r="N713" s="26"/>
      <c r="O713" s="26"/>
      <c r="P713" s="1"/>
      <c r="Q713" s="1"/>
      <c r="R713" s="8"/>
      <c r="S713" s="1"/>
      <c r="T713" s="8"/>
      <c r="U713" s="1"/>
      <c r="V713" s="1"/>
      <c r="W713" s="1"/>
      <c r="X713" s="1"/>
    </row>
    <row r="714" spans="1:24">
      <c r="A714" s="1"/>
      <c r="B714" s="8"/>
      <c r="C714" s="8"/>
      <c r="D714" s="8"/>
      <c r="E714" s="8"/>
      <c r="F714" s="8"/>
      <c r="G714" s="8"/>
      <c r="H714" s="8"/>
      <c r="I714" s="8"/>
      <c r="J714" s="8"/>
      <c r="K714" s="8"/>
      <c r="L714" s="56"/>
      <c r="M714" s="26"/>
      <c r="N714" s="26"/>
      <c r="O714" s="26"/>
      <c r="P714" s="1"/>
      <c r="Q714" s="1"/>
      <c r="R714" s="8"/>
      <c r="S714" s="1"/>
      <c r="T714" s="8"/>
      <c r="U714" s="1"/>
      <c r="V714" s="1"/>
      <c r="W714" s="1"/>
      <c r="X714" s="1"/>
    </row>
    <row r="715" spans="1:24">
      <c r="A715" s="1"/>
      <c r="B715" s="8"/>
      <c r="C715" s="8"/>
      <c r="D715" s="8"/>
      <c r="E715" s="8"/>
      <c r="F715" s="8"/>
      <c r="G715" s="8"/>
      <c r="H715" s="8"/>
      <c r="I715" s="8"/>
      <c r="J715" s="8"/>
      <c r="K715" s="8"/>
      <c r="L715" s="56"/>
      <c r="M715" s="26"/>
      <c r="N715" s="26"/>
      <c r="O715" s="26"/>
      <c r="P715" s="1"/>
      <c r="Q715" s="1"/>
      <c r="R715" s="8"/>
      <c r="S715" s="1"/>
      <c r="T715" s="8"/>
      <c r="U715" s="1"/>
      <c r="V715" s="1"/>
      <c r="W715" s="1"/>
      <c r="X715" s="1"/>
    </row>
    <row r="716" spans="1:24">
      <c r="A716" s="1"/>
      <c r="B716" s="8"/>
      <c r="C716" s="8"/>
      <c r="D716" s="8"/>
      <c r="E716" s="8"/>
      <c r="F716" s="8"/>
      <c r="G716" s="8"/>
      <c r="H716" s="8"/>
      <c r="I716" s="8"/>
      <c r="J716" s="8"/>
      <c r="K716" s="8"/>
      <c r="L716" s="56"/>
      <c r="M716" s="26"/>
      <c r="N716" s="26"/>
      <c r="O716" s="26"/>
      <c r="P716" s="1"/>
      <c r="Q716" s="1"/>
      <c r="R716" s="8"/>
      <c r="S716" s="1"/>
      <c r="T716" s="8"/>
      <c r="U716" s="1"/>
      <c r="V716" s="1"/>
      <c r="W716" s="1"/>
      <c r="X716" s="1"/>
    </row>
    <row r="717" spans="1:24">
      <c r="A717" s="1"/>
      <c r="B717" s="8"/>
      <c r="C717" s="8"/>
      <c r="D717" s="8"/>
      <c r="E717" s="8"/>
      <c r="F717" s="8"/>
      <c r="G717" s="8"/>
      <c r="H717" s="8"/>
      <c r="I717" s="8"/>
      <c r="J717" s="8"/>
      <c r="K717" s="8"/>
      <c r="L717" s="56"/>
      <c r="M717" s="26"/>
      <c r="N717" s="26"/>
      <c r="O717" s="26"/>
      <c r="P717" s="1"/>
      <c r="Q717" s="1"/>
      <c r="R717" s="8"/>
      <c r="S717" s="1"/>
      <c r="T717" s="8"/>
      <c r="U717" s="1"/>
      <c r="V717" s="1"/>
      <c r="W717" s="1"/>
      <c r="X717" s="1"/>
    </row>
    <row r="718" spans="1:24">
      <c r="A718" s="1"/>
      <c r="B718" s="8"/>
      <c r="C718" s="8"/>
      <c r="D718" s="8"/>
      <c r="E718" s="8"/>
      <c r="F718" s="8"/>
      <c r="G718" s="8"/>
      <c r="H718" s="8"/>
      <c r="I718" s="8"/>
      <c r="J718" s="8"/>
      <c r="K718" s="8"/>
      <c r="L718" s="56"/>
      <c r="M718" s="26"/>
      <c r="N718" s="26"/>
      <c r="O718" s="26"/>
      <c r="P718" s="1"/>
      <c r="Q718" s="1"/>
      <c r="R718" s="8"/>
      <c r="S718" s="1"/>
      <c r="T718" s="8"/>
      <c r="U718" s="1"/>
      <c r="V718" s="1"/>
      <c r="W718" s="1"/>
      <c r="X718" s="1"/>
    </row>
    <row r="719" spans="1:24">
      <c r="A719" s="1"/>
      <c r="B719" s="8"/>
      <c r="C719" s="8"/>
      <c r="D719" s="8"/>
      <c r="E719" s="8"/>
      <c r="F719" s="8"/>
      <c r="G719" s="8"/>
      <c r="H719" s="8"/>
      <c r="I719" s="8"/>
      <c r="J719" s="8"/>
      <c r="K719" s="8"/>
      <c r="L719" s="56"/>
      <c r="M719" s="26"/>
      <c r="N719" s="26"/>
      <c r="O719" s="26"/>
      <c r="P719" s="1"/>
      <c r="Q719" s="1"/>
      <c r="R719" s="8"/>
      <c r="S719" s="1"/>
      <c r="T719" s="8"/>
      <c r="U719" s="1"/>
      <c r="V719" s="1"/>
      <c r="W719" s="1"/>
      <c r="X719" s="1"/>
    </row>
    <row r="720" spans="1:24">
      <c r="A720" s="1"/>
      <c r="B720" s="8"/>
      <c r="C720" s="8"/>
      <c r="D720" s="8"/>
      <c r="E720" s="8"/>
      <c r="F720" s="8"/>
      <c r="G720" s="8"/>
      <c r="H720" s="8"/>
      <c r="I720" s="8"/>
      <c r="J720" s="8"/>
      <c r="K720" s="8"/>
      <c r="L720" s="56"/>
      <c r="M720" s="26"/>
      <c r="N720" s="26"/>
      <c r="O720" s="26"/>
      <c r="P720" s="1"/>
      <c r="Q720" s="1"/>
      <c r="R720" s="8"/>
      <c r="S720" s="1"/>
      <c r="T720" s="8"/>
      <c r="U720" s="1"/>
      <c r="V720" s="1"/>
      <c r="W720" s="1"/>
      <c r="X720" s="1"/>
    </row>
    <row r="721" spans="1:24">
      <c r="A721" s="1"/>
      <c r="B721" s="8"/>
      <c r="C721" s="8"/>
      <c r="D721" s="8"/>
      <c r="E721" s="8"/>
      <c r="F721" s="8"/>
      <c r="G721" s="8"/>
      <c r="H721" s="8"/>
      <c r="I721" s="8"/>
      <c r="J721" s="8"/>
      <c r="K721" s="8"/>
      <c r="L721" s="56"/>
      <c r="M721" s="26"/>
      <c r="N721" s="26"/>
      <c r="O721" s="26"/>
      <c r="P721" s="1"/>
      <c r="Q721" s="1"/>
      <c r="R721" s="8"/>
      <c r="S721" s="1"/>
      <c r="T721" s="8"/>
      <c r="U721" s="1"/>
      <c r="V721" s="1"/>
      <c r="W721" s="1"/>
      <c r="X721" s="1"/>
    </row>
    <row r="722" spans="1:24">
      <c r="A722" s="1"/>
      <c r="B722" s="8"/>
      <c r="C722" s="8"/>
      <c r="D722" s="8"/>
      <c r="E722" s="8"/>
      <c r="F722" s="8"/>
      <c r="G722" s="8"/>
      <c r="H722" s="8"/>
      <c r="I722" s="8"/>
      <c r="J722" s="8"/>
      <c r="K722" s="8"/>
      <c r="L722" s="56"/>
      <c r="M722" s="26"/>
      <c r="N722" s="26"/>
      <c r="O722" s="26"/>
      <c r="P722" s="1"/>
      <c r="Q722" s="1"/>
      <c r="R722" s="8"/>
      <c r="S722" s="1"/>
      <c r="T722" s="8"/>
      <c r="U722" s="1"/>
      <c r="V722" s="1"/>
      <c r="W722" s="1"/>
      <c r="X722" s="1"/>
    </row>
    <row r="723" spans="1:24">
      <c r="A723" s="1"/>
      <c r="B723" s="8"/>
      <c r="C723" s="8"/>
      <c r="D723" s="8"/>
      <c r="E723" s="8"/>
      <c r="F723" s="8"/>
      <c r="G723" s="8"/>
      <c r="H723" s="8"/>
      <c r="I723" s="8"/>
      <c r="J723" s="8"/>
      <c r="K723" s="8"/>
      <c r="L723" s="56"/>
      <c r="M723" s="26"/>
      <c r="N723" s="26"/>
      <c r="O723" s="26"/>
      <c r="P723" s="1"/>
      <c r="Q723" s="1"/>
      <c r="R723" s="8"/>
      <c r="S723" s="1"/>
      <c r="T723" s="8"/>
      <c r="U723" s="1"/>
      <c r="V723" s="1"/>
      <c r="W723" s="1"/>
      <c r="X723" s="1"/>
    </row>
    <row r="724" spans="1:24">
      <c r="A724" s="1"/>
      <c r="B724" s="8"/>
      <c r="C724" s="8"/>
      <c r="D724" s="8"/>
      <c r="E724" s="8"/>
      <c r="F724" s="8"/>
      <c r="G724" s="8"/>
      <c r="H724" s="8"/>
      <c r="I724" s="8"/>
      <c r="J724" s="8"/>
      <c r="K724" s="8"/>
      <c r="L724" s="56"/>
      <c r="M724" s="26"/>
      <c r="N724" s="26"/>
      <c r="O724" s="26"/>
      <c r="P724" s="1"/>
      <c r="Q724" s="1"/>
      <c r="R724" s="8"/>
      <c r="S724" s="1"/>
      <c r="T724" s="8"/>
      <c r="U724" s="1"/>
      <c r="V724" s="1"/>
      <c r="W724" s="1"/>
      <c r="X724" s="1"/>
    </row>
    <row r="725" spans="1:24">
      <c r="A725" s="1"/>
      <c r="B725" s="8"/>
      <c r="C725" s="8"/>
      <c r="D725" s="8"/>
      <c r="E725" s="8"/>
      <c r="F725" s="8"/>
      <c r="G725" s="8"/>
      <c r="H725" s="8"/>
      <c r="I725" s="8"/>
      <c r="J725" s="8"/>
      <c r="K725" s="8"/>
      <c r="L725" s="56"/>
      <c r="M725" s="26"/>
      <c r="N725" s="26"/>
      <c r="O725" s="26"/>
      <c r="P725" s="1"/>
      <c r="Q725" s="1"/>
      <c r="R725" s="8"/>
      <c r="S725" s="1"/>
      <c r="T725" s="8"/>
      <c r="U725" s="1"/>
      <c r="V725" s="1"/>
      <c r="W725" s="1"/>
      <c r="X725" s="1"/>
    </row>
    <row r="726" spans="1:24">
      <c r="A726" s="1"/>
      <c r="B726" s="8"/>
      <c r="C726" s="8"/>
      <c r="D726" s="8"/>
      <c r="E726" s="8"/>
      <c r="F726" s="8"/>
      <c r="G726" s="8"/>
      <c r="H726" s="8"/>
      <c r="I726" s="8"/>
      <c r="J726" s="8"/>
      <c r="K726" s="8"/>
      <c r="L726" s="56"/>
      <c r="M726" s="26"/>
      <c r="N726" s="26"/>
      <c r="O726" s="26"/>
      <c r="P726" s="1"/>
      <c r="Q726" s="1"/>
      <c r="R726" s="8"/>
      <c r="S726" s="1"/>
      <c r="T726" s="8"/>
      <c r="U726" s="1"/>
      <c r="V726" s="1"/>
      <c r="W726" s="1"/>
      <c r="X726" s="1"/>
    </row>
    <row r="727" spans="1:24">
      <c r="A727" s="1"/>
      <c r="B727" s="8"/>
      <c r="C727" s="8"/>
      <c r="D727" s="8"/>
      <c r="E727" s="8"/>
      <c r="F727" s="8"/>
      <c r="G727" s="8"/>
      <c r="H727" s="8"/>
      <c r="I727" s="8"/>
      <c r="J727" s="8"/>
      <c r="K727" s="8"/>
      <c r="L727" s="56"/>
      <c r="M727" s="26"/>
      <c r="N727" s="26"/>
      <c r="O727" s="26"/>
      <c r="P727" s="1"/>
      <c r="Q727" s="1"/>
      <c r="R727" s="8"/>
      <c r="S727" s="1"/>
      <c r="T727" s="8"/>
      <c r="U727" s="1"/>
      <c r="V727" s="1"/>
      <c r="W727" s="1"/>
      <c r="X727" s="1"/>
    </row>
    <row r="728" spans="1:24">
      <c r="A728" s="1"/>
      <c r="B728" s="8"/>
      <c r="C728" s="8"/>
      <c r="D728" s="8"/>
      <c r="E728" s="8"/>
      <c r="F728" s="8"/>
      <c r="G728" s="8"/>
      <c r="H728" s="8"/>
      <c r="I728" s="8"/>
      <c r="J728" s="8"/>
      <c r="K728" s="8"/>
      <c r="L728" s="56"/>
      <c r="M728" s="26"/>
      <c r="N728" s="26"/>
      <c r="O728" s="26"/>
      <c r="P728" s="1"/>
      <c r="Q728" s="1"/>
      <c r="R728" s="8"/>
      <c r="S728" s="1"/>
      <c r="T728" s="8"/>
      <c r="U728" s="1"/>
      <c r="V728" s="1"/>
      <c r="W728" s="1"/>
      <c r="X728" s="1"/>
    </row>
    <row r="729" spans="1:24">
      <c r="A729" s="1"/>
      <c r="B729" s="8"/>
      <c r="C729" s="8"/>
      <c r="D729" s="8"/>
      <c r="E729" s="8"/>
      <c r="F729" s="8"/>
      <c r="G729" s="8"/>
      <c r="H729" s="8"/>
      <c r="I729" s="8"/>
      <c r="J729" s="8"/>
      <c r="K729" s="8"/>
      <c r="L729" s="56"/>
      <c r="M729" s="26"/>
      <c r="N729" s="26"/>
      <c r="O729" s="26"/>
      <c r="P729" s="1"/>
      <c r="Q729" s="1"/>
      <c r="R729" s="8"/>
      <c r="S729" s="1"/>
      <c r="T729" s="8"/>
      <c r="U729" s="1"/>
      <c r="V729" s="1"/>
      <c r="W729" s="1"/>
      <c r="X729" s="1"/>
    </row>
    <row r="730" spans="1:24">
      <c r="A730" s="1"/>
      <c r="B730" s="8"/>
      <c r="C730" s="8"/>
      <c r="D730" s="8"/>
      <c r="E730" s="8"/>
      <c r="F730" s="8"/>
      <c r="G730" s="8"/>
      <c r="H730" s="8"/>
      <c r="I730" s="8"/>
      <c r="J730" s="8"/>
      <c r="K730" s="8"/>
      <c r="L730" s="56"/>
      <c r="M730" s="26"/>
      <c r="N730" s="26"/>
      <c r="O730" s="26"/>
      <c r="P730" s="1"/>
      <c r="Q730" s="1"/>
      <c r="R730" s="8"/>
      <c r="S730" s="1"/>
      <c r="T730" s="8"/>
      <c r="U730" s="1"/>
      <c r="V730" s="1"/>
      <c r="W730" s="1"/>
      <c r="X730" s="1"/>
    </row>
    <row r="731" spans="1:24">
      <c r="A731" s="1"/>
      <c r="B731" s="8"/>
      <c r="C731" s="8"/>
      <c r="D731" s="8"/>
      <c r="E731" s="8"/>
      <c r="F731" s="8"/>
      <c r="G731" s="8"/>
      <c r="H731" s="8"/>
      <c r="I731" s="8"/>
      <c r="J731" s="8"/>
      <c r="K731" s="8"/>
      <c r="L731" s="56"/>
      <c r="M731" s="26"/>
      <c r="N731" s="26"/>
      <c r="O731" s="26"/>
      <c r="P731" s="1"/>
      <c r="Q731" s="1"/>
      <c r="R731" s="8"/>
      <c r="S731" s="1"/>
      <c r="T731" s="8"/>
      <c r="U731" s="1"/>
      <c r="V731" s="1"/>
      <c r="W731" s="1"/>
      <c r="X731" s="1"/>
    </row>
    <row r="732" spans="1:24">
      <c r="A732" s="1"/>
      <c r="B732" s="8"/>
      <c r="C732" s="8"/>
      <c r="D732" s="8"/>
      <c r="E732" s="8"/>
      <c r="F732" s="8"/>
      <c r="G732" s="8"/>
      <c r="H732" s="8"/>
      <c r="I732" s="8"/>
      <c r="J732" s="8"/>
      <c r="K732" s="8"/>
      <c r="L732" s="56"/>
      <c r="M732" s="26"/>
      <c r="N732" s="26"/>
      <c r="O732" s="26"/>
      <c r="P732" s="1"/>
      <c r="Q732" s="1"/>
      <c r="R732" s="8"/>
      <c r="S732" s="1"/>
      <c r="T732" s="8"/>
      <c r="U732" s="1"/>
      <c r="V732" s="1"/>
      <c r="W732" s="1"/>
      <c r="X732" s="1"/>
    </row>
    <row r="733" spans="1:24">
      <c r="A733" s="1"/>
      <c r="B733" s="8"/>
      <c r="C733" s="8"/>
      <c r="D733" s="8"/>
      <c r="E733" s="8"/>
      <c r="F733" s="8"/>
      <c r="G733" s="8"/>
      <c r="H733" s="8"/>
      <c r="I733" s="8"/>
      <c r="J733" s="8"/>
      <c r="K733" s="8"/>
      <c r="L733" s="56"/>
      <c r="M733" s="26"/>
      <c r="N733" s="26"/>
      <c r="O733" s="26"/>
      <c r="P733" s="1"/>
      <c r="Q733" s="1"/>
      <c r="R733" s="8"/>
      <c r="S733" s="1"/>
      <c r="T733" s="8"/>
      <c r="U733" s="1"/>
      <c r="V733" s="1"/>
      <c r="W733" s="1"/>
      <c r="X733" s="1"/>
    </row>
    <row r="734" spans="1:24">
      <c r="A734" s="1"/>
      <c r="B734" s="8"/>
      <c r="C734" s="8"/>
      <c r="D734" s="8"/>
      <c r="E734" s="8"/>
      <c r="F734" s="8"/>
      <c r="G734" s="8"/>
      <c r="H734" s="8"/>
      <c r="I734" s="8"/>
      <c r="J734" s="8"/>
      <c r="K734" s="8"/>
      <c r="L734" s="56"/>
      <c r="M734" s="26"/>
      <c r="N734" s="26"/>
      <c r="O734" s="26"/>
      <c r="P734" s="1"/>
      <c r="Q734" s="1"/>
      <c r="R734" s="8"/>
      <c r="S734" s="1"/>
      <c r="T734" s="8"/>
      <c r="U734" s="1"/>
      <c r="V734" s="1"/>
      <c r="W734" s="1"/>
      <c r="X734" s="1"/>
    </row>
    <row r="735" spans="1:24">
      <c r="A735" s="1"/>
      <c r="B735" s="8"/>
      <c r="C735" s="8"/>
      <c r="D735" s="8"/>
      <c r="E735" s="8"/>
      <c r="F735" s="8"/>
      <c r="G735" s="8"/>
      <c r="H735" s="8"/>
      <c r="I735" s="8"/>
      <c r="J735" s="8"/>
      <c r="K735" s="8"/>
      <c r="L735" s="56"/>
      <c r="M735" s="26"/>
      <c r="N735" s="26"/>
      <c r="O735" s="26"/>
      <c r="P735" s="1"/>
      <c r="Q735" s="1"/>
      <c r="R735" s="8"/>
      <c r="S735" s="1"/>
      <c r="T735" s="8"/>
      <c r="U735" s="1"/>
      <c r="V735" s="1"/>
      <c r="W735" s="1"/>
      <c r="X735" s="1"/>
    </row>
    <row r="736" spans="1:24">
      <c r="A736" s="1"/>
      <c r="B736" s="8"/>
      <c r="C736" s="8"/>
      <c r="D736" s="8"/>
      <c r="E736" s="8"/>
      <c r="F736" s="8"/>
      <c r="G736" s="8"/>
      <c r="H736" s="8"/>
      <c r="I736" s="8"/>
      <c r="J736" s="8"/>
      <c r="K736" s="8"/>
      <c r="L736" s="56"/>
      <c r="M736" s="26"/>
      <c r="N736" s="26"/>
      <c r="O736" s="26"/>
      <c r="P736" s="1"/>
      <c r="Q736" s="1"/>
      <c r="R736" s="8"/>
      <c r="S736" s="1"/>
      <c r="T736" s="8"/>
      <c r="U736" s="1"/>
      <c r="V736" s="1"/>
      <c r="W736" s="1"/>
      <c r="X736" s="1"/>
    </row>
    <row r="737" spans="1:24">
      <c r="A737" s="1"/>
      <c r="B737" s="8"/>
      <c r="C737" s="8"/>
      <c r="D737" s="8"/>
      <c r="E737" s="8"/>
      <c r="F737" s="8"/>
      <c r="G737" s="8"/>
      <c r="H737" s="8"/>
      <c r="I737" s="8"/>
      <c r="J737" s="8"/>
      <c r="K737" s="8"/>
      <c r="L737" s="56"/>
      <c r="M737" s="26"/>
      <c r="N737" s="26"/>
      <c r="O737" s="26"/>
      <c r="P737" s="1"/>
      <c r="Q737" s="1"/>
      <c r="R737" s="8"/>
      <c r="S737" s="1"/>
      <c r="T737" s="8"/>
      <c r="U737" s="1"/>
      <c r="V737" s="1"/>
      <c r="W737" s="1"/>
      <c r="X737" s="1"/>
    </row>
    <row r="738" spans="1:24">
      <c r="A738" s="1"/>
      <c r="B738" s="8"/>
      <c r="C738" s="8"/>
      <c r="D738" s="8"/>
      <c r="E738" s="8"/>
      <c r="F738" s="8"/>
      <c r="G738" s="8"/>
      <c r="H738" s="8"/>
      <c r="I738" s="8"/>
      <c r="J738" s="8"/>
      <c r="K738" s="8"/>
      <c r="L738" s="56"/>
      <c r="M738" s="26"/>
      <c r="N738" s="26"/>
      <c r="O738" s="26"/>
      <c r="P738" s="1"/>
      <c r="Q738" s="1"/>
      <c r="R738" s="8"/>
      <c r="S738" s="1"/>
      <c r="T738" s="8"/>
      <c r="U738" s="1"/>
      <c r="V738" s="1"/>
      <c r="W738" s="1"/>
      <c r="X738" s="1"/>
    </row>
    <row r="739" spans="1:24">
      <c r="A739" s="1"/>
      <c r="B739" s="8"/>
      <c r="C739" s="8"/>
      <c r="D739" s="8"/>
      <c r="E739" s="8"/>
      <c r="F739" s="8"/>
      <c r="G739" s="8"/>
      <c r="H739" s="8"/>
      <c r="I739" s="8"/>
      <c r="J739" s="8"/>
      <c r="K739" s="8"/>
      <c r="L739" s="56"/>
      <c r="M739" s="26"/>
      <c r="N739" s="26"/>
      <c r="O739" s="26"/>
      <c r="P739" s="1"/>
      <c r="Q739" s="1"/>
      <c r="R739" s="8"/>
      <c r="S739" s="1"/>
      <c r="T739" s="8"/>
      <c r="U739" s="1"/>
      <c r="V739" s="1"/>
      <c r="W739" s="1"/>
      <c r="X739" s="1"/>
    </row>
    <row r="740" spans="1:24">
      <c r="A740" s="1"/>
      <c r="B740" s="8"/>
      <c r="C740" s="8"/>
      <c r="D740" s="8"/>
      <c r="E740" s="8"/>
      <c r="F740" s="8"/>
      <c r="G740" s="8"/>
      <c r="H740" s="8"/>
      <c r="I740" s="8"/>
      <c r="J740" s="8"/>
      <c r="K740" s="8"/>
      <c r="L740" s="56"/>
      <c r="M740" s="26"/>
      <c r="N740" s="26"/>
      <c r="O740" s="26"/>
      <c r="P740" s="1"/>
      <c r="Q740" s="1"/>
      <c r="R740" s="8"/>
      <c r="S740" s="1"/>
      <c r="T740" s="8"/>
      <c r="U740" s="1"/>
      <c r="V740" s="1"/>
      <c r="W740" s="1"/>
      <c r="X740" s="1"/>
    </row>
    <row r="741" spans="1:24">
      <c r="A741" s="1"/>
      <c r="B741" s="8"/>
      <c r="C741" s="8"/>
      <c r="D741" s="8"/>
      <c r="E741" s="8"/>
      <c r="F741" s="8"/>
      <c r="G741" s="8"/>
      <c r="H741" s="8"/>
      <c r="I741" s="8"/>
      <c r="J741" s="8"/>
      <c r="K741" s="8"/>
      <c r="L741" s="56"/>
      <c r="M741" s="26"/>
      <c r="N741" s="26"/>
      <c r="O741" s="26"/>
      <c r="P741" s="1"/>
      <c r="Q741" s="1"/>
      <c r="R741" s="8"/>
      <c r="S741" s="1"/>
      <c r="T741" s="8"/>
      <c r="U741" s="1"/>
      <c r="V741" s="1"/>
      <c r="W741" s="1"/>
      <c r="X741" s="1"/>
    </row>
    <row r="742" spans="1:24">
      <c r="A742" s="1"/>
      <c r="B742" s="8"/>
      <c r="C742" s="8"/>
      <c r="D742" s="8"/>
      <c r="E742" s="8"/>
      <c r="F742" s="8"/>
      <c r="G742" s="8"/>
      <c r="H742" s="8"/>
      <c r="I742" s="8"/>
      <c r="J742" s="8"/>
      <c r="K742" s="8"/>
      <c r="L742" s="56"/>
      <c r="M742" s="26"/>
      <c r="N742" s="26"/>
      <c r="O742" s="26"/>
      <c r="P742" s="1"/>
      <c r="Q742" s="1"/>
      <c r="R742" s="8"/>
      <c r="S742" s="1"/>
      <c r="T742" s="8"/>
      <c r="U742" s="1"/>
      <c r="V742" s="1"/>
      <c r="W742" s="1"/>
      <c r="X742" s="1"/>
    </row>
    <row r="743" spans="1:24">
      <c r="A743" s="1"/>
      <c r="B743" s="8"/>
      <c r="C743" s="8"/>
      <c r="D743" s="8"/>
      <c r="E743" s="8"/>
      <c r="F743" s="8"/>
      <c r="G743" s="8"/>
      <c r="H743" s="8"/>
      <c r="I743" s="8"/>
      <c r="J743" s="8"/>
      <c r="K743" s="8"/>
      <c r="L743" s="56"/>
      <c r="M743" s="26"/>
      <c r="N743" s="26"/>
      <c r="O743" s="26"/>
      <c r="P743" s="1"/>
      <c r="Q743" s="1"/>
      <c r="R743" s="8"/>
      <c r="S743" s="1"/>
      <c r="T743" s="8"/>
      <c r="U743" s="1"/>
      <c r="V743" s="1"/>
      <c r="W743" s="1"/>
      <c r="X743" s="1"/>
    </row>
    <row r="744" spans="1:24">
      <c r="A744" s="1"/>
      <c r="B744" s="8"/>
      <c r="C744" s="8"/>
      <c r="D744" s="8"/>
      <c r="E744" s="8"/>
      <c r="F744" s="8"/>
      <c r="G744" s="8"/>
      <c r="H744" s="8"/>
      <c r="I744" s="8"/>
      <c r="J744" s="8"/>
      <c r="K744" s="8"/>
      <c r="L744" s="56"/>
      <c r="M744" s="26"/>
      <c r="N744" s="26"/>
      <c r="O744" s="26"/>
      <c r="P744" s="1"/>
      <c r="Q744" s="1"/>
      <c r="R744" s="8"/>
      <c r="S744" s="1"/>
      <c r="T744" s="8"/>
      <c r="U744" s="1"/>
      <c r="V744" s="1"/>
      <c r="W744" s="1"/>
      <c r="X744" s="1"/>
    </row>
    <row r="745" spans="1:24">
      <c r="A745" s="1"/>
      <c r="B745" s="8"/>
      <c r="C745" s="8"/>
      <c r="D745" s="8"/>
      <c r="E745" s="8"/>
      <c r="F745" s="8"/>
      <c r="G745" s="8"/>
      <c r="H745" s="8"/>
      <c r="I745" s="8"/>
      <c r="J745" s="8"/>
      <c r="K745" s="8"/>
      <c r="L745" s="56"/>
      <c r="M745" s="26"/>
      <c r="N745" s="26"/>
      <c r="O745" s="26"/>
      <c r="P745" s="1"/>
      <c r="Q745" s="1"/>
      <c r="R745" s="8"/>
      <c r="S745" s="1"/>
      <c r="T745" s="8"/>
      <c r="U745" s="1"/>
      <c r="V745" s="1"/>
      <c r="W745" s="1"/>
      <c r="X745" s="1"/>
    </row>
    <row r="746" spans="1:24">
      <c r="A746" s="1"/>
      <c r="B746" s="8"/>
      <c r="C746" s="8"/>
      <c r="D746" s="8"/>
      <c r="E746" s="8"/>
      <c r="F746" s="8"/>
      <c r="G746" s="8"/>
      <c r="H746" s="8"/>
      <c r="I746" s="8"/>
      <c r="J746" s="8"/>
      <c r="K746" s="8"/>
      <c r="L746" s="56"/>
      <c r="M746" s="26"/>
      <c r="N746" s="26"/>
      <c r="O746" s="26"/>
      <c r="P746" s="1"/>
      <c r="Q746" s="1"/>
      <c r="R746" s="8"/>
      <c r="S746" s="1"/>
      <c r="T746" s="8"/>
      <c r="U746" s="1"/>
      <c r="V746" s="1"/>
      <c r="W746" s="1"/>
      <c r="X746" s="1"/>
    </row>
    <row r="747" spans="1:24">
      <c r="A747" s="1"/>
      <c r="B747" s="8"/>
      <c r="C747" s="8"/>
      <c r="D747" s="8"/>
      <c r="E747" s="8"/>
      <c r="F747" s="8"/>
      <c r="G747" s="8"/>
      <c r="H747" s="8"/>
      <c r="I747" s="8"/>
      <c r="J747" s="8"/>
      <c r="K747" s="8"/>
      <c r="L747" s="56"/>
      <c r="M747" s="26"/>
      <c r="N747" s="26"/>
      <c r="O747" s="26"/>
      <c r="P747" s="1"/>
      <c r="Q747" s="1"/>
      <c r="R747" s="8"/>
      <c r="S747" s="1"/>
      <c r="T747" s="8"/>
      <c r="U747" s="1"/>
      <c r="V747" s="1"/>
      <c r="W747" s="1"/>
      <c r="X747" s="1"/>
    </row>
    <row r="748" spans="1:24">
      <c r="A748" s="1"/>
      <c r="B748" s="8"/>
      <c r="C748" s="8"/>
      <c r="D748" s="8"/>
      <c r="E748" s="8"/>
      <c r="F748" s="8"/>
      <c r="G748" s="8"/>
      <c r="H748" s="8"/>
      <c r="I748" s="8"/>
      <c r="J748" s="8"/>
      <c r="K748" s="8"/>
      <c r="L748" s="56"/>
      <c r="M748" s="26"/>
      <c r="N748" s="26"/>
      <c r="O748" s="26"/>
      <c r="P748" s="1"/>
      <c r="Q748" s="1"/>
      <c r="R748" s="8"/>
      <c r="S748" s="1"/>
      <c r="T748" s="8"/>
      <c r="U748" s="1"/>
      <c r="V748" s="1"/>
      <c r="W748" s="1"/>
      <c r="X748" s="1"/>
    </row>
    <row r="749" spans="1:24">
      <c r="A749" s="1"/>
      <c r="B749" s="8"/>
      <c r="C749" s="8"/>
      <c r="D749" s="8"/>
      <c r="E749" s="8"/>
      <c r="F749" s="8"/>
      <c r="G749" s="8"/>
      <c r="H749" s="8"/>
      <c r="I749" s="8"/>
      <c r="J749" s="8"/>
      <c r="K749" s="8"/>
      <c r="L749" s="56"/>
      <c r="M749" s="26"/>
      <c r="N749" s="26"/>
      <c r="O749" s="26"/>
      <c r="P749" s="1"/>
      <c r="Q749" s="1"/>
      <c r="R749" s="8"/>
      <c r="S749" s="1"/>
      <c r="T749" s="8"/>
      <c r="U749" s="1"/>
      <c r="V749" s="1"/>
      <c r="W749" s="1"/>
      <c r="X749" s="1"/>
    </row>
    <row r="750" spans="1:24">
      <c r="A750" s="1"/>
      <c r="B750" s="8"/>
      <c r="C750" s="8"/>
      <c r="D750" s="8"/>
      <c r="E750" s="8"/>
      <c r="F750" s="8"/>
      <c r="G750" s="8"/>
      <c r="H750" s="8"/>
      <c r="I750" s="8"/>
      <c r="J750" s="8"/>
      <c r="K750" s="8"/>
      <c r="L750" s="56"/>
      <c r="M750" s="26"/>
      <c r="N750" s="26"/>
      <c r="O750" s="26"/>
      <c r="P750" s="1"/>
      <c r="Q750" s="1"/>
      <c r="R750" s="8"/>
      <c r="S750" s="1"/>
      <c r="T750" s="8"/>
      <c r="U750" s="1"/>
      <c r="V750" s="1"/>
      <c r="W750" s="1"/>
      <c r="X750" s="1"/>
    </row>
    <row r="751" spans="1:24">
      <c r="A751" s="1"/>
      <c r="B751" s="8"/>
      <c r="C751" s="8"/>
      <c r="D751" s="8"/>
      <c r="E751" s="8"/>
      <c r="F751" s="8"/>
      <c r="G751" s="8"/>
      <c r="H751" s="8"/>
      <c r="I751" s="8"/>
      <c r="J751" s="8"/>
      <c r="K751" s="8"/>
      <c r="L751" s="56"/>
      <c r="M751" s="26"/>
      <c r="N751" s="26"/>
      <c r="O751" s="26"/>
      <c r="P751" s="1"/>
      <c r="Q751" s="1"/>
      <c r="R751" s="8"/>
      <c r="S751" s="1"/>
      <c r="T751" s="8"/>
      <c r="U751" s="1"/>
      <c r="V751" s="1"/>
      <c r="W751" s="1"/>
      <c r="X751" s="1"/>
    </row>
    <row r="752" spans="1:24">
      <c r="A752" s="1"/>
      <c r="B752" s="8"/>
      <c r="C752" s="8"/>
      <c r="D752" s="8"/>
      <c r="E752" s="8"/>
      <c r="F752" s="8"/>
      <c r="G752" s="8"/>
      <c r="H752" s="8"/>
      <c r="I752" s="8"/>
      <c r="J752" s="8"/>
      <c r="K752" s="8"/>
      <c r="L752" s="56"/>
      <c r="M752" s="26"/>
      <c r="N752" s="26"/>
      <c r="O752" s="26"/>
      <c r="P752" s="1"/>
      <c r="Q752" s="1"/>
      <c r="R752" s="8"/>
      <c r="S752" s="1"/>
      <c r="T752" s="8"/>
      <c r="U752" s="1"/>
      <c r="V752" s="1"/>
      <c r="W752" s="1"/>
      <c r="X752" s="1"/>
    </row>
    <row r="753" spans="1:24">
      <c r="A753" s="1"/>
      <c r="B753" s="8"/>
      <c r="C753" s="8"/>
      <c r="D753" s="8"/>
      <c r="E753" s="8"/>
      <c r="F753" s="8"/>
      <c r="G753" s="8"/>
      <c r="H753" s="8"/>
      <c r="I753" s="8"/>
      <c r="J753" s="8"/>
      <c r="K753" s="8"/>
      <c r="L753" s="56"/>
      <c r="M753" s="26"/>
      <c r="N753" s="26"/>
      <c r="O753" s="26"/>
      <c r="P753" s="1"/>
      <c r="Q753" s="1"/>
      <c r="R753" s="8"/>
      <c r="S753" s="1"/>
      <c r="T753" s="8"/>
      <c r="U753" s="1"/>
      <c r="V753" s="1"/>
      <c r="W753" s="1"/>
      <c r="X753" s="1"/>
    </row>
    <row r="754" spans="1:24">
      <c r="A754" s="1"/>
      <c r="B754" s="8"/>
      <c r="C754" s="8"/>
      <c r="D754" s="8"/>
      <c r="E754" s="8"/>
      <c r="F754" s="8"/>
      <c r="G754" s="8"/>
      <c r="H754" s="8"/>
      <c r="I754" s="8"/>
      <c r="J754" s="8"/>
      <c r="K754" s="8"/>
      <c r="L754" s="56"/>
      <c r="M754" s="26"/>
      <c r="N754" s="26"/>
      <c r="O754" s="26"/>
      <c r="P754" s="1"/>
      <c r="Q754" s="1"/>
      <c r="R754" s="8"/>
      <c r="S754" s="1"/>
      <c r="T754" s="8"/>
      <c r="U754" s="1"/>
      <c r="V754" s="1"/>
      <c r="W754" s="1"/>
      <c r="X754" s="1"/>
    </row>
    <row r="755" spans="1:24">
      <c r="A755" s="1"/>
      <c r="B755" s="8"/>
      <c r="C755" s="8"/>
      <c r="D755" s="8"/>
      <c r="E755" s="8"/>
      <c r="F755" s="8"/>
      <c r="G755" s="8"/>
      <c r="H755" s="8"/>
      <c r="I755" s="8"/>
      <c r="J755" s="8"/>
      <c r="K755" s="8"/>
      <c r="L755" s="56"/>
      <c r="M755" s="26"/>
      <c r="N755" s="26"/>
      <c r="O755" s="26"/>
      <c r="P755" s="1"/>
      <c r="Q755" s="1"/>
      <c r="R755" s="8"/>
      <c r="S755" s="1"/>
      <c r="T755" s="8"/>
      <c r="U755" s="1"/>
      <c r="V755" s="1"/>
      <c r="W755" s="1"/>
      <c r="X755" s="1"/>
    </row>
    <row r="756" spans="1:24">
      <c r="A756" s="1"/>
      <c r="B756" s="8"/>
      <c r="C756" s="8"/>
      <c r="D756" s="8"/>
      <c r="E756" s="8"/>
      <c r="F756" s="8"/>
      <c r="G756" s="8"/>
      <c r="H756" s="8"/>
      <c r="I756" s="8"/>
      <c r="J756" s="8"/>
      <c r="K756" s="8"/>
      <c r="L756" s="56"/>
      <c r="M756" s="26"/>
      <c r="N756" s="26"/>
      <c r="O756" s="26"/>
      <c r="P756" s="1"/>
      <c r="Q756" s="1"/>
      <c r="R756" s="8"/>
      <c r="S756" s="1"/>
      <c r="T756" s="8"/>
      <c r="U756" s="1"/>
      <c r="V756" s="1"/>
      <c r="W756" s="1"/>
      <c r="X756" s="1"/>
    </row>
    <row r="757" spans="1:24">
      <c r="A757" s="1"/>
      <c r="B757" s="8"/>
      <c r="C757" s="8"/>
      <c r="D757" s="8"/>
      <c r="E757" s="8"/>
      <c r="F757" s="8"/>
      <c r="G757" s="8"/>
      <c r="H757" s="8"/>
      <c r="I757" s="8"/>
      <c r="J757" s="8"/>
      <c r="K757" s="8"/>
      <c r="L757" s="56"/>
      <c r="M757" s="26"/>
      <c r="N757" s="26"/>
      <c r="O757" s="26"/>
      <c r="P757" s="1"/>
      <c r="Q757" s="1"/>
      <c r="R757" s="8"/>
      <c r="S757" s="1"/>
      <c r="T757" s="8"/>
      <c r="U757" s="1"/>
      <c r="V757" s="1"/>
      <c r="W757" s="1"/>
      <c r="X757" s="1"/>
    </row>
    <row r="758" spans="1:24">
      <c r="A758" s="1"/>
      <c r="B758" s="8"/>
      <c r="C758" s="8"/>
      <c r="D758" s="8"/>
      <c r="E758" s="8"/>
      <c r="F758" s="8"/>
      <c r="G758" s="8"/>
      <c r="H758" s="8"/>
      <c r="I758" s="8"/>
      <c r="J758" s="8"/>
      <c r="K758" s="8"/>
      <c r="L758" s="56"/>
      <c r="M758" s="26"/>
      <c r="N758" s="26"/>
      <c r="O758" s="26"/>
      <c r="P758" s="1"/>
      <c r="Q758" s="1"/>
      <c r="R758" s="8"/>
      <c r="S758" s="1"/>
      <c r="T758" s="8"/>
      <c r="U758" s="1"/>
      <c r="V758" s="1"/>
      <c r="W758" s="1"/>
      <c r="X758" s="1"/>
    </row>
    <row r="759" spans="1:24">
      <c r="A759" s="1"/>
      <c r="B759" s="8"/>
      <c r="C759" s="8"/>
      <c r="D759" s="8"/>
      <c r="E759" s="8"/>
      <c r="F759" s="8"/>
      <c r="G759" s="8"/>
      <c r="H759" s="8"/>
      <c r="I759" s="8"/>
      <c r="J759" s="8"/>
      <c r="K759" s="8"/>
      <c r="L759" s="56"/>
      <c r="M759" s="26"/>
      <c r="N759" s="26"/>
      <c r="O759" s="26"/>
      <c r="P759" s="1"/>
      <c r="Q759" s="1"/>
      <c r="R759" s="8"/>
      <c r="S759" s="1"/>
      <c r="T759" s="8"/>
      <c r="U759" s="1"/>
      <c r="V759" s="1"/>
      <c r="W759" s="1"/>
      <c r="X759" s="1"/>
    </row>
    <row r="760" spans="1:24">
      <c r="A760" s="1"/>
      <c r="B760" s="8"/>
      <c r="C760" s="8"/>
      <c r="D760" s="8"/>
      <c r="E760" s="8"/>
      <c r="F760" s="8"/>
      <c r="G760" s="8"/>
      <c r="H760" s="8"/>
      <c r="I760" s="8"/>
      <c r="J760" s="8"/>
      <c r="K760" s="8"/>
      <c r="L760" s="56"/>
      <c r="M760" s="26"/>
      <c r="N760" s="26"/>
      <c r="O760" s="26"/>
      <c r="P760" s="1"/>
      <c r="Q760" s="1"/>
      <c r="R760" s="8"/>
      <c r="S760" s="1"/>
      <c r="T760" s="8"/>
      <c r="U760" s="1"/>
      <c r="V760" s="1"/>
      <c r="W760" s="1"/>
      <c r="X760" s="1"/>
    </row>
    <row r="761" spans="1:24">
      <c r="A761" s="1"/>
      <c r="B761" s="8"/>
      <c r="C761" s="8"/>
      <c r="D761" s="8"/>
      <c r="E761" s="8"/>
      <c r="F761" s="8"/>
      <c r="G761" s="8"/>
      <c r="H761" s="8"/>
      <c r="I761" s="8"/>
      <c r="J761" s="8"/>
      <c r="K761" s="8"/>
      <c r="L761" s="56"/>
      <c r="M761" s="26"/>
      <c r="N761" s="26"/>
      <c r="O761" s="26"/>
      <c r="P761" s="1"/>
      <c r="Q761" s="1"/>
      <c r="R761" s="8"/>
      <c r="S761" s="1"/>
      <c r="T761" s="8"/>
      <c r="U761" s="1"/>
      <c r="V761" s="1"/>
      <c r="W761" s="1"/>
      <c r="X761" s="1"/>
    </row>
    <row r="762" spans="1:24">
      <c r="A762" s="1"/>
      <c r="B762" s="8"/>
      <c r="C762" s="8"/>
      <c r="D762" s="8"/>
      <c r="E762" s="8"/>
      <c r="F762" s="8"/>
      <c r="G762" s="8"/>
      <c r="H762" s="8"/>
      <c r="I762" s="8"/>
      <c r="J762" s="8"/>
      <c r="K762" s="8"/>
      <c r="L762" s="56"/>
      <c r="M762" s="26"/>
      <c r="N762" s="26"/>
      <c r="O762" s="26"/>
      <c r="P762" s="1"/>
      <c r="Q762" s="1"/>
      <c r="R762" s="8"/>
      <c r="S762" s="1"/>
      <c r="T762" s="8"/>
      <c r="U762" s="1"/>
      <c r="V762" s="1"/>
      <c r="W762" s="1"/>
      <c r="X762" s="1"/>
    </row>
    <row r="763" spans="1:24">
      <c r="A763" s="1"/>
      <c r="B763" s="8"/>
      <c r="C763" s="8"/>
      <c r="D763" s="8"/>
      <c r="E763" s="8"/>
      <c r="F763" s="8"/>
      <c r="G763" s="8"/>
      <c r="H763" s="8"/>
      <c r="I763" s="8"/>
      <c r="J763" s="8"/>
      <c r="K763" s="8"/>
      <c r="L763" s="56"/>
      <c r="M763" s="26"/>
      <c r="N763" s="26"/>
      <c r="O763" s="26"/>
      <c r="P763" s="1"/>
      <c r="Q763" s="1"/>
      <c r="R763" s="8"/>
      <c r="S763" s="1"/>
      <c r="T763" s="8"/>
      <c r="U763" s="1"/>
      <c r="V763" s="1"/>
      <c r="W763" s="1"/>
      <c r="X763" s="1"/>
    </row>
    <row r="764" spans="1:24">
      <c r="A764" s="1"/>
      <c r="B764" s="8"/>
      <c r="C764" s="8"/>
      <c r="D764" s="8"/>
      <c r="E764" s="8"/>
      <c r="F764" s="8"/>
      <c r="G764" s="8"/>
      <c r="H764" s="8"/>
      <c r="I764" s="8"/>
      <c r="J764" s="8"/>
      <c r="K764" s="8"/>
      <c r="L764" s="56"/>
      <c r="M764" s="26"/>
      <c r="N764" s="26"/>
      <c r="O764" s="26"/>
      <c r="P764" s="1"/>
      <c r="Q764" s="1"/>
      <c r="R764" s="8"/>
      <c r="S764" s="1"/>
      <c r="T764" s="8"/>
      <c r="U764" s="1"/>
      <c r="V764" s="1"/>
      <c r="W764" s="1"/>
      <c r="X764" s="1"/>
    </row>
    <row r="765" spans="1:24">
      <c r="A765" s="1"/>
      <c r="B765" s="8"/>
      <c r="C765" s="8"/>
      <c r="D765" s="8"/>
      <c r="E765" s="8"/>
      <c r="F765" s="8"/>
      <c r="G765" s="8"/>
      <c r="H765" s="8"/>
      <c r="I765" s="8"/>
      <c r="J765" s="8"/>
      <c r="K765" s="8"/>
      <c r="L765" s="56"/>
      <c r="M765" s="26"/>
      <c r="N765" s="26"/>
      <c r="O765" s="26"/>
      <c r="P765" s="1"/>
      <c r="Q765" s="1"/>
      <c r="R765" s="8"/>
      <c r="S765" s="1"/>
      <c r="T765" s="8"/>
      <c r="U765" s="1"/>
      <c r="V765" s="1"/>
      <c r="W765" s="1"/>
      <c r="X765" s="1"/>
    </row>
    <row r="766" spans="1:24">
      <c r="A766" s="1"/>
      <c r="B766" s="8"/>
      <c r="C766" s="8"/>
      <c r="D766" s="8"/>
      <c r="E766" s="8"/>
      <c r="F766" s="8"/>
      <c r="G766" s="8"/>
      <c r="H766" s="8"/>
      <c r="I766" s="8"/>
      <c r="J766" s="8"/>
      <c r="K766" s="8"/>
      <c r="L766" s="56"/>
      <c r="M766" s="26"/>
      <c r="N766" s="26"/>
      <c r="O766" s="26"/>
      <c r="P766" s="1"/>
      <c r="Q766" s="1"/>
      <c r="R766" s="8"/>
      <c r="S766" s="1"/>
      <c r="T766" s="8"/>
      <c r="U766" s="1"/>
      <c r="V766" s="1"/>
      <c r="W766" s="1"/>
      <c r="X766" s="1"/>
    </row>
    <row r="767" spans="1:24">
      <c r="A767" s="1"/>
      <c r="B767" s="8"/>
      <c r="C767" s="8"/>
      <c r="D767" s="8"/>
      <c r="E767" s="8"/>
      <c r="F767" s="8"/>
      <c r="G767" s="8"/>
      <c r="H767" s="8"/>
      <c r="I767" s="8"/>
      <c r="J767" s="8"/>
      <c r="K767" s="8"/>
      <c r="L767" s="56"/>
      <c r="M767" s="26"/>
      <c r="N767" s="26"/>
      <c r="O767" s="26"/>
      <c r="P767" s="1"/>
      <c r="Q767" s="1"/>
      <c r="R767" s="8"/>
      <c r="S767" s="1"/>
      <c r="T767" s="8"/>
      <c r="U767" s="1"/>
      <c r="V767" s="1"/>
      <c r="W767" s="1"/>
      <c r="X767" s="1"/>
    </row>
    <row r="768" spans="1:24">
      <c r="A768" s="1"/>
      <c r="B768" s="8"/>
      <c r="C768" s="8"/>
      <c r="D768" s="8"/>
      <c r="E768" s="8"/>
      <c r="F768" s="8"/>
      <c r="G768" s="8"/>
      <c r="H768" s="8"/>
      <c r="I768" s="8"/>
      <c r="J768" s="8"/>
      <c r="K768" s="8"/>
      <c r="L768" s="56"/>
      <c r="M768" s="26"/>
      <c r="N768" s="26"/>
      <c r="O768" s="26"/>
      <c r="P768" s="1"/>
      <c r="Q768" s="1"/>
      <c r="R768" s="8"/>
      <c r="S768" s="1"/>
      <c r="T768" s="8"/>
      <c r="U768" s="1"/>
      <c r="V768" s="1"/>
      <c r="W768" s="1"/>
      <c r="X768" s="1"/>
    </row>
    <row r="769" spans="1:24">
      <c r="A769" s="1"/>
      <c r="B769" s="8"/>
      <c r="C769" s="8"/>
      <c r="D769" s="8"/>
      <c r="E769" s="8"/>
      <c r="F769" s="8"/>
      <c r="G769" s="8"/>
      <c r="H769" s="8"/>
      <c r="I769" s="8"/>
      <c r="J769" s="8"/>
      <c r="K769" s="8"/>
      <c r="L769" s="56"/>
      <c r="M769" s="26"/>
      <c r="N769" s="26"/>
      <c r="O769" s="26"/>
      <c r="P769" s="1"/>
      <c r="Q769" s="1"/>
      <c r="R769" s="8"/>
      <c r="S769" s="1"/>
      <c r="T769" s="8"/>
      <c r="U769" s="1"/>
      <c r="V769" s="1"/>
      <c r="W769" s="1"/>
      <c r="X769" s="1"/>
    </row>
    <row r="770" spans="1:24">
      <c r="A770" s="1"/>
      <c r="B770" s="8"/>
      <c r="C770" s="8"/>
      <c r="D770" s="8"/>
      <c r="E770" s="8"/>
      <c r="F770" s="8"/>
      <c r="G770" s="8"/>
      <c r="H770" s="8"/>
      <c r="I770" s="8"/>
      <c r="J770" s="8"/>
      <c r="K770" s="8"/>
      <c r="L770" s="56"/>
      <c r="M770" s="26"/>
      <c r="N770" s="26"/>
      <c r="O770" s="26"/>
      <c r="P770" s="1"/>
      <c r="Q770" s="1"/>
      <c r="R770" s="8"/>
      <c r="S770" s="1"/>
      <c r="T770" s="8"/>
      <c r="U770" s="1"/>
      <c r="V770" s="1"/>
      <c r="W770" s="1"/>
      <c r="X770" s="1"/>
    </row>
    <row r="771" spans="1:24">
      <c r="A771" s="1"/>
      <c r="B771" s="8"/>
      <c r="C771" s="8"/>
      <c r="D771" s="8"/>
      <c r="E771" s="8"/>
      <c r="F771" s="8"/>
      <c r="G771" s="8"/>
      <c r="H771" s="8"/>
      <c r="I771" s="8"/>
      <c r="J771" s="8"/>
      <c r="K771" s="8"/>
      <c r="L771" s="56"/>
      <c r="M771" s="26"/>
      <c r="N771" s="26"/>
      <c r="O771" s="26"/>
      <c r="P771" s="1"/>
      <c r="Q771" s="1"/>
      <c r="R771" s="8"/>
      <c r="S771" s="1"/>
      <c r="T771" s="8"/>
      <c r="U771" s="1"/>
      <c r="V771" s="1"/>
      <c r="W771" s="1"/>
      <c r="X771" s="1"/>
    </row>
    <row r="772" spans="1:24">
      <c r="A772" s="1"/>
      <c r="B772" s="8"/>
      <c r="C772" s="8"/>
      <c r="D772" s="8"/>
      <c r="E772" s="8"/>
      <c r="F772" s="8"/>
      <c r="G772" s="8"/>
      <c r="H772" s="8"/>
      <c r="I772" s="8"/>
      <c r="J772" s="8"/>
      <c r="K772" s="8"/>
      <c r="L772" s="56"/>
      <c r="M772" s="26"/>
      <c r="N772" s="26"/>
      <c r="O772" s="26"/>
      <c r="P772" s="1"/>
      <c r="Q772" s="1"/>
      <c r="R772" s="8"/>
      <c r="S772" s="1"/>
      <c r="T772" s="8"/>
      <c r="U772" s="1"/>
      <c r="V772" s="1"/>
      <c r="W772" s="1"/>
      <c r="X772" s="1"/>
    </row>
    <row r="773" spans="1:24">
      <c r="A773" s="1"/>
      <c r="B773" s="8"/>
      <c r="C773" s="8"/>
      <c r="D773" s="8"/>
      <c r="E773" s="8"/>
      <c r="F773" s="8"/>
      <c r="G773" s="8"/>
      <c r="H773" s="8"/>
      <c r="I773" s="8"/>
      <c r="J773" s="8"/>
      <c r="K773" s="8"/>
      <c r="L773" s="56"/>
      <c r="M773" s="26"/>
      <c r="N773" s="26"/>
      <c r="O773" s="26"/>
      <c r="P773" s="1"/>
      <c r="Q773" s="1"/>
      <c r="R773" s="8"/>
      <c r="S773" s="1"/>
      <c r="T773" s="8"/>
      <c r="U773" s="1"/>
      <c r="V773" s="1"/>
      <c r="W773" s="1"/>
      <c r="X773" s="1"/>
    </row>
    <row r="774" spans="1:24">
      <c r="A774" s="1"/>
      <c r="B774" s="8"/>
      <c r="C774" s="8"/>
      <c r="D774" s="8"/>
      <c r="E774" s="8"/>
      <c r="F774" s="8"/>
      <c r="G774" s="8"/>
      <c r="H774" s="8"/>
      <c r="I774" s="8"/>
      <c r="J774" s="8"/>
      <c r="K774" s="8"/>
      <c r="L774" s="56"/>
      <c r="M774" s="26"/>
      <c r="N774" s="26"/>
      <c r="O774" s="26"/>
      <c r="P774" s="1"/>
      <c r="Q774" s="1"/>
      <c r="R774" s="8"/>
      <c r="S774" s="1"/>
      <c r="T774" s="8"/>
      <c r="U774" s="1"/>
      <c r="V774" s="1"/>
      <c r="W774" s="1"/>
      <c r="X774" s="1"/>
    </row>
    <row r="775" spans="1:24">
      <c r="A775" s="1"/>
      <c r="B775" s="8"/>
      <c r="C775" s="8"/>
      <c r="D775" s="8"/>
      <c r="E775" s="8"/>
      <c r="F775" s="8"/>
      <c r="G775" s="8"/>
      <c r="H775" s="8"/>
      <c r="I775" s="8"/>
      <c r="J775" s="8"/>
      <c r="K775" s="8"/>
      <c r="L775" s="56"/>
      <c r="M775" s="26"/>
      <c r="N775" s="26"/>
      <c r="O775" s="26"/>
      <c r="P775" s="1"/>
      <c r="Q775" s="1"/>
      <c r="R775" s="8"/>
      <c r="S775" s="1"/>
      <c r="T775" s="8"/>
      <c r="U775" s="1"/>
      <c r="V775" s="1"/>
      <c r="W775" s="1"/>
      <c r="X775" s="1"/>
    </row>
    <row r="776" spans="1:24">
      <c r="A776" s="1"/>
      <c r="B776" s="8"/>
      <c r="C776" s="8"/>
      <c r="D776" s="8"/>
      <c r="E776" s="8"/>
      <c r="F776" s="8"/>
      <c r="G776" s="8"/>
      <c r="H776" s="8"/>
      <c r="I776" s="8"/>
      <c r="J776" s="8"/>
      <c r="K776" s="8"/>
      <c r="L776" s="56"/>
      <c r="M776" s="26"/>
      <c r="N776" s="26"/>
      <c r="O776" s="26"/>
      <c r="P776" s="1"/>
      <c r="Q776" s="1"/>
      <c r="R776" s="8"/>
      <c r="S776" s="1"/>
      <c r="T776" s="8"/>
      <c r="U776" s="1"/>
      <c r="V776" s="1"/>
      <c r="W776" s="1"/>
      <c r="X776" s="1"/>
    </row>
    <row r="777" spans="1:24">
      <c r="A777" s="1"/>
      <c r="B777" s="8"/>
      <c r="C777" s="8"/>
      <c r="D777" s="8"/>
      <c r="E777" s="8"/>
      <c r="F777" s="8"/>
      <c r="G777" s="8"/>
      <c r="H777" s="8"/>
      <c r="I777" s="8"/>
      <c r="J777" s="8"/>
      <c r="K777" s="8"/>
      <c r="L777" s="56"/>
      <c r="M777" s="26"/>
      <c r="N777" s="26"/>
      <c r="O777" s="26"/>
      <c r="P777" s="1"/>
      <c r="Q777" s="1"/>
      <c r="R777" s="8"/>
      <c r="S777" s="1"/>
      <c r="T777" s="8"/>
      <c r="U777" s="1"/>
      <c r="V777" s="1"/>
      <c r="W777" s="1"/>
      <c r="X777" s="1"/>
    </row>
    <row r="778" spans="1:24">
      <c r="A778" s="1"/>
      <c r="B778" s="8"/>
      <c r="C778" s="8"/>
      <c r="D778" s="8"/>
      <c r="E778" s="8"/>
      <c r="F778" s="8"/>
      <c r="G778" s="8"/>
      <c r="H778" s="8"/>
      <c r="I778" s="8"/>
      <c r="J778" s="8"/>
      <c r="K778" s="8"/>
      <c r="L778" s="56"/>
      <c r="M778" s="26"/>
      <c r="N778" s="26"/>
      <c r="O778" s="26"/>
      <c r="P778" s="1"/>
      <c r="Q778" s="1"/>
      <c r="R778" s="8"/>
      <c r="S778" s="1"/>
      <c r="T778" s="8"/>
      <c r="U778" s="1"/>
      <c r="V778" s="1"/>
      <c r="W778" s="1"/>
      <c r="X778" s="1"/>
    </row>
    <row r="779" spans="1:24">
      <c r="A779" s="1"/>
      <c r="B779" s="8"/>
      <c r="C779" s="8"/>
      <c r="D779" s="8"/>
      <c r="E779" s="8"/>
      <c r="F779" s="8"/>
      <c r="G779" s="8"/>
      <c r="H779" s="8"/>
      <c r="I779" s="8"/>
      <c r="J779" s="8"/>
      <c r="K779" s="8"/>
      <c r="L779" s="56"/>
      <c r="M779" s="26"/>
      <c r="N779" s="26"/>
      <c r="O779" s="26"/>
      <c r="P779" s="1"/>
      <c r="Q779" s="1"/>
      <c r="R779" s="8"/>
      <c r="S779" s="1"/>
      <c r="T779" s="8"/>
      <c r="U779" s="1"/>
      <c r="V779" s="1"/>
      <c r="W779" s="1"/>
      <c r="X779" s="1"/>
    </row>
    <row r="780" spans="1:24">
      <c r="A780" s="1"/>
      <c r="B780" s="8"/>
      <c r="C780" s="8"/>
      <c r="D780" s="8"/>
      <c r="E780" s="8"/>
      <c r="F780" s="8"/>
      <c r="G780" s="8"/>
      <c r="H780" s="8"/>
      <c r="I780" s="8"/>
      <c r="J780" s="8"/>
      <c r="K780" s="8"/>
      <c r="L780" s="56"/>
      <c r="M780" s="26"/>
      <c r="N780" s="26"/>
      <c r="O780" s="26"/>
      <c r="P780" s="1"/>
      <c r="Q780" s="1"/>
      <c r="R780" s="8"/>
      <c r="S780" s="1"/>
      <c r="T780" s="8"/>
      <c r="U780" s="1"/>
      <c r="V780" s="1"/>
      <c r="W780" s="1"/>
      <c r="X780" s="1"/>
    </row>
    <row r="781" spans="1:24">
      <c r="A781" s="1"/>
      <c r="B781" s="8"/>
      <c r="C781" s="8"/>
      <c r="D781" s="8"/>
      <c r="E781" s="8"/>
      <c r="F781" s="8"/>
      <c r="G781" s="8"/>
      <c r="H781" s="8"/>
      <c r="I781" s="8"/>
      <c r="J781" s="8"/>
      <c r="K781" s="8"/>
      <c r="L781" s="56"/>
      <c r="M781" s="26"/>
      <c r="N781" s="26"/>
      <c r="O781" s="26"/>
      <c r="P781" s="1"/>
      <c r="Q781" s="1"/>
      <c r="R781" s="8"/>
      <c r="S781" s="1"/>
      <c r="T781" s="8"/>
      <c r="U781" s="1"/>
      <c r="V781" s="1"/>
      <c r="W781" s="1"/>
      <c r="X781" s="1"/>
    </row>
    <row r="782" spans="1:24">
      <c r="A782" s="1"/>
      <c r="B782" s="8"/>
      <c r="C782" s="8"/>
      <c r="D782" s="8"/>
      <c r="E782" s="8"/>
      <c r="F782" s="8"/>
      <c r="G782" s="8"/>
      <c r="H782" s="8"/>
      <c r="I782" s="8"/>
      <c r="J782" s="8"/>
      <c r="K782" s="8"/>
      <c r="L782" s="56"/>
      <c r="M782" s="26"/>
      <c r="N782" s="26"/>
      <c r="O782" s="26"/>
      <c r="P782" s="1"/>
      <c r="Q782" s="1"/>
      <c r="R782" s="8"/>
      <c r="S782" s="1"/>
      <c r="T782" s="8"/>
      <c r="U782" s="1"/>
      <c r="V782" s="1"/>
      <c r="W782" s="1"/>
      <c r="X782" s="1"/>
    </row>
    <row r="783" spans="1:24">
      <c r="A783" s="1"/>
      <c r="B783" s="8"/>
      <c r="C783" s="8"/>
      <c r="D783" s="8"/>
      <c r="E783" s="8"/>
      <c r="F783" s="8"/>
      <c r="G783" s="8"/>
      <c r="H783" s="8"/>
      <c r="I783" s="8"/>
      <c r="J783" s="8"/>
      <c r="K783" s="8"/>
      <c r="L783" s="56"/>
      <c r="M783" s="26"/>
      <c r="N783" s="26"/>
      <c r="O783" s="26"/>
      <c r="P783" s="1"/>
      <c r="Q783" s="1"/>
      <c r="R783" s="8"/>
      <c r="S783" s="1"/>
      <c r="T783" s="8"/>
      <c r="U783" s="1"/>
      <c r="V783" s="1"/>
      <c r="W783" s="1"/>
      <c r="X783" s="1"/>
    </row>
    <row r="784" spans="1:24">
      <c r="A784" s="1"/>
      <c r="B784" s="8"/>
      <c r="C784" s="8"/>
      <c r="D784" s="8"/>
      <c r="E784" s="8"/>
      <c r="F784" s="8"/>
      <c r="G784" s="8"/>
      <c r="H784" s="8"/>
      <c r="I784" s="8"/>
      <c r="J784" s="8"/>
      <c r="K784" s="8"/>
      <c r="L784" s="56"/>
      <c r="M784" s="26"/>
      <c r="N784" s="26"/>
      <c r="O784" s="26"/>
      <c r="P784" s="1"/>
      <c r="Q784" s="1"/>
      <c r="R784" s="8"/>
      <c r="S784" s="1"/>
      <c r="T784" s="8"/>
      <c r="U784" s="1"/>
      <c r="V784" s="1"/>
      <c r="W784" s="1"/>
      <c r="X784" s="1"/>
    </row>
    <row r="785" spans="1:24">
      <c r="A785" s="1"/>
      <c r="B785" s="8"/>
      <c r="C785" s="8"/>
      <c r="D785" s="8"/>
      <c r="E785" s="8"/>
      <c r="F785" s="8"/>
      <c r="G785" s="8"/>
      <c r="H785" s="8"/>
      <c r="I785" s="8"/>
      <c r="J785" s="8"/>
      <c r="K785" s="8"/>
      <c r="L785" s="56"/>
      <c r="M785" s="26"/>
      <c r="N785" s="26"/>
      <c r="O785" s="26"/>
      <c r="P785" s="1"/>
      <c r="Q785" s="1"/>
      <c r="R785" s="8"/>
      <c r="S785" s="1"/>
      <c r="T785" s="8"/>
      <c r="U785" s="1"/>
      <c r="V785" s="1"/>
      <c r="W785" s="1"/>
      <c r="X785" s="1"/>
    </row>
    <row r="786" spans="1:24">
      <c r="A786" s="1"/>
      <c r="B786" s="8"/>
      <c r="C786" s="8"/>
      <c r="D786" s="8"/>
      <c r="E786" s="8"/>
      <c r="F786" s="8"/>
      <c r="G786" s="8"/>
      <c r="H786" s="8"/>
      <c r="I786" s="8"/>
      <c r="J786" s="8"/>
      <c r="K786" s="8"/>
      <c r="L786" s="56"/>
      <c r="M786" s="26"/>
      <c r="N786" s="26"/>
      <c r="O786" s="26"/>
      <c r="P786" s="1"/>
      <c r="Q786" s="1"/>
      <c r="R786" s="8"/>
      <c r="S786" s="1"/>
      <c r="T786" s="8"/>
      <c r="U786" s="1"/>
      <c r="V786" s="1"/>
      <c r="W786" s="1"/>
      <c r="X786" s="1"/>
    </row>
    <row r="787" spans="1:24">
      <c r="A787" s="1"/>
      <c r="B787" s="8"/>
      <c r="C787" s="8"/>
      <c r="D787" s="8"/>
      <c r="E787" s="8"/>
      <c r="F787" s="8"/>
      <c r="G787" s="8"/>
      <c r="H787" s="8"/>
      <c r="I787" s="8"/>
      <c r="J787" s="8"/>
      <c r="K787" s="8"/>
      <c r="L787" s="56"/>
      <c r="M787" s="26"/>
      <c r="N787" s="26"/>
      <c r="O787" s="26"/>
      <c r="P787" s="1"/>
      <c r="Q787" s="1"/>
      <c r="R787" s="8"/>
      <c r="S787" s="1"/>
      <c r="T787" s="8"/>
      <c r="U787" s="1"/>
      <c r="V787" s="1"/>
      <c r="W787" s="1"/>
      <c r="X787" s="1"/>
    </row>
    <row r="788" spans="1:24">
      <c r="A788" s="1"/>
      <c r="B788" s="8"/>
      <c r="C788" s="8"/>
      <c r="D788" s="8"/>
      <c r="E788" s="8"/>
      <c r="F788" s="8"/>
      <c r="G788" s="8"/>
      <c r="H788" s="8"/>
      <c r="I788" s="8"/>
      <c r="J788" s="8"/>
      <c r="K788" s="8"/>
      <c r="L788" s="56"/>
      <c r="M788" s="26"/>
      <c r="N788" s="26"/>
      <c r="O788" s="26"/>
      <c r="P788" s="1"/>
      <c r="Q788" s="1"/>
      <c r="R788" s="8"/>
      <c r="S788" s="1"/>
      <c r="T788" s="8"/>
      <c r="U788" s="1"/>
      <c r="V788" s="1"/>
      <c r="W788" s="1"/>
      <c r="X788" s="1"/>
    </row>
    <row r="789" spans="1:24">
      <c r="A789" s="1"/>
      <c r="B789" s="8"/>
      <c r="C789" s="8"/>
      <c r="D789" s="8"/>
      <c r="E789" s="8"/>
      <c r="F789" s="8"/>
      <c r="G789" s="8"/>
      <c r="H789" s="8"/>
      <c r="I789" s="8"/>
      <c r="J789" s="8"/>
      <c r="K789" s="8"/>
      <c r="L789" s="56"/>
      <c r="M789" s="26"/>
      <c r="N789" s="26"/>
      <c r="O789" s="26"/>
      <c r="P789" s="1"/>
      <c r="Q789" s="1"/>
      <c r="R789" s="8"/>
      <c r="S789" s="1"/>
      <c r="T789" s="8"/>
      <c r="U789" s="1"/>
      <c r="V789" s="1"/>
      <c r="W789" s="1"/>
      <c r="X789" s="1"/>
    </row>
    <row r="790" spans="1:24">
      <c r="A790" s="1"/>
      <c r="B790" s="8"/>
      <c r="C790" s="8"/>
      <c r="D790" s="8"/>
      <c r="E790" s="8"/>
      <c r="F790" s="8"/>
      <c r="G790" s="8"/>
      <c r="H790" s="8"/>
      <c r="I790" s="8"/>
      <c r="J790" s="8"/>
      <c r="K790" s="8"/>
      <c r="L790" s="56"/>
      <c r="M790" s="26"/>
      <c r="N790" s="26"/>
      <c r="O790" s="26"/>
      <c r="P790" s="1"/>
      <c r="Q790" s="1"/>
      <c r="R790" s="8"/>
      <c r="S790" s="1"/>
      <c r="T790" s="8"/>
      <c r="U790" s="1"/>
      <c r="V790" s="1"/>
      <c r="W790" s="1"/>
      <c r="X790" s="1"/>
    </row>
    <row r="791" spans="1:24">
      <c r="A791" s="1"/>
      <c r="B791" s="8"/>
      <c r="C791" s="8"/>
      <c r="D791" s="8"/>
      <c r="E791" s="8"/>
      <c r="F791" s="8"/>
      <c r="G791" s="8"/>
      <c r="H791" s="8"/>
      <c r="I791" s="8"/>
      <c r="J791" s="8"/>
      <c r="K791" s="8"/>
      <c r="L791" s="56"/>
      <c r="M791" s="26"/>
      <c r="N791" s="26"/>
      <c r="O791" s="26"/>
      <c r="P791" s="1"/>
      <c r="Q791" s="1"/>
      <c r="R791" s="8"/>
      <c r="S791" s="1"/>
      <c r="T791" s="8"/>
      <c r="U791" s="1"/>
      <c r="V791" s="1"/>
      <c r="W791" s="1"/>
      <c r="X791" s="1"/>
    </row>
    <row r="792" spans="1:24">
      <c r="A792" s="1"/>
      <c r="B792" s="8"/>
      <c r="C792" s="8"/>
      <c r="D792" s="8"/>
      <c r="E792" s="8"/>
      <c r="F792" s="8"/>
      <c r="G792" s="8"/>
      <c r="H792" s="8"/>
      <c r="I792" s="8"/>
      <c r="J792" s="8"/>
      <c r="K792" s="8"/>
      <c r="L792" s="56"/>
      <c r="M792" s="26"/>
      <c r="N792" s="26"/>
      <c r="O792" s="26"/>
      <c r="P792" s="1"/>
      <c r="Q792" s="1"/>
      <c r="R792" s="8"/>
      <c r="S792" s="1"/>
      <c r="T792" s="8"/>
      <c r="U792" s="1"/>
      <c r="V792" s="1"/>
      <c r="W792" s="1"/>
      <c r="X792" s="1"/>
    </row>
    <row r="793" spans="1:24">
      <c r="A793" s="1"/>
      <c r="B793" s="8"/>
      <c r="C793" s="8"/>
      <c r="D793" s="8"/>
      <c r="E793" s="8"/>
      <c r="F793" s="8"/>
      <c r="G793" s="8"/>
      <c r="H793" s="8"/>
      <c r="I793" s="8"/>
      <c r="J793" s="8"/>
      <c r="K793" s="8"/>
      <c r="L793" s="56"/>
      <c r="M793" s="26"/>
      <c r="N793" s="26"/>
      <c r="O793" s="26"/>
      <c r="P793" s="1"/>
      <c r="Q793" s="1"/>
      <c r="R793" s="8"/>
      <c r="S793" s="1"/>
      <c r="T793" s="8"/>
      <c r="U793" s="1"/>
      <c r="V793" s="1"/>
      <c r="W793" s="1"/>
      <c r="X793" s="1"/>
    </row>
    <row r="794" spans="1:24">
      <c r="A794" s="1"/>
      <c r="B794" s="8"/>
      <c r="C794" s="8"/>
      <c r="D794" s="8"/>
      <c r="E794" s="8"/>
      <c r="F794" s="8"/>
      <c r="G794" s="8"/>
      <c r="H794" s="8"/>
      <c r="I794" s="8"/>
      <c r="J794" s="8"/>
      <c r="K794" s="8"/>
      <c r="L794" s="56"/>
      <c r="M794" s="26"/>
      <c r="N794" s="26"/>
      <c r="O794" s="26"/>
      <c r="P794" s="1"/>
      <c r="Q794" s="1"/>
      <c r="R794" s="8"/>
      <c r="S794" s="1"/>
      <c r="T794" s="8"/>
      <c r="U794" s="1"/>
      <c r="V794" s="1"/>
      <c r="W794" s="1"/>
      <c r="X794" s="1"/>
    </row>
    <row r="795" spans="1:24">
      <c r="A795" s="1"/>
      <c r="B795" s="8"/>
      <c r="C795" s="8"/>
      <c r="D795" s="8"/>
      <c r="E795" s="8"/>
      <c r="F795" s="8"/>
      <c r="G795" s="8"/>
      <c r="H795" s="8"/>
      <c r="I795" s="8"/>
      <c r="J795" s="8"/>
      <c r="K795" s="8"/>
      <c r="L795" s="56"/>
      <c r="M795" s="26"/>
      <c r="N795" s="26"/>
      <c r="O795" s="26"/>
      <c r="P795" s="1"/>
      <c r="Q795" s="1"/>
      <c r="R795" s="8"/>
      <c r="S795" s="1"/>
      <c r="T795" s="8"/>
      <c r="U795" s="1"/>
      <c r="V795" s="1"/>
      <c r="W795" s="1"/>
      <c r="X795" s="1"/>
    </row>
    <row r="796" spans="1:24">
      <c r="A796" s="1"/>
      <c r="B796" s="8"/>
      <c r="C796" s="8"/>
      <c r="D796" s="8"/>
      <c r="E796" s="8"/>
      <c r="F796" s="8"/>
      <c r="G796" s="8"/>
      <c r="H796" s="8"/>
      <c r="I796" s="8"/>
      <c r="J796" s="8"/>
      <c r="K796" s="8"/>
      <c r="L796" s="56"/>
      <c r="M796" s="26"/>
      <c r="N796" s="26"/>
      <c r="O796" s="26"/>
      <c r="P796" s="1"/>
      <c r="Q796" s="1"/>
      <c r="R796" s="8"/>
      <c r="S796" s="1"/>
      <c r="T796" s="8"/>
      <c r="U796" s="1"/>
      <c r="V796" s="1"/>
      <c r="W796" s="1"/>
      <c r="X796" s="1"/>
    </row>
    <row r="797" spans="1:24">
      <c r="A797" s="1"/>
      <c r="B797" s="8"/>
      <c r="C797" s="8"/>
      <c r="D797" s="8"/>
      <c r="E797" s="8"/>
      <c r="F797" s="8"/>
      <c r="G797" s="8"/>
      <c r="H797" s="8"/>
      <c r="I797" s="8"/>
      <c r="J797" s="8"/>
      <c r="K797" s="8"/>
      <c r="L797" s="56"/>
      <c r="M797" s="26"/>
      <c r="N797" s="26"/>
      <c r="O797" s="26"/>
      <c r="P797" s="1"/>
      <c r="Q797" s="1"/>
      <c r="R797" s="8"/>
      <c r="S797" s="1"/>
      <c r="T797" s="8"/>
      <c r="U797" s="1"/>
      <c r="V797" s="1"/>
      <c r="W797" s="1"/>
      <c r="X797" s="1"/>
    </row>
    <row r="798" spans="1:24">
      <c r="A798" s="1"/>
      <c r="B798" s="8"/>
      <c r="C798" s="8"/>
      <c r="D798" s="8"/>
      <c r="E798" s="8"/>
      <c r="F798" s="8"/>
      <c r="G798" s="8"/>
      <c r="H798" s="8"/>
      <c r="I798" s="8"/>
      <c r="J798" s="8"/>
      <c r="K798" s="8"/>
      <c r="L798" s="56"/>
      <c r="M798" s="26"/>
      <c r="N798" s="26"/>
      <c r="O798" s="26"/>
      <c r="P798" s="1"/>
      <c r="Q798" s="1"/>
      <c r="R798" s="8"/>
      <c r="S798" s="1"/>
      <c r="T798" s="8"/>
      <c r="U798" s="1"/>
      <c r="V798" s="1"/>
      <c r="W798" s="1"/>
      <c r="X798" s="1"/>
    </row>
    <row r="799" spans="1:24">
      <c r="A799" s="1"/>
      <c r="B799" s="8"/>
      <c r="C799" s="8"/>
      <c r="D799" s="8"/>
      <c r="E799" s="8"/>
      <c r="F799" s="8"/>
      <c r="G799" s="8"/>
      <c r="H799" s="8"/>
      <c r="I799" s="8"/>
      <c r="J799" s="8"/>
      <c r="K799" s="8"/>
      <c r="L799" s="56"/>
      <c r="M799" s="26"/>
      <c r="N799" s="26"/>
      <c r="O799" s="26"/>
      <c r="P799" s="1"/>
      <c r="Q799" s="1"/>
      <c r="R799" s="8"/>
      <c r="S799" s="1"/>
      <c r="T799" s="8"/>
      <c r="U799" s="1"/>
      <c r="V799" s="1"/>
      <c r="W799" s="1"/>
      <c r="X799" s="1"/>
    </row>
    <row r="800" spans="1:24">
      <c r="A800" s="1"/>
      <c r="B800" s="8"/>
      <c r="C800" s="8"/>
      <c r="D800" s="8"/>
      <c r="E800" s="8"/>
      <c r="F800" s="8"/>
      <c r="G800" s="8"/>
      <c r="H800" s="8"/>
      <c r="I800" s="8"/>
      <c r="J800" s="8"/>
      <c r="K800" s="8"/>
      <c r="L800" s="56"/>
      <c r="M800" s="26"/>
      <c r="N800" s="26"/>
      <c r="O800" s="26"/>
      <c r="P800" s="1"/>
      <c r="Q800" s="1"/>
      <c r="R800" s="8"/>
      <c r="S800" s="1"/>
      <c r="T800" s="8"/>
      <c r="U800" s="1"/>
      <c r="V800" s="1"/>
      <c r="W800" s="1"/>
      <c r="X800" s="1"/>
    </row>
    <row r="801" spans="1:24">
      <c r="A801" s="1"/>
      <c r="B801" s="8"/>
      <c r="C801" s="8"/>
      <c r="D801" s="8"/>
      <c r="E801" s="8"/>
      <c r="F801" s="8"/>
      <c r="G801" s="8"/>
      <c r="H801" s="8"/>
      <c r="I801" s="8"/>
      <c r="J801" s="8"/>
      <c r="K801" s="8"/>
      <c r="L801" s="56"/>
      <c r="M801" s="26"/>
      <c r="N801" s="26"/>
      <c r="O801" s="26"/>
      <c r="P801" s="1"/>
      <c r="Q801" s="1"/>
      <c r="R801" s="8"/>
      <c r="S801" s="1"/>
      <c r="T801" s="8"/>
      <c r="U801" s="1"/>
      <c r="V801" s="1"/>
      <c r="W801" s="1"/>
      <c r="X801" s="1"/>
    </row>
    <row r="802" spans="1:24">
      <c r="A802" s="1"/>
      <c r="B802" s="8"/>
      <c r="C802" s="8"/>
      <c r="D802" s="8"/>
      <c r="E802" s="8"/>
      <c r="F802" s="8"/>
      <c r="G802" s="8"/>
      <c r="H802" s="8"/>
      <c r="I802" s="8"/>
      <c r="J802" s="8"/>
      <c r="K802" s="8"/>
      <c r="L802" s="56"/>
      <c r="M802" s="26"/>
      <c r="N802" s="26"/>
      <c r="O802" s="26"/>
      <c r="P802" s="1"/>
      <c r="Q802" s="1"/>
      <c r="R802" s="8"/>
      <c r="S802" s="1"/>
      <c r="T802" s="8"/>
      <c r="U802" s="1"/>
      <c r="V802" s="1"/>
      <c r="W802" s="1"/>
      <c r="X802" s="1"/>
    </row>
    <row r="803" spans="1:24">
      <c r="A803" s="1"/>
      <c r="B803" s="8"/>
      <c r="C803" s="8"/>
      <c r="D803" s="8"/>
      <c r="E803" s="8"/>
      <c r="F803" s="8"/>
      <c r="G803" s="8"/>
      <c r="H803" s="8"/>
      <c r="I803" s="8"/>
      <c r="J803" s="8"/>
      <c r="K803" s="8"/>
      <c r="L803" s="56"/>
      <c r="M803" s="26"/>
      <c r="N803" s="26"/>
      <c r="O803" s="26"/>
      <c r="P803" s="1"/>
      <c r="Q803" s="1"/>
      <c r="R803" s="8"/>
      <c r="S803" s="1"/>
      <c r="T803" s="8"/>
      <c r="U803" s="1"/>
      <c r="V803" s="1"/>
      <c r="W803" s="1"/>
      <c r="X803" s="1"/>
    </row>
    <row r="804" spans="1:24">
      <c r="A804" s="1"/>
      <c r="B804" s="8"/>
      <c r="C804" s="8"/>
      <c r="D804" s="8"/>
      <c r="E804" s="8"/>
      <c r="F804" s="8"/>
      <c r="G804" s="8"/>
      <c r="H804" s="8"/>
      <c r="I804" s="8"/>
      <c r="J804" s="8"/>
      <c r="K804" s="8"/>
      <c r="L804" s="56"/>
      <c r="M804" s="26"/>
      <c r="N804" s="26"/>
      <c r="O804" s="26"/>
      <c r="P804" s="1"/>
      <c r="Q804" s="1"/>
      <c r="R804" s="8"/>
      <c r="S804" s="1"/>
      <c r="T804" s="8"/>
      <c r="U804" s="1"/>
      <c r="V804" s="1"/>
      <c r="W804" s="1"/>
      <c r="X804" s="1"/>
    </row>
    <row r="805" spans="1:24">
      <c r="A805" s="1"/>
      <c r="B805" s="8"/>
      <c r="C805" s="8"/>
      <c r="D805" s="8"/>
      <c r="E805" s="8"/>
      <c r="F805" s="8"/>
      <c r="G805" s="8"/>
      <c r="H805" s="8"/>
      <c r="I805" s="8"/>
      <c r="J805" s="8"/>
      <c r="K805" s="8"/>
      <c r="L805" s="56"/>
      <c r="M805" s="26"/>
      <c r="N805" s="26"/>
      <c r="O805" s="26"/>
      <c r="P805" s="1"/>
      <c r="Q805" s="1"/>
      <c r="R805" s="8"/>
      <c r="S805" s="1"/>
      <c r="T805" s="8"/>
      <c r="U805" s="1"/>
      <c r="V805" s="1"/>
      <c r="W805" s="1"/>
      <c r="X805" s="1"/>
    </row>
    <row r="806" spans="1:24">
      <c r="A806" s="1"/>
      <c r="B806" s="8"/>
      <c r="C806" s="8"/>
      <c r="D806" s="8"/>
      <c r="E806" s="8"/>
      <c r="F806" s="8"/>
      <c r="G806" s="8"/>
      <c r="H806" s="8"/>
      <c r="I806" s="8"/>
      <c r="J806" s="8"/>
      <c r="K806" s="8"/>
      <c r="L806" s="56"/>
      <c r="M806" s="26"/>
      <c r="N806" s="26"/>
      <c r="O806" s="26"/>
      <c r="P806" s="1"/>
      <c r="Q806" s="1"/>
      <c r="R806" s="8"/>
      <c r="S806" s="1"/>
      <c r="T806" s="8"/>
      <c r="U806" s="1"/>
      <c r="V806" s="1"/>
      <c r="W806" s="1"/>
      <c r="X806" s="1"/>
    </row>
    <row r="807" spans="1:24">
      <c r="A807" s="1"/>
      <c r="B807" s="8"/>
      <c r="C807" s="8"/>
      <c r="D807" s="8"/>
      <c r="E807" s="8"/>
      <c r="F807" s="8"/>
      <c r="G807" s="8"/>
      <c r="H807" s="8"/>
      <c r="I807" s="8"/>
      <c r="J807" s="8"/>
      <c r="K807" s="8"/>
      <c r="L807" s="56"/>
      <c r="M807" s="26"/>
      <c r="N807" s="26"/>
      <c r="O807" s="26"/>
      <c r="P807" s="1"/>
      <c r="Q807" s="1"/>
      <c r="R807" s="8"/>
      <c r="S807" s="1"/>
      <c r="T807" s="8"/>
      <c r="U807" s="1"/>
      <c r="V807" s="1"/>
      <c r="W807" s="1"/>
      <c r="X807" s="1"/>
    </row>
    <row r="808" spans="1:24">
      <c r="A808" s="1"/>
      <c r="B808" s="8"/>
      <c r="C808" s="8"/>
      <c r="D808" s="8"/>
      <c r="E808" s="8"/>
      <c r="F808" s="8"/>
      <c r="G808" s="8"/>
      <c r="H808" s="8"/>
      <c r="I808" s="8"/>
      <c r="J808" s="8"/>
      <c r="K808" s="8"/>
      <c r="L808" s="56"/>
      <c r="M808" s="26"/>
      <c r="N808" s="26"/>
      <c r="O808" s="26"/>
      <c r="P808" s="1"/>
      <c r="Q808" s="1"/>
      <c r="R808" s="8"/>
      <c r="S808" s="1"/>
      <c r="T808" s="8"/>
      <c r="U808" s="1"/>
      <c r="V808" s="1"/>
      <c r="W808" s="1"/>
      <c r="X808" s="1"/>
    </row>
    <row r="809" spans="1:24">
      <c r="A809" s="1"/>
      <c r="B809" s="8"/>
      <c r="C809" s="8"/>
      <c r="D809" s="8"/>
      <c r="E809" s="8"/>
      <c r="F809" s="8"/>
      <c r="G809" s="8"/>
      <c r="H809" s="8"/>
      <c r="I809" s="8"/>
      <c r="J809" s="8"/>
      <c r="K809" s="8"/>
      <c r="L809" s="56"/>
      <c r="M809" s="26"/>
      <c r="N809" s="26"/>
      <c r="O809" s="26"/>
      <c r="P809" s="1"/>
      <c r="Q809" s="1"/>
      <c r="R809" s="8"/>
      <c r="S809" s="1"/>
      <c r="T809" s="8"/>
      <c r="U809" s="1"/>
      <c r="V809" s="1"/>
      <c r="W809" s="1"/>
      <c r="X809" s="1"/>
    </row>
    <row r="810" spans="1:24">
      <c r="A810" s="1"/>
      <c r="B810" s="8"/>
      <c r="C810" s="8"/>
      <c r="D810" s="8"/>
      <c r="E810" s="8"/>
      <c r="F810" s="8"/>
      <c r="G810" s="8"/>
      <c r="H810" s="8"/>
      <c r="I810" s="8"/>
      <c r="J810" s="8"/>
      <c r="K810" s="8"/>
      <c r="L810" s="56"/>
      <c r="M810" s="26"/>
      <c r="N810" s="26"/>
      <c r="O810" s="26"/>
      <c r="P810" s="1"/>
      <c r="Q810" s="1"/>
      <c r="R810" s="8"/>
      <c r="S810" s="1"/>
      <c r="T810" s="8"/>
      <c r="U810" s="1"/>
      <c r="V810" s="1"/>
      <c r="W810" s="1"/>
      <c r="X810" s="1"/>
    </row>
    <row r="811" spans="1:24">
      <c r="A811" s="1"/>
      <c r="B811" s="8"/>
      <c r="C811" s="8"/>
      <c r="D811" s="8"/>
      <c r="E811" s="8"/>
      <c r="F811" s="8"/>
      <c r="G811" s="8"/>
      <c r="H811" s="8"/>
      <c r="I811" s="8"/>
      <c r="J811" s="8"/>
      <c r="K811" s="8"/>
      <c r="L811" s="56"/>
      <c r="M811" s="26"/>
      <c r="N811" s="26"/>
      <c r="O811" s="26"/>
      <c r="P811" s="1"/>
      <c r="Q811" s="1"/>
      <c r="R811" s="8"/>
      <c r="S811" s="1"/>
      <c r="T811" s="8"/>
      <c r="U811" s="1"/>
      <c r="V811" s="1"/>
      <c r="W811" s="1"/>
      <c r="X811" s="1"/>
    </row>
    <row r="812" spans="1:24">
      <c r="A812" s="1"/>
      <c r="B812" s="8"/>
      <c r="C812" s="8"/>
      <c r="D812" s="8"/>
      <c r="E812" s="8"/>
      <c r="F812" s="8"/>
      <c r="G812" s="8"/>
      <c r="H812" s="8"/>
      <c r="I812" s="8"/>
      <c r="J812" s="8"/>
      <c r="K812" s="8"/>
      <c r="L812" s="56"/>
      <c r="M812" s="26"/>
      <c r="N812" s="26"/>
      <c r="O812" s="26"/>
      <c r="P812" s="1"/>
      <c r="Q812" s="1"/>
      <c r="R812" s="8"/>
      <c r="S812" s="1"/>
      <c r="T812" s="8"/>
      <c r="U812" s="1"/>
      <c r="V812" s="1"/>
      <c r="W812" s="1"/>
      <c r="X812" s="1"/>
    </row>
    <row r="813" spans="1:24">
      <c r="A813" s="1"/>
      <c r="B813" s="8"/>
      <c r="C813" s="8"/>
      <c r="D813" s="8"/>
      <c r="E813" s="8"/>
      <c r="F813" s="8"/>
      <c r="G813" s="8"/>
      <c r="H813" s="8"/>
      <c r="I813" s="8"/>
      <c r="J813" s="8"/>
      <c r="K813" s="8"/>
      <c r="L813" s="56"/>
      <c r="M813" s="26"/>
      <c r="N813" s="26"/>
      <c r="O813" s="26"/>
      <c r="P813" s="1"/>
      <c r="Q813" s="1"/>
      <c r="R813" s="8"/>
      <c r="S813" s="1"/>
      <c r="T813" s="8"/>
      <c r="U813" s="1"/>
      <c r="V813" s="1"/>
      <c r="W813" s="1"/>
      <c r="X813" s="1"/>
    </row>
    <row r="814" spans="1:24">
      <c r="A814" s="1"/>
      <c r="B814" s="8"/>
      <c r="C814" s="8"/>
      <c r="D814" s="8"/>
      <c r="E814" s="8"/>
      <c r="F814" s="8"/>
      <c r="G814" s="8"/>
      <c r="H814" s="8"/>
      <c r="I814" s="8"/>
      <c r="J814" s="8"/>
      <c r="K814" s="8"/>
      <c r="L814" s="56"/>
      <c r="M814" s="26"/>
      <c r="N814" s="26"/>
      <c r="O814" s="26"/>
      <c r="P814" s="1"/>
      <c r="Q814" s="1"/>
      <c r="R814" s="8"/>
      <c r="S814" s="1"/>
      <c r="T814" s="8"/>
      <c r="U814" s="1"/>
      <c r="V814" s="1"/>
      <c r="W814" s="1"/>
      <c r="X814" s="1"/>
    </row>
    <row r="815" spans="1:24">
      <c r="A815" s="1"/>
      <c r="B815" s="8"/>
      <c r="C815" s="8"/>
      <c r="D815" s="8"/>
      <c r="E815" s="8"/>
      <c r="F815" s="8"/>
      <c r="G815" s="8"/>
      <c r="H815" s="8"/>
      <c r="I815" s="8"/>
      <c r="J815" s="8"/>
      <c r="K815" s="8"/>
      <c r="L815" s="56"/>
      <c r="M815" s="26"/>
      <c r="N815" s="26"/>
      <c r="O815" s="26"/>
      <c r="P815" s="1"/>
      <c r="Q815" s="1"/>
      <c r="R815" s="8"/>
      <c r="S815" s="1"/>
      <c r="T815" s="8"/>
      <c r="U815" s="1"/>
      <c r="V815" s="1"/>
      <c r="W815" s="1"/>
      <c r="X815" s="1"/>
    </row>
    <row r="816" spans="1:24">
      <c r="A816" s="1"/>
      <c r="B816" s="8"/>
      <c r="C816" s="8"/>
      <c r="D816" s="8"/>
      <c r="E816" s="8"/>
      <c r="F816" s="8"/>
      <c r="G816" s="8"/>
      <c r="H816" s="8"/>
      <c r="I816" s="8"/>
      <c r="J816" s="8"/>
      <c r="K816" s="8"/>
      <c r="L816" s="56"/>
      <c r="M816" s="26"/>
      <c r="N816" s="26"/>
      <c r="O816" s="26"/>
      <c r="P816" s="1"/>
      <c r="Q816" s="1"/>
      <c r="R816" s="8"/>
      <c r="S816" s="1"/>
      <c r="T816" s="8"/>
      <c r="U816" s="1"/>
      <c r="V816" s="1"/>
      <c r="W816" s="1"/>
      <c r="X816" s="1"/>
    </row>
    <row r="817" spans="1:24">
      <c r="A817" s="1"/>
      <c r="B817" s="8"/>
      <c r="C817" s="8"/>
      <c r="D817" s="8"/>
      <c r="E817" s="8"/>
      <c r="F817" s="8"/>
      <c r="G817" s="8"/>
      <c r="H817" s="8"/>
      <c r="I817" s="8"/>
      <c r="J817" s="8"/>
      <c r="K817" s="8"/>
      <c r="L817" s="56"/>
      <c r="M817" s="26"/>
      <c r="N817" s="26"/>
      <c r="O817" s="26"/>
      <c r="P817" s="1"/>
      <c r="Q817" s="1"/>
      <c r="R817" s="8"/>
      <c r="S817" s="1"/>
      <c r="T817" s="8"/>
      <c r="U817" s="1"/>
      <c r="V817" s="1"/>
      <c r="W817" s="1"/>
      <c r="X817" s="1"/>
    </row>
    <row r="818" spans="1:24">
      <c r="A818" s="1"/>
      <c r="B818" s="8"/>
      <c r="C818" s="8"/>
      <c r="D818" s="8"/>
      <c r="E818" s="8"/>
      <c r="F818" s="8"/>
      <c r="G818" s="8"/>
      <c r="H818" s="8"/>
      <c r="I818" s="8"/>
      <c r="J818" s="8"/>
      <c r="K818" s="8"/>
      <c r="L818" s="56"/>
      <c r="M818" s="26"/>
      <c r="N818" s="26"/>
      <c r="O818" s="26"/>
      <c r="P818" s="1"/>
      <c r="Q818" s="1"/>
      <c r="R818" s="8"/>
      <c r="S818" s="1"/>
      <c r="T818" s="8"/>
      <c r="U818" s="1"/>
      <c r="V818" s="1"/>
      <c r="W818" s="1"/>
      <c r="X818" s="1"/>
    </row>
    <row r="819" spans="1:24">
      <c r="A819" s="1"/>
      <c r="B819" s="8"/>
      <c r="C819" s="8"/>
      <c r="D819" s="8"/>
      <c r="E819" s="8"/>
      <c r="F819" s="8"/>
      <c r="G819" s="8"/>
      <c r="H819" s="8"/>
      <c r="I819" s="8"/>
      <c r="J819" s="8"/>
      <c r="K819" s="8"/>
      <c r="L819" s="56"/>
      <c r="M819" s="26"/>
      <c r="N819" s="26"/>
      <c r="O819" s="26"/>
      <c r="P819" s="1"/>
      <c r="Q819" s="1"/>
      <c r="R819" s="8"/>
      <c r="S819" s="1"/>
      <c r="T819" s="8"/>
      <c r="U819" s="1"/>
      <c r="V819" s="1"/>
      <c r="W819" s="1"/>
      <c r="X819" s="1"/>
    </row>
    <row r="820" spans="1:24">
      <c r="A820" s="1"/>
      <c r="B820" s="8"/>
      <c r="C820" s="8"/>
      <c r="D820" s="8"/>
      <c r="E820" s="8"/>
      <c r="F820" s="8"/>
      <c r="G820" s="8"/>
      <c r="H820" s="8"/>
      <c r="I820" s="8"/>
      <c r="J820" s="8"/>
      <c r="K820" s="8"/>
      <c r="L820" s="56"/>
      <c r="M820" s="26"/>
      <c r="N820" s="26"/>
      <c r="O820" s="26"/>
      <c r="P820" s="1"/>
      <c r="Q820" s="1"/>
      <c r="R820" s="8"/>
      <c r="S820" s="1"/>
      <c r="T820" s="8"/>
      <c r="U820" s="1"/>
      <c r="V820" s="1"/>
      <c r="W820" s="1"/>
      <c r="X820" s="1"/>
    </row>
    <row r="821" spans="1:24">
      <c r="A821" s="1"/>
      <c r="B821" s="8"/>
      <c r="C821" s="8"/>
      <c r="D821" s="8"/>
      <c r="E821" s="8"/>
      <c r="F821" s="8"/>
      <c r="G821" s="8"/>
      <c r="H821" s="8"/>
      <c r="I821" s="8"/>
      <c r="J821" s="8"/>
      <c r="K821" s="8"/>
      <c r="L821" s="56"/>
      <c r="M821" s="26"/>
      <c r="N821" s="26"/>
      <c r="O821" s="26"/>
      <c r="P821" s="1"/>
      <c r="Q821" s="1"/>
      <c r="R821" s="8"/>
      <c r="S821" s="1"/>
      <c r="T821" s="8"/>
      <c r="U821" s="1"/>
      <c r="V821" s="1"/>
      <c r="W821" s="1"/>
      <c r="X821" s="1"/>
    </row>
    <row r="822" spans="1:24">
      <c r="A822" s="1"/>
      <c r="B822" s="8"/>
      <c r="C822" s="8"/>
      <c r="D822" s="8"/>
      <c r="E822" s="8"/>
      <c r="F822" s="8"/>
      <c r="G822" s="8"/>
      <c r="H822" s="8"/>
      <c r="I822" s="8"/>
      <c r="J822" s="8"/>
      <c r="K822" s="8"/>
      <c r="L822" s="56"/>
      <c r="M822" s="26"/>
      <c r="N822" s="26"/>
      <c r="O822" s="26"/>
      <c r="P822" s="1"/>
      <c r="Q822" s="1"/>
      <c r="R822" s="8"/>
      <c r="S822" s="1"/>
      <c r="T822" s="8"/>
      <c r="U822" s="1"/>
      <c r="V822" s="1"/>
      <c r="W822" s="1"/>
      <c r="X822" s="1"/>
    </row>
    <row r="823" spans="1:24">
      <c r="A823" s="1"/>
      <c r="B823" s="8"/>
      <c r="C823" s="8"/>
      <c r="D823" s="8"/>
      <c r="E823" s="8"/>
      <c r="F823" s="8"/>
      <c r="G823" s="8"/>
      <c r="H823" s="8"/>
      <c r="I823" s="8"/>
      <c r="J823" s="8"/>
      <c r="K823" s="8"/>
      <c r="L823" s="56"/>
      <c r="M823" s="26"/>
      <c r="N823" s="26"/>
      <c r="O823" s="26"/>
      <c r="P823" s="1"/>
      <c r="Q823" s="1"/>
      <c r="R823" s="8"/>
      <c r="S823" s="1"/>
      <c r="T823" s="8"/>
      <c r="U823" s="1"/>
      <c r="V823" s="1"/>
      <c r="W823" s="1"/>
      <c r="X823" s="1"/>
    </row>
    <row r="824" spans="1:24">
      <c r="A824" s="1"/>
      <c r="B824" s="8"/>
      <c r="C824" s="8"/>
      <c r="D824" s="8"/>
      <c r="E824" s="8"/>
      <c r="F824" s="8"/>
      <c r="G824" s="8"/>
      <c r="H824" s="8"/>
      <c r="I824" s="8"/>
      <c r="J824" s="8"/>
      <c r="K824" s="8"/>
      <c r="L824" s="56"/>
      <c r="M824" s="26"/>
      <c r="N824" s="26"/>
      <c r="O824" s="26"/>
      <c r="P824" s="1"/>
      <c r="Q824" s="1"/>
      <c r="R824" s="8"/>
      <c r="S824" s="1"/>
      <c r="T824" s="8"/>
      <c r="U824" s="1"/>
      <c r="V824" s="1"/>
      <c r="W824" s="1"/>
      <c r="X824" s="1"/>
    </row>
    <row r="825" spans="1:24">
      <c r="A825" s="1"/>
      <c r="B825" s="8"/>
      <c r="C825" s="8"/>
      <c r="D825" s="8"/>
      <c r="E825" s="8"/>
      <c r="F825" s="8"/>
      <c r="G825" s="8"/>
      <c r="H825" s="8"/>
      <c r="I825" s="8"/>
      <c r="J825" s="8"/>
      <c r="K825" s="8"/>
      <c r="L825" s="56"/>
      <c r="M825" s="26"/>
      <c r="N825" s="26"/>
      <c r="O825" s="26"/>
      <c r="P825" s="1"/>
      <c r="Q825" s="1"/>
      <c r="R825" s="8"/>
      <c r="S825" s="1"/>
      <c r="T825" s="8"/>
      <c r="U825" s="1"/>
      <c r="V825" s="1"/>
      <c r="W825" s="1"/>
      <c r="X825" s="1"/>
    </row>
    <row r="826" spans="1:24">
      <c r="A826" s="1"/>
      <c r="B826" s="8"/>
      <c r="C826" s="8"/>
      <c r="D826" s="8"/>
      <c r="E826" s="8"/>
      <c r="F826" s="8"/>
      <c r="G826" s="8"/>
      <c r="H826" s="8"/>
      <c r="I826" s="8"/>
      <c r="J826" s="8"/>
      <c r="K826" s="8"/>
      <c r="L826" s="56"/>
      <c r="M826" s="26"/>
      <c r="N826" s="26"/>
      <c r="O826" s="26"/>
      <c r="P826" s="1"/>
      <c r="Q826" s="1"/>
      <c r="R826" s="8"/>
      <c r="S826" s="1"/>
      <c r="T826" s="8"/>
      <c r="U826" s="1"/>
      <c r="V826" s="1"/>
      <c r="W826" s="1"/>
      <c r="X826" s="1"/>
    </row>
    <row r="827" spans="1:24">
      <c r="A827" s="1"/>
      <c r="B827" s="8"/>
      <c r="C827" s="8"/>
      <c r="D827" s="8"/>
      <c r="E827" s="8"/>
      <c r="F827" s="8"/>
      <c r="G827" s="8"/>
      <c r="H827" s="8"/>
      <c r="I827" s="8"/>
      <c r="J827" s="8"/>
      <c r="K827" s="8"/>
      <c r="L827" s="56"/>
      <c r="M827" s="26"/>
      <c r="N827" s="26"/>
      <c r="O827" s="26"/>
      <c r="P827" s="1"/>
      <c r="Q827" s="1"/>
      <c r="R827" s="8"/>
      <c r="S827" s="1"/>
      <c r="T827" s="8"/>
      <c r="U827" s="1"/>
      <c r="V827" s="1"/>
      <c r="W827" s="1"/>
      <c r="X827" s="1"/>
    </row>
    <row r="828" spans="1:24">
      <c r="A828" s="1"/>
      <c r="B828" s="8"/>
      <c r="C828" s="8"/>
      <c r="D828" s="8"/>
      <c r="E828" s="8"/>
      <c r="F828" s="8"/>
      <c r="G828" s="8"/>
      <c r="H828" s="8"/>
      <c r="I828" s="8"/>
      <c r="J828" s="8"/>
      <c r="K828" s="8"/>
      <c r="L828" s="56"/>
      <c r="M828" s="26"/>
      <c r="N828" s="26"/>
      <c r="O828" s="26"/>
      <c r="P828" s="1"/>
      <c r="Q828" s="1"/>
      <c r="R828" s="8"/>
      <c r="S828" s="1"/>
      <c r="T828" s="8"/>
      <c r="U828" s="1"/>
      <c r="V828" s="1"/>
      <c r="W828" s="1"/>
      <c r="X828" s="1"/>
    </row>
    <row r="829" spans="1:24">
      <c r="A829" s="1"/>
      <c r="B829" s="8"/>
      <c r="C829" s="8"/>
      <c r="D829" s="8"/>
      <c r="E829" s="8"/>
      <c r="F829" s="8"/>
      <c r="G829" s="8"/>
      <c r="H829" s="8"/>
      <c r="I829" s="8"/>
      <c r="J829" s="8"/>
      <c r="K829" s="8"/>
      <c r="L829" s="56"/>
      <c r="M829" s="26"/>
      <c r="N829" s="26"/>
      <c r="O829" s="26"/>
      <c r="P829" s="1"/>
      <c r="Q829" s="1"/>
      <c r="R829" s="8"/>
      <c r="S829" s="1"/>
      <c r="T829" s="8"/>
      <c r="U829" s="1"/>
      <c r="V829" s="1"/>
      <c r="W829" s="1"/>
      <c r="X829" s="1"/>
    </row>
    <row r="830" spans="1:24">
      <c r="A830" s="1"/>
      <c r="B830" s="8"/>
      <c r="C830" s="8"/>
      <c r="D830" s="8"/>
      <c r="E830" s="8"/>
      <c r="F830" s="8"/>
      <c r="G830" s="8"/>
      <c r="H830" s="8"/>
      <c r="I830" s="8"/>
      <c r="J830" s="8"/>
      <c r="K830" s="8"/>
      <c r="L830" s="56"/>
      <c r="M830" s="26"/>
      <c r="N830" s="26"/>
      <c r="O830" s="26"/>
      <c r="P830" s="1"/>
      <c r="Q830" s="1"/>
      <c r="R830" s="8"/>
      <c r="S830" s="1"/>
      <c r="T830" s="8"/>
      <c r="U830" s="1"/>
      <c r="V830" s="1"/>
      <c r="W830" s="1"/>
      <c r="X830" s="1"/>
    </row>
    <row r="831" spans="1:24">
      <c r="A831" s="1"/>
      <c r="B831" s="8"/>
      <c r="C831" s="8"/>
      <c r="D831" s="8"/>
      <c r="E831" s="8"/>
      <c r="F831" s="8"/>
      <c r="G831" s="8"/>
      <c r="H831" s="8"/>
      <c r="I831" s="8"/>
      <c r="J831" s="8"/>
      <c r="K831" s="8"/>
      <c r="L831" s="56"/>
      <c r="M831" s="26"/>
      <c r="N831" s="26"/>
      <c r="O831" s="26"/>
      <c r="P831" s="1"/>
      <c r="Q831" s="1"/>
      <c r="R831" s="8"/>
      <c r="S831" s="1"/>
      <c r="T831" s="8"/>
      <c r="U831" s="1"/>
      <c r="V831" s="1"/>
      <c r="W831" s="1"/>
      <c r="X831" s="1"/>
    </row>
    <row r="832" spans="1:24">
      <c r="A832" s="1"/>
      <c r="B832" s="8"/>
      <c r="C832" s="8"/>
      <c r="D832" s="8"/>
      <c r="E832" s="8"/>
      <c r="F832" s="8"/>
      <c r="G832" s="8"/>
      <c r="H832" s="8"/>
      <c r="I832" s="8"/>
      <c r="J832" s="8"/>
      <c r="K832" s="8"/>
      <c r="L832" s="56"/>
      <c r="M832" s="26"/>
      <c r="N832" s="26"/>
      <c r="O832" s="26"/>
      <c r="P832" s="1"/>
      <c r="Q832" s="1"/>
      <c r="R832" s="8"/>
      <c r="S832" s="1"/>
      <c r="T832" s="8"/>
      <c r="U832" s="1"/>
      <c r="V832" s="1"/>
      <c r="W832" s="1"/>
      <c r="X832" s="1"/>
    </row>
    <row r="833" spans="1:24">
      <c r="A833" s="1"/>
      <c r="B833" s="8"/>
      <c r="C833" s="8"/>
      <c r="D833" s="8"/>
      <c r="E833" s="8"/>
      <c r="F833" s="8"/>
      <c r="G833" s="8"/>
      <c r="H833" s="8"/>
      <c r="I833" s="8"/>
      <c r="J833" s="8"/>
      <c r="K833" s="8"/>
      <c r="L833" s="56"/>
      <c r="M833" s="26"/>
      <c r="N833" s="26"/>
      <c r="O833" s="26"/>
      <c r="P833" s="1"/>
      <c r="Q833" s="1"/>
      <c r="R833" s="8"/>
      <c r="S833" s="1"/>
      <c r="T833" s="8"/>
      <c r="U833" s="1"/>
      <c r="V833" s="1"/>
      <c r="W833" s="1"/>
      <c r="X833" s="1"/>
    </row>
    <row r="834" spans="1:24">
      <c r="A834" s="1"/>
      <c r="B834" s="8"/>
      <c r="C834" s="8"/>
      <c r="D834" s="8"/>
      <c r="E834" s="8"/>
      <c r="F834" s="8"/>
      <c r="G834" s="8"/>
      <c r="H834" s="8"/>
      <c r="I834" s="8"/>
      <c r="J834" s="8"/>
      <c r="K834" s="8"/>
      <c r="L834" s="56"/>
      <c r="M834" s="26"/>
      <c r="N834" s="26"/>
      <c r="O834" s="26"/>
      <c r="P834" s="1"/>
      <c r="Q834" s="1"/>
      <c r="R834" s="8"/>
      <c r="S834" s="1"/>
      <c r="T834" s="8"/>
      <c r="U834" s="1"/>
      <c r="V834" s="1"/>
      <c r="W834" s="1"/>
      <c r="X834" s="1"/>
    </row>
    <row r="835" spans="1:24">
      <c r="A835" s="1"/>
      <c r="B835" s="8"/>
      <c r="C835" s="8"/>
      <c r="D835" s="8"/>
      <c r="E835" s="8"/>
      <c r="F835" s="8"/>
      <c r="G835" s="8"/>
      <c r="H835" s="8"/>
      <c r="I835" s="8"/>
      <c r="J835" s="8"/>
      <c r="K835" s="8"/>
      <c r="L835" s="56"/>
      <c r="M835" s="26"/>
      <c r="N835" s="26"/>
      <c r="O835" s="26"/>
      <c r="P835" s="1"/>
      <c r="Q835" s="1"/>
      <c r="R835" s="8"/>
      <c r="S835" s="1"/>
      <c r="T835" s="8"/>
      <c r="U835" s="1"/>
      <c r="V835" s="1"/>
      <c r="W835" s="1"/>
      <c r="X835" s="1"/>
    </row>
    <row r="836" spans="1:24">
      <c r="A836" s="1"/>
      <c r="B836" s="8"/>
      <c r="C836" s="8"/>
      <c r="D836" s="8"/>
      <c r="E836" s="8"/>
      <c r="F836" s="8"/>
      <c r="G836" s="8"/>
      <c r="H836" s="8"/>
      <c r="I836" s="8"/>
      <c r="J836" s="8"/>
      <c r="K836" s="8"/>
      <c r="L836" s="56"/>
      <c r="M836" s="26"/>
      <c r="N836" s="26"/>
      <c r="O836" s="26"/>
      <c r="P836" s="1"/>
      <c r="Q836" s="1"/>
      <c r="R836" s="8"/>
      <c r="S836" s="1"/>
      <c r="T836" s="8"/>
      <c r="U836" s="1"/>
      <c r="V836" s="1"/>
      <c r="W836" s="1"/>
      <c r="X836" s="1"/>
    </row>
    <row r="837" spans="1:24">
      <c r="A837" s="1"/>
      <c r="B837" s="8"/>
      <c r="C837" s="8"/>
      <c r="D837" s="8"/>
      <c r="E837" s="8"/>
      <c r="F837" s="8"/>
      <c r="G837" s="8"/>
      <c r="H837" s="8"/>
      <c r="I837" s="8"/>
      <c r="J837" s="8"/>
      <c r="K837" s="8"/>
      <c r="L837" s="56"/>
      <c r="M837" s="26"/>
      <c r="N837" s="26"/>
      <c r="O837" s="26"/>
      <c r="P837" s="1"/>
      <c r="Q837" s="1"/>
      <c r="R837" s="8"/>
      <c r="S837" s="1"/>
      <c r="T837" s="8"/>
      <c r="U837" s="1"/>
      <c r="V837" s="1"/>
      <c r="W837" s="1"/>
      <c r="X837" s="1"/>
    </row>
    <row r="838" spans="1:24">
      <c r="A838" s="1"/>
      <c r="B838" s="8"/>
      <c r="C838" s="8"/>
      <c r="D838" s="8"/>
      <c r="E838" s="8"/>
      <c r="F838" s="8"/>
      <c r="G838" s="8"/>
      <c r="H838" s="8"/>
      <c r="I838" s="8"/>
      <c r="J838" s="8"/>
      <c r="K838" s="8"/>
      <c r="L838" s="56"/>
      <c r="M838" s="26"/>
      <c r="N838" s="26"/>
      <c r="O838" s="26"/>
      <c r="P838" s="1"/>
      <c r="Q838" s="1"/>
      <c r="R838" s="8"/>
      <c r="S838" s="1"/>
      <c r="T838" s="8"/>
      <c r="U838" s="1"/>
      <c r="V838" s="1"/>
      <c r="W838" s="1"/>
      <c r="X838" s="1"/>
    </row>
    <row r="839" spans="1:24">
      <c r="A839" s="1"/>
      <c r="B839" s="8"/>
      <c r="C839" s="8"/>
      <c r="D839" s="8"/>
      <c r="E839" s="8"/>
      <c r="F839" s="8"/>
      <c r="G839" s="8"/>
      <c r="H839" s="8"/>
      <c r="I839" s="8"/>
      <c r="J839" s="8"/>
      <c r="K839" s="8"/>
      <c r="L839" s="56"/>
      <c r="M839" s="26"/>
      <c r="N839" s="26"/>
      <c r="O839" s="26"/>
      <c r="P839" s="1"/>
      <c r="Q839" s="1"/>
      <c r="R839" s="8"/>
      <c r="S839" s="1"/>
      <c r="T839" s="8"/>
      <c r="U839" s="1"/>
      <c r="V839" s="1"/>
      <c r="W839" s="1"/>
      <c r="X839" s="1"/>
    </row>
    <row r="840" spans="1:24">
      <c r="A840" s="1"/>
      <c r="B840" s="8"/>
      <c r="C840" s="8"/>
      <c r="D840" s="8"/>
      <c r="E840" s="8"/>
      <c r="F840" s="8"/>
      <c r="G840" s="8"/>
      <c r="H840" s="8"/>
      <c r="I840" s="8"/>
      <c r="J840" s="8"/>
      <c r="K840" s="8"/>
      <c r="L840" s="56"/>
      <c r="M840" s="26"/>
      <c r="N840" s="26"/>
      <c r="O840" s="26"/>
      <c r="P840" s="1"/>
      <c r="Q840" s="1"/>
      <c r="R840" s="8"/>
      <c r="S840" s="1"/>
      <c r="T840" s="8"/>
      <c r="U840" s="1"/>
      <c r="V840" s="1"/>
      <c r="W840" s="1"/>
      <c r="X840" s="1"/>
    </row>
    <row r="841" spans="1:24">
      <c r="A841" s="1"/>
      <c r="B841" s="8"/>
      <c r="C841" s="8"/>
      <c r="D841" s="8"/>
      <c r="E841" s="8"/>
      <c r="F841" s="8"/>
      <c r="G841" s="8"/>
      <c r="H841" s="8"/>
      <c r="I841" s="8"/>
      <c r="J841" s="8"/>
      <c r="K841" s="8"/>
      <c r="L841" s="56"/>
      <c r="M841" s="26"/>
      <c r="N841" s="26"/>
      <c r="O841" s="26"/>
      <c r="P841" s="1"/>
      <c r="Q841" s="1"/>
      <c r="R841" s="8"/>
      <c r="S841" s="1"/>
      <c r="T841" s="8"/>
      <c r="U841" s="1"/>
      <c r="V841" s="1"/>
      <c r="W841" s="1"/>
      <c r="X841" s="1"/>
    </row>
    <row r="842" spans="1:24">
      <c r="A842" s="1"/>
      <c r="B842" s="8"/>
      <c r="C842" s="8"/>
      <c r="D842" s="8"/>
      <c r="E842" s="8"/>
      <c r="F842" s="8"/>
      <c r="G842" s="8"/>
      <c r="H842" s="8"/>
      <c r="I842" s="8"/>
      <c r="J842" s="8"/>
      <c r="K842" s="8"/>
      <c r="L842" s="56"/>
      <c r="M842" s="26"/>
      <c r="N842" s="26"/>
      <c r="O842" s="26"/>
      <c r="P842" s="1"/>
      <c r="Q842" s="1"/>
      <c r="R842" s="8"/>
      <c r="S842" s="1"/>
      <c r="T842" s="8"/>
      <c r="U842" s="1"/>
      <c r="V842" s="1"/>
      <c r="W842" s="1"/>
      <c r="X842" s="1"/>
    </row>
    <row r="843" spans="1:24">
      <c r="A843" s="1"/>
      <c r="B843" s="8"/>
      <c r="C843" s="8"/>
      <c r="D843" s="8"/>
      <c r="E843" s="8"/>
      <c r="F843" s="8"/>
      <c r="G843" s="8"/>
      <c r="H843" s="8"/>
      <c r="I843" s="8"/>
      <c r="J843" s="8"/>
      <c r="K843" s="8"/>
      <c r="L843" s="56"/>
      <c r="M843" s="26"/>
      <c r="N843" s="26"/>
      <c r="O843" s="26"/>
      <c r="P843" s="1"/>
      <c r="Q843" s="1"/>
      <c r="R843" s="8"/>
      <c r="S843" s="1"/>
      <c r="T843" s="8"/>
      <c r="U843" s="1"/>
      <c r="V843" s="1"/>
      <c r="W843" s="1"/>
      <c r="X843" s="1"/>
    </row>
    <row r="844" spans="1:24">
      <c r="A844" s="1"/>
      <c r="B844" s="8"/>
      <c r="C844" s="8"/>
      <c r="D844" s="8"/>
      <c r="E844" s="8"/>
      <c r="F844" s="8"/>
      <c r="G844" s="8"/>
      <c r="H844" s="8"/>
      <c r="I844" s="8"/>
      <c r="J844" s="8"/>
      <c r="K844" s="8"/>
      <c r="L844" s="56"/>
      <c r="M844" s="26"/>
      <c r="N844" s="26"/>
      <c r="O844" s="26"/>
      <c r="P844" s="1"/>
      <c r="Q844" s="1"/>
      <c r="R844" s="8"/>
      <c r="S844" s="1"/>
      <c r="T844" s="8"/>
      <c r="U844" s="1"/>
      <c r="V844" s="1"/>
      <c r="W844" s="1"/>
      <c r="X844" s="1"/>
    </row>
    <row r="845" spans="1:24">
      <c r="A845" s="1"/>
      <c r="B845" s="8"/>
      <c r="C845" s="8"/>
      <c r="D845" s="8"/>
      <c r="E845" s="8"/>
      <c r="F845" s="8"/>
      <c r="G845" s="8"/>
      <c r="H845" s="8"/>
      <c r="I845" s="8"/>
      <c r="J845" s="8"/>
      <c r="K845" s="8"/>
      <c r="L845" s="56"/>
      <c r="M845" s="26"/>
      <c r="N845" s="26"/>
      <c r="O845" s="26"/>
      <c r="P845" s="1"/>
      <c r="Q845" s="1"/>
      <c r="R845" s="8"/>
      <c r="S845" s="1"/>
      <c r="T845" s="8"/>
      <c r="U845" s="1"/>
      <c r="V845" s="1"/>
      <c r="W845" s="1"/>
      <c r="X845" s="1"/>
    </row>
    <row r="846" spans="1:24">
      <c r="A846" s="1"/>
      <c r="B846" s="8"/>
      <c r="C846" s="8"/>
      <c r="D846" s="8"/>
      <c r="E846" s="8"/>
      <c r="F846" s="8"/>
      <c r="G846" s="8"/>
      <c r="H846" s="8"/>
      <c r="I846" s="8"/>
      <c r="J846" s="8"/>
      <c r="K846" s="8"/>
      <c r="L846" s="56"/>
      <c r="M846" s="26"/>
      <c r="N846" s="26"/>
      <c r="O846" s="26"/>
      <c r="P846" s="1"/>
      <c r="Q846" s="1"/>
      <c r="R846" s="8"/>
      <c r="S846" s="1"/>
      <c r="T846" s="8"/>
      <c r="U846" s="1"/>
      <c r="V846" s="1"/>
      <c r="W846" s="1"/>
      <c r="X846" s="1"/>
    </row>
    <row r="847" spans="1:24">
      <c r="A847" s="1"/>
      <c r="B847" s="8"/>
      <c r="C847" s="8"/>
      <c r="D847" s="8"/>
      <c r="E847" s="8"/>
      <c r="F847" s="8"/>
      <c r="G847" s="8"/>
      <c r="H847" s="8"/>
      <c r="I847" s="8"/>
      <c r="J847" s="8"/>
      <c r="K847" s="8"/>
      <c r="L847" s="56"/>
      <c r="M847" s="26"/>
      <c r="N847" s="26"/>
      <c r="O847" s="26"/>
      <c r="P847" s="1"/>
      <c r="Q847" s="1"/>
      <c r="R847" s="8"/>
      <c r="S847" s="1"/>
      <c r="T847" s="8"/>
      <c r="U847" s="1"/>
      <c r="V847" s="1"/>
      <c r="W847" s="1"/>
      <c r="X847" s="1"/>
    </row>
    <row r="848" spans="1:24">
      <c r="A848" s="1"/>
      <c r="B848" s="8"/>
      <c r="C848" s="8"/>
      <c r="D848" s="8"/>
      <c r="E848" s="8"/>
      <c r="F848" s="8"/>
      <c r="G848" s="8"/>
      <c r="H848" s="8"/>
      <c r="I848" s="8"/>
      <c r="J848" s="8"/>
      <c r="K848" s="8"/>
      <c r="L848" s="56"/>
      <c r="M848" s="26"/>
      <c r="N848" s="26"/>
      <c r="O848" s="26"/>
      <c r="P848" s="1"/>
      <c r="Q848" s="1"/>
      <c r="R848" s="8"/>
      <c r="S848" s="1"/>
      <c r="T848" s="8"/>
      <c r="U848" s="1"/>
      <c r="V848" s="1"/>
      <c r="W848" s="1"/>
      <c r="X848" s="1"/>
    </row>
    <row r="849" spans="1:24">
      <c r="A849" s="1"/>
      <c r="B849" s="8"/>
      <c r="C849" s="8"/>
      <c r="D849" s="8"/>
      <c r="E849" s="8"/>
      <c r="F849" s="8"/>
      <c r="G849" s="8"/>
      <c r="H849" s="8"/>
      <c r="I849" s="8"/>
      <c r="J849" s="8"/>
      <c r="K849" s="8"/>
      <c r="L849" s="56"/>
      <c r="M849" s="26"/>
      <c r="N849" s="26"/>
      <c r="O849" s="26"/>
      <c r="P849" s="1"/>
      <c r="Q849" s="1"/>
      <c r="R849" s="8"/>
      <c r="S849" s="1"/>
      <c r="T849" s="8"/>
      <c r="U849" s="1"/>
      <c r="V849" s="1"/>
      <c r="W849" s="1"/>
      <c r="X849" s="1"/>
    </row>
    <row r="850" spans="1:24">
      <c r="A850" s="1"/>
      <c r="B850" s="8"/>
      <c r="C850" s="8"/>
      <c r="D850" s="8"/>
      <c r="E850" s="8"/>
      <c r="F850" s="8"/>
      <c r="G850" s="8"/>
      <c r="H850" s="8"/>
      <c r="I850" s="8"/>
      <c r="J850" s="8"/>
      <c r="K850" s="8"/>
      <c r="L850" s="56"/>
      <c r="M850" s="26"/>
      <c r="N850" s="26"/>
      <c r="O850" s="26"/>
      <c r="P850" s="1"/>
      <c r="Q850" s="1"/>
      <c r="R850" s="8"/>
      <c r="S850" s="1"/>
      <c r="T850" s="8"/>
      <c r="U850" s="1"/>
      <c r="V850" s="1"/>
      <c r="W850" s="1"/>
      <c r="X850" s="1"/>
    </row>
    <row r="851" spans="1:24">
      <c r="A851" s="1"/>
      <c r="B851" s="8"/>
      <c r="C851" s="8"/>
      <c r="D851" s="8"/>
      <c r="E851" s="8"/>
      <c r="F851" s="8"/>
      <c r="G851" s="8"/>
      <c r="H851" s="8"/>
      <c r="I851" s="8"/>
      <c r="J851" s="8"/>
      <c r="K851" s="8"/>
      <c r="L851" s="56"/>
      <c r="M851" s="26"/>
      <c r="N851" s="26"/>
      <c r="O851" s="26"/>
      <c r="P851" s="1"/>
      <c r="Q851" s="1"/>
      <c r="R851" s="8"/>
      <c r="S851" s="1"/>
      <c r="T851" s="8"/>
      <c r="U851" s="1"/>
      <c r="V851" s="1"/>
      <c r="W851" s="1"/>
      <c r="X851" s="1"/>
    </row>
    <row r="852" spans="1:24">
      <c r="A852" s="1"/>
      <c r="B852" s="8"/>
      <c r="C852" s="8"/>
      <c r="D852" s="8"/>
      <c r="E852" s="8"/>
      <c r="F852" s="8"/>
      <c r="G852" s="8"/>
      <c r="H852" s="8"/>
      <c r="I852" s="8"/>
      <c r="J852" s="8"/>
      <c r="K852" s="8"/>
      <c r="L852" s="56"/>
      <c r="M852" s="26"/>
      <c r="N852" s="26"/>
      <c r="O852" s="26"/>
      <c r="P852" s="1"/>
      <c r="Q852" s="1"/>
      <c r="R852" s="8"/>
      <c r="S852" s="1"/>
      <c r="T852" s="8"/>
      <c r="U852" s="1"/>
      <c r="V852" s="1"/>
      <c r="W852" s="1"/>
      <c r="X852" s="1"/>
    </row>
    <row r="853" spans="1:24">
      <c r="A853" s="1"/>
      <c r="B853" s="8"/>
      <c r="C853" s="8"/>
      <c r="D853" s="8"/>
      <c r="E853" s="8"/>
      <c r="F853" s="8"/>
      <c r="G853" s="8"/>
      <c r="H853" s="8"/>
      <c r="I853" s="8"/>
      <c r="J853" s="8"/>
      <c r="K853" s="8"/>
      <c r="L853" s="56"/>
      <c r="M853" s="26"/>
      <c r="N853" s="26"/>
      <c r="O853" s="26"/>
      <c r="P853" s="1"/>
      <c r="Q853" s="1"/>
      <c r="R853" s="8"/>
      <c r="S853" s="1"/>
      <c r="T853" s="8"/>
      <c r="U853" s="1"/>
      <c r="V853" s="1"/>
      <c r="W853" s="1"/>
      <c r="X853" s="1"/>
    </row>
    <row r="854" spans="1:24">
      <c r="A854" s="1"/>
      <c r="B854" s="8"/>
      <c r="C854" s="8"/>
      <c r="D854" s="8"/>
      <c r="E854" s="8"/>
      <c r="F854" s="8"/>
      <c r="G854" s="8"/>
      <c r="H854" s="8"/>
      <c r="I854" s="8"/>
      <c r="J854" s="8"/>
      <c r="K854" s="8"/>
      <c r="L854" s="56"/>
      <c r="M854" s="26"/>
      <c r="N854" s="26"/>
      <c r="O854" s="26"/>
      <c r="P854" s="1"/>
      <c r="Q854" s="1"/>
      <c r="R854" s="8"/>
      <c r="S854" s="1"/>
      <c r="T854" s="8"/>
      <c r="U854" s="1"/>
      <c r="V854" s="1"/>
      <c r="W854" s="1"/>
      <c r="X854" s="1"/>
    </row>
    <row r="855" spans="1:24">
      <c r="A855" s="1"/>
      <c r="B855" s="8"/>
      <c r="C855" s="8"/>
      <c r="D855" s="8"/>
      <c r="E855" s="8"/>
      <c r="F855" s="8"/>
      <c r="G855" s="8"/>
      <c r="H855" s="8"/>
      <c r="I855" s="8"/>
      <c r="J855" s="8"/>
      <c r="K855" s="8"/>
      <c r="L855" s="56"/>
      <c r="M855" s="26"/>
      <c r="N855" s="26"/>
      <c r="O855" s="26"/>
      <c r="P855" s="1"/>
      <c r="Q855" s="1"/>
      <c r="R855" s="8"/>
      <c r="S855" s="1"/>
      <c r="T855" s="8"/>
      <c r="U855" s="1"/>
      <c r="V855" s="1"/>
      <c r="W855" s="1"/>
      <c r="X855" s="1"/>
    </row>
    <row r="856" spans="1:24">
      <c r="A856" s="1"/>
      <c r="B856" s="8"/>
      <c r="C856" s="8"/>
      <c r="D856" s="8"/>
      <c r="E856" s="8"/>
      <c r="F856" s="8"/>
      <c r="G856" s="8"/>
      <c r="H856" s="8"/>
      <c r="I856" s="8"/>
      <c r="J856" s="8"/>
      <c r="K856" s="8"/>
      <c r="L856" s="56"/>
      <c r="M856" s="26"/>
      <c r="N856" s="26"/>
      <c r="O856" s="26"/>
      <c r="P856" s="1"/>
      <c r="Q856" s="1"/>
      <c r="R856" s="8"/>
      <c r="S856" s="1"/>
      <c r="T856" s="8"/>
      <c r="U856" s="1"/>
      <c r="V856" s="1"/>
      <c r="W856" s="1"/>
      <c r="X856" s="1"/>
    </row>
    <row r="857" spans="1:24">
      <c r="A857" s="1"/>
      <c r="B857" s="8"/>
      <c r="C857" s="8"/>
      <c r="D857" s="8"/>
      <c r="E857" s="8"/>
      <c r="F857" s="8"/>
      <c r="G857" s="8"/>
      <c r="H857" s="8"/>
      <c r="I857" s="8"/>
      <c r="J857" s="8"/>
      <c r="K857" s="8"/>
      <c r="L857" s="56"/>
      <c r="M857" s="26"/>
      <c r="N857" s="26"/>
      <c r="O857" s="26"/>
      <c r="P857" s="1"/>
      <c r="Q857" s="1"/>
      <c r="R857" s="8"/>
      <c r="S857" s="1"/>
      <c r="T857" s="8"/>
      <c r="U857" s="1"/>
      <c r="V857" s="1"/>
      <c r="W857" s="1"/>
      <c r="X857" s="1"/>
    </row>
    <row r="858" spans="1:24">
      <c r="A858" s="1"/>
      <c r="B858" s="8"/>
      <c r="C858" s="8"/>
      <c r="D858" s="8"/>
      <c r="E858" s="8"/>
      <c r="F858" s="8"/>
      <c r="G858" s="8"/>
      <c r="H858" s="8"/>
      <c r="I858" s="8"/>
      <c r="J858" s="8"/>
      <c r="K858" s="8"/>
      <c r="L858" s="56"/>
      <c r="M858" s="26"/>
      <c r="N858" s="26"/>
      <c r="O858" s="26"/>
      <c r="P858" s="1"/>
      <c r="Q858" s="1"/>
      <c r="R858" s="8"/>
      <c r="S858" s="1"/>
      <c r="T858" s="8"/>
      <c r="U858" s="1"/>
      <c r="V858" s="1"/>
      <c r="W858" s="1"/>
      <c r="X858" s="1"/>
    </row>
    <row r="859" spans="1:24">
      <c r="A859" s="1"/>
      <c r="B859" s="8"/>
      <c r="C859" s="8"/>
      <c r="D859" s="8"/>
      <c r="E859" s="8"/>
      <c r="F859" s="8"/>
      <c r="G859" s="8"/>
      <c r="H859" s="8"/>
      <c r="I859" s="8"/>
      <c r="J859" s="8"/>
      <c r="K859" s="8"/>
      <c r="L859" s="56"/>
      <c r="M859" s="26"/>
      <c r="N859" s="26"/>
      <c r="O859" s="26"/>
      <c r="P859" s="1"/>
      <c r="Q859" s="1"/>
      <c r="R859" s="8"/>
      <c r="S859" s="1"/>
      <c r="T859" s="8"/>
      <c r="U859" s="1"/>
      <c r="V859" s="1"/>
      <c r="W859" s="1"/>
      <c r="X859" s="1"/>
    </row>
    <row r="860" spans="1:24">
      <c r="A860" s="1"/>
      <c r="B860" s="8"/>
      <c r="C860" s="8"/>
      <c r="D860" s="8"/>
      <c r="E860" s="8"/>
      <c r="F860" s="8"/>
      <c r="G860" s="8"/>
      <c r="H860" s="8"/>
      <c r="I860" s="8"/>
      <c r="J860" s="8"/>
      <c r="K860" s="8"/>
      <c r="L860" s="56"/>
      <c r="M860" s="26"/>
      <c r="N860" s="26"/>
      <c r="O860" s="26"/>
      <c r="P860" s="1"/>
      <c r="Q860" s="1"/>
      <c r="R860" s="8"/>
      <c r="S860" s="1"/>
      <c r="T860" s="8"/>
      <c r="U860" s="1"/>
      <c r="V860" s="1"/>
      <c r="W860" s="1"/>
      <c r="X860" s="1"/>
    </row>
    <row r="861" spans="1:24">
      <c r="A861" s="1"/>
      <c r="B861" s="8"/>
      <c r="C861" s="8"/>
      <c r="D861" s="8"/>
      <c r="E861" s="8"/>
      <c r="F861" s="8"/>
      <c r="G861" s="8"/>
      <c r="H861" s="8"/>
      <c r="I861" s="8"/>
      <c r="J861" s="8"/>
      <c r="K861" s="8"/>
      <c r="L861" s="56"/>
      <c r="M861" s="26"/>
      <c r="N861" s="26"/>
      <c r="O861" s="26"/>
      <c r="P861" s="1"/>
      <c r="Q861" s="1"/>
      <c r="R861" s="8"/>
      <c r="S861" s="1"/>
      <c r="T861" s="8"/>
      <c r="U861" s="1"/>
      <c r="V861" s="1"/>
      <c r="W861" s="1"/>
      <c r="X861" s="1"/>
    </row>
    <row r="862" spans="1:24">
      <c r="A862" s="1"/>
      <c r="B862" s="8"/>
      <c r="C862" s="8"/>
      <c r="D862" s="8"/>
      <c r="E862" s="8"/>
      <c r="F862" s="8"/>
      <c r="G862" s="8"/>
      <c r="H862" s="8"/>
      <c r="I862" s="8"/>
      <c r="J862" s="8"/>
      <c r="K862" s="8"/>
      <c r="L862" s="56"/>
      <c r="M862" s="26"/>
      <c r="N862" s="26"/>
      <c r="O862" s="26"/>
      <c r="P862" s="1"/>
      <c r="Q862" s="1"/>
      <c r="R862" s="8"/>
      <c r="S862" s="1"/>
      <c r="T862" s="8"/>
      <c r="U862" s="1"/>
      <c r="V862" s="1"/>
      <c r="W862" s="1"/>
      <c r="X862" s="1"/>
    </row>
    <row r="863" spans="1:24">
      <c r="A863" s="1"/>
      <c r="B863" s="8"/>
      <c r="C863" s="8"/>
      <c r="D863" s="8"/>
      <c r="E863" s="8"/>
      <c r="F863" s="8"/>
      <c r="G863" s="8"/>
      <c r="H863" s="8"/>
      <c r="I863" s="8"/>
      <c r="J863" s="8"/>
      <c r="K863" s="8"/>
      <c r="L863" s="56"/>
      <c r="M863" s="26"/>
      <c r="N863" s="26"/>
      <c r="O863" s="26"/>
      <c r="P863" s="1"/>
      <c r="Q863" s="1"/>
      <c r="R863" s="8"/>
      <c r="S863" s="1"/>
      <c r="T863" s="8"/>
      <c r="U863" s="1"/>
      <c r="V863" s="1"/>
      <c r="W863" s="1"/>
      <c r="X863" s="1"/>
    </row>
    <row r="864" spans="1:24">
      <c r="A864" s="1"/>
      <c r="B864" s="8"/>
      <c r="C864" s="8"/>
      <c r="D864" s="8"/>
      <c r="E864" s="8"/>
      <c r="F864" s="8"/>
      <c r="G864" s="8"/>
      <c r="H864" s="8"/>
      <c r="I864" s="8"/>
      <c r="J864" s="8"/>
      <c r="K864" s="8"/>
      <c r="L864" s="56"/>
      <c r="M864" s="26"/>
      <c r="N864" s="26"/>
      <c r="O864" s="26"/>
      <c r="P864" s="1"/>
      <c r="Q864" s="1"/>
      <c r="R864" s="8"/>
      <c r="S864" s="1"/>
      <c r="T864" s="8"/>
      <c r="U864" s="1"/>
      <c r="V864" s="1"/>
      <c r="W864" s="1"/>
      <c r="X864" s="1"/>
    </row>
    <row r="865" spans="1:24">
      <c r="A865" s="1"/>
      <c r="B865" s="8"/>
      <c r="C865" s="8"/>
      <c r="D865" s="8"/>
      <c r="E865" s="8"/>
      <c r="F865" s="8"/>
      <c r="G865" s="8"/>
      <c r="H865" s="8"/>
      <c r="I865" s="8"/>
      <c r="J865" s="8"/>
      <c r="K865" s="8"/>
      <c r="L865" s="56"/>
      <c r="M865" s="26"/>
      <c r="N865" s="26"/>
      <c r="O865" s="26"/>
      <c r="P865" s="1"/>
      <c r="Q865" s="1"/>
      <c r="R865" s="8"/>
      <c r="S865" s="1"/>
      <c r="T865" s="8"/>
      <c r="U865" s="1"/>
      <c r="V865" s="1"/>
      <c r="W865" s="1"/>
      <c r="X865" s="1"/>
    </row>
    <row r="866" spans="1:24">
      <c r="A866" s="1"/>
      <c r="B866" s="8"/>
      <c r="C866" s="8"/>
      <c r="D866" s="8"/>
      <c r="E866" s="8"/>
      <c r="F866" s="8"/>
      <c r="G866" s="8"/>
      <c r="H866" s="8"/>
      <c r="I866" s="8"/>
      <c r="J866" s="8"/>
      <c r="K866" s="8"/>
      <c r="L866" s="56"/>
      <c r="M866" s="26"/>
      <c r="N866" s="26"/>
      <c r="O866" s="26"/>
      <c r="P866" s="1"/>
      <c r="Q866" s="1"/>
      <c r="R866" s="8"/>
      <c r="S866" s="1"/>
      <c r="T866" s="8"/>
      <c r="U866" s="1"/>
      <c r="V866" s="1"/>
      <c r="W866" s="1"/>
      <c r="X866" s="1"/>
    </row>
    <row r="867" spans="1:24">
      <c r="A867" s="1"/>
      <c r="B867" s="8"/>
      <c r="C867" s="8"/>
      <c r="D867" s="8"/>
      <c r="E867" s="8"/>
      <c r="F867" s="8"/>
      <c r="G867" s="8"/>
      <c r="H867" s="8"/>
      <c r="I867" s="8"/>
      <c r="J867" s="8"/>
      <c r="K867" s="8"/>
      <c r="L867" s="56"/>
      <c r="M867" s="26"/>
      <c r="N867" s="26"/>
      <c r="O867" s="26"/>
      <c r="P867" s="1"/>
      <c r="Q867" s="1"/>
      <c r="R867" s="8"/>
      <c r="S867" s="1"/>
      <c r="T867" s="8"/>
      <c r="U867" s="1"/>
      <c r="V867" s="1"/>
      <c r="W867" s="1"/>
      <c r="X867" s="1"/>
    </row>
    <row r="868" spans="1:24">
      <c r="A868" s="1"/>
      <c r="B868" s="8"/>
      <c r="C868" s="8"/>
      <c r="D868" s="8"/>
      <c r="E868" s="8"/>
      <c r="F868" s="8"/>
      <c r="G868" s="8"/>
      <c r="H868" s="8"/>
      <c r="I868" s="8"/>
      <c r="J868" s="8"/>
      <c r="K868" s="8"/>
      <c r="L868" s="56"/>
      <c r="M868" s="26"/>
      <c r="N868" s="26"/>
      <c r="O868" s="26"/>
      <c r="P868" s="1"/>
      <c r="Q868" s="1"/>
      <c r="R868" s="8"/>
      <c r="S868" s="1"/>
      <c r="T868" s="8"/>
      <c r="U868" s="1"/>
      <c r="V868" s="1"/>
      <c r="W868" s="1"/>
      <c r="X868" s="1"/>
    </row>
    <row r="869" spans="1:24">
      <c r="A869" s="1"/>
      <c r="B869" s="8"/>
      <c r="C869" s="8"/>
      <c r="D869" s="8"/>
      <c r="E869" s="8"/>
      <c r="F869" s="8"/>
      <c r="G869" s="8"/>
      <c r="H869" s="8"/>
      <c r="I869" s="8"/>
      <c r="J869" s="8"/>
      <c r="K869" s="8"/>
      <c r="L869" s="56"/>
      <c r="M869" s="26"/>
      <c r="N869" s="26"/>
      <c r="O869" s="26"/>
      <c r="P869" s="1"/>
      <c r="Q869" s="1"/>
      <c r="R869" s="8"/>
      <c r="S869" s="1"/>
      <c r="T869" s="8"/>
      <c r="U869" s="1"/>
      <c r="V869" s="1"/>
      <c r="W869" s="1"/>
      <c r="X869" s="1"/>
    </row>
    <row r="870" spans="1:24">
      <c r="A870" s="1"/>
      <c r="B870" s="8"/>
      <c r="C870" s="8"/>
      <c r="D870" s="8"/>
      <c r="E870" s="8"/>
      <c r="F870" s="8"/>
      <c r="G870" s="8"/>
      <c r="H870" s="8"/>
      <c r="I870" s="8"/>
      <c r="J870" s="8"/>
      <c r="K870" s="8"/>
      <c r="L870" s="56"/>
      <c r="M870" s="26"/>
      <c r="N870" s="26"/>
      <c r="O870" s="26"/>
      <c r="P870" s="1"/>
      <c r="Q870" s="1"/>
      <c r="R870" s="8"/>
      <c r="S870" s="1"/>
      <c r="T870" s="8"/>
      <c r="U870" s="1"/>
      <c r="V870" s="1"/>
      <c r="W870" s="1"/>
      <c r="X870" s="1"/>
    </row>
    <row r="871" spans="1:24">
      <c r="A871" s="1"/>
      <c r="B871" s="8"/>
      <c r="C871" s="8"/>
      <c r="D871" s="8"/>
      <c r="E871" s="8"/>
      <c r="F871" s="8"/>
      <c r="G871" s="8"/>
      <c r="H871" s="8"/>
      <c r="I871" s="8"/>
      <c r="J871" s="8"/>
      <c r="K871" s="8"/>
      <c r="L871" s="56"/>
      <c r="M871" s="26"/>
      <c r="N871" s="26"/>
      <c r="O871" s="26"/>
      <c r="P871" s="1"/>
      <c r="Q871" s="1"/>
      <c r="R871" s="8"/>
      <c r="S871" s="1"/>
      <c r="T871" s="8"/>
      <c r="U871" s="1"/>
      <c r="V871" s="1"/>
      <c r="W871" s="1"/>
      <c r="X871" s="1"/>
    </row>
    <row r="872" spans="1:24">
      <c r="A872" s="1"/>
      <c r="B872" s="8"/>
      <c r="C872" s="8"/>
      <c r="D872" s="8"/>
      <c r="E872" s="8"/>
      <c r="F872" s="8"/>
      <c r="G872" s="8"/>
      <c r="H872" s="8"/>
      <c r="I872" s="8"/>
      <c r="J872" s="8"/>
      <c r="K872" s="8"/>
      <c r="L872" s="56"/>
      <c r="M872" s="26"/>
      <c r="N872" s="26"/>
      <c r="O872" s="26"/>
      <c r="P872" s="1"/>
      <c r="Q872" s="1"/>
      <c r="R872" s="8"/>
      <c r="S872" s="1"/>
      <c r="T872" s="8"/>
      <c r="U872" s="1"/>
      <c r="V872" s="1"/>
      <c r="W872" s="1"/>
      <c r="X872" s="1"/>
    </row>
    <row r="873" spans="1:24">
      <c r="A873" s="1"/>
      <c r="B873" s="8"/>
      <c r="C873" s="8"/>
      <c r="D873" s="8"/>
      <c r="E873" s="8"/>
      <c r="F873" s="8"/>
      <c r="G873" s="8"/>
      <c r="H873" s="8"/>
      <c r="I873" s="8"/>
      <c r="J873" s="8"/>
      <c r="K873" s="8"/>
      <c r="L873" s="56"/>
      <c r="M873" s="26"/>
      <c r="N873" s="26"/>
      <c r="O873" s="26"/>
      <c r="P873" s="1"/>
      <c r="Q873" s="1"/>
      <c r="R873" s="8"/>
      <c r="S873" s="1"/>
      <c r="T873" s="8"/>
      <c r="U873" s="1"/>
      <c r="V873" s="1"/>
      <c r="W873" s="1"/>
      <c r="X873" s="1"/>
    </row>
    <row r="874" spans="1:24">
      <c r="A874" s="1"/>
      <c r="B874" s="8"/>
      <c r="C874" s="8"/>
      <c r="D874" s="8"/>
      <c r="E874" s="8"/>
      <c r="F874" s="8"/>
      <c r="G874" s="8"/>
      <c r="H874" s="8"/>
      <c r="I874" s="8"/>
      <c r="J874" s="8"/>
      <c r="K874" s="8"/>
      <c r="L874" s="56"/>
      <c r="M874" s="26"/>
      <c r="N874" s="26"/>
      <c r="O874" s="26"/>
      <c r="P874" s="1"/>
      <c r="Q874" s="1"/>
      <c r="R874" s="8"/>
      <c r="S874" s="1"/>
      <c r="T874" s="8"/>
      <c r="U874" s="1"/>
      <c r="V874" s="1"/>
      <c r="W874" s="1"/>
      <c r="X874" s="1"/>
    </row>
    <row r="875" spans="1:24">
      <c r="A875" s="1"/>
      <c r="B875" s="8"/>
      <c r="C875" s="8"/>
      <c r="D875" s="8"/>
      <c r="E875" s="8"/>
      <c r="F875" s="8"/>
      <c r="G875" s="8"/>
      <c r="H875" s="8"/>
      <c r="I875" s="8"/>
      <c r="J875" s="8"/>
      <c r="K875" s="8"/>
      <c r="L875" s="56"/>
      <c r="M875" s="26"/>
      <c r="N875" s="26"/>
      <c r="O875" s="26"/>
      <c r="P875" s="1"/>
      <c r="Q875" s="1"/>
      <c r="R875" s="8"/>
      <c r="S875" s="1"/>
      <c r="T875" s="8"/>
      <c r="U875" s="1"/>
      <c r="V875" s="1"/>
      <c r="W875" s="1"/>
      <c r="X875" s="1"/>
    </row>
    <row r="876" spans="1:24">
      <c r="A876" s="1"/>
      <c r="B876" s="8"/>
      <c r="C876" s="8"/>
      <c r="D876" s="8"/>
      <c r="E876" s="8"/>
      <c r="F876" s="8"/>
      <c r="G876" s="8"/>
      <c r="H876" s="8"/>
      <c r="I876" s="8"/>
      <c r="J876" s="8"/>
      <c r="K876" s="8"/>
      <c r="L876" s="56"/>
      <c r="M876" s="26"/>
      <c r="N876" s="26"/>
      <c r="O876" s="26"/>
      <c r="P876" s="1"/>
      <c r="Q876" s="1"/>
      <c r="R876" s="8"/>
      <c r="S876" s="1"/>
      <c r="T876" s="8"/>
      <c r="U876" s="1"/>
      <c r="V876" s="1"/>
      <c r="W876" s="1"/>
      <c r="X876" s="1"/>
    </row>
    <row r="877" spans="1:24">
      <c r="A877" s="1"/>
      <c r="B877" s="8"/>
      <c r="C877" s="8"/>
      <c r="D877" s="8"/>
      <c r="E877" s="8"/>
      <c r="F877" s="8"/>
      <c r="G877" s="8"/>
      <c r="H877" s="8"/>
      <c r="I877" s="8"/>
      <c r="J877" s="8"/>
      <c r="K877" s="8"/>
      <c r="L877" s="56"/>
      <c r="M877" s="26"/>
      <c r="N877" s="26"/>
      <c r="O877" s="26"/>
      <c r="P877" s="1"/>
      <c r="Q877" s="1"/>
      <c r="R877" s="8"/>
      <c r="S877" s="1"/>
      <c r="T877" s="8"/>
      <c r="U877" s="1"/>
      <c r="V877" s="1"/>
      <c r="W877" s="1"/>
      <c r="X877" s="1"/>
    </row>
    <row r="878" spans="1:24">
      <c r="A878" s="1"/>
      <c r="B878" s="8"/>
      <c r="C878" s="8"/>
      <c r="D878" s="8"/>
      <c r="E878" s="8"/>
      <c r="F878" s="8"/>
      <c r="G878" s="8"/>
      <c r="H878" s="8"/>
      <c r="I878" s="8"/>
      <c r="J878" s="8"/>
      <c r="K878" s="8"/>
      <c r="L878" s="56"/>
      <c r="M878" s="26"/>
      <c r="N878" s="26"/>
      <c r="O878" s="26"/>
      <c r="P878" s="1"/>
      <c r="Q878" s="1"/>
      <c r="R878" s="8"/>
      <c r="S878" s="1"/>
      <c r="T878" s="8"/>
      <c r="U878" s="1"/>
      <c r="V878" s="1"/>
      <c r="W878" s="1"/>
      <c r="X878" s="1"/>
    </row>
    <row r="879" spans="1:24">
      <c r="A879" s="1"/>
      <c r="B879" s="8"/>
      <c r="C879" s="8"/>
      <c r="D879" s="8"/>
      <c r="E879" s="8"/>
      <c r="F879" s="8"/>
      <c r="G879" s="8"/>
      <c r="H879" s="8"/>
      <c r="I879" s="8"/>
      <c r="J879" s="8"/>
      <c r="K879" s="8"/>
      <c r="L879" s="56"/>
      <c r="M879" s="26"/>
      <c r="N879" s="26"/>
      <c r="O879" s="26"/>
      <c r="P879" s="1"/>
      <c r="Q879" s="1"/>
      <c r="R879" s="8"/>
      <c r="S879" s="1"/>
      <c r="T879" s="8"/>
      <c r="U879" s="1"/>
      <c r="V879" s="1"/>
      <c r="W879" s="1"/>
      <c r="X879" s="1"/>
    </row>
    <row r="880" spans="1:24">
      <c r="A880" s="1"/>
      <c r="B880" s="8"/>
      <c r="C880" s="8"/>
      <c r="D880" s="8"/>
      <c r="E880" s="8"/>
      <c r="F880" s="8"/>
      <c r="G880" s="8"/>
      <c r="H880" s="8"/>
      <c r="I880" s="8"/>
      <c r="J880" s="8"/>
      <c r="K880" s="8"/>
      <c r="L880" s="56"/>
      <c r="M880" s="26"/>
      <c r="N880" s="26"/>
      <c r="O880" s="26"/>
      <c r="P880" s="1"/>
      <c r="Q880" s="1"/>
      <c r="R880" s="8"/>
      <c r="S880" s="1"/>
      <c r="T880" s="8"/>
      <c r="U880" s="1"/>
      <c r="V880" s="1"/>
      <c r="W880" s="1"/>
      <c r="X880" s="1"/>
    </row>
    <row r="881" spans="1:24">
      <c r="A881" s="1"/>
      <c r="B881" s="8"/>
      <c r="C881" s="8"/>
      <c r="D881" s="8"/>
      <c r="E881" s="8"/>
      <c r="F881" s="8"/>
      <c r="G881" s="8"/>
      <c r="H881" s="8"/>
      <c r="I881" s="8"/>
      <c r="J881" s="8"/>
      <c r="K881" s="8"/>
      <c r="L881" s="56"/>
      <c r="M881" s="26"/>
      <c r="N881" s="26"/>
      <c r="O881" s="26"/>
      <c r="P881" s="1"/>
      <c r="Q881" s="1"/>
      <c r="R881" s="8"/>
      <c r="S881" s="1"/>
      <c r="T881" s="8"/>
      <c r="U881" s="1"/>
      <c r="V881" s="1"/>
      <c r="W881" s="1"/>
      <c r="X881" s="1"/>
    </row>
    <row r="882" spans="1:24">
      <c r="A882" s="1"/>
      <c r="B882" s="8"/>
      <c r="C882" s="8"/>
      <c r="D882" s="8"/>
      <c r="E882" s="8"/>
      <c r="F882" s="8"/>
      <c r="G882" s="8"/>
      <c r="H882" s="8"/>
      <c r="I882" s="8"/>
      <c r="J882" s="8"/>
      <c r="K882" s="8"/>
      <c r="L882" s="56"/>
      <c r="M882" s="26"/>
      <c r="N882" s="26"/>
      <c r="O882" s="26"/>
      <c r="P882" s="1"/>
      <c r="Q882" s="1"/>
      <c r="R882" s="8"/>
      <c r="S882" s="1"/>
      <c r="T882" s="8"/>
      <c r="U882" s="1"/>
      <c r="V882" s="1"/>
      <c r="W882" s="1"/>
      <c r="X882" s="1"/>
    </row>
    <row r="883" spans="1:24">
      <c r="A883" s="1"/>
      <c r="B883" s="8"/>
      <c r="C883" s="8"/>
      <c r="D883" s="8"/>
      <c r="E883" s="8"/>
      <c r="F883" s="8"/>
      <c r="G883" s="8"/>
      <c r="H883" s="8"/>
      <c r="I883" s="8"/>
      <c r="J883" s="8"/>
      <c r="K883" s="8"/>
      <c r="L883" s="56"/>
      <c r="M883" s="26"/>
      <c r="N883" s="26"/>
      <c r="O883" s="26"/>
      <c r="P883" s="1"/>
      <c r="Q883" s="1"/>
      <c r="R883" s="8"/>
      <c r="S883" s="1"/>
      <c r="T883" s="8"/>
      <c r="U883" s="1"/>
      <c r="V883" s="1"/>
      <c r="W883" s="1"/>
      <c r="X883" s="1"/>
    </row>
    <row r="884" spans="1:24">
      <c r="A884" s="1"/>
      <c r="B884" s="8"/>
      <c r="C884" s="8"/>
      <c r="D884" s="8"/>
      <c r="E884" s="8"/>
      <c r="F884" s="8"/>
      <c r="G884" s="8"/>
      <c r="H884" s="8"/>
      <c r="I884" s="8"/>
      <c r="J884" s="8"/>
      <c r="K884" s="8"/>
      <c r="L884" s="56"/>
      <c r="M884" s="26"/>
      <c r="N884" s="26"/>
      <c r="O884" s="26"/>
      <c r="P884" s="1"/>
      <c r="Q884" s="1"/>
      <c r="R884" s="8"/>
      <c r="S884" s="1"/>
      <c r="T884" s="8"/>
      <c r="U884" s="1"/>
      <c r="V884" s="1"/>
      <c r="W884" s="1"/>
      <c r="X884" s="1"/>
    </row>
    <row r="885" spans="1:24">
      <c r="A885" s="1"/>
      <c r="B885" s="8"/>
      <c r="C885" s="8"/>
      <c r="D885" s="8"/>
      <c r="E885" s="8"/>
      <c r="F885" s="8"/>
      <c r="G885" s="8"/>
      <c r="H885" s="8"/>
      <c r="I885" s="8"/>
      <c r="J885" s="8"/>
      <c r="K885" s="8"/>
      <c r="L885" s="56"/>
      <c r="M885" s="26"/>
      <c r="N885" s="26"/>
      <c r="O885" s="26"/>
      <c r="P885" s="1"/>
      <c r="Q885" s="1"/>
      <c r="R885" s="8"/>
      <c r="S885" s="1"/>
      <c r="T885" s="8"/>
      <c r="U885" s="1"/>
      <c r="V885" s="1"/>
      <c r="W885" s="1"/>
      <c r="X885" s="1"/>
    </row>
    <row r="886" spans="1:24">
      <c r="A886" s="1"/>
      <c r="B886" s="8"/>
      <c r="C886" s="8"/>
      <c r="D886" s="8"/>
      <c r="E886" s="8"/>
      <c r="F886" s="8"/>
      <c r="G886" s="8"/>
      <c r="H886" s="8"/>
      <c r="I886" s="8"/>
      <c r="J886" s="8"/>
      <c r="K886" s="8"/>
      <c r="L886" s="56"/>
      <c r="M886" s="26"/>
      <c r="N886" s="26"/>
      <c r="O886" s="26"/>
      <c r="P886" s="1"/>
      <c r="Q886" s="1"/>
      <c r="R886" s="8"/>
      <c r="S886" s="1"/>
      <c r="T886" s="8"/>
      <c r="U886" s="1"/>
      <c r="V886" s="1"/>
      <c r="W886" s="1"/>
      <c r="X886" s="1"/>
    </row>
    <row r="887" spans="1:24">
      <c r="A887" s="1"/>
      <c r="B887" s="8"/>
      <c r="C887" s="8"/>
      <c r="D887" s="8"/>
      <c r="E887" s="8"/>
      <c r="F887" s="8"/>
      <c r="G887" s="8"/>
      <c r="H887" s="8"/>
      <c r="I887" s="8"/>
      <c r="J887" s="8"/>
      <c r="K887" s="8"/>
      <c r="L887" s="56"/>
      <c r="M887" s="26"/>
      <c r="N887" s="26"/>
      <c r="O887" s="26"/>
      <c r="P887" s="1"/>
      <c r="Q887" s="1"/>
      <c r="R887" s="8"/>
      <c r="S887" s="1"/>
      <c r="T887" s="8"/>
      <c r="U887" s="1"/>
      <c r="V887" s="1"/>
      <c r="W887" s="1"/>
      <c r="X887" s="1"/>
    </row>
    <row r="888" spans="1:24">
      <c r="A888" s="1"/>
      <c r="B888" s="8"/>
      <c r="C888" s="8"/>
      <c r="D888" s="8"/>
      <c r="E888" s="8"/>
      <c r="F888" s="8"/>
      <c r="G888" s="8"/>
      <c r="H888" s="8"/>
      <c r="I888" s="8"/>
      <c r="J888" s="8"/>
      <c r="K888" s="8"/>
      <c r="L888" s="56"/>
      <c r="M888" s="26"/>
      <c r="N888" s="26"/>
      <c r="O888" s="26"/>
      <c r="P888" s="1"/>
      <c r="Q888" s="1"/>
      <c r="R888" s="8"/>
      <c r="S888" s="1"/>
      <c r="T888" s="8"/>
      <c r="U888" s="1"/>
      <c r="V888" s="1"/>
      <c r="W888" s="1"/>
      <c r="X888" s="1"/>
    </row>
    <row r="889" spans="1:24">
      <c r="A889" s="1"/>
      <c r="B889" s="8"/>
      <c r="C889" s="8"/>
      <c r="D889" s="8"/>
      <c r="E889" s="8"/>
      <c r="F889" s="8"/>
      <c r="G889" s="8"/>
      <c r="H889" s="8"/>
      <c r="I889" s="8"/>
      <c r="J889" s="8"/>
      <c r="K889" s="8"/>
      <c r="L889" s="56"/>
      <c r="M889" s="26"/>
      <c r="N889" s="26"/>
      <c r="O889" s="26"/>
      <c r="P889" s="1"/>
      <c r="Q889" s="1"/>
      <c r="R889" s="8"/>
      <c r="S889" s="1"/>
      <c r="T889" s="8"/>
      <c r="U889" s="1"/>
      <c r="V889" s="1"/>
      <c r="W889" s="1"/>
      <c r="X889" s="1"/>
    </row>
    <row r="890" spans="1:24">
      <c r="A890" s="1"/>
      <c r="B890" s="8"/>
      <c r="C890" s="8"/>
      <c r="D890" s="8"/>
      <c r="E890" s="8"/>
      <c r="F890" s="8"/>
      <c r="G890" s="8"/>
      <c r="H890" s="8"/>
      <c r="I890" s="8"/>
      <c r="J890" s="8"/>
      <c r="K890" s="8"/>
      <c r="L890" s="56"/>
      <c r="M890" s="26"/>
      <c r="N890" s="26"/>
      <c r="O890" s="26"/>
      <c r="P890" s="1"/>
      <c r="Q890" s="1"/>
      <c r="R890" s="8"/>
      <c r="S890" s="1"/>
      <c r="T890" s="8"/>
      <c r="U890" s="1"/>
      <c r="V890" s="1"/>
      <c r="W890" s="1"/>
      <c r="X890" s="1"/>
    </row>
    <row r="891" spans="1:24">
      <c r="A891" s="1"/>
      <c r="B891" s="8"/>
      <c r="C891" s="8"/>
      <c r="D891" s="8"/>
      <c r="E891" s="8"/>
      <c r="F891" s="8"/>
      <c r="G891" s="8"/>
      <c r="H891" s="8"/>
      <c r="I891" s="8"/>
      <c r="J891" s="8"/>
      <c r="K891" s="8"/>
      <c r="L891" s="56"/>
      <c r="M891" s="26"/>
      <c r="N891" s="26"/>
      <c r="O891" s="26"/>
      <c r="P891" s="1"/>
      <c r="Q891" s="1"/>
      <c r="R891" s="8"/>
      <c r="S891" s="1"/>
      <c r="T891" s="8"/>
      <c r="U891" s="1"/>
      <c r="V891" s="1"/>
      <c r="W891" s="1"/>
      <c r="X891" s="1"/>
    </row>
    <row r="892" spans="1:24">
      <c r="A892" s="1"/>
      <c r="B892" s="8"/>
      <c r="C892" s="8"/>
      <c r="D892" s="8"/>
      <c r="E892" s="8"/>
      <c r="F892" s="8"/>
      <c r="G892" s="8"/>
      <c r="H892" s="8"/>
      <c r="I892" s="8"/>
      <c r="J892" s="8"/>
      <c r="K892" s="8"/>
      <c r="L892" s="56"/>
      <c r="M892" s="26"/>
      <c r="N892" s="26"/>
      <c r="O892" s="26"/>
      <c r="P892" s="1"/>
      <c r="Q892" s="1"/>
      <c r="R892" s="8"/>
      <c r="S892" s="1"/>
      <c r="T892" s="8"/>
      <c r="U892" s="1"/>
      <c r="V892" s="1"/>
      <c r="W892" s="1"/>
      <c r="X892" s="1"/>
    </row>
    <row r="893" spans="1:24">
      <c r="A893" s="1"/>
      <c r="B893" s="8"/>
      <c r="C893" s="8"/>
      <c r="D893" s="8"/>
      <c r="E893" s="8"/>
      <c r="F893" s="8"/>
      <c r="G893" s="8"/>
      <c r="H893" s="8"/>
      <c r="I893" s="8"/>
      <c r="J893" s="8"/>
      <c r="K893" s="8"/>
      <c r="L893" s="56"/>
      <c r="M893" s="26"/>
      <c r="N893" s="26"/>
      <c r="O893" s="26"/>
      <c r="P893" s="1"/>
      <c r="Q893" s="1"/>
      <c r="R893" s="8"/>
      <c r="S893" s="1"/>
      <c r="T893" s="8"/>
      <c r="U893" s="1"/>
      <c r="V893" s="1"/>
      <c r="W893" s="1"/>
      <c r="X893" s="1"/>
    </row>
    <row r="894" spans="1:24">
      <c r="A894" s="1"/>
      <c r="B894" s="8"/>
      <c r="C894" s="8"/>
      <c r="D894" s="8"/>
      <c r="E894" s="8"/>
      <c r="F894" s="8"/>
      <c r="G894" s="8"/>
      <c r="H894" s="8"/>
      <c r="I894" s="8"/>
      <c r="J894" s="8"/>
      <c r="K894" s="8"/>
      <c r="L894" s="56"/>
      <c r="M894" s="26"/>
      <c r="N894" s="26"/>
      <c r="O894" s="26"/>
      <c r="P894" s="1"/>
      <c r="Q894" s="1"/>
      <c r="R894" s="8"/>
      <c r="S894" s="1"/>
      <c r="T894" s="8"/>
      <c r="U894" s="1"/>
      <c r="V894" s="1"/>
      <c r="W894" s="1"/>
      <c r="X894" s="1"/>
    </row>
    <row r="895" spans="1:24">
      <c r="A895" s="1"/>
      <c r="B895" s="8"/>
      <c r="C895" s="8"/>
      <c r="D895" s="8"/>
      <c r="E895" s="8"/>
      <c r="F895" s="8"/>
      <c r="G895" s="8"/>
      <c r="H895" s="8"/>
      <c r="I895" s="8"/>
      <c r="J895" s="8"/>
      <c r="K895" s="8"/>
      <c r="L895" s="56"/>
      <c r="M895" s="26"/>
      <c r="N895" s="26"/>
      <c r="O895" s="26"/>
      <c r="P895" s="1"/>
      <c r="Q895" s="1"/>
      <c r="R895" s="8"/>
      <c r="S895" s="1"/>
      <c r="T895" s="8"/>
      <c r="U895" s="1"/>
      <c r="V895" s="1"/>
      <c r="W895" s="1"/>
      <c r="X895" s="1"/>
    </row>
    <row r="896" spans="1:24">
      <c r="A896" s="1"/>
      <c r="B896" s="8"/>
      <c r="C896" s="8"/>
      <c r="D896" s="8"/>
      <c r="E896" s="8"/>
      <c r="F896" s="8"/>
      <c r="G896" s="8"/>
      <c r="H896" s="8"/>
      <c r="I896" s="8"/>
      <c r="J896" s="8"/>
      <c r="K896" s="8"/>
      <c r="L896" s="56"/>
      <c r="M896" s="26"/>
      <c r="N896" s="26"/>
      <c r="O896" s="26"/>
      <c r="P896" s="1"/>
      <c r="Q896" s="1"/>
      <c r="R896" s="8"/>
      <c r="S896" s="1"/>
      <c r="T896" s="8"/>
      <c r="U896" s="1"/>
      <c r="V896" s="1"/>
      <c r="W896" s="1"/>
      <c r="X896" s="1"/>
    </row>
    <row r="897" spans="1:24">
      <c r="A897" s="1"/>
      <c r="B897" s="8"/>
      <c r="C897" s="8"/>
      <c r="D897" s="8"/>
      <c r="E897" s="8"/>
      <c r="F897" s="8"/>
      <c r="G897" s="8"/>
      <c r="H897" s="8"/>
      <c r="I897" s="8"/>
      <c r="J897" s="8"/>
      <c r="K897" s="8"/>
      <c r="L897" s="56"/>
      <c r="M897" s="26"/>
      <c r="N897" s="26"/>
      <c r="O897" s="26"/>
      <c r="P897" s="1"/>
      <c r="Q897" s="1"/>
      <c r="R897" s="8"/>
      <c r="S897" s="1"/>
      <c r="T897" s="8"/>
      <c r="U897" s="1"/>
      <c r="V897" s="1"/>
      <c r="W897" s="1"/>
      <c r="X897" s="1"/>
    </row>
    <row r="898" spans="1:24">
      <c r="A898" s="1"/>
      <c r="B898" s="8"/>
      <c r="C898" s="8"/>
      <c r="D898" s="8"/>
      <c r="E898" s="8"/>
      <c r="F898" s="8"/>
      <c r="G898" s="8"/>
      <c r="H898" s="8"/>
      <c r="I898" s="8"/>
      <c r="J898" s="8"/>
      <c r="K898" s="8"/>
      <c r="L898" s="56"/>
      <c r="M898" s="26"/>
      <c r="N898" s="26"/>
      <c r="O898" s="26"/>
      <c r="P898" s="1"/>
      <c r="Q898" s="1"/>
      <c r="R898" s="8"/>
      <c r="S898" s="1"/>
      <c r="T898" s="8"/>
      <c r="U898" s="1"/>
      <c r="V898" s="1"/>
      <c r="W898" s="1"/>
      <c r="X898" s="1"/>
    </row>
    <row r="899" spans="1:24">
      <c r="A899" s="1"/>
      <c r="B899" s="8"/>
      <c r="C899" s="8"/>
      <c r="D899" s="8"/>
      <c r="E899" s="8"/>
      <c r="F899" s="8"/>
      <c r="G899" s="8"/>
      <c r="H899" s="8"/>
      <c r="I899" s="8"/>
      <c r="J899" s="8"/>
      <c r="K899" s="8"/>
      <c r="L899" s="56"/>
      <c r="M899" s="26"/>
      <c r="N899" s="26"/>
      <c r="O899" s="26"/>
      <c r="P899" s="1"/>
      <c r="Q899" s="1"/>
      <c r="R899" s="8"/>
      <c r="S899" s="1"/>
      <c r="T899" s="8"/>
      <c r="U899" s="1"/>
      <c r="V899" s="1"/>
      <c r="W899" s="1"/>
      <c r="X899" s="1"/>
    </row>
    <row r="900" spans="1:24">
      <c r="A900" s="1"/>
      <c r="B900" s="8"/>
      <c r="C900" s="8"/>
      <c r="D900" s="8"/>
      <c r="E900" s="8"/>
      <c r="F900" s="8"/>
      <c r="G900" s="8"/>
      <c r="H900" s="8"/>
      <c r="I900" s="8"/>
      <c r="J900" s="8"/>
      <c r="K900" s="8"/>
      <c r="L900" s="56"/>
      <c r="M900" s="26"/>
      <c r="N900" s="26"/>
      <c r="O900" s="26"/>
      <c r="P900" s="1"/>
      <c r="Q900" s="1"/>
      <c r="R900" s="8"/>
      <c r="S900" s="1"/>
      <c r="T900" s="8"/>
      <c r="U900" s="1"/>
      <c r="V900" s="1"/>
      <c r="W900" s="1"/>
      <c r="X900" s="1"/>
    </row>
    <row r="901" spans="1:24">
      <c r="A901" s="1"/>
      <c r="B901" s="8"/>
      <c r="C901" s="8"/>
      <c r="D901" s="8"/>
      <c r="E901" s="8"/>
      <c r="F901" s="8"/>
      <c r="G901" s="8"/>
      <c r="H901" s="8"/>
      <c r="I901" s="8"/>
      <c r="J901" s="8"/>
      <c r="K901" s="8"/>
      <c r="L901" s="56"/>
      <c r="M901" s="26"/>
      <c r="N901" s="26"/>
      <c r="O901" s="26"/>
      <c r="P901" s="1"/>
      <c r="Q901" s="1"/>
      <c r="R901" s="8"/>
      <c r="S901" s="1"/>
      <c r="T901" s="8"/>
      <c r="U901" s="1"/>
      <c r="V901" s="1"/>
      <c r="W901" s="1"/>
      <c r="X901" s="1"/>
    </row>
    <row r="902" spans="1:24">
      <c r="A902" s="1"/>
      <c r="B902" s="8"/>
      <c r="C902" s="8"/>
      <c r="D902" s="8"/>
      <c r="E902" s="8"/>
      <c r="F902" s="8"/>
      <c r="G902" s="8"/>
      <c r="H902" s="8"/>
      <c r="I902" s="8"/>
      <c r="J902" s="8"/>
      <c r="K902" s="8"/>
      <c r="L902" s="56"/>
      <c r="M902" s="26"/>
      <c r="N902" s="26"/>
      <c r="O902" s="26"/>
      <c r="P902" s="1"/>
      <c r="Q902" s="1"/>
      <c r="R902" s="8"/>
      <c r="S902" s="1"/>
      <c r="T902" s="8"/>
      <c r="U902" s="1"/>
      <c r="V902" s="1"/>
      <c r="W902" s="1"/>
      <c r="X902" s="1"/>
    </row>
    <row r="903" spans="1:24">
      <c r="A903" s="1"/>
      <c r="B903" s="8"/>
      <c r="C903" s="8"/>
      <c r="D903" s="8"/>
      <c r="E903" s="8"/>
      <c r="F903" s="8"/>
      <c r="G903" s="8"/>
      <c r="H903" s="8"/>
      <c r="I903" s="8"/>
      <c r="J903" s="8"/>
      <c r="K903" s="8"/>
      <c r="L903" s="56"/>
      <c r="M903" s="26"/>
      <c r="N903" s="26"/>
      <c r="O903" s="26"/>
      <c r="P903" s="1"/>
      <c r="Q903" s="1"/>
      <c r="R903" s="8"/>
      <c r="S903" s="1"/>
      <c r="T903" s="8"/>
      <c r="U903" s="1"/>
      <c r="V903" s="1"/>
      <c r="W903" s="1"/>
      <c r="X903" s="1"/>
    </row>
    <row r="904" spans="1:24">
      <c r="A904" s="1"/>
      <c r="B904" s="8"/>
      <c r="C904" s="8"/>
      <c r="D904" s="8"/>
      <c r="E904" s="8"/>
      <c r="F904" s="8"/>
      <c r="G904" s="8"/>
      <c r="H904" s="8"/>
      <c r="I904" s="8"/>
      <c r="J904" s="8"/>
      <c r="K904" s="8"/>
      <c r="L904" s="56"/>
      <c r="M904" s="26"/>
      <c r="N904" s="26"/>
      <c r="O904" s="26"/>
      <c r="P904" s="1"/>
      <c r="Q904" s="1"/>
      <c r="R904" s="8"/>
      <c r="S904" s="1"/>
      <c r="T904" s="8"/>
      <c r="U904" s="1"/>
      <c r="V904" s="1"/>
      <c r="W904" s="1"/>
      <c r="X904" s="1"/>
    </row>
    <row r="905" spans="1:24">
      <c r="A905" s="1"/>
      <c r="B905" s="8"/>
      <c r="C905" s="8"/>
      <c r="D905" s="8"/>
      <c r="E905" s="8"/>
      <c r="F905" s="8"/>
      <c r="G905" s="8"/>
      <c r="H905" s="8"/>
      <c r="I905" s="8"/>
      <c r="J905" s="8"/>
      <c r="K905" s="8"/>
      <c r="L905" s="56"/>
      <c r="M905" s="26"/>
      <c r="N905" s="26"/>
      <c r="O905" s="26"/>
      <c r="P905" s="1"/>
      <c r="Q905" s="1"/>
      <c r="R905" s="8"/>
      <c r="S905" s="1"/>
      <c r="T905" s="8"/>
      <c r="U905" s="1"/>
      <c r="V905" s="1"/>
      <c r="W905" s="1"/>
      <c r="X905" s="1"/>
    </row>
    <row r="906" spans="1:24">
      <c r="A906" s="1"/>
      <c r="B906" s="8"/>
      <c r="C906" s="8"/>
      <c r="D906" s="8"/>
      <c r="E906" s="8"/>
      <c r="F906" s="8"/>
      <c r="G906" s="8"/>
      <c r="H906" s="8"/>
      <c r="I906" s="8"/>
      <c r="J906" s="8"/>
      <c r="K906" s="8"/>
      <c r="L906" s="56"/>
      <c r="M906" s="26"/>
      <c r="N906" s="26"/>
      <c r="O906" s="26"/>
      <c r="P906" s="1"/>
      <c r="Q906" s="1"/>
      <c r="R906" s="8"/>
      <c r="S906" s="1"/>
      <c r="T906" s="8"/>
      <c r="U906" s="1"/>
      <c r="V906" s="1"/>
      <c r="W906" s="1"/>
      <c r="X906" s="1"/>
    </row>
    <row r="907" spans="1:24">
      <c r="A907" s="1"/>
      <c r="B907" s="8"/>
      <c r="C907" s="8"/>
      <c r="D907" s="8"/>
      <c r="E907" s="8"/>
      <c r="F907" s="8"/>
      <c r="G907" s="8"/>
      <c r="H907" s="8"/>
      <c r="I907" s="8"/>
      <c r="J907" s="8"/>
      <c r="K907" s="8"/>
      <c r="L907" s="56"/>
      <c r="M907" s="26"/>
      <c r="N907" s="26"/>
      <c r="O907" s="26"/>
      <c r="P907" s="1"/>
      <c r="Q907" s="1"/>
      <c r="R907" s="8"/>
      <c r="S907" s="1"/>
      <c r="T907" s="8"/>
      <c r="U907" s="1"/>
      <c r="V907" s="1"/>
      <c r="W907" s="1"/>
      <c r="X907" s="1"/>
    </row>
    <row r="908" spans="1:24">
      <c r="A908" s="1"/>
      <c r="B908" s="8"/>
      <c r="C908" s="8"/>
      <c r="D908" s="8"/>
      <c r="E908" s="8"/>
      <c r="F908" s="8"/>
      <c r="G908" s="8"/>
      <c r="H908" s="8"/>
      <c r="I908" s="8"/>
      <c r="J908" s="8"/>
      <c r="K908" s="8"/>
      <c r="L908" s="56"/>
      <c r="M908" s="26"/>
      <c r="N908" s="26"/>
      <c r="O908" s="26"/>
      <c r="P908" s="1"/>
      <c r="Q908" s="1"/>
      <c r="R908" s="8"/>
      <c r="S908" s="1"/>
      <c r="T908" s="8"/>
      <c r="U908" s="1"/>
      <c r="V908" s="1"/>
      <c r="W908" s="1"/>
      <c r="X908" s="1"/>
    </row>
    <row r="909" spans="1:24">
      <c r="A909" s="1"/>
      <c r="B909" s="8"/>
      <c r="C909" s="8"/>
      <c r="D909" s="8"/>
      <c r="E909" s="8"/>
      <c r="F909" s="8"/>
      <c r="G909" s="8"/>
      <c r="H909" s="8"/>
      <c r="I909" s="8"/>
      <c r="J909" s="8"/>
      <c r="K909" s="8"/>
      <c r="L909" s="56"/>
      <c r="M909" s="26"/>
      <c r="N909" s="26"/>
      <c r="O909" s="26"/>
      <c r="P909" s="1"/>
      <c r="Q909" s="1"/>
      <c r="R909" s="8"/>
      <c r="S909" s="1"/>
      <c r="T909" s="8"/>
      <c r="U909" s="1"/>
      <c r="V909" s="1"/>
      <c r="W909" s="1"/>
      <c r="X909" s="1"/>
    </row>
    <row r="910" spans="1:24">
      <c r="A910" s="1"/>
      <c r="B910" s="8"/>
      <c r="C910" s="8"/>
      <c r="D910" s="8"/>
      <c r="E910" s="8"/>
      <c r="F910" s="8"/>
      <c r="G910" s="8"/>
      <c r="H910" s="8"/>
      <c r="I910" s="8"/>
      <c r="J910" s="8"/>
      <c r="K910" s="8"/>
      <c r="L910" s="56"/>
      <c r="M910" s="26"/>
      <c r="N910" s="26"/>
      <c r="O910" s="26"/>
      <c r="P910" s="1"/>
      <c r="Q910" s="1"/>
      <c r="R910" s="8"/>
      <c r="S910" s="1"/>
      <c r="T910" s="8"/>
      <c r="U910" s="1"/>
      <c r="V910" s="1"/>
      <c r="W910" s="1"/>
      <c r="X910" s="1"/>
    </row>
    <row r="911" spans="1:24">
      <c r="A911" s="1"/>
      <c r="B911" s="8"/>
      <c r="C911" s="8"/>
      <c r="D911" s="8"/>
      <c r="E911" s="8"/>
      <c r="F911" s="8"/>
      <c r="G911" s="8"/>
      <c r="H911" s="8"/>
      <c r="I911" s="8"/>
      <c r="J911" s="8"/>
      <c r="K911" s="8"/>
      <c r="L911" s="56"/>
      <c r="M911" s="26"/>
      <c r="N911" s="26"/>
      <c r="O911" s="26"/>
      <c r="P911" s="1"/>
      <c r="Q911" s="1"/>
      <c r="R911" s="8"/>
      <c r="S911" s="1"/>
      <c r="T911" s="8"/>
      <c r="U911" s="1"/>
      <c r="V911" s="1"/>
      <c r="W911" s="1"/>
      <c r="X911" s="1"/>
    </row>
    <row r="912" spans="1:24">
      <c r="A912" s="1"/>
      <c r="B912" s="8"/>
      <c r="C912" s="8"/>
      <c r="D912" s="8"/>
      <c r="E912" s="8"/>
      <c r="F912" s="8"/>
      <c r="G912" s="8"/>
      <c r="H912" s="8"/>
      <c r="I912" s="8"/>
      <c r="J912" s="8"/>
      <c r="K912" s="8"/>
      <c r="L912" s="56"/>
      <c r="M912" s="26"/>
      <c r="N912" s="26"/>
      <c r="O912" s="26"/>
      <c r="P912" s="1"/>
      <c r="Q912" s="1"/>
      <c r="R912" s="8"/>
      <c r="S912" s="1"/>
      <c r="T912" s="8"/>
      <c r="U912" s="1"/>
      <c r="V912" s="1"/>
      <c r="W912" s="1"/>
      <c r="X912" s="1"/>
    </row>
    <row r="913" spans="1:24">
      <c r="A913" s="1"/>
      <c r="B913" s="8"/>
      <c r="C913" s="8"/>
      <c r="D913" s="8"/>
      <c r="E913" s="8"/>
      <c r="F913" s="8"/>
      <c r="G913" s="8"/>
      <c r="H913" s="8"/>
      <c r="I913" s="8"/>
      <c r="J913" s="8"/>
      <c r="K913" s="8"/>
      <c r="L913" s="56"/>
      <c r="M913" s="26"/>
      <c r="N913" s="26"/>
      <c r="O913" s="26"/>
      <c r="P913" s="1"/>
      <c r="Q913" s="1"/>
      <c r="R913" s="8"/>
      <c r="S913" s="1"/>
      <c r="T913" s="8"/>
      <c r="U913" s="1"/>
      <c r="V913" s="1"/>
      <c r="W913" s="1"/>
      <c r="X913" s="1"/>
    </row>
    <row r="914" spans="1:24">
      <c r="A914" s="1"/>
      <c r="B914" s="8"/>
      <c r="C914" s="8"/>
      <c r="D914" s="8"/>
      <c r="E914" s="8"/>
      <c r="F914" s="8"/>
      <c r="G914" s="8"/>
      <c r="H914" s="8"/>
      <c r="I914" s="8"/>
      <c r="J914" s="8"/>
      <c r="K914" s="8"/>
      <c r="L914" s="56"/>
      <c r="M914" s="26"/>
      <c r="N914" s="26"/>
      <c r="O914" s="26"/>
      <c r="P914" s="1"/>
      <c r="Q914" s="1"/>
      <c r="R914" s="8"/>
      <c r="S914" s="1"/>
      <c r="T914" s="8"/>
      <c r="U914" s="1"/>
      <c r="V914" s="1"/>
      <c r="W914" s="1"/>
      <c r="X914" s="1"/>
    </row>
    <row r="915" spans="1:24">
      <c r="A915" s="1"/>
      <c r="B915" s="8"/>
      <c r="C915" s="8"/>
      <c r="D915" s="8"/>
      <c r="E915" s="8"/>
      <c r="F915" s="8"/>
      <c r="G915" s="8"/>
      <c r="H915" s="8"/>
      <c r="I915" s="8"/>
      <c r="J915" s="8"/>
      <c r="K915" s="8"/>
      <c r="L915" s="56"/>
      <c r="M915" s="26"/>
      <c r="N915" s="26"/>
      <c r="O915" s="26"/>
      <c r="P915" s="1"/>
      <c r="Q915" s="1"/>
      <c r="R915" s="8"/>
      <c r="S915" s="1"/>
      <c r="T915" s="8"/>
      <c r="U915" s="1"/>
      <c r="V915" s="1"/>
      <c r="W915" s="1"/>
      <c r="X915" s="1"/>
    </row>
    <row r="916" spans="1:24">
      <c r="A916" s="1"/>
      <c r="B916" s="8"/>
      <c r="C916" s="8"/>
      <c r="D916" s="8"/>
      <c r="E916" s="8"/>
      <c r="F916" s="8"/>
      <c r="G916" s="8"/>
      <c r="H916" s="8"/>
      <c r="I916" s="8"/>
      <c r="J916" s="8"/>
      <c r="K916" s="8"/>
      <c r="L916" s="56"/>
      <c r="M916" s="26"/>
      <c r="N916" s="26"/>
      <c r="O916" s="26"/>
      <c r="P916" s="1"/>
      <c r="Q916" s="1"/>
      <c r="R916" s="8"/>
      <c r="S916" s="1"/>
      <c r="T916" s="8"/>
      <c r="U916" s="1"/>
      <c r="V916" s="1"/>
      <c r="W916" s="1"/>
      <c r="X916" s="1"/>
    </row>
    <row r="917" spans="1:24">
      <c r="A917" s="1"/>
      <c r="B917" s="8"/>
      <c r="C917" s="8"/>
      <c r="D917" s="8"/>
      <c r="E917" s="8"/>
      <c r="F917" s="8"/>
      <c r="G917" s="8"/>
      <c r="H917" s="8"/>
      <c r="I917" s="8"/>
      <c r="J917" s="8"/>
      <c r="K917" s="8"/>
      <c r="L917" s="56"/>
      <c r="M917" s="26"/>
      <c r="N917" s="26"/>
      <c r="O917" s="26"/>
      <c r="P917" s="1"/>
      <c r="Q917" s="1"/>
      <c r="R917" s="8"/>
      <c r="S917" s="1"/>
      <c r="T917" s="8"/>
      <c r="U917" s="1"/>
      <c r="V917" s="1"/>
      <c r="W917" s="1"/>
      <c r="X917" s="1"/>
    </row>
    <row r="918" spans="1:24">
      <c r="A918" s="1"/>
      <c r="B918" s="8"/>
      <c r="C918" s="8"/>
      <c r="D918" s="8"/>
      <c r="E918" s="8"/>
      <c r="F918" s="8"/>
      <c r="G918" s="8"/>
      <c r="H918" s="8"/>
      <c r="I918" s="8"/>
      <c r="J918" s="8"/>
      <c r="K918" s="8"/>
      <c r="L918" s="56"/>
      <c r="M918" s="26"/>
      <c r="N918" s="26"/>
      <c r="O918" s="26"/>
      <c r="P918" s="1"/>
      <c r="Q918" s="1"/>
      <c r="R918" s="8"/>
      <c r="S918" s="1"/>
      <c r="T918" s="8"/>
      <c r="U918" s="1"/>
      <c r="V918" s="1"/>
      <c r="W918" s="1"/>
      <c r="X918" s="1"/>
    </row>
    <row r="919" spans="1:24">
      <c r="A919" s="1"/>
      <c r="B919" s="8"/>
      <c r="C919" s="8"/>
      <c r="D919" s="8"/>
      <c r="E919" s="8"/>
      <c r="F919" s="8"/>
      <c r="G919" s="8"/>
      <c r="H919" s="8"/>
      <c r="I919" s="8"/>
      <c r="J919" s="8"/>
      <c r="K919" s="8"/>
      <c r="L919" s="56"/>
      <c r="M919" s="26"/>
      <c r="N919" s="26"/>
      <c r="O919" s="26"/>
      <c r="P919" s="1"/>
      <c r="Q919" s="1"/>
      <c r="R919" s="8"/>
      <c r="S919" s="1"/>
      <c r="T919" s="8"/>
      <c r="U919" s="1"/>
      <c r="V919" s="1"/>
      <c r="W919" s="1"/>
      <c r="X919" s="1"/>
    </row>
    <row r="920" spans="1:24">
      <c r="A920" s="1"/>
      <c r="B920" s="8"/>
      <c r="C920" s="8"/>
      <c r="D920" s="8"/>
      <c r="E920" s="8"/>
      <c r="F920" s="8"/>
      <c r="G920" s="8"/>
      <c r="H920" s="8"/>
      <c r="I920" s="8"/>
      <c r="J920" s="8"/>
      <c r="K920" s="8"/>
      <c r="L920" s="56"/>
      <c r="M920" s="26"/>
      <c r="N920" s="26"/>
      <c r="O920" s="26"/>
      <c r="P920" s="1"/>
      <c r="Q920" s="1"/>
      <c r="R920" s="8"/>
      <c r="S920" s="1"/>
      <c r="T920" s="8"/>
      <c r="U920" s="1"/>
      <c r="V920" s="1"/>
      <c r="W920" s="1"/>
      <c r="X920" s="1"/>
    </row>
    <row r="921" spans="1:24">
      <c r="A921" s="1"/>
      <c r="B921" s="8"/>
      <c r="C921" s="8"/>
      <c r="D921" s="8"/>
      <c r="E921" s="8"/>
      <c r="F921" s="8"/>
      <c r="G921" s="8"/>
      <c r="H921" s="8"/>
      <c r="I921" s="8"/>
      <c r="J921" s="8"/>
      <c r="K921" s="8"/>
      <c r="L921" s="56"/>
      <c r="M921" s="26"/>
      <c r="N921" s="26"/>
      <c r="O921" s="26"/>
      <c r="P921" s="1"/>
      <c r="Q921" s="1"/>
      <c r="R921" s="8"/>
      <c r="S921" s="1"/>
      <c r="T921" s="8"/>
      <c r="U921" s="1"/>
      <c r="V921" s="1"/>
      <c r="W921" s="1"/>
      <c r="X921" s="1"/>
    </row>
    <row r="922" spans="1:24">
      <c r="A922" s="1"/>
      <c r="B922" s="8"/>
      <c r="C922" s="8"/>
      <c r="D922" s="8"/>
      <c r="E922" s="8"/>
      <c r="F922" s="8"/>
      <c r="G922" s="8"/>
      <c r="H922" s="8"/>
      <c r="I922" s="8"/>
      <c r="J922" s="8"/>
      <c r="K922" s="8"/>
      <c r="L922" s="56"/>
      <c r="M922" s="26"/>
      <c r="N922" s="26"/>
      <c r="O922" s="26"/>
      <c r="P922" s="1"/>
      <c r="Q922" s="1"/>
      <c r="R922" s="8"/>
      <c r="S922" s="1"/>
      <c r="T922" s="8"/>
      <c r="U922" s="1"/>
      <c r="V922" s="1"/>
      <c r="W922" s="1"/>
      <c r="X922" s="1"/>
    </row>
    <row r="923" spans="1:24">
      <c r="A923" s="1"/>
      <c r="B923" s="8"/>
      <c r="C923" s="8"/>
      <c r="D923" s="8"/>
      <c r="E923" s="8"/>
      <c r="F923" s="8"/>
      <c r="G923" s="8"/>
      <c r="H923" s="8"/>
      <c r="I923" s="8"/>
      <c r="J923" s="8"/>
      <c r="K923" s="8"/>
      <c r="L923" s="56"/>
      <c r="M923" s="26"/>
      <c r="N923" s="26"/>
      <c r="O923" s="26"/>
      <c r="P923" s="1"/>
      <c r="Q923" s="1"/>
      <c r="R923" s="8"/>
      <c r="S923" s="1"/>
      <c r="T923" s="8"/>
      <c r="U923" s="1"/>
      <c r="V923" s="1"/>
      <c r="W923" s="1"/>
      <c r="X923" s="1"/>
    </row>
    <row r="924" spans="1:24">
      <c r="A924" s="1"/>
      <c r="B924" s="8"/>
      <c r="C924" s="8"/>
      <c r="D924" s="8"/>
      <c r="E924" s="8"/>
      <c r="F924" s="8"/>
      <c r="G924" s="8"/>
      <c r="H924" s="8"/>
      <c r="I924" s="8"/>
      <c r="J924" s="8"/>
      <c r="K924" s="8"/>
      <c r="L924" s="56"/>
      <c r="M924" s="26"/>
      <c r="N924" s="26"/>
      <c r="O924" s="26"/>
      <c r="P924" s="1"/>
      <c r="Q924" s="1"/>
      <c r="R924" s="8"/>
      <c r="S924" s="1"/>
      <c r="T924" s="8"/>
      <c r="U924" s="1"/>
      <c r="V924" s="1"/>
      <c r="W924" s="1"/>
      <c r="X924" s="1"/>
    </row>
    <row r="925" spans="1:24">
      <c r="A925" s="1"/>
      <c r="B925" s="8"/>
      <c r="C925" s="8"/>
      <c r="D925" s="8"/>
      <c r="E925" s="8"/>
      <c r="F925" s="8"/>
      <c r="G925" s="8"/>
      <c r="H925" s="8"/>
      <c r="I925" s="8"/>
      <c r="J925" s="8"/>
      <c r="K925" s="8"/>
      <c r="L925" s="56"/>
      <c r="M925" s="26"/>
      <c r="N925" s="26"/>
      <c r="O925" s="26"/>
      <c r="P925" s="1"/>
      <c r="Q925" s="1"/>
      <c r="R925" s="8"/>
      <c r="S925" s="1"/>
      <c r="T925" s="8"/>
      <c r="U925" s="1"/>
      <c r="V925" s="1"/>
      <c r="W925" s="1"/>
      <c r="X925" s="1"/>
    </row>
    <row r="926" spans="1:24">
      <c r="A926" s="1"/>
      <c r="B926" s="8"/>
      <c r="C926" s="8"/>
      <c r="D926" s="8"/>
      <c r="E926" s="8"/>
      <c r="F926" s="8"/>
      <c r="G926" s="8"/>
      <c r="H926" s="8"/>
      <c r="I926" s="8"/>
      <c r="J926" s="8"/>
      <c r="K926" s="8"/>
      <c r="L926" s="56"/>
      <c r="M926" s="26"/>
      <c r="N926" s="26"/>
      <c r="O926" s="26"/>
      <c r="P926" s="1"/>
      <c r="Q926" s="1"/>
      <c r="R926" s="8"/>
      <c r="S926" s="1"/>
      <c r="T926" s="8"/>
      <c r="U926" s="1"/>
      <c r="V926" s="1"/>
      <c r="W926" s="1"/>
      <c r="X926" s="1"/>
    </row>
    <row r="927" spans="1:24">
      <c r="A927" s="1"/>
      <c r="B927" s="8"/>
      <c r="C927" s="8"/>
      <c r="D927" s="8"/>
      <c r="E927" s="8"/>
      <c r="F927" s="8"/>
      <c r="G927" s="8"/>
      <c r="H927" s="8"/>
      <c r="I927" s="8"/>
      <c r="J927" s="8"/>
      <c r="K927" s="8"/>
      <c r="L927" s="56"/>
      <c r="M927" s="26"/>
      <c r="N927" s="26"/>
      <c r="O927" s="26"/>
      <c r="P927" s="1"/>
      <c r="Q927" s="1"/>
      <c r="R927" s="8"/>
      <c r="S927" s="1"/>
      <c r="T927" s="8"/>
      <c r="U927" s="1"/>
      <c r="V927" s="1"/>
      <c r="W927" s="1"/>
      <c r="X927" s="1"/>
    </row>
    <row r="928" spans="1:24">
      <c r="A928" s="1"/>
      <c r="B928" s="8"/>
      <c r="C928" s="8"/>
      <c r="D928" s="8"/>
      <c r="E928" s="8"/>
      <c r="F928" s="8"/>
      <c r="G928" s="8"/>
      <c r="H928" s="8"/>
      <c r="I928" s="8"/>
      <c r="J928" s="8"/>
      <c r="K928" s="8"/>
      <c r="L928" s="56"/>
      <c r="M928" s="26"/>
      <c r="N928" s="26"/>
      <c r="O928" s="26"/>
      <c r="P928" s="1"/>
      <c r="Q928" s="1"/>
      <c r="R928" s="8"/>
      <c r="S928" s="1"/>
      <c r="T928" s="8"/>
      <c r="U928" s="1"/>
      <c r="V928" s="1"/>
      <c r="W928" s="1"/>
      <c r="X928" s="1"/>
    </row>
    <row r="929" spans="1:24">
      <c r="A929" s="1"/>
      <c r="B929" s="8"/>
      <c r="C929" s="8"/>
      <c r="D929" s="8"/>
      <c r="E929" s="8"/>
      <c r="F929" s="8"/>
      <c r="G929" s="8"/>
      <c r="H929" s="8"/>
      <c r="I929" s="8"/>
      <c r="J929" s="8"/>
      <c r="K929" s="8"/>
      <c r="L929" s="56"/>
      <c r="M929" s="26"/>
      <c r="N929" s="26"/>
      <c r="O929" s="26"/>
      <c r="P929" s="1"/>
      <c r="Q929" s="1"/>
      <c r="R929" s="8"/>
      <c r="S929" s="1"/>
      <c r="T929" s="8"/>
      <c r="U929" s="1"/>
      <c r="V929" s="1"/>
      <c r="W929" s="1"/>
      <c r="X929" s="1"/>
    </row>
    <row r="930" spans="1:24">
      <c r="A930" s="1"/>
      <c r="B930" s="8"/>
      <c r="C930" s="8"/>
      <c r="D930" s="8"/>
      <c r="E930" s="8"/>
      <c r="F930" s="8"/>
      <c r="G930" s="8"/>
      <c r="H930" s="8"/>
      <c r="I930" s="8"/>
      <c r="J930" s="8"/>
      <c r="K930" s="8"/>
      <c r="L930" s="56"/>
      <c r="M930" s="26"/>
      <c r="N930" s="26"/>
      <c r="O930" s="26"/>
      <c r="P930" s="1"/>
      <c r="Q930" s="1"/>
      <c r="R930" s="8"/>
      <c r="S930" s="1"/>
      <c r="T930" s="8"/>
      <c r="U930" s="1"/>
      <c r="V930" s="1"/>
      <c r="W930" s="1"/>
      <c r="X930" s="1"/>
    </row>
    <row r="931" spans="1:24">
      <c r="A931" s="1"/>
      <c r="B931" s="8"/>
      <c r="C931" s="8"/>
      <c r="D931" s="8"/>
      <c r="E931" s="8"/>
      <c r="F931" s="8"/>
      <c r="G931" s="8"/>
      <c r="H931" s="8"/>
      <c r="I931" s="8"/>
      <c r="J931" s="8"/>
      <c r="K931" s="8"/>
      <c r="L931" s="56"/>
      <c r="M931" s="26"/>
      <c r="N931" s="26"/>
      <c r="O931" s="26"/>
      <c r="P931" s="1"/>
      <c r="Q931" s="1"/>
      <c r="R931" s="8"/>
      <c r="S931" s="1"/>
      <c r="T931" s="8"/>
      <c r="U931" s="1"/>
      <c r="V931" s="1"/>
      <c r="W931" s="1"/>
      <c r="X931" s="1"/>
    </row>
    <row r="932" spans="1:24">
      <c r="A932" s="1"/>
      <c r="B932" s="8"/>
      <c r="C932" s="8"/>
      <c r="D932" s="8"/>
      <c r="E932" s="8"/>
      <c r="F932" s="8"/>
      <c r="G932" s="8"/>
      <c r="H932" s="8"/>
      <c r="I932" s="8"/>
      <c r="J932" s="8"/>
      <c r="K932" s="8"/>
      <c r="L932" s="56"/>
      <c r="M932" s="26"/>
      <c r="N932" s="26"/>
      <c r="O932" s="26"/>
      <c r="P932" s="1"/>
      <c r="Q932" s="1"/>
      <c r="R932" s="8"/>
      <c r="S932" s="1"/>
      <c r="T932" s="8"/>
      <c r="U932" s="1"/>
      <c r="V932" s="1"/>
      <c r="W932" s="1"/>
      <c r="X932" s="1"/>
    </row>
    <row r="933" spans="1:24">
      <c r="A933" s="1"/>
      <c r="B933" s="8"/>
      <c r="C933" s="8"/>
      <c r="D933" s="8"/>
      <c r="E933" s="8"/>
      <c r="F933" s="8"/>
      <c r="G933" s="8"/>
      <c r="H933" s="8"/>
      <c r="I933" s="8"/>
      <c r="J933" s="8"/>
      <c r="K933" s="8"/>
      <c r="L933" s="56"/>
      <c r="M933" s="26"/>
      <c r="N933" s="26"/>
      <c r="O933" s="26"/>
      <c r="P933" s="1"/>
      <c r="Q933" s="1"/>
      <c r="R933" s="8"/>
      <c r="S933" s="1"/>
      <c r="T933" s="8"/>
      <c r="U933" s="1"/>
      <c r="V933" s="1"/>
      <c r="W933" s="1"/>
      <c r="X933" s="1"/>
    </row>
    <row r="934" spans="1:24">
      <c r="A934" s="1"/>
      <c r="B934" s="8"/>
      <c r="C934" s="8"/>
      <c r="D934" s="8"/>
      <c r="E934" s="8"/>
      <c r="F934" s="8"/>
      <c r="G934" s="8"/>
      <c r="H934" s="8"/>
      <c r="I934" s="8"/>
      <c r="J934" s="8"/>
      <c r="K934" s="8"/>
      <c r="L934" s="56"/>
      <c r="M934" s="26"/>
      <c r="N934" s="26"/>
      <c r="O934" s="26"/>
      <c r="P934" s="1"/>
      <c r="Q934" s="1"/>
      <c r="R934" s="8"/>
      <c r="S934" s="1"/>
      <c r="T934" s="8"/>
      <c r="U934" s="1"/>
      <c r="V934" s="1"/>
      <c r="W934" s="1"/>
      <c r="X934" s="1"/>
    </row>
    <row r="935" spans="1:24">
      <c r="A935" s="1"/>
      <c r="B935" s="8"/>
      <c r="C935" s="8"/>
      <c r="D935" s="8"/>
      <c r="E935" s="8"/>
      <c r="F935" s="8"/>
      <c r="G935" s="8"/>
      <c r="H935" s="8"/>
      <c r="I935" s="8"/>
      <c r="J935" s="8"/>
      <c r="K935" s="8"/>
      <c r="L935" s="56"/>
      <c r="M935" s="26"/>
      <c r="N935" s="26"/>
      <c r="O935" s="26"/>
      <c r="P935" s="1"/>
      <c r="Q935" s="1"/>
      <c r="R935" s="8"/>
      <c r="S935" s="1"/>
      <c r="T935" s="8"/>
      <c r="U935" s="1"/>
      <c r="V935" s="1"/>
      <c r="W935" s="1"/>
      <c r="X935" s="1"/>
    </row>
    <row r="936" spans="1:24">
      <c r="A936" s="1"/>
      <c r="B936" s="8"/>
      <c r="C936" s="8"/>
      <c r="D936" s="8"/>
      <c r="E936" s="8"/>
      <c r="F936" s="8"/>
      <c r="G936" s="8"/>
      <c r="H936" s="8"/>
      <c r="I936" s="8"/>
      <c r="J936" s="8"/>
      <c r="K936" s="8"/>
      <c r="L936" s="56"/>
      <c r="M936" s="26"/>
      <c r="N936" s="26"/>
      <c r="O936" s="26"/>
      <c r="P936" s="1"/>
      <c r="Q936" s="1"/>
      <c r="R936" s="8"/>
      <c r="S936" s="1"/>
      <c r="T936" s="8"/>
      <c r="U936" s="1"/>
      <c r="V936" s="1"/>
      <c r="W936" s="1"/>
      <c r="X936" s="1"/>
    </row>
    <row r="937" spans="1:24">
      <c r="A937" s="1"/>
      <c r="B937" s="8"/>
      <c r="C937" s="8"/>
      <c r="D937" s="8"/>
      <c r="E937" s="8"/>
      <c r="F937" s="8"/>
      <c r="G937" s="8"/>
      <c r="H937" s="8"/>
      <c r="I937" s="8"/>
      <c r="J937" s="8"/>
      <c r="K937" s="8"/>
      <c r="L937" s="56"/>
      <c r="M937" s="26"/>
      <c r="N937" s="26"/>
      <c r="O937" s="26"/>
      <c r="P937" s="1"/>
      <c r="Q937" s="1"/>
      <c r="R937" s="8"/>
      <c r="S937" s="1"/>
      <c r="T937" s="8"/>
      <c r="U937" s="1"/>
      <c r="V937" s="1"/>
      <c r="W937" s="1"/>
      <c r="X937" s="1"/>
    </row>
    <row r="938" spans="1:24">
      <c r="A938" s="1"/>
      <c r="B938" s="8"/>
      <c r="C938" s="8"/>
      <c r="D938" s="8"/>
      <c r="E938" s="8"/>
      <c r="F938" s="8"/>
      <c r="G938" s="8"/>
      <c r="H938" s="8"/>
      <c r="I938" s="8"/>
      <c r="J938" s="8"/>
      <c r="K938" s="8"/>
      <c r="L938" s="56"/>
      <c r="M938" s="26"/>
      <c r="N938" s="26"/>
      <c r="O938" s="26"/>
      <c r="P938" s="1"/>
      <c r="Q938" s="1"/>
      <c r="R938" s="8"/>
      <c r="S938" s="1"/>
      <c r="T938" s="8"/>
      <c r="U938" s="1"/>
      <c r="V938" s="1"/>
      <c r="W938" s="1"/>
      <c r="X938" s="1"/>
    </row>
    <row r="939" spans="1:24">
      <c r="A939" s="1"/>
      <c r="B939" s="8"/>
      <c r="C939" s="8"/>
      <c r="D939" s="8"/>
      <c r="E939" s="8"/>
      <c r="F939" s="8"/>
      <c r="G939" s="8"/>
      <c r="H939" s="8"/>
      <c r="I939" s="8"/>
      <c r="J939" s="8"/>
      <c r="K939" s="8"/>
      <c r="L939" s="56"/>
      <c r="M939" s="26"/>
      <c r="N939" s="26"/>
      <c r="O939" s="26"/>
      <c r="P939" s="1"/>
      <c r="Q939" s="1"/>
      <c r="R939" s="8"/>
      <c r="S939" s="1"/>
      <c r="T939" s="8"/>
      <c r="U939" s="1"/>
      <c r="V939" s="1"/>
      <c r="W939" s="1"/>
      <c r="X939" s="1"/>
    </row>
    <row r="940" spans="1:24">
      <c r="A940" s="1"/>
      <c r="B940" s="8"/>
      <c r="C940" s="8"/>
      <c r="D940" s="8"/>
      <c r="E940" s="8"/>
      <c r="F940" s="8"/>
      <c r="G940" s="8"/>
      <c r="H940" s="8"/>
      <c r="I940" s="8"/>
      <c r="J940" s="8"/>
      <c r="K940" s="8"/>
      <c r="L940" s="56"/>
      <c r="M940" s="26"/>
      <c r="N940" s="26"/>
      <c r="O940" s="26"/>
      <c r="P940" s="1"/>
      <c r="Q940" s="1"/>
      <c r="R940" s="8"/>
      <c r="S940" s="1"/>
      <c r="T940" s="8"/>
      <c r="U940" s="1"/>
      <c r="V940" s="1"/>
      <c r="W940" s="1"/>
      <c r="X940" s="1"/>
    </row>
    <row r="941" spans="1:24">
      <c r="A941" s="1"/>
      <c r="B941" s="8"/>
      <c r="C941" s="8"/>
      <c r="D941" s="8"/>
      <c r="E941" s="8"/>
      <c r="F941" s="8"/>
      <c r="G941" s="8"/>
      <c r="H941" s="8"/>
      <c r="I941" s="8"/>
      <c r="J941" s="8"/>
      <c r="K941" s="8"/>
      <c r="L941" s="56"/>
      <c r="M941" s="26"/>
      <c r="N941" s="26"/>
      <c r="O941" s="26"/>
      <c r="P941" s="1"/>
      <c r="Q941" s="1"/>
      <c r="R941" s="8"/>
      <c r="S941" s="1"/>
      <c r="T941" s="8"/>
      <c r="U941" s="1"/>
      <c r="V941" s="1"/>
      <c r="W941" s="1"/>
      <c r="X941" s="1"/>
    </row>
    <row r="942" spans="1:24">
      <c r="A942" s="1"/>
      <c r="B942" s="8"/>
      <c r="C942" s="8"/>
      <c r="D942" s="8"/>
      <c r="E942" s="8"/>
      <c r="F942" s="8"/>
      <c r="G942" s="8"/>
      <c r="H942" s="8"/>
      <c r="I942" s="8"/>
      <c r="J942" s="8"/>
      <c r="K942" s="8"/>
      <c r="L942" s="56"/>
      <c r="M942" s="26"/>
      <c r="N942" s="26"/>
      <c r="O942" s="26"/>
      <c r="P942" s="1"/>
      <c r="Q942" s="1"/>
      <c r="R942" s="8"/>
      <c r="S942" s="1"/>
      <c r="T942" s="8"/>
      <c r="U942" s="1"/>
      <c r="V942" s="1"/>
      <c r="W942" s="1"/>
      <c r="X942" s="1"/>
    </row>
    <row r="943" spans="1:24">
      <c r="A943" s="1"/>
      <c r="B943" s="8"/>
      <c r="C943" s="8"/>
      <c r="D943" s="8"/>
      <c r="E943" s="8"/>
      <c r="F943" s="8"/>
      <c r="G943" s="8"/>
      <c r="H943" s="8"/>
      <c r="I943" s="8"/>
      <c r="J943" s="8"/>
      <c r="K943" s="8"/>
      <c r="L943" s="56"/>
      <c r="M943" s="26"/>
      <c r="N943" s="26"/>
      <c r="O943" s="26"/>
      <c r="P943" s="1"/>
      <c r="Q943" s="1"/>
      <c r="R943" s="8"/>
      <c r="S943" s="1"/>
      <c r="T943" s="8"/>
      <c r="U943" s="1"/>
      <c r="V943" s="1"/>
      <c r="W943" s="1"/>
      <c r="X943" s="1"/>
    </row>
    <row r="944" spans="1:24">
      <c r="A944" s="1"/>
      <c r="B944" s="8"/>
      <c r="C944" s="8"/>
      <c r="D944" s="8"/>
      <c r="E944" s="8"/>
      <c r="F944" s="8"/>
      <c r="G944" s="8"/>
      <c r="H944" s="8"/>
      <c r="I944" s="8"/>
      <c r="J944" s="8"/>
      <c r="K944" s="8"/>
      <c r="L944" s="56"/>
      <c r="M944" s="26"/>
      <c r="N944" s="26"/>
      <c r="O944" s="26"/>
      <c r="P944" s="1"/>
      <c r="Q944" s="1"/>
      <c r="R944" s="8"/>
      <c r="S944" s="1"/>
      <c r="T944" s="8"/>
      <c r="U944" s="1"/>
      <c r="V944" s="1"/>
      <c r="W944" s="1"/>
      <c r="X944" s="1"/>
    </row>
    <row r="945" spans="1:24">
      <c r="A945" s="1"/>
      <c r="B945" s="8"/>
      <c r="C945" s="8"/>
      <c r="D945" s="8"/>
      <c r="E945" s="8"/>
      <c r="F945" s="8"/>
      <c r="G945" s="8"/>
      <c r="H945" s="8"/>
      <c r="I945" s="8"/>
      <c r="J945" s="8"/>
      <c r="K945" s="8"/>
      <c r="L945" s="56"/>
      <c r="M945" s="26"/>
      <c r="N945" s="26"/>
      <c r="O945" s="26"/>
      <c r="P945" s="1"/>
      <c r="Q945" s="1"/>
      <c r="R945" s="8"/>
      <c r="S945" s="1"/>
      <c r="T945" s="8"/>
      <c r="U945" s="1"/>
      <c r="V945" s="1"/>
      <c r="W945" s="1"/>
      <c r="X945" s="1"/>
    </row>
    <row r="946" spans="1:24">
      <c r="A946" s="1"/>
      <c r="B946" s="8"/>
      <c r="C946" s="8"/>
      <c r="D946" s="8"/>
      <c r="E946" s="8"/>
      <c r="F946" s="8"/>
      <c r="G946" s="8"/>
      <c r="H946" s="8"/>
      <c r="I946" s="8"/>
      <c r="J946" s="8"/>
      <c r="K946" s="8"/>
      <c r="L946" s="56"/>
      <c r="M946" s="26"/>
      <c r="N946" s="26"/>
      <c r="O946" s="26"/>
      <c r="P946" s="1"/>
      <c r="Q946" s="1"/>
      <c r="R946" s="8"/>
      <c r="S946" s="1"/>
      <c r="T946" s="8"/>
      <c r="U946" s="1"/>
      <c r="V946" s="1"/>
      <c r="W946" s="1"/>
      <c r="X946" s="1"/>
    </row>
    <row r="947" spans="1:24">
      <c r="A947" s="1"/>
      <c r="B947" s="8"/>
      <c r="C947" s="8"/>
      <c r="D947" s="8"/>
      <c r="E947" s="8"/>
      <c r="F947" s="8"/>
      <c r="G947" s="8"/>
      <c r="H947" s="8"/>
      <c r="I947" s="8"/>
      <c r="J947" s="8"/>
      <c r="K947" s="8"/>
      <c r="L947" s="56"/>
      <c r="M947" s="26"/>
      <c r="N947" s="26"/>
      <c r="O947" s="26"/>
      <c r="P947" s="1"/>
      <c r="Q947" s="1"/>
      <c r="R947" s="8"/>
      <c r="S947" s="1"/>
      <c r="T947" s="8"/>
      <c r="U947" s="1"/>
      <c r="V947" s="1"/>
      <c r="W947" s="1"/>
      <c r="X947" s="1"/>
    </row>
    <row r="948" spans="1:24">
      <c r="A948" s="1"/>
      <c r="B948" s="8"/>
      <c r="C948" s="8"/>
      <c r="D948" s="8"/>
      <c r="E948" s="8"/>
      <c r="F948" s="8"/>
      <c r="G948" s="8"/>
      <c r="H948" s="8"/>
      <c r="I948" s="8"/>
      <c r="J948" s="8"/>
      <c r="K948" s="8"/>
      <c r="L948" s="56"/>
      <c r="M948" s="26"/>
      <c r="N948" s="26"/>
      <c r="O948" s="26"/>
      <c r="P948" s="1"/>
      <c r="Q948" s="1"/>
      <c r="R948" s="8"/>
      <c r="S948" s="1"/>
      <c r="T948" s="8"/>
      <c r="U948" s="1"/>
      <c r="V948" s="1"/>
      <c r="W948" s="1"/>
      <c r="X948" s="1"/>
    </row>
    <row r="949" spans="1:24">
      <c r="A949" s="1"/>
      <c r="B949" s="8"/>
      <c r="C949" s="8"/>
      <c r="D949" s="8"/>
      <c r="E949" s="8"/>
      <c r="F949" s="8"/>
      <c r="G949" s="8"/>
      <c r="H949" s="8"/>
      <c r="I949" s="8"/>
      <c r="J949" s="8"/>
      <c r="K949" s="8"/>
      <c r="L949" s="56"/>
      <c r="M949" s="26"/>
      <c r="N949" s="26"/>
      <c r="O949" s="26"/>
      <c r="P949" s="1"/>
      <c r="Q949" s="1"/>
      <c r="R949" s="8"/>
      <c r="S949" s="1"/>
      <c r="T949" s="8"/>
      <c r="U949" s="1"/>
      <c r="V949" s="1"/>
      <c r="W949" s="1"/>
      <c r="X949" s="1"/>
    </row>
    <row r="950" spans="1:24">
      <c r="A950" s="1"/>
      <c r="B950" s="8"/>
      <c r="C950" s="8"/>
      <c r="D950" s="8"/>
      <c r="E950" s="8"/>
      <c r="F950" s="8"/>
      <c r="G950" s="8"/>
      <c r="H950" s="8"/>
      <c r="I950" s="8"/>
      <c r="J950" s="8"/>
      <c r="K950" s="8"/>
      <c r="L950" s="56"/>
      <c r="M950" s="26"/>
      <c r="N950" s="26"/>
      <c r="O950" s="26"/>
      <c r="P950" s="1"/>
      <c r="Q950" s="1"/>
      <c r="R950" s="8"/>
      <c r="S950" s="1"/>
      <c r="T950" s="8"/>
      <c r="U950" s="1"/>
      <c r="V950" s="1"/>
      <c r="W950" s="1"/>
      <c r="X950" s="1"/>
    </row>
    <row r="951" spans="1:24">
      <c r="A951" s="1"/>
      <c r="B951" s="8"/>
      <c r="C951" s="8"/>
      <c r="D951" s="8"/>
      <c r="E951" s="8"/>
      <c r="F951" s="8"/>
      <c r="G951" s="8"/>
      <c r="H951" s="8"/>
      <c r="I951" s="8"/>
      <c r="J951" s="8"/>
      <c r="K951" s="8"/>
      <c r="L951" s="56"/>
      <c r="M951" s="26"/>
      <c r="N951" s="26"/>
      <c r="O951" s="26"/>
      <c r="P951" s="1"/>
      <c r="Q951" s="1"/>
      <c r="R951" s="8"/>
      <c r="S951" s="1"/>
      <c r="T951" s="8"/>
      <c r="U951" s="1"/>
      <c r="V951" s="1"/>
      <c r="W951" s="1"/>
      <c r="X951" s="1"/>
    </row>
    <row r="952" spans="1:24">
      <c r="A952" s="1"/>
      <c r="B952" s="8"/>
      <c r="C952" s="8"/>
      <c r="D952" s="8"/>
      <c r="E952" s="8"/>
      <c r="F952" s="8"/>
      <c r="G952" s="8"/>
      <c r="H952" s="8"/>
      <c r="I952" s="8"/>
      <c r="J952" s="8"/>
      <c r="K952" s="8"/>
      <c r="L952" s="56"/>
      <c r="M952" s="26"/>
      <c r="N952" s="26"/>
      <c r="O952" s="26"/>
      <c r="P952" s="1"/>
      <c r="Q952" s="1"/>
      <c r="R952" s="8"/>
      <c r="S952" s="1"/>
      <c r="T952" s="8"/>
      <c r="U952" s="1"/>
      <c r="V952" s="1"/>
      <c r="W952" s="1"/>
      <c r="X952" s="1"/>
    </row>
    <row r="953" spans="1:24">
      <c r="A953" s="1"/>
      <c r="B953" s="8"/>
      <c r="C953" s="8"/>
      <c r="D953" s="8"/>
      <c r="E953" s="8"/>
      <c r="F953" s="8"/>
      <c r="G953" s="8"/>
      <c r="H953" s="8"/>
      <c r="I953" s="8"/>
      <c r="J953" s="8"/>
      <c r="K953" s="8"/>
      <c r="L953" s="56"/>
      <c r="M953" s="26"/>
      <c r="N953" s="26"/>
      <c r="O953" s="26"/>
      <c r="P953" s="1"/>
      <c r="Q953" s="1"/>
      <c r="R953" s="8"/>
      <c r="S953" s="1"/>
      <c r="T953" s="8"/>
      <c r="U953" s="1"/>
      <c r="V953" s="1"/>
      <c r="W953" s="1"/>
      <c r="X953" s="1"/>
    </row>
    <row r="954" spans="1:24">
      <c r="A954" s="1"/>
      <c r="B954" s="8"/>
      <c r="C954" s="8"/>
      <c r="D954" s="8"/>
      <c r="E954" s="8"/>
      <c r="F954" s="8"/>
      <c r="G954" s="8"/>
      <c r="H954" s="8"/>
      <c r="I954" s="8"/>
      <c r="J954" s="8"/>
      <c r="K954" s="8"/>
      <c r="L954" s="56"/>
      <c r="M954" s="26"/>
      <c r="N954" s="26"/>
      <c r="O954" s="26"/>
      <c r="P954" s="1"/>
      <c r="Q954" s="1"/>
      <c r="R954" s="8"/>
      <c r="S954" s="1"/>
      <c r="T954" s="8"/>
      <c r="U954" s="1"/>
      <c r="V954" s="1"/>
      <c r="W954" s="1"/>
      <c r="X954" s="1"/>
    </row>
    <row r="955" spans="1:24">
      <c r="A955" s="1"/>
      <c r="B955" s="8"/>
      <c r="C955" s="8"/>
      <c r="D955" s="8"/>
      <c r="E955" s="8"/>
      <c r="F955" s="8"/>
      <c r="G955" s="8"/>
      <c r="H955" s="8"/>
      <c r="I955" s="8"/>
      <c r="J955" s="8"/>
      <c r="K955" s="8"/>
      <c r="L955" s="56"/>
      <c r="M955" s="26"/>
      <c r="N955" s="26"/>
      <c r="O955" s="26"/>
      <c r="P955" s="1"/>
      <c r="Q955" s="1"/>
      <c r="R955" s="8"/>
      <c r="S955" s="1"/>
      <c r="T955" s="8"/>
      <c r="U955" s="1"/>
      <c r="V955" s="1"/>
      <c r="W955" s="1"/>
      <c r="X955" s="1"/>
    </row>
    <row r="956" spans="1:24">
      <c r="A956" s="1"/>
      <c r="B956" s="8"/>
      <c r="C956" s="8"/>
      <c r="D956" s="8"/>
      <c r="E956" s="8"/>
      <c r="F956" s="8"/>
      <c r="G956" s="8"/>
      <c r="H956" s="8"/>
      <c r="I956" s="8"/>
      <c r="J956" s="8"/>
      <c r="K956" s="8"/>
      <c r="L956" s="56"/>
      <c r="M956" s="26"/>
      <c r="N956" s="26"/>
      <c r="O956" s="26"/>
      <c r="P956" s="1"/>
      <c r="Q956" s="1"/>
      <c r="R956" s="8"/>
      <c r="S956" s="1"/>
      <c r="T956" s="8"/>
      <c r="U956" s="1"/>
      <c r="V956" s="1"/>
      <c r="W956" s="1"/>
      <c r="X956" s="1"/>
    </row>
    <row r="957" spans="1:24">
      <c r="A957" s="1"/>
      <c r="B957" s="8"/>
      <c r="C957" s="8"/>
      <c r="D957" s="8"/>
      <c r="E957" s="8"/>
      <c r="F957" s="8"/>
      <c r="G957" s="8"/>
      <c r="H957" s="8"/>
      <c r="I957" s="8"/>
      <c r="J957" s="8"/>
      <c r="K957" s="8"/>
      <c r="L957" s="56"/>
      <c r="M957" s="26"/>
      <c r="N957" s="26"/>
      <c r="O957" s="26"/>
      <c r="P957" s="1"/>
      <c r="Q957" s="1"/>
      <c r="R957" s="8"/>
      <c r="S957" s="1"/>
      <c r="T957" s="8"/>
      <c r="U957" s="1"/>
      <c r="V957" s="1"/>
      <c r="W957" s="1"/>
      <c r="X957" s="1"/>
    </row>
    <row r="958" spans="1:24">
      <c r="A958" s="1"/>
      <c r="B958" s="8"/>
      <c r="C958" s="8"/>
      <c r="D958" s="8"/>
      <c r="E958" s="8"/>
      <c r="F958" s="8"/>
      <c r="G958" s="8"/>
      <c r="H958" s="8"/>
      <c r="I958" s="8"/>
      <c r="J958" s="8"/>
      <c r="K958" s="8"/>
      <c r="L958" s="56"/>
      <c r="M958" s="26"/>
      <c r="N958" s="26"/>
      <c r="O958" s="26"/>
      <c r="P958" s="1"/>
      <c r="Q958" s="1"/>
      <c r="R958" s="8"/>
      <c r="S958" s="1"/>
      <c r="T958" s="8"/>
      <c r="U958" s="1"/>
      <c r="V958" s="1"/>
      <c r="W958" s="1"/>
      <c r="X958" s="1"/>
    </row>
    <row r="959" spans="1:24">
      <c r="A959" s="1"/>
      <c r="B959" s="8"/>
      <c r="C959" s="8"/>
      <c r="D959" s="8"/>
      <c r="E959" s="8"/>
      <c r="F959" s="8"/>
      <c r="G959" s="8"/>
      <c r="H959" s="8"/>
      <c r="I959" s="8"/>
      <c r="J959" s="8"/>
      <c r="K959" s="8"/>
      <c r="L959" s="56"/>
      <c r="M959" s="26"/>
      <c r="N959" s="26"/>
      <c r="O959" s="26"/>
      <c r="P959" s="1"/>
      <c r="Q959" s="1"/>
      <c r="R959" s="8"/>
      <c r="S959" s="1"/>
      <c r="T959" s="8"/>
      <c r="U959" s="1"/>
      <c r="V959" s="1"/>
      <c r="W959" s="1"/>
      <c r="X959" s="1"/>
    </row>
    <row r="960" spans="1:24">
      <c r="A960" s="1"/>
      <c r="B960" s="8"/>
      <c r="C960" s="8"/>
      <c r="D960" s="8"/>
      <c r="E960" s="8"/>
      <c r="F960" s="8"/>
      <c r="G960" s="8"/>
      <c r="H960" s="8"/>
      <c r="I960" s="8"/>
      <c r="J960" s="8"/>
      <c r="K960" s="8"/>
      <c r="L960" s="56"/>
      <c r="M960" s="26"/>
      <c r="N960" s="26"/>
      <c r="O960" s="26"/>
      <c r="P960" s="1"/>
      <c r="Q960" s="1"/>
      <c r="R960" s="8"/>
      <c r="S960" s="1"/>
      <c r="T960" s="8"/>
      <c r="U960" s="1"/>
      <c r="V960" s="1"/>
      <c r="W960" s="1"/>
      <c r="X960" s="1"/>
    </row>
    <row r="961" spans="1:24">
      <c r="A961" s="1"/>
      <c r="B961" s="8"/>
      <c r="C961" s="8"/>
      <c r="D961" s="8"/>
      <c r="E961" s="8"/>
      <c r="F961" s="8"/>
      <c r="G961" s="8"/>
      <c r="H961" s="8"/>
      <c r="I961" s="8"/>
      <c r="J961" s="8"/>
      <c r="K961" s="8"/>
      <c r="L961" s="56"/>
      <c r="M961" s="26"/>
      <c r="N961" s="26"/>
      <c r="O961" s="26"/>
      <c r="P961" s="1"/>
      <c r="Q961" s="1"/>
      <c r="R961" s="8"/>
      <c r="S961" s="1"/>
      <c r="T961" s="8"/>
      <c r="U961" s="1"/>
      <c r="V961" s="1"/>
      <c r="W961" s="1"/>
      <c r="X961" s="1"/>
    </row>
    <row r="962" spans="1:24">
      <c r="A962" s="1"/>
      <c r="B962" s="8"/>
      <c r="C962" s="8"/>
      <c r="D962" s="8"/>
      <c r="E962" s="8"/>
      <c r="F962" s="8"/>
      <c r="G962" s="8"/>
      <c r="H962" s="8"/>
      <c r="I962" s="8"/>
      <c r="J962" s="8"/>
      <c r="K962" s="8"/>
      <c r="L962" s="56"/>
      <c r="M962" s="26"/>
      <c r="N962" s="26"/>
      <c r="O962" s="26"/>
      <c r="P962" s="1"/>
      <c r="Q962" s="1"/>
      <c r="R962" s="8"/>
      <c r="S962" s="1"/>
      <c r="T962" s="8"/>
      <c r="U962" s="1"/>
      <c r="V962" s="1"/>
      <c r="W962" s="1"/>
      <c r="X962" s="1"/>
    </row>
    <row r="963" spans="1:24">
      <c r="A963" s="1"/>
      <c r="B963" s="8"/>
      <c r="C963" s="8"/>
      <c r="D963" s="8"/>
      <c r="E963" s="8"/>
      <c r="F963" s="8"/>
      <c r="G963" s="8"/>
      <c r="H963" s="8"/>
      <c r="I963" s="8"/>
      <c r="J963" s="8"/>
      <c r="K963" s="8"/>
      <c r="L963" s="56"/>
      <c r="M963" s="26"/>
      <c r="N963" s="26"/>
      <c r="O963" s="26"/>
      <c r="P963" s="1"/>
      <c r="Q963" s="1"/>
      <c r="R963" s="8"/>
      <c r="S963" s="1"/>
      <c r="T963" s="8"/>
      <c r="U963" s="1"/>
      <c r="V963" s="1"/>
      <c r="W963" s="1"/>
      <c r="X963" s="1"/>
    </row>
    <row r="964" spans="1:24">
      <c r="A964" s="1"/>
      <c r="B964" s="8"/>
      <c r="C964" s="8"/>
      <c r="D964" s="8"/>
      <c r="E964" s="8"/>
      <c r="F964" s="8"/>
      <c r="G964" s="8"/>
      <c r="H964" s="8"/>
      <c r="I964" s="8"/>
      <c r="J964" s="8"/>
      <c r="K964" s="8"/>
      <c r="L964" s="56"/>
      <c r="M964" s="26"/>
      <c r="N964" s="26"/>
      <c r="O964" s="26"/>
      <c r="P964" s="1"/>
      <c r="Q964" s="1"/>
      <c r="R964" s="8"/>
      <c r="S964" s="1"/>
      <c r="T964" s="8"/>
      <c r="U964" s="1"/>
      <c r="V964" s="1"/>
      <c r="W964" s="1"/>
      <c r="X964" s="1"/>
    </row>
    <row r="965" spans="1:24">
      <c r="A965" s="1"/>
      <c r="B965" s="8"/>
      <c r="C965" s="8"/>
      <c r="D965" s="8"/>
      <c r="E965" s="8"/>
      <c r="F965" s="8"/>
      <c r="G965" s="8"/>
      <c r="H965" s="8"/>
      <c r="I965" s="8"/>
      <c r="J965" s="8"/>
      <c r="K965" s="8"/>
      <c r="L965" s="56"/>
      <c r="M965" s="26"/>
      <c r="N965" s="26"/>
      <c r="O965" s="26"/>
      <c r="P965" s="1"/>
      <c r="Q965" s="1"/>
      <c r="R965" s="8"/>
      <c r="S965" s="1"/>
      <c r="T965" s="8"/>
      <c r="U965" s="1"/>
      <c r="V965" s="1"/>
      <c r="W965" s="1"/>
      <c r="X965" s="1"/>
    </row>
    <row r="966" spans="1:24">
      <c r="A966" s="1"/>
      <c r="B966" s="8"/>
      <c r="C966" s="8"/>
      <c r="D966" s="8"/>
      <c r="E966" s="8"/>
      <c r="F966" s="8"/>
      <c r="G966" s="8"/>
      <c r="H966" s="8"/>
      <c r="I966" s="8"/>
      <c r="J966" s="8"/>
      <c r="K966" s="8"/>
      <c r="L966" s="56"/>
      <c r="M966" s="26"/>
      <c r="N966" s="26"/>
      <c r="O966" s="26"/>
      <c r="P966" s="1"/>
      <c r="Q966" s="1"/>
      <c r="R966" s="8"/>
      <c r="S966" s="1"/>
      <c r="T966" s="8"/>
      <c r="U966" s="1"/>
      <c r="V966" s="1"/>
      <c r="W966" s="1"/>
      <c r="X966" s="1"/>
    </row>
    <row r="967" spans="1:24">
      <c r="A967" s="1"/>
      <c r="B967" s="8"/>
      <c r="C967" s="8"/>
      <c r="D967" s="8"/>
      <c r="E967" s="8"/>
      <c r="F967" s="8"/>
      <c r="G967" s="8"/>
      <c r="H967" s="8"/>
      <c r="I967" s="8"/>
      <c r="J967" s="8"/>
      <c r="K967" s="8"/>
      <c r="L967" s="56"/>
      <c r="M967" s="26"/>
      <c r="N967" s="26"/>
      <c r="O967" s="26"/>
      <c r="P967" s="1"/>
      <c r="Q967" s="1"/>
      <c r="R967" s="8"/>
      <c r="S967" s="1"/>
      <c r="T967" s="8"/>
      <c r="U967" s="1"/>
      <c r="V967" s="1"/>
      <c r="W967" s="1"/>
      <c r="X967" s="1"/>
    </row>
    <row r="968" spans="1:24">
      <c r="A968" s="1"/>
      <c r="B968" s="8"/>
      <c r="C968" s="8"/>
      <c r="D968" s="8"/>
      <c r="E968" s="8"/>
      <c r="F968" s="8"/>
      <c r="G968" s="8"/>
      <c r="H968" s="8"/>
      <c r="I968" s="8"/>
      <c r="J968" s="8"/>
      <c r="K968" s="8"/>
      <c r="L968" s="56"/>
      <c r="M968" s="26"/>
      <c r="N968" s="26"/>
      <c r="O968" s="26"/>
      <c r="P968" s="1"/>
      <c r="Q968" s="1"/>
      <c r="R968" s="8"/>
      <c r="S968" s="1"/>
      <c r="T968" s="8"/>
      <c r="U968" s="1"/>
      <c r="V968" s="1"/>
      <c r="W968" s="1"/>
      <c r="X968" s="1"/>
    </row>
    <row r="969" spans="1:24">
      <c r="A969" s="1"/>
      <c r="B969" s="8"/>
      <c r="C969" s="8"/>
      <c r="D969" s="8"/>
      <c r="E969" s="8"/>
      <c r="F969" s="8"/>
      <c r="G969" s="8"/>
      <c r="H969" s="8"/>
      <c r="I969" s="8"/>
      <c r="J969" s="8"/>
      <c r="K969" s="8"/>
      <c r="L969" s="56"/>
      <c r="M969" s="26"/>
      <c r="N969" s="26"/>
      <c r="O969" s="26"/>
      <c r="P969" s="1"/>
      <c r="Q969" s="1"/>
      <c r="R969" s="8"/>
      <c r="S969" s="1"/>
      <c r="T969" s="8"/>
      <c r="U969" s="1"/>
      <c r="V969" s="1"/>
      <c r="W969" s="1"/>
      <c r="X969" s="1"/>
    </row>
    <row r="970" spans="1:24">
      <c r="A970" s="1"/>
      <c r="B970" s="8"/>
      <c r="C970" s="8"/>
      <c r="D970" s="8"/>
      <c r="E970" s="8"/>
      <c r="F970" s="8"/>
      <c r="G970" s="8"/>
      <c r="H970" s="8"/>
      <c r="I970" s="8"/>
      <c r="J970" s="8"/>
      <c r="K970" s="8"/>
      <c r="L970" s="56"/>
      <c r="M970" s="26"/>
      <c r="N970" s="26"/>
      <c r="O970" s="26"/>
      <c r="P970" s="1"/>
      <c r="Q970" s="1"/>
      <c r="R970" s="8"/>
      <c r="S970" s="1"/>
      <c r="T970" s="8"/>
      <c r="U970" s="1"/>
      <c r="V970" s="1"/>
      <c r="W970" s="1"/>
      <c r="X970" s="1"/>
    </row>
    <row r="971" spans="1:24">
      <c r="A971" s="1"/>
      <c r="B971" s="8"/>
      <c r="C971" s="8"/>
      <c r="D971" s="8"/>
      <c r="E971" s="8"/>
      <c r="F971" s="8"/>
      <c r="G971" s="8"/>
      <c r="H971" s="8"/>
      <c r="I971" s="8"/>
      <c r="J971" s="8"/>
      <c r="K971" s="8"/>
      <c r="L971" s="56"/>
      <c r="M971" s="26"/>
      <c r="N971" s="26"/>
      <c r="O971" s="26"/>
      <c r="P971" s="1"/>
      <c r="Q971" s="1"/>
      <c r="R971" s="8"/>
      <c r="S971" s="1"/>
      <c r="T971" s="8"/>
      <c r="U971" s="1"/>
      <c r="V971" s="1"/>
      <c r="W971" s="1"/>
      <c r="X971" s="1"/>
    </row>
    <row r="972" spans="1:24">
      <c r="A972" s="1"/>
      <c r="B972" s="8"/>
      <c r="C972" s="8"/>
      <c r="D972" s="8"/>
      <c r="E972" s="8"/>
      <c r="F972" s="8"/>
      <c r="G972" s="8"/>
      <c r="H972" s="8"/>
      <c r="I972" s="8"/>
      <c r="J972" s="8"/>
      <c r="K972" s="8"/>
      <c r="L972" s="56"/>
      <c r="M972" s="26"/>
      <c r="N972" s="26"/>
      <c r="O972" s="26"/>
      <c r="P972" s="1"/>
      <c r="Q972" s="1"/>
      <c r="R972" s="8"/>
      <c r="S972" s="1"/>
      <c r="T972" s="8"/>
      <c r="U972" s="1"/>
      <c r="V972" s="1"/>
      <c r="W972" s="1"/>
      <c r="X972" s="1"/>
    </row>
    <row r="973" spans="1:24">
      <c r="A973" s="1"/>
      <c r="B973" s="8"/>
      <c r="C973" s="8"/>
      <c r="D973" s="8"/>
      <c r="E973" s="8"/>
      <c r="F973" s="8"/>
      <c r="G973" s="8"/>
      <c r="H973" s="8"/>
      <c r="I973" s="8"/>
      <c r="J973" s="8"/>
      <c r="K973" s="8"/>
      <c r="L973" s="56"/>
      <c r="M973" s="26"/>
      <c r="N973" s="26"/>
      <c r="O973" s="26"/>
      <c r="P973" s="1"/>
      <c r="Q973" s="1"/>
      <c r="R973" s="8"/>
      <c r="S973" s="1"/>
      <c r="T973" s="8"/>
      <c r="U973" s="1"/>
      <c r="V973" s="1"/>
      <c r="W973" s="1"/>
      <c r="X973" s="1"/>
    </row>
    <row r="974" spans="1:24">
      <c r="A974" s="1"/>
      <c r="B974" s="8"/>
      <c r="C974" s="8"/>
      <c r="D974" s="8"/>
      <c r="E974" s="8"/>
      <c r="F974" s="8"/>
      <c r="G974" s="8"/>
      <c r="H974" s="8"/>
      <c r="I974" s="8"/>
      <c r="J974" s="8"/>
      <c r="K974" s="8"/>
      <c r="L974" s="56"/>
      <c r="M974" s="26"/>
      <c r="N974" s="26"/>
      <c r="O974" s="26"/>
      <c r="P974" s="1"/>
      <c r="Q974" s="1"/>
      <c r="R974" s="8"/>
      <c r="S974" s="1"/>
      <c r="T974" s="8"/>
      <c r="U974" s="1"/>
      <c r="V974" s="1"/>
      <c r="W974" s="1"/>
      <c r="X974" s="1"/>
    </row>
    <row r="975" spans="1:24">
      <c r="A975" s="1"/>
      <c r="B975" s="8"/>
      <c r="C975" s="8"/>
      <c r="D975" s="8"/>
      <c r="E975" s="8"/>
      <c r="F975" s="8"/>
      <c r="G975" s="8"/>
      <c r="H975" s="8"/>
      <c r="I975" s="8"/>
      <c r="J975" s="8"/>
      <c r="K975" s="8"/>
      <c r="L975" s="56"/>
      <c r="M975" s="26"/>
      <c r="N975" s="26"/>
      <c r="O975" s="26"/>
      <c r="P975" s="1"/>
      <c r="Q975" s="1"/>
      <c r="R975" s="8"/>
      <c r="S975" s="1"/>
      <c r="T975" s="8"/>
      <c r="U975" s="1"/>
      <c r="V975" s="1"/>
      <c r="W975" s="1"/>
      <c r="X975" s="1"/>
    </row>
    <row r="976" spans="1:24">
      <c r="A976" s="1"/>
      <c r="B976" s="8"/>
      <c r="C976" s="8"/>
      <c r="D976" s="8"/>
      <c r="E976" s="8"/>
      <c r="F976" s="8"/>
      <c r="G976" s="8"/>
      <c r="H976" s="8"/>
      <c r="I976" s="8"/>
      <c r="J976" s="8"/>
      <c r="K976" s="8"/>
      <c r="L976" s="56"/>
      <c r="M976" s="26"/>
      <c r="N976" s="26"/>
      <c r="O976" s="26"/>
      <c r="P976" s="1"/>
      <c r="Q976" s="1"/>
      <c r="R976" s="8"/>
      <c r="S976" s="1"/>
      <c r="T976" s="8"/>
      <c r="U976" s="1"/>
      <c r="V976" s="1"/>
      <c r="W976" s="1"/>
      <c r="X976" s="1"/>
    </row>
    <row r="977" spans="1:24">
      <c r="A977" s="1"/>
      <c r="B977" s="8"/>
      <c r="C977" s="8"/>
      <c r="D977" s="8"/>
      <c r="E977" s="8"/>
      <c r="F977" s="8"/>
      <c r="G977" s="8"/>
      <c r="H977" s="8"/>
      <c r="I977" s="8"/>
      <c r="J977" s="8"/>
      <c r="K977" s="8"/>
      <c r="L977" s="56"/>
      <c r="M977" s="26"/>
      <c r="N977" s="26"/>
      <c r="O977" s="26"/>
      <c r="P977" s="1"/>
      <c r="Q977" s="1"/>
      <c r="R977" s="8"/>
      <c r="S977" s="1"/>
      <c r="T977" s="8"/>
      <c r="U977" s="1"/>
      <c r="V977" s="1"/>
      <c r="W977" s="1"/>
      <c r="X977" s="1"/>
    </row>
    <row r="978" spans="1:24">
      <c r="A978" s="1"/>
      <c r="B978" s="8"/>
      <c r="C978" s="8"/>
      <c r="D978" s="8"/>
      <c r="E978" s="8"/>
      <c r="F978" s="8"/>
      <c r="G978" s="8"/>
      <c r="H978" s="8"/>
      <c r="I978" s="8"/>
      <c r="J978" s="8"/>
      <c r="K978" s="8"/>
      <c r="L978" s="56"/>
      <c r="M978" s="26"/>
      <c r="N978" s="26"/>
      <c r="O978" s="26"/>
      <c r="P978" s="1"/>
      <c r="Q978" s="1"/>
      <c r="R978" s="8"/>
      <c r="S978" s="1"/>
      <c r="T978" s="8"/>
      <c r="U978" s="1"/>
      <c r="V978" s="1"/>
      <c r="W978" s="1"/>
      <c r="X978" s="1"/>
    </row>
    <row r="979" spans="1:24">
      <c r="A979" s="1"/>
      <c r="B979" s="8"/>
      <c r="C979" s="8"/>
      <c r="D979" s="8"/>
      <c r="E979" s="8"/>
      <c r="F979" s="8"/>
      <c r="G979" s="8"/>
      <c r="H979" s="8"/>
      <c r="I979" s="8"/>
      <c r="J979" s="8"/>
      <c r="K979" s="8"/>
      <c r="L979" s="56"/>
      <c r="M979" s="26"/>
      <c r="N979" s="26"/>
      <c r="O979" s="26"/>
      <c r="P979" s="1"/>
      <c r="Q979" s="1"/>
      <c r="R979" s="8"/>
      <c r="S979" s="1"/>
      <c r="T979" s="8"/>
      <c r="U979" s="1"/>
      <c r="V979" s="1"/>
      <c r="W979" s="1"/>
      <c r="X979" s="1"/>
    </row>
    <row r="980" spans="1:24">
      <c r="A980" s="1"/>
      <c r="B980" s="8"/>
      <c r="C980" s="8"/>
      <c r="D980" s="8"/>
      <c r="E980" s="8"/>
      <c r="F980" s="8"/>
      <c r="G980" s="8"/>
      <c r="H980" s="8"/>
      <c r="I980" s="8"/>
      <c r="J980" s="8"/>
      <c r="K980" s="8"/>
      <c r="L980" s="56"/>
      <c r="M980" s="26"/>
      <c r="N980" s="26"/>
      <c r="O980" s="26"/>
      <c r="P980" s="1"/>
      <c r="Q980" s="1"/>
      <c r="R980" s="8"/>
      <c r="S980" s="1"/>
      <c r="T980" s="8"/>
      <c r="U980" s="1"/>
      <c r="V980" s="1"/>
      <c r="W980" s="1"/>
      <c r="X980" s="1"/>
    </row>
    <row r="981" spans="1:24">
      <c r="A981" s="1"/>
      <c r="B981" s="8"/>
      <c r="C981" s="8"/>
      <c r="D981" s="8"/>
      <c r="E981" s="8"/>
      <c r="F981" s="8"/>
      <c r="G981" s="8"/>
      <c r="H981" s="8"/>
      <c r="I981" s="8"/>
      <c r="J981" s="8"/>
      <c r="K981" s="8"/>
      <c r="L981" s="56"/>
      <c r="M981" s="26"/>
      <c r="N981" s="26"/>
      <c r="O981" s="26"/>
      <c r="P981" s="1"/>
      <c r="Q981" s="1"/>
      <c r="R981" s="8"/>
      <c r="S981" s="1"/>
      <c r="T981" s="8"/>
      <c r="U981" s="1"/>
      <c r="V981" s="1"/>
      <c r="W981" s="1"/>
      <c r="X981" s="1"/>
    </row>
    <row r="982" spans="1:24">
      <c r="A982" s="1"/>
      <c r="B982" s="8"/>
      <c r="C982" s="8"/>
      <c r="D982" s="8"/>
      <c r="E982" s="8"/>
      <c r="F982" s="8"/>
      <c r="G982" s="8"/>
      <c r="H982" s="8"/>
      <c r="I982" s="8"/>
      <c r="J982" s="8"/>
      <c r="K982" s="8"/>
      <c r="L982" s="56"/>
      <c r="M982" s="26"/>
      <c r="N982" s="26"/>
      <c r="O982" s="26"/>
      <c r="P982" s="1"/>
      <c r="Q982" s="1"/>
      <c r="R982" s="8"/>
      <c r="S982" s="1"/>
      <c r="T982" s="8"/>
      <c r="U982" s="1"/>
      <c r="V982" s="1"/>
      <c r="W982" s="1"/>
      <c r="X982" s="1"/>
    </row>
    <row r="983" spans="1:24">
      <c r="A983" s="1"/>
      <c r="B983" s="8"/>
      <c r="C983" s="8"/>
      <c r="D983" s="8"/>
      <c r="E983" s="8"/>
      <c r="F983" s="8"/>
      <c r="G983" s="8"/>
      <c r="H983" s="8"/>
      <c r="I983" s="8"/>
      <c r="J983" s="8"/>
      <c r="K983" s="8"/>
      <c r="L983" s="56"/>
      <c r="M983" s="26"/>
      <c r="N983" s="26"/>
      <c r="O983" s="26"/>
      <c r="P983" s="1"/>
      <c r="Q983" s="1"/>
      <c r="R983" s="8"/>
      <c r="S983" s="1"/>
      <c r="T983" s="8"/>
      <c r="U983" s="1"/>
      <c r="V983" s="1"/>
      <c r="W983" s="1"/>
      <c r="X983" s="1"/>
    </row>
    <row r="984" spans="1:24">
      <c r="A984" s="1"/>
      <c r="B984" s="8"/>
      <c r="C984" s="8"/>
      <c r="D984" s="8"/>
      <c r="E984" s="8"/>
      <c r="F984" s="8"/>
      <c r="G984" s="8"/>
      <c r="H984" s="8"/>
      <c r="I984" s="8"/>
      <c r="J984" s="8"/>
      <c r="K984" s="8"/>
      <c r="L984" s="56"/>
      <c r="M984" s="26"/>
      <c r="N984" s="26"/>
      <c r="O984" s="26"/>
      <c r="P984" s="1"/>
      <c r="Q984" s="1"/>
      <c r="R984" s="8"/>
      <c r="S984" s="1"/>
      <c r="T984" s="8"/>
      <c r="U984" s="1"/>
      <c r="V984" s="1"/>
      <c r="W984" s="1"/>
      <c r="X984" s="1"/>
    </row>
    <row r="985" spans="1:24">
      <c r="A985" s="1"/>
      <c r="B985" s="8"/>
      <c r="C985" s="8"/>
      <c r="D985" s="8"/>
      <c r="E985" s="8"/>
      <c r="F985" s="8"/>
      <c r="G985" s="8"/>
      <c r="H985" s="8"/>
      <c r="I985" s="8"/>
      <c r="J985" s="8"/>
      <c r="K985" s="8"/>
      <c r="L985" s="56"/>
      <c r="M985" s="26"/>
      <c r="N985" s="26"/>
      <c r="O985" s="26"/>
      <c r="P985" s="1"/>
      <c r="Q985" s="1"/>
      <c r="R985" s="8"/>
      <c r="S985" s="1"/>
      <c r="T985" s="8"/>
      <c r="U985" s="1"/>
      <c r="V985" s="1"/>
      <c r="W985" s="1"/>
      <c r="X985" s="1"/>
    </row>
    <row r="986" spans="1:24">
      <c r="A986" s="1"/>
      <c r="B986" s="8"/>
      <c r="C986" s="8"/>
      <c r="D986" s="8"/>
      <c r="E986" s="8"/>
      <c r="F986" s="8"/>
      <c r="G986" s="8"/>
      <c r="H986" s="8"/>
      <c r="I986" s="8"/>
      <c r="J986" s="8"/>
      <c r="K986" s="8"/>
      <c r="L986" s="56"/>
      <c r="M986" s="26"/>
      <c r="N986" s="26"/>
      <c r="O986" s="26"/>
      <c r="P986" s="1"/>
      <c r="Q986" s="1"/>
      <c r="R986" s="8"/>
      <c r="S986" s="1"/>
      <c r="T986" s="8"/>
      <c r="U986" s="1"/>
      <c r="V986" s="1"/>
      <c r="W986" s="1"/>
      <c r="X986" s="1"/>
    </row>
    <row r="987" spans="1:24">
      <c r="A987" s="1"/>
      <c r="B987" s="8"/>
      <c r="C987" s="8"/>
      <c r="D987" s="8"/>
      <c r="E987" s="8"/>
      <c r="F987" s="8"/>
      <c r="G987" s="8"/>
      <c r="H987" s="8"/>
      <c r="I987" s="8"/>
      <c r="J987" s="8"/>
      <c r="K987" s="8"/>
      <c r="L987" s="56"/>
      <c r="M987" s="26"/>
      <c r="N987" s="26"/>
      <c r="O987" s="26"/>
      <c r="P987" s="1"/>
      <c r="Q987" s="1"/>
      <c r="R987" s="8"/>
      <c r="S987" s="1"/>
      <c r="T987" s="8"/>
      <c r="U987" s="1"/>
      <c r="V987" s="1"/>
      <c r="W987" s="1"/>
      <c r="X987" s="1"/>
    </row>
    <row r="988" spans="1:24">
      <c r="A988" s="1"/>
      <c r="B988" s="8"/>
      <c r="C988" s="8"/>
      <c r="D988" s="8"/>
      <c r="E988" s="8"/>
      <c r="F988" s="8"/>
      <c r="G988" s="8"/>
      <c r="H988" s="8"/>
      <c r="I988" s="8"/>
      <c r="J988" s="8"/>
      <c r="K988" s="8"/>
      <c r="L988" s="56"/>
      <c r="M988" s="26"/>
      <c r="N988" s="26"/>
      <c r="O988" s="26"/>
      <c r="P988" s="1"/>
      <c r="Q988" s="1"/>
      <c r="R988" s="8"/>
      <c r="S988" s="1"/>
      <c r="T988" s="8"/>
      <c r="U988" s="1"/>
      <c r="V988" s="1"/>
      <c r="W988" s="1"/>
      <c r="X988" s="1"/>
    </row>
    <row r="989" spans="1:24">
      <c r="A989" s="1"/>
      <c r="B989" s="8"/>
      <c r="C989" s="8"/>
      <c r="D989" s="8"/>
      <c r="E989" s="8"/>
      <c r="F989" s="8"/>
      <c r="G989" s="8"/>
      <c r="H989" s="8"/>
      <c r="I989" s="8"/>
      <c r="J989" s="8"/>
      <c r="K989" s="8"/>
      <c r="L989" s="56"/>
      <c r="M989" s="26"/>
      <c r="N989" s="26"/>
      <c r="O989" s="26"/>
      <c r="P989" s="1"/>
      <c r="Q989" s="1"/>
      <c r="R989" s="8"/>
      <c r="S989" s="1"/>
      <c r="T989" s="8"/>
      <c r="U989" s="1"/>
      <c r="V989" s="1"/>
      <c r="W989" s="1"/>
      <c r="X989" s="1"/>
    </row>
    <row r="990" spans="1:24">
      <c r="A990" s="1"/>
      <c r="B990" s="8"/>
      <c r="C990" s="8"/>
      <c r="D990" s="8"/>
      <c r="E990" s="8"/>
      <c r="F990" s="8"/>
      <c r="G990" s="8"/>
      <c r="H990" s="8"/>
      <c r="I990" s="8"/>
      <c r="J990" s="8"/>
      <c r="K990" s="8"/>
      <c r="L990" s="56"/>
      <c r="M990" s="26"/>
      <c r="N990" s="26"/>
      <c r="O990" s="26"/>
      <c r="P990" s="1"/>
      <c r="Q990" s="1"/>
      <c r="R990" s="8"/>
      <c r="S990" s="1"/>
      <c r="T990" s="8"/>
      <c r="U990" s="1"/>
      <c r="V990" s="1"/>
      <c r="W990" s="1"/>
      <c r="X990" s="1"/>
    </row>
    <row r="991" spans="1:24">
      <c r="A991" s="1"/>
      <c r="B991" s="8"/>
      <c r="C991" s="8"/>
      <c r="D991" s="8"/>
      <c r="E991" s="8"/>
      <c r="F991" s="8"/>
      <c r="G991" s="8"/>
      <c r="H991" s="8"/>
      <c r="I991" s="8"/>
      <c r="J991" s="8"/>
      <c r="K991" s="8"/>
      <c r="L991" s="56"/>
      <c r="M991" s="26"/>
      <c r="N991" s="26"/>
      <c r="O991" s="26"/>
      <c r="P991" s="1"/>
      <c r="Q991" s="1"/>
      <c r="R991" s="8"/>
      <c r="S991" s="1"/>
      <c r="T991" s="8"/>
      <c r="U991" s="1"/>
      <c r="V991" s="1"/>
      <c r="W991" s="1"/>
      <c r="X991" s="1"/>
    </row>
    <row r="992" spans="1:24">
      <c r="A992" s="1"/>
      <c r="B992" s="8"/>
      <c r="C992" s="8"/>
      <c r="D992" s="8"/>
      <c r="E992" s="8"/>
      <c r="F992" s="8"/>
      <c r="G992" s="8"/>
      <c r="H992" s="8"/>
      <c r="I992" s="8"/>
      <c r="J992" s="8"/>
      <c r="K992" s="8"/>
      <c r="L992" s="56"/>
      <c r="M992" s="26"/>
      <c r="N992" s="26"/>
      <c r="O992" s="26"/>
      <c r="P992" s="1"/>
      <c r="Q992" s="1"/>
      <c r="R992" s="8"/>
      <c r="S992" s="1"/>
      <c r="T992" s="8"/>
      <c r="U992" s="1"/>
      <c r="V992" s="1"/>
      <c r="W992" s="1"/>
      <c r="X992" s="1"/>
    </row>
    <row r="993" spans="1:24">
      <c r="A993" s="1"/>
      <c r="B993" s="8"/>
      <c r="C993" s="8"/>
      <c r="D993" s="8"/>
      <c r="E993" s="8"/>
      <c r="F993" s="8"/>
      <c r="G993" s="8"/>
      <c r="H993" s="8"/>
      <c r="I993" s="8"/>
      <c r="J993" s="8"/>
      <c r="K993" s="8"/>
      <c r="L993" s="56"/>
      <c r="M993" s="26"/>
      <c r="N993" s="26"/>
      <c r="O993" s="26"/>
      <c r="P993" s="1"/>
      <c r="Q993" s="1"/>
      <c r="R993" s="8"/>
      <c r="S993" s="1"/>
      <c r="T993" s="8"/>
      <c r="U993" s="1"/>
      <c r="V993" s="1"/>
      <c r="W993" s="1"/>
      <c r="X993" s="1"/>
    </row>
    <row r="994" spans="1:24">
      <c r="A994" s="1"/>
      <c r="B994" s="8"/>
      <c r="C994" s="8"/>
      <c r="D994" s="8"/>
      <c r="E994" s="8"/>
      <c r="F994" s="8"/>
      <c r="G994" s="8"/>
      <c r="H994" s="8"/>
      <c r="I994" s="8"/>
      <c r="J994" s="8"/>
      <c r="K994" s="8"/>
      <c r="L994" s="56"/>
      <c r="M994" s="26"/>
      <c r="N994" s="26"/>
      <c r="O994" s="26"/>
      <c r="P994" s="1"/>
      <c r="Q994" s="1"/>
      <c r="R994" s="8"/>
      <c r="S994" s="1"/>
      <c r="T994" s="8"/>
      <c r="U994" s="1"/>
      <c r="V994" s="1"/>
      <c r="W994" s="1"/>
      <c r="X994" s="1"/>
    </row>
    <row r="995" spans="1:24">
      <c r="A995" s="1"/>
      <c r="B995" s="8"/>
      <c r="C995" s="8"/>
      <c r="D995" s="8"/>
      <c r="E995" s="8"/>
      <c r="F995" s="8"/>
      <c r="G995" s="8"/>
      <c r="H995" s="8"/>
      <c r="I995" s="8"/>
      <c r="J995" s="8"/>
      <c r="K995" s="8"/>
      <c r="L995" s="56"/>
      <c r="M995" s="26"/>
      <c r="N995" s="26"/>
      <c r="O995" s="26"/>
      <c r="P995" s="1"/>
      <c r="Q995" s="1"/>
      <c r="R995" s="8"/>
      <c r="S995" s="1"/>
      <c r="T995" s="8"/>
      <c r="U995" s="1"/>
      <c r="V995" s="1"/>
      <c r="W995" s="1"/>
      <c r="X995" s="1"/>
    </row>
    <row r="996" spans="1:24">
      <c r="A996" s="1"/>
      <c r="B996" s="8"/>
      <c r="C996" s="8"/>
      <c r="D996" s="8"/>
      <c r="E996" s="8"/>
      <c r="F996" s="8"/>
      <c r="G996" s="8"/>
      <c r="H996" s="8"/>
      <c r="I996" s="8"/>
      <c r="J996" s="8"/>
      <c r="K996" s="8"/>
      <c r="L996" s="56"/>
      <c r="M996" s="26"/>
      <c r="N996" s="26"/>
      <c r="O996" s="26"/>
      <c r="P996" s="1"/>
      <c r="Q996" s="1"/>
      <c r="R996" s="8"/>
      <c r="S996" s="1"/>
      <c r="T996" s="8"/>
      <c r="U996" s="1"/>
      <c r="V996" s="1"/>
      <c r="W996" s="1"/>
      <c r="X996" s="1"/>
    </row>
    <row r="997" spans="1:24">
      <c r="A997" s="1"/>
      <c r="B997" s="8"/>
      <c r="C997" s="8"/>
      <c r="D997" s="8"/>
      <c r="E997" s="8"/>
      <c r="F997" s="8"/>
      <c r="G997" s="8"/>
      <c r="H997" s="8"/>
      <c r="I997" s="8"/>
      <c r="J997" s="8"/>
      <c r="K997" s="8"/>
      <c r="L997" s="56"/>
      <c r="M997" s="26"/>
      <c r="N997" s="26"/>
      <c r="O997" s="26"/>
      <c r="P997" s="1"/>
      <c r="Q997" s="1"/>
      <c r="R997" s="8"/>
      <c r="S997" s="1"/>
      <c r="T997" s="8"/>
      <c r="U997" s="1"/>
      <c r="V997" s="1"/>
      <c r="W997" s="1"/>
      <c r="X997" s="1"/>
    </row>
    <row r="998" spans="1:24">
      <c r="A998" s="1"/>
      <c r="B998" s="8"/>
      <c r="C998" s="8"/>
      <c r="D998" s="8"/>
      <c r="E998" s="8"/>
      <c r="F998" s="8"/>
      <c r="G998" s="8"/>
      <c r="H998" s="8"/>
      <c r="I998" s="8"/>
      <c r="J998" s="8"/>
      <c r="K998" s="8"/>
      <c r="L998" s="56"/>
      <c r="M998" s="26"/>
      <c r="N998" s="26"/>
      <c r="O998" s="26"/>
      <c r="P998" s="1"/>
      <c r="Q998" s="1"/>
      <c r="R998" s="8"/>
      <c r="S998" s="1"/>
      <c r="T998" s="8"/>
      <c r="U998" s="1"/>
      <c r="V998" s="1"/>
      <c r="W998" s="1"/>
      <c r="X998" s="1"/>
    </row>
    <row r="999" spans="1:24">
      <c r="A999" s="1"/>
      <c r="B999" s="8"/>
      <c r="C999" s="8"/>
      <c r="D999" s="8"/>
      <c r="E999" s="8"/>
      <c r="F999" s="8"/>
      <c r="G999" s="8"/>
      <c r="H999" s="8"/>
      <c r="I999" s="8"/>
      <c r="J999" s="8"/>
      <c r="K999" s="8"/>
      <c r="L999" s="56"/>
      <c r="M999" s="26"/>
      <c r="N999" s="26"/>
      <c r="O999" s="26"/>
      <c r="P999" s="1"/>
      <c r="Q999" s="1"/>
      <c r="R999" s="8"/>
      <c r="S999" s="1"/>
      <c r="T999" s="8"/>
      <c r="U999" s="1"/>
      <c r="V999" s="1"/>
      <c r="W999" s="1"/>
      <c r="X999" s="1"/>
    </row>
    <row r="1000" spans="1:24">
      <c r="A1000" s="1"/>
      <c r="B1000" s="8"/>
      <c r="C1000" s="8"/>
      <c r="D1000" s="8"/>
      <c r="E1000" s="8"/>
      <c r="F1000" s="8"/>
      <c r="G1000" s="8"/>
      <c r="H1000" s="8"/>
      <c r="I1000" s="8"/>
      <c r="J1000" s="8"/>
      <c r="K1000" s="8"/>
      <c r="L1000" s="56"/>
      <c r="M1000" s="26"/>
      <c r="N1000" s="26"/>
      <c r="O1000" s="26"/>
      <c r="P1000" s="1"/>
      <c r="Q1000" s="1"/>
      <c r="R1000" s="8"/>
      <c r="S1000" s="1"/>
      <c r="T1000" s="8"/>
      <c r="U1000" s="1"/>
      <c r="V1000" s="1"/>
      <c r="W1000" s="1"/>
      <c r="X1000" s="1"/>
    </row>
    <row r="1001" spans="1:24">
      <c r="A1001" s="1"/>
      <c r="B1001" s="8"/>
      <c r="C1001" s="8"/>
      <c r="D1001" s="8"/>
      <c r="E1001" s="8"/>
      <c r="F1001" s="8"/>
      <c r="G1001" s="8"/>
      <c r="H1001" s="8"/>
      <c r="I1001" s="8"/>
      <c r="J1001" s="8"/>
      <c r="K1001" s="8"/>
      <c r="L1001" s="56"/>
      <c r="M1001" s="26"/>
      <c r="N1001" s="26"/>
      <c r="O1001" s="26"/>
      <c r="P1001" s="1"/>
      <c r="Q1001" s="1"/>
      <c r="R1001" s="8"/>
      <c r="S1001" s="1"/>
      <c r="T1001" s="8"/>
      <c r="U1001" s="1"/>
      <c r="V1001" s="1"/>
      <c r="W1001" s="1"/>
      <c r="X1001" s="1"/>
    </row>
    <row r="1002" spans="1:24">
      <c r="A1002" s="1"/>
      <c r="B1002" s="8"/>
      <c r="C1002" s="8"/>
      <c r="D1002" s="8"/>
      <c r="E1002" s="8"/>
      <c r="F1002" s="8"/>
      <c r="G1002" s="8"/>
      <c r="H1002" s="8"/>
      <c r="I1002" s="8"/>
      <c r="J1002" s="8"/>
      <c r="K1002" s="8"/>
      <c r="L1002" s="56"/>
      <c r="M1002" s="26"/>
      <c r="N1002" s="26"/>
      <c r="O1002" s="26"/>
      <c r="P1002" s="1"/>
      <c r="Q1002" s="1"/>
      <c r="R1002" s="8"/>
      <c r="S1002" s="1"/>
      <c r="T1002" s="8"/>
      <c r="U1002" s="1"/>
      <c r="V1002" s="1"/>
      <c r="W1002" s="1"/>
      <c r="X1002" s="1"/>
    </row>
    <row r="1003" spans="1:24">
      <c r="A1003" s="1"/>
      <c r="B1003" s="8"/>
      <c r="C1003" s="8"/>
      <c r="D1003" s="8"/>
      <c r="E1003" s="8"/>
      <c r="F1003" s="8"/>
      <c r="G1003" s="8"/>
      <c r="H1003" s="8"/>
      <c r="I1003" s="8"/>
      <c r="J1003" s="8"/>
      <c r="K1003" s="8"/>
      <c r="L1003" s="56"/>
      <c r="M1003" s="26"/>
      <c r="N1003" s="26"/>
      <c r="O1003" s="26"/>
      <c r="P1003" s="1"/>
      <c r="Q1003" s="1"/>
      <c r="R1003" s="8"/>
      <c r="S1003" s="1"/>
      <c r="T1003" s="8"/>
      <c r="U1003" s="1"/>
      <c r="V1003" s="1"/>
      <c r="W1003" s="1"/>
      <c r="X1003" s="1"/>
    </row>
    <row r="1004" spans="1:24">
      <c r="A1004" s="1"/>
      <c r="B1004" s="8"/>
      <c r="C1004" s="8"/>
      <c r="D1004" s="8"/>
      <c r="E1004" s="8"/>
      <c r="F1004" s="8"/>
      <c r="G1004" s="8"/>
      <c r="H1004" s="8"/>
      <c r="I1004" s="8"/>
      <c r="J1004" s="8"/>
      <c r="K1004" s="8"/>
      <c r="L1004" s="56"/>
      <c r="M1004" s="26"/>
      <c r="N1004" s="26"/>
      <c r="O1004" s="26"/>
      <c r="P1004" s="1"/>
      <c r="Q1004" s="1"/>
      <c r="R1004" s="8"/>
      <c r="S1004" s="1"/>
      <c r="T1004" s="8"/>
      <c r="U1004" s="1"/>
      <c r="V1004" s="1"/>
      <c r="W1004" s="1"/>
      <c r="X1004" s="1"/>
    </row>
    <row r="1005" spans="1:24">
      <c r="A1005" s="1"/>
      <c r="B1005" s="8"/>
      <c r="C1005" s="8"/>
      <c r="D1005" s="8"/>
      <c r="E1005" s="8"/>
      <c r="F1005" s="8"/>
      <c r="G1005" s="8"/>
      <c r="H1005" s="8"/>
      <c r="I1005" s="8"/>
      <c r="J1005" s="8"/>
      <c r="K1005" s="8"/>
      <c r="L1005" s="56"/>
      <c r="M1005" s="26"/>
      <c r="N1005" s="26"/>
      <c r="O1005" s="26"/>
      <c r="P1005" s="1"/>
      <c r="Q1005" s="1"/>
      <c r="R1005" s="8"/>
      <c r="S1005" s="1"/>
      <c r="T1005" s="8"/>
      <c r="U1005" s="1"/>
      <c r="V1005" s="1"/>
      <c r="W1005" s="1"/>
      <c r="X1005" s="1"/>
    </row>
    <row r="1006" spans="1:24">
      <c r="A1006" s="1"/>
      <c r="B1006" s="8"/>
      <c r="C1006" s="8"/>
      <c r="D1006" s="8"/>
      <c r="E1006" s="8"/>
      <c r="F1006" s="8"/>
      <c r="G1006" s="8"/>
      <c r="H1006" s="8"/>
      <c r="I1006" s="8"/>
      <c r="J1006" s="8"/>
      <c r="K1006" s="8"/>
      <c r="L1006" s="56"/>
      <c r="M1006" s="26"/>
      <c r="N1006" s="26"/>
      <c r="O1006" s="26"/>
      <c r="P1006" s="1"/>
      <c r="Q1006" s="1"/>
      <c r="R1006" s="8"/>
      <c r="S1006" s="1"/>
      <c r="T1006" s="8"/>
      <c r="U1006" s="1"/>
      <c r="V1006" s="1"/>
      <c r="W1006" s="1"/>
      <c r="X1006" s="1"/>
    </row>
    <row r="1007" spans="1:24">
      <c r="A1007" s="1"/>
      <c r="B1007" s="8"/>
      <c r="C1007" s="8"/>
      <c r="D1007" s="8"/>
      <c r="E1007" s="8"/>
      <c r="F1007" s="8"/>
      <c r="G1007" s="8"/>
      <c r="H1007" s="8"/>
      <c r="I1007" s="8"/>
      <c r="J1007" s="8"/>
      <c r="K1007" s="8"/>
      <c r="L1007" s="56"/>
      <c r="M1007" s="26"/>
      <c r="N1007" s="26"/>
      <c r="O1007" s="26"/>
      <c r="P1007" s="1"/>
      <c r="Q1007" s="1"/>
      <c r="R1007" s="8"/>
      <c r="S1007" s="1"/>
      <c r="T1007" s="8"/>
      <c r="U1007" s="1"/>
      <c r="V1007" s="1"/>
      <c r="W1007" s="1"/>
      <c r="X1007" s="1"/>
    </row>
    <row r="1008" spans="1:24">
      <c r="A1008" s="1"/>
      <c r="B1008" s="8"/>
      <c r="C1008" s="8"/>
      <c r="D1008" s="8"/>
      <c r="E1008" s="8"/>
      <c r="F1008" s="8"/>
      <c r="G1008" s="8"/>
      <c r="H1008" s="8"/>
      <c r="I1008" s="8"/>
      <c r="J1008" s="8"/>
      <c r="K1008" s="8"/>
      <c r="L1008" s="56"/>
      <c r="M1008" s="26"/>
      <c r="N1008" s="26"/>
      <c r="O1008" s="26"/>
      <c r="P1008" s="1"/>
      <c r="Q1008" s="1"/>
      <c r="R1008" s="8"/>
      <c r="S1008" s="1"/>
      <c r="T1008" s="8"/>
      <c r="U1008" s="1"/>
      <c r="V1008" s="1"/>
      <c r="W1008" s="1"/>
      <c r="X1008" s="1"/>
    </row>
    <row r="1009" spans="1:24">
      <c r="A1009" s="1"/>
      <c r="B1009" s="8"/>
      <c r="C1009" s="8"/>
      <c r="D1009" s="8"/>
      <c r="E1009" s="8"/>
      <c r="F1009" s="8"/>
      <c r="G1009" s="8"/>
      <c r="H1009" s="8"/>
      <c r="I1009" s="8"/>
      <c r="J1009" s="8"/>
      <c r="K1009" s="8"/>
      <c r="L1009" s="56"/>
      <c r="M1009" s="26"/>
      <c r="N1009" s="26"/>
      <c r="O1009" s="26"/>
      <c r="P1009" s="1"/>
      <c r="Q1009" s="1"/>
      <c r="R1009" s="8"/>
      <c r="S1009" s="1"/>
      <c r="T1009" s="8"/>
      <c r="U1009" s="1"/>
      <c r="V1009" s="1"/>
      <c r="W1009" s="1"/>
      <c r="X1009" s="1"/>
    </row>
    <row r="1010" spans="1:24">
      <c r="A1010" s="1"/>
      <c r="B1010" s="8"/>
      <c r="C1010" s="8"/>
      <c r="D1010" s="8"/>
      <c r="E1010" s="8"/>
      <c r="F1010" s="8"/>
      <c r="G1010" s="8"/>
      <c r="H1010" s="8"/>
      <c r="I1010" s="8"/>
      <c r="J1010" s="8"/>
      <c r="K1010" s="8"/>
      <c r="L1010" s="56"/>
      <c r="M1010" s="26"/>
      <c r="N1010" s="26"/>
      <c r="O1010" s="26"/>
      <c r="P1010" s="1"/>
      <c r="Q1010" s="1"/>
      <c r="R1010" s="8"/>
      <c r="S1010" s="1"/>
      <c r="T1010" s="8"/>
      <c r="U1010" s="1"/>
      <c r="V1010" s="1"/>
      <c r="W1010" s="1"/>
      <c r="X1010" s="1"/>
    </row>
    <row r="1011" spans="1:24">
      <c r="A1011" s="1"/>
      <c r="B1011" s="8"/>
      <c r="C1011" s="8"/>
      <c r="D1011" s="8"/>
      <c r="E1011" s="8"/>
      <c r="F1011" s="8"/>
      <c r="G1011" s="8"/>
      <c r="H1011" s="8"/>
      <c r="I1011" s="8"/>
      <c r="J1011" s="8"/>
      <c r="K1011" s="8"/>
      <c r="L1011" s="56"/>
      <c r="M1011" s="26"/>
      <c r="N1011" s="26"/>
      <c r="O1011" s="26"/>
      <c r="P1011" s="1"/>
      <c r="Q1011" s="1"/>
      <c r="R1011" s="8"/>
      <c r="S1011" s="1"/>
      <c r="T1011" s="8"/>
      <c r="U1011" s="1"/>
      <c r="V1011" s="1"/>
      <c r="W1011" s="1"/>
      <c r="X1011" s="1"/>
    </row>
    <row r="1012" spans="1:24">
      <c r="A1012" s="1"/>
      <c r="B1012" s="8"/>
      <c r="C1012" s="8"/>
      <c r="D1012" s="8"/>
      <c r="E1012" s="8"/>
      <c r="F1012" s="8"/>
      <c r="G1012" s="8"/>
      <c r="H1012" s="8"/>
      <c r="I1012" s="8"/>
      <c r="J1012" s="8"/>
      <c r="K1012" s="8"/>
      <c r="L1012" s="56"/>
      <c r="M1012" s="26"/>
      <c r="N1012" s="26"/>
      <c r="O1012" s="26"/>
      <c r="P1012" s="1"/>
      <c r="Q1012" s="1"/>
      <c r="R1012" s="8"/>
      <c r="S1012" s="1"/>
      <c r="T1012" s="8"/>
      <c r="U1012" s="1"/>
      <c r="V1012" s="1"/>
      <c r="W1012" s="1"/>
      <c r="X1012" s="1"/>
    </row>
    <row r="1013" spans="1:24">
      <c r="A1013" s="1"/>
      <c r="B1013" s="8"/>
      <c r="C1013" s="8"/>
      <c r="D1013" s="8"/>
      <c r="E1013" s="8"/>
      <c r="F1013" s="8"/>
      <c r="G1013" s="8"/>
      <c r="H1013" s="8"/>
      <c r="I1013" s="8"/>
      <c r="J1013" s="8"/>
      <c r="K1013" s="8"/>
      <c r="L1013" s="56"/>
      <c r="M1013" s="26"/>
      <c r="N1013" s="26"/>
      <c r="O1013" s="26"/>
      <c r="P1013" s="1"/>
      <c r="Q1013" s="1"/>
      <c r="R1013" s="8"/>
      <c r="S1013" s="1"/>
      <c r="T1013" s="8"/>
      <c r="U1013" s="1"/>
      <c r="V1013" s="1"/>
      <c r="W1013" s="1"/>
      <c r="X1013" s="1"/>
    </row>
    <row r="1014" spans="1:24">
      <c r="A1014" s="1"/>
      <c r="B1014" s="8"/>
      <c r="C1014" s="8"/>
      <c r="D1014" s="8"/>
      <c r="E1014" s="8"/>
      <c r="F1014" s="8"/>
      <c r="G1014" s="8"/>
      <c r="H1014" s="8"/>
      <c r="I1014" s="8"/>
      <c r="J1014" s="8"/>
      <c r="K1014" s="8"/>
      <c r="L1014" s="56"/>
      <c r="M1014" s="26"/>
      <c r="N1014" s="26"/>
      <c r="O1014" s="26"/>
      <c r="P1014" s="1"/>
      <c r="Q1014" s="1"/>
      <c r="R1014" s="8"/>
      <c r="S1014" s="1"/>
      <c r="T1014" s="8"/>
      <c r="U1014" s="1"/>
      <c r="V1014" s="1"/>
      <c r="W1014" s="1"/>
      <c r="X1014" s="1"/>
    </row>
    <row r="1015" spans="1:24">
      <c r="A1015" s="1"/>
      <c r="B1015" s="8"/>
      <c r="C1015" s="8"/>
      <c r="D1015" s="8"/>
      <c r="E1015" s="8"/>
      <c r="F1015" s="8"/>
      <c r="G1015" s="8"/>
      <c r="H1015" s="8"/>
      <c r="I1015" s="8"/>
      <c r="J1015" s="8"/>
      <c r="K1015" s="8"/>
      <c r="L1015" s="56"/>
      <c r="M1015" s="26"/>
      <c r="N1015" s="26"/>
      <c r="O1015" s="26"/>
      <c r="P1015" s="1"/>
      <c r="Q1015" s="1"/>
      <c r="R1015" s="8"/>
      <c r="S1015" s="1"/>
      <c r="T1015" s="8"/>
      <c r="U1015" s="1"/>
      <c r="V1015" s="1"/>
      <c r="W1015" s="1"/>
      <c r="X1015" s="1"/>
    </row>
    <row r="1016" spans="1:24">
      <c r="A1016" s="1"/>
      <c r="B1016" s="8"/>
      <c r="C1016" s="8"/>
      <c r="D1016" s="8"/>
      <c r="E1016" s="8"/>
      <c r="F1016" s="8"/>
      <c r="G1016" s="8"/>
      <c r="H1016" s="8"/>
      <c r="I1016" s="8"/>
      <c r="J1016" s="8"/>
      <c r="K1016" s="8"/>
      <c r="L1016" s="56"/>
      <c r="M1016" s="26"/>
      <c r="N1016" s="26"/>
      <c r="O1016" s="26"/>
      <c r="P1016" s="1"/>
      <c r="Q1016" s="1"/>
      <c r="R1016" s="8"/>
      <c r="S1016" s="1"/>
      <c r="T1016" s="8"/>
      <c r="U1016" s="1"/>
      <c r="V1016" s="1"/>
      <c r="W1016" s="1"/>
      <c r="X1016" s="1"/>
    </row>
    <row r="1017" spans="1:24">
      <c r="A1017" s="1"/>
      <c r="B1017" s="8"/>
      <c r="C1017" s="8"/>
      <c r="D1017" s="8"/>
      <c r="E1017" s="8"/>
      <c r="F1017" s="8"/>
      <c r="G1017" s="8"/>
      <c r="H1017" s="8"/>
      <c r="I1017" s="8"/>
      <c r="J1017" s="8"/>
      <c r="K1017" s="8"/>
      <c r="L1017" s="56"/>
      <c r="M1017" s="26"/>
      <c r="N1017" s="26"/>
      <c r="O1017" s="26"/>
      <c r="P1017" s="1"/>
      <c r="Q1017" s="1"/>
      <c r="R1017" s="8"/>
      <c r="S1017" s="1"/>
      <c r="T1017" s="8"/>
      <c r="U1017" s="1"/>
      <c r="V1017" s="1"/>
      <c r="W1017" s="1"/>
      <c r="X1017" s="1"/>
    </row>
    <row r="1018" spans="1:24">
      <c r="A1018" s="1"/>
      <c r="B1018" s="8"/>
      <c r="C1018" s="8"/>
      <c r="D1018" s="8"/>
      <c r="E1018" s="8"/>
      <c r="F1018" s="8"/>
      <c r="G1018" s="8"/>
      <c r="H1018" s="8"/>
      <c r="I1018" s="8"/>
      <c r="J1018" s="8"/>
      <c r="K1018" s="8"/>
      <c r="L1018" s="56"/>
      <c r="M1018" s="26"/>
      <c r="N1018" s="26"/>
      <c r="O1018" s="26"/>
      <c r="P1018" s="1"/>
      <c r="Q1018" s="1"/>
      <c r="R1018" s="8"/>
      <c r="S1018" s="1"/>
      <c r="T1018" s="8"/>
      <c r="U1018" s="1"/>
      <c r="V1018" s="1"/>
      <c r="W1018" s="1"/>
      <c r="X1018" s="1"/>
    </row>
    <row r="1019" spans="1:24">
      <c r="A1019" s="1"/>
      <c r="B1019" s="8"/>
      <c r="C1019" s="8"/>
      <c r="D1019" s="8"/>
      <c r="E1019" s="8"/>
      <c r="F1019" s="8"/>
      <c r="G1019" s="8"/>
      <c r="H1019" s="8"/>
      <c r="I1019" s="8"/>
      <c r="J1019" s="8"/>
      <c r="K1019" s="8"/>
      <c r="L1019" s="56"/>
      <c r="M1019" s="26"/>
      <c r="N1019" s="26"/>
      <c r="O1019" s="26"/>
      <c r="P1019" s="1"/>
      <c r="Q1019" s="1"/>
      <c r="R1019" s="8"/>
      <c r="S1019" s="1"/>
      <c r="T1019" s="8"/>
      <c r="U1019" s="1"/>
      <c r="V1019" s="1"/>
      <c r="W1019" s="1"/>
      <c r="X1019" s="1"/>
    </row>
    <row r="1020" spans="1:24">
      <c r="A1020" s="1"/>
      <c r="B1020" s="8"/>
      <c r="C1020" s="8"/>
      <c r="D1020" s="8"/>
      <c r="E1020" s="8"/>
      <c r="F1020" s="8"/>
      <c r="G1020" s="8"/>
      <c r="H1020" s="8"/>
      <c r="I1020" s="8"/>
      <c r="J1020" s="8"/>
      <c r="K1020" s="8"/>
      <c r="L1020" s="56"/>
      <c r="M1020" s="26"/>
      <c r="N1020" s="26"/>
      <c r="O1020" s="26"/>
      <c r="P1020" s="1"/>
      <c r="Q1020" s="1"/>
      <c r="R1020" s="8"/>
      <c r="S1020" s="1"/>
      <c r="T1020" s="8"/>
      <c r="U1020" s="1"/>
      <c r="V1020" s="1"/>
      <c r="W1020" s="1"/>
      <c r="X1020" s="1"/>
    </row>
    <row r="1021" spans="1:24">
      <c r="A1021" s="1"/>
      <c r="B1021" s="8"/>
      <c r="C1021" s="8"/>
      <c r="D1021" s="8"/>
      <c r="E1021" s="8"/>
      <c r="F1021" s="8"/>
      <c r="G1021" s="8"/>
      <c r="H1021" s="8"/>
      <c r="I1021" s="8"/>
      <c r="J1021" s="8"/>
      <c r="K1021" s="8"/>
      <c r="L1021" s="56"/>
      <c r="M1021" s="26"/>
      <c r="N1021" s="26"/>
      <c r="O1021" s="26"/>
      <c r="P1021" s="1"/>
      <c r="Q1021" s="1"/>
      <c r="R1021" s="8"/>
      <c r="S1021" s="1"/>
      <c r="T1021" s="8"/>
      <c r="U1021" s="1"/>
      <c r="V1021" s="1"/>
      <c r="W1021" s="1"/>
      <c r="X1021" s="1"/>
    </row>
    <row r="1022" spans="1:24">
      <c r="A1022" s="1"/>
      <c r="B1022" s="8"/>
      <c r="C1022" s="8"/>
      <c r="D1022" s="8"/>
      <c r="E1022" s="8"/>
      <c r="F1022" s="8"/>
      <c r="G1022" s="8"/>
      <c r="H1022" s="8"/>
      <c r="I1022" s="8"/>
      <c r="J1022" s="8"/>
      <c r="K1022" s="8"/>
      <c r="L1022" s="56"/>
      <c r="M1022" s="26"/>
      <c r="N1022" s="26"/>
      <c r="O1022" s="26"/>
      <c r="P1022" s="1"/>
      <c r="Q1022" s="1"/>
      <c r="R1022" s="8"/>
      <c r="S1022" s="1"/>
      <c r="T1022" s="8"/>
      <c r="U1022" s="1"/>
      <c r="V1022" s="1"/>
      <c r="W1022" s="1"/>
      <c r="X1022" s="1"/>
    </row>
    <row r="1023" spans="1:24">
      <c r="A1023" s="1"/>
      <c r="B1023" s="8"/>
      <c r="C1023" s="8"/>
      <c r="D1023" s="8"/>
      <c r="E1023" s="8"/>
      <c r="F1023" s="8"/>
      <c r="G1023" s="8"/>
      <c r="H1023" s="8"/>
      <c r="I1023" s="8"/>
      <c r="J1023" s="8"/>
      <c r="K1023" s="8"/>
      <c r="L1023" s="56"/>
      <c r="M1023" s="26"/>
      <c r="N1023" s="26"/>
      <c r="O1023" s="26"/>
      <c r="P1023" s="1"/>
      <c r="Q1023" s="1"/>
      <c r="R1023" s="8"/>
      <c r="S1023" s="1"/>
      <c r="T1023" s="8"/>
      <c r="U1023" s="1"/>
      <c r="V1023" s="1"/>
      <c r="W1023" s="1"/>
      <c r="X1023" s="1"/>
    </row>
    <row r="1024" spans="1:24">
      <c r="A1024" s="1"/>
      <c r="B1024" s="8"/>
      <c r="C1024" s="8"/>
      <c r="D1024" s="8"/>
      <c r="E1024" s="8"/>
      <c r="F1024" s="8"/>
      <c r="G1024" s="8"/>
      <c r="H1024" s="8"/>
      <c r="I1024" s="8"/>
      <c r="J1024" s="8"/>
      <c r="K1024" s="8"/>
      <c r="L1024" s="56"/>
      <c r="M1024" s="26"/>
      <c r="N1024" s="26"/>
      <c r="O1024" s="26"/>
      <c r="P1024" s="1"/>
      <c r="Q1024" s="1"/>
      <c r="R1024" s="8"/>
      <c r="S1024" s="1"/>
      <c r="T1024" s="8"/>
      <c r="U1024" s="1"/>
      <c r="V1024" s="1"/>
      <c r="W1024" s="1"/>
      <c r="X1024" s="1"/>
    </row>
    <row r="1025" spans="1:24">
      <c r="A1025" s="1"/>
      <c r="B1025" s="8"/>
      <c r="C1025" s="8"/>
      <c r="D1025" s="8"/>
      <c r="E1025" s="8"/>
      <c r="F1025" s="8"/>
      <c r="G1025" s="8"/>
      <c r="H1025" s="8"/>
      <c r="I1025" s="8"/>
      <c r="J1025" s="8"/>
      <c r="K1025" s="8"/>
      <c r="L1025" s="56"/>
      <c r="M1025" s="26"/>
      <c r="N1025" s="26"/>
      <c r="O1025" s="26"/>
      <c r="P1025" s="1"/>
      <c r="Q1025" s="1"/>
      <c r="R1025" s="8"/>
      <c r="S1025" s="1"/>
      <c r="T1025" s="8"/>
      <c r="U1025" s="1"/>
      <c r="V1025" s="1"/>
      <c r="W1025" s="1"/>
      <c r="X1025" s="1"/>
    </row>
    <row r="1026" spans="1:24">
      <c r="A1026" s="1"/>
      <c r="B1026" s="8"/>
      <c r="C1026" s="8"/>
      <c r="D1026" s="8"/>
      <c r="E1026" s="8"/>
      <c r="F1026" s="8"/>
      <c r="G1026" s="8"/>
      <c r="H1026" s="8"/>
      <c r="I1026" s="8"/>
      <c r="J1026" s="8"/>
      <c r="K1026" s="8"/>
      <c r="L1026" s="56"/>
      <c r="M1026" s="26"/>
      <c r="N1026" s="26"/>
      <c r="O1026" s="26"/>
      <c r="P1026" s="1"/>
      <c r="Q1026" s="1"/>
      <c r="R1026" s="8"/>
      <c r="S1026" s="1"/>
      <c r="T1026" s="8"/>
      <c r="U1026" s="1"/>
      <c r="V1026" s="1"/>
      <c r="W1026" s="1"/>
      <c r="X1026" s="1"/>
    </row>
    <row r="1027" spans="1:24">
      <c r="A1027" s="1"/>
      <c r="B1027" s="8"/>
      <c r="C1027" s="8"/>
      <c r="D1027" s="8"/>
      <c r="E1027" s="8"/>
      <c r="F1027" s="8"/>
      <c r="G1027" s="8"/>
      <c r="H1027" s="8"/>
      <c r="I1027" s="8"/>
      <c r="J1027" s="8"/>
      <c r="K1027" s="8"/>
      <c r="L1027" s="56"/>
      <c r="M1027" s="26"/>
      <c r="N1027" s="26"/>
      <c r="O1027" s="26"/>
      <c r="P1027" s="1"/>
      <c r="Q1027" s="1"/>
      <c r="R1027" s="8"/>
      <c r="S1027" s="1"/>
      <c r="T1027" s="8"/>
      <c r="U1027" s="1"/>
      <c r="V1027" s="1"/>
      <c r="W1027" s="1"/>
      <c r="X1027" s="1"/>
    </row>
    <row r="1028" spans="1:24">
      <c r="A1028" s="1"/>
      <c r="B1028" s="8"/>
      <c r="C1028" s="8"/>
      <c r="D1028" s="8"/>
      <c r="E1028" s="8"/>
      <c r="F1028" s="8"/>
      <c r="G1028" s="8"/>
      <c r="H1028" s="8"/>
      <c r="I1028" s="8"/>
      <c r="J1028" s="8"/>
      <c r="K1028" s="8"/>
      <c r="L1028" s="56"/>
      <c r="M1028" s="26"/>
      <c r="N1028" s="26"/>
      <c r="O1028" s="26"/>
      <c r="P1028" s="1"/>
      <c r="Q1028" s="1"/>
      <c r="R1028" s="8"/>
      <c r="S1028" s="1"/>
      <c r="T1028" s="8"/>
      <c r="U1028" s="1"/>
      <c r="V1028" s="1"/>
      <c r="W1028" s="1"/>
      <c r="X1028" s="1"/>
    </row>
    <row r="1029" spans="1:24">
      <c r="A1029" s="1"/>
      <c r="B1029" s="8"/>
      <c r="C1029" s="8"/>
      <c r="D1029" s="8"/>
      <c r="E1029" s="8"/>
      <c r="F1029" s="8"/>
      <c r="G1029" s="8"/>
      <c r="H1029" s="8"/>
      <c r="I1029" s="8"/>
      <c r="J1029" s="8"/>
      <c r="K1029" s="8"/>
      <c r="L1029" s="56"/>
      <c r="M1029" s="26"/>
      <c r="N1029" s="26"/>
      <c r="O1029" s="26"/>
      <c r="P1029" s="1"/>
      <c r="Q1029" s="1"/>
      <c r="R1029" s="8"/>
      <c r="S1029" s="1"/>
      <c r="T1029" s="8"/>
      <c r="U1029" s="1"/>
      <c r="V1029" s="1"/>
      <c r="W1029" s="1"/>
      <c r="X1029" s="1"/>
    </row>
    <row r="1030" spans="1:24">
      <c r="A1030" s="1"/>
      <c r="B1030" s="8"/>
      <c r="C1030" s="8"/>
      <c r="D1030" s="8"/>
      <c r="E1030" s="8"/>
      <c r="F1030" s="8"/>
      <c r="G1030" s="8"/>
      <c r="H1030" s="8"/>
      <c r="I1030" s="8"/>
      <c r="J1030" s="8"/>
      <c r="K1030" s="8"/>
      <c r="L1030" s="56"/>
      <c r="M1030" s="26"/>
      <c r="N1030" s="26"/>
      <c r="O1030" s="26"/>
      <c r="P1030" s="1"/>
      <c r="Q1030" s="1"/>
      <c r="R1030" s="8"/>
      <c r="S1030" s="1"/>
      <c r="T1030" s="8"/>
      <c r="U1030" s="1"/>
      <c r="V1030" s="1"/>
      <c r="W1030" s="1"/>
      <c r="X1030" s="1"/>
    </row>
    <row r="1031" spans="1:24">
      <c r="A1031" s="1"/>
      <c r="B1031" s="8"/>
      <c r="C1031" s="8"/>
      <c r="D1031" s="8"/>
      <c r="E1031" s="8"/>
      <c r="F1031" s="8"/>
      <c r="G1031" s="8"/>
      <c r="H1031" s="8"/>
      <c r="I1031" s="8"/>
      <c r="J1031" s="8"/>
      <c r="K1031" s="8"/>
      <c r="L1031" s="56"/>
      <c r="M1031" s="26"/>
      <c r="N1031" s="26"/>
      <c r="O1031" s="26"/>
      <c r="P1031" s="1"/>
      <c r="Q1031" s="1"/>
      <c r="R1031" s="8"/>
      <c r="S1031" s="1"/>
      <c r="T1031" s="8"/>
      <c r="U1031" s="1"/>
      <c r="V1031" s="1"/>
      <c r="W1031" s="1"/>
      <c r="X1031" s="1"/>
    </row>
    <row r="1032" spans="1:24">
      <c r="A1032" s="1"/>
      <c r="B1032" s="8"/>
      <c r="C1032" s="8"/>
      <c r="D1032" s="8"/>
      <c r="E1032" s="8"/>
      <c r="F1032" s="8"/>
      <c r="G1032" s="8"/>
      <c r="H1032" s="8"/>
      <c r="I1032" s="8"/>
      <c r="J1032" s="8"/>
      <c r="K1032" s="8"/>
      <c r="L1032" s="56"/>
      <c r="M1032" s="26"/>
      <c r="N1032" s="26"/>
      <c r="O1032" s="26"/>
      <c r="P1032" s="1"/>
      <c r="Q1032" s="1"/>
      <c r="R1032" s="8"/>
      <c r="S1032" s="1"/>
      <c r="T1032" s="8"/>
      <c r="U1032" s="1"/>
      <c r="V1032" s="1"/>
      <c r="W1032" s="1"/>
      <c r="X1032" s="1"/>
    </row>
    <row r="1033" spans="1:24">
      <c r="A1033" s="1"/>
      <c r="B1033" s="8"/>
      <c r="C1033" s="8"/>
      <c r="D1033" s="8"/>
      <c r="E1033" s="8"/>
      <c r="F1033" s="8"/>
      <c r="G1033" s="8"/>
      <c r="H1033" s="8"/>
      <c r="I1033" s="8"/>
      <c r="J1033" s="8"/>
      <c r="K1033" s="8"/>
      <c r="L1033" s="56"/>
      <c r="M1033" s="26"/>
      <c r="N1033" s="26"/>
      <c r="O1033" s="26"/>
      <c r="P1033" s="1"/>
      <c r="Q1033" s="1"/>
      <c r="R1033" s="8"/>
      <c r="S1033" s="1"/>
      <c r="T1033" s="8"/>
      <c r="U1033" s="1"/>
      <c r="V1033" s="1"/>
      <c r="W1033" s="1"/>
      <c r="X1033" s="1"/>
    </row>
    <row r="1034" spans="1:24">
      <c r="A1034" s="1"/>
      <c r="B1034" s="8"/>
      <c r="C1034" s="8"/>
      <c r="D1034" s="8"/>
      <c r="E1034" s="8"/>
      <c r="F1034" s="8"/>
      <c r="G1034" s="8"/>
      <c r="H1034" s="8"/>
      <c r="I1034" s="8"/>
      <c r="J1034" s="8"/>
      <c r="K1034" s="8"/>
      <c r="L1034" s="56"/>
      <c r="M1034" s="26"/>
      <c r="N1034" s="26"/>
      <c r="O1034" s="26"/>
      <c r="P1034" s="1"/>
      <c r="Q1034" s="1"/>
      <c r="R1034" s="8"/>
      <c r="S1034" s="1"/>
      <c r="T1034" s="8"/>
      <c r="U1034" s="1"/>
      <c r="V1034" s="1"/>
      <c r="W1034" s="1"/>
      <c r="X1034" s="1"/>
    </row>
    <row r="1035" spans="1:24">
      <c r="A1035" s="1"/>
      <c r="B1035" s="8"/>
      <c r="C1035" s="8"/>
      <c r="D1035" s="8"/>
      <c r="E1035" s="8"/>
      <c r="F1035" s="8"/>
      <c r="G1035" s="8"/>
      <c r="H1035" s="8"/>
      <c r="I1035" s="8"/>
      <c r="J1035" s="8"/>
      <c r="K1035" s="8"/>
      <c r="L1035" s="56"/>
      <c r="M1035" s="26"/>
      <c r="N1035" s="26"/>
      <c r="O1035" s="26"/>
      <c r="P1035" s="1"/>
      <c r="Q1035" s="1"/>
      <c r="R1035" s="8"/>
      <c r="S1035" s="1"/>
      <c r="T1035" s="8"/>
      <c r="U1035" s="1"/>
      <c r="V1035" s="1"/>
      <c r="W1035" s="1"/>
      <c r="X1035" s="1"/>
    </row>
    <row r="1036" spans="1:24">
      <c r="A1036" s="1"/>
      <c r="B1036" s="8"/>
      <c r="C1036" s="8"/>
      <c r="D1036" s="8"/>
      <c r="E1036" s="8"/>
      <c r="F1036" s="8"/>
      <c r="G1036" s="8"/>
      <c r="H1036" s="8"/>
      <c r="I1036" s="8"/>
      <c r="J1036" s="8"/>
      <c r="K1036" s="8"/>
      <c r="L1036" s="56"/>
      <c r="M1036" s="26"/>
      <c r="N1036" s="26"/>
      <c r="O1036" s="26"/>
      <c r="P1036" s="1"/>
      <c r="Q1036" s="1"/>
      <c r="R1036" s="8"/>
      <c r="S1036" s="1"/>
      <c r="T1036" s="8"/>
      <c r="U1036" s="1"/>
      <c r="V1036" s="1"/>
      <c r="W1036" s="1"/>
      <c r="X1036" s="1"/>
    </row>
    <row r="1037" spans="1:24">
      <c r="A1037" s="1"/>
      <c r="B1037" s="8"/>
      <c r="C1037" s="8"/>
      <c r="D1037" s="8"/>
      <c r="E1037" s="8"/>
      <c r="F1037" s="8"/>
      <c r="G1037" s="8"/>
      <c r="H1037" s="8"/>
      <c r="I1037" s="8"/>
      <c r="J1037" s="8"/>
      <c r="K1037" s="8"/>
      <c r="L1037" s="56"/>
      <c r="M1037" s="26"/>
      <c r="N1037" s="26"/>
      <c r="O1037" s="26"/>
      <c r="P1037" s="1"/>
      <c r="Q1037" s="1"/>
      <c r="R1037" s="8"/>
      <c r="S1037" s="1"/>
      <c r="T1037" s="8"/>
      <c r="U1037" s="1"/>
      <c r="V1037" s="1"/>
      <c r="W1037" s="1"/>
      <c r="X1037" s="1"/>
    </row>
    <row r="1038" spans="1:24">
      <c r="A1038" s="1"/>
      <c r="B1038" s="8"/>
      <c r="C1038" s="8"/>
      <c r="D1038" s="8"/>
      <c r="E1038" s="8"/>
      <c r="F1038" s="8"/>
      <c r="G1038" s="8"/>
      <c r="H1038" s="8"/>
      <c r="I1038" s="8"/>
      <c r="J1038" s="8"/>
      <c r="K1038" s="8"/>
      <c r="L1038" s="56"/>
      <c r="M1038" s="26"/>
      <c r="N1038" s="26"/>
      <c r="O1038" s="26"/>
      <c r="P1038" s="1"/>
      <c r="Q1038" s="1"/>
      <c r="R1038" s="8"/>
      <c r="S1038" s="1"/>
      <c r="T1038" s="8"/>
      <c r="U1038" s="1"/>
      <c r="V1038" s="1"/>
      <c r="W1038" s="1"/>
      <c r="X1038" s="1"/>
    </row>
    <row r="1039" spans="1:24">
      <c r="A1039" s="1"/>
      <c r="B1039" s="8"/>
      <c r="C1039" s="8"/>
      <c r="D1039" s="8"/>
      <c r="E1039" s="8"/>
      <c r="F1039" s="8"/>
      <c r="G1039" s="8"/>
      <c r="H1039" s="8"/>
      <c r="I1039" s="8"/>
      <c r="J1039" s="8"/>
      <c r="K1039" s="8"/>
      <c r="L1039" s="56"/>
      <c r="M1039" s="26"/>
      <c r="N1039" s="26"/>
      <c r="O1039" s="26"/>
      <c r="P1039" s="1"/>
      <c r="Q1039" s="1"/>
      <c r="R1039" s="8"/>
      <c r="S1039" s="1"/>
      <c r="T1039" s="8"/>
      <c r="U1039" s="1"/>
      <c r="V1039" s="1"/>
      <c r="W1039" s="1"/>
      <c r="X1039" s="1"/>
    </row>
    <row r="1040" spans="1:24">
      <c r="A1040" s="1"/>
      <c r="B1040" s="8"/>
      <c r="C1040" s="8"/>
      <c r="D1040" s="8"/>
      <c r="E1040" s="8"/>
      <c r="F1040" s="8"/>
      <c r="G1040" s="8"/>
      <c r="H1040" s="8"/>
      <c r="I1040" s="8"/>
      <c r="J1040" s="8"/>
      <c r="K1040" s="8"/>
      <c r="L1040" s="56"/>
      <c r="M1040" s="26"/>
      <c r="N1040" s="26"/>
      <c r="O1040" s="26"/>
      <c r="P1040" s="1"/>
      <c r="Q1040" s="1"/>
      <c r="R1040" s="8"/>
      <c r="S1040" s="1"/>
      <c r="T1040" s="8"/>
      <c r="U1040" s="1"/>
      <c r="V1040" s="1"/>
      <c r="W1040" s="1"/>
      <c r="X1040" s="1"/>
    </row>
    <row r="1041" spans="1:24">
      <c r="A1041" s="1"/>
      <c r="B1041" s="8"/>
      <c r="C1041" s="8"/>
      <c r="D1041" s="8"/>
      <c r="E1041" s="8"/>
      <c r="F1041" s="8"/>
      <c r="G1041" s="8"/>
      <c r="H1041" s="8"/>
      <c r="I1041" s="8"/>
      <c r="J1041" s="8"/>
      <c r="K1041" s="8"/>
      <c r="L1041" s="56"/>
      <c r="M1041" s="26"/>
      <c r="N1041" s="26"/>
      <c r="O1041" s="26"/>
      <c r="P1041" s="1"/>
      <c r="Q1041" s="1"/>
      <c r="R1041" s="8"/>
      <c r="S1041" s="1"/>
      <c r="T1041" s="8"/>
      <c r="U1041" s="1"/>
      <c r="V1041" s="1"/>
      <c r="W1041" s="1"/>
      <c r="X1041" s="1"/>
    </row>
    <row r="1042" spans="1:24">
      <c r="A1042" s="1"/>
      <c r="B1042" s="8"/>
      <c r="C1042" s="8"/>
      <c r="D1042" s="8"/>
      <c r="E1042" s="8"/>
      <c r="F1042" s="8"/>
      <c r="G1042" s="8"/>
      <c r="H1042" s="8"/>
      <c r="I1042" s="8"/>
      <c r="J1042" s="8"/>
      <c r="K1042" s="8"/>
      <c r="L1042" s="56"/>
      <c r="M1042" s="26"/>
      <c r="N1042" s="26"/>
      <c r="O1042" s="26"/>
      <c r="P1042" s="1"/>
      <c r="Q1042" s="1"/>
      <c r="R1042" s="8"/>
      <c r="S1042" s="1"/>
      <c r="T1042" s="8"/>
      <c r="U1042" s="1"/>
      <c r="V1042" s="1"/>
      <c r="W1042" s="1"/>
      <c r="X1042" s="1"/>
    </row>
    <row r="1043" spans="1:24">
      <c r="A1043" s="1"/>
      <c r="B1043" s="8"/>
      <c r="C1043" s="8"/>
      <c r="D1043" s="8"/>
      <c r="E1043" s="8"/>
      <c r="F1043" s="8"/>
      <c r="G1043" s="8"/>
      <c r="H1043" s="8"/>
      <c r="I1043" s="8"/>
      <c r="J1043" s="8"/>
      <c r="K1043" s="8"/>
      <c r="L1043" s="56"/>
      <c r="M1043" s="26"/>
      <c r="N1043" s="26"/>
      <c r="O1043" s="26"/>
      <c r="P1043" s="1"/>
      <c r="Q1043" s="1"/>
      <c r="R1043" s="8"/>
      <c r="S1043" s="1"/>
      <c r="T1043" s="8"/>
      <c r="U1043" s="1"/>
      <c r="V1043" s="1"/>
      <c r="W1043" s="1"/>
      <c r="X1043" s="1"/>
    </row>
    <row r="1044" spans="1:24">
      <c r="A1044" s="1"/>
      <c r="B1044" s="8"/>
      <c r="C1044" s="8"/>
      <c r="D1044" s="8"/>
      <c r="E1044" s="8"/>
      <c r="F1044" s="8"/>
      <c r="G1044" s="8"/>
      <c r="H1044" s="8"/>
      <c r="I1044" s="8"/>
      <c r="J1044" s="8"/>
      <c r="K1044" s="8"/>
      <c r="L1044" s="56"/>
      <c r="M1044" s="26"/>
      <c r="N1044" s="26"/>
      <c r="O1044" s="26"/>
      <c r="P1044" s="1"/>
      <c r="Q1044" s="1"/>
      <c r="R1044" s="8"/>
      <c r="S1044" s="1"/>
      <c r="T1044" s="8"/>
      <c r="U1044" s="1"/>
      <c r="V1044" s="1"/>
      <c r="W1044" s="1"/>
      <c r="X1044" s="1"/>
    </row>
    <row r="1045" spans="1:24">
      <c r="A1045" s="1"/>
      <c r="B1045" s="8"/>
      <c r="C1045" s="8"/>
      <c r="D1045" s="8"/>
      <c r="E1045" s="8"/>
      <c r="F1045" s="8"/>
      <c r="G1045" s="8"/>
      <c r="H1045" s="8"/>
      <c r="I1045" s="8"/>
      <c r="J1045" s="8"/>
      <c r="K1045" s="8"/>
      <c r="L1045" s="56"/>
      <c r="M1045" s="26"/>
      <c r="N1045" s="26"/>
      <c r="O1045" s="26"/>
      <c r="P1045" s="1"/>
      <c r="Q1045" s="1"/>
      <c r="R1045" s="8"/>
      <c r="S1045" s="1"/>
      <c r="T1045" s="8"/>
      <c r="U1045" s="1"/>
      <c r="V1045" s="1"/>
      <c r="W1045" s="1"/>
      <c r="X1045" s="1"/>
    </row>
    <row r="1046" spans="1:24">
      <c r="A1046" s="1"/>
      <c r="B1046" s="8"/>
      <c r="C1046" s="8"/>
      <c r="D1046" s="8"/>
      <c r="E1046" s="8"/>
      <c r="F1046" s="8"/>
      <c r="G1046" s="8"/>
      <c r="H1046" s="8"/>
      <c r="I1046" s="8"/>
      <c r="J1046" s="8"/>
      <c r="K1046" s="8"/>
      <c r="L1046" s="56"/>
      <c r="M1046" s="26"/>
      <c r="N1046" s="26"/>
      <c r="O1046" s="26"/>
      <c r="P1046" s="1"/>
      <c r="Q1046" s="1"/>
      <c r="R1046" s="8"/>
      <c r="S1046" s="1"/>
      <c r="T1046" s="8"/>
      <c r="U1046" s="1"/>
      <c r="V1046" s="1"/>
      <c r="W1046" s="1"/>
      <c r="X1046" s="1"/>
    </row>
    <row r="1047" spans="1:24">
      <c r="A1047" s="1"/>
      <c r="B1047" s="8"/>
      <c r="C1047" s="8"/>
      <c r="D1047" s="8"/>
      <c r="E1047" s="8"/>
      <c r="F1047" s="8"/>
      <c r="G1047" s="8"/>
      <c r="H1047" s="8"/>
      <c r="I1047" s="8"/>
      <c r="J1047" s="8"/>
      <c r="K1047" s="8"/>
      <c r="L1047" s="56"/>
      <c r="M1047" s="26"/>
      <c r="N1047" s="26"/>
      <c r="O1047" s="26"/>
      <c r="P1047" s="1"/>
      <c r="Q1047" s="1"/>
      <c r="R1047" s="8"/>
      <c r="S1047" s="1"/>
      <c r="T1047" s="8"/>
      <c r="U1047" s="1"/>
      <c r="V1047" s="1"/>
      <c r="W1047" s="1"/>
      <c r="X1047" s="1"/>
    </row>
    <row r="1048" spans="1:24">
      <c r="A1048" s="1"/>
      <c r="B1048" s="8"/>
      <c r="C1048" s="8"/>
      <c r="D1048" s="8"/>
      <c r="E1048" s="8"/>
      <c r="F1048" s="8"/>
      <c r="G1048" s="8"/>
      <c r="H1048" s="8"/>
      <c r="I1048" s="8"/>
      <c r="J1048" s="8"/>
      <c r="K1048" s="8"/>
      <c r="L1048" s="56"/>
      <c r="M1048" s="26"/>
      <c r="N1048" s="26"/>
      <c r="O1048" s="26"/>
      <c r="P1048" s="1"/>
      <c r="Q1048" s="1"/>
      <c r="R1048" s="8"/>
      <c r="S1048" s="1"/>
      <c r="T1048" s="8"/>
      <c r="U1048" s="1"/>
      <c r="V1048" s="1"/>
      <c r="W1048" s="1"/>
      <c r="X1048" s="1"/>
    </row>
    <row r="1049" spans="1:24">
      <c r="A1049" s="1"/>
      <c r="B1049" s="8"/>
      <c r="C1049" s="8"/>
      <c r="D1049" s="8"/>
      <c r="E1049" s="8"/>
      <c r="F1049" s="8"/>
      <c r="G1049" s="8"/>
      <c r="H1049" s="8"/>
      <c r="I1049" s="8"/>
      <c r="J1049" s="8"/>
      <c r="K1049" s="8"/>
      <c r="L1049" s="56"/>
      <c r="M1049" s="26"/>
      <c r="N1049" s="26"/>
      <c r="O1049" s="26"/>
      <c r="P1049" s="1"/>
      <c r="Q1049" s="1"/>
      <c r="R1049" s="8"/>
      <c r="S1049" s="1"/>
      <c r="T1049" s="8"/>
      <c r="U1049" s="1"/>
      <c r="V1049" s="1"/>
      <c r="W1049" s="1"/>
      <c r="X1049" s="1"/>
    </row>
    <row r="1050" spans="1:24">
      <c r="A1050" s="1"/>
      <c r="B1050" s="8"/>
      <c r="C1050" s="8"/>
      <c r="D1050" s="8"/>
      <c r="E1050" s="8"/>
      <c r="F1050" s="8"/>
      <c r="G1050" s="8"/>
      <c r="H1050" s="8"/>
      <c r="I1050" s="8"/>
      <c r="J1050" s="8"/>
      <c r="K1050" s="8"/>
      <c r="L1050" s="56"/>
      <c r="M1050" s="26"/>
      <c r="N1050" s="26"/>
      <c r="O1050" s="26"/>
      <c r="P1050" s="1"/>
      <c r="Q1050" s="1"/>
      <c r="R1050" s="8"/>
      <c r="S1050" s="1"/>
      <c r="T1050" s="8"/>
      <c r="U1050" s="1"/>
      <c r="V1050" s="1"/>
      <c r="W1050" s="1"/>
      <c r="X1050" s="1"/>
    </row>
    <row r="1051" spans="1:24">
      <c r="A1051" s="1"/>
      <c r="B1051" s="8"/>
      <c r="C1051" s="8"/>
      <c r="D1051" s="8"/>
      <c r="E1051" s="8"/>
      <c r="F1051" s="8"/>
      <c r="G1051" s="8"/>
      <c r="H1051" s="8"/>
      <c r="I1051" s="8"/>
      <c r="J1051" s="8"/>
      <c r="K1051" s="8"/>
      <c r="L1051" s="56"/>
      <c r="M1051" s="26"/>
      <c r="N1051" s="26"/>
      <c r="O1051" s="26"/>
      <c r="P1051" s="1"/>
      <c r="Q1051" s="1"/>
      <c r="R1051" s="8"/>
      <c r="S1051" s="1"/>
      <c r="T1051" s="8"/>
      <c r="U1051" s="1"/>
      <c r="V1051" s="1"/>
      <c r="W1051" s="1"/>
      <c r="X1051" s="1"/>
    </row>
    <row r="1052" spans="1:24">
      <c r="A1052" s="1"/>
      <c r="B1052" s="8"/>
      <c r="C1052" s="8"/>
      <c r="D1052" s="8"/>
      <c r="E1052" s="8"/>
      <c r="F1052" s="8"/>
      <c r="G1052" s="8"/>
      <c r="H1052" s="8"/>
      <c r="I1052" s="8"/>
      <c r="J1052" s="8"/>
      <c r="K1052" s="8"/>
      <c r="L1052" s="56"/>
      <c r="M1052" s="26"/>
      <c r="N1052" s="26"/>
      <c r="O1052" s="26"/>
      <c r="P1052" s="1"/>
      <c r="Q1052" s="1"/>
      <c r="R1052" s="8"/>
      <c r="S1052" s="1"/>
      <c r="T1052" s="8"/>
      <c r="U1052" s="1"/>
      <c r="V1052" s="1"/>
      <c r="W1052" s="1"/>
      <c r="X1052" s="1"/>
    </row>
    <row r="1053" spans="1:24">
      <c r="A1053" s="1"/>
      <c r="B1053" s="8"/>
      <c r="C1053" s="8"/>
      <c r="D1053" s="8"/>
      <c r="E1053" s="8"/>
      <c r="F1053" s="8"/>
      <c r="G1053" s="8"/>
      <c r="H1053" s="8"/>
      <c r="I1053" s="8"/>
      <c r="J1053" s="8"/>
      <c r="K1053" s="8"/>
      <c r="L1053" s="56"/>
      <c r="M1053" s="26"/>
      <c r="N1053" s="26"/>
      <c r="O1053" s="26"/>
      <c r="P1053" s="1"/>
      <c r="Q1053" s="1"/>
      <c r="R1053" s="8"/>
      <c r="S1053" s="1"/>
      <c r="T1053" s="8"/>
      <c r="U1053" s="1"/>
      <c r="V1053" s="1"/>
      <c r="W1053" s="1"/>
      <c r="X1053" s="1"/>
    </row>
    <row r="1054" spans="1:24">
      <c r="A1054" s="1"/>
      <c r="B1054" s="8"/>
      <c r="C1054" s="8"/>
      <c r="D1054" s="8"/>
      <c r="E1054" s="8"/>
      <c r="F1054" s="8"/>
      <c r="G1054" s="8"/>
      <c r="H1054" s="8"/>
      <c r="I1054" s="8"/>
      <c r="J1054" s="8"/>
      <c r="K1054" s="8"/>
      <c r="L1054" s="56"/>
      <c r="M1054" s="26"/>
      <c r="N1054" s="26"/>
      <c r="O1054" s="26"/>
      <c r="P1054" s="1"/>
      <c r="Q1054" s="1"/>
      <c r="R1054" s="8"/>
      <c r="S1054" s="1"/>
      <c r="T1054" s="8"/>
      <c r="U1054" s="1"/>
      <c r="V1054" s="1"/>
      <c r="W1054" s="1"/>
      <c r="X1054" s="1"/>
    </row>
    <row r="1055" spans="1:24">
      <c r="A1055" s="1"/>
      <c r="B1055" s="8"/>
      <c r="C1055" s="8"/>
      <c r="D1055" s="8"/>
      <c r="E1055" s="8"/>
      <c r="F1055" s="8"/>
      <c r="G1055" s="8"/>
      <c r="H1055" s="8"/>
      <c r="I1055" s="8"/>
      <c r="J1055" s="8"/>
      <c r="K1055" s="8"/>
      <c r="L1055" s="56"/>
      <c r="M1055" s="26"/>
      <c r="N1055" s="26"/>
      <c r="O1055" s="26"/>
      <c r="P1055" s="1"/>
      <c r="Q1055" s="1"/>
      <c r="R1055" s="8"/>
      <c r="S1055" s="1"/>
      <c r="T1055" s="8"/>
      <c r="U1055" s="1"/>
      <c r="V1055" s="1"/>
      <c r="W1055" s="1"/>
      <c r="X1055" s="1"/>
    </row>
    <row r="1056" spans="1:24">
      <c r="A1056" s="1"/>
      <c r="B1056" s="8"/>
      <c r="C1056" s="8"/>
      <c r="D1056" s="8"/>
      <c r="E1056" s="8"/>
      <c r="F1056" s="8"/>
      <c r="G1056" s="8"/>
      <c r="H1056" s="8"/>
      <c r="I1056" s="8"/>
      <c r="J1056" s="8"/>
      <c r="K1056" s="8"/>
      <c r="L1056" s="56"/>
      <c r="M1056" s="26"/>
      <c r="N1056" s="26"/>
      <c r="O1056" s="26"/>
      <c r="P1056" s="1"/>
      <c r="Q1056" s="1"/>
      <c r="R1056" s="8"/>
      <c r="S1056" s="1"/>
      <c r="T1056" s="8"/>
      <c r="U1056" s="1"/>
      <c r="V1056" s="1"/>
      <c r="W1056" s="1"/>
      <c r="X1056" s="1"/>
    </row>
    <row r="1057" spans="1:24">
      <c r="A1057" s="1"/>
      <c r="B1057" s="8"/>
      <c r="C1057" s="8"/>
      <c r="D1057" s="8"/>
      <c r="E1057" s="8"/>
      <c r="F1057" s="8"/>
      <c r="G1057" s="8"/>
      <c r="H1057" s="8"/>
      <c r="I1057" s="8"/>
      <c r="J1057" s="8"/>
      <c r="K1057" s="8"/>
      <c r="L1057" s="56"/>
      <c r="M1057" s="26"/>
      <c r="N1057" s="26"/>
      <c r="O1057" s="26"/>
      <c r="P1057" s="1"/>
      <c r="Q1057" s="1"/>
      <c r="R1057" s="8"/>
      <c r="S1057" s="1"/>
      <c r="T1057" s="8"/>
      <c r="U1057" s="1"/>
      <c r="V1057" s="1"/>
      <c r="W1057" s="1"/>
      <c r="X1057" s="1"/>
    </row>
    <row r="1058" spans="1:24">
      <c r="A1058" s="1"/>
      <c r="B1058" s="8"/>
      <c r="C1058" s="8"/>
      <c r="D1058" s="8"/>
      <c r="E1058" s="8"/>
      <c r="F1058" s="8"/>
      <c r="G1058" s="8"/>
      <c r="H1058" s="8"/>
      <c r="I1058" s="8"/>
      <c r="J1058" s="8"/>
      <c r="K1058" s="8"/>
      <c r="L1058" s="56"/>
      <c r="M1058" s="26"/>
      <c r="N1058" s="26"/>
      <c r="O1058" s="26"/>
      <c r="P1058" s="1"/>
      <c r="Q1058" s="1"/>
      <c r="R1058" s="8"/>
      <c r="S1058" s="1"/>
      <c r="T1058" s="8"/>
      <c r="U1058" s="1"/>
      <c r="V1058" s="1"/>
      <c r="W1058" s="1"/>
      <c r="X1058" s="1"/>
    </row>
    <row r="1059" spans="1:24">
      <c r="A1059" s="1"/>
      <c r="B1059" s="8"/>
      <c r="C1059" s="8"/>
      <c r="D1059" s="8"/>
      <c r="E1059" s="8"/>
      <c r="F1059" s="8"/>
      <c r="G1059" s="8"/>
      <c r="H1059" s="8"/>
      <c r="I1059" s="8"/>
      <c r="J1059" s="8"/>
      <c r="K1059" s="8"/>
      <c r="L1059" s="56"/>
      <c r="M1059" s="26"/>
      <c r="N1059" s="26"/>
      <c r="O1059" s="26"/>
      <c r="P1059" s="1"/>
      <c r="Q1059" s="1"/>
      <c r="R1059" s="8"/>
      <c r="S1059" s="1"/>
      <c r="T1059" s="8"/>
      <c r="U1059" s="1"/>
      <c r="V1059" s="1"/>
      <c r="W1059" s="1"/>
      <c r="X1059" s="1"/>
    </row>
    <row r="1060" spans="1:24">
      <c r="A1060" s="1"/>
      <c r="B1060" s="8"/>
      <c r="C1060" s="8"/>
      <c r="D1060" s="8"/>
      <c r="E1060" s="8"/>
      <c r="F1060" s="8"/>
      <c r="G1060" s="8"/>
      <c r="H1060" s="8"/>
      <c r="I1060" s="8"/>
      <c r="J1060" s="8"/>
      <c r="K1060" s="8"/>
      <c r="L1060" s="56"/>
      <c r="M1060" s="26"/>
      <c r="N1060" s="26"/>
      <c r="O1060" s="26"/>
      <c r="P1060" s="1"/>
      <c r="Q1060" s="1"/>
      <c r="R1060" s="8"/>
      <c r="S1060" s="1"/>
      <c r="T1060" s="8"/>
      <c r="U1060" s="1"/>
      <c r="V1060" s="1"/>
      <c r="W1060" s="1"/>
      <c r="X1060" s="1"/>
    </row>
    <row r="1061" spans="1:24">
      <c r="A1061" s="1"/>
      <c r="B1061" s="8"/>
      <c r="C1061" s="8"/>
      <c r="D1061" s="8"/>
      <c r="E1061" s="8"/>
      <c r="F1061" s="8"/>
      <c r="G1061" s="8"/>
      <c r="H1061" s="8"/>
      <c r="I1061" s="8"/>
      <c r="J1061" s="8"/>
      <c r="K1061" s="8"/>
      <c r="L1061" s="56"/>
      <c r="M1061" s="26"/>
      <c r="N1061" s="26"/>
      <c r="O1061" s="26"/>
      <c r="P1061" s="1"/>
      <c r="Q1061" s="1"/>
      <c r="R1061" s="8"/>
      <c r="S1061" s="1"/>
      <c r="T1061" s="8"/>
      <c r="U1061" s="1"/>
      <c r="V1061" s="1"/>
      <c r="W1061" s="1"/>
      <c r="X1061" s="1"/>
    </row>
    <row r="1062" spans="1:24">
      <c r="A1062" s="1"/>
      <c r="B1062" s="8"/>
      <c r="C1062" s="8"/>
      <c r="D1062" s="8"/>
      <c r="E1062" s="8"/>
      <c r="F1062" s="8"/>
      <c r="G1062" s="8"/>
      <c r="H1062" s="8"/>
      <c r="I1062" s="8"/>
      <c r="J1062" s="8"/>
      <c r="K1062" s="8"/>
      <c r="L1062" s="56"/>
      <c r="M1062" s="26"/>
      <c r="N1062" s="26"/>
      <c r="O1062" s="26"/>
      <c r="P1062" s="1"/>
      <c r="Q1062" s="1"/>
      <c r="R1062" s="8"/>
      <c r="S1062" s="1"/>
      <c r="T1062" s="8"/>
      <c r="U1062" s="1"/>
      <c r="V1062" s="1"/>
      <c r="W1062" s="1"/>
      <c r="X1062" s="1"/>
    </row>
    <row r="1063" spans="1:24">
      <c r="A1063" s="1"/>
      <c r="B1063" s="8"/>
      <c r="C1063" s="8"/>
      <c r="D1063" s="8"/>
      <c r="E1063" s="8"/>
      <c r="F1063" s="8"/>
      <c r="G1063" s="8"/>
      <c r="H1063" s="8"/>
      <c r="I1063" s="8"/>
      <c r="J1063" s="8"/>
      <c r="K1063" s="8"/>
      <c r="L1063" s="56"/>
      <c r="M1063" s="26"/>
      <c r="N1063" s="26"/>
      <c r="O1063" s="26"/>
      <c r="P1063" s="1"/>
      <c r="Q1063" s="1"/>
      <c r="R1063" s="8"/>
      <c r="S1063" s="1"/>
      <c r="T1063" s="8"/>
      <c r="U1063" s="1"/>
      <c r="V1063" s="1"/>
      <c r="W1063" s="1"/>
      <c r="X1063" s="1"/>
    </row>
    <row r="1064" spans="1:24">
      <c r="A1064" s="1"/>
      <c r="B1064" s="8"/>
      <c r="C1064" s="8"/>
      <c r="D1064" s="8"/>
      <c r="E1064" s="8"/>
      <c r="F1064" s="8"/>
      <c r="G1064" s="8"/>
      <c r="H1064" s="8"/>
      <c r="I1064" s="8"/>
      <c r="J1064" s="8"/>
      <c r="K1064" s="8"/>
      <c r="L1064" s="56"/>
      <c r="M1064" s="26"/>
      <c r="N1064" s="26"/>
      <c r="O1064" s="26"/>
      <c r="P1064" s="1"/>
      <c r="Q1064" s="1"/>
      <c r="R1064" s="8"/>
      <c r="S1064" s="1"/>
      <c r="T1064" s="8"/>
      <c r="U1064" s="1"/>
      <c r="V1064" s="1"/>
      <c r="W1064" s="1"/>
      <c r="X1064" s="1"/>
    </row>
    <row r="1065" spans="1:24">
      <c r="A1065" s="1"/>
      <c r="B1065" s="8"/>
      <c r="C1065" s="8"/>
      <c r="D1065" s="8"/>
      <c r="E1065" s="8"/>
      <c r="F1065" s="8"/>
      <c r="G1065" s="8"/>
      <c r="H1065" s="8"/>
      <c r="I1065" s="8"/>
      <c r="J1065" s="8"/>
      <c r="K1065" s="8"/>
      <c r="L1065" s="56"/>
      <c r="M1065" s="26"/>
      <c r="N1065" s="26"/>
      <c r="O1065" s="26"/>
      <c r="P1065" s="1"/>
      <c r="Q1065" s="1"/>
      <c r="R1065" s="8"/>
      <c r="S1065" s="1"/>
      <c r="T1065" s="8"/>
      <c r="U1065" s="1"/>
      <c r="V1065" s="1"/>
      <c r="W1065" s="1"/>
      <c r="X1065" s="1"/>
    </row>
    <row r="1066" spans="1:24">
      <c r="A1066" s="1"/>
      <c r="B1066" s="8"/>
      <c r="C1066" s="8"/>
      <c r="D1066" s="8"/>
      <c r="E1066" s="8"/>
      <c r="F1066" s="8"/>
      <c r="G1066" s="8"/>
      <c r="H1066" s="8"/>
      <c r="I1066" s="8"/>
      <c r="J1066" s="8"/>
      <c r="K1066" s="8"/>
      <c r="L1066" s="56"/>
      <c r="M1066" s="26"/>
      <c r="N1066" s="26"/>
      <c r="O1066" s="26"/>
      <c r="P1066" s="1"/>
      <c r="Q1066" s="1"/>
      <c r="R1066" s="8"/>
      <c r="S1066" s="1"/>
      <c r="T1066" s="8"/>
      <c r="U1066" s="1"/>
      <c r="V1066" s="1"/>
      <c r="W1066" s="1"/>
      <c r="X1066" s="1"/>
    </row>
    <row r="1067" spans="1:24">
      <c r="A1067" s="1"/>
      <c r="B1067" s="8"/>
      <c r="C1067" s="8"/>
      <c r="D1067" s="8"/>
      <c r="E1067" s="8"/>
      <c r="F1067" s="8"/>
      <c r="G1067" s="8"/>
      <c r="H1067" s="8"/>
      <c r="I1067" s="8"/>
      <c r="J1067" s="8"/>
      <c r="K1067" s="8"/>
      <c r="L1067" s="56"/>
      <c r="M1067" s="26"/>
      <c r="N1067" s="26"/>
      <c r="O1067" s="26"/>
      <c r="P1067" s="1"/>
      <c r="Q1067" s="1"/>
      <c r="R1067" s="8"/>
      <c r="S1067" s="1"/>
      <c r="T1067" s="8"/>
      <c r="U1067" s="1"/>
      <c r="V1067" s="1"/>
      <c r="W1067" s="1"/>
      <c r="X1067" s="1"/>
    </row>
    <row r="1068" spans="1:24">
      <c r="A1068" s="1"/>
      <c r="B1068" s="8"/>
      <c r="C1068" s="8"/>
      <c r="D1068" s="8"/>
      <c r="E1068" s="8"/>
      <c r="F1068" s="8"/>
      <c r="G1068" s="8"/>
      <c r="H1068" s="8"/>
      <c r="I1068" s="8"/>
      <c r="J1068" s="8"/>
      <c r="K1068" s="8"/>
      <c r="L1068" s="56"/>
      <c r="M1068" s="26"/>
      <c r="N1068" s="26"/>
      <c r="O1068" s="26"/>
      <c r="P1068" s="1"/>
      <c r="Q1068" s="1"/>
      <c r="R1068" s="8"/>
      <c r="S1068" s="1"/>
      <c r="T1068" s="8"/>
      <c r="U1068" s="1"/>
      <c r="V1068" s="1"/>
      <c r="W1068" s="1"/>
      <c r="X1068" s="1"/>
    </row>
    <row r="1069" spans="1:24">
      <c r="A1069" s="1"/>
      <c r="B1069" s="8"/>
      <c r="C1069" s="8"/>
      <c r="D1069" s="8"/>
      <c r="E1069" s="8"/>
      <c r="F1069" s="8"/>
      <c r="G1069" s="8"/>
      <c r="H1069" s="8"/>
      <c r="I1069" s="8"/>
      <c r="J1069" s="8"/>
      <c r="K1069" s="8"/>
      <c r="L1069" s="56"/>
      <c r="M1069" s="26"/>
      <c r="N1069" s="26"/>
      <c r="O1069" s="26"/>
      <c r="P1069" s="1"/>
      <c r="Q1069" s="1"/>
      <c r="R1069" s="8"/>
      <c r="S1069" s="1"/>
      <c r="T1069" s="8"/>
      <c r="U1069" s="1"/>
      <c r="V1069" s="1"/>
      <c r="W1069" s="1"/>
      <c r="X1069" s="1"/>
    </row>
    <row r="1070" spans="1:24">
      <c r="A1070" s="1"/>
      <c r="B1070" s="8"/>
      <c r="C1070" s="8"/>
      <c r="D1070" s="8"/>
      <c r="E1070" s="8"/>
      <c r="F1070" s="8"/>
      <c r="G1070" s="8"/>
      <c r="H1070" s="8"/>
      <c r="I1070" s="8"/>
      <c r="J1070" s="8"/>
      <c r="K1070" s="8"/>
      <c r="L1070" s="56"/>
      <c r="M1070" s="26"/>
      <c r="N1070" s="26"/>
      <c r="O1070" s="26"/>
      <c r="P1070" s="1"/>
      <c r="Q1070" s="1"/>
      <c r="R1070" s="8"/>
      <c r="S1070" s="1"/>
      <c r="T1070" s="8"/>
      <c r="U1070" s="1"/>
      <c r="V1070" s="1"/>
      <c r="W1070" s="1"/>
      <c r="X1070" s="1"/>
    </row>
    <row r="1071" spans="1:24">
      <c r="A1071" s="1"/>
      <c r="B1071" s="8"/>
      <c r="C1071" s="8"/>
      <c r="D1071" s="8"/>
      <c r="E1071" s="8"/>
      <c r="F1071" s="8"/>
      <c r="G1071" s="8"/>
      <c r="H1071" s="8"/>
      <c r="I1071" s="8"/>
      <c r="J1071" s="8"/>
      <c r="K1071" s="8"/>
      <c r="L1071" s="56"/>
      <c r="M1071" s="26"/>
      <c r="N1071" s="26"/>
      <c r="O1071" s="26"/>
      <c r="P1071" s="1"/>
      <c r="Q1071" s="1"/>
      <c r="R1071" s="8"/>
      <c r="S1071" s="1"/>
      <c r="T1071" s="8"/>
      <c r="U1071" s="1"/>
      <c r="V1071" s="1"/>
      <c r="W1071" s="1"/>
      <c r="X1071" s="1"/>
    </row>
    <row r="1072" spans="1:24">
      <c r="A1072" s="1"/>
      <c r="B1072" s="8"/>
      <c r="C1072" s="8"/>
      <c r="D1072" s="8"/>
      <c r="E1072" s="8"/>
      <c r="F1072" s="8"/>
      <c r="G1072" s="8"/>
      <c r="H1072" s="8"/>
      <c r="I1072" s="8"/>
      <c r="J1072" s="8"/>
      <c r="K1072" s="8"/>
      <c r="L1072" s="56"/>
      <c r="M1072" s="26"/>
      <c r="N1072" s="26"/>
      <c r="O1072" s="26"/>
      <c r="P1072" s="1"/>
      <c r="Q1072" s="1"/>
      <c r="R1072" s="8"/>
      <c r="S1072" s="1"/>
      <c r="T1072" s="8"/>
      <c r="U1072" s="1"/>
      <c r="V1072" s="1"/>
      <c r="W1072" s="1"/>
      <c r="X1072" s="1"/>
    </row>
    <row r="1073" spans="1:24">
      <c r="A1073" s="1"/>
      <c r="B1073" s="8"/>
      <c r="C1073" s="8"/>
      <c r="D1073" s="8"/>
      <c r="E1073" s="8"/>
      <c r="F1073" s="8"/>
      <c r="G1073" s="8"/>
      <c r="H1073" s="8"/>
      <c r="I1073" s="8"/>
      <c r="J1073" s="8"/>
      <c r="K1073" s="8"/>
      <c r="L1073" s="56"/>
      <c r="M1073" s="26"/>
      <c r="N1073" s="26"/>
      <c r="O1073" s="26"/>
      <c r="P1073" s="1"/>
      <c r="Q1073" s="1"/>
      <c r="R1073" s="8"/>
      <c r="S1073" s="1"/>
      <c r="T1073" s="8"/>
      <c r="U1073" s="1"/>
      <c r="V1073" s="1"/>
      <c r="W1073" s="1"/>
      <c r="X1073" s="1"/>
    </row>
    <row r="1074" spans="1:24">
      <c r="A1074" s="1"/>
      <c r="B1074" s="8"/>
      <c r="C1074" s="8"/>
      <c r="D1074" s="8"/>
      <c r="E1074" s="8"/>
      <c r="F1074" s="8"/>
      <c r="G1074" s="8"/>
      <c r="H1074" s="8"/>
      <c r="I1074" s="8"/>
      <c r="J1074" s="8"/>
      <c r="K1074" s="8"/>
      <c r="L1074" s="56"/>
      <c r="M1074" s="26"/>
      <c r="N1074" s="26"/>
      <c r="O1074" s="26"/>
      <c r="P1074" s="1"/>
      <c r="Q1074" s="1"/>
      <c r="R1074" s="8"/>
      <c r="S1074" s="1"/>
      <c r="T1074" s="8"/>
      <c r="U1074" s="1"/>
      <c r="V1074" s="1"/>
      <c r="W1074" s="1"/>
      <c r="X1074" s="1"/>
    </row>
    <row r="1075" spans="1:24">
      <c r="A1075" s="1"/>
      <c r="B1075" s="8"/>
      <c r="C1075" s="8"/>
      <c r="D1075" s="8"/>
      <c r="E1075" s="8"/>
      <c r="F1075" s="8"/>
      <c r="G1075" s="8"/>
      <c r="H1075" s="8"/>
      <c r="I1075" s="8"/>
      <c r="J1075" s="8"/>
      <c r="K1075" s="8"/>
      <c r="L1075" s="56"/>
      <c r="M1075" s="26"/>
      <c r="N1075" s="26"/>
      <c r="O1075" s="26"/>
      <c r="P1075" s="1"/>
      <c r="Q1075" s="1"/>
      <c r="R1075" s="8"/>
      <c r="S1075" s="1"/>
      <c r="T1075" s="8"/>
      <c r="U1075" s="1"/>
      <c r="V1075" s="1"/>
      <c r="W1075" s="1"/>
      <c r="X1075" s="1"/>
    </row>
    <row r="1076" spans="1:24">
      <c r="A1076" s="1"/>
      <c r="B1076" s="8"/>
      <c r="C1076" s="8"/>
      <c r="D1076" s="8"/>
      <c r="E1076" s="8"/>
      <c r="F1076" s="8"/>
      <c r="G1076" s="8"/>
      <c r="H1076" s="8"/>
      <c r="I1076" s="8"/>
      <c r="J1076" s="8"/>
      <c r="K1076" s="8"/>
      <c r="L1076" s="56"/>
      <c r="M1076" s="26"/>
      <c r="N1076" s="26"/>
      <c r="O1076" s="26"/>
      <c r="P1076" s="1"/>
      <c r="Q1076" s="1"/>
      <c r="R1076" s="8"/>
      <c r="S1076" s="1"/>
      <c r="T1076" s="8"/>
      <c r="U1076" s="1"/>
      <c r="V1076" s="1"/>
      <c r="W1076" s="1"/>
      <c r="X1076" s="1"/>
    </row>
    <row r="1077" spans="1:24">
      <c r="A1077" s="1"/>
      <c r="B1077" s="8"/>
      <c r="C1077" s="8"/>
      <c r="D1077" s="8"/>
      <c r="E1077" s="8"/>
      <c r="F1077" s="8"/>
      <c r="G1077" s="8"/>
      <c r="H1077" s="8"/>
      <c r="I1077" s="8"/>
      <c r="J1077" s="8"/>
      <c r="K1077" s="8"/>
      <c r="L1077" s="56"/>
      <c r="M1077" s="26"/>
      <c r="N1077" s="26"/>
      <c r="O1077" s="26"/>
      <c r="P1077" s="1"/>
      <c r="Q1077" s="1"/>
      <c r="R1077" s="8"/>
      <c r="S1077" s="1"/>
      <c r="T1077" s="8"/>
      <c r="U1077" s="1"/>
      <c r="V1077" s="1"/>
      <c r="W1077" s="1"/>
      <c r="X1077" s="1"/>
    </row>
    <row r="1078" spans="1:24">
      <c r="A1078" s="1"/>
      <c r="B1078" s="8"/>
      <c r="C1078" s="8"/>
      <c r="D1078" s="8"/>
      <c r="E1078" s="8"/>
      <c r="F1078" s="8"/>
      <c r="G1078" s="8"/>
      <c r="H1078" s="8"/>
      <c r="I1078" s="8"/>
      <c r="J1078" s="8"/>
      <c r="K1078" s="8"/>
      <c r="L1078" s="56"/>
      <c r="M1078" s="26"/>
      <c r="N1078" s="26"/>
      <c r="O1078" s="26"/>
      <c r="P1078" s="1"/>
      <c r="Q1078" s="1"/>
      <c r="R1078" s="8"/>
      <c r="S1078" s="1"/>
      <c r="T1078" s="8"/>
      <c r="U1078" s="1"/>
      <c r="V1078" s="1"/>
      <c r="W1078" s="1"/>
      <c r="X1078" s="1"/>
    </row>
    <row r="1079" spans="1:24">
      <c r="A1079" s="1"/>
      <c r="B1079" s="8"/>
      <c r="C1079" s="8"/>
      <c r="D1079" s="8"/>
      <c r="E1079" s="8"/>
      <c r="F1079" s="8"/>
      <c r="G1079" s="8"/>
      <c r="H1079" s="8"/>
      <c r="I1079" s="8"/>
      <c r="J1079" s="8"/>
      <c r="K1079" s="8"/>
      <c r="L1079" s="56"/>
      <c r="M1079" s="26"/>
      <c r="N1079" s="26"/>
      <c r="O1079" s="26"/>
      <c r="P1079" s="1"/>
      <c r="Q1079" s="1"/>
      <c r="R1079" s="8"/>
      <c r="S1079" s="1"/>
      <c r="T1079" s="8"/>
      <c r="U1079" s="1"/>
      <c r="V1079" s="1"/>
      <c r="W1079" s="1"/>
      <c r="X1079" s="1"/>
    </row>
    <row r="1080" spans="1:24">
      <c r="A1080" s="1"/>
      <c r="B1080" s="8"/>
      <c r="C1080" s="8"/>
      <c r="D1080" s="8"/>
      <c r="E1080" s="8"/>
      <c r="F1080" s="8"/>
      <c r="G1080" s="8"/>
      <c r="H1080" s="8"/>
      <c r="I1080" s="8"/>
      <c r="J1080" s="8"/>
      <c r="K1080" s="8"/>
      <c r="L1080" s="56"/>
      <c r="M1080" s="26"/>
      <c r="N1080" s="26"/>
      <c r="O1080" s="26"/>
      <c r="P1080" s="1"/>
      <c r="Q1080" s="1"/>
      <c r="R1080" s="8"/>
      <c r="S1080" s="1"/>
      <c r="T1080" s="8"/>
      <c r="U1080" s="1"/>
      <c r="V1080" s="1"/>
      <c r="W1080" s="1"/>
      <c r="X1080" s="1"/>
    </row>
    <row r="1081" spans="1:24">
      <c r="A1081" s="1"/>
      <c r="B1081" s="8"/>
      <c r="C1081" s="8"/>
      <c r="D1081" s="8"/>
      <c r="E1081" s="8"/>
      <c r="F1081" s="8"/>
      <c r="G1081" s="8"/>
      <c r="H1081" s="8"/>
      <c r="I1081" s="8"/>
      <c r="J1081" s="8"/>
      <c r="K1081" s="8"/>
      <c r="L1081" s="56"/>
      <c r="M1081" s="26"/>
      <c r="N1081" s="26"/>
      <c r="O1081" s="26"/>
      <c r="P1081" s="1"/>
      <c r="Q1081" s="1"/>
      <c r="R1081" s="8"/>
      <c r="S1081" s="1"/>
      <c r="T1081" s="8"/>
      <c r="U1081" s="1"/>
      <c r="V1081" s="1"/>
      <c r="W1081" s="1"/>
      <c r="X1081" s="1"/>
    </row>
    <row r="1082" spans="1:24">
      <c r="A1082" s="1"/>
      <c r="B1082" s="8"/>
      <c r="C1082" s="8"/>
      <c r="D1082" s="8"/>
      <c r="E1082" s="8"/>
      <c r="F1082" s="8"/>
      <c r="G1082" s="8"/>
      <c r="H1082" s="8"/>
      <c r="I1082" s="8"/>
      <c r="J1082" s="8"/>
      <c r="K1082" s="8"/>
      <c r="L1082" s="56"/>
      <c r="M1082" s="26"/>
      <c r="N1082" s="26"/>
      <c r="O1082" s="26"/>
      <c r="P1082" s="1"/>
      <c r="Q1082" s="1"/>
      <c r="R1082" s="8"/>
      <c r="S1082" s="1"/>
      <c r="T1082" s="8"/>
      <c r="U1082" s="1"/>
      <c r="V1082" s="1"/>
      <c r="W1082" s="1"/>
      <c r="X1082" s="1"/>
    </row>
    <row r="1083" spans="1:24">
      <c r="A1083" s="1"/>
      <c r="B1083" s="8"/>
      <c r="C1083" s="8"/>
      <c r="D1083" s="8"/>
      <c r="E1083" s="8"/>
      <c r="F1083" s="8"/>
      <c r="G1083" s="8"/>
      <c r="H1083" s="8"/>
      <c r="I1083" s="8"/>
      <c r="J1083" s="8"/>
      <c r="K1083" s="8"/>
      <c r="L1083" s="56"/>
      <c r="M1083" s="26"/>
      <c r="N1083" s="26"/>
      <c r="O1083" s="26"/>
      <c r="P1083" s="1"/>
      <c r="Q1083" s="1"/>
      <c r="R1083" s="8"/>
      <c r="S1083" s="1"/>
      <c r="T1083" s="8"/>
      <c r="U1083" s="1"/>
      <c r="V1083" s="1"/>
      <c r="W1083" s="1"/>
      <c r="X1083" s="1"/>
    </row>
    <row r="1084" spans="1:24">
      <c r="A1084" s="1"/>
      <c r="B1084" s="8"/>
      <c r="C1084" s="8"/>
      <c r="D1084" s="8"/>
      <c r="E1084" s="8"/>
      <c r="F1084" s="8"/>
      <c r="G1084" s="8"/>
      <c r="H1084" s="8"/>
      <c r="I1084" s="8"/>
      <c r="J1084" s="8"/>
      <c r="K1084" s="8"/>
      <c r="L1084" s="56"/>
      <c r="M1084" s="26"/>
      <c r="N1084" s="26"/>
      <c r="O1084" s="26"/>
      <c r="P1084" s="1"/>
      <c r="Q1084" s="1"/>
      <c r="R1084" s="8"/>
      <c r="S1084" s="1"/>
      <c r="T1084" s="8"/>
      <c r="U1084" s="1"/>
      <c r="V1084" s="1"/>
      <c r="W1084" s="1"/>
      <c r="X1084" s="1"/>
    </row>
    <row r="1085" spans="1:24">
      <c r="A1085" s="1"/>
      <c r="B1085" s="8"/>
      <c r="C1085" s="8"/>
      <c r="D1085" s="8"/>
      <c r="E1085" s="8"/>
      <c r="F1085" s="8"/>
      <c r="G1085" s="8"/>
      <c r="H1085" s="8"/>
      <c r="I1085" s="8"/>
      <c r="J1085" s="8"/>
      <c r="K1085" s="8"/>
      <c r="L1085" s="56"/>
      <c r="M1085" s="26"/>
      <c r="N1085" s="26"/>
      <c r="O1085" s="26"/>
      <c r="P1085" s="1"/>
      <c r="Q1085" s="1"/>
      <c r="R1085" s="8"/>
      <c r="S1085" s="1"/>
      <c r="T1085" s="8"/>
      <c r="U1085" s="1"/>
      <c r="V1085" s="1"/>
      <c r="W1085" s="1"/>
      <c r="X1085" s="1"/>
    </row>
    <row r="1086" spans="1:24">
      <c r="A1086" s="1"/>
      <c r="B1086" s="8"/>
      <c r="C1086" s="8"/>
      <c r="D1086" s="8"/>
      <c r="E1086" s="8"/>
      <c r="F1086" s="8"/>
      <c r="G1086" s="8"/>
      <c r="H1086" s="8"/>
      <c r="I1086" s="8"/>
      <c r="J1086" s="8"/>
      <c r="K1086" s="8"/>
      <c r="L1086" s="56"/>
      <c r="M1086" s="26"/>
      <c r="N1086" s="26"/>
      <c r="O1086" s="26"/>
      <c r="P1086" s="1"/>
      <c r="Q1086" s="1"/>
      <c r="R1086" s="8"/>
      <c r="S1086" s="1"/>
      <c r="T1086" s="8"/>
      <c r="U1086" s="1"/>
      <c r="V1086" s="1"/>
      <c r="W1086" s="1"/>
      <c r="X1086" s="1"/>
    </row>
    <row r="1087" spans="1:24">
      <c r="A1087" s="1"/>
      <c r="B1087" s="8"/>
      <c r="C1087" s="8"/>
      <c r="D1087" s="8"/>
      <c r="E1087" s="8"/>
      <c r="F1087" s="8"/>
      <c r="G1087" s="8"/>
      <c r="H1087" s="8"/>
      <c r="I1087" s="8"/>
      <c r="J1087" s="8"/>
      <c r="K1087" s="8"/>
      <c r="L1087" s="56"/>
      <c r="M1087" s="26"/>
      <c r="N1087" s="26"/>
      <c r="O1087" s="26"/>
      <c r="P1087" s="1"/>
      <c r="Q1087" s="1"/>
      <c r="R1087" s="8"/>
      <c r="S1087" s="1"/>
      <c r="T1087" s="8"/>
      <c r="U1087" s="1"/>
      <c r="V1087" s="1"/>
      <c r="W1087" s="1"/>
      <c r="X1087" s="1"/>
    </row>
    <row r="1088" spans="1:24">
      <c r="A1088" s="1"/>
      <c r="B1088" s="8"/>
      <c r="C1088" s="8"/>
      <c r="D1088" s="8"/>
      <c r="E1088" s="8"/>
      <c r="F1088" s="8"/>
      <c r="G1088" s="8"/>
      <c r="H1088" s="8"/>
      <c r="I1088" s="8"/>
      <c r="J1088" s="8"/>
      <c r="K1088" s="8"/>
      <c r="L1088" s="56"/>
      <c r="M1088" s="26"/>
      <c r="N1088" s="26"/>
      <c r="O1088" s="26"/>
      <c r="P1088" s="1"/>
      <c r="Q1088" s="1"/>
      <c r="R1088" s="8"/>
      <c r="S1088" s="1"/>
      <c r="T1088" s="8"/>
      <c r="U1088" s="1"/>
      <c r="V1088" s="1"/>
      <c r="W1088" s="1"/>
      <c r="X1088" s="1"/>
    </row>
    <row r="1089" spans="1:24">
      <c r="A1089" s="1"/>
      <c r="B1089" s="8"/>
      <c r="C1089" s="8"/>
      <c r="D1089" s="8"/>
      <c r="E1089" s="8"/>
      <c r="F1089" s="8"/>
      <c r="G1089" s="8"/>
      <c r="H1089" s="8"/>
      <c r="I1089" s="8"/>
      <c r="J1089" s="8"/>
      <c r="K1089" s="8"/>
      <c r="L1089" s="56"/>
      <c r="M1089" s="26"/>
      <c r="N1089" s="26"/>
      <c r="O1089" s="26"/>
      <c r="P1089" s="1"/>
      <c r="Q1089" s="1"/>
      <c r="R1089" s="8"/>
      <c r="S1089" s="1"/>
      <c r="T1089" s="8"/>
      <c r="U1089" s="1"/>
      <c r="V1089" s="1"/>
      <c r="W1089" s="1"/>
      <c r="X1089" s="1"/>
    </row>
    <row r="1090" spans="1:24">
      <c r="A1090" s="1"/>
      <c r="B1090" s="8"/>
      <c r="C1090" s="8"/>
      <c r="D1090" s="8"/>
      <c r="E1090" s="8"/>
      <c r="F1090" s="8"/>
      <c r="G1090" s="8"/>
      <c r="H1090" s="8"/>
      <c r="I1090" s="8"/>
      <c r="J1090" s="8"/>
      <c r="K1090" s="8"/>
      <c r="L1090" s="56"/>
      <c r="M1090" s="26"/>
      <c r="N1090" s="26"/>
      <c r="O1090" s="26"/>
      <c r="P1090" s="1"/>
      <c r="Q1090" s="1"/>
      <c r="R1090" s="8"/>
      <c r="S1090" s="1"/>
      <c r="T1090" s="8"/>
      <c r="U1090" s="1"/>
      <c r="V1090" s="1"/>
      <c r="W1090" s="1"/>
      <c r="X1090" s="1"/>
    </row>
    <row r="1091" spans="1:24">
      <c r="A1091" s="1"/>
      <c r="B1091" s="8"/>
      <c r="C1091" s="8"/>
      <c r="D1091" s="8"/>
      <c r="E1091" s="8"/>
      <c r="F1091" s="8"/>
      <c r="G1091" s="8"/>
      <c r="H1091" s="8"/>
      <c r="I1091" s="8"/>
      <c r="J1091" s="8"/>
      <c r="K1091" s="8"/>
      <c r="L1091" s="56"/>
      <c r="M1091" s="26"/>
      <c r="N1091" s="26"/>
      <c r="O1091" s="26"/>
      <c r="P1091" s="1"/>
      <c r="Q1091" s="1"/>
      <c r="R1091" s="8"/>
      <c r="S1091" s="1"/>
      <c r="T1091" s="8"/>
      <c r="U1091" s="1"/>
      <c r="V1091" s="1"/>
      <c r="W1091" s="1"/>
      <c r="X1091" s="1"/>
    </row>
    <row r="1092" spans="1:24">
      <c r="A1092" s="1"/>
      <c r="B1092" s="8"/>
      <c r="C1092" s="8"/>
      <c r="D1092" s="8"/>
      <c r="E1092" s="8"/>
      <c r="F1092" s="8"/>
      <c r="G1092" s="8"/>
      <c r="H1092" s="8"/>
      <c r="I1092" s="8"/>
      <c r="J1092" s="8"/>
      <c r="K1092" s="8"/>
      <c r="L1092" s="56"/>
      <c r="M1092" s="26"/>
      <c r="N1092" s="26"/>
      <c r="O1092" s="26"/>
      <c r="P1092" s="1"/>
      <c r="Q1092" s="1"/>
      <c r="R1092" s="8"/>
      <c r="S1092" s="1"/>
      <c r="T1092" s="8"/>
      <c r="U1092" s="1"/>
      <c r="V1092" s="1"/>
      <c r="W1092" s="1"/>
      <c r="X1092" s="1"/>
    </row>
    <row r="1093" spans="1:24">
      <c r="A1093" s="1"/>
      <c r="B1093" s="8"/>
      <c r="C1093" s="8"/>
      <c r="D1093" s="8"/>
      <c r="E1093" s="8"/>
      <c r="F1093" s="8"/>
      <c r="G1093" s="8"/>
      <c r="H1093" s="8"/>
      <c r="I1093" s="8"/>
      <c r="J1093" s="8"/>
      <c r="K1093" s="8"/>
      <c r="L1093" s="56"/>
      <c r="M1093" s="26"/>
      <c r="N1093" s="26"/>
      <c r="O1093" s="26"/>
      <c r="P1093" s="1"/>
      <c r="Q1093" s="1"/>
      <c r="R1093" s="8"/>
      <c r="S1093" s="1"/>
      <c r="T1093" s="8"/>
      <c r="U1093" s="1"/>
      <c r="V1093" s="1"/>
      <c r="W1093" s="1"/>
      <c r="X1093" s="1"/>
    </row>
    <row r="1094" spans="1:24">
      <c r="A1094" s="1"/>
      <c r="B1094" s="8"/>
      <c r="C1094" s="8"/>
      <c r="D1094" s="8"/>
      <c r="E1094" s="8"/>
      <c r="F1094" s="8"/>
      <c r="G1094" s="8"/>
      <c r="H1094" s="8"/>
      <c r="I1094" s="8"/>
      <c r="J1094" s="8"/>
      <c r="K1094" s="8"/>
      <c r="L1094" s="56"/>
      <c r="M1094" s="26"/>
      <c r="N1094" s="26"/>
      <c r="O1094" s="26"/>
      <c r="P1094" s="1"/>
      <c r="Q1094" s="1"/>
      <c r="R1094" s="8"/>
      <c r="S1094" s="1"/>
      <c r="T1094" s="8"/>
      <c r="U1094" s="1"/>
      <c r="V1094" s="1"/>
      <c r="W1094" s="1"/>
      <c r="X1094" s="1"/>
    </row>
    <row r="1095" spans="1:24">
      <c r="A1095" s="1"/>
      <c r="B1095" s="8"/>
      <c r="C1095" s="8"/>
      <c r="D1095" s="8"/>
      <c r="E1095" s="8"/>
      <c r="F1095" s="8"/>
      <c r="G1095" s="8"/>
      <c r="H1095" s="8"/>
      <c r="I1095" s="8"/>
      <c r="J1095" s="8"/>
      <c r="K1095" s="8"/>
      <c r="L1095" s="56"/>
      <c r="M1095" s="26"/>
      <c r="N1095" s="26"/>
      <c r="O1095" s="26"/>
      <c r="P1095" s="1"/>
      <c r="Q1095" s="1"/>
      <c r="R1095" s="8"/>
      <c r="S1095" s="1"/>
      <c r="T1095" s="8"/>
      <c r="U1095" s="1"/>
      <c r="V1095" s="1"/>
      <c r="W1095" s="1"/>
      <c r="X1095" s="1"/>
    </row>
    <row r="1096" spans="1:24">
      <c r="A1096" s="1"/>
      <c r="B1096" s="8"/>
      <c r="C1096" s="8"/>
      <c r="D1096" s="8"/>
      <c r="E1096" s="8"/>
      <c r="F1096" s="8"/>
      <c r="G1096" s="8"/>
      <c r="H1096" s="8"/>
      <c r="I1096" s="8"/>
      <c r="J1096" s="8"/>
      <c r="K1096" s="8"/>
      <c r="L1096" s="56"/>
      <c r="M1096" s="26"/>
      <c r="N1096" s="26"/>
      <c r="O1096" s="26"/>
      <c r="P1096" s="1"/>
      <c r="Q1096" s="1"/>
      <c r="R1096" s="8"/>
      <c r="S1096" s="1"/>
      <c r="T1096" s="8"/>
      <c r="U1096" s="1"/>
      <c r="V1096" s="1"/>
      <c r="W1096" s="1"/>
      <c r="X1096" s="1"/>
    </row>
    <row r="1097" spans="1:24">
      <c r="A1097" s="1"/>
      <c r="B1097" s="8"/>
      <c r="C1097" s="8"/>
      <c r="D1097" s="8"/>
      <c r="E1097" s="8"/>
      <c r="F1097" s="8"/>
      <c r="G1097" s="8"/>
      <c r="H1097" s="8"/>
      <c r="I1097" s="8"/>
      <c r="J1097" s="8"/>
      <c r="K1097" s="8"/>
      <c r="L1097" s="56"/>
      <c r="M1097" s="26"/>
      <c r="N1097" s="26"/>
      <c r="O1097" s="26"/>
      <c r="P1097" s="1"/>
      <c r="Q1097" s="1"/>
      <c r="R1097" s="8"/>
      <c r="S1097" s="1"/>
      <c r="T1097" s="8"/>
      <c r="U1097" s="1"/>
      <c r="V1097" s="1"/>
      <c r="W1097" s="1"/>
      <c r="X1097" s="1"/>
    </row>
    <row r="1098" spans="1:24">
      <c r="A1098" s="1"/>
      <c r="B1098" s="8"/>
      <c r="C1098" s="8"/>
      <c r="D1098" s="8"/>
      <c r="E1098" s="8"/>
      <c r="F1098" s="8"/>
      <c r="G1098" s="8"/>
      <c r="H1098" s="8"/>
      <c r="I1098" s="8"/>
      <c r="J1098" s="8"/>
      <c r="K1098" s="8"/>
      <c r="L1098" s="56"/>
      <c r="M1098" s="26"/>
      <c r="N1098" s="26"/>
      <c r="O1098" s="26"/>
      <c r="P1098" s="1"/>
      <c r="Q1098" s="1"/>
      <c r="R1098" s="8"/>
      <c r="S1098" s="1"/>
      <c r="T1098" s="8"/>
      <c r="U1098" s="1"/>
      <c r="V1098" s="1"/>
      <c r="W1098" s="1"/>
      <c r="X1098" s="1"/>
    </row>
    <row r="1099" spans="1:24">
      <c r="A1099" s="1"/>
      <c r="B1099" s="8"/>
      <c r="C1099" s="8"/>
      <c r="D1099" s="8"/>
      <c r="E1099" s="8"/>
      <c r="F1099" s="8"/>
      <c r="G1099" s="8"/>
      <c r="H1099" s="8"/>
      <c r="I1099" s="8"/>
      <c r="J1099" s="8"/>
      <c r="K1099" s="8"/>
      <c r="L1099" s="56"/>
      <c r="M1099" s="26"/>
      <c r="N1099" s="26"/>
      <c r="O1099" s="26"/>
      <c r="P1099" s="1"/>
      <c r="Q1099" s="1"/>
      <c r="R1099" s="8"/>
      <c r="S1099" s="1"/>
      <c r="T1099" s="8"/>
      <c r="U1099" s="1"/>
      <c r="V1099" s="1"/>
      <c r="W1099" s="1"/>
      <c r="X1099" s="1"/>
    </row>
    <row r="1100" spans="1:24">
      <c r="A1100" s="1"/>
      <c r="B1100" s="8"/>
      <c r="C1100" s="8"/>
      <c r="D1100" s="8"/>
      <c r="E1100" s="8"/>
      <c r="F1100" s="8"/>
      <c r="G1100" s="8"/>
      <c r="H1100" s="8"/>
      <c r="I1100" s="8"/>
      <c r="J1100" s="8"/>
      <c r="K1100" s="8"/>
      <c r="L1100" s="56"/>
      <c r="M1100" s="26"/>
      <c r="N1100" s="26"/>
      <c r="O1100" s="26"/>
      <c r="P1100" s="1"/>
      <c r="Q1100" s="1"/>
      <c r="R1100" s="8"/>
      <c r="S1100" s="1"/>
      <c r="T1100" s="8"/>
      <c r="U1100" s="1"/>
      <c r="V1100" s="1"/>
      <c r="W1100" s="1"/>
      <c r="X1100" s="1"/>
    </row>
    <row r="1101" spans="1:24">
      <c r="A1101" s="1"/>
      <c r="B1101" s="8"/>
      <c r="C1101" s="8"/>
      <c r="D1101" s="8"/>
      <c r="E1101" s="8"/>
      <c r="F1101" s="8"/>
      <c r="G1101" s="8"/>
      <c r="H1101" s="8"/>
      <c r="I1101" s="8"/>
      <c r="J1101" s="8"/>
      <c r="K1101" s="8"/>
      <c r="L1101" s="56"/>
      <c r="M1101" s="26"/>
      <c r="N1101" s="26"/>
      <c r="O1101" s="26"/>
      <c r="P1101" s="1"/>
      <c r="Q1101" s="1"/>
      <c r="R1101" s="8"/>
      <c r="S1101" s="1"/>
      <c r="T1101" s="8"/>
      <c r="U1101" s="1"/>
      <c r="V1101" s="1"/>
      <c r="W1101" s="1"/>
      <c r="X1101" s="1"/>
    </row>
    <row r="1102" spans="1:24">
      <c r="A1102" s="1"/>
      <c r="B1102" s="8"/>
      <c r="C1102" s="8"/>
      <c r="D1102" s="8"/>
      <c r="E1102" s="8"/>
      <c r="F1102" s="8"/>
      <c r="G1102" s="8"/>
      <c r="H1102" s="8"/>
      <c r="I1102" s="8"/>
      <c r="J1102" s="8"/>
      <c r="K1102" s="8"/>
      <c r="L1102" s="56"/>
      <c r="M1102" s="26"/>
      <c r="N1102" s="26"/>
      <c r="O1102" s="26"/>
      <c r="P1102" s="1"/>
      <c r="Q1102" s="1"/>
      <c r="R1102" s="8"/>
      <c r="S1102" s="1"/>
      <c r="T1102" s="8"/>
      <c r="U1102" s="1"/>
      <c r="V1102" s="1"/>
      <c r="W1102" s="1"/>
      <c r="X1102" s="1"/>
    </row>
    <row r="1103" spans="1:24">
      <c r="A1103" s="1"/>
      <c r="B1103" s="8"/>
      <c r="C1103" s="8"/>
      <c r="D1103" s="8"/>
      <c r="E1103" s="8"/>
      <c r="F1103" s="8"/>
      <c r="G1103" s="8"/>
      <c r="H1103" s="8"/>
      <c r="I1103" s="8"/>
      <c r="J1103" s="8"/>
      <c r="K1103" s="8"/>
      <c r="L1103" s="56"/>
      <c r="M1103" s="26"/>
      <c r="N1103" s="26"/>
      <c r="O1103" s="26"/>
      <c r="P1103" s="1"/>
      <c r="Q1103" s="1"/>
      <c r="R1103" s="8"/>
      <c r="S1103" s="1"/>
      <c r="T1103" s="8"/>
      <c r="U1103" s="1"/>
      <c r="V1103" s="1"/>
      <c r="W1103" s="1"/>
      <c r="X1103" s="1"/>
    </row>
    <row r="1104" spans="1:24">
      <c r="A1104" s="1"/>
      <c r="B1104" s="8"/>
      <c r="C1104" s="8"/>
      <c r="D1104" s="8"/>
      <c r="E1104" s="8"/>
      <c r="F1104" s="8"/>
      <c r="G1104" s="8"/>
      <c r="H1104" s="8"/>
      <c r="I1104" s="8"/>
      <c r="J1104" s="8"/>
      <c r="K1104" s="8"/>
      <c r="L1104" s="56"/>
      <c r="M1104" s="26"/>
      <c r="N1104" s="26"/>
      <c r="O1104" s="26"/>
      <c r="P1104" s="1"/>
      <c r="Q1104" s="1"/>
      <c r="R1104" s="8"/>
      <c r="S1104" s="1"/>
      <c r="T1104" s="8"/>
      <c r="U1104" s="1"/>
      <c r="V1104" s="1"/>
      <c r="W1104" s="1"/>
      <c r="X1104" s="1"/>
    </row>
    <row r="1105" spans="1:24">
      <c r="A1105" s="1"/>
      <c r="B1105" s="8"/>
      <c r="C1105" s="8"/>
      <c r="D1105" s="8"/>
      <c r="E1105" s="8"/>
      <c r="F1105" s="8"/>
      <c r="G1105" s="8"/>
      <c r="H1105" s="8"/>
      <c r="I1105" s="8"/>
      <c r="J1105" s="8"/>
      <c r="K1105" s="8"/>
      <c r="L1105" s="56"/>
      <c r="M1105" s="26"/>
      <c r="N1105" s="26"/>
      <c r="O1105" s="26"/>
      <c r="P1105" s="1"/>
      <c r="Q1105" s="1"/>
      <c r="R1105" s="8"/>
      <c r="S1105" s="1"/>
      <c r="T1105" s="8"/>
      <c r="U1105" s="1"/>
      <c r="V1105" s="1"/>
      <c r="W1105" s="1"/>
      <c r="X1105" s="1"/>
    </row>
    <row r="1106" spans="1:24">
      <c r="A1106" s="1"/>
      <c r="B1106" s="8"/>
      <c r="C1106" s="8"/>
      <c r="D1106" s="8"/>
      <c r="E1106" s="8"/>
      <c r="F1106" s="8"/>
      <c r="G1106" s="8"/>
      <c r="H1106" s="8"/>
      <c r="I1106" s="8"/>
      <c r="J1106" s="8"/>
      <c r="K1106" s="8"/>
      <c r="L1106" s="56"/>
      <c r="M1106" s="26"/>
      <c r="N1106" s="26"/>
      <c r="O1106" s="26"/>
      <c r="P1106" s="1"/>
      <c r="Q1106" s="1"/>
      <c r="R1106" s="8"/>
      <c r="S1106" s="1"/>
      <c r="T1106" s="8"/>
      <c r="U1106" s="1"/>
      <c r="V1106" s="1"/>
      <c r="W1106" s="1"/>
      <c r="X1106" s="1"/>
    </row>
    <row r="1107" spans="1:24">
      <c r="A1107" s="1"/>
      <c r="B1107" s="8"/>
      <c r="C1107" s="8"/>
      <c r="D1107" s="8"/>
      <c r="E1107" s="8"/>
      <c r="F1107" s="8"/>
      <c r="G1107" s="8"/>
      <c r="H1107" s="8"/>
      <c r="I1107" s="8"/>
      <c r="J1107" s="8"/>
      <c r="K1107" s="8"/>
      <c r="L1107" s="56"/>
      <c r="M1107" s="26"/>
      <c r="N1107" s="26"/>
      <c r="O1107" s="26"/>
      <c r="P1107" s="1"/>
      <c r="Q1107" s="1"/>
      <c r="R1107" s="8"/>
      <c r="S1107" s="1"/>
      <c r="T1107" s="8"/>
      <c r="U1107" s="1"/>
      <c r="V1107" s="1"/>
      <c r="W1107" s="1"/>
      <c r="X1107" s="1"/>
    </row>
    <row r="1108" spans="1:24">
      <c r="A1108" s="1"/>
      <c r="B1108" s="8"/>
      <c r="C1108" s="8"/>
      <c r="D1108" s="8"/>
      <c r="E1108" s="8"/>
      <c r="F1108" s="8"/>
      <c r="G1108" s="8"/>
      <c r="H1108" s="8"/>
      <c r="I1108" s="8"/>
      <c r="J1108" s="8"/>
      <c r="K1108" s="8"/>
      <c r="L1108" s="56"/>
      <c r="M1108" s="26"/>
      <c r="N1108" s="26"/>
      <c r="O1108" s="26"/>
      <c r="P1108" s="1"/>
      <c r="Q1108" s="1"/>
      <c r="R1108" s="8"/>
      <c r="S1108" s="1"/>
      <c r="T1108" s="8"/>
      <c r="U1108" s="1"/>
      <c r="V1108" s="1"/>
      <c r="W1108" s="1"/>
      <c r="X1108" s="1"/>
    </row>
    <row r="1109" spans="1:24">
      <c r="A1109" s="1"/>
      <c r="B1109" s="8"/>
      <c r="C1109" s="8"/>
      <c r="D1109" s="8"/>
      <c r="E1109" s="8"/>
      <c r="F1109" s="8"/>
      <c r="G1109" s="8"/>
      <c r="H1109" s="8"/>
      <c r="I1109" s="8"/>
      <c r="J1109" s="8"/>
      <c r="K1109" s="8"/>
      <c r="L1109" s="56"/>
      <c r="M1109" s="26"/>
      <c r="N1109" s="26"/>
      <c r="O1109" s="26"/>
      <c r="P1109" s="1"/>
      <c r="Q1109" s="1"/>
      <c r="R1109" s="8"/>
      <c r="S1109" s="1"/>
      <c r="T1109" s="8"/>
      <c r="U1109" s="1"/>
      <c r="V1109" s="1"/>
      <c r="W1109" s="1"/>
      <c r="X1109" s="1"/>
    </row>
    <row r="1110" spans="1:24">
      <c r="A1110" s="1"/>
      <c r="B1110" s="8"/>
      <c r="C1110" s="8"/>
      <c r="D1110" s="8"/>
      <c r="E1110" s="8"/>
      <c r="F1110" s="8"/>
      <c r="G1110" s="8"/>
      <c r="H1110" s="8"/>
      <c r="I1110" s="8"/>
      <c r="J1110" s="8"/>
      <c r="K1110" s="8"/>
      <c r="L1110" s="56"/>
      <c r="M1110" s="26"/>
      <c r="N1110" s="26"/>
      <c r="O1110" s="26"/>
      <c r="P1110" s="1"/>
      <c r="Q1110" s="1"/>
      <c r="R1110" s="8"/>
      <c r="S1110" s="1"/>
      <c r="T1110" s="8"/>
      <c r="U1110" s="1"/>
      <c r="V1110" s="1"/>
      <c r="W1110" s="1"/>
      <c r="X1110" s="1"/>
    </row>
    <row r="1111" spans="1:24">
      <c r="A1111" s="1"/>
      <c r="B1111" s="8"/>
      <c r="C1111" s="8"/>
      <c r="D1111" s="8"/>
      <c r="E1111" s="8"/>
      <c r="F1111" s="8"/>
      <c r="G1111" s="8"/>
      <c r="H1111" s="8"/>
      <c r="I1111" s="8"/>
      <c r="J1111" s="8"/>
      <c r="K1111" s="8"/>
      <c r="L1111" s="56"/>
      <c r="M1111" s="26"/>
      <c r="N1111" s="26"/>
      <c r="O1111" s="26"/>
      <c r="P1111" s="1"/>
      <c r="Q1111" s="1"/>
      <c r="R1111" s="8"/>
      <c r="S1111" s="1"/>
      <c r="T1111" s="8"/>
      <c r="U1111" s="1"/>
      <c r="V1111" s="1"/>
      <c r="W1111" s="1"/>
      <c r="X1111" s="1"/>
    </row>
    <row r="1112" spans="1:24">
      <c r="A1112" s="1"/>
      <c r="B1112" s="8"/>
      <c r="C1112" s="8"/>
      <c r="D1112" s="8"/>
      <c r="E1112" s="8"/>
      <c r="F1112" s="8"/>
      <c r="G1112" s="8"/>
      <c r="H1112" s="8"/>
      <c r="I1112" s="8"/>
      <c r="J1112" s="8"/>
      <c r="K1112" s="8"/>
      <c r="L1112" s="56"/>
      <c r="M1112" s="26"/>
      <c r="N1112" s="26"/>
      <c r="O1112" s="26"/>
      <c r="P1112" s="1"/>
      <c r="Q1112" s="1"/>
      <c r="R1112" s="8"/>
      <c r="S1112" s="1"/>
      <c r="T1112" s="8"/>
      <c r="U1112" s="1"/>
      <c r="V1112" s="1"/>
      <c r="W1112" s="1"/>
      <c r="X1112" s="1"/>
    </row>
    <row r="1113" spans="1:24">
      <c r="A1113" s="1"/>
      <c r="B1113" s="8"/>
      <c r="C1113" s="8"/>
      <c r="D1113" s="8"/>
      <c r="E1113" s="8"/>
      <c r="F1113" s="8"/>
      <c r="G1113" s="8"/>
      <c r="H1113" s="8"/>
      <c r="I1113" s="8"/>
      <c r="J1113" s="8"/>
      <c r="K1113" s="8"/>
      <c r="L1113" s="56"/>
      <c r="M1113" s="26"/>
      <c r="N1113" s="26"/>
      <c r="O1113" s="26"/>
      <c r="P1113" s="1"/>
      <c r="Q1113" s="1"/>
      <c r="R1113" s="8"/>
      <c r="S1113" s="1"/>
      <c r="T1113" s="8"/>
      <c r="U1113" s="1"/>
      <c r="V1113" s="1"/>
      <c r="W1113" s="1"/>
      <c r="X1113" s="1"/>
    </row>
    <row r="1114" spans="1:24">
      <c r="A1114" s="1"/>
      <c r="B1114" s="8"/>
      <c r="C1114" s="8"/>
      <c r="D1114" s="8"/>
      <c r="E1114" s="8"/>
      <c r="F1114" s="8"/>
      <c r="G1114" s="8"/>
      <c r="H1114" s="8"/>
      <c r="I1114" s="8"/>
      <c r="J1114" s="8"/>
      <c r="K1114" s="8"/>
      <c r="L1114" s="56"/>
      <c r="M1114" s="26"/>
      <c r="N1114" s="26"/>
      <c r="O1114" s="26"/>
      <c r="P1114" s="1"/>
      <c r="Q1114" s="1"/>
      <c r="R1114" s="8"/>
      <c r="S1114" s="1"/>
      <c r="T1114" s="8"/>
      <c r="U1114" s="1"/>
      <c r="V1114" s="1"/>
      <c r="W1114" s="1"/>
      <c r="X1114" s="1"/>
    </row>
    <row r="1115" spans="1:24">
      <c r="A1115" s="1"/>
      <c r="B1115" s="8"/>
      <c r="C1115" s="8"/>
      <c r="D1115" s="8"/>
      <c r="E1115" s="8"/>
      <c r="F1115" s="8"/>
      <c r="G1115" s="8"/>
      <c r="H1115" s="8"/>
      <c r="I1115" s="8"/>
      <c r="J1115" s="8"/>
      <c r="K1115" s="8"/>
      <c r="L1115" s="56"/>
      <c r="M1115" s="26"/>
      <c r="N1115" s="26"/>
      <c r="O1115" s="26"/>
      <c r="P1115" s="1"/>
      <c r="Q1115" s="1"/>
      <c r="R1115" s="8"/>
      <c r="S1115" s="1"/>
      <c r="T1115" s="8"/>
      <c r="U1115" s="1"/>
      <c r="V1115" s="1"/>
      <c r="W1115" s="1"/>
      <c r="X1115" s="1"/>
    </row>
    <row r="1116" spans="1:24">
      <c r="A1116" s="1"/>
      <c r="B1116" s="8"/>
      <c r="C1116" s="8"/>
      <c r="D1116" s="8"/>
      <c r="E1116" s="8"/>
      <c r="F1116" s="8"/>
      <c r="G1116" s="8"/>
      <c r="H1116" s="8"/>
      <c r="I1116" s="8"/>
      <c r="J1116" s="8"/>
      <c r="K1116" s="8"/>
      <c r="L1116" s="56"/>
      <c r="M1116" s="26"/>
      <c r="N1116" s="26"/>
      <c r="O1116" s="26"/>
      <c r="P1116" s="1"/>
      <c r="Q1116" s="1"/>
      <c r="R1116" s="8"/>
      <c r="S1116" s="1"/>
      <c r="T1116" s="8"/>
      <c r="U1116" s="1"/>
      <c r="V1116" s="1"/>
      <c r="W1116" s="1"/>
      <c r="X1116" s="1"/>
    </row>
    <row r="1117" spans="1:24">
      <c r="A1117" s="1"/>
      <c r="B1117" s="8"/>
      <c r="C1117" s="8"/>
      <c r="D1117" s="8"/>
      <c r="E1117" s="8"/>
      <c r="F1117" s="8"/>
      <c r="G1117" s="8"/>
      <c r="H1117" s="8"/>
      <c r="I1117" s="8"/>
      <c r="J1117" s="8"/>
      <c r="K1117" s="8"/>
      <c r="L1117" s="56"/>
      <c r="M1117" s="26"/>
      <c r="N1117" s="26"/>
      <c r="O1117" s="26"/>
      <c r="P1117" s="1"/>
      <c r="Q1117" s="1"/>
      <c r="R1117" s="8"/>
      <c r="S1117" s="1"/>
      <c r="T1117" s="8"/>
      <c r="U1117" s="1"/>
      <c r="V1117" s="1"/>
      <c r="W1117" s="1"/>
      <c r="X1117" s="1"/>
    </row>
    <row r="1118" spans="1:24">
      <c r="A1118" s="1"/>
      <c r="B1118" s="8"/>
      <c r="C1118" s="8"/>
      <c r="D1118" s="8"/>
      <c r="E1118" s="8"/>
      <c r="F1118" s="8"/>
      <c r="G1118" s="8"/>
      <c r="H1118" s="8"/>
      <c r="I1118" s="8"/>
      <c r="J1118" s="8"/>
      <c r="K1118" s="8"/>
      <c r="L1118" s="56"/>
      <c r="M1118" s="26"/>
      <c r="N1118" s="26"/>
      <c r="O1118" s="26"/>
      <c r="P1118" s="1"/>
      <c r="Q1118" s="1"/>
      <c r="R1118" s="8"/>
      <c r="S1118" s="1"/>
      <c r="T1118" s="8"/>
      <c r="U1118" s="1"/>
      <c r="V1118" s="1"/>
      <c r="W1118" s="1"/>
      <c r="X1118" s="1"/>
    </row>
    <row r="1119" spans="1:24">
      <c r="A1119" s="1"/>
      <c r="B1119" s="8"/>
      <c r="C1119" s="8"/>
      <c r="D1119" s="8"/>
      <c r="E1119" s="8"/>
      <c r="F1119" s="8"/>
      <c r="G1119" s="8"/>
      <c r="H1119" s="8"/>
      <c r="I1119" s="8"/>
      <c r="J1119" s="8"/>
      <c r="K1119" s="8"/>
      <c r="L1119" s="56"/>
      <c r="M1119" s="26"/>
      <c r="N1119" s="26"/>
      <c r="O1119" s="26"/>
      <c r="P1119" s="1"/>
      <c r="Q1119" s="1"/>
      <c r="R1119" s="8"/>
      <c r="S1119" s="1"/>
      <c r="T1119" s="8"/>
      <c r="U1119" s="1"/>
      <c r="V1119" s="1"/>
      <c r="W1119" s="1"/>
      <c r="X1119" s="1"/>
    </row>
    <row r="1120" spans="1:24">
      <c r="A1120" s="1"/>
      <c r="B1120" s="8"/>
      <c r="C1120" s="8"/>
      <c r="D1120" s="8"/>
      <c r="E1120" s="8"/>
      <c r="F1120" s="8"/>
      <c r="G1120" s="8"/>
      <c r="H1120" s="8"/>
      <c r="I1120" s="8"/>
      <c r="J1120" s="8"/>
      <c r="K1120" s="8"/>
      <c r="L1120" s="56"/>
      <c r="M1120" s="26"/>
      <c r="N1120" s="26"/>
      <c r="O1120" s="26"/>
      <c r="P1120" s="1"/>
      <c r="Q1120" s="1"/>
      <c r="R1120" s="8"/>
      <c r="S1120" s="1"/>
      <c r="T1120" s="8"/>
      <c r="U1120" s="1"/>
      <c r="V1120" s="1"/>
      <c r="W1120" s="1"/>
      <c r="X1120" s="1"/>
    </row>
    <row r="1121" spans="1:24">
      <c r="A1121" s="1"/>
      <c r="B1121" s="8"/>
      <c r="C1121" s="8"/>
      <c r="D1121" s="8"/>
      <c r="E1121" s="8"/>
      <c r="F1121" s="8"/>
      <c r="G1121" s="8"/>
      <c r="H1121" s="8"/>
      <c r="I1121" s="8"/>
      <c r="J1121" s="8"/>
      <c r="K1121" s="8"/>
      <c r="L1121" s="56"/>
      <c r="M1121" s="26"/>
      <c r="N1121" s="26"/>
      <c r="O1121" s="26"/>
      <c r="P1121" s="1"/>
      <c r="Q1121" s="1"/>
      <c r="R1121" s="8"/>
      <c r="S1121" s="1"/>
      <c r="T1121" s="8"/>
      <c r="U1121" s="1"/>
      <c r="V1121" s="1"/>
      <c r="W1121" s="1"/>
      <c r="X1121" s="1"/>
    </row>
    <row r="1122" spans="1:24">
      <c r="A1122" s="1"/>
      <c r="B1122" s="8"/>
      <c r="C1122" s="8"/>
      <c r="D1122" s="8"/>
      <c r="E1122" s="8"/>
      <c r="F1122" s="8"/>
      <c r="G1122" s="8"/>
      <c r="H1122" s="8"/>
      <c r="I1122" s="8"/>
      <c r="J1122" s="8"/>
      <c r="K1122" s="8"/>
      <c r="L1122" s="56"/>
      <c r="M1122" s="26"/>
      <c r="N1122" s="26"/>
      <c r="O1122" s="26"/>
      <c r="P1122" s="1"/>
      <c r="Q1122" s="1"/>
      <c r="R1122" s="8"/>
      <c r="S1122" s="1"/>
      <c r="T1122" s="8"/>
      <c r="U1122" s="1"/>
      <c r="V1122" s="1"/>
      <c r="W1122" s="1"/>
      <c r="X1122" s="1"/>
    </row>
    <row r="1123" spans="1:24">
      <c r="A1123" s="1"/>
      <c r="B1123" s="8"/>
      <c r="C1123" s="8"/>
      <c r="D1123" s="8"/>
      <c r="E1123" s="8"/>
      <c r="F1123" s="8"/>
      <c r="G1123" s="8"/>
      <c r="H1123" s="8"/>
      <c r="I1123" s="8"/>
      <c r="J1123" s="8"/>
      <c r="K1123" s="8"/>
      <c r="L1123" s="56"/>
      <c r="M1123" s="26"/>
      <c r="N1123" s="26"/>
      <c r="O1123" s="26"/>
      <c r="P1123" s="1"/>
      <c r="Q1123" s="1"/>
      <c r="R1123" s="8"/>
      <c r="S1123" s="1"/>
      <c r="T1123" s="8"/>
      <c r="U1123" s="1"/>
      <c r="V1123" s="1"/>
      <c r="W1123" s="1"/>
      <c r="X1123" s="1"/>
    </row>
    <row r="1124" spans="1:24">
      <c r="A1124" s="1"/>
      <c r="B1124" s="8"/>
      <c r="C1124" s="8"/>
      <c r="D1124" s="8"/>
      <c r="E1124" s="8"/>
      <c r="F1124" s="8"/>
      <c r="G1124" s="8"/>
      <c r="H1124" s="8"/>
      <c r="I1124" s="8"/>
      <c r="J1124" s="8"/>
      <c r="K1124" s="8"/>
      <c r="L1124" s="56"/>
      <c r="M1124" s="26"/>
      <c r="N1124" s="26"/>
      <c r="O1124" s="26"/>
      <c r="P1124" s="1"/>
      <c r="Q1124" s="1"/>
      <c r="R1124" s="8"/>
      <c r="S1124" s="1"/>
      <c r="T1124" s="8"/>
      <c r="U1124" s="1"/>
      <c r="V1124" s="1"/>
      <c r="W1124" s="1"/>
      <c r="X1124" s="1"/>
    </row>
    <row r="1125" spans="1:24">
      <c r="A1125" s="1"/>
      <c r="B1125" s="8"/>
      <c r="C1125" s="8"/>
      <c r="D1125" s="8"/>
      <c r="E1125" s="8"/>
      <c r="F1125" s="8"/>
      <c r="G1125" s="8"/>
      <c r="H1125" s="8"/>
      <c r="I1125" s="8"/>
      <c r="J1125" s="8"/>
      <c r="K1125" s="8"/>
      <c r="L1125" s="56"/>
      <c r="M1125" s="26"/>
      <c r="N1125" s="26"/>
      <c r="O1125" s="26"/>
      <c r="P1125" s="1"/>
      <c r="Q1125" s="1"/>
      <c r="R1125" s="8"/>
      <c r="S1125" s="1"/>
      <c r="T1125" s="8"/>
      <c r="U1125" s="1"/>
      <c r="V1125" s="1"/>
      <c r="W1125" s="1"/>
      <c r="X1125" s="1"/>
    </row>
    <row r="1126" spans="1:24">
      <c r="A1126" s="1"/>
      <c r="B1126" s="8"/>
      <c r="C1126" s="8"/>
      <c r="D1126" s="8"/>
      <c r="E1126" s="8"/>
      <c r="F1126" s="8"/>
      <c r="G1126" s="8"/>
      <c r="H1126" s="8"/>
      <c r="I1126" s="8"/>
      <c r="J1126" s="8"/>
      <c r="K1126" s="8"/>
      <c r="L1126" s="56"/>
      <c r="M1126" s="26"/>
      <c r="N1126" s="26"/>
      <c r="O1126" s="26"/>
      <c r="P1126" s="1"/>
      <c r="Q1126" s="1"/>
      <c r="R1126" s="8"/>
      <c r="S1126" s="1"/>
      <c r="T1126" s="8"/>
      <c r="U1126" s="1"/>
      <c r="V1126" s="1"/>
      <c r="W1126" s="1"/>
      <c r="X1126" s="1"/>
    </row>
    <row r="1127" spans="1:24">
      <c r="A1127" s="1"/>
      <c r="B1127" s="8"/>
      <c r="C1127" s="8"/>
      <c r="D1127" s="8"/>
      <c r="E1127" s="8"/>
      <c r="F1127" s="8"/>
      <c r="G1127" s="8"/>
      <c r="H1127" s="8"/>
      <c r="I1127" s="8"/>
      <c r="J1127" s="8"/>
      <c r="K1127" s="8"/>
      <c r="L1127" s="56"/>
      <c r="M1127" s="26"/>
      <c r="N1127" s="26"/>
      <c r="O1127" s="26"/>
      <c r="P1127" s="1"/>
      <c r="Q1127" s="1"/>
      <c r="R1127" s="8"/>
      <c r="S1127" s="1"/>
      <c r="T1127" s="8"/>
      <c r="U1127" s="1"/>
      <c r="V1127" s="1"/>
      <c r="W1127" s="1"/>
      <c r="X1127" s="1"/>
    </row>
    <row r="1128" spans="1:24">
      <c r="A1128" s="1"/>
      <c r="B1128" s="8"/>
      <c r="C1128" s="8"/>
      <c r="D1128" s="8"/>
      <c r="E1128" s="8"/>
      <c r="F1128" s="8"/>
      <c r="G1128" s="8"/>
      <c r="H1128" s="8"/>
      <c r="I1128" s="8"/>
      <c r="J1128" s="8"/>
      <c r="K1128" s="8"/>
      <c r="L1128" s="56"/>
      <c r="M1128" s="26"/>
      <c r="N1128" s="26"/>
      <c r="O1128" s="26"/>
      <c r="P1128" s="1"/>
      <c r="Q1128" s="1"/>
      <c r="R1128" s="8"/>
      <c r="S1128" s="1"/>
      <c r="T1128" s="8"/>
      <c r="U1128" s="1"/>
      <c r="V1128" s="1"/>
      <c r="W1128" s="1"/>
      <c r="X1128" s="1"/>
    </row>
    <row r="1129" spans="1:24">
      <c r="A1129" s="1"/>
      <c r="B1129" s="8"/>
      <c r="C1129" s="8"/>
      <c r="D1129" s="8"/>
      <c r="E1129" s="8"/>
      <c r="F1129" s="8"/>
      <c r="G1129" s="8"/>
      <c r="H1129" s="8"/>
      <c r="I1129" s="8"/>
      <c r="J1129" s="8"/>
      <c r="K1129" s="8"/>
      <c r="L1129" s="56"/>
      <c r="M1129" s="26"/>
      <c r="N1129" s="26"/>
      <c r="O1129" s="26"/>
      <c r="P1129" s="1"/>
      <c r="Q1129" s="1"/>
      <c r="R1129" s="8"/>
      <c r="S1129" s="1"/>
      <c r="T1129" s="8"/>
      <c r="U1129" s="1"/>
      <c r="V1129" s="1"/>
      <c r="W1129" s="1"/>
      <c r="X1129" s="1"/>
    </row>
    <row r="1130" spans="1:24">
      <c r="A1130" s="1"/>
      <c r="B1130" s="8"/>
      <c r="C1130" s="8"/>
      <c r="D1130" s="8"/>
      <c r="E1130" s="8"/>
      <c r="F1130" s="8"/>
      <c r="G1130" s="8"/>
      <c r="H1130" s="8"/>
      <c r="I1130" s="8"/>
      <c r="J1130" s="8"/>
      <c r="K1130" s="8"/>
      <c r="L1130" s="56"/>
      <c r="M1130" s="26"/>
      <c r="N1130" s="26"/>
      <c r="O1130" s="26"/>
      <c r="P1130" s="1"/>
      <c r="Q1130" s="1"/>
      <c r="R1130" s="8"/>
      <c r="S1130" s="1"/>
      <c r="T1130" s="8"/>
      <c r="U1130" s="1"/>
      <c r="V1130" s="1"/>
      <c r="W1130" s="1"/>
      <c r="X1130" s="1"/>
    </row>
    <row r="1131" spans="1:24">
      <c r="A1131" s="1"/>
      <c r="B1131" s="8"/>
      <c r="C1131" s="8"/>
      <c r="D1131" s="8"/>
      <c r="E1131" s="8"/>
      <c r="F1131" s="8"/>
      <c r="G1131" s="8"/>
      <c r="H1131" s="8"/>
      <c r="I1131" s="8"/>
      <c r="J1131" s="8"/>
      <c r="K1131" s="8"/>
      <c r="L1131" s="56"/>
      <c r="M1131" s="26"/>
      <c r="N1131" s="26"/>
      <c r="O1131" s="26"/>
      <c r="P1131" s="1"/>
      <c r="Q1131" s="1"/>
      <c r="R1131" s="8"/>
      <c r="S1131" s="1"/>
      <c r="T1131" s="8"/>
      <c r="U1131" s="1"/>
      <c r="V1131" s="1"/>
      <c r="W1131" s="1"/>
      <c r="X1131" s="1"/>
    </row>
    <row r="1132" spans="1:24">
      <c r="A1132" s="1"/>
      <c r="B1132" s="8"/>
      <c r="C1132" s="8"/>
      <c r="D1132" s="8"/>
      <c r="E1132" s="8"/>
      <c r="F1132" s="8"/>
      <c r="G1132" s="8"/>
      <c r="H1132" s="8"/>
      <c r="I1132" s="8"/>
      <c r="J1132" s="8"/>
      <c r="K1132" s="8"/>
      <c r="L1132" s="56"/>
      <c r="M1132" s="26"/>
      <c r="N1132" s="26"/>
      <c r="O1132" s="26"/>
      <c r="P1132" s="1"/>
      <c r="Q1132" s="1"/>
      <c r="R1132" s="8"/>
      <c r="S1132" s="1"/>
      <c r="T1132" s="8"/>
      <c r="U1132" s="1"/>
      <c r="V1132" s="1"/>
      <c r="W1132" s="1"/>
      <c r="X1132" s="1"/>
    </row>
    <row r="1133" spans="1:24">
      <c r="A1133" s="1"/>
      <c r="B1133" s="8"/>
      <c r="C1133" s="8"/>
      <c r="D1133" s="8"/>
      <c r="E1133" s="8"/>
      <c r="F1133" s="8"/>
      <c r="G1133" s="8"/>
      <c r="H1133" s="8"/>
      <c r="I1133" s="8"/>
      <c r="J1133" s="8"/>
      <c r="K1133" s="8"/>
      <c r="L1133" s="56"/>
      <c r="M1133" s="26"/>
      <c r="N1133" s="26"/>
      <c r="O1133" s="26"/>
      <c r="P1133" s="1"/>
      <c r="Q1133" s="1"/>
      <c r="R1133" s="8"/>
      <c r="S1133" s="1"/>
      <c r="T1133" s="8"/>
      <c r="U1133" s="1"/>
      <c r="V1133" s="1"/>
      <c r="W1133" s="1"/>
      <c r="X1133" s="1"/>
    </row>
    <row r="1134" spans="1:24">
      <c r="A1134" s="1"/>
      <c r="B1134" s="8"/>
      <c r="C1134" s="8"/>
      <c r="D1134" s="8"/>
      <c r="E1134" s="8"/>
      <c r="F1134" s="8"/>
      <c r="G1134" s="8"/>
      <c r="H1134" s="8"/>
      <c r="I1134" s="8"/>
      <c r="J1134" s="8"/>
      <c r="K1134" s="8"/>
      <c r="L1134" s="56"/>
      <c r="M1134" s="26"/>
      <c r="N1134" s="26"/>
      <c r="O1134" s="26"/>
      <c r="P1134" s="1"/>
      <c r="Q1134" s="1"/>
      <c r="R1134" s="8"/>
      <c r="S1134" s="1"/>
      <c r="T1134" s="8"/>
      <c r="U1134" s="1"/>
      <c r="V1134" s="1"/>
      <c r="W1134" s="1"/>
      <c r="X1134" s="1"/>
    </row>
    <row r="1135" spans="1:24">
      <c r="A1135" s="1"/>
      <c r="B1135" s="8"/>
      <c r="C1135" s="8"/>
      <c r="D1135" s="8"/>
      <c r="E1135" s="8"/>
      <c r="F1135" s="8"/>
      <c r="G1135" s="8"/>
      <c r="H1135" s="8"/>
      <c r="I1135" s="8"/>
      <c r="J1135" s="8"/>
      <c r="K1135" s="8"/>
      <c r="L1135" s="56"/>
      <c r="M1135" s="26"/>
      <c r="N1135" s="26"/>
      <c r="O1135" s="26"/>
      <c r="P1135" s="1"/>
      <c r="Q1135" s="1"/>
      <c r="R1135" s="8"/>
      <c r="S1135" s="1"/>
      <c r="T1135" s="8"/>
      <c r="U1135" s="1"/>
      <c r="V1135" s="1"/>
      <c r="W1135" s="1"/>
      <c r="X1135" s="1"/>
    </row>
    <row r="1136" spans="1:24">
      <c r="A1136" s="1"/>
      <c r="B1136" s="8"/>
      <c r="C1136" s="8"/>
      <c r="D1136" s="8"/>
      <c r="E1136" s="8"/>
      <c r="F1136" s="8"/>
      <c r="G1136" s="8"/>
      <c r="H1136" s="8"/>
      <c r="I1136" s="8"/>
      <c r="J1136" s="8"/>
      <c r="K1136" s="8"/>
      <c r="L1136" s="56"/>
      <c r="M1136" s="26"/>
      <c r="N1136" s="26"/>
      <c r="O1136" s="26"/>
      <c r="P1136" s="1"/>
      <c r="Q1136" s="1"/>
      <c r="R1136" s="8"/>
      <c r="S1136" s="1"/>
      <c r="T1136" s="8"/>
      <c r="U1136" s="1"/>
      <c r="V1136" s="1"/>
      <c r="W1136" s="1"/>
      <c r="X1136" s="1"/>
    </row>
    <row r="1137" spans="1:24">
      <c r="A1137" s="1"/>
      <c r="B1137" s="8"/>
      <c r="C1137" s="8"/>
      <c r="D1137" s="8"/>
      <c r="E1137" s="8"/>
      <c r="F1137" s="8"/>
      <c r="G1137" s="8"/>
      <c r="H1137" s="8"/>
      <c r="I1137" s="8"/>
      <c r="J1137" s="8"/>
      <c r="K1137" s="8"/>
      <c r="L1137" s="56"/>
      <c r="M1137" s="26"/>
      <c r="N1137" s="26"/>
      <c r="O1137" s="26"/>
      <c r="P1137" s="1"/>
      <c r="Q1137" s="1"/>
      <c r="R1137" s="8"/>
      <c r="S1137" s="1"/>
      <c r="T1137" s="8"/>
      <c r="U1137" s="1"/>
      <c r="V1137" s="1"/>
      <c r="W1137" s="1"/>
      <c r="X1137" s="1"/>
    </row>
    <row r="1138" spans="1:24">
      <c r="A1138" s="1"/>
      <c r="B1138" s="8"/>
      <c r="C1138" s="8"/>
      <c r="D1138" s="8"/>
      <c r="E1138" s="8"/>
      <c r="F1138" s="8"/>
      <c r="G1138" s="8"/>
      <c r="H1138" s="8"/>
      <c r="I1138" s="8"/>
      <c r="J1138" s="8"/>
      <c r="K1138" s="8"/>
      <c r="L1138" s="56"/>
      <c r="M1138" s="26"/>
      <c r="N1138" s="26"/>
      <c r="O1138" s="26"/>
      <c r="P1138" s="1"/>
      <c r="Q1138" s="1"/>
      <c r="R1138" s="8"/>
      <c r="S1138" s="1"/>
      <c r="T1138" s="8"/>
      <c r="U1138" s="1"/>
      <c r="V1138" s="1"/>
      <c r="W1138" s="1"/>
      <c r="X1138" s="1"/>
    </row>
    <row r="1139" spans="1:24">
      <c r="A1139" s="1"/>
      <c r="B1139" s="8"/>
      <c r="C1139" s="8"/>
      <c r="D1139" s="8"/>
      <c r="E1139" s="8"/>
      <c r="F1139" s="8"/>
      <c r="G1139" s="8"/>
      <c r="H1139" s="8"/>
      <c r="I1139" s="8"/>
      <c r="J1139" s="8"/>
      <c r="K1139" s="8"/>
      <c r="L1139" s="56"/>
      <c r="M1139" s="26"/>
      <c r="N1139" s="26"/>
      <c r="O1139" s="26"/>
      <c r="P1139" s="1"/>
      <c r="Q1139" s="1"/>
      <c r="R1139" s="8"/>
      <c r="S1139" s="1"/>
      <c r="T1139" s="8"/>
      <c r="U1139" s="1"/>
      <c r="V1139" s="1"/>
      <c r="W1139" s="1"/>
      <c r="X1139" s="1"/>
    </row>
    <row r="1140" spans="1:24">
      <c r="A1140" s="1"/>
      <c r="B1140" s="8"/>
      <c r="C1140" s="8"/>
      <c r="D1140" s="8"/>
      <c r="E1140" s="8"/>
      <c r="F1140" s="8"/>
      <c r="G1140" s="8"/>
      <c r="H1140" s="8"/>
      <c r="I1140" s="8"/>
      <c r="J1140" s="8"/>
      <c r="K1140" s="8"/>
      <c r="L1140" s="56"/>
      <c r="M1140" s="26"/>
      <c r="N1140" s="26"/>
      <c r="O1140" s="26"/>
      <c r="P1140" s="1"/>
      <c r="Q1140" s="1"/>
      <c r="R1140" s="8"/>
      <c r="S1140" s="1"/>
      <c r="T1140" s="8"/>
      <c r="U1140" s="1"/>
      <c r="V1140" s="1"/>
      <c r="W1140" s="1"/>
      <c r="X1140" s="1"/>
    </row>
    <row r="1141" spans="1:24">
      <c r="A1141" s="1"/>
      <c r="B1141" s="8"/>
      <c r="C1141" s="8"/>
      <c r="D1141" s="8"/>
      <c r="E1141" s="8"/>
      <c r="F1141" s="8"/>
      <c r="G1141" s="8"/>
      <c r="H1141" s="8"/>
      <c r="I1141" s="8"/>
      <c r="J1141" s="8"/>
      <c r="K1141" s="8"/>
      <c r="L1141" s="56"/>
      <c r="M1141" s="26"/>
      <c r="N1141" s="26"/>
      <c r="O1141" s="26"/>
      <c r="P1141" s="1"/>
      <c r="Q1141" s="1"/>
      <c r="R1141" s="8"/>
      <c r="S1141" s="1"/>
      <c r="T1141" s="8"/>
      <c r="U1141" s="1"/>
      <c r="V1141" s="1"/>
      <c r="W1141" s="1"/>
      <c r="X1141" s="1"/>
    </row>
    <row r="1142" spans="1:24">
      <c r="A1142" s="1"/>
      <c r="B1142" s="8"/>
      <c r="C1142" s="8"/>
      <c r="D1142" s="8"/>
      <c r="E1142" s="8"/>
      <c r="F1142" s="8"/>
      <c r="G1142" s="8"/>
      <c r="H1142" s="8"/>
      <c r="I1142" s="8"/>
      <c r="J1142" s="8"/>
      <c r="K1142" s="8"/>
      <c r="L1142" s="56"/>
      <c r="M1142" s="26"/>
      <c r="N1142" s="26"/>
      <c r="O1142" s="26"/>
      <c r="P1142" s="1"/>
      <c r="Q1142" s="1"/>
      <c r="R1142" s="8"/>
      <c r="S1142" s="1"/>
      <c r="T1142" s="8"/>
      <c r="U1142" s="1"/>
      <c r="V1142" s="1"/>
      <c r="W1142" s="1"/>
      <c r="X1142" s="1"/>
    </row>
    <row r="1143" spans="1:24">
      <c r="A1143" s="1"/>
      <c r="B1143" s="8"/>
      <c r="C1143" s="8"/>
      <c r="D1143" s="8"/>
      <c r="E1143" s="8"/>
      <c r="F1143" s="8"/>
      <c r="G1143" s="8"/>
      <c r="H1143" s="8"/>
      <c r="I1143" s="8"/>
      <c r="J1143" s="8"/>
      <c r="K1143" s="8"/>
      <c r="L1143" s="56"/>
      <c r="M1143" s="26"/>
      <c r="N1143" s="26"/>
      <c r="O1143" s="26"/>
      <c r="P1143" s="1"/>
      <c r="Q1143" s="1"/>
      <c r="R1143" s="8"/>
      <c r="S1143" s="1"/>
      <c r="T1143" s="8"/>
      <c r="U1143" s="1"/>
      <c r="V1143" s="1"/>
      <c r="W1143" s="1"/>
      <c r="X1143" s="1"/>
    </row>
    <row r="1144" spans="1:24">
      <c r="A1144" s="1"/>
      <c r="B1144" s="8"/>
      <c r="C1144" s="8"/>
      <c r="D1144" s="8"/>
      <c r="E1144" s="8"/>
      <c r="F1144" s="8"/>
      <c r="G1144" s="8"/>
      <c r="H1144" s="8"/>
      <c r="I1144" s="8"/>
      <c r="J1144" s="8"/>
      <c r="K1144" s="8"/>
      <c r="L1144" s="56"/>
      <c r="M1144" s="26"/>
      <c r="N1144" s="26"/>
      <c r="O1144" s="26"/>
      <c r="P1144" s="1"/>
      <c r="Q1144" s="1"/>
      <c r="R1144" s="8"/>
      <c r="S1144" s="1"/>
      <c r="T1144" s="8"/>
      <c r="U1144" s="1"/>
      <c r="V1144" s="1"/>
      <c r="W1144" s="1"/>
      <c r="X1144" s="1"/>
    </row>
    <row r="1145" spans="1:24">
      <c r="A1145" s="1"/>
      <c r="B1145" s="8"/>
      <c r="C1145" s="8"/>
      <c r="D1145" s="8"/>
      <c r="E1145" s="8"/>
      <c r="F1145" s="8"/>
      <c r="G1145" s="8"/>
      <c r="H1145" s="8"/>
      <c r="I1145" s="8"/>
      <c r="J1145" s="8"/>
      <c r="K1145" s="8"/>
      <c r="L1145" s="56"/>
      <c r="M1145" s="26"/>
      <c r="N1145" s="26"/>
      <c r="O1145" s="26"/>
      <c r="P1145" s="1"/>
      <c r="Q1145" s="1"/>
      <c r="R1145" s="8"/>
      <c r="S1145" s="1"/>
      <c r="T1145" s="8"/>
      <c r="U1145" s="1"/>
      <c r="V1145" s="1"/>
      <c r="W1145" s="1"/>
      <c r="X1145" s="1"/>
    </row>
    <row r="1146" spans="1:24">
      <c r="A1146" s="1"/>
      <c r="B1146" s="8"/>
      <c r="C1146" s="8"/>
      <c r="D1146" s="8"/>
      <c r="E1146" s="8"/>
      <c r="F1146" s="8"/>
      <c r="G1146" s="8"/>
      <c r="H1146" s="8"/>
      <c r="I1146" s="8"/>
      <c r="J1146" s="8"/>
      <c r="K1146" s="8"/>
      <c r="L1146" s="56"/>
      <c r="M1146" s="26"/>
      <c r="N1146" s="26"/>
      <c r="O1146" s="26"/>
      <c r="P1146" s="1"/>
      <c r="Q1146" s="1"/>
      <c r="R1146" s="8"/>
      <c r="S1146" s="1"/>
      <c r="T1146" s="8"/>
      <c r="U1146" s="1"/>
      <c r="V1146" s="1"/>
      <c r="W1146" s="1"/>
      <c r="X1146" s="1"/>
    </row>
    <row r="1147" spans="1:24">
      <c r="A1147" s="1"/>
      <c r="B1147" s="8"/>
      <c r="C1147" s="8"/>
      <c r="D1147" s="8"/>
      <c r="E1147" s="8"/>
      <c r="F1147" s="8"/>
      <c r="G1147" s="8"/>
      <c r="H1147" s="8"/>
      <c r="I1147" s="8"/>
      <c r="J1147" s="8"/>
      <c r="K1147" s="8"/>
      <c r="L1147" s="56"/>
      <c r="M1147" s="26"/>
      <c r="N1147" s="26"/>
      <c r="O1147" s="26"/>
      <c r="P1147" s="1"/>
      <c r="Q1147" s="1"/>
      <c r="R1147" s="8"/>
      <c r="S1147" s="1"/>
      <c r="T1147" s="8"/>
      <c r="U1147" s="1"/>
      <c r="V1147" s="1"/>
      <c r="W1147" s="1"/>
      <c r="X1147" s="1"/>
    </row>
    <row r="1148" spans="1:24">
      <c r="A1148" s="1"/>
      <c r="B1148" s="8"/>
      <c r="C1148" s="8"/>
      <c r="D1148" s="8"/>
      <c r="E1148" s="8"/>
      <c r="F1148" s="8"/>
      <c r="G1148" s="8"/>
      <c r="H1148" s="8"/>
      <c r="I1148" s="8"/>
      <c r="J1148" s="8"/>
      <c r="K1148" s="8"/>
      <c r="L1148" s="56"/>
      <c r="M1148" s="26"/>
      <c r="N1148" s="26"/>
      <c r="O1148" s="26"/>
      <c r="P1148" s="1"/>
      <c r="Q1148" s="1"/>
      <c r="R1148" s="8"/>
      <c r="S1148" s="1"/>
      <c r="T1148" s="8"/>
      <c r="U1148" s="1"/>
      <c r="V1148" s="1"/>
      <c r="W1148" s="1"/>
      <c r="X1148" s="1"/>
    </row>
    <row r="1149" spans="1:24">
      <c r="A1149" s="1"/>
      <c r="B1149" s="8"/>
      <c r="C1149" s="8"/>
      <c r="D1149" s="8"/>
      <c r="E1149" s="8"/>
      <c r="F1149" s="8"/>
      <c r="G1149" s="8"/>
      <c r="H1149" s="8"/>
      <c r="I1149" s="8"/>
      <c r="J1149" s="8"/>
      <c r="K1149" s="8"/>
      <c r="L1149" s="56"/>
      <c r="M1149" s="26"/>
      <c r="N1149" s="26"/>
      <c r="O1149" s="26"/>
      <c r="P1149" s="1"/>
      <c r="Q1149" s="1"/>
      <c r="R1149" s="8"/>
      <c r="S1149" s="1"/>
      <c r="T1149" s="8"/>
      <c r="U1149" s="1"/>
      <c r="V1149" s="1"/>
      <c r="W1149" s="1"/>
      <c r="X1149" s="1"/>
    </row>
    <row r="1150" spans="1:24">
      <c r="A1150" s="1"/>
      <c r="B1150" s="8"/>
      <c r="C1150" s="8"/>
      <c r="D1150" s="8"/>
      <c r="E1150" s="8"/>
      <c r="F1150" s="8"/>
      <c r="G1150" s="8"/>
      <c r="H1150" s="8"/>
      <c r="I1150" s="8"/>
      <c r="J1150" s="8"/>
      <c r="K1150" s="8"/>
      <c r="L1150" s="56"/>
      <c r="M1150" s="26"/>
      <c r="N1150" s="26"/>
      <c r="O1150" s="26"/>
      <c r="P1150" s="1"/>
      <c r="Q1150" s="1"/>
      <c r="R1150" s="8"/>
      <c r="S1150" s="1"/>
      <c r="T1150" s="8"/>
      <c r="U1150" s="1"/>
      <c r="V1150" s="1"/>
      <c r="W1150" s="1"/>
      <c r="X1150" s="1"/>
    </row>
    <row r="1151" spans="1:24">
      <c r="A1151" s="1"/>
      <c r="B1151" s="8"/>
      <c r="C1151" s="8"/>
      <c r="D1151" s="8"/>
      <c r="E1151" s="8"/>
      <c r="F1151" s="8"/>
      <c r="G1151" s="8"/>
      <c r="H1151" s="8"/>
      <c r="I1151" s="8"/>
      <c r="J1151" s="8"/>
      <c r="K1151" s="8"/>
      <c r="L1151" s="56"/>
      <c r="M1151" s="26"/>
      <c r="N1151" s="26"/>
      <c r="O1151" s="26"/>
      <c r="P1151" s="1"/>
      <c r="Q1151" s="1"/>
      <c r="R1151" s="8"/>
      <c r="S1151" s="1"/>
      <c r="T1151" s="8"/>
      <c r="U1151" s="1"/>
      <c r="V1151" s="1"/>
      <c r="W1151" s="1"/>
      <c r="X1151" s="1"/>
    </row>
    <row r="1152" spans="1:24">
      <c r="A1152" s="1"/>
      <c r="B1152" s="8"/>
      <c r="C1152" s="8"/>
      <c r="D1152" s="8"/>
      <c r="E1152" s="8"/>
      <c r="F1152" s="8"/>
      <c r="G1152" s="8"/>
      <c r="H1152" s="8"/>
      <c r="I1152" s="8"/>
      <c r="J1152" s="8"/>
      <c r="K1152" s="8"/>
      <c r="L1152" s="56"/>
      <c r="M1152" s="26"/>
      <c r="N1152" s="26"/>
      <c r="O1152" s="26"/>
      <c r="P1152" s="1"/>
      <c r="Q1152" s="1"/>
      <c r="R1152" s="8"/>
      <c r="S1152" s="1"/>
      <c r="T1152" s="8"/>
      <c r="U1152" s="1"/>
      <c r="V1152" s="1"/>
      <c r="W1152" s="1"/>
      <c r="X1152" s="1"/>
    </row>
    <row r="1153" spans="1:24">
      <c r="A1153" s="1"/>
      <c r="B1153" s="8"/>
      <c r="C1153" s="8"/>
      <c r="D1153" s="8"/>
      <c r="E1153" s="8"/>
      <c r="F1153" s="8"/>
      <c r="G1153" s="8"/>
      <c r="H1153" s="8"/>
      <c r="I1153" s="8"/>
      <c r="J1153" s="8"/>
      <c r="K1153" s="8"/>
      <c r="L1153" s="56"/>
      <c r="M1153" s="26"/>
      <c r="N1153" s="26"/>
      <c r="O1153" s="26"/>
      <c r="P1153" s="1"/>
      <c r="Q1153" s="1"/>
      <c r="R1153" s="8"/>
      <c r="S1153" s="1"/>
      <c r="T1153" s="8"/>
      <c r="U1153" s="1"/>
      <c r="V1153" s="1"/>
      <c r="W1153" s="1"/>
      <c r="X1153" s="1"/>
    </row>
    <row r="1154" spans="1:24">
      <c r="A1154" s="1"/>
      <c r="B1154" s="8"/>
      <c r="C1154" s="8"/>
      <c r="D1154" s="8"/>
      <c r="E1154" s="8"/>
      <c r="F1154" s="8"/>
      <c r="G1154" s="8"/>
      <c r="H1154" s="8"/>
      <c r="I1154" s="8"/>
      <c r="J1154" s="8"/>
      <c r="K1154" s="8"/>
      <c r="L1154" s="56"/>
      <c r="M1154" s="26"/>
      <c r="N1154" s="26"/>
      <c r="O1154" s="26"/>
      <c r="P1154" s="1"/>
      <c r="Q1154" s="1"/>
      <c r="R1154" s="8"/>
      <c r="S1154" s="1"/>
      <c r="T1154" s="8"/>
      <c r="U1154" s="1"/>
      <c r="V1154" s="1"/>
      <c r="W1154" s="1"/>
      <c r="X1154" s="1"/>
    </row>
    <row r="1155" spans="1:24">
      <c r="A1155" s="1"/>
      <c r="B1155" s="8"/>
      <c r="C1155" s="8"/>
      <c r="D1155" s="8"/>
      <c r="E1155" s="8"/>
      <c r="F1155" s="8"/>
      <c r="G1155" s="8"/>
      <c r="H1155" s="8"/>
      <c r="I1155" s="8"/>
      <c r="J1155" s="8"/>
      <c r="K1155" s="8"/>
      <c r="L1155" s="56"/>
      <c r="M1155" s="26"/>
      <c r="N1155" s="26"/>
      <c r="O1155" s="26"/>
      <c r="P1155" s="1"/>
      <c r="Q1155" s="1"/>
      <c r="R1155" s="8"/>
      <c r="S1155" s="1"/>
      <c r="T1155" s="8"/>
      <c r="U1155" s="1"/>
      <c r="V1155" s="1"/>
      <c r="W1155" s="1"/>
      <c r="X1155" s="1"/>
    </row>
    <row r="1156" spans="1:24">
      <c r="A1156" s="1"/>
      <c r="B1156" s="8"/>
      <c r="C1156" s="8"/>
      <c r="D1156" s="8"/>
      <c r="E1156" s="8"/>
      <c r="F1156" s="8"/>
      <c r="G1156" s="8"/>
      <c r="H1156" s="8"/>
      <c r="I1156" s="8"/>
      <c r="J1156" s="8"/>
      <c r="K1156" s="8"/>
      <c r="L1156" s="56"/>
      <c r="M1156" s="26"/>
      <c r="N1156" s="26"/>
      <c r="O1156" s="26"/>
      <c r="P1156" s="1"/>
      <c r="Q1156" s="1"/>
      <c r="R1156" s="8"/>
      <c r="S1156" s="1"/>
      <c r="T1156" s="8"/>
      <c r="U1156" s="1"/>
      <c r="V1156" s="1"/>
      <c r="W1156" s="1"/>
      <c r="X1156" s="1"/>
    </row>
    <row r="1157" spans="1:24">
      <c r="A1157" s="1"/>
      <c r="B1157" s="8"/>
      <c r="C1157" s="8"/>
      <c r="D1157" s="8"/>
      <c r="E1157" s="8"/>
      <c r="F1157" s="8"/>
      <c r="G1157" s="8"/>
      <c r="H1157" s="8"/>
      <c r="I1157" s="8"/>
      <c r="J1157" s="8"/>
      <c r="K1157" s="8"/>
      <c r="L1157" s="56"/>
      <c r="M1157" s="26"/>
      <c r="N1157" s="26"/>
      <c r="O1157" s="26"/>
      <c r="P1157" s="1"/>
      <c r="Q1157" s="1"/>
      <c r="R1157" s="8"/>
      <c r="S1157" s="1"/>
      <c r="T1157" s="8"/>
      <c r="U1157" s="1"/>
      <c r="V1157" s="1"/>
      <c r="W1157" s="1"/>
      <c r="X1157" s="1"/>
    </row>
    <row r="1158" spans="1:24">
      <c r="A1158" s="1"/>
      <c r="B1158" s="8"/>
      <c r="C1158" s="8"/>
      <c r="D1158" s="8"/>
      <c r="E1158" s="8"/>
      <c r="F1158" s="8"/>
      <c r="G1158" s="8"/>
      <c r="H1158" s="8"/>
      <c r="I1158" s="8"/>
      <c r="J1158" s="8"/>
      <c r="K1158" s="8"/>
      <c r="L1158" s="56"/>
      <c r="M1158" s="26"/>
      <c r="N1158" s="26"/>
      <c r="O1158" s="26"/>
      <c r="P1158" s="1"/>
      <c r="Q1158" s="1"/>
      <c r="R1158" s="8"/>
      <c r="S1158" s="1"/>
      <c r="T1158" s="8"/>
      <c r="U1158" s="1"/>
      <c r="V1158" s="1"/>
      <c r="W1158" s="1"/>
      <c r="X1158" s="1"/>
    </row>
    <row r="1159" spans="1:24">
      <c r="A1159" s="1"/>
      <c r="B1159" s="8"/>
      <c r="C1159" s="8"/>
      <c r="D1159" s="8"/>
      <c r="E1159" s="8"/>
      <c r="F1159" s="8"/>
      <c r="G1159" s="8"/>
      <c r="H1159" s="8"/>
      <c r="I1159" s="8"/>
      <c r="J1159" s="8"/>
      <c r="K1159" s="8"/>
      <c r="L1159" s="56"/>
      <c r="M1159" s="26"/>
      <c r="N1159" s="26"/>
      <c r="O1159" s="26"/>
      <c r="P1159" s="1"/>
      <c r="Q1159" s="1"/>
      <c r="R1159" s="8"/>
      <c r="S1159" s="1"/>
      <c r="T1159" s="8"/>
      <c r="U1159" s="1"/>
      <c r="V1159" s="1"/>
      <c r="W1159" s="1"/>
      <c r="X1159" s="1"/>
    </row>
    <row r="1160" spans="1:24">
      <c r="A1160" s="1"/>
      <c r="B1160" s="8"/>
      <c r="C1160" s="8"/>
      <c r="D1160" s="8"/>
      <c r="E1160" s="8"/>
      <c r="F1160" s="8"/>
      <c r="G1160" s="8"/>
      <c r="H1160" s="8"/>
      <c r="I1160" s="8"/>
      <c r="J1160" s="8"/>
      <c r="K1160" s="8"/>
      <c r="L1160" s="56"/>
      <c r="M1160" s="26"/>
      <c r="N1160" s="26"/>
      <c r="O1160" s="26"/>
      <c r="P1160" s="1"/>
      <c r="Q1160" s="1"/>
      <c r="R1160" s="8"/>
      <c r="S1160" s="1"/>
      <c r="T1160" s="8"/>
      <c r="U1160" s="1"/>
      <c r="V1160" s="1"/>
      <c r="W1160" s="1"/>
      <c r="X1160" s="1"/>
    </row>
    <row r="1161" spans="1:24">
      <c r="A1161" s="1"/>
      <c r="B1161" s="8"/>
      <c r="C1161" s="8"/>
      <c r="D1161" s="8"/>
      <c r="E1161" s="8"/>
      <c r="F1161" s="8"/>
      <c r="G1161" s="8"/>
      <c r="H1161" s="8"/>
      <c r="I1161" s="8"/>
      <c r="J1161" s="8"/>
      <c r="K1161" s="8"/>
      <c r="L1161" s="56"/>
      <c r="M1161" s="26"/>
      <c r="N1161" s="26"/>
      <c r="O1161" s="26"/>
      <c r="P1161" s="1"/>
      <c r="Q1161" s="1"/>
      <c r="R1161" s="8"/>
      <c r="S1161" s="1"/>
      <c r="T1161" s="8"/>
      <c r="U1161" s="1"/>
      <c r="V1161" s="1"/>
      <c r="W1161" s="1"/>
      <c r="X1161" s="1"/>
    </row>
    <row r="1162" spans="1:24">
      <c r="A1162" s="1"/>
      <c r="B1162" s="8"/>
      <c r="C1162" s="8"/>
      <c r="D1162" s="8"/>
      <c r="E1162" s="8"/>
      <c r="F1162" s="8"/>
      <c r="G1162" s="8"/>
      <c r="H1162" s="8"/>
      <c r="I1162" s="8"/>
      <c r="J1162" s="8"/>
      <c r="K1162" s="8"/>
      <c r="L1162" s="56"/>
      <c r="M1162" s="26"/>
      <c r="N1162" s="26"/>
      <c r="O1162" s="26"/>
      <c r="P1162" s="1"/>
      <c r="Q1162" s="1"/>
      <c r="R1162" s="8"/>
      <c r="S1162" s="1"/>
      <c r="T1162" s="8"/>
      <c r="U1162" s="1"/>
      <c r="V1162" s="1"/>
      <c r="W1162" s="1"/>
      <c r="X1162" s="1"/>
    </row>
    <row r="1163" spans="1:24">
      <c r="A1163" s="1"/>
      <c r="B1163" s="8"/>
      <c r="C1163" s="8"/>
      <c r="D1163" s="8"/>
      <c r="E1163" s="8"/>
      <c r="F1163" s="8"/>
      <c r="G1163" s="8"/>
      <c r="H1163" s="8"/>
      <c r="I1163" s="8"/>
      <c r="J1163" s="8"/>
      <c r="K1163" s="8"/>
      <c r="L1163" s="56"/>
      <c r="M1163" s="26"/>
      <c r="N1163" s="26"/>
      <c r="O1163" s="26"/>
      <c r="P1163" s="1"/>
      <c r="Q1163" s="1"/>
      <c r="R1163" s="8"/>
      <c r="S1163" s="1"/>
      <c r="T1163" s="8"/>
      <c r="U1163" s="1"/>
      <c r="V1163" s="1"/>
      <c r="W1163" s="1"/>
      <c r="X1163" s="1"/>
    </row>
    <row r="1164" spans="1:24">
      <c r="A1164" s="1"/>
      <c r="B1164" s="8"/>
      <c r="C1164" s="8"/>
      <c r="D1164" s="8"/>
      <c r="E1164" s="8"/>
      <c r="F1164" s="8"/>
      <c r="G1164" s="8"/>
      <c r="H1164" s="8"/>
      <c r="I1164" s="8"/>
      <c r="J1164" s="8"/>
      <c r="K1164" s="8"/>
      <c r="L1164" s="56"/>
      <c r="M1164" s="26"/>
      <c r="N1164" s="26"/>
      <c r="O1164" s="26"/>
      <c r="P1164" s="1"/>
      <c r="Q1164" s="1"/>
      <c r="R1164" s="8"/>
      <c r="S1164" s="1"/>
      <c r="T1164" s="8"/>
      <c r="U1164" s="1"/>
      <c r="V1164" s="1"/>
      <c r="W1164" s="1"/>
      <c r="X1164" s="1"/>
    </row>
    <row r="1165" spans="1:24">
      <c r="A1165" s="1"/>
      <c r="B1165" s="8"/>
      <c r="C1165" s="8"/>
      <c r="D1165" s="8"/>
      <c r="E1165" s="8"/>
      <c r="F1165" s="8"/>
      <c r="G1165" s="8"/>
      <c r="H1165" s="8"/>
      <c r="I1165" s="8"/>
      <c r="J1165" s="8"/>
      <c r="K1165" s="8"/>
      <c r="L1165" s="56"/>
      <c r="M1165" s="26"/>
      <c r="N1165" s="26"/>
      <c r="O1165" s="26"/>
      <c r="P1165" s="1"/>
      <c r="Q1165" s="1"/>
      <c r="R1165" s="8"/>
      <c r="S1165" s="1"/>
      <c r="T1165" s="8"/>
      <c r="U1165" s="1"/>
      <c r="V1165" s="1"/>
      <c r="W1165" s="1"/>
      <c r="X1165" s="1"/>
    </row>
    <row r="1166" spans="1:24">
      <c r="A1166" s="1"/>
      <c r="B1166" s="8"/>
      <c r="C1166" s="8"/>
      <c r="D1166" s="8"/>
      <c r="E1166" s="8"/>
      <c r="F1166" s="8"/>
      <c r="G1166" s="8"/>
      <c r="H1166" s="8"/>
      <c r="I1166" s="8"/>
      <c r="J1166" s="8"/>
      <c r="K1166" s="8"/>
      <c r="L1166" s="56"/>
      <c r="M1166" s="26"/>
      <c r="N1166" s="26"/>
      <c r="O1166" s="26"/>
      <c r="P1166" s="1"/>
      <c r="Q1166" s="1"/>
      <c r="R1166" s="8"/>
      <c r="S1166" s="1"/>
      <c r="T1166" s="8"/>
      <c r="U1166" s="1"/>
      <c r="V1166" s="1"/>
      <c r="W1166" s="1"/>
      <c r="X1166" s="1"/>
    </row>
    <row r="1167" spans="1:24">
      <c r="A1167" s="1"/>
      <c r="B1167" s="8"/>
      <c r="C1167" s="8"/>
      <c r="D1167" s="8"/>
      <c r="E1167" s="8"/>
      <c r="F1167" s="8"/>
      <c r="G1167" s="8"/>
      <c r="H1167" s="8"/>
      <c r="I1167" s="8"/>
      <c r="J1167" s="8"/>
      <c r="K1167" s="8"/>
      <c r="L1167" s="56"/>
      <c r="M1167" s="26"/>
      <c r="N1167" s="26"/>
      <c r="O1167" s="26"/>
      <c r="P1167" s="1"/>
      <c r="Q1167" s="1"/>
      <c r="R1167" s="8"/>
      <c r="S1167" s="1"/>
      <c r="T1167" s="8"/>
      <c r="U1167" s="1"/>
      <c r="V1167" s="1"/>
      <c r="W1167" s="1"/>
      <c r="X1167" s="1"/>
    </row>
    <row r="1168" spans="1:24">
      <c r="A1168" s="1"/>
      <c r="B1168" s="8"/>
      <c r="C1168" s="8"/>
      <c r="D1168" s="8"/>
      <c r="E1168" s="8"/>
      <c r="F1168" s="8"/>
      <c r="G1168" s="8"/>
      <c r="H1168" s="8"/>
      <c r="I1168" s="8"/>
      <c r="J1168" s="8"/>
      <c r="K1168" s="8"/>
      <c r="L1168" s="56"/>
      <c r="M1168" s="26"/>
      <c r="N1168" s="26"/>
      <c r="O1168" s="26"/>
      <c r="P1168" s="1"/>
      <c r="Q1168" s="1"/>
      <c r="R1168" s="8"/>
      <c r="S1168" s="1"/>
      <c r="T1168" s="8"/>
      <c r="U1168" s="1"/>
      <c r="V1168" s="1"/>
      <c r="W1168" s="1"/>
      <c r="X1168" s="1"/>
    </row>
    <row r="1169" spans="1:24">
      <c r="A1169" s="1"/>
      <c r="B1169" s="8"/>
      <c r="C1169" s="8"/>
      <c r="D1169" s="8"/>
      <c r="E1169" s="8"/>
      <c r="F1169" s="8"/>
      <c r="G1169" s="8"/>
      <c r="H1169" s="8"/>
      <c r="I1169" s="8"/>
      <c r="J1169" s="8"/>
      <c r="K1169" s="8"/>
      <c r="L1169" s="56"/>
      <c r="M1169" s="26"/>
      <c r="N1169" s="26"/>
      <c r="O1169" s="26"/>
      <c r="P1169" s="1"/>
      <c r="Q1169" s="1"/>
      <c r="R1169" s="8"/>
      <c r="S1169" s="1"/>
      <c r="T1169" s="8"/>
      <c r="U1169" s="1"/>
      <c r="V1169" s="1"/>
      <c r="W1169" s="1"/>
      <c r="X1169" s="1"/>
    </row>
    <row r="1170" spans="1:24">
      <c r="A1170" s="1"/>
      <c r="B1170" s="8"/>
      <c r="C1170" s="8"/>
      <c r="D1170" s="8"/>
      <c r="E1170" s="8"/>
      <c r="F1170" s="8"/>
      <c r="G1170" s="8"/>
      <c r="H1170" s="8"/>
      <c r="I1170" s="8"/>
      <c r="J1170" s="8"/>
      <c r="K1170" s="8"/>
      <c r="L1170" s="56"/>
      <c r="M1170" s="26"/>
      <c r="N1170" s="26"/>
      <c r="O1170" s="26"/>
      <c r="P1170" s="1"/>
      <c r="Q1170" s="1"/>
      <c r="R1170" s="8"/>
      <c r="S1170" s="1"/>
      <c r="T1170" s="8"/>
      <c r="U1170" s="1"/>
      <c r="V1170" s="1"/>
      <c r="W1170" s="1"/>
      <c r="X1170" s="1"/>
    </row>
    <row r="1171" spans="1:24">
      <c r="A1171" s="1"/>
      <c r="B1171" s="8"/>
      <c r="C1171" s="8"/>
      <c r="D1171" s="8"/>
      <c r="E1171" s="8"/>
      <c r="F1171" s="8"/>
      <c r="G1171" s="8"/>
      <c r="H1171" s="8"/>
      <c r="I1171" s="8"/>
      <c r="J1171" s="8"/>
      <c r="K1171" s="8"/>
      <c r="L1171" s="56"/>
      <c r="M1171" s="26"/>
      <c r="N1171" s="26"/>
      <c r="O1171" s="26"/>
      <c r="P1171" s="1"/>
      <c r="Q1171" s="1"/>
      <c r="R1171" s="8"/>
      <c r="S1171" s="1"/>
      <c r="T1171" s="8"/>
      <c r="U1171" s="1"/>
      <c r="V1171" s="1"/>
      <c r="W1171" s="1"/>
      <c r="X1171" s="1"/>
    </row>
    <row r="1172" spans="1:24">
      <c r="A1172" s="1"/>
      <c r="B1172" s="8"/>
      <c r="C1172" s="8"/>
      <c r="D1172" s="8"/>
      <c r="E1172" s="8"/>
      <c r="F1172" s="8"/>
      <c r="G1172" s="8"/>
      <c r="H1172" s="8"/>
      <c r="I1172" s="8"/>
      <c r="J1172" s="8"/>
      <c r="K1172" s="8"/>
      <c r="L1172" s="56"/>
      <c r="M1172" s="26"/>
      <c r="N1172" s="26"/>
      <c r="O1172" s="26"/>
      <c r="P1172" s="1"/>
      <c r="Q1172" s="1"/>
      <c r="R1172" s="8"/>
      <c r="S1172" s="1"/>
      <c r="T1172" s="8"/>
      <c r="U1172" s="1"/>
      <c r="V1172" s="1"/>
      <c r="W1172" s="1"/>
      <c r="X1172" s="1"/>
    </row>
    <row r="1173" spans="1:24">
      <c r="A1173" s="1"/>
      <c r="B1173" s="8"/>
      <c r="C1173" s="8"/>
      <c r="D1173" s="8"/>
      <c r="E1173" s="8"/>
      <c r="F1173" s="8"/>
      <c r="G1173" s="8"/>
      <c r="H1173" s="8"/>
      <c r="I1173" s="8"/>
      <c r="J1173" s="8"/>
      <c r="K1173" s="8"/>
      <c r="L1173" s="56"/>
      <c r="M1173" s="26"/>
      <c r="N1173" s="26"/>
      <c r="O1173" s="26"/>
      <c r="P1173" s="1"/>
      <c r="Q1173" s="1"/>
      <c r="R1173" s="8"/>
      <c r="S1173" s="1"/>
      <c r="T1173" s="8"/>
      <c r="U1173" s="1"/>
      <c r="V1173" s="1"/>
      <c r="W1173" s="1"/>
      <c r="X1173" s="1"/>
    </row>
    <row r="1174" spans="1:24">
      <c r="A1174" s="1"/>
      <c r="B1174" s="8"/>
      <c r="C1174" s="8"/>
      <c r="D1174" s="8"/>
      <c r="E1174" s="8"/>
      <c r="F1174" s="8"/>
      <c r="G1174" s="8"/>
      <c r="H1174" s="8"/>
      <c r="I1174" s="8"/>
      <c r="J1174" s="8"/>
      <c r="K1174" s="8"/>
      <c r="L1174" s="56"/>
      <c r="M1174" s="26"/>
      <c r="N1174" s="26"/>
      <c r="O1174" s="26"/>
      <c r="P1174" s="1"/>
      <c r="Q1174" s="1"/>
      <c r="R1174" s="8"/>
      <c r="S1174" s="1"/>
      <c r="T1174" s="8"/>
      <c r="U1174" s="1"/>
      <c r="V1174" s="1"/>
      <c r="W1174" s="1"/>
      <c r="X1174" s="1"/>
    </row>
    <row r="1175" spans="1:24">
      <c r="A1175" s="1"/>
      <c r="B1175" s="8"/>
      <c r="C1175" s="8"/>
      <c r="D1175" s="8"/>
      <c r="E1175" s="8"/>
      <c r="F1175" s="8"/>
      <c r="G1175" s="8"/>
      <c r="H1175" s="8"/>
      <c r="I1175" s="8"/>
      <c r="J1175" s="8"/>
      <c r="K1175" s="8"/>
      <c r="L1175" s="56"/>
      <c r="M1175" s="26"/>
      <c r="N1175" s="26"/>
      <c r="O1175" s="26"/>
      <c r="P1175" s="1"/>
      <c r="Q1175" s="1"/>
      <c r="R1175" s="8"/>
      <c r="S1175" s="1"/>
      <c r="T1175" s="8"/>
      <c r="U1175" s="1"/>
      <c r="V1175" s="1"/>
      <c r="W1175" s="1"/>
      <c r="X1175" s="1"/>
    </row>
    <row r="1176" spans="1:24">
      <c r="A1176" s="1"/>
      <c r="B1176" s="8"/>
      <c r="C1176" s="8"/>
      <c r="D1176" s="8"/>
      <c r="E1176" s="8"/>
      <c r="F1176" s="8"/>
      <c r="G1176" s="8"/>
      <c r="H1176" s="8"/>
      <c r="I1176" s="8"/>
      <c r="J1176" s="8"/>
      <c r="K1176" s="8"/>
      <c r="L1176" s="56"/>
      <c r="M1176" s="26"/>
      <c r="N1176" s="26"/>
      <c r="O1176" s="26"/>
      <c r="P1176" s="1"/>
      <c r="Q1176" s="1"/>
      <c r="R1176" s="8"/>
      <c r="S1176" s="1"/>
      <c r="T1176" s="8"/>
      <c r="U1176" s="1"/>
      <c r="V1176" s="1"/>
      <c r="W1176" s="1"/>
      <c r="X1176" s="1"/>
    </row>
    <row r="1177" spans="1:24">
      <c r="A1177" s="1"/>
      <c r="B1177" s="8"/>
      <c r="C1177" s="8"/>
      <c r="D1177" s="8"/>
      <c r="E1177" s="8"/>
      <c r="F1177" s="8"/>
      <c r="G1177" s="8"/>
      <c r="H1177" s="8"/>
      <c r="I1177" s="8"/>
      <c r="J1177" s="8"/>
      <c r="K1177" s="8"/>
      <c r="L1177" s="56"/>
      <c r="M1177" s="26"/>
      <c r="N1177" s="26"/>
      <c r="O1177" s="26"/>
      <c r="P1177" s="1"/>
      <c r="Q1177" s="1"/>
      <c r="R1177" s="8"/>
      <c r="S1177" s="1"/>
      <c r="T1177" s="8"/>
      <c r="U1177" s="1"/>
      <c r="V1177" s="1"/>
      <c r="W1177" s="1"/>
      <c r="X1177" s="1"/>
    </row>
    <row r="1178" spans="1:24">
      <c r="A1178" s="1"/>
      <c r="B1178" s="8"/>
      <c r="C1178" s="8"/>
      <c r="D1178" s="8"/>
      <c r="E1178" s="8"/>
      <c r="F1178" s="8"/>
      <c r="G1178" s="8"/>
      <c r="H1178" s="8"/>
      <c r="I1178" s="8"/>
      <c r="J1178" s="8"/>
      <c r="K1178" s="8"/>
      <c r="L1178" s="56"/>
      <c r="M1178" s="26"/>
      <c r="N1178" s="26"/>
      <c r="O1178" s="26"/>
      <c r="P1178" s="1"/>
      <c r="Q1178" s="1"/>
      <c r="R1178" s="8"/>
      <c r="S1178" s="1"/>
      <c r="T1178" s="8"/>
      <c r="U1178" s="1"/>
      <c r="V1178" s="1"/>
      <c r="W1178" s="1"/>
      <c r="X1178" s="1"/>
    </row>
    <row r="1179" spans="1:24">
      <c r="A1179" s="1"/>
      <c r="B1179" s="8"/>
      <c r="C1179" s="8"/>
      <c r="D1179" s="8"/>
      <c r="E1179" s="8"/>
      <c r="F1179" s="8"/>
      <c r="G1179" s="8"/>
      <c r="H1179" s="8"/>
      <c r="I1179" s="8"/>
      <c r="J1179" s="8"/>
      <c r="K1179" s="8"/>
      <c r="L1179" s="56"/>
      <c r="M1179" s="26"/>
      <c r="N1179" s="26"/>
      <c r="O1179" s="26"/>
      <c r="P1179" s="1"/>
      <c r="Q1179" s="1"/>
      <c r="R1179" s="8"/>
      <c r="S1179" s="1"/>
      <c r="T1179" s="8"/>
      <c r="U1179" s="1"/>
      <c r="V1179" s="1"/>
      <c r="W1179" s="1"/>
      <c r="X1179" s="1"/>
    </row>
    <row r="1180" spans="1:24">
      <c r="A1180" s="1"/>
      <c r="B1180" s="8"/>
      <c r="C1180" s="8"/>
      <c r="D1180" s="8"/>
      <c r="E1180" s="8"/>
      <c r="F1180" s="8"/>
      <c r="G1180" s="8"/>
      <c r="H1180" s="8"/>
      <c r="I1180" s="8"/>
      <c r="J1180" s="8"/>
      <c r="K1180" s="8"/>
      <c r="L1180" s="56"/>
      <c r="M1180" s="26"/>
      <c r="N1180" s="26"/>
      <c r="O1180" s="26"/>
      <c r="P1180" s="1"/>
      <c r="Q1180" s="1"/>
      <c r="R1180" s="8"/>
      <c r="S1180" s="1"/>
      <c r="T1180" s="8"/>
      <c r="U1180" s="1"/>
      <c r="V1180" s="1"/>
      <c r="W1180" s="1"/>
      <c r="X1180" s="1"/>
    </row>
    <row r="1181" spans="1:24">
      <c r="A1181" s="1"/>
      <c r="B1181" s="8"/>
      <c r="C1181" s="8"/>
      <c r="D1181" s="8"/>
      <c r="E1181" s="8"/>
      <c r="F1181" s="8"/>
      <c r="G1181" s="8"/>
      <c r="H1181" s="8"/>
      <c r="I1181" s="8"/>
      <c r="J1181" s="8"/>
      <c r="K1181" s="8"/>
      <c r="L1181" s="56"/>
      <c r="M1181" s="26"/>
      <c r="N1181" s="26"/>
      <c r="O1181" s="26"/>
      <c r="P1181" s="1"/>
      <c r="Q1181" s="1"/>
      <c r="R1181" s="8"/>
      <c r="S1181" s="1"/>
      <c r="T1181" s="8"/>
      <c r="U1181" s="1"/>
      <c r="V1181" s="1"/>
      <c r="W1181" s="1"/>
      <c r="X1181" s="1"/>
    </row>
    <row r="1182" spans="1:24">
      <c r="A1182" s="1"/>
      <c r="B1182" s="8"/>
      <c r="C1182" s="8"/>
      <c r="D1182" s="8"/>
      <c r="E1182" s="8"/>
      <c r="F1182" s="8"/>
      <c r="G1182" s="8"/>
      <c r="H1182" s="8"/>
      <c r="I1182" s="8"/>
      <c r="J1182" s="8"/>
      <c r="K1182" s="8"/>
      <c r="L1182" s="56"/>
      <c r="M1182" s="26"/>
      <c r="N1182" s="26"/>
      <c r="O1182" s="26"/>
      <c r="P1182" s="1"/>
      <c r="Q1182" s="1"/>
      <c r="R1182" s="8"/>
      <c r="S1182" s="1"/>
      <c r="T1182" s="8"/>
      <c r="U1182" s="1"/>
      <c r="V1182" s="1"/>
      <c r="W1182" s="1"/>
      <c r="X1182" s="1"/>
    </row>
    <row r="1183" spans="1:24">
      <c r="A1183" s="1"/>
      <c r="B1183" s="8"/>
      <c r="C1183" s="8"/>
      <c r="D1183" s="8"/>
      <c r="E1183" s="8"/>
      <c r="F1183" s="8"/>
      <c r="G1183" s="8"/>
      <c r="H1183" s="8"/>
      <c r="I1183" s="8"/>
      <c r="J1183" s="8"/>
      <c r="K1183" s="8"/>
      <c r="L1183" s="56"/>
      <c r="M1183" s="26"/>
      <c r="N1183" s="26"/>
      <c r="O1183" s="26"/>
      <c r="P1183" s="1"/>
      <c r="Q1183" s="1"/>
      <c r="R1183" s="8"/>
      <c r="S1183" s="1"/>
      <c r="T1183" s="8"/>
      <c r="U1183" s="1"/>
      <c r="V1183" s="1"/>
      <c r="W1183" s="1"/>
      <c r="X1183" s="1"/>
    </row>
    <row r="1184" spans="1:24">
      <c r="A1184" s="1"/>
      <c r="B1184" s="8"/>
      <c r="C1184" s="8"/>
      <c r="D1184" s="8"/>
      <c r="E1184" s="8"/>
      <c r="F1184" s="8"/>
      <c r="G1184" s="8"/>
      <c r="H1184" s="8"/>
      <c r="I1184" s="8"/>
      <c r="J1184" s="8"/>
      <c r="K1184" s="8"/>
      <c r="L1184" s="56"/>
      <c r="M1184" s="26"/>
      <c r="N1184" s="26"/>
      <c r="O1184" s="26"/>
      <c r="P1184" s="1"/>
      <c r="Q1184" s="1"/>
      <c r="R1184" s="8"/>
      <c r="S1184" s="1"/>
      <c r="T1184" s="8"/>
      <c r="U1184" s="1"/>
      <c r="V1184" s="1"/>
      <c r="W1184" s="1"/>
      <c r="X1184" s="1"/>
    </row>
    <row r="1185" spans="1:24">
      <c r="A1185" s="1"/>
      <c r="B1185" s="8"/>
      <c r="C1185" s="8"/>
      <c r="D1185" s="8"/>
      <c r="E1185" s="8"/>
      <c r="F1185" s="8"/>
      <c r="G1185" s="8"/>
      <c r="H1185" s="8"/>
      <c r="I1185" s="8"/>
      <c r="J1185" s="8"/>
      <c r="K1185" s="8"/>
      <c r="L1185" s="56"/>
      <c r="M1185" s="26"/>
      <c r="N1185" s="26"/>
      <c r="O1185" s="26"/>
      <c r="P1185" s="1"/>
      <c r="Q1185" s="1"/>
      <c r="R1185" s="8"/>
      <c r="S1185" s="1"/>
      <c r="T1185" s="8"/>
      <c r="U1185" s="1"/>
      <c r="V1185" s="1"/>
      <c r="W1185" s="1"/>
      <c r="X1185" s="1"/>
    </row>
    <row r="1186" spans="1:24">
      <c r="A1186" s="1"/>
      <c r="B1186" s="8"/>
      <c r="C1186" s="8"/>
      <c r="D1186" s="8"/>
      <c r="E1186" s="8"/>
      <c r="F1186" s="8"/>
      <c r="G1186" s="8"/>
      <c r="H1186" s="8"/>
      <c r="I1186" s="8"/>
      <c r="J1186" s="8"/>
      <c r="K1186" s="8"/>
      <c r="L1186" s="56"/>
      <c r="M1186" s="26"/>
      <c r="N1186" s="26"/>
      <c r="O1186" s="26"/>
      <c r="P1186" s="1"/>
      <c r="Q1186" s="1"/>
      <c r="R1186" s="8"/>
      <c r="S1186" s="1"/>
      <c r="T1186" s="8"/>
      <c r="U1186" s="1"/>
      <c r="V1186" s="1"/>
      <c r="W1186" s="1"/>
      <c r="X1186" s="1"/>
    </row>
    <row r="1187" spans="1:24">
      <c r="A1187" s="1"/>
      <c r="B1187" s="8"/>
      <c r="C1187" s="8"/>
      <c r="D1187" s="8"/>
      <c r="E1187" s="8"/>
      <c r="F1187" s="8"/>
      <c r="G1187" s="8"/>
      <c r="H1187" s="8"/>
      <c r="I1187" s="8"/>
      <c r="J1187" s="8"/>
      <c r="K1187" s="8"/>
      <c r="L1187" s="56"/>
      <c r="M1187" s="26"/>
      <c r="N1187" s="26"/>
      <c r="O1187" s="26"/>
      <c r="P1187" s="1"/>
      <c r="Q1187" s="1"/>
      <c r="R1187" s="8"/>
      <c r="S1187" s="1"/>
      <c r="T1187" s="8"/>
      <c r="U1187" s="1"/>
      <c r="V1187" s="1"/>
      <c r="W1187" s="1"/>
      <c r="X1187" s="1"/>
    </row>
    <row r="1188" spans="1:24">
      <c r="A1188" s="1"/>
      <c r="B1188" s="8"/>
      <c r="C1188" s="8"/>
      <c r="D1188" s="8"/>
      <c r="E1188" s="8"/>
      <c r="F1188" s="8"/>
      <c r="G1188" s="8"/>
      <c r="H1188" s="8"/>
      <c r="I1188" s="8"/>
      <c r="J1188" s="8"/>
      <c r="K1188" s="8"/>
      <c r="L1188" s="56"/>
      <c r="M1188" s="26"/>
      <c r="N1188" s="26"/>
      <c r="O1188" s="26"/>
      <c r="P1188" s="1"/>
      <c r="Q1188" s="1"/>
      <c r="R1188" s="8"/>
      <c r="S1188" s="1"/>
      <c r="T1188" s="8"/>
      <c r="U1188" s="1"/>
      <c r="V1188" s="1"/>
      <c r="W1188" s="1"/>
      <c r="X1188" s="1"/>
    </row>
    <row r="1189" spans="1:24">
      <c r="A1189" s="1"/>
      <c r="B1189" s="8"/>
      <c r="C1189" s="8"/>
      <c r="D1189" s="8"/>
      <c r="E1189" s="8"/>
      <c r="F1189" s="8"/>
      <c r="G1189" s="8"/>
      <c r="H1189" s="8"/>
      <c r="I1189" s="8"/>
      <c r="J1189" s="8"/>
      <c r="K1189" s="8"/>
      <c r="L1189" s="56"/>
      <c r="M1189" s="26"/>
      <c r="N1189" s="26"/>
      <c r="O1189" s="26"/>
      <c r="P1189" s="1"/>
      <c r="Q1189" s="1"/>
      <c r="R1189" s="8"/>
      <c r="S1189" s="1"/>
      <c r="T1189" s="8"/>
      <c r="U1189" s="1"/>
      <c r="V1189" s="1"/>
      <c r="W1189" s="1"/>
      <c r="X1189" s="1"/>
    </row>
    <row r="1190" spans="1:24">
      <c r="A1190" s="1"/>
      <c r="B1190" s="8"/>
      <c r="C1190" s="8"/>
      <c r="D1190" s="8"/>
      <c r="E1190" s="8"/>
      <c r="F1190" s="8"/>
      <c r="G1190" s="8"/>
      <c r="H1190" s="8"/>
      <c r="I1190" s="8"/>
      <c r="J1190" s="8"/>
      <c r="K1190" s="8"/>
      <c r="L1190" s="56"/>
      <c r="M1190" s="26"/>
      <c r="N1190" s="26"/>
      <c r="O1190" s="26"/>
      <c r="P1190" s="1"/>
      <c r="Q1190" s="1"/>
      <c r="R1190" s="8"/>
      <c r="S1190" s="1"/>
      <c r="T1190" s="8"/>
      <c r="U1190" s="1"/>
      <c r="V1190" s="1"/>
      <c r="W1190" s="1"/>
      <c r="X1190" s="1"/>
    </row>
    <row r="1191" spans="1:24">
      <c r="A1191" s="1"/>
      <c r="B1191" s="8"/>
      <c r="C1191" s="8"/>
      <c r="D1191" s="8"/>
      <c r="E1191" s="8"/>
      <c r="F1191" s="8"/>
      <c r="G1191" s="8"/>
      <c r="H1191" s="8"/>
      <c r="I1191" s="8"/>
      <c r="J1191" s="8"/>
      <c r="K1191" s="8"/>
      <c r="L1191" s="56"/>
      <c r="M1191" s="26"/>
      <c r="N1191" s="26"/>
      <c r="O1191" s="26"/>
      <c r="P1191" s="1"/>
      <c r="Q1191" s="1"/>
      <c r="R1191" s="8"/>
      <c r="S1191" s="1"/>
      <c r="T1191" s="8"/>
      <c r="U1191" s="1"/>
      <c r="V1191" s="1"/>
      <c r="W1191" s="1"/>
      <c r="X1191" s="1"/>
    </row>
    <row r="1192" spans="1:24">
      <c r="A1192" s="1"/>
      <c r="B1192" s="8"/>
      <c r="C1192" s="8"/>
      <c r="D1192" s="8"/>
      <c r="E1192" s="8"/>
      <c r="F1192" s="8"/>
      <c r="G1192" s="8"/>
      <c r="H1192" s="8"/>
      <c r="I1192" s="8"/>
      <c r="J1192" s="8"/>
      <c r="K1192" s="8"/>
      <c r="L1192" s="56"/>
      <c r="M1192" s="26"/>
      <c r="N1192" s="26"/>
      <c r="O1192" s="26"/>
      <c r="P1192" s="1"/>
      <c r="Q1192" s="1"/>
      <c r="R1192" s="8"/>
      <c r="S1192" s="1"/>
      <c r="T1192" s="8"/>
      <c r="U1192" s="1"/>
      <c r="V1192" s="1"/>
      <c r="W1192" s="1"/>
      <c r="X1192" s="1"/>
    </row>
    <row r="1193" spans="1:24">
      <c r="A1193" s="1"/>
      <c r="B1193" s="8"/>
      <c r="C1193" s="8"/>
      <c r="D1193" s="8"/>
      <c r="E1193" s="8"/>
      <c r="F1193" s="8"/>
      <c r="G1193" s="8"/>
      <c r="H1193" s="8"/>
      <c r="I1193" s="8"/>
      <c r="J1193" s="8"/>
      <c r="K1193" s="8"/>
      <c r="L1193" s="56"/>
      <c r="M1193" s="26"/>
      <c r="N1193" s="26"/>
      <c r="O1193" s="26"/>
      <c r="P1193" s="1"/>
      <c r="Q1193" s="1"/>
      <c r="R1193" s="8"/>
      <c r="S1193" s="1"/>
      <c r="T1193" s="8"/>
      <c r="U1193" s="1"/>
      <c r="V1193" s="1"/>
      <c r="W1193" s="1"/>
      <c r="X1193" s="1"/>
    </row>
    <row r="1194" spans="1:24">
      <c r="A1194" s="1"/>
      <c r="B1194" s="8"/>
      <c r="C1194" s="8"/>
      <c r="D1194" s="8"/>
      <c r="E1194" s="8"/>
      <c r="F1194" s="8"/>
      <c r="G1194" s="8"/>
      <c r="H1194" s="8"/>
      <c r="I1194" s="8"/>
      <c r="J1194" s="8"/>
      <c r="K1194" s="8"/>
      <c r="L1194" s="56"/>
      <c r="M1194" s="26"/>
      <c r="N1194" s="26"/>
      <c r="O1194" s="26"/>
      <c r="P1194" s="1"/>
      <c r="Q1194" s="1"/>
      <c r="R1194" s="8"/>
      <c r="S1194" s="1"/>
      <c r="T1194" s="8"/>
      <c r="U1194" s="1"/>
      <c r="V1194" s="1"/>
      <c r="W1194" s="1"/>
      <c r="X1194" s="1"/>
    </row>
    <row r="1195" spans="1:24">
      <c r="A1195" s="1"/>
      <c r="B1195" s="8"/>
      <c r="C1195" s="8"/>
      <c r="D1195" s="8"/>
      <c r="E1195" s="8"/>
      <c r="F1195" s="8"/>
      <c r="G1195" s="8"/>
      <c r="H1195" s="8"/>
      <c r="I1195" s="8"/>
      <c r="J1195" s="8"/>
      <c r="K1195" s="8"/>
      <c r="L1195" s="56"/>
      <c r="M1195" s="26"/>
      <c r="N1195" s="26"/>
      <c r="O1195" s="26"/>
      <c r="P1195" s="1"/>
      <c r="Q1195" s="1"/>
      <c r="R1195" s="8"/>
      <c r="S1195" s="1"/>
      <c r="T1195" s="8"/>
      <c r="U1195" s="1"/>
      <c r="V1195" s="1"/>
      <c r="W1195" s="1"/>
      <c r="X1195" s="1"/>
    </row>
    <row r="1196" spans="1:24">
      <c r="A1196" s="1"/>
      <c r="B1196" s="8"/>
      <c r="C1196" s="8"/>
      <c r="D1196" s="8"/>
      <c r="E1196" s="8"/>
      <c r="F1196" s="8"/>
      <c r="G1196" s="8"/>
      <c r="H1196" s="8"/>
      <c r="I1196" s="8"/>
      <c r="J1196" s="8"/>
      <c r="K1196" s="8"/>
      <c r="L1196" s="56"/>
      <c r="M1196" s="26"/>
      <c r="N1196" s="26"/>
      <c r="O1196" s="26"/>
      <c r="P1196" s="1"/>
      <c r="Q1196" s="1"/>
      <c r="R1196" s="8"/>
      <c r="S1196" s="1"/>
      <c r="T1196" s="8"/>
      <c r="U1196" s="1"/>
      <c r="V1196" s="1"/>
      <c r="W1196" s="1"/>
      <c r="X1196" s="1"/>
    </row>
    <row r="1197" spans="1:24">
      <c r="A1197" s="1"/>
      <c r="B1197" s="8"/>
      <c r="C1197" s="8"/>
      <c r="D1197" s="8"/>
      <c r="E1197" s="8"/>
      <c r="F1197" s="8"/>
      <c r="G1197" s="8"/>
      <c r="H1197" s="8"/>
      <c r="I1197" s="8"/>
      <c r="J1197" s="8"/>
      <c r="K1197" s="8"/>
      <c r="L1197" s="56"/>
      <c r="M1197" s="26"/>
      <c r="N1197" s="26"/>
      <c r="O1197" s="26"/>
      <c r="P1197" s="1"/>
      <c r="Q1197" s="1"/>
      <c r="R1197" s="8"/>
      <c r="S1197" s="1"/>
      <c r="T1197" s="8"/>
      <c r="U1197" s="1"/>
      <c r="V1197" s="1"/>
      <c r="W1197" s="1"/>
      <c r="X1197" s="1"/>
    </row>
    <row r="1198" spans="1:24">
      <c r="A1198" s="1"/>
      <c r="B1198" s="8"/>
      <c r="C1198" s="8"/>
      <c r="D1198" s="8"/>
      <c r="E1198" s="8"/>
      <c r="F1198" s="8"/>
      <c r="G1198" s="8"/>
      <c r="H1198" s="8"/>
      <c r="I1198" s="8"/>
      <c r="J1198" s="8"/>
      <c r="K1198" s="8"/>
      <c r="L1198" s="56"/>
      <c r="M1198" s="26"/>
      <c r="N1198" s="26"/>
      <c r="O1198" s="26"/>
      <c r="P1198" s="1"/>
      <c r="Q1198" s="1"/>
      <c r="R1198" s="8"/>
      <c r="S1198" s="1"/>
      <c r="T1198" s="8"/>
      <c r="U1198" s="1"/>
      <c r="V1198" s="1"/>
      <c r="W1198" s="1"/>
      <c r="X1198" s="1"/>
    </row>
    <row r="1199" spans="1:24">
      <c r="A1199" s="1"/>
      <c r="B1199" s="8"/>
      <c r="C1199" s="8"/>
      <c r="D1199" s="8"/>
      <c r="E1199" s="8"/>
      <c r="F1199" s="8"/>
      <c r="G1199" s="8"/>
      <c r="H1199" s="8"/>
      <c r="I1199" s="8"/>
      <c r="J1199" s="8"/>
      <c r="K1199" s="8"/>
      <c r="L1199" s="56"/>
      <c r="M1199" s="26"/>
      <c r="N1199" s="26"/>
      <c r="O1199" s="26"/>
      <c r="P1199" s="1"/>
      <c r="Q1199" s="1"/>
      <c r="R1199" s="8"/>
      <c r="S1199" s="1"/>
      <c r="T1199" s="8"/>
      <c r="U1199" s="1"/>
      <c r="V1199" s="1"/>
      <c r="W1199" s="1"/>
      <c r="X1199" s="1"/>
    </row>
    <row r="1200" spans="1:24">
      <c r="A1200" s="1"/>
      <c r="B1200" s="8"/>
      <c r="C1200" s="8"/>
      <c r="D1200" s="8"/>
      <c r="E1200" s="8"/>
      <c r="F1200" s="8"/>
      <c r="G1200" s="8"/>
      <c r="H1200" s="8"/>
      <c r="I1200" s="8"/>
      <c r="J1200" s="8"/>
      <c r="K1200" s="8"/>
      <c r="L1200" s="56"/>
      <c r="M1200" s="26"/>
      <c r="N1200" s="26"/>
      <c r="O1200" s="26"/>
      <c r="P1200" s="1"/>
      <c r="Q1200" s="1"/>
      <c r="R1200" s="8"/>
      <c r="S1200" s="1"/>
      <c r="T1200" s="8"/>
      <c r="U1200" s="1"/>
      <c r="V1200" s="1"/>
      <c r="W1200" s="1"/>
      <c r="X1200" s="1"/>
    </row>
    <row r="1201" spans="1:24">
      <c r="A1201" s="1"/>
      <c r="B1201" s="8"/>
      <c r="C1201" s="8"/>
      <c r="D1201" s="8"/>
      <c r="E1201" s="8"/>
      <c r="F1201" s="8"/>
      <c r="G1201" s="8"/>
      <c r="H1201" s="8"/>
      <c r="I1201" s="8"/>
      <c r="J1201" s="8"/>
      <c r="K1201" s="8"/>
      <c r="L1201" s="56"/>
      <c r="M1201" s="26"/>
      <c r="N1201" s="26"/>
      <c r="O1201" s="26"/>
      <c r="P1201" s="1"/>
      <c r="Q1201" s="1"/>
      <c r="R1201" s="8"/>
      <c r="S1201" s="1"/>
      <c r="T1201" s="8"/>
      <c r="U1201" s="1"/>
      <c r="V1201" s="1"/>
      <c r="W1201" s="1"/>
      <c r="X1201" s="1"/>
    </row>
    <row r="1202" spans="1:24">
      <c r="A1202" s="1"/>
      <c r="B1202" s="8"/>
      <c r="C1202" s="8"/>
      <c r="D1202" s="8"/>
      <c r="E1202" s="8"/>
      <c r="F1202" s="8"/>
      <c r="G1202" s="8"/>
      <c r="H1202" s="8"/>
      <c r="I1202" s="8"/>
      <c r="J1202" s="8"/>
      <c r="K1202" s="8"/>
      <c r="L1202" s="56"/>
      <c r="M1202" s="26"/>
      <c r="N1202" s="26"/>
      <c r="O1202" s="26"/>
      <c r="P1202" s="1"/>
      <c r="Q1202" s="1"/>
      <c r="R1202" s="8"/>
      <c r="S1202" s="1"/>
      <c r="T1202" s="8"/>
      <c r="U1202" s="1"/>
      <c r="V1202" s="1"/>
      <c r="W1202" s="1"/>
      <c r="X1202" s="1"/>
    </row>
    <row r="1203" spans="1:24">
      <c r="A1203" s="1"/>
      <c r="B1203" s="8"/>
      <c r="C1203" s="8"/>
      <c r="D1203" s="8"/>
      <c r="E1203" s="8"/>
      <c r="F1203" s="8"/>
      <c r="G1203" s="8"/>
      <c r="H1203" s="8"/>
      <c r="I1203" s="8"/>
      <c r="J1203" s="8"/>
      <c r="K1203" s="8"/>
      <c r="L1203" s="56"/>
      <c r="M1203" s="26"/>
      <c r="N1203" s="26"/>
      <c r="O1203" s="26"/>
      <c r="P1203" s="1"/>
      <c r="Q1203" s="1"/>
      <c r="R1203" s="8"/>
      <c r="S1203" s="1"/>
      <c r="T1203" s="8"/>
      <c r="U1203" s="1"/>
      <c r="V1203" s="1"/>
      <c r="W1203" s="1"/>
      <c r="X1203" s="1"/>
    </row>
    <row r="1204" spans="1:24">
      <c r="A1204" s="1"/>
      <c r="B1204" s="8"/>
      <c r="C1204" s="8"/>
      <c r="D1204" s="8"/>
      <c r="E1204" s="8"/>
      <c r="F1204" s="8"/>
      <c r="G1204" s="8"/>
      <c r="H1204" s="8"/>
      <c r="I1204" s="8"/>
      <c r="J1204" s="8"/>
      <c r="K1204" s="8"/>
      <c r="L1204" s="56"/>
      <c r="M1204" s="26"/>
      <c r="N1204" s="26"/>
      <c r="O1204" s="26"/>
      <c r="P1204" s="1"/>
      <c r="Q1204" s="1"/>
      <c r="R1204" s="8"/>
      <c r="S1204" s="1"/>
      <c r="T1204" s="8"/>
      <c r="U1204" s="1"/>
      <c r="V1204" s="1"/>
      <c r="W1204" s="1"/>
      <c r="X1204" s="1"/>
    </row>
    <row r="1205" spans="1:24">
      <c r="A1205" s="1"/>
      <c r="B1205" s="8"/>
      <c r="C1205" s="8"/>
      <c r="D1205" s="8"/>
      <c r="E1205" s="8"/>
      <c r="F1205" s="8"/>
      <c r="G1205" s="8"/>
      <c r="H1205" s="8"/>
      <c r="I1205" s="8"/>
      <c r="J1205" s="8"/>
      <c r="K1205" s="8"/>
      <c r="L1205" s="56"/>
      <c r="M1205" s="26"/>
      <c r="N1205" s="26"/>
      <c r="O1205" s="26"/>
      <c r="P1205" s="1"/>
      <c r="Q1205" s="1"/>
      <c r="R1205" s="8"/>
      <c r="S1205" s="1"/>
      <c r="T1205" s="8"/>
      <c r="U1205" s="1"/>
      <c r="V1205" s="1"/>
      <c r="W1205" s="1"/>
      <c r="X1205" s="1"/>
    </row>
    <row r="1206" spans="1:24">
      <c r="A1206" s="1"/>
      <c r="B1206" s="8"/>
      <c r="C1206" s="8"/>
      <c r="D1206" s="8"/>
      <c r="E1206" s="8"/>
      <c r="F1206" s="8"/>
      <c r="G1206" s="8"/>
      <c r="H1206" s="8"/>
      <c r="I1206" s="8"/>
      <c r="J1206" s="8"/>
      <c r="K1206" s="8"/>
      <c r="L1206" s="56"/>
      <c r="M1206" s="26"/>
      <c r="N1206" s="26"/>
      <c r="O1206" s="26"/>
      <c r="P1206" s="1"/>
      <c r="Q1206" s="1"/>
      <c r="R1206" s="8"/>
      <c r="S1206" s="1"/>
      <c r="T1206" s="8"/>
      <c r="U1206" s="1"/>
      <c r="V1206" s="1"/>
      <c r="W1206" s="1"/>
      <c r="X1206" s="1"/>
    </row>
    <row r="1207" spans="1:24">
      <c r="A1207" s="1"/>
      <c r="B1207" s="8"/>
      <c r="C1207" s="8"/>
      <c r="D1207" s="8"/>
      <c r="E1207" s="8"/>
      <c r="F1207" s="8"/>
      <c r="G1207" s="8"/>
      <c r="H1207" s="8"/>
      <c r="I1207" s="8"/>
      <c r="J1207" s="8"/>
      <c r="K1207" s="8"/>
      <c r="L1207" s="56"/>
      <c r="M1207" s="26"/>
      <c r="N1207" s="26"/>
      <c r="O1207" s="26"/>
      <c r="P1207" s="1"/>
      <c r="Q1207" s="1"/>
      <c r="R1207" s="8"/>
      <c r="S1207" s="1"/>
      <c r="T1207" s="8"/>
      <c r="U1207" s="1"/>
      <c r="V1207" s="1"/>
      <c r="W1207" s="1"/>
      <c r="X1207" s="1"/>
    </row>
    <row r="1208" spans="1:24">
      <c r="A1208" s="1"/>
      <c r="B1208" s="8"/>
      <c r="C1208" s="8"/>
      <c r="D1208" s="8"/>
      <c r="E1208" s="8"/>
      <c r="F1208" s="8"/>
      <c r="G1208" s="8"/>
      <c r="H1208" s="8"/>
      <c r="I1208" s="8"/>
      <c r="J1208" s="8"/>
      <c r="K1208" s="8"/>
      <c r="L1208" s="56"/>
      <c r="M1208" s="26"/>
      <c r="N1208" s="26"/>
      <c r="O1208" s="26"/>
      <c r="P1208" s="1"/>
      <c r="Q1208" s="1"/>
      <c r="R1208" s="8"/>
      <c r="S1208" s="1"/>
      <c r="T1208" s="8"/>
      <c r="U1208" s="1"/>
      <c r="V1208" s="1"/>
      <c r="W1208" s="1"/>
      <c r="X1208" s="1"/>
    </row>
    <row r="1209" spans="1:24">
      <c r="A1209" s="1"/>
      <c r="B1209" s="8"/>
      <c r="C1209" s="8"/>
      <c r="D1209" s="8"/>
      <c r="E1209" s="8"/>
      <c r="F1209" s="8"/>
      <c r="G1209" s="8"/>
      <c r="H1209" s="8"/>
      <c r="I1209" s="8"/>
      <c r="J1209" s="8"/>
      <c r="K1209" s="8"/>
      <c r="L1209" s="56"/>
      <c r="M1209" s="26"/>
      <c r="N1209" s="26"/>
      <c r="O1209" s="26"/>
      <c r="P1209" s="1"/>
      <c r="Q1209" s="1"/>
      <c r="R1209" s="8"/>
      <c r="S1209" s="1"/>
      <c r="T1209" s="8"/>
      <c r="U1209" s="1"/>
      <c r="V1209" s="1"/>
      <c r="W1209" s="1"/>
      <c r="X1209" s="1"/>
    </row>
    <row r="1210" spans="1:24">
      <c r="A1210" s="1"/>
      <c r="B1210" s="8"/>
      <c r="C1210" s="8"/>
      <c r="D1210" s="8"/>
      <c r="E1210" s="8"/>
      <c r="F1210" s="8"/>
      <c r="G1210" s="8"/>
      <c r="H1210" s="8"/>
      <c r="I1210" s="8"/>
      <c r="J1210" s="8"/>
      <c r="K1210" s="8"/>
      <c r="L1210" s="56"/>
      <c r="M1210" s="26"/>
      <c r="N1210" s="26"/>
      <c r="O1210" s="26"/>
      <c r="P1210" s="1"/>
      <c r="Q1210" s="1"/>
      <c r="R1210" s="8"/>
      <c r="S1210" s="1"/>
      <c r="T1210" s="8"/>
      <c r="U1210" s="1"/>
      <c r="V1210" s="1"/>
      <c r="W1210" s="1"/>
      <c r="X1210" s="1"/>
    </row>
    <row r="1211" spans="1:24">
      <c r="A1211" s="1"/>
      <c r="B1211" s="8"/>
      <c r="C1211" s="8"/>
      <c r="D1211" s="8"/>
      <c r="E1211" s="8"/>
      <c r="F1211" s="8"/>
      <c r="G1211" s="8"/>
      <c r="H1211" s="8"/>
      <c r="I1211" s="8"/>
      <c r="J1211" s="8"/>
      <c r="K1211" s="8"/>
      <c r="L1211" s="56"/>
      <c r="M1211" s="26"/>
      <c r="N1211" s="26"/>
      <c r="O1211" s="26"/>
      <c r="P1211" s="1"/>
      <c r="Q1211" s="1"/>
      <c r="R1211" s="8"/>
      <c r="S1211" s="1"/>
      <c r="T1211" s="8"/>
      <c r="U1211" s="1"/>
      <c r="V1211" s="1"/>
      <c r="W1211" s="1"/>
      <c r="X1211" s="1"/>
    </row>
    <row r="1212" spans="1:24">
      <c r="A1212" s="1"/>
      <c r="B1212" s="8"/>
      <c r="C1212" s="8"/>
      <c r="D1212" s="8"/>
      <c r="E1212" s="8"/>
      <c r="F1212" s="8"/>
      <c r="G1212" s="8"/>
      <c r="H1212" s="8"/>
      <c r="I1212" s="8"/>
      <c r="J1212" s="8"/>
      <c r="K1212" s="8"/>
      <c r="L1212" s="56"/>
      <c r="M1212" s="26"/>
      <c r="N1212" s="26"/>
      <c r="O1212" s="26"/>
      <c r="P1212" s="1"/>
      <c r="Q1212" s="1"/>
      <c r="R1212" s="8"/>
      <c r="S1212" s="1"/>
      <c r="T1212" s="8"/>
      <c r="U1212" s="1"/>
      <c r="V1212" s="1"/>
      <c r="W1212" s="1"/>
      <c r="X1212" s="1"/>
    </row>
    <row r="1213" spans="1:24">
      <c r="A1213" s="1"/>
      <c r="B1213" s="8"/>
      <c r="C1213" s="8"/>
      <c r="D1213" s="8"/>
      <c r="E1213" s="8"/>
      <c r="F1213" s="8"/>
      <c r="G1213" s="8"/>
      <c r="H1213" s="8"/>
      <c r="I1213" s="8"/>
      <c r="J1213" s="8"/>
      <c r="K1213" s="8"/>
      <c r="L1213" s="56"/>
      <c r="M1213" s="26"/>
      <c r="N1213" s="26"/>
      <c r="O1213" s="26"/>
      <c r="P1213" s="1"/>
      <c r="Q1213" s="1"/>
      <c r="R1213" s="8"/>
      <c r="S1213" s="1"/>
      <c r="T1213" s="8"/>
      <c r="U1213" s="1"/>
      <c r="V1213" s="1"/>
      <c r="W1213" s="1"/>
      <c r="X1213" s="1"/>
    </row>
    <row r="1214" spans="1:24">
      <c r="A1214" s="1"/>
      <c r="B1214" s="8"/>
      <c r="C1214" s="8"/>
      <c r="D1214" s="8"/>
      <c r="E1214" s="8"/>
      <c r="F1214" s="8"/>
      <c r="G1214" s="8"/>
      <c r="H1214" s="8"/>
      <c r="I1214" s="8"/>
      <c r="J1214" s="8"/>
      <c r="K1214" s="8"/>
      <c r="L1214" s="56"/>
      <c r="M1214" s="26"/>
      <c r="N1214" s="26"/>
      <c r="O1214" s="26"/>
      <c r="P1214" s="1"/>
      <c r="Q1214" s="1"/>
      <c r="R1214" s="8"/>
      <c r="S1214" s="1"/>
      <c r="T1214" s="8"/>
      <c r="U1214" s="1"/>
      <c r="V1214" s="1"/>
      <c r="W1214" s="1"/>
      <c r="X1214" s="1"/>
    </row>
    <row r="1215" spans="1:24">
      <c r="A1215" s="1"/>
      <c r="B1215" s="8"/>
      <c r="C1215" s="8"/>
      <c r="D1215" s="8"/>
      <c r="E1215" s="8"/>
      <c r="F1215" s="8"/>
      <c r="G1215" s="8"/>
      <c r="H1215" s="8"/>
      <c r="I1215" s="8"/>
      <c r="J1215" s="8"/>
      <c r="K1215" s="8"/>
      <c r="L1215" s="56"/>
      <c r="M1215" s="26"/>
      <c r="N1215" s="26"/>
      <c r="O1215" s="26"/>
      <c r="P1215" s="1"/>
      <c r="Q1215" s="1"/>
      <c r="R1215" s="8"/>
      <c r="S1215" s="1"/>
      <c r="T1215" s="8"/>
      <c r="U1215" s="1"/>
      <c r="V1215" s="1"/>
      <c r="W1215" s="1"/>
      <c r="X1215" s="1"/>
    </row>
    <row r="1216" spans="1:24">
      <c r="A1216" s="1"/>
      <c r="B1216" s="8"/>
      <c r="C1216" s="8"/>
      <c r="D1216" s="8"/>
      <c r="E1216" s="8"/>
      <c r="F1216" s="8"/>
      <c r="G1216" s="8"/>
      <c r="H1216" s="8"/>
      <c r="I1216" s="8"/>
      <c r="J1216" s="8"/>
      <c r="K1216" s="8"/>
      <c r="L1216" s="56"/>
      <c r="M1216" s="26"/>
      <c r="N1216" s="26"/>
      <c r="O1216" s="26"/>
      <c r="P1216" s="1"/>
      <c r="Q1216" s="1"/>
      <c r="R1216" s="8"/>
      <c r="S1216" s="1"/>
      <c r="T1216" s="8"/>
      <c r="U1216" s="1"/>
      <c r="V1216" s="1"/>
      <c r="W1216" s="1"/>
      <c r="X1216" s="1"/>
    </row>
    <row r="1217" spans="1:24">
      <c r="A1217" s="1"/>
      <c r="B1217" s="8"/>
      <c r="C1217" s="8"/>
      <c r="D1217" s="8"/>
      <c r="E1217" s="8"/>
      <c r="F1217" s="8"/>
      <c r="G1217" s="8"/>
      <c r="H1217" s="8"/>
      <c r="I1217" s="8"/>
      <c r="J1217" s="8"/>
      <c r="K1217" s="8"/>
      <c r="L1217" s="56"/>
      <c r="M1217" s="26"/>
      <c r="N1217" s="26"/>
      <c r="O1217" s="26"/>
      <c r="P1217" s="1"/>
      <c r="Q1217" s="1"/>
      <c r="R1217" s="8"/>
      <c r="S1217" s="1"/>
      <c r="T1217" s="8"/>
      <c r="U1217" s="1"/>
      <c r="V1217" s="1"/>
      <c r="W1217" s="1"/>
      <c r="X1217" s="1"/>
    </row>
    <row r="1218" spans="1:24">
      <c r="A1218" s="1"/>
      <c r="B1218" s="8"/>
      <c r="C1218" s="8"/>
      <c r="D1218" s="8"/>
      <c r="E1218" s="8"/>
      <c r="F1218" s="8"/>
      <c r="G1218" s="8"/>
      <c r="H1218" s="8"/>
      <c r="I1218" s="8"/>
      <c r="J1218" s="8"/>
      <c r="K1218" s="8"/>
      <c r="L1218" s="56"/>
      <c r="M1218" s="26"/>
      <c r="N1218" s="26"/>
      <c r="O1218" s="26"/>
      <c r="P1218" s="1"/>
      <c r="Q1218" s="1"/>
      <c r="R1218" s="8"/>
      <c r="S1218" s="1"/>
      <c r="T1218" s="8"/>
      <c r="U1218" s="1"/>
      <c r="V1218" s="1"/>
      <c r="W1218" s="1"/>
      <c r="X1218" s="1"/>
    </row>
    <row r="1219" spans="1:24">
      <c r="A1219" s="1"/>
      <c r="B1219" s="8"/>
      <c r="C1219" s="8"/>
      <c r="D1219" s="8"/>
      <c r="E1219" s="8"/>
      <c r="F1219" s="8"/>
      <c r="G1219" s="8"/>
      <c r="H1219" s="8"/>
      <c r="I1219" s="8"/>
      <c r="J1219" s="8"/>
      <c r="K1219" s="8"/>
      <c r="L1219" s="56"/>
      <c r="M1219" s="26"/>
      <c r="N1219" s="26"/>
      <c r="O1219" s="26"/>
      <c r="P1219" s="1"/>
      <c r="Q1219" s="1"/>
      <c r="R1219" s="8"/>
      <c r="S1219" s="1"/>
      <c r="T1219" s="8"/>
      <c r="U1219" s="1"/>
      <c r="V1219" s="1"/>
      <c r="W1219" s="1"/>
      <c r="X1219" s="1"/>
    </row>
    <row r="1220" spans="1:24">
      <c r="A1220" s="1"/>
      <c r="B1220" s="8"/>
      <c r="C1220" s="8"/>
      <c r="D1220" s="8"/>
      <c r="E1220" s="8"/>
      <c r="F1220" s="8"/>
      <c r="G1220" s="8"/>
      <c r="H1220" s="8"/>
      <c r="I1220" s="8"/>
      <c r="J1220" s="8"/>
      <c r="K1220" s="8"/>
      <c r="L1220" s="56"/>
      <c r="M1220" s="26"/>
      <c r="N1220" s="26"/>
      <c r="O1220" s="26"/>
      <c r="P1220" s="1"/>
      <c r="Q1220" s="1"/>
      <c r="R1220" s="8"/>
      <c r="S1220" s="1"/>
      <c r="T1220" s="8"/>
      <c r="U1220" s="1"/>
      <c r="V1220" s="1"/>
      <c r="W1220" s="1"/>
      <c r="X1220" s="1"/>
    </row>
    <row r="1221" spans="1:24">
      <c r="A1221" s="1"/>
      <c r="B1221" s="8"/>
      <c r="C1221" s="8"/>
      <c r="D1221" s="8"/>
      <c r="E1221" s="8"/>
      <c r="F1221" s="8"/>
      <c r="G1221" s="8"/>
      <c r="H1221" s="8"/>
      <c r="I1221" s="8"/>
      <c r="J1221" s="8"/>
      <c r="K1221" s="8"/>
      <c r="L1221" s="56"/>
      <c r="M1221" s="26"/>
      <c r="N1221" s="26"/>
      <c r="O1221" s="26"/>
      <c r="P1221" s="1"/>
      <c r="Q1221" s="1"/>
      <c r="R1221" s="8"/>
      <c r="S1221" s="1"/>
      <c r="T1221" s="8"/>
      <c r="U1221" s="1"/>
      <c r="V1221" s="1"/>
      <c r="W1221" s="1"/>
      <c r="X1221" s="1"/>
    </row>
    <row r="1222" spans="1:24">
      <c r="A1222" s="1"/>
      <c r="B1222" s="8"/>
      <c r="C1222" s="8"/>
      <c r="D1222" s="8"/>
      <c r="E1222" s="8"/>
      <c r="F1222" s="8"/>
      <c r="G1222" s="8"/>
      <c r="H1222" s="8"/>
      <c r="I1222" s="8"/>
      <c r="J1222" s="8"/>
      <c r="K1222" s="8"/>
      <c r="L1222" s="56"/>
      <c r="M1222" s="26"/>
      <c r="N1222" s="26"/>
      <c r="O1222" s="26"/>
      <c r="P1222" s="1"/>
      <c r="Q1222" s="1"/>
      <c r="R1222" s="8"/>
      <c r="S1222" s="1"/>
      <c r="T1222" s="8"/>
      <c r="U1222" s="1"/>
      <c r="V1222" s="1"/>
      <c r="W1222" s="1"/>
      <c r="X1222" s="1"/>
    </row>
    <row r="1223" spans="1:24">
      <c r="A1223" s="1"/>
      <c r="B1223" s="8"/>
      <c r="C1223" s="8"/>
      <c r="D1223" s="8"/>
      <c r="E1223" s="8"/>
      <c r="F1223" s="8"/>
      <c r="G1223" s="8"/>
      <c r="H1223" s="8"/>
      <c r="I1223" s="8"/>
      <c r="J1223" s="8"/>
      <c r="K1223" s="8"/>
      <c r="L1223" s="56"/>
      <c r="M1223" s="26"/>
      <c r="N1223" s="26"/>
      <c r="O1223" s="26"/>
      <c r="P1223" s="1"/>
      <c r="Q1223" s="1"/>
      <c r="R1223" s="8"/>
      <c r="S1223" s="1"/>
      <c r="T1223" s="8"/>
      <c r="U1223" s="1"/>
      <c r="V1223" s="1"/>
      <c r="W1223" s="1"/>
      <c r="X1223" s="1"/>
    </row>
    <row r="1224" spans="1:24">
      <c r="A1224" s="1"/>
      <c r="B1224" s="8"/>
      <c r="C1224" s="8"/>
      <c r="D1224" s="8"/>
      <c r="E1224" s="8"/>
      <c r="F1224" s="8"/>
      <c r="G1224" s="8"/>
      <c r="H1224" s="8"/>
      <c r="I1224" s="8"/>
      <c r="J1224" s="8"/>
      <c r="K1224" s="8"/>
      <c r="L1224" s="56"/>
      <c r="M1224" s="26"/>
      <c r="N1224" s="26"/>
      <c r="O1224" s="26"/>
      <c r="P1224" s="1"/>
      <c r="Q1224" s="1"/>
      <c r="R1224" s="8"/>
      <c r="S1224" s="1"/>
      <c r="T1224" s="8"/>
      <c r="U1224" s="1"/>
      <c r="V1224" s="1"/>
      <c r="W1224" s="1"/>
      <c r="X1224" s="1"/>
    </row>
    <row r="1225" spans="1:24">
      <c r="A1225" s="1"/>
      <c r="B1225" s="8"/>
      <c r="C1225" s="8"/>
      <c r="D1225" s="8"/>
      <c r="E1225" s="8"/>
      <c r="F1225" s="8"/>
      <c r="G1225" s="8"/>
      <c r="H1225" s="8"/>
      <c r="I1225" s="8"/>
      <c r="J1225" s="8"/>
      <c r="K1225" s="8"/>
      <c r="L1225" s="56"/>
      <c r="M1225" s="26"/>
      <c r="N1225" s="26"/>
      <c r="O1225" s="26"/>
      <c r="P1225" s="1"/>
      <c r="Q1225" s="1"/>
      <c r="R1225" s="8"/>
      <c r="S1225" s="1"/>
      <c r="T1225" s="8"/>
      <c r="U1225" s="1"/>
      <c r="V1225" s="1"/>
      <c r="W1225" s="1"/>
      <c r="X1225" s="1"/>
    </row>
    <row r="1226" spans="1:24">
      <c r="A1226" s="1"/>
      <c r="B1226" s="8"/>
      <c r="C1226" s="8"/>
      <c r="D1226" s="8"/>
      <c r="E1226" s="8"/>
      <c r="F1226" s="8"/>
      <c r="G1226" s="8"/>
      <c r="H1226" s="8"/>
      <c r="I1226" s="8"/>
      <c r="J1226" s="8"/>
      <c r="K1226" s="8"/>
      <c r="L1226" s="56"/>
      <c r="M1226" s="26"/>
      <c r="N1226" s="26"/>
      <c r="O1226" s="26"/>
      <c r="P1226" s="1"/>
      <c r="Q1226" s="1"/>
      <c r="R1226" s="8"/>
      <c r="S1226" s="1"/>
      <c r="T1226" s="8"/>
      <c r="U1226" s="1"/>
      <c r="V1226" s="1"/>
      <c r="W1226" s="1"/>
      <c r="X1226" s="1"/>
    </row>
    <row r="1227" spans="1:24">
      <c r="A1227" s="1"/>
      <c r="B1227" s="8"/>
      <c r="C1227" s="8"/>
      <c r="D1227" s="8"/>
      <c r="E1227" s="8"/>
      <c r="F1227" s="8"/>
      <c r="G1227" s="8"/>
      <c r="H1227" s="8"/>
      <c r="I1227" s="8"/>
      <c r="J1227" s="8"/>
      <c r="K1227" s="8"/>
      <c r="L1227" s="56"/>
      <c r="M1227" s="26"/>
      <c r="N1227" s="26"/>
      <c r="O1227" s="26"/>
      <c r="P1227" s="1"/>
      <c r="Q1227" s="1"/>
      <c r="R1227" s="8"/>
      <c r="S1227" s="1"/>
      <c r="T1227" s="8"/>
      <c r="U1227" s="1"/>
      <c r="V1227" s="1"/>
      <c r="W1227" s="1"/>
      <c r="X1227" s="1"/>
    </row>
    <row r="1228" spans="1:24">
      <c r="A1228" s="1"/>
      <c r="B1228" s="8"/>
      <c r="C1228" s="8"/>
      <c r="D1228" s="8"/>
      <c r="E1228" s="8"/>
      <c r="F1228" s="8"/>
      <c r="G1228" s="8"/>
      <c r="H1228" s="8"/>
      <c r="I1228" s="8"/>
      <c r="J1228" s="8"/>
      <c r="K1228" s="8"/>
      <c r="L1228" s="56"/>
      <c r="M1228" s="26"/>
      <c r="N1228" s="26"/>
      <c r="O1228" s="26"/>
      <c r="P1228" s="1"/>
      <c r="Q1228" s="1"/>
      <c r="R1228" s="8"/>
      <c r="S1228" s="1"/>
      <c r="T1228" s="8"/>
      <c r="U1228" s="1"/>
      <c r="V1228" s="1"/>
      <c r="W1228" s="1"/>
      <c r="X1228" s="1"/>
    </row>
    <row r="1229" spans="1:24">
      <c r="A1229" s="1"/>
      <c r="B1229" s="8"/>
      <c r="C1229" s="8"/>
      <c r="D1229" s="8"/>
      <c r="E1229" s="8"/>
      <c r="F1229" s="8"/>
      <c r="G1229" s="8"/>
      <c r="H1229" s="8"/>
      <c r="I1229" s="8"/>
      <c r="J1229" s="8"/>
      <c r="K1229" s="8"/>
      <c r="L1229" s="56"/>
      <c r="M1229" s="26"/>
      <c r="N1229" s="26"/>
      <c r="O1229" s="26"/>
      <c r="P1229" s="1"/>
      <c r="Q1229" s="1"/>
      <c r="R1229" s="8"/>
      <c r="S1229" s="1"/>
      <c r="T1229" s="8"/>
      <c r="U1229" s="1"/>
      <c r="V1229" s="1"/>
      <c r="W1229" s="1"/>
      <c r="X1229" s="1"/>
    </row>
    <row r="1230" spans="1:24">
      <c r="A1230" s="1"/>
      <c r="B1230" s="8"/>
      <c r="C1230" s="8"/>
      <c r="D1230" s="8"/>
      <c r="E1230" s="8"/>
      <c r="F1230" s="8"/>
      <c r="G1230" s="8"/>
      <c r="H1230" s="8"/>
      <c r="I1230" s="8"/>
      <c r="J1230" s="8"/>
      <c r="K1230" s="8"/>
      <c r="L1230" s="56"/>
      <c r="M1230" s="26"/>
      <c r="N1230" s="26"/>
      <c r="O1230" s="26"/>
      <c r="P1230" s="1"/>
      <c r="Q1230" s="1"/>
      <c r="R1230" s="8"/>
      <c r="S1230" s="1"/>
      <c r="T1230" s="8"/>
      <c r="U1230" s="1"/>
      <c r="V1230" s="1"/>
      <c r="W1230" s="1"/>
      <c r="X1230" s="1"/>
    </row>
    <row r="1231" spans="1:24">
      <c r="A1231" s="1"/>
      <c r="B1231" s="8"/>
      <c r="C1231" s="8"/>
      <c r="D1231" s="8"/>
      <c r="E1231" s="8"/>
      <c r="F1231" s="8"/>
      <c r="G1231" s="8"/>
      <c r="H1231" s="8"/>
      <c r="I1231" s="8"/>
      <c r="J1231" s="8"/>
      <c r="K1231" s="8"/>
      <c r="L1231" s="56"/>
      <c r="M1231" s="26"/>
      <c r="N1231" s="26"/>
      <c r="O1231" s="26"/>
      <c r="P1231" s="1"/>
      <c r="Q1231" s="1"/>
      <c r="R1231" s="8"/>
      <c r="S1231" s="1"/>
      <c r="T1231" s="8"/>
      <c r="U1231" s="1"/>
      <c r="V1231" s="1"/>
      <c r="W1231" s="1"/>
      <c r="X1231" s="1"/>
    </row>
    <row r="1232" spans="1:24">
      <c r="A1232" s="1"/>
      <c r="B1232" s="8"/>
      <c r="C1232" s="8"/>
      <c r="D1232" s="8"/>
      <c r="E1232" s="8"/>
      <c r="F1232" s="8"/>
      <c r="G1232" s="8"/>
      <c r="H1232" s="8"/>
      <c r="I1232" s="8"/>
      <c r="J1232" s="8"/>
      <c r="K1232" s="8"/>
      <c r="L1232" s="56"/>
      <c r="M1232" s="26"/>
      <c r="N1232" s="26"/>
      <c r="O1232" s="26"/>
      <c r="P1232" s="1"/>
      <c r="Q1232" s="1"/>
      <c r="R1232" s="8"/>
      <c r="S1232" s="1"/>
      <c r="T1232" s="8"/>
      <c r="U1232" s="1"/>
      <c r="V1232" s="1"/>
      <c r="W1232" s="1"/>
      <c r="X1232" s="1"/>
    </row>
    <row r="1233" spans="1:24">
      <c r="A1233" s="1"/>
      <c r="B1233" s="8"/>
      <c r="C1233" s="8"/>
      <c r="D1233" s="8"/>
      <c r="E1233" s="8"/>
      <c r="F1233" s="8"/>
      <c r="G1233" s="8"/>
      <c r="H1233" s="8"/>
      <c r="I1233" s="8"/>
      <c r="J1233" s="8"/>
      <c r="K1233" s="8"/>
      <c r="L1233" s="56"/>
      <c r="M1233" s="26"/>
      <c r="N1233" s="26"/>
      <c r="O1233" s="26"/>
      <c r="P1233" s="1"/>
      <c r="Q1233" s="1"/>
      <c r="R1233" s="8"/>
      <c r="S1233" s="1"/>
      <c r="T1233" s="8"/>
      <c r="U1233" s="1"/>
      <c r="V1233" s="1"/>
      <c r="W1233" s="1"/>
      <c r="X1233" s="1"/>
    </row>
    <row r="1234" spans="1:24">
      <c r="A1234" s="1"/>
      <c r="B1234" s="8"/>
      <c r="C1234" s="8"/>
      <c r="D1234" s="8"/>
      <c r="E1234" s="8"/>
      <c r="F1234" s="8"/>
      <c r="G1234" s="8"/>
      <c r="H1234" s="8"/>
      <c r="I1234" s="8"/>
      <c r="J1234" s="8"/>
      <c r="K1234" s="8"/>
      <c r="L1234" s="56"/>
      <c r="M1234" s="26"/>
      <c r="N1234" s="26"/>
      <c r="O1234" s="26"/>
      <c r="P1234" s="1"/>
      <c r="Q1234" s="1"/>
      <c r="R1234" s="8"/>
      <c r="S1234" s="1"/>
      <c r="T1234" s="8"/>
      <c r="U1234" s="1"/>
      <c r="V1234" s="1"/>
      <c r="W1234" s="1"/>
      <c r="X1234" s="1"/>
    </row>
    <row r="1235" spans="1:24">
      <c r="A1235" s="1"/>
      <c r="B1235" s="8"/>
      <c r="C1235" s="8"/>
      <c r="D1235" s="8"/>
      <c r="E1235" s="8"/>
      <c r="F1235" s="8"/>
      <c r="G1235" s="8"/>
      <c r="H1235" s="8"/>
      <c r="I1235" s="8"/>
      <c r="J1235" s="8"/>
      <c r="K1235" s="8"/>
      <c r="L1235" s="56"/>
      <c r="M1235" s="26"/>
      <c r="N1235" s="26"/>
      <c r="O1235" s="26"/>
      <c r="P1235" s="1"/>
      <c r="Q1235" s="1"/>
      <c r="R1235" s="8"/>
      <c r="S1235" s="1"/>
      <c r="T1235" s="8"/>
      <c r="U1235" s="1"/>
      <c r="V1235" s="1"/>
      <c r="W1235" s="1"/>
      <c r="X1235" s="1"/>
    </row>
    <row r="1236" spans="1:24">
      <c r="A1236" s="1"/>
      <c r="B1236" s="8"/>
      <c r="C1236" s="8"/>
      <c r="D1236" s="8"/>
      <c r="E1236" s="8"/>
      <c r="F1236" s="8"/>
      <c r="G1236" s="8"/>
      <c r="H1236" s="8"/>
      <c r="I1236" s="8"/>
      <c r="J1236" s="8"/>
      <c r="K1236" s="8"/>
      <c r="L1236" s="56"/>
      <c r="M1236" s="26"/>
      <c r="N1236" s="26"/>
      <c r="O1236" s="26"/>
      <c r="P1236" s="1"/>
      <c r="Q1236" s="1"/>
      <c r="R1236" s="8"/>
      <c r="S1236" s="1"/>
      <c r="T1236" s="8"/>
      <c r="U1236" s="1"/>
      <c r="V1236" s="1"/>
      <c r="W1236" s="1"/>
      <c r="X1236" s="1"/>
    </row>
    <row r="1237" spans="1:24">
      <c r="A1237" s="1"/>
      <c r="B1237" s="8"/>
      <c r="C1237" s="8"/>
      <c r="D1237" s="8"/>
      <c r="E1237" s="8"/>
      <c r="F1237" s="8"/>
      <c r="G1237" s="8"/>
      <c r="H1237" s="8"/>
      <c r="I1237" s="8"/>
      <c r="J1237" s="8"/>
      <c r="K1237" s="8"/>
      <c r="L1237" s="56"/>
      <c r="M1237" s="26"/>
      <c r="N1237" s="26"/>
      <c r="O1237" s="26"/>
      <c r="P1237" s="1"/>
      <c r="Q1237" s="1"/>
      <c r="R1237" s="8"/>
      <c r="S1237" s="1"/>
      <c r="T1237" s="8"/>
      <c r="U1237" s="1"/>
      <c r="V1237" s="1"/>
      <c r="W1237" s="1"/>
      <c r="X1237" s="1"/>
    </row>
    <row r="1238" spans="1:24">
      <c r="A1238" s="1"/>
      <c r="B1238" s="8"/>
      <c r="C1238" s="8"/>
      <c r="D1238" s="8"/>
      <c r="E1238" s="8"/>
      <c r="F1238" s="8"/>
      <c r="G1238" s="8"/>
      <c r="H1238" s="8"/>
      <c r="I1238" s="8"/>
      <c r="J1238" s="8"/>
      <c r="K1238" s="8"/>
      <c r="L1238" s="56"/>
      <c r="M1238" s="26"/>
      <c r="N1238" s="26"/>
      <c r="O1238" s="26"/>
      <c r="P1238" s="1"/>
      <c r="Q1238" s="1"/>
      <c r="R1238" s="8"/>
      <c r="S1238" s="1"/>
      <c r="T1238" s="8"/>
      <c r="U1238" s="1"/>
      <c r="V1238" s="1"/>
      <c r="W1238" s="1"/>
      <c r="X1238" s="1"/>
    </row>
    <row r="1239" spans="1:24">
      <c r="A1239" s="1"/>
      <c r="B1239" s="8"/>
      <c r="C1239" s="8"/>
      <c r="D1239" s="8"/>
      <c r="E1239" s="8"/>
      <c r="F1239" s="8"/>
      <c r="G1239" s="8"/>
      <c r="H1239" s="8"/>
      <c r="I1239" s="8"/>
      <c r="J1239" s="8"/>
      <c r="K1239" s="8"/>
      <c r="L1239" s="56"/>
      <c r="M1239" s="26"/>
      <c r="N1239" s="26"/>
      <c r="O1239" s="26"/>
      <c r="P1239" s="1"/>
      <c r="Q1239" s="1"/>
      <c r="R1239" s="8"/>
      <c r="S1239" s="1"/>
      <c r="T1239" s="8"/>
      <c r="U1239" s="1"/>
      <c r="V1239" s="1"/>
      <c r="W1239" s="1"/>
      <c r="X1239" s="1"/>
    </row>
    <row r="1240" spans="1:24">
      <c r="A1240" s="1"/>
      <c r="B1240" s="8"/>
      <c r="C1240" s="8"/>
      <c r="D1240" s="8"/>
      <c r="E1240" s="8"/>
      <c r="F1240" s="8"/>
      <c r="G1240" s="8"/>
      <c r="H1240" s="8"/>
      <c r="I1240" s="8"/>
      <c r="J1240" s="8"/>
      <c r="K1240" s="8"/>
      <c r="L1240" s="56"/>
      <c r="M1240" s="26"/>
      <c r="N1240" s="26"/>
      <c r="O1240" s="26"/>
      <c r="P1240" s="1"/>
      <c r="Q1240" s="1"/>
      <c r="R1240" s="8"/>
      <c r="S1240" s="1"/>
      <c r="T1240" s="8"/>
      <c r="U1240" s="1"/>
      <c r="V1240" s="1"/>
      <c r="W1240" s="1"/>
      <c r="X1240" s="1"/>
    </row>
    <row r="1241" spans="1:24">
      <c r="A1241" s="1"/>
      <c r="B1241" s="8"/>
      <c r="C1241" s="8"/>
      <c r="D1241" s="8"/>
      <c r="E1241" s="8"/>
      <c r="F1241" s="8"/>
      <c r="G1241" s="8"/>
      <c r="H1241" s="8"/>
      <c r="I1241" s="8"/>
      <c r="J1241" s="8"/>
      <c r="K1241" s="8"/>
      <c r="L1241" s="56"/>
      <c r="M1241" s="26"/>
      <c r="N1241" s="26"/>
      <c r="O1241" s="26"/>
      <c r="P1241" s="1"/>
      <c r="Q1241" s="1"/>
      <c r="R1241" s="8"/>
      <c r="S1241" s="1"/>
      <c r="T1241" s="8"/>
      <c r="U1241" s="1"/>
      <c r="V1241" s="1"/>
      <c r="W1241" s="1"/>
      <c r="X1241" s="1"/>
    </row>
    <row r="1242" spans="1:24">
      <c r="A1242" s="1"/>
      <c r="B1242" s="8"/>
      <c r="C1242" s="8"/>
      <c r="D1242" s="8"/>
      <c r="E1242" s="8"/>
      <c r="F1242" s="8"/>
      <c r="G1242" s="8"/>
      <c r="H1242" s="8"/>
      <c r="I1242" s="8"/>
      <c r="J1242" s="8"/>
      <c r="K1242" s="8"/>
      <c r="L1242" s="56"/>
      <c r="M1242" s="26"/>
      <c r="N1242" s="26"/>
      <c r="O1242" s="26"/>
      <c r="P1242" s="1"/>
      <c r="Q1242" s="1"/>
      <c r="R1242" s="8"/>
      <c r="S1242" s="1"/>
      <c r="T1242" s="8"/>
      <c r="U1242" s="1"/>
      <c r="V1242" s="1"/>
      <c r="W1242" s="1"/>
      <c r="X1242" s="1"/>
    </row>
    <row r="1243" spans="1:24">
      <c r="A1243" s="1"/>
      <c r="B1243" s="8"/>
      <c r="C1243" s="8"/>
      <c r="D1243" s="8"/>
      <c r="E1243" s="8"/>
      <c r="F1243" s="8"/>
      <c r="G1243" s="8"/>
      <c r="H1243" s="8"/>
      <c r="I1243" s="8"/>
      <c r="J1243" s="8"/>
      <c r="K1243" s="8"/>
      <c r="L1243" s="56"/>
      <c r="M1243" s="26"/>
      <c r="N1243" s="26"/>
      <c r="O1243" s="26"/>
      <c r="P1243" s="1"/>
      <c r="Q1243" s="1"/>
      <c r="R1243" s="8"/>
      <c r="S1243" s="1"/>
      <c r="T1243" s="8"/>
      <c r="U1243" s="1"/>
      <c r="V1243" s="1"/>
      <c r="W1243" s="1"/>
      <c r="X1243" s="1"/>
    </row>
    <row r="1244" spans="1:24">
      <c r="A1244" s="1"/>
      <c r="B1244" s="8"/>
      <c r="C1244" s="8"/>
      <c r="D1244" s="8"/>
      <c r="E1244" s="8"/>
      <c r="F1244" s="8"/>
      <c r="G1244" s="8"/>
      <c r="H1244" s="8"/>
      <c r="I1244" s="8"/>
      <c r="J1244" s="8"/>
      <c r="K1244" s="8"/>
      <c r="L1244" s="56"/>
      <c r="M1244" s="26"/>
      <c r="N1244" s="26"/>
      <c r="O1244" s="26"/>
      <c r="P1244" s="1"/>
      <c r="Q1244" s="1"/>
      <c r="R1244" s="8"/>
      <c r="S1244" s="1"/>
      <c r="T1244" s="8"/>
      <c r="U1244" s="1"/>
      <c r="V1244" s="1"/>
      <c r="W1244" s="1"/>
      <c r="X1244" s="1"/>
    </row>
    <row r="1245" spans="1:24">
      <c r="A1245" s="1"/>
      <c r="B1245" s="8"/>
      <c r="C1245" s="8"/>
      <c r="D1245" s="8"/>
      <c r="E1245" s="8"/>
      <c r="F1245" s="8"/>
      <c r="G1245" s="8"/>
      <c r="H1245" s="8"/>
      <c r="I1245" s="8"/>
      <c r="J1245" s="8"/>
      <c r="K1245" s="8"/>
      <c r="L1245" s="56"/>
      <c r="M1245" s="26"/>
      <c r="N1245" s="26"/>
      <c r="O1245" s="26"/>
      <c r="P1245" s="1"/>
      <c r="Q1245" s="1"/>
      <c r="R1245" s="8"/>
      <c r="S1245" s="1"/>
      <c r="T1245" s="8"/>
      <c r="U1245" s="1"/>
      <c r="V1245" s="1"/>
      <c r="W1245" s="1"/>
      <c r="X1245" s="1"/>
    </row>
    <row r="1246" spans="1:24">
      <c r="A1246" s="1"/>
      <c r="B1246" s="8"/>
      <c r="C1246" s="8"/>
      <c r="D1246" s="8"/>
      <c r="E1246" s="8"/>
      <c r="F1246" s="8"/>
      <c r="G1246" s="8"/>
      <c r="H1246" s="8"/>
      <c r="I1246" s="8"/>
      <c r="J1246" s="8"/>
      <c r="K1246" s="8"/>
      <c r="L1246" s="56"/>
      <c r="M1246" s="26"/>
      <c r="N1246" s="26"/>
      <c r="O1246" s="26"/>
      <c r="P1246" s="1"/>
      <c r="Q1246" s="1"/>
      <c r="R1246" s="8"/>
      <c r="S1246" s="1"/>
      <c r="T1246" s="8"/>
      <c r="U1246" s="1"/>
      <c r="V1246" s="1"/>
      <c r="W1246" s="1"/>
      <c r="X1246" s="1"/>
    </row>
    <row r="1247" spans="1:24">
      <c r="A1247" s="1"/>
      <c r="B1247" s="8"/>
      <c r="C1247" s="8"/>
      <c r="D1247" s="8"/>
      <c r="E1247" s="8"/>
      <c r="F1247" s="8"/>
      <c r="G1247" s="8"/>
      <c r="H1247" s="8"/>
      <c r="I1247" s="8"/>
      <c r="J1247" s="8"/>
      <c r="K1247" s="8"/>
      <c r="L1247" s="56"/>
      <c r="M1247" s="26"/>
      <c r="N1247" s="26"/>
      <c r="O1247" s="26"/>
      <c r="P1247" s="1"/>
      <c r="Q1247" s="1"/>
      <c r="R1247" s="8"/>
      <c r="S1247" s="1"/>
      <c r="T1247" s="8"/>
      <c r="U1247" s="1"/>
      <c r="V1247" s="1"/>
      <c r="W1247" s="1"/>
      <c r="X1247" s="1"/>
    </row>
    <row r="1248" spans="1:24">
      <c r="A1248" s="1"/>
      <c r="B1248" s="8"/>
      <c r="C1248" s="8"/>
      <c r="D1248" s="8"/>
      <c r="E1248" s="8"/>
      <c r="F1248" s="8"/>
      <c r="G1248" s="8"/>
      <c r="H1248" s="8"/>
      <c r="I1248" s="8"/>
      <c r="J1248" s="8"/>
      <c r="K1248" s="8"/>
      <c r="L1248" s="56"/>
      <c r="M1248" s="26"/>
      <c r="N1248" s="26"/>
      <c r="O1248" s="26"/>
      <c r="P1248" s="1"/>
      <c r="Q1248" s="1"/>
      <c r="R1248" s="8"/>
      <c r="S1248" s="1"/>
      <c r="T1248" s="8"/>
      <c r="U1248" s="1"/>
      <c r="V1248" s="1"/>
      <c r="W1248" s="1"/>
      <c r="X1248" s="1"/>
    </row>
    <row r="1249" spans="1:24">
      <c r="A1249" s="1"/>
      <c r="B1249" s="8"/>
      <c r="C1249" s="8"/>
      <c r="D1249" s="8"/>
      <c r="E1249" s="8"/>
      <c r="F1249" s="8"/>
      <c r="G1249" s="8"/>
      <c r="H1249" s="8"/>
      <c r="I1249" s="8"/>
      <c r="J1249" s="8"/>
      <c r="K1249" s="8"/>
      <c r="L1249" s="56"/>
      <c r="M1249" s="26"/>
      <c r="N1249" s="26"/>
      <c r="O1249" s="26"/>
      <c r="P1249" s="1"/>
      <c r="Q1249" s="1"/>
      <c r="R1249" s="8"/>
      <c r="S1249" s="1"/>
      <c r="T1249" s="8"/>
      <c r="U1249" s="1"/>
      <c r="V1249" s="1"/>
      <c r="W1249" s="1"/>
      <c r="X1249" s="1"/>
    </row>
    <row r="1250" spans="1:24">
      <c r="A1250" s="1"/>
      <c r="B1250" s="8"/>
      <c r="C1250" s="8"/>
      <c r="D1250" s="8"/>
      <c r="E1250" s="8"/>
      <c r="F1250" s="8"/>
      <c r="G1250" s="8"/>
      <c r="H1250" s="8"/>
      <c r="I1250" s="8"/>
      <c r="J1250" s="8"/>
      <c r="K1250" s="8"/>
      <c r="L1250" s="56"/>
      <c r="M1250" s="26"/>
      <c r="N1250" s="26"/>
      <c r="O1250" s="26"/>
      <c r="P1250" s="1"/>
      <c r="Q1250" s="1"/>
      <c r="R1250" s="8"/>
      <c r="S1250" s="1"/>
      <c r="T1250" s="8"/>
      <c r="U1250" s="1"/>
      <c r="V1250" s="1"/>
      <c r="W1250" s="1"/>
      <c r="X1250" s="1"/>
    </row>
    <row r="1251" spans="1:24">
      <c r="A1251" s="1"/>
      <c r="B1251" s="8"/>
      <c r="C1251" s="8"/>
      <c r="D1251" s="8"/>
      <c r="E1251" s="8"/>
      <c r="F1251" s="8"/>
      <c r="G1251" s="8"/>
      <c r="H1251" s="8"/>
      <c r="I1251" s="8"/>
      <c r="J1251" s="8"/>
      <c r="K1251" s="8"/>
      <c r="L1251" s="56"/>
      <c r="M1251" s="26"/>
      <c r="N1251" s="26"/>
      <c r="O1251" s="26"/>
      <c r="P1251" s="1"/>
      <c r="Q1251" s="1"/>
      <c r="R1251" s="8"/>
      <c r="S1251" s="1"/>
      <c r="T1251" s="8"/>
      <c r="U1251" s="1"/>
      <c r="V1251" s="1"/>
      <c r="W1251" s="1"/>
      <c r="X1251" s="1"/>
    </row>
    <row r="1252" spans="1:24">
      <c r="A1252" s="1"/>
      <c r="B1252" s="8"/>
      <c r="C1252" s="8"/>
      <c r="D1252" s="8"/>
      <c r="E1252" s="8"/>
      <c r="F1252" s="8"/>
      <c r="G1252" s="8"/>
      <c r="H1252" s="8"/>
      <c r="I1252" s="8"/>
      <c r="J1252" s="8"/>
      <c r="K1252" s="8"/>
      <c r="L1252" s="56"/>
      <c r="M1252" s="26"/>
      <c r="N1252" s="26"/>
      <c r="O1252" s="26"/>
      <c r="P1252" s="1"/>
      <c r="Q1252" s="1"/>
      <c r="R1252" s="8"/>
      <c r="S1252" s="1"/>
      <c r="T1252" s="8"/>
      <c r="U1252" s="1"/>
      <c r="V1252" s="1"/>
      <c r="W1252" s="1"/>
      <c r="X1252" s="1"/>
    </row>
    <row r="1253" spans="1:24">
      <c r="A1253" s="1"/>
      <c r="B1253" s="8"/>
      <c r="C1253" s="8"/>
      <c r="D1253" s="8"/>
      <c r="E1253" s="8"/>
      <c r="F1253" s="8"/>
      <c r="G1253" s="8"/>
      <c r="H1253" s="8"/>
      <c r="I1253" s="8"/>
      <c r="J1253" s="8"/>
      <c r="K1253" s="8"/>
      <c r="L1253" s="56"/>
      <c r="M1253" s="26"/>
      <c r="N1253" s="26"/>
      <c r="O1253" s="26"/>
      <c r="P1253" s="1"/>
      <c r="Q1253" s="1"/>
      <c r="R1253" s="8"/>
      <c r="S1253" s="1"/>
      <c r="T1253" s="8"/>
      <c r="U1253" s="1"/>
      <c r="V1253" s="1"/>
      <c r="W1253" s="1"/>
      <c r="X1253" s="1"/>
    </row>
    <row r="1254" spans="1:24">
      <c r="A1254" s="1"/>
      <c r="B1254" s="8"/>
      <c r="C1254" s="8"/>
      <c r="D1254" s="8"/>
      <c r="E1254" s="8"/>
      <c r="F1254" s="8"/>
      <c r="G1254" s="8"/>
      <c r="H1254" s="8"/>
      <c r="I1254" s="8"/>
      <c r="J1254" s="8"/>
      <c r="K1254" s="8"/>
      <c r="L1254" s="56"/>
      <c r="M1254" s="26"/>
      <c r="N1254" s="26"/>
      <c r="O1254" s="26"/>
      <c r="P1254" s="1"/>
      <c r="Q1254" s="1"/>
      <c r="R1254" s="8"/>
      <c r="S1254" s="1"/>
      <c r="T1254" s="8"/>
      <c r="U1254" s="1"/>
      <c r="V1254" s="1"/>
      <c r="W1254" s="1"/>
      <c r="X1254" s="1"/>
    </row>
    <row r="1255" spans="1:24">
      <c r="A1255" s="1"/>
      <c r="B1255" s="8"/>
      <c r="C1255" s="8"/>
      <c r="D1255" s="8"/>
      <c r="E1255" s="8"/>
      <c r="F1255" s="8"/>
      <c r="G1255" s="8"/>
      <c r="H1255" s="8"/>
      <c r="I1255" s="8"/>
      <c r="J1255" s="8"/>
      <c r="K1255" s="8"/>
      <c r="L1255" s="56"/>
      <c r="M1255" s="26"/>
      <c r="N1255" s="26"/>
      <c r="O1255" s="26"/>
      <c r="P1255" s="1"/>
      <c r="Q1255" s="1"/>
      <c r="R1255" s="8"/>
      <c r="S1255" s="1"/>
      <c r="T1255" s="8"/>
      <c r="U1255" s="1"/>
      <c r="V1255" s="1"/>
      <c r="W1255" s="1"/>
      <c r="X1255" s="1"/>
    </row>
    <row r="1256" spans="1:24">
      <c r="A1256" s="1"/>
      <c r="B1256" s="8"/>
      <c r="C1256" s="8"/>
      <c r="D1256" s="8"/>
      <c r="E1256" s="8"/>
      <c r="F1256" s="8"/>
      <c r="G1256" s="8"/>
      <c r="H1256" s="8"/>
      <c r="I1256" s="8"/>
      <c r="J1256" s="8"/>
      <c r="K1256" s="8"/>
      <c r="L1256" s="56"/>
      <c r="M1256" s="26"/>
      <c r="N1256" s="26"/>
      <c r="O1256" s="26"/>
      <c r="P1256" s="1"/>
      <c r="Q1256" s="1"/>
      <c r="R1256" s="8"/>
      <c r="S1256" s="1"/>
      <c r="T1256" s="8"/>
      <c r="U1256" s="1"/>
      <c r="V1256" s="1"/>
      <c r="W1256" s="1"/>
      <c r="X1256" s="1"/>
    </row>
    <row r="1257" spans="1:24">
      <c r="A1257" s="1"/>
      <c r="B1257" s="8"/>
      <c r="C1257" s="8"/>
      <c r="D1257" s="8"/>
      <c r="E1257" s="8"/>
      <c r="F1257" s="8"/>
      <c r="G1257" s="8"/>
      <c r="H1257" s="8"/>
      <c r="I1257" s="8"/>
      <c r="J1257" s="8"/>
      <c r="K1257" s="8"/>
      <c r="L1257" s="56"/>
      <c r="M1257" s="26"/>
      <c r="N1257" s="26"/>
      <c r="O1257" s="26"/>
      <c r="P1257" s="1"/>
      <c r="Q1257" s="1"/>
      <c r="R1257" s="8"/>
      <c r="S1257" s="1"/>
      <c r="T1257" s="8"/>
      <c r="U1257" s="1"/>
      <c r="V1257" s="1"/>
      <c r="W1257" s="1"/>
      <c r="X1257" s="1"/>
    </row>
    <row r="1258" spans="1:24">
      <c r="A1258" s="1"/>
      <c r="B1258" s="8"/>
      <c r="C1258" s="8"/>
      <c r="D1258" s="8"/>
      <c r="E1258" s="8"/>
      <c r="F1258" s="8"/>
      <c r="G1258" s="8"/>
      <c r="H1258" s="8"/>
      <c r="I1258" s="8"/>
      <c r="J1258" s="8"/>
      <c r="K1258" s="8"/>
      <c r="L1258" s="56"/>
      <c r="M1258" s="26"/>
      <c r="N1258" s="26"/>
      <c r="O1258" s="26"/>
      <c r="P1258" s="1"/>
      <c r="Q1258" s="1"/>
      <c r="R1258" s="8"/>
      <c r="S1258" s="1"/>
      <c r="T1258" s="8"/>
      <c r="U1258" s="1"/>
      <c r="V1258" s="1"/>
      <c r="W1258" s="1"/>
      <c r="X1258" s="1"/>
    </row>
    <row r="1259" spans="1:24">
      <c r="A1259" s="1"/>
      <c r="B1259" s="8"/>
      <c r="C1259" s="8"/>
      <c r="D1259" s="8"/>
      <c r="E1259" s="8"/>
      <c r="F1259" s="8"/>
      <c r="G1259" s="8"/>
      <c r="H1259" s="8"/>
      <c r="I1259" s="8"/>
      <c r="J1259" s="8"/>
      <c r="K1259" s="8"/>
      <c r="L1259" s="56"/>
      <c r="M1259" s="26"/>
      <c r="N1259" s="26"/>
      <c r="O1259" s="26"/>
      <c r="P1259" s="1"/>
      <c r="Q1259" s="1"/>
      <c r="R1259" s="8"/>
      <c r="S1259" s="1"/>
      <c r="T1259" s="8"/>
      <c r="U1259" s="1"/>
      <c r="V1259" s="1"/>
      <c r="W1259" s="1"/>
      <c r="X1259" s="1"/>
    </row>
    <row r="1260" spans="1:24">
      <c r="A1260" s="1"/>
      <c r="B1260" s="8"/>
      <c r="C1260" s="8"/>
      <c r="D1260" s="8"/>
      <c r="E1260" s="8"/>
      <c r="F1260" s="8"/>
      <c r="G1260" s="8"/>
      <c r="H1260" s="8"/>
      <c r="I1260" s="8"/>
      <c r="J1260" s="8"/>
      <c r="K1260" s="8"/>
      <c r="L1260" s="56"/>
      <c r="M1260" s="26"/>
      <c r="N1260" s="26"/>
      <c r="O1260" s="26"/>
      <c r="P1260" s="1"/>
      <c r="Q1260" s="1"/>
      <c r="R1260" s="8"/>
      <c r="S1260" s="1"/>
      <c r="T1260" s="8"/>
      <c r="U1260" s="1"/>
      <c r="V1260" s="1"/>
      <c r="W1260" s="1"/>
      <c r="X1260" s="1"/>
    </row>
    <row r="1261" spans="1:24">
      <c r="A1261" s="1"/>
      <c r="B1261" s="8"/>
      <c r="C1261" s="8"/>
      <c r="D1261" s="8"/>
      <c r="E1261" s="8"/>
      <c r="F1261" s="8"/>
      <c r="G1261" s="8"/>
      <c r="H1261" s="8"/>
      <c r="I1261" s="8"/>
      <c r="J1261" s="8"/>
      <c r="K1261" s="8"/>
      <c r="L1261" s="56"/>
      <c r="M1261" s="26"/>
      <c r="N1261" s="26"/>
      <c r="O1261" s="26"/>
      <c r="P1261" s="1"/>
      <c r="Q1261" s="1"/>
      <c r="R1261" s="8"/>
      <c r="S1261" s="1"/>
      <c r="T1261" s="8"/>
      <c r="U1261" s="1"/>
      <c r="V1261" s="1"/>
      <c r="W1261" s="1"/>
      <c r="X1261" s="1"/>
    </row>
    <row r="1262" spans="1:24">
      <c r="A1262" s="1"/>
      <c r="B1262" s="8"/>
      <c r="C1262" s="8"/>
      <c r="D1262" s="8"/>
      <c r="E1262" s="8"/>
      <c r="F1262" s="8"/>
      <c r="G1262" s="8"/>
      <c r="H1262" s="8"/>
      <c r="I1262" s="8"/>
      <c r="J1262" s="8"/>
      <c r="K1262" s="8"/>
      <c r="L1262" s="56"/>
      <c r="M1262" s="26"/>
      <c r="N1262" s="26"/>
      <c r="O1262" s="26"/>
      <c r="P1262" s="1"/>
      <c r="Q1262" s="1"/>
      <c r="R1262" s="8"/>
      <c r="S1262" s="1"/>
      <c r="T1262" s="8"/>
      <c r="U1262" s="1"/>
      <c r="V1262" s="1"/>
      <c r="W1262" s="1"/>
      <c r="X1262" s="1"/>
    </row>
    <row r="1263" spans="1:24">
      <c r="A1263" s="1"/>
      <c r="B1263" s="8"/>
      <c r="C1263" s="8"/>
      <c r="D1263" s="8"/>
      <c r="E1263" s="8"/>
      <c r="F1263" s="8"/>
      <c r="G1263" s="8"/>
      <c r="H1263" s="8"/>
      <c r="I1263" s="8"/>
      <c r="J1263" s="8"/>
      <c r="K1263" s="8"/>
      <c r="L1263" s="56"/>
      <c r="M1263" s="26"/>
      <c r="N1263" s="26"/>
      <c r="O1263" s="26"/>
      <c r="P1263" s="1"/>
      <c r="Q1263" s="1"/>
      <c r="R1263" s="8"/>
      <c r="S1263" s="1"/>
      <c r="T1263" s="8"/>
      <c r="U1263" s="1"/>
      <c r="V1263" s="1"/>
      <c r="W1263" s="1"/>
      <c r="X1263" s="1"/>
    </row>
    <row r="1264" spans="1:24">
      <c r="A1264" s="1"/>
      <c r="B1264" s="8"/>
      <c r="C1264" s="8"/>
      <c r="D1264" s="8"/>
      <c r="E1264" s="8"/>
      <c r="F1264" s="8"/>
      <c r="G1264" s="8"/>
      <c r="H1264" s="8"/>
      <c r="I1264" s="8"/>
      <c r="J1264" s="8"/>
      <c r="K1264" s="8"/>
      <c r="L1264" s="56"/>
      <c r="M1264" s="26"/>
      <c r="N1264" s="26"/>
      <c r="O1264" s="26"/>
      <c r="P1264" s="1"/>
      <c r="Q1264" s="1"/>
      <c r="R1264" s="8"/>
      <c r="S1264" s="1"/>
      <c r="T1264" s="8"/>
      <c r="U1264" s="1"/>
      <c r="V1264" s="1"/>
      <c r="W1264" s="1"/>
      <c r="X1264" s="1"/>
    </row>
    <row r="1265" spans="1:24">
      <c r="A1265" s="1"/>
      <c r="B1265" s="8"/>
      <c r="C1265" s="8"/>
      <c r="D1265" s="8"/>
      <c r="E1265" s="8"/>
      <c r="F1265" s="8"/>
      <c r="G1265" s="8"/>
      <c r="H1265" s="8"/>
      <c r="I1265" s="8"/>
      <c r="J1265" s="8"/>
      <c r="K1265" s="8"/>
      <c r="L1265" s="56"/>
      <c r="M1265" s="26"/>
      <c r="N1265" s="26"/>
      <c r="O1265" s="26"/>
      <c r="P1265" s="1"/>
      <c r="Q1265" s="1"/>
      <c r="R1265" s="8"/>
      <c r="S1265" s="1"/>
      <c r="T1265" s="8"/>
      <c r="U1265" s="1"/>
      <c r="V1265" s="1"/>
      <c r="W1265" s="1"/>
      <c r="X1265" s="1"/>
    </row>
    <row r="1266" spans="1:24">
      <c r="A1266" s="1"/>
      <c r="B1266" s="8"/>
      <c r="C1266" s="8"/>
      <c r="D1266" s="8"/>
      <c r="E1266" s="8"/>
      <c r="F1266" s="8"/>
      <c r="G1266" s="8"/>
      <c r="H1266" s="8"/>
      <c r="I1266" s="8"/>
      <c r="J1266" s="8"/>
      <c r="K1266" s="8"/>
      <c r="L1266" s="56"/>
      <c r="M1266" s="26"/>
      <c r="N1266" s="26"/>
      <c r="O1266" s="26"/>
      <c r="P1266" s="1"/>
      <c r="Q1266" s="1"/>
      <c r="R1266" s="8"/>
      <c r="S1266" s="1"/>
      <c r="T1266" s="8"/>
      <c r="U1266" s="1"/>
      <c r="V1266" s="1"/>
      <c r="W1266" s="1"/>
      <c r="X1266" s="1"/>
    </row>
    <row r="1267" spans="1:24">
      <c r="A1267" s="1"/>
      <c r="B1267" s="8"/>
      <c r="C1267" s="8"/>
      <c r="D1267" s="8"/>
      <c r="E1267" s="8"/>
      <c r="F1267" s="8"/>
      <c r="G1267" s="8"/>
      <c r="H1267" s="8"/>
      <c r="I1267" s="8"/>
      <c r="J1267" s="8"/>
      <c r="K1267" s="8"/>
      <c r="L1267" s="56"/>
      <c r="M1267" s="26"/>
      <c r="N1267" s="26"/>
      <c r="O1267" s="26"/>
      <c r="P1267" s="1"/>
      <c r="Q1267" s="1"/>
      <c r="R1267" s="8"/>
      <c r="S1267" s="1"/>
      <c r="T1267" s="8"/>
      <c r="U1267" s="1"/>
      <c r="V1267" s="1"/>
      <c r="W1267" s="1"/>
      <c r="X1267" s="1"/>
    </row>
    <row r="1268" spans="1:24">
      <c r="A1268" s="1"/>
      <c r="B1268" s="8"/>
      <c r="C1268" s="8"/>
      <c r="D1268" s="8"/>
      <c r="E1268" s="8"/>
      <c r="F1268" s="8"/>
      <c r="G1268" s="8"/>
      <c r="H1268" s="8"/>
      <c r="I1268" s="8"/>
      <c r="J1268" s="8"/>
      <c r="K1268" s="8"/>
      <c r="L1268" s="56"/>
      <c r="M1268" s="26"/>
      <c r="N1268" s="26"/>
      <c r="O1268" s="26"/>
      <c r="P1268" s="1"/>
      <c r="Q1268" s="1"/>
      <c r="R1268" s="8"/>
      <c r="S1268" s="1"/>
      <c r="T1268" s="8"/>
      <c r="U1268" s="1"/>
      <c r="V1268" s="1"/>
      <c r="W1268" s="1"/>
      <c r="X1268" s="1"/>
    </row>
    <row r="1269" spans="1:24">
      <c r="A1269" s="1"/>
      <c r="B1269" s="8"/>
      <c r="C1269" s="8"/>
      <c r="D1269" s="8"/>
      <c r="E1269" s="8"/>
      <c r="F1269" s="8"/>
      <c r="G1269" s="8"/>
      <c r="H1269" s="8"/>
      <c r="I1269" s="8"/>
      <c r="J1269" s="8"/>
      <c r="K1269" s="8"/>
      <c r="L1269" s="56"/>
      <c r="M1269" s="26"/>
      <c r="N1269" s="26"/>
      <c r="O1269" s="26"/>
      <c r="P1269" s="1"/>
      <c r="Q1269" s="1"/>
      <c r="R1269" s="8"/>
      <c r="S1269" s="1"/>
      <c r="T1269" s="8"/>
      <c r="U1269" s="1"/>
      <c r="V1269" s="1"/>
      <c r="W1269" s="1"/>
      <c r="X1269" s="1"/>
    </row>
    <row r="1270" spans="1:24">
      <c r="A1270" s="1"/>
      <c r="B1270" s="8"/>
      <c r="C1270" s="8"/>
      <c r="D1270" s="8"/>
      <c r="E1270" s="8"/>
      <c r="F1270" s="8"/>
      <c r="G1270" s="8"/>
      <c r="H1270" s="8"/>
      <c r="I1270" s="8"/>
      <c r="J1270" s="8"/>
      <c r="K1270" s="8"/>
      <c r="L1270" s="56"/>
      <c r="M1270" s="26"/>
      <c r="N1270" s="26"/>
      <c r="O1270" s="26"/>
      <c r="P1270" s="1"/>
      <c r="Q1270" s="1"/>
      <c r="R1270" s="8"/>
      <c r="S1270" s="1"/>
      <c r="T1270" s="8"/>
      <c r="U1270" s="1"/>
      <c r="V1270" s="1"/>
      <c r="W1270" s="1"/>
      <c r="X1270" s="1"/>
    </row>
    <row r="1271" spans="1:24">
      <c r="A1271" s="1"/>
      <c r="B1271" s="8"/>
      <c r="C1271" s="8"/>
      <c r="D1271" s="8"/>
      <c r="E1271" s="8"/>
      <c r="F1271" s="8"/>
      <c r="G1271" s="8"/>
      <c r="H1271" s="8"/>
      <c r="I1271" s="8"/>
      <c r="J1271" s="8"/>
      <c r="K1271" s="8"/>
      <c r="L1271" s="56"/>
      <c r="M1271" s="26"/>
      <c r="N1271" s="26"/>
      <c r="O1271" s="26"/>
      <c r="P1271" s="1"/>
      <c r="Q1271" s="1"/>
      <c r="R1271" s="8"/>
      <c r="S1271" s="1"/>
      <c r="T1271" s="8"/>
      <c r="U1271" s="1"/>
      <c r="V1271" s="1"/>
      <c r="W1271" s="1"/>
      <c r="X1271" s="1"/>
    </row>
    <row r="1272" spans="1:24">
      <c r="A1272" s="1"/>
      <c r="B1272" s="8"/>
      <c r="C1272" s="8"/>
      <c r="D1272" s="8"/>
      <c r="E1272" s="8"/>
      <c r="F1272" s="8"/>
      <c r="G1272" s="8"/>
      <c r="H1272" s="8"/>
      <c r="I1272" s="8"/>
      <c r="J1272" s="8"/>
      <c r="K1272" s="8"/>
      <c r="L1272" s="56"/>
      <c r="M1272" s="26"/>
      <c r="N1272" s="26"/>
      <c r="O1272" s="26"/>
      <c r="P1272" s="1"/>
      <c r="Q1272" s="1"/>
      <c r="R1272" s="8"/>
      <c r="S1272" s="1"/>
      <c r="T1272" s="8"/>
      <c r="U1272" s="1"/>
      <c r="V1272" s="1"/>
      <c r="W1272" s="1"/>
      <c r="X1272" s="1"/>
    </row>
    <row r="1273" spans="1:24">
      <c r="A1273" s="1"/>
      <c r="B1273" s="8"/>
      <c r="C1273" s="8"/>
      <c r="D1273" s="8"/>
      <c r="E1273" s="8"/>
      <c r="F1273" s="8"/>
      <c r="G1273" s="8"/>
      <c r="H1273" s="8"/>
      <c r="I1273" s="8"/>
      <c r="J1273" s="8"/>
      <c r="K1273" s="8"/>
      <c r="L1273" s="56"/>
      <c r="M1273" s="26"/>
      <c r="N1273" s="26"/>
      <c r="O1273" s="26"/>
      <c r="P1273" s="1"/>
      <c r="Q1273" s="1"/>
      <c r="R1273" s="8"/>
      <c r="S1273" s="1"/>
      <c r="T1273" s="8"/>
      <c r="U1273" s="1"/>
      <c r="V1273" s="1"/>
      <c r="W1273" s="1"/>
      <c r="X1273" s="1"/>
    </row>
    <row r="1274" spans="1:24">
      <c r="A1274" s="1"/>
      <c r="B1274" s="8"/>
      <c r="C1274" s="8"/>
      <c r="D1274" s="8"/>
      <c r="E1274" s="8"/>
      <c r="F1274" s="8"/>
      <c r="G1274" s="8"/>
      <c r="H1274" s="8"/>
      <c r="I1274" s="8"/>
      <c r="J1274" s="8"/>
      <c r="K1274" s="8"/>
      <c r="L1274" s="56"/>
      <c r="M1274" s="26"/>
      <c r="N1274" s="26"/>
      <c r="O1274" s="26"/>
      <c r="P1274" s="1"/>
      <c r="Q1274" s="1"/>
      <c r="R1274" s="8"/>
      <c r="S1274" s="1"/>
      <c r="T1274" s="8"/>
      <c r="U1274" s="1"/>
      <c r="V1274" s="1"/>
      <c r="W1274" s="1"/>
      <c r="X1274" s="1"/>
    </row>
    <row r="1275" spans="1:24">
      <c r="A1275" s="1"/>
      <c r="B1275" s="8"/>
      <c r="C1275" s="8"/>
      <c r="D1275" s="8"/>
      <c r="E1275" s="8"/>
      <c r="F1275" s="8"/>
      <c r="G1275" s="8"/>
      <c r="H1275" s="8"/>
      <c r="I1275" s="8"/>
      <c r="J1275" s="8"/>
      <c r="K1275" s="8"/>
      <c r="L1275" s="56"/>
      <c r="M1275" s="26"/>
      <c r="N1275" s="26"/>
      <c r="O1275" s="26"/>
      <c r="P1275" s="1"/>
      <c r="Q1275" s="1"/>
      <c r="R1275" s="8"/>
      <c r="S1275" s="1"/>
      <c r="T1275" s="8"/>
      <c r="U1275" s="1"/>
      <c r="V1275" s="1"/>
      <c r="W1275" s="1"/>
      <c r="X1275" s="1"/>
    </row>
    <row r="1276" spans="1:24">
      <c r="A1276" s="1"/>
      <c r="B1276" s="8"/>
      <c r="C1276" s="8"/>
      <c r="D1276" s="8"/>
      <c r="E1276" s="8"/>
      <c r="F1276" s="8"/>
      <c r="G1276" s="8"/>
      <c r="H1276" s="8"/>
      <c r="I1276" s="8"/>
      <c r="J1276" s="8"/>
      <c r="K1276" s="8"/>
      <c r="L1276" s="56"/>
      <c r="M1276" s="26"/>
      <c r="N1276" s="26"/>
      <c r="O1276" s="26"/>
      <c r="P1276" s="1"/>
      <c r="Q1276" s="1"/>
      <c r="R1276" s="8"/>
      <c r="S1276" s="1"/>
      <c r="T1276" s="8"/>
      <c r="U1276" s="1"/>
      <c r="V1276" s="1"/>
      <c r="W1276" s="1"/>
      <c r="X1276" s="1"/>
    </row>
    <row r="1277" spans="1:24">
      <c r="A1277" s="1"/>
      <c r="B1277" s="8"/>
      <c r="C1277" s="8"/>
      <c r="D1277" s="8"/>
      <c r="E1277" s="8"/>
      <c r="F1277" s="8"/>
      <c r="G1277" s="8"/>
      <c r="H1277" s="8"/>
      <c r="I1277" s="8"/>
      <c r="J1277" s="8"/>
      <c r="K1277" s="8"/>
      <c r="L1277" s="56"/>
      <c r="M1277" s="26"/>
      <c r="N1277" s="26"/>
      <c r="O1277" s="26"/>
      <c r="P1277" s="1"/>
      <c r="Q1277" s="1"/>
      <c r="R1277" s="8"/>
      <c r="S1277" s="1"/>
      <c r="T1277" s="8"/>
      <c r="U1277" s="1"/>
      <c r="V1277" s="1"/>
      <c r="W1277" s="1"/>
      <c r="X1277" s="1"/>
    </row>
    <row r="1278" spans="1:24">
      <c r="A1278" s="1"/>
      <c r="B1278" s="8"/>
      <c r="C1278" s="8"/>
      <c r="D1278" s="8"/>
      <c r="E1278" s="8"/>
      <c r="F1278" s="8"/>
      <c r="G1278" s="8"/>
      <c r="H1278" s="8"/>
      <c r="I1278" s="8"/>
      <c r="J1278" s="8"/>
      <c r="K1278" s="8"/>
      <c r="L1278" s="56"/>
      <c r="M1278" s="26"/>
      <c r="N1278" s="26"/>
      <c r="O1278" s="26"/>
      <c r="P1278" s="1"/>
      <c r="Q1278" s="1"/>
      <c r="R1278" s="8"/>
      <c r="S1278" s="1"/>
      <c r="T1278" s="8"/>
      <c r="U1278" s="1"/>
      <c r="V1278" s="1"/>
      <c r="W1278" s="1"/>
      <c r="X1278" s="1"/>
    </row>
    <row r="1279" spans="1:24">
      <c r="A1279" s="1"/>
      <c r="B1279" s="8"/>
      <c r="C1279" s="8"/>
      <c r="D1279" s="8"/>
      <c r="E1279" s="8"/>
      <c r="F1279" s="8"/>
      <c r="G1279" s="8"/>
      <c r="H1279" s="8"/>
      <c r="I1279" s="8"/>
      <c r="J1279" s="8"/>
      <c r="K1279" s="8"/>
      <c r="L1279" s="56"/>
      <c r="M1279" s="26"/>
      <c r="N1279" s="26"/>
      <c r="O1279" s="26"/>
      <c r="P1279" s="1"/>
      <c r="Q1279" s="1"/>
      <c r="R1279" s="8"/>
      <c r="S1279" s="1"/>
      <c r="T1279" s="8"/>
      <c r="U1279" s="1"/>
      <c r="V1279" s="1"/>
      <c r="W1279" s="1"/>
      <c r="X1279" s="1"/>
    </row>
    <row r="1280" spans="1:24">
      <c r="A1280" s="1"/>
      <c r="B1280" s="8"/>
      <c r="C1280" s="8"/>
      <c r="D1280" s="8"/>
      <c r="E1280" s="8"/>
      <c r="F1280" s="8"/>
      <c r="G1280" s="8"/>
      <c r="H1280" s="8"/>
      <c r="I1280" s="8"/>
      <c r="J1280" s="8"/>
      <c r="K1280" s="8"/>
      <c r="L1280" s="56"/>
      <c r="M1280" s="26"/>
      <c r="N1280" s="26"/>
      <c r="O1280" s="26"/>
      <c r="P1280" s="1"/>
      <c r="Q1280" s="1"/>
      <c r="R1280" s="8"/>
      <c r="S1280" s="1"/>
      <c r="T1280" s="8"/>
      <c r="U1280" s="1"/>
      <c r="V1280" s="1"/>
      <c r="W1280" s="1"/>
      <c r="X1280" s="1"/>
    </row>
    <row r="1281" spans="1:24">
      <c r="A1281" s="1"/>
      <c r="B1281" s="8"/>
      <c r="C1281" s="8"/>
      <c r="D1281" s="8"/>
      <c r="E1281" s="8"/>
      <c r="F1281" s="8"/>
      <c r="G1281" s="8"/>
      <c r="H1281" s="8"/>
      <c r="I1281" s="8"/>
      <c r="J1281" s="8"/>
      <c r="K1281" s="8"/>
      <c r="L1281" s="56"/>
      <c r="M1281" s="26"/>
      <c r="N1281" s="26"/>
      <c r="O1281" s="26"/>
      <c r="P1281" s="1"/>
      <c r="Q1281" s="1"/>
      <c r="R1281" s="8"/>
      <c r="S1281" s="1"/>
      <c r="T1281" s="8"/>
      <c r="U1281" s="1"/>
      <c r="V1281" s="1"/>
      <c r="W1281" s="1"/>
      <c r="X1281" s="1"/>
    </row>
    <row r="1282" spans="1:24">
      <c r="A1282" s="1"/>
      <c r="B1282" s="8"/>
      <c r="C1282" s="8"/>
      <c r="D1282" s="8"/>
      <c r="E1282" s="8"/>
      <c r="F1282" s="8"/>
      <c r="G1282" s="8"/>
      <c r="H1282" s="8"/>
      <c r="I1282" s="8"/>
      <c r="J1282" s="8"/>
      <c r="K1282" s="8"/>
      <c r="L1282" s="56"/>
      <c r="M1282" s="26"/>
      <c r="N1282" s="26"/>
      <c r="O1282" s="26"/>
      <c r="P1282" s="1"/>
      <c r="Q1282" s="1"/>
      <c r="R1282" s="8"/>
      <c r="S1282" s="1"/>
      <c r="T1282" s="8"/>
      <c r="U1282" s="1"/>
      <c r="V1282" s="1"/>
      <c r="W1282" s="1"/>
      <c r="X1282" s="1"/>
    </row>
    <row r="1283" spans="1:24">
      <c r="A1283" s="1"/>
      <c r="B1283" s="8"/>
      <c r="C1283" s="8"/>
      <c r="D1283" s="8"/>
      <c r="E1283" s="8"/>
      <c r="F1283" s="8"/>
      <c r="G1283" s="8"/>
      <c r="H1283" s="8"/>
      <c r="I1283" s="8"/>
      <c r="J1283" s="8"/>
      <c r="K1283" s="8"/>
      <c r="L1283" s="56"/>
      <c r="M1283" s="26"/>
      <c r="N1283" s="26"/>
      <c r="O1283" s="26"/>
      <c r="P1283" s="1"/>
      <c r="Q1283" s="1"/>
      <c r="R1283" s="8"/>
      <c r="S1283" s="1"/>
      <c r="T1283" s="8"/>
      <c r="U1283" s="1"/>
      <c r="V1283" s="1"/>
      <c r="W1283" s="1"/>
      <c r="X1283" s="1"/>
    </row>
    <row r="1284" spans="1:24">
      <c r="A1284" s="1"/>
      <c r="B1284" s="8"/>
      <c r="C1284" s="8"/>
      <c r="D1284" s="8"/>
      <c r="E1284" s="8"/>
      <c r="F1284" s="8"/>
      <c r="G1284" s="8"/>
      <c r="H1284" s="8"/>
      <c r="I1284" s="8"/>
      <c r="J1284" s="8"/>
      <c r="K1284" s="8"/>
      <c r="L1284" s="56"/>
      <c r="M1284" s="26"/>
      <c r="N1284" s="26"/>
      <c r="O1284" s="26"/>
      <c r="P1284" s="1"/>
      <c r="Q1284" s="1"/>
      <c r="R1284" s="8"/>
      <c r="S1284" s="1"/>
      <c r="T1284" s="8"/>
      <c r="U1284" s="1"/>
      <c r="V1284" s="1"/>
      <c r="W1284" s="1"/>
      <c r="X1284" s="1"/>
    </row>
    <row r="1285" spans="1:24">
      <c r="A1285" s="1"/>
      <c r="B1285" s="8"/>
      <c r="C1285" s="8"/>
      <c r="D1285" s="8"/>
      <c r="E1285" s="8"/>
      <c r="F1285" s="8"/>
      <c r="G1285" s="8"/>
      <c r="H1285" s="8"/>
      <c r="I1285" s="8"/>
      <c r="J1285" s="8"/>
      <c r="K1285" s="8"/>
      <c r="L1285" s="56"/>
      <c r="M1285" s="26"/>
      <c r="N1285" s="26"/>
      <c r="O1285" s="26"/>
      <c r="P1285" s="1"/>
      <c r="Q1285" s="1"/>
      <c r="R1285" s="8"/>
      <c r="S1285" s="1"/>
      <c r="T1285" s="8"/>
      <c r="U1285" s="1"/>
      <c r="V1285" s="1"/>
      <c r="W1285" s="1"/>
      <c r="X1285" s="1"/>
    </row>
    <row r="1286" spans="1:24">
      <c r="A1286" s="1"/>
      <c r="B1286" s="8"/>
      <c r="C1286" s="8"/>
      <c r="D1286" s="8"/>
      <c r="E1286" s="8"/>
      <c r="F1286" s="8"/>
      <c r="G1286" s="8"/>
      <c r="H1286" s="8"/>
      <c r="I1286" s="8"/>
      <c r="J1286" s="8"/>
      <c r="K1286" s="8"/>
      <c r="L1286" s="56"/>
      <c r="M1286" s="26"/>
      <c r="N1286" s="26"/>
      <c r="O1286" s="26"/>
      <c r="P1286" s="1"/>
      <c r="Q1286" s="1"/>
      <c r="R1286" s="8"/>
      <c r="S1286" s="1"/>
      <c r="T1286" s="8"/>
      <c r="U1286" s="1"/>
      <c r="V1286" s="1"/>
      <c r="W1286" s="1"/>
      <c r="X1286" s="1"/>
    </row>
    <row r="1287" spans="1:24">
      <c r="A1287" s="1"/>
      <c r="B1287" s="8"/>
      <c r="C1287" s="8"/>
      <c r="D1287" s="8"/>
      <c r="E1287" s="8"/>
      <c r="F1287" s="8"/>
      <c r="G1287" s="8"/>
      <c r="H1287" s="8"/>
      <c r="I1287" s="8"/>
      <c r="J1287" s="8"/>
      <c r="K1287" s="8"/>
      <c r="L1287" s="56"/>
      <c r="M1287" s="26"/>
      <c r="N1287" s="26"/>
      <c r="O1287" s="26"/>
      <c r="P1287" s="1"/>
      <c r="Q1287" s="1"/>
      <c r="R1287" s="8"/>
      <c r="S1287" s="1"/>
      <c r="T1287" s="8"/>
      <c r="U1287" s="1"/>
      <c r="V1287" s="1"/>
      <c r="W1287" s="1"/>
      <c r="X1287" s="1"/>
    </row>
    <row r="1288" spans="1:24">
      <c r="A1288" s="1"/>
      <c r="B1288" s="8"/>
      <c r="C1288" s="8"/>
      <c r="D1288" s="8"/>
      <c r="E1288" s="8"/>
      <c r="F1288" s="8"/>
      <c r="G1288" s="8"/>
      <c r="H1288" s="8"/>
      <c r="I1288" s="8"/>
      <c r="J1288" s="8"/>
      <c r="K1288" s="8"/>
      <c r="L1288" s="56"/>
      <c r="M1288" s="26"/>
      <c r="N1288" s="26"/>
      <c r="O1288" s="26"/>
      <c r="P1288" s="1"/>
      <c r="Q1288" s="1"/>
      <c r="R1288" s="8"/>
      <c r="S1288" s="1"/>
      <c r="T1288" s="8"/>
      <c r="U1288" s="1"/>
      <c r="V1288" s="1"/>
      <c r="W1288" s="1"/>
      <c r="X1288" s="1"/>
    </row>
    <row r="1289" spans="1:24">
      <c r="A1289" s="1"/>
      <c r="B1289" s="8"/>
      <c r="C1289" s="8"/>
      <c r="D1289" s="8"/>
      <c r="E1289" s="8"/>
      <c r="F1289" s="8"/>
      <c r="G1289" s="8"/>
      <c r="H1289" s="8"/>
      <c r="I1289" s="8"/>
      <c r="J1289" s="8"/>
      <c r="K1289" s="8"/>
      <c r="L1289" s="56"/>
      <c r="M1289" s="26"/>
      <c r="N1289" s="26"/>
      <c r="O1289" s="26"/>
      <c r="P1289" s="1"/>
      <c r="Q1289" s="1"/>
      <c r="R1289" s="8"/>
      <c r="S1289" s="1"/>
      <c r="T1289" s="8"/>
      <c r="U1289" s="1"/>
      <c r="V1289" s="1"/>
      <c r="W1289" s="1"/>
      <c r="X1289" s="1"/>
    </row>
    <row r="1290" spans="1:24">
      <c r="A1290" s="1"/>
      <c r="B1290" s="8"/>
      <c r="C1290" s="8"/>
      <c r="D1290" s="8"/>
      <c r="E1290" s="8"/>
      <c r="F1290" s="8"/>
      <c r="G1290" s="8"/>
      <c r="H1290" s="8"/>
      <c r="I1290" s="8"/>
      <c r="J1290" s="8"/>
      <c r="K1290" s="8"/>
      <c r="L1290" s="56"/>
      <c r="M1290" s="26"/>
      <c r="N1290" s="26"/>
      <c r="O1290" s="26"/>
      <c r="P1290" s="1"/>
      <c r="Q1290" s="1"/>
      <c r="R1290" s="8"/>
      <c r="S1290" s="1"/>
      <c r="T1290" s="8"/>
      <c r="U1290" s="1"/>
      <c r="V1290" s="1"/>
      <c r="W1290" s="1"/>
      <c r="X1290" s="1"/>
    </row>
    <row r="1291" spans="1:24">
      <c r="A1291" s="1"/>
      <c r="B1291" s="8"/>
      <c r="C1291" s="8"/>
      <c r="D1291" s="8"/>
      <c r="E1291" s="8"/>
      <c r="F1291" s="8"/>
      <c r="G1291" s="8"/>
      <c r="H1291" s="8"/>
      <c r="I1291" s="8"/>
      <c r="J1291" s="8"/>
      <c r="K1291" s="8"/>
      <c r="L1291" s="56"/>
      <c r="M1291" s="26"/>
      <c r="N1291" s="26"/>
      <c r="O1291" s="26"/>
      <c r="P1291" s="1"/>
      <c r="Q1291" s="1"/>
      <c r="R1291" s="8"/>
      <c r="S1291" s="1"/>
      <c r="T1291" s="8"/>
      <c r="U1291" s="1"/>
      <c r="V1291" s="1"/>
      <c r="W1291" s="1"/>
      <c r="X1291" s="1"/>
    </row>
    <row r="1292" spans="1:24">
      <c r="A1292" s="1"/>
      <c r="B1292" s="8"/>
      <c r="C1292" s="8"/>
      <c r="D1292" s="8"/>
      <c r="E1292" s="8"/>
      <c r="F1292" s="8"/>
      <c r="G1292" s="8"/>
      <c r="H1292" s="8"/>
      <c r="I1292" s="8"/>
      <c r="J1292" s="8"/>
      <c r="K1292" s="8"/>
      <c r="L1292" s="56"/>
      <c r="M1292" s="26"/>
      <c r="N1292" s="26"/>
      <c r="O1292" s="26"/>
      <c r="P1292" s="1"/>
      <c r="Q1292" s="1"/>
      <c r="R1292" s="8"/>
      <c r="S1292" s="1"/>
      <c r="T1292" s="8"/>
      <c r="U1292" s="1"/>
      <c r="V1292" s="1"/>
      <c r="W1292" s="1"/>
      <c r="X1292" s="1"/>
    </row>
    <row r="1293" spans="1:24">
      <c r="A1293" s="1"/>
      <c r="B1293" s="8"/>
      <c r="C1293" s="8"/>
      <c r="D1293" s="8"/>
      <c r="E1293" s="8"/>
      <c r="F1293" s="8"/>
      <c r="G1293" s="8"/>
      <c r="H1293" s="8"/>
      <c r="I1293" s="8"/>
      <c r="J1293" s="8"/>
      <c r="K1293" s="8"/>
      <c r="L1293" s="56"/>
      <c r="M1293" s="26"/>
      <c r="N1293" s="26"/>
      <c r="O1293" s="26"/>
      <c r="P1293" s="1"/>
      <c r="Q1293" s="1"/>
      <c r="R1293" s="8"/>
      <c r="S1293" s="1"/>
      <c r="T1293" s="8"/>
      <c r="U1293" s="1"/>
      <c r="V1293" s="1"/>
      <c r="W1293" s="1"/>
      <c r="X1293" s="1"/>
    </row>
    <row r="1294" spans="1:24">
      <c r="A1294" s="1"/>
      <c r="B1294" s="8"/>
      <c r="C1294" s="8"/>
      <c r="D1294" s="8"/>
      <c r="E1294" s="8"/>
      <c r="F1294" s="8"/>
      <c r="G1294" s="8"/>
      <c r="H1294" s="8"/>
      <c r="I1294" s="8"/>
      <c r="J1294" s="8"/>
      <c r="K1294" s="8"/>
      <c r="L1294" s="56"/>
      <c r="M1294" s="26"/>
      <c r="N1294" s="26"/>
      <c r="O1294" s="26"/>
      <c r="P1294" s="1"/>
      <c r="Q1294" s="1"/>
      <c r="R1294" s="8"/>
      <c r="S1294" s="1"/>
      <c r="T1294" s="8"/>
      <c r="U1294" s="1"/>
      <c r="V1294" s="1"/>
      <c r="W1294" s="1"/>
      <c r="X1294" s="1"/>
    </row>
    <row r="1295" spans="1:24">
      <c r="A1295" s="1"/>
      <c r="B1295" s="8"/>
      <c r="C1295" s="8"/>
      <c r="D1295" s="8"/>
      <c r="E1295" s="8"/>
      <c r="F1295" s="8"/>
      <c r="G1295" s="8"/>
      <c r="H1295" s="8"/>
      <c r="I1295" s="8"/>
      <c r="J1295" s="8"/>
      <c r="K1295" s="8"/>
      <c r="L1295" s="56"/>
      <c r="M1295" s="26"/>
      <c r="N1295" s="26"/>
      <c r="O1295" s="26"/>
      <c r="P1295" s="1"/>
      <c r="Q1295" s="1"/>
      <c r="R1295" s="8"/>
      <c r="S1295" s="1"/>
      <c r="T1295" s="8"/>
      <c r="U1295" s="1"/>
      <c r="V1295" s="1"/>
      <c r="W1295" s="1"/>
      <c r="X1295" s="1"/>
    </row>
    <row r="1296" spans="1:24">
      <c r="A1296" s="1"/>
      <c r="B1296" s="8"/>
      <c r="C1296" s="8"/>
      <c r="D1296" s="8"/>
      <c r="E1296" s="8"/>
      <c r="F1296" s="8"/>
      <c r="G1296" s="8"/>
      <c r="H1296" s="8"/>
      <c r="I1296" s="8"/>
      <c r="J1296" s="8"/>
      <c r="K1296" s="8"/>
      <c r="L1296" s="56"/>
      <c r="M1296" s="26"/>
      <c r="N1296" s="26"/>
      <c r="O1296" s="26"/>
      <c r="P1296" s="1"/>
      <c r="Q1296" s="1"/>
      <c r="R1296" s="8"/>
      <c r="S1296" s="1"/>
      <c r="T1296" s="8"/>
      <c r="U1296" s="1"/>
      <c r="V1296" s="1"/>
      <c r="W1296" s="1"/>
      <c r="X1296" s="1"/>
    </row>
    <row r="1297" spans="1:24">
      <c r="A1297" s="1"/>
      <c r="B1297" s="8"/>
      <c r="C1297" s="8"/>
      <c r="D1297" s="8"/>
      <c r="E1297" s="8"/>
      <c r="F1297" s="8"/>
      <c r="G1297" s="8"/>
      <c r="H1297" s="8"/>
      <c r="I1297" s="8"/>
      <c r="J1297" s="8"/>
      <c r="K1297" s="8"/>
      <c r="L1297" s="56"/>
      <c r="M1297" s="26"/>
      <c r="N1297" s="26"/>
      <c r="O1297" s="26"/>
      <c r="P1297" s="1"/>
      <c r="Q1297" s="1"/>
      <c r="R1297" s="8"/>
      <c r="S1297" s="1"/>
      <c r="T1297" s="8"/>
      <c r="U1297" s="1"/>
      <c r="V1297" s="1"/>
      <c r="W1297" s="1"/>
      <c r="X1297" s="1"/>
    </row>
    <row r="1298" spans="1:24">
      <c r="A1298" s="1"/>
      <c r="B1298" s="8"/>
      <c r="C1298" s="8"/>
      <c r="D1298" s="8"/>
      <c r="E1298" s="8"/>
      <c r="F1298" s="8"/>
      <c r="G1298" s="8"/>
      <c r="H1298" s="8"/>
      <c r="I1298" s="8"/>
      <c r="J1298" s="8"/>
      <c r="K1298" s="8"/>
      <c r="L1298" s="56"/>
      <c r="M1298" s="26"/>
      <c r="N1298" s="26"/>
      <c r="O1298" s="26"/>
      <c r="P1298" s="1"/>
      <c r="Q1298" s="1"/>
      <c r="R1298" s="8"/>
      <c r="S1298" s="1"/>
      <c r="T1298" s="8"/>
      <c r="U1298" s="1"/>
      <c r="V1298" s="1"/>
      <c r="W1298" s="1"/>
      <c r="X1298" s="1"/>
    </row>
    <row r="1299" spans="1:24">
      <c r="A1299" s="1"/>
      <c r="B1299" s="8"/>
      <c r="C1299" s="8"/>
      <c r="D1299" s="8"/>
      <c r="E1299" s="8"/>
      <c r="F1299" s="8"/>
      <c r="G1299" s="8"/>
      <c r="H1299" s="8"/>
      <c r="I1299" s="8"/>
      <c r="J1299" s="8"/>
      <c r="K1299" s="8"/>
      <c r="L1299" s="56"/>
      <c r="M1299" s="26"/>
      <c r="N1299" s="26"/>
      <c r="O1299" s="26"/>
      <c r="P1299" s="1"/>
      <c r="Q1299" s="1"/>
      <c r="R1299" s="8"/>
      <c r="S1299" s="1"/>
      <c r="T1299" s="8"/>
      <c r="U1299" s="1"/>
      <c r="V1299" s="1"/>
      <c r="W1299" s="1"/>
      <c r="X1299" s="1"/>
    </row>
    <row r="1300" spans="1:24">
      <c r="A1300" s="1"/>
      <c r="B1300" s="8"/>
      <c r="C1300" s="8"/>
      <c r="D1300" s="8"/>
      <c r="E1300" s="8"/>
      <c r="F1300" s="8"/>
      <c r="G1300" s="8"/>
      <c r="H1300" s="8"/>
      <c r="I1300" s="8"/>
      <c r="J1300" s="8"/>
      <c r="K1300" s="8"/>
      <c r="L1300" s="56"/>
      <c r="M1300" s="26"/>
      <c r="N1300" s="26"/>
      <c r="O1300" s="26"/>
      <c r="P1300" s="1"/>
      <c r="Q1300" s="1"/>
      <c r="R1300" s="8"/>
      <c r="S1300" s="1"/>
      <c r="T1300" s="8"/>
      <c r="U1300" s="1"/>
      <c r="V1300" s="1"/>
      <c r="W1300" s="1"/>
      <c r="X1300" s="1"/>
    </row>
    <row r="1301" spans="1:24">
      <c r="A1301" s="1"/>
      <c r="B1301" s="8"/>
      <c r="C1301" s="8"/>
      <c r="D1301" s="8"/>
      <c r="E1301" s="8"/>
      <c r="F1301" s="8"/>
      <c r="G1301" s="8"/>
      <c r="H1301" s="8"/>
      <c r="I1301" s="8"/>
      <c r="J1301" s="8"/>
      <c r="K1301" s="8"/>
      <c r="L1301" s="56"/>
      <c r="M1301" s="26"/>
      <c r="N1301" s="26"/>
      <c r="O1301" s="26"/>
      <c r="P1301" s="1"/>
      <c r="Q1301" s="1"/>
      <c r="R1301" s="8"/>
      <c r="S1301" s="1"/>
      <c r="T1301" s="8"/>
      <c r="U1301" s="1"/>
      <c r="V1301" s="1"/>
      <c r="W1301" s="1"/>
      <c r="X1301" s="1"/>
    </row>
    <row r="1302" spans="1:24">
      <c r="A1302" s="1"/>
      <c r="B1302" s="8"/>
      <c r="C1302" s="8"/>
      <c r="D1302" s="8"/>
      <c r="E1302" s="8"/>
      <c r="F1302" s="8"/>
      <c r="G1302" s="8"/>
      <c r="H1302" s="8"/>
      <c r="I1302" s="8"/>
      <c r="J1302" s="8"/>
      <c r="K1302" s="8"/>
      <c r="L1302" s="56"/>
      <c r="M1302" s="26"/>
      <c r="N1302" s="26"/>
      <c r="O1302" s="26"/>
      <c r="P1302" s="1"/>
      <c r="Q1302" s="1"/>
      <c r="R1302" s="8"/>
      <c r="S1302" s="1"/>
      <c r="T1302" s="8"/>
      <c r="U1302" s="1"/>
      <c r="V1302" s="1"/>
      <c r="W1302" s="1"/>
      <c r="X1302" s="1"/>
    </row>
    <row r="1303" spans="1:24">
      <c r="A1303" s="1"/>
      <c r="B1303" s="8"/>
      <c r="C1303" s="8"/>
      <c r="D1303" s="8"/>
      <c r="E1303" s="8"/>
      <c r="F1303" s="8"/>
      <c r="G1303" s="8"/>
      <c r="H1303" s="8"/>
      <c r="I1303" s="8"/>
      <c r="J1303" s="8"/>
      <c r="K1303" s="8"/>
      <c r="L1303" s="56"/>
      <c r="M1303" s="26"/>
      <c r="N1303" s="26"/>
      <c r="O1303" s="26"/>
      <c r="P1303" s="1"/>
      <c r="Q1303" s="1"/>
      <c r="R1303" s="8"/>
      <c r="S1303" s="1"/>
      <c r="T1303" s="8"/>
      <c r="U1303" s="1"/>
      <c r="V1303" s="1"/>
      <c r="W1303" s="1"/>
      <c r="X1303" s="1"/>
    </row>
    <row r="1304" spans="1:24">
      <c r="A1304" s="1"/>
      <c r="B1304" s="8"/>
      <c r="C1304" s="8"/>
      <c r="D1304" s="8"/>
      <c r="E1304" s="8"/>
      <c r="F1304" s="8"/>
      <c r="G1304" s="8"/>
      <c r="H1304" s="8"/>
      <c r="I1304" s="8"/>
      <c r="J1304" s="8"/>
      <c r="K1304" s="8"/>
      <c r="L1304" s="56"/>
      <c r="M1304" s="26"/>
      <c r="N1304" s="26"/>
      <c r="O1304" s="26"/>
      <c r="P1304" s="1"/>
      <c r="Q1304" s="1"/>
      <c r="R1304" s="8"/>
      <c r="S1304" s="1"/>
      <c r="T1304" s="8"/>
      <c r="U1304" s="1"/>
      <c r="V1304" s="1"/>
      <c r="W1304" s="1"/>
      <c r="X1304" s="1"/>
    </row>
    <row r="1305" spans="1:24">
      <c r="A1305" s="1"/>
      <c r="B1305" s="8"/>
      <c r="C1305" s="8"/>
      <c r="D1305" s="8"/>
      <c r="E1305" s="8"/>
      <c r="F1305" s="8"/>
      <c r="G1305" s="8"/>
      <c r="H1305" s="8"/>
      <c r="I1305" s="8"/>
      <c r="J1305" s="8"/>
      <c r="K1305" s="8"/>
      <c r="L1305" s="56"/>
      <c r="M1305" s="26"/>
      <c r="N1305" s="26"/>
      <c r="O1305" s="26"/>
      <c r="P1305" s="1"/>
      <c r="Q1305" s="1"/>
      <c r="R1305" s="8"/>
      <c r="S1305" s="1"/>
      <c r="T1305" s="8"/>
      <c r="U1305" s="1"/>
      <c r="V1305" s="1"/>
      <c r="W1305" s="1"/>
      <c r="X1305" s="1"/>
    </row>
    <row r="1306" spans="1:24">
      <c r="A1306" s="1"/>
      <c r="B1306" s="8"/>
      <c r="C1306" s="8"/>
      <c r="D1306" s="8"/>
      <c r="E1306" s="8"/>
      <c r="F1306" s="8"/>
      <c r="G1306" s="8"/>
      <c r="H1306" s="8"/>
      <c r="I1306" s="8"/>
      <c r="J1306" s="8"/>
      <c r="K1306" s="8"/>
      <c r="L1306" s="56"/>
      <c r="M1306" s="26"/>
      <c r="N1306" s="26"/>
      <c r="O1306" s="26"/>
      <c r="P1306" s="1"/>
      <c r="Q1306" s="1"/>
      <c r="R1306" s="8"/>
      <c r="S1306" s="1"/>
      <c r="T1306" s="8"/>
      <c r="U1306" s="1"/>
      <c r="V1306" s="1"/>
      <c r="W1306" s="1"/>
      <c r="X1306" s="1"/>
    </row>
    <row r="1307" spans="1:24">
      <c r="A1307" s="1"/>
      <c r="B1307" s="8"/>
      <c r="C1307" s="8"/>
      <c r="D1307" s="8"/>
      <c r="E1307" s="8"/>
      <c r="F1307" s="8"/>
      <c r="G1307" s="8"/>
      <c r="H1307" s="8"/>
      <c r="I1307" s="8"/>
      <c r="J1307" s="8"/>
      <c r="K1307" s="8"/>
      <c r="L1307" s="56"/>
      <c r="M1307" s="26"/>
      <c r="N1307" s="26"/>
      <c r="O1307" s="26"/>
      <c r="P1307" s="1"/>
      <c r="Q1307" s="1"/>
      <c r="R1307" s="8"/>
      <c r="S1307" s="1"/>
      <c r="T1307" s="8"/>
      <c r="U1307" s="1"/>
      <c r="V1307" s="1"/>
      <c r="W1307" s="1"/>
      <c r="X1307" s="1"/>
    </row>
    <row r="1308" spans="1:24">
      <c r="A1308" s="1"/>
      <c r="B1308" s="8"/>
      <c r="C1308" s="8"/>
      <c r="D1308" s="8"/>
      <c r="E1308" s="8"/>
      <c r="F1308" s="8"/>
      <c r="G1308" s="8"/>
      <c r="H1308" s="8"/>
      <c r="I1308" s="8"/>
      <c r="J1308" s="8"/>
      <c r="K1308" s="8"/>
      <c r="L1308" s="56"/>
      <c r="M1308" s="26"/>
      <c r="N1308" s="26"/>
      <c r="O1308" s="26"/>
      <c r="P1308" s="1"/>
      <c r="Q1308" s="1"/>
      <c r="R1308" s="8"/>
      <c r="S1308" s="1"/>
      <c r="T1308" s="8"/>
      <c r="U1308" s="1"/>
      <c r="V1308" s="1"/>
      <c r="W1308" s="1"/>
      <c r="X1308" s="1"/>
    </row>
    <row r="1309" spans="1:24">
      <c r="A1309" s="1"/>
      <c r="B1309" s="8"/>
      <c r="C1309" s="8"/>
      <c r="D1309" s="8"/>
      <c r="E1309" s="8"/>
      <c r="F1309" s="8"/>
      <c r="G1309" s="8"/>
      <c r="H1309" s="8"/>
      <c r="I1309" s="8"/>
      <c r="J1309" s="8"/>
      <c r="K1309" s="8"/>
      <c r="L1309" s="56"/>
      <c r="M1309" s="26"/>
      <c r="N1309" s="26"/>
      <c r="O1309" s="26"/>
      <c r="P1309" s="1"/>
      <c r="Q1309" s="1"/>
      <c r="R1309" s="8"/>
      <c r="S1309" s="1"/>
      <c r="T1309" s="8"/>
      <c r="U1309" s="1"/>
      <c r="V1309" s="1"/>
      <c r="W1309" s="1"/>
      <c r="X1309" s="1"/>
    </row>
    <row r="1310" spans="1:24">
      <c r="A1310" s="1"/>
      <c r="B1310" s="8"/>
      <c r="C1310" s="8"/>
      <c r="D1310" s="8"/>
      <c r="E1310" s="8"/>
      <c r="F1310" s="8"/>
      <c r="G1310" s="8"/>
      <c r="H1310" s="8"/>
      <c r="I1310" s="8"/>
      <c r="J1310" s="8"/>
      <c r="K1310" s="8"/>
      <c r="L1310" s="56"/>
      <c r="M1310" s="26"/>
      <c r="N1310" s="26"/>
      <c r="O1310" s="26"/>
      <c r="P1310" s="1"/>
      <c r="Q1310" s="1"/>
      <c r="R1310" s="8"/>
      <c r="S1310" s="1"/>
      <c r="T1310" s="8"/>
      <c r="U1310" s="1"/>
      <c r="V1310" s="1"/>
      <c r="W1310" s="1"/>
      <c r="X1310" s="1"/>
    </row>
    <row r="1311" spans="1:24">
      <c r="A1311" s="1"/>
      <c r="B1311" s="8"/>
      <c r="C1311" s="8"/>
      <c r="D1311" s="8"/>
      <c r="E1311" s="8"/>
      <c r="F1311" s="8"/>
      <c r="G1311" s="8"/>
      <c r="H1311" s="8"/>
      <c r="I1311" s="8"/>
      <c r="J1311" s="8"/>
      <c r="K1311" s="8"/>
      <c r="L1311" s="56"/>
      <c r="M1311" s="26"/>
      <c r="N1311" s="26"/>
      <c r="O1311" s="26"/>
      <c r="P1311" s="1"/>
      <c r="Q1311" s="1"/>
      <c r="R1311" s="8"/>
      <c r="S1311" s="1"/>
      <c r="T1311" s="8"/>
      <c r="U1311" s="1"/>
      <c r="V1311" s="1"/>
      <c r="W1311" s="1"/>
      <c r="X1311" s="1"/>
    </row>
    <row r="1312" spans="1:24">
      <c r="A1312" s="1"/>
      <c r="B1312" s="8"/>
      <c r="C1312" s="8"/>
      <c r="D1312" s="8"/>
      <c r="E1312" s="8"/>
      <c r="F1312" s="8"/>
      <c r="G1312" s="8"/>
      <c r="H1312" s="8"/>
      <c r="I1312" s="8"/>
      <c r="J1312" s="8"/>
      <c r="K1312" s="8"/>
      <c r="L1312" s="56"/>
      <c r="M1312" s="26"/>
      <c r="N1312" s="26"/>
      <c r="O1312" s="26"/>
      <c r="P1312" s="1"/>
      <c r="Q1312" s="1"/>
      <c r="R1312" s="8"/>
      <c r="S1312" s="1"/>
      <c r="T1312" s="8"/>
      <c r="U1312" s="1"/>
      <c r="V1312" s="1"/>
      <c r="W1312" s="1"/>
      <c r="X1312" s="1"/>
    </row>
    <row r="1313" spans="1:24">
      <c r="A1313" s="1"/>
      <c r="B1313" s="8"/>
      <c r="C1313" s="8"/>
      <c r="D1313" s="8"/>
      <c r="E1313" s="8"/>
      <c r="F1313" s="8"/>
      <c r="G1313" s="8"/>
      <c r="H1313" s="8"/>
      <c r="I1313" s="8"/>
      <c r="J1313" s="8"/>
      <c r="K1313" s="8"/>
      <c r="L1313" s="56"/>
      <c r="M1313" s="26"/>
      <c r="N1313" s="26"/>
      <c r="O1313" s="26"/>
      <c r="P1313" s="1"/>
      <c r="Q1313" s="1"/>
      <c r="R1313" s="8"/>
      <c r="S1313" s="1"/>
      <c r="T1313" s="8"/>
      <c r="U1313" s="1"/>
      <c r="V1313" s="1"/>
      <c r="W1313" s="1"/>
      <c r="X1313" s="1"/>
    </row>
    <row r="1314" spans="1:24">
      <c r="A1314" s="1"/>
      <c r="B1314" s="8"/>
      <c r="C1314" s="8"/>
      <c r="D1314" s="8"/>
      <c r="E1314" s="8"/>
      <c r="F1314" s="8"/>
      <c r="G1314" s="8"/>
      <c r="H1314" s="8"/>
      <c r="I1314" s="8"/>
      <c r="J1314" s="8"/>
      <c r="K1314" s="8"/>
      <c r="L1314" s="56"/>
      <c r="M1314" s="26"/>
      <c r="N1314" s="26"/>
      <c r="O1314" s="26"/>
      <c r="P1314" s="1"/>
      <c r="Q1314" s="1"/>
      <c r="R1314" s="8"/>
      <c r="S1314" s="1"/>
      <c r="T1314" s="8"/>
      <c r="U1314" s="1"/>
      <c r="V1314" s="1"/>
      <c r="W1314" s="1"/>
      <c r="X1314" s="1"/>
    </row>
    <row r="1315" spans="1:24">
      <c r="A1315" s="1"/>
      <c r="B1315" s="8"/>
      <c r="C1315" s="8"/>
      <c r="D1315" s="8"/>
      <c r="E1315" s="8"/>
      <c r="F1315" s="8"/>
      <c r="G1315" s="8"/>
      <c r="H1315" s="8"/>
      <c r="I1315" s="8"/>
      <c r="J1315" s="8"/>
      <c r="K1315" s="8"/>
      <c r="L1315" s="56"/>
      <c r="M1315" s="26"/>
      <c r="N1315" s="26"/>
      <c r="O1315" s="26"/>
      <c r="P1315" s="1"/>
      <c r="Q1315" s="1"/>
      <c r="R1315" s="8"/>
      <c r="S1315" s="1"/>
      <c r="T1315" s="8"/>
      <c r="U1315" s="1"/>
      <c r="V1315" s="1"/>
      <c r="W1315" s="1"/>
      <c r="X1315" s="1"/>
    </row>
    <row r="1316" spans="1:24">
      <c r="A1316" s="1"/>
      <c r="B1316" s="8"/>
      <c r="C1316" s="8"/>
      <c r="D1316" s="8"/>
      <c r="E1316" s="8"/>
      <c r="F1316" s="8"/>
      <c r="G1316" s="8"/>
      <c r="H1316" s="8"/>
      <c r="I1316" s="8"/>
      <c r="J1316" s="8"/>
      <c r="K1316" s="8"/>
      <c r="L1316" s="56"/>
      <c r="M1316" s="26"/>
      <c r="N1316" s="26"/>
      <c r="O1316" s="26"/>
      <c r="P1316" s="1"/>
      <c r="Q1316" s="1"/>
      <c r="R1316" s="8"/>
      <c r="S1316" s="1"/>
      <c r="T1316" s="8"/>
      <c r="U1316" s="1"/>
      <c r="V1316" s="1"/>
      <c r="W1316" s="1"/>
      <c r="X1316" s="1"/>
    </row>
    <row r="1317" spans="1:24">
      <c r="A1317" s="1"/>
      <c r="B1317" s="8"/>
      <c r="C1317" s="8"/>
      <c r="D1317" s="8"/>
      <c r="E1317" s="8"/>
      <c r="F1317" s="8"/>
      <c r="G1317" s="8"/>
      <c r="H1317" s="8"/>
      <c r="I1317" s="8"/>
      <c r="J1317" s="8"/>
      <c r="K1317" s="8"/>
      <c r="L1317" s="56"/>
      <c r="M1317" s="26"/>
      <c r="N1317" s="26"/>
      <c r="O1317" s="26"/>
      <c r="P1317" s="1"/>
      <c r="Q1317" s="1"/>
      <c r="R1317" s="8"/>
      <c r="S1317" s="1"/>
      <c r="T1317" s="8"/>
      <c r="U1317" s="1"/>
      <c r="V1317" s="1"/>
      <c r="W1317" s="1"/>
      <c r="X1317" s="1"/>
    </row>
    <row r="1318" spans="1:24">
      <c r="A1318" s="1"/>
      <c r="B1318" s="8"/>
      <c r="C1318" s="8"/>
      <c r="D1318" s="8"/>
      <c r="E1318" s="8"/>
      <c r="F1318" s="8"/>
      <c r="G1318" s="8"/>
      <c r="H1318" s="8"/>
      <c r="I1318" s="8"/>
      <c r="J1318" s="8"/>
      <c r="K1318" s="8"/>
      <c r="L1318" s="56"/>
      <c r="M1318" s="26"/>
      <c r="N1318" s="26"/>
      <c r="O1318" s="26"/>
      <c r="P1318" s="1"/>
      <c r="Q1318" s="1"/>
      <c r="R1318" s="8"/>
      <c r="S1318" s="1"/>
      <c r="T1318" s="8"/>
      <c r="U1318" s="1"/>
      <c r="V1318" s="1"/>
      <c r="W1318" s="1"/>
      <c r="X1318" s="1"/>
    </row>
    <row r="1319" spans="1:24">
      <c r="A1319" s="1"/>
      <c r="B1319" s="8"/>
      <c r="C1319" s="8"/>
      <c r="D1319" s="8"/>
      <c r="E1319" s="8"/>
      <c r="F1319" s="8"/>
      <c r="G1319" s="8"/>
      <c r="H1319" s="8"/>
      <c r="I1319" s="8"/>
      <c r="J1319" s="8"/>
      <c r="K1319" s="8"/>
      <c r="L1319" s="56"/>
      <c r="M1319" s="26"/>
      <c r="N1319" s="26"/>
      <c r="O1319" s="26"/>
      <c r="P1319" s="1"/>
      <c r="Q1319" s="1"/>
      <c r="R1319" s="8"/>
      <c r="S1319" s="1"/>
      <c r="T1319" s="8"/>
      <c r="U1319" s="1"/>
      <c r="V1319" s="1"/>
      <c r="W1319" s="1"/>
      <c r="X1319" s="1"/>
    </row>
    <row r="1320" spans="1:24">
      <c r="A1320" s="1"/>
      <c r="B1320" s="8"/>
      <c r="C1320" s="8"/>
      <c r="D1320" s="8"/>
      <c r="E1320" s="8"/>
      <c r="F1320" s="8"/>
      <c r="G1320" s="8"/>
      <c r="H1320" s="8"/>
      <c r="I1320" s="8"/>
      <c r="J1320" s="8"/>
      <c r="K1320" s="8"/>
      <c r="L1320" s="56"/>
      <c r="M1320" s="26"/>
      <c r="N1320" s="26"/>
      <c r="O1320" s="26"/>
      <c r="P1320" s="1"/>
      <c r="Q1320" s="1"/>
      <c r="R1320" s="8"/>
      <c r="S1320" s="1"/>
      <c r="T1320" s="8"/>
      <c r="U1320" s="1"/>
      <c r="V1320" s="1"/>
      <c r="W1320" s="1"/>
      <c r="X1320" s="1"/>
    </row>
    <row r="1321" spans="1:24">
      <c r="A1321" s="1"/>
      <c r="B1321" s="8"/>
      <c r="C1321" s="8"/>
      <c r="D1321" s="8"/>
      <c r="E1321" s="8"/>
      <c r="F1321" s="8"/>
      <c r="G1321" s="8"/>
      <c r="H1321" s="8"/>
      <c r="I1321" s="8"/>
      <c r="J1321" s="8"/>
      <c r="K1321" s="8"/>
      <c r="L1321" s="56"/>
      <c r="M1321" s="26"/>
      <c r="N1321" s="26"/>
      <c r="O1321" s="26"/>
      <c r="P1321" s="1"/>
      <c r="Q1321" s="1"/>
      <c r="R1321" s="8"/>
      <c r="S1321" s="1"/>
      <c r="T1321" s="8"/>
      <c r="U1321" s="1"/>
      <c r="V1321" s="1"/>
      <c r="W1321" s="1"/>
      <c r="X1321" s="1"/>
    </row>
    <row r="1322" spans="1:24">
      <c r="A1322" s="1"/>
      <c r="B1322" s="8"/>
      <c r="C1322" s="8"/>
      <c r="D1322" s="8"/>
      <c r="E1322" s="8"/>
      <c r="F1322" s="8"/>
      <c r="G1322" s="8"/>
      <c r="H1322" s="8"/>
      <c r="I1322" s="8"/>
      <c r="J1322" s="8"/>
      <c r="K1322" s="8"/>
      <c r="L1322" s="56"/>
      <c r="M1322" s="26"/>
      <c r="N1322" s="26"/>
      <c r="O1322" s="26"/>
      <c r="P1322" s="1"/>
      <c r="Q1322" s="1"/>
      <c r="R1322" s="8"/>
      <c r="S1322" s="1"/>
      <c r="T1322" s="8"/>
      <c r="U1322" s="1"/>
      <c r="V1322" s="1"/>
      <c r="W1322" s="1"/>
      <c r="X1322" s="1"/>
    </row>
    <row r="1323" spans="1:24">
      <c r="A1323" s="1"/>
      <c r="B1323" s="8"/>
      <c r="C1323" s="8"/>
      <c r="D1323" s="8"/>
      <c r="E1323" s="8"/>
      <c r="F1323" s="8"/>
      <c r="G1323" s="8"/>
      <c r="H1323" s="8"/>
      <c r="I1323" s="8"/>
      <c r="J1323" s="8"/>
      <c r="K1323" s="8"/>
      <c r="L1323" s="56"/>
      <c r="M1323" s="26"/>
      <c r="N1323" s="26"/>
      <c r="O1323" s="26"/>
      <c r="P1323" s="1"/>
      <c r="Q1323" s="1"/>
      <c r="R1323" s="8"/>
      <c r="S1323" s="1"/>
      <c r="T1323" s="8"/>
      <c r="U1323" s="1"/>
      <c r="V1323" s="1"/>
      <c r="W1323" s="1"/>
      <c r="X1323" s="1"/>
    </row>
    <row r="1324" spans="1:24">
      <c r="A1324" s="1"/>
      <c r="B1324" s="8"/>
      <c r="C1324" s="8"/>
      <c r="D1324" s="8"/>
      <c r="E1324" s="8"/>
      <c r="F1324" s="8"/>
      <c r="G1324" s="8"/>
      <c r="H1324" s="8"/>
      <c r="I1324" s="8"/>
      <c r="J1324" s="8"/>
      <c r="K1324" s="8"/>
      <c r="L1324" s="56"/>
      <c r="M1324" s="26"/>
      <c r="N1324" s="26"/>
      <c r="O1324" s="26"/>
      <c r="P1324" s="1"/>
      <c r="Q1324" s="1"/>
      <c r="R1324" s="8"/>
      <c r="S1324" s="1"/>
      <c r="T1324" s="8"/>
      <c r="U1324" s="1"/>
      <c r="V1324" s="1"/>
      <c r="W1324" s="1"/>
      <c r="X1324" s="1"/>
    </row>
    <row r="1325" spans="1:24">
      <c r="A1325" s="1"/>
      <c r="B1325" s="8"/>
      <c r="C1325" s="8"/>
      <c r="D1325" s="8"/>
      <c r="E1325" s="8"/>
      <c r="F1325" s="8"/>
      <c r="G1325" s="8"/>
      <c r="H1325" s="8"/>
      <c r="I1325" s="8"/>
      <c r="J1325" s="8"/>
      <c r="K1325" s="8"/>
      <c r="L1325" s="56"/>
      <c r="M1325" s="26"/>
      <c r="N1325" s="26"/>
      <c r="O1325" s="26"/>
      <c r="P1325" s="1"/>
      <c r="Q1325" s="1"/>
      <c r="R1325" s="8"/>
      <c r="S1325" s="1"/>
      <c r="T1325" s="8"/>
      <c r="U1325" s="1"/>
      <c r="V1325" s="1"/>
      <c r="W1325" s="1"/>
      <c r="X1325" s="1"/>
    </row>
    <row r="1326" spans="1:24">
      <c r="A1326" s="1"/>
      <c r="B1326" s="8"/>
      <c r="C1326" s="8"/>
      <c r="D1326" s="8"/>
      <c r="E1326" s="8"/>
      <c r="F1326" s="8"/>
      <c r="G1326" s="8"/>
      <c r="H1326" s="8"/>
      <c r="I1326" s="8"/>
      <c r="J1326" s="8"/>
      <c r="K1326" s="8"/>
      <c r="L1326" s="56"/>
      <c r="M1326" s="26"/>
      <c r="N1326" s="26"/>
      <c r="O1326" s="26"/>
      <c r="P1326" s="1"/>
      <c r="Q1326" s="1"/>
      <c r="R1326" s="8"/>
      <c r="S1326" s="1"/>
      <c r="T1326" s="8"/>
      <c r="U1326" s="1"/>
      <c r="V1326" s="1"/>
      <c r="W1326" s="1"/>
      <c r="X1326" s="1"/>
    </row>
    <row r="1327" spans="1:24">
      <c r="A1327" s="1"/>
      <c r="B1327" s="8"/>
      <c r="C1327" s="8"/>
      <c r="D1327" s="8"/>
      <c r="E1327" s="8"/>
      <c r="F1327" s="8"/>
      <c r="G1327" s="8"/>
      <c r="H1327" s="8"/>
      <c r="I1327" s="8"/>
      <c r="J1327" s="8"/>
      <c r="K1327" s="8"/>
      <c r="L1327" s="56"/>
      <c r="M1327" s="26"/>
      <c r="N1327" s="26"/>
      <c r="O1327" s="26"/>
      <c r="P1327" s="1"/>
      <c r="Q1327" s="1"/>
      <c r="R1327" s="8"/>
      <c r="S1327" s="1"/>
      <c r="T1327" s="8"/>
      <c r="U1327" s="1"/>
      <c r="V1327" s="1"/>
      <c r="W1327" s="1"/>
      <c r="X1327" s="1"/>
    </row>
    <row r="1328" spans="1:24">
      <c r="A1328" s="1"/>
      <c r="B1328" s="8"/>
      <c r="C1328" s="8"/>
      <c r="D1328" s="8"/>
      <c r="E1328" s="8"/>
      <c r="F1328" s="8"/>
      <c r="G1328" s="8"/>
      <c r="H1328" s="8"/>
      <c r="I1328" s="8"/>
      <c r="J1328" s="8"/>
      <c r="K1328" s="8"/>
      <c r="L1328" s="56"/>
      <c r="M1328" s="26"/>
      <c r="N1328" s="26"/>
      <c r="O1328" s="26"/>
      <c r="P1328" s="1"/>
      <c r="Q1328" s="1"/>
      <c r="R1328" s="8"/>
      <c r="S1328" s="1"/>
      <c r="T1328" s="8"/>
      <c r="U1328" s="1"/>
      <c r="V1328" s="1"/>
      <c r="W1328" s="1"/>
      <c r="X1328" s="1"/>
    </row>
    <row r="1329" spans="1:24">
      <c r="A1329" s="1"/>
      <c r="B1329" s="8"/>
      <c r="C1329" s="8"/>
      <c r="D1329" s="8"/>
      <c r="E1329" s="8"/>
      <c r="F1329" s="8"/>
      <c r="G1329" s="8"/>
      <c r="H1329" s="8"/>
      <c r="I1329" s="8"/>
      <c r="J1329" s="8"/>
      <c r="K1329" s="8"/>
      <c r="L1329" s="56"/>
      <c r="M1329" s="26"/>
      <c r="N1329" s="26"/>
      <c r="O1329" s="26"/>
      <c r="P1329" s="1"/>
      <c r="Q1329" s="1"/>
      <c r="R1329" s="8"/>
      <c r="S1329" s="1"/>
      <c r="T1329" s="8"/>
      <c r="U1329" s="1"/>
      <c r="V1329" s="1"/>
      <c r="W1329" s="1"/>
      <c r="X1329" s="1"/>
    </row>
    <row r="1330" spans="1:24">
      <c r="A1330" s="1"/>
      <c r="B1330" s="8"/>
      <c r="C1330" s="8"/>
      <c r="D1330" s="8"/>
      <c r="E1330" s="8"/>
      <c r="F1330" s="8"/>
      <c r="G1330" s="8"/>
      <c r="H1330" s="8"/>
      <c r="I1330" s="8"/>
      <c r="J1330" s="8"/>
      <c r="K1330" s="8"/>
      <c r="L1330" s="56"/>
      <c r="M1330" s="26"/>
      <c r="N1330" s="26"/>
      <c r="O1330" s="26"/>
      <c r="P1330" s="1"/>
      <c r="Q1330" s="1"/>
      <c r="R1330" s="8"/>
      <c r="S1330" s="1"/>
      <c r="T1330" s="8"/>
      <c r="U1330" s="1"/>
      <c r="V1330" s="1"/>
      <c r="W1330" s="1"/>
      <c r="X1330" s="1"/>
    </row>
    <row r="1331" spans="1:24">
      <c r="A1331" s="1"/>
      <c r="B1331" s="8"/>
      <c r="C1331" s="8"/>
      <c r="D1331" s="8"/>
      <c r="E1331" s="8"/>
      <c r="F1331" s="8"/>
      <c r="G1331" s="8"/>
      <c r="H1331" s="8"/>
      <c r="I1331" s="8"/>
      <c r="J1331" s="8"/>
      <c r="K1331" s="8"/>
      <c r="L1331" s="56"/>
      <c r="M1331" s="26"/>
      <c r="N1331" s="26"/>
      <c r="O1331" s="26"/>
      <c r="P1331" s="1"/>
      <c r="Q1331" s="1"/>
      <c r="R1331" s="8"/>
      <c r="S1331" s="1"/>
      <c r="T1331" s="8"/>
      <c r="U1331" s="1"/>
      <c r="V1331" s="1"/>
      <c r="W1331" s="1"/>
      <c r="X1331" s="1"/>
    </row>
    <row r="1332" spans="1:24">
      <c r="A1332" s="1"/>
      <c r="B1332" s="8"/>
      <c r="C1332" s="8"/>
      <c r="D1332" s="8"/>
      <c r="E1332" s="8"/>
      <c r="F1332" s="8"/>
      <c r="G1332" s="8"/>
      <c r="H1332" s="8"/>
      <c r="I1332" s="8"/>
      <c r="J1332" s="8"/>
      <c r="K1332" s="8"/>
      <c r="L1332" s="56"/>
      <c r="M1332" s="26"/>
      <c r="N1332" s="26"/>
      <c r="O1332" s="26"/>
      <c r="P1332" s="1"/>
      <c r="Q1332" s="1"/>
      <c r="R1332" s="8"/>
      <c r="S1332" s="1"/>
      <c r="T1332" s="8"/>
      <c r="U1332" s="1"/>
      <c r="V1332" s="1"/>
      <c r="W1332" s="1"/>
      <c r="X1332" s="1"/>
    </row>
    <row r="1333" spans="1:24">
      <c r="A1333" s="1"/>
      <c r="B1333" s="8"/>
      <c r="C1333" s="8"/>
      <c r="D1333" s="8"/>
      <c r="E1333" s="8"/>
      <c r="F1333" s="8"/>
      <c r="G1333" s="8"/>
      <c r="H1333" s="8"/>
      <c r="I1333" s="8"/>
      <c r="J1333" s="8"/>
      <c r="K1333" s="8"/>
      <c r="L1333" s="56"/>
      <c r="M1333" s="26"/>
      <c r="N1333" s="26"/>
      <c r="O1333" s="26"/>
      <c r="P1333" s="1"/>
      <c r="Q1333" s="1"/>
      <c r="R1333" s="8"/>
      <c r="S1333" s="1"/>
      <c r="T1333" s="8"/>
      <c r="U1333" s="1"/>
      <c r="V1333" s="1"/>
      <c r="W1333" s="1"/>
      <c r="X1333" s="1"/>
    </row>
    <row r="1334" spans="1:24">
      <c r="A1334" s="1"/>
      <c r="B1334" s="8"/>
      <c r="C1334" s="8"/>
      <c r="D1334" s="8"/>
      <c r="E1334" s="8"/>
      <c r="F1334" s="8"/>
      <c r="G1334" s="8"/>
      <c r="H1334" s="8"/>
      <c r="I1334" s="8"/>
      <c r="J1334" s="8"/>
      <c r="K1334" s="8"/>
      <c r="L1334" s="56"/>
      <c r="M1334" s="26"/>
      <c r="N1334" s="26"/>
      <c r="O1334" s="26"/>
      <c r="P1334" s="1"/>
      <c r="Q1334" s="1"/>
      <c r="R1334" s="8"/>
      <c r="S1334" s="1"/>
      <c r="T1334" s="8"/>
      <c r="U1334" s="1"/>
      <c r="V1334" s="1"/>
      <c r="W1334" s="1"/>
      <c r="X1334" s="1"/>
    </row>
    <row r="1335" spans="1:24">
      <c r="A1335" s="1"/>
      <c r="B1335" s="8"/>
      <c r="C1335" s="8"/>
      <c r="D1335" s="8"/>
      <c r="E1335" s="8"/>
      <c r="F1335" s="8"/>
      <c r="G1335" s="8"/>
      <c r="H1335" s="8"/>
      <c r="I1335" s="8"/>
      <c r="J1335" s="8"/>
      <c r="K1335" s="8"/>
      <c r="L1335" s="56"/>
      <c r="M1335" s="26"/>
      <c r="N1335" s="26"/>
      <c r="O1335" s="26"/>
      <c r="P1335" s="1"/>
      <c r="Q1335" s="1"/>
      <c r="R1335" s="8"/>
      <c r="S1335" s="1"/>
      <c r="T1335" s="8"/>
      <c r="U1335" s="1"/>
      <c r="V1335" s="1"/>
      <c r="W1335" s="1"/>
      <c r="X1335" s="1"/>
    </row>
    <row r="1336" spans="1:24">
      <c r="A1336" s="1"/>
      <c r="B1336" s="8"/>
      <c r="C1336" s="8"/>
      <c r="D1336" s="8"/>
      <c r="E1336" s="8"/>
      <c r="F1336" s="8"/>
      <c r="G1336" s="8"/>
      <c r="H1336" s="8"/>
      <c r="I1336" s="8"/>
      <c r="J1336" s="8"/>
      <c r="K1336" s="8"/>
      <c r="L1336" s="56"/>
      <c r="M1336" s="26"/>
      <c r="N1336" s="26"/>
      <c r="O1336" s="26"/>
      <c r="P1336" s="1"/>
      <c r="Q1336" s="1"/>
      <c r="R1336" s="8"/>
      <c r="S1336" s="1"/>
      <c r="T1336" s="8"/>
      <c r="U1336" s="1"/>
      <c r="V1336" s="1"/>
      <c r="W1336" s="1"/>
      <c r="X1336" s="1"/>
    </row>
    <row r="1337" spans="1:24">
      <c r="A1337" s="1"/>
      <c r="B1337" s="8"/>
      <c r="C1337" s="8"/>
      <c r="D1337" s="8"/>
      <c r="E1337" s="8"/>
      <c r="F1337" s="8"/>
      <c r="G1337" s="8"/>
      <c r="H1337" s="8"/>
      <c r="I1337" s="8"/>
      <c r="J1337" s="8"/>
      <c r="K1337" s="8"/>
      <c r="L1337" s="56"/>
      <c r="M1337" s="26"/>
      <c r="N1337" s="26"/>
      <c r="O1337" s="26"/>
      <c r="P1337" s="1"/>
      <c r="Q1337" s="1"/>
      <c r="R1337" s="8"/>
      <c r="S1337" s="1"/>
      <c r="T1337" s="8"/>
      <c r="U1337" s="1"/>
      <c r="V1337" s="1"/>
      <c r="W1337" s="1"/>
      <c r="X1337" s="1"/>
    </row>
    <row r="1338" spans="1:24">
      <c r="A1338" s="1"/>
      <c r="B1338" s="8"/>
      <c r="C1338" s="8"/>
      <c r="D1338" s="8"/>
      <c r="E1338" s="8"/>
      <c r="F1338" s="8"/>
      <c r="G1338" s="8"/>
      <c r="H1338" s="8"/>
      <c r="I1338" s="8"/>
      <c r="J1338" s="8"/>
      <c r="K1338" s="8"/>
      <c r="L1338" s="56"/>
      <c r="M1338" s="26"/>
      <c r="N1338" s="26"/>
      <c r="O1338" s="26"/>
      <c r="P1338" s="1"/>
      <c r="Q1338" s="1"/>
      <c r="R1338" s="8"/>
      <c r="S1338" s="1"/>
      <c r="T1338" s="8"/>
      <c r="U1338" s="1"/>
      <c r="V1338" s="1"/>
      <c r="W1338" s="1"/>
      <c r="X1338" s="1"/>
    </row>
    <row r="1339" spans="1:24">
      <c r="A1339" s="1"/>
      <c r="B1339" s="8"/>
      <c r="C1339" s="8"/>
      <c r="D1339" s="8"/>
      <c r="E1339" s="8"/>
      <c r="F1339" s="8"/>
      <c r="G1339" s="8"/>
      <c r="H1339" s="8"/>
      <c r="I1339" s="8"/>
      <c r="J1339" s="8"/>
      <c r="K1339" s="8"/>
      <c r="L1339" s="56"/>
      <c r="M1339" s="26"/>
      <c r="N1339" s="26"/>
      <c r="O1339" s="26"/>
      <c r="P1339" s="1"/>
      <c r="Q1339" s="1"/>
      <c r="R1339" s="8"/>
      <c r="S1339" s="1"/>
      <c r="T1339" s="8"/>
      <c r="U1339" s="1"/>
      <c r="V1339" s="1"/>
      <c r="W1339" s="1"/>
      <c r="X1339" s="1"/>
    </row>
    <row r="1340" spans="1:24">
      <c r="A1340" s="1"/>
      <c r="B1340" s="8"/>
      <c r="C1340" s="8"/>
      <c r="D1340" s="8"/>
      <c r="E1340" s="8"/>
      <c r="F1340" s="8"/>
      <c r="G1340" s="8"/>
      <c r="H1340" s="8"/>
      <c r="I1340" s="8"/>
      <c r="J1340" s="8"/>
      <c r="K1340" s="8"/>
      <c r="L1340" s="56"/>
      <c r="M1340" s="26"/>
      <c r="N1340" s="26"/>
      <c r="O1340" s="26"/>
      <c r="P1340" s="1"/>
      <c r="Q1340" s="1"/>
      <c r="R1340" s="8"/>
      <c r="S1340" s="1"/>
      <c r="T1340" s="8"/>
      <c r="U1340" s="1"/>
      <c r="V1340" s="1"/>
      <c r="W1340" s="1"/>
      <c r="X1340" s="1"/>
    </row>
    <row r="1341" spans="1:24">
      <c r="A1341" s="1"/>
      <c r="B1341" s="8"/>
      <c r="C1341" s="8"/>
      <c r="D1341" s="8"/>
      <c r="E1341" s="8"/>
      <c r="F1341" s="8"/>
      <c r="G1341" s="8"/>
      <c r="H1341" s="8"/>
      <c r="I1341" s="8"/>
      <c r="J1341" s="8"/>
      <c r="K1341" s="8"/>
      <c r="L1341" s="56"/>
      <c r="M1341" s="26"/>
      <c r="N1341" s="26"/>
      <c r="O1341" s="26"/>
      <c r="P1341" s="1"/>
      <c r="Q1341" s="1"/>
      <c r="R1341" s="8"/>
      <c r="S1341" s="1"/>
      <c r="T1341" s="8"/>
      <c r="U1341" s="1"/>
      <c r="V1341" s="1"/>
      <c r="W1341" s="1"/>
      <c r="X1341" s="1"/>
    </row>
    <row r="1342" spans="1:24">
      <c r="A1342" s="1"/>
      <c r="B1342" s="8"/>
      <c r="C1342" s="8"/>
      <c r="D1342" s="8"/>
      <c r="E1342" s="8"/>
      <c r="F1342" s="8"/>
      <c r="G1342" s="8"/>
      <c r="H1342" s="8"/>
      <c r="I1342" s="8"/>
      <c r="J1342" s="8"/>
      <c r="K1342" s="8"/>
      <c r="L1342" s="56"/>
      <c r="M1342" s="26"/>
      <c r="N1342" s="26"/>
      <c r="O1342" s="26"/>
      <c r="P1342" s="1"/>
      <c r="Q1342" s="1"/>
      <c r="R1342" s="8"/>
      <c r="S1342" s="1"/>
      <c r="T1342" s="8"/>
      <c r="U1342" s="1"/>
      <c r="V1342" s="1"/>
      <c r="W1342" s="1"/>
      <c r="X1342" s="1"/>
    </row>
    <row r="1343" spans="1:24">
      <c r="A1343" s="1"/>
      <c r="B1343" s="8"/>
      <c r="C1343" s="8"/>
      <c r="D1343" s="8"/>
      <c r="E1343" s="8"/>
      <c r="F1343" s="8"/>
      <c r="G1343" s="8"/>
      <c r="H1343" s="8"/>
      <c r="I1343" s="8"/>
      <c r="J1343" s="8"/>
      <c r="K1343" s="8"/>
      <c r="L1343" s="56"/>
      <c r="M1343" s="26"/>
      <c r="N1343" s="26"/>
      <c r="O1343" s="26"/>
      <c r="P1343" s="1"/>
      <c r="Q1343" s="1"/>
      <c r="R1343" s="8"/>
      <c r="S1343" s="1"/>
      <c r="T1343" s="8"/>
      <c r="U1343" s="1"/>
      <c r="V1343" s="1"/>
      <c r="W1343" s="1"/>
      <c r="X1343" s="1"/>
    </row>
    <row r="1344" spans="1:24">
      <c r="A1344" s="1"/>
      <c r="B1344" s="8"/>
      <c r="C1344" s="8"/>
      <c r="D1344" s="8"/>
      <c r="E1344" s="8"/>
      <c r="F1344" s="8"/>
      <c r="G1344" s="8"/>
      <c r="H1344" s="8"/>
      <c r="I1344" s="8"/>
      <c r="J1344" s="8"/>
      <c r="K1344" s="8"/>
      <c r="L1344" s="56"/>
      <c r="M1344" s="26"/>
      <c r="N1344" s="26"/>
      <c r="O1344" s="26"/>
      <c r="P1344" s="1"/>
      <c r="Q1344" s="1"/>
      <c r="R1344" s="8"/>
      <c r="S1344" s="1"/>
      <c r="T1344" s="8"/>
      <c r="U1344" s="1"/>
      <c r="V1344" s="1"/>
      <c r="W1344" s="1"/>
      <c r="X1344" s="1"/>
    </row>
    <row r="1345" spans="1:24">
      <c r="A1345" s="1"/>
      <c r="B1345" s="8"/>
      <c r="C1345" s="8"/>
      <c r="D1345" s="8"/>
      <c r="E1345" s="8"/>
      <c r="F1345" s="8"/>
      <c r="G1345" s="8"/>
      <c r="H1345" s="8"/>
      <c r="I1345" s="8"/>
      <c r="J1345" s="8"/>
      <c r="K1345" s="8"/>
      <c r="L1345" s="56"/>
      <c r="M1345" s="26"/>
      <c r="N1345" s="26"/>
      <c r="O1345" s="26"/>
      <c r="P1345" s="1"/>
      <c r="Q1345" s="1"/>
      <c r="R1345" s="8"/>
      <c r="S1345" s="1"/>
      <c r="T1345" s="8"/>
      <c r="U1345" s="1"/>
      <c r="V1345" s="1"/>
      <c r="W1345" s="1"/>
      <c r="X1345" s="1"/>
    </row>
    <row r="1346" spans="1:24">
      <c r="A1346" s="1"/>
      <c r="B1346" s="8"/>
      <c r="C1346" s="8"/>
      <c r="D1346" s="8"/>
      <c r="E1346" s="8"/>
      <c r="F1346" s="8"/>
      <c r="G1346" s="8"/>
      <c r="H1346" s="8"/>
      <c r="I1346" s="8"/>
      <c r="J1346" s="8"/>
      <c r="K1346" s="8"/>
      <c r="L1346" s="56"/>
      <c r="M1346" s="26"/>
      <c r="N1346" s="26"/>
      <c r="O1346" s="26"/>
      <c r="P1346" s="1"/>
      <c r="Q1346" s="1"/>
      <c r="R1346" s="8"/>
      <c r="S1346" s="1"/>
      <c r="T1346" s="8"/>
      <c r="U1346" s="1"/>
      <c r="V1346" s="1"/>
      <c r="W1346" s="1"/>
      <c r="X1346" s="1"/>
    </row>
    <row r="1347" spans="1:24">
      <c r="A1347" s="1"/>
      <c r="B1347" s="8"/>
      <c r="C1347" s="8"/>
      <c r="D1347" s="8"/>
      <c r="E1347" s="8"/>
      <c r="F1347" s="8"/>
      <c r="G1347" s="8"/>
      <c r="H1347" s="8"/>
      <c r="I1347" s="8"/>
      <c r="J1347" s="8"/>
      <c r="K1347" s="8"/>
      <c r="L1347" s="56"/>
      <c r="M1347" s="26"/>
      <c r="N1347" s="26"/>
      <c r="O1347" s="26"/>
      <c r="P1347" s="1"/>
      <c r="Q1347" s="1"/>
      <c r="R1347" s="8"/>
      <c r="S1347" s="1"/>
      <c r="T1347" s="8"/>
      <c r="U1347" s="1"/>
      <c r="V1347" s="1"/>
      <c r="W1347" s="1"/>
      <c r="X1347" s="1"/>
    </row>
    <row r="1348" spans="1:24">
      <c r="A1348" s="1"/>
      <c r="B1348" s="8"/>
      <c r="C1348" s="8"/>
      <c r="D1348" s="8"/>
      <c r="E1348" s="8"/>
      <c r="F1348" s="8"/>
      <c r="G1348" s="8"/>
      <c r="H1348" s="8"/>
      <c r="I1348" s="8"/>
      <c r="J1348" s="8"/>
      <c r="K1348" s="8"/>
      <c r="L1348" s="56"/>
      <c r="M1348" s="26"/>
      <c r="N1348" s="26"/>
      <c r="O1348" s="26"/>
      <c r="P1348" s="1"/>
      <c r="Q1348" s="1"/>
      <c r="R1348" s="8"/>
      <c r="S1348" s="1"/>
      <c r="T1348" s="8"/>
      <c r="U1348" s="1"/>
      <c r="V1348" s="1"/>
      <c r="W1348" s="1"/>
      <c r="X1348" s="1"/>
    </row>
    <row r="1349" spans="1:24">
      <c r="A1349" s="1"/>
      <c r="B1349" s="8"/>
      <c r="C1349" s="8"/>
      <c r="D1349" s="8"/>
      <c r="E1349" s="8"/>
      <c r="F1349" s="8"/>
      <c r="G1349" s="8"/>
      <c r="H1349" s="8"/>
      <c r="I1349" s="8"/>
      <c r="J1349" s="8"/>
      <c r="K1349" s="8"/>
      <c r="L1349" s="56"/>
      <c r="M1349" s="26"/>
      <c r="N1349" s="26"/>
      <c r="O1349" s="26"/>
      <c r="P1349" s="1"/>
      <c r="Q1349" s="1"/>
      <c r="R1349" s="8"/>
      <c r="S1349" s="1"/>
      <c r="T1349" s="8"/>
      <c r="U1349" s="1"/>
      <c r="V1349" s="1"/>
      <c r="W1349" s="1"/>
      <c r="X1349" s="1"/>
    </row>
    <row r="1350" spans="1:24">
      <c r="A1350" s="1"/>
      <c r="B1350" s="8"/>
      <c r="C1350" s="8"/>
      <c r="D1350" s="8"/>
      <c r="E1350" s="8"/>
      <c r="F1350" s="8"/>
      <c r="G1350" s="8"/>
      <c r="H1350" s="8"/>
      <c r="I1350" s="8"/>
      <c r="J1350" s="8"/>
      <c r="K1350" s="8"/>
      <c r="L1350" s="56"/>
      <c r="M1350" s="26"/>
      <c r="N1350" s="26"/>
      <c r="O1350" s="26"/>
      <c r="P1350" s="1"/>
      <c r="Q1350" s="1"/>
      <c r="R1350" s="8"/>
      <c r="S1350" s="1"/>
      <c r="T1350" s="8"/>
      <c r="U1350" s="1"/>
      <c r="V1350" s="1"/>
      <c r="W1350" s="1"/>
      <c r="X1350" s="1"/>
    </row>
    <row r="1351" spans="1:24">
      <c r="A1351" s="1"/>
      <c r="B1351" s="8"/>
      <c r="C1351" s="8"/>
      <c r="D1351" s="8"/>
      <c r="E1351" s="8"/>
      <c r="F1351" s="8"/>
      <c r="G1351" s="8"/>
      <c r="H1351" s="8"/>
      <c r="I1351" s="8"/>
      <c r="J1351" s="8"/>
      <c r="K1351" s="8"/>
      <c r="L1351" s="56"/>
      <c r="M1351" s="26"/>
      <c r="N1351" s="26"/>
      <c r="O1351" s="26"/>
      <c r="P1351" s="1"/>
      <c r="Q1351" s="1"/>
      <c r="R1351" s="8"/>
      <c r="S1351" s="1"/>
      <c r="T1351" s="8"/>
      <c r="U1351" s="1"/>
      <c r="V1351" s="1"/>
      <c r="W1351" s="1"/>
      <c r="X1351" s="1"/>
    </row>
    <row r="1352" spans="1:24">
      <c r="A1352" s="1"/>
      <c r="B1352" s="8"/>
      <c r="C1352" s="8"/>
      <c r="D1352" s="8"/>
      <c r="E1352" s="8"/>
      <c r="F1352" s="8"/>
      <c r="G1352" s="8"/>
      <c r="H1352" s="8"/>
      <c r="I1352" s="8"/>
      <c r="J1352" s="8"/>
      <c r="K1352" s="8"/>
      <c r="L1352" s="56"/>
      <c r="M1352" s="26"/>
      <c r="N1352" s="26"/>
      <c r="O1352" s="26"/>
      <c r="P1352" s="1"/>
      <c r="Q1352" s="1"/>
      <c r="R1352" s="8"/>
      <c r="S1352" s="1"/>
      <c r="T1352" s="8"/>
      <c r="U1352" s="1"/>
      <c r="V1352" s="1"/>
      <c r="W1352" s="1"/>
      <c r="X1352" s="1"/>
    </row>
    <row r="1353" spans="1:24">
      <c r="A1353" s="1"/>
      <c r="B1353" s="8"/>
      <c r="C1353" s="8"/>
      <c r="D1353" s="8"/>
      <c r="E1353" s="8"/>
      <c r="F1353" s="8"/>
      <c r="G1353" s="8"/>
      <c r="H1353" s="8"/>
      <c r="I1353" s="8"/>
      <c r="J1353" s="8"/>
      <c r="K1353" s="8"/>
      <c r="L1353" s="56"/>
      <c r="M1353" s="26"/>
      <c r="N1353" s="26"/>
      <c r="O1353" s="26"/>
      <c r="P1353" s="1"/>
      <c r="Q1353" s="1"/>
      <c r="R1353" s="8"/>
      <c r="S1353" s="1"/>
      <c r="T1353" s="8"/>
      <c r="U1353" s="1"/>
      <c r="V1353" s="1"/>
      <c r="W1353" s="1"/>
      <c r="X1353" s="1"/>
    </row>
    <row r="1354" spans="1:24">
      <c r="A1354" s="1"/>
      <c r="B1354" s="8"/>
      <c r="C1354" s="8"/>
      <c r="D1354" s="8"/>
      <c r="E1354" s="8"/>
      <c r="F1354" s="8"/>
      <c r="G1354" s="8"/>
      <c r="H1354" s="8"/>
      <c r="I1354" s="8"/>
      <c r="J1354" s="8"/>
      <c r="K1354" s="8"/>
      <c r="L1354" s="56"/>
      <c r="M1354" s="26"/>
      <c r="N1354" s="26"/>
      <c r="O1354" s="26"/>
      <c r="P1354" s="1"/>
      <c r="Q1354" s="1"/>
      <c r="R1354" s="8"/>
      <c r="S1354" s="1"/>
      <c r="T1354" s="8"/>
      <c r="U1354" s="1"/>
      <c r="V1354" s="1"/>
      <c r="W1354" s="1"/>
      <c r="X1354" s="1"/>
    </row>
    <row r="1355" spans="1:24">
      <c r="A1355" s="1"/>
      <c r="B1355" s="8"/>
      <c r="C1355" s="8"/>
      <c r="D1355" s="8"/>
      <c r="E1355" s="8"/>
      <c r="F1355" s="8"/>
      <c r="G1355" s="8"/>
      <c r="H1355" s="8"/>
      <c r="I1355" s="8"/>
      <c r="J1355" s="8"/>
      <c r="K1355" s="8"/>
      <c r="L1355" s="56"/>
      <c r="M1355" s="26"/>
      <c r="N1355" s="26"/>
      <c r="O1355" s="26"/>
      <c r="P1355" s="1"/>
      <c r="Q1355" s="1"/>
      <c r="R1355" s="8"/>
      <c r="S1355" s="1"/>
      <c r="T1355" s="8"/>
      <c r="U1355" s="1"/>
      <c r="V1355" s="1"/>
      <c r="W1355" s="1"/>
      <c r="X1355" s="1"/>
    </row>
    <row r="1356" spans="1:24">
      <c r="A1356" s="1"/>
      <c r="B1356" s="8"/>
      <c r="C1356" s="8"/>
      <c r="D1356" s="8"/>
      <c r="E1356" s="8"/>
      <c r="F1356" s="8"/>
      <c r="G1356" s="8"/>
      <c r="H1356" s="8"/>
      <c r="I1356" s="8"/>
      <c r="J1356" s="8"/>
      <c r="K1356" s="8"/>
      <c r="L1356" s="56"/>
      <c r="M1356" s="26"/>
      <c r="N1356" s="26"/>
      <c r="O1356" s="26"/>
      <c r="P1356" s="1"/>
      <c r="Q1356" s="1"/>
      <c r="R1356" s="8"/>
      <c r="S1356" s="1"/>
      <c r="T1356" s="8"/>
      <c r="U1356" s="1"/>
      <c r="V1356" s="1"/>
      <c r="W1356" s="1"/>
      <c r="X1356" s="1"/>
    </row>
    <row r="1357" spans="1:24">
      <c r="A1357" s="1"/>
      <c r="B1357" s="8"/>
      <c r="C1357" s="8"/>
      <c r="D1357" s="8"/>
      <c r="E1357" s="8"/>
      <c r="F1357" s="8"/>
      <c r="G1357" s="8"/>
      <c r="H1357" s="8"/>
      <c r="I1357" s="8"/>
      <c r="J1357" s="8"/>
      <c r="K1357" s="8"/>
      <c r="L1357" s="56"/>
      <c r="M1357" s="26"/>
      <c r="N1357" s="26"/>
      <c r="O1357" s="26"/>
      <c r="P1357" s="1"/>
      <c r="Q1357" s="1"/>
      <c r="R1357" s="8"/>
      <c r="S1357" s="1"/>
      <c r="T1357" s="8"/>
      <c r="U1357" s="1"/>
      <c r="V1357" s="1"/>
      <c r="W1357" s="1"/>
      <c r="X1357" s="1"/>
    </row>
    <row r="1358" spans="1:24">
      <c r="A1358" s="1"/>
      <c r="B1358" s="8"/>
      <c r="C1358" s="8"/>
      <c r="D1358" s="8"/>
      <c r="E1358" s="8"/>
      <c r="F1358" s="8"/>
      <c r="G1358" s="8"/>
      <c r="H1358" s="8"/>
      <c r="I1358" s="8"/>
      <c r="J1358" s="8"/>
      <c r="K1358" s="8"/>
      <c r="L1358" s="56"/>
      <c r="M1358" s="26"/>
      <c r="N1358" s="26"/>
      <c r="O1358" s="26"/>
      <c r="P1358" s="1"/>
      <c r="Q1358" s="1"/>
      <c r="R1358" s="8"/>
      <c r="S1358" s="1"/>
      <c r="T1358" s="8"/>
      <c r="U1358" s="1"/>
      <c r="V1358" s="1"/>
      <c r="W1358" s="1"/>
      <c r="X1358" s="1"/>
    </row>
    <row r="1359" spans="1:24">
      <c r="A1359" s="1"/>
      <c r="B1359" s="8"/>
      <c r="C1359" s="8"/>
      <c r="D1359" s="8"/>
      <c r="E1359" s="8"/>
      <c r="F1359" s="8"/>
      <c r="G1359" s="8"/>
      <c r="H1359" s="8"/>
      <c r="I1359" s="8"/>
      <c r="J1359" s="8"/>
      <c r="K1359" s="8"/>
      <c r="L1359" s="56"/>
      <c r="M1359" s="26"/>
      <c r="N1359" s="26"/>
      <c r="O1359" s="26"/>
      <c r="P1359" s="1"/>
      <c r="Q1359" s="1"/>
      <c r="R1359" s="8"/>
      <c r="S1359" s="1"/>
      <c r="T1359" s="8"/>
      <c r="U1359" s="1"/>
      <c r="V1359" s="1"/>
      <c r="W1359" s="1"/>
      <c r="X1359" s="1"/>
    </row>
    <row r="1360" spans="1:24">
      <c r="A1360" s="1"/>
      <c r="B1360" s="8"/>
      <c r="C1360" s="8"/>
      <c r="D1360" s="8"/>
      <c r="E1360" s="8"/>
      <c r="F1360" s="8"/>
      <c r="G1360" s="8"/>
      <c r="H1360" s="8"/>
      <c r="I1360" s="8"/>
      <c r="J1360" s="8"/>
      <c r="K1360" s="8"/>
      <c r="L1360" s="56"/>
      <c r="M1360" s="26"/>
      <c r="N1360" s="26"/>
      <c r="O1360" s="26"/>
      <c r="P1360" s="1"/>
      <c r="Q1360" s="1"/>
      <c r="R1360" s="8"/>
      <c r="S1360" s="1"/>
      <c r="T1360" s="8"/>
      <c r="U1360" s="1"/>
      <c r="V1360" s="1"/>
      <c r="W1360" s="1"/>
      <c r="X1360" s="1"/>
    </row>
    <row r="1361" spans="1:24">
      <c r="A1361" s="1"/>
      <c r="B1361" s="8"/>
      <c r="C1361" s="8"/>
      <c r="D1361" s="8"/>
      <c r="E1361" s="8"/>
      <c r="F1361" s="8"/>
      <c r="G1361" s="8"/>
      <c r="H1361" s="8"/>
      <c r="I1361" s="8"/>
      <c r="J1361" s="8"/>
      <c r="K1361" s="8"/>
      <c r="L1361" s="56"/>
      <c r="M1361" s="26"/>
      <c r="N1361" s="26"/>
      <c r="O1361" s="26"/>
      <c r="P1361" s="1"/>
      <c r="Q1361" s="1"/>
      <c r="R1361" s="8"/>
      <c r="S1361" s="1"/>
      <c r="T1361" s="8"/>
      <c r="U1361" s="1"/>
      <c r="V1361" s="1"/>
      <c r="W1361" s="1"/>
      <c r="X1361" s="1"/>
    </row>
    <row r="1362" spans="1:24">
      <c r="A1362" s="1"/>
      <c r="B1362" s="8"/>
      <c r="C1362" s="8"/>
      <c r="D1362" s="8"/>
      <c r="E1362" s="8"/>
      <c r="F1362" s="8"/>
      <c r="G1362" s="8"/>
      <c r="H1362" s="8"/>
      <c r="I1362" s="8"/>
      <c r="J1362" s="8"/>
      <c r="K1362" s="8"/>
      <c r="L1362" s="56"/>
      <c r="M1362" s="26"/>
      <c r="N1362" s="26"/>
      <c r="O1362" s="26"/>
      <c r="P1362" s="1"/>
      <c r="Q1362" s="1"/>
      <c r="R1362" s="8"/>
      <c r="S1362" s="1"/>
      <c r="T1362" s="8"/>
      <c r="U1362" s="1"/>
      <c r="V1362" s="1"/>
      <c r="W1362" s="1"/>
      <c r="X1362" s="1"/>
    </row>
    <row r="1363" spans="1:24">
      <c r="A1363" s="1"/>
      <c r="B1363" s="8"/>
      <c r="C1363" s="8"/>
      <c r="D1363" s="8"/>
      <c r="E1363" s="8"/>
      <c r="F1363" s="8"/>
      <c r="G1363" s="8"/>
      <c r="H1363" s="8"/>
      <c r="I1363" s="8"/>
      <c r="J1363" s="8"/>
      <c r="K1363" s="8"/>
      <c r="L1363" s="56"/>
      <c r="M1363" s="26"/>
      <c r="N1363" s="26"/>
      <c r="O1363" s="26"/>
      <c r="P1363" s="1"/>
      <c r="Q1363" s="1"/>
      <c r="R1363" s="8"/>
      <c r="S1363" s="1"/>
      <c r="T1363" s="8"/>
      <c r="U1363" s="1"/>
      <c r="V1363" s="1"/>
      <c r="W1363" s="1"/>
      <c r="X1363" s="1"/>
    </row>
    <row r="1364" spans="1:24">
      <c r="A1364" s="1"/>
      <c r="B1364" s="8"/>
      <c r="C1364" s="8"/>
      <c r="D1364" s="8"/>
      <c r="E1364" s="8"/>
      <c r="F1364" s="8"/>
      <c r="G1364" s="8"/>
      <c r="H1364" s="8"/>
      <c r="I1364" s="8"/>
      <c r="J1364" s="8"/>
      <c r="K1364" s="8"/>
      <c r="L1364" s="56"/>
      <c r="M1364" s="26"/>
      <c r="N1364" s="26"/>
      <c r="O1364" s="26"/>
      <c r="P1364" s="1"/>
      <c r="Q1364" s="1"/>
      <c r="R1364" s="8"/>
      <c r="S1364" s="1"/>
      <c r="T1364" s="8"/>
      <c r="U1364" s="1"/>
      <c r="V1364" s="1"/>
      <c r="W1364" s="1"/>
      <c r="X1364" s="1"/>
    </row>
    <row r="1365" spans="1:24">
      <c r="A1365" s="1"/>
      <c r="B1365" s="8"/>
      <c r="C1365" s="8"/>
      <c r="D1365" s="8"/>
      <c r="E1365" s="8"/>
      <c r="F1365" s="8"/>
      <c r="G1365" s="8"/>
      <c r="H1365" s="8"/>
      <c r="I1365" s="8"/>
      <c r="J1365" s="8"/>
      <c r="K1365" s="8"/>
      <c r="L1365" s="56"/>
      <c r="M1365" s="26"/>
      <c r="N1365" s="26"/>
      <c r="O1365" s="26"/>
      <c r="P1365" s="1"/>
      <c r="Q1365" s="1"/>
      <c r="R1365" s="8"/>
      <c r="S1365" s="1"/>
      <c r="T1365" s="8"/>
      <c r="U1365" s="1"/>
      <c r="V1365" s="1"/>
      <c r="W1365" s="1"/>
      <c r="X1365" s="1"/>
    </row>
    <row r="1366" spans="1:24">
      <c r="A1366" s="1"/>
      <c r="B1366" s="8"/>
      <c r="C1366" s="8"/>
      <c r="D1366" s="8"/>
      <c r="E1366" s="8"/>
      <c r="F1366" s="8"/>
      <c r="G1366" s="8"/>
      <c r="H1366" s="8"/>
      <c r="I1366" s="8"/>
      <c r="J1366" s="8"/>
      <c r="K1366" s="8"/>
      <c r="L1366" s="56"/>
      <c r="M1366" s="26"/>
      <c r="N1366" s="26"/>
      <c r="O1366" s="26"/>
      <c r="P1366" s="1"/>
      <c r="Q1366" s="1"/>
      <c r="R1366" s="8"/>
      <c r="S1366" s="1"/>
      <c r="T1366" s="8"/>
      <c r="U1366" s="1"/>
      <c r="V1366" s="1"/>
      <c r="W1366" s="1"/>
      <c r="X1366" s="1"/>
    </row>
    <row r="1367" spans="1:24">
      <c r="A1367" s="1"/>
      <c r="B1367" s="8"/>
      <c r="C1367" s="8"/>
      <c r="D1367" s="8"/>
      <c r="E1367" s="8"/>
      <c r="F1367" s="8"/>
      <c r="G1367" s="8"/>
      <c r="H1367" s="8"/>
      <c r="I1367" s="8"/>
      <c r="J1367" s="8"/>
      <c r="K1367" s="8"/>
      <c r="L1367" s="56"/>
      <c r="M1367" s="26"/>
      <c r="N1367" s="26"/>
      <c r="O1367" s="26"/>
      <c r="P1367" s="1"/>
      <c r="Q1367" s="1"/>
      <c r="R1367" s="8"/>
      <c r="S1367" s="1"/>
      <c r="T1367" s="8"/>
      <c r="U1367" s="1"/>
      <c r="V1367" s="1"/>
      <c r="W1367" s="1"/>
      <c r="X1367" s="1"/>
    </row>
    <row r="1368" spans="1:24">
      <c r="A1368" s="1"/>
      <c r="B1368" s="8"/>
      <c r="C1368" s="8"/>
      <c r="D1368" s="8"/>
      <c r="E1368" s="8"/>
      <c r="F1368" s="8"/>
      <c r="G1368" s="8"/>
      <c r="H1368" s="8"/>
      <c r="I1368" s="8"/>
      <c r="J1368" s="8"/>
      <c r="K1368" s="8"/>
      <c r="L1368" s="56"/>
      <c r="M1368" s="26"/>
      <c r="N1368" s="26"/>
      <c r="O1368" s="26"/>
      <c r="P1368" s="1"/>
      <c r="Q1368" s="1"/>
      <c r="R1368" s="8"/>
      <c r="S1368" s="1"/>
      <c r="T1368" s="8"/>
      <c r="U1368" s="1"/>
      <c r="V1368" s="1"/>
      <c r="W1368" s="1"/>
      <c r="X1368" s="1"/>
    </row>
    <row r="1369" spans="1:24">
      <c r="A1369" s="1"/>
      <c r="B1369" s="8"/>
      <c r="C1369" s="8"/>
      <c r="D1369" s="8"/>
      <c r="E1369" s="8"/>
      <c r="F1369" s="8"/>
      <c r="G1369" s="8"/>
      <c r="H1369" s="8"/>
      <c r="I1369" s="8"/>
      <c r="J1369" s="8"/>
      <c r="K1369" s="8"/>
      <c r="L1369" s="56"/>
      <c r="M1369" s="26"/>
      <c r="N1369" s="26"/>
      <c r="O1369" s="26"/>
      <c r="P1369" s="1"/>
      <c r="Q1369" s="1"/>
      <c r="R1369" s="8"/>
      <c r="S1369" s="1"/>
      <c r="T1369" s="8"/>
      <c r="U1369" s="1"/>
      <c r="V1369" s="1"/>
      <c r="W1369" s="1"/>
      <c r="X1369" s="1"/>
    </row>
    <row r="1370" spans="1:24">
      <c r="A1370" s="1"/>
      <c r="B1370" s="8"/>
      <c r="C1370" s="8"/>
      <c r="D1370" s="8"/>
      <c r="E1370" s="8"/>
      <c r="F1370" s="8"/>
      <c r="G1370" s="8"/>
      <c r="H1370" s="8"/>
      <c r="I1370" s="8"/>
      <c r="J1370" s="8"/>
      <c r="K1370" s="8"/>
      <c r="L1370" s="56"/>
      <c r="M1370" s="26"/>
      <c r="N1370" s="26"/>
      <c r="O1370" s="26"/>
      <c r="P1370" s="1"/>
      <c r="Q1370" s="1"/>
      <c r="R1370" s="8"/>
      <c r="S1370" s="1"/>
      <c r="T1370" s="8"/>
      <c r="U1370" s="1"/>
      <c r="V1370" s="1"/>
      <c r="W1370" s="1"/>
      <c r="X1370" s="1"/>
    </row>
    <row r="1371" spans="1:24">
      <c r="A1371" s="1"/>
      <c r="B1371" s="8"/>
      <c r="C1371" s="8"/>
      <c r="D1371" s="8"/>
      <c r="E1371" s="8"/>
      <c r="F1371" s="8"/>
      <c r="G1371" s="8"/>
      <c r="H1371" s="8"/>
      <c r="I1371" s="8"/>
      <c r="J1371" s="8"/>
      <c r="K1371" s="8"/>
      <c r="L1371" s="56"/>
      <c r="M1371" s="26"/>
      <c r="N1371" s="26"/>
      <c r="O1371" s="26"/>
      <c r="P1371" s="1"/>
      <c r="Q1371" s="1"/>
      <c r="R1371" s="8"/>
      <c r="S1371" s="1"/>
      <c r="T1371" s="8"/>
      <c r="U1371" s="1"/>
      <c r="V1371" s="1"/>
      <c r="W1371" s="1"/>
      <c r="X1371" s="1"/>
    </row>
    <row r="1372" spans="1:24">
      <c r="A1372" s="1"/>
      <c r="B1372" s="8"/>
      <c r="C1372" s="8"/>
      <c r="D1372" s="8"/>
      <c r="E1372" s="8"/>
      <c r="F1372" s="8"/>
      <c r="G1372" s="8"/>
      <c r="H1372" s="8"/>
      <c r="I1372" s="8"/>
      <c r="J1372" s="8"/>
      <c r="K1372" s="8"/>
      <c r="L1372" s="56"/>
      <c r="M1372" s="26"/>
      <c r="N1372" s="26"/>
      <c r="O1372" s="26"/>
      <c r="P1372" s="1"/>
      <c r="Q1372" s="1"/>
      <c r="R1372" s="8"/>
      <c r="S1372" s="1"/>
      <c r="T1372" s="8"/>
      <c r="U1372" s="1"/>
      <c r="V1372" s="1"/>
      <c r="W1372" s="1"/>
      <c r="X1372" s="1"/>
    </row>
    <row r="1373" spans="1:24">
      <c r="A1373" s="1"/>
      <c r="B1373" s="8"/>
      <c r="C1373" s="8"/>
      <c r="D1373" s="8"/>
      <c r="E1373" s="8"/>
      <c r="F1373" s="8"/>
      <c r="G1373" s="8"/>
      <c r="H1373" s="8"/>
      <c r="I1373" s="8"/>
      <c r="J1373" s="8"/>
      <c r="K1373" s="8"/>
      <c r="L1373" s="56"/>
      <c r="M1373" s="26"/>
      <c r="N1373" s="26"/>
      <c r="O1373" s="26"/>
      <c r="P1373" s="1"/>
      <c r="Q1373" s="1"/>
      <c r="R1373" s="8"/>
      <c r="S1373" s="1"/>
      <c r="T1373" s="8"/>
      <c r="U1373" s="1"/>
      <c r="V1373" s="1"/>
      <c r="W1373" s="1"/>
      <c r="X1373" s="1"/>
    </row>
    <row r="1374" spans="1:24">
      <c r="A1374" s="1"/>
      <c r="B1374" s="8"/>
      <c r="C1374" s="8"/>
      <c r="D1374" s="8"/>
      <c r="E1374" s="8"/>
      <c r="F1374" s="8"/>
      <c r="G1374" s="8"/>
      <c r="H1374" s="8"/>
      <c r="I1374" s="8"/>
      <c r="J1374" s="8"/>
      <c r="K1374" s="8"/>
      <c r="L1374" s="56"/>
      <c r="M1374" s="26"/>
      <c r="N1374" s="26"/>
      <c r="O1374" s="26"/>
      <c r="P1374" s="1"/>
      <c r="Q1374" s="1"/>
      <c r="R1374" s="8"/>
      <c r="S1374" s="1"/>
      <c r="T1374" s="8"/>
      <c r="U1374" s="1"/>
      <c r="V1374" s="1"/>
      <c r="W1374" s="1"/>
      <c r="X1374" s="1"/>
    </row>
    <row r="1375" spans="1:24">
      <c r="A1375" s="1"/>
      <c r="B1375" s="8"/>
      <c r="C1375" s="8"/>
      <c r="D1375" s="8"/>
      <c r="E1375" s="8"/>
      <c r="F1375" s="8"/>
      <c r="G1375" s="8"/>
      <c r="H1375" s="8"/>
      <c r="I1375" s="8"/>
      <c r="J1375" s="8"/>
      <c r="K1375" s="8"/>
      <c r="L1375" s="56"/>
      <c r="M1375" s="26"/>
      <c r="N1375" s="26"/>
      <c r="O1375" s="26"/>
      <c r="P1375" s="1"/>
      <c r="Q1375" s="1"/>
      <c r="R1375" s="8"/>
      <c r="S1375" s="1"/>
      <c r="T1375" s="8"/>
      <c r="U1375" s="1"/>
      <c r="V1375" s="1"/>
      <c r="W1375" s="1"/>
      <c r="X1375" s="1"/>
    </row>
    <row r="1376" spans="1:24">
      <c r="A1376" s="1"/>
      <c r="B1376" s="8"/>
      <c r="C1376" s="8"/>
      <c r="D1376" s="8"/>
      <c r="E1376" s="8"/>
      <c r="F1376" s="8"/>
      <c r="G1376" s="8"/>
      <c r="H1376" s="8"/>
      <c r="I1376" s="8"/>
      <c r="J1376" s="8"/>
      <c r="K1376" s="8"/>
      <c r="L1376" s="56"/>
      <c r="M1376" s="26"/>
      <c r="N1376" s="26"/>
      <c r="O1376" s="26"/>
      <c r="P1376" s="1"/>
      <c r="Q1376" s="1"/>
      <c r="R1376" s="8"/>
      <c r="S1376" s="1"/>
      <c r="T1376" s="8"/>
      <c r="U1376" s="1"/>
      <c r="V1376" s="1"/>
      <c r="W1376" s="1"/>
      <c r="X1376" s="1"/>
    </row>
    <row r="1377" spans="1:24">
      <c r="A1377" s="1"/>
      <c r="B1377" s="8"/>
      <c r="C1377" s="8"/>
      <c r="D1377" s="8"/>
      <c r="E1377" s="8"/>
      <c r="F1377" s="8"/>
      <c r="G1377" s="8"/>
      <c r="H1377" s="8"/>
      <c r="I1377" s="8"/>
      <c r="J1377" s="8"/>
      <c r="K1377" s="8"/>
      <c r="L1377" s="56"/>
      <c r="M1377" s="26"/>
      <c r="N1377" s="26"/>
      <c r="O1377" s="26"/>
      <c r="P1377" s="1"/>
      <c r="Q1377" s="1"/>
      <c r="R1377" s="8"/>
      <c r="S1377" s="1"/>
      <c r="T1377" s="8"/>
      <c r="U1377" s="1"/>
      <c r="V1377" s="1"/>
      <c r="W1377" s="1"/>
      <c r="X1377" s="1"/>
    </row>
    <row r="1378" spans="1:24">
      <c r="A1378" s="1"/>
      <c r="B1378" s="8"/>
      <c r="C1378" s="8"/>
      <c r="D1378" s="8"/>
      <c r="E1378" s="8"/>
      <c r="F1378" s="8"/>
      <c r="G1378" s="8"/>
      <c r="H1378" s="8"/>
      <c r="I1378" s="8"/>
      <c r="J1378" s="8"/>
      <c r="K1378" s="8"/>
      <c r="L1378" s="56"/>
      <c r="M1378" s="26"/>
      <c r="N1378" s="26"/>
      <c r="O1378" s="26"/>
      <c r="P1378" s="1"/>
      <c r="Q1378" s="1"/>
      <c r="R1378" s="8"/>
      <c r="S1378" s="1"/>
      <c r="T1378" s="8"/>
      <c r="U1378" s="1"/>
      <c r="V1378" s="1"/>
      <c r="W1378" s="1"/>
      <c r="X1378" s="1"/>
    </row>
    <row r="1379" spans="1:24">
      <c r="A1379" s="1"/>
      <c r="B1379" s="8"/>
      <c r="C1379" s="8"/>
      <c r="D1379" s="8"/>
      <c r="E1379" s="8"/>
      <c r="F1379" s="8"/>
      <c r="G1379" s="8"/>
      <c r="H1379" s="8"/>
      <c r="I1379" s="8"/>
      <c r="J1379" s="8"/>
      <c r="K1379" s="8"/>
      <c r="L1379" s="56"/>
      <c r="M1379" s="26"/>
      <c r="N1379" s="26"/>
      <c r="O1379" s="26"/>
      <c r="P1379" s="1"/>
      <c r="Q1379" s="1"/>
      <c r="R1379" s="8"/>
      <c r="S1379" s="1"/>
      <c r="T1379" s="8"/>
      <c r="U1379" s="1"/>
      <c r="V1379" s="1"/>
      <c r="W1379" s="1"/>
      <c r="X1379" s="1"/>
    </row>
    <row r="1380" spans="1:24">
      <c r="A1380" s="1"/>
      <c r="B1380" s="8"/>
      <c r="C1380" s="8"/>
      <c r="D1380" s="8"/>
      <c r="E1380" s="8"/>
      <c r="F1380" s="8"/>
      <c r="G1380" s="8"/>
      <c r="H1380" s="8"/>
      <c r="I1380" s="8"/>
      <c r="J1380" s="8"/>
      <c r="K1380" s="8"/>
      <c r="L1380" s="56"/>
      <c r="M1380" s="26"/>
      <c r="N1380" s="26"/>
      <c r="O1380" s="26"/>
      <c r="P1380" s="1"/>
      <c r="Q1380" s="1"/>
      <c r="R1380" s="8"/>
      <c r="S1380" s="1"/>
      <c r="T1380" s="8"/>
      <c r="U1380" s="1"/>
      <c r="V1380" s="1"/>
      <c r="W1380" s="1"/>
      <c r="X1380" s="1"/>
    </row>
    <row r="1381" spans="1:24">
      <c r="A1381" s="1"/>
      <c r="B1381" s="8"/>
      <c r="C1381" s="8"/>
      <c r="D1381" s="8"/>
      <c r="E1381" s="8"/>
      <c r="F1381" s="8"/>
      <c r="G1381" s="8"/>
      <c r="H1381" s="8"/>
      <c r="I1381" s="8"/>
      <c r="J1381" s="8"/>
      <c r="K1381" s="8"/>
      <c r="L1381" s="56"/>
      <c r="M1381" s="26"/>
      <c r="N1381" s="26"/>
      <c r="O1381" s="26"/>
      <c r="P1381" s="1"/>
      <c r="Q1381" s="1"/>
      <c r="R1381" s="8"/>
      <c r="S1381" s="1"/>
      <c r="T1381" s="8"/>
      <c r="U1381" s="1"/>
      <c r="V1381" s="1"/>
      <c r="W1381" s="1"/>
      <c r="X1381" s="1"/>
    </row>
    <row r="1382" spans="1:24">
      <c r="A1382" s="1"/>
      <c r="B1382" s="8"/>
      <c r="C1382" s="8"/>
      <c r="D1382" s="8"/>
      <c r="E1382" s="8"/>
      <c r="F1382" s="8"/>
      <c r="G1382" s="8"/>
      <c r="H1382" s="8"/>
      <c r="I1382" s="8"/>
      <c r="J1382" s="8"/>
      <c r="K1382" s="8"/>
      <c r="L1382" s="56"/>
      <c r="M1382" s="26"/>
      <c r="N1382" s="26"/>
      <c r="O1382" s="26"/>
      <c r="P1382" s="1"/>
      <c r="Q1382" s="1"/>
      <c r="R1382" s="8"/>
      <c r="S1382" s="1"/>
      <c r="T1382" s="8"/>
      <c r="U1382" s="1"/>
      <c r="V1382" s="1"/>
      <c r="W1382" s="1"/>
      <c r="X1382" s="1"/>
    </row>
    <row r="1383" spans="1:24">
      <c r="A1383" s="1"/>
      <c r="B1383" s="8"/>
      <c r="C1383" s="8"/>
      <c r="D1383" s="8"/>
      <c r="E1383" s="8"/>
      <c r="F1383" s="8"/>
      <c r="G1383" s="8"/>
      <c r="H1383" s="8"/>
      <c r="I1383" s="8"/>
      <c r="J1383" s="8"/>
      <c r="K1383" s="8"/>
      <c r="L1383" s="56"/>
      <c r="M1383" s="26"/>
      <c r="N1383" s="26"/>
      <c r="O1383" s="26"/>
      <c r="P1383" s="1"/>
      <c r="Q1383" s="1"/>
      <c r="R1383" s="8"/>
      <c r="S1383" s="1"/>
      <c r="T1383" s="8"/>
      <c r="U1383" s="1"/>
      <c r="V1383" s="1"/>
      <c r="W1383" s="1"/>
      <c r="X1383" s="1"/>
    </row>
    <row r="1384" spans="1:24">
      <c r="A1384" s="1"/>
      <c r="B1384" s="8"/>
      <c r="C1384" s="8"/>
      <c r="D1384" s="8"/>
      <c r="E1384" s="8"/>
      <c r="F1384" s="8"/>
      <c r="G1384" s="8"/>
      <c r="H1384" s="8"/>
      <c r="I1384" s="8"/>
      <c r="J1384" s="8"/>
      <c r="K1384" s="8"/>
      <c r="L1384" s="56"/>
      <c r="M1384" s="26"/>
      <c r="N1384" s="26"/>
      <c r="O1384" s="26"/>
      <c r="P1384" s="1"/>
      <c r="Q1384" s="1"/>
      <c r="R1384" s="8"/>
      <c r="S1384" s="1"/>
      <c r="T1384" s="8"/>
      <c r="U1384" s="1"/>
      <c r="V1384" s="1"/>
      <c r="W1384" s="1"/>
      <c r="X1384" s="1"/>
    </row>
    <row r="1385" spans="1:24">
      <c r="A1385" s="1"/>
      <c r="B1385" s="8"/>
      <c r="C1385" s="8"/>
      <c r="D1385" s="8"/>
      <c r="E1385" s="8"/>
      <c r="F1385" s="8"/>
      <c r="G1385" s="8"/>
      <c r="H1385" s="8"/>
      <c r="I1385" s="8"/>
      <c r="J1385" s="8"/>
      <c r="K1385" s="8"/>
      <c r="L1385" s="56"/>
      <c r="M1385" s="26"/>
      <c r="N1385" s="26"/>
      <c r="O1385" s="26"/>
      <c r="P1385" s="1"/>
      <c r="Q1385" s="1"/>
      <c r="R1385" s="8"/>
      <c r="S1385" s="1"/>
      <c r="T1385" s="8"/>
      <c r="U1385" s="1"/>
      <c r="V1385" s="1"/>
      <c r="W1385" s="1"/>
      <c r="X1385" s="1"/>
    </row>
    <row r="1386" spans="1:24">
      <c r="A1386" s="1"/>
      <c r="B1386" s="8"/>
      <c r="C1386" s="8"/>
      <c r="D1386" s="8"/>
      <c r="E1386" s="8"/>
      <c r="F1386" s="8"/>
      <c r="G1386" s="8"/>
      <c r="H1386" s="8"/>
      <c r="I1386" s="8"/>
      <c r="J1386" s="8"/>
      <c r="K1386" s="8"/>
      <c r="L1386" s="56"/>
      <c r="M1386" s="26"/>
      <c r="N1386" s="26"/>
      <c r="O1386" s="26"/>
      <c r="P1386" s="1"/>
      <c r="Q1386" s="1"/>
      <c r="R1386" s="8"/>
      <c r="S1386" s="1"/>
      <c r="T1386" s="8"/>
      <c r="U1386" s="1"/>
      <c r="V1386" s="1"/>
      <c r="W1386" s="1"/>
      <c r="X1386" s="1"/>
    </row>
    <row r="1387" spans="1:24">
      <c r="A1387" s="1"/>
      <c r="B1387" s="8"/>
      <c r="C1387" s="8"/>
      <c r="D1387" s="8"/>
      <c r="E1387" s="8"/>
      <c r="F1387" s="8"/>
      <c r="G1387" s="8"/>
      <c r="H1387" s="8"/>
      <c r="I1387" s="8"/>
      <c r="J1387" s="8"/>
      <c r="K1387" s="8"/>
      <c r="L1387" s="56"/>
      <c r="M1387" s="26"/>
      <c r="N1387" s="26"/>
      <c r="O1387" s="26"/>
      <c r="P1387" s="1"/>
      <c r="Q1387" s="1"/>
      <c r="R1387" s="8"/>
      <c r="S1387" s="1"/>
      <c r="T1387" s="8"/>
      <c r="U1387" s="1"/>
      <c r="V1387" s="1"/>
      <c r="W1387" s="1"/>
      <c r="X1387" s="1"/>
    </row>
    <row r="1388" spans="1:24">
      <c r="A1388" s="1"/>
      <c r="B1388" s="8"/>
      <c r="C1388" s="8"/>
      <c r="D1388" s="8"/>
      <c r="E1388" s="8"/>
      <c r="F1388" s="8"/>
      <c r="G1388" s="8"/>
      <c r="H1388" s="8"/>
      <c r="I1388" s="8"/>
      <c r="J1388" s="8"/>
      <c r="K1388" s="8"/>
      <c r="L1388" s="56"/>
      <c r="M1388" s="26"/>
      <c r="N1388" s="26"/>
      <c r="O1388" s="26"/>
      <c r="P1388" s="1"/>
      <c r="Q1388" s="1"/>
      <c r="R1388" s="8"/>
      <c r="S1388" s="1"/>
      <c r="T1388" s="8"/>
      <c r="U1388" s="1"/>
      <c r="V1388" s="1"/>
      <c r="W1388" s="1"/>
      <c r="X1388" s="1"/>
    </row>
    <row r="1389" spans="1:24">
      <c r="A1389" s="1"/>
      <c r="B1389" s="8"/>
      <c r="C1389" s="8"/>
      <c r="D1389" s="8"/>
      <c r="E1389" s="8"/>
      <c r="F1389" s="8"/>
      <c r="G1389" s="8"/>
      <c r="H1389" s="8"/>
      <c r="I1389" s="8"/>
      <c r="J1389" s="8"/>
      <c r="K1389" s="8"/>
      <c r="L1389" s="56"/>
      <c r="M1389" s="26"/>
      <c r="N1389" s="26"/>
      <c r="O1389" s="26"/>
      <c r="P1389" s="1"/>
      <c r="Q1389" s="1"/>
      <c r="R1389" s="8"/>
      <c r="S1389" s="1"/>
      <c r="T1389" s="8"/>
      <c r="U1389" s="1"/>
      <c r="V1389" s="1"/>
      <c r="W1389" s="1"/>
      <c r="X1389" s="1"/>
    </row>
    <row r="1390" spans="1:24">
      <c r="A1390" s="1"/>
      <c r="B1390" s="8"/>
      <c r="C1390" s="8"/>
      <c r="D1390" s="8"/>
      <c r="E1390" s="8"/>
      <c r="F1390" s="8"/>
      <c r="G1390" s="8"/>
      <c r="H1390" s="8"/>
      <c r="I1390" s="8"/>
      <c r="J1390" s="8"/>
      <c r="K1390" s="8"/>
      <c r="L1390" s="56"/>
      <c r="M1390" s="26"/>
      <c r="N1390" s="26"/>
      <c r="O1390" s="26"/>
      <c r="P1390" s="1"/>
      <c r="Q1390" s="1"/>
      <c r="R1390" s="8"/>
      <c r="S1390" s="1"/>
      <c r="T1390" s="8"/>
      <c r="U1390" s="1"/>
      <c r="V1390" s="1"/>
      <c r="W1390" s="1"/>
      <c r="X1390" s="1"/>
    </row>
    <row r="1391" spans="1:24">
      <c r="A1391" s="1"/>
      <c r="B1391" s="8"/>
      <c r="C1391" s="8"/>
      <c r="D1391" s="8"/>
      <c r="E1391" s="8"/>
      <c r="F1391" s="8"/>
      <c r="G1391" s="8"/>
      <c r="H1391" s="8"/>
      <c r="I1391" s="8"/>
      <c r="J1391" s="8"/>
      <c r="K1391" s="8"/>
      <c r="L1391" s="56"/>
      <c r="M1391" s="26"/>
      <c r="N1391" s="26"/>
      <c r="O1391" s="26"/>
      <c r="P1391" s="1"/>
      <c r="Q1391" s="1"/>
      <c r="R1391" s="8"/>
      <c r="S1391" s="1"/>
      <c r="T1391" s="8"/>
      <c r="U1391" s="1"/>
      <c r="V1391" s="1"/>
      <c r="W1391" s="1"/>
      <c r="X1391" s="1"/>
    </row>
    <row r="1392" spans="1:24">
      <c r="A1392" s="1"/>
      <c r="B1392" s="8"/>
      <c r="C1392" s="8"/>
      <c r="D1392" s="8"/>
      <c r="E1392" s="8"/>
      <c r="F1392" s="8"/>
      <c r="G1392" s="8"/>
      <c r="H1392" s="8"/>
      <c r="I1392" s="8"/>
      <c r="J1392" s="8"/>
      <c r="K1392" s="8"/>
      <c r="L1392" s="56"/>
      <c r="M1392" s="26"/>
      <c r="N1392" s="26"/>
      <c r="O1392" s="26"/>
      <c r="P1392" s="1"/>
      <c r="Q1392" s="1"/>
      <c r="R1392" s="8"/>
      <c r="S1392" s="1"/>
      <c r="T1392" s="8"/>
      <c r="U1392" s="1"/>
      <c r="V1392" s="1"/>
      <c r="W1392" s="1"/>
      <c r="X1392" s="1"/>
    </row>
    <row r="1393" spans="1:24">
      <c r="A1393" s="1"/>
      <c r="B1393" s="8"/>
      <c r="C1393" s="8"/>
      <c r="D1393" s="8"/>
      <c r="E1393" s="8"/>
      <c r="F1393" s="8"/>
      <c r="G1393" s="8"/>
      <c r="H1393" s="8"/>
      <c r="I1393" s="8"/>
      <c r="J1393" s="8"/>
      <c r="K1393" s="8"/>
      <c r="L1393" s="56"/>
      <c r="M1393" s="26"/>
      <c r="N1393" s="26"/>
      <c r="O1393" s="26"/>
      <c r="P1393" s="1"/>
      <c r="Q1393" s="1"/>
      <c r="R1393" s="8"/>
      <c r="S1393" s="1"/>
      <c r="T1393" s="8"/>
      <c r="U1393" s="1"/>
      <c r="V1393" s="1"/>
      <c r="W1393" s="1"/>
      <c r="X1393" s="1"/>
    </row>
    <row r="1394" spans="1:24">
      <c r="A1394" s="1"/>
      <c r="B1394" s="8"/>
      <c r="C1394" s="8"/>
      <c r="D1394" s="8"/>
      <c r="E1394" s="8"/>
      <c r="F1394" s="8"/>
      <c r="G1394" s="8"/>
      <c r="H1394" s="8"/>
      <c r="I1394" s="8"/>
      <c r="J1394" s="8"/>
      <c r="K1394" s="8"/>
      <c r="L1394" s="56"/>
      <c r="M1394" s="26"/>
      <c r="N1394" s="26"/>
      <c r="O1394" s="26"/>
      <c r="P1394" s="1"/>
      <c r="Q1394" s="1"/>
      <c r="R1394" s="8"/>
      <c r="S1394" s="1"/>
      <c r="T1394" s="8"/>
      <c r="U1394" s="1"/>
      <c r="V1394" s="1"/>
      <c r="W1394" s="1"/>
      <c r="X1394" s="1"/>
    </row>
    <row r="1395" spans="1:24">
      <c r="A1395" s="1"/>
      <c r="B1395" s="8"/>
      <c r="C1395" s="8"/>
      <c r="D1395" s="8"/>
      <c r="E1395" s="8"/>
      <c r="F1395" s="8"/>
      <c r="G1395" s="8"/>
      <c r="H1395" s="8"/>
      <c r="I1395" s="8"/>
      <c r="J1395" s="8"/>
      <c r="K1395" s="8"/>
      <c r="L1395" s="56"/>
      <c r="M1395" s="26"/>
      <c r="N1395" s="26"/>
      <c r="O1395" s="26"/>
      <c r="P1395" s="1"/>
      <c r="Q1395" s="1"/>
      <c r="R1395" s="8"/>
      <c r="S1395" s="1"/>
      <c r="T1395" s="8"/>
      <c r="U1395" s="1"/>
      <c r="V1395" s="1"/>
      <c r="W1395" s="1"/>
      <c r="X1395" s="1"/>
    </row>
    <row r="1396" spans="1:24">
      <c r="A1396" s="1"/>
      <c r="B1396" s="8"/>
      <c r="C1396" s="8"/>
      <c r="D1396" s="8"/>
      <c r="E1396" s="8"/>
      <c r="F1396" s="8"/>
      <c r="G1396" s="8"/>
      <c r="H1396" s="8"/>
      <c r="I1396" s="8"/>
      <c r="J1396" s="8"/>
      <c r="K1396" s="8"/>
      <c r="L1396" s="56"/>
      <c r="M1396" s="26"/>
      <c r="N1396" s="26"/>
      <c r="O1396" s="26"/>
      <c r="P1396" s="1"/>
      <c r="Q1396" s="1"/>
      <c r="R1396" s="8"/>
      <c r="S1396" s="1"/>
      <c r="T1396" s="8"/>
      <c r="U1396" s="1"/>
      <c r="V1396" s="1"/>
      <c r="W1396" s="1"/>
      <c r="X1396" s="1"/>
    </row>
    <row r="1397" spans="1:24">
      <c r="A1397" s="1"/>
      <c r="B1397" s="8"/>
      <c r="C1397" s="8"/>
      <c r="D1397" s="8"/>
      <c r="E1397" s="8"/>
      <c r="F1397" s="8"/>
      <c r="G1397" s="8"/>
      <c r="H1397" s="8"/>
      <c r="I1397" s="8"/>
      <c r="J1397" s="8"/>
      <c r="K1397" s="8"/>
      <c r="L1397" s="56"/>
      <c r="M1397" s="26"/>
      <c r="N1397" s="26"/>
      <c r="O1397" s="26"/>
      <c r="P1397" s="1"/>
      <c r="Q1397" s="1"/>
      <c r="R1397" s="8"/>
      <c r="S1397" s="1"/>
      <c r="T1397" s="8"/>
      <c r="U1397" s="1"/>
      <c r="V1397" s="1"/>
      <c r="W1397" s="1"/>
      <c r="X1397" s="1"/>
    </row>
    <row r="1398" spans="1:24">
      <c r="A1398" s="1"/>
      <c r="B1398" s="8"/>
      <c r="C1398" s="8"/>
      <c r="D1398" s="8"/>
      <c r="E1398" s="8"/>
      <c r="F1398" s="8"/>
      <c r="G1398" s="8"/>
      <c r="H1398" s="8"/>
      <c r="I1398" s="8"/>
      <c r="J1398" s="8"/>
      <c r="K1398" s="8"/>
      <c r="L1398" s="56"/>
      <c r="M1398" s="26"/>
      <c r="N1398" s="26"/>
      <c r="O1398" s="26"/>
      <c r="P1398" s="1"/>
      <c r="Q1398" s="1"/>
      <c r="R1398" s="8"/>
      <c r="S1398" s="1"/>
      <c r="T1398" s="8"/>
      <c r="U1398" s="1"/>
      <c r="V1398" s="1"/>
      <c r="W1398" s="1"/>
      <c r="X1398" s="1"/>
    </row>
    <row r="1399" spans="1:24">
      <c r="A1399" s="1"/>
      <c r="B1399" s="8"/>
      <c r="C1399" s="8"/>
      <c r="D1399" s="8"/>
      <c r="E1399" s="8"/>
      <c r="F1399" s="8"/>
      <c r="G1399" s="8"/>
      <c r="H1399" s="8"/>
      <c r="I1399" s="8"/>
      <c r="J1399" s="8"/>
      <c r="K1399" s="8"/>
      <c r="L1399" s="56"/>
      <c r="M1399" s="26"/>
      <c r="N1399" s="26"/>
      <c r="O1399" s="26"/>
      <c r="P1399" s="1"/>
      <c r="Q1399" s="1"/>
      <c r="R1399" s="8"/>
      <c r="S1399" s="1"/>
      <c r="T1399" s="8"/>
      <c r="U1399" s="1"/>
      <c r="V1399" s="1"/>
      <c r="W1399" s="1"/>
      <c r="X1399" s="1"/>
    </row>
    <row r="1400" spans="1:24">
      <c r="A1400" s="1"/>
      <c r="B1400" s="8"/>
      <c r="C1400" s="8"/>
      <c r="D1400" s="8"/>
      <c r="E1400" s="8"/>
      <c r="F1400" s="8"/>
      <c r="G1400" s="8"/>
      <c r="H1400" s="8"/>
      <c r="I1400" s="8"/>
      <c r="J1400" s="8"/>
      <c r="K1400" s="8"/>
      <c r="L1400" s="56"/>
      <c r="M1400" s="26"/>
      <c r="N1400" s="26"/>
      <c r="O1400" s="26"/>
      <c r="P1400" s="1"/>
      <c r="Q1400" s="1"/>
      <c r="R1400" s="8"/>
      <c r="S1400" s="1"/>
      <c r="T1400" s="8"/>
      <c r="U1400" s="1"/>
      <c r="V1400" s="1"/>
      <c r="W1400" s="1"/>
      <c r="X1400" s="1"/>
    </row>
    <row r="1401" spans="1:24">
      <c r="A1401" s="1"/>
      <c r="B1401" s="8"/>
      <c r="C1401" s="8"/>
      <c r="D1401" s="8"/>
      <c r="E1401" s="8"/>
      <c r="F1401" s="8"/>
      <c r="G1401" s="8"/>
      <c r="H1401" s="8"/>
      <c r="I1401" s="8"/>
      <c r="J1401" s="8"/>
      <c r="K1401" s="8"/>
      <c r="L1401" s="56"/>
      <c r="M1401" s="26"/>
      <c r="N1401" s="26"/>
      <c r="O1401" s="26"/>
      <c r="P1401" s="1"/>
      <c r="Q1401" s="1"/>
      <c r="R1401" s="8"/>
      <c r="S1401" s="1"/>
      <c r="T1401" s="8"/>
      <c r="U1401" s="1"/>
      <c r="V1401" s="1"/>
      <c r="W1401" s="1"/>
      <c r="X1401" s="1"/>
    </row>
    <row r="1402" spans="1:24">
      <c r="A1402" s="1"/>
      <c r="B1402" s="8"/>
      <c r="C1402" s="8"/>
      <c r="D1402" s="8"/>
      <c r="E1402" s="8"/>
      <c r="F1402" s="8"/>
      <c r="G1402" s="8"/>
      <c r="H1402" s="8"/>
      <c r="I1402" s="8"/>
      <c r="J1402" s="8"/>
      <c r="K1402" s="8"/>
      <c r="L1402" s="56"/>
      <c r="M1402" s="26"/>
      <c r="N1402" s="26"/>
      <c r="O1402" s="26"/>
      <c r="P1402" s="1"/>
      <c r="Q1402" s="1"/>
      <c r="R1402" s="8"/>
      <c r="S1402" s="1"/>
      <c r="T1402" s="8"/>
      <c r="U1402" s="1"/>
      <c r="V1402" s="1"/>
      <c r="W1402" s="1"/>
      <c r="X1402" s="1"/>
    </row>
    <row r="1403" spans="1:24">
      <c r="A1403" s="1"/>
      <c r="B1403" s="8"/>
      <c r="C1403" s="8"/>
      <c r="D1403" s="8"/>
      <c r="E1403" s="8"/>
      <c r="F1403" s="8"/>
      <c r="G1403" s="8"/>
      <c r="H1403" s="8"/>
      <c r="I1403" s="8"/>
      <c r="J1403" s="8"/>
      <c r="K1403" s="8"/>
      <c r="L1403" s="56"/>
      <c r="M1403" s="26"/>
      <c r="N1403" s="26"/>
      <c r="O1403" s="26"/>
      <c r="P1403" s="1"/>
      <c r="Q1403" s="1"/>
      <c r="R1403" s="8"/>
      <c r="S1403" s="1"/>
      <c r="T1403" s="8"/>
      <c r="U1403" s="1"/>
      <c r="V1403" s="1"/>
      <c r="W1403" s="1"/>
      <c r="X1403" s="1"/>
    </row>
    <row r="1404" spans="1:24">
      <c r="A1404" s="1"/>
      <c r="B1404" s="8"/>
      <c r="C1404" s="8"/>
      <c r="D1404" s="8"/>
      <c r="E1404" s="8"/>
      <c r="F1404" s="8"/>
      <c r="G1404" s="8"/>
      <c r="H1404" s="8"/>
      <c r="I1404" s="8"/>
      <c r="J1404" s="8"/>
      <c r="K1404" s="8"/>
      <c r="L1404" s="56"/>
      <c r="M1404" s="26"/>
      <c r="N1404" s="26"/>
      <c r="O1404" s="26"/>
      <c r="P1404" s="1"/>
      <c r="Q1404" s="1"/>
      <c r="R1404" s="8"/>
      <c r="S1404" s="1"/>
      <c r="T1404" s="8"/>
      <c r="U1404" s="1"/>
      <c r="V1404" s="1"/>
      <c r="W1404" s="1"/>
      <c r="X1404" s="1"/>
    </row>
    <row r="1405" spans="1:24">
      <c r="A1405" s="1"/>
      <c r="B1405" s="8"/>
      <c r="C1405" s="8"/>
      <c r="D1405" s="8"/>
      <c r="E1405" s="8"/>
      <c r="F1405" s="8"/>
      <c r="G1405" s="8"/>
      <c r="H1405" s="8"/>
      <c r="I1405" s="8"/>
      <c r="J1405" s="8"/>
      <c r="K1405" s="8"/>
      <c r="L1405" s="56"/>
      <c r="M1405" s="26"/>
      <c r="N1405" s="26"/>
      <c r="O1405" s="26"/>
      <c r="P1405" s="1"/>
      <c r="Q1405" s="1"/>
      <c r="R1405" s="8"/>
      <c r="S1405" s="1"/>
      <c r="T1405" s="8"/>
      <c r="U1405" s="1"/>
      <c r="V1405" s="1"/>
      <c r="W1405" s="1"/>
      <c r="X1405" s="1"/>
    </row>
    <row r="1406" spans="1:24">
      <c r="A1406" s="1"/>
      <c r="B1406" s="8"/>
      <c r="C1406" s="8"/>
      <c r="D1406" s="8"/>
      <c r="E1406" s="8"/>
      <c r="F1406" s="8"/>
      <c r="G1406" s="8"/>
      <c r="H1406" s="8"/>
      <c r="I1406" s="8"/>
      <c r="J1406" s="8"/>
      <c r="K1406" s="8"/>
      <c r="L1406" s="56"/>
      <c r="M1406" s="26"/>
      <c r="N1406" s="26"/>
      <c r="O1406" s="26"/>
      <c r="P1406" s="1"/>
      <c r="Q1406" s="1"/>
      <c r="R1406" s="8"/>
      <c r="S1406" s="1"/>
      <c r="T1406" s="8"/>
      <c r="U1406" s="1"/>
      <c r="V1406" s="1"/>
      <c r="W1406" s="1"/>
      <c r="X1406" s="1"/>
    </row>
    <row r="1407" spans="1:24">
      <c r="A1407" s="1"/>
      <c r="B1407" s="8"/>
      <c r="C1407" s="8"/>
      <c r="D1407" s="8"/>
      <c r="E1407" s="8"/>
      <c r="F1407" s="8"/>
      <c r="G1407" s="8"/>
      <c r="H1407" s="8"/>
      <c r="I1407" s="8"/>
      <c r="J1407" s="8"/>
      <c r="K1407" s="8"/>
      <c r="L1407" s="56"/>
      <c r="M1407" s="26"/>
      <c r="N1407" s="26"/>
      <c r="O1407" s="26"/>
      <c r="P1407" s="1"/>
      <c r="Q1407" s="1"/>
      <c r="R1407" s="8"/>
      <c r="S1407" s="1"/>
      <c r="T1407" s="8"/>
      <c r="U1407" s="1"/>
      <c r="V1407" s="1"/>
      <c r="W1407" s="1"/>
      <c r="X1407" s="1"/>
    </row>
    <row r="1408" spans="1:24">
      <c r="A1408" s="1"/>
      <c r="B1408" s="8"/>
      <c r="C1408" s="8"/>
      <c r="D1408" s="8"/>
      <c r="E1408" s="8"/>
      <c r="F1408" s="8"/>
      <c r="G1408" s="8"/>
      <c r="H1408" s="8"/>
      <c r="I1408" s="8"/>
      <c r="J1408" s="8"/>
      <c r="K1408" s="8"/>
      <c r="L1408" s="56"/>
      <c r="M1408" s="26"/>
      <c r="N1408" s="26"/>
      <c r="O1408" s="26"/>
      <c r="P1408" s="1"/>
      <c r="Q1408" s="1"/>
      <c r="R1408" s="8"/>
      <c r="S1408" s="1"/>
      <c r="T1408" s="8"/>
      <c r="U1408" s="1"/>
      <c r="V1408" s="1"/>
      <c r="W1408" s="1"/>
      <c r="X1408" s="1"/>
    </row>
    <row r="1409" spans="1:24">
      <c r="A1409" s="1"/>
      <c r="B1409" s="8"/>
      <c r="C1409" s="8"/>
      <c r="D1409" s="8"/>
      <c r="E1409" s="8"/>
      <c r="F1409" s="8"/>
      <c r="G1409" s="8"/>
      <c r="H1409" s="8"/>
      <c r="I1409" s="8"/>
      <c r="J1409" s="8"/>
      <c r="K1409" s="8"/>
      <c r="L1409" s="56"/>
      <c r="M1409" s="26"/>
      <c r="N1409" s="26"/>
      <c r="O1409" s="26"/>
      <c r="P1409" s="1"/>
      <c r="Q1409" s="1"/>
      <c r="R1409" s="8"/>
      <c r="S1409" s="1"/>
      <c r="T1409" s="8"/>
      <c r="U1409" s="1"/>
      <c r="V1409" s="1"/>
      <c r="W1409" s="1"/>
      <c r="X1409" s="1"/>
    </row>
    <row r="1410" spans="1:24">
      <c r="A1410" s="1"/>
      <c r="B1410" s="8"/>
      <c r="C1410" s="8"/>
      <c r="D1410" s="8"/>
      <c r="E1410" s="8"/>
      <c r="F1410" s="8"/>
      <c r="G1410" s="8"/>
      <c r="H1410" s="8"/>
      <c r="I1410" s="8"/>
      <c r="J1410" s="8"/>
      <c r="K1410" s="8"/>
      <c r="L1410" s="56"/>
      <c r="M1410" s="26"/>
      <c r="N1410" s="26"/>
      <c r="O1410" s="26"/>
      <c r="P1410" s="1"/>
      <c r="Q1410" s="1"/>
      <c r="R1410" s="8"/>
      <c r="S1410" s="1"/>
      <c r="T1410" s="8"/>
      <c r="U1410" s="1"/>
      <c r="V1410" s="1"/>
      <c r="W1410" s="1"/>
      <c r="X1410" s="1"/>
    </row>
    <row r="1411" spans="1:24">
      <c r="A1411" s="1"/>
      <c r="B1411" s="8"/>
      <c r="C1411" s="8"/>
      <c r="D1411" s="8"/>
      <c r="E1411" s="8"/>
      <c r="F1411" s="8"/>
      <c r="G1411" s="8"/>
      <c r="H1411" s="8"/>
      <c r="I1411" s="8"/>
      <c r="J1411" s="8"/>
      <c r="K1411" s="8"/>
      <c r="L1411" s="56"/>
      <c r="M1411" s="26"/>
      <c r="N1411" s="26"/>
      <c r="O1411" s="26"/>
      <c r="P1411" s="1"/>
      <c r="Q1411" s="1"/>
      <c r="R1411" s="8"/>
      <c r="S1411" s="1"/>
      <c r="T1411" s="8"/>
      <c r="U1411" s="1"/>
      <c r="V1411" s="1"/>
      <c r="W1411" s="1"/>
      <c r="X1411" s="1"/>
    </row>
    <row r="1412" spans="1:24">
      <c r="A1412" s="1"/>
      <c r="B1412" s="8"/>
      <c r="C1412" s="8"/>
      <c r="D1412" s="8"/>
      <c r="E1412" s="8"/>
      <c r="F1412" s="8"/>
      <c r="G1412" s="8"/>
      <c r="H1412" s="8"/>
      <c r="I1412" s="8"/>
      <c r="J1412" s="8"/>
      <c r="K1412" s="8"/>
      <c r="L1412" s="56"/>
      <c r="M1412" s="26"/>
      <c r="N1412" s="26"/>
      <c r="O1412" s="26"/>
      <c r="P1412" s="1"/>
      <c r="Q1412" s="1"/>
      <c r="R1412" s="8"/>
      <c r="S1412" s="1"/>
      <c r="T1412" s="8"/>
      <c r="U1412" s="1"/>
      <c r="V1412" s="1"/>
      <c r="W1412" s="1"/>
      <c r="X1412" s="1"/>
    </row>
    <row r="1413" spans="1:24">
      <c r="A1413" s="1"/>
      <c r="B1413" s="8"/>
      <c r="C1413" s="8"/>
      <c r="D1413" s="8"/>
      <c r="E1413" s="8"/>
      <c r="F1413" s="8"/>
      <c r="G1413" s="8"/>
      <c r="H1413" s="8"/>
      <c r="I1413" s="8"/>
      <c r="J1413" s="8"/>
      <c r="K1413" s="8"/>
      <c r="L1413" s="56"/>
      <c r="M1413" s="26"/>
      <c r="N1413" s="26"/>
      <c r="O1413" s="26"/>
      <c r="P1413" s="1"/>
      <c r="Q1413" s="1"/>
      <c r="R1413" s="8"/>
      <c r="S1413" s="1"/>
      <c r="T1413" s="8"/>
      <c r="U1413" s="1"/>
      <c r="V1413" s="1"/>
      <c r="W1413" s="1"/>
      <c r="X1413" s="1"/>
    </row>
    <row r="1414" spans="1:24">
      <c r="A1414" s="1"/>
      <c r="B1414" s="8"/>
      <c r="C1414" s="8"/>
      <c r="D1414" s="8"/>
      <c r="E1414" s="8"/>
      <c r="F1414" s="8"/>
      <c r="G1414" s="8"/>
      <c r="H1414" s="8"/>
      <c r="I1414" s="8"/>
      <c r="J1414" s="8"/>
      <c r="K1414" s="8"/>
      <c r="L1414" s="56"/>
      <c r="M1414" s="26"/>
      <c r="N1414" s="26"/>
      <c r="O1414" s="26"/>
      <c r="P1414" s="1"/>
      <c r="Q1414" s="1"/>
      <c r="R1414" s="8"/>
      <c r="S1414" s="1"/>
      <c r="T1414" s="8"/>
      <c r="U1414" s="1"/>
      <c r="V1414" s="1"/>
      <c r="W1414" s="1"/>
      <c r="X1414" s="1"/>
    </row>
    <row r="1415" spans="1:24">
      <c r="A1415" s="1"/>
      <c r="B1415" s="8"/>
      <c r="C1415" s="8"/>
      <c r="D1415" s="8"/>
      <c r="E1415" s="8"/>
      <c r="F1415" s="8"/>
      <c r="G1415" s="8"/>
      <c r="H1415" s="8"/>
      <c r="I1415" s="8"/>
      <c r="J1415" s="8"/>
      <c r="K1415" s="8"/>
      <c r="L1415" s="56"/>
      <c r="M1415" s="26"/>
      <c r="N1415" s="26"/>
      <c r="O1415" s="26"/>
      <c r="P1415" s="1"/>
      <c r="Q1415" s="1"/>
      <c r="R1415" s="8"/>
      <c r="S1415" s="1"/>
      <c r="T1415" s="8"/>
      <c r="U1415" s="1"/>
      <c r="V1415" s="1"/>
      <c r="W1415" s="1"/>
      <c r="X1415" s="1"/>
    </row>
    <row r="1416" spans="1:24">
      <c r="A1416" s="1"/>
      <c r="B1416" s="8"/>
      <c r="C1416" s="8"/>
      <c r="D1416" s="8"/>
      <c r="E1416" s="8"/>
      <c r="F1416" s="8"/>
      <c r="G1416" s="8"/>
      <c r="H1416" s="8"/>
      <c r="I1416" s="8"/>
      <c r="J1416" s="8"/>
      <c r="K1416" s="8"/>
      <c r="L1416" s="56"/>
      <c r="M1416" s="26"/>
      <c r="N1416" s="26"/>
      <c r="O1416" s="26"/>
      <c r="P1416" s="1"/>
      <c r="Q1416" s="1"/>
      <c r="R1416" s="8"/>
      <c r="S1416" s="1"/>
      <c r="T1416" s="8"/>
      <c r="U1416" s="1"/>
      <c r="V1416" s="1"/>
      <c r="W1416" s="1"/>
      <c r="X1416" s="1"/>
    </row>
    <row r="1417" spans="1:24">
      <c r="A1417" s="1"/>
      <c r="B1417" s="8"/>
      <c r="C1417" s="8"/>
      <c r="D1417" s="8"/>
      <c r="E1417" s="8"/>
      <c r="F1417" s="8"/>
      <c r="G1417" s="8"/>
      <c r="H1417" s="8"/>
      <c r="I1417" s="8"/>
      <c r="J1417" s="8"/>
      <c r="K1417" s="8"/>
      <c r="L1417" s="56"/>
      <c r="M1417" s="26"/>
      <c r="N1417" s="26"/>
      <c r="O1417" s="26"/>
      <c r="P1417" s="1"/>
      <c r="Q1417" s="1"/>
      <c r="R1417" s="8"/>
      <c r="S1417" s="1"/>
      <c r="T1417" s="8"/>
      <c r="U1417" s="1"/>
      <c r="V1417" s="1"/>
      <c r="W1417" s="1"/>
      <c r="X1417" s="1"/>
    </row>
    <row r="1418" spans="1:24">
      <c r="A1418" s="1"/>
      <c r="B1418" s="8"/>
      <c r="C1418" s="8"/>
      <c r="D1418" s="8"/>
      <c r="E1418" s="8"/>
      <c r="F1418" s="8"/>
      <c r="G1418" s="8"/>
      <c r="H1418" s="8"/>
      <c r="I1418" s="8"/>
      <c r="J1418" s="8"/>
      <c r="K1418" s="8"/>
      <c r="L1418" s="56"/>
      <c r="M1418" s="26"/>
      <c r="N1418" s="26"/>
      <c r="O1418" s="26"/>
      <c r="P1418" s="1"/>
      <c r="Q1418" s="1"/>
      <c r="R1418" s="8"/>
      <c r="S1418" s="1"/>
      <c r="T1418" s="8"/>
      <c r="U1418" s="1"/>
      <c r="V1418" s="1"/>
      <c r="W1418" s="1"/>
      <c r="X1418" s="1"/>
    </row>
    <row r="1419" spans="1:24">
      <c r="A1419" s="1"/>
      <c r="B1419" s="8"/>
      <c r="C1419" s="8"/>
      <c r="D1419" s="8"/>
      <c r="E1419" s="8"/>
      <c r="F1419" s="8"/>
      <c r="G1419" s="8"/>
      <c r="H1419" s="8"/>
      <c r="I1419" s="8"/>
      <c r="J1419" s="8"/>
      <c r="K1419" s="8"/>
      <c r="L1419" s="56"/>
      <c r="M1419" s="26"/>
      <c r="N1419" s="26"/>
      <c r="O1419" s="26"/>
      <c r="P1419" s="1"/>
      <c r="Q1419" s="1"/>
      <c r="R1419" s="8"/>
      <c r="S1419" s="1"/>
      <c r="T1419" s="8"/>
      <c r="U1419" s="1"/>
      <c r="V1419" s="1"/>
      <c r="W1419" s="1"/>
      <c r="X1419" s="1"/>
    </row>
    <row r="1420" spans="1:24">
      <c r="A1420" s="1"/>
      <c r="B1420" s="8"/>
      <c r="C1420" s="8"/>
      <c r="D1420" s="8"/>
      <c r="E1420" s="8"/>
      <c r="F1420" s="8"/>
      <c r="G1420" s="8"/>
      <c r="H1420" s="8"/>
      <c r="I1420" s="8"/>
      <c r="J1420" s="8"/>
      <c r="K1420" s="8"/>
      <c r="L1420" s="56"/>
      <c r="M1420" s="26"/>
      <c r="N1420" s="26"/>
      <c r="O1420" s="26"/>
      <c r="P1420" s="1"/>
      <c r="Q1420" s="1"/>
      <c r="R1420" s="8"/>
      <c r="S1420" s="1"/>
      <c r="T1420" s="8"/>
      <c r="U1420" s="1"/>
      <c r="V1420" s="1"/>
      <c r="W1420" s="1"/>
      <c r="X1420" s="1"/>
    </row>
    <row r="1421" spans="1:24">
      <c r="A1421" s="1"/>
      <c r="B1421" s="8"/>
      <c r="C1421" s="8"/>
      <c r="D1421" s="8"/>
      <c r="E1421" s="8"/>
      <c r="F1421" s="8"/>
      <c r="G1421" s="8"/>
      <c r="H1421" s="8"/>
      <c r="I1421" s="8"/>
      <c r="J1421" s="8"/>
      <c r="K1421" s="8"/>
      <c r="L1421" s="56"/>
      <c r="M1421" s="26"/>
      <c r="N1421" s="26"/>
      <c r="O1421" s="26"/>
      <c r="P1421" s="1"/>
      <c r="Q1421" s="1"/>
      <c r="R1421" s="8"/>
      <c r="S1421" s="1"/>
      <c r="T1421" s="8"/>
      <c r="U1421" s="1"/>
      <c r="V1421" s="1"/>
      <c r="W1421" s="1"/>
      <c r="X1421" s="1"/>
    </row>
    <row r="1422" spans="1:24">
      <c r="A1422" s="1"/>
      <c r="B1422" s="8"/>
      <c r="C1422" s="8"/>
      <c r="D1422" s="8"/>
      <c r="E1422" s="8"/>
      <c r="F1422" s="8"/>
      <c r="G1422" s="8"/>
      <c r="H1422" s="8"/>
      <c r="I1422" s="8"/>
      <c r="J1422" s="8"/>
      <c r="K1422" s="8"/>
      <c r="L1422" s="56"/>
      <c r="M1422" s="26"/>
      <c r="N1422" s="26"/>
      <c r="O1422" s="26"/>
      <c r="P1422" s="1"/>
      <c r="Q1422" s="1"/>
      <c r="R1422" s="8"/>
      <c r="S1422" s="1"/>
      <c r="T1422" s="8"/>
      <c r="U1422" s="1"/>
      <c r="V1422" s="1"/>
      <c r="W1422" s="1"/>
      <c r="X1422" s="1"/>
    </row>
    <row r="1423" spans="1:24">
      <c r="A1423" s="1"/>
      <c r="B1423" s="8"/>
      <c r="C1423" s="8"/>
      <c r="D1423" s="8"/>
      <c r="E1423" s="8"/>
      <c r="F1423" s="8"/>
      <c r="G1423" s="8"/>
      <c r="H1423" s="8"/>
      <c r="I1423" s="8"/>
      <c r="J1423" s="8"/>
      <c r="K1423" s="8"/>
      <c r="L1423" s="56"/>
      <c r="M1423" s="26"/>
      <c r="N1423" s="26"/>
      <c r="O1423" s="26"/>
      <c r="P1423" s="1"/>
      <c r="Q1423" s="1"/>
      <c r="R1423" s="8"/>
      <c r="S1423" s="1"/>
      <c r="T1423" s="8"/>
      <c r="U1423" s="1"/>
      <c r="V1423" s="1"/>
      <c r="W1423" s="1"/>
      <c r="X1423" s="1"/>
    </row>
    <row r="1424" spans="1:24">
      <c r="A1424" s="1"/>
      <c r="B1424" s="8"/>
      <c r="C1424" s="8"/>
      <c r="D1424" s="8"/>
      <c r="E1424" s="8"/>
      <c r="F1424" s="8"/>
      <c r="G1424" s="8"/>
      <c r="H1424" s="8"/>
      <c r="I1424" s="8"/>
      <c r="J1424" s="8"/>
      <c r="K1424" s="8"/>
      <c r="L1424" s="56"/>
      <c r="M1424" s="26"/>
      <c r="N1424" s="26"/>
      <c r="O1424" s="26"/>
      <c r="P1424" s="1"/>
      <c r="Q1424" s="1"/>
      <c r="R1424" s="8"/>
      <c r="S1424" s="1"/>
      <c r="T1424" s="8"/>
      <c r="U1424" s="1"/>
      <c r="V1424" s="1"/>
      <c r="W1424" s="1"/>
      <c r="X1424" s="1"/>
    </row>
    <row r="1425" spans="1:24">
      <c r="A1425" s="1"/>
      <c r="B1425" s="8"/>
      <c r="C1425" s="8"/>
      <c r="D1425" s="8"/>
      <c r="E1425" s="8"/>
      <c r="F1425" s="8"/>
      <c r="G1425" s="8"/>
      <c r="H1425" s="8"/>
      <c r="I1425" s="8"/>
      <c r="J1425" s="8"/>
      <c r="K1425" s="8"/>
      <c r="L1425" s="56"/>
      <c r="M1425" s="26"/>
      <c r="N1425" s="26"/>
      <c r="O1425" s="26"/>
      <c r="P1425" s="1"/>
      <c r="Q1425" s="1"/>
      <c r="R1425" s="8"/>
      <c r="S1425" s="1"/>
      <c r="T1425" s="8"/>
      <c r="U1425" s="1"/>
      <c r="V1425" s="1"/>
      <c r="W1425" s="1"/>
      <c r="X1425" s="1"/>
    </row>
    <row r="1426" spans="1:24">
      <c r="A1426" s="1"/>
      <c r="B1426" s="8"/>
      <c r="C1426" s="8"/>
      <c r="D1426" s="8"/>
      <c r="E1426" s="8"/>
      <c r="F1426" s="8"/>
      <c r="G1426" s="8"/>
      <c r="H1426" s="8"/>
      <c r="I1426" s="8"/>
      <c r="J1426" s="8"/>
      <c r="K1426" s="8"/>
      <c r="L1426" s="56"/>
      <c r="M1426" s="26"/>
      <c r="N1426" s="26"/>
      <c r="O1426" s="26"/>
      <c r="P1426" s="1"/>
      <c r="Q1426" s="1"/>
      <c r="R1426" s="8"/>
      <c r="S1426" s="1"/>
      <c r="T1426" s="8"/>
      <c r="U1426" s="1"/>
      <c r="V1426" s="1"/>
      <c r="W1426" s="1"/>
      <c r="X1426" s="1"/>
    </row>
    <row r="1427" spans="1:24">
      <c r="A1427" s="1"/>
      <c r="B1427" s="8"/>
      <c r="C1427" s="8"/>
      <c r="D1427" s="8"/>
      <c r="E1427" s="8"/>
      <c r="F1427" s="8"/>
      <c r="G1427" s="8"/>
      <c r="H1427" s="8"/>
      <c r="I1427" s="8"/>
      <c r="J1427" s="8"/>
      <c r="K1427" s="8"/>
      <c r="L1427" s="56"/>
      <c r="M1427" s="26"/>
      <c r="N1427" s="26"/>
      <c r="O1427" s="26"/>
      <c r="P1427" s="1"/>
      <c r="Q1427" s="1"/>
      <c r="R1427" s="8"/>
      <c r="S1427" s="1"/>
      <c r="T1427" s="8"/>
      <c r="U1427" s="1"/>
      <c r="V1427" s="1"/>
      <c r="W1427" s="1"/>
      <c r="X1427" s="1"/>
    </row>
    <row r="1428" spans="1:24">
      <c r="A1428" s="1"/>
      <c r="B1428" s="8"/>
      <c r="C1428" s="8"/>
      <c r="D1428" s="8"/>
      <c r="E1428" s="8"/>
      <c r="F1428" s="8"/>
      <c r="G1428" s="8"/>
      <c r="H1428" s="8"/>
      <c r="I1428" s="8"/>
      <c r="J1428" s="8"/>
      <c r="K1428" s="8"/>
      <c r="L1428" s="56"/>
      <c r="M1428" s="26"/>
      <c r="N1428" s="26"/>
      <c r="O1428" s="26"/>
      <c r="P1428" s="1"/>
      <c r="Q1428" s="1"/>
      <c r="R1428" s="8"/>
      <c r="S1428" s="1"/>
      <c r="T1428" s="8"/>
      <c r="U1428" s="1"/>
      <c r="V1428" s="1"/>
      <c r="W1428" s="1"/>
      <c r="X1428" s="1"/>
    </row>
    <row r="1429" spans="1:24">
      <c r="A1429" s="1"/>
      <c r="B1429" s="8"/>
      <c r="C1429" s="8"/>
      <c r="D1429" s="8"/>
      <c r="E1429" s="8"/>
      <c r="F1429" s="8"/>
      <c r="G1429" s="8"/>
      <c r="H1429" s="8"/>
      <c r="I1429" s="8"/>
      <c r="J1429" s="8"/>
      <c r="K1429" s="8"/>
      <c r="L1429" s="56"/>
      <c r="M1429" s="26"/>
      <c r="N1429" s="26"/>
      <c r="O1429" s="26"/>
      <c r="P1429" s="1"/>
      <c r="Q1429" s="1"/>
      <c r="R1429" s="8"/>
      <c r="S1429" s="1"/>
      <c r="T1429" s="8"/>
      <c r="U1429" s="1"/>
      <c r="V1429" s="1"/>
      <c r="W1429" s="1"/>
      <c r="X1429" s="1"/>
    </row>
    <row r="1430" spans="1:24">
      <c r="A1430" s="1"/>
      <c r="B1430" s="8"/>
      <c r="C1430" s="8"/>
      <c r="D1430" s="8"/>
      <c r="E1430" s="8"/>
      <c r="F1430" s="8"/>
      <c r="G1430" s="8"/>
      <c r="H1430" s="8"/>
      <c r="I1430" s="8"/>
      <c r="J1430" s="8"/>
      <c r="K1430" s="8"/>
      <c r="L1430" s="56"/>
      <c r="M1430" s="26"/>
      <c r="N1430" s="26"/>
      <c r="O1430" s="26"/>
      <c r="P1430" s="1"/>
      <c r="Q1430" s="1"/>
      <c r="R1430" s="8"/>
      <c r="S1430" s="1"/>
      <c r="T1430" s="8"/>
      <c r="U1430" s="1"/>
      <c r="V1430" s="1"/>
      <c r="W1430" s="1"/>
      <c r="X1430" s="1"/>
    </row>
    <row r="1431" spans="1:24">
      <c r="A1431" s="1"/>
      <c r="B1431" s="8"/>
      <c r="C1431" s="8"/>
      <c r="D1431" s="8"/>
      <c r="E1431" s="8"/>
      <c r="F1431" s="8"/>
      <c r="G1431" s="8"/>
      <c r="H1431" s="8"/>
      <c r="I1431" s="8"/>
      <c r="J1431" s="8"/>
      <c r="K1431" s="8"/>
      <c r="L1431" s="56"/>
      <c r="M1431" s="26"/>
      <c r="N1431" s="26"/>
      <c r="O1431" s="26"/>
      <c r="P1431" s="1"/>
      <c r="Q1431" s="1"/>
      <c r="R1431" s="8"/>
      <c r="S1431" s="1"/>
      <c r="T1431" s="8"/>
      <c r="U1431" s="1"/>
      <c r="V1431" s="1"/>
      <c r="W1431" s="1"/>
      <c r="X1431" s="1"/>
    </row>
    <row r="1432" spans="1:24">
      <c r="A1432" s="1"/>
      <c r="B1432" s="8"/>
      <c r="C1432" s="8"/>
      <c r="D1432" s="8"/>
      <c r="E1432" s="8"/>
      <c r="F1432" s="8"/>
      <c r="G1432" s="8"/>
      <c r="H1432" s="8"/>
      <c r="I1432" s="8"/>
      <c r="J1432" s="8"/>
      <c r="K1432" s="8"/>
      <c r="L1432" s="56"/>
      <c r="M1432" s="26"/>
      <c r="N1432" s="26"/>
      <c r="O1432" s="26"/>
      <c r="P1432" s="1"/>
      <c r="Q1432" s="1"/>
      <c r="R1432" s="8"/>
      <c r="S1432" s="1"/>
      <c r="T1432" s="8"/>
      <c r="U1432" s="1"/>
      <c r="V1432" s="1"/>
      <c r="W1432" s="1"/>
      <c r="X1432" s="1"/>
    </row>
    <row r="1433" spans="1:24">
      <c r="A1433" s="1"/>
      <c r="B1433" s="8"/>
      <c r="C1433" s="8"/>
      <c r="D1433" s="8"/>
      <c r="E1433" s="8"/>
      <c r="F1433" s="8"/>
      <c r="G1433" s="8"/>
      <c r="H1433" s="8"/>
      <c r="I1433" s="8"/>
      <c r="J1433" s="8"/>
      <c r="K1433" s="8"/>
      <c r="L1433" s="56"/>
      <c r="M1433" s="26"/>
      <c r="N1433" s="26"/>
      <c r="O1433" s="26"/>
      <c r="P1433" s="1"/>
      <c r="Q1433" s="1"/>
      <c r="R1433" s="8"/>
      <c r="S1433" s="1"/>
      <c r="T1433" s="8"/>
      <c r="U1433" s="1"/>
      <c r="V1433" s="1"/>
      <c r="W1433" s="1"/>
      <c r="X1433" s="1"/>
    </row>
    <row r="1434" spans="1:24">
      <c r="A1434" s="1"/>
      <c r="B1434" s="8"/>
      <c r="C1434" s="8"/>
      <c r="D1434" s="8"/>
      <c r="E1434" s="8"/>
      <c r="F1434" s="8"/>
      <c r="G1434" s="8"/>
      <c r="H1434" s="8"/>
      <c r="I1434" s="8"/>
      <c r="J1434" s="8"/>
      <c r="K1434" s="8"/>
      <c r="L1434" s="56"/>
      <c r="M1434" s="26"/>
      <c r="N1434" s="26"/>
      <c r="O1434" s="26"/>
      <c r="P1434" s="1"/>
      <c r="Q1434" s="1"/>
      <c r="R1434" s="8"/>
      <c r="S1434" s="1"/>
      <c r="T1434" s="8"/>
      <c r="U1434" s="1"/>
      <c r="V1434" s="1"/>
      <c r="W1434" s="1"/>
      <c r="X1434" s="1"/>
    </row>
    <row r="1435" spans="1:24">
      <c r="A1435" s="1"/>
      <c r="B1435" s="8"/>
      <c r="C1435" s="8"/>
      <c r="D1435" s="8"/>
      <c r="E1435" s="8"/>
      <c r="F1435" s="8"/>
      <c r="G1435" s="8"/>
      <c r="H1435" s="8"/>
      <c r="I1435" s="8"/>
      <c r="J1435" s="8"/>
      <c r="K1435" s="8"/>
      <c r="L1435" s="56"/>
      <c r="M1435" s="26"/>
      <c r="N1435" s="26"/>
      <c r="O1435" s="26"/>
      <c r="P1435" s="1"/>
      <c r="Q1435" s="1"/>
      <c r="R1435" s="8"/>
      <c r="S1435" s="1"/>
      <c r="T1435" s="8"/>
      <c r="U1435" s="1"/>
      <c r="V1435" s="1"/>
      <c r="W1435" s="1"/>
      <c r="X1435" s="1"/>
    </row>
    <row r="1436" spans="1:24">
      <c r="A1436" s="1"/>
      <c r="B1436" s="8"/>
      <c r="C1436" s="8"/>
      <c r="D1436" s="8"/>
      <c r="E1436" s="8"/>
      <c r="F1436" s="8"/>
      <c r="G1436" s="8"/>
      <c r="H1436" s="8"/>
      <c r="I1436" s="8"/>
      <c r="J1436" s="8"/>
      <c r="K1436" s="8"/>
      <c r="L1436" s="56"/>
      <c r="M1436" s="26"/>
      <c r="N1436" s="26"/>
      <c r="O1436" s="26"/>
      <c r="P1436" s="1"/>
      <c r="Q1436" s="1"/>
      <c r="R1436" s="8"/>
      <c r="S1436" s="1"/>
      <c r="T1436" s="8"/>
      <c r="U1436" s="1"/>
      <c r="V1436" s="1"/>
      <c r="W1436" s="1"/>
      <c r="X1436" s="1"/>
    </row>
    <row r="1437" spans="1:24">
      <c r="A1437" s="1"/>
      <c r="B1437" s="8"/>
      <c r="C1437" s="8"/>
      <c r="D1437" s="8"/>
      <c r="E1437" s="8"/>
      <c r="F1437" s="8"/>
      <c r="G1437" s="8"/>
      <c r="H1437" s="8"/>
      <c r="I1437" s="8"/>
      <c r="J1437" s="8"/>
      <c r="K1437" s="8"/>
      <c r="L1437" s="56"/>
      <c r="M1437" s="26"/>
      <c r="N1437" s="26"/>
      <c r="O1437" s="26"/>
      <c r="P1437" s="1"/>
      <c r="Q1437" s="1"/>
      <c r="R1437" s="8"/>
      <c r="S1437" s="1"/>
      <c r="T1437" s="8"/>
      <c r="U1437" s="1"/>
      <c r="V1437" s="1"/>
      <c r="W1437" s="1"/>
      <c r="X1437" s="1"/>
    </row>
    <row r="1438" spans="1:24">
      <c r="A1438" s="1"/>
      <c r="B1438" s="8"/>
      <c r="C1438" s="8"/>
      <c r="D1438" s="8"/>
      <c r="E1438" s="8"/>
      <c r="F1438" s="8"/>
      <c r="G1438" s="8"/>
      <c r="H1438" s="8"/>
      <c r="I1438" s="8"/>
      <c r="J1438" s="8"/>
      <c r="K1438" s="8"/>
      <c r="L1438" s="56"/>
      <c r="M1438" s="26"/>
      <c r="N1438" s="26"/>
      <c r="O1438" s="26"/>
      <c r="P1438" s="1"/>
      <c r="Q1438" s="1"/>
      <c r="R1438" s="8"/>
      <c r="S1438" s="1"/>
      <c r="T1438" s="8"/>
      <c r="U1438" s="1"/>
      <c r="V1438" s="1"/>
      <c r="W1438" s="1"/>
      <c r="X1438" s="1"/>
    </row>
    <row r="1439" spans="1:24">
      <c r="A1439" s="1"/>
      <c r="B1439" s="8"/>
      <c r="C1439" s="8"/>
      <c r="D1439" s="8"/>
      <c r="E1439" s="8"/>
      <c r="F1439" s="8"/>
      <c r="G1439" s="8"/>
      <c r="H1439" s="8"/>
      <c r="I1439" s="8"/>
      <c r="J1439" s="8"/>
      <c r="K1439" s="8"/>
      <c r="L1439" s="56"/>
      <c r="M1439" s="26"/>
      <c r="N1439" s="26"/>
      <c r="O1439" s="26"/>
      <c r="P1439" s="1"/>
      <c r="Q1439" s="1"/>
      <c r="R1439" s="8"/>
      <c r="S1439" s="1"/>
      <c r="T1439" s="8"/>
      <c r="U1439" s="1"/>
      <c r="V1439" s="1"/>
      <c r="W1439" s="1"/>
      <c r="X1439" s="1"/>
    </row>
    <row r="1440" spans="1:24">
      <c r="A1440" s="1"/>
      <c r="B1440" s="8"/>
      <c r="C1440" s="8"/>
      <c r="D1440" s="8"/>
      <c r="E1440" s="8"/>
      <c r="F1440" s="8"/>
      <c r="G1440" s="8"/>
      <c r="H1440" s="8"/>
      <c r="I1440" s="8"/>
      <c r="J1440" s="8"/>
      <c r="K1440" s="8"/>
      <c r="L1440" s="56"/>
      <c r="M1440" s="26"/>
      <c r="N1440" s="26"/>
      <c r="O1440" s="26"/>
      <c r="P1440" s="1"/>
      <c r="Q1440" s="1"/>
      <c r="R1440" s="8"/>
      <c r="S1440" s="1"/>
      <c r="T1440" s="8"/>
      <c r="U1440" s="1"/>
      <c r="V1440" s="1"/>
      <c r="W1440" s="1"/>
      <c r="X1440" s="1"/>
    </row>
    <row r="1441" spans="1:24">
      <c r="A1441" s="1"/>
      <c r="B1441" s="8"/>
      <c r="C1441" s="8"/>
      <c r="D1441" s="8"/>
      <c r="E1441" s="8"/>
      <c r="F1441" s="8"/>
      <c r="G1441" s="8"/>
      <c r="H1441" s="8"/>
      <c r="I1441" s="8"/>
      <c r="J1441" s="8"/>
      <c r="K1441" s="8"/>
      <c r="L1441" s="56"/>
      <c r="M1441" s="26"/>
      <c r="N1441" s="26"/>
      <c r="O1441" s="26"/>
      <c r="P1441" s="1"/>
      <c r="Q1441" s="1"/>
      <c r="R1441" s="8"/>
      <c r="S1441" s="1"/>
      <c r="T1441" s="8"/>
      <c r="U1441" s="1"/>
      <c r="V1441" s="1"/>
      <c r="W1441" s="1"/>
      <c r="X1441" s="1"/>
    </row>
    <row r="1442" spans="1:24">
      <c r="A1442" s="1"/>
      <c r="B1442" s="8"/>
      <c r="C1442" s="8"/>
      <c r="D1442" s="8"/>
      <c r="E1442" s="8"/>
      <c r="F1442" s="8"/>
      <c r="G1442" s="8"/>
      <c r="H1442" s="8"/>
      <c r="I1442" s="8"/>
      <c r="J1442" s="8"/>
      <c r="K1442" s="8"/>
      <c r="L1442" s="56"/>
      <c r="M1442" s="26"/>
      <c r="N1442" s="26"/>
      <c r="O1442" s="26"/>
      <c r="P1442" s="1"/>
      <c r="Q1442" s="1"/>
      <c r="R1442" s="8"/>
      <c r="S1442" s="1"/>
      <c r="T1442" s="8"/>
      <c r="U1442" s="1"/>
      <c r="V1442" s="1"/>
      <c r="W1442" s="1"/>
      <c r="X1442" s="1"/>
    </row>
    <row r="1443" spans="1:24">
      <c r="A1443" s="1"/>
      <c r="B1443" s="8"/>
      <c r="C1443" s="8"/>
      <c r="D1443" s="8"/>
      <c r="E1443" s="8"/>
      <c r="F1443" s="8"/>
      <c r="G1443" s="8"/>
      <c r="H1443" s="8"/>
      <c r="I1443" s="8"/>
      <c r="J1443" s="8"/>
      <c r="K1443" s="8"/>
      <c r="L1443" s="56"/>
      <c r="M1443" s="26"/>
      <c r="N1443" s="26"/>
      <c r="O1443" s="26"/>
      <c r="P1443" s="1"/>
      <c r="Q1443" s="1"/>
      <c r="R1443" s="8"/>
      <c r="S1443" s="1"/>
      <c r="T1443" s="8"/>
      <c r="U1443" s="1"/>
      <c r="V1443" s="1"/>
      <c r="W1443" s="1"/>
      <c r="X1443" s="1"/>
    </row>
    <row r="1444" spans="1:24">
      <c r="A1444" s="1"/>
      <c r="B1444" s="8"/>
      <c r="C1444" s="8"/>
      <c r="D1444" s="8"/>
      <c r="E1444" s="8"/>
      <c r="F1444" s="8"/>
      <c r="G1444" s="8"/>
      <c r="H1444" s="8"/>
      <c r="I1444" s="8"/>
      <c r="J1444" s="8"/>
      <c r="K1444" s="8"/>
      <c r="L1444" s="56"/>
      <c r="M1444" s="26"/>
      <c r="N1444" s="26"/>
      <c r="O1444" s="26"/>
      <c r="P1444" s="1"/>
      <c r="Q1444" s="1"/>
      <c r="R1444" s="8"/>
      <c r="S1444" s="1"/>
      <c r="T1444" s="8"/>
      <c r="U1444" s="1"/>
      <c r="V1444" s="1"/>
      <c r="W1444" s="1"/>
      <c r="X1444" s="1"/>
    </row>
    <row r="1445" spans="1:24">
      <c r="A1445" s="1"/>
      <c r="B1445" s="8"/>
      <c r="C1445" s="8"/>
      <c r="D1445" s="8"/>
      <c r="E1445" s="8"/>
      <c r="F1445" s="8"/>
      <c r="G1445" s="8"/>
      <c r="H1445" s="8"/>
      <c r="I1445" s="8"/>
      <c r="J1445" s="8"/>
      <c r="K1445" s="8"/>
      <c r="L1445" s="56"/>
      <c r="M1445" s="26"/>
      <c r="N1445" s="26"/>
      <c r="O1445" s="26"/>
      <c r="P1445" s="1"/>
      <c r="Q1445" s="1"/>
      <c r="R1445" s="8"/>
      <c r="S1445" s="1"/>
      <c r="T1445" s="8"/>
      <c r="U1445" s="1"/>
      <c r="V1445" s="1"/>
      <c r="W1445" s="1"/>
      <c r="X1445" s="1"/>
    </row>
    <row r="1446" spans="1:24">
      <c r="A1446" s="1"/>
      <c r="B1446" s="8"/>
      <c r="C1446" s="8"/>
      <c r="D1446" s="8"/>
      <c r="E1446" s="8"/>
      <c r="F1446" s="8"/>
      <c r="G1446" s="8"/>
      <c r="H1446" s="8"/>
      <c r="I1446" s="8"/>
      <c r="J1446" s="8"/>
      <c r="K1446" s="8"/>
      <c r="L1446" s="56"/>
      <c r="M1446" s="26"/>
      <c r="N1446" s="26"/>
      <c r="O1446" s="26"/>
      <c r="P1446" s="1"/>
      <c r="Q1446" s="1"/>
      <c r="R1446" s="8"/>
      <c r="S1446" s="1"/>
      <c r="T1446" s="8"/>
      <c r="U1446" s="1"/>
      <c r="V1446" s="1"/>
      <c r="W1446" s="1"/>
      <c r="X1446" s="1"/>
    </row>
    <row r="1447" spans="1:24">
      <c r="A1447" s="1"/>
      <c r="B1447" s="8"/>
      <c r="C1447" s="8"/>
      <c r="D1447" s="8"/>
      <c r="E1447" s="8"/>
      <c r="F1447" s="8"/>
      <c r="G1447" s="8"/>
      <c r="H1447" s="8"/>
      <c r="I1447" s="8"/>
      <c r="J1447" s="8"/>
      <c r="K1447" s="8"/>
      <c r="L1447" s="56"/>
      <c r="M1447" s="26"/>
      <c r="N1447" s="26"/>
      <c r="O1447" s="26"/>
      <c r="P1447" s="1"/>
      <c r="Q1447" s="1"/>
      <c r="R1447" s="8"/>
      <c r="S1447" s="1"/>
      <c r="T1447" s="8"/>
      <c r="U1447" s="1"/>
      <c r="V1447" s="1"/>
      <c r="W1447" s="1"/>
      <c r="X1447" s="1"/>
    </row>
    <row r="1448" spans="1:24">
      <c r="A1448" s="1"/>
      <c r="B1448" s="8"/>
      <c r="C1448" s="8"/>
      <c r="D1448" s="8"/>
      <c r="E1448" s="8"/>
      <c r="F1448" s="8"/>
      <c r="G1448" s="8"/>
      <c r="H1448" s="8"/>
      <c r="I1448" s="8"/>
      <c r="J1448" s="8"/>
      <c r="K1448" s="8"/>
      <c r="L1448" s="56"/>
      <c r="M1448" s="26"/>
      <c r="N1448" s="26"/>
      <c r="O1448" s="26"/>
      <c r="P1448" s="1"/>
      <c r="Q1448" s="1"/>
      <c r="R1448" s="8"/>
      <c r="S1448" s="1"/>
      <c r="T1448" s="8"/>
      <c r="U1448" s="1"/>
      <c r="V1448" s="1"/>
      <c r="W1448" s="1"/>
      <c r="X1448" s="1"/>
    </row>
    <row r="1449" spans="1:24">
      <c r="A1449" s="1"/>
      <c r="B1449" s="8"/>
      <c r="C1449" s="8"/>
      <c r="D1449" s="8"/>
      <c r="E1449" s="8"/>
      <c r="F1449" s="8"/>
      <c r="G1449" s="8"/>
      <c r="H1449" s="8"/>
      <c r="I1449" s="8"/>
      <c r="J1449" s="8"/>
      <c r="K1449" s="8"/>
      <c r="L1449" s="56"/>
      <c r="M1449" s="26"/>
      <c r="N1449" s="26"/>
      <c r="O1449" s="26"/>
      <c r="P1449" s="1"/>
      <c r="Q1449" s="1"/>
      <c r="R1449" s="8"/>
      <c r="S1449" s="1"/>
      <c r="T1449" s="8"/>
      <c r="U1449" s="1"/>
      <c r="V1449" s="1"/>
      <c r="W1449" s="1"/>
      <c r="X1449" s="1"/>
    </row>
    <row r="1450" spans="1:24">
      <c r="A1450" s="1"/>
      <c r="B1450" s="8"/>
      <c r="C1450" s="8"/>
      <c r="D1450" s="8"/>
      <c r="E1450" s="8"/>
      <c r="F1450" s="8"/>
      <c r="G1450" s="8"/>
      <c r="H1450" s="8"/>
      <c r="I1450" s="8"/>
      <c r="J1450" s="8"/>
      <c r="K1450" s="8"/>
      <c r="L1450" s="56"/>
      <c r="M1450" s="26"/>
      <c r="N1450" s="26"/>
      <c r="O1450" s="26"/>
      <c r="P1450" s="1"/>
      <c r="Q1450" s="1"/>
      <c r="R1450" s="8"/>
      <c r="S1450" s="1"/>
      <c r="T1450" s="8"/>
      <c r="U1450" s="1"/>
      <c r="V1450" s="1"/>
      <c r="W1450" s="1"/>
      <c r="X1450" s="1"/>
    </row>
    <row r="1451" spans="1:24">
      <c r="A1451" s="1"/>
      <c r="B1451" s="8"/>
      <c r="C1451" s="8"/>
      <c r="D1451" s="8"/>
      <c r="E1451" s="8"/>
      <c r="F1451" s="8"/>
      <c r="G1451" s="8"/>
      <c r="H1451" s="8"/>
      <c r="I1451" s="8"/>
      <c r="J1451" s="8"/>
      <c r="K1451" s="8"/>
      <c r="L1451" s="56"/>
      <c r="M1451" s="26"/>
      <c r="N1451" s="26"/>
      <c r="O1451" s="26"/>
      <c r="P1451" s="1"/>
      <c r="Q1451" s="1"/>
      <c r="R1451" s="8"/>
      <c r="S1451" s="1"/>
      <c r="T1451" s="8"/>
      <c r="U1451" s="1"/>
      <c r="V1451" s="1"/>
      <c r="W1451" s="1"/>
      <c r="X1451" s="1"/>
    </row>
    <row r="1452" spans="1:24">
      <c r="A1452" s="1"/>
      <c r="B1452" s="8"/>
      <c r="C1452" s="8"/>
      <c r="D1452" s="8"/>
      <c r="E1452" s="8"/>
      <c r="F1452" s="8"/>
      <c r="G1452" s="8"/>
      <c r="H1452" s="8"/>
      <c r="I1452" s="8"/>
      <c r="J1452" s="8"/>
      <c r="K1452" s="8"/>
      <c r="L1452" s="56"/>
      <c r="M1452" s="26"/>
      <c r="N1452" s="26"/>
      <c r="O1452" s="26"/>
      <c r="P1452" s="1"/>
      <c r="Q1452" s="1"/>
      <c r="R1452" s="8"/>
      <c r="S1452" s="1"/>
      <c r="T1452" s="8"/>
      <c r="U1452" s="1"/>
      <c r="V1452" s="1"/>
      <c r="W1452" s="1"/>
      <c r="X1452" s="1"/>
    </row>
    <row r="1453" spans="1:24">
      <c r="A1453" s="1"/>
      <c r="B1453" s="8"/>
      <c r="C1453" s="8"/>
      <c r="D1453" s="8"/>
      <c r="E1453" s="8"/>
      <c r="F1453" s="8"/>
      <c r="G1453" s="8"/>
      <c r="H1453" s="8"/>
      <c r="I1453" s="8"/>
      <c r="J1453" s="8"/>
      <c r="K1453" s="8"/>
      <c r="L1453" s="56"/>
      <c r="M1453" s="26"/>
      <c r="N1453" s="26"/>
      <c r="O1453" s="26"/>
      <c r="P1453" s="1"/>
      <c r="Q1453" s="1"/>
      <c r="R1453" s="8"/>
      <c r="S1453" s="1"/>
      <c r="T1453" s="8"/>
      <c r="U1453" s="1"/>
      <c r="V1453" s="1"/>
      <c r="W1453" s="1"/>
      <c r="X1453" s="1"/>
    </row>
    <row r="1454" spans="1:24">
      <c r="A1454" s="1"/>
      <c r="B1454" s="8"/>
      <c r="C1454" s="8"/>
      <c r="D1454" s="8"/>
      <c r="E1454" s="8"/>
      <c r="F1454" s="8"/>
      <c r="G1454" s="8"/>
      <c r="H1454" s="8"/>
      <c r="I1454" s="8"/>
      <c r="J1454" s="8"/>
      <c r="K1454" s="8"/>
      <c r="L1454" s="56"/>
      <c r="M1454" s="26"/>
      <c r="N1454" s="26"/>
      <c r="O1454" s="26"/>
      <c r="P1454" s="1"/>
      <c r="Q1454" s="1"/>
      <c r="R1454" s="8"/>
      <c r="S1454" s="1"/>
      <c r="T1454" s="8"/>
      <c r="U1454" s="1"/>
      <c r="V1454" s="1"/>
      <c r="W1454" s="1"/>
      <c r="X1454" s="1"/>
    </row>
    <row r="1455" spans="1:24">
      <c r="A1455" s="1"/>
      <c r="B1455" s="8"/>
      <c r="C1455" s="8"/>
      <c r="D1455" s="8"/>
      <c r="E1455" s="8"/>
      <c r="F1455" s="8"/>
      <c r="G1455" s="8"/>
      <c r="H1455" s="8"/>
      <c r="I1455" s="8"/>
      <c r="J1455" s="8"/>
      <c r="K1455" s="8"/>
      <c r="L1455" s="56"/>
      <c r="M1455" s="26"/>
      <c r="N1455" s="26"/>
      <c r="O1455" s="26"/>
      <c r="P1455" s="1"/>
      <c r="Q1455" s="1"/>
      <c r="R1455" s="8"/>
      <c r="S1455" s="1"/>
      <c r="T1455" s="8"/>
      <c r="U1455" s="1"/>
      <c r="V1455" s="1"/>
      <c r="W1455" s="1"/>
      <c r="X1455" s="1"/>
    </row>
    <row r="1456" spans="1:24">
      <c r="A1456" s="1"/>
      <c r="B1456" s="8"/>
      <c r="C1456" s="8"/>
      <c r="D1456" s="8"/>
      <c r="E1456" s="8"/>
      <c r="F1456" s="8"/>
      <c r="G1456" s="8"/>
      <c r="H1456" s="8"/>
      <c r="I1456" s="8"/>
      <c r="J1456" s="8"/>
      <c r="K1456" s="8"/>
      <c r="L1456" s="56"/>
      <c r="M1456" s="26"/>
      <c r="N1456" s="26"/>
      <c r="O1456" s="26"/>
      <c r="P1456" s="1"/>
      <c r="Q1456" s="1"/>
      <c r="R1456" s="8"/>
      <c r="S1456" s="1"/>
      <c r="T1456" s="8"/>
      <c r="U1456" s="1"/>
      <c r="V1456" s="1"/>
      <c r="W1456" s="1"/>
      <c r="X1456" s="1"/>
    </row>
    <row r="1457" spans="1:24">
      <c r="A1457" s="1"/>
      <c r="B1457" s="8"/>
      <c r="C1457" s="8"/>
      <c r="D1457" s="8"/>
      <c r="E1457" s="8"/>
      <c r="F1457" s="8"/>
      <c r="G1457" s="8"/>
      <c r="H1457" s="8"/>
      <c r="I1457" s="8"/>
      <c r="J1457" s="8"/>
      <c r="K1457" s="8"/>
      <c r="L1457" s="56"/>
      <c r="M1457" s="26"/>
      <c r="N1457" s="26"/>
      <c r="O1457" s="26"/>
      <c r="P1457" s="1"/>
      <c r="Q1457" s="1"/>
      <c r="R1457" s="8"/>
      <c r="S1457" s="1"/>
      <c r="T1457" s="8"/>
      <c r="U1457" s="1"/>
      <c r="V1457" s="1"/>
      <c r="W1457" s="1"/>
      <c r="X1457" s="1"/>
    </row>
    <row r="1458" spans="1:24">
      <c r="A1458" s="1"/>
      <c r="B1458" s="8"/>
      <c r="C1458" s="8"/>
      <c r="D1458" s="8"/>
      <c r="E1458" s="8"/>
      <c r="F1458" s="8"/>
      <c r="G1458" s="8"/>
      <c r="H1458" s="8"/>
      <c r="I1458" s="8"/>
      <c r="J1458" s="8"/>
      <c r="K1458" s="8"/>
      <c r="L1458" s="56"/>
      <c r="M1458" s="26"/>
      <c r="N1458" s="26"/>
      <c r="O1458" s="26"/>
      <c r="P1458" s="1"/>
      <c r="Q1458" s="1"/>
      <c r="R1458" s="8"/>
      <c r="S1458" s="1"/>
      <c r="T1458" s="8"/>
      <c r="U1458" s="1"/>
      <c r="V1458" s="1"/>
      <c r="W1458" s="1"/>
      <c r="X1458" s="1"/>
    </row>
    <row r="1459" spans="1:24">
      <c r="A1459" s="1"/>
      <c r="B1459" s="8"/>
      <c r="C1459" s="8"/>
      <c r="D1459" s="8"/>
      <c r="E1459" s="8"/>
      <c r="F1459" s="8"/>
      <c r="G1459" s="8"/>
      <c r="H1459" s="8"/>
      <c r="I1459" s="8"/>
      <c r="J1459" s="8"/>
      <c r="K1459" s="8"/>
      <c r="L1459" s="56"/>
      <c r="M1459" s="26"/>
      <c r="N1459" s="26"/>
      <c r="O1459" s="26"/>
      <c r="P1459" s="1"/>
      <c r="Q1459" s="1"/>
      <c r="R1459" s="8"/>
      <c r="S1459" s="1"/>
      <c r="T1459" s="8"/>
      <c r="U1459" s="1"/>
      <c r="V1459" s="1"/>
      <c r="W1459" s="1"/>
      <c r="X1459" s="1"/>
    </row>
    <row r="1460" spans="1:24">
      <c r="A1460" s="1"/>
      <c r="B1460" s="8"/>
      <c r="C1460" s="8"/>
      <c r="D1460" s="8"/>
      <c r="E1460" s="8"/>
      <c r="F1460" s="8"/>
      <c r="G1460" s="8"/>
      <c r="H1460" s="8"/>
      <c r="I1460" s="8"/>
      <c r="J1460" s="8"/>
      <c r="K1460" s="8"/>
      <c r="L1460" s="56"/>
      <c r="M1460" s="26"/>
      <c r="N1460" s="26"/>
      <c r="O1460" s="26"/>
      <c r="P1460" s="1"/>
      <c r="Q1460" s="1"/>
      <c r="R1460" s="8"/>
      <c r="S1460" s="1"/>
      <c r="T1460" s="8"/>
      <c r="U1460" s="1"/>
      <c r="V1460" s="1"/>
      <c r="W1460" s="1"/>
      <c r="X1460" s="1"/>
    </row>
    <row r="1461" spans="1:24">
      <c r="A1461" s="1"/>
      <c r="B1461" s="8"/>
      <c r="C1461" s="8"/>
      <c r="D1461" s="8"/>
      <c r="E1461" s="8"/>
      <c r="F1461" s="8"/>
      <c r="G1461" s="8"/>
      <c r="H1461" s="8"/>
      <c r="I1461" s="8"/>
      <c r="J1461" s="8"/>
      <c r="K1461" s="8"/>
      <c r="L1461" s="56"/>
      <c r="M1461" s="26"/>
      <c r="N1461" s="26"/>
      <c r="O1461" s="26"/>
      <c r="P1461" s="1"/>
      <c r="Q1461" s="1"/>
      <c r="R1461" s="8"/>
      <c r="S1461" s="1"/>
      <c r="T1461" s="8"/>
      <c r="U1461" s="1"/>
      <c r="V1461" s="1"/>
      <c r="W1461" s="1"/>
      <c r="X1461" s="1"/>
    </row>
    <row r="1462" spans="1:24">
      <c r="A1462" s="1"/>
      <c r="B1462" s="8"/>
      <c r="C1462" s="8"/>
      <c r="D1462" s="8"/>
      <c r="E1462" s="8"/>
      <c r="F1462" s="8"/>
      <c r="G1462" s="8"/>
      <c r="H1462" s="8"/>
      <c r="I1462" s="8"/>
      <c r="J1462" s="8"/>
      <c r="K1462" s="8"/>
      <c r="L1462" s="56"/>
      <c r="M1462" s="26"/>
      <c r="N1462" s="26"/>
      <c r="O1462" s="26"/>
      <c r="P1462" s="1"/>
      <c r="Q1462" s="1"/>
      <c r="R1462" s="8"/>
      <c r="S1462" s="1"/>
      <c r="T1462" s="8"/>
      <c r="U1462" s="1"/>
      <c r="V1462" s="1"/>
      <c r="W1462" s="1"/>
      <c r="X1462" s="1"/>
    </row>
    <row r="1463" spans="1:24">
      <c r="A1463" s="1"/>
      <c r="B1463" s="8"/>
      <c r="C1463" s="8"/>
      <c r="D1463" s="8"/>
      <c r="E1463" s="8"/>
      <c r="F1463" s="8"/>
      <c r="G1463" s="8"/>
      <c r="H1463" s="8"/>
      <c r="I1463" s="8"/>
      <c r="J1463" s="8"/>
      <c r="K1463" s="8"/>
      <c r="L1463" s="56"/>
      <c r="M1463" s="26"/>
      <c r="N1463" s="26"/>
      <c r="O1463" s="26"/>
      <c r="P1463" s="1"/>
      <c r="Q1463" s="1"/>
      <c r="R1463" s="8"/>
      <c r="S1463" s="1"/>
      <c r="T1463" s="8"/>
      <c r="U1463" s="1"/>
      <c r="V1463" s="1"/>
      <c r="W1463" s="1"/>
      <c r="X1463" s="1"/>
    </row>
    <row r="1464" spans="1:24">
      <c r="A1464" s="1"/>
      <c r="B1464" s="8"/>
      <c r="C1464" s="8"/>
      <c r="D1464" s="8"/>
      <c r="E1464" s="8"/>
      <c r="F1464" s="8"/>
      <c r="G1464" s="8"/>
      <c r="H1464" s="8"/>
      <c r="I1464" s="8"/>
      <c r="J1464" s="8"/>
      <c r="K1464" s="8"/>
      <c r="L1464" s="56"/>
      <c r="M1464" s="26"/>
      <c r="N1464" s="26"/>
      <c r="O1464" s="26"/>
      <c r="P1464" s="1"/>
      <c r="Q1464" s="1"/>
      <c r="R1464" s="8"/>
      <c r="S1464" s="1"/>
      <c r="T1464" s="8"/>
      <c r="U1464" s="1"/>
      <c r="V1464" s="1"/>
      <c r="W1464" s="1"/>
      <c r="X1464" s="1"/>
    </row>
    <row r="1465" spans="1:24">
      <c r="A1465" s="1"/>
      <c r="B1465" s="8"/>
      <c r="C1465" s="8"/>
      <c r="D1465" s="8"/>
      <c r="E1465" s="8"/>
      <c r="F1465" s="8"/>
      <c r="G1465" s="8"/>
      <c r="H1465" s="8"/>
      <c r="I1465" s="8"/>
      <c r="J1465" s="8"/>
      <c r="K1465" s="8"/>
      <c r="L1465" s="56"/>
      <c r="M1465" s="26"/>
      <c r="N1465" s="26"/>
      <c r="O1465" s="26"/>
      <c r="P1465" s="1"/>
      <c r="Q1465" s="1"/>
      <c r="R1465" s="8"/>
      <c r="S1465" s="1"/>
      <c r="T1465" s="8"/>
      <c r="U1465" s="1"/>
      <c r="V1465" s="1"/>
      <c r="W1465" s="1"/>
      <c r="X1465" s="1"/>
    </row>
    <row r="1466" spans="1:24">
      <c r="A1466" s="1"/>
      <c r="B1466" s="8"/>
      <c r="C1466" s="8"/>
      <c r="D1466" s="8"/>
      <c r="E1466" s="8"/>
      <c r="F1466" s="8"/>
      <c r="G1466" s="8"/>
      <c r="H1466" s="8"/>
      <c r="I1466" s="8"/>
      <c r="J1466" s="8"/>
      <c r="K1466" s="8"/>
      <c r="L1466" s="56"/>
      <c r="M1466" s="26"/>
      <c r="N1466" s="26"/>
      <c r="O1466" s="26"/>
      <c r="P1466" s="1"/>
      <c r="Q1466" s="1"/>
      <c r="R1466" s="8"/>
      <c r="S1466" s="1"/>
      <c r="T1466" s="8"/>
      <c r="U1466" s="1"/>
      <c r="V1466" s="1"/>
      <c r="W1466" s="1"/>
      <c r="X1466" s="1"/>
    </row>
    <row r="1467" spans="1:24">
      <c r="A1467" s="1"/>
      <c r="B1467" s="8"/>
      <c r="C1467" s="8"/>
      <c r="D1467" s="8"/>
      <c r="E1467" s="8"/>
      <c r="F1467" s="8"/>
      <c r="G1467" s="8"/>
      <c r="H1467" s="8"/>
      <c r="I1467" s="8"/>
      <c r="J1467" s="8"/>
      <c r="K1467" s="8"/>
      <c r="L1467" s="56"/>
      <c r="M1467" s="26"/>
      <c r="N1467" s="26"/>
      <c r="O1467" s="26"/>
      <c r="P1467" s="1"/>
      <c r="Q1467" s="1"/>
      <c r="R1467" s="8"/>
      <c r="S1467" s="1"/>
      <c r="T1467" s="8"/>
      <c r="U1467" s="1"/>
      <c r="V1467" s="1"/>
      <c r="W1467" s="1"/>
      <c r="X1467" s="1"/>
    </row>
    <row r="1468" spans="1:24">
      <c r="A1468" s="1"/>
      <c r="B1468" s="8"/>
      <c r="C1468" s="8"/>
      <c r="D1468" s="8"/>
      <c r="E1468" s="8"/>
      <c r="F1468" s="8"/>
      <c r="G1468" s="8"/>
      <c r="H1468" s="8"/>
      <c r="I1468" s="8"/>
      <c r="J1468" s="8"/>
      <c r="K1468" s="8"/>
      <c r="L1468" s="56"/>
      <c r="M1468" s="26"/>
      <c r="N1468" s="26"/>
      <c r="O1468" s="26"/>
      <c r="P1468" s="1"/>
      <c r="Q1468" s="1"/>
      <c r="R1468" s="8"/>
      <c r="S1468" s="1"/>
      <c r="T1468" s="8"/>
      <c r="U1468" s="1"/>
      <c r="V1468" s="1"/>
      <c r="W1468" s="1"/>
      <c r="X1468" s="1"/>
    </row>
    <row r="1469" spans="1:24">
      <c r="A1469" s="1"/>
      <c r="B1469" s="8"/>
      <c r="C1469" s="8"/>
      <c r="D1469" s="8"/>
      <c r="E1469" s="8"/>
      <c r="F1469" s="8"/>
      <c r="G1469" s="8"/>
      <c r="H1469" s="8"/>
      <c r="I1469" s="8"/>
      <c r="J1469" s="8"/>
      <c r="K1469" s="8"/>
      <c r="L1469" s="56"/>
      <c r="M1469" s="26"/>
      <c r="N1469" s="26"/>
      <c r="O1469" s="26"/>
      <c r="P1469" s="1"/>
      <c r="Q1469" s="1"/>
      <c r="R1469" s="8"/>
      <c r="S1469" s="1"/>
      <c r="T1469" s="8"/>
      <c r="U1469" s="1"/>
      <c r="V1469" s="1"/>
      <c r="W1469" s="1"/>
      <c r="X1469" s="1"/>
    </row>
    <row r="1470" spans="1:24">
      <c r="A1470" s="1"/>
      <c r="B1470" s="8"/>
      <c r="C1470" s="8"/>
      <c r="D1470" s="8"/>
      <c r="E1470" s="8"/>
      <c r="F1470" s="8"/>
      <c r="G1470" s="8"/>
      <c r="H1470" s="8"/>
      <c r="I1470" s="8"/>
      <c r="J1470" s="8"/>
      <c r="K1470" s="8"/>
      <c r="L1470" s="56"/>
      <c r="M1470" s="26"/>
      <c r="N1470" s="26"/>
      <c r="O1470" s="26"/>
      <c r="P1470" s="1"/>
      <c r="Q1470" s="1"/>
      <c r="R1470" s="8"/>
      <c r="S1470" s="1"/>
      <c r="T1470" s="8"/>
      <c r="U1470" s="1"/>
      <c r="V1470" s="1"/>
      <c r="W1470" s="1"/>
      <c r="X1470" s="1"/>
    </row>
    <row r="1471" spans="1:24">
      <c r="A1471" s="1"/>
      <c r="B1471" s="8"/>
      <c r="C1471" s="8"/>
      <c r="D1471" s="8"/>
      <c r="E1471" s="8"/>
      <c r="F1471" s="8"/>
      <c r="G1471" s="8"/>
      <c r="H1471" s="8"/>
      <c r="I1471" s="8"/>
      <c r="J1471" s="8"/>
      <c r="K1471" s="8"/>
      <c r="L1471" s="56"/>
      <c r="M1471" s="26"/>
      <c r="N1471" s="26"/>
      <c r="O1471" s="26"/>
      <c r="P1471" s="1"/>
      <c r="Q1471" s="1"/>
      <c r="R1471" s="8"/>
      <c r="S1471" s="1"/>
      <c r="T1471" s="8"/>
      <c r="U1471" s="1"/>
      <c r="V1471" s="1"/>
      <c r="W1471" s="1"/>
      <c r="X1471" s="1"/>
    </row>
    <row r="1472" spans="1:24">
      <c r="A1472" s="1"/>
      <c r="B1472" s="8"/>
      <c r="C1472" s="8"/>
      <c r="D1472" s="8"/>
      <c r="E1472" s="8"/>
      <c r="F1472" s="8"/>
      <c r="G1472" s="8"/>
      <c r="H1472" s="8"/>
      <c r="I1472" s="8"/>
      <c r="J1472" s="8"/>
      <c r="K1472" s="8"/>
      <c r="L1472" s="56"/>
      <c r="M1472" s="26"/>
      <c r="N1472" s="26"/>
      <c r="O1472" s="26"/>
      <c r="P1472" s="1"/>
      <c r="Q1472" s="1"/>
      <c r="R1472" s="8"/>
      <c r="S1472" s="1"/>
      <c r="T1472" s="8"/>
      <c r="U1472" s="1"/>
      <c r="V1472" s="1"/>
      <c r="W1472" s="1"/>
      <c r="X1472" s="1"/>
    </row>
    <row r="1473" spans="1:24">
      <c r="A1473" s="1"/>
      <c r="B1473" s="8"/>
      <c r="C1473" s="8"/>
      <c r="D1473" s="8"/>
      <c r="E1473" s="8"/>
      <c r="F1473" s="8"/>
      <c r="G1473" s="8"/>
      <c r="H1473" s="8"/>
      <c r="I1473" s="8"/>
      <c r="J1473" s="8"/>
      <c r="K1473" s="8"/>
      <c r="L1473" s="56"/>
      <c r="M1473" s="26"/>
      <c r="N1473" s="26"/>
      <c r="O1473" s="26"/>
      <c r="P1473" s="1"/>
      <c r="Q1473" s="1"/>
      <c r="R1473" s="8"/>
      <c r="S1473" s="1"/>
      <c r="T1473" s="8"/>
      <c r="U1473" s="1"/>
      <c r="V1473" s="1"/>
      <c r="W1473" s="1"/>
      <c r="X1473" s="1"/>
    </row>
    <row r="1474" spans="1:24">
      <c r="A1474" s="1"/>
      <c r="B1474" s="8"/>
      <c r="C1474" s="8"/>
      <c r="D1474" s="8"/>
      <c r="E1474" s="8"/>
      <c r="F1474" s="8"/>
      <c r="G1474" s="8"/>
      <c r="H1474" s="8"/>
      <c r="I1474" s="8"/>
      <c r="J1474" s="8"/>
      <c r="K1474" s="8"/>
      <c r="L1474" s="56"/>
      <c r="M1474" s="26"/>
      <c r="N1474" s="26"/>
      <c r="O1474" s="26"/>
      <c r="P1474" s="1"/>
      <c r="Q1474" s="1"/>
      <c r="R1474" s="8"/>
      <c r="S1474" s="1"/>
      <c r="T1474" s="8"/>
      <c r="U1474" s="1"/>
      <c r="V1474" s="1"/>
      <c r="W1474" s="1"/>
      <c r="X1474" s="1"/>
    </row>
    <row r="1475" spans="1:24">
      <c r="A1475" s="1"/>
      <c r="B1475" s="8"/>
      <c r="C1475" s="8"/>
      <c r="D1475" s="8"/>
      <c r="E1475" s="8"/>
      <c r="F1475" s="8"/>
      <c r="G1475" s="8"/>
      <c r="H1475" s="8"/>
      <c r="I1475" s="8"/>
      <c r="J1475" s="8"/>
      <c r="K1475" s="8"/>
      <c r="L1475" s="56"/>
      <c r="M1475" s="26"/>
      <c r="N1475" s="26"/>
      <c r="O1475" s="26"/>
      <c r="P1475" s="1"/>
      <c r="Q1475" s="1"/>
      <c r="R1475" s="8"/>
      <c r="S1475" s="1"/>
      <c r="T1475" s="8"/>
      <c r="U1475" s="1"/>
      <c r="V1475" s="1"/>
      <c r="W1475" s="1"/>
      <c r="X1475" s="1"/>
    </row>
    <row r="1476" spans="1:24">
      <c r="A1476" s="1"/>
      <c r="B1476" s="8"/>
      <c r="C1476" s="8"/>
      <c r="D1476" s="8"/>
      <c r="E1476" s="8"/>
      <c r="F1476" s="8"/>
      <c r="G1476" s="8"/>
      <c r="H1476" s="8"/>
      <c r="I1476" s="8"/>
      <c r="J1476" s="8"/>
      <c r="K1476" s="8"/>
      <c r="L1476" s="56"/>
      <c r="M1476" s="26"/>
      <c r="N1476" s="26"/>
      <c r="O1476" s="26"/>
      <c r="P1476" s="1"/>
      <c r="Q1476" s="1"/>
      <c r="R1476" s="8"/>
      <c r="S1476" s="1"/>
      <c r="T1476" s="8"/>
      <c r="U1476" s="1"/>
      <c r="V1476" s="1"/>
      <c r="W1476" s="1"/>
      <c r="X1476" s="1"/>
    </row>
    <row r="1477" spans="1:24">
      <c r="A1477" s="1"/>
      <c r="B1477" s="8"/>
      <c r="C1477" s="8"/>
      <c r="D1477" s="8"/>
      <c r="E1477" s="8"/>
      <c r="F1477" s="8"/>
      <c r="G1477" s="8"/>
      <c r="H1477" s="8"/>
      <c r="I1477" s="8"/>
      <c r="J1477" s="8"/>
      <c r="K1477" s="8"/>
      <c r="L1477" s="56"/>
      <c r="M1477" s="26"/>
      <c r="N1477" s="26"/>
      <c r="O1477" s="26"/>
      <c r="P1477" s="1"/>
      <c r="Q1477" s="1"/>
      <c r="R1477" s="8"/>
      <c r="S1477" s="1"/>
      <c r="T1477" s="8"/>
      <c r="U1477" s="1"/>
      <c r="V1477" s="1"/>
      <c r="W1477" s="1"/>
      <c r="X1477" s="1"/>
    </row>
    <row r="1478" spans="1:24">
      <c r="A1478" s="1"/>
      <c r="B1478" s="8"/>
      <c r="C1478" s="8"/>
      <c r="D1478" s="8"/>
      <c r="E1478" s="8"/>
      <c r="F1478" s="8"/>
      <c r="G1478" s="8"/>
      <c r="H1478" s="8"/>
      <c r="I1478" s="8"/>
      <c r="J1478" s="8"/>
      <c r="K1478" s="8"/>
      <c r="L1478" s="56"/>
      <c r="M1478" s="26"/>
      <c r="N1478" s="26"/>
      <c r="O1478" s="26"/>
      <c r="P1478" s="1"/>
      <c r="Q1478" s="1"/>
      <c r="R1478" s="8"/>
      <c r="S1478" s="1"/>
      <c r="T1478" s="8"/>
      <c r="U1478" s="1"/>
      <c r="V1478" s="1"/>
      <c r="W1478" s="1"/>
      <c r="X1478" s="1"/>
    </row>
    <row r="1479" spans="1:24">
      <c r="A1479" s="1"/>
      <c r="B1479" s="8"/>
      <c r="C1479" s="8"/>
      <c r="D1479" s="8"/>
      <c r="E1479" s="8"/>
      <c r="F1479" s="8"/>
      <c r="G1479" s="8"/>
      <c r="H1479" s="8"/>
      <c r="I1479" s="8"/>
      <c r="J1479" s="8"/>
      <c r="K1479" s="8"/>
      <c r="L1479" s="56"/>
      <c r="M1479" s="26"/>
      <c r="N1479" s="26"/>
      <c r="O1479" s="26"/>
      <c r="P1479" s="1"/>
      <c r="Q1479" s="1"/>
      <c r="R1479" s="8"/>
      <c r="S1479" s="1"/>
      <c r="T1479" s="8"/>
      <c r="U1479" s="1"/>
      <c r="V1479" s="1"/>
      <c r="W1479" s="1"/>
      <c r="X1479" s="1"/>
    </row>
    <row r="1480" spans="1:24">
      <c r="A1480" s="1"/>
      <c r="B1480" s="8"/>
      <c r="C1480" s="8"/>
      <c r="D1480" s="8"/>
      <c r="E1480" s="8"/>
      <c r="F1480" s="8"/>
      <c r="G1480" s="8"/>
      <c r="H1480" s="8"/>
      <c r="I1480" s="8"/>
      <c r="J1480" s="8"/>
      <c r="K1480" s="8"/>
      <c r="L1480" s="56"/>
      <c r="M1480" s="26"/>
      <c r="N1480" s="26"/>
      <c r="O1480" s="26"/>
      <c r="P1480" s="1"/>
      <c r="Q1480" s="1"/>
      <c r="R1480" s="8"/>
      <c r="S1480" s="1"/>
      <c r="T1480" s="8"/>
      <c r="U1480" s="1"/>
      <c r="V1480" s="1"/>
      <c r="W1480" s="1"/>
      <c r="X1480" s="1"/>
    </row>
    <row r="1481" spans="1:24">
      <c r="A1481" s="1"/>
      <c r="B1481" s="8"/>
      <c r="C1481" s="8"/>
      <c r="D1481" s="8"/>
      <c r="E1481" s="8"/>
      <c r="F1481" s="8"/>
      <c r="G1481" s="8"/>
      <c r="H1481" s="8"/>
      <c r="I1481" s="8"/>
      <c r="J1481" s="8"/>
      <c r="K1481" s="8"/>
      <c r="L1481" s="56"/>
      <c r="M1481" s="26"/>
      <c r="N1481" s="26"/>
      <c r="O1481" s="26"/>
      <c r="P1481" s="1"/>
      <c r="Q1481" s="1"/>
      <c r="R1481" s="8"/>
      <c r="S1481" s="1"/>
      <c r="T1481" s="8"/>
      <c r="U1481" s="1"/>
      <c r="V1481" s="1"/>
      <c r="W1481" s="1"/>
      <c r="X1481" s="1"/>
    </row>
    <row r="1482" spans="1:24">
      <c r="A1482" s="1"/>
      <c r="B1482" s="8"/>
      <c r="C1482" s="8"/>
      <c r="D1482" s="8"/>
      <c r="E1482" s="8"/>
      <c r="F1482" s="8"/>
      <c r="G1482" s="8"/>
      <c r="H1482" s="8"/>
      <c r="I1482" s="8"/>
      <c r="J1482" s="8"/>
      <c r="K1482" s="8"/>
      <c r="L1482" s="56"/>
      <c r="M1482" s="26"/>
      <c r="N1482" s="26"/>
      <c r="O1482" s="26"/>
      <c r="P1482" s="1"/>
      <c r="Q1482" s="1"/>
      <c r="R1482" s="8"/>
      <c r="S1482" s="1"/>
      <c r="T1482" s="8"/>
      <c r="U1482" s="1"/>
      <c r="V1482" s="1"/>
      <c r="W1482" s="1"/>
      <c r="X1482" s="1"/>
    </row>
    <row r="1483" spans="1:24">
      <c r="A1483" s="1"/>
      <c r="B1483" s="8"/>
      <c r="C1483" s="8"/>
      <c r="D1483" s="8"/>
      <c r="E1483" s="8"/>
      <c r="F1483" s="8"/>
      <c r="G1483" s="8"/>
      <c r="H1483" s="8"/>
      <c r="I1483" s="8"/>
      <c r="J1483" s="8"/>
      <c r="K1483" s="8"/>
      <c r="L1483" s="56"/>
      <c r="M1483" s="26"/>
      <c r="N1483" s="26"/>
      <c r="O1483" s="26"/>
      <c r="P1483" s="1"/>
      <c r="Q1483" s="1"/>
      <c r="R1483" s="8"/>
      <c r="S1483" s="1"/>
      <c r="T1483" s="8"/>
      <c r="U1483" s="1"/>
      <c r="V1483" s="1"/>
      <c r="W1483" s="1"/>
      <c r="X1483" s="1"/>
    </row>
    <row r="1484" spans="1:24">
      <c r="A1484" s="1"/>
      <c r="B1484" s="8"/>
      <c r="C1484" s="8"/>
      <c r="D1484" s="8"/>
      <c r="E1484" s="8"/>
      <c r="F1484" s="8"/>
      <c r="G1484" s="8"/>
      <c r="H1484" s="8"/>
      <c r="I1484" s="8"/>
      <c r="J1484" s="8"/>
      <c r="K1484" s="8"/>
      <c r="L1484" s="56"/>
      <c r="M1484" s="26"/>
      <c r="N1484" s="26"/>
      <c r="O1484" s="26"/>
      <c r="P1484" s="1"/>
      <c r="Q1484" s="1"/>
      <c r="R1484" s="8"/>
      <c r="S1484" s="1"/>
      <c r="T1484" s="8"/>
      <c r="U1484" s="1"/>
      <c r="V1484" s="1"/>
      <c r="W1484" s="1"/>
      <c r="X1484" s="1"/>
    </row>
    <row r="1485" spans="1:24">
      <c r="A1485" s="1"/>
      <c r="B1485" s="8"/>
      <c r="C1485" s="8"/>
      <c r="D1485" s="8"/>
      <c r="E1485" s="8"/>
      <c r="F1485" s="8"/>
      <c r="G1485" s="8"/>
      <c r="H1485" s="8"/>
      <c r="I1485" s="8"/>
      <c r="J1485" s="8"/>
      <c r="K1485" s="8"/>
      <c r="L1485" s="56"/>
      <c r="M1485" s="26"/>
      <c r="N1485" s="26"/>
      <c r="O1485" s="26"/>
      <c r="P1485" s="1"/>
      <c r="Q1485" s="1"/>
      <c r="R1485" s="8"/>
      <c r="S1485" s="1"/>
      <c r="T1485" s="8"/>
      <c r="U1485" s="1"/>
      <c r="V1485" s="1"/>
      <c r="W1485" s="1"/>
      <c r="X1485" s="1"/>
    </row>
    <row r="1486" spans="1:24">
      <c r="A1486" s="1"/>
      <c r="B1486" s="8"/>
      <c r="C1486" s="8"/>
      <c r="D1486" s="8"/>
      <c r="E1486" s="8"/>
      <c r="F1486" s="8"/>
      <c r="G1486" s="8"/>
      <c r="H1486" s="8"/>
      <c r="I1486" s="8"/>
      <c r="J1486" s="8"/>
      <c r="K1486" s="8"/>
      <c r="L1486" s="56"/>
      <c r="M1486" s="26"/>
      <c r="N1486" s="26"/>
      <c r="O1486" s="26"/>
      <c r="P1486" s="1"/>
      <c r="Q1486" s="1"/>
      <c r="R1486" s="8"/>
      <c r="S1486" s="1"/>
      <c r="T1486" s="8"/>
      <c r="U1486" s="1"/>
      <c r="V1486" s="1"/>
      <c r="W1486" s="1"/>
      <c r="X1486" s="1"/>
    </row>
    <row r="1487" spans="1:24">
      <c r="A1487" s="1"/>
      <c r="B1487" s="8"/>
      <c r="C1487" s="8"/>
      <c r="D1487" s="8"/>
      <c r="E1487" s="8"/>
      <c r="F1487" s="8"/>
      <c r="G1487" s="8"/>
      <c r="H1487" s="8"/>
      <c r="I1487" s="8"/>
      <c r="J1487" s="8"/>
      <c r="K1487" s="8"/>
      <c r="L1487" s="56"/>
      <c r="M1487" s="26"/>
      <c r="N1487" s="26"/>
      <c r="O1487" s="26"/>
      <c r="P1487" s="1"/>
      <c r="Q1487" s="1"/>
      <c r="R1487" s="8"/>
      <c r="S1487" s="1"/>
      <c r="T1487" s="8"/>
      <c r="U1487" s="1"/>
      <c r="V1487" s="1"/>
      <c r="W1487" s="1"/>
      <c r="X1487" s="1"/>
    </row>
    <row r="1488" spans="1:24">
      <c r="A1488" s="1"/>
      <c r="B1488" s="8"/>
      <c r="C1488" s="8"/>
      <c r="D1488" s="8"/>
      <c r="E1488" s="8"/>
      <c r="F1488" s="8"/>
      <c r="G1488" s="8"/>
      <c r="H1488" s="8"/>
      <c r="I1488" s="8"/>
      <c r="J1488" s="8"/>
      <c r="K1488" s="8"/>
      <c r="L1488" s="56"/>
      <c r="M1488" s="26"/>
      <c r="N1488" s="26"/>
      <c r="O1488" s="26"/>
      <c r="P1488" s="1"/>
      <c r="Q1488" s="1"/>
      <c r="R1488" s="8"/>
      <c r="S1488" s="1"/>
      <c r="T1488" s="8"/>
      <c r="U1488" s="1"/>
      <c r="V1488" s="1"/>
      <c r="W1488" s="1"/>
      <c r="X1488" s="1"/>
    </row>
    <row r="1489" spans="1:24">
      <c r="A1489" s="1"/>
      <c r="B1489" s="8"/>
      <c r="C1489" s="8"/>
      <c r="D1489" s="8"/>
      <c r="E1489" s="8"/>
      <c r="F1489" s="8"/>
      <c r="G1489" s="8"/>
      <c r="H1489" s="8"/>
      <c r="I1489" s="8"/>
      <c r="J1489" s="8"/>
      <c r="K1489" s="8"/>
      <c r="L1489" s="56"/>
      <c r="M1489" s="26"/>
      <c r="N1489" s="26"/>
      <c r="O1489" s="26"/>
      <c r="P1489" s="1"/>
      <c r="Q1489" s="1"/>
      <c r="R1489" s="8"/>
      <c r="S1489" s="1"/>
      <c r="T1489" s="8"/>
      <c r="U1489" s="1"/>
      <c r="V1489" s="1"/>
      <c r="W1489" s="1"/>
      <c r="X1489" s="1"/>
    </row>
    <row r="1490" spans="1:24">
      <c r="A1490" s="1"/>
      <c r="B1490" s="8"/>
      <c r="C1490" s="8"/>
      <c r="D1490" s="8"/>
      <c r="E1490" s="8"/>
      <c r="F1490" s="8"/>
      <c r="G1490" s="8"/>
      <c r="H1490" s="8"/>
      <c r="I1490" s="8"/>
      <c r="J1490" s="8"/>
      <c r="K1490" s="8"/>
      <c r="L1490" s="56"/>
      <c r="M1490" s="26"/>
      <c r="N1490" s="26"/>
      <c r="O1490" s="26"/>
      <c r="P1490" s="1"/>
      <c r="Q1490" s="1"/>
      <c r="R1490" s="8"/>
      <c r="S1490" s="1"/>
      <c r="T1490" s="8"/>
      <c r="U1490" s="1"/>
      <c r="V1490" s="1"/>
      <c r="W1490" s="1"/>
      <c r="X1490" s="1"/>
    </row>
    <row r="1491" spans="1:24">
      <c r="A1491" s="1"/>
      <c r="B1491" s="8"/>
      <c r="C1491" s="8"/>
      <c r="D1491" s="8"/>
      <c r="E1491" s="8"/>
      <c r="F1491" s="8"/>
      <c r="G1491" s="8"/>
      <c r="H1491" s="8"/>
      <c r="I1491" s="8"/>
      <c r="J1491" s="8"/>
      <c r="K1491" s="8"/>
      <c r="L1491" s="56"/>
      <c r="M1491" s="26"/>
      <c r="N1491" s="26"/>
      <c r="O1491" s="26"/>
      <c r="P1491" s="1"/>
      <c r="Q1491" s="1"/>
      <c r="R1491" s="8"/>
      <c r="S1491" s="1"/>
      <c r="T1491" s="8"/>
      <c r="U1491" s="1"/>
      <c r="V1491" s="1"/>
      <c r="W1491" s="1"/>
      <c r="X1491" s="1"/>
    </row>
    <row r="1492" spans="1:24">
      <c r="A1492" s="1"/>
      <c r="B1492" s="8"/>
      <c r="C1492" s="8"/>
      <c r="D1492" s="8"/>
      <c r="E1492" s="8"/>
      <c r="F1492" s="8"/>
      <c r="G1492" s="8"/>
      <c r="H1492" s="8"/>
      <c r="I1492" s="8"/>
      <c r="J1492" s="8"/>
      <c r="K1492" s="8"/>
      <c r="L1492" s="56"/>
      <c r="M1492" s="26"/>
      <c r="N1492" s="26"/>
      <c r="O1492" s="26"/>
      <c r="P1492" s="1"/>
      <c r="Q1492" s="1"/>
      <c r="R1492" s="8"/>
      <c r="S1492" s="1"/>
      <c r="T1492" s="8"/>
      <c r="U1492" s="1"/>
      <c r="V1492" s="1"/>
      <c r="W1492" s="1"/>
      <c r="X1492" s="1"/>
    </row>
    <row r="1493" spans="1:24">
      <c r="A1493" s="1"/>
      <c r="B1493" s="8"/>
      <c r="C1493" s="8"/>
      <c r="D1493" s="8"/>
      <c r="E1493" s="8"/>
      <c r="F1493" s="8"/>
      <c r="G1493" s="8"/>
      <c r="H1493" s="8"/>
      <c r="I1493" s="8"/>
      <c r="J1493" s="8"/>
      <c r="K1493" s="8"/>
      <c r="L1493" s="56"/>
      <c r="M1493" s="26"/>
      <c r="N1493" s="26"/>
      <c r="O1493" s="26"/>
      <c r="P1493" s="1"/>
      <c r="Q1493" s="1"/>
      <c r="R1493" s="8"/>
      <c r="S1493" s="1"/>
      <c r="T1493" s="8"/>
      <c r="U1493" s="1"/>
      <c r="V1493" s="1"/>
      <c r="W1493" s="1"/>
      <c r="X1493" s="1"/>
    </row>
    <row r="1494" spans="1:24">
      <c r="A1494" s="1"/>
      <c r="B1494" s="8"/>
      <c r="C1494" s="8"/>
      <c r="D1494" s="8"/>
      <c r="E1494" s="8"/>
      <c r="F1494" s="8"/>
      <c r="G1494" s="8"/>
      <c r="H1494" s="8"/>
      <c r="I1494" s="8"/>
      <c r="J1494" s="8"/>
      <c r="K1494" s="8"/>
      <c r="L1494" s="56"/>
      <c r="M1494" s="26"/>
      <c r="N1494" s="26"/>
      <c r="O1494" s="26"/>
      <c r="P1494" s="1"/>
      <c r="Q1494" s="1"/>
      <c r="R1494" s="8"/>
      <c r="S1494" s="1"/>
      <c r="T1494" s="8"/>
      <c r="U1494" s="1"/>
      <c r="V1494" s="1"/>
      <c r="W1494" s="1"/>
      <c r="X1494" s="1"/>
    </row>
    <row r="1495" spans="1:24">
      <c r="A1495" s="1"/>
      <c r="B1495" s="8"/>
      <c r="C1495" s="8"/>
      <c r="D1495" s="8"/>
      <c r="E1495" s="8"/>
      <c r="F1495" s="8"/>
      <c r="G1495" s="8"/>
      <c r="H1495" s="8"/>
      <c r="I1495" s="8"/>
      <c r="J1495" s="8"/>
      <c r="K1495" s="8"/>
      <c r="L1495" s="56"/>
      <c r="M1495" s="26"/>
      <c r="N1495" s="26"/>
      <c r="O1495" s="26"/>
      <c r="P1495" s="1"/>
      <c r="Q1495" s="1"/>
      <c r="R1495" s="8"/>
      <c r="S1495" s="1"/>
      <c r="T1495" s="8"/>
      <c r="U1495" s="1"/>
      <c r="V1495" s="1"/>
      <c r="W1495" s="1"/>
      <c r="X1495" s="1"/>
    </row>
    <row r="1496" spans="1:24">
      <c r="A1496" s="1"/>
      <c r="B1496" s="8"/>
      <c r="C1496" s="8"/>
      <c r="D1496" s="8"/>
      <c r="E1496" s="8"/>
      <c r="F1496" s="8"/>
      <c r="G1496" s="8"/>
      <c r="H1496" s="8"/>
      <c r="I1496" s="8"/>
      <c r="J1496" s="8"/>
      <c r="K1496" s="8"/>
      <c r="L1496" s="56"/>
      <c r="M1496" s="26"/>
      <c r="N1496" s="26"/>
      <c r="O1496" s="26"/>
      <c r="P1496" s="1"/>
      <c r="Q1496" s="1"/>
      <c r="R1496" s="8"/>
      <c r="S1496" s="1"/>
      <c r="T1496" s="8"/>
      <c r="U1496" s="1"/>
      <c r="V1496" s="1"/>
      <c r="W1496" s="1"/>
      <c r="X1496" s="1"/>
    </row>
    <row r="1497" spans="1:24">
      <c r="A1497" s="1"/>
      <c r="B1497" s="8"/>
      <c r="C1497" s="8"/>
      <c r="D1497" s="8"/>
      <c r="E1497" s="8"/>
      <c r="F1497" s="8"/>
      <c r="G1497" s="8"/>
      <c r="H1497" s="8"/>
      <c r="I1497" s="8"/>
      <c r="J1497" s="8"/>
      <c r="K1497" s="8"/>
      <c r="L1497" s="56"/>
      <c r="M1497" s="26"/>
      <c r="N1497" s="26"/>
      <c r="O1497" s="26"/>
      <c r="P1497" s="1"/>
      <c r="Q1497" s="1"/>
      <c r="R1497" s="8"/>
      <c r="S1497" s="1"/>
      <c r="T1497" s="8"/>
      <c r="U1497" s="1"/>
      <c r="V1497" s="1"/>
      <c r="W1497" s="1"/>
      <c r="X1497" s="1"/>
    </row>
    <row r="1498" spans="1:24">
      <c r="A1498" s="1"/>
      <c r="B1498" s="8"/>
      <c r="C1498" s="8"/>
      <c r="D1498" s="8"/>
      <c r="E1498" s="8"/>
      <c r="F1498" s="8"/>
      <c r="G1498" s="8"/>
      <c r="H1498" s="8"/>
      <c r="I1498" s="8"/>
      <c r="J1498" s="8"/>
      <c r="K1498" s="8"/>
      <c r="L1498" s="56"/>
      <c r="M1498" s="26"/>
      <c r="N1498" s="26"/>
      <c r="O1498" s="26"/>
      <c r="P1498" s="1"/>
      <c r="Q1498" s="1"/>
      <c r="R1498" s="8"/>
      <c r="S1498" s="1"/>
      <c r="T1498" s="8"/>
      <c r="U1498" s="1"/>
      <c r="V1498" s="1"/>
      <c r="W1498" s="1"/>
      <c r="X1498" s="1"/>
    </row>
    <row r="1499" spans="1:24">
      <c r="A1499" s="1"/>
      <c r="B1499" s="8"/>
      <c r="C1499" s="8"/>
      <c r="D1499" s="8"/>
      <c r="E1499" s="8"/>
      <c r="F1499" s="8"/>
      <c r="G1499" s="8"/>
      <c r="H1499" s="8"/>
      <c r="I1499" s="8"/>
      <c r="J1499" s="8"/>
      <c r="K1499" s="8"/>
      <c r="L1499" s="56"/>
      <c r="M1499" s="26"/>
      <c r="N1499" s="26"/>
      <c r="O1499" s="26"/>
      <c r="P1499" s="1"/>
      <c r="Q1499" s="1"/>
      <c r="R1499" s="8"/>
      <c r="S1499" s="1"/>
      <c r="T1499" s="8"/>
      <c r="U1499" s="1"/>
      <c r="V1499" s="1"/>
      <c r="W1499" s="1"/>
      <c r="X1499" s="1"/>
    </row>
    <row r="1500" spans="1:24">
      <c r="A1500" s="1"/>
      <c r="B1500" s="8"/>
      <c r="C1500" s="8"/>
      <c r="D1500" s="8"/>
      <c r="E1500" s="8"/>
      <c r="F1500" s="8"/>
      <c r="G1500" s="8"/>
      <c r="H1500" s="8"/>
      <c r="I1500" s="8"/>
      <c r="J1500" s="8"/>
      <c r="K1500" s="8"/>
      <c r="L1500" s="56"/>
      <c r="M1500" s="26"/>
      <c r="N1500" s="26"/>
      <c r="O1500" s="26"/>
      <c r="P1500" s="1"/>
      <c r="Q1500" s="1"/>
      <c r="R1500" s="8"/>
      <c r="S1500" s="1"/>
      <c r="T1500" s="8"/>
      <c r="U1500" s="1"/>
      <c r="V1500" s="1"/>
      <c r="W1500" s="1"/>
      <c r="X1500" s="1"/>
    </row>
    <row r="1501" spans="1:24">
      <c r="A1501" s="1"/>
      <c r="B1501" s="8"/>
      <c r="C1501" s="8"/>
      <c r="D1501" s="8"/>
      <c r="E1501" s="8"/>
      <c r="F1501" s="8"/>
      <c r="G1501" s="8"/>
      <c r="H1501" s="8"/>
      <c r="I1501" s="8"/>
      <c r="J1501" s="8"/>
      <c r="K1501" s="8"/>
      <c r="L1501" s="56"/>
      <c r="M1501" s="26"/>
      <c r="N1501" s="26"/>
      <c r="O1501" s="26"/>
      <c r="P1501" s="1"/>
      <c r="Q1501" s="1"/>
      <c r="R1501" s="8"/>
      <c r="S1501" s="1"/>
      <c r="T1501" s="8"/>
      <c r="U1501" s="1"/>
      <c r="V1501" s="1"/>
      <c r="W1501" s="1"/>
      <c r="X1501" s="1"/>
    </row>
    <row r="1502" spans="1:24">
      <c r="A1502" s="1"/>
      <c r="B1502" s="8"/>
      <c r="C1502" s="8"/>
      <c r="D1502" s="8"/>
      <c r="E1502" s="8"/>
      <c r="F1502" s="8"/>
      <c r="G1502" s="8"/>
      <c r="H1502" s="8"/>
      <c r="I1502" s="8"/>
      <c r="J1502" s="8"/>
      <c r="K1502" s="8"/>
      <c r="L1502" s="56"/>
      <c r="M1502" s="26"/>
      <c r="N1502" s="26"/>
      <c r="O1502" s="26"/>
      <c r="P1502" s="1"/>
      <c r="Q1502" s="1"/>
      <c r="R1502" s="8"/>
      <c r="S1502" s="1"/>
      <c r="T1502" s="8"/>
      <c r="U1502" s="1"/>
      <c r="V1502" s="1"/>
      <c r="W1502" s="1"/>
      <c r="X1502" s="1"/>
    </row>
    <row r="1503" spans="1:24">
      <c r="A1503" s="1"/>
      <c r="B1503" s="8"/>
      <c r="C1503" s="8"/>
      <c r="D1503" s="8"/>
      <c r="E1503" s="8"/>
      <c r="F1503" s="8"/>
      <c r="G1503" s="8"/>
      <c r="H1503" s="8"/>
      <c r="I1503" s="8"/>
      <c r="J1503" s="8"/>
      <c r="K1503" s="8"/>
      <c r="L1503" s="56"/>
      <c r="M1503" s="26"/>
      <c r="N1503" s="26"/>
      <c r="O1503" s="26"/>
      <c r="P1503" s="1"/>
      <c r="Q1503" s="1"/>
      <c r="R1503" s="8"/>
      <c r="S1503" s="1"/>
      <c r="T1503" s="8"/>
      <c r="U1503" s="1"/>
      <c r="V1503" s="1"/>
      <c r="W1503" s="1"/>
      <c r="X1503" s="1"/>
    </row>
    <row r="1504" spans="1:24">
      <c r="A1504" s="1"/>
      <c r="B1504" s="8"/>
      <c r="C1504" s="8"/>
      <c r="D1504" s="8"/>
      <c r="E1504" s="8"/>
      <c r="F1504" s="8"/>
      <c r="G1504" s="8"/>
      <c r="H1504" s="8"/>
      <c r="I1504" s="8"/>
      <c r="J1504" s="8"/>
      <c r="K1504" s="8"/>
      <c r="L1504" s="56"/>
      <c r="M1504" s="26"/>
      <c r="N1504" s="26"/>
      <c r="O1504" s="26"/>
      <c r="P1504" s="1"/>
      <c r="Q1504" s="1"/>
      <c r="R1504" s="8"/>
      <c r="S1504" s="1"/>
      <c r="T1504" s="8"/>
      <c r="U1504" s="1"/>
      <c r="V1504" s="1"/>
      <c r="W1504" s="1"/>
      <c r="X1504" s="1"/>
    </row>
    <row r="1505" spans="1:24">
      <c r="A1505" s="1"/>
      <c r="B1505" s="8"/>
      <c r="C1505" s="8"/>
      <c r="D1505" s="8"/>
      <c r="E1505" s="8"/>
      <c r="F1505" s="8"/>
      <c r="G1505" s="8"/>
      <c r="H1505" s="8"/>
      <c r="I1505" s="8"/>
      <c r="J1505" s="8"/>
      <c r="K1505" s="8"/>
      <c r="L1505" s="56"/>
      <c r="M1505" s="26"/>
      <c r="N1505" s="26"/>
      <c r="O1505" s="26"/>
      <c r="P1505" s="1"/>
      <c r="Q1505" s="1"/>
      <c r="R1505" s="8"/>
      <c r="S1505" s="1"/>
      <c r="T1505" s="8"/>
      <c r="U1505" s="1"/>
      <c r="V1505" s="1"/>
      <c r="W1505" s="1"/>
      <c r="X1505" s="1"/>
    </row>
    <row r="1506" spans="1:24">
      <c r="A1506" s="1"/>
      <c r="B1506" s="8"/>
      <c r="C1506" s="8"/>
      <c r="D1506" s="8"/>
      <c r="E1506" s="8"/>
      <c r="F1506" s="8"/>
      <c r="G1506" s="8"/>
      <c r="H1506" s="8"/>
      <c r="I1506" s="8"/>
      <c r="J1506" s="8"/>
      <c r="K1506" s="8"/>
      <c r="L1506" s="56"/>
      <c r="M1506" s="26"/>
      <c r="N1506" s="26"/>
      <c r="O1506" s="26"/>
      <c r="P1506" s="1"/>
      <c r="Q1506" s="1"/>
      <c r="R1506" s="8"/>
      <c r="S1506" s="1"/>
      <c r="T1506" s="8"/>
      <c r="U1506" s="1"/>
      <c r="V1506" s="1"/>
      <c r="W1506" s="1"/>
      <c r="X1506" s="1"/>
    </row>
    <row r="1507" spans="1:24">
      <c r="A1507" s="1"/>
      <c r="B1507" s="8"/>
      <c r="C1507" s="8"/>
      <c r="D1507" s="8"/>
      <c r="E1507" s="8"/>
      <c r="F1507" s="8"/>
      <c r="G1507" s="8"/>
      <c r="H1507" s="8"/>
      <c r="I1507" s="8"/>
      <c r="J1507" s="8"/>
      <c r="K1507" s="8"/>
      <c r="L1507" s="56"/>
      <c r="M1507" s="26"/>
      <c r="N1507" s="26"/>
      <c r="O1507" s="26"/>
      <c r="P1507" s="1"/>
      <c r="Q1507" s="1"/>
      <c r="R1507" s="8"/>
      <c r="S1507" s="1"/>
      <c r="T1507" s="8"/>
      <c r="U1507" s="1"/>
      <c r="V1507" s="1"/>
      <c r="W1507" s="1"/>
      <c r="X1507" s="1"/>
    </row>
    <row r="1508" spans="1:24">
      <c r="A1508" s="1"/>
      <c r="B1508" s="8"/>
      <c r="C1508" s="8"/>
      <c r="D1508" s="8"/>
      <c r="E1508" s="8"/>
      <c r="F1508" s="8"/>
      <c r="G1508" s="8"/>
      <c r="H1508" s="8"/>
      <c r="I1508" s="8"/>
      <c r="J1508" s="8"/>
      <c r="K1508" s="8"/>
      <c r="L1508" s="56"/>
      <c r="M1508" s="26"/>
      <c r="N1508" s="26"/>
      <c r="O1508" s="26"/>
      <c r="P1508" s="1"/>
      <c r="Q1508" s="1"/>
      <c r="R1508" s="8"/>
      <c r="S1508" s="1"/>
      <c r="T1508" s="8"/>
      <c r="U1508" s="1"/>
      <c r="V1508" s="1"/>
      <c r="W1508" s="1"/>
      <c r="X1508" s="1"/>
    </row>
    <row r="1509" spans="1:24">
      <c r="A1509" s="1"/>
      <c r="B1509" s="8"/>
      <c r="C1509" s="8"/>
      <c r="D1509" s="8"/>
      <c r="E1509" s="8"/>
      <c r="F1509" s="8"/>
      <c r="G1509" s="8"/>
      <c r="H1509" s="8"/>
      <c r="I1509" s="8"/>
      <c r="J1509" s="8"/>
      <c r="K1509" s="8"/>
      <c r="L1509" s="56"/>
      <c r="M1509" s="26"/>
      <c r="N1509" s="26"/>
      <c r="O1509" s="26"/>
      <c r="P1509" s="1"/>
      <c r="Q1509" s="1"/>
      <c r="R1509" s="8"/>
      <c r="S1509" s="1"/>
      <c r="T1509" s="8"/>
      <c r="U1509" s="1"/>
      <c r="V1509" s="1"/>
      <c r="W1509" s="1"/>
      <c r="X1509" s="1"/>
    </row>
    <row r="1510" spans="1:24">
      <c r="A1510" s="1"/>
      <c r="B1510" s="8"/>
      <c r="C1510" s="8"/>
      <c r="D1510" s="8"/>
      <c r="E1510" s="8"/>
      <c r="F1510" s="8"/>
      <c r="G1510" s="8"/>
      <c r="H1510" s="8"/>
      <c r="I1510" s="8"/>
      <c r="J1510" s="8"/>
      <c r="K1510" s="8"/>
      <c r="L1510" s="56"/>
      <c r="M1510" s="26"/>
      <c r="N1510" s="26"/>
      <c r="O1510" s="26"/>
      <c r="P1510" s="1"/>
      <c r="Q1510" s="1"/>
      <c r="R1510" s="8"/>
      <c r="S1510" s="1"/>
      <c r="T1510" s="8"/>
      <c r="U1510" s="1"/>
      <c r="V1510" s="1"/>
      <c r="W1510" s="1"/>
      <c r="X1510" s="1"/>
    </row>
    <row r="1511" spans="1:24">
      <c r="A1511" s="1"/>
      <c r="B1511" s="8"/>
      <c r="C1511" s="8"/>
      <c r="D1511" s="8"/>
      <c r="E1511" s="8"/>
      <c r="F1511" s="8"/>
      <c r="G1511" s="8"/>
      <c r="H1511" s="8"/>
      <c r="I1511" s="8"/>
      <c r="J1511" s="8"/>
      <c r="K1511" s="8"/>
      <c r="L1511" s="56"/>
      <c r="M1511" s="26"/>
      <c r="N1511" s="26"/>
      <c r="O1511" s="26"/>
      <c r="P1511" s="1"/>
      <c r="Q1511" s="1"/>
      <c r="R1511" s="8"/>
      <c r="S1511" s="1"/>
      <c r="T1511" s="8"/>
      <c r="U1511" s="1"/>
      <c r="V1511" s="1"/>
      <c r="W1511" s="1"/>
      <c r="X1511" s="1"/>
    </row>
    <row r="1512" spans="1:24">
      <c r="A1512" s="1"/>
      <c r="B1512" s="8"/>
      <c r="C1512" s="8"/>
      <c r="D1512" s="8"/>
      <c r="E1512" s="8"/>
      <c r="F1512" s="8"/>
      <c r="G1512" s="8"/>
      <c r="H1512" s="8"/>
      <c r="I1512" s="8"/>
      <c r="J1512" s="8"/>
      <c r="K1512" s="8"/>
      <c r="L1512" s="56"/>
      <c r="M1512" s="26"/>
      <c r="N1512" s="26"/>
      <c r="O1512" s="26"/>
      <c r="P1512" s="1"/>
      <c r="Q1512" s="1"/>
      <c r="R1512" s="8"/>
      <c r="S1512" s="1"/>
      <c r="T1512" s="8"/>
      <c r="U1512" s="1"/>
      <c r="V1512" s="1"/>
      <c r="W1512" s="1"/>
      <c r="X1512" s="1"/>
    </row>
    <row r="1513" spans="1:24">
      <c r="A1513" s="1"/>
      <c r="B1513" s="8"/>
      <c r="C1513" s="8"/>
      <c r="D1513" s="8"/>
      <c r="E1513" s="8"/>
      <c r="F1513" s="8"/>
      <c r="G1513" s="8"/>
      <c r="H1513" s="8"/>
      <c r="I1513" s="8"/>
      <c r="J1513" s="8"/>
      <c r="K1513" s="8"/>
      <c r="L1513" s="56"/>
      <c r="M1513" s="26"/>
      <c r="N1513" s="26"/>
      <c r="O1513" s="26"/>
      <c r="P1513" s="1"/>
      <c r="Q1513" s="1"/>
      <c r="R1513" s="8"/>
      <c r="S1513" s="1"/>
      <c r="T1513" s="8"/>
      <c r="U1513" s="1"/>
      <c r="V1513" s="1"/>
      <c r="W1513" s="1"/>
      <c r="X1513" s="1"/>
    </row>
    <row r="1514" spans="1:24">
      <c r="A1514" s="1"/>
      <c r="B1514" s="8"/>
      <c r="C1514" s="8"/>
      <c r="D1514" s="8"/>
      <c r="E1514" s="8"/>
      <c r="F1514" s="8"/>
      <c r="G1514" s="8"/>
      <c r="H1514" s="8"/>
      <c r="I1514" s="8"/>
      <c r="J1514" s="8"/>
      <c r="K1514" s="8"/>
      <c r="L1514" s="56"/>
      <c r="M1514" s="26"/>
      <c r="N1514" s="26"/>
      <c r="O1514" s="26"/>
      <c r="P1514" s="1"/>
      <c r="Q1514" s="1"/>
      <c r="R1514" s="8"/>
      <c r="S1514" s="1"/>
      <c r="T1514" s="8"/>
      <c r="U1514" s="1"/>
      <c r="V1514" s="1"/>
      <c r="W1514" s="1"/>
      <c r="X1514" s="1"/>
    </row>
    <row r="1515" spans="1:24">
      <c r="A1515" s="1"/>
      <c r="B1515" s="8"/>
      <c r="C1515" s="8"/>
      <c r="D1515" s="8"/>
      <c r="E1515" s="8"/>
      <c r="F1515" s="8"/>
      <c r="G1515" s="8"/>
      <c r="H1515" s="8"/>
      <c r="I1515" s="8"/>
      <c r="J1515" s="8"/>
      <c r="K1515" s="8"/>
      <c r="L1515" s="56"/>
      <c r="M1515" s="26"/>
      <c r="N1515" s="26"/>
      <c r="O1515" s="26"/>
      <c r="P1515" s="1"/>
      <c r="Q1515" s="1"/>
      <c r="R1515" s="8"/>
      <c r="S1515" s="1"/>
      <c r="T1515" s="8"/>
      <c r="U1515" s="1"/>
      <c r="V1515" s="1"/>
      <c r="W1515" s="1"/>
      <c r="X1515" s="1"/>
    </row>
    <row r="1516" spans="1:24">
      <c r="A1516" s="1"/>
      <c r="B1516" s="8"/>
      <c r="C1516" s="8"/>
      <c r="D1516" s="8"/>
      <c r="E1516" s="8"/>
      <c r="F1516" s="8"/>
      <c r="G1516" s="8"/>
      <c r="H1516" s="8"/>
      <c r="I1516" s="8"/>
      <c r="J1516" s="8"/>
      <c r="K1516" s="8"/>
      <c r="L1516" s="56"/>
      <c r="M1516" s="26"/>
      <c r="N1516" s="26"/>
      <c r="O1516" s="26"/>
      <c r="P1516" s="1"/>
      <c r="Q1516" s="1"/>
      <c r="R1516" s="8"/>
      <c r="S1516" s="1"/>
      <c r="T1516" s="8"/>
      <c r="U1516" s="1"/>
      <c r="V1516" s="1"/>
      <c r="W1516" s="1"/>
      <c r="X1516" s="1"/>
    </row>
    <row r="1517" spans="1:24">
      <c r="A1517" s="1"/>
      <c r="B1517" s="8"/>
      <c r="C1517" s="8"/>
      <c r="D1517" s="8"/>
      <c r="E1517" s="8"/>
      <c r="F1517" s="8"/>
      <c r="G1517" s="8"/>
      <c r="H1517" s="8"/>
      <c r="I1517" s="8"/>
      <c r="J1517" s="8"/>
      <c r="K1517" s="8"/>
      <c r="L1517" s="56"/>
      <c r="M1517" s="26"/>
      <c r="N1517" s="26"/>
      <c r="O1517" s="26"/>
      <c r="P1517" s="1"/>
      <c r="Q1517" s="1"/>
      <c r="R1517" s="8"/>
      <c r="S1517" s="1"/>
      <c r="T1517" s="8"/>
      <c r="U1517" s="1"/>
      <c r="V1517" s="1"/>
      <c r="W1517" s="1"/>
      <c r="X1517" s="1"/>
    </row>
    <row r="1518" spans="1:24">
      <c r="A1518" s="1"/>
      <c r="B1518" s="8"/>
      <c r="C1518" s="8"/>
      <c r="D1518" s="8"/>
      <c r="E1518" s="8"/>
      <c r="F1518" s="8"/>
      <c r="G1518" s="8"/>
      <c r="H1518" s="8"/>
      <c r="I1518" s="8"/>
      <c r="J1518" s="8"/>
      <c r="K1518" s="8"/>
      <c r="L1518" s="56"/>
      <c r="M1518" s="26"/>
      <c r="N1518" s="26"/>
      <c r="O1518" s="26"/>
      <c r="P1518" s="1"/>
      <c r="Q1518" s="1"/>
      <c r="R1518" s="8"/>
      <c r="S1518" s="1"/>
      <c r="T1518" s="8"/>
      <c r="U1518" s="1"/>
      <c r="V1518" s="1"/>
      <c r="W1518" s="1"/>
      <c r="X1518" s="1"/>
    </row>
    <row r="1519" spans="1:24">
      <c r="A1519" s="1"/>
      <c r="B1519" s="8"/>
      <c r="C1519" s="8"/>
      <c r="D1519" s="8"/>
      <c r="E1519" s="8"/>
      <c r="F1519" s="8"/>
      <c r="G1519" s="8"/>
      <c r="H1519" s="8"/>
      <c r="I1519" s="8"/>
      <c r="J1519" s="8"/>
      <c r="K1519" s="8"/>
      <c r="L1519" s="56"/>
      <c r="M1519" s="26"/>
      <c r="N1519" s="26"/>
      <c r="O1519" s="26"/>
      <c r="P1519" s="1"/>
      <c r="Q1519" s="1"/>
      <c r="R1519" s="8"/>
      <c r="S1519" s="1"/>
      <c r="T1519" s="8"/>
      <c r="U1519" s="1"/>
      <c r="V1519" s="1"/>
      <c r="W1519" s="1"/>
      <c r="X1519" s="1"/>
    </row>
    <row r="1520" spans="1:24">
      <c r="A1520" s="1"/>
      <c r="B1520" s="8"/>
      <c r="C1520" s="8"/>
      <c r="D1520" s="8"/>
      <c r="E1520" s="8"/>
      <c r="F1520" s="8"/>
      <c r="G1520" s="8"/>
      <c r="H1520" s="8"/>
      <c r="I1520" s="8"/>
      <c r="J1520" s="8"/>
      <c r="K1520" s="8"/>
      <c r="L1520" s="56"/>
      <c r="M1520" s="26"/>
      <c r="N1520" s="26"/>
      <c r="O1520" s="26"/>
      <c r="P1520" s="1"/>
      <c r="Q1520" s="1"/>
      <c r="R1520" s="8"/>
      <c r="S1520" s="1"/>
      <c r="T1520" s="8"/>
      <c r="U1520" s="1"/>
      <c r="V1520" s="1"/>
      <c r="W1520" s="1"/>
      <c r="X1520" s="1"/>
    </row>
    <row r="1521" spans="1:24">
      <c r="A1521" s="1"/>
      <c r="B1521" s="8"/>
      <c r="C1521" s="8"/>
      <c r="D1521" s="8"/>
      <c r="E1521" s="8"/>
      <c r="F1521" s="8"/>
      <c r="G1521" s="8"/>
      <c r="H1521" s="8"/>
      <c r="I1521" s="8"/>
      <c r="J1521" s="8"/>
      <c r="K1521" s="8"/>
      <c r="L1521" s="56"/>
      <c r="M1521" s="26"/>
      <c r="N1521" s="26"/>
      <c r="O1521" s="26"/>
      <c r="P1521" s="1"/>
      <c r="Q1521" s="1"/>
      <c r="R1521" s="8"/>
      <c r="S1521" s="1"/>
      <c r="T1521" s="8"/>
      <c r="U1521" s="1"/>
      <c r="V1521" s="1"/>
      <c r="W1521" s="1"/>
      <c r="X1521" s="1"/>
    </row>
    <row r="1522" spans="1:24">
      <c r="A1522" s="1"/>
      <c r="B1522" s="8"/>
      <c r="C1522" s="8"/>
      <c r="D1522" s="8"/>
      <c r="E1522" s="8"/>
      <c r="F1522" s="8"/>
      <c r="G1522" s="8"/>
      <c r="H1522" s="8"/>
      <c r="I1522" s="8"/>
      <c r="J1522" s="8"/>
      <c r="K1522" s="8"/>
      <c r="L1522" s="56"/>
      <c r="M1522" s="26"/>
      <c r="N1522" s="26"/>
      <c r="O1522" s="26"/>
      <c r="P1522" s="1"/>
      <c r="Q1522" s="1"/>
      <c r="R1522" s="8"/>
      <c r="S1522" s="1"/>
      <c r="T1522" s="8"/>
      <c r="U1522" s="1"/>
      <c r="V1522" s="1"/>
      <c r="W1522" s="1"/>
      <c r="X1522" s="1"/>
    </row>
    <row r="1523" spans="1:24">
      <c r="A1523" s="1"/>
      <c r="B1523" s="8"/>
      <c r="C1523" s="8"/>
      <c r="D1523" s="8"/>
      <c r="E1523" s="8"/>
      <c r="F1523" s="8"/>
      <c r="G1523" s="8"/>
      <c r="H1523" s="8"/>
      <c r="I1523" s="8"/>
      <c r="J1523" s="8"/>
      <c r="K1523" s="8"/>
      <c r="L1523" s="56"/>
      <c r="M1523" s="26"/>
      <c r="N1523" s="26"/>
      <c r="O1523" s="26"/>
      <c r="P1523" s="1"/>
      <c r="Q1523" s="1"/>
      <c r="R1523" s="8"/>
      <c r="S1523" s="1"/>
      <c r="T1523" s="8"/>
      <c r="U1523" s="1"/>
      <c r="V1523" s="1"/>
      <c r="W1523" s="1"/>
      <c r="X1523" s="1"/>
    </row>
    <row r="1524" spans="1:24">
      <c r="A1524" s="1"/>
      <c r="B1524" s="8"/>
      <c r="C1524" s="8"/>
      <c r="D1524" s="8"/>
      <c r="E1524" s="8"/>
      <c r="F1524" s="8"/>
      <c r="G1524" s="8"/>
      <c r="H1524" s="8"/>
      <c r="I1524" s="8"/>
      <c r="J1524" s="8"/>
      <c r="K1524" s="8"/>
      <c r="L1524" s="56"/>
      <c r="M1524" s="26"/>
      <c r="N1524" s="26"/>
      <c r="O1524" s="26"/>
      <c r="P1524" s="1"/>
      <c r="Q1524" s="1"/>
      <c r="R1524" s="8"/>
      <c r="S1524" s="1"/>
      <c r="T1524" s="8"/>
      <c r="U1524" s="1"/>
      <c r="V1524" s="1"/>
      <c r="W1524" s="1"/>
      <c r="X1524" s="1"/>
    </row>
    <row r="1525" spans="1:24">
      <c r="A1525" s="1"/>
      <c r="B1525" s="8"/>
      <c r="C1525" s="8"/>
      <c r="D1525" s="8"/>
      <c r="E1525" s="8"/>
      <c r="F1525" s="8"/>
      <c r="G1525" s="8"/>
      <c r="H1525" s="8"/>
      <c r="I1525" s="8"/>
      <c r="J1525" s="8"/>
      <c r="K1525" s="8"/>
      <c r="L1525" s="56"/>
      <c r="M1525" s="26"/>
      <c r="N1525" s="26"/>
      <c r="O1525" s="26"/>
      <c r="P1525" s="1"/>
      <c r="Q1525" s="1"/>
      <c r="R1525" s="8"/>
      <c r="S1525" s="1"/>
      <c r="T1525" s="8"/>
      <c r="U1525" s="1"/>
      <c r="V1525" s="1"/>
      <c r="W1525" s="1"/>
      <c r="X1525" s="1"/>
    </row>
    <row r="1526" spans="1:24">
      <c r="A1526" s="1"/>
      <c r="B1526" s="8"/>
      <c r="C1526" s="8"/>
      <c r="D1526" s="8"/>
      <c r="E1526" s="8"/>
      <c r="F1526" s="8"/>
      <c r="G1526" s="8"/>
      <c r="H1526" s="8"/>
      <c r="I1526" s="8"/>
      <c r="J1526" s="8"/>
      <c r="K1526" s="8"/>
      <c r="L1526" s="56"/>
      <c r="M1526" s="26"/>
      <c r="N1526" s="26"/>
      <c r="O1526" s="26"/>
      <c r="P1526" s="1"/>
      <c r="Q1526" s="1"/>
      <c r="R1526" s="8"/>
      <c r="S1526" s="1"/>
      <c r="T1526" s="8"/>
      <c r="U1526" s="1"/>
      <c r="V1526" s="1"/>
      <c r="W1526" s="1"/>
      <c r="X1526" s="1"/>
    </row>
    <row r="1527" spans="1:24">
      <c r="A1527" s="1"/>
      <c r="B1527" s="8"/>
      <c r="C1527" s="8"/>
      <c r="D1527" s="8"/>
      <c r="E1527" s="8"/>
      <c r="F1527" s="8"/>
      <c r="G1527" s="8"/>
      <c r="H1527" s="8"/>
      <c r="I1527" s="8"/>
      <c r="J1527" s="8"/>
      <c r="K1527" s="8"/>
      <c r="L1527" s="56"/>
      <c r="M1527" s="26"/>
      <c r="N1527" s="26"/>
      <c r="O1527" s="26"/>
      <c r="P1527" s="1"/>
      <c r="Q1527" s="1"/>
      <c r="R1527" s="8"/>
      <c r="S1527" s="1"/>
      <c r="T1527" s="8"/>
      <c r="U1527" s="1"/>
      <c r="V1527" s="1"/>
      <c r="W1527" s="1"/>
      <c r="X1527" s="1"/>
    </row>
    <row r="1528" spans="1:24">
      <c r="A1528" s="1"/>
      <c r="B1528" s="8"/>
      <c r="C1528" s="8"/>
      <c r="D1528" s="8"/>
      <c r="E1528" s="8"/>
      <c r="F1528" s="8"/>
      <c r="G1528" s="8"/>
      <c r="H1528" s="8"/>
      <c r="I1528" s="8"/>
      <c r="J1528" s="8"/>
      <c r="K1528" s="8"/>
      <c r="L1528" s="56"/>
      <c r="M1528" s="26"/>
      <c r="N1528" s="26"/>
      <c r="O1528" s="26"/>
      <c r="P1528" s="1"/>
      <c r="Q1528" s="1"/>
      <c r="R1528" s="8"/>
      <c r="S1528" s="1"/>
      <c r="T1528" s="8"/>
      <c r="U1528" s="1"/>
      <c r="V1528" s="1"/>
      <c r="W1528" s="1"/>
      <c r="X1528" s="1"/>
    </row>
    <row r="1529" spans="1:24">
      <c r="A1529" s="1"/>
      <c r="B1529" s="8"/>
      <c r="C1529" s="8"/>
      <c r="D1529" s="8"/>
      <c r="E1529" s="8"/>
      <c r="F1529" s="8"/>
      <c r="G1529" s="8"/>
      <c r="H1529" s="8"/>
      <c r="I1529" s="8"/>
      <c r="J1529" s="8"/>
      <c r="K1529" s="8"/>
      <c r="L1529" s="56"/>
      <c r="M1529" s="26"/>
      <c r="N1529" s="26"/>
      <c r="O1529" s="26"/>
      <c r="P1529" s="1"/>
      <c r="Q1529" s="1"/>
      <c r="R1529" s="8"/>
      <c r="S1529" s="1"/>
      <c r="T1529" s="8"/>
      <c r="U1529" s="1"/>
      <c r="V1529" s="1"/>
      <c r="W1529" s="1"/>
      <c r="X1529" s="1"/>
    </row>
    <row r="1530" spans="1:24">
      <c r="A1530" s="1"/>
      <c r="B1530" s="8"/>
      <c r="C1530" s="8"/>
      <c r="D1530" s="8"/>
      <c r="E1530" s="8"/>
      <c r="F1530" s="8"/>
      <c r="G1530" s="8"/>
      <c r="H1530" s="8"/>
      <c r="I1530" s="8"/>
      <c r="J1530" s="8"/>
      <c r="K1530" s="8"/>
      <c r="L1530" s="56"/>
      <c r="M1530" s="26"/>
      <c r="N1530" s="26"/>
      <c r="O1530" s="26"/>
      <c r="P1530" s="1"/>
      <c r="Q1530" s="1"/>
      <c r="R1530" s="8"/>
      <c r="S1530" s="1"/>
      <c r="T1530" s="8"/>
      <c r="U1530" s="1"/>
      <c r="V1530" s="1"/>
      <c r="W1530" s="1"/>
      <c r="X1530" s="1"/>
    </row>
    <row r="1531" spans="1:24">
      <c r="A1531" s="1"/>
      <c r="B1531" s="8"/>
      <c r="C1531" s="8"/>
      <c r="D1531" s="8"/>
      <c r="E1531" s="8"/>
      <c r="F1531" s="8"/>
      <c r="G1531" s="8"/>
      <c r="H1531" s="8"/>
      <c r="I1531" s="8"/>
      <c r="J1531" s="8"/>
      <c r="K1531" s="8"/>
      <c r="L1531" s="56"/>
      <c r="M1531" s="26"/>
      <c r="N1531" s="26"/>
      <c r="O1531" s="26"/>
      <c r="P1531" s="1"/>
      <c r="Q1531" s="1"/>
      <c r="R1531" s="8"/>
      <c r="S1531" s="1"/>
      <c r="T1531" s="8"/>
      <c r="U1531" s="1"/>
      <c r="V1531" s="1"/>
      <c r="W1531" s="1"/>
      <c r="X1531" s="1"/>
    </row>
    <row r="1532" spans="1:24">
      <c r="A1532" s="1"/>
      <c r="B1532" s="8"/>
      <c r="C1532" s="8"/>
      <c r="D1532" s="8"/>
      <c r="E1532" s="8"/>
      <c r="F1532" s="8"/>
      <c r="G1532" s="8"/>
      <c r="H1532" s="8"/>
      <c r="I1532" s="8"/>
      <c r="J1532" s="8"/>
      <c r="K1532" s="8"/>
      <c r="L1532" s="56"/>
      <c r="M1532" s="26"/>
      <c r="N1532" s="26"/>
      <c r="O1532" s="26"/>
      <c r="P1532" s="1"/>
      <c r="Q1532" s="1"/>
      <c r="R1532" s="8"/>
      <c r="S1532" s="1"/>
      <c r="T1532" s="8"/>
      <c r="U1532" s="1"/>
      <c r="V1532" s="1"/>
      <c r="W1532" s="1"/>
      <c r="X1532" s="1"/>
    </row>
    <row r="1533" spans="1:24">
      <c r="A1533" s="1"/>
      <c r="B1533" s="8"/>
      <c r="C1533" s="8"/>
      <c r="D1533" s="8"/>
      <c r="E1533" s="8"/>
      <c r="F1533" s="8"/>
      <c r="G1533" s="8"/>
      <c r="H1533" s="8"/>
      <c r="I1533" s="8"/>
      <c r="J1533" s="8"/>
      <c r="K1533" s="8"/>
      <c r="L1533" s="56"/>
      <c r="M1533" s="26"/>
      <c r="N1533" s="26"/>
      <c r="O1533" s="26"/>
      <c r="P1533" s="1"/>
      <c r="Q1533" s="1"/>
      <c r="R1533" s="8"/>
      <c r="S1533" s="1"/>
      <c r="T1533" s="8"/>
      <c r="U1533" s="1"/>
      <c r="V1533" s="1"/>
      <c r="W1533" s="1"/>
      <c r="X1533" s="1"/>
    </row>
    <row r="1534" spans="1:24">
      <c r="A1534" s="1"/>
      <c r="B1534" s="8"/>
      <c r="C1534" s="8"/>
      <c r="D1534" s="8"/>
      <c r="E1534" s="8"/>
      <c r="F1534" s="8"/>
      <c r="G1534" s="8"/>
      <c r="H1534" s="8"/>
      <c r="I1534" s="8"/>
      <c r="J1534" s="8"/>
      <c r="K1534" s="8"/>
      <c r="L1534" s="56"/>
      <c r="M1534" s="26"/>
      <c r="N1534" s="26"/>
      <c r="O1534" s="26"/>
      <c r="P1534" s="1"/>
      <c r="Q1534" s="1"/>
      <c r="R1534" s="8"/>
      <c r="S1534" s="1"/>
      <c r="T1534" s="8"/>
      <c r="U1534" s="1"/>
      <c r="V1534" s="1"/>
      <c r="W1534" s="1"/>
      <c r="X1534" s="1"/>
    </row>
    <row r="1535" spans="1:24">
      <c r="A1535" s="1"/>
      <c r="B1535" s="8"/>
      <c r="C1535" s="8"/>
      <c r="D1535" s="8"/>
      <c r="E1535" s="8"/>
      <c r="F1535" s="8"/>
      <c r="G1535" s="8"/>
      <c r="H1535" s="8"/>
      <c r="I1535" s="8"/>
      <c r="J1535" s="8"/>
      <c r="K1535" s="8"/>
      <c r="L1535" s="56"/>
      <c r="M1535" s="26"/>
      <c r="N1535" s="26"/>
      <c r="O1535" s="26"/>
      <c r="P1535" s="1"/>
      <c r="Q1535" s="1"/>
      <c r="R1535" s="8"/>
      <c r="S1535" s="1"/>
      <c r="T1535" s="8"/>
      <c r="U1535" s="1"/>
      <c r="V1535" s="1"/>
      <c r="W1535" s="1"/>
      <c r="X1535" s="1"/>
    </row>
    <row r="1536" spans="1:24">
      <c r="A1536" s="1"/>
      <c r="B1536" s="8"/>
      <c r="C1536" s="8"/>
      <c r="D1536" s="8"/>
      <c r="E1536" s="8"/>
      <c r="F1536" s="8"/>
      <c r="G1536" s="8"/>
      <c r="H1536" s="8"/>
      <c r="I1536" s="8"/>
      <c r="J1536" s="8"/>
      <c r="K1536" s="8"/>
      <c r="L1536" s="56"/>
      <c r="M1536" s="26"/>
      <c r="N1536" s="26"/>
      <c r="O1536" s="26"/>
      <c r="P1536" s="1"/>
      <c r="Q1536" s="1"/>
      <c r="R1536" s="8"/>
      <c r="S1536" s="1"/>
      <c r="T1536" s="8"/>
      <c r="U1536" s="1"/>
      <c r="V1536" s="1"/>
      <c r="W1536" s="1"/>
      <c r="X1536" s="1"/>
    </row>
    <row r="1537" spans="1:24">
      <c r="A1537" s="1"/>
      <c r="B1537" s="8"/>
      <c r="C1537" s="8"/>
      <c r="D1537" s="8"/>
      <c r="E1537" s="8"/>
      <c r="F1537" s="8"/>
      <c r="G1537" s="8"/>
      <c r="H1537" s="8"/>
      <c r="I1537" s="8"/>
      <c r="J1537" s="8"/>
      <c r="K1537" s="8"/>
      <c r="L1537" s="56"/>
      <c r="M1537" s="26"/>
      <c r="N1537" s="26"/>
      <c r="O1537" s="26"/>
      <c r="P1537" s="1"/>
      <c r="Q1537" s="1"/>
      <c r="R1537" s="8"/>
      <c r="S1537" s="1"/>
      <c r="T1537" s="8"/>
      <c r="U1537" s="1"/>
      <c r="V1537" s="1"/>
      <c r="W1537" s="1"/>
      <c r="X1537" s="1"/>
    </row>
    <row r="1538" spans="1:24">
      <c r="A1538" s="1"/>
      <c r="B1538" s="8"/>
      <c r="C1538" s="8"/>
      <c r="D1538" s="8"/>
      <c r="E1538" s="8"/>
      <c r="F1538" s="8"/>
      <c r="G1538" s="8"/>
      <c r="H1538" s="8"/>
      <c r="I1538" s="8"/>
      <c r="J1538" s="8"/>
      <c r="K1538" s="8"/>
      <c r="L1538" s="56"/>
      <c r="M1538" s="26"/>
      <c r="N1538" s="26"/>
      <c r="O1538" s="26"/>
      <c r="P1538" s="1"/>
      <c r="Q1538" s="1"/>
      <c r="R1538" s="8"/>
      <c r="S1538" s="1"/>
      <c r="T1538" s="8"/>
      <c r="U1538" s="1"/>
      <c r="V1538" s="1"/>
      <c r="W1538" s="1"/>
      <c r="X1538" s="1"/>
    </row>
    <row r="1539" spans="1:24">
      <c r="A1539" s="1"/>
      <c r="B1539" s="8"/>
      <c r="C1539" s="8"/>
      <c r="D1539" s="8"/>
      <c r="E1539" s="8"/>
      <c r="F1539" s="8"/>
      <c r="G1539" s="8"/>
      <c r="H1539" s="8"/>
      <c r="I1539" s="8"/>
      <c r="J1539" s="8"/>
      <c r="K1539" s="8"/>
      <c r="L1539" s="56"/>
      <c r="M1539" s="26"/>
      <c r="N1539" s="26"/>
      <c r="O1539" s="26"/>
      <c r="P1539" s="1"/>
      <c r="Q1539" s="1"/>
      <c r="R1539" s="8"/>
      <c r="S1539" s="1"/>
      <c r="T1539" s="8"/>
      <c r="U1539" s="1"/>
      <c r="V1539" s="1"/>
      <c r="W1539" s="1"/>
      <c r="X1539" s="1"/>
    </row>
    <row r="1540" spans="1:24">
      <c r="A1540" s="1"/>
      <c r="B1540" s="8"/>
      <c r="C1540" s="8"/>
      <c r="D1540" s="8"/>
      <c r="E1540" s="8"/>
      <c r="F1540" s="8"/>
      <c r="G1540" s="8"/>
      <c r="H1540" s="8"/>
      <c r="I1540" s="8"/>
      <c r="J1540" s="8"/>
      <c r="K1540" s="8"/>
      <c r="L1540" s="56"/>
      <c r="M1540" s="26"/>
      <c r="N1540" s="26"/>
      <c r="O1540" s="26"/>
      <c r="P1540" s="1"/>
      <c r="Q1540" s="1"/>
      <c r="R1540" s="8"/>
      <c r="S1540" s="1"/>
      <c r="T1540" s="8"/>
      <c r="U1540" s="1"/>
      <c r="V1540" s="1"/>
      <c r="W1540" s="1"/>
      <c r="X1540" s="1"/>
    </row>
    <row r="1541" spans="1:24">
      <c r="A1541" s="1"/>
      <c r="B1541" s="8"/>
      <c r="C1541" s="8"/>
      <c r="D1541" s="8"/>
      <c r="E1541" s="8"/>
      <c r="F1541" s="8"/>
      <c r="G1541" s="8"/>
      <c r="H1541" s="8"/>
      <c r="I1541" s="8"/>
      <c r="J1541" s="8"/>
      <c r="K1541" s="8"/>
      <c r="L1541" s="56"/>
      <c r="M1541" s="26"/>
      <c r="N1541" s="26"/>
      <c r="O1541" s="26"/>
      <c r="P1541" s="1"/>
      <c r="Q1541" s="1"/>
      <c r="R1541" s="8"/>
      <c r="S1541" s="1"/>
      <c r="T1541" s="8"/>
      <c r="U1541" s="1"/>
      <c r="V1541" s="1"/>
      <c r="W1541" s="1"/>
      <c r="X1541" s="1"/>
    </row>
    <row r="1542" spans="1:24">
      <c r="A1542" s="1"/>
      <c r="B1542" s="8"/>
      <c r="C1542" s="8"/>
      <c r="D1542" s="8"/>
      <c r="E1542" s="8"/>
      <c r="F1542" s="8"/>
      <c r="G1542" s="8"/>
      <c r="H1542" s="8"/>
      <c r="I1542" s="8"/>
      <c r="J1542" s="8"/>
      <c r="K1542" s="8"/>
      <c r="L1542" s="56"/>
      <c r="M1542" s="26"/>
      <c r="N1542" s="26"/>
      <c r="O1542" s="26"/>
      <c r="P1542" s="1"/>
      <c r="Q1542" s="1"/>
      <c r="R1542" s="8"/>
      <c r="S1542" s="1"/>
      <c r="T1542" s="8"/>
      <c r="U1542" s="1"/>
      <c r="V1542" s="1"/>
      <c r="W1542" s="1"/>
      <c r="X1542" s="1"/>
    </row>
    <row r="1543" spans="1:24">
      <c r="A1543" s="1"/>
      <c r="B1543" s="8"/>
      <c r="C1543" s="8"/>
      <c r="D1543" s="8"/>
      <c r="E1543" s="8"/>
      <c r="F1543" s="8"/>
      <c r="G1543" s="8"/>
      <c r="H1543" s="8"/>
      <c r="I1543" s="8"/>
      <c r="J1543" s="8"/>
      <c r="K1543" s="8"/>
      <c r="L1543" s="56"/>
      <c r="M1543" s="26"/>
      <c r="N1543" s="26"/>
      <c r="O1543" s="26"/>
      <c r="P1543" s="1"/>
      <c r="Q1543" s="1"/>
      <c r="R1543" s="8"/>
      <c r="S1543" s="1"/>
      <c r="T1543" s="8"/>
      <c r="U1543" s="1"/>
      <c r="V1543" s="1"/>
      <c r="W1543" s="1"/>
      <c r="X1543" s="1"/>
    </row>
    <row r="1544" spans="1:24">
      <c r="A1544" s="1"/>
      <c r="B1544" s="8"/>
      <c r="C1544" s="8"/>
      <c r="D1544" s="8"/>
      <c r="E1544" s="8"/>
      <c r="F1544" s="8"/>
      <c r="G1544" s="8"/>
      <c r="H1544" s="8"/>
      <c r="I1544" s="8"/>
      <c r="J1544" s="8"/>
      <c r="K1544" s="8"/>
      <c r="L1544" s="56"/>
      <c r="M1544" s="26"/>
      <c r="N1544" s="26"/>
      <c r="O1544" s="26"/>
      <c r="P1544" s="1"/>
      <c r="Q1544" s="1"/>
      <c r="R1544" s="8"/>
      <c r="S1544" s="1"/>
      <c r="T1544" s="8"/>
      <c r="U1544" s="1"/>
      <c r="V1544" s="1"/>
      <c r="W1544" s="1"/>
      <c r="X1544" s="1"/>
    </row>
    <row r="1545" spans="1:24">
      <c r="A1545" s="1"/>
      <c r="B1545" s="8"/>
      <c r="C1545" s="8"/>
      <c r="D1545" s="8"/>
      <c r="E1545" s="8"/>
      <c r="F1545" s="8"/>
      <c r="G1545" s="8"/>
      <c r="H1545" s="8"/>
      <c r="I1545" s="8"/>
      <c r="J1545" s="8"/>
      <c r="K1545" s="8"/>
      <c r="L1545" s="56"/>
      <c r="M1545" s="26"/>
      <c r="N1545" s="26"/>
      <c r="O1545" s="26"/>
      <c r="P1545" s="1"/>
      <c r="Q1545" s="1"/>
      <c r="R1545" s="8"/>
      <c r="S1545" s="1"/>
      <c r="T1545" s="8"/>
      <c r="U1545" s="1"/>
      <c r="V1545" s="1"/>
      <c r="W1545" s="1"/>
      <c r="X1545" s="1"/>
    </row>
    <row r="1546" spans="1:24">
      <c r="A1546" s="1"/>
      <c r="B1546" s="8"/>
      <c r="C1546" s="8"/>
      <c r="D1546" s="8"/>
      <c r="E1546" s="8"/>
      <c r="F1546" s="8"/>
      <c r="G1546" s="8"/>
      <c r="H1546" s="8"/>
      <c r="I1546" s="8"/>
      <c r="J1546" s="8"/>
      <c r="K1546" s="8"/>
      <c r="L1546" s="56"/>
      <c r="M1546" s="26"/>
      <c r="N1546" s="26"/>
      <c r="O1546" s="26"/>
      <c r="P1546" s="1"/>
      <c r="Q1546" s="1"/>
      <c r="R1546" s="8"/>
      <c r="S1546" s="1"/>
      <c r="T1546" s="8"/>
      <c r="U1546" s="1"/>
      <c r="V1546" s="1"/>
      <c r="W1546" s="1"/>
      <c r="X1546" s="1"/>
    </row>
    <row r="1547" spans="1:24">
      <c r="A1547" s="1"/>
      <c r="B1547" s="8"/>
      <c r="C1547" s="8"/>
      <c r="D1547" s="8"/>
      <c r="E1547" s="8"/>
      <c r="F1547" s="8"/>
      <c r="G1547" s="8"/>
      <c r="H1547" s="8"/>
      <c r="I1547" s="8"/>
      <c r="J1547" s="8"/>
      <c r="K1547" s="8"/>
      <c r="L1547" s="56"/>
      <c r="M1547" s="26"/>
      <c r="N1547" s="26"/>
      <c r="O1547" s="26"/>
      <c r="P1547" s="1"/>
      <c r="Q1547" s="1"/>
      <c r="R1547" s="8"/>
      <c r="S1547" s="1"/>
      <c r="T1547" s="8"/>
      <c r="U1547" s="1"/>
      <c r="V1547" s="1"/>
      <c r="W1547" s="1"/>
      <c r="X1547" s="1"/>
    </row>
    <row r="1548" spans="1:24">
      <c r="A1548" s="1"/>
      <c r="B1548" s="8"/>
      <c r="C1548" s="8"/>
      <c r="D1548" s="8"/>
      <c r="E1548" s="8"/>
      <c r="F1548" s="8"/>
      <c r="G1548" s="8"/>
      <c r="H1548" s="8"/>
      <c r="I1548" s="8"/>
      <c r="J1548" s="8"/>
      <c r="K1548" s="8"/>
      <c r="L1548" s="56"/>
      <c r="M1548" s="26"/>
      <c r="N1548" s="26"/>
      <c r="O1548" s="26"/>
      <c r="P1548" s="1"/>
      <c r="Q1548" s="1"/>
      <c r="R1548" s="8"/>
      <c r="S1548" s="1"/>
      <c r="T1548" s="8"/>
      <c r="U1548" s="1"/>
      <c r="V1548" s="1"/>
      <c r="W1548" s="1"/>
      <c r="X1548" s="1"/>
    </row>
    <row r="1549" spans="1:24">
      <c r="A1549" s="1"/>
      <c r="B1549" s="8"/>
      <c r="C1549" s="8"/>
      <c r="D1549" s="8"/>
      <c r="E1549" s="8"/>
      <c r="F1549" s="8"/>
      <c r="G1549" s="8"/>
      <c r="H1549" s="8"/>
      <c r="I1549" s="8"/>
      <c r="J1549" s="8"/>
      <c r="K1549" s="8"/>
      <c r="L1549" s="56"/>
      <c r="M1549" s="26"/>
      <c r="N1549" s="26"/>
      <c r="O1549" s="26"/>
      <c r="P1549" s="1"/>
      <c r="Q1549" s="1"/>
      <c r="R1549" s="8"/>
      <c r="S1549" s="1"/>
      <c r="T1549" s="8"/>
      <c r="U1549" s="1"/>
      <c r="V1549" s="1"/>
      <c r="W1549" s="1"/>
      <c r="X1549" s="1"/>
    </row>
    <row r="1550" spans="1:24">
      <c r="A1550" s="1"/>
      <c r="B1550" s="8"/>
      <c r="C1550" s="8"/>
      <c r="D1550" s="8"/>
      <c r="E1550" s="8"/>
      <c r="F1550" s="8"/>
      <c r="G1550" s="8"/>
      <c r="H1550" s="8"/>
      <c r="I1550" s="8"/>
      <c r="J1550" s="8"/>
      <c r="K1550" s="8"/>
      <c r="L1550" s="56"/>
      <c r="M1550" s="26"/>
      <c r="N1550" s="26"/>
      <c r="O1550" s="26"/>
      <c r="P1550" s="1"/>
      <c r="Q1550" s="1"/>
      <c r="R1550" s="8"/>
      <c r="S1550" s="1"/>
      <c r="T1550" s="8"/>
      <c r="U1550" s="1"/>
      <c r="V1550" s="1"/>
      <c r="W1550" s="1"/>
      <c r="X1550" s="1"/>
    </row>
    <row r="1551" spans="1:24">
      <c r="A1551" s="1"/>
      <c r="B1551" s="8"/>
      <c r="C1551" s="8"/>
      <c r="D1551" s="8"/>
      <c r="E1551" s="8"/>
      <c r="F1551" s="8"/>
      <c r="G1551" s="8"/>
      <c r="H1551" s="8"/>
      <c r="I1551" s="8"/>
      <c r="J1551" s="8"/>
      <c r="K1551" s="8"/>
      <c r="L1551" s="56"/>
      <c r="M1551" s="26"/>
      <c r="N1551" s="26"/>
      <c r="O1551" s="26"/>
      <c r="P1551" s="1"/>
      <c r="Q1551" s="1"/>
      <c r="R1551" s="8"/>
      <c r="S1551" s="1"/>
      <c r="T1551" s="8"/>
      <c r="U1551" s="1"/>
      <c r="V1551" s="1"/>
      <c r="W1551" s="1"/>
      <c r="X1551" s="1"/>
    </row>
    <row r="1552" spans="1:24">
      <c r="A1552" s="1"/>
      <c r="B1552" s="8"/>
      <c r="C1552" s="8"/>
      <c r="D1552" s="8"/>
      <c r="E1552" s="8"/>
      <c r="F1552" s="8"/>
      <c r="G1552" s="8"/>
      <c r="H1552" s="8"/>
      <c r="I1552" s="8"/>
      <c r="J1552" s="8"/>
      <c r="K1552" s="8"/>
      <c r="L1552" s="56"/>
      <c r="M1552" s="26"/>
      <c r="N1552" s="26"/>
      <c r="O1552" s="26"/>
      <c r="P1552" s="1"/>
      <c r="Q1552" s="1"/>
      <c r="R1552" s="8"/>
      <c r="S1552" s="1"/>
      <c r="T1552" s="8"/>
      <c r="U1552" s="1"/>
      <c r="V1552" s="1"/>
      <c r="W1552" s="1"/>
      <c r="X1552" s="1"/>
    </row>
    <row r="1553" spans="1:24">
      <c r="A1553" s="1"/>
      <c r="B1553" s="8"/>
      <c r="C1553" s="8"/>
      <c r="D1553" s="8"/>
      <c r="E1553" s="8"/>
      <c r="F1553" s="8"/>
      <c r="G1553" s="8"/>
      <c r="H1553" s="8"/>
      <c r="I1553" s="8"/>
      <c r="J1553" s="8"/>
      <c r="K1553" s="8"/>
      <c r="L1553" s="56"/>
      <c r="M1553" s="26"/>
      <c r="N1553" s="26"/>
      <c r="O1553" s="26"/>
      <c r="P1553" s="1"/>
      <c r="Q1553" s="1"/>
      <c r="R1553" s="8"/>
      <c r="S1553" s="1"/>
      <c r="T1553" s="8"/>
      <c r="U1553" s="1"/>
      <c r="V1553" s="1"/>
      <c r="W1553" s="1"/>
      <c r="X1553" s="1"/>
    </row>
    <row r="1554" spans="1:24">
      <c r="A1554" s="1"/>
      <c r="B1554" s="8"/>
      <c r="C1554" s="8"/>
      <c r="D1554" s="8"/>
      <c r="E1554" s="8"/>
      <c r="F1554" s="8"/>
      <c r="G1554" s="8"/>
      <c r="H1554" s="8"/>
      <c r="I1554" s="8"/>
      <c r="J1554" s="8"/>
      <c r="K1554" s="8"/>
      <c r="L1554" s="56"/>
      <c r="M1554" s="26"/>
      <c r="N1554" s="26"/>
      <c r="O1554" s="26"/>
      <c r="P1554" s="1"/>
      <c r="Q1554" s="1"/>
      <c r="R1554" s="8"/>
      <c r="S1554" s="1"/>
      <c r="T1554" s="8"/>
      <c r="U1554" s="1"/>
      <c r="V1554" s="1"/>
      <c r="W1554" s="1"/>
      <c r="X1554" s="1"/>
    </row>
    <row r="1555" spans="1:24">
      <c r="A1555" s="1"/>
      <c r="B1555" s="8"/>
      <c r="C1555" s="8"/>
      <c r="D1555" s="8"/>
      <c r="E1555" s="8"/>
      <c r="F1555" s="8"/>
      <c r="G1555" s="8"/>
      <c r="H1555" s="8"/>
      <c r="I1555" s="8"/>
      <c r="J1555" s="8"/>
      <c r="K1555" s="8"/>
      <c r="L1555" s="56"/>
      <c r="M1555" s="26"/>
      <c r="N1555" s="26"/>
      <c r="O1555" s="26"/>
      <c r="P1555" s="1"/>
      <c r="Q1555" s="1"/>
      <c r="R1555" s="8"/>
      <c r="S1555" s="1"/>
      <c r="T1555" s="8"/>
      <c r="U1555" s="1"/>
      <c r="V1555" s="1"/>
      <c r="W1555" s="1"/>
      <c r="X1555" s="1"/>
    </row>
    <row r="1556" spans="1:24">
      <c r="A1556" s="1"/>
      <c r="B1556" s="8"/>
      <c r="C1556" s="8"/>
      <c r="D1556" s="8"/>
      <c r="E1556" s="8"/>
      <c r="F1556" s="8"/>
      <c r="G1556" s="8"/>
      <c r="H1556" s="8"/>
      <c r="I1556" s="8"/>
      <c r="J1556" s="8"/>
      <c r="K1556" s="8"/>
      <c r="L1556" s="56"/>
      <c r="M1556" s="26"/>
      <c r="N1556" s="26"/>
      <c r="O1556" s="26"/>
      <c r="P1556" s="1"/>
      <c r="Q1556" s="1"/>
      <c r="R1556" s="8"/>
      <c r="S1556" s="1"/>
      <c r="T1556" s="8"/>
      <c r="U1556" s="1"/>
      <c r="V1556" s="1"/>
      <c r="W1556" s="1"/>
      <c r="X1556" s="1"/>
    </row>
    <row r="1557" spans="1:24">
      <c r="A1557" s="1"/>
      <c r="B1557" s="8"/>
      <c r="C1557" s="8"/>
      <c r="D1557" s="8"/>
      <c r="E1557" s="8"/>
      <c r="F1557" s="8"/>
      <c r="G1557" s="8"/>
      <c r="H1557" s="8"/>
      <c r="I1557" s="8"/>
      <c r="J1557" s="8"/>
      <c r="K1557" s="8"/>
      <c r="L1557" s="56"/>
      <c r="M1557" s="26"/>
      <c r="N1557" s="26"/>
      <c r="O1557" s="26"/>
      <c r="P1557" s="1"/>
      <c r="Q1557" s="1"/>
      <c r="R1557" s="8"/>
      <c r="S1557" s="1"/>
      <c r="T1557" s="8"/>
      <c r="U1557" s="1"/>
      <c r="V1557" s="1"/>
      <c r="W1557" s="1"/>
      <c r="X1557" s="1"/>
    </row>
    <row r="1558" spans="1:24">
      <c r="A1558" s="1"/>
      <c r="B1558" s="8"/>
      <c r="C1558" s="8"/>
      <c r="D1558" s="8"/>
      <c r="E1558" s="8"/>
      <c r="F1558" s="8"/>
      <c r="G1558" s="8"/>
      <c r="H1558" s="8"/>
      <c r="I1558" s="8"/>
      <c r="J1558" s="8"/>
      <c r="K1558" s="8"/>
      <c r="L1558" s="56"/>
      <c r="M1558" s="26"/>
      <c r="N1558" s="26"/>
      <c r="O1558" s="26"/>
      <c r="P1558" s="1"/>
      <c r="Q1558" s="1"/>
      <c r="R1558" s="8"/>
      <c r="S1558" s="1"/>
      <c r="T1558" s="8"/>
      <c r="U1558" s="1"/>
      <c r="V1558" s="1"/>
      <c r="W1558" s="1"/>
      <c r="X1558" s="1"/>
    </row>
    <row r="1559" spans="1:24">
      <c r="A1559" s="1"/>
      <c r="B1559" s="8"/>
      <c r="C1559" s="8"/>
      <c r="D1559" s="8"/>
      <c r="E1559" s="8"/>
      <c r="F1559" s="8"/>
      <c r="G1559" s="8"/>
      <c r="H1559" s="8"/>
      <c r="I1559" s="8"/>
      <c r="J1559" s="8"/>
      <c r="K1559" s="8"/>
      <c r="L1559" s="56"/>
      <c r="M1559" s="26"/>
      <c r="N1559" s="26"/>
      <c r="O1559" s="26"/>
      <c r="P1559" s="1"/>
      <c r="Q1559" s="1"/>
      <c r="R1559" s="8"/>
      <c r="S1559" s="1"/>
      <c r="T1559" s="8"/>
      <c r="U1559" s="1"/>
      <c r="V1559" s="1"/>
      <c r="W1559" s="1"/>
      <c r="X1559" s="1"/>
    </row>
    <row r="1560" spans="1:24">
      <c r="A1560" s="1"/>
      <c r="B1560" s="8"/>
      <c r="C1560" s="8"/>
      <c r="D1560" s="8"/>
      <c r="E1560" s="8"/>
      <c r="F1560" s="8"/>
      <c r="G1560" s="8"/>
      <c r="H1560" s="8"/>
      <c r="I1560" s="8"/>
      <c r="J1560" s="8"/>
      <c r="K1560" s="8"/>
      <c r="L1560" s="56"/>
      <c r="M1560" s="26"/>
      <c r="N1560" s="26"/>
      <c r="O1560" s="26"/>
      <c r="P1560" s="1"/>
      <c r="Q1560" s="1"/>
      <c r="R1560" s="8"/>
      <c r="S1560" s="1"/>
      <c r="T1560" s="8"/>
      <c r="U1560" s="1"/>
      <c r="V1560" s="1"/>
      <c r="W1560" s="1"/>
      <c r="X1560" s="1"/>
    </row>
    <row r="1561" spans="1:24">
      <c r="A1561" s="1"/>
      <c r="B1561" s="8"/>
      <c r="C1561" s="8"/>
      <c r="D1561" s="8"/>
      <c r="E1561" s="8"/>
      <c r="F1561" s="8"/>
      <c r="G1561" s="8"/>
      <c r="H1561" s="8"/>
      <c r="I1561" s="8"/>
      <c r="J1561" s="8"/>
      <c r="K1561" s="8"/>
      <c r="L1561" s="56"/>
      <c r="M1561" s="26"/>
      <c r="N1561" s="26"/>
      <c r="O1561" s="26"/>
      <c r="P1561" s="1"/>
      <c r="Q1561" s="1"/>
      <c r="R1561" s="8"/>
      <c r="S1561" s="1"/>
      <c r="T1561" s="8"/>
      <c r="U1561" s="1"/>
      <c r="V1561" s="1"/>
      <c r="W1561" s="1"/>
      <c r="X1561" s="1"/>
    </row>
    <row r="1562" spans="1:24">
      <c r="A1562" s="1"/>
      <c r="B1562" s="8"/>
      <c r="C1562" s="8"/>
      <c r="D1562" s="8"/>
      <c r="E1562" s="8"/>
      <c r="F1562" s="8"/>
      <c r="G1562" s="8"/>
      <c r="H1562" s="8"/>
      <c r="I1562" s="8"/>
      <c r="J1562" s="8"/>
      <c r="K1562" s="8"/>
      <c r="L1562" s="56"/>
      <c r="M1562" s="26"/>
      <c r="N1562" s="26"/>
      <c r="O1562" s="26"/>
      <c r="P1562" s="1"/>
      <c r="Q1562" s="1"/>
      <c r="R1562" s="8"/>
      <c r="S1562" s="1"/>
      <c r="T1562" s="8"/>
      <c r="U1562" s="1"/>
      <c r="V1562" s="1"/>
      <c r="W1562" s="1"/>
      <c r="X1562" s="1"/>
    </row>
    <row r="1563" spans="1:24">
      <c r="A1563" s="1"/>
      <c r="B1563" s="8"/>
      <c r="C1563" s="8"/>
      <c r="D1563" s="8"/>
      <c r="E1563" s="8"/>
      <c r="F1563" s="8"/>
      <c r="G1563" s="8"/>
      <c r="H1563" s="8"/>
      <c r="I1563" s="8"/>
      <c r="J1563" s="8"/>
      <c r="K1563" s="8"/>
      <c r="L1563" s="56"/>
      <c r="M1563" s="26"/>
      <c r="N1563" s="26"/>
      <c r="O1563" s="26"/>
      <c r="P1563" s="1"/>
      <c r="Q1563" s="1"/>
      <c r="R1563" s="8"/>
      <c r="S1563" s="1"/>
      <c r="T1563" s="8"/>
      <c r="U1563" s="1"/>
      <c r="V1563" s="1"/>
      <c r="W1563" s="1"/>
      <c r="X1563" s="1"/>
    </row>
    <row r="1564" spans="1:24">
      <c r="A1564" s="1"/>
      <c r="B1564" s="8"/>
      <c r="C1564" s="8"/>
      <c r="D1564" s="8"/>
      <c r="E1564" s="8"/>
      <c r="F1564" s="8"/>
      <c r="G1564" s="8"/>
      <c r="H1564" s="8"/>
      <c r="I1564" s="8"/>
      <c r="J1564" s="8"/>
      <c r="K1564" s="8"/>
      <c r="L1564" s="56"/>
      <c r="M1564" s="26"/>
      <c r="N1564" s="26"/>
      <c r="O1564" s="26"/>
      <c r="P1564" s="1"/>
      <c r="Q1564" s="1"/>
      <c r="R1564" s="8"/>
      <c r="S1564" s="1"/>
      <c r="T1564" s="8"/>
      <c r="U1564" s="1"/>
      <c r="V1564" s="1"/>
      <c r="W1564" s="1"/>
      <c r="X1564" s="1"/>
    </row>
    <row r="1565" spans="1:24">
      <c r="A1565" s="1"/>
      <c r="B1565" s="8"/>
      <c r="C1565" s="8"/>
      <c r="D1565" s="8"/>
      <c r="E1565" s="8"/>
      <c r="F1565" s="8"/>
      <c r="G1565" s="8"/>
      <c r="H1565" s="8"/>
      <c r="I1565" s="8"/>
      <c r="J1565" s="8"/>
      <c r="K1565" s="8"/>
      <c r="L1565" s="56"/>
      <c r="M1565" s="26"/>
      <c r="N1565" s="26"/>
      <c r="O1565" s="26"/>
      <c r="P1565" s="1"/>
      <c r="Q1565" s="1"/>
      <c r="R1565" s="8"/>
      <c r="S1565" s="1"/>
      <c r="T1565" s="8"/>
      <c r="U1565" s="1"/>
      <c r="V1565" s="1"/>
      <c r="W1565" s="1"/>
      <c r="X1565" s="1"/>
    </row>
    <row r="1566" spans="1:24">
      <c r="A1566" s="1"/>
      <c r="B1566" s="8"/>
      <c r="C1566" s="8"/>
      <c r="D1566" s="8"/>
      <c r="E1566" s="8"/>
      <c r="F1566" s="8"/>
      <c r="G1566" s="8"/>
      <c r="H1566" s="8"/>
      <c r="I1566" s="8"/>
      <c r="J1566" s="8"/>
      <c r="K1566" s="8"/>
      <c r="L1566" s="56"/>
      <c r="M1566" s="26"/>
      <c r="N1566" s="26"/>
      <c r="O1566" s="26"/>
      <c r="P1566" s="1"/>
      <c r="Q1566" s="1"/>
      <c r="R1566" s="8"/>
      <c r="S1566" s="1"/>
      <c r="T1566" s="8"/>
      <c r="U1566" s="1"/>
      <c r="V1566" s="1"/>
      <c r="W1566" s="1"/>
      <c r="X1566" s="1"/>
    </row>
    <row r="1567" spans="1:24">
      <c r="A1567" s="1"/>
      <c r="B1567" s="8"/>
      <c r="C1567" s="8"/>
      <c r="D1567" s="8"/>
      <c r="E1567" s="8"/>
      <c r="F1567" s="8"/>
      <c r="G1567" s="8"/>
      <c r="H1567" s="8"/>
      <c r="I1567" s="8"/>
      <c r="J1567" s="8"/>
      <c r="K1567" s="8"/>
      <c r="L1567" s="56"/>
      <c r="M1567" s="26"/>
      <c r="N1567" s="26"/>
      <c r="O1567" s="26"/>
      <c r="P1567" s="1"/>
      <c r="Q1567" s="1"/>
      <c r="R1567" s="8"/>
      <c r="S1567" s="1"/>
      <c r="T1567" s="8"/>
      <c r="U1567" s="1"/>
      <c r="V1567" s="1"/>
      <c r="W1567" s="1"/>
      <c r="X1567" s="1"/>
    </row>
    <row r="1568" spans="1:24">
      <c r="A1568" s="1"/>
      <c r="B1568" s="8"/>
      <c r="C1568" s="8"/>
      <c r="D1568" s="8"/>
      <c r="E1568" s="8"/>
      <c r="F1568" s="8"/>
      <c r="G1568" s="8"/>
      <c r="H1568" s="8"/>
      <c r="I1568" s="8"/>
      <c r="J1568" s="8"/>
      <c r="K1568" s="8"/>
      <c r="L1568" s="56"/>
      <c r="M1568" s="26"/>
      <c r="N1568" s="26"/>
      <c r="O1568" s="26"/>
      <c r="P1568" s="1"/>
      <c r="Q1568" s="1"/>
      <c r="R1568" s="8"/>
      <c r="S1568" s="1"/>
      <c r="T1568" s="8"/>
      <c r="U1568" s="1"/>
      <c r="V1568" s="1"/>
      <c r="W1568" s="1"/>
      <c r="X1568" s="1"/>
    </row>
    <row r="1569" spans="1:24">
      <c r="A1569" s="1"/>
      <c r="B1569" s="8"/>
      <c r="C1569" s="8"/>
      <c r="D1569" s="8"/>
      <c r="E1569" s="8"/>
      <c r="F1569" s="8"/>
      <c r="G1569" s="8"/>
      <c r="H1569" s="8"/>
      <c r="I1569" s="8"/>
      <c r="J1569" s="8"/>
      <c r="K1569" s="8"/>
      <c r="L1569" s="56"/>
      <c r="M1569" s="26"/>
      <c r="N1569" s="26"/>
      <c r="O1569" s="26"/>
      <c r="P1569" s="1"/>
      <c r="Q1569" s="1"/>
      <c r="R1569" s="8"/>
      <c r="S1569" s="1"/>
      <c r="T1569" s="8"/>
      <c r="U1569" s="1"/>
      <c r="V1569" s="1"/>
      <c r="W1569" s="1"/>
      <c r="X1569" s="1"/>
    </row>
    <row r="1570" spans="1:24">
      <c r="A1570" s="1"/>
      <c r="B1570" s="8"/>
      <c r="C1570" s="8"/>
      <c r="D1570" s="8"/>
      <c r="E1570" s="8"/>
      <c r="F1570" s="8"/>
      <c r="G1570" s="8"/>
      <c r="H1570" s="8"/>
      <c r="I1570" s="8"/>
      <c r="J1570" s="8"/>
      <c r="K1570" s="8"/>
      <c r="L1570" s="56"/>
      <c r="M1570" s="26"/>
      <c r="N1570" s="26"/>
      <c r="O1570" s="26"/>
      <c r="P1570" s="1"/>
      <c r="Q1570" s="1"/>
      <c r="R1570" s="8"/>
      <c r="S1570" s="1"/>
      <c r="T1570" s="8"/>
      <c r="U1570" s="1"/>
      <c r="V1570" s="1"/>
      <c r="W1570" s="1"/>
      <c r="X1570" s="1"/>
    </row>
    <row r="1571" spans="1:24">
      <c r="A1571" s="1"/>
      <c r="B1571" s="8"/>
      <c r="C1571" s="8"/>
      <c r="D1571" s="8"/>
      <c r="E1571" s="8"/>
      <c r="F1571" s="8"/>
      <c r="G1571" s="8"/>
      <c r="H1571" s="8"/>
      <c r="I1571" s="8"/>
      <c r="J1571" s="8"/>
      <c r="K1571" s="8"/>
      <c r="L1571" s="56"/>
      <c r="M1571" s="26"/>
      <c r="N1571" s="26"/>
      <c r="O1571" s="26"/>
      <c r="P1571" s="1"/>
      <c r="Q1571" s="1"/>
      <c r="R1571" s="8"/>
      <c r="S1571" s="1"/>
      <c r="T1571" s="8"/>
      <c r="U1571" s="1"/>
      <c r="V1571" s="1"/>
      <c r="W1571" s="1"/>
      <c r="X1571" s="1"/>
    </row>
    <row r="1572" spans="1:24">
      <c r="A1572" s="1"/>
      <c r="B1572" s="8"/>
      <c r="C1572" s="8"/>
      <c r="D1572" s="8"/>
      <c r="E1572" s="8"/>
      <c r="F1572" s="8"/>
      <c r="G1572" s="8"/>
      <c r="H1572" s="8"/>
      <c r="I1572" s="8"/>
      <c r="J1572" s="8"/>
      <c r="K1572" s="8"/>
      <c r="L1572" s="56"/>
      <c r="M1572" s="26"/>
      <c r="N1572" s="26"/>
      <c r="O1572" s="26"/>
      <c r="P1572" s="1"/>
      <c r="Q1572" s="1"/>
      <c r="R1572" s="8"/>
      <c r="S1572" s="1"/>
      <c r="T1572" s="8"/>
      <c r="U1572" s="1"/>
      <c r="V1572" s="1"/>
      <c r="W1572" s="1"/>
      <c r="X1572" s="1"/>
    </row>
    <row r="1573" spans="1:24">
      <c r="A1573" s="1"/>
      <c r="B1573" s="8"/>
      <c r="C1573" s="8"/>
      <c r="D1573" s="8"/>
      <c r="E1573" s="8"/>
      <c r="F1573" s="8"/>
      <c r="G1573" s="8"/>
      <c r="H1573" s="8"/>
      <c r="I1573" s="8"/>
      <c r="J1573" s="8"/>
      <c r="K1573" s="8"/>
      <c r="L1573" s="56"/>
      <c r="M1573" s="26"/>
      <c r="N1573" s="26"/>
      <c r="O1573" s="26"/>
      <c r="P1573" s="1"/>
      <c r="Q1573" s="1"/>
      <c r="R1573" s="8"/>
      <c r="S1573" s="1"/>
      <c r="T1573" s="8"/>
      <c r="U1573" s="1"/>
      <c r="V1573" s="1"/>
      <c r="W1573" s="1"/>
      <c r="X1573" s="1"/>
    </row>
    <row r="1574" spans="1:24">
      <c r="A1574" s="1"/>
      <c r="B1574" s="8"/>
      <c r="C1574" s="8"/>
      <c r="D1574" s="8"/>
      <c r="E1574" s="8"/>
      <c r="F1574" s="8"/>
      <c r="G1574" s="8"/>
      <c r="H1574" s="8"/>
      <c r="I1574" s="8"/>
      <c r="J1574" s="8"/>
      <c r="K1574" s="8"/>
      <c r="L1574" s="56"/>
      <c r="M1574" s="26"/>
      <c r="N1574" s="26"/>
      <c r="O1574" s="26"/>
      <c r="P1574" s="1"/>
      <c r="Q1574" s="1"/>
      <c r="R1574" s="8"/>
      <c r="S1574" s="1"/>
      <c r="T1574" s="8"/>
      <c r="U1574" s="1"/>
      <c r="V1574" s="1"/>
      <c r="W1574" s="1"/>
      <c r="X1574" s="1"/>
    </row>
    <row r="1575" spans="1:24">
      <c r="A1575" s="1"/>
      <c r="B1575" s="8"/>
      <c r="C1575" s="8"/>
      <c r="D1575" s="8"/>
      <c r="E1575" s="8"/>
      <c r="F1575" s="8"/>
      <c r="G1575" s="8"/>
      <c r="H1575" s="8"/>
      <c r="I1575" s="8"/>
      <c r="J1575" s="8"/>
      <c r="K1575" s="8"/>
      <c r="L1575" s="56"/>
      <c r="M1575" s="26"/>
      <c r="N1575" s="26"/>
      <c r="O1575" s="26"/>
      <c r="P1575" s="1"/>
      <c r="Q1575" s="1"/>
      <c r="R1575" s="8"/>
      <c r="S1575" s="1"/>
      <c r="T1575" s="8"/>
      <c r="U1575" s="1"/>
      <c r="V1575" s="1"/>
      <c r="W1575" s="1"/>
      <c r="X1575" s="1"/>
    </row>
    <row r="1576" spans="1:24">
      <c r="A1576" s="1"/>
      <c r="B1576" s="8"/>
      <c r="C1576" s="8"/>
      <c r="D1576" s="8"/>
      <c r="E1576" s="8"/>
      <c r="F1576" s="8"/>
      <c r="G1576" s="8"/>
      <c r="H1576" s="8"/>
      <c r="I1576" s="8"/>
      <c r="J1576" s="8"/>
      <c r="K1576" s="8"/>
      <c r="L1576" s="56"/>
      <c r="M1576" s="26"/>
      <c r="N1576" s="26"/>
      <c r="O1576" s="26"/>
      <c r="P1576" s="1"/>
      <c r="Q1576" s="1"/>
      <c r="R1576" s="8"/>
      <c r="S1576" s="1"/>
      <c r="T1576" s="8"/>
      <c r="U1576" s="1"/>
      <c r="V1576" s="1"/>
      <c r="W1576" s="1"/>
      <c r="X1576" s="1"/>
    </row>
    <row r="1577" spans="1:24">
      <c r="A1577" s="1"/>
      <c r="B1577" s="8"/>
      <c r="C1577" s="8"/>
      <c r="D1577" s="8"/>
      <c r="E1577" s="8"/>
      <c r="F1577" s="8"/>
      <c r="G1577" s="8"/>
      <c r="H1577" s="8"/>
      <c r="I1577" s="8"/>
      <c r="J1577" s="8"/>
      <c r="K1577" s="8"/>
      <c r="L1577" s="56"/>
      <c r="M1577" s="26"/>
      <c r="N1577" s="26"/>
      <c r="O1577" s="26"/>
      <c r="P1577" s="1"/>
      <c r="Q1577" s="1"/>
      <c r="R1577" s="8"/>
      <c r="S1577" s="1"/>
      <c r="T1577" s="8"/>
      <c r="U1577" s="1"/>
      <c r="V1577" s="1"/>
      <c r="W1577" s="1"/>
      <c r="X1577" s="1"/>
    </row>
    <row r="1578" spans="1:24">
      <c r="A1578" s="1"/>
      <c r="B1578" s="8"/>
      <c r="C1578" s="8"/>
      <c r="D1578" s="8"/>
      <c r="E1578" s="8"/>
      <c r="F1578" s="8"/>
      <c r="G1578" s="8"/>
      <c r="H1578" s="8"/>
      <c r="I1578" s="8"/>
      <c r="J1578" s="8"/>
      <c r="K1578" s="8"/>
      <c r="L1578" s="56"/>
      <c r="M1578" s="26"/>
      <c r="N1578" s="26"/>
      <c r="O1578" s="26"/>
      <c r="P1578" s="1"/>
      <c r="Q1578" s="1"/>
      <c r="R1578" s="8"/>
      <c r="S1578" s="1"/>
      <c r="T1578" s="8"/>
      <c r="U1578" s="1"/>
      <c r="V1578" s="1"/>
      <c r="W1578" s="1"/>
      <c r="X1578" s="1"/>
    </row>
    <row r="1579" spans="1:24">
      <c r="A1579" s="1"/>
      <c r="B1579" s="8"/>
      <c r="C1579" s="8"/>
      <c r="D1579" s="8"/>
      <c r="E1579" s="8"/>
      <c r="F1579" s="8"/>
      <c r="G1579" s="8"/>
      <c r="H1579" s="8"/>
      <c r="I1579" s="8"/>
      <c r="J1579" s="8"/>
      <c r="K1579" s="8"/>
      <c r="L1579" s="56"/>
      <c r="M1579" s="26"/>
      <c r="N1579" s="26"/>
      <c r="O1579" s="26"/>
      <c r="P1579" s="1"/>
      <c r="Q1579" s="1"/>
      <c r="R1579" s="8"/>
      <c r="S1579" s="1"/>
      <c r="T1579" s="8"/>
      <c r="U1579" s="1"/>
      <c r="V1579" s="1"/>
      <c r="W1579" s="1"/>
      <c r="X1579" s="1"/>
    </row>
    <row r="1580" spans="1:24">
      <c r="A1580" s="1"/>
      <c r="B1580" s="8"/>
      <c r="C1580" s="8"/>
      <c r="D1580" s="8"/>
      <c r="E1580" s="8"/>
      <c r="F1580" s="8"/>
      <c r="G1580" s="8"/>
      <c r="H1580" s="8"/>
      <c r="I1580" s="8"/>
      <c r="J1580" s="8"/>
      <c r="K1580" s="8"/>
      <c r="L1580" s="56"/>
      <c r="M1580" s="26"/>
      <c r="N1580" s="26"/>
      <c r="O1580" s="26"/>
      <c r="P1580" s="1"/>
      <c r="Q1580" s="1"/>
      <c r="R1580" s="8"/>
      <c r="S1580" s="1"/>
      <c r="T1580" s="8"/>
      <c r="U1580" s="1"/>
      <c r="V1580" s="1"/>
      <c r="W1580" s="1"/>
      <c r="X1580" s="1"/>
    </row>
    <row r="1581" spans="1:24">
      <c r="A1581" s="1"/>
      <c r="B1581" s="8"/>
      <c r="C1581" s="8"/>
      <c r="D1581" s="8"/>
      <c r="E1581" s="8"/>
      <c r="F1581" s="8"/>
      <c r="G1581" s="8"/>
      <c r="H1581" s="8"/>
      <c r="I1581" s="8"/>
      <c r="J1581" s="8"/>
      <c r="K1581" s="8"/>
      <c r="L1581" s="56"/>
      <c r="M1581" s="26"/>
      <c r="N1581" s="26"/>
      <c r="O1581" s="26"/>
      <c r="P1581" s="1"/>
      <c r="Q1581" s="1"/>
      <c r="R1581" s="8"/>
      <c r="S1581" s="1"/>
      <c r="T1581" s="8"/>
      <c r="U1581" s="1"/>
      <c r="V1581" s="1"/>
      <c r="W1581" s="1"/>
      <c r="X1581" s="1"/>
    </row>
    <row r="1582" spans="1:24">
      <c r="A1582" s="1"/>
      <c r="B1582" s="8"/>
      <c r="C1582" s="8"/>
      <c r="D1582" s="8"/>
      <c r="E1582" s="8"/>
      <c r="F1582" s="8"/>
      <c r="G1582" s="8"/>
      <c r="H1582" s="8"/>
      <c r="I1582" s="8"/>
      <c r="J1582" s="8"/>
      <c r="K1582" s="8"/>
      <c r="L1582" s="56"/>
      <c r="M1582" s="26"/>
      <c r="N1582" s="26"/>
      <c r="O1582" s="26"/>
      <c r="P1582" s="1"/>
      <c r="Q1582" s="1"/>
      <c r="R1582" s="8"/>
      <c r="S1582" s="1"/>
      <c r="T1582" s="8"/>
      <c r="U1582" s="1"/>
      <c r="V1582" s="1"/>
      <c r="W1582" s="1"/>
      <c r="X1582" s="1"/>
    </row>
    <row r="1583" spans="1:24">
      <c r="A1583" s="1"/>
      <c r="B1583" s="8"/>
      <c r="C1583" s="8"/>
      <c r="D1583" s="8"/>
      <c r="E1583" s="8"/>
      <c r="F1583" s="8"/>
      <c r="G1583" s="8"/>
      <c r="H1583" s="8"/>
      <c r="I1583" s="8"/>
      <c r="J1583" s="8"/>
      <c r="K1583" s="8"/>
      <c r="L1583" s="56"/>
      <c r="M1583" s="26"/>
      <c r="N1583" s="26"/>
      <c r="O1583" s="26"/>
      <c r="P1583" s="1"/>
      <c r="Q1583" s="1"/>
      <c r="R1583" s="8"/>
      <c r="S1583" s="1"/>
      <c r="T1583" s="8"/>
      <c r="U1583" s="1"/>
      <c r="V1583" s="1"/>
      <c r="W1583" s="1"/>
      <c r="X1583" s="1"/>
    </row>
    <row r="1584" spans="1:24">
      <c r="A1584" s="1"/>
      <c r="B1584" s="8"/>
      <c r="C1584" s="8"/>
      <c r="D1584" s="8"/>
      <c r="E1584" s="8"/>
      <c r="F1584" s="8"/>
      <c r="G1584" s="8"/>
      <c r="H1584" s="8"/>
      <c r="I1584" s="8"/>
      <c r="J1584" s="8"/>
      <c r="K1584" s="8"/>
      <c r="L1584" s="56"/>
      <c r="M1584" s="26"/>
      <c r="N1584" s="26"/>
      <c r="O1584" s="26"/>
      <c r="P1584" s="1"/>
      <c r="Q1584" s="1"/>
      <c r="R1584" s="8"/>
      <c r="S1584" s="1"/>
      <c r="T1584" s="8"/>
      <c r="U1584" s="1"/>
      <c r="V1584" s="1"/>
      <c r="W1584" s="1"/>
      <c r="X1584" s="1"/>
    </row>
    <row r="1585" spans="1:24">
      <c r="A1585" s="1"/>
      <c r="B1585" s="8"/>
      <c r="C1585" s="8"/>
      <c r="D1585" s="8"/>
      <c r="E1585" s="8"/>
      <c r="F1585" s="8"/>
      <c r="G1585" s="8"/>
      <c r="H1585" s="8"/>
      <c r="I1585" s="8"/>
      <c r="J1585" s="8"/>
      <c r="K1585" s="8"/>
      <c r="L1585" s="56"/>
      <c r="M1585" s="26"/>
      <c r="N1585" s="26"/>
      <c r="O1585" s="26"/>
      <c r="P1585" s="1"/>
      <c r="Q1585" s="1"/>
      <c r="R1585" s="8"/>
      <c r="S1585" s="1"/>
      <c r="T1585" s="8"/>
      <c r="U1585" s="1"/>
      <c r="V1585" s="1"/>
      <c r="W1585" s="1"/>
      <c r="X1585" s="1"/>
    </row>
    <row r="1586" spans="1:24">
      <c r="A1586" s="1"/>
      <c r="B1586" s="8"/>
      <c r="C1586" s="8"/>
      <c r="D1586" s="8"/>
      <c r="E1586" s="8"/>
      <c r="F1586" s="8"/>
      <c r="G1586" s="8"/>
      <c r="H1586" s="8"/>
      <c r="I1586" s="8"/>
      <c r="J1586" s="8"/>
      <c r="K1586" s="8"/>
      <c r="L1586" s="56"/>
      <c r="M1586" s="26"/>
      <c r="N1586" s="26"/>
      <c r="O1586" s="26"/>
      <c r="P1586" s="1"/>
      <c r="Q1586" s="1"/>
      <c r="R1586" s="8"/>
      <c r="S1586" s="1"/>
      <c r="T1586" s="8"/>
      <c r="U1586" s="1"/>
      <c r="V1586" s="1"/>
      <c r="W1586" s="1"/>
      <c r="X1586" s="1"/>
    </row>
    <row r="1587" spans="1:24">
      <c r="A1587" s="1"/>
      <c r="B1587" s="8"/>
      <c r="C1587" s="8"/>
      <c r="D1587" s="8"/>
      <c r="E1587" s="8"/>
      <c r="F1587" s="8"/>
      <c r="G1587" s="8"/>
      <c r="H1587" s="8"/>
      <c r="I1587" s="8"/>
      <c r="J1587" s="8"/>
      <c r="K1587" s="8"/>
      <c r="L1587" s="56"/>
      <c r="M1587" s="26"/>
      <c r="N1587" s="26"/>
      <c r="O1587" s="26"/>
      <c r="P1587" s="1"/>
      <c r="Q1587" s="1"/>
      <c r="R1587" s="8"/>
      <c r="S1587" s="1"/>
      <c r="T1587" s="8"/>
      <c r="U1587" s="1"/>
      <c r="V1587" s="1"/>
      <c r="W1587" s="1"/>
      <c r="X1587" s="1"/>
    </row>
    <row r="1588" spans="1:24">
      <c r="A1588" s="1"/>
      <c r="B1588" s="8"/>
      <c r="C1588" s="8"/>
      <c r="D1588" s="8"/>
      <c r="E1588" s="8"/>
      <c r="F1588" s="8"/>
      <c r="G1588" s="8"/>
      <c r="H1588" s="8"/>
      <c r="I1588" s="8"/>
      <c r="J1588" s="8"/>
      <c r="K1588" s="8"/>
      <c r="L1588" s="56"/>
      <c r="M1588" s="26"/>
      <c r="N1588" s="26"/>
      <c r="O1588" s="26"/>
      <c r="P1588" s="1"/>
      <c r="Q1588" s="1"/>
      <c r="R1588" s="8"/>
      <c r="S1588" s="1"/>
      <c r="T1588" s="8"/>
      <c r="U1588" s="1"/>
      <c r="V1588" s="1"/>
      <c r="W1588" s="1"/>
      <c r="X1588" s="1"/>
    </row>
    <row r="1589" spans="1:24">
      <c r="A1589" s="1"/>
      <c r="B1589" s="8"/>
      <c r="C1589" s="8"/>
      <c r="D1589" s="8"/>
      <c r="E1589" s="8"/>
      <c r="F1589" s="8"/>
      <c r="G1589" s="8"/>
      <c r="H1589" s="8"/>
      <c r="I1589" s="8"/>
      <c r="J1589" s="8"/>
      <c r="K1589" s="8"/>
      <c r="L1589" s="56"/>
      <c r="M1589" s="26"/>
      <c r="N1589" s="26"/>
      <c r="O1589" s="26"/>
      <c r="P1589" s="1"/>
      <c r="Q1589" s="1"/>
      <c r="R1589" s="8"/>
      <c r="S1589" s="1"/>
      <c r="T1589" s="8"/>
      <c r="U1589" s="1"/>
      <c r="V1589" s="1"/>
      <c r="W1589" s="1"/>
      <c r="X1589" s="1"/>
    </row>
    <row r="1590" spans="1:24">
      <c r="A1590" s="1"/>
      <c r="B1590" s="8"/>
      <c r="C1590" s="8"/>
      <c r="D1590" s="8"/>
      <c r="E1590" s="8"/>
      <c r="F1590" s="8"/>
      <c r="G1590" s="8"/>
      <c r="H1590" s="8"/>
      <c r="I1590" s="8"/>
      <c r="J1590" s="8"/>
      <c r="K1590" s="8"/>
      <c r="L1590" s="56"/>
      <c r="M1590" s="26"/>
      <c r="N1590" s="26"/>
      <c r="O1590" s="26"/>
      <c r="P1590" s="1"/>
      <c r="Q1590" s="1"/>
      <c r="R1590" s="8"/>
      <c r="S1590" s="1"/>
      <c r="T1590" s="8"/>
      <c r="U1590" s="1"/>
      <c r="V1590" s="1"/>
      <c r="W1590" s="1"/>
      <c r="X1590" s="1"/>
    </row>
    <row r="1591" spans="1:24">
      <c r="A1591" s="1"/>
      <c r="B1591" s="8"/>
      <c r="C1591" s="8"/>
      <c r="D1591" s="8"/>
      <c r="E1591" s="8"/>
      <c r="F1591" s="8"/>
      <c r="G1591" s="8"/>
      <c r="H1591" s="8"/>
      <c r="I1591" s="8"/>
      <c r="J1591" s="8"/>
      <c r="K1591" s="8"/>
      <c r="L1591" s="56"/>
      <c r="M1591" s="26"/>
      <c r="N1591" s="26"/>
      <c r="O1591" s="26"/>
      <c r="P1591" s="1"/>
      <c r="Q1591" s="1"/>
      <c r="R1591" s="8"/>
      <c r="S1591" s="1"/>
      <c r="T1591" s="8"/>
      <c r="U1591" s="1"/>
      <c r="V1591" s="1"/>
      <c r="W1591" s="1"/>
      <c r="X1591" s="1"/>
    </row>
    <row r="1592" spans="1:24">
      <c r="A1592" s="1"/>
      <c r="B1592" s="8"/>
      <c r="C1592" s="8"/>
      <c r="D1592" s="8"/>
      <c r="E1592" s="8"/>
      <c r="F1592" s="8"/>
      <c r="G1592" s="8"/>
      <c r="H1592" s="8"/>
      <c r="I1592" s="8"/>
      <c r="J1592" s="8"/>
      <c r="K1592" s="8"/>
      <c r="L1592" s="56"/>
      <c r="M1592" s="26"/>
      <c r="N1592" s="26"/>
      <c r="O1592" s="26"/>
      <c r="P1592" s="1"/>
      <c r="Q1592" s="1"/>
      <c r="R1592" s="8"/>
      <c r="S1592" s="1"/>
      <c r="T1592" s="8"/>
      <c r="U1592" s="1"/>
      <c r="V1592" s="1"/>
      <c r="W1592" s="1"/>
      <c r="X1592" s="1"/>
    </row>
    <row r="1593" spans="1:24">
      <c r="A1593" s="1"/>
      <c r="B1593" s="8"/>
      <c r="C1593" s="8"/>
      <c r="D1593" s="8"/>
      <c r="E1593" s="8"/>
      <c r="F1593" s="8"/>
      <c r="G1593" s="8"/>
      <c r="H1593" s="8"/>
      <c r="I1593" s="8"/>
      <c r="J1593" s="8"/>
      <c r="K1593" s="8"/>
      <c r="L1593" s="56"/>
      <c r="M1593" s="26"/>
      <c r="N1593" s="26"/>
      <c r="O1593" s="26"/>
      <c r="P1593" s="1"/>
      <c r="Q1593" s="1"/>
      <c r="R1593" s="8"/>
      <c r="S1593" s="1"/>
      <c r="T1593" s="8"/>
      <c r="U1593" s="1"/>
      <c r="V1593" s="1"/>
      <c r="W1593" s="1"/>
      <c r="X1593" s="1"/>
    </row>
    <row r="1594" spans="1:24">
      <c r="A1594" s="1"/>
      <c r="B1594" s="8"/>
      <c r="C1594" s="8"/>
      <c r="D1594" s="8"/>
      <c r="E1594" s="8"/>
      <c r="F1594" s="8"/>
      <c r="G1594" s="8"/>
      <c r="H1594" s="8"/>
      <c r="I1594" s="8"/>
      <c r="J1594" s="8"/>
      <c r="K1594" s="8"/>
      <c r="L1594" s="56"/>
      <c r="M1594" s="26"/>
      <c r="N1594" s="26"/>
      <c r="O1594" s="26"/>
      <c r="P1594" s="1"/>
      <c r="Q1594" s="1"/>
      <c r="R1594" s="8"/>
      <c r="S1594" s="1"/>
      <c r="T1594" s="8"/>
      <c r="U1594" s="1"/>
      <c r="V1594" s="1"/>
      <c r="W1594" s="1"/>
      <c r="X1594" s="1"/>
    </row>
    <row r="1595" spans="1:24">
      <c r="A1595" s="1"/>
      <c r="B1595" s="8"/>
      <c r="C1595" s="8"/>
      <c r="D1595" s="8"/>
      <c r="E1595" s="8"/>
      <c r="F1595" s="8"/>
      <c r="G1595" s="8"/>
      <c r="H1595" s="8"/>
      <c r="I1595" s="8"/>
      <c r="J1595" s="8"/>
      <c r="K1595" s="8"/>
      <c r="L1595" s="56"/>
      <c r="M1595" s="26"/>
      <c r="N1595" s="26"/>
      <c r="O1595" s="26"/>
      <c r="P1595" s="1"/>
      <c r="Q1595" s="1"/>
      <c r="R1595" s="8"/>
      <c r="S1595" s="1"/>
      <c r="T1595" s="8"/>
      <c r="U1595" s="1"/>
      <c r="V1595" s="1"/>
      <c r="W1595" s="1"/>
      <c r="X1595" s="1"/>
    </row>
    <row r="1596" spans="1:24">
      <c r="A1596" s="1"/>
      <c r="B1596" s="8"/>
      <c r="C1596" s="8"/>
      <c r="D1596" s="8"/>
      <c r="E1596" s="8"/>
      <c r="F1596" s="8"/>
      <c r="G1596" s="8"/>
      <c r="H1596" s="8"/>
      <c r="I1596" s="8"/>
      <c r="J1596" s="8"/>
      <c r="K1596" s="8"/>
      <c r="L1596" s="56"/>
      <c r="M1596" s="26"/>
      <c r="N1596" s="26"/>
      <c r="O1596" s="26"/>
      <c r="P1596" s="1"/>
      <c r="Q1596" s="1"/>
      <c r="R1596" s="8"/>
      <c r="S1596" s="1"/>
      <c r="T1596" s="8"/>
      <c r="U1596" s="1"/>
      <c r="V1596" s="1"/>
      <c r="W1596" s="1"/>
      <c r="X1596" s="1"/>
    </row>
    <row r="1597" spans="1:24">
      <c r="A1597" s="1"/>
      <c r="B1597" s="8"/>
      <c r="C1597" s="8"/>
      <c r="D1597" s="8"/>
      <c r="E1597" s="8"/>
      <c r="F1597" s="8"/>
      <c r="G1597" s="8"/>
      <c r="H1597" s="8"/>
      <c r="I1597" s="8"/>
      <c r="J1597" s="8"/>
      <c r="K1597" s="8"/>
      <c r="L1597" s="56"/>
      <c r="M1597" s="26"/>
      <c r="N1597" s="26"/>
      <c r="O1597" s="26"/>
      <c r="P1597" s="1"/>
      <c r="Q1597" s="1"/>
      <c r="R1597" s="8"/>
      <c r="S1597" s="1"/>
      <c r="T1597" s="8"/>
      <c r="U1597" s="1"/>
      <c r="V1597" s="1"/>
      <c r="W1597" s="1"/>
      <c r="X1597" s="1"/>
    </row>
    <row r="1598" spans="1:24">
      <c r="A1598" s="1"/>
      <c r="B1598" s="8"/>
      <c r="C1598" s="8"/>
      <c r="D1598" s="8"/>
      <c r="E1598" s="8"/>
      <c r="F1598" s="8"/>
      <c r="G1598" s="8"/>
      <c r="H1598" s="8"/>
      <c r="I1598" s="8"/>
      <c r="J1598" s="8"/>
      <c r="K1598" s="8"/>
      <c r="L1598" s="56"/>
      <c r="M1598" s="26"/>
      <c r="N1598" s="26"/>
      <c r="O1598" s="26"/>
      <c r="P1598" s="1"/>
      <c r="Q1598" s="1"/>
      <c r="R1598" s="8"/>
      <c r="S1598" s="1"/>
      <c r="T1598" s="8"/>
      <c r="U1598" s="1"/>
      <c r="V1598" s="1"/>
      <c r="W1598" s="1"/>
      <c r="X1598" s="1"/>
    </row>
    <row r="1599" spans="1:24">
      <c r="A1599" s="1"/>
      <c r="B1599" s="8"/>
      <c r="C1599" s="8"/>
      <c r="D1599" s="8"/>
      <c r="E1599" s="8"/>
      <c r="F1599" s="8"/>
      <c r="G1599" s="8"/>
      <c r="H1599" s="8"/>
      <c r="I1599" s="8"/>
      <c r="J1599" s="8"/>
      <c r="K1599" s="8"/>
      <c r="L1599" s="56"/>
      <c r="M1599" s="26"/>
      <c r="N1599" s="26"/>
      <c r="O1599" s="26"/>
      <c r="P1599" s="1"/>
      <c r="Q1599" s="1"/>
      <c r="R1599" s="8"/>
      <c r="S1599" s="1"/>
      <c r="T1599" s="8"/>
      <c r="U1599" s="1"/>
      <c r="V1599" s="1"/>
      <c r="W1599" s="1"/>
      <c r="X1599" s="1"/>
    </row>
    <row r="1600" spans="1:24">
      <c r="A1600" s="1"/>
      <c r="B1600" s="8"/>
      <c r="C1600" s="8"/>
      <c r="D1600" s="8"/>
      <c r="E1600" s="8"/>
      <c r="F1600" s="8"/>
      <c r="G1600" s="8"/>
      <c r="H1600" s="8"/>
      <c r="I1600" s="8"/>
      <c r="J1600" s="8"/>
      <c r="K1600" s="8"/>
      <c r="L1600" s="56"/>
      <c r="M1600" s="26"/>
      <c r="N1600" s="26"/>
      <c r="O1600" s="26"/>
      <c r="P1600" s="1"/>
      <c r="Q1600" s="1"/>
      <c r="R1600" s="8"/>
      <c r="S1600" s="1"/>
      <c r="T1600" s="8"/>
      <c r="U1600" s="1"/>
      <c r="V1600" s="1"/>
      <c r="W1600" s="1"/>
      <c r="X1600" s="1"/>
    </row>
    <row r="1601" spans="1:24">
      <c r="A1601" s="1"/>
      <c r="B1601" s="8"/>
      <c r="C1601" s="8"/>
      <c r="D1601" s="8"/>
      <c r="E1601" s="8"/>
      <c r="F1601" s="8"/>
      <c r="G1601" s="8"/>
      <c r="H1601" s="8"/>
      <c r="I1601" s="8"/>
      <c r="J1601" s="8"/>
      <c r="K1601" s="8"/>
      <c r="L1601" s="56"/>
      <c r="M1601" s="26"/>
      <c r="N1601" s="26"/>
      <c r="O1601" s="26"/>
      <c r="P1601" s="1"/>
      <c r="Q1601" s="1"/>
      <c r="R1601" s="8"/>
      <c r="S1601" s="1"/>
      <c r="T1601" s="8"/>
      <c r="U1601" s="1"/>
      <c r="V1601" s="1"/>
      <c r="W1601" s="1"/>
      <c r="X1601" s="1"/>
    </row>
    <row r="1602" spans="1:24">
      <c r="A1602" s="1"/>
      <c r="B1602" s="8"/>
      <c r="C1602" s="8"/>
      <c r="D1602" s="8"/>
      <c r="E1602" s="8"/>
      <c r="F1602" s="8"/>
      <c r="G1602" s="8"/>
      <c r="H1602" s="8"/>
      <c r="I1602" s="8"/>
      <c r="J1602" s="8"/>
      <c r="K1602" s="8"/>
      <c r="L1602" s="56"/>
      <c r="M1602" s="26"/>
      <c r="N1602" s="26"/>
      <c r="O1602" s="26"/>
      <c r="P1602" s="1"/>
      <c r="Q1602" s="1"/>
      <c r="R1602" s="8"/>
      <c r="S1602" s="1"/>
      <c r="T1602" s="8"/>
      <c r="U1602" s="1"/>
      <c r="V1602" s="1"/>
      <c r="W1602" s="1"/>
      <c r="X1602" s="1"/>
    </row>
    <row r="1603" spans="1:24">
      <c r="A1603" s="1"/>
      <c r="B1603" s="8"/>
      <c r="C1603" s="8"/>
      <c r="D1603" s="8"/>
      <c r="E1603" s="8"/>
      <c r="F1603" s="8"/>
      <c r="G1603" s="8"/>
      <c r="H1603" s="8"/>
      <c r="I1603" s="8"/>
      <c r="J1603" s="8"/>
      <c r="K1603" s="8"/>
      <c r="L1603" s="56"/>
      <c r="M1603" s="26"/>
      <c r="N1603" s="26"/>
      <c r="O1603" s="26"/>
      <c r="P1603" s="1"/>
      <c r="Q1603" s="1"/>
      <c r="R1603" s="8"/>
      <c r="S1603" s="1"/>
      <c r="T1603" s="8"/>
      <c r="U1603" s="1"/>
      <c r="V1603" s="1"/>
      <c r="W1603" s="1"/>
      <c r="X1603" s="1"/>
    </row>
    <row r="1604" spans="1:24">
      <c r="A1604" s="1"/>
      <c r="B1604" s="8"/>
      <c r="C1604" s="8"/>
      <c r="D1604" s="8"/>
      <c r="E1604" s="8"/>
      <c r="F1604" s="8"/>
      <c r="G1604" s="8"/>
      <c r="H1604" s="8"/>
      <c r="I1604" s="8"/>
      <c r="J1604" s="8"/>
      <c r="K1604" s="8"/>
      <c r="L1604" s="56"/>
      <c r="M1604" s="26"/>
      <c r="N1604" s="26"/>
      <c r="O1604" s="26"/>
      <c r="P1604" s="1"/>
      <c r="Q1604" s="1"/>
      <c r="R1604" s="8"/>
      <c r="S1604" s="1"/>
      <c r="T1604" s="8"/>
      <c r="U1604" s="1"/>
      <c r="V1604" s="1"/>
      <c r="W1604" s="1"/>
      <c r="X1604" s="1"/>
    </row>
    <row r="1605" spans="1:24">
      <c r="A1605" s="1"/>
      <c r="B1605" s="8"/>
      <c r="C1605" s="8"/>
      <c r="D1605" s="8"/>
      <c r="E1605" s="8"/>
      <c r="F1605" s="8"/>
      <c r="G1605" s="8"/>
      <c r="H1605" s="8"/>
      <c r="I1605" s="8"/>
      <c r="J1605" s="8"/>
      <c r="K1605" s="8"/>
      <c r="L1605" s="56"/>
      <c r="M1605" s="26"/>
      <c r="N1605" s="26"/>
      <c r="O1605" s="26"/>
      <c r="P1605" s="1"/>
      <c r="Q1605" s="1"/>
      <c r="R1605" s="8"/>
      <c r="S1605" s="1"/>
      <c r="T1605" s="8"/>
      <c r="U1605" s="1"/>
      <c r="V1605" s="1"/>
      <c r="W1605" s="1"/>
      <c r="X1605" s="1"/>
    </row>
    <row r="1606" spans="1:24">
      <c r="A1606" s="1"/>
      <c r="B1606" s="8"/>
      <c r="C1606" s="8"/>
      <c r="D1606" s="8"/>
      <c r="E1606" s="8"/>
      <c r="F1606" s="8"/>
      <c r="G1606" s="8"/>
      <c r="H1606" s="8"/>
      <c r="I1606" s="8"/>
      <c r="J1606" s="8"/>
      <c r="K1606" s="8"/>
      <c r="L1606" s="56"/>
      <c r="M1606" s="26"/>
      <c r="N1606" s="26"/>
      <c r="O1606" s="26"/>
      <c r="P1606" s="1"/>
      <c r="Q1606" s="1"/>
      <c r="R1606" s="8"/>
      <c r="S1606" s="1"/>
      <c r="T1606" s="8"/>
      <c r="U1606" s="1"/>
      <c r="V1606" s="1"/>
      <c r="W1606" s="1"/>
      <c r="X1606" s="1"/>
    </row>
    <row r="1607" spans="1:24">
      <c r="A1607" s="1"/>
      <c r="B1607" s="8"/>
      <c r="C1607" s="8"/>
      <c r="D1607" s="8"/>
      <c r="E1607" s="8"/>
      <c r="F1607" s="8"/>
      <c r="G1607" s="8"/>
      <c r="H1607" s="8"/>
      <c r="I1607" s="8"/>
      <c r="J1607" s="8"/>
      <c r="K1607" s="8"/>
      <c r="L1607" s="56"/>
      <c r="M1607" s="26"/>
      <c r="N1607" s="26"/>
      <c r="O1607" s="26"/>
      <c r="P1607" s="1"/>
      <c r="Q1607" s="1"/>
      <c r="R1607" s="8"/>
      <c r="S1607" s="1"/>
      <c r="T1607" s="8"/>
      <c r="U1607" s="1"/>
      <c r="V1607" s="1"/>
      <c r="W1607" s="1"/>
      <c r="X1607" s="1"/>
    </row>
    <row r="1608" spans="1:24">
      <c r="A1608" s="1"/>
      <c r="B1608" s="8"/>
      <c r="C1608" s="8"/>
      <c r="D1608" s="8"/>
      <c r="E1608" s="8"/>
      <c r="F1608" s="8"/>
      <c r="G1608" s="8"/>
      <c r="H1608" s="8"/>
      <c r="I1608" s="8"/>
      <c r="J1608" s="8"/>
      <c r="K1608" s="8"/>
      <c r="L1608" s="56"/>
      <c r="M1608" s="26"/>
      <c r="N1608" s="26"/>
      <c r="O1608" s="26"/>
      <c r="P1608" s="1"/>
      <c r="Q1608" s="1"/>
      <c r="R1608" s="8"/>
      <c r="S1608" s="1"/>
      <c r="T1608" s="8"/>
      <c r="U1608" s="1"/>
      <c r="V1608" s="1"/>
      <c r="W1608" s="1"/>
      <c r="X1608" s="1"/>
    </row>
    <row r="1609" spans="1:24">
      <c r="A1609" s="1"/>
      <c r="B1609" s="8"/>
      <c r="C1609" s="8"/>
      <c r="D1609" s="8"/>
      <c r="E1609" s="8"/>
      <c r="F1609" s="8"/>
      <c r="G1609" s="8"/>
      <c r="H1609" s="8"/>
      <c r="I1609" s="8"/>
      <c r="J1609" s="8"/>
      <c r="K1609" s="8"/>
      <c r="L1609" s="56"/>
      <c r="M1609" s="26"/>
      <c r="N1609" s="26"/>
      <c r="O1609" s="26"/>
      <c r="P1609" s="1"/>
      <c r="Q1609" s="1"/>
      <c r="R1609" s="8"/>
      <c r="S1609" s="1"/>
      <c r="T1609" s="8"/>
      <c r="U1609" s="1"/>
      <c r="V1609" s="1"/>
      <c r="W1609" s="1"/>
      <c r="X1609" s="1"/>
    </row>
    <row r="1610" spans="1:24">
      <c r="A1610" s="1"/>
      <c r="B1610" s="8"/>
      <c r="C1610" s="8"/>
      <c r="D1610" s="8"/>
      <c r="E1610" s="8"/>
      <c r="F1610" s="8"/>
      <c r="G1610" s="8"/>
      <c r="H1610" s="8"/>
      <c r="I1610" s="8"/>
      <c r="J1610" s="8"/>
      <c r="K1610" s="8"/>
      <c r="L1610" s="56"/>
      <c r="M1610" s="26"/>
      <c r="N1610" s="26"/>
      <c r="O1610" s="26"/>
      <c r="P1610" s="1"/>
      <c r="Q1610" s="1"/>
      <c r="R1610" s="8"/>
      <c r="S1610" s="1"/>
      <c r="T1610" s="8"/>
      <c r="U1610" s="1"/>
      <c r="V1610" s="1"/>
      <c r="W1610" s="1"/>
      <c r="X1610" s="1"/>
    </row>
    <row r="1611" spans="1:24">
      <c r="A1611" s="1"/>
      <c r="B1611" s="8"/>
      <c r="C1611" s="8"/>
      <c r="D1611" s="8"/>
      <c r="E1611" s="8"/>
      <c r="F1611" s="8"/>
      <c r="G1611" s="8"/>
      <c r="H1611" s="8"/>
      <c r="I1611" s="8"/>
      <c r="J1611" s="8"/>
      <c r="K1611" s="8"/>
      <c r="L1611" s="56"/>
      <c r="M1611" s="26"/>
      <c r="N1611" s="26"/>
      <c r="O1611" s="26"/>
      <c r="P1611" s="1"/>
      <c r="Q1611" s="1"/>
      <c r="R1611" s="8"/>
      <c r="S1611" s="1"/>
      <c r="T1611" s="8"/>
      <c r="U1611" s="1"/>
      <c r="V1611" s="1"/>
      <c r="W1611" s="1"/>
      <c r="X1611" s="1"/>
    </row>
    <row r="1612" spans="1:24">
      <c r="A1612" s="1"/>
      <c r="B1612" s="8"/>
      <c r="C1612" s="8"/>
      <c r="D1612" s="8"/>
      <c r="E1612" s="8"/>
      <c r="F1612" s="8"/>
      <c r="G1612" s="8"/>
      <c r="H1612" s="8"/>
      <c r="I1612" s="8"/>
      <c r="J1612" s="8"/>
      <c r="K1612" s="8"/>
      <c r="L1612" s="56"/>
      <c r="M1612" s="26"/>
      <c r="N1612" s="26"/>
      <c r="O1612" s="26"/>
      <c r="P1612" s="1"/>
      <c r="Q1612" s="1"/>
      <c r="R1612" s="8"/>
      <c r="S1612" s="1"/>
      <c r="T1612" s="8"/>
      <c r="U1612" s="1"/>
      <c r="V1612" s="1"/>
      <c r="W1612" s="1"/>
      <c r="X1612" s="1"/>
    </row>
    <row r="1613" spans="1:24">
      <c r="A1613" s="1"/>
      <c r="B1613" s="8"/>
      <c r="C1613" s="8"/>
      <c r="D1613" s="8"/>
      <c r="E1613" s="8"/>
      <c r="F1613" s="8"/>
      <c r="G1613" s="8"/>
      <c r="H1613" s="8"/>
      <c r="I1613" s="8"/>
      <c r="J1613" s="8"/>
      <c r="K1613" s="8"/>
      <c r="L1613" s="56"/>
      <c r="M1613" s="26"/>
      <c r="N1613" s="26"/>
      <c r="O1613" s="26"/>
      <c r="P1613" s="1"/>
      <c r="Q1613" s="1"/>
      <c r="R1613" s="8"/>
      <c r="S1613" s="1"/>
      <c r="T1613" s="8"/>
      <c r="U1613" s="1"/>
      <c r="V1613" s="1"/>
      <c r="W1613" s="1"/>
      <c r="X1613" s="1"/>
    </row>
    <row r="1614" spans="1:24">
      <c r="A1614" s="1"/>
      <c r="B1614" s="8"/>
      <c r="C1614" s="8"/>
      <c r="D1614" s="8"/>
      <c r="E1614" s="8"/>
      <c r="F1614" s="8"/>
      <c r="G1614" s="8"/>
      <c r="H1614" s="8"/>
      <c r="I1614" s="8"/>
      <c r="J1614" s="8"/>
      <c r="K1614" s="8"/>
      <c r="L1614" s="56"/>
      <c r="M1614" s="26"/>
      <c r="N1614" s="26"/>
      <c r="O1614" s="26"/>
      <c r="P1614" s="1"/>
      <c r="Q1614" s="1"/>
      <c r="R1614" s="8"/>
      <c r="S1614" s="1"/>
      <c r="T1614" s="8"/>
      <c r="U1614" s="1"/>
      <c r="V1614" s="1"/>
      <c r="W1614" s="1"/>
      <c r="X1614" s="1"/>
    </row>
    <row r="1615" spans="1:24">
      <c r="A1615" s="1"/>
      <c r="B1615" s="8"/>
      <c r="C1615" s="8"/>
      <c r="D1615" s="8"/>
      <c r="E1615" s="8"/>
      <c r="F1615" s="8"/>
      <c r="G1615" s="8"/>
      <c r="H1615" s="8"/>
      <c r="I1615" s="8"/>
      <c r="J1615" s="8"/>
      <c r="K1615" s="8"/>
      <c r="L1615" s="56"/>
      <c r="M1615" s="26"/>
      <c r="N1615" s="26"/>
      <c r="O1615" s="26"/>
      <c r="P1615" s="1"/>
      <c r="Q1615" s="1"/>
      <c r="R1615" s="8"/>
      <c r="S1615" s="1"/>
      <c r="T1615" s="8"/>
      <c r="U1615" s="1"/>
      <c r="V1615" s="1"/>
      <c r="W1615" s="1"/>
      <c r="X1615" s="1"/>
    </row>
    <row r="1616" spans="1:24">
      <c r="A1616" s="1"/>
      <c r="B1616" s="8"/>
      <c r="C1616" s="8"/>
      <c r="D1616" s="8"/>
      <c r="E1616" s="8"/>
      <c r="F1616" s="8"/>
      <c r="G1616" s="8"/>
      <c r="H1616" s="8"/>
      <c r="I1616" s="8"/>
      <c r="J1616" s="8"/>
      <c r="K1616" s="8"/>
      <c r="L1616" s="56"/>
      <c r="M1616" s="26"/>
      <c r="N1616" s="26"/>
      <c r="O1616" s="26"/>
      <c r="P1616" s="1"/>
      <c r="Q1616" s="1"/>
      <c r="R1616" s="8"/>
      <c r="S1616" s="1"/>
      <c r="T1616" s="8"/>
      <c r="U1616" s="1"/>
      <c r="V1616" s="1"/>
      <c r="W1616" s="1"/>
      <c r="X1616" s="1"/>
    </row>
    <row r="1617" spans="1:24">
      <c r="A1617" s="1"/>
      <c r="B1617" s="8"/>
      <c r="C1617" s="8"/>
      <c r="D1617" s="8"/>
      <c r="E1617" s="8"/>
      <c r="F1617" s="8"/>
      <c r="G1617" s="8"/>
      <c r="H1617" s="8"/>
      <c r="I1617" s="8"/>
      <c r="J1617" s="8"/>
      <c r="K1617" s="8"/>
      <c r="L1617" s="56"/>
      <c r="M1617" s="26"/>
      <c r="N1617" s="26"/>
      <c r="O1617" s="26"/>
      <c r="P1617" s="1"/>
      <c r="Q1617" s="1"/>
      <c r="R1617" s="8"/>
      <c r="S1617" s="1"/>
      <c r="T1617" s="8"/>
      <c r="U1617" s="1"/>
      <c r="V1617" s="1"/>
      <c r="W1617" s="1"/>
      <c r="X1617" s="1"/>
    </row>
    <row r="1618" spans="1:24">
      <c r="A1618" s="1"/>
      <c r="B1618" s="8"/>
      <c r="C1618" s="8"/>
      <c r="D1618" s="8"/>
      <c r="E1618" s="8"/>
      <c r="F1618" s="8"/>
      <c r="G1618" s="8"/>
      <c r="H1618" s="8"/>
      <c r="I1618" s="8"/>
      <c r="J1618" s="8"/>
      <c r="K1618" s="8"/>
      <c r="L1618" s="56"/>
      <c r="M1618" s="26"/>
      <c r="N1618" s="26"/>
      <c r="O1618" s="26"/>
      <c r="P1618" s="1"/>
      <c r="Q1618" s="1"/>
      <c r="R1618" s="8"/>
      <c r="S1618" s="1"/>
      <c r="T1618" s="8"/>
      <c r="U1618" s="1"/>
      <c r="V1618" s="1"/>
      <c r="W1618" s="1"/>
      <c r="X1618" s="1"/>
    </row>
    <row r="1619" spans="1:24">
      <c r="A1619" s="1"/>
      <c r="B1619" s="8"/>
      <c r="C1619" s="8"/>
      <c r="D1619" s="8"/>
      <c r="E1619" s="8"/>
      <c r="F1619" s="8"/>
      <c r="G1619" s="8"/>
      <c r="H1619" s="8"/>
      <c r="I1619" s="8"/>
      <c r="J1619" s="8"/>
      <c r="K1619" s="8"/>
      <c r="L1619" s="56"/>
      <c r="M1619" s="26"/>
      <c r="N1619" s="26"/>
      <c r="O1619" s="26"/>
      <c r="P1619" s="1"/>
      <c r="Q1619" s="1"/>
      <c r="R1619" s="8"/>
      <c r="S1619" s="1"/>
      <c r="T1619" s="8"/>
      <c r="U1619" s="1"/>
      <c r="V1619" s="1"/>
      <c r="W1619" s="1"/>
      <c r="X1619" s="1"/>
    </row>
    <row r="1620" spans="1:24">
      <c r="A1620" s="1"/>
      <c r="B1620" s="8"/>
      <c r="C1620" s="8"/>
      <c r="D1620" s="8"/>
      <c r="E1620" s="8"/>
      <c r="F1620" s="8"/>
      <c r="G1620" s="8"/>
      <c r="H1620" s="8"/>
      <c r="I1620" s="8"/>
      <c r="J1620" s="8"/>
      <c r="K1620" s="8"/>
      <c r="L1620" s="56"/>
      <c r="M1620" s="26"/>
      <c r="N1620" s="26"/>
      <c r="O1620" s="26"/>
      <c r="P1620" s="1"/>
      <c r="Q1620" s="1"/>
      <c r="R1620" s="8"/>
      <c r="S1620" s="1"/>
      <c r="T1620" s="8"/>
      <c r="U1620" s="1"/>
      <c r="V1620" s="1"/>
      <c r="W1620" s="1"/>
      <c r="X1620" s="1"/>
    </row>
    <row r="1621" spans="1:24">
      <c r="A1621" s="1"/>
      <c r="B1621" s="8"/>
      <c r="C1621" s="8"/>
      <c r="D1621" s="8"/>
      <c r="E1621" s="8"/>
      <c r="F1621" s="8"/>
      <c r="G1621" s="8"/>
      <c r="H1621" s="8"/>
      <c r="I1621" s="8"/>
      <c r="J1621" s="8"/>
      <c r="K1621" s="8"/>
      <c r="L1621" s="56"/>
      <c r="M1621" s="26"/>
      <c r="N1621" s="26"/>
      <c r="O1621" s="26"/>
      <c r="P1621" s="1"/>
      <c r="Q1621" s="1"/>
      <c r="R1621" s="8"/>
      <c r="S1621" s="1"/>
      <c r="T1621" s="8"/>
      <c r="U1621" s="1"/>
      <c r="V1621" s="1"/>
      <c r="W1621" s="1"/>
      <c r="X1621" s="1"/>
    </row>
    <row r="1622" spans="1:24">
      <c r="A1622" s="1"/>
      <c r="B1622" s="8"/>
      <c r="C1622" s="8"/>
      <c r="D1622" s="8"/>
      <c r="E1622" s="8"/>
      <c r="F1622" s="8"/>
      <c r="G1622" s="8"/>
      <c r="H1622" s="8"/>
      <c r="I1622" s="8"/>
      <c r="J1622" s="8"/>
      <c r="K1622" s="8"/>
      <c r="L1622" s="56"/>
      <c r="M1622" s="26"/>
      <c r="N1622" s="26"/>
      <c r="O1622" s="26"/>
      <c r="P1622" s="1"/>
      <c r="Q1622" s="1"/>
      <c r="R1622" s="8"/>
      <c r="S1622" s="1"/>
      <c r="T1622" s="8"/>
      <c r="U1622" s="1"/>
      <c r="V1622" s="1"/>
      <c r="W1622" s="1"/>
      <c r="X1622" s="1"/>
    </row>
    <row r="1623" spans="1:24">
      <c r="A1623" s="1"/>
      <c r="B1623" s="8"/>
      <c r="C1623" s="8"/>
      <c r="D1623" s="8"/>
      <c r="E1623" s="8"/>
      <c r="F1623" s="8"/>
      <c r="G1623" s="8"/>
      <c r="H1623" s="8"/>
      <c r="I1623" s="8"/>
      <c r="J1623" s="8"/>
      <c r="K1623" s="8"/>
      <c r="L1623" s="56"/>
      <c r="M1623" s="26"/>
      <c r="N1623" s="26"/>
      <c r="O1623" s="26"/>
      <c r="P1623" s="1"/>
      <c r="Q1623" s="1"/>
      <c r="R1623" s="8"/>
      <c r="S1623" s="1"/>
      <c r="T1623" s="8"/>
      <c r="U1623" s="1"/>
      <c r="V1623" s="1"/>
      <c r="W1623" s="1"/>
      <c r="X1623" s="1"/>
    </row>
    <row r="1624" spans="1:24">
      <c r="A1624" s="1"/>
      <c r="B1624" s="8"/>
      <c r="C1624" s="8"/>
      <c r="D1624" s="8"/>
      <c r="E1624" s="8"/>
      <c r="F1624" s="8"/>
      <c r="G1624" s="8"/>
      <c r="H1624" s="8"/>
      <c r="I1624" s="8"/>
      <c r="J1624" s="8"/>
      <c r="K1624" s="8"/>
      <c r="L1624" s="56"/>
      <c r="M1624" s="26"/>
      <c r="N1624" s="26"/>
      <c r="O1624" s="26"/>
      <c r="P1624" s="1"/>
      <c r="Q1624" s="1"/>
      <c r="R1624" s="8"/>
      <c r="S1624" s="1"/>
      <c r="T1624" s="8"/>
      <c r="U1624" s="1"/>
      <c r="V1624" s="1"/>
      <c r="W1624" s="1"/>
      <c r="X1624" s="1"/>
    </row>
    <row r="1625" spans="1:24">
      <c r="A1625" s="1"/>
      <c r="B1625" s="8"/>
      <c r="C1625" s="8"/>
      <c r="D1625" s="8"/>
      <c r="E1625" s="8"/>
      <c r="F1625" s="8"/>
      <c r="G1625" s="8"/>
      <c r="H1625" s="8"/>
      <c r="I1625" s="8"/>
      <c r="J1625" s="8"/>
      <c r="K1625" s="8"/>
      <c r="L1625" s="56"/>
      <c r="M1625" s="26"/>
      <c r="N1625" s="26"/>
      <c r="O1625" s="26"/>
      <c r="P1625" s="1"/>
      <c r="Q1625" s="1"/>
      <c r="R1625" s="8"/>
      <c r="S1625" s="1"/>
      <c r="T1625" s="8"/>
      <c r="U1625" s="1"/>
      <c r="V1625" s="1"/>
      <c r="W1625" s="1"/>
      <c r="X1625" s="1"/>
    </row>
    <row r="1626" spans="1:24">
      <c r="A1626" s="1"/>
      <c r="B1626" s="8"/>
      <c r="C1626" s="8"/>
      <c r="D1626" s="8"/>
      <c r="E1626" s="8"/>
      <c r="F1626" s="8"/>
      <c r="G1626" s="8"/>
      <c r="H1626" s="8"/>
      <c r="I1626" s="8"/>
      <c r="J1626" s="8"/>
      <c r="K1626" s="8"/>
      <c r="L1626" s="56"/>
      <c r="M1626" s="26"/>
      <c r="N1626" s="26"/>
      <c r="O1626" s="26"/>
      <c r="P1626" s="1"/>
      <c r="Q1626" s="1"/>
      <c r="R1626" s="8"/>
      <c r="S1626" s="1"/>
      <c r="T1626" s="8"/>
      <c r="U1626" s="1"/>
      <c r="V1626" s="1"/>
      <c r="W1626" s="1"/>
      <c r="X1626" s="1"/>
    </row>
    <row r="1627" spans="1:24">
      <c r="A1627" s="1"/>
      <c r="B1627" s="8"/>
      <c r="C1627" s="8"/>
      <c r="D1627" s="8"/>
      <c r="E1627" s="8"/>
      <c r="F1627" s="8"/>
      <c r="G1627" s="8"/>
      <c r="H1627" s="8"/>
      <c r="I1627" s="8"/>
      <c r="J1627" s="8"/>
      <c r="K1627" s="8"/>
      <c r="L1627" s="56"/>
      <c r="M1627" s="26"/>
      <c r="N1627" s="26"/>
      <c r="O1627" s="26"/>
      <c r="P1627" s="1"/>
      <c r="Q1627" s="1"/>
      <c r="R1627" s="8"/>
      <c r="S1627" s="1"/>
      <c r="T1627" s="8"/>
      <c r="U1627" s="1"/>
      <c r="V1627" s="1"/>
      <c r="W1627" s="1"/>
      <c r="X1627" s="1"/>
    </row>
    <row r="1628" spans="1:24">
      <c r="A1628" s="1"/>
      <c r="B1628" s="8"/>
      <c r="C1628" s="8"/>
      <c r="D1628" s="8"/>
      <c r="E1628" s="8"/>
      <c r="F1628" s="8"/>
      <c r="G1628" s="8"/>
      <c r="H1628" s="8"/>
      <c r="I1628" s="8"/>
      <c r="J1628" s="8"/>
      <c r="K1628" s="8"/>
      <c r="L1628" s="56"/>
      <c r="M1628" s="26"/>
      <c r="N1628" s="26"/>
      <c r="O1628" s="26"/>
      <c r="P1628" s="1"/>
      <c r="Q1628" s="1"/>
      <c r="R1628" s="8"/>
      <c r="S1628" s="1"/>
      <c r="T1628" s="8"/>
      <c r="U1628" s="1"/>
      <c r="V1628" s="1"/>
      <c r="W1628" s="1"/>
      <c r="X1628" s="1"/>
    </row>
    <row r="1629" spans="1:24">
      <c r="A1629" s="1"/>
      <c r="B1629" s="8"/>
      <c r="C1629" s="8"/>
      <c r="D1629" s="8"/>
      <c r="E1629" s="8"/>
      <c r="F1629" s="8"/>
      <c r="G1629" s="8"/>
      <c r="H1629" s="8"/>
      <c r="I1629" s="8"/>
      <c r="J1629" s="8"/>
      <c r="K1629" s="8"/>
      <c r="L1629" s="56"/>
      <c r="M1629" s="26"/>
      <c r="N1629" s="26"/>
      <c r="O1629" s="26"/>
      <c r="P1629" s="1"/>
      <c r="Q1629" s="1"/>
      <c r="R1629" s="8"/>
      <c r="S1629" s="1"/>
      <c r="T1629" s="8"/>
      <c r="U1629" s="1"/>
      <c r="V1629" s="1"/>
      <c r="W1629" s="1"/>
      <c r="X1629" s="1"/>
    </row>
    <row r="1630" spans="1:24">
      <c r="A1630" s="1"/>
      <c r="B1630" s="8"/>
      <c r="C1630" s="8"/>
      <c r="D1630" s="8"/>
      <c r="E1630" s="8"/>
      <c r="F1630" s="8"/>
      <c r="G1630" s="8"/>
      <c r="H1630" s="8"/>
      <c r="I1630" s="8"/>
      <c r="J1630" s="8"/>
      <c r="K1630" s="8"/>
      <c r="L1630" s="56"/>
      <c r="M1630" s="26"/>
      <c r="N1630" s="26"/>
      <c r="O1630" s="26"/>
      <c r="P1630" s="1"/>
      <c r="Q1630" s="1"/>
      <c r="R1630" s="8"/>
      <c r="S1630" s="1"/>
      <c r="T1630" s="8"/>
      <c r="U1630" s="1"/>
      <c r="V1630" s="1"/>
      <c r="W1630" s="1"/>
      <c r="X1630" s="1"/>
    </row>
    <row r="1631" spans="1:24">
      <c r="A1631" s="1"/>
      <c r="B1631" s="8"/>
      <c r="C1631" s="8"/>
      <c r="D1631" s="8"/>
      <c r="E1631" s="8"/>
      <c r="F1631" s="8"/>
      <c r="G1631" s="8"/>
      <c r="H1631" s="8"/>
      <c r="I1631" s="8"/>
      <c r="J1631" s="8"/>
      <c r="K1631" s="8"/>
      <c r="L1631" s="56"/>
      <c r="M1631" s="26"/>
      <c r="N1631" s="26"/>
      <c r="O1631" s="26"/>
      <c r="P1631" s="1"/>
      <c r="Q1631" s="1"/>
      <c r="R1631" s="8"/>
      <c r="S1631" s="1"/>
      <c r="T1631" s="8"/>
      <c r="U1631" s="1"/>
      <c r="V1631" s="1"/>
      <c r="W1631" s="1"/>
      <c r="X1631" s="1"/>
    </row>
    <row r="1632" spans="1:24">
      <c r="A1632" s="1"/>
      <c r="B1632" s="8"/>
      <c r="C1632" s="8"/>
      <c r="D1632" s="8"/>
      <c r="E1632" s="8"/>
      <c r="F1632" s="8"/>
      <c r="G1632" s="8"/>
      <c r="H1632" s="8"/>
      <c r="I1632" s="8"/>
      <c r="J1632" s="8"/>
      <c r="K1632" s="8"/>
      <c r="L1632" s="56"/>
      <c r="M1632" s="26"/>
      <c r="N1632" s="26"/>
      <c r="O1632" s="26"/>
      <c r="P1632" s="1"/>
      <c r="Q1632" s="1"/>
      <c r="R1632" s="8"/>
      <c r="S1632" s="1"/>
      <c r="T1632" s="8"/>
      <c r="U1632" s="1"/>
      <c r="V1632" s="1"/>
      <c r="W1632" s="1"/>
      <c r="X1632" s="1"/>
    </row>
    <row r="1633" spans="1:24">
      <c r="A1633" s="1"/>
      <c r="B1633" s="8"/>
      <c r="C1633" s="8"/>
      <c r="D1633" s="8"/>
      <c r="E1633" s="8"/>
      <c r="F1633" s="8"/>
      <c r="G1633" s="8"/>
      <c r="H1633" s="8"/>
      <c r="I1633" s="8"/>
      <c r="J1633" s="8"/>
      <c r="K1633" s="8"/>
      <c r="L1633" s="56"/>
      <c r="M1633" s="26"/>
      <c r="N1633" s="26"/>
      <c r="O1633" s="26"/>
      <c r="P1633" s="1"/>
      <c r="Q1633" s="1"/>
      <c r="R1633" s="8"/>
      <c r="S1633" s="1"/>
      <c r="T1633" s="8"/>
      <c r="U1633" s="1"/>
      <c r="V1633" s="1"/>
      <c r="W1633" s="1"/>
      <c r="X1633" s="1"/>
    </row>
    <row r="1634" spans="1:24">
      <c r="A1634" s="1"/>
      <c r="B1634" s="8"/>
      <c r="C1634" s="8"/>
      <c r="D1634" s="8"/>
      <c r="E1634" s="8"/>
      <c r="F1634" s="8"/>
      <c r="G1634" s="8"/>
      <c r="H1634" s="8"/>
      <c r="I1634" s="8"/>
      <c r="J1634" s="8"/>
      <c r="K1634" s="8"/>
      <c r="L1634" s="56"/>
      <c r="M1634" s="26"/>
      <c r="N1634" s="26"/>
      <c r="O1634" s="26"/>
      <c r="P1634" s="1"/>
      <c r="Q1634" s="1"/>
      <c r="R1634" s="8"/>
      <c r="S1634" s="1"/>
      <c r="T1634" s="8"/>
      <c r="U1634" s="1"/>
      <c r="V1634" s="1"/>
      <c r="W1634" s="1"/>
      <c r="X1634" s="1"/>
    </row>
    <row r="1635" spans="1:24">
      <c r="A1635" s="1"/>
      <c r="B1635" s="8"/>
      <c r="C1635" s="8"/>
      <c r="D1635" s="8"/>
      <c r="E1635" s="8"/>
      <c r="F1635" s="8"/>
      <c r="G1635" s="8"/>
      <c r="H1635" s="8"/>
      <c r="I1635" s="8"/>
      <c r="J1635" s="8"/>
      <c r="K1635" s="8"/>
      <c r="L1635" s="56"/>
      <c r="M1635" s="26"/>
      <c r="N1635" s="26"/>
      <c r="O1635" s="26"/>
      <c r="P1635" s="1"/>
      <c r="Q1635" s="1"/>
      <c r="R1635" s="8"/>
      <c r="S1635" s="1"/>
      <c r="T1635" s="8"/>
      <c r="U1635" s="1"/>
      <c r="V1635" s="1"/>
      <c r="W1635" s="1"/>
      <c r="X1635" s="1"/>
    </row>
    <row r="1636" spans="1:24">
      <c r="A1636" s="1"/>
      <c r="B1636" s="8"/>
      <c r="C1636" s="8"/>
      <c r="D1636" s="8"/>
      <c r="E1636" s="8"/>
      <c r="F1636" s="8"/>
      <c r="G1636" s="8"/>
      <c r="H1636" s="8"/>
      <c r="I1636" s="8"/>
      <c r="J1636" s="8"/>
      <c r="K1636" s="8"/>
      <c r="L1636" s="56"/>
      <c r="M1636" s="26"/>
      <c r="N1636" s="26"/>
      <c r="O1636" s="26"/>
      <c r="P1636" s="1"/>
      <c r="Q1636" s="1"/>
      <c r="R1636" s="8"/>
      <c r="S1636" s="1"/>
      <c r="T1636" s="8"/>
      <c r="U1636" s="1"/>
      <c r="V1636" s="1"/>
      <c r="W1636" s="1"/>
      <c r="X1636" s="1"/>
    </row>
    <row r="1637" spans="1:24">
      <c r="A1637" s="1"/>
      <c r="B1637" s="8"/>
      <c r="C1637" s="8"/>
      <c r="D1637" s="8"/>
      <c r="E1637" s="8"/>
      <c r="F1637" s="8"/>
      <c r="G1637" s="8"/>
      <c r="H1637" s="8"/>
      <c r="I1637" s="8"/>
      <c r="J1637" s="8"/>
      <c r="K1637" s="8"/>
      <c r="L1637" s="56"/>
      <c r="M1637" s="26"/>
      <c r="N1637" s="26"/>
      <c r="O1637" s="26"/>
      <c r="P1637" s="1"/>
      <c r="Q1637" s="1"/>
      <c r="R1637" s="8"/>
      <c r="S1637" s="1"/>
      <c r="T1637" s="8"/>
      <c r="U1637" s="1"/>
      <c r="V1637" s="1"/>
      <c r="W1637" s="1"/>
      <c r="X1637" s="1"/>
    </row>
    <row r="1638" spans="1:24">
      <c r="A1638" s="1"/>
      <c r="B1638" s="8"/>
      <c r="C1638" s="8"/>
      <c r="D1638" s="8"/>
      <c r="E1638" s="8"/>
      <c r="F1638" s="8"/>
      <c r="G1638" s="8"/>
      <c r="H1638" s="8"/>
      <c r="I1638" s="8"/>
      <c r="J1638" s="8"/>
      <c r="K1638" s="8"/>
      <c r="L1638" s="56"/>
      <c r="M1638" s="26"/>
      <c r="N1638" s="26"/>
      <c r="O1638" s="26"/>
      <c r="P1638" s="1"/>
      <c r="Q1638" s="1"/>
      <c r="R1638" s="8"/>
      <c r="S1638" s="1"/>
      <c r="T1638" s="8"/>
      <c r="U1638" s="1"/>
      <c r="V1638" s="1"/>
      <c r="W1638" s="1"/>
      <c r="X1638" s="1"/>
    </row>
    <row r="1639" spans="1:24">
      <c r="A1639" s="1"/>
      <c r="B1639" s="8"/>
      <c r="C1639" s="8"/>
      <c r="D1639" s="8"/>
      <c r="E1639" s="8"/>
      <c r="F1639" s="8"/>
      <c r="G1639" s="8"/>
      <c r="H1639" s="8"/>
      <c r="I1639" s="8"/>
      <c r="J1639" s="8"/>
      <c r="K1639" s="8"/>
      <c r="L1639" s="56"/>
      <c r="M1639" s="26"/>
      <c r="N1639" s="26"/>
      <c r="O1639" s="26"/>
      <c r="P1639" s="1"/>
      <c r="Q1639" s="1"/>
      <c r="R1639" s="8"/>
      <c r="S1639" s="1"/>
      <c r="T1639" s="8"/>
      <c r="U1639" s="1"/>
      <c r="V1639" s="1"/>
      <c r="W1639" s="1"/>
      <c r="X1639" s="1"/>
    </row>
    <row r="1640" spans="1:24">
      <c r="A1640" s="1"/>
      <c r="B1640" s="8"/>
      <c r="C1640" s="8"/>
      <c r="D1640" s="8"/>
      <c r="E1640" s="8"/>
      <c r="F1640" s="8"/>
      <c r="G1640" s="8"/>
      <c r="H1640" s="8"/>
      <c r="I1640" s="8"/>
      <c r="J1640" s="8"/>
      <c r="K1640" s="8"/>
      <c r="L1640" s="56"/>
      <c r="M1640" s="26"/>
      <c r="N1640" s="26"/>
      <c r="O1640" s="26"/>
      <c r="P1640" s="1"/>
      <c r="Q1640" s="1"/>
      <c r="R1640" s="8"/>
      <c r="S1640" s="1"/>
      <c r="T1640" s="8"/>
      <c r="U1640" s="1"/>
      <c r="V1640" s="1"/>
      <c r="W1640" s="1"/>
      <c r="X1640" s="1"/>
    </row>
    <row r="1641" spans="1:24">
      <c r="A1641" s="1"/>
      <c r="B1641" s="8"/>
      <c r="C1641" s="8"/>
      <c r="D1641" s="8"/>
      <c r="E1641" s="8"/>
      <c r="F1641" s="8"/>
      <c r="G1641" s="8"/>
      <c r="H1641" s="8"/>
      <c r="I1641" s="8"/>
      <c r="J1641" s="8"/>
      <c r="K1641" s="8"/>
      <c r="L1641" s="56"/>
      <c r="M1641" s="26"/>
      <c r="N1641" s="26"/>
      <c r="O1641" s="26"/>
      <c r="P1641" s="1"/>
      <c r="Q1641" s="1"/>
      <c r="R1641" s="8"/>
      <c r="S1641" s="1"/>
      <c r="T1641" s="8"/>
      <c r="U1641" s="1"/>
      <c r="V1641" s="1"/>
      <c r="W1641" s="1"/>
      <c r="X1641" s="1"/>
    </row>
    <row r="1642" spans="1:24">
      <c r="A1642" s="1"/>
      <c r="B1642" s="8"/>
      <c r="C1642" s="8"/>
      <c r="D1642" s="8"/>
      <c r="E1642" s="8"/>
      <c r="F1642" s="8"/>
      <c r="G1642" s="8"/>
      <c r="H1642" s="8"/>
      <c r="I1642" s="8"/>
      <c r="J1642" s="8"/>
      <c r="K1642" s="8"/>
      <c r="L1642" s="56"/>
      <c r="M1642" s="26"/>
      <c r="N1642" s="26"/>
      <c r="O1642" s="26"/>
      <c r="P1642" s="1"/>
      <c r="Q1642" s="1"/>
      <c r="R1642" s="8"/>
      <c r="S1642" s="1"/>
      <c r="T1642" s="8"/>
      <c r="U1642" s="1"/>
      <c r="V1642" s="1"/>
      <c r="W1642" s="1"/>
      <c r="X1642" s="1"/>
    </row>
    <row r="1643" spans="1:24">
      <c r="A1643" s="1"/>
      <c r="B1643" s="8"/>
      <c r="C1643" s="8"/>
      <c r="D1643" s="8"/>
      <c r="E1643" s="8"/>
      <c r="F1643" s="8"/>
      <c r="G1643" s="8"/>
      <c r="H1643" s="8"/>
      <c r="I1643" s="8"/>
      <c r="J1643" s="8"/>
      <c r="K1643" s="8"/>
      <c r="L1643" s="56"/>
      <c r="M1643" s="26"/>
      <c r="N1643" s="26"/>
      <c r="O1643" s="26"/>
      <c r="P1643" s="1"/>
      <c r="Q1643" s="1"/>
      <c r="R1643" s="8"/>
      <c r="S1643" s="1"/>
      <c r="T1643" s="8"/>
      <c r="U1643" s="1"/>
      <c r="V1643" s="1"/>
      <c r="W1643" s="1"/>
      <c r="X1643" s="1"/>
    </row>
    <row r="1644" spans="1:24">
      <c r="A1644" s="1"/>
      <c r="B1644" s="8"/>
      <c r="C1644" s="8"/>
      <c r="D1644" s="8"/>
      <c r="E1644" s="8"/>
      <c r="F1644" s="8"/>
      <c r="G1644" s="8"/>
      <c r="H1644" s="8"/>
      <c r="I1644" s="8"/>
      <c r="J1644" s="8"/>
      <c r="K1644" s="8"/>
      <c r="L1644" s="56"/>
      <c r="M1644" s="26"/>
      <c r="N1644" s="26"/>
      <c r="O1644" s="26"/>
      <c r="P1644" s="1"/>
      <c r="Q1644" s="1"/>
      <c r="R1644" s="8"/>
      <c r="S1644" s="1"/>
      <c r="T1644" s="8"/>
      <c r="U1644" s="1"/>
      <c r="V1644" s="1"/>
      <c r="W1644" s="1"/>
      <c r="X1644" s="1"/>
    </row>
    <row r="1645" spans="1:24">
      <c r="A1645" s="1"/>
      <c r="B1645" s="8"/>
      <c r="C1645" s="8"/>
      <c r="D1645" s="8"/>
      <c r="E1645" s="8"/>
      <c r="F1645" s="8"/>
      <c r="G1645" s="8"/>
      <c r="H1645" s="8"/>
      <c r="I1645" s="8"/>
      <c r="J1645" s="8"/>
      <c r="K1645" s="8"/>
      <c r="L1645" s="56"/>
      <c r="M1645" s="26"/>
      <c r="N1645" s="26"/>
      <c r="O1645" s="26"/>
      <c r="P1645" s="1"/>
      <c r="Q1645" s="1"/>
      <c r="R1645" s="8"/>
      <c r="S1645" s="1"/>
      <c r="T1645" s="8"/>
      <c r="U1645" s="1"/>
      <c r="V1645" s="1"/>
      <c r="W1645" s="1"/>
      <c r="X1645" s="1"/>
    </row>
    <row r="1646" spans="1:24">
      <c r="A1646" s="1"/>
      <c r="B1646" s="8"/>
      <c r="C1646" s="8"/>
      <c r="D1646" s="8"/>
      <c r="E1646" s="8"/>
      <c r="F1646" s="8"/>
      <c r="G1646" s="8"/>
      <c r="H1646" s="8"/>
      <c r="I1646" s="8"/>
      <c r="J1646" s="8"/>
      <c r="K1646" s="8"/>
      <c r="L1646" s="56"/>
      <c r="M1646" s="26"/>
      <c r="N1646" s="26"/>
      <c r="O1646" s="26"/>
      <c r="P1646" s="1"/>
      <c r="Q1646" s="1"/>
      <c r="R1646" s="8"/>
      <c r="S1646" s="1"/>
      <c r="T1646" s="8"/>
      <c r="U1646" s="1"/>
      <c r="V1646" s="1"/>
      <c r="W1646" s="1"/>
      <c r="X1646" s="1"/>
    </row>
    <row r="1647" spans="1:24">
      <c r="A1647" s="1"/>
      <c r="B1647" s="8"/>
      <c r="C1647" s="8"/>
      <c r="D1647" s="8"/>
      <c r="E1647" s="8"/>
      <c r="F1647" s="8"/>
      <c r="G1647" s="8"/>
      <c r="H1647" s="8"/>
      <c r="I1647" s="8"/>
      <c r="J1647" s="8"/>
      <c r="K1647" s="8"/>
      <c r="L1647" s="56"/>
      <c r="M1647" s="26"/>
      <c r="N1647" s="26"/>
      <c r="O1647" s="26"/>
      <c r="P1647" s="1"/>
      <c r="Q1647" s="1"/>
      <c r="R1647" s="8"/>
      <c r="S1647" s="1"/>
      <c r="T1647" s="8"/>
      <c r="U1647" s="1"/>
      <c r="V1647" s="1"/>
      <c r="W1647" s="1"/>
      <c r="X1647" s="1"/>
    </row>
    <row r="1648" spans="1:24">
      <c r="A1648" s="1"/>
      <c r="B1648" s="8"/>
      <c r="C1648" s="8"/>
      <c r="D1648" s="8"/>
      <c r="E1648" s="8"/>
      <c r="F1648" s="8"/>
      <c r="G1648" s="8"/>
      <c r="H1648" s="8"/>
      <c r="I1648" s="8"/>
      <c r="J1648" s="8"/>
      <c r="K1648" s="8"/>
      <c r="L1648" s="56"/>
      <c r="M1648" s="26"/>
      <c r="N1648" s="26"/>
      <c r="O1648" s="26"/>
      <c r="P1648" s="1"/>
      <c r="Q1648" s="1"/>
      <c r="R1648" s="8"/>
      <c r="S1648" s="1"/>
      <c r="T1648" s="8"/>
      <c r="U1648" s="1"/>
      <c r="V1648" s="1"/>
      <c r="W1648" s="1"/>
      <c r="X1648" s="1"/>
    </row>
    <row r="1649" spans="1:24">
      <c r="A1649" s="1"/>
      <c r="B1649" s="8"/>
      <c r="C1649" s="8"/>
      <c r="D1649" s="8"/>
      <c r="E1649" s="8"/>
      <c r="F1649" s="8"/>
      <c r="G1649" s="8"/>
      <c r="H1649" s="8"/>
      <c r="I1649" s="8"/>
      <c r="J1649" s="8"/>
      <c r="K1649" s="8"/>
      <c r="L1649" s="56"/>
      <c r="M1649" s="26"/>
      <c r="N1649" s="26"/>
      <c r="O1649" s="26"/>
      <c r="P1649" s="1"/>
      <c r="Q1649" s="1"/>
      <c r="R1649" s="8"/>
      <c r="S1649" s="1"/>
      <c r="T1649" s="8"/>
      <c r="U1649" s="1"/>
      <c r="V1649" s="1"/>
      <c r="W1649" s="1"/>
      <c r="X1649" s="1"/>
    </row>
    <row r="1650" spans="1:24">
      <c r="A1650" s="1"/>
      <c r="B1650" s="8"/>
      <c r="C1650" s="8"/>
      <c r="D1650" s="8"/>
      <c r="E1650" s="8"/>
      <c r="F1650" s="8"/>
      <c r="G1650" s="8"/>
      <c r="H1650" s="8"/>
      <c r="I1650" s="8"/>
      <c r="J1650" s="8"/>
      <c r="K1650" s="8"/>
      <c r="L1650" s="56"/>
      <c r="M1650" s="26"/>
      <c r="N1650" s="26"/>
      <c r="O1650" s="26"/>
      <c r="P1650" s="1"/>
      <c r="Q1650" s="1"/>
      <c r="R1650" s="8"/>
      <c r="S1650" s="1"/>
      <c r="T1650" s="8"/>
      <c r="U1650" s="1"/>
      <c r="V1650" s="1"/>
      <c r="W1650" s="1"/>
      <c r="X1650" s="1"/>
    </row>
    <row r="1651" spans="1:24">
      <c r="A1651" s="1"/>
      <c r="B1651" s="8"/>
      <c r="C1651" s="8"/>
      <c r="D1651" s="8"/>
      <c r="E1651" s="8"/>
      <c r="F1651" s="8"/>
      <c r="G1651" s="8"/>
      <c r="H1651" s="8"/>
      <c r="I1651" s="8"/>
      <c r="J1651" s="8"/>
      <c r="K1651" s="8"/>
      <c r="L1651" s="56"/>
      <c r="M1651" s="26"/>
      <c r="N1651" s="26"/>
      <c r="O1651" s="26"/>
      <c r="P1651" s="1"/>
      <c r="Q1651" s="1"/>
      <c r="R1651" s="8"/>
      <c r="S1651" s="1"/>
      <c r="T1651" s="8"/>
      <c r="U1651" s="1"/>
      <c r="V1651" s="1"/>
      <c r="W1651" s="1"/>
      <c r="X1651" s="1"/>
    </row>
    <row r="1652" spans="1:24">
      <c r="A1652" s="1"/>
      <c r="B1652" s="8"/>
      <c r="C1652" s="8"/>
      <c r="D1652" s="8"/>
      <c r="E1652" s="8"/>
      <c r="F1652" s="8"/>
      <c r="G1652" s="8"/>
      <c r="H1652" s="8"/>
      <c r="I1652" s="8"/>
      <c r="J1652" s="8"/>
      <c r="K1652" s="8"/>
      <c r="L1652" s="56"/>
      <c r="M1652" s="26"/>
      <c r="N1652" s="26"/>
      <c r="O1652" s="26"/>
      <c r="P1652" s="1"/>
      <c r="Q1652" s="1"/>
      <c r="R1652" s="8"/>
      <c r="S1652" s="1"/>
      <c r="T1652" s="8"/>
      <c r="U1652" s="1"/>
      <c r="V1652" s="1"/>
      <c r="W1652" s="1"/>
      <c r="X1652" s="1"/>
    </row>
    <row r="1653" spans="1:24">
      <c r="A1653" s="1"/>
      <c r="B1653" s="8"/>
      <c r="C1653" s="8"/>
      <c r="D1653" s="8"/>
      <c r="E1653" s="8"/>
      <c r="F1653" s="8"/>
      <c r="G1653" s="8"/>
      <c r="H1653" s="8"/>
      <c r="I1653" s="8"/>
      <c r="J1653" s="8"/>
      <c r="K1653" s="8"/>
      <c r="L1653" s="56"/>
      <c r="M1653" s="26"/>
      <c r="N1653" s="26"/>
      <c r="O1653" s="26"/>
      <c r="P1653" s="1"/>
      <c r="Q1653" s="1"/>
      <c r="R1653" s="8"/>
      <c r="S1653" s="1"/>
      <c r="T1653" s="8"/>
      <c r="U1653" s="1"/>
      <c r="V1653" s="1"/>
      <c r="W1653" s="1"/>
      <c r="X1653" s="1"/>
    </row>
    <row r="1654" spans="1:24">
      <c r="A1654" s="1"/>
      <c r="B1654" s="8"/>
      <c r="C1654" s="8"/>
      <c r="D1654" s="8"/>
      <c r="E1654" s="8"/>
      <c r="F1654" s="8"/>
      <c r="G1654" s="8"/>
      <c r="H1654" s="8"/>
      <c r="I1654" s="8"/>
      <c r="J1654" s="8"/>
      <c r="K1654" s="8"/>
      <c r="L1654" s="56"/>
      <c r="M1654" s="26"/>
      <c r="N1654" s="26"/>
      <c r="O1654" s="26"/>
      <c r="P1654" s="1"/>
      <c r="Q1654" s="1"/>
      <c r="R1654" s="8"/>
      <c r="S1654" s="1"/>
      <c r="T1654" s="8"/>
      <c r="U1654" s="1"/>
      <c r="V1654" s="1"/>
      <c r="W1654" s="1"/>
      <c r="X1654" s="1"/>
    </row>
    <row r="1655" spans="1:24">
      <c r="A1655" s="1"/>
      <c r="B1655" s="8"/>
      <c r="C1655" s="8"/>
      <c r="D1655" s="8"/>
      <c r="E1655" s="8"/>
      <c r="F1655" s="8"/>
      <c r="G1655" s="8"/>
      <c r="H1655" s="8"/>
      <c r="I1655" s="8"/>
      <c r="J1655" s="8"/>
      <c r="K1655" s="8"/>
      <c r="L1655" s="56"/>
      <c r="M1655" s="26"/>
      <c r="N1655" s="26"/>
      <c r="O1655" s="26"/>
      <c r="P1655" s="1"/>
      <c r="Q1655" s="1"/>
      <c r="R1655" s="8"/>
      <c r="S1655" s="1"/>
      <c r="T1655" s="8"/>
      <c r="U1655" s="1"/>
      <c r="V1655" s="1"/>
      <c r="W1655" s="1"/>
      <c r="X1655" s="1"/>
    </row>
    <row r="1656" spans="1:24">
      <c r="A1656" s="1"/>
      <c r="B1656" s="8"/>
      <c r="C1656" s="8"/>
      <c r="D1656" s="8"/>
      <c r="E1656" s="8"/>
      <c r="F1656" s="8"/>
      <c r="G1656" s="8"/>
      <c r="H1656" s="8"/>
      <c r="I1656" s="8"/>
      <c r="J1656" s="8"/>
      <c r="K1656" s="8"/>
      <c r="L1656" s="56"/>
      <c r="M1656" s="26"/>
      <c r="N1656" s="26"/>
      <c r="O1656" s="26"/>
      <c r="P1656" s="1"/>
      <c r="Q1656" s="1"/>
      <c r="R1656" s="8"/>
      <c r="S1656" s="1"/>
      <c r="T1656" s="8"/>
      <c r="U1656" s="1"/>
      <c r="V1656" s="1"/>
      <c r="W1656" s="1"/>
      <c r="X1656" s="1"/>
    </row>
    <row r="1657" spans="1:24">
      <c r="A1657" s="1"/>
      <c r="B1657" s="8"/>
      <c r="C1657" s="8"/>
      <c r="D1657" s="8"/>
      <c r="E1657" s="8"/>
      <c r="F1657" s="8"/>
      <c r="G1657" s="8"/>
      <c r="H1657" s="8"/>
      <c r="I1657" s="8"/>
      <c r="J1657" s="8"/>
      <c r="K1657" s="8"/>
      <c r="L1657" s="56"/>
      <c r="M1657" s="26"/>
      <c r="N1657" s="26"/>
      <c r="O1657" s="26"/>
      <c r="P1657" s="1"/>
      <c r="Q1657" s="1"/>
      <c r="R1657" s="8"/>
      <c r="S1657" s="1"/>
      <c r="T1657" s="8"/>
      <c r="U1657" s="1"/>
      <c r="V1657" s="1"/>
      <c r="W1657" s="1"/>
      <c r="X1657" s="1"/>
    </row>
    <row r="1658" spans="1:24">
      <c r="A1658" s="1"/>
      <c r="B1658" s="8"/>
      <c r="C1658" s="8"/>
      <c r="D1658" s="8"/>
      <c r="E1658" s="8"/>
      <c r="F1658" s="8"/>
      <c r="G1658" s="8"/>
      <c r="H1658" s="8"/>
      <c r="I1658" s="8"/>
      <c r="J1658" s="8"/>
      <c r="K1658" s="8"/>
      <c r="L1658" s="56"/>
      <c r="M1658" s="26"/>
      <c r="N1658" s="26"/>
      <c r="O1658" s="26"/>
      <c r="P1658" s="1"/>
      <c r="Q1658" s="1"/>
      <c r="R1658" s="8"/>
      <c r="S1658" s="1"/>
      <c r="T1658" s="8"/>
      <c r="U1658" s="1"/>
      <c r="V1658" s="1"/>
      <c r="W1658" s="1"/>
      <c r="X1658" s="1"/>
    </row>
    <row r="1659" spans="1:24">
      <c r="A1659" s="1"/>
      <c r="B1659" s="8"/>
      <c r="C1659" s="8"/>
      <c r="D1659" s="8"/>
      <c r="E1659" s="8"/>
      <c r="F1659" s="8"/>
      <c r="G1659" s="8"/>
      <c r="H1659" s="8"/>
      <c r="I1659" s="8"/>
      <c r="J1659" s="8"/>
      <c r="K1659" s="8"/>
      <c r="L1659" s="56"/>
      <c r="M1659" s="26"/>
      <c r="N1659" s="26"/>
      <c r="O1659" s="26"/>
      <c r="P1659" s="1"/>
      <c r="Q1659" s="1"/>
      <c r="R1659" s="8"/>
      <c r="S1659" s="1"/>
      <c r="T1659" s="8"/>
      <c r="U1659" s="1"/>
      <c r="V1659" s="1"/>
      <c r="W1659" s="1"/>
      <c r="X1659" s="1"/>
    </row>
    <row r="1660" spans="1:24">
      <c r="A1660" s="1"/>
      <c r="B1660" s="8"/>
      <c r="C1660" s="8"/>
      <c r="D1660" s="8"/>
      <c r="E1660" s="8"/>
      <c r="F1660" s="8"/>
      <c r="G1660" s="8"/>
      <c r="H1660" s="8"/>
      <c r="I1660" s="8"/>
      <c r="J1660" s="8"/>
      <c r="K1660" s="8"/>
      <c r="L1660" s="56"/>
      <c r="M1660" s="26"/>
      <c r="N1660" s="26"/>
      <c r="O1660" s="26"/>
      <c r="P1660" s="1"/>
      <c r="Q1660" s="1"/>
      <c r="R1660" s="8"/>
      <c r="S1660" s="1"/>
      <c r="T1660" s="8"/>
      <c r="U1660" s="1"/>
      <c r="V1660" s="1"/>
      <c r="W1660" s="1"/>
      <c r="X1660" s="1"/>
    </row>
    <row r="1661" spans="1:24">
      <c r="A1661" s="1"/>
      <c r="B1661" s="8"/>
      <c r="C1661" s="8"/>
      <c r="D1661" s="8"/>
      <c r="E1661" s="8"/>
      <c r="F1661" s="8"/>
      <c r="G1661" s="8"/>
      <c r="H1661" s="8"/>
      <c r="I1661" s="8"/>
      <c r="J1661" s="8"/>
      <c r="K1661" s="8"/>
      <c r="L1661" s="56"/>
      <c r="M1661" s="26"/>
      <c r="N1661" s="26"/>
      <c r="O1661" s="26"/>
      <c r="P1661" s="1"/>
      <c r="Q1661" s="1"/>
      <c r="R1661" s="8"/>
      <c r="S1661" s="1"/>
      <c r="T1661" s="8"/>
      <c r="U1661" s="1"/>
      <c r="V1661" s="1"/>
      <c r="W1661" s="1"/>
      <c r="X1661" s="1"/>
    </row>
    <row r="1662" spans="1:24">
      <c r="A1662" s="1"/>
      <c r="B1662" s="8"/>
      <c r="C1662" s="8"/>
      <c r="D1662" s="8"/>
      <c r="E1662" s="8"/>
      <c r="F1662" s="8"/>
      <c r="G1662" s="8"/>
      <c r="H1662" s="8"/>
      <c r="I1662" s="8"/>
      <c r="J1662" s="8"/>
      <c r="K1662" s="8"/>
      <c r="L1662" s="56"/>
      <c r="M1662" s="26"/>
      <c r="N1662" s="26"/>
      <c r="O1662" s="26"/>
      <c r="P1662" s="1"/>
      <c r="Q1662" s="1"/>
      <c r="R1662" s="8"/>
      <c r="S1662" s="1"/>
      <c r="T1662" s="8"/>
      <c r="U1662" s="1"/>
      <c r="V1662" s="1"/>
      <c r="W1662" s="1"/>
      <c r="X1662" s="1"/>
    </row>
    <row r="1663" spans="1:24">
      <c r="A1663" s="1"/>
      <c r="B1663" s="8"/>
      <c r="C1663" s="8"/>
      <c r="D1663" s="8"/>
      <c r="E1663" s="8"/>
      <c r="F1663" s="8"/>
      <c r="G1663" s="8"/>
      <c r="H1663" s="8"/>
      <c r="I1663" s="8"/>
      <c r="J1663" s="8"/>
      <c r="K1663" s="8"/>
      <c r="L1663" s="56"/>
      <c r="M1663" s="26"/>
      <c r="N1663" s="26"/>
      <c r="O1663" s="26"/>
      <c r="P1663" s="1"/>
      <c r="Q1663" s="1"/>
      <c r="R1663" s="8"/>
      <c r="S1663" s="1"/>
      <c r="T1663" s="8"/>
      <c r="U1663" s="1"/>
      <c r="V1663" s="1"/>
      <c r="W1663" s="1"/>
      <c r="X1663" s="1"/>
    </row>
    <row r="1664" spans="1:24">
      <c r="A1664" s="1"/>
      <c r="B1664" s="8"/>
      <c r="C1664" s="8"/>
      <c r="D1664" s="8"/>
      <c r="E1664" s="8"/>
      <c r="F1664" s="8"/>
      <c r="G1664" s="8"/>
      <c r="H1664" s="8"/>
      <c r="I1664" s="8"/>
      <c r="J1664" s="8"/>
      <c r="K1664" s="8"/>
      <c r="L1664" s="56"/>
      <c r="M1664" s="26"/>
      <c r="N1664" s="26"/>
      <c r="O1664" s="26"/>
      <c r="P1664" s="1"/>
      <c r="Q1664" s="1"/>
      <c r="R1664" s="8"/>
      <c r="S1664" s="1"/>
      <c r="T1664" s="8"/>
      <c r="U1664" s="1"/>
      <c r="V1664" s="1"/>
      <c r="W1664" s="1"/>
      <c r="X1664" s="1"/>
    </row>
    <row r="1665" spans="1:24">
      <c r="A1665" s="1"/>
      <c r="B1665" s="8"/>
      <c r="C1665" s="8"/>
      <c r="D1665" s="8"/>
      <c r="E1665" s="8"/>
      <c r="F1665" s="8"/>
      <c r="G1665" s="8"/>
      <c r="H1665" s="8"/>
      <c r="I1665" s="8"/>
      <c r="J1665" s="8"/>
      <c r="K1665" s="8"/>
      <c r="L1665" s="56"/>
      <c r="M1665" s="26"/>
      <c r="N1665" s="26"/>
      <c r="O1665" s="26"/>
      <c r="P1665" s="1"/>
      <c r="Q1665" s="1"/>
      <c r="R1665" s="8"/>
      <c r="S1665" s="1"/>
      <c r="T1665" s="8"/>
      <c r="U1665" s="1"/>
      <c r="V1665" s="1"/>
      <c r="W1665" s="1"/>
      <c r="X1665" s="1"/>
    </row>
    <row r="1666" spans="1:24">
      <c r="A1666" s="1"/>
      <c r="B1666" s="8"/>
      <c r="C1666" s="8"/>
      <c r="D1666" s="8"/>
      <c r="E1666" s="8"/>
      <c r="F1666" s="8"/>
      <c r="G1666" s="8"/>
      <c r="H1666" s="8"/>
      <c r="I1666" s="8"/>
      <c r="J1666" s="8"/>
      <c r="K1666" s="8"/>
      <c r="L1666" s="56"/>
      <c r="M1666" s="26"/>
      <c r="N1666" s="26"/>
      <c r="O1666" s="26"/>
      <c r="P1666" s="1"/>
      <c r="Q1666" s="1"/>
      <c r="R1666" s="8"/>
      <c r="S1666" s="1"/>
      <c r="T1666" s="8"/>
      <c r="U1666" s="1"/>
      <c r="V1666" s="1"/>
      <c r="W1666" s="1"/>
      <c r="X1666" s="1"/>
    </row>
    <row r="1667" spans="1:24">
      <c r="A1667" s="1"/>
      <c r="B1667" s="8"/>
      <c r="C1667" s="8"/>
      <c r="D1667" s="8"/>
      <c r="E1667" s="8"/>
      <c r="F1667" s="8"/>
      <c r="G1667" s="8"/>
      <c r="H1667" s="8"/>
      <c r="I1667" s="8"/>
      <c r="J1667" s="8"/>
      <c r="K1667" s="8"/>
      <c r="L1667" s="56"/>
      <c r="M1667" s="26"/>
      <c r="N1667" s="26"/>
      <c r="O1667" s="26"/>
      <c r="P1667" s="1"/>
      <c r="Q1667" s="1"/>
      <c r="R1667" s="8"/>
      <c r="S1667" s="1"/>
      <c r="T1667" s="8"/>
      <c r="U1667" s="1"/>
      <c r="V1667" s="1"/>
      <c r="W1667" s="1"/>
      <c r="X1667" s="1"/>
    </row>
    <row r="1668" spans="1:24">
      <c r="A1668" s="1"/>
      <c r="B1668" s="8"/>
      <c r="C1668" s="8"/>
      <c r="D1668" s="8"/>
      <c r="E1668" s="8"/>
      <c r="F1668" s="8"/>
      <c r="G1668" s="8"/>
      <c r="H1668" s="8"/>
      <c r="I1668" s="8"/>
      <c r="J1668" s="8"/>
      <c r="K1668" s="8"/>
      <c r="L1668" s="56"/>
      <c r="M1668" s="26"/>
      <c r="N1668" s="26"/>
      <c r="O1668" s="26"/>
      <c r="P1668" s="1"/>
      <c r="Q1668" s="1"/>
      <c r="R1668" s="8"/>
      <c r="S1668" s="1"/>
      <c r="T1668" s="8"/>
      <c r="U1668" s="1"/>
      <c r="V1668" s="1"/>
      <c r="W1668" s="1"/>
      <c r="X1668" s="1"/>
    </row>
    <row r="1669" spans="1:24">
      <c r="A1669" s="1"/>
      <c r="B1669" s="8"/>
      <c r="C1669" s="8"/>
      <c r="D1669" s="8"/>
      <c r="E1669" s="8"/>
      <c r="F1669" s="8"/>
      <c r="G1669" s="8"/>
      <c r="H1669" s="8"/>
      <c r="I1669" s="8"/>
      <c r="J1669" s="8"/>
      <c r="K1669" s="8"/>
      <c r="L1669" s="56"/>
      <c r="M1669" s="26"/>
      <c r="N1669" s="26"/>
      <c r="O1669" s="26"/>
      <c r="P1669" s="1"/>
      <c r="Q1669" s="1"/>
      <c r="R1669" s="8"/>
      <c r="S1669" s="1"/>
      <c r="T1669" s="8"/>
      <c r="U1669" s="1"/>
      <c r="V1669" s="1"/>
      <c r="W1669" s="1"/>
      <c r="X1669" s="1"/>
    </row>
    <row r="1670" spans="1:24">
      <c r="A1670" s="1"/>
      <c r="B1670" s="8"/>
      <c r="C1670" s="8"/>
      <c r="D1670" s="8"/>
      <c r="E1670" s="8"/>
      <c r="F1670" s="8"/>
      <c r="G1670" s="8"/>
      <c r="H1670" s="8"/>
      <c r="I1670" s="8"/>
      <c r="J1670" s="8"/>
      <c r="K1670" s="8"/>
      <c r="L1670" s="56"/>
      <c r="M1670" s="26"/>
      <c r="N1670" s="26"/>
      <c r="O1670" s="26"/>
      <c r="P1670" s="1"/>
      <c r="Q1670" s="1"/>
      <c r="R1670" s="8"/>
      <c r="S1670" s="1"/>
      <c r="T1670" s="8"/>
      <c r="U1670" s="1"/>
      <c r="V1670" s="1"/>
      <c r="W1670" s="1"/>
      <c r="X1670" s="1"/>
    </row>
    <row r="1671" spans="1:24">
      <c r="A1671" s="1"/>
      <c r="B1671" s="8"/>
      <c r="C1671" s="8"/>
      <c r="D1671" s="8"/>
      <c r="E1671" s="8"/>
      <c r="F1671" s="8"/>
      <c r="G1671" s="8"/>
      <c r="H1671" s="8"/>
      <c r="I1671" s="8"/>
      <c r="J1671" s="8"/>
      <c r="K1671" s="8"/>
      <c r="L1671" s="56"/>
      <c r="M1671" s="26"/>
      <c r="N1671" s="26"/>
      <c r="O1671" s="26"/>
      <c r="P1671" s="1"/>
      <c r="Q1671" s="1"/>
      <c r="R1671" s="8"/>
      <c r="S1671" s="1"/>
      <c r="T1671" s="8"/>
      <c r="U1671" s="1"/>
      <c r="V1671" s="1"/>
      <c r="W1671" s="1"/>
      <c r="X1671" s="1"/>
    </row>
    <row r="1672" spans="1:24">
      <c r="A1672" s="1"/>
      <c r="B1672" s="8"/>
      <c r="C1672" s="8"/>
      <c r="D1672" s="8"/>
      <c r="E1672" s="8"/>
      <c r="F1672" s="8"/>
      <c r="G1672" s="8"/>
      <c r="H1672" s="8"/>
      <c r="I1672" s="8"/>
      <c r="J1672" s="8"/>
      <c r="K1672" s="8"/>
      <c r="L1672" s="56"/>
      <c r="M1672" s="26"/>
      <c r="N1672" s="26"/>
      <c r="O1672" s="26"/>
      <c r="P1672" s="1"/>
      <c r="Q1672" s="1"/>
      <c r="R1672" s="8"/>
      <c r="S1672" s="1"/>
      <c r="T1672" s="8"/>
      <c r="U1672" s="1"/>
      <c r="V1672" s="1"/>
      <c r="W1672" s="1"/>
      <c r="X1672" s="1"/>
    </row>
    <row r="1673" spans="1:24">
      <c r="A1673" s="1"/>
      <c r="B1673" s="8"/>
      <c r="C1673" s="8"/>
      <c r="D1673" s="8"/>
      <c r="E1673" s="8"/>
      <c r="F1673" s="8"/>
      <c r="G1673" s="8"/>
      <c r="H1673" s="8"/>
      <c r="I1673" s="8"/>
      <c r="J1673" s="8"/>
      <c r="K1673" s="8"/>
      <c r="L1673" s="56"/>
      <c r="M1673" s="26"/>
      <c r="N1673" s="26"/>
      <c r="O1673" s="26"/>
      <c r="P1673" s="1"/>
      <c r="Q1673" s="1"/>
      <c r="R1673" s="8"/>
      <c r="S1673" s="1"/>
      <c r="T1673" s="8"/>
      <c r="U1673" s="1"/>
      <c r="V1673" s="1"/>
      <c r="W1673" s="1"/>
      <c r="X1673" s="1"/>
    </row>
    <row r="1674" spans="1:24">
      <c r="A1674" s="1"/>
      <c r="B1674" s="8"/>
      <c r="C1674" s="8"/>
      <c r="D1674" s="8"/>
      <c r="E1674" s="8"/>
      <c r="F1674" s="8"/>
      <c r="G1674" s="8"/>
      <c r="H1674" s="8"/>
      <c r="I1674" s="8"/>
      <c r="J1674" s="8"/>
      <c r="K1674" s="8"/>
      <c r="L1674" s="56"/>
      <c r="M1674" s="26"/>
      <c r="N1674" s="26"/>
      <c r="O1674" s="26"/>
      <c r="P1674" s="1"/>
      <c r="Q1674" s="1"/>
      <c r="R1674" s="8"/>
      <c r="S1674" s="1"/>
      <c r="T1674" s="8"/>
      <c r="U1674" s="1"/>
      <c r="V1674" s="1"/>
      <c r="W1674" s="1"/>
      <c r="X1674" s="1"/>
    </row>
    <row r="1675" spans="1:24">
      <c r="A1675" s="1"/>
      <c r="B1675" s="8"/>
      <c r="C1675" s="8"/>
      <c r="D1675" s="8"/>
      <c r="E1675" s="8"/>
      <c r="F1675" s="8"/>
      <c r="G1675" s="8"/>
      <c r="H1675" s="8"/>
      <c r="I1675" s="8"/>
      <c r="J1675" s="8"/>
      <c r="K1675" s="8"/>
      <c r="L1675" s="56"/>
      <c r="M1675" s="26"/>
      <c r="N1675" s="26"/>
      <c r="O1675" s="26"/>
      <c r="P1675" s="1"/>
      <c r="Q1675" s="1"/>
      <c r="R1675" s="8"/>
      <c r="S1675" s="1"/>
      <c r="T1675" s="8"/>
      <c r="U1675" s="1"/>
      <c r="V1675" s="1"/>
      <c r="W1675" s="1"/>
      <c r="X1675" s="1"/>
    </row>
    <row r="1676" spans="1:24">
      <c r="A1676" s="1"/>
      <c r="B1676" s="8"/>
      <c r="C1676" s="8"/>
      <c r="D1676" s="8"/>
      <c r="E1676" s="8"/>
      <c r="F1676" s="8"/>
      <c r="G1676" s="8"/>
      <c r="H1676" s="8"/>
      <c r="I1676" s="8"/>
      <c r="J1676" s="8"/>
      <c r="K1676" s="8"/>
      <c r="L1676" s="56"/>
      <c r="M1676" s="26"/>
      <c r="N1676" s="26"/>
      <c r="O1676" s="26"/>
      <c r="P1676" s="1"/>
      <c r="Q1676" s="1"/>
      <c r="R1676" s="8"/>
      <c r="S1676" s="1"/>
      <c r="T1676" s="8"/>
      <c r="U1676" s="1"/>
      <c r="V1676" s="1"/>
      <c r="W1676" s="1"/>
      <c r="X1676" s="1"/>
    </row>
    <row r="1677" spans="1:24">
      <c r="A1677" s="1"/>
      <c r="B1677" s="8"/>
      <c r="C1677" s="8"/>
      <c r="D1677" s="8"/>
      <c r="E1677" s="8"/>
      <c r="F1677" s="8"/>
      <c r="G1677" s="8"/>
      <c r="H1677" s="8"/>
      <c r="I1677" s="8"/>
      <c r="J1677" s="8"/>
      <c r="K1677" s="8"/>
      <c r="L1677" s="56"/>
      <c r="M1677" s="26"/>
      <c r="N1677" s="26"/>
      <c r="O1677" s="26"/>
      <c r="P1677" s="1"/>
      <c r="Q1677" s="1"/>
      <c r="R1677" s="8"/>
      <c r="S1677" s="1"/>
      <c r="T1677" s="8"/>
      <c r="U1677" s="1"/>
      <c r="V1677" s="1"/>
      <c r="W1677" s="1"/>
      <c r="X1677" s="1"/>
    </row>
    <row r="1678" spans="1:24">
      <c r="A1678" s="1"/>
      <c r="B1678" s="8"/>
      <c r="C1678" s="8"/>
      <c r="D1678" s="8"/>
      <c r="E1678" s="8"/>
      <c r="F1678" s="8"/>
      <c r="G1678" s="8"/>
      <c r="H1678" s="8"/>
      <c r="I1678" s="8"/>
      <c r="J1678" s="8"/>
      <c r="K1678" s="8"/>
      <c r="L1678" s="56"/>
      <c r="M1678" s="26"/>
      <c r="N1678" s="26"/>
      <c r="O1678" s="26"/>
      <c r="P1678" s="1"/>
      <c r="Q1678" s="1"/>
      <c r="R1678" s="8"/>
      <c r="S1678" s="1"/>
      <c r="T1678" s="8"/>
      <c r="U1678" s="1"/>
      <c r="V1678" s="1"/>
      <c r="W1678" s="1"/>
      <c r="X1678" s="1"/>
    </row>
    <row r="1679" spans="1:24">
      <c r="A1679" s="1"/>
      <c r="B1679" s="8"/>
      <c r="C1679" s="8"/>
      <c r="D1679" s="8"/>
      <c r="E1679" s="8"/>
      <c r="F1679" s="8"/>
      <c r="G1679" s="8"/>
      <c r="H1679" s="8"/>
      <c r="I1679" s="8"/>
      <c r="J1679" s="8"/>
      <c r="K1679" s="8"/>
      <c r="L1679" s="56"/>
      <c r="M1679" s="26"/>
      <c r="N1679" s="26"/>
      <c r="O1679" s="26"/>
      <c r="P1679" s="1"/>
      <c r="Q1679" s="1"/>
      <c r="R1679" s="8"/>
      <c r="S1679" s="1"/>
      <c r="T1679" s="8"/>
      <c r="U1679" s="1"/>
      <c r="V1679" s="1"/>
      <c r="W1679" s="1"/>
      <c r="X1679" s="1"/>
    </row>
    <row r="1680" spans="1:24">
      <c r="A1680" s="1"/>
      <c r="B1680" s="8"/>
      <c r="C1680" s="8"/>
      <c r="D1680" s="8"/>
      <c r="E1680" s="8"/>
      <c r="F1680" s="8"/>
      <c r="G1680" s="8"/>
      <c r="H1680" s="8"/>
      <c r="I1680" s="8"/>
      <c r="J1680" s="8"/>
      <c r="K1680" s="8"/>
      <c r="L1680" s="56"/>
      <c r="M1680" s="26"/>
      <c r="N1680" s="26"/>
      <c r="O1680" s="26"/>
      <c r="P1680" s="1"/>
      <c r="Q1680" s="1"/>
      <c r="R1680" s="8"/>
      <c r="S1680" s="1"/>
      <c r="T1680" s="8"/>
      <c r="U1680" s="1"/>
      <c r="V1680" s="1"/>
      <c r="W1680" s="1"/>
      <c r="X1680" s="1"/>
    </row>
    <row r="1681" spans="1:24">
      <c r="A1681" s="1"/>
      <c r="B1681" s="8"/>
      <c r="C1681" s="8"/>
      <c r="D1681" s="8"/>
      <c r="E1681" s="8"/>
      <c r="F1681" s="8"/>
      <c r="G1681" s="8"/>
      <c r="H1681" s="8"/>
      <c r="I1681" s="8"/>
      <c r="J1681" s="8"/>
      <c r="K1681" s="8"/>
      <c r="L1681" s="56"/>
      <c r="M1681" s="26"/>
      <c r="N1681" s="26"/>
      <c r="O1681" s="26"/>
      <c r="P1681" s="1"/>
      <c r="Q1681" s="1"/>
      <c r="R1681" s="8"/>
      <c r="S1681" s="1"/>
      <c r="T1681" s="8"/>
      <c r="U1681" s="1"/>
      <c r="V1681" s="1"/>
      <c r="W1681" s="1"/>
      <c r="X1681" s="1"/>
    </row>
    <row r="1682" spans="1:24">
      <c r="A1682" s="1"/>
      <c r="B1682" s="8"/>
      <c r="C1682" s="8"/>
      <c r="D1682" s="8"/>
      <c r="E1682" s="8"/>
      <c r="F1682" s="8"/>
      <c r="G1682" s="8"/>
      <c r="H1682" s="8"/>
      <c r="I1682" s="8"/>
      <c r="J1682" s="8"/>
      <c r="K1682" s="8"/>
      <c r="L1682" s="56"/>
      <c r="M1682" s="26"/>
      <c r="N1682" s="26"/>
      <c r="O1682" s="26"/>
      <c r="P1682" s="1"/>
      <c r="Q1682" s="1"/>
      <c r="R1682" s="8"/>
      <c r="S1682" s="1"/>
      <c r="T1682" s="8"/>
      <c r="U1682" s="1"/>
      <c r="V1682" s="1"/>
      <c r="W1682" s="1"/>
      <c r="X1682" s="1"/>
    </row>
    <row r="1683" spans="1:24">
      <c r="A1683" s="1"/>
      <c r="B1683" s="8"/>
      <c r="C1683" s="8"/>
      <c r="D1683" s="8"/>
      <c r="E1683" s="8"/>
      <c r="F1683" s="8"/>
      <c r="G1683" s="8"/>
      <c r="H1683" s="8"/>
      <c r="I1683" s="8"/>
      <c r="J1683" s="8"/>
      <c r="K1683" s="8"/>
      <c r="L1683" s="56"/>
      <c r="M1683" s="26"/>
      <c r="N1683" s="26"/>
      <c r="O1683" s="26"/>
      <c r="P1683" s="1"/>
      <c r="Q1683" s="1"/>
      <c r="R1683" s="8"/>
      <c r="S1683" s="1"/>
      <c r="T1683" s="8"/>
      <c r="U1683" s="1"/>
      <c r="V1683" s="1"/>
      <c r="W1683" s="1"/>
      <c r="X1683" s="1"/>
    </row>
    <row r="1684" spans="1:24">
      <c r="A1684" s="1"/>
      <c r="B1684" s="8"/>
      <c r="C1684" s="8"/>
      <c r="D1684" s="8"/>
      <c r="E1684" s="8"/>
      <c r="F1684" s="8"/>
      <c r="G1684" s="8"/>
      <c r="H1684" s="8"/>
      <c r="I1684" s="8"/>
      <c r="J1684" s="8"/>
      <c r="K1684" s="8"/>
      <c r="L1684" s="56"/>
      <c r="M1684" s="26"/>
      <c r="N1684" s="26"/>
      <c r="O1684" s="26"/>
      <c r="P1684" s="1"/>
      <c r="Q1684" s="1"/>
      <c r="R1684" s="8"/>
      <c r="S1684" s="1"/>
      <c r="T1684" s="8"/>
      <c r="U1684" s="1"/>
      <c r="V1684" s="1"/>
      <c r="W1684" s="1"/>
      <c r="X1684" s="1"/>
    </row>
    <row r="1685" spans="1:24">
      <c r="A1685" s="1"/>
      <c r="B1685" s="8"/>
      <c r="C1685" s="8"/>
      <c r="D1685" s="8"/>
      <c r="E1685" s="8"/>
      <c r="F1685" s="8"/>
      <c r="G1685" s="8"/>
      <c r="H1685" s="8"/>
      <c r="I1685" s="8"/>
      <c r="J1685" s="8"/>
      <c r="K1685" s="8"/>
      <c r="L1685" s="56"/>
      <c r="M1685" s="26"/>
      <c r="N1685" s="26"/>
      <c r="O1685" s="26"/>
      <c r="P1685" s="1"/>
      <c r="Q1685" s="1"/>
      <c r="R1685" s="8"/>
      <c r="S1685" s="1"/>
      <c r="T1685" s="8"/>
      <c r="U1685" s="1"/>
      <c r="V1685" s="1"/>
      <c r="W1685" s="1"/>
      <c r="X1685" s="1"/>
    </row>
    <row r="1686" spans="1:24">
      <c r="A1686" s="1"/>
      <c r="B1686" s="8"/>
      <c r="C1686" s="8"/>
      <c r="D1686" s="8"/>
      <c r="E1686" s="8"/>
      <c r="F1686" s="8"/>
      <c r="G1686" s="8"/>
      <c r="H1686" s="8"/>
      <c r="I1686" s="8"/>
      <c r="J1686" s="8"/>
      <c r="K1686" s="8"/>
      <c r="L1686" s="56"/>
      <c r="M1686" s="26"/>
      <c r="N1686" s="26"/>
      <c r="O1686" s="26"/>
      <c r="P1686" s="1"/>
      <c r="Q1686" s="1"/>
      <c r="R1686" s="8"/>
      <c r="S1686" s="1"/>
      <c r="T1686" s="8"/>
      <c r="U1686" s="1"/>
      <c r="V1686" s="1"/>
      <c r="W1686" s="1"/>
      <c r="X1686" s="1"/>
    </row>
    <row r="1687" spans="1:24">
      <c r="A1687" s="1"/>
      <c r="B1687" s="8"/>
      <c r="C1687" s="8"/>
      <c r="D1687" s="8"/>
      <c r="E1687" s="8"/>
      <c r="F1687" s="8"/>
      <c r="G1687" s="8"/>
      <c r="H1687" s="8"/>
      <c r="I1687" s="8"/>
      <c r="J1687" s="8"/>
      <c r="K1687" s="8"/>
      <c r="L1687" s="56"/>
      <c r="M1687" s="26"/>
      <c r="N1687" s="26"/>
      <c r="O1687" s="26"/>
      <c r="P1687" s="1"/>
      <c r="Q1687" s="1"/>
      <c r="R1687" s="8"/>
      <c r="S1687" s="1"/>
      <c r="T1687" s="8"/>
      <c r="U1687" s="1"/>
      <c r="V1687" s="1"/>
      <c r="W1687" s="1"/>
      <c r="X1687" s="1"/>
    </row>
    <row r="1688" spans="1:24">
      <c r="A1688" s="1"/>
      <c r="B1688" s="8"/>
      <c r="C1688" s="8"/>
      <c r="D1688" s="8"/>
      <c r="E1688" s="8"/>
      <c r="F1688" s="8"/>
      <c r="G1688" s="8"/>
      <c r="H1688" s="8"/>
      <c r="I1688" s="8"/>
      <c r="J1688" s="8"/>
      <c r="K1688" s="8"/>
      <c r="L1688" s="56"/>
      <c r="M1688" s="26"/>
      <c r="N1688" s="26"/>
      <c r="O1688" s="26"/>
      <c r="P1688" s="1"/>
      <c r="Q1688" s="1"/>
      <c r="R1688" s="8"/>
      <c r="S1688" s="1"/>
      <c r="T1688" s="8"/>
      <c r="U1688" s="1"/>
      <c r="V1688" s="1"/>
      <c r="W1688" s="1"/>
      <c r="X1688" s="1"/>
    </row>
    <row r="1689" spans="1:24">
      <c r="A1689" s="1"/>
      <c r="B1689" s="8"/>
      <c r="C1689" s="8"/>
      <c r="D1689" s="8"/>
      <c r="E1689" s="8"/>
      <c r="F1689" s="8"/>
      <c r="G1689" s="8"/>
      <c r="H1689" s="8"/>
      <c r="I1689" s="8"/>
      <c r="J1689" s="8"/>
      <c r="K1689" s="8"/>
      <c r="L1689" s="56"/>
      <c r="M1689" s="26"/>
      <c r="N1689" s="26"/>
      <c r="O1689" s="26"/>
      <c r="P1689" s="1"/>
      <c r="Q1689" s="1"/>
      <c r="R1689" s="8"/>
      <c r="S1689" s="1"/>
      <c r="T1689" s="8"/>
      <c r="U1689" s="1"/>
      <c r="V1689" s="1"/>
      <c r="W1689" s="1"/>
      <c r="X1689" s="1"/>
    </row>
    <row r="1690" spans="1:24">
      <c r="A1690" s="1"/>
      <c r="B1690" s="8"/>
      <c r="C1690" s="8"/>
      <c r="D1690" s="8"/>
      <c r="E1690" s="8"/>
      <c r="F1690" s="8"/>
      <c r="G1690" s="8"/>
      <c r="H1690" s="8"/>
      <c r="I1690" s="8"/>
      <c r="J1690" s="8"/>
      <c r="K1690" s="8"/>
      <c r="L1690" s="56"/>
      <c r="M1690" s="26"/>
      <c r="N1690" s="26"/>
      <c r="O1690" s="26"/>
      <c r="P1690" s="1"/>
      <c r="Q1690" s="1"/>
      <c r="R1690" s="8"/>
      <c r="S1690" s="1"/>
      <c r="T1690" s="8"/>
      <c r="U1690" s="1"/>
      <c r="V1690" s="1"/>
      <c r="W1690" s="1"/>
      <c r="X1690" s="1"/>
    </row>
    <row r="1691" spans="1:24">
      <c r="A1691" s="1"/>
      <c r="B1691" s="8"/>
      <c r="C1691" s="8"/>
      <c r="D1691" s="8"/>
      <c r="E1691" s="8"/>
      <c r="F1691" s="8"/>
      <c r="G1691" s="8"/>
      <c r="H1691" s="8"/>
      <c r="I1691" s="8"/>
      <c r="J1691" s="8"/>
      <c r="K1691" s="8"/>
      <c r="L1691" s="56"/>
      <c r="M1691" s="26"/>
      <c r="N1691" s="26"/>
      <c r="O1691" s="26"/>
      <c r="P1691" s="1"/>
      <c r="Q1691" s="1"/>
      <c r="R1691" s="8"/>
      <c r="S1691" s="1"/>
      <c r="T1691" s="8"/>
      <c r="U1691" s="1"/>
      <c r="V1691" s="1"/>
      <c r="W1691" s="1"/>
      <c r="X1691" s="1"/>
    </row>
    <row r="1692" spans="1:24">
      <c r="A1692" s="1"/>
      <c r="B1692" s="8"/>
      <c r="C1692" s="8"/>
      <c r="D1692" s="8"/>
      <c r="E1692" s="8"/>
      <c r="F1692" s="8"/>
      <c r="G1692" s="8"/>
      <c r="H1692" s="8"/>
      <c r="I1692" s="8"/>
      <c r="J1692" s="8"/>
      <c r="K1692" s="8"/>
      <c r="L1692" s="56"/>
      <c r="M1692" s="26"/>
      <c r="N1692" s="26"/>
      <c r="O1692" s="26"/>
      <c r="P1692" s="1"/>
      <c r="Q1692" s="1"/>
      <c r="R1692" s="8"/>
      <c r="S1692" s="1"/>
      <c r="T1692" s="8"/>
      <c r="U1692" s="1"/>
      <c r="V1692" s="1"/>
      <c r="W1692" s="1"/>
      <c r="X1692" s="1"/>
    </row>
    <row r="1693" spans="1:24">
      <c r="A1693" s="1"/>
      <c r="B1693" s="8"/>
      <c r="C1693" s="8"/>
      <c r="D1693" s="8"/>
      <c r="E1693" s="8"/>
      <c r="F1693" s="8"/>
      <c r="G1693" s="8"/>
      <c r="H1693" s="8"/>
      <c r="I1693" s="8"/>
      <c r="J1693" s="8"/>
      <c r="K1693" s="8"/>
      <c r="L1693" s="56"/>
      <c r="M1693" s="26"/>
      <c r="N1693" s="26"/>
      <c r="O1693" s="26"/>
      <c r="P1693" s="1"/>
      <c r="Q1693" s="1"/>
      <c r="R1693" s="8"/>
      <c r="S1693" s="1"/>
      <c r="T1693" s="8"/>
      <c r="U1693" s="1"/>
      <c r="V1693" s="1"/>
      <c r="W1693" s="1"/>
      <c r="X1693" s="1"/>
    </row>
    <row r="1694" spans="1:24">
      <c r="A1694" s="1"/>
      <c r="B1694" s="8"/>
      <c r="C1694" s="8"/>
      <c r="D1694" s="8"/>
      <c r="E1694" s="8"/>
      <c r="F1694" s="8"/>
      <c r="G1694" s="8"/>
      <c r="H1694" s="8"/>
      <c r="I1694" s="8"/>
      <c r="J1694" s="8"/>
      <c r="K1694" s="8"/>
      <c r="L1694" s="56"/>
      <c r="M1694" s="26"/>
      <c r="N1694" s="26"/>
      <c r="O1694" s="26"/>
      <c r="P1694" s="1"/>
      <c r="Q1694" s="1"/>
      <c r="R1694" s="8"/>
      <c r="S1694" s="1"/>
      <c r="T1694" s="8"/>
      <c r="U1694" s="1"/>
      <c r="V1694" s="1"/>
      <c r="W1694" s="1"/>
      <c r="X1694" s="1"/>
    </row>
    <row r="1695" spans="1:24">
      <c r="A1695" s="1"/>
      <c r="B1695" s="8"/>
      <c r="C1695" s="8"/>
      <c r="D1695" s="8"/>
      <c r="E1695" s="8"/>
      <c r="F1695" s="8"/>
      <c r="G1695" s="8"/>
      <c r="H1695" s="8"/>
      <c r="I1695" s="8"/>
      <c r="J1695" s="8"/>
      <c r="K1695" s="8"/>
      <c r="L1695" s="56"/>
      <c r="M1695" s="26"/>
      <c r="N1695" s="26"/>
      <c r="O1695" s="26"/>
      <c r="P1695" s="1"/>
      <c r="Q1695" s="1"/>
      <c r="R1695" s="8"/>
      <c r="S1695" s="1"/>
      <c r="T1695" s="8"/>
      <c r="U1695" s="1"/>
      <c r="V1695" s="1"/>
      <c r="W1695" s="1"/>
      <c r="X1695" s="1"/>
    </row>
    <row r="1696" spans="1:24">
      <c r="A1696" s="1"/>
      <c r="B1696" s="8"/>
      <c r="C1696" s="8"/>
      <c r="D1696" s="8"/>
      <c r="E1696" s="8"/>
      <c r="F1696" s="8"/>
      <c r="G1696" s="8"/>
      <c r="H1696" s="8"/>
      <c r="I1696" s="8"/>
      <c r="J1696" s="8"/>
      <c r="K1696" s="8"/>
      <c r="L1696" s="56"/>
      <c r="M1696" s="26"/>
      <c r="N1696" s="26"/>
      <c r="O1696" s="26"/>
      <c r="P1696" s="1"/>
      <c r="Q1696" s="1"/>
      <c r="R1696" s="8"/>
      <c r="S1696" s="1"/>
      <c r="T1696" s="8"/>
      <c r="U1696" s="1"/>
      <c r="V1696" s="1"/>
      <c r="W1696" s="1"/>
      <c r="X1696" s="1"/>
    </row>
    <row r="1697" spans="1:24">
      <c r="A1697" s="1"/>
      <c r="B1697" s="8"/>
      <c r="C1697" s="8"/>
      <c r="D1697" s="8"/>
      <c r="E1697" s="8"/>
      <c r="F1697" s="8"/>
      <c r="G1697" s="8"/>
      <c r="H1697" s="8"/>
      <c r="I1697" s="8"/>
      <c r="J1697" s="8"/>
      <c r="K1697" s="8"/>
      <c r="L1697" s="56"/>
      <c r="M1697" s="26"/>
      <c r="N1697" s="26"/>
      <c r="O1697" s="26"/>
      <c r="P1697" s="1"/>
      <c r="Q1697" s="1"/>
      <c r="R1697" s="8"/>
      <c r="S1697" s="1"/>
      <c r="T1697" s="8"/>
      <c r="U1697" s="1"/>
      <c r="V1697" s="1"/>
      <c r="W1697" s="1"/>
      <c r="X1697" s="1"/>
    </row>
    <row r="1698" spans="1:24">
      <c r="A1698" s="1"/>
      <c r="B1698" s="8"/>
      <c r="C1698" s="8"/>
      <c r="D1698" s="8"/>
      <c r="E1698" s="8"/>
      <c r="F1698" s="8"/>
      <c r="G1698" s="8"/>
      <c r="H1698" s="8"/>
      <c r="I1698" s="8"/>
      <c r="J1698" s="8"/>
      <c r="K1698" s="8"/>
      <c r="L1698" s="56"/>
      <c r="M1698" s="26"/>
      <c r="N1698" s="26"/>
      <c r="O1698" s="26"/>
      <c r="P1698" s="1"/>
      <c r="Q1698" s="1"/>
      <c r="R1698" s="8"/>
      <c r="S1698" s="1"/>
      <c r="T1698" s="8"/>
      <c r="U1698" s="1"/>
      <c r="V1698" s="1"/>
      <c r="W1698" s="1"/>
      <c r="X1698" s="1"/>
    </row>
    <row r="1699" spans="1:24">
      <c r="A1699" s="1"/>
      <c r="B1699" s="8"/>
      <c r="C1699" s="8"/>
      <c r="D1699" s="8"/>
      <c r="E1699" s="8"/>
      <c r="F1699" s="8"/>
      <c r="G1699" s="8"/>
      <c r="H1699" s="8"/>
      <c r="I1699" s="8"/>
      <c r="J1699" s="8"/>
      <c r="K1699" s="8"/>
      <c r="L1699" s="56"/>
      <c r="M1699" s="26"/>
      <c r="N1699" s="26"/>
      <c r="O1699" s="26"/>
      <c r="P1699" s="1"/>
      <c r="Q1699" s="1"/>
      <c r="R1699" s="8"/>
      <c r="S1699" s="1"/>
      <c r="T1699" s="8"/>
      <c r="U1699" s="1"/>
      <c r="V1699" s="1"/>
      <c r="W1699" s="1"/>
      <c r="X1699" s="1"/>
    </row>
    <row r="1700" spans="1:24">
      <c r="A1700" s="1"/>
      <c r="B1700" s="8"/>
      <c r="C1700" s="8"/>
      <c r="D1700" s="8"/>
      <c r="E1700" s="8"/>
      <c r="F1700" s="8"/>
      <c r="G1700" s="8"/>
      <c r="H1700" s="8"/>
      <c r="I1700" s="8"/>
      <c r="J1700" s="8"/>
      <c r="K1700" s="8"/>
      <c r="L1700" s="56"/>
      <c r="M1700" s="26"/>
      <c r="N1700" s="26"/>
      <c r="O1700" s="26"/>
      <c r="P1700" s="1"/>
      <c r="Q1700" s="1"/>
      <c r="R1700" s="8"/>
      <c r="S1700" s="1"/>
      <c r="T1700" s="8"/>
      <c r="U1700" s="1"/>
      <c r="V1700" s="1"/>
      <c r="W1700" s="1"/>
      <c r="X1700" s="1"/>
    </row>
    <row r="1701" spans="1:24">
      <c r="A1701" s="1"/>
      <c r="B1701" s="8"/>
      <c r="C1701" s="8"/>
      <c r="D1701" s="8"/>
      <c r="E1701" s="8"/>
      <c r="F1701" s="8"/>
      <c r="G1701" s="8"/>
      <c r="H1701" s="8"/>
      <c r="I1701" s="8"/>
      <c r="J1701" s="8"/>
      <c r="K1701" s="8"/>
      <c r="L1701" s="56"/>
      <c r="M1701" s="26"/>
      <c r="N1701" s="26"/>
      <c r="O1701" s="26"/>
      <c r="P1701" s="1"/>
      <c r="Q1701" s="1"/>
      <c r="R1701" s="8"/>
      <c r="S1701" s="1"/>
      <c r="T1701" s="8"/>
      <c r="U1701" s="1"/>
      <c r="V1701" s="1"/>
      <c r="W1701" s="1"/>
      <c r="X1701" s="1"/>
    </row>
    <row r="1702" spans="1:24">
      <c r="A1702" s="1"/>
      <c r="B1702" s="8"/>
      <c r="C1702" s="8"/>
      <c r="D1702" s="8"/>
      <c r="E1702" s="8"/>
      <c r="F1702" s="8"/>
      <c r="G1702" s="8"/>
      <c r="H1702" s="8"/>
      <c r="I1702" s="8"/>
      <c r="J1702" s="8"/>
      <c r="K1702" s="8"/>
      <c r="L1702" s="56"/>
      <c r="M1702" s="26"/>
      <c r="N1702" s="26"/>
      <c r="O1702" s="26"/>
      <c r="P1702" s="1"/>
      <c r="Q1702" s="1"/>
      <c r="R1702" s="8"/>
      <c r="S1702" s="1"/>
      <c r="T1702" s="8"/>
      <c r="U1702" s="1"/>
      <c r="V1702" s="1"/>
      <c r="W1702" s="1"/>
      <c r="X1702" s="1"/>
    </row>
    <row r="1703" spans="1:24">
      <c r="A1703" s="1"/>
      <c r="B1703" s="8"/>
      <c r="C1703" s="8"/>
      <c r="D1703" s="8"/>
      <c r="E1703" s="8"/>
      <c r="F1703" s="8"/>
      <c r="G1703" s="8"/>
      <c r="H1703" s="8"/>
      <c r="I1703" s="8"/>
      <c r="J1703" s="8"/>
      <c r="K1703" s="8"/>
      <c r="L1703" s="56"/>
      <c r="M1703" s="26"/>
      <c r="N1703" s="26"/>
      <c r="O1703" s="26"/>
      <c r="P1703" s="1"/>
      <c r="Q1703" s="1"/>
      <c r="R1703" s="8"/>
      <c r="S1703" s="1"/>
      <c r="T1703" s="8"/>
      <c r="U1703" s="1"/>
      <c r="V1703" s="1"/>
      <c r="W1703" s="1"/>
      <c r="X1703" s="1"/>
    </row>
    <row r="1704" spans="1:24">
      <c r="A1704" s="1"/>
      <c r="B1704" s="8"/>
      <c r="C1704" s="8"/>
      <c r="D1704" s="8"/>
      <c r="E1704" s="8"/>
      <c r="F1704" s="8"/>
      <c r="G1704" s="8"/>
      <c r="H1704" s="8"/>
      <c r="I1704" s="8"/>
      <c r="J1704" s="8"/>
      <c r="K1704" s="8"/>
      <c r="L1704" s="56"/>
      <c r="M1704" s="26"/>
      <c r="N1704" s="26"/>
      <c r="O1704" s="26"/>
      <c r="P1704" s="1"/>
      <c r="Q1704" s="1"/>
      <c r="R1704" s="8"/>
      <c r="S1704" s="1"/>
      <c r="T1704" s="8"/>
      <c r="U1704" s="1"/>
      <c r="V1704" s="1"/>
      <c r="W1704" s="1"/>
      <c r="X1704" s="1"/>
    </row>
    <row r="1705" spans="1:24">
      <c r="A1705" s="1"/>
      <c r="B1705" s="8"/>
      <c r="C1705" s="8"/>
      <c r="D1705" s="8"/>
      <c r="E1705" s="8"/>
      <c r="F1705" s="8"/>
      <c r="G1705" s="8"/>
      <c r="H1705" s="8"/>
      <c r="I1705" s="8"/>
      <c r="J1705" s="8"/>
      <c r="K1705" s="8"/>
      <c r="L1705" s="56"/>
      <c r="M1705" s="26"/>
      <c r="N1705" s="26"/>
      <c r="O1705" s="26"/>
      <c r="P1705" s="1"/>
      <c r="Q1705" s="1"/>
      <c r="R1705" s="8"/>
      <c r="S1705" s="1"/>
      <c r="T1705" s="8"/>
      <c r="U1705" s="1"/>
      <c r="V1705" s="1"/>
      <c r="W1705" s="1"/>
      <c r="X1705" s="1"/>
    </row>
    <row r="1706" spans="1:24">
      <c r="A1706" s="1"/>
      <c r="B1706" s="8"/>
      <c r="C1706" s="8"/>
      <c r="D1706" s="8"/>
      <c r="E1706" s="8"/>
      <c r="F1706" s="8"/>
      <c r="G1706" s="8"/>
      <c r="H1706" s="8"/>
      <c r="I1706" s="8"/>
      <c r="J1706" s="8"/>
      <c r="K1706" s="8"/>
      <c r="L1706" s="56"/>
      <c r="M1706" s="26"/>
      <c r="N1706" s="26"/>
      <c r="O1706" s="26"/>
      <c r="P1706" s="1"/>
      <c r="Q1706" s="1"/>
      <c r="R1706" s="8"/>
      <c r="S1706" s="1"/>
      <c r="T1706" s="8"/>
      <c r="U1706" s="1"/>
      <c r="V1706" s="1"/>
      <c r="W1706" s="1"/>
      <c r="X1706" s="1"/>
    </row>
    <row r="1707" spans="1:24">
      <c r="A1707" s="1"/>
      <c r="B1707" s="8"/>
      <c r="C1707" s="8"/>
      <c r="D1707" s="8"/>
      <c r="E1707" s="8"/>
      <c r="F1707" s="8"/>
      <c r="G1707" s="8"/>
      <c r="H1707" s="8"/>
      <c r="I1707" s="8"/>
      <c r="J1707" s="8"/>
      <c r="K1707" s="8"/>
      <c r="L1707" s="56"/>
      <c r="M1707" s="26"/>
      <c r="N1707" s="26"/>
      <c r="O1707" s="26"/>
      <c r="P1707" s="1"/>
      <c r="Q1707" s="1"/>
      <c r="R1707" s="8"/>
      <c r="S1707" s="1"/>
      <c r="T1707" s="8"/>
      <c r="U1707" s="1"/>
      <c r="V1707" s="1"/>
      <c r="W1707" s="1"/>
      <c r="X1707" s="1"/>
    </row>
    <row r="1708" spans="1:24">
      <c r="A1708" s="1"/>
      <c r="B1708" s="8"/>
      <c r="C1708" s="8"/>
      <c r="D1708" s="8"/>
      <c r="E1708" s="8"/>
      <c r="F1708" s="8"/>
      <c r="G1708" s="8"/>
      <c r="H1708" s="8"/>
      <c r="I1708" s="8"/>
      <c r="J1708" s="8"/>
      <c r="K1708" s="8"/>
      <c r="L1708" s="56"/>
      <c r="M1708" s="26"/>
      <c r="N1708" s="26"/>
      <c r="O1708" s="26"/>
      <c r="P1708" s="1"/>
      <c r="Q1708" s="1"/>
      <c r="R1708" s="8"/>
      <c r="S1708" s="1"/>
      <c r="T1708" s="8"/>
      <c r="U1708" s="1"/>
      <c r="V1708" s="1"/>
      <c r="W1708" s="1"/>
      <c r="X1708" s="1"/>
    </row>
    <row r="1709" spans="1:24">
      <c r="A1709" s="1"/>
      <c r="B1709" s="8"/>
      <c r="C1709" s="8"/>
      <c r="D1709" s="8"/>
      <c r="E1709" s="8"/>
      <c r="F1709" s="8"/>
      <c r="G1709" s="8"/>
      <c r="H1709" s="8"/>
      <c r="I1709" s="8"/>
      <c r="J1709" s="8"/>
      <c r="K1709" s="8"/>
      <c r="L1709" s="56"/>
      <c r="M1709" s="26"/>
      <c r="N1709" s="26"/>
      <c r="O1709" s="26"/>
      <c r="P1709" s="1"/>
      <c r="Q1709" s="1"/>
      <c r="R1709" s="8"/>
      <c r="S1709" s="1"/>
      <c r="T1709" s="8"/>
      <c r="U1709" s="1"/>
      <c r="V1709" s="1"/>
      <c r="W1709" s="1"/>
      <c r="X1709" s="1"/>
    </row>
    <row r="1710" spans="1:24">
      <c r="A1710" s="1"/>
      <c r="B1710" s="8"/>
      <c r="C1710" s="8"/>
      <c r="D1710" s="8"/>
      <c r="E1710" s="8"/>
      <c r="F1710" s="8"/>
      <c r="G1710" s="8"/>
      <c r="H1710" s="8"/>
      <c r="I1710" s="8"/>
      <c r="J1710" s="8"/>
      <c r="K1710" s="8"/>
      <c r="L1710" s="56"/>
      <c r="M1710" s="26"/>
      <c r="N1710" s="26"/>
      <c r="O1710" s="26"/>
      <c r="P1710" s="1"/>
      <c r="Q1710" s="1"/>
      <c r="R1710" s="8"/>
      <c r="S1710" s="1"/>
      <c r="T1710" s="8"/>
      <c r="U1710" s="1"/>
      <c r="V1710" s="1"/>
      <c r="W1710" s="1"/>
      <c r="X1710" s="1"/>
    </row>
    <row r="1711" spans="1:24">
      <c r="A1711" s="1"/>
      <c r="B1711" s="8"/>
      <c r="C1711" s="8"/>
      <c r="D1711" s="8"/>
      <c r="E1711" s="8"/>
      <c r="F1711" s="8"/>
      <c r="G1711" s="8"/>
      <c r="H1711" s="8"/>
      <c r="I1711" s="8"/>
      <c r="J1711" s="8"/>
      <c r="K1711" s="8"/>
      <c r="L1711" s="56"/>
      <c r="M1711" s="26"/>
      <c r="N1711" s="26"/>
      <c r="O1711" s="26"/>
      <c r="P1711" s="1"/>
      <c r="Q1711" s="1"/>
      <c r="R1711" s="8"/>
      <c r="S1711" s="1"/>
      <c r="T1711" s="8"/>
      <c r="U1711" s="1"/>
      <c r="V1711" s="1"/>
      <c r="W1711" s="1"/>
      <c r="X1711" s="1"/>
    </row>
    <row r="1712" spans="1:24">
      <c r="A1712" s="1"/>
      <c r="B1712" s="8"/>
      <c r="C1712" s="8"/>
      <c r="D1712" s="8"/>
      <c r="E1712" s="8"/>
      <c r="F1712" s="8"/>
      <c r="G1712" s="8"/>
      <c r="H1712" s="8"/>
      <c r="I1712" s="8"/>
      <c r="J1712" s="8"/>
      <c r="K1712" s="8"/>
      <c r="L1712" s="56"/>
      <c r="M1712" s="26"/>
      <c r="N1712" s="26"/>
      <c r="O1712" s="26"/>
      <c r="P1712" s="1"/>
      <c r="Q1712" s="1"/>
      <c r="R1712" s="8"/>
      <c r="S1712" s="1"/>
      <c r="T1712" s="8"/>
      <c r="U1712" s="1"/>
      <c r="V1712" s="1"/>
      <c r="W1712" s="1"/>
      <c r="X1712" s="1"/>
    </row>
    <row r="1713" spans="1:24">
      <c r="A1713" s="1"/>
      <c r="B1713" s="8"/>
      <c r="C1713" s="8"/>
      <c r="D1713" s="8"/>
      <c r="E1713" s="8"/>
      <c r="F1713" s="8"/>
      <c r="G1713" s="8"/>
      <c r="H1713" s="8"/>
      <c r="I1713" s="8"/>
      <c r="J1713" s="8"/>
      <c r="K1713" s="8"/>
      <c r="L1713" s="56"/>
      <c r="M1713" s="26"/>
      <c r="N1713" s="26"/>
      <c r="O1713" s="26"/>
      <c r="P1713" s="1"/>
      <c r="Q1713" s="1"/>
      <c r="R1713" s="8"/>
      <c r="S1713" s="1"/>
      <c r="T1713" s="8"/>
      <c r="U1713" s="1"/>
      <c r="V1713" s="1"/>
      <c r="W1713" s="1"/>
      <c r="X1713" s="1"/>
    </row>
    <row r="1714" spans="1:24">
      <c r="A1714" s="1"/>
      <c r="B1714" s="8"/>
      <c r="C1714" s="8"/>
      <c r="D1714" s="8"/>
      <c r="E1714" s="8"/>
      <c r="F1714" s="8"/>
      <c r="G1714" s="8"/>
      <c r="H1714" s="8"/>
      <c r="I1714" s="8"/>
      <c r="J1714" s="8"/>
      <c r="K1714" s="8"/>
      <c r="L1714" s="56"/>
      <c r="M1714" s="26"/>
      <c r="N1714" s="26"/>
      <c r="O1714" s="26"/>
      <c r="P1714" s="1"/>
      <c r="Q1714" s="1"/>
      <c r="R1714" s="8"/>
      <c r="S1714" s="1"/>
      <c r="T1714" s="8"/>
      <c r="U1714" s="1"/>
      <c r="V1714" s="1"/>
      <c r="W1714" s="1"/>
      <c r="X1714" s="1"/>
    </row>
    <row r="1715" spans="1:24">
      <c r="A1715" s="1"/>
      <c r="B1715" s="8"/>
      <c r="C1715" s="8"/>
      <c r="D1715" s="8"/>
      <c r="E1715" s="8"/>
      <c r="F1715" s="8"/>
      <c r="G1715" s="8"/>
      <c r="H1715" s="8"/>
      <c r="I1715" s="8"/>
      <c r="J1715" s="8"/>
      <c r="K1715" s="8"/>
      <c r="L1715" s="56"/>
      <c r="M1715" s="26"/>
      <c r="N1715" s="26"/>
      <c r="O1715" s="26"/>
      <c r="P1715" s="1"/>
      <c r="Q1715" s="1"/>
      <c r="R1715" s="8"/>
      <c r="S1715" s="1"/>
      <c r="T1715" s="8"/>
      <c r="U1715" s="1"/>
      <c r="V1715" s="1"/>
      <c r="W1715" s="1"/>
      <c r="X1715" s="1"/>
    </row>
    <row r="1716" spans="1:24">
      <c r="A1716" s="1"/>
      <c r="B1716" s="8"/>
      <c r="C1716" s="8"/>
      <c r="D1716" s="8"/>
      <c r="E1716" s="8"/>
      <c r="F1716" s="8"/>
      <c r="G1716" s="8"/>
      <c r="H1716" s="8"/>
      <c r="I1716" s="8"/>
      <c r="J1716" s="8"/>
      <c r="K1716" s="8"/>
      <c r="L1716" s="56"/>
      <c r="M1716" s="26"/>
      <c r="N1716" s="26"/>
      <c r="O1716" s="26"/>
      <c r="P1716" s="1"/>
      <c r="Q1716" s="1"/>
      <c r="R1716" s="8"/>
      <c r="S1716" s="1"/>
      <c r="T1716" s="8"/>
      <c r="U1716" s="1"/>
      <c r="V1716" s="1"/>
      <c r="W1716" s="1"/>
      <c r="X1716" s="1"/>
    </row>
    <row r="1717" spans="1:24">
      <c r="A1717" s="1"/>
      <c r="B1717" s="8"/>
      <c r="C1717" s="8"/>
      <c r="D1717" s="8"/>
      <c r="E1717" s="8"/>
      <c r="F1717" s="8"/>
      <c r="G1717" s="8"/>
      <c r="H1717" s="8"/>
      <c r="I1717" s="8"/>
      <c r="J1717" s="8"/>
      <c r="K1717" s="8"/>
      <c r="L1717" s="56"/>
      <c r="M1717" s="26"/>
      <c r="N1717" s="26"/>
      <c r="O1717" s="26"/>
      <c r="P1717" s="1"/>
      <c r="Q1717" s="1"/>
      <c r="R1717" s="8"/>
      <c r="S1717" s="1"/>
      <c r="T1717" s="8"/>
      <c r="U1717" s="1"/>
      <c r="V1717" s="1"/>
      <c r="W1717" s="1"/>
      <c r="X1717" s="1"/>
    </row>
    <row r="1718" spans="1:24">
      <c r="A1718" s="1"/>
      <c r="B1718" s="8"/>
      <c r="C1718" s="8"/>
      <c r="D1718" s="8"/>
      <c r="E1718" s="8"/>
      <c r="F1718" s="8"/>
      <c r="G1718" s="8"/>
      <c r="H1718" s="8"/>
      <c r="I1718" s="8"/>
      <c r="J1718" s="8"/>
      <c r="K1718" s="8"/>
      <c r="L1718" s="56"/>
      <c r="M1718" s="26"/>
      <c r="N1718" s="26"/>
      <c r="O1718" s="26"/>
      <c r="P1718" s="1"/>
      <c r="Q1718" s="1"/>
      <c r="R1718" s="8"/>
      <c r="S1718" s="1"/>
      <c r="T1718" s="8"/>
      <c r="U1718" s="1"/>
      <c r="V1718" s="1"/>
      <c r="W1718" s="1"/>
      <c r="X1718" s="1"/>
    </row>
    <row r="1719" spans="1:24">
      <c r="A1719" s="1"/>
      <c r="B1719" s="8"/>
      <c r="C1719" s="8"/>
      <c r="D1719" s="8"/>
      <c r="E1719" s="8"/>
      <c r="F1719" s="8"/>
      <c r="G1719" s="8"/>
      <c r="H1719" s="8"/>
      <c r="I1719" s="8"/>
      <c r="J1719" s="8"/>
      <c r="K1719" s="8"/>
      <c r="L1719" s="56"/>
      <c r="M1719" s="26"/>
      <c r="N1719" s="26"/>
      <c r="O1719" s="26"/>
      <c r="P1719" s="1"/>
      <c r="Q1719" s="1"/>
      <c r="R1719" s="8"/>
      <c r="S1719" s="1"/>
      <c r="T1719" s="8"/>
      <c r="U1719" s="1"/>
      <c r="V1719" s="1"/>
      <c r="W1719" s="1"/>
      <c r="X1719" s="1"/>
    </row>
    <row r="1720" spans="1:24">
      <c r="A1720" s="1"/>
      <c r="B1720" s="8"/>
      <c r="C1720" s="8"/>
      <c r="D1720" s="8"/>
      <c r="E1720" s="8"/>
      <c r="F1720" s="8"/>
      <c r="G1720" s="8"/>
      <c r="H1720" s="8"/>
      <c r="I1720" s="8"/>
      <c r="J1720" s="8"/>
      <c r="K1720" s="8"/>
      <c r="L1720" s="56"/>
      <c r="M1720" s="26"/>
      <c r="N1720" s="26"/>
      <c r="O1720" s="26"/>
      <c r="P1720" s="1"/>
      <c r="Q1720" s="1"/>
      <c r="R1720" s="8"/>
      <c r="S1720" s="1"/>
      <c r="T1720" s="8"/>
      <c r="U1720" s="1"/>
      <c r="V1720" s="1"/>
      <c r="W1720" s="1"/>
      <c r="X1720" s="1"/>
    </row>
    <row r="1721" spans="1:24">
      <c r="A1721" s="1"/>
      <c r="B1721" s="8"/>
      <c r="C1721" s="8"/>
      <c r="D1721" s="8"/>
      <c r="E1721" s="8"/>
      <c r="F1721" s="8"/>
      <c r="G1721" s="8"/>
      <c r="H1721" s="8"/>
      <c r="I1721" s="8"/>
      <c r="J1721" s="8"/>
      <c r="K1721" s="8"/>
      <c r="L1721" s="56"/>
      <c r="M1721" s="26"/>
      <c r="N1721" s="26"/>
      <c r="O1721" s="26"/>
      <c r="P1721" s="1"/>
      <c r="Q1721" s="1"/>
      <c r="R1721" s="8"/>
      <c r="S1721" s="1"/>
      <c r="T1721" s="8"/>
      <c r="U1721" s="1"/>
      <c r="V1721" s="1"/>
      <c r="W1721" s="1"/>
      <c r="X1721" s="1"/>
    </row>
    <row r="1722" spans="1:24">
      <c r="A1722" s="1"/>
      <c r="B1722" s="8"/>
      <c r="C1722" s="8"/>
      <c r="D1722" s="8"/>
      <c r="E1722" s="8"/>
      <c r="F1722" s="8"/>
      <c r="G1722" s="8"/>
      <c r="H1722" s="8"/>
      <c r="I1722" s="8"/>
      <c r="J1722" s="8"/>
      <c r="K1722" s="8"/>
      <c r="L1722" s="56"/>
      <c r="M1722" s="26"/>
      <c r="N1722" s="26"/>
      <c r="O1722" s="26"/>
      <c r="P1722" s="1"/>
      <c r="Q1722" s="1"/>
      <c r="R1722" s="8"/>
      <c r="S1722" s="1"/>
      <c r="T1722" s="8"/>
      <c r="U1722" s="1"/>
      <c r="V1722" s="1"/>
      <c r="W1722" s="1"/>
      <c r="X1722" s="1"/>
    </row>
    <row r="1723" spans="1:24">
      <c r="A1723" s="1"/>
      <c r="B1723" s="8"/>
      <c r="C1723" s="8"/>
      <c r="D1723" s="8"/>
      <c r="E1723" s="8"/>
      <c r="F1723" s="8"/>
      <c r="G1723" s="8"/>
      <c r="H1723" s="8"/>
      <c r="I1723" s="8"/>
      <c r="J1723" s="8"/>
      <c r="K1723" s="8"/>
      <c r="L1723" s="56"/>
      <c r="M1723" s="26"/>
      <c r="N1723" s="26"/>
      <c r="O1723" s="26"/>
      <c r="P1723" s="1"/>
      <c r="Q1723" s="1"/>
      <c r="R1723" s="8"/>
      <c r="S1723" s="1"/>
      <c r="T1723" s="8"/>
      <c r="U1723" s="1"/>
      <c r="V1723" s="1"/>
      <c r="W1723" s="1"/>
      <c r="X1723" s="1"/>
    </row>
    <row r="1724" spans="1:24">
      <c r="A1724" s="1"/>
      <c r="B1724" s="8"/>
      <c r="C1724" s="8"/>
      <c r="D1724" s="8"/>
      <c r="E1724" s="8"/>
      <c r="F1724" s="8"/>
      <c r="G1724" s="8"/>
      <c r="H1724" s="8"/>
      <c r="I1724" s="8"/>
      <c r="J1724" s="8"/>
      <c r="K1724" s="8"/>
      <c r="L1724" s="56"/>
      <c r="M1724" s="26"/>
      <c r="N1724" s="26"/>
      <c r="O1724" s="26"/>
      <c r="P1724" s="1"/>
      <c r="Q1724" s="1"/>
      <c r="R1724" s="8"/>
      <c r="S1724" s="1"/>
      <c r="T1724" s="8"/>
      <c r="U1724" s="1"/>
      <c r="V1724" s="1"/>
      <c r="W1724" s="1"/>
      <c r="X1724" s="1"/>
    </row>
    <row r="1725" spans="1:24">
      <c r="A1725" s="1"/>
      <c r="B1725" s="8"/>
      <c r="C1725" s="8"/>
      <c r="D1725" s="8"/>
      <c r="E1725" s="8"/>
      <c r="F1725" s="8"/>
      <c r="G1725" s="8"/>
      <c r="H1725" s="8"/>
      <c r="I1725" s="8"/>
      <c r="J1725" s="8"/>
      <c r="K1725" s="8"/>
      <c r="L1725" s="56"/>
      <c r="M1725" s="26"/>
      <c r="N1725" s="26"/>
      <c r="O1725" s="26"/>
      <c r="P1725" s="1"/>
      <c r="Q1725" s="1"/>
      <c r="R1725" s="8"/>
      <c r="S1725" s="1"/>
      <c r="T1725" s="8"/>
      <c r="U1725" s="1"/>
      <c r="V1725" s="1"/>
      <c r="W1725" s="1"/>
      <c r="X1725" s="1"/>
    </row>
    <row r="1726" spans="1:24">
      <c r="A1726" s="1"/>
      <c r="B1726" s="8"/>
      <c r="C1726" s="8"/>
      <c r="D1726" s="8"/>
      <c r="E1726" s="8"/>
      <c r="F1726" s="8"/>
      <c r="G1726" s="8"/>
      <c r="H1726" s="8"/>
      <c r="I1726" s="8"/>
      <c r="J1726" s="8"/>
      <c r="K1726" s="8"/>
      <c r="L1726" s="56"/>
      <c r="M1726" s="26"/>
      <c r="N1726" s="26"/>
      <c r="O1726" s="26"/>
      <c r="P1726" s="1"/>
      <c r="Q1726" s="1"/>
      <c r="R1726" s="8"/>
      <c r="S1726" s="1"/>
      <c r="T1726" s="8"/>
      <c r="U1726" s="1"/>
      <c r="V1726" s="1"/>
      <c r="W1726" s="1"/>
      <c r="X1726" s="1"/>
    </row>
    <row r="1727" spans="1:24">
      <c r="A1727" s="1"/>
      <c r="B1727" s="8"/>
      <c r="C1727" s="8"/>
      <c r="D1727" s="8"/>
      <c r="E1727" s="8"/>
      <c r="F1727" s="8"/>
      <c r="G1727" s="8"/>
      <c r="H1727" s="8"/>
      <c r="I1727" s="8"/>
      <c r="J1727" s="8"/>
      <c r="K1727" s="8"/>
      <c r="L1727" s="56"/>
      <c r="M1727" s="26"/>
      <c r="N1727" s="26"/>
      <c r="O1727" s="26"/>
      <c r="P1727" s="1"/>
      <c r="Q1727" s="1"/>
      <c r="R1727" s="8"/>
      <c r="S1727" s="1"/>
      <c r="T1727" s="8"/>
      <c r="U1727" s="1"/>
      <c r="V1727" s="1"/>
      <c r="W1727" s="1"/>
      <c r="X1727" s="1"/>
    </row>
    <row r="1728" spans="1:24">
      <c r="A1728" s="1"/>
      <c r="B1728" s="8"/>
      <c r="C1728" s="8"/>
      <c r="D1728" s="8"/>
      <c r="E1728" s="8"/>
      <c r="F1728" s="8"/>
      <c r="G1728" s="8"/>
      <c r="H1728" s="8"/>
      <c r="I1728" s="8"/>
      <c r="J1728" s="8"/>
      <c r="K1728" s="8"/>
      <c r="L1728" s="56"/>
      <c r="M1728" s="26"/>
      <c r="N1728" s="26"/>
      <c r="O1728" s="26"/>
      <c r="P1728" s="1"/>
      <c r="Q1728" s="1"/>
      <c r="R1728" s="8"/>
      <c r="S1728" s="1"/>
      <c r="T1728" s="8"/>
      <c r="U1728" s="1"/>
      <c r="V1728" s="1"/>
      <c r="W1728" s="1"/>
      <c r="X1728" s="1"/>
    </row>
    <row r="1729" spans="1:24">
      <c r="A1729" s="1"/>
      <c r="B1729" s="8"/>
      <c r="C1729" s="8"/>
      <c r="D1729" s="8"/>
      <c r="E1729" s="8"/>
      <c r="F1729" s="8"/>
      <c r="G1729" s="8"/>
      <c r="H1729" s="8"/>
      <c r="I1729" s="8"/>
      <c r="J1729" s="8"/>
      <c r="K1729" s="8"/>
      <c r="L1729" s="56"/>
      <c r="M1729" s="26"/>
      <c r="N1729" s="26"/>
      <c r="O1729" s="26"/>
      <c r="P1729" s="1"/>
      <c r="Q1729" s="1"/>
      <c r="R1729" s="8"/>
      <c r="S1729" s="1"/>
      <c r="T1729" s="8"/>
      <c r="U1729" s="1"/>
      <c r="V1729" s="1"/>
      <c r="W1729" s="1"/>
      <c r="X1729" s="1"/>
    </row>
    <row r="1730" spans="1:24">
      <c r="A1730" s="1"/>
      <c r="B1730" s="8"/>
      <c r="C1730" s="8"/>
      <c r="D1730" s="8"/>
      <c r="E1730" s="8"/>
      <c r="F1730" s="8"/>
      <c r="G1730" s="8"/>
      <c r="H1730" s="8"/>
      <c r="I1730" s="8"/>
      <c r="J1730" s="8"/>
      <c r="K1730" s="8"/>
      <c r="L1730" s="56"/>
      <c r="M1730" s="26"/>
      <c r="N1730" s="26"/>
      <c r="O1730" s="26"/>
      <c r="P1730" s="1"/>
      <c r="Q1730" s="1"/>
      <c r="R1730" s="8"/>
      <c r="S1730" s="1"/>
      <c r="T1730" s="8"/>
      <c r="U1730" s="1"/>
      <c r="V1730" s="1"/>
      <c r="W1730" s="1"/>
      <c r="X1730" s="1"/>
    </row>
    <row r="1731" spans="1:24">
      <c r="A1731" s="1"/>
      <c r="B1731" s="8"/>
      <c r="C1731" s="8"/>
      <c r="D1731" s="8"/>
      <c r="E1731" s="8"/>
      <c r="F1731" s="8"/>
      <c r="G1731" s="8"/>
      <c r="H1731" s="8"/>
      <c r="I1731" s="8"/>
      <c r="J1731" s="8"/>
      <c r="K1731" s="8"/>
      <c r="L1731" s="56"/>
      <c r="M1731" s="26"/>
      <c r="N1731" s="26"/>
      <c r="O1731" s="26"/>
      <c r="P1731" s="1"/>
      <c r="Q1731" s="1"/>
      <c r="R1731" s="8"/>
      <c r="S1731" s="1"/>
      <c r="T1731" s="8"/>
      <c r="U1731" s="1"/>
      <c r="V1731" s="1"/>
      <c r="W1731" s="1"/>
      <c r="X1731" s="1"/>
    </row>
    <row r="1732" spans="1:24">
      <c r="A1732" s="1"/>
      <c r="B1732" s="8"/>
      <c r="C1732" s="8"/>
      <c r="D1732" s="8"/>
      <c r="E1732" s="8"/>
      <c r="F1732" s="8"/>
      <c r="G1732" s="8"/>
      <c r="H1732" s="8"/>
      <c r="I1732" s="8"/>
      <c r="J1732" s="8"/>
      <c r="K1732" s="8"/>
      <c r="L1732" s="56"/>
      <c r="M1732" s="26"/>
      <c r="N1732" s="26"/>
      <c r="O1732" s="26"/>
      <c r="P1732" s="1"/>
      <c r="Q1732" s="1"/>
      <c r="R1732" s="8"/>
      <c r="S1732" s="1"/>
      <c r="T1732" s="8"/>
      <c r="U1732" s="1"/>
      <c r="V1732" s="1"/>
      <c r="W1732" s="1"/>
      <c r="X1732" s="1"/>
    </row>
    <row r="1733" spans="1:24">
      <c r="A1733" s="1"/>
      <c r="B1733" s="8"/>
      <c r="C1733" s="8"/>
      <c r="D1733" s="8"/>
      <c r="E1733" s="8"/>
      <c r="F1733" s="8"/>
      <c r="G1733" s="8"/>
      <c r="H1733" s="8"/>
      <c r="I1733" s="8"/>
      <c r="J1733" s="8"/>
      <c r="K1733" s="8"/>
      <c r="L1733" s="56"/>
      <c r="M1733" s="26"/>
      <c r="N1733" s="26"/>
      <c r="O1733" s="26"/>
      <c r="P1733" s="1"/>
      <c r="Q1733" s="1"/>
      <c r="R1733" s="8"/>
      <c r="S1733" s="1"/>
      <c r="T1733" s="8"/>
      <c r="U1733" s="1"/>
      <c r="V1733" s="1"/>
      <c r="W1733" s="1"/>
      <c r="X1733" s="1"/>
    </row>
    <row r="1734" spans="1:24">
      <c r="A1734" s="1"/>
      <c r="B1734" s="8"/>
      <c r="C1734" s="8"/>
      <c r="D1734" s="8"/>
      <c r="E1734" s="8"/>
      <c r="F1734" s="8"/>
      <c r="G1734" s="8"/>
      <c r="H1734" s="8"/>
      <c r="I1734" s="8"/>
      <c r="J1734" s="8"/>
      <c r="K1734" s="8"/>
      <c r="L1734" s="56"/>
      <c r="M1734" s="26"/>
      <c r="N1734" s="26"/>
      <c r="O1734" s="26"/>
      <c r="P1734" s="1"/>
      <c r="Q1734" s="1"/>
      <c r="R1734" s="8"/>
      <c r="S1734" s="1"/>
      <c r="T1734" s="8"/>
      <c r="U1734" s="1"/>
      <c r="V1734" s="1"/>
      <c r="W1734" s="1"/>
      <c r="X1734" s="1"/>
    </row>
    <row r="1735" spans="1:24">
      <c r="A1735" s="1"/>
      <c r="B1735" s="8"/>
      <c r="C1735" s="8"/>
      <c r="D1735" s="8"/>
      <c r="E1735" s="8"/>
      <c r="F1735" s="8"/>
      <c r="G1735" s="8"/>
      <c r="H1735" s="8"/>
      <c r="I1735" s="8"/>
      <c r="J1735" s="8"/>
      <c r="K1735" s="8"/>
      <c r="L1735" s="56"/>
      <c r="M1735" s="26"/>
      <c r="N1735" s="26"/>
      <c r="O1735" s="26"/>
      <c r="P1735" s="1"/>
      <c r="Q1735" s="1"/>
      <c r="R1735" s="8"/>
      <c r="S1735" s="1"/>
      <c r="T1735" s="8"/>
      <c r="U1735" s="1"/>
      <c r="V1735" s="1"/>
      <c r="W1735" s="1"/>
      <c r="X1735" s="1"/>
    </row>
    <row r="1736" spans="1:24">
      <c r="A1736" s="1"/>
      <c r="B1736" s="8"/>
      <c r="C1736" s="8"/>
      <c r="D1736" s="8"/>
      <c r="E1736" s="8"/>
      <c r="F1736" s="8"/>
      <c r="G1736" s="8"/>
      <c r="H1736" s="8"/>
      <c r="I1736" s="8"/>
      <c r="J1736" s="8"/>
      <c r="K1736" s="8"/>
      <c r="L1736" s="56"/>
      <c r="M1736" s="26"/>
      <c r="N1736" s="26"/>
      <c r="O1736" s="26"/>
      <c r="P1736" s="1"/>
      <c r="Q1736" s="1"/>
      <c r="R1736" s="8"/>
      <c r="S1736" s="1"/>
      <c r="T1736" s="8"/>
      <c r="U1736" s="1"/>
      <c r="V1736" s="1"/>
      <c r="W1736" s="1"/>
      <c r="X1736" s="1"/>
    </row>
    <row r="1737" spans="1:24">
      <c r="A1737" s="1"/>
      <c r="B1737" s="8"/>
      <c r="C1737" s="8"/>
      <c r="D1737" s="8"/>
      <c r="E1737" s="8"/>
      <c r="F1737" s="8"/>
      <c r="G1737" s="8"/>
      <c r="H1737" s="8"/>
      <c r="I1737" s="8"/>
      <c r="J1737" s="8"/>
      <c r="K1737" s="8"/>
      <c r="L1737" s="56"/>
      <c r="M1737" s="26"/>
      <c r="N1737" s="26"/>
      <c r="O1737" s="26"/>
      <c r="P1737" s="1"/>
      <c r="Q1737" s="1"/>
      <c r="R1737" s="8"/>
      <c r="S1737" s="1"/>
      <c r="T1737" s="8"/>
      <c r="U1737" s="1"/>
      <c r="V1737" s="1"/>
      <c r="W1737" s="1"/>
      <c r="X1737" s="1"/>
    </row>
    <row r="1738" spans="1:24">
      <c r="A1738" s="1"/>
      <c r="B1738" s="8"/>
      <c r="C1738" s="8"/>
      <c r="D1738" s="8"/>
      <c r="E1738" s="8"/>
      <c r="F1738" s="8"/>
      <c r="G1738" s="8"/>
      <c r="H1738" s="8"/>
      <c r="I1738" s="8"/>
      <c r="J1738" s="8"/>
      <c r="K1738" s="8"/>
      <c r="L1738" s="56"/>
      <c r="M1738" s="26"/>
      <c r="N1738" s="26"/>
      <c r="O1738" s="26"/>
      <c r="P1738" s="1"/>
      <c r="Q1738" s="1"/>
      <c r="R1738" s="8"/>
      <c r="S1738" s="1"/>
      <c r="T1738" s="8"/>
      <c r="U1738" s="1"/>
      <c r="V1738" s="1"/>
      <c r="W1738" s="1"/>
      <c r="X1738" s="1"/>
    </row>
    <row r="1739" spans="1:24">
      <c r="A1739" s="1"/>
      <c r="B1739" s="8"/>
      <c r="C1739" s="8"/>
      <c r="D1739" s="8"/>
      <c r="E1739" s="8"/>
      <c r="F1739" s="8"/>
      <c r="G1739" s="8"/>
      <c r="H1739" s="8"/>
      <c r="I1739" s="8"/>
      <c r="J1739" s="8"/>
      <c r="K1739" s="8"/>
      <c r="L1739" s="56"/>
      <c r="M1739" s="26"/>
      <c r="N1739" s="26"/>
      <c r="O1739" s="26"/>
      <c r="P1739" s="1"/>
      <c r="Q1739" s="1"/>
      <c r="R1739" s="8"/>
      <c r="S1739" s="1"/>
      <c r="T1739" s="8"/>
      <c r="U1739" s="1"/>
      <c r="V1739" s="1"/>
      <c r="W1739" s="1"/>
      <c r="X1739" s="1"/>
    </row>
    <row r="1740" spans="1:24">
      <c r="A1740" s="1"/>
      <c r="B1740" s="8"/>
      <c r="C1740" s="8"/>
      <c r="D1740" s="8"/>
      <c r="E1740" s="8"/>
      <c r="F1740" s="8"/>
      <c r="G1740" s="8"/>
      <c r="H1740" s="8"/>
      <c r="I1740" s="8"/>
      <c r="J1740" s="8"/>
      <c r="K1740" s="8"/>
      <c r="L1740" s="56"/>
      <c r="M1740" s="26"/>
      <c r="N1740" s="26"/>
      <c r="O1740" s="26"/>
      <c r="P1740" s="1"/>
      <c r="Q1740" s="1"/>
      <c r="R1740" s="8"/>
      <c r="S1740" s="1"/>
      <c r="T1740" s="8"/>
      <c r="U1740" s="1"/>
      <c r="V1740" s="1"/>
      <c r="W1740" s="1"/>
      <c r="X1740" s="1"/>
    </row>
    <row r="1741" spans="1:24">
      <c r="A1741" s="1"/>
      <c r="B1741" s="8"/>
      <c r="C1741" s="8"/>
      <c r="D1741" s="8"/>
      <c r="E1741" s="8"/>
      <c r="F1741" s="8"/>
      <c r="G1741" s="8"/>
      <c r="H1741" s="8"/>
      <c r="I1741" s="8"/>
      <c r="J1741" s="8"/>
      <c r="K1741" s="8"/>
      <c r="L1741" s="56"/>
      <c r="M1741" s="26"/>
      <c r="N1741" s="26"/>
      <c r="O1741" s="26"/>
      <c r="P1741" s="1"/>
      <c r="Q1741" s="1"/>
      <c r="R1741" s="8"/>
      <c r="S1741" s="1"/>
      <c r="T1741" s="8"/>
      <c r="U1741" s="1"/>
      <c r="V1741" s="1"/>
      <c r="W1741" s="1"/>
      <c r="X1741" s="1"/>
    </row>
    <row r="1742" spans="1:24">
      <c r="A1742" s="1"/>
      <c r="B1742" s="8"/>
      <c r="C1742" s="8"/>
      <c r="D1742" s="8"/>
      <c r="E1742" s="8"/>
      <c r="F1742" s="8"/>
      <c r="G1742" s="8"/>
      <c r="H1742" s="8"/>
      <c r="I1742" s="8"/>
      <c r="J1742" s="8"/>
      <c r="K1742" s="8"/>
      <c r="L1742" s="56"/>
      <c r="M1742" s="26"/>
      <c r="N1742" s="26"/>
      <c r="O1742" s="26"/>
      <c r="P1742" s="1"/>
      <c r="Q1742" s="1"/>
      <c r="R1742" s="8"/>
      <c r="S1742" s="1"/>
      <c r="T1742" s="8"/>
      <c r="U1742" s="1"/>
      <c r="V1742" s="1"/>
      <c r="W1742" s="1"/>
      <c r="X1742" s="1"/>
    </row>
    <row r="1743" spans="1:24">
      <c r="A1743" s="1"/>
      <c r="B1743" s="8"/>
      <c r="C1743" s="8"/>
      <c r="D1743" s="8"/>
      <c r="E1743" s="8"/>
      <c r="F1743" s="8"/>
      <c r="G1743" s="8"/>
      <c r="H1743" s="8"/>
      <c r="I1743" s="8"/>
      <c r="J1743" s="8"/>
      <c r="K1743" s="8"/>
      <c r="L1743" s="56"/>
      <c r="M1743" s="26"/>
      <c r="N1743" s="26"/>
      <c r="O1743" s="26"/>
      <c r="P1743" s="1"/>
      <c r="Q1743" s="1"/>
      <c r="R1743" s="8"/>
      <c r="S1743" s="1"/>
      <c r="T1743" s="8"/>
      <c r="U1743" s="1"/>
      <c r="V1743" s="1"/>
      <c r="W1743" s="1"/>
      <c r="X1743" s="1"/>
    </row>
    <row r="1744" spans="1:24">
      <c r="A1744" s="1"/>
      <c r="B1744" s="8"/>
      <c r="C1744" s="8"/>
      <c r="D1744" s="8"/>
      <c r="E1744" s="8"/>
      <c r="F1744" s="8"/>
      <c r="G1744" s="8"/>
      <c r="H1744" s="8"/>
      <c r="I1744" s="8"/>
      <c r="J1744" s="8"/>
      <c r="K1744" s="8"/>
      <c r="L1744" s="56"/>
      <c r="M1744" s="26"/>
      <c r="N1744" s="26"/>
      <c r="O1744" s="26"/>
      <c r="P1744" s="1"/>
      <c r="Q1744" s="1"/>
      <c r="R1744" s="8"/>
      <c r="S1744" s="1"/>
      <c r="T1744" s="8"/>
      <c r="U1744" s="1"/>
      <c r="V1744" s="1"/>
      <c r="W1744" s="1"/>
      <c r="X1744" s="1"/>
    </row>
    <row r="1745" spans="1:24">
      <c r="A1745" s="1"/>
      <c r="B1745" s="8"/>
      <c r="C1745" s="8"/>
      <c r="D1745" s="8"/>
      <c r="E1745" s="8"/>
      <c r="F1745" s="8"/>
      <c r="G1745" s="8"/>
      <c r="H1745" s="8"/>
      <c r="I1745" s="8"/>
      <c r="J1745" s="8"/>
      <c r="K1745" s="8"/>
      <c r="L1745" s="56"/>
      <c r="M1745" s="26"/>
      <c r="N1745" s="26"/>
      <c r="O1745" s="26"/>
      <c r="P1745" s="1"/>
      <c r="Q1745" s="1"/>
      <c r="R1745" s="8"/>
      <c r="S1745" s="1"/>
      <c r="T1745" s="8"/>
      <c r="U1745" s="1"/>
      <c r="V1745" s="1"/>
      <c r="W1745" s="1"/>
      <c r="X1745" s="1"/>
    </row>
    <row r="1746" spans="1:24">
      <c r="A1746" s="1"/>
      <c r="B1746" s="8"/>
      <c r="C1746" s="8"/>
      <c r="D1746" s="8"/>
      <c r="E1746" s="8"/>
      <c r="F1746" s="8"/>
      <c r="G1746" s="8"/>
      <c r="H1746" s="8"/>
      <c r="I1746" s="8"/>
      <c r="J1746" s="8"/>
      <c r="K1746" s="8"/>
      <c r="L1746" s="56"/>
      <c r="M1746" s="26"/>
      <c r="N1746" s="26"/>
      <c r="O1746" s="26"/>
      <c r="P1746" s="1"/>
      <c r="Q1746" s="1"/>
      <c r="R1746" s="8"/>
      <c r="S1746" s="1"/>
      <c r="T1746" s="8"/>
      <c r="U1746" s="1"/>
      <c r="V1746" s="1"/>
      <c r="W1746" s="1"/>
      <c r="X1746" s="1"/>
    </row>
    <row r="1747" spans="1:24">
      <c r="A1747" s="1"/>
      <c r="B1747" s="8"/>
      <c r="C1747" s="8"/>
      <c r="D1747" s="8"/>
      <c r="E1747" s="8"/>
      <c r="F1747" s="8"/>
      <c r="G1747" s="8"/>
      <c r="H1747" s="8"/>
      <c r="I1747" s="8"/>
      <c r="J1747" s="8"/>
      <c r="K1747" s="8"/>
      <c r="L1747" s="56"/>
      <c r="M1747" s="26"/>
      <c r="N1747" s="26"/>
      <c r="O1747" s="26"/>
      <c r="P1747" s="1"/>
      <c r="Q1747" s="1"/>
      <c r="R1747" s="8"/>
      <c r="S1747" s="1"/>
      <c r="T1747" s="8"/>
      <c r="U1747" s="1"/>
      <c r="V1747" s="1"/>
      <c r="W1747" s="1"/>
      <c r="X1747" s="1"/>
    </row>
    <row r="1748" spans="1:24">
      <c r="A1748" s="1"/>
      <c r="B1748" s="8"/>
      <c r="C1748" s="8"/>
      <c r="D1748" s="8"/>
      <c r="E1748" s="8"/>
      <c r="F1748" s="8"/>
      <c r="G1748" s="8"/>
      <c r="H1748" s="8"/>
      <c r="I1748" s="8"/>
      <c r="J1748" s="8"/>
      <c r="K1748" s="8"/>
      <c r="L1748" s="56"/>
      <c r="M1748" s="26"/>
      <c r="N1748" s="26"/>
      <c r="O1748" s="26"/>
      <c r="P1748" s="1"/>
      <c r="Q1748" s="1"/>
      <c r="R1748" s="8"/>
      <c r="S1748" s="1"/>
      <c r="T1748" s="8"/>
      <c r="U1748" s="1"/>
      <c r="V1748" s="1"/>
      <c r="W1748" s="1"/>
      <c r="X1748" s="1"/>
    </row>
    <row r="1749" spans="1:24">
      <c r="A1749" s="1"/>
      <c r="B1749" s="8"/>
      <c r="C1749" s="8"/>
      <c r="D1749" s="8"/>
      <c r="E1749" s="8"/>
      <c r="F1749" s="8"/>
      <c r="G1749" s="8"/>
      <c r="H1749" s="8"/>
      <c r="I1749" s="8"/>
      <c r="J1749" s="8"/>
      <c r="K1749" s="8"/>
      <c r="L1749" s="56"/>
      <c r="M1749" s="26"/>
      <c r="N1749" s="26"/>
      <c r="O1749" s="26"/>
      <c r="P1749" s="1"/>
      <c r="Q1749" s="1"/>
      <c r="R1749" s="8"/>
      <c r="S1749" s="1"/>
      <c r="T1749" s="8"/>
      <c r="U1749" s="1"/>
      <c r="V1749" s="1"/>
      <c r="W1749" s="1"/>
      <c r="X1749" s="1"/>
    </row>
    <row r="1750" spans="1:24">
      <c r="A1750" s="1"/>
      <c r="B1750" s="8"/>
      <c r="C1750" s="8"/>
      <c r="D1750" s="8"/>
      <c r="E1750" s="8"/>
      <c r="F1750" s="8"/>
      <c r="G1750" s="8"/>
      <c r="H1750" s="8"/>
      <c r="I1750" s="8"/>
      <c r="J1750" s="8"/>
      <c r="K1750" s="8"/>
      <c r="L1750" s="56"/>
      <c r="M1750" s="26"/>
      <c r="N1750" s="26"/>
      <c r="O1750" s="26"/>
      <c r="P1750" s="1"/>
      <c r="Q1750" s="1"/>
      <c r="R1750" s="8"/>
      <c r="S1750" s="1"/>
      <c r="T1750" s="8"/>
      <c r="U1750" s="1"/>
      <c r="V1750" s="1"/>
      <c r="W1750" s="1"/>
      <c r="X1750" s="1"/>
    </row>
    <row r="1751" spans="1:24">
      <c r="A1751" s="1"/>
      <c r="B1751" s="8"/>
      <c r="C1751" s="8"/>
      <c r="D1751" s="8"/>
      <c r="E1751" s="8"/>
      <c r="F1751" s="8"/>
      <c r="G1751" s="8"/>
      <c r="H1751" s="8"/>
      <c r="I1751" s="8"/>
      <c r="J1751" s="8"/>
      <c r="K1751" s="8"/>
      <c r="L1751" s="56"/>
      <c r="M1751" s="26"/>
      <c r="N1751" s="26"/>
      <c r="O1751" s="26"/>
      <c r="P1751" s="1"/>
      <c r="Q1751" s="1"/>
      <c r="R1751" s="8"/>
      <c r="S1751" s="1"/>
      <c r="T1751" s="8"/>
      <c r="U1751" s="1"/>
      <c r="V1751" s="1"/>
      <c r="W1751" s="1"/>
      <c r="X1751" s="1"/>
    </row>
    <row r="1752" spans="1:24">
      <c r="A1752" s="1"/>
      <c r="B1752" s="8"/>
      <c r="C1752" s="8"/>
      <c r="D1752" s="8"/>
      <c r="E1752" s="8"/>
      <c r="F1752" s="8"/>
      <c r="G1752" s="8"/>
      <c r="H1752" s="8"/>
      <c r="I1752" s="8"/>
      <c r="J1752" s="8"/>
      <c r="K1752" s="8"/>
      <c r="L1752" s="56"/>
      <c r="M1752" s="26"/>
      <c r="N1752" s="26"/>
      <c r="O1752" s="26"/>
      <c r="P1752" s="1"/>
      <c r="Q1752" s="1"/>
      <c r="R1752" s="8"/>
      <c r="S1752" s="1"/>
      <c r="T1752" s="8"/>
      <c r="U1752" s="1"/>
      <c r="V1752" s="1"/>
      <c r="W1752" s="1"/>
      <c r="X1752" s="1"/>
    </row>
    <row r="1753" spans="1:24">
      <c r="A1753" s="1"/>
      <c r="B1753" s="8"/>
      <c r="C1753" s="8"/>
      <c r="D1753" s="8"/>
      <c r="E1753" s="8"/>
      <c r="F1753" s="8"/>
      <c r="G1753" s="8"/>
      <c r="H1753" s="8"/>
      <c r="I1753" s="8"/>
      <c r="J1753" s="8"/>
      <c r="K1753" s="8"/>
      <c r="L1753" s="56"/>
      <c r="M1753" s="26"/>
      <c r="N1753" s="26"/>
      <c r="O1753" s="26"/>
      <c r="P1753" s="1"/>
      <c r="Q1753" s="1"/>
      <c r="R1753" s="8"/>
      <c r="S1753" s="1"/>
      <c r="T1753" s="8"/>
      <c r="U1753" s="1"/>
      <c r="V1753" s="1"/>
      <c r="W1753" s="1"/>
      <c r="X1753" s="1"/>
    </row>
    <row r="1754" spans="1:24">
      <c r="A1754" s="1"/>
      <c r="B1754" s="8"/>
      <c r="C1754" s="8"/>
      <c r="D1754" s="8"/>
      <c r="E1754" s="8"/>
      <c r="F1754" s="8"/>
      <c r="G1754" s="8"/>
      <c r="H1754" s="8"/>
      <c r="I1754" s="8"/>
      <c r="J1754" s="8"/>
      <c r="K1754" s="8"/>
      <c r="L1754" s="56"/>
      <c r="M1754" s="26"/>
      <c r="N1754" s="26"/>
      <c r="O1754" s="26"/>
      <c r="P1754" s="1"/>
      <c r="Q1754" s="1"/>
      <c r="R1754" s="8"/>
      <c r="S1754" s="1"/>
      <c r="T1754" s="8"/>
      <c r="U1754" s="1"/>
      <c r="V1754" s="1"/>
      <c r="W1754" s="1"/>
      <c r="X1754" s="1"/>
    </row>
    <row r="1755" spans="1:24">
      <c r="A1755" s="1"/>
      <c r="B1755" s="8"/>
      <c r="C1755" s="8"/>
      <c r="D1755" s="8"/>
      <c r="E1755" s="8"/>
      <c r="F1755" s="8"/>
      <c r="G1755" s="8"/>
      <c r="H1755" s="8"/>
      <c r="I1755" s="8"/>
      <c r="J1755" s="8"/>
      <c r="K1755" s="8"/>
      <c r="L1755" s="56"/>
      <c r="M1755" s="26"/>
      <c r="N1755" s="26"/>
      <c r="O1755" s="26"/>
      <c r="P1755" s="1"/>
      <c r="Q1755" s="1"/>
      <c r="R1755" s="8"/>
      <c r="S1755" s="1"/>
      <c r="T1755" s="8"/>
      <c r="U1755" s="1"/>
      <c r="V1755" s="1"/>
      <c r="W1755" s="1"/>
      <c r="X1755" s="1"/>
    </row>
    <row r="1756" spans="1:24">
      <c r="A1756" s="1"/>
      <c r="B1756" s="8"/>
      <c r="C1756" s="8"/>
      <c r="D1756" s="8"/>
      <c r="E1756" s="8"/>
      <c r="F1756" s="8"/>
      <c r="G1756" s="8"/>
      <c r="H1756" s="8"/>
      <c r="I1756" s="8"/>
      <c r="J1756" s="8"/>
      <c r="K1756" s="8"/>
      <c r="L1756" s="56"/>
      <c r="M1756" s="26"/>
      <c r="N1756" s="26"/>
      <c r="O1756" s="26"/>
      <c r="P1756" s="1"/>
      <c r="Q1756" s="1"/>
      <c r="R1756" s="8"/>
      <c r="S1756" s="1"/>
      <c r="T1756" s="8"/>
      <c r="U1756" s="1"/>
      <c r="V1756" s="1"/>
      <c r="W1756" s="1"/>
      <c r="X1756" s="1"/>
    </row>
    <row r="1757" spans="1:24">
      <c r="A1757" s="1"/>
      <c r="B1757" s="8"/>
      <c r="C1757" s="8"/>
      <c r="D1757" s="8"/>
      <c r="E1757" s="8"/>
      <c r="F1757" s="8"/>
      <c r="G1757" s="8"/>
      <c r="H1757" s="8"/>
      <c r="I1757" s="8"/>
      <c r="J1757" s="8"/>
      <c r="K1757" s="8"/>
      <c r="L1757" s="56"/>
      <c r="M1757" s="26"/>
      <c r="N1757" s="26"/>
      <c r="O1757" s="26"/>
      <c r="P1757" s="1"/>
      <c r="Q1757" s="1"/>
      <c r="R1757" s="8"/>
      <c r="S1757" s="1"/>
      <c r="T1757" s="8"/>
      <c r="U1757" s="1"/>
      <c r="V1757" s="1"/>
      <c r="W1757" s="1"/>
      <c r="X1757" s="1"/>
    </row>
    <row r="1758" spans="1:24">
      <c r="A1758" s="1"/>
      <c r="B1758" s="8"/>
      <c r="C1758" s="8"/>
      <c r="D1758" s="8"/>
      <c r="E1758" s="8"/>
      <c r="F1758" s="8"/>
      <c r="G1758" s="8"/>
      <c r="H1758" s="8"/>
      <c r="I1758" s="8"/>
      <c r="J1758" s="8"/>
      <c r="K1758" s="8"/>
      <c r="L1758" s="56"/>
      <c r="M1758" s="26"/>
      <c r="N1758" s="26"/>
      <c r="O1758" s="26"/>
      <c r="P1758" s="1"/>
      <c r="Q1758" s="1"/>
      <c r="R1758" s="8"/>
      <c r="S1758" s="1"/>
      <c r="T1758" s="8"/>
      <c r="U1758" s="1"/>
      <c r="V1758" s="1"/>
      <c r="W1758" s="1"/>
      <c r="X1758" s="1"/>
    </row>
    <row r="1759" spans="1:24">
      <c r="A1759" s="1"/>
      <c r="B1759" s="8"/>
      <c r="C1759" s="8"/>
      <c r="D1759" s="8"/>
      <c r="E1759" s="8"/>
      <c r="F1759" s="8"/>
      <c r="G1759" s="8"/>
      <c r="H1759" s="8"/>
      <c r="I1759" s="8"/>
      <c r="J1759" s="8"/>
      <c r="K1759" s="8"/>
      <c r="L1759" s="56"/>
      <c r="M1759" s="26"/>
      <c r="N1759" s="26"/>
      <c r="O1759" s="26"/>
      <c r="P1759" s="1"/>
      <c r="Q1759" s="1"/>
      <c r="R1759" s="8"/>
      <c r="S1759" s="1"/>
      <c r="T1759" s="8"/>
      <c r="U1759" s="1"/>
      <c r="V1759" s="1"/>
      <c r="W1759" s="1"/>
      <c r="X1759" s="1"/>
    </row>
    <row r="1760" spans="1:24">
      <c r="A1760" s="1"/>
      <c r="B1760" s="8"/>
      <c r="C1760" s="8"/>
      <c r="D1760" s="8"/>
      <c r="E1760" s="8"/>
      <c r="F1760" s="8"/>
      <c r="G1760" s="8"/>
      <c r="H1760" s="8"/>
      <c r="I1760" s="8"/>
      <c r="J1760" s="8"/>
      <c r="K1760" s="8"/>
      <c r="L1760" s="56"/>
      <c r="M1760" s="26"/>
      <c r="N1760" s="26"/>
      <c r="O1760" s="26"/>
      <c r="P1760" s="1"/>
      <c r="Q1760" s="1"/>
      <c r="R1760" s="8"/>
      <c r="S1760" s="1"/>
      <c r="T1760" s="8"/>
      <c r="U1760" s="1"/>
      <c r="V1760" s="1"/>
      <c r="W1760" s="1"/>
      <c r="X1760" s="1"/>
    </row>
    <row r="1761" spans="1:24">
      <c r="A1761" s="1"/>
      <c r="B1761" s="8"/>
      <c r="C1761" s="8"/>
      <c r="D1761" s="8"/>
      <c r="E1761" s="8"/>
      <c r="F1761" s="8"/>
      <c r="G1761" s="8"/>
      <c r="H1761" s="8"/>
      <c r="I1761" s="8"/>
      <c r="J1761" s="8"/>
      <c r="K1761" s="8"/>
      <c r="L1761" s="56"/>
      <c r="M1761" s="26"/>
      <c r="N1761" s="26"/>
      <c r="O1761" s="26"/>
      <c r="P1761" s="1"/>
      <c r="Q1761" s="1"/>
      <c r="R1761" s="8"/>
      <c r="S1761" s="1"/>
      <c r="T1761" s="8"/>
      <c r="U1761" s="1"/>
      <c r="V1761" s="1"/>
      <c r="W1761" s="1"/>
      <c r="X1761" s="1"/>
    </row>
    <row r="1762" spans="1:24">
      <c r="A1762" s="1"/>
      <c r="B1762" s="8"/>
      <c r="C1762" s="8"/>
      <c r="D1762" s="8"/>
      <c r="E1762" s="8"/>
      <c r="F1762" s="8"/>
      <c r="G1762" s="8"/>
      <c r="H1762" s="8"/>
      <c r="I1762" s="8"/>
      <c r="J1762" s="8"/>
      <c r="K1762" s="8"/>
      <c r="L1762" s="56"/>
      <c r="M1762" s="26"/>
      <c r="N1762" s="26"/>
      <c r="O1762" s="26"/>
      <c r="P1762" s="1"/>
      <c r="Q1762" s="1"/>
      <c r="R1762" s="8"/>
      <c r="S1762" s="1"/>
      <c r="T1762" s="8"/>
      <c r="U1762" s="1"/>
      <c r="V1762" s="1"/>
      <c r="W1762" s="1"/>
      <c r="X1762" s="1"/>
    </row>
    <row r="1763" spans="1:24">
      <c r="A1763" s="1"/>
      <c r="B1763" s="8"/>
      <c r="C1763" s="8"/>
      <c r="D1763" s="8"/>
      <c r="E1763" s="8"/>
      <c r="F1763" s="8"/>
      <c r="G1763" s="8"/>
      <c r="H1763" s="8"/>
      <c r="I1763" s="8"/>
      <c r="J1763" s="8"/>
      <c r="K1763" s="8"/>
      <c r="L1763" s="56"/>
      <c r="M1763" s="26"/>
      <c r="N1763" s="26"/>
      <c r="O1763" s="26"/>
      <c r="P1763" s="1"/>
      <c r="Q1763" s="1"/>
      <c r="R1763" s="8"/>
      <c r="S1763" s="1"/>
      <c r="T1763" s="8"/>
      <c r="U1763" s="1"/>
      <c r="V1763" s="1"/>
      <c r="W1763" s="1"/>
      <c r="X1763" s="1"/>
    </row>
    <row r="1764" spans="1:24">
      <c r="A1764" s="1"/>
      <c r="B1764" s="8"/>
      <c r="C1764" s="8"/>
      <c r="D1764" s="8"/>
      <c r="E1764" s="8"/>
      <c r="F1764" s="8"/>
      <c r="G1764" s="8"/>
      <c r="H1764" s="8"/>
      <c r="I1764" s="8"/>
      <c r="J1764" s="8"/>
      <c r="K1764" s="8"/>
      <c r="L1764" s="56"/>
      <c r="M1764" s="26"/>
      <c r="N1764" s="26"/>
      <c r="O1764" s="26"/>
      <c r="P1764" s="1"/>
      <c r="Q1764" s="1"/>
      <c r="R1764" s="8"/>
      <c r="S1764" s="1"/>
      <c r="T1764" s="8"/>
      <c r="U1764" s="1"/>
      <c r="V1764" s="1"/>
      <c r="W1764" s="1"/>
      <c r="X1764" s="1"/>
    </row>
    <row r="1765" spans="1:24">
      <c r="A1765" s="1"/>
      <c r="B1765" s="8"/>
      <c r="C1765" s="8"/>
      <c r="D1765" s="8"/>
      <c r="E1765" s="8"/>
      <c r="F1765" s="8"/>
      <c r="G1765" s="8"/>
      <c r="H1765" s="8"/>
      <c r="I1765" s="8"/>
      <c r="J1765" s="8"/>
      <c r="K1765" s="8"/>
      <c r="L1765" s="56"/>
      <c r="M1765" s="26"/>
      <c r="N1765" s="26"/>
      <c r="O1765" s="26"/>
      <c r="P1765" s="1"/>
      <c r="Q1765" s="1"/>
      <c r="R1765" s="8"/>
      <c r="S1765" s="1"/>
      <c r="T1765" s="8"/>
      <c r="U1765" s="1"/>
      <c r="V1765" s="1"/>
      <c r="W1765" s="1"/>
      <c r="X1765" s="1"/>
    </row>
    <row r="1766" spans="1:24">
      <c r="A1766" s="1"/>
      <c r="B1766" s="8"/>
      <c r="C1766" s="8"/>
      <c r="D1766" s="8"/>
      <c r="E1766" s="8"/>
      <c r="F1766" s="8"/>
      <c r="G1766" s="8"/>
      <c r="H1766" s="8"/>
      <c r="I1766" s="8"/>
      <c r="J1766" s="8"/>
      <c r="K1766" s="8"/>
      <c r="L1766" s="56"/>
      <c r="M1766" s="26"/>
      <c r="N1766" s="26"/>
      <c r="O1766" s="26"/>
      <c r="P1766" s="1"/>
      <c r="Q1766" s="1"/>
      <c r="R1766" s="8"/>
      <c r="S1766" s="1"/>
      <c r="T1766" s="8"/>
      <c r="U1766" s="1"/>
      <c r="V1766" s="1"/>
      <c r="W1766" s="1"/>
      <c r="X1766" s="1"/>
    </row>
    <row r="1767" spans="1:24">
      <c r="A1767" s="1"/>
      <c r="B1767" s="8"/>
      <c r="C1767" s="8"/>
      <c r="D1767" s="8"/>
      <c r="E1767" s="8"/>
      <c r="F1767" s="8"/>
      <c r="G1767" s="8"/>
      <c r="H1767" s="8"/>
      <c r="I1767" s="8"/>
      <c r="J1767" s="8"/>
      <c r="K1767" s="8"/>
      <c r="L1767" s="56"/>
      <c r="M1767" s="26"/>
      <c r="N1767" s="26"/>
      <c r="O1767" s="26"/>
      <c r="P1767" s="1"/>
      <c r="Q1767" s="1"/>
      <c r="R1767" s="8"/>
      <c r="S1767" s="1"/>
      <c r="T1767" s="8"/>
      <c r="U1767" s="1"/>
      <c r="V1767" s="1"/>
      <c r="W1767" s="1"/>
      <c r="X1767" s="1"/>
    </row>
    <row r="1768" spans="1:24">
      <c r="A1768" s="1"/>
      <c r="B1768" s="8"/>
      <c r="C1768" s="8"/>
      <c r="D1768" s="8"/>
      <c r="E1768" s="8"/>
      <c r="F1768" s="8"/>
      <c r="G1768" s="8"/>
      <c r="H1768" s="8"/>
      <c r="I1768" s="8"/>
      <c r="J1768" s="8"/>
      <c r="K1768" s="8"/>
      <c r="L1768" s="56"/>
      <c r="M1768" s="26"/>
      <c r="N1768" s="26"/>
      <c r="O1768" s="26"/>
      <c r="P1768" s="1"/>
      <c r="Q1768" s="1"/>
      <c r="R1768" s="8"/>
      <c r="S1768" s="1"/>
      <c r="T1768" s="8"/>
      <c r="U1768" s="1"/>
      <c r="V1768" s="1"/>
      <c r="W1768" s="1"/>
      <c r="X1768" s="1"/>
    </row>
    <row r="1769" spans="1:24">
      <c r="A1769" s="1"/>
      <c r="B1769" s="8"/>
      <c r="C1769" s="8"/>
      <c r="D1769" s="8"/>
      <c r="E1769" s="8"/>
      <c r="F1769" s="8"/>
      <c r="G1769" s="8"/>
      <c r="H1769" s="8"/>
      <c r="I1769" s="8"/>
      <c r="J1769" s="8"/>
      <c r="K1769" s="8"/>
      <c r="L1769" s="56"/>
      <c r="M1769" s="26"/>
      <c r="N1769" s="26"/>
      <c r="O1769" s="26"/>
      <c r="P1769" s="1"/>
      <c r="Q1769" s="1"/>
      <c r="R1769" s="8"/>
      <c r="S1769" s="1"/>
      <c r="T1769" s="8"/>
      <c r="U1769" s="1"/>
      <c r="V1769" s="1"/>
      <c r="W1769" s="1"/>
      <c r="X1769" s="1"/>
    </row>
    <row r="1770" spans="1:24">
      <c r="A1770" s="1"/>
      <c r="B1770" s="8"/>
      <c r="C1770" s="8"/>
      <c r="D1770" s="8"/>
      <c r="E1770" s="8"/>
      <c r="F1770" s="8"/>
      <c r="G1770" s="8"/>
      <c r="H1770" s="8"/>
      <c r="I1770" s="8"/>
      <c r="J1770" s="8"/>
      <c r="K1770" s="8"/>
      <c r="L1770" s="56"/>
      <c r="M1770" s="26"/>
      <c r="N1770" s="26"/>
      <c r="O1770" s="26"/>
      <c r="P1770" s="1"/>
      <c r="Q1770" s="1"/>
      <c r="R1770" s="8"/>
      <c r="S1770" s="1"/>
      <c r="T1770" s="8"/>
      <c r="U1770" s="1"/>
      <c r="V1770" s="1"/>
      <c r="W1770" s="1"/>
      <c r="X1770" s="1"/>
    </row>
    <row r="1771" spans="1:24">
      <c r="A1771" s="1"/>
      <c r="B1771" s="8"/>
      <c r="C1771" s="8"/>
      <c r="D1771" s="8"/>
      <c r="E1771" s="8"/>
      <c r="F1771" s="8"/>
      <c r="G1771" s="8"/>
      <c r="H1771" s="8"/>
      <c r="I1771" s="8"/>
      <c r="J1771" s="8"/>
      <c r="K1771" s="8"/>
      <c r="L1771" s="56"/>
      <c r="M1771" s="26"/>
      <c r="N1771" s="26"/>
      <c r="O1771" s="26"/>
      <c r="P1771" s="1"/>
      <c r="Q1771" s="1"/>
      <c r="R1771" s="8"/>
      <c r="S1771" s="1"/>
      <c r="T1771" s="8"/>
      <c r="U1771" s="1"/>
      <c r="V1771" s="1"/>
      <c r="W1771" s="1"/>
      <c r="X1771" s="1"/>
    </row>
    <row r="1772" spans="1:24">
      <c r="A1772" s="1"/>
      <c r="B1772" s="8"/>
      <c r="C1772" s="8"/>
      <c r="D1772" s="8"/>
      <c r="E1772" s="8"/>
      <c r="F1772" s="8"/>
      <c r="G1772" s="8"/>
      <c r="H1772" s="8"/>
      <c r="I1772" s="8"/>
      <c r="J1772" s="8"/>
      <c r="K1772" s="8"/>
      <c r="L1772" s="56"/>
      <c r="M1772" s="26"/>
      <c r="N1772" s="26"/>
      <c r="O1772" s="26"/>
      <c r="P1772" s="1"/>
      <c r="Q1772" s="1"/>
      <c r="R1772" s="8"/>
      <c r="S1772" s="1"/>
      <c r="T1772" s="8"/>
      <c r="U1772" s="1"/>
      <c r="V1772" s="1"/>
      <c r="W1772" s="1"/>
      <c r="X1772" s="1"/>
    </row>
    <row r="1773" spans="1:24">
      <c r="A1773" s="1"/>
      <c r="B1773" s="8"/>
      <c r="C1773" s="8"/>
      <c r="D1773" s="8"/>
      <c r="E1773" s="8"/>
      <c r="F1773" s="8"/>
      <c r="G1773" s="8"/>
      <c r="H1773" s="8"/>
      <c r="I1773" s="8"/>
      <c r="J1773" s="8"/>
      <c r="K1773" s="8"/>
      <c r="L1773" s="56"/>
      <c r="M1773" s="26"/>
      <c r="N1773" s="26"/>
      <c r="O1773" s="26"/>
      <c r="P1773" s="1"/>
      <c r="Q1773" s="1"/>
      <c r="R1773" s="8"/>
      <c r="S1773" s="1"/>
      <c r="T1773" s="8"/>
      <c r="U1773" s="1"/>
      <c r="V1773" s="1"/>
      <c r="W1773" s="1"/>
      <c r="X1773" s="1"/>
    </row>
    <row r="1774" spans="1:24">
      <c r="A1774" s="1"/>
      <c r="B1774" s="8"/>
      <c r="C1774" s="8"/>
      <c r="D1774" s="8"/>
      <c r="E1774" s="8"/>
      <c r="F1774" s="8"/>
      <c r="G1774" s="8"/>
      <c r="H1774" s="8"/>
      <c r="I1774" s="8"/>
      <c r="J1774" s="8"/>
      <c r="K1774" s="8"/>
      <c r="L1774" s="56"/>
      <c r="M1774" s="26"/>
      <c r="N1774" s="26"/>
      <c r="O1774" s="26"/>
      <c r="P1774" s="1"/>
      <c r="Q1774" s="1"/>
      <c r="R1774" s="8"/>
      <c r="S1774" s="1"/>
      <c r="T1774" s="8"/>
      <c r="U1774" s="1"/>
      <c r="V1774" s="1"/>
      <c r="W1774" s="1"/>
      <c r="X1774" s="1"/>
    </row>
    <row r="1775" spans="1:24">
      <c r="A1775" s="1"/>
      <c r="B1775" s="8"/>
      <c r="C1775" s="8"/>
      <c r="D1775" s="8"/>
      <c r="E1775" s="8"/>
      <c r="F1775" s="8"/>
      <c r="G1775" s="8"/>
      <c r="H1775" s="8"/>
      <c r="I1775" s="8"/>
      <c r="J1775" s="8"/>
      <c r="K1775" s="8"/>
      <c r="L1775" s="56"/>
      <c r="M1775" s="26"/>
      <c r="N1775" s="26"/>
      <c r="O1775" s="26"/>
      <c r="P1775" s="1"/>
      <c r="Q1775" s="1"/>
      <c r="R1775" s="8"/>
      <c r="S1775" s="1"/>
      <c r="T1775" s="8"/>
      <c r="U1775" s="1"/>
      <c r="V1775" s="1"/>
      <c r="W1775" s="1"/>
      <c r="X1775" s="1"/>
    </row>
    <row r="1776" spans="1:24">
      <c r="A1776" s="1"/>
      <c r="B1776" s="8"/>
      <c r="C1776" s="8"/>
      <c r="D1776" s="8"/>
      <c r="E1776" s="8"/>
      <c r="F1776" s="8"/>
      <c r="G1776" s="8"/>
      <c r="H1776" s="8"/>
      <c r="I1776" s="8"/>
      <c r="J1776" s="8"/>
      <c r="K1776" s="8"/>
      <c r="L1776" s="56"/>
      <c r="M1776" s="26"/>
      <c r="N1776" s="26"/>
      <c r="O1776" s="26"/>
      <c r="P1776" s="1"/>
      <c r="Q1776" s="1"/>
      <c r="R1776" s="8"/>
      <c r="S1776" s="1"/>
      <c r="T1776" s="8"/>
      <c r="U1776" s="1"/>
      <c r="V1776" s="1"/>
      <c r="W1776" s="1"/>
      <c r="X1776" s="1"/>
    </row>
    <row r="1777" spans="1:24">
      <c r="A1777" s="1"/>
      <c r="B1777" s="8"/>
      <c r="C1777" s="8"/>
      <c r="D1777" s="8"/>
      <c r="E1777" s="8"/>
      <c r="F1777" s="8"/>
      <c r="G1777" s="8"/>
      <c r="H1777" s="8"/>
      <c r="I1777" s="8"/>
      <c r="J1777" s="8"/>
      <c r="K1777" s="8"/>
      <c r="L1777" s="56"/>
      <c r="M1777" s="26"/>
      <c r="N1777" s="26"/>
      <c r="O1777" s="26"/>
      <c r="P1777" s="1"/>
      <c r="Q1777" s="1"/>
      <c r="R1777" s="8"/>
      <c r="S1777" s="1"/>
      <c r="T1777" s="8"/>
      <c r="U1777" s="1"/>
      <c r="V1777" s="1"/>
      <c r="W1777" s="1"/>
      <c r="X1777" s="1"/>
    </row>
    <row r="1778" spans="1:24">
      <c r="A1778" s="1"/>
      <c r="B1778" s="8"/>
      <c r="C1778" s="8"/>
      <c r="D1778" s="8"/>
      <c r="E1778" s="8"/>
      <c r="F1778" s="8"/>
      <c r="G1778" s="8"/>
      <c r="H1778" s="8"/>
      <c r="I1778" s="8"/>
      <c r="J1778" s="8"/>
      <c r="K1778" s="8"/>
      <c r="L1778" s="56"/>
      <c r="M1778" s="26"/>
      <c r="N1778" s="26"/>
      <c r="O1778" s="26"/>
      <c r="P1778" s="1"/>
      <c r="Q1778" s="1"/>
      <c r="R1778" s="8"/>
      <c r="S1778" s="1"/>
      <c r="T1778" s="8"/>
      <c r="U1778" s="1"/>
      <c r="V1778" s="1"/>
      <c r="W1778" s="1"/>
      <c r="X1778" s="1"/>
    </row>
    <row r="1779" spans="1:24">
      <c r="A1779" s="1"/>
      <c r="B1779" s="8"/>
      <c r="C1779" s="8"/>
      <c r="D1779" s="8"/>
      <c r="E1779" s="8"/>
      <c r="F1779" s="8"/>
      <c r="G1779" s="8"/>
      <c r="H1779" s="8"/>
      <c r="I1779" s="8"/>
      <c r="J1779" s="8"/>
      <c r="K1779" s="8"/>
      <c r="L1779" s="56"/>
      <c r="M1779" s="26"/>
      <c r="N1779" s="26"/>
      <c r="O1779" s="26"/>
      <c r="P1779" s="1"/>
      <c r="Q1779" s="1"/>
      <c r="R1779" s="8"/>
      <c r="S1779" s="1"/>
      <c r="T1779" s="8"/>
      <c r="U1779" s="1"/>
      <c r="V1779" s="1"/>
      <c r="W1779" s="1"/>
      <c r="X1779" s="1"/>
    </row>
    <row r="1780" spans="1:24">
      <c r="A1780" s="1"/>
      <c r="B1780" s="8"/>
      <c r="C1780" s="8"/>
      <c r="D1780" s="8"/>
      <c r="E1780" s="8"/>
      <c r="F1780" s="8"/>
      <c r="G1780" s="8"/>
      <c r="H1780" s="8"/>
      <c r="I1780" s="8"/>
      <c r="J1780" s="8"/>
      <c r="K1780" s="8"/>
      <c r="L1780" s="56"/>
      <c r="M1780" s="26"/>
      <c r="N1780" s="26"/>
      <c r="O1780" s="26"/>
      <c r="P1780" s="1"/>
      <c r="Q1780" s="1"/>
      <c r="R1780" s="8"/>
      <c r="S1780" s="1"/>
      <c r="T1780" s="8"/>
      <c r="U1780" s="1"/>
      <c r="V1780" s="1"/>
      <c r="W1780" s="1"/>
      <c r="X1780" s="1"/>
    </row>
    <row r="1781" spans="1:24">
      <c r="A1781" s="1"/>
      <c r="B1781" s="8"/>
      <c r="C1781" s="8"/>
      <c r="D1781" s="8"/>
      <c r="E1781" s="8"/>
      <c r="F1781" s="8"/>
      <c r="G1781" s="8"/>
      <c r="H1781" s="8"/>
      <c r="I1781" s="8"/>
      <c r="J1781" s="8"/>
      <c r="K1781" s="8"/>
      <c r="L1781" s="56"/>
      <c r="M1781" s="26"/>
      <c r="N1781" s="26"/>
      <c r="O1781" s="26"/>
      <c r="P1781" s="1"/>
      <c r="Q1781" s="1"/>
      <c r="R1781" s="8"/>
      <c r="S1781" s="1"/>
      <c r="T1781" s="8"/>
      <c r="U1781" s="1"/>
      <c r="V1781" s="1"/>
      <c r="W1781" s="1"/>
      <c r="X1781" s="1"/>
    </row>
    <row r="1782" spans="1:24">
      <c r="A1782" s="1"/>
      <c r="B1782" s="8"/>
      <c r="C1782" s="8"/>
      <c r="D1782" s="8"/>
      <c r="E1782" s="8"/>
      <c r="F1782" s="8"/>
      <c r="G1782" s="8"/>
      <c r="H1782" s="8"/>
      <c r="I1782" s="8"/>
      <c r="J1782" s="8"/>
      <c r="K1782" s="8"/>
      <c r="L1782" s="56"/>
      <c r="M1782" s="26"/>
      <c r="N1782" s="26"/>
      <c r="O1782" s="26"/>
      <c r="P1782" s="1"/>
      <c r="Q1782" s="1"/>
      <c r="R1782" s="8"/>
      <c r="S1782" s="1"/>
      <c r="T1782" s="8"/>
      <c r="U1782" s="1"/>
      <c r="V1782" s="1"/>
      <c r="W1782" s="1"/>
      <c r="X1782" s="1"/>
    </row>
    <row r="1783" spans="1:24">
      <c r="A1783" s="1"/>
      <c r="B1783" s="8"/>
      <c r="C1783" s="8"/>
      <c r="D1783" s="8"/>
      <c r="E1783" s="8"/>
      <c r="F1783" s="8"/>
      <c r="G1783" s="8"/>
      <c r="H1783" s="8"/>
      <c r="I1783" s="8"/>
      <c r="J1783" s="8"/>
      <c r="K1783" s="8"/>
      <c r="L1783" s="56"/>
      <c r="M1783" s="26"/>
      <c r="N1783" s="26"/>
      <c r="O1783" s="26"/>
      <c r="P1783" s="1"/>
      <c r="Q1783" s="1"/>
      <c r="R1783" s="8"/>
      <c r="S1783" s="1"/>
      <c r="T1783" s="8"/>
      <c r="U1783" s="1"/>
      <c r="V1783" s="1"/>
      <c r="W1783" s="1"/>
      <c r="X1783" s="1"/>
    </row>
    <row r="1784" spans="1:24">
      <c r="A1784" s="1"/>
      <c r="B1784" s="8"/>
      <c r="C1784" s="8"/>
      <c r="D1784" s="8"/>
      <c r="E1784" s="8"/>
      <c r="F1784" s="8"/>
      <c r="G1784" s="8"/>
      <c r="H1784" s="8"/>
      <c r="I1784" s="8"/>
      <c r="J1784" s="8"/>
      <c r="K1784" s="8"/>
      <c r="L1784" s="56"/>
      <c r="M1784" s="26"/>
      <c r="N1784" s="26"/>
      <c r="O1784" s="26"/>
      <c r="P1784" s="1"/>
      <c r="Q1784" s="1"/>
      <c r="R1784" s="8"/>
      <c r="S1784" s="1"/>
      <c r="T1784" s="8"/>
      <c r="U1784" s="1"/>
      <c r="V1784" s="1"/>
      <c r="W1784" s="1"/>
      <c r="X1784" s="1"/>
    </row>
    <row r="1785" spans="1:24">
      <c r="A1785" s="1"/>
      <c r="B1785" s="8"/>
      <c r="C1785" s="8"/>
      <c r="D1785" s="8"/>
      <c r="E1785" s="8"/>
      <c r="F1785" s="8"/>
      <c r="G1785" s="8"/>
      <c r="H1785" s="8"/>
      <c r="I1785" s="8"/>
      <c r="J1785" s="8"/>
      <c r="K1785" s="8"/>
      <c r="L1785" s="56"/>
      <c r="M1785" s="26"/>
      <c r="N1785" s="26"/>
      <c r="O1785" s="26"/>
      <c r="P1785" s="1"/>
      <c r="Q1785" s="1"/>
      <c r="R1785" s="8"/>
      <c r="S1785" s="1"/>
      <c r="T1785" s="8"/>
      <c r="U1785" s="1"/>
      <c r="V1785" s="1"/>
      <c r="W1785" s="1"/>
      <c r="X1785" s="1"/>
    </row>
    <row r="1786" spans="1:24">
      <c r="A1786" s="1"/>
      <c r="B1786" s="8"/>
      <c r="C1786" s="8"/>
      <c r="D1786" s="8"/>
      <c r="E1786" s="8"/>
      <c r="F1786" s="8"/>
      <c r="G1786" s="8"/>
      <c r="H1786" s="8"/>
      <c r="I1786" s="8"/>
      <c r="J1786" s="8"/>
      <c r="K1786" s="8"/>
      <c r="L1786" s="56"/>
      <c r="M1786" s="56"/>
      <c r="N1786" s="56"/>
      <c r="O1786" s="56"/>
      <c r="P1786" s="1"/>
      <c r="Q1786" s="1"/>
      <c r="R1786" s="8"/>
      <c r="S1786" s="1"/>
      <c r="T1786" s="8"/>
      <c r="U1786" s="1"/>
      <c r="V1786" s="1"/>
      <c r="W1786" s="1"/>
      <c r="X1786" s="1"/>
    </row>
    <row r="1787" spans="1:24">
      <c r="A1787" s="1"/>
      <c r="B1787" s="8"/>
      <c r="C1787" s="8"/>
      <c r="D1787" s="8"/>
      <c r="E1787" s="8"/>
      <c r="F1787" s="8"/>
      <c r="G1787" s="8"/>
      <c r="H1787" s="8"/>
      <c r="I1787" s="8"/>
      <c r="J1787" s="8"/>
      <c r="K1787" s="8"/>
      <c r="L1787" s="56"/>
      <c r="M1787" s="56"/>
      <c r="N1787" s="56"/>
      <c r="O1787" s="56"/>
      <c r="P1787" s="1"/>
      <c r="Q1787" s="1"/>
      <c r="R1787" s="8"/>
      <c r="S1787" s="8"/>
      <c r="T1787" s="8"/>
      <c r="U1787" s="1"/>
      <c r="V1787" s="1"/>
      <c r="W1787" s="1"/>
      <c r="X1787" s="1"/>
    </row>
  </sheetData>
  <mergeCells count="296">
    <mergeCell ref="L433:L437"/>
    <mergeCell ref="L438:L442"/>
    <mergeCell ref="G423:G427"/>
    <mergeCell ref="H423:H427"/>
    <mergeCell ref="G433:G437"/>
    <mergeCell ref="H433:H437"/>
    <mergeCell ref="I433:I437"/>
    <mergeCell ref="J433:J437"/>
    <mergeCell ref="K433:K437"/>
    <mergeCell ref="K428:K432"/>
    <mergeCell ref="L428:L432"/>
    <mergeCell ref="L418:L422"/>
    <mergeCell ref="B423:B427"/>
    <mergeCell ref="F428:F432"/>
    <mergeCell ref="G428:G432"/>
    <mergeCell ref="H428:H432"/>
    <mergeCell ref="I428:I432"/>
    <mergeCell ref="J428:J432"/>
    <mergeCell ref="F463:F467"/>
    <mergeCell ref="F473:F477"/>
    <mergeCell ref="I473:I477"/>
    <mergeCell ref="J473:J477"/>
    <mergeCell ref="K473:K477"/>
    <mergeCell ref="L473:L477"/>
    <mergeCell ref="G463:G467"/>
    <mergeCell ref="H463:H467"/>
    <mergeCell ref="I463:I467"/>
    <mergeCell ref="J463:J467"/>
    <mergeCell ref="K463:K467"/>
    <mergeCell ref="L463:L467"/>
    <mergeCell ref="F418:F422"/>
    <mergeCell ref="F423:F427"/>
    <mergeCell ref="F433:F437"/>
    <mergeCell ref="F438:F442"/>
    <mergeCell ref="G438:G442"/>
    <mergeCell ref="I458:I462"/>
    <mergeCell ref="J458:J462"/>
    <mergeCell ref="K458:K462"/>
    <mergeCell ref="L458:L462"/>
    <mergeCell ref="J478:J482"/>
    <mergeCell ref="K478:K482"/>
    <mergeCell ref="L478:L482"/>
    <mergeCell ref="B473:B477"/>
    <mergeCell ref="F413:F417"/>
    <mergeCell ref="G413:G417"/>
    <mergeCell ref="H413:H417"/>
    <mergeCell ref="I413:I417"/>
    <mergeCell ref="J413:J417"/>
    <mergeCell ref="K413:K417"/>
    <mergeCell ref="L413:L417"/>
    <mergeCell ref="I423:I427"/>
    <mergeCell ref="J423:J427"/>
    <mergeCell ref="K423:K427"/>
    <mergeCell ref="L423:L427"/>
    <mergeCell ref="G418:G422"/>
    <mergeCell ref="H418:H422"/>
    <mergeCell ref="I418:I422"/>
    <mergeCell ref="J418:J422"/>
    <mergeCell ref="K418:K422"/>
    <mergeCell ref="F498:F502"/>
    <mergeCell ref="G498:G502"/>
    <mergeCell ref="H498:H502"/>
    <mergeCell ref="I498:I502"/>
    <mergeCell ref="J498:J502"/>
    <mergeCell ref="K498:K502"/>
    <mergeCell ref="L498:L502"/>
    <mergeCell ref="F503:F507"/>
    <mergeCell ref="G503:G507"/>
    <mergeCell ref="H503:H507"/>
    <mergeCell ref="I503:I507"/>
    <mergeCell ref="J503:J507"/>
    <mergeCell ref="K503:K507"/>
    <mergeCell ref="L503:L507"/>
    <mergeCell ref="H508:H512"/>
    <mergeCell ref="I508:I512"/>
    <mergeCell ref="J508:J512"/>
    <mergeCell ref="K508:K512"/>
    <mergeCell ref="L508:L512"/>
    <mergeCell ref="F513:F517"/>
    <mergeCell ref="G513:G517"/>
    <mergeCell ref="H513:H517"/>
    <mergeCell ref="I513:I517"/>
    <mergeCell ref="J513:J517"/>
    <mergeCell ref="K513:K517"/>
    <mergeCell ref="L513:L517"/>
    <mergeCell ref="B538:B542"/>
    <mergeCell ref="F523:F527"/>
    <mergeCell ref="G523:G527"/>
    <mergeCell ref="H523:H527"/>
    <mergeCell ref="I523:I527"/>
    <mergeCell ref="J523:J527"/>
    <mergeCell ref="K523:K527"/>
    <mergeCell ref="L523:L527"/>
    <mergeCell ref="F518:F522"/>
    <mergeCell ref="G518:G522"/>
    <mergeCell ref="H518:H522"/>
    <mergeCell ref="I518:I522"/>
    <mergeCell ref="J518:J522"/>
    <mergeCell ref="K518:K522"/>
    <mergeCell ref="L518:L522"/>
    <mergeCell ref="J538:J542"/>
    <mergeCell ref="K538:K542"/>
    <mergeCell ref="L538:L542"/>
    <mergeCell ref="F538:F542"/>
    <mergeCell ref="F543:F547"/>
    <mergeCell ref="G543:G547"/>
    <mergeCell ref="H543:H547"/>
    <mergeCell ref="J543:J547"/>
    <mergeCell ref="K543:K547"/>
    <mergeCell ref="L543:L547"/>
    <mergeCell ref="G538:G542"/>
    <mergeCell ref="H538:H542"/>
    <mergeCell ref="I538:I542"/>
    <mergeCell ref="B543:B547"/>
    <mergeCell ref="I543:I547"/>
    <mergeCell ref="G483:G487"/>
    <mergeCell ref="H483:H487"/>
    <mergeCell ref="J483:J487"/>
    <mergeCell ref="K483:K487"/>
    <mergeCell ref="L483:L487"/>
    <mergeCell ref="G473:G477"/>
    <mergeCell ref="H473:H477"/>
    <mergeCell ref="B478:B482"/>
    <mergeCell ref="G478:G482"/>
    <mergeCell ref="H478:H482"/>
    <mergeCell ref="I478:I482"/>
    <mergeCell ref="I483:I487"/>
    <mergeCell ref="K488:K492"/>
    <mergeCell ref="L488:L492"/>
    <mergeCell ref="F478:F482"/>
    <mergeCell ref="F483:F487"/>
    <mergeCell ref="F488:F492"/>
    <mergeCell ref="G488:G492"/>
    <mergeCell ref="H488:H492"/>
    <mergeCell ref="I488:I492"/>
    <mergeCell ref="J488:J492"/>
    <mergeCell ref="F493:F497"/>
    <mergeCell ref="G493:G497"/>
    <mergeCell ref="H493:H497"/>
    <mergeCell ref="I493:I497"/>
    <mergeCell ref="J493:J497"/>
    <mergeCell ref="K493:K497"/>
    <mergeCell ref="L493:L497"/>
    <mergeCell ref="B483:B487"/>
    <mergeCell ref="B488:B492"/>
    <mergeCell ref="B493:B497"/>
    <mergeCell ref="B498:B502"/>
    <mergeCell ref="B503:B507"/>
    <mergeCell ref="B508:B512"/>
    <mergeCell ref="B513:B517"/>
    <mergeCell ref="B533:B537"/>
    <mergeCell ref="J528:J532"/>
    <mergeCell ref="K528:K532"/>
    <mergeCell ref="L528:L532"/>
    <mergeCell ref="J533:J537"/>
    <mergeCell ref="K533:K537"/>
    <mergeCell ref="L533:L537"/>
    <mergeCell ref="B518:B522"/>
    <mergeCell ref="B523:B527"/>
    <mergeCell ref="B528:B532"/>
    <mergeCell ref="F528:F532"/>
    <mergeCell ref="G528:G532"/>
    <mergeCell ref="H528:H532"/>
    <mergeCell ref="I528:I532"/>
    <mergeCell ref="F533:F537"/>
    <mergeCell ref="G533:G537"/>
    <mergeCell ref="H533:H537"/>
    <mergeCell ref="I533:I537"/>
    <mergeCell ref="F508:F512"/>
    <mergeCell ref="G508:G512"/>
    <mergeCell ref="F383:F387"/>
    <mergeCell ref="G383:G387"/>
    <mergeCell ref="H383:H387"/>
    <mergeCell ref="I383:I387"/>
    <mergeCell ref="J383:J387"/>
    <mergeCell ref="K383:K387"/>
    <mergeCell ref="L383:L387"/>
    <mergeCell ref="F388:F392"/>
    <mergeCell ref="G388:G392"/>
    <mergeCell ref="H388:H392"/>
    <mergeCell ref="I388:I392"/>
    <mergeCell ref="J388:J392"/>
    <mergeCell ref="K388:K392"/>
    <mergeCell ref="L388:L392"/>
    <mergeCell ref="G408:G412"/>
    <mergeCell ref="H408:H412"/>
    <mergeCell ref="I408:I412"/>
    <mergeCell ref="J408:J412"/>
    <mergeCell ref="K408:K412"/>
    <mergeCell ref="L408:L412"/>
    <mergeCell ref="F393:F397"/>
    <mergeCell ref="G393:G397"/>
    <mergeCell ref="H393:H397"/>
    <mergeCell ref="I393:I397"/>
    <mergeCell ref="J393:J397"/>
    <mergeCell ref="K393:K397"/>
    <mergeCell ref="L393:L397"/>
    <mergeCell ref="F398:F402"/>
    <mergeCell ref="G398:G402"/>
    <mergeCell ref="H398:H402"/>
    <mergeCell ref="I398:I402"/>
    <mergeCell ref="J398:J402"/>
    <mergeCell ref="K398:K402"/>
    <mergeCell ref="L398:L402"/>
    <mergeCell ref="X1:X2"/>
    <mergeCell ref="O1:O2"/>
    <mergeCell ref="P1:P2"/>
    <mergeCell ref="Q1:Q2"/>
    <mergeCell ref="R1:R2"/>
    <mergeCell ref="S1:S2"/>
    <mergeCell ref="T1:T2"/>
    <mergeCell ref="U1:U2"/>
    <mergeCell ref="A1:A2"/>
    <mergeCell ref="B1:B2"/>
    <mergeCell ref="C1:C2"/>
    <mergeCell ref="D1:D2"/>
    <mergeCell ref="E1:E2"/>
    <mergeCell ref="F1:F2"/>
    <mergeCell ref="G1:G2"/>
    <mergeCell ref="H1:H2"/>
    <mergeCell ref="I1:I2"/>
    <mergeCell ref="J1:J2"/>
    <mergeCell ref="K1:K2"/>
    <mergeCell ref="L1:L2"/>
    <mergeCell ref="M1:M2"/>
    <mergeCell ref="N1:N2"/>
    <mergeCell ref="V1:V2"/>
    <mergeCell ref="W1:W2"/>
    <mergeCell ref="F378:F382"/>
    <mergeCell ref="G378:G382"/>
    <mergeCell ref="H378:H382"/>
    <mergeCell ref="I378:I382"/>
    <mergeCell ref="J378:J382"/>
    <mergeCell ref="K378:K382"/>
    <mergeCell ref="L378:L382"/>
    <mergeCell ref="B413:B417"/>
    <mergeCell ref="B418:B422"/>
    <mergeCell ref="B378:B382"/>
    <mergeCell ref="B383:B387"/>
    <mergeCell ref="B388:B392"/>
    <mergeCell ref="B393:B397"/>
    <mergeCell ref="B398:B402"/>
    <mergeCell ref="B403:B407"/>
    <mergeCell ref="B408:B412"/>
    <mergeCell ref="F403:F407"/>
    <mergeCell ref="G403:G407"/>
    <mergeCell ref="H403:H407"/>
    <mergeCell ref="I403:I407"/>
    <mergeCell ref="J403:J407"/>
    <mergeCell ref="K403:K407"/>
    <mergeCell ref="L403:L407"/>
    <mergeCell ref="F408:F412"/>
    <mergeCell ref="K443:K447"/>
    <mergeCell ref="L443:L447"/>
    <mergeCell ref="J438:J442"/>
    <mergeCell ref="K438:K442"/>
    <mergeCell ref="F443:F447"/>
    <mergeCell ref="G443:G447"/>
    <mergeCell ref="H443:H447"/>
    <mergeCell ref="I443:I447"/>
    <mergeCell ref="J443:J447"/>
    <mergeCell ref="H438:H442"/>
    <mergeCell ref="I438:I442"/>
    <mergeCell ref="F448:F452"/>
    <mergeCell ref="G448:G452"/>
    <mergeCell ref="H448:H452"/>
    <mergeCell ref="I448:I452"/>
    <mergeCell ref="J448:J452"/>
    <mergeCell ref="K448:K452"/>
    <mergeCell ref="L448:L452"/>
    <mergeCell ref="F468:F472"/>
    <mergeCell ref="G468:G472"/>
    <mergeCell ref="H468:H472"/>
    <mergeCell ref="I468:I472"/>
    <mergeCell ref="J468:J472"/>
    <mergeCell ref="K468:K472"/>
    <mergeCell ref="L468:L472"/>
    <mergeCell ref="F453:F457"/>
    <mergeCell ref="G453:G457"/>
    <mergeCell ref="H453:H457"/>
    <mergeCell ref="I453:I457"/>
    <mergeCell ref="J453:J457"/>
    <mergeCell ref="K453:K457"/>
    <mergeCell ref="L453:L457"/>
    <mergeCell ref="F458:F462"/>
    <mergeCell ref="G458:G462"/>
    <mergeCell ref="H458:H462"/>
    <mergeCell ref="B463:B467"/>
    <mergeCell ref="B468:B472"/>
    <mergeCell ref="B428:B432"/>
    <mergeCell ref="B433:B437"/>
    <mergeCell ref="B438:B442"/>
    <mergeCell ref="B443:B447"/>
    <mergeCell ref="B448:B452"/>
    <mergeCell ref="B453:B457"/>
    <mergeCell ref="B458:B462"/>
  </mergeCells>
  <conditionalFormatting sqref="U1:U2 P3:Q41">
    <cfRule type="containsBlanks" dxfId="2" priority="1">
      <formula>LEN(TRIM(U1))=0</formula>
    </cfRule>
  </conditionalFormatting>
  <pageMargins left="0" right="0" top="0" bottom="0" header="0" footer="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Y1787"/>
  <sheetViews>
    <sheetView workbookViewId="0">
      <pane xSplit="1" topLeftCell="B1" activePane="topRight" state="frozen"/>
      <selection pane="topRight" activeCell="C2" sqref="C2"/>
    </sheetView>
  </sheetViews>
  <sheetFormatPr defaultColWidth="14.44140625" defaultRowHeight="15" customHeight="1"/>
  <cols>
    <col min="1" max="1" width="5.44140625" customWidth="1"/>
    <col min="5" max="5" width="16" customWidth="1"/>
    <col min="6" max="6" width="38.33203125" customWidth="1"/>
    <col min="8" max="10" width="14.44140625" hidden="1"/>
    <col min="11" max="11" width="34.5546875" hidden="1" customWidth="1"/>
    <col min="12" max="12" width="14.44140625" hidden="1"/>
    <col min="13" max="14" width="17.44140625" customWidth="1"/>
    <col min="18" max="18" width="15.44140625" customWidth="1"/>
    <col min="19" max="19" width="69.6640625" customWidth="1"/>
    <col min="20" max="20" width="55.88671875" hidden="1" customWidth="1"/>
    <col min="21" max="21" width="31" customWidth="1"/>
    <col min="23" max="23" width="44.88671875" customWidth="1"/>
    <col min="24" max="25" width="15.44140625" customWidth="1"/>
  </cols>
  <sheetData>
    <row r="1" spans="1:25">
      <c r="A1" s="98" t="s">
        <v>840</v>
      </c>
      <c r="B1" s="96" t="s">
        <v>841</v>
      </c>
      <c r="C1" s="104" t="s">
        <v>842</v>
      </c>
      <c r="D1" s="104" t="s">
        <v>843</v>
      </c>
      <c r="E1" s="104" t="s">
        <v>844</v>
      </c>
      <c r="F1" s="104" t="s">
        <v>845</v>
      </c>
      <c r="G1" s="104" t="s">
        <v>846</v>
      </c>
      <c r="H1" s="104" t="s">
        <v>847</v>
      </c>
      <c r="I1" s="104" t="s">
        <v>848</v>
      </c>
      <c r="J1" s="104" t="s">
        <v>849</v>
      </c>
      <c r="K1" s="96" t="s">
        <v>850</v>
      </c>
      <c r="L1" s="96" t="s">
        <v>851</v>
      </c>
      <c r="M1" s="96" t="s">
        <v>852</v>
      </c>
      <c r="N1" s="96" t="s">
        <v>853</v>
      </c>
      <c r="O1" s="96" t="s">
        <v>854</v>
      </c>
      <c r="P1" s="95" t="s">
        <v>855</v>
      </c>
      <c r="Q1" s="106" t="s">
        <v>856</v>
      </c>
      <c r="R1" s="112" t="s">
        <v>857</v>
      </c>
      <c r="S1" s="95" t="s">
        <v>858</v>
      </c>
      <c r="T1" s="112" t="s">
        <v>859</v>
      </c>
      <c r="U1" s="95" t="s">
        <v>860</v>
      </c>
      <c r="V1" s="95" t="s">
        <v>1061</v>
      </c>
      <c r="W1" s="96" t="s">
        <v>861</v>
      </c>
      <c r="X1" s="96" t="s">
        <v>862</v>
      </c>
      <c r="Y1" s="95" t="s">
        <v>863</v>
      </c>
    </row>
    <row r="2" spans="1:25">
      <c r="A2" s="97"/>
      <c r="B2" s="97"/>
      <c r="C2" s="105"/>
      <c r="D2" s="105"/>
      <c r="E2" s="105"/>
      <c r="F2" s="105"/>
      <c r="G2" s="105"/>
      <c r="H2" s="105"/>
      <c r="I2" s="105"/>
      <c r="J2" s="105"/>
      <c r="K2" s="97"/>
      <c r="L2" s="97"/>
      <c r="M2" s="97"/>
      <c r="N2" s="97"/>
      <c r="O2" s="97"/>
      <c r="P2" s="94"/>
      <c r="Q2" s="107"/>
      <c r="R2" s="94"/>
      <c r="S2" s="94"/>
      <c r="T2" s="94"/>
      <c r="U2" s="94"/>
      <c r="V2" s="94"/>
      <c r="W2" s="97"/>
      <c r="X2" s="97"/>
      <c r="Y2" s="94"/>
    </row>
    <row r="3" spans="1:25">
      <c r="A3" s="15">
        <v>1</v>
      </c>
      <c r="B3" s="15">
        <f ca="1">IFERROR(__xludf.DUMMYFUNCTION("query(Rekap!A2:AD1787,""Select B,E,F,G,D,H,U,V,W where C='PKM Penerapan Ilmu Pengetahuan dan Teknologi'"")"),3163)</f>
        <v>3163</v>
      </c>
      <c r="C3" s="49" t="str">
        <f ca="1">IFERROR(__xludf.DUMMYFUNCTION("""COMPUTED_VALUE"""),"GUSTAV GALVANI CHOLIQ")</f>
        <v>GUSTAV GALVANI CHOLIQ</v>
      </c>
      <c r="D3" s="49" t="str">
        <f ca="1">IFERROR(__xludf.DUMMYFUNCTION("""COMPUTED_VALUE"""),"5022201064")</f>
        <v>5022201064</v>
      </c>
      <c r="E3" s="49" t="str">
        <f ca="1">IFERROR(__xludf.DUMMYFUNCTION("""COMPUTED_VALUE"""),"Departemen Teknik Elektro")</f>
        <v>Departemen Teknik Elektro</v>
      </c>
      <c r="F3" s="49" t="str">
        <f ca="1">IFERROR(__xludf.DUMMYFUNCTION("""COMPUTED_VALUE"""),"Pemanen Madu Otomatis Berbasis Electro-mechanical Honeycomb Terintegrasi IoT Guna Meningkatkan Produktivitas UMKM Madu AG")</f>
        <v>Pemanen Madu Otomatis Berbasis Electro-mechanical Honeycomb Terintegrasi IoT Guna Meningkatkan Produktivitas UMKM Madu AG</v>
      </c>
      <c r="G3" s="49" t="str">
        <f ca="1">IFERROR(__xludf.DUMMYFUNCTION("""COMPUTED_VALUE"""),"Dr. Dimas Fajar Uman Putra, S.T., M.T.")</f>
        <v>Dr. Dimas Fajar Uman Putra, S.T., M.T.</v>
      </c>
      <c r="H3" s="49" t="str">
        <f ca="1">IFERROR(__xludf.DUMMYFUNCTION("""COMPUTED_VALUE"""),"Ir. Nur Husodo, M.S")</f>
        <v>Ir. Nur Husodo, M.S</v>
      </c>
      <c r="I3" s="49" t="str">
        <f ca="1">IFERROR(__xludf.DUMMYFUNCTION("""COMPUTED_VALUE"""),"Muhammad Syifaul Mufid, S.Si.,M.Si")</f>
        <v>Muhammad Syifaul Mufid, S.Si.,M.Si</v>
      </c>
      <c r="J3" s="49"/>
      <c r="K3" s="34" t="s">
        <v>1204</v>
      </c>
      <c r="L3" s="23" t="s">
        <v>1205</v>
      </c>
      <c r="M3" s="19" t="b">
        <v>1</v>
      </c>
      <c r="N3" s="19" t="b">
        <v>0</v>
      </c>
      <c r="O3" s="1" t="s">
        <v>997</v>
      </c>
      <c r="P3" s="7" t="str">
        <f ca="1">IFERROR(__xludf.DUMMYFUNCTION("iferror(vlookup(B3,importrange(""https://docs.google.com/spreadsheets/d/1boHyJQ4e2FU0QG8MHwEi6qjX4hvZWVCHcFfXjq7bbMc/edit?resourcekey#gid=923248883"",""Prop!$C$1:$M""),12,0),IFERROR(vlookup(B3,importrange(""https://docs.google.com/spreadsheets/d/1boHyJQ4e"&amp;"2FU0QG8MHwEi6qjX4hvZWVCHcFfXjq7bbMc/edit?resourcekey#gid=923248883"",""Prop!$N$1:$X""),11,0),iferror(vlookup(B3,importrange(""https://docs.google.com/spreadsheets/d/1boHyJQ4e2FU0QG8MHwEi6qjX4hvZWVCHcFfXjq7bbMc/edit?resourcekey#gid=923248883"",""Prop!$Y$1:"&amp;"$AI""),11,0),iferror(vlookup(B3,importrange(""https://docs.google.com/spreadsheets/d/1boHyJQ4e2FU0QG8MHwEi6qjX4hvZWVCHcFfXjq7bbMc/edit?resourcekey#gid=923248883"",""Prop!$AJ$1:$AT""),11,0),iferror(vlookup(B3,importrange(""https://docs.google.com/spreadshe"&amp;"ets/d/1boHyJQ4e2FU0QG8MHwEi6qjX4hvZWVCHcFfXjq7bbMc/edit?resourcekey#gid=923248883"",""Prop!$AU$1:$BE""),11,0),iferror(vlookup(B3,importrange(""https://docs.google.com/spreadsheets/d/1boHyJQ4e2FU0QG8MHwEi6qjX4hvZWVCHcFfXjq7bbMc/edit?resourcekey#gid=9232488"&amp;"83"",""Prop!$BF$1:$BP""),11,0),iferror(vlookup(B3,importrange(""https://docs.google.com/spreadsheets/d/1boHyJQ4e2FU0QG8MHwEi6qjX4hvZWVCHcFfXjq7bbMc/edit?resourcekey#gid=923248883"",""Prop!$BQ$1:$CA""),11,0),iferror(vlookup(B3,importrange(""https://docs.go"&amp;"ogle.com/spreadsheets/d/1boHyJQ4e2FU0QG8MHwEi6qjX4hvZWVCHcFfXjq7bbMc/edit?resourcekey#gid=923248883"",""Prop!$CB$1:$CL""),11,0),iferror(vlookup(B3,importrange(""https://docs.google.com/spreadsheets/d/1boHyJQ4e2FU0QG8MHwEi6qjX4hvZWVCHcFfXjq7bbMc/edit?resou"&amp;"rcekey#gid=923248883"",""Prop!$CM$1:$CX""),12,0),iferror(vlookup(B3,importrange(""https://docs.google.com/spreadsheets/d/1boHyJQ4e2FU0QG8MHwEi6qjX4hvZWVCHcFfXjq7bbMc/edit?resourcekey#gid=923248883"",""Prop!$CV$1:$DI""),11,0)))))))))))"),"https://drive.google.com/open?id=1Fj5NtsE1Gj-U8mkHA0c2mWnuM9BQ21hs")</f>
        <v>https://drive.google.com/open?id=1Fj5NtsE1Gj-U8mkHA0c2mWnuM9BQ21hs</v>
      </c>
      <c r="Q3" s="50" t="str">
        <f ca="1">IFERROR(__xludf.DUMMYFUNCTION("iferror(vlookup(B3,importrange(""https://docs.google.com/spreadsheets/d/1p53T2AuvvIqhP7Nf-bo3Uhj8cbKYRPpZdsrBv3x3bAQ/edit?resourcekey#gid=1321652304"",""Prop!$C$1:$M""),11,0),IFERROR(vlookup(B3,importrange(""https://docs.google.com/spreadsheets/d/1p53T2Au"&amp;"vvIqhP7Nf-bo3Uhj8cbKYRPpZdsrBv3x3bAQ/edit?resourcekey#gid=1321652304"",""Prop!$N$1:$X""),11,0),iferror(vlookup(B3,importrange(""https://docs.google.com/spreadsheets/d/1p53T2AuvvIqhP7Nf-bo3Uhj8cbKYRPpZdsrBv3x3bAQ/edit?resourcekey#gid=1321652304"",""Prop!$Y"&amp;"$1:$AI""),11,0),iferror(vlookup(B3,importrange(""https://docs.google.com/spreadsheets/d/1p53T2AuvvIqhP7Nf-bo3Uhj8cbKYRPpZdsrBv3x3bAQ/edit?resourcekey#gid=1321652304"",""Prop!$AJ$1:$AT""),11,0),iferror(vlookup(B3,importrange(""https://docs.google.com/sprea"&amp;"dsheets/d/1p53T2AuvvIqhP7Nf-bo3Uhj8cbKYRPpZdsrBv3x3bAQ/edit?resourcekey#gid=1321652304"",""Prop!$AU$1:$BE""),11,0),iferror(vlookup(B3,importrange(""https://docs.google.com/spreadsheets/d/1p53T2AuvvIqhP7Nf-bo3Uhj8cbKYRPpZdsrBv3x3bAQ/edit?resourcekey#gid=13"&amp;"21652304"",""Prop!$BF$1:$BP""),11,0),iferror(vlookup(B3,importrange(""https://docs.google.com/spreadsheets/d/1p53T2AuvvIqhP7Nf-bo3Uhj8cbKYRPpZdsrBv3x3bAQ/edit?resourcekey#gid=1321652304"",""Prop!$BQ$1:$CA""),11,0),iferror(vlookup(B3,importrange(""https://"&amp;"docs.google.com/spreadsheets/d/1p53T2AuvvIqhP7Nf-bo3Uhj8cbKYRPpZdsrBv3x3bAQ/edit?resourcekey#gid=1321652304"",""Prop!$CB$1:$CL""),11,0),iferror(vlookup(B3,importrange(""https://docs.google.com/spreadsheets/d/1p53T2AuvvIqhP7Nf-bo3Uhj8cbKYRPpZdsrBv3x3bAQ/ed"&amp;"it?resourcekey#gid=1321652304"",""Prop!$CM$1:$CX""),12,0),iferror(vlookup(B3,importrange(""https://docs.google.com/spreadsheets/d/1p53T2AuvvIqhP7Nf-bo3Uhj8cbKYRPpZdsrBv3x3bAQ/edit?resourcekey#gid=1321652304"",""Prop!$CY$1:$DI""),11,0)))))))))))"),"https://drive.google.com/open?id=1qrFbupe95cHDQkAGaA6xqmSoLWlCLELF")</f>
        <v>https://drive.google.com/open?id=1qrFbupe95cHDQkAGaA6xqmSoLWlCLELF</v>
      </c>
      <c r="R3" s="92" t="s">
        <v>1206</v>
      </c>
      <c r="S3" s="20" t="str">
        <f ca="1">IFERROR(__xludf.DUMMYFUNCTION("IFERROR(vlookup(B3,IMPORTRANGE(""https://docs.google.com/spreadsheets/d/1g_jfYYK_KeipEDNDUgqgrsxK94XiocfNQIcP-v1QVhI/edit?resourcekey#gid=233272945"",""Nilai!B:CT""),46,0),"" "")"),"(1) di pendahuluan ada kalimat yg ndak match dg tujuan proposal PKM, misal ""Para petani lebah madu meletakkan bibit lebah.....(2) Apa yang menyebabkan perolehan madu tidak maxsimal yakni 12-36%, apakah solusi yg ditawarkan sesuai dg masalah yg ada (3)  I"&amp;"OT bergantung pada jaringan internet apakah ada jaringan internet di sarang lebah yg notabene berada di hutan/ daerah minim sinyal (4) sinyal wifi apakah tidak menganggu kehidupan lebah? (5) Solusi jika terjadi hujan dan angin terhadap performa load cell?"&amp;" (6) untuk servo MG995R apa yakin torsi motor ini kuat u/ membuka open tube system")</f>
        <v>(1) di pendahuluan ada kalimat yg ndak match dg tujuan proposal PKM, misal "Para petani lebah madu meletakkan bibit lebah.....(2) Apa yang menyebabkan perolehan madu tidak maxsimal yakni 12-36%, apakah solusi yg ditawarkan sesuai dg masalah yg ada (3)  IOT bergantung pada jaringan internet apakah ada jaringan internet di sarang lebah yg notabene berada di hutan/ daerah minim sinyal (4) sinyal wifi apakah tidak menganggu kehidupan lebah? (5) Solusi jika terjadi hujan dan angin terhadap performa load cell? (6) untuk servo MG995R apa yakin torsi motor ini kuat u/ membuka open tube system</v>
      </c>
      <c r="T3" s="20" t="str">
        <f ca="1">IFERROR(__xludf.DUMMYFUNCTION("IFERROR(vlookup(B3,IMPORTRANGE(""https://docs.google.com/spreadsheets/d/1g_jfYYK_KeipEDNDUgqgrsxK94XiocfNQIcP-v1QVhI/edit?resourcekey#gid=233272945"",""Nilai!B:CT""),97,0),"" "")"),"LAYAK UPLOAD KE SIMBELMAWA DENGAN REVISI")</f>
        <v>LAYAK UPLOAD KE SIMBELMAWA DENGAN REVISI</v>
      </c>
      <c r="U3" s="45" t="s">
        <v>748</v>
      </c>
      <c r="V3" s="51">
        <f ca="1">IFERROR(__xludf.DUMMYFUNCTION("IFERROR(
        vlookup(B3,
                IMPORTRANGE(""https://docs.google.com/spreadsheets/d/1dN4XwmJdILpQh5cYONP2LyBh3ksWo6DCzMrUbN3lo_Q/edit#gid=1905254675"",
                        ""Form Responses 1!F2:I""),
                4,
                fa"&amp;"lse))"),149)</f>
        <v>149</v>
      </c>
      <c r="W3" s="46" t="s">
        <v>1207</v>
      </c>
      <c r="X3" s="23" t="s">
        <v>1208</v>
      </c>
      <c r="Y3" s="19" t="b">
        <v>1</v>
      </c>
    </row>
    <row r="4" spans="1:25">
      <c r="A4" s="15">
        <v>2</v>
      </c>
      <c r="B4" s="15">
        <f ca="1">IFERROR(__xludf.DUMMYFUNCTION("""COMPUTED_VALUE"""),2514)</f>
        <v>2514</v>
      </c>
      <c r="C4" s="49" t="str">
        <f ca="1">IFERROR(__xludf.DUMMYFUNCTION("""COMPUTED_VALUE"""),"Phahul Zhemas Zul Nehan")</f>
        <v>Phahul Zhemas Zul Nehan</v>
      </c>
      <c r="D4" s="49" t="str">
        <f ca="1">IFERROR(__xludf.DUMMYFUNCTION("""COMPUTED_VALUE"""),"01111940000004")</f>
        <v>01111940000004</v>
      </c>
      <c r="E4" s="49" t="str">
        <f ca="1">IFERROR(__xludf.DUMMYFUNCTION("""COMPUTED_VALUE"""),"Departemen Fisika")</f>
        <v>Departemen Fisika</v>
      </c>
      <c r="F4" s="49" t="str">
        <f ca="1">IFERROR(__xludf.DUMMYFUNCTION("""COMPUTED_VALUE"""),"Penerapan Penyimpanan Pascapanen Berbasis Instore Drying dan Panel Surya Cerdas untuk Menjaga Mutu Bawang Merah Berkualitas di Kabupaten Nganjuk")</f>
        <v>Penerapan Penyimpanan Pascapanen Berbasis Instore Drying dan Panel Surya Cerdas untuk Menjaga Mutu Bawang Merah Berkualitas di Kabupaten Nganjuk</v>
      </c>
      <c r="G4" s="49" t="str">
        <f ca="1">IFERROR(__xludf.DUMMYFUNCTION("""COMPUTED_VALUE"""),"Dr. Suyatno, S.Si., M.Si.")</f>
        <v>Dr. Suyatno, S.Si., M.Si.</v>
      </c>
      <c r="H4" s="49" t="str">
        <f ca="1">IFERROR(__xludf.DUMMYFUNCTION("""COMPUTED_VALUE"""),"Ir. Nur Husodo, M.S")</f>
        <v>Ir. Nur Husodo, M.S</v>
      </c>
      <c r="I4" s="49" t="str">
        <f ca="1">IFERROR(__xludf.DUMMYFUNCTION("""COMPUTED_VALUE"""),"Ciptian Weried Priananda, S.ST., M.T.")</f>
        <v>Ciptian Weried Priananda, S.ST., M.T.</v>
      </c>
      <c r="J4" s="49"/>
      <c r="K4" s="34" t="s">
        <v>1204</v>
      </c>
      <c r="L4" s="23" t="s">
        <v>1205</v>
      </c>
      <c r="M4" s="19" t="b">
        <v>1</v>
      </c>
      <c r="N4" s="19" t="b">
        <v>0</v>
      </c>
      <c r="O4" s="1" t="s">
        <v>997</v>
      </c>
      <c r="P4" s="7" t="str">
        <f ca="1">IFERROR(__xludf.DUMMYFUNCTION("iferror(vlookup(B4,importrange(""https://docs.google.com/spreadsheets/d/1boHyJQ4e2FU0QG8MHwEi6qjX4hvZWVCHcFfXjq7bbMc/edit?resourcekey#gid=923248883"",""Prop!$C$1:$M""),12,0),IFERROR(vlookup(B4,importrange(""https://docs.google.com/spreadsheets/d/1boHyJQ4e"&amp;"2FU0QG8MHwEi6qjX4hvZWVCHcFfXjq7bbMc/edit?resourcekey#gid=923248883"",""Prop!$N$1:$X""),11,0),iferror(vlookup(B4,importrange(""https://docs.google.com/spreadsheets/d/1boHyJQ4e2FU0QG8MHwEi6qjX4hvZWVCHcFfXjq7bbMc/edit?resourcekey#gid=923248883"",""Prop!$Y$1:"&amp;"$AI""),11,0),iferror(vlookup(B4,importrange(""https://docs.google.com/spreadsheets/d/1boHyJQ4e2FU0QG8MHwEi6qjX4hvZWVCHcFfXjq7bbMc/edit?resourcekey#gid=923248883"",""Prop!$AJ$1:$AT""),11,0),iferror(vlookup(B4,importrange(""https://docs.google.com/spreadshe"&amp;"ets/d/1boHyJQ4e2FU0QG8MHwEi6qjX4hvZWVCHcFfXjq7bbMc/edit?resourcekey#gid=923248883"",""Prop!$AU$1:$BE""),11,0),iferror(vlookup(B4,importrange(""https://docs.google.com/spreadsheets/d/1boHyJQ4e2FU0QG8MHwEi6qjX4hvZWVCHcFfXjq7bbMc/edit?resourcekey#gid=9232488"&amp;"83"",""Prop!$BF$1:$BP""),11,0),iferror(vlookup(B4,importrange(""https://docs.google.com/spreadsheets/d/1boHyJQ4e2FU0QG8MHwEi6qjX4hvZWVCHcFfXjq7bbMc/edit?resourcekey#gid=923248883"",""Prop!$BQ$1:$CA""),11,0),iferror(vlookup(B4,importrange(""https://docs.go"&amp;"ogle.com/spreadsheets/d/1boHyJQ4e2FU0QG8MHwEi6qjX4hvZWVCHcFfXjq7bbMc/edit?resourcekey#gid=923248883"",""Prop!$CB$1:$CL""),11,0),iferror(vlookup(B4,importrange(""https://docs.google.com/spreadsheets/d/1boHyJQ4e2FU0QG8MHwEi6qjX4hvZWVCHcFfXjq7bbMc/edit?resou"&amp;"rcekey#gid=923248883"",""Prop!$CM$1:$CX""),12,0),iferror(vlookup(B4,importrange(""https://docs.google.com/spreadsheets/d/1boHyJQ4e2FU0QG8MHwEi6qjX4hvZWVCHcFfXjq7bbMc/edit?resourcekey#gid=923248883"",""Prop!$CV$1:$DI""),11,0)))))))))))"),"https://drive.google.com/open?id=1tb-dnBwBeaaYAahzC9gkyL4lu6-td9SZ")</f>
        <v>https://drive.google.com/open?id=1tb-dnBwBeaaYAahzC9gkyL4lu6-td9SZ</v>
      </c>
      <c r="Q4" s="50" t="str">
        <f ca="1">IFERROR(__xludf.DUMMYFUNCTION("iferror(vlookup(B4,importrange(""https://docs.google.com/spreadsheets/d/1p53T2AuvvIqhP7Nf-bo3Uhj8cbKYRPpZdsrBv3x3bAQ/edit?resourcekey#gid=1321652304"",""Prop!$C$1:$M""),11,0),IFERROR(vlookup(B4,importrange(""https://docs.google.com/spreadsheets/d/1p53T2Au"&amp;"vvIqhP7Nf-bo3Uhj8cbKYRPpZdsrBv3x3bAQ/edit?resourcekey#gid=1321652304"",""Prop!$N$1:$X""),11,0),iferror(vlookup(B4,importrange(""https://docs.google.com/spreadsheets/d/1p53T2AuvvIqhP7Nf-bo3Uhj8cbKYRPpZdsrBv3x3bAQ/edit?resourcekey#gid=1321652304"",""Prop!$Y"&amp;"$1:$AI""),11,0),iferror(vlookup(B4,importrange(""https://docs.google.com/spreadsheets/d/1p53T2AuvvIqhP7Nf-bo3Uhj8cbKYRPpZdsrBv3x3bAQ/edit?resourcekey#gid=1321652304"",""Prop!$AJ$1:$AT""),11,0),iferror(vlookup(B4,importrange(""https://docs.google.com/sprea"&amp;"dsheets/d/1p53T2AuvvIqhP7Nf-bo3Uhj8cbKYRPpZdsrBv3x3bAQ/edit?resourcekey#gid=1321652304"",""Prop!$AU$1:$BE""),11,0),iferror(vlookup(B4,importrange(""https://docs.google.com/spreadsheets/d/1p53T2AuvvIqhP7Nf-bo3Uhj8cbKYRPpZdsrBv3x3bAQ/edit?resourcekey#gid=13"&amp;"21652304"",""Prop!$BF$1:$BP""),11,0),iferror(vlookup(B4,importrange(""https://docs.google.com/spreadsheets/d/1p53T2AuvvIqhP7Nf-bo3Uhj8cbKYRPpZdsrBv3x3bAQ/edit?resourcekey#gid=1321652304"",""Prop!$BQ$1:$CA""),11,0),iferror(vlookup(B4,importrange(""https://"&amp;"docs.google.com/spreadsheets/d/1p53T2AuvvIqhP7Nf-bo3Uhj8cbKYRPpZdsrBv3x3bAQ/edit?resourcekey#gid=1321652304"",""Prop!$CB$1:$CL""),11,0),iferror(vlookup(B4,importrange(""https://docs.google.com/spreadsheets/d/1p53T2AuvvIqhP7Nf-bo3Uhj8cbKYRPpZdsrBv3x3bAQ/ed"&amp;"it?resourcekey#gid=1321652304"",""Prop!$CM$1:$CX""),12,0),iferror(vlookup(B4,importrange(""https://docs.google.com/spreadsheets/d/1p53T2AuvvIqhP7Nf-bo3Uhj8cbKYRPpZdsrBv3x3bAQ/edit?resourcekey#gid=1321652304"",""Prop!$CY$1:$DI""),11,0)))))))))))"),"https://drive.google.com/open?id=1M7UKj-hXrL-93MHh9pZEBw5TNjTg5PxZ")</f>
        <v>https://drive.google.com/open?id=1M7UKj-hXrL-93MHh9pZEBw5TNjTg5PxZ</v>
      </c>
      <c r="R4" s="92" t="s">
        <v>1206</v>
      </c>
      <c r="S4" s="20" t="str">
        <f ca="1">IFERROR(__xludf.DUMMYFUNCTION("IFERROR(vlookup(B4,IMPORTRANGE(""https://docs.google.com/spreadsheets/d/1g_jfYYK_KeipEDNDUgqgrsxK94XiocfNQIcP-v1QVhI/edit?resourcekey#gid=233272945"",""Nilai!B:CT""),46,0),"" "")"),"(1) Rumusan masalah&amp;tujuan no 1 dihilangkan karena ""merancang dan mendesain"" adalah kata kunci PKM-KC (2) Rumusan masalah no 3 dijadikan no 1 dan dirubah kalimatnya menjadi "" dijadikan no 1 dan diganti "" Bagaimana meningkatkan mutu pascapanen bawang m"&amp;"erah unggulan untuk memenuhi kriteria Standar Nasional Indonesia menggunakan instore drying?, sedangkan tujuan no 3 diganti dan mengikuti perubahan ini (3)  Di latar belakang perlu gambaran keuntungan mitra jika menggunakan alat ini dalam Rupiah (4)")</f>
        <v>(1) Rumusan masalah&amp;tujuan no 1 dihilangkan karena "merancang dan mendesain" adalah kata kunci PKM-KC (2) Rumusan masalah no 3 dijadikan no 1 dan dirubah kalimatnya menjadi " dijadikan no 1 dan diganti " Bagaimana meningkatkan mutu pascapanen bawang merah unggulan untuk memenuhi kriteria Standar Nasional Indonesia menggunakan instore drying?, sedangkan tujuan no 3 diganti dan mengikuti perubahan ini (3)  Di latar belakang perlu gambaran keuntungan mitra jika menggunakan alat ini dalam Rupiah (4)</v>
      </c>
      <c r="T4" s="20" t="str">
        <f ca="1">IFERROR(__xludf.DUMMYFUNCTION("IFERROR(vlookup(B4,IMPORTRANGE(""https://docs.google.com/spreadsheets/d/1g_jfYYK_KeipEDNDUgqgrsxK94XiocfNQIcP-v1QVhI/edit?resourcekey#gid=233272945"",""Nilai!B:CT""),97,0),"" "")"),"LAYAK UPLOAD KE SIMBELMAWA DENGAN REVISI")</f>
        <v>LAYAK UPLOAD KE SIMBELMAWA DENGAN REVISI</v>
      </c>
      <c r="U4" s="45" t="s">
        <v>748</v>
      </c>
      <c r="V4" s="38">
        <f ca="1">IFERROR(__xludf.DUMMYFUNCTION("IFERROR(
        vlookup(B4,
                IMPORTRANGE(""https://docs.google.com/spreadsheets/d/1dN4XwmJdILpQh5cYONP2LyBh3ksWo6DCzMrUbN3lo_Q/edit#gid=1905254675"",
                        ""Form Responses 1!F2:I""),
                4,
                fa"&amp;"lse))"),98.18)</f>
        <v>98.18</v>
      </c>
      <c r="W4" s="46" t="s">
        <v>1207</v>
      </c>
      <c r="X4" s="23" t="s">
        <v>1208</v>
      </c>
      <c r="Y4" s="19" t="b">
        <v>1</v>
      </c>
    </row>
    <row r="5" spans="1:25">
      <c r="A5" s="15">
        <v>3</v>
      </c>
      <c r="B5" s="15">
        <f ca="1">IFERROR(__xludf.DUMMYFUNCTION("""COMPUTED_VALUE"""),3600)</f>
        <v>3600</v>
      </c>
      <c r="C5" s="49" t="str">
        <f ca="1">IFERROR(__xludf.DUMMYFUNCTION("""COMPUTED_VALUE"""),"ALYA OKTIA PUTRI")</f>
        <v>ALYA OKTIA PUTRI</v>
      </c>
      <c r="D5" s="49" t="str">
        <f ca="1">IFERROR(__xludf.DUMMYFUNCTION("""COMPUTED_VALUE"""),"5010201098")</f>
        <v>5010201098</v>
      </c>
      <c r="E5" s="49" t="str">
        <f ca="1">IFERROR(__xludf.DUMMYFUNCTION("""COMPUTED_VALUE"""),"Departemen Teknik Sistem dan Industri")</f>
        <v>Departemen Teknik Sistem dan Industri</v>
      </c>
      <c r="F5" s="49" t="str">
        <f ca="1">IFERROR(__xludf.DUMMYFUNCTION("""COMPUTED_VALUE"""),"Penanganan Masalah Penumpukkan Kendaraan Menuju Lembah Mbencirang Menggunakan Jembatan Karakuri ""GM-Traffic""")</f>
        <v>Penanganan Masalah Penumpukkan Kendaraan Menuju Lembah Mbencirang Menggunakan Jembatan Karakuri "GM-Traffic"</v>
      </c>
      <c r="G5" s="49" t="str">
        <f ca="1">IFERROR(__xludf.DUMMYFUNCTION("""COMPUTED_VALUE"""),"Yudha Prasetyawan, S.T., M.Eng.")</f>
        <v>Yudha Prasetyawan, S.T., M.Eng.</v>
      </c>
      <c r="H5" s="49" t="str">
        <f ca="1">IFERROR(__xludf.DUMMYFUNCTION("""COMPUTED_VALUE"""),"Ir. Nur Husodo, M.S")</f>
        <v>Ir. Nur Husodo, M.S</v>
      </c>
      <c r="I5" s="49" t="str">
        <f ca="1">IFERROR(__xludf.DUMMYFUNCTION("""COMPUTED_VALUE"""),"Muhammad Syifaul Mufid, S.Si.,M.Si")</f>
        <v>Muhammad Syifaul Mufid, S.Si.,M.Si</v>
      </c>
      <c r="J5" s="49"/>
      <c r="K5" s="34" t="s">
        <v>1204</v>
      </c>
      <c r="L5" s="23" t="s">
        <v>1205</v>
      </c>
      <c r="M5" s="19" t="b">
        <v>1</v>
      </c>
      <c r="N5" s="19" t="b">
        <v>0</v>
      </c>
      <c r="O5" s="1" t="s">
        <v>997</v>
      </c>
      <c r="P5" s="7" t="str">
        <f ca="1">IFERROR(__xludf.DUMMYFUNCTION("iferror(vlookup(B5,importrange(""https://docs.google.com/spreadsheets/d/1boHyJQ4e2FU0QG8MHwEi6qjX4hvZWVCHcFfXjq7bbMc/edit?resourcekey#gid=923248883"",""Prop!$C$1:$M""),12,0),IFERROR(vlookup(B5,importrange(""https://docs.google.com/spreadsheets/d/1boHyJQ4e"&amp;"2FU0QG8MHwEi6qjX4hvZWVCHcFfXjq7bbMc/edit?resourcekey#gid=923248883"",""Prop!$N$1:$X""),11,0),iferror(vlookup(B5,importrange(""https://docs.google.com/spreadsheets/d/1boHyJQ4e2FU0QG8MHwEi6qjX4hvZWVCHcFfXjq7bbMc/edit?resourcekey#gid=923248883"",""Prop!$Y$1:"&amp;"$AI""),11,0),iferror(vlookup(B5,importrange(""https://docs.google.com/spreadsheets/d/1boHyJQ4e2FU0QG8MHwEi6qjX4hvZWVCHcFfXjq7bbMc/edit?resourcekey#gid=923248883"",""Prop!$AJ$1:$AT""),11,0),iferror(vlookup(B5,importrange(""https://docs.google.com/spreadshe"&amp;"ets/d/1boHyJQ4e2FU0QG8MHwEi6qjX4hvZWVCHcFfXjq7bbMc/edit?resourcekey#gid=923248883"",""Prop!$AU$1:$BE""),11,0),iferror(vlookup(B5,importrange(""https://docs.google.com/spreadsheets/d/1boHyJQ4e2FU0QG8MHwEi6qjX4hvZWVCHcFfXjq7bbMc/edit?resourcekey#gid=9232488"&amp;"83"",""Prop!$BF$1:$BP""),11,0),iferror(vlookup(B5,importrange(""https://docs.google.com/spreadsheets/d/1boHyJQ4e2FU0QG8MHwEi6qjX4hvZWVCHcFfXjq7bbMc/edit?resourcekey#gid=923248883"",""Prop!$BQ$1:$CA""),11,0),iferror(vlookup(B5,importrange(""https://docs.go"&amp;"ogle.com/spreadsheets/d/1boHyJQ4e2FU0QG8MHwEi6qjX4hvZWVCHcFfXjq7bbMc/edit?resourcekey#gid=923248883"",""Prop!$CB$1:$CL""),11,0),iferror(vlookup(B5,importrange(""https://docs.google.com/spreadsheets/d/1boHyJQ4e2FU0QG8MHwEi6qjX4hvZWVCHcFfXjq7bbMc/edit?resou"&amp;"rcekey#gid=923248883"",""Prop!$CM$1:$CX""),12,0),iferror(vlookup(B5,importrange(""https://docs.google.com/spreadsheets/d/1boHyJQ4e2FU0QG8MHwEi6qjX4hvZWVCHcFfXjq7bbMc/edit?resourcekey#gid=923248883"",""Prop!$CV$1:$DI""),11,0)))))))))))"),"https://drive.google.com/open?id=1wF5Z__iEZ_Cpl65lQwoF8U1DRLrjlaCt")</f>
        <v>https://drive.google.com/open?id=1wF5Z__iEZ_Cpl65lQwoF8U1DRLrjlaCt</v>
      </c>
      <c r="Q5" s="50" t="str">
        <f ca="1">IFERROR(__xludf.DUMMYFUNCTION("iferror(vlookup(B5,importrange(""https://docs.google.com/spreadsheets/d/1p53T2AuvvIqhP7Nf-bo3Uhj8cbKYRPpZdsrBv3x3bAQ/edit?resourcekey#gid=1321652304"",""Prop!$C$1:$M""),11,0),IFERROR(vlookup(B5,importrange(""https://docs.google.com/spreadsheets/d/1p53T2Au"&amp;"vvIqhP7Nf-bo3Uhj8cbKYRPpZdsrBv3x3bAQ/edit?resourcekey#gid=1321652304"",""Prop!$N$1:$X""),11,0),iferror(vlookup(B5,importrange(""https://docs.google.com/spreadsheets/d/1p53T2AuvvIqhP7Nf-bo3Uhj8cbKYRPpZdsrBv3x3bAQ/edit?resourcekey#gid=1321652304"",""Prop!$Y"&amp;"$1:$AI""),11,0),iferror(vlookup(B5,importrange(""https://docs.google.com/spreadsheets/d/1p53T2AuvvIqhP7Nf-bo3Uhj8cbKYRPpZdsrBv3x3bAQ/edit?resourcekey#gid=1321652304"",""Prop!$AJ$1:$AT""),11,0),iferror(vlookup(B5,importrange(""https://docs.google.com/sprea"&amp;"dsheets/d/1p53T2AuvvIqhP7Nf-bo3Uhj8cbKYRPpZdsrBv3x3bAQ/edit?resourcekey#gid=1321652304"",""Prop!$AU$1:$BE""),11,0),iferror(vlookup(B5,importrange(""https://docs.google.com/spreadsheets/d/1p53T2AuvvIqhP7Nf-bo3Uhj8cbKYRPpZdsrBv3x3bAQ/edit?resourcekey#gid=13"&amp;"21652304"",""Prop!$BF$1:$BP""),11,0),iferror(vlookup(B5,importrange(""https://docs.google.com/spreadsheets/d/1p53T2AuvvIqhP7Nf-bo3Uhj8cbKYRPpZdsrBv3x3bAQ/edit?resourcekey#gid=1321652304"",""Prop!$BQ$1:$CA""),11,0),iferror(vlookup(B5,importrange(""https://"&amp;"docs.google.com/spreadsheets/d/1p53T2AuvvIqhP7Nf-bo3Uhj8cbKYRPpZdsrBv3x3bAQ/edit?resourcekey#gid=1321652304"",""Prop!$CB$1:$CL""),11,0),iferror(vlookup(B5,importrange(""https://docs.google.com/spreadsheets/d/1p53T2AuvvIqhP7Nf-bo3Uhj8cbKYRPpZdsrBv3x3bAQ/ed"&amp;"it?resourcekey#gid=1321652304"",""Prop!$CM$1:$CX""),12,0),iferror(vlookup(B5,importrange(""https://docs.google.com/spreadsheets/d/1p53T2AuvvIqhP7Nf-bo3Uhj8cbKYRPpZdsrBv3x3bAQ/edit?resourcekey#gid=1321652304"",""Prop!$CY$1:$DI""),11,0)))))))))))"),"")</f>
        <v/>
      </c>
      <c r="R5" s="92" t="s">
        <v>1206</v>
      </c>
      <c r="S5" s="20" t="str">
        <f ca="1">IFERROR(__xludf.DUMMYFUNCTION("IFERROR(vlookup(B5,IMPORTRANGE(""https://docs.google.com/spreadsheets/d/1g_jfYYK_KeipEDNDUgqgrsxK94XiocfNQIcP-v1QVhI/edit?resourcekey#gid=233272945"",""Nilai!B:CT""),46,0),"" "")"),"(1) RAB perlu perbaikan (2) dalam flowchart kegiatan, mitra blm diikutsertakan dalam proses pelaksanaan. Mestinya di bagian perencanaan dan evaluasi/keberlanjutan program (3) keuntungan mitra dalam bentuk rupiah blm nampak. Kalo non-profit mestinya masuk "&amp;"PKM-PM saja")</f>
        <v>(1) RAB perlu perbaikan (2) dalam flowchart kegiatan, mitra blm diikutsertakan dalam proses pelaksanaan. Mestinya di bagian perencanaan dan evaluasi/keberlanjutan program (3) keuntungan mitra dalam bentuk rupiah blm nampak. Kalo non-profit mestinya masuk PKM-PM saja</v>
      </c>
      <c r="T5" s="20" t="str">
        <f ca="1">IFERROR(__xludf.DUMMYFUNCTION("IFERROR(vlookup(B5,IMPORTRANGE(""https://docs.google.com/spreadsheets/d/1g_jfYYK_KeipEDNDUgqgrsxK94XiocfNQIcP-v1QVhI/edit?resourcekey#gid=233272945"",""Nilai!B:CT""),97,0),"" "")"),"LAYAK UPLOAD KE SIMBELMAWA DENGAN REVISI")</f>
        <v>LAYAK UPLOAD KE SIMBELMAWA DENGAN REVISI</v>
      </c>
      <c r="U5" s="45" t="s">
        <v>748</v>
      </c>
      <c r="V5" s="38">
        <f ca="1">IFERROR(__xludf.DUMMYFUNCTION("IFERROR(
        vlookup(B5,
                IMPORTRANGE(""https://docs.google.com/spreadsheets/d/1dN4XwmJdILpQh5cYONP2LyBh3ksWo6DCzMrUbN3lo_Q/edit#gid=1905254675"",
                        ""Form Responses 1!F2:I""),
                4,
                fa"&amp;"lse))"),70)</f>
        <v>70</v>
      </c>
      <c r="W5" s="46" t="s">
        <v>1207</v>
      </c>
      <c r="X5" s="23" t="s">
        <v>1208</v>
      </c>
      <c r="Y5" s="19" t="b">
        <v>0</v>
      </c>
    </row>
    <row r="6" spans="1:25">
      <c r="A6" s="15">
        <v>4</v>
      </c>
      <c r="B6" s="15">
        <f ca="1">IFERROR(__xludf.DUMMYFUNCTION("""COMPUTED_VALUE"""),2670)</f>
        <v>2670</v>
      </c>
      <c r="C6" s="49" t="str">
        <f ca="1">IFERROR(__xludf.DUMMYFUNCTION("""COMPUTED_VALUE"""),"MOCHAMAD HELMI ZUKHRUF")</f>
        <v>MOCHAMAD HELMI ZUKHRUF</v>
      </c>
      <c r="D6" s="49" t="str">
        <f ca="1">IFERROR(__xludf.DUMMYFUNCTION("""COMPUTED_VALUE"""),"5009201024")</f>
        <v>5009201024</v>
      </c>
      <c r="E6" s="49" t="str">
        <f ca="1">IFERROR(__xludf.DUMMYFUNCTION("""COMPUTED_VALUE"""),"Departemen Teknik Fisika")</f>
        <v>Departemen Teknik Fisika</v>
      </c>
      <c r="F6" s="49" t="str">
        <f ca="1">IFERROR(__xludf.DUMMYFUNCTION("""COMPUTED_VALUE"""),"Alat Pemastian Kualitas Bahan Pewarna Batik Berbasis Pengolahan Citra Sebagai Solusi Peningkatan Mutu Batik Griya Amirah")</f>
        <v>Alat Pemastian Kualitas Bahan Pewarna Batik Berbasis Pengolahan Citra Sebagai Solusi Peningkatan Mutu Batik Griya Amirah</v>
      </c>
      <c r="G6" s="49" t="str">
        <f ca="1">IFERROR(__xludf.DUMMYFUNCTION("""COMPUTED_VALUE"""),"Dr.rer.nat. Ir. Aulia Muhammad Taufiq Nasution, M.Sc.")</f>
        <v>Dr.rer.nat. Ir. Aulia Muhammad Taufiq Nasution, M.Sc.</v>
      </c>
      <c r="H6" s="49" t="str">
        <f ca="1">IFERROR(__xludf.DUMMYFUNCTION("""COMPUTED_VALUE"""),"Ir. Nur Husodo, M.S")</f>
        <v>Ir. Nur Husodo, M.S</v>
      </c>
      <c r="I6" s="49" t="str">
        <f ca="1">IFERROR(__xludf.DUMMYFUNCTION("""COMPUTED_VALUE"""),"Muhammad Syifaul Mufid, S.Si.,M.Si")</f>
        <v>Muhammad Syifaul Mufid, S.Si.,M.Si</v>
      </c>
      <c r="J6" s="49"/>
      <c r="K6" s="34" t="s">
        <v>1204</v>
      </c>
      <c r="L6" s="23" t="s">
        <v>1205</v>
      </c>
      <c r="M6" s="19" t="b">
        <v>1</v>
      </c>
      <c r="N6" s="19" t="b">
        <v>1</v>
      </c>
      <c r="O6" s="1" t="s">
        <v>997</v>
      </c>
      <c r="P6" s="7" t="str">
        <f ca="1">IFERROR(__xludf.DUMMYFUNCTION("iferror(vlookup(B6,importrange(""https://docs.google.com/spreadsheets/d/1boHyJQ4e2FU0QG8MHwEi6qjX4hvZWVCHcFfXjq7bbMc/edit?resourcekey#gid=923248883"",""Prop!$C$1:$M""),12,0),IFERROR(vlookup(B6,importrange(""https://docs.google.com/spreadsheets/d/1boHyJQ4e"&amp;"2FU0QG8MHwEi6qjX4hvZWVCHcFfXjq7bbMc/edit?resourcekey#gid=923248883"",""Prop!$N$1:$X""),11,0),iferror(vlookup(B6,importrange(""https://docs.google.com/spreadsheets/d/1boHyJQ4e2FU0QG8MHwEi6qjX4hvZWVCHcFfXjq7bbMc/edit?resourcekey#gid=923248883"",""Prop!$Y$1:"&amp;"$AI""),11,0),iferror(vlookup(B6,importrange(""https://docs.google.com/spreadsheets/d/1boHyJQ4e2FU0QG8MHwEi6qjX4hvZWVCHcFfXjq7bbMc/edit?resourcekey#gid=923248883"",""Prop!$AJ$1:$AT""),11,0),iferror(vlookup(B6,importrange(""https://docs.google.com/spreadshe"&amp;"ets/d/1boHyJQ4e2FU0QG8MHwEi6qjX4hvZWVCHcFfXjq7bbMc/edit?resourcekey#gid=923248883"",""Prop!$AU$1:$BE""),11,0),iferror(vlookup(B6,importrange(""https://docs.google.com/spreadsheets/d/1boHyJQ4e2FU0QG8MHwEi6qjX4hvZWVCHcFfXjq7bbMc/edit?resourcekey#gid=9232488"&amp;"83"",""Prop!$BF$1:$BP""),11,0),iferror(vlookup(B6,importrange(""https://docs.google.com/spreadsheets/d/1boHyJQ4e2FU0QG8MHwEi6qjX4hvZWVCHcFfXjq7bbMc/edit?resourcekey#gid=923248883"",""Prop!$BQ$1:$CA""),11,0),iferror(vlookup(B6,importrange(""https://docs.go"&amp;"ogle.com/spreadsheets/d/1boHyJQ4e2FU0QG8MHwEi6qjX4hvZWVCHcFfXjq7bbMc/edit?resourcekey#gid=923248883"",""Prop!$CB$1:$CL""),11,0),iferror(vlookup(B6,importrange(""https://docs.google.com/spreadsheets/d/1boHyJQ4e2FU0QG8MHwEi6qjX4hvZWVCHcFfXjq7bbMc/edit?resou"&amp;"rcekey#gid=923248883"",""Prop!$CM$1:$CX""),12,0),iferror(vlookup(B6,importrange(""https://docs.google.com/spreadsheets/d/1boHyJQ4e2FU0QG8MHwEi6qjX4hvZWVCHcFfXjq7bbMc/edit?resourcekey#gid=923248883"",""Prop!$CV$1:$DI""),11,0)))))))))))"),"https://drive.google.com/open?id=1nwyBjI-1AaooxCUS8X2YLQ7aZ8fU1g_9")</f>
        <v>https://drive.google.com/open?id=1nwyBjI-1AaooxCUS8X2YLQ7aZ8fU1g_9</v>
      </c>
      <c r="Q6" s="50" t="str">
        <f ca="1">IFERROR(__xludf.DUMMYFUNCTION("iferror(vlookup(B6,importrange(""https://docs.google.com/spreadsheets/d/1p53T2AuvvIqhP7Nf-bo3Uhj8cbKYRPpZdsrBv3x3bAQ/edit?resourcekey#gid=1321652304"",""Prop!$C$1:$M""),11,0),IFERROR(vlookup(B6,importrange(""https://docs.google.com/spreadsheets/d/1p53T2Au"&amp;"vvIqhP7Nf-bo3Uhj8cbKYRPpZdsrBv3x3bAQ/edit?resourcekey#gid=1321652304"",""Prop!$N$1:$X""),11,0),iferror(vlookup(B6,importrange(""https://docs.google.com/spreadsheets/d/1p53T2AuvvIqhP7Nf-bo3Uhj8cbKYRPpZdsrBv3x3bAQ/edit?resourcekey#gid=1321652304"",""Prop!$Y"&amp;"$1:$AI""),11,0),iferror(vlookup(B6,importrange(""https://docs.google.com/spreadsheets/d/1p53T2AuvvIqhP7Nf-bo3Uhj8cbKYRPpZdsrBv3x3bAQ/edit?resourcekey#gid=1321652304"",""Prop!$AJ$1:$AT""),11,0),iferror(vlookup(B6,importrange(""https://docs.google.com/sprea"&amp;"dsheets/d/1p53T2AuvvIqhP7Nf-bo3Uhj8cbKYRPpZdsrBv3x3bAQ/edit?resourcekey#gid=1321652304"",""Prop!$AU$1:$BE""),11,0),iferror(vlookup(B6,importrange(""https://docs.google.com/spreadsheets/d/1p53T2AuvvIqhP7Nf-bo3Uhj8cbKYRPpZdsrBv3x3bAQ/edit?resourcekey#gid=13"&amp;"21652304"",""Prop!$BF$1:$BP""),11,0),iferror(vlookup(B6,importrange(""https://docs.google.com/spreadsheets/d/1p53T2AuvvIqhP7Nf-bo3Uhj8cbKYRPpZdsrBv3x3bAQ/edit?resourcekey#gid=1321652304"",""Prop!$BQ$1:$CA""),11,0),iferror(vlookup(B6,importrange(""https://"&amp;"docs.google.com/spreadsheets/d/1p53T2AuvvIqhP7Nf-bo3Uhj8cbKYRPpZdsrBv3x3bAQ/edit?resourcekey#gid=1321652304"",""Prop!$CB$1:$CL""),11,0),iferror(vlookup(B6,importrange(""https://docs.google.com/spreadsheets/d/1p53T2AuvvIqhP7Nf-bo3Uhj8cbKYRPpZdsrBv3x3bAQ/ed"&amp;"it?resourcekey#gid=1321652304"",""Prop!$CM$1:$CX""),12,0),iferror(vlookup(B6,importrange(""https://docs.google.com/spreadsheets/d/1p53T2AuvvIqhP7Nf-bo3Uhj8cbKYRPpZdsrBv3x3bAQ/edit?resourcekey#gid=1321652304"",""Prop!$CY$1:$DI""),11,0)))))))))))"),"https://drive.google.com/open?id=1kK8Q3RKvi8ROKATpyvxoe9-2AObMoTPD")</f>
        <v>https://drive.google.com/open?id=1kK8Q3RKvi8ROKATpyvxoe9-2AObMoTPD</v>
      </c>
      <c r="R6" s="92" t="s">
        <v>1206</v>
      </c>
      <c r="S6" s="20" t="str">
        <f ca="1">IFERROR(__xludf.DUMMYFUNCTION("IFERROR(vlookup(B6,IMPORTRANGE(""https://docs.google.com/spreadsheets/d/1g_jfYYK_KeipEDNDUgqgrsxK94XiocfNQIcP-v1QVhI/edit?resourcekey#gid=233272945"",""Nilai!B:CT""),46,0),"" "")"),"(1) omzet 9 juta/bulan saya rasa terlalu kecil jika dimungkin mencari mitra dengan omzet yg lebih besar (2) potensi keuntungan mitra masih blm dijelaskan (3) potensi keuntungan mitra masih blm ada (4) untuk diagrama lir pelaksanaan perlu validasi performa"&amp;"nce alat (5) hasil warna sudah ok atau blm pada alat ini bgmn cara menentukanya? parameter yg dijadikan indikasi warna sudah ok apa?")</f>
        <v>(1) omzet 9 juta/bulan saya rasa terlalu kecil jika dimungkin mencari mitra dengan omzet yg lebih besar (2) potensi keuntungan mitra masih blm dijelaskan (3) potensi keuntungan mitra masih blm ada (4) untuk diagrama lir pelaksanaan perlu validasi performance alat (5) hasil warna sudah ok atau blm pada alat ini bgmn cara menentukanya? parameter yg dijadikan indikasi warna sudah ok apa?</v>
      </c>
      <c r="T6" s="20" t="str">
        <f ca="1">IFERROR(__xludf.DUMMYFUNCTION("IFERROR(vlookup(B6,IMPORTRANGE(""https://docs.google.com/spreadsheets/d/1g_jfYYK_KeipEDNDUgqgrsxK94XiocfNQIcP-v1QVhI/edit?resourcekey#gid=233272945"",""Nilai!B:CT""),97,0),"" "")"),"LAYAK UPLOAD KE SIMBELMAWA DENGAN REVISI")</f>
        <v>LAYAK UPLOAD KE SIMBELMAWA DENGAN REVISI</v>
      </c>
      <c r="U6" s="45" t="s">
        <v>748</v>
      </c>
      <c r="V6" s="38">
        <f ca="1">IFERROR(__xludf.DUMMYFUNCTION("IFERROR(
        vlookup(B6,
                IMPORTRANGE(""https://docs.google.com/spreadsheets/d/1dN4XwmJdILpQh5cYONP2LyBh3ksWo6DCzMrUbN3lo_Q/edit#gid=1905254675"",
                        ""Form Responses 1!F2:I""),
                4,
                fa"&amp;"lse))"),8.7)</f>
        <v>8.6999999999999993</v>
      </c>
      <c r="W6" s="46" t="s">
        <v>1207</v>
      </c>
      <c r="X6" s="23" t="s">
        <v>1208</v>
      </c>
      <c r="Y6" s="19" t="b">
        <v>1</v>
      </c>
    </row>
    <row r="7" spans="1:25">
      <c r="A7" s="15">
        <v>5</v>
      </c>
      <c r="B7" s="15">
        <f ca="1">IFERROR(__xludf.DUMMYFUNCTION("""COMPUTED_VALUE"""),2681)</f>
        <v>2681</v>
      </c>
      <c r="C7" s="49" t="str">
        <f ca="1">IFERROR(__xludf.DUMMYFUNCTION("""COMPUTED_VALUE"""),"Ivan Rajendra D. A.")</f>
        <v>Ivan Rajendra D. A.</v>
      </c>
      <c r="D7" s="49" t="str">
        <f ca="1">IFERROR(__xludf.DUMMYFUNCTION("""COMPUTED_VALUE"""),"5022211135")</f>
        <v>5022211135</v>
      </c>
      <c r="E7" s="49" t="str">
        <f ca="1">IFERROR(__xludf.DUMMYFUNCTION("""COMPUTED_VALUE"""),"Departemen Teknik Elektro")</f>
        <v>Departemen Teknik Elektro</v>
      </c>
      <c r="F7" s="49" t="str">
        <f ca="1">IFERROR(__xludf.DUMMYFUNCTION("""COMPUTED_VALUE"""),"Sistem Pengusir Hama dengan Konsep Panel Baterai dan Gelombang Ultrasonik untuk Peningkatan Produktivitas Petani Bawang Merah di Nganjuk")</f>
        <v>Sistem Pengusir Hama dengan Konsep Panel Baterai dan Gelombang Ultrasonik untuk Peningkatan Produktivitas Petani Bawang Merah di Nganjuk</v>
      </c>
      <c r="G7" s="49" t="str">
        <f ca="1">IFERROR(__xludf.DUMMYFUNCTION("""COMPUTED_VALUE"""),"Dr. Dimas Fajar Uman Putra, S.T., M.T.")</f>
        <v>Dr. Dimas Fajar Uman Putra, S.T., M.T.</v>
      </c>
      <c r="H7" s="49" t="str">
        <f ca="1">IFERROR(__xludf.DUMMYFUNCTION("""COMPUTED_VALUE"""),"Dr. Dhany Arifianto, S.T., M.Eng.")</f>
        <v>Dr. Dhany Arifianto, S.T., M.Eng.</v>
      </c>
      <c r="I7" s="49" t="str">
        <f ca="1">IFERROR(__xludf.DUMMYFUNCTION("""COMPUTED_VALUE"""),"Muhammad Syifaul Mufid, S.Si.,M.Si")</f>
        <v>Muhammad Syifaul Mufid, S.Si.,M.Si</v>
      </c>
      <c r="J7" s="49"/>
      <c r="K7" s="34" t="s">
        <v>1204</v>
      </c>
      <c r="L7" s="23" t="s">
        <v>1205</v>
      </c>
      <c r="M7" s="19" t="b">
        <v>1</v>
      </c>
      <c r="N7" s="19" t="b">
        <v>0</v>
      </c>
      <c r="O7" s="1" t="s">
        <v>1209</v>
      </c>
      <c r="P7" s="7" t="str">
        <f ca="1">IFERROR(__xludf.DUMMYFUNCTION("iferror(vlookup(B7,importrange(""https://docs.google.com/spreadsheets/d/1boHyJQ4e2FU0QG8MHwEi6qjX4hvZWVCHcFfXjq7bbMc/edit?resourcekey#gid=923248883"",""Prop!$C$1:$M""),12,0),IFERROR(vlookup(B7,importrange(""https://docs.google.com/spreadsheets/d/1boHyJQ4e"&amp;"2FU0QG8MHwEi6qjX4hvZWVCHcFfXjq7bbMc/edit?resourcekey#gid=923248883"",""Prop!$N$1:$X""),11,0),iferror(vlookup(B7,importrange(""https://docs.google.com/spreadsheets/d/1boHyJQ4e2FU0QG8MHwEi6qjX4hvZWVCHcFfXjq7bbMc/edit?resourcekey#gid=923248883"",""Prop!$Y$1:"&amp;"$AI""),11,0),iferror(vlookup(B7,importrange(""https://docs.google.com/spreadsheets/d/1boHyJQ4e2FU0QG8MHwEi6qjX4hvZWVCHcFfXjq7bbMc/edit?resourcekey#gid=923248883"",""Prop!$AJ$1:$AT""),11,0),iferror(vlookup(B7,importrange(""https://docs.google.com/spreadshe"&amp;"ets/d/1boHyJQ4e2FU0QG8MHwEi6qjX4hvZWVCHcFfXjq7bbMc/edit?resourcekey#gid=923248883"",""Prop!$AU$1:$BE""),11,0),iferror(vlookup(B7,importrange(""https://docs.google.com/spreadsheets/d/1boHyJQ4e2FU0QG8MHwEi6qjX4hvZWVCHcFfXjq7bbMc/edit?resourcekey#gid=9232488"&amp;"83"",""Prop!$BF$1:$BP""),11,0),iferror(vlookup(B7,importrange(""https://docs.google.com/spreadsheets/d/1boHyJQ4e2FU0QG8MHwEi6qjX4hvZWVCHcFfXjq7bbMc/edit?resourcekey#gid=923248883"",""Prop!$BQ$1:$CA""),11,0),iferror(vlookup(B7,importrange(""https://docs.go"&amp;"ogle.com/spreadsheets/d/1boHyJQ4e2FU0QG8MHwEi6qjX4hvZWVCHcFfXjq7bbMc/edit?resourcekey#gid=923248883"",""Prop!$CB$1:$CL""),11,0),iferror(vlookup(B7,importrange(""https://docs.google.com/spreadsheets/d/1boHyJQ4e2FU0QG8MHwEi6qjX4hvZWVCHcFfXjq7bbMc/edit?resou"&amp;"rcekey#gid=923248883"",""Prop!$CM$1:$CX""),12,0),iferror(vlookup(B7,importrange(""https://docs.google.com/spreadsheets/d/1boHyJQ4e2FU0QG8MHwEi6qjX4hvZWVCHcFfXjq7bbMc/edit?resourcekey#gid=923248883"",""Prop!$CV$1:$DI""),11,0)))))))))))"),"https://drive.google.com/open?id=1d6yCZRZDKXx5J6PsCnzYqPlFmWwMZsVn")</f>
        <v>https://drive.google.com/open?id=1d6yCZRZDKXx5J6PsCnzYqPlFmWwMZsVn</v>
      </c>
      <c r="Q7" s="50" t="str">
        <f ca="1">IFERROR(__xludf.DUMMYFUNCTION("iferror(vlookup(B7,importrange(""https://docs.google.com/spreadsheets/d/1p53T2AuvvIqhP7Nf-bo3Uhj8cbKYRPpZdsrBv3x3bAQ/edit?resourcekey#gid=1321652304"",""Prop!$C$1:$M""),11,0),IFERROR(vlookup(B7,importrange(""https://docs.google.com/spreadsheets/d/1p53T2Au"&amp;"vvIqhP7Nf-bo3Uhj8cbKYRPpZdsrBv3x3bAQ/edit?resourcekey#gid=1321652304"",""Prop!$N$1:$X""),11,0),iferror(vlookup(B7,importrange(""https://docs.google.com/spreadsheets/d/1p53T2AuvvIqhP7Nf-bo3Uhj8cbKYRPpZdsrBv3x3bAQ/edit?resourcekey#gid=1321652304"",""Prop!$Y"&amp;"$1:$AI""),11,0),iferror(vlookup(B7,importrange(""https://docs.google.com/spreadsheets/d/1p53T2AuvvIqhP7Nf-bo3Uhj8cbKYRPpZdsrBv3x3bAQ/edit?resourcekey#gid=1321652304"",""Prop!$AJ$1:$AT""),11,0),iferror(vlookup(B7,importrange(""https://docs.google.com/sprea"&amp;"dsheets/d/1p53T2AuvvIqhP7Nf-bo3Uhj8cbKYRPpZdsrBv3x3bAQ/edit?resourcekey#gid=1321652304"",""Prop!$AU$1:$BE""),11,0),iferror(vlookup(B7,importrange(""https://docs.google.com/spreadsheets/d/1p53T2AuvvIqhP7Nf-bo3Uhj8cbKYRPpZdsrBv3x3bAQ/edit?resourcekey#gid=13"&amp;"21652304"",""Prop!$BF$1:$BP""),11,0),iferror(vlookup(B7,importrange(""https://docs.google.com/spreadsheets/d/1p53T2AuvvIqhP7Nf-bo3Uhj8cbKYRPpZdsrBv3x3bAQ/edit?resourcekey#gid=1321652304"",""Prop!$BQ$1:$CA""),11,0),iferror(vlookup(B7,importrange(""https://"&amp;"docs.google.com/spreadsheets/d/1p53T2AuvvIqhP7Nf-bo3Uhj8cbKYRPpZdsrBv3x3bAQ/edit?resourcekey#gid=1321652304"",""Prop!$CB$1:$CL""),11,0),iferror(vlookup(B7,importrange(""https://docs.google.com/spreadsheets/d/1p53T2AuvvIqhP7Nf-bo3Uhj8cbKYRPpZdsrBv3x3bAQ/ed"&amp;"it?resourcekey#gid=1321652304"",""Prop!$CM$1:$CX""),12,0),iferror(vlookup(B7,importrange(""https://docs.google.com/spreadsheets/d/1p53T2AuvvIqhP7Nf-bo3Uhj8cbKYRPpZdsrBv3x3bAQ/edit?resourcekey#gid=1321652304"",""Prop!$CY$1:$DI""),11,0)))))))))))"),"https://drive.google.com/open?id=1VJ3_U0EFJcBaGUMl0cQ9mOVI8KMWNdJA")</f>
        <v>https://drive.google.com/open?id=1VJ3_U0EFJcBaGUMl0cQ9mOVI8KMWNdJA</v>
      </c>
      <c r="R7" s="92" t="s">
        <v>1206</v>
      </c>
      <c r="S7" s="20" t="str">
        <f ca="1">IFERROR(__xludf.DUMMYFUNCTION("IFERROR(vlookup(B7,IMPORTRANGE(""https://docs.google.com/spreadsheets/d/1g_jfYYK_KeipEDNDUgqgrsxK94XiocfNQIcP-v1QVhI/edit?resourcekey#gid=233272945"",""Nilai!B:CT""),46,0),"" "")"),"(1) definisi hama ini apa saja? dan apakah metode yg dipropose bisa mengatasi hama yg ada? (2) potensi keuntungan mitra ndak terlalu besar, apa bisa digali lagi supaya profitnya lebih besar (3) Gbr 2.2 apa plus minusnya alat yg dipropose dengan alat yg su"&amp;"dah ada (4) Lampu yang digunakan yaitu lampu fluorescent bewarna kuning yang berdaya 4 Watt. Penggunaan lampu ini bertujuan untuk memancarkan gelombang sinar ultraviolet ==&gt; perlu referensi (5) dalam flowchart kegiatan mitra belum dilibatkan dalam kegiata"&amp;"n")</f>
        <v>(1) definisi hama ini apa saja? dan apakah metode yg dipropose bisa mengatasi hama yg ada? (2) potensi keuntungan mitra ndak terlalu besar, apa bisa digali lagi supaya profitnya lebih besar (3) Gbr 2.2 apa plus minusnya alat yg dipropose dengan alat yg sudah ada (4) Lampu yang digunakan yaitu lampu fluorescent bewarna kuning yang berdaya 4 Watt. Penggunaan lampu ini bertujuan untuk memancarkan gelombang sinar ultraviolet ==&gt; perlu referensi (5) dalam flowchart kegiatan mitra belum dilibatkan dalam kegiatan</v>
      </c>
      <c r="T7" s="20" t="str">
        <f ca="1">IFERROR(__xludf.DUMMYFUNCTION("IFERROR(vlookup(B7,IMPORTRANGE(""https://docs.google.com/spreadsheets/d/1g_jfYYK_KeipEDNDUgqgrsxK94XiocfNQIcP-v1QVhI/edit?resourcekey#gid=233272945"",""Nilai!B:CT""),97,0),"" "")"),"LAYAK UPLOAD KE SIMBELMAWA DENGAN REVISI")</f>
        <v>LAYAK UPLOAD KE SIMBELMAWA DENGAN REVISI</v>
      </c>
      <c r="U7" s="45" t="s">
        <v>748</v>
      </c>
      <c r="V7" s="38" t="str">
        <f ca="1">IFERROR(__xludf.DUMMYFUNCTION("IFERROR(
        vlookup(B7,
                IMPORTRANGE(""https://docs.google.com/spreadsheets/d/1dN4XwmJdILpQh5cYONP2LyBh3ksWo6DCzMrUbN3lo_Q/edit#gid=1905254675"",
                        ""Form Responses 1!F2:I""),
                4,
                fa"&amp;"lse))"),"97,7 km")</f>
        <v>97,7 km</v>
      </c>
      <c r="W7" s="46" t="s">
        <v>1207</v>
      </c>
      <c r="X7" s="23" t="s">
        <v>1210</v>
      </c>
      <c r="Y7" s="19" t="b">
        <v>1</v>
      </c>
    </row>
    <row r="8" spans="1:25">
      <c r="A8" s="15">
        <v>6</v>
      </c>
      <c r="B8" s="15">
        <f ca="1">IFERROR(__xludf.DUMMYFUNCTION("""COMPUTED_VALUE"""),2311)</f>
        <v>2311</v>
      </c>
      <c r="C8" s="49" t="str">
        <f ca="1">IFERROR(__xludf.DUMMYFUNCTION("""COMPUTED_VALUE"""),"FARID CENRENG")</f>
        <v>FARID CENRENG</v>
      </c>
      <c r="D8" s="49" t="str">
        <f ca="1">IFERROR(__xludf.DUMMYFUNCTION("""COMPUTED_VALUE"""),"5024201005")</f>
        <v>5024201005</v>
      </c>
      <c r="E8" s="49" t="str">
        <f ca="1">IFERROR(__xludf.DUMMYFUNCTION("""COMPUTED_VALUE"""),"Departemen Teknik Komputer")</f>
        <v>Departemen Teknik Komputer</v>
      </c>
      <c r="F8" s="49" t="str">
        <f ca="1">IFERROR(__xludf.DUMMYFUNCTION("""COMPUTED_VALUE"""),"Alat Pengusir Burung Otomatis Berbasis Computer Vision Guna Meningkatkan Produktivitas Peternakan Ikan Koi di Desa Kemloko, Kabupaten Blitar")</f>
        <v>Alat Pengusir Burung Otomatis Berbasis Computer Vision Guna Meningkatkan Produktivitas Peternakan Ikan Koi di Desa Kemloko, Kabupaten Blitar</v>
      </c>
      <c r="G8" s="49" t="str">
        <f ca="1">IFERROR(__xludf.DUMMYFUNCTION("""COMPUTED_VALUE"""),"Dr.Eng. Rony Seto Wibowo, S.T., M.T.")</f>
        <v>Dr.Eng. Rony Seto Wibowo, S.T., M.T.</v>
      </c>
      <c r="H8" s="49" t="str">
        <f ca="1">IFERROR(__xludf.DUMMYFUNCTION("""COMPUTED_VALUE"""),"Sefi Novendra Patrialova, S.Si., M.T")</f>
        <v>Sefi Novendra Patrialova, S.Si., M.T</v>
      </c>
      <c r="I8" s="49" t="str">
        <f ca="1">IFERROR(__xludf.DUMMYFUNCTION("""COMPUTED_VALUE"""),"Sunarsih, S.T., M.Eng., Ph.D.")</f>
        <v>Sunarsih, S.T., M.Eng., Ph.D.</v>
      </c>
      <c r="J8" s="49"/>
      <c r="K8" s="34" t="s">
        <v>1204</v>
      </c>
      <c r="L8" s="23" t="s">
        <v>1205</v>
      </c>
      <c r="M8" s="19" t="b">
        <v>1</v>
      </c>
      <c r="N8" s="19" t="b">
        <v>0</v>
      </c>
      <c r="O8" s="1" t="s">
        <v>1209</v>
      </c>
      <c r="P8" s="7" t="str">
        <f ca="1">IFERROR(__xludf.DUMMYFUNCTION("iferror(vlookup(B8,importrange(""https://docs.google.com/spreadsheets/d/1boHyJQ4e2FU0QG8MHwEi6qjX4hvZWVCHcFfXjq7bbMc/edit?resourcekey#gid=923248883"",""Prop!$C$1:$M""),12,0),IFERROR(vlookup(B8,importrange(""https://docs.google.com/spreadsheets/d/1boHyJQ4e"&amp;"2FU0QG8MHwEi6qjX4hvZWVCHcFfXjq7bbMc/edit?resourcekey#gid=923248883"",""Prop!$N$1:$X""),11,0),iferror(vlookup(B8,importrange(""https://docs.google.com/spreadsheets/d/1boHyJQ4e2FU0QG8MHwEi6qjX4hvZWVCHcFfXjq7bbMc/edit?resourcekey#gid=923248883"",""Prop!$Y$1:"&amp;"$AI""),11,0),iferror(vlookup(B8,importrange(""https://docs.google.com/spreadsheets/d/1boHyJQ4e2FU0QG8MHwEi6qjX4hvZWVCHcFfXjq7bbMc/edit?resourcekey#gid=923248883"",""Prop!$AJ$1:$AT""),11,0),iferror(vlookup(B8,importrange(""https://docs.google.com/spreadshe"&amp;"ets/d/1boHyJQ4e2FU0QG8MHwEi6qjX4hvZWVCHcFfXjq7bbMc/edit?resourcekey#gid=923248883"",""Prop!$AU$1:$BE""),11,0),iferror(vlookup(B8,importrange(""https://docs.google.com/spreadsheets/d/1boHyJQ4e2FU0QG8MHwEi6qjX4hvZWVCHcFfXjq7bbMc/edit?resourcekey#gid=9232488"&amp;"83"",""Prop!$BF$1:$BP""),11,0),iferror(vlookup(B8,importrange(""https://docs.google.com/spreadsheets/d/1boHyJQ4e2FU0QG8MHwEi6qjX4hvZWVCHcFfXjq7bbMc/edit?resourcekey#gid=923248883"",""Prop!$BQ$1:$CA""),11,0),iferror(vlookup(B8,importrange(""https://docs.go"&amp;"ogle.com/spreadsheets/d/1boHyJQ4e2FU0QG8MHwEi6qjX4hvZWVCHcFfXjq7bbMc/edit?resourcekey#gid=923248883"",""Prop!$CB$1:$CL""),11,0),iferror(vlookup(B8,importrange(""https://docs.google.com/spreadsheets/d/1boHyJQ4e2FU0QG8MHwEi6qjX4hvZWVCHcFfXjq7bbMc/edit?resou"&amp;"rcekey#gid=923248883"",""Prop!$CM$1:$CX""),12,0),iferror(vlookup(B8,importrange(""https://docs.google.com/spreadsheets/d/1boHyJQ4e2FU0QG8MHwEi6qjX4hvZWVCHcFfXjq7bbMc/edit?resourcekey#gid=923248883"",""Prop!$CV$1:$DI""),11,0)))))))))))"),"https://drive.google.com/open?id=1yiMSS8TJnZiTzSzskW0QIKbxGYd_atkl")</f>
        <v>https://drive.google.com/open?id=1yiMSS8TJnZiTzSzskW0QIKbxGYd_atkl</v>
      </c>
      <c r="Q8" s="7" t="str">
        <f ca="1">IFERROR(__xludf.DUMMYFUNCTION("iferror(vlookup(B8,importrange(""https://docs.google.com/spreadsheets/d/1p53T2AuvvIqhP7Nf-bo3Uhj8cbKYRPpZdsrBv3x3bAQ/edit?resourcekey#gid=1321652304"",""Prop!$C$1:$M""),11,0),IFERROR(vlookup(B8,importrange(""https://docs.google.com/spreadsheets/d/1p53T2Au"&amp;"vvIqhP7Nf-bo3Uhj8cbKYRPpZdsrBv3x3bAQ/edit?resourcekey#gid=1321652304"",""Prop!$N$1:$X""),11,0),iferror(vlookup(B8,importrange(""https://docs.google.com/spreadsheets/d/1p53T2AuvvIqhP7Nf-bo3Uhj8cbKYRPpZdsrBv3x3bAQ/edit?resourcekey#gid=1321652304"",""Prop!$Y"&amp;"$1:$AI""),11,0),iferror(vlookup(B8,importrange(""https://docs.google.com/spreadsheets/d/1p53T2AuvvIqhP7Nf-bo3Uhj8cbKYRPpZdsrBv3x3bAQ/edit?resourcekey#gid=1321652304"",""Prop!$AJ$1:$AT""),11,0),iferror(vlookup(B8,importrange(""https://docs.google.com/sprea"&amp;"dsheets/d/1p53T2AuvvIqhP7Nf-bo3Uhj8cbKYRPpZdsrBv3x3bAQ/edit?resourcekey#gid=1321652304"",""Prop!$AU$1:$BE""),11,0),iferror(vlookup(B8,importrange(""https://docs.google.com/spreadsheets/d/1p53T2AuvvIqhP7Nf-bo3Uhj8cbKYRPpZdsrBv3x3bAQ/edit?resourcekey#gid=13"&amp;"21652304"",""Prop!$BF$1:$BP""),11,0),iferror(vlookup(B8,importrange(""https://docs.google.com/spreadsheets/d/1p53T2AuvvIqhP7Nf-bo3Uhj8cbKYRPpZdsrBv3x3bAQ/edit?resourcekey#gid=1321652304"",""Prop!$BQ$1:$CA""),11,0),iferror(vlookup(B8,importrange(""https://"&amp;"docs.google.com/spreadsheets/d/1p53T2AuvvIqhP7Nf-bo3Uhj8cbKYRPpZdsrBv3x3bAQ/edit?resourcekey#gid=1321652304"",""Prop!$CB$1:$CL""),11,0),iferror(vlookup(B8,importrange(""https://docs.google.com/spreadsheets/d/1p53T2AuvvIqhP7Nf-bo3Uhj8cbKYRPpZdsrBv3x3bAQ/ed"&amp;"it?resourcekey#gid=1321652304"",""Prop!$CM$1:$CX""),12,0),iferror(vlookup(B8,importrange(""https://docs.google.com/spreadsheets/d/1p53T2AuvvIqhP7Nf-bo3Uhj8cbKYRPpZdsrBv3x3bAQ/edit?resourcekey#gid=1321652304"",""Prop!$CY$1:$DI""),11,0)))))))))))"),"https://drive.google.com/open?id=1HO6vwYUsHdqLD1I0tGl0SL8kuvO0oXCT")</f>
        <v>https://drive.google.com/open?id=1HO6vwYUsHdqLD1I0tGl0SL8kuvO0oXCT</v>
      </c>
      <c r="R8" s="92" t="s">
        <v>1206</v>
      </c>
      <c r="S8" s="20" t="str">
        <f ca="1">IFERROR(__xludf.DUMMYFUNCTION("IFERROR(vlookup(B8,IMPORTRANGE(""https://docs.google.com/spreadsheets/d/1g_jfYYK_KeipEDNDUgqgrsxK94XiocfNQIcP-v1QVhI/edit?resourcekey#gid=233272945"",""Nilai!B:CT""),46,0),"" "")"),"(1) apakah sudah ada riset jenis bunyi apa saja yang bisa mengusir burung. (2) Potensi keuntungan mitra blm ada (3) perlu diperhatikan jarak kamera dengan burung, karena jika terlalu jauh prosentase pendeteksian akan turun (4) Gbr 3.2 battery?")</f>
        <v>(1) apakah sudah ada riset jenis bunyi apa saja yang bisa mengusir burung. (2) Potensi keuntungan mitra blm ada (3) perlu diperhatikan jarak kamera dengan burung, karena jika terlalu jauh prosentase pendeteksian akan turun (4) Gbr 3.2 battery?</v>
      </c>
      <c r="T8" s="20" t="str">
        <f ca="1">IFERROR(__xludf.DUMMYFUNCTION("IFERROR(vlookup(B8,IMPORTRANGE(""https://docs.google.com/spreadsheets/d/1g_jfYYK_KeipEDNDUgqgrsxK94XiocfNQIcP-v1QVhI/edit?resourcekey#gid=233272945"",""Nilai!B:CT""),97,0),"" "")"),"LAYAK UPLOAD KE SIMBELMAWA DENGAN REVISI")</f>
        <v>LAYAK UPLOAD KE SIMBELMAWA DENGAN REVISI</v>
      </c>
      <c r="U8" s="45" t="s">
        <v>748</v>
      </c>
      <c r="V8" s="51">
        <f ca="1">IFERROR(__xludf.DUMMYFUNCTION("IFERROR(
        vlookup(B8,
                IMPORTRANGE(""https://docs.google.com/spreadsheets/d/1dN4XwmJdILpQh5cYONP2LyBh3ksWo6DCzMrUbN3lo_Q/edit#gid=1905254675"",
                        ""Form Responses 1!F2:I""),
                4,
                fa"&amp;"lse))"),150)</f>
        <v>150</v>
      </c>
      <c r="W8" s="46" t="s">
        <v>1207</v>
      </c>
      <c r="X8" s="23" t="s">
        <v>1210</v>
      </c>
      <c r="Y8" s="19" t="b">
        <v>1</v>
      </c>
    </row>
    <row r="9" spans="1:25">
      <c r="A9" s="15">
        <v>7</v>
      </c>
      <c r="B9" s="15">
        <f ca="1">IFERROR(__xludf.DUMMYFUNCTION("""COMPUTED_VALUE"""),2529)</f>
        <v>2529</v>
      </c>
      <c r="C9" s="49" t="str">
        <f ca="1">IFERROR(__xludf.DUMMYFUNCTION("""COMPUTED_VALUE"""),"RENALDI KUSUMA NURDIN")</f>
        <v>RENALDI KUSUMA NURDIN</v>
      </c>
      <c r="D9" s="49" t="str">
        <f ca="1">IFERROR(__xludf.DUMMYFUNCTION("""COMPUTED_VALUE"""),"2041201023")</f>
        <v>2041201023</v>
      </c>
      <c r="E9" s="49" t="str">
        <f ca="1">IFERROR(__xludf.DUMMYFUNCTION("""COMPUTED_VALUE"""),"Departemen Teknik Kimia Industri")</f>
        <v>Departemen Teknik Kimia Industri</v>
      </c>
      <c r="F9" s="49" t="str">
        <f ca="1">IFERROR(__xludf.DUMMYFUNCTION("""COMPUTED_VALUE"""),"Optimalisasi Proses Mixing pada Pembuatan Hand Soap di Home Industry CV Kanthi Harum Surabaya")</f>
        <v>Optimalisasi Proses Mixing pada Pembuatan Hand Soap di Home Industry CV Kanthi Harum Surabaya</v>
      </c>
      <c r="G9" s="49" t="str">
        <f ca="1">IFERROR(__xludf.DUMMYFUNCTION("""COMPUTED_VALUE"""),"Daril Ridho Zuchrillah, S.T., M.T.")</f>
        <v>Daril Ridho Zuchrillah, S.T., M.T.</v>
      </c>
      <c r="H9" s="49" t="str">
        <f ca="1">IFERROR(__xludf.DUMMYFUNCTION("""COMPUTED_VALUE"""),"Dr. Dhany Arifianto, S.T., M.Eng.")</f>
        <v>Dr. Dhany Arifianto, S.T., M.Eng.</v>
      </c>
      <c r="I9" s="49" t="str">
        <f ca="1">IFERROR(__xludf.DUMMYFUNCTION("""COMPUTED_VALUE"""),"Muhammad Syifaul Mufid, S.Si.,M.Si")</f>
        <v>Muhammad Syifaul Mufid, S.Si.,M.Si</v>
      </c>
      <c r="J9" s="49"/>
      <c r="K9" s="34" t="s">
        <v>1204</v>
      </c>
      <c r="L9" s="23" t="s">
        <v>1205</v>
      </c>
      <c r="M9" s="19" t="b">
        <v>1</v>
      </c>
      <c r="N9" s="19" t="b">
        <v>0</v>
      </c>
      <c r="O9" s="1" t="s">
        <v>1209</v>
      </c>
      <c r="P9" s="7" t="str">
        <f ca="1">IFERROR(__xludf.DUMMYFUNCTION("iferror(vlookup(B9,importrange(""https://docs.google.com/spreadsheets/d/1boHyJQ4e2FU0QG8MHwEi6qjX4hvZWVCHcFfXjq7bbMc/edit?resourcekey#gid=923248883"",""Prop!$C$1:$M""),12,0),IFERROR(vlookup(B9,importrange(""https://docs.google.com/spreadsheets/d/1boHyJQ4e"&amp;"2FU0QG8MHwEi6qjX4hvZWVCHcFfXjq7bbMc/edit?resourcekey#gid=923248883"",""Prop!$N$1:$X""),11,0),iferror(vlookup(B9,importrange(""https://docs.google.com/spreadsheets/d/1boHyJQ4e2FU0QG8MHwEi6qjX4hvZWVCHcFfXjq7bbMc/edit?resourcekey#gid=923248883"",""Prop!$Y$1:"&amp;"$AI""),11,0),iferror(vlookup(B9,importrange(""https://docs.google.com/spreadsheets/d/1boHyJQ4e2FU0QG8MHwEi6qjX4hvZWVCHcFfXjq7bbMc/edit?resourcekey#gid=923248883"",""Prop!$AJ$1:$AT""),11,0),iferror(vlookup(B9,importrange(""https://docs.google.com/spreadshe"&amp;"ets/d/1boHyJQ4e2FU0QG8MHwEi6qjX4hvZWVCHcFfXjq7bbMc/edit?resourcekey#gid=923248883"",""Prop!$AU$1:$BE""),11,0),iferror(vlookup(B9,importrange(""https://docs.google.com/spreadsheets/d/1boHyJQ4e2FU0QG8MHwEi6qjX4hvZWVCHcFfXjq7bbMc/edit?resourcekey#gid=9232488"&amp;"83"",""Prop!$BF$1:$BP""),11,0),iferror(vlookup(B9,importrange(""https://docs.google.com/spreadsheets/d/1boHyJQ4e2FU0QG8MHwEi6qjX4hvZWVCHcFfXjq7bbMc/edit?resourcekey#gid=923248883"",""Prop!$BQ$1:$CA""),11,0),iferror(vlookup(B9,importrange(""https://docs.go"&amp;"ogle.com/spreadsheets/d/1boHyJQ4e2FU0QG8MHwEi6qjX4hvZWVCHcFfXjq7bbMc/edit?resourcekey#gid=923248883"",""Prop!$CB$1:$CL""),11,0),iferror(vlookup(B9,importrange(""https://docs.google.com/spreadsheets/d/1boHyJQ4e2FU0QG8MHwEi6qjX4hvZWVCHcFfXjq7bbMc/edit?resou"&amp;"rcekey#gid=923248883"",""Prop!$CM$1:$CX""),12,0),iferror(vlookup(B9,importrange(""https://docs.google.com/spreadsheets/d/1boHyJQ4e2FU0QG8MHwEi6qjX4hvZWVCHcFfXjq7bbMc/edit?resourcekey#gid=923248883"",""Prop!$CV$1:$DI""),11,0)))))))))))"),"https://drive.google.com/open?id=1f528tYM7WedZOWK-bDcTOffU9dbtnFY4")</f>
        <v>https://drive.google.com/open?id=1f528tYM7WedZOWK-bDcTOffU9dbtnFY4</v>
      </c>
      <c r="Q9" s="50" t="str">
        <f ca="1">IFERROR(__xludf.DUMMYFUNCTION("iferror(vlookup(B9,importrange(""https://docs.google.com/spreadsheets/d/1p53T2AuvvIqhP7Nf-bo3Uhj8cbKYRPpZdsrBv3x3bAQ/edit?resourcekey#gid=1321652304"",""Prop!$C$1:$M""),11,0),IFERROR(vlookup(B9,importrange(""https://docs.google.com/spreadsheets/d/1p53T2Au"&amp;"vvIqhP7Nf-bo3Uhj8cbKYRPpZdsrBv3x3bAQ/edit?resourcekey#gid=1321652304"",""Prop!$N$1:$X""),11,0),iferror(vlookup(B9,importrange(""https://docs.google.com/spreadsheets/d/1p53T2AuvvIqhP7Nf-bo3Uhj8cbKYRPpZdsrBv3x3bAQ/edit?resourcekey#gid=1321652304"",""Prop!$Y"&amp;"$1:$AI""),11,0),iferror(vlookup(B9,importrange(""https://docs.google.com/spreadsheets/d/1p53T2AuvvIqhP7Nf-bo3Uhj8cbKYRPpZdsrBv3x3bAQ/edit?resourcekey#gid=1321652304"",""Prop!$AJ$1:$AT""),11,0),iferror(vlookup(B9,importrange(""https://docs.google.com/sprea"&amp;"dsheets/d/1p53T2AuvvIqhP7Nf-bo3Uhj8cbKYRPpZdsrBv3x3bAQ/edit?resourcekey#gid=1321652304"",""Prop!$AU$1:$BE""),11,0),iferror(vlookup(B9,importrange(""https://docs.google.com/spreadsheets/d/1p53T2AuvvIqhP7Nf-bo3Uhj8cbKYRPpZdsrBv3x3bAQ/edit?resourcekey#gid=13"&amp;"21652304"",""Prop!$BF$1:$BP""),11,0),iferror(vlookup(B9,importrange(""https://docs.google.com/spreadsheets/d/1p53T2AuvvIqhP7Nf-bo3Uhj8cbKYRPpZdsrBv3x3bAQ/edit?resourcekey#gid=1321652304"",""Prop!$BQ$1:$CA""),11,0),iferror(vlookup(B9,importrange(""https://"&amp;"docs.google.com/spreadsheets/d/1p53T2AuvvIqhP7Nf-bo3Uhj8cbKYRPpZdsrBv3x3bAQ/edit?resourcekey#gid=1321652304"",""Prop!$CB$1:$CL""),11,0),iferror(vlookup(B9,importrange(""https://docs.google.com/spreadsheets/d/1p53T2AuvvIqhP7Nf-bo3Uhj8cbKYRPpZdsrBv3x3bAQ/ed"&amp;"it?resourcekey#gid=1321652304"",""Prop!$CM$1:$CX""),12,0),iferror(vlookup(B9,importrange(""https://docs.google.com/spreadsheets/d/1p53T2AuvvIqhP7Nf-bo3Uhj8cbKYRPpZdsrBv3x3bAQ/edit?resourcekey#gid=1321652304"",""Prop!$CY$1:$DI""),11,0)))))))))))"),"https://drive.google.com/open?id=1p_ldpGrjTz0VUFt7DzyXIJq2VjmioVYz")</f>
        <v>https://drive.google.com/open?id=1p_ldpGrjTz0VUFt7DzyXIJq2VjmioVYz</v>
      </c>
      <c r="R9" s="92" t="s">
        <v>1206</v>
      </c>
      <c r="S9" s="20" t="str">
        <f ca="1">IFERROR(__xludf.DUMMYFUNCTION("IFERROR(vlookup(B9,IMPORTRANGE(""https://docs.google.com/spreadsheets/d/1g_jfYYK_KeipEDNDUgqgrsxK94XiocfNQIcP-v1QVhI/edit?resourcekey#gid=233272945"",""Nilai!B:CT""),46,0),"" "")"),"(1) profit yg didapat mitra blm ada (2) perlu diperhatikan mixing ini juga ada dampak buruknya yakni memangkas kerja karyawan, apakah sudah ada solusinya misal karyawan akan dipekerjakan di bag lain shg produktifitas meningkat dan ini yg ditampilkan di pr"&amp;"ofit mitra (3) bagaimanakah menentukan spesifikasi pada tabel 3.1, apakah sudah ada diskusi dengan mitra terutama kapasitas mixingnya?
")</f>
        <v xml:space="preserve">(1) profit yg didapat mitra blm ada (2) perlu diperhatikan mixing ini juga ada dampak buruknya yakni memangkas kerja karyawan, apakah sudah ada solusinya misal karyawan akan dipekerjakan di bag lain shg produktifitas meningkat dan ini yg ditampilkan di profit mitra (3) bagaimanakah menentukan spesifikasi pada tabel 3.1, apakah sudah ada diskusi dengan mitra terutama kapasitas mixingnya?
</v>
      </c>
      <c r="T9" s="20" t="str">
        <f ca="1">IFERROR(__xludf.DUMMYFUNCTION("IFERROR(vlookup(B9,IMPORTRANGE(""https://docs.google.com/spreadsheets/d/1g_jfYYK_KeipEDNDUgqgrsxK94XiocfNQIcP-v1QVhI/edit?resourcekey#gid=233272945"",""Nilai!B:CT""),97,0),"" "")"),"LAYAK UPLOAD KE SIMBELMAWA DENGAN REVISI")</f>
        <v>LAYAK UPLOAD KE SIMBELMAWA DENGAN REVISI</v>
      </c>
      <c r="U9" s="45" t="s">
        <v>748</v>
      </c>
      <c r="V9" s="38">
        <f ca="1">IFERROR(__xludf.DUMMYFUNCTION("IFERROR(
        vlookup(B9,
                IMPORTRANGE(""https://docs.google.com/spreadsheets/d/1dN4XwmJdILpQh5cYONP2LyBh3ksWo6DCzMrUbN3lo_Q/edit#gid=1905254675"",
                        ""Form Responses 1!F2:I""),
                4,
                fa"&amp;"lse))"),10)</f>
        <v>10</v>
      </c>
      <c r="W9" s="46" t="s">
        <v>1207</v>
      </c>
      <c r="X9" s="23" t="s">
        <v>1210</v>
      </c>
      <c r="Y9" s="19" t="b">
        <v>1</v>
      </c>
    </row>
    <row r="10" spans="1:25">
      <c r="A10" s="15">
        <v>8</v>
      </c>
      <c r="B10" s="15">
        <f ca="1">IFERROR(__xludf.DUMMYFUNCTION("""COMPUTED_VALUE"""),3985)</f>
        <v>3985</v>
      </c>
      <c r="C10" s="49" t="str">
        <f ca="1">IFERROR(__xludf.DUMMYFUNCTION("""COMPUTED_VALUE"""),"Wulan Rahmadini")</f>
        <v>Wulan Rahmadini</v>
      </c>
      <c r="D10" s="49" t="str">
        <f ca="1">IFERROR(__xludf.DUMMYFUNCTION("""COMPUTED_VALUE"""),"2039211012")</f>
        <v>2039211012</v>
      </c>
      <c r="E10" s="49" t="str">
        <f ca="1">IFERROR(__xludf.DUMMYFUNCTION("""COMPUTED_VALUE"""),"Departemen Teknik Mesin Industri")</f>
        <v>Departemen Teknik Mesin Industri</v>
      </c>
      <c r="F10" s="49" t="str">
        <f ca="1">IFERROR(__xludf.DUMMYFUNCTION("""COMPUTED_VALUE"""),"Mesin Pemisah Tempurung dari Kepala Kecambah Ale Sebagai Solusi untuk UMKM Milik Pak Kiswadi di Jombang")</f>
        <v>Mesin Pemisah Tempurung dari Kepala Kecambah Ale Sebagai Solusi untuk UMKM Milik Pak Kiswadi di Jombang</v>
      </c>
      <c r="G10" s="49" t="str">
        <f ca="1">IFERROR(__xludf.DUMMYFUNCTION("""COMPUTED_VALUE"""),"Ir. Nur Husodo, M.S")</f>
        <v>Ir. Nur Husodo, M.S</v>
      </c>
      <c r="H10" s="49" t="str">
        <f ca="1">IFERROR(__xludf.DUMMYFUNCTION("""COMPUTED_VALUE"""),"Dr. Dhany Arifianto, S.T., M.Eng.")</f>
        <v>Dr. Dhany Arifianto, S.T., M.Eng.</v>
      </c>
      <c r="I10" s="49" t="str">
        <f ca="1">IFERROR(__xludf.DUMMYFUNCTION("""COMPUTED_VALUE"""),"Muhammad Syifaul Mufid, S.Si.,M.Si")</f>
        <v>Muhammad Syifaul Mufid, S.Si.,M.Si</v>
      </c>
      <c r="J10" s="49"/>
      <c r="K10" s="34" t="s">
        <v>1204</v>
      </c>
      <c r="L10" s="23" t="s">
        <v>1205</v>
      </c>
      <c r="M10" s="19" t="b">
        <v>1</v>
      </c>
      <c r="N10" s="19" t="b">
        <v>0</v>
      </c>
      <c r="O10" s="1" t="s">
        <v>1209</v>
      </c>
      <c r="P10" s="7" t="str">
        <f ca="1">IFERROR(__xludf.DUMMYFUNCTION("iferror(vlookup(B10,importrange(""https://docs.google.com/spreadsheets/d/1boHyJQ4e2FU0QG8MHwEi6qjX4hvZWVCHcFfXjq7bbMc/edit?resourcekey#gid=923248883"",""Prop!$C$1:$M""),12,0),IFERROR(vlookup(B10,importrange(""https://docs.google.com/spreadsheets/d/1boHyJQ"&amp;"4e2FU0QG8MHwEi6qjX4hvZWVCHcFfXjq7bbMc/edit?resourcekey#gid=923248883"",""Prop!$N$1:$X""),11,0),iferror(vlookup(B10,importrange(""https://docs.google.com/spreadsheets/d/1boHyJQ4e2FU0QG8MHwEi6qjX4hvZWVCHcFfXjq7bbMc/edit?resourcekey#gid=923248883"",""Prop!$Y"&amp;"$1:$AI""),11,0),iferror(vlookup(B10,importrange(""https://docs.google.com/spreadsheets/d/1boHyJQ4e2FU0QG8MHwEi6qjX4hvZWVCHcFfXjq7bbMc/edit?resourcekey#gid=923248883"",""Prop!$AJ$1:$AT""),11,0),iferror(vlookup(B10,importrange(""https://docs.google.com/spre"&amp;"adsheets/d/1boHyJQ4e2FU0QG8MHwEi6qjX4hvZWVCHcFfXjq7bbMc/edit?resourcekey#gid=923248883"",""Prop!$AU$1:$BE""),11,0),iferror(vlookup(B10,importrange(""https://docs.google.com/spreadsheets/d/1boHyJQ4e2FU0QG8MHwEi6qjX4hvZWVCHcFfXjq7bbMc/edit?resourcekey#gid=9"&amp;"23248883"",""Prop!$BF$1:$BP""),11,0),iferror(vlookup(B10,importrange(""https://docs.google.com/spreadsheets/d/1boHyJQ4e2FU0QG8MHwEi6qjX4hvZWVCHcFfXjq7bbMc/edit?resourcekey#gid=923248883"",""Prop!$BQ$1:$CA""),11,0),iferror(vlookup(B10,importrange(""https:/"&amp;"/docs.google.com/spreadsheets/d/1boHyJQ4e2FU0QG8MHwEi6qjX4hvZWVCHcFfXjq7bbMc/edit?resourcekey#gid=923248883"",""Prop!$CB$1:$CL""),11,0),iferror(vlookup(B10,importrange(""https://docs.google.com/spreadsheets/d/1boHyJQ4e2FU0QG8MHwEi6qjX4hvZWVCHcFfXjq7bbMc/e"&amp;"dit?resourcekey#gid=923248883"",""Prop!$CM$1:$CX""),12,0),iferror(vlookup(B10,importrange(""https://docs.google.com/spreadsheets/d/1boHyJQ4e2FU0QG8MHwEi6qjX4hvZWVCHcFfXjq7bbMc/edit?resourcekey#gid=923248883"",""Prop!$CV$1:$DI""),11,0)))))))))))"),"https://drive.google.com/open?id=1-72U1JtaRKoyFy8ghjPzBQqcB8ytJrDE")</f>
        <v>https://drive.google.com/open?id=1-72U1JtaRKoyFy8ghjPzBQqcB8ytJrDE</v>
      </c>
      <c r="Q10" s="50" t="str">
        <f ca="1">IFERROR(__xludf.DUMMYFUNCTION("iferror(vlookup(B10,importrange(""https://docs.google.com/spreadsheets/d/1p53T2AuvvIqhP7Nf-bo3Uhj8cbKYRPpZdsrBv3x3bAQ/edit?resourcekey#gid=1321652304"",""Prop!$C$1:$M""),11,0),IFERROR(vlookup(B10,importrange(""https://docs.google.com/spreadsheets/d/1p53T2"&amp;"AuvvIqhP7Nf-bo3Uhj8cbKYRPpZdsrBv3x3bAQ/edit?resourcekey#gid=1321652304"",""Prop!$N$1:$X""),11,0),iferror(vlookup(B10,importrange(""https://docs.google.com/spreadsheets/d/1p53T2AuvvIqhP7Nf-bo3Uhj8cbKYRPpZdsrBv3x3bAQ/edit?resourcekey#gid=1321652304"",""Prop"&amp;"!$Y$1:$AI""),11,0),iferror(vlookup(B10,importrange(""https://docs.google.com/spreadsheets/d/1p53T2AuvvIqhP7Nf-bo3Uhj8cbKYRPpZdsrBv3x3bAQ/edit?resourcekey#gid=1321652304"",""Prop!$AJ$1:$AT""),11,0),iferror(vlookup(B10,importrange(""https://docs.google.com/"&amp;"spreadsheets/d/1p53T2AuvvIqhP7Nf-bo3Uhj8cbKYRPpZdsrBv3x3bAQ/edit?resourcekey#gid=1321652304"",""Prop!$AU$1:$BE""),11,0),iferror(vlookup(B10,importrange(""https://docs.google.com/spreadsheets/d/1p53T2AuvvIqhP7Nf-bo3Uhj8cbKYRPpZdsrBv3x3bAQ/edit?resourcekey#"&amp;"gid=1321652304"",""Prop!$BF$1:$BP""),11,0),iferror(vlookup(B10,importrange(""https://docs.google.com/spreadsheets/d/1p53T2AuvvIqhP7Nf-bo3Uhj8cbKYRPpZdsrBv3x3bAQ/edit?resourcekey#gid=1321652304"",""Prop!$BQ$1:$CA""),11,0),iferror(vlookup(B10,importrange("""&amp;"https://docs.google.com/spreadsheets/d/1p53T2AuvvIqhP7Nf-bo3Uhj8cbKYRPpZdsrBv3x3bAQ/edit?resourcekey#gid=1321652304"",""Prop!$CB$1:$CL""),11,0),iferror(vlookup(B10,importrange(""https://docs.google.com/spreadsheets/d/1p53T2AuvvIqhP7Nf-bo3Uhj8cbKYRPpZdsrBv"&amp;"3x3bAQ/edit?resourcekey#gid=1321652304"",""Prop!$CM$1:$CX""),12,0),iferror(vlookup(B10,importrange(""https://docs.google.com/spreadsheets/d/1p53T2AuvvIqhP7Nf-bo3Uhj8cbKYRPpZdsrBv3x3bAQ/edit?resourcekey#gid=1321652304"",""Prop!$CY$1:$DI""),11,0)))))))))))"),"https://drive.google.com/open?id=1woiLW6GwvvCTwkktpXNSest_slA5nlIw")</f>
        <v>https://drive.google.com/open?id=1woiLW6GwvvCTwkktpXNSest_slA5nlIw</v>
      </c>
      <c r="R10" s="92" t="s">
        <v>1206</v>
      </c>
      <c r="S10" s="20" t="str">
        <f ca="1">IFERROR(__xludf.DUMMYFUNCTION("IFERROR(vlookup(B10,IMPORTRANGE(""https://docs.google.com/spreadsheets/d/1g_jfYYK_KeipEDNDUgqgrsxK94XiocfNQIcP-v1QVhI/edit?resourcekey#gid=233272945"",""Nilai!B:CT""),46,0),"" "")"),"(1) in-kind ITS di RAB blm masuk (2) potensi profitnya berapa, bisa dihitung dari perubahan harga jika kualitas pembersihan kecambah buruk (3)di rumusan masalah dan tujuan, kata ""merancang"" adalah keyword PKM-KC sebaiknya dirubah (4) 2.2 komparasi dngan"&amp;" metode alat yg sudah ada blm ditampilkan (5) apakah benar dengan hanya mennggetarkan kepala tempurung kecambah bisa dipisahkan, perlu referensi lebih lanjut")</f>
        <v>(1) in-kind ITS di RAB blm masuk (2) potensi profitnya berapa, bisa dihitung dari perubahan harga jika kualitas pembersihan kecambah buruk (3)di rumusan masalah dan tujuan, kata "merancang" adalah keyword PKM-KC sebaiknya dirubah (4) 2.2 komparasi dngan metode alat yg sudah ada blm ditampilkan (5) apakah benar dengan hanya mennggetarkan kepala tempurung kecambah bisa dipisahkan, perlu referensi lebih lanjut</v>
      </c>
      <c r="T10" s="20" t="str">
        <f ca="1">IFERROR(__xludf.DUMMYFUNCTION("IFERROR(vlookup(B10,IMPORTRANGE(""https://docs.google.com/spreadsheets/d/1g_jfYYK_KeipEDNDUgqgrsxK94XiocfNQIcP-v1QVhI/edit?resourcekey#gid=233272945"",""Nilai!B:CT""),97,0),"" "")"),"LAYAK UPLOAD KE SIMBELMAWA DENGAN REVISI")</f>
        <v>LAYAK UPLOAD KE SIMBELMAWA DENGAN REVISI</v>
      </c>
      <c r="U10" s="45" t="s">
        <v>748</v>
      </c>
      <c r="V10" s="38" t="str">
        <f ca="1">IFERROR(__xludf.DUMMYFUNCTION("IFERROR(
        vlookup(B10,
                IMPORTRANGE(""https://docs.google.com/spreadsheets/d/1dN4XwmJdILpQh5cYONP2LyBh3ksWo6DCzMrUbN3lo_Q/edit#gid=1905254675"",
                        ""Form Responses 1!F2:I""),
                4,
                f"&amp;"alse))"),"84 km")</f>
        <v>84 km</v>
      </c>
      <c r="W10" s="46" t="s">
        <v>1207</v>
      </c>
      <c r="X10" s="23" t="s">
        <v>1210</v>
      </c>
      <c r="Y10" s="19" t="b">
        <v>1</v>
      </c>
    </row>
    <row r="11" spans="1:25">
      <c r="A11" s="15">
        <v>9</v>
      </c>
      <c r="B11" s="15">
        <f ca="1">IFERROR(__xludf.DUMMYFUNCTION("""COMPUTED_VALUE"""),3078)</f>
        <v>3078</v>
      </c>
      <c r="C11" s="49" t="str">
        <f ca="1">IFERROR(__xludf.DUMMYFUNCTION("""COMPUTED_VALUE"""),"SALSABILLA KHARISMA PUTRI")</f>
        <v>SALSABILLA KHARISMA PUTRI</v>
      </c>
      <c r="D11" s="49" t="str">
        <f ca="1">IFERROR(__xludf.DUMMYFUNCTION("""COMPUTED_VALUE"""),"2041201066")</f>
        <v>2041201066</v>
      </c>
      <c r="E11" s="49" t="str">
        <f ca="1">IFERROR(__xludf.DUMMYFUNCTION("""COMPUTED_VALUE"""),"Departemen Teknik Kimia Industri")</f>
        <v>Departemen Teknik Kimia Industri</v>
      </c>
      <c r="F11" s="49" t="str">
        <f ca="1">IFERROR(__xludf.DUMMYFUNCTION("""COMPUTED_VALUE"""),"Optimalisasi Limbah Tembakau Sebagai Biopestisida Untuk Meminimalisir Biaya Produksi Tanaman Pertanian Kelompok Tani Desa Ampel, Kecamatan Wuluhan, Kabupaten Jember
")</f>
        <v xml:space="preserve">Optimalisasi Limbah Tembakau Sebagai Biopestisida Untuk Meminimalisir Biaya Produksi Tanaman Pertanian Kelompok Tani Desa Ampel, Kecamatan Wuluhan, Kabupaten Jember
</v>
      </c>
      <c r="G11" s="49" t="str">
        <f ca="1">IFERROR(__xludf.DUMMYFUNCTION("""COMPUTED_VALUE"""),"Ir. Agus Surono, M.T.")</f>
        <v>Ir. Agus Surono, M.T.</v>
      </c>
      <c r="H11" s="49" t="str">
        <f ca="1">IFERROR(__xludf.DUMMYFUNCTION("""COMPUTED_VALUE"""),"Sefi Novendra Patrialova, S.Si., M.T")</f>
        <v>Sefi Novendra Patrialova, S.Si., M.T</v>
      </c>
      <c r="I11" s="49" t="str">
        <f ca="1">IFERROR(__xludf.DUMMYFUNCTION("""COMPUTED_VALUE"""),"Sunarsih, S.T., M.Eng., Ph.D.")</f>
        <v>Sunarsih, S.T., M.Eng., Ph.D.</v>
      </c>
      <c r="J11" s="49"/>
      <c r="K11" s="34" t="s">
        <v>1211</v>
      </c>
      <c r="L11" s="23" t="s">
        <v>1205</v>
      </c>
      <c r="M11" s="19" t="b">
        <v>1</v>
      </c>
      <c r="N11" s="19" t="b">
        <v>0</v>
      </c>
      <c r="O11" s="1" t="s">
        <v>1209</v>
      </c>
      <c r="P11" s="7" t="str">
        <f ca="1">IFERROR(__xludf.DUMMYFUNCTION("iferror(vlookup(B11,importrange(""https://docs.google.com/spreadsheets/d/1boHyJQ4e2FU0QG8MHwEi6qjX4hvZWVCHcFfXjq7bbMc/edit?resourcekey#gid=923248883"",""Prop!$C$1:$M""),12,0),IFERROR(vlookup(B11,importrange(""https://docs.google.com/spreadsheets/d/1boHyJQ"&amp;"4e2FU0QG8MHwEi6qjX4hvZWVCHcFfXjq7bbMc/edit?resourcekey#gid=923248883"",""Prop!$N$1:$X""),11,0),iferror(vlookup(B11,importrange(""https://docs.google.com/spreadsheets/d/1boHyJQ4e2FU0QG8MHwEi6qjX4hvZWVCHcFfXjq7bbMc/edit?resourcekey#gid=923248883"",""Prop!$Y"&amp;"$1:$AI""),11,0),iferror(vlookup(B11,importrange(""https://docs.google.com/spreadsheets/d/1boHyJQ4e2FU0QG8MHwEi6qjX4hvZWVCHcFfXjq7bbMc/edit?resourcekey#gid=923248883"",""Prop!$AJ$1:$AT""),11,0),iferror(vlookup(B11,importrange(""https://docs.google.com/spre"&amp;"adsheets/d/1boHyJQ4e2FU0QG8MHwEi6qjX4hvZWVCHcFfXjq7bbMc/edit?resourcekey#gid=923248883"",""Prop!$AU$1:$BE""),11,0),iferror(vlookup(B11,importrange(""https://docs.google.com/spreadsheets/d/1boHyJQ4e2FU0QG8MHwEi6qjX4hvZWVCHcFfXjq7bbMc/edit?resourcekey#gid=9"&amp;"23248883"",""Prop!$BF$1:$BP""),11,0),iferror(vlookup(B11,importrange(""https://docs.google.com/spreadsheets/d/1boHyJQ4e2FU0QG8MHwEi6qjX4hvZWVCHcFfXjq7bbMc/edit?resourcekey#gid=923248883"",""Prop!$BQ$1:$CA""),11,0),iferror(vlookup(B11,importrange(""https:/"&amp;"/docs.google.com/spreadsheets/d/1boHyJQ4e2FU0QG8MHwEi6qjX4hvZWVCHcFfXjq7bbMc/edit?resourcekey#gid=923248883"",""Prop!$CB$1:$CL""),11,0),iferror(vlookup(B11,importrange(""https://docs.google.com/spreadsheets/d/1boHyJQ4e2FU0QG8MHwEi6qjX4hvZWVCHcFfXjq7bbMc/e"&amp;"dit?resourcekey#gid=923248883"",""Prop!$CM$1:$CX""),12,0),iferror(vlookup(B11,importrange(""https://docs.google.com/spreadsheets/d/1boHyJQ4e2FU0QG8MHwEi6qjX4hvZWVCHcFfXjq7bbMc/edit?resourcekey#gid=923248883"",""Prop!$CV$1:$DI""),11,0)))))))))))"),"https://drive.google.com/open?id=1OVAN-J6VxCozGS0YDC0pEJc6JTkwu50H")</f>
        <v>https://drive.google.com/open?id=1OVAN-J6VxCozGS0YDC0pEJc6JTkwu50H</v>
      </c>
      <c r="Q11" s="50" t="str">
        <f ca="1">IFERROR(__xludf.DUMMYFUNCTION("iferror(vlookup(B11,importrange(""https://docs.google.com/spreadsheets/d/1p53T2AuvvIqhP7Nf-bo3Uhj8cbKYRPpZdsrBv3x3bAQ/edit?resourcekey#gid=1321652304"",""Prop!$C$1:$M""),11,0),IFERROR(vlookup(B11,importrange(""https://docs.google.com/spreadsheets/d/1p53T2"&amp;"AuvvIqhP7Nf-bo3Uhj8cbKYRPpZdsrBv3x3bAQ/edit?resourcekey#gid=1321652304"",""Prop!$N$1:$X""),11,0),iferror(vlookup(B11,importrange(""https://docs.google.com/spreadsheets/d/1p53T2AuvvIqhP7Nf-bo3Uhj8cbKYRPpZdsrBv3x3bAQ/edit?resourcekey#gid=1321652304"",""Prop"&amp;"!$Y$1:$AI""),11,0),iferror(vlookup(B11,importrange(""https://docs.google.com/spreadsheets/d/1p53T2AuvvIqhP7Nf-bo3Uhj8cbKYRPpZdsrBv3x3bAQ/edit?resourcekey#gid=1321652304"",""Prop!$AJ$1:$AT""),11,0),iferror(vlookup(B11,importrange(""https://docs.google.com/"&amp;"spreadsheets/d/1p53T2AuvvIqhP7Nf-bo3Uhj8cbKYRPpZdsrBv3x3bAQ/edit?resourcekey#gid=1321652304"",""Prop!$AU$1:$BE""),11,0),iferror(vlookup(B11,importrange(""https://docs.google.com/spreadsheets/d/1p53T2AuvvIqhP7Nf-bo3Uhj8cbKYRPpZdsrBv3x3bAQ/edit?resourcekey#"&amp;"gid=1321652304"",""Prop!$BF$1:$BP""),11,0),iferror(vlookup(B11,importrange(""https://docs.google.com/spreadsheets/d/1p53T2AuvvIqhP7Nf-bo3Uhj8cbKYRPpZdsrBv3x3bAQ/edit?resourcekey#gid=1321652304"",""Prop!$BQ$1:$CA""),11,0),iferror(vlookup(B11,importrange("""&amp;"https://docs.google.com/spreadsheets/d/1p53T2AuvvIqhP7Nf-bo3Uhj8cbKYRPpZdsrBv3x3bAQ/edit?resourcekey#gid=1321652304"",""Prop!$CB$1:$CL""),11,0),iferror(vlookup(B11,importrange(""https://docs.google.com/spreadsheets/d/1p53T2AuvvIqhP7Nf-bo3Uhj8cbKYRPpZdsrBv"&amp;"3x3bAQ/edit?resourcekey#gid=1321652304"",""Prop!$CM$1:$CX""),12,0),iferror(vlookup(B11,importrange(""https://docs.google.com/spreadsheets/d/1p53T2AuvvIqhP7Nf-bo3Uhj8cbKYRPpZdsrBv3x3bAQ/edit?resourcekey#gid=1321652304"",""Prop!$CY$1:$DI""),11,0)))))))))))"),"https://drive.google.com/open?id=139XSRL2DfUCq76_AF57QrXqRtXvx-2aB")</f>
        <v>https://drive.google.com/open?id=139XSRL2DfUCq76_AF57QrXqRtXvx-2aB</v>
      </c>
      <c r="R11" s="92" t="s">
        <v>1206</v>
      </c>
      <c r="S11" s="20" t="str">
        <f ca="1">IFERROR(__xludf.DUMMYFUNCTION("IFERROR(vlookup(B11,IMPORTRANGE(""https://docs.google.com/spreadsheets/d/1g_jfYYK_KeipEDNDUgqgrsxK94XiocfNQIcP-v1QVhI/edit?resourcekey#gid=233272945"",""Nilai!B:CT""),46,0),"" "")"),"(1) potensi profit mitra blm terlihat di pendahuluan, bisa dihitung dari potensi limbah tembakau yang terbuang sbg pengganti biaya pembelian pestisida (2) untuk rumusan masalah no 1, saran saya kalimatnya diganti ""bagiamana meningkatkan kualitas dan prod"&amp;"uktifitas tanaman petani menggunakan biopestisida."". Sedangkan kalimat di tujuan (1.3) mengikuti (3) gambar 2.1 sebaiknya diganti dengan gambar yg menunjukan taat protokol kesehatan (4) looping pada gambar 3.1 masih salah simbol, demikian juga start, end"&amp;", input-output tidak ada (5) implementasi bukan hanya monitoring saja, akan tetapi lebih ke memastikan alat bisa digunakan secara maximal oleh mitra melalui pelatihan dll
")</f>
        <v xml:space="preserve">(1) potensi profit mitra blm terlihat di pendahuluan, bisa dihitung dari potensi limbah tembakau yang terbuang sbg pengganti biaya pembelian pestisida (2) untuk rumusan masalah no 1, saran saya kalimatnya diganti "bagiamana meningkatkan kualitas dan produktifitas tanaman petani menggunakan biopestisida.". Sedangkan kalimat di tujuan (1.3) mengikuti (3) gambar 2.1 sebaiknya diganti dengan gambar yg menunjukan taat protokol kesehatan (4) looping pada gambar 3.1 masih salah simbol, demikian juga start, end, input-output tidak ada (5) implementasi bukan hanya monitoring saja, akan tetapi lebih ke memastikan alat bisa digunakan secara maximal oleh mitra melalui pelatihan dll
</v>
      </c>
      <c r="T11" s="20" t="str">
        <f ca="1">IFERROR(__xludf.DUMMYFUNCTION("IFERROR(vlookup(B11,IMPORTRANGE(""https://docs.google.com/spreadsheets/d/1g_jfYYK_KeipEDNDUgqgrsxK94XiocfNQIcP-v1QVhI/edit?resourcekey#gid=233272945"",""Nilai!B:CT""),97,0),"" "")"),"LAYAK UPLOAD KE SIMBELMAWA DENGAN REVISI")</f>
        <v>LAYAK UPLOAD KE SIMBELMAWA DENGAN REVISI</v>
      </c>
      <c r="U11" s="45" t="s">
        <v>748</v>
      </c>
      <c r="V11" s="38" t="str">
        <f ca="1">IFERROR(__xludf.DUMMYFUNCTION("IFERROR(
        vlookup(B11,
                IMPORTRANGE(""https://docs.google.com/spreadsheets/d/1dN4XwmJdILpQh5cYONP2LyBh3ksWo6DCzMrUbN3lo_Q/edit#gid=1905254675"",
                        ""Form Responses 1!F2:I""),
                4,
                f"&amp;"alse))"),"81 km")</f>
        <v>81 km</v>
      </c>
      <c r="W11" s="46" t="s">
        <v>1207</v>
      </c>
      <c r="X11" s="23" t="s">
        <v>1210</v>
      </c>
      <c r="Y11" s="19" t="b">
        <v>1</v>
      </c>
    </row>
    <row r="12" spans="1:25">
      <c r="A12" s="15">
        <v>10</v>
      </c>
      <c r="B12" s="15">
        <f ca="1">IFERROR(__xludf.DUMMYFUNCTION("""COMPUTED_VALUE"""),2669)</f>
        <v>2669</v>
      </c>
      <c r="C12" s="49" t="str">
        <f ca="1">IFERROR(__xludf.DUMMYFUNCTION("""COMPUTED_VALUE"""),"SYECH MAULANA MALIK")</f>
        <v>SYECH MAULANA MALIK</v>
      </c>
      <c r="D12" s="49" t="str">
        <f ca="1">IFERROR(__xludf.DUMMYFUNCTION("""COMPUTED_VALUE"""),"10211810003008")</f>
        <v>10211810003008</v>
      </c>
      <c r="E12" s="49" t="str">
        <f ca="1">IFERROR(__xludf.DUMMYFUNCTION("""COMPUTED_VALUE"""),"Departemen Teknik Mesin Industri")</f>
        <v>Departemen Teknik Mesin Industri</v>
      </c>
      <c r="F12" s="49" t="str">
        <f ca="1">IFERROR(__xludf.DUMMYFUNCTION("""COMPUTED_VALUE"""),"MESIN KRISTALISASI DENGAN SISTEM DOUBLE JACKET GUNA MENINGKATKAN KUALITAS PRODUKSI SERBUK SARI JAHE IKM VIRGO BAROKAH FOOD ")</f>
        <v xml:space="preserve">MESIN KRISTALISASI DENGAN SISTEM DOUBLE JACKET GUNA MENINGKATKAN KUALITAS PRODUKSI SERBUK SARI JAHE IKM VIRGO BAROKAH FOOD </v>
      </c>
      <c r="G12" s="49" t="str">
        <f ca="1">IFERROR(__xludf.DUMMYFUNCTION("""COMPUTED_VALUE"""),"Ir. Nur Husodo, M.S")</f>
        <v>Ir. Nur Husodo, M.S</v>
      </c>
      <c r="H12" s="49" t="str">
        <f ca="1">IFERROR(__xludf.DUMMYFUNCTION("""COMPUTED_VALUE"""),"Dr. Dhany Arifianto, S.T., M.Eng.")</f>
        <v>Dr. Dhany Arifianto, S.T., M.Eng.</v>
      </c>
      <c r="I12" s="49" t="str">
        <f ca="1">IFERROR(__xludf.DUMMYFUNCTION("""COMPUTED_VALUE"""),"Muhammad Syifaul Mufid, S.Si.,M.Si")</f>
        <v>Muhammad Syifaul Mufid, S.Si.,M.Si</v>
      </c>
      <c r="J12" s="49"/>
      <c r="K12" s="34" t="s">
        <v>1211</v>
      </c>
      <c r="L12" s="23" t="s">
        <v>1212</v>
      </c>
      <c r="M12" s="19" t="b">
        <v>1</v>
      </c>
      <c r="N12" s="19" t="b">
        <v>0</v>
      </c>
      <c r="O12" s="1" t="s">
        <v>1213</v>
      </c>
      <c r="P12" s="7" t="str">
        <f ca="1">IFERROR(__xludf.DUMMYFUNCTION("iferror(vlookup(B12,importrange(""https://docs.google.com/spreadsheets/d/1boHyJQ4e2FU0QG8MHwEi6qjX4hvZWVCHcFfXjq7bbMc/edit?resourcekey#gid=923248883"",""Prop!$C$1:$M""),12,0),IFERROR(vlookup(B12,importrange(""https://docs.google.com/spreadsheets/d/1boHyJQ"&amp;"4e2FU0QG8MHwEi6qjX4hvZWVCHcFfXjq7bbMc/edit?resourcekey#gid=923248883"",""Prop!$N$1:$X""),11,0),iferror(vlookup(B12,importrange(""https://docs.google.com/spreadsheets/d/1boHyJQ4e2FU0QG8MHwEi6qjX4hvZWVCHcFfXjq7bbMc/edit?resourcekey#gid=923248883"",""Prop!$Y"&amp;"$1:$AI""),11,0),iferror(vlookup(B12,importrange(""https://docs.google.com/spreadsheets/d/1boHyJQ4e2FU0QG8MHwEi6qjX4hvZWVCHcFfXjq7bbMc/edit?resourcekey#gid=923248883"",""Prop!$AJ$1:$AT""),11,0),iferror(vlookup(B12,importrange(""https://docs.google.com/spre"&amp;"adsheets/d/1boHyJQ4e2FU0QG8MHwEi6qjX4hvZWVCHcFfXjq7bbMc/edit?resourcekey#gid=923248883"",""Prop!$AU$1:$BE""),11,0),iferror(vlookup(B12,importrange(""https://docs.google.com/spreadsheets/d/1boHyJQ4e2FU0QG8MHwEi6qjX4hvZWVCHcFfXjq7bbMc/edit?resourcekey#gid=9"&amp;"23248883"",""Prop!$BF$1:$BP""),11,0),iferror(vlookup(B12,importrange(""https://docs.google.com/spreadsheets/d/1boHyJQ4e2FU0QG8MHwEi6qjX4hvZWVCHcFfXjq7bbMc/edit?resourcekey#gid=923248883"",""Prop!$BQ$1:$CA""),11,0),iferror(vlookup(B12,importrange(""https:/"&amp;"/docs.google.com/spreadsheets/d/1boHyJQ4e2FU0QG8MHwEi6qjX4hvZWVCHcFfXjq7bbMc/edit?resourcekey#gid=923248883"",""Prop!$CB$1:$CL""),11,0),iferror(vlookup(B12,importrange(""https://docs.google.com/spreadsheets/d/1boHyJQ4e2FU0QG8MHwEi6qjX4hvZWVCHcFfXjq7bbMc/e"&amp;"dit?resourcekey#gid=923248883"",""Prop!$CM$1:$CX""),12,0),iferror(vlookup(B12,importrange(""https://docs.google.com/spreadsheets/d/1boHyJQ4e2FU0QG8MHwEi6qjX4hvZWVCHcFfXjq7bbMc/edit?resourcekey#gid=923248883"",""Prop!$CV$1:$DI""),11,0)))))))))))"),"https://drive.google.com/open?id=14UwsdNH0aHxL5MJMdZURvQmdfv5c4x_Z")</f>
        <v>https://drive.google.com/open?id=14UwsdNH0aHxL5MJMdZURvQmdfv5c4x_Z</v>
      </c>
      <c r="Q12" s="50" t="str">
        <f ca="1">IFERROR(__xludf.DUMMYFUNCTION("iferror(vlookup(B12,importrange(""https://docs.google.com/spreadsheets/d/1p53T2AuvvIqhP7Nf-bo3Uhj8cbKYRPpZdsrBv3x3bAQ/edit?resourcekey#gid=1321652304"",""Prop!$C$1:$M""),11,0),IFERROR(vlookup(B12,importrange(""https://docs.google.com/spreadsheets/d/1p53T2"&amp;"AuvvIqhP7Nf-bo3Uhj8cbKYRPpZdsrBv3x3bAQ/edit?resourcekey#gid=1321652304"",""Prop!$N$1:$X""),11,0),iferror(vlookup(B12,importrange(""https://docs.google.com/spreadsheets/d/1p53T2AuvvIqhP7Nf-bo3Uhj8cbKYRPpZdsrBv3x3bAQ/edit?resourcekey#gid=1321652304"",""Prop"&amp;"!$Y$1:$AI""),11,0),iferror(vlookup(B12,importrange(""https://docs.google.com/spreadsheets/d/1p53T2AuvvIqhP7Nf-bo3Uhj8cbKYRPpZdsrBv3x3bAQ/edit?resourcekey#gid=1321652304"",""Prop!$AJ$1:$AT""),11,0),iferror(vlookup(B12,importrange(""https://docs.google.com/"&amp;"spreadsheets/d/1p53T2AuvvIqhP7Nf-bo3Uhj8cbKYRPpZdsrBv3x3bAQ/edit?resourcekey#gid=1321652304"",""Prop!$AU$1:$BE""),11,0),iferror(vlookup(B12,importrange(""https://docs.google.com/spreadsheets/d/1p53T2AuvvIqhP7Nf-bo3Uhj8cbKYRPpZdsrBv3x3bAQ/edit?resourcekey#"&amp;"gid=1321652304"",""Prop!$BF$1:$BP""),11,0),iferror(vlookup(B12,importrange(""https://docs.google.com/spreadsheets/d/1p53T2AuvvIqhP7Nf-bo3Uhj8cbKYRPpZdsrBv3x3bAQ/edit?resourcekey#gid=1321652304"",""Prop!$BQ$1:$CA""),11,0),iferror(vlookup(B12,importrange("""&amp;"https://docs.google.com/spreadsheets/d/1p53T2AuvvIqhP7Nf-bo3Uhj8cbKYRPpZdsrBv3x3bAQ/edit?resourcekey#gid=1321652304"",""Prop!$CB$1:$CL""),11,0),iferror(vlookup(B12,importrange(""https://docs.google.com/spreadsheets/d/1p53T2AuvvIqhP7Nf-bo3Uhj8cbKYRPpZdsrBv"&amp;"3x3bAQ/edit?resourcekey#gid=1321652304"",""Prop!$CM$1:$CX""),12,0),iferror(vlookup(B12,importrange(""https://docs.google.com/spreadsheets/d/1p53T2AuvvIqhP7Nf-bo3Uhj8cbKYRPpZdsrBv3x3bAQ/edit?resourcekey#gid=1321652304"",""Prop!$CY$1:$DI""),11,0)))))))))))"),"https://drive.google.com/open?id=1-NxO1q7IqrftU8uStQ5PDG3GDEX45Ga7")</f>
        <v>https://drive.google.com/open?id=1-NxO1q7IqrftU8uStQ5PDG3GDEX45Ga7</v>
      </c>
      <c r="R12" s="92" t="s">
        <v>1206</v>
      </c>
      <c r="S12" s="20" t="str">
        <f ca="1">IFERROR(__xludf.DUMMYFUNCTION("IFERROR(vlookup(B12,IMPORTRANGE(""https://docs.google.com/spreadsheets/d/1g_jfYYK_KeipEDNDUgqgrsxK94XiocfNQIcP-v1QVhI/edit?resourcekey#gid=233272945"",""Nilai!B:CT""),46,0),"" "")"),"Sebenarnya bagus...akan tetapi pembimbing, mhs, mitra sama ....sedangkan fungsi alat yg dipropose mirip dg PKM th lalu. Pertanyaanya adalah apakah dengan alat tahun lalu permasalahan kristalisasi serbuk jahe ini tidak  bisa diselesaikan? recomended untuk "&amp;"tidak dimasukkan SIMBELMAWA tapi ok jika hanya u/ pemenuhan kuota proposal")</f>
        <v>Sebenarnya bagus...akan tetapi pembimbing, mhs, mitra sama ....sedangkan fungsi alat yg dipropose mirip dg PKM th lalu. Pertanyaanya adalah apakah dengan alat tahun lalu permasalahan kristalisasi serbuk jahe ini tidak  bisa diselesaikan? recomended untuk tidak dimasukkan SIMBELMAWA tapi ok jika hanya u/ pemenuhan kuota proposal</v>
      </c>
      <c r="T12" s="20" t="str">
        <f ca="1">IFERROR(__xludf.DUMMYFUNCTION("IFERROR(vlookup(B12,IMPORTRANGE(""https://docs.google.com/spreadsheets/d/1g_jfYYK_KeipEDNDUgqgrsxK94XiocfNQIcP-v1QVhI/edit?resourcekey#gid=233272945"",""Nilai!B:CT""),97,0),"" "")"),"TIDAK LAYAK UPLOAD KE SIMBELMAWA")</f>
        <v>TIDAK LAYAK UPLOAD KE SIMBELMAWA</v>
      </c>
      <c r="U12" s="45" t="s">
        <v>748</v>
      </c>
      <c r="V12" s="38">
        <f ca="1">IFERROR(__xludf.DUMMYFUNCTION("IFERROR(
        vlookup(B12,
                IMPORTRANGE(""https://docs.google.com/spreadsheets/d/1dN4XwmJdILpQh5cYONP2LyBh3ksWo6DCzMrUbN3lo_Q/edit#gid=1905254675"",
                        ""Form Responses 1!F2:I""),
                4,
                f"&amp;"alse))"),15)</f>
        <v>15</v>
      </c>
      <c r="W12" s="46" t="s">
        <v>1207</v>
      </c>
      <c r="X12" s="23" t="s">
        <v>1214</v>
      </c>
      <c r="Y12" s="19" t="b">
        <v>0</v>
      </c>
    </row>
    <row r="13" spans="1:25">
      <c r="A13" s="15">
        <v>11</v>
      </c>
      <c r="B13" s="15">
        <f ca="1">IFERROR(__xludf.DUMMYFUNCTION("""COMPUTED_VALUE"""),2779)</f>
        <v>2779</v>
      </c>
      <c r="C13" s="49" t="str">
        <f ca="1">IFERROR(__xludf.DUMMYFUNCTION("""COMPUTED_VALUE"""),"RADEN AYU LAURA AZZAHRA PURNOMO")</f>
        <v>RADEN AYU LAURA AZZAHRA PURNOMO</v>
      </c>
      <c r="D13" s="49" t="str">
        <f ca="1">IFERROR(__xludf.DUMMYFUNCTION("""COMPUTED_VALUE"""),"5005201074")</f>
        <v>5005201074</v>
      </c>
      <c r="E13" s="49" t="str">
        <f ca="1">IFERROR(__xludf.DUMMYFUNCTION("""COMPUTED_VALUE"""),"Departemen Biologi")</f>
        <v>Departemen Biologi</v>
      </c>
      <c r="F13" s="49" t="str">
        <f ca="1">IFERROR(__xludf.DUMMYFUNCTION("""COMPUTED_VALUE"""),"Alat Pemberian Pakan dan Pengecekan pH Otomatis, serta Saluran Irigasi untuk Meningkatkan Produktivitas Budidaya Ikan Lele Kelompok Tani Keputih Bersemi")</f>
        <v>Alat Pemberian Pakan dan Pengecekan pH Otomatis, serta Saluran Irigasi untuk Meningkatkan Produktivitas Budidaya Ikan Lele Kelompok Tani Keputih Bersemi</v>
      </c>
      <c r="G13" s="49" t="str">
        <f ca="1">IFERROR(__xludf.DUMMYFUNCTION("""COMPUTED_VALUE"""),"Nova Maulidina Ashuri, S.Si., M.Si.")</f>
        <v>Nova Maulidina Ashuri, S.Si., M.Si.</v>
      </c>
      <c r="H13" s="49" t="str">
        <f ca="1">IFERROR(__xludf.DUMMYFUNCTION("""COMPUTED_VALUE"""),"Dr. Dhany Arifianto, S.T., M.Eng.")</f>
        <v>Dr. Dhany Arifianto, S.T., M.Eng.</v>
      </c>
      <c r="I13" s="49" t="str">
        <f ca="1">IFERROR(__xludf.DUMMYFUNCTION("""COMPUTED_VALUE"""),"Sunarsih, S.T., M.Eng., Ph.D.")</f>
        <v>Sunarsih, S.T., M.Eng., Ph.D.</v>
      </c>
      <c r="J13" s="49"/>
      <c r="K13" s="34" t="s">
        <v>1211</v>
      </c>
      <c r="L13" s="23" t="s">
        <v>1212</v>
      </c>
      <c r="M13" s="19" t="b">
        <v>1</v>
      </c>
      <c r="N13" s="19" t="b">
        <v>0</v>
      </c>
      <c r="O13" s="1" t="s">
        <v>1213</v>
      </c>
      <c r="P13" s="7" t="str">
        <f ca="1">IFERROR(__xludf.DUMMYFUNCTION("iferror(vlookup(B13,importrange(""https://docs.google.com/spreadsheets/d/1boHyJQ4e2FU0QG8MHwEi6qjX4hvZWVCHcFfXjq7bbMc/edit?resourcekey#gid=923248883"",""Prop!$C$1:$M""),12,0),IFERROR(vlookup(B13,importrange(""https://docs.google.com/spreadsheets/d/1boHyJQ"&amp;"4e2FU0QG8MHwEi6qjX4hvZWVCHcFfXjq7bbMc/edit?resourcekey#gid=923248883"",""Prop!$N$1:$X""),11,0),iferror(vlookup(B13,importrange(""https://docs.google.com/spreadsheets/d/1boHyJQ4e2FU0QG8MHwEi6qjX4hvZWVCHcFfXjq7bbMc/edit?resourcekey#gid=923248883"",""Prop!$Y"&amp;"$1:$AI""),11,0),iferror(vlookup(B13,importrange(""https://docs.google.com/spreadsheets/d/1boHyJQ4e2FU0QG8MHwEi6qjX4hvZWVCHcFfXjq7bbMc/edit?resourcekey#gid=923248883"",""Prop!$AJ$1:$AT""),11,0),iferror(vlookup(B13,importrange(""https://docs.google.com/spre"&amp;"adsheets/d/1boHyJQ4e2FU0QG8MHwEi6qjX4hvZWVCHcFfXjq7bbMc/edit?resourcekey#gid=923248883"",""Prop!$AU$1:$BE""),11,0),iferror(vlookup(B13,importrange(""https://docs.google.com/spreadsheets/d/1boHyJQ4e2FU0QG8MHwEi6qjX4hvZWVCHcFfXjq7bbMc/edit?resourcekey#gid=9"&amp;"23248883"",""Prop!$BF$1:$BP""),11,0),iferror(vlookup(B13,importrange(""https://docs.google.com/spreadsheets/d/1boHyJQ4e2FU0QG8MHwEi6qjX4hvZWVCHcFfXjq7bbMc/edit?resourcekey#gid=923248883"",""Prop!$BQ$1:$CA""),11,0),iferror(vlookup(B13,importrange(""https:/"&amp;"/docs.google.com/spreadsheets/d/1boHyJQ4e2FU0QG8MHwEi6qjX4hvZWVCHcFfXjq7bbMc/edit?resourcekey#gid=923248883"",""Prop!$CB$1:$CL""),11,0),iferror(vlookup(B13,importrange(""https://docs.google.com/spreadsheets/d/1boHyJQ4e2FU0QG8MHwEi6qjX4hvZWVCHcFfXjq7bbMc/e"&amp;"dit?resourcekey#gid=923248883"",""Prop!$CM$1:$CX""),12,0),iferror(vlookup(B13,importrange(""https://docs.google.com/spreadsheets/d/1boHyJQ4e2FU0QG8MHwEi6qjX4hvZWVCHcFfXjq7bbMc/edit?resourcekey#gid=923248883"",""Prop!$CV$1:$DI""),11,0)))))))))))"),"https://drive.google.com/open?id=1YVL4mVVnNpM_tRKBSSkp0N2y99Cu8gSz")</f>
        <v>https://drive.google.com/open?id=1YVL4mVVnNpM_tRKBSSkp0N2y99Cu8gSz</v>
      </c>
      <c r="Q13" s="50" t="str">
        <f ca="1">IFERROR(__xludf.DUMMYFUNCTION("iferror(vlookup(B13,importrange(""https://docs.google.com/spreadsheets/d/1p53T2AuvvIqhP7Nf-bo3Uhj8cbKYRPpZdsrBv3x3bAQ/edit?resourcekey#gid=1321652304"",""Prop!$C$1:$M""),11,0),IFERROR(vlookup(B13,importrange(""https://docs.google.com/spreadsheets/d/1p53T2"&amp;"AuvvIqhP7Nf-bo3Uhj8cbKYRPpZdsrBv3x3bAQ/edit?resourcekey#gid=1321652304"",""Prop!$N$1:$X""),11,0),iferror(vlookup(B13,importrange(""https://docs.google.com/spreadsheets/d/1p53T2AuvvIqhP7Nf-bo3Uhj8cbKYRPpZdsrBv3x3bAQ/edit?resourcekey#gid=1321652304"",""Prop"&amp;"!$Y$1:$AI""),11,0),iferror(vlookup(B13,importrange(""https://docs.google.com/spreadsheets/d/1p53T2AuvvIqhP7Nf-bo3Uhj8cbKYRPpZdsrBv3x3bAQ/edit?resourcekey#gid=1321652304"",""Prop!$AJ$1:$AT""),11,0),iferror(vlookup(B13,importrange(""https://docs.google.com/"&amp;"spreadsheets/d/1p53T2AuvvIqhP7Nf-bo3Uhj8cbKYRPpZdsrBv3x3bAQ/edit?resourcekey#gid=1321652304"",""Prop!$AU$1:$BE""),11,0),iferror(vlookup(B13,importrange(""https://docs.google.com/spreadsheets/d/1p53T2AuvvIqhP7Nf-bo3Uhj8cbKYRPpZdsrBv3x3bAQ/edit?resourcekey#"&amp;"gid=1321652304"",""Prop!$BF$1:$BP""),11,0),iferror(vlookup(B13,importrange(""https://docs.google.com/spreadsheets/d/1p53T2AuvvIqhP7Nf-bo3Uhj8cbKYRPpZdsrBv3x3bAQ/edit?resourcekey#gid=1321652304"",""Prop!$BQ$1:$CA""),11,0),iferror(vlookup(B13,importrange("""&amp;"https://docs.google.com/spreadsheets/d/1p53T2AuvvIqhP7Nf-bo3Uhj8cbKYRPpZdsrBv3x3bAQ/edit?resourcekey#gid=1321652304"",""Prop!$CB$1:$CL""),11,0),iferror(vlookup(B13,importrange(""https://docs.google.com/spreadsheets/d/1p53T2AuvvIqhP7Nf-bo3Uhj8cbKYRPpZdsrBv"&amp;"3x3bAQ/edit?resourcekey#gid=1321652304"",""Prop!$CM$1:$CX""),12,0),iferror(vlookup(B13,importrange(""https://docs.google.com/spreadsheets/d/1p53T2AuvvIqhP7Nf-bo3Uhj8cbKYRPpZdsrBv3x3bAQ/edit?resourcekey#gid=1321652304"",""Prop!$CY$1:$DI""),11,0)))))))))))"),"https://drive.google.com/open?id=1bgo7uAWFUKTt7k9nlZ33r2d7AHHL8Zi-")</f>
        <v>https://drive.google.com/open?id=1bgo7uAWFUKTt7k9nlZ33r2d7AHHL8Zi-</v>
      </c>
      <c r="R13" s="92" t="s">
        <v>1206</v>
      </c>
      <c r="S13" s="20" t="str">
        <f ca="1">IFERROR(__xludf.DUMMYFUNCTION("IFERROR(vlookup(B13,IMPORTRANGE(""https://docs.google.com/spreadsheets/d/1g_jfYYK_KeipEDNDUgqgrsxK94XiocfNQIcP-v1QVhI/edit?resourcekey#gid=233272945"",""Nilai!B:CT""),46,0),"" "")"),"(1) Potensi profit mitra belum ditampilkan dalam bentuk Rp (2) rumusan masalah no 1 ini sebaiknya ditaruh yg paling akhir, selanjutnya penulisan di TUJUAN menyesuaikan (3) apa fungsi sensor RTC dan relay selenoida ? (4) Apakah ada riset cairan penetral as"&amp;"am ini aman bagi ikan, dan bagaimanakah mekasinme mixing dengan airnya? (5) Sub bab 3.3. Apakah kelebihan yg ditawarkan desain anda dengan desain yg sudah ada? (6) penerapan pada mitra bukan hanya cara menjalankan mesin dan meintenance, tapi berkelanjutan"&amp;" jika ada problem dikemudian hari")</f>
        <v>(1) Potensi profit mitra belum ditampilkan dalam bentuk Rp (2) rumusan masalah no 1 ini sebaiknya ditaruh yg paling akhir, selanjutnya penulisan di TUJUAN menyesuaikan (3) apa fungsi sensor RTC dan relay selenoida ? (4) Apakah ada riset cairan penetral asam ini aman bagi ikan, dan bagaimanakah mekasinme mixing dengan airnya? (5) Sub bab 3.3. Apakah kelebihan yg ditawarkan desain anda dengan desain yg sudah ada? (6) penerapan pada mitra bukan hanya cara menjalankan mesin dan meintenance, tapi berkelanjutan jika ada problem dikemudian hari</v>
      </c>
      <c r="T13" s="20" t="str">
        <f ca="1">IFERROR(__xludf.DUMMYFUNCTION("IFERROR(vlookup(B13,IMPORTRANGE(""https://docs.google.com/spreadsheets/d/1g_jfYYK_KeipEDNDUgqgrsxK94XiocfNQIcP-v1QVhI/edit?resourcekey#gid=233272945"",""Nilai!B:CT""),97,0),"" "")"),"LAYAK UPLOAD KE SIMBELMAWA DENGAN REVISI")</f>
        <v>LAYAK UPLOAD KE SIMBELMAWA DENGAN REVISI</v>
      </c>
      <c r="U13" s="45" t="s">
        <v>748</v>
      </c>
      <c r="V13" s="38" t="str">
        <f ca="1">IFERROR(__xludf.DUMMYFUNCTION("IFERROR(
        vlookup(B13,
                IMPORTRANGE(""https://docs.google.com/spreadsheets/d/1dN4XwmJdILpQh5cYONP2LyBh3ksWo6DCzMrUbN3lo_Q/edit#gid=1905254675"",
                        ""Form Responses 1!F2:I""),
                4,
                f"&amp;"alse))"),"3,7 km")</f>
        <v>3,7 km</v>
      </c>
      <c r="W13" s="46" t="s">
        <v>1207</v>
      </c>
      <c r="X13" s="23" t="s">
        <v>1214</v>
      </c>
      <c r="Y13" s="19" t="b">
        <v>1</v>
      </c>
    </row>
    <row r="14" spans="1:25">
      <c r="A14" s="15">
        <v>12</v>
      </c>
      <c r="B14" s="15">
        <f ca="1">IFERROR(__xludf.DUMMYFUNCTION("""COMPUTED_VALUE"""),3567)</f>
        <v>3567</v>
      </c>
      <c r="C14" s="49" t="str">
        <f ca="1">IFERROR(__xludf.DUMMYFUNCTION("""COMPUTED_VALUE"""),"RADIT NIKLES EFENDI")</f>
        <v>RADIT NIKLES EFENDI</v>
      </c>
      <c r="D14" s="49" t="str">
        <f ca="1">IFERROR(__xludf.DUMMYFUNCTION("""COMPUTED_VALUE"""),"2039211011")</f>
        <v>2039211011</v>
      </c>
      <c r="E14" s="49" t="str">
        <f ca="1">IFERROR(__xludf.DUMMYFUNCTION("""COMPUTED_VALUE"""),"Departemen Teknik Mesin Industri")</f>
        <v>Departemen Teknik Mesin Industri</v>
      </c>
      <c r="F14" s="49" t="str">
        <f ca="1">IFERROR(__xludf.DUMMYFUNCTION("""COMPUTED_VALUE"""),"Mesin Pengisi Beras Semi Otomatis pada Lontong dengan Metode Volumetrik Untuk Membantu Meningkatkan Kualitas Produksi Lontong UMKM Bapak Agus ")</f>
        <v xml:space="preserve">Mesin Pengisi Beras Semi Otomatis pada Lontong dengan Metode Volumetrik Untuk Membantu Meningkatkan Kualitas Produksi Lontong UMKM Bapak Agus </v>
      </c>
      <c r="G14" s="49" t="str">
        <f ca="1">IFERROR(__xludf.DUMMYFUNCTION("""COMPUTED_VALUE"""),"Ir. Nur Husodo, M.S")</f>
        <v>Ir. Nur Husodo, M.S</v>
      </c>
      <c r="H14" s="49" t="str">
        <f ca="1">IFERROR(__xludf.DUMMYFUNCTION("""COMPUTED_VALUE"""),"Sefi Novendra Patrialova, S.Si., M.T")</f>
        <v>Sefi Novendra Patrialova, S.Si., M.T</v>
      </c>
      <c r="I14" s="49" t="str">
        <f ca="1">IFERROR(__xludf.DUMMYFUNCTION("""COMPUTED_VALUE"""),"Sunarsih, S.T., M.Eng., Ph.D.")</f>
        <v>Sunarsih, S.T., M.Eng., Ph.D.</v>
      </c>
      <c r="J14" s="49"/>
      <c r="K14" s="34" t="s">
        <v>1211</v>
      </c>
      <c r="L14" s="23" t="s">
        <v>1212</v>
      </c>
      <c r="M14" s="19" t="b">
        <v>1</v>
      </c>
      <c r="N14" s="19" t="b">
        <v>0</v>
      </c>
      <c r="O14" s="1" t="s">
        <v>1213</v>
      </c>
      <c r="P14" s="7" t="str">
        <f ca="1">IFERROR(__xludf.DUMMYFUNCTION("iferror(vlookup(B14,importrange(""https://docs.google.com/spreadsheets/d/1boHyJQ4e2FU0QG8MHwEi6qjX4hvZWVCHcFfXjq7bbMc/edit?resourcekey#gid=923248883"",""Prop!$C$1:$M""),12,0),IFERROR(vlookup(B14,importrange(""https://docs.google.com/spreadsheets/d/1boHyJQ"&amp;"4e2FU0QG8MHwEi6qjX4hvZWVCHcFfXjq7bbMc/edit?resourcekey#gid=923248883"",""Prop!$N$1:$X""),11,0),iferror(vlookup(B14,importrange(""https://docs.google.com/spreadsheets/d/1boHyJQ4e2FU0QG8MHwEi6qjX4hvZWVCHcFfXjq7bbMc/edit?resourcekey#gid=923248883"",""Prop!$Y"&amp;"$1:$AI""),11,0),iferror(vlookup(B14,importrange(""https://docs.google.com/spreadsheets/d/1boHyJQ4e2FU0QG8MHwEi6qjX4hvZWVCHcFfXjq7bbMc/edit?resourcekey#gid=923248883"",""Prop!$AJ$1:$AT""),11,0),iferror(vlookup(B14,importrange(""https://docs.google.com/spre"&amp;"adsheets/d/1boHyJQ4e2FU0QG8MHwEi6qjX4hvZWVCHcFfXjq7bbMc/edit?resourcekey#gid=923248883"",""Prop!$AU$1:$BE""),11,0),iferror(vlookup(B14,importrange(""https://docs.google.com/spreadsheets/d/1boHyJQ4e2FU0QG8MHwEi6qjX4hvZWVCHcFfXjq7bbMc/edit?resourcekey#gid=9"&amp;"23248883"",""Prop!$BF$1:$BP""),11,0),iferror(vlookup(B14,importrange(""https://docs.google.com/spreadsheets/d/1boHyJQ4e2FU0QG8MHwEi6qjX4hvZWVCHcFfXjq7bbMc/edit?resourcekey#gid=923248883"",""Prop!$BQ$1:$CA""),11,0),iferror(vlookup(B14,importrange(""https:/"&amp;"/docs.google.com/spreadsheets/d/1boHyJQ4e2FU0QG8MHwEi6qjX4hvZWVCHcFfXjq7bbMc/edit?resourcekey#gid=923248883"",""Prop!$CB$1:$CL""),11,0),iferror(vlookup(B14,importrange(""https://docs.google.com/spreadsheets/d/1boHyJQ4e2FU0QG8MHwEi6qjX4hvZWVCHcFfXjq7bbMc/e"&amp;"dit?resourcekey#gid=923248883"",""Prop!$CM$1:$CX""),12,0),iferror(vlookup(B14,importrange(""https://docs.google.com/spreadsheets/d/1boHyJQ4e2FU0QG8MHwEi6qjX4hvZWVCHcFfXjq7bbMc/edit?resourcekey#gid=923248883"",""Prop!$CV$1:$DI""),11,0)))))))))))"),"https://drive.google.com/open?id=1sFJP3Zi6-5qQa-D8kZl-XkAQTz2Ss_cb")</f>
        <v>https://drive.google.com/open?id=1sFJP3Zi6-5qQa-D8kZl-XkAQTz2Ss_cb</v>
      </c>
      <c r="Q14" s="7" t="str">
        <f ca="1">IFERROR(__xludf.DUMMYFUNCTION("iferror(vlookup(B14,importrange(""https://docs.google.com/spreadsheets/d/1p53T2AuvvIqhP7Nf-bo3Uhj8cbKYRPpZdsrBv3x3bAQ/edit?resourcekey#gid=1321652304"",""Prop!$C$1:$M""),11,0),IFERROR(vlookup(B14,importrange(""https://docs.google.com/spreadsheets/d/1p53T2"&amp;"AuvvIqhP7Nf-bo3Uhj8cbKYRPpZdsrBv3x3bAQ/edit?resourcekey#gid=1321652304"",""Prop!$N$1:$X""),11,0),iferror(vlookup(B14,importrange(""https://docs.google.com/spreadsheets/d/1p53T2AuvvIqhP7Nf-bo3Uhj8cbKYRPpZdsrBv3x3bAQ/edit?resourcekey#gid=1321652304"",""Prop"&amp;"!$Y$1:$AI""),11,0),iferror(vlookup(B14,importrange(""https://docs.google.com/spreadsheets/d/1p53T2AuvvIqhP7Nf-bo3Uhj8cbKYRPpZdsrBv3x3bAQ/edit?resourcekey#gid=1321652304"",""Prop!$AJ$1:$AT""),11,0),iferror(vlookup(B14,importrange(""https://docs.google.com/"&amp;"spreadsheets/d/1p53T2AuvvIqhP7Nf-bo3Uhj8cbKYRPpZdsrBv3x3bAQ/edit?resourcekey#gid=1321652304"",""Prop!$AU$1:$BE""),11,0),iferror(vlookup(B14,importrange(""https://docs.google.com/spreadsheets/d/1p53T2AuvvIqhP7Nf-bo3Uhj8cbKYRPpZdsrBv3x3bAQ/edit?resourcekey#"&amp;"gid=1321652304"",""Prop!$BF$1:$BP""),11,0),iferror(vlookup(B14,importrange(""https://docs.google.com/spreadsheets/d/1p53T2AuvvIqhP7Nf-bo3Uhj8cbKYRPpZdsrBv3x3bAQ/edit?resourcekey#gid=1321652304"",""Prop!$BQ$1:$CA""),11,0),iferror(vlookup(B14,importrange("""&amp;"https://docs.google.com/spreadsheets/d/1p53T2AuvvIqhP7Nf-bo3Uhj8cbKYRPpZdsrBv3x3bAQ/edit?resourcekey#gid=1321652304"",""Prop!$CB$1:$CL""),11,0),iferror(vlookup(B14,importrange(""https://docs.google.com/spreadsheets/d/1p53T2AuvvIqhP7Nf-bo3Uhj8cbKYRPpZdsrBv"&amp;"3x3bAQ/edit?resourcekey#gid=1321652304"",""Prop!$CM$1:$CX""),12,0),iferror(vlookup(B14,importrange(""https://docs.google.com/spreadsheets/d/1p53T2AuvvIqhP7Nf-bo3Uhj8cbKYRPpZdsrBv3x3bAQ/edit?resourcekey#gid=1321652304"",""Prop!$CY$1:$DI""),11,0)))))))))))"),"https://drive.google.com/open?id=1VxDHJBczPGpcu6N_aJyO4kxlElaMiGDr")</f>
        <v>https://drive.google.com/open?id=1VxDHJBczPGpcu6N_aJyO4kxlElaMiGDr</v>
      </c>
      <c r="R14" s="92" t="s">
        <v>1206</v>
      </c>
      <c r="S14" s="20" t="str">
        <f ca="1">IFERROR(__xludf.DUMMYFUNCTION("IFERROR(vlookup(B14,IMPORTRANGE(""https://docs.google.com/spreadsheets/d/1g_jfYYK_KeipEDNDUgqgrsxK94XiocfNQIcP-v1QVhI/edit?resourcekey#gid=233272945"",""Nilai!B:CT""),46,0),"" "")"),"(1) permasalahan di mitra ini sederhana yakni ketidakpressian dan ketidakakuratan takaran, sebenarnya solusinya sederhana yakni penggunakan alat takar standard. Akan lebih baik jika fokus ke peningkatan produksi karena permintaan masy misal karena hari ra"&amp;"ya puasa dll sehingga perlu otomasi (2) potensi profit bagi mitra masih blm jelas (3) FATAL Gbr 6. apakah alatnya sudah jadi? sebaiknya diganti dengan gbr desain 3D (4) implementasi mestinya sampai tahapan training penggunaan alat, maintenance dan komunik"&amp;"asi setelah PKM selesai jika masih ada permasalahan dalam operasional alat")</f>
        <v>(1) permasalahan di mitra ini sederhana yakni ketidakpressian dan ketidakakuratan takaran, sebenarnya solusinya sederhana yakni penggunakan alat takar standard. Akan lebih baik jika fokus ke peningkatan produksi karena permintaan masy misal karena hari raya puasa dll sehingga perlu otomasi (2) potensi profit bagi mitra masih blm jelas (3) FATAL Gbr 6. apakah alatnya sudah jadi? sebaiknya diganti dengan gbr desain 3D (4) implementasi mestinya sampai tahapan training penggunaan alat, maintenance dan komunikasi setelah PKM selesai jika masih ada permasalahan dalam operasional alat</v>
      </c>
      <c r="T14" s="20" t="str">
        <f ca="1">IFERROR(__xludf.DUMMYFUNCTION("IFERROR(vlookup(B14,IMPORTRANGE(""https://docs.google.com/spreadsheets/d/1g_jfYYK_KeipEDNDUgqgrsxK94XiocfNQIcP-v1QVhI/edit?resourcekey#gid=233272945"",""Nilai!B:CT""),97,0),"" "")"),"LAYAK UPLOAD KE SIMBELMAWA DENGAN REVISI")</f>
        <v>LAYAK UPLOAD KE SIMBELMAWA DENGAN REVISI</v>
      </c>
      <c r="U14" s="45" t="s">
        <v>748</v>
      </c>
      <c r="V14" s="38" t="str">
        <f ca="1">IFERROR(__xludf.DUMMYFUNCTION("IFERROR(
        vlookup(B14,
                IMPORTRANGE(""https://docs.google.com/spreadsheets/d/1dN4XwmJdILpQh5cYONP2LyBh3ksWo6DCzMrUbN3lo_Q/edit#gid=1905254675"",
                        ""Form Responses 1!F2:I""),
                4,
                f"&amp;"alse))"),"7 KM ")</f>
        <v xml:space="preserve">7 KM </v>
      </c>
      <c r="W14" s="46" t="s">
        <v>1207</v>
      </c>
      <c r="X14" s="23" t="s">
        <v>1214</v>
      </c>
      <c r="Y14" s="19" t="b">
        <v>1</v>
      </c>
    </row>
    <row r="15" spans="1:25">
      <c r="A15" s="15">
        <v>13</v>
      </c>
      <c r="B15" s="15">
        <f ca="1">IFERROR(__xludf.DUMMYFUNCTION("""COMPUTED_VALUE"""),3594)</f>
        <v>3594</v>
      </c>
      <c r="C15" s="49" t="str">
        <f ca="1">IFERROR(__xludf.DUMMYFUNCTION("""COMPUTED_VALUE"""),"Hakhi Gya Yektianto")</f>
        <v>Hakhi Gya Yektianto</v>
      </c>
      <c r="D15" s="49" t="str">
        <f ca="1">IFERROR(__xludf.DUMMYFUNCTION("""COMPUTED_VALUE"""),"07111940000022")</f>
        <v>07111940000022</v>
      </c>
      <c r="E15" s="49" t="str">
        <f ca="1">IFERROR(__xludf.DUMMYFUNCTION("""COMPUTED_VALUE"""),"Departemen Teknik Elektro")</f>
        <v>Departemen Teknik Elektro</v>
      </c>
      <c r="F15" s="49" t="str">
        <f ca="1">IFERROR(__xludf.DUMMYFUNCTION("""COMPUTED_VALUE"""),"Sistem Monitoring Kualitas Air Berbasis IoT untuk Peningkatan Kualitas Produksi Budidaya Tambak Udang di daerah Panceng Gresik")</f>
        <v>Sistem Monitoring Kualitas Air Berbasis IoT untuk Peningkatan Kualitas Produksi Budidaya Tambak Udang di daerah Panceng Gresik</v>
      </c>
      <c r="G15" s="49" t="str">
        <f ca="1">IFERROR(__xludf.DUMMYFUNCTION("""COMPUTED_VALUE"""),"Eka Iskandar, S.T., M.T.")</f>
        <v>Eka Iskandar, S.T., M.T.</v>
      </c>
      <c r="H15" s="49" t="str">
        <f ca="1">IFERROR(__xludf.DUMMYFUNCTION("""COMPUTED_VALUE"""),"Ir. Nur Husodo, M.S")</f>
        <v>Ir. Nur Husodo, M.S</v>
      </c>
      <c r="I15" s="49" t="str">
        <f ca="1">IFERROR(__xludf.DUMMYFUNCTION("""COMPUTED_VALUE"""),"Ciptian Weried Priananda, S.ST., M.T.")</f>
        <v>Ciptian Weried Priananda, S.ST., M.T.</v>
      </c>
      <c r="J15" s="49"/>
      <c r="K15" s="34" t="s">
        <v>1211</v>
      </c>
      <c r="L15" s="23" t="s">
        <v>1212</v>
      </c>
      <c r="M15" s="19" t="b">
        <v>1</v>
      </c>
      <c r="N15" s="19" t="b">
        <v>0</v>
      </c>
      <c r="O15" s="1" t="s">
        <v>1213</v>
      </c>
      <c r="P15" s="7" t="str">
        <f ca="1">IFERROR(__xludf.DUMMYFUNCTION("iferror(vlookup(B15,importrange(""https://docs.google.com/spreadsheets/d/1boHyJQ4e2FU0QG8MHwEi6qjX4hvZWVCHcFfXjq7bbMc/edit?resourcekey#gid=923248883"",""Prop!$C$1:$M""),12,0),IFERROR(vlookup(B15,importrange(""https://docs.google.com/spreadsheets/d/1boHyJQ"&amp;"4e2FU0QG8MHwEi6qjX4hvZWVCHcFfXjq7bbMc/edit?resourcekey#gid=923248883"",""Prop!$N$1:$X""),11,0),iferror(vlookup(B15,importrange(""https://docs.google.com/spreadsheets/d/1boHyJQ4e2FU0QG8MHwEi6qjX4hvZWVCHcFfXjq7bbMc/edit?resourcekey#gid=923248883"",""Prop!$Y"&amp;"$1:$AI""),11,0),iferror(vlookup(B15,importrange(""https://docs.google.com/spreadsheets/d/1boHyJQ4e2FU0QG8MHwEi6qjX4hvZWVCHcFfXjq7bbMc/edit?resourcekey#gid=923248883"",""Prop!$AJ$1:$AT""),11,0),iferror(vlookup(B15,importrange(""https://docs.google.com/spre"&amp;"adsheets/d/1boHyJQ4e2FU0QG8MHwEi6qjX4hvZWVCHcFfXjq7bbMc/edit?resourcekey#gid=923248883"",""Prop!$AU$1:$BE""),11,0),iferror(vlookup(B15,importrange(""https://docs.google.com/spreadsheets/d/1boHyJQ4e2FU0QG8MHwEi6qjX4hvZWVCHcFfXjq7bbMc/edit?resourcekey#gid=9"&amp;"23248883"",""Prop!$BF$1:$BP""),11,0),iferror(vlookup(B15,importrange(""https://docs.google.com/spreadsheets/d/1boHyJQ4e2FU0QG8MHwEi6qjX4hvZWVCHcFfXjq7bbMc/edit?resourcekey#gid=923248883"",""Prop!$BQ$1:$CA""),11,0),iferror(vlookup(B15,importrange(""https:/"&amp;"/docs.google.com/spreadsheets/d/1boHyJQ4e2FU0QG8MHwEi6qjX4hvZWVCHcFfXjq7bbMc/edit?resourcekey#gid=923248883"",""Prop!$CB$1:$CL""),11,0),iferror(vlookup(B15,importrange(""https://docs.google.com/spreadsheets/d/1boHyJQ4e2FU0QG8MHwEi6qjX4hvZWVCHcFfXjq7bbMc/e"&amp;"dit?resourcekey#gid=923248883"",""Prop!$CM$1:$CX""),12,0),iferror(vlookup(B15,importrange(""https://docs.google.com/spreadsheets/d/1boHyJQ4e2FU0QG8MHwEi6qjX4hvZWVCHcFfXjq7bbMc/edit?resourcekey#gid=923248883"",""Prop!$CV$1:$DI""),11,0)))))))))))"),"https://drive.google.com/open?id=1hM1ZHm4Kco_0fbltX2zNgLyQZ_ImyDsk")</f>
        <v>https://drive.google.com/open?id=1hM1ZHm4Kco_0fbltX2zNgLyQZ_ImyDsk</v>
      </c>
      <c r="Q15" s="50" t="str">
        <f ca="1">IFERROR(__xludf.DUMMYFUNCTION("iferror(vlookup(B15,importrange(""https://docs.google.com/spreadsheets/d/1p53T2AuvvIqhP7Nf-bo3Uhj8cbKYRPpZdsrBv3x3bAQ/edit?resourcekey#gid=1321652304"",""Prop!$C$1:$M""),11,0),IFERROR(vlookup(B15,importrange(""https://docs.google.com/spreadsheets/d/1p53T2"&amp;"AuvvIqhP7Nf-bo3Uhj8cbKYRPpZdsrBv3x3bAQ/edit?resourcekey#gid=1321652304"",""Prop!$N$1:$X""),11,0),iferror(vlookup(B15,importrange(""https://docs.google.com/spreadsheets/d/1p53T2AuvvIqhP7Nf-bo3Uhj8cbKYRPpZdsrBv3x3bAQ/edit?resourcekey#gid=1321652304"",""Prop"&amp;"!$Y$1:$AI""),11,0),iferror(vlookup(B15,importrange(""https://docs.google.com/spreadsheets/d/1p53T2AuvvIqhP7Nf-bo3Uhj8cbKYRPpZdsrBv3x3bAQ/edit?resourcekey#gid=1321652304"",""Prop!$AJ$1:$AT""),11,0),iferror(vlookup(B15,importrange(""https://docs.google.com/"&amp;"spreadsheets/d/1p53T2AuvvIqhP7Nf-bo3Uhj8cbKYRPpZdsrBv3x3bAQ/edit?resourcekey#gid=1321652304"",""Prop!$AU$1:$BE""),11,0),iferror(vlookup(B15,importrange(""https://docs.google.com/spreadsheets/d/1p53T2AuvvIqhP7Nf-bo3Uhj8cbKYRPpZdsrBv3x3bAQ/edit?resourcekey#"&amp;"gid=1321652304"",""Prop!$BF$1:$BP""),11,0),iferror(vlookup(B15,importrange(""https://docs.google.com/spreadsheets/d/1p53T2AuvvIqhP7Nf-bo3Uhj8cbKYRPpZdsrBv3x3bAQ/edit?resourcekey#gid=1321652304"",""Prop!$BQ$1:$CA""),11,0),iferror(vlookup(B15,importrange("""&amp;"https://docs.google.com/spreadsheets/d/1p53T2AuvvIqhP7Nf-bo3Uhj8cbKYRPpZdsrBv3x3bAQ/edit?resourcekey#gid=1321652304"",""Prop!$CB$1:$CL""),11,0),iferror(vlookup(B15,importrange(""https://docs.google.com/spreadsheets/d/1p53T2AuvvIqhP7Nf-bo3Uhj8cbKYRPpZdsrBv"&amp;"3x3bAQ/edit?resourcekey#gid=1321652304"",""Prop!$CM$1:$CX""),12,0),iferror(vlookup(B15,importrange(""https://docs.google.com/spreadsheets/d/1p53T2AuvvIqhP7Nf-bo3Uhj8cbKYRPpZdsrBv3x3bAQ/edit?resourcekey#gid=1321652304"",""Prop!$CY$1:$DI""),11,0)))))))))))"),"https://drive.google.com/open?id=1ZU-hW19N_g9z4JJySe3AxcPP8uOFRukf")</f>
        <v>https://drive.google.com/open?id=1ZU-hW19N_g9z4JJySe3AxcPP8uOFRukf</v>
      </c>
      <c r="R15" s="92" t="s">
        <v>1206</v>
      </c>
      <c r="S15" s="20" t="str">
        <f ca="1">IFERROR(__xludf.DUMMYFUNCTION("IFERROR(vlookup(B15,IMPORTRANGE(""https://docs.google.com/spreadsheets/d/1g_jfYYK_KeipEDNDUgqgrsxK94XiocfNQIcP-v1QVhI/edit?resourcekey#gid=233272945"",""Nilai!B:CT""),46,0),"" "")"),"(1) potensi profit mitra dalam rupiah blm nampak (2) kelebihan desain anda dengan existing produk yang sudah ada apa? misal dibandingkan dengan JALA (3) Flowchart 3.1 di pemilihan pengujian, perlu keterangan ya dan tidaknya kemana. Arah anak panah kebalik"&amp;" (4)Implementasi mestinya ada training, problem shooting, dan keberlanjutan komunikasi jika ada problem di kemudian hari ")</f>
        <v xml:space="preserve">(1) potensi profit mitra dalam rupiah blm nampak (2) kelebihan desain anda dengan existing produk yang sudah ada apa? misal dibandingkan dengan JALA (3) Flowchart 3.1 di pemilihan pengujian, perlu keterangan ya dan tidaknya kemana. Arah anak panah kebalik (4)Implementasi mestinya ada training, problem shooting, dan keberlanjutan komunikasi jika ada problem di kemudian hari </v>
      </c>
      <c r="T15" s="20" t="str">
        <f ca="1">IFERROR(__xludf.DUMMYFUNCTION("IFERROR(vlookup(B15,IMPORTRANGE(""https://docs.google.com/spreadsheets/d/1g_jfYYK_KeipEDNDUgqgrsxK94XiocfNQIcP-v1QVhI/edit?resourcekey#gid=233272945"",""Nilai!B:CT""),97,0),"" "")"),"LAYAK UPLOAD KE SIMBELMAWA DENGAN REVISI")</f>
        <v>LAYAK UPLOAD KE SIMBELMAWA DENGAN REVISI</v>
      </c>
      <c r="U15" s="45" t="s">
        <v>748</v>
      </c>
      <c r="V15" s="38" t="str">
        <f ca="1">IFERROR(__xludf.DUMMYFUNCTION("IFERROR(
        vlookup(B15,
                IMPORTRANGE(""https://docs.google.com/spreadsheets/d/1dN4XwmJdILpQh5cYONP2LyBh3ksWo6DCzMrUbN3lo_Q/edit#gid=1905254675"",
                        ""Form Responses 1!F2:I""),
                4,
                f"&amp;"alse))"),"68.7")</f>
        <v>68.7</v>
      </c>
      <c r="W15" s="46" t="s">
        <v>1207</v>
      </c>
      <c r="X15" s="23" t="s">
        <v>1214</v>
      </c>
      <c r="Y15" s="19" t="b">
        <v>1</v>
      </c>
    </row>
    <row r="16" spans="1:25">
      <c r="A16" s="15">
        <v>14</v>
      </c>
      <c r="B16" s="15">
        <f ca="1">IFERROR(__xludf.DUMMYFUNCTION("""COMPUTED_VALUE"""),2790)</f>
        <v>2790</v>
      </c>
      <c r="C16" s="49" t="str">
        <f ca="1">IFERROR(__xludf.DUMMYFUNCTION("""COMPUTED_VALUE"""),"Kurniawan Satriyo Aji")</f>
        <v>Kurniawan Satriyo Aji</v>
      </c>
      <c r="D16" s="49" t="str">
        <f ca="1">IFERROR(__xludf.DUMMYFUNCTION("""COMPUTED_VALUE"""),"07111940000010")</f>
        <v>07111940000010</v>
      </c>
      <c r="E16" s="49" t="str">
        <f ca="1">IFERROR(__xludf.DUMMYFUNCTION("""COMPUTED_VALUE"""),"Departemen Teknik Elektro")</f>
        <v>Departemen Teknik Elektro</v>
      </c>
      <c r="F16" s="49" t="str">
        <f ca="1">IFERROR(__xludf.DUMMYFUNCTION("""COMPUTED_VALUE"""),"Alat Pengering Padi Portabel dengan Pemanas Elektrik yang Dilengkapi Thermocontrol guna Membantu Proses Pengolahan Padi di Desa Kembiritan, Kabupaten Banyuwangi")</f>
        <v>Alat Pengering Padi Portabel dengan Pemanas Elektrik yang Dilengkapi Thermocontrol guna Membantu Proses Pengolahan Padi di Desa Kembiritan, Kabupaten Banyuwangi</v>
      </c>
      <c r="G16" s="49" t="str">
        <f ca="1">IFERROR(__xludf.DUMMYFUNCTION("""COMPUTED_VALUE"""),"Dr. I Gusti Ngurah Satriyadi Hernanda, S.T., M.T.")</f>
        <v>Dr. I Gusti Ngurah Satriyadi Hernanda, S.T., M.T.</v>
      </c>
      <c r="H16" s="49" t="str">
        <f ca="1">IFERROR(__xludf.DUMMYFUNCTION("""COMPUTED_VALUE"""),"Sefi Novendra Patrialova, S.Si., M.T")</f>
        <v>Sefi Novendra Patrialova, S.Si., M.T</v>
      </c>
      <c r="I16" s="49" t="str">
        <f ca="1">IFERROR(__xludf.DUMMYFUNCTION("""COMPUTED_VALUE"""),"Sunarsih, S.T., M.Eng., Ph.D.")</f>
        <v>Sunarsih, S.T., M.Eng., Ph.D.</v>
      </c>
      <c r="J16" s="49"/>
      <c r="K16" s="34" t="s">
        <v>1211</v>
      </c>
      <c r="L16" s="23" t="s">
        <v>1212</v>
      </c>
      <c r="M16" s="19" t="b">
        <v>1</v>
      </c>
      <c r="N16" s="19" t="b">
        <v>0</v>
      </c>
      <c r="O16" s="1" t="s">
        <v>1215</v>
      </c>
      <c r="P16" s="7" t="str">
        <f ca="1">IFERROR(__xludf.DUMMYFUNCTION("iferror(vlookup(B16,importrange(""https://docs.google.com/spreadsheets/d/1boHyJQ4e2FU0QG8MHwEi6qjX4hvZWVCHcFfXjq7bbMc/edit?resourcekey#gid=923248883"",""Prop!$C$1:$M""),12,0),IFERROR(vlookup(B16,importrange(""https://docs.google.com/spreadsheets/d/1boHyJQ"&amp;"4e2FU0QG8MHwEi6qjX4hvZWVCHcFfXjq7bbMc/edit?resourcekey#gid=923248883"",""Prop!$N$1:$X""),11,0),iferror(vlookup(B16,importrange(""https://docs.google.com/spreadsheets/d/1boHyJQ4e2FU0QG8MHwEi6qjX4hvZWVCHcFfXjq7bbMc/edit?resourcekey#gid=923248883"",""Prop!$Y"&amp;"$1:$AI""),11,0),iferror(vlookup(B16,importrange(""https://docs.google.com/spreadsheets/d/1boHyJQ4e2FU0QG8MHwEi6qjX4hvZWVCHcFfXjq7bbMc/edit?resourcekey#gid=923248883"",""Prop!$AJ$1:$AT""),11,0),iferror(vlookup(B16,importrange(""https://docs.google.com/spre"&amp;"adsheets/d/1boHyJQ4e2FU0QG8MHwEi6qjX4hvZWVCHcFfXjq7bbMc/edit?resourcekey#gid=923248883"",""Prop!$AU$1:$BE""),11,0),iferror(vlookup(B16,importrange(""https://docs.google.com/spreadsheets/d/1boHyJQ4e2FU0QG8MHwEi6qjX4hvZWVCHcFfXjq7bbMc/edit?resourcekey#gid=9"&amp;"23248883"",""Prop!$BF$1:$BP""),11,0),iferror(vlookup(B16,importrange(""https://docs.google.com/spreadsheets/d/1boHyJQ4e2FU0QG8MHwEi6qjX4hvZWVCHcFfXjq7bbMc/edit?resourcekey#gid=923248883"",""Prop!$BQ$1:$CA""),11,0),iferror(vlookup(B16,importrange(""https:/"&amp;"/docs.google.com/spreadsheets/d/1boHyJQ4e2FU0QG8MHwEi6qjX4hvZWVCHcFfXjq7bbMc/edit?resourcekey#gid=923248883"",""Prop!$CB$1:$CL""),11,0),iferror(vlookup(B16,importrange(""https://docs.google.com/spreadsheets/d/1boHyJQ4e2FU0QG8MHwEi6qjX4hvZWVCHcFfXjq7bbMc/e"&amp;"dit?resourcekey#gid=923248883"",""Prop!$CM$1:$CX""),12,0),iferror(vlookup(B16,importrange(""https://docs.google.com/spreadsheets/d/1boHyJQ4e2FU0QG8MHwEi6qjX4hvZWVCHcFfXjq7bbMc/edit?resourcekey#gid=923248883"",""Prop!$CV$1:$DI""),11,0)))))))))))"),"https://drive.google.com/open?id=1ODgI-rBOGUHNgwgUNlQy6rExZ9qV7MyH")</f>
        <v>https://drive.google.com/open?id=1ODgI-rBOGUHNgwgUNlQy6rExZ9qV7MyH</v>
      </c>
      <c r="Q16" s="50" t="str">
        <f ca="1">IFERROR(__xludf.DUMMYFUNCTION("iferror(vlookup(B16,importrange(""https://docs.google.com/spreadsheets/d/1p53T2AuvvIqhP7Nf-bo3Uhj8cbKYRPpZdsrBv3x3bAQ/edit?resourcekey#gid=1321652304"",""Prop!$C$1:$M""),11,0),IFERROR(vlookup(B16,importrange(""https://docs.google.com/spreadsheets/d/1p53T2"&amp;"AuvvIqhP7Nf-bo3Uhj8cbKYRPpZdsrBv3x3bAQ/edit?resourcekey#gid=1321652304"",""Prop!$N$1:$X""),11,0),iferror(vlookup(B16,importrange(""https://docs.google.com/spreadsheets/d/1p53T2AuvvIqhP7Nf-bo3Uhj8cbKYRPpZdsrBv3x3bAQ/edit?resourcekey#gid=1321652304"",""Prop"&amp;"!$Y$1:$AI""),11,0),iferror(vlookup(B16,importrange(""https://docs.google.com/spreadsheets/d/1p53T2AuvvIqhP7Nf-bo3Uhj8cbKYRPpZdsrBv3x3bAQ/edit?resourcekey#gid=1321652304"",""Prop!$AJ$1:$AT""),11,0),iferror(vlookup(B16,importrange(""https://docs.google.com/"&amp;"spreadsheets/d/1p53T2AuvvIqhP7Nf-bo3Uhj8cbKYRPpZdsrBv3x3bAQ/edit?resourcekey#gid=1321652304"",""Prop!$AU$1:$BE""),11,0),iferror(vlookup(B16,importrange(""https://docs.google.com/spreadsheets/d/1p53T2AuvvIqhP7Nf-bo3Uhj8cbKYRPpZdsrBv3x3bAQ/edit?resourcekey#"&amp;"gid=1321652304"",""Prop!$BF$1:$BP""),11,0),iferror(vlookup(B16,importrange(""https://docs.google.com/spreadsheets/d/1p53T2AuvvIqhP7Nf-bo3Uhj8cbKYRPpZdsrBv3x3bAQ/edit?resourcekey#gid=1321652304"",""Prop!$BQ$1:$CA""),11,0),iferror(vlookup(B16,importrange("""&amp;"https://docs.google.com/spreadsheets/d/1p53T2AuvvIqhP7Nf-bo3Uhj8cbKYRPpZdsrBv3x3bAQ/edit?resourcekey#gid=1321652304"",""Prop!$CB$1:$CL""),11,0),iferror(vlookup(B16,importrange(""https://docs.google.com/spreadsheets/d/1p53T2AuvvIqhP7Nf-bo3Uhj8cbKYRPpZdsrBv"&amp;"3x3bAQ/edit?resourcekey#gid=1321652304"",""Prop!$CM$1:$CX""),12,0),iferror(vlookup(B16,importrange(""https://docs.google.com/spreadsheets/d/1p53T2AuvvIqhP7Nf-bo3Uhj8cbKYRPpZdsrBv3x3bAQ/edit?resourcekey#gid=1321652304"",""Prop!$CY$1:$DI""),11,0)))))))))))"),"https://drive.google.com/open?id=1z5cOQsnzN_0qXKyjQlHTEwVcukdcLnTV")</f>
        <v>https://drive.google.com/open?id=1z5cOQsnzN_0qXKyjQlHTEwVcukdcLnTV</v>
      </c>
      <c r="R16" s="92" t="s">
        <v>1206</v>
      </c>
      <c r="S16" s="20" t="str">
        <f ca="1">IFERROR(__xludf.DUMMYFUNCTION("IFERROR(vlookup(B16,IMPORTRANGE(""https://docs.google.com/spreadsheets/d/1g_jfYYK_KeipEDNDUgqgrsxK94XiocfNQIcP-v1QVhI/edit?resourcekey#gid=233272945"",""Nilai!B:CT""),46,0),"" "")"),"(1) Hasil dari wawancara bukan hanya mencari masalah, tapi juga spesifikasi alat yg diinginkan mitra (2) potensi profit mitra blm ditampilkan dalam bentuk rupiah (3) Gbr 3.1 flowchart pemilihan ""uji coba alat"" masih salah, perlu ""ya"" dan ""tidak"" ser"&amp;"ta looping anak panah kemana jika uji coba alat jelek? (4) gambar 3.2 perlu kejelasan spesifikasi alat yg mau dibuat, misal kapasitas pengeringan, daya yg diperlukan dll (5) 3.6 mestinya evaluasi dan keberlanjutan program. Mestinya ada komunikasi yg terus"&amp;" dibina walo PKM sudah selesai")</f>
        <v>(1) Hasil dari wawancara bukan hanya mencari masalah, tapi juga spesifikasi alat yg diinginkan mitra (2) potensi profit mitra blm ditampilkan dalam bentuk rupiah (3) Gbr 3.1 flowchart pemilihan "uji coba alat" masih salah, perlu "ya" dan "tidak" serta looping anak panah kemana jika uji coba alat jelek? (4) gambar 3.2 perlu kejelasan spesifikasi alat yg mau dibuat, misal kapasitas pengeringan, daya yg diperlukan dll (5) 3.6 mestinya evaluasi dan keberlanjutan program. Mestinya ada komunikasi yg terus dibina walo PKM sudah selesai</v>
      </c>
      <c r="T16" s="20" t="str">
        <f ca="1">IFERROR(__xludf.DUMMYFUNCTION("IFERROR(vlookup(B16,IMPORTRANGE(""https://docs.google.com/spreadsheets/d/1g_jfYYK_KeipEDNDUgqgrsxK94XiocfNQIcP-v1QVhI/edit?resourcekey#gid=233272945"",""Nilai!B:CT""),97,0),"" "")"),"LAYAK UPLOAD KE SIMBELMAWA DENGAN REVISI")</f>
        <v>LAYAK UPLOAD KE SIMBELMAWA DENGAN REVISI</v>
      </c>
      <c r="U16" s="45" t="s">
        <v>748</v>
      </c>
      <c r="V16" s="38" t="str">
        <f ca="1">IFERROR(__xludf.DUMMYFUNCTION("IFERROR(
        vlookup(B16,
                IMPORTRANGE(""https://docs.google.com/spreadsheets/d/1dN4XwmJdILpQh5cYONP2LyBh3ksWo6DCzMrUbN3lo_Q/edit#gid=1905254675"",
                        ""Form Responses 1!F2:I""),
                4,
                f"&amp;"alse))"),"313 km")</f>
        <v>313 km</v>
      </c>
      <c r="W16" s="46" t="s">
        <v>1207</v>
      </c>
      <c r="X16" s="23" t="s">
        <v>1216</v>
      </c>
      <c r="Y16" s="19" t="b">
        <v>0</v>
      </c>
    </row>
    <row r="17" spans="1:25">
      <c r="A17" s="15">
        <v>15</v>
      </c>
      <c r="B17" s="15">
        <f ca="1">IFERROR(__xludf.DUMMYFUNCTION("""COMPUTED_VALUE"""),2898)</f>
        <v>2898</v>
      </c>
      <c r="C17" s="49" t="str">
        <f ca="1">IFERROR(__xludf.DUMMYFUNCTION("""COMPUTED_VALUE"""),"TAHTA ANUGRAH WIBOWO")</f>
        <v>TAHTA ANUGRAH WIBOWO</v>
      </c>
      <c r="D17" s="49" t="str">
        <f ca="1">IFERROR(__xludf.DUMMYFUNCTION("""COMPUTED_VALUE"""),"10511810000029")</f>
        <v>10511810000029</v>
      </c>
      <c r="E17" s="49" t="str">
        <f ca="1">IFERROR(__xludf.DUMMYFUNCTION("""COMPUTED_VALUE"""),"Departemen Teknik Instrumentasi")</f>
        <v>Departemen Teknik Instrumentasi</v>
      </c>
      <c r="F17" s="49" t="str">
        <f ca="1">IFERROR(__xludf.DUMMYFUNCTION("""COMPUTED_VALUE"""),"Smart Fodder Machine dengan Teknologi Pencacah Rumput Guna Meningkatkan Efektivitas Kerja di Fattening Farm HKP Farm Benowo Surabaya")</f>
        <v>Smart Fodder Machine dengan Teknologi Pencacah Rumput Guna Meningkatkan Efektivitas Kerja di Fattening Farm HKP Farm Benowo Surabaya</v>
      </c>
      <c r="G17" s="49" t="str">
        <f ca="1">IFERROR(__xludf.DUMMYFUNCTION("""COMPUTED_VALUE"""),"Sefi Novendra Patrialova, S.Si., M.T")</f>
        <v>Sefi Novendra Patrialova, S.Si., M.T</v>
      </c>
      <c r="H17" s="49" t="str">
        <f ca="1">IFERROR(__xludf.DUMMYFUNCTION("""COMPUTED_VALUE"""),"Ir. Nur Husodo, M.S")</f>
        <v>Ir. Nur Husodo, M.S</v>
      </c>
      <c r="I17" s="49" t="str">
        <f ca="1">IFERROR(__xludf.DUMMYFUNCTION("""COMPUTED_VALUE"""),"Muhammad Syifaul Mufid, S.Si.,M.Si")</f>
        <v>Muhammad Syifaul Mufid, S.Si.,M.Si</v>
      </c>
      <c r="J17" s="49"/>
      <c r="K17" s="34" t="s">
        <v>1211</v>
      </c>
      <c r="L17" s="23" t="s">
        <v>1212</v>
      </c>
      <c r="M17" s="19" t="b">
        <v>1</v>
      </c>
      <c r="N17" s="19" t="b">
        <v>0</v>
      </c>
      <c r="O17" s="1" t="s">
        <v>1215</v>
      </c>
      <c r="P17" s="7" t="str">
        <f ca="1">IFERROR(__xludf.DUMMYFUNCTION("iferror(vlookup(B17,importrange(""https://docs.google.com/spreadsheets/d/1boHyJQ4e2FU0QG8MHwEi6qjX4hvZWVCHcFfXjq7bbMc/edit?resourcekey#gid=923248883"",""Prop!$C$1:$M""),12,0),IFERROR(vlookup(B17,importrange(""https://docs.google.com/spreadsheets/d/1boHyJQ"&amp;"4e2FU0QG8MHwEi6qjX4hvZWVCHcFfXjq7bbMc/edit?resourcekey#gid=923248883"",""Prop!$N$1:$X""),11,0),iferror(vlookup(B17,importrange(""https://docs.google.com/spreadsheets/d/1boHyJQ4e2FU0QG8MHwEi6qjX4hvZWVCHcFfXjq7bbMc/edit?resourcekey#gid=923248883"",""Prop!$Y"&amp;"$1:$AI""),11,0),iferror(vlookup(B17,importrange(""https://docs.google.com/spreadsheets/d/1boHyJQ4e2FU0QG8MHwEi6qjX4hvZWVCHcFfXjq7bbMc/edit?resourcekey#gid=923248883"",""Prop!$AJ$1:$AT""),11,0),iferror(vlookup(B17,importrange(""https://docs.google.com/spre"&amp;"adsheets/d/1boHyJQ4e2FU0QG8MHwEi6qjX4hvZWVCHcFfXjq7bbMc/edit?resourcekey#gid=923248883"",""Prop!$AU$1:$BE""),11,0),iferror(vlookup(B17,importrange(""https://docs.google.com/spreadsheets/d/1boHyJQ4e2FU0QG8MHwEi6qjX4hvZWVCHcFfXjq7bbMc/edit?resourcekey#gid=9"&amp;"23248883"",""Prop!$BF$1:$BP""),11,0),iferror(vlookup(B17,importrange(""https://docs.google.com/spreadsheets/d/1boHyJQ4e2FU0QG8MHwEi6qjX4hvZWVCHcFfXjq7bbMc/edit?resourcekey#gid=923248883"",""Prop!$BQ$1:$CA""),11,0),iferror(vlookup(B17,importrange(""https:/"&amp;"/docs.google.com/spreadsheets/d/1boHyJQ4e2FU0QG8MHwEi6qjX4hvZWVCHcFfXjq7bbMc/edit?resourcekey#gid=923248883"",""Prop!$CB$1:$CL""),11,0),iferror(vlookup(B17,importrange(""https://docs.google.com/spreadsheets/d/1boHyJQ4e2FU0QG8MHwEi6qjX4hvZWVCHcFfXjq7bbMc/e"&amp;"dit?resourcekey#gid=923248883"",""Prop!$CM$1:$CX""),12,0),iferror(vlookup(B17,importrange(""https://docs.google.com/spreadsheets/d/1boHyJQ4e2FU0QG8MHwEi6qjX4hvZWVCHcFfXjq7bbMc/edit?resourcekey#gid=923248883"",""Prop!$CV$1:$DI""),11,0)))))))))))"),"https://drive.google.com/open?id=1dPQNyi_c4Rnt1dI46zjP1vlj6bJy3yTt")</f>
        <v>https://drive.google.com/open?id=1dPQNyi_c4Rnt1dI46zjP1vlj6bJy3yTt</v>
      </c>
      <c r="Q17" s="7" t="str">
        <f ca="1">IFERROR(__xludf.DUMMYFUNCTION("iferror(vlookup(B17,importrange(""https://docs.google.com/spreadsheets/d/1p53T2AuvvIqhP7Nf-bo3Uhj8cbKYRPpZdsrBv3x3bAQ/edit?resourcekey#gid=1321652304"",""Prop!$C$1:$M""),11,0),IFERROR(vlookup(B17,importrange(""https://docs.google.com/spreadsheets/d/1p53T2"&amp;"AuvvIqhP7Nf-bo3Uhj8cbKYRPpZdsrBv3x3bAQ/edit?resourcekey#gid=1321652304"",""Prop!$N$1:$X""),11,0),iferror(vlookup(B17,importrange(""https://docs.google.com/spreadsheets/d/1p53T2AuvvIqhP7Nf-bo3Uhj8cbKYRPpZdsrBv3x3bAQ/edit?resourcekey#gid=1321652304"",""Prop"&amp;"!$Y$1:$AI""),11,0),iferror(vlookup(B17,importrange(""https://docs.google.com/spreadsheets/d/1p53T2AuvvIqhP7Nf-bo3Uhj8cbKYRPpZdsrBv3x3bAQ/edit?resourcekey#gid=1321652304"",""Prop!$AJ$1:$AT""),11,0),iferror(vlookup(B17,importrange(""https://docs.google.com/"&amp;"spreadsheets/d/1p53T2AuvvIqhP7Nf-bo3Uhj8cbKYRPpZdsrBv3x3bAQ/edit?resourcekey#gid=1321652304"",""Prop!$AU$1:$BE""),11,0),iferror(vlookup(B17,importrange(""https://docs.google.com/spreadsheets/d/1p53T2AuvvIqhP7Nf-bo3Uhj8cbKYRPpZdsrBv3x3bAQ/edit?resourcekey#"&amp;"gid=1321652304"",""Prop!$BF$1:$BP""),11,0),iferror(vlookup(B17,importrange(""https://docs.google.com/spreadsheets/d/1p53T2AuvvIqhP7Nf-bo3Uhj8cbKYRPpZdsrBv3x3bAQ/edit?resourcekey#gid=1321652304"",""Prop!$BQ$1:$CA""),11,0),iferror(vlookup(B17,importrange("""&amp;"https://docs.google.com/spreadsheets/d/1p53T2AuvvIqhP7Nf-bo3Uhj8cbKYRPpZdsrBv3x3bAQ/edit?resourcekey#gid=1321652304"",""Prop!$CB$1:$CL""),11,0),iferror(vlookup(B17,importrange(""https://docs.google.com/spreadsheets/d/1p53T2AuvvIqhP7Nf-bo3Uhj8cbKYRPpZdsrBv"&amp;"3x3bAQ/edit?resourcekey#gid=1321652304"",""Prop!$CM$1:$CX""),12,0),iferror(vlookup(B17,importrange(""https://docs.google.com/spreadsheets/d/1p53T2AuvvIqhP7Nf-bo3Uhj8cbKYRPpZdsrBv3x3bAQ/edit?resourcekey#gid=1321652304"",""Prop!$CY$1:$DI""),11,0)))))))))))"),"https://drive.google.com/open?id=11zBU-kSadVnUASB_RcJbbku3Ea-iMSVK")</f>
        <v>https://drive.google.com/open?id=11zBU-kSadVnUASB_RcJbbku3Ea-iMSVK</v>
      </c>
      <c r="R17" s="92" t="s">
        <v>1206</v>
      </c>
      <c r="S17" s="20" t="str">
        <f ca="1">IFERROR(__xludf.DUMMYFUNCTION("IFERROR(vlookup(B17,IMPORTRANGE(""https://docs.google.com/spreadsheets/d/1g_jfYYK_KeipEDNDUgqgrsxK94XiocfNQIcP-v1QVhI/edit?resourcekey#gid=233272945"",""Nilai!B:CT""),46,0),"" "")"),"(1) gambar 1.1 tidak sesuai prokes (2) potensi profit bagi mitra belum ditampilkan (3) merancang adalah kata kunci PKM-KC. Sebaiknya diganti dengan misal "" Bagaimana meningkatkan efektivitas kerja..... Untuk penulisan TUJUAN (sub bab 1.3) jg menyesuaikan"&amp;" dg penulisan rumusan masalah (4) sub bab 2.3 komparasi + dan - nya dengan produk sejenis yang sudah ada (5) sub bab 2.5 balde bukan metode tapi tool (6) gambar 3.1 flowchart perlu diperhatikan lagi, start, end, data input, process dll (7) di penerapan al"&amp;"at perlu training, trouble shooting dan komunikasi sesudah PKM selesai ")</f>
        <v xml:space="preserve">(1) gambar 1.1 tidak sesuai prokes (2) potensi profit bagi mitra belum ditampilkan (3) merancang adalah kata kunci PKM-KC. Sebaiknya diganti dengan misal " Bagaimana meningkatkan efektivitas kerja..... Untuk penulisan TUJUAN (sub bab 1.3) jg menyesuaikan dg penulisan rumusan masalah (4) sub bab 2.3 komparasi + dan - nya dengan produk sejenis yang sudah ada (5) sub bab 2.5 balde bukan metode tapi tool (6) gambar 3.1 flowchart perlu diperhatikan lagi, start, end, data input, process dll (7) di penerapan alat perlu training, trouble shooting dan komunikasi sesudah PKM selesai </v>
      </c>
      <c r="T17" s="20" t="str">
        <f ca="1">IFERROR(__xludf.DUMMYFUNCTION("IFERROR(vlookup(B17,IMPORTRANGE(""https://docs.google.com/spreadsheets/d/1g_jfYYK_KeipEDNDUgqgrsxK94XiocfNQIcP-v1QVhI/edit?resourcekey#gid=233272945"",""Nilai!B:CT""),97,0),"" "")"),"LAYAK UPLOAD KE SIMBELMAWA DENGAN REVISI")</f>
        <v>LAYAK UPLOAD KE SIMBELMAWA DENGAN REVISI</v>
      </c>
      <c r="U17" s="45" t="s">
        <v>748</v>
      </c>
      <c r="V17" s="38" t="str">
        <f ca="1">IFERROR(__xludf.DUMMYFUNCTION("IFERROR(
        vlookup(B17,
                IMPORTRANGE(""https://docs.google.com/spreadsheets/d/1dN4XwmJdILpQh5cYONP2LyBh3ksWo6DCzMrUbN3lo_Q/edit#gid=1905254675"",
                        ""Form Responses 1!F2:I""),
                4,
                f"&amp;"alse))"),"20,9 KM")</f>
        <v>20,9 KM</v>
      </c>
      <c r="W17" s="46" t="s">
        <v>1207</v>
      </c>
      <c r="X17" s="23" t="s">
        <v>1216</v>
      </c>
      <c r="Y17" s="19" t="b">
        <v>1</v>
      </c>
    </row>
    <row r="18" spans="1:25">
      <c r="A18" s="15">
        <v>16</v>
      </c>
      <c r="B18" s="15">
        <f ca="1">IFERROR(__xludf.DUMMYFUNCTION("""COMPUTED_VALUE"""),3168)</f>
        <v>3168</v>
      </c>
      <c r="C18" s="49" t="str">
        <f ca="1">IFERROR(__xludf.DUMMYFUNCTION("""COMPUTED_VALUE"""),"HAMDAN MUHAMMADI")</f>
        <v>HAMDAN MUHAMMADI</v>
      </c>
      <c r="D18" s="49" t="str">
        <f ca="1">IFERROR(__xludf.DUMMYFUNCTION("""COMPUTED_VALUE"""),"5010201151")</f>
        <v>5010201151</v>
      </c>
      <c r="E18" s="49" t="str">
        <f ca="1">IFERROR(__xludf.DUMMYFUNCTION("""COMPUTED_VALUE"""),"Departemen Teknik Sistem dan Industri")</f>
        <v>Departemen Teknik Sistem dan Industri</v>
      </c>
      <c r="F18" s="49" t="str">
        <f ca="1">IFERROR(__xludf.DUMMYFUNCTION("""COMPUTED_VALUE"""),"BADMINTON SHUTTLECOCKS FILLING (BSF) : ALAT TES SPEED dan PACKAGING SHUTTLECOCKS OTOMATIS UNTUK BUMDESMA SINGOSARI (BUMBU PEDES SINGOSARI)")</f>
        <v>BADMINTON SHUTTLECOCKS FILLING (BSF) : ALAT TES SPEED dan PACKAGING SHUTTLECOCKS OTOMATIS UNTUK BUMDESMA SINGOSARI (BUMBU PEDES SINGOSARI)</v>
      </c>
      <c r="G18" s="49" t="str">
        <f ca="1">IFERROR(__xludf.DUMMYFUNCTION("""COMPUTED_VALUE"""),"Rindi Kusumawardani, S.Si., M.Sc.")</f>
        <v>Rindi Kusumawardani, S.Si., M.Sc.</v>
      </c>
      <c r="H18" s="49" t="str">
        <f ca="1">IFERROR(__xludf.DUMMYFUNCTION("""COMPUTED_VALUE"""),"Ir. Nur Husodo, M.S")</f>
        <v>Ir. Nur Husodo, M.S</v>
      </c>
      <c r="I18" s="49" t="str">
        <f ca="1">IFERROR(__xludf.DUMMYFUNCTION("""COMPUTED_VALUE"""),"Muhammad Syifaul Mufid, S.Si.,M.Si")</f>
        <v>Muhammad Syifaul Mufid, S.Si.,M.Si</v>
      </c>
      <c r="J18" s="49"/>
      <c r="K18" s="34" t="s">
        <v>1211</v>
      </c>
      <c r="L18" s="23" t="s">
        <v>1217</v>
      </c>
      <c r="M18" s="19" t="b">
        <v>1</v>
      </c>
      <c r="N18" s="19" t="b">
        <v>0</v>
      </c>
      <c r="O18" s="1" t="s">
        <v>1215</v>
      </c>
      <c r="P18" s="7" t="str">
        <f ca="1">IFERROR(__xludf.DUMMYFUNCTION("iferror(vlookup(B18,importrange(""https://docs.google.com/spreadsheets/d/1boHyJQ4e2FU0QG8MHwEi6qjX4hvZWVCHcFfXjq7bbMc/edit?resourcekey#gid=923248883"",""Prop!$C$1:$M""),12,0),IFERROR(vlookup(B18,importrange(""https://docs.google.com/spreadsheets/d/1boHyJQ"&amp;"4e2FU0QG8MHwEi6qjX4hvZWVCHcFfXjq7bbMc/edit?resourcekey#gid=923248883"",""Prop!$N$1:$X""),11,0),iferror(vlookup(B18,importrange(""https://docs.google.com/spreadsheets/d/1boHyJQ4e2FU0QG8MHwEi6qjX4hvZWVCHcFfXjq7bbMc/edit?resourcekey#gid=923248883"",""Prop!$Y"&amp;"$1:$AI""),11,0),iferror(vlookup(B18,importrange(""https://docs.google.com/spreadsheets/d/1boHyJQ4e2FU0QG8MHwEi6qjX4hvZWVCHcFfXjq7bbMc/edit?resourcekey#gid=923248883"",""Prop!$AJ$1:$AT""),11,0),iferror(vlookup(B18,importrange(""https://docs.google.com/spre"&amp;"adsheets/d/1boHyJQ4e2FU0QG8MHwEi6qjX4hvZWVCHcFfXjq7bbMc/edit?resourcekey#gid=923248883"",""Prop!$AU$1:$BE""),11,0),iferror(vlookup(B18,importrange(""https://docs.google.com/spreadsheets/d/1boHyJQ4e2FU0QG8MHwEi6qjX4hvZWVCHcFfXjq7bbMc/edit?resourcekey#gid=9"&amp;"23248883"",""Prop!$BF$1:$BP""),11,0),iferror(vlookup(B18,importrange(""https://docs.google.com/spreadsheets/d/1boHyJQ4e2FU0QG8MHwEi6qjX4hvZWVCHcFfXjq7bbMc/edit?resourcekey#gid=923248883"",""Prop!$BQ$1:$CA""),11,0),iferror(vlookup(B18,importrange(""https:/"&amp;"/docs.google.com/spreadsheets/d/1boHyJQ4e2FU0QG8MHwEi6qjX4hvZWVCHcFfXjq7bbMc/edit?resourcekey#gid=923248883"",""Prop!$CB$1:$CL""),11,0),iferror(vlookup(B18,importrange(""https://docs.google.com/spreadsheets/d/1boHyJQ4e2FU0QG8MHwEi6qjX4hvZWVCHcFfXjq7bbMc/e"&amp;"dit?resourcekey#gid=923248883"",""Prop!$CM$1:$CX""),12,0),iferror(vlookup(B18,importrange(""https://docs.google.com/spreadsheets/d/1boHyJQ4e2FU0QG8MHwEi6qjX4hvZWVCHcFfXjq7bbMc/edit?resourcekey#gid=923248883"",""Prop!$CV$1:$DI""),11,0)))))))))))"),"https://drive.google.com/open?id=1ZcYBK_hm4Pyl31nskVz2Y4aZXqVw7yri")</f>
        <v>https://drive.google.com/open?id=1ZcYBK_hm4Pyl31nskVz2Y4aZXqVw7yri</v>
      </c>
      <c r="Q18" s="50" t="str">
        <f ca="1">IFERROR(__xludf.DUMMYFUNCTION("iferror(vlookup(B18,importrange(""https://docs.google.com/spreadsheets/d/1p53T2AuvvIqhP7Nf-bo3Uhj8cbKYRPpZdsrBv3x3bAQ/edit?resourcekey#gid=1321652304"",""Prop!$C$1:$M""),11,0),IFERROR(vlookup(B18,importrange(""https://docs.google.com/spreadsheets/d/1p53T2"&amp;"AuvvIqhP7Nf-bo3Uhj8cbKYRPpZdsrBv3x3bAQ/edit?resourcekey#gid=1321652304"",""Prop!$N$1:$X""),11,0),iferror(vlookup(B18,importrange(""https://docs.google.com/spreadsheets/d/1p53T2AuvvIqhP7Nf-bo3Uhj8cbKYRPpZdsrBv3x3bAQ/edit?resourcekey#gid=1321652304"",""Prop"&amp;"!$Y$1:$AI""),11,0),iferror(vlookup(B18,importrange(""https://docs.google.com/spreadsheets/d/1p53T2AuvvIqhP7Nf-bo3Uhj8cbKYRPpZdsrBv3x3bAQ/edit?resourcekey#gid=1321652304"",""Prop!$AJ$1:$AT""),11,0),iferror(vlookup(B18,importrange(""https://docs.google.com/"&amp;"spreadsheets/d/1p53T2AuvvIqhP7Nf-bo3Uhj8cbKYRPpZdsrBv3x3bAQ/edit?resourcekey#gid=1321652304"",""Prop!$AU$1:$BE""),11,0),iferror(vlookup(B18,importrange(""https://docs.google.com/spreadsheets/d/1p53T2AuvvIqhP7Nf-bo3Uhj8cbKYRPpZdsrBv3x3bAQ/edit?resourcekey#"&amp;"gid=1321652304"",""Prop!$BF$1:$BP""),11,0),iferror(vlookup(B18,importrange(""https://docs.google.com/spreadsheets/d/1p53T2AuvvIqhP7Nf-bo3Uhj8cbKYRPpZdsrBv3x3bAQ/edit?resourcekey#gid=1321652304"",""Prop!$BQ$1:$CA""),11,0),iferror(vlookup(B18,importrange("""&amp;"https://docs.google.com/spreadsheets/d/1p53T2AuvvIqhP7Nf-bo3Uhj8cbKYRPpZdsrBv3x3bAQ/edit?resourcekey#gid=1321652304"",""Prop!$CB$1:$CL""),11,0),iferror(vlookup(B18,importrange(""https://docs.google.com/spreadsheets/d/1p53T2AuvvIqhP7Nf-bo3Uhj8cbKYRPpZdsrBv"&amp;"3x3bAQ/edit?resourcekey#gid=1321652304"",""Prop!$CM$1:$CX""),12,0),iferror(vlookup(B18,importrange(""https://docs.google.com/spreadsheets/d/1p53T2AuvvIqhP7Nf-bo3Uhj8cbKYRPpZdsrBv3x3bAQ/edit?resourcekey#gid=1321652304"",""Prop!$CY$1:$DI""),11,0)))))))))))"),"https://drive.google.com/open?id=1pEQtdlP5AVD0-DkX1u0rFFBBvh410bBX")</f>
        <v>https://drive.google.com/open?id=1pEQtdlP5AVD0-DkX1u0rFFBBvh410bBX</v>
      </c>
      <c r="R18" s="92" t="s">
        <v>1206</v>
      </c>
      <c r="S18" s="20" t="str">
        <f ca="1">IFERROR(__xludf.DUMMYFUNCTION("IFERROR(vlookup(B18,IMPORTRANGE(""https://docs.google.com/spreadsheets/d/1g_jfYYK_KeipEDNDUgqgrsxK94XiocfNQIcP-v1QVhI/edit?resourcekey#gid=233272945"",""Nilai!B:CT""),46,0),"" "")"),"tambahkan uraian mengenai keberlanjutan program di bab 3")</f>
        <v>tambahkan uraian mengenai keberlanjutan program di bab 3</v>
      </c>
      <c r="T18" s="20" t="str">
        <f ca="1">IFERROR(__xludf.DUMMYFUNCTION("IFERROR(vlookup(B18,IMPORTRANGE(""https://docs.google.com/spreadsheets/d/1g_jfYYK_KeipEDNDUgqgrsxK94XiocfNQIcP-v1QVhI/edit?resourcekey#gid=233272945"",""Nilai!B:CT""),97,0),"" "")"),"LAYAK UPLOAD KE SIMBELMAWA DENGAN REVISI")</f>
        <v>LAYAK UPLOAD KE SIMBELMAWA DENGAN REVISI</v>
      </c>
      <c r="U18" s="45" t="s">
        <v>757</v>
      </c>
      <c r="V18" s="38">
        <f ca="1">IFERROR(__xludf.DUMMYFUNCTION("IFERROR(
        vlookup(B18,
                IMPORTRANGE(""https://docs.google.com/spreadsheets/d/1dN4XwmJdILpQh5cYONP2LyBh3ksWo6DCzMrUbN3lo_Q/edit#gid=1905254675"",
                        ""Form Responses 1!F2:I""),
                4,
                f"&amp;"alse))"),89)</f>
        <v>89</v>
      </c>
      <c r="W18" s="46" t="s">
        <v>1207</v>
      </c>
      <c r="X18" s="23" t="s">
        <v>1216</v>
      </c>
      <c r="Y18" s="19" t="b">
        <v>0</v>
      </c>
    </row>
    <row r="19" spans="1:25">
      <c r="A19" s="15">
        <v>17</v>
      </c>
      <c r="B19" s="15">
        <f ca="1">IFERROR(__xludf.DUMMYFUNCTION("""COMPUTED_VALUE"""),3198)</f>
        <v>3198</v>
      </c>
      <c r="C19" s="49" t="str">
        <f ca="1">IFERROR(__xludf.DUMMYFUNCTION("""COMPUTED_VALUE"""),"FANI AHMAD REFANSAH")</f>
        <v>FANI AHMAD REFANSAH</v>
      </c>
      <c r="D19" s="49" t="str">
        <f ca="1">IFERROR(__xludf.DUMMYFUNCTION("""COMPUTED_VALUE"""),"5009201131")</f>
        <v>5009201131</v>
      </c>
      <c r="E19" s="49" t="str">
        <f ca="1">IFERROR(__xludf.DUMMYFUNCTION("""COMPUTED_VALUE"""),"Departemen Teknik Fisika")</f>
        <v>Departemen Teknik Fisika</v>
      </c>
      <c r="F19" s="49" t="str">
        <f ca="1">IFERROR(__xludf.DUMMYFUNCTION("""COMPUTED_VALUE"""),"Alat Pengering Jagung Berbasis Far-Infrared untuk Peningkatan Kuantitas dan Kualitas Produksi CV Putra Pertiwi, Kediri, Jawa Timur")</f>
        <v>Alat Pengering Jagung Berbasis Far-Infrared untuk Peningkatan Kuantitas dan Kualitas Produksi CV Putra Pertiwi, Kediri, Jawa Timur</v>
      </c>
      <c r="G19" s="49" t="str">
        <f ca="1">IFERROR(__xludf.DUMMYFUNCTION("""COMPUTED_VALUE"""),"Detak Yan Pratama, S.T., M.Sc.")</f>
        <v>Detak Yan Pratama, S.T., M.Sc.</v>
      </c>
      <c r="H19" s="49" t="str">
        <f ca="1">IFERROR(__xludf.DUMMYFUNCTION("""COMPUTED_VALUE"""),"Sefi Novendra Patrialova, S.Si., M.T")</f>
        <v>Sefi Novendra Patrialova, S.Si., M.T</v>
      </c>
      <c r="I19" s="49" t="str">
        <f ca="1">IFERROR(__xludf.DUMMYFUNCTION("""COMPUTED_VALUE"""),"Muhammad Syifaul Mufid, S.Si.,M.Si")</f>
        <v>Muhammad Syifaul Mufid, S.Si.,M.Si</v>
      </c>
      <c r="J19" s="49"/>
      <c r="K19" s="34" t="s">
        <v>1218</v>
      </c>
      <c r="L19" s="23" t="s">
        <v>1217</v>
      </c>
      <c r="M19" s="19" t="b">
        <v>1</v>
      </c>
      <c r="N19" s="19" t="b">
        <v>0</v>
      </c>
      <c r="O19" s="1" t="s">
        <v>1215</v>
      </c>
      <c r="P19" s="7" t="str">
        <f ca="1">IFERROR(__xludf.DUMMYFUNCTION("iferror(vlookup(B19,importrange(""https://docs.google.com/spreadsheets/d/1boHyJQ4e2FU0QG8MHwEi6qjX4hvZWVCHcFfXjq7bbMc/edit?resourcekey#gid=923248883"",""Prop!$C$1:$M""),12,0),IFERROR(vlookup(B19,importrange(""https://docs.google.com/spreadsheets/d/1boHyJQ"&amp;"4e2FU0QG8MHwEi6qjX4hvZWVCHcFfXjq7bbMc/edit?resourcekey#gid=923248883"",""Prop!$N$1:$X""),11,0),iferror(vlookup(B19,importrange(""https://docs.google.com/spreadsheets/d/1boHyJQ4e2FU0QG8MHwEi6qjX4hvZWVCHcFfXjq7bbMc/edit?resourcekey#gid=923248883"",""Prop!$Y"&amp;"$1:$AI""),11,0),iferror(vlookup(B19,importrange(""https://docs.google.com/spreadsheets/d/1boHyJQ4e2FU0QG8MHwEi6qjX4hvZWVCHcFfXjq7bbMc/edit?resourcekey#gid=923248883"",""Prop!$AJ$1:$AT""),11,0),iferror(vlookup(B19,importrange(""https://docs.google.com/spre"&amp;"adsheets/d/1boHyJQ4e2FU0QG8MHwEi6qjX4hvZWVCHcFfXjq7bbMc/edit?resourcekey#gid=923248883"",""Prop!$AU$1:$BE""),11,0),iferror(vlookup(B19,importrange(""https://docs.google.com/spreadsheets/d/1boHyJQ4e2FU0QG8MHwEi6qjX4hvZWVCHcFfXjq7bbMc/edit?resourcekey#gid=9"&amp;"23248883"",""Prop!$BF$1:$BP""),11,0),iferror(vlookup(B19,importrange(""https://docs.google.com/spreadsheets/d/1boHyJQ4e2FU0QG8MHwEi6qjX4hvZWVCHcFfXjq7bbMc/edit?resourcekey#gid=923248883"",""Prop!$BQ$1:$CA""),11,0),iferror(vlookup(B19,importrange(""https:/"&amp;"/docs.google.com/spreadsheets/d/1boHyJQ4e2FU0QG8MHwEi6qjX4hvZWVCHcFfXjq7bbMc/edit?resourcekey#gid=923248883"",""Prop!$CB$1:$CL""),11,0),iferror(vlookup(B19,importrange(""https://docs.google.com/spreadsheets/d/1boHyJQ4e2FU0QG8MHwEi6qjX4hvZWVCHcFfXjq7bbMc/e"&amp;"dit?resourcekey#gid=923248883"",""Prop!$CM$1:$CX""),12,0),iferror(vlookup(B19,importrange(""https://docs.google.com/spreadsheets/d/1boHyJQ4e2FU0QG8MHwEi6qjX4hvZWVCHcFfXjq7bbMc/edit?resourcekey#gid=923248883"",""Prop!$CV$1:$DI""),11,0)))))))))))"),"https://drive.google.com/open?id=1aXhnsemU8A64c5G-oaE1uuc1xgFv3AeV")</f>
        <v>https://drive.google.com/open?id=1aXhnsemU8A64c5G-oaE1uuc1xgFv3AeV</v>
      </c>
      <c r="Q19" s="50" t="str">
        <f ca="1">IFERROR(__xludf.DUMMYFUNCTION("iferror(vlookup(B19,importrange(""https://docs.google.com/spreadsheets/d/1p53T2AuvvIqhP7Nf-bo3Uhj8cbKYRPpZdsrBv3x3bAQ/edit?resourcekey#gid=1321652304"",""Prop!$C$1:$M""),11,0),IFERROR(vlookup(B19,importrange(""https://docs.google.com/spreadsheets/d/1p53T2"&amp;"AuvvIqhP7Nf-bo3Uhj8cbKYRPpZdsrBv3x3bAQ/edit?resourcekey#gid=1321652304"",""Prop!$N$1:$X""),11,0),iferror(vlookup(B19,importrange(""https://docs.google.com/spreadsheets/d/1p53T2AuvvIqhP7Nf-bo3Uhj8cbKYRPpZdsrBv3x3bAQ/edit?resourcekey#gid=1321652304"",""Prop"&amp;"!$Y$1:$AI""),11,0),iferror(vlookup(B19,importrange(""https://docs.google.com/spreadsheets/d/1p53T2AuvvIqhP7Nf-bo3Uhj8cbKYRPpZdsrBv3x3bAQ/edit?resourcekey#gid=1321652304"",""Prop!$AJ$1:$AT""),11,0),iferror(vlookup(B19,importrange(""https://docs.google.com/"&amp;"spreadsheets/d/1p53T2AuvvIqhP7Nf-bo3Uhj8cbKYRPpZdsrBv3x3bAQ/edit?resourcekey#gid=1321652304"",""Prop!$AU$1:$BE""),11,0),iferror(vlookup(B19,importrange(""https://docs.google.com/spreadsheets/d/1p53T2AuvvIqhP7Nf-bo3Uhj8cbKYRPpZdsrBv3x3bAQ/edit?resourcekey#"&amp;"gid=1321652304"",""Prop!$BF$1:$BP""),11,0),iferror(vlookup(B19,importrange(""https://docs.google.com/spreadsheets/d/1p53T2AuvvIqhP7Nf-bo3Uhj8cbKYRPpZdsrBv3x3bAQ/edit?resourcekey#gid=1321652304"",""Prop!$BQ$1:$CA""),11,0),iferror(vlookup(B19,importrange("""&amp;"https://docs.google.com/spreadsheets/d/1p53T2AuvvIqhP7Nf-bo3Uhj8cbKYRPpZdsrBv3x3bAQ/edit?resourcekey#gid=1321652304"",""Prop!$CB$1:$CL""),11,0),iferror(vlookup(B19,importrange(""https://docs.google.com/spreadsheets/d/1p53T2AuvvIqhP7Nf-bo3Uhj8cbKYRPpZdsrBv"&amp;"3x3bAQ/edit?resourcekey#gid=1321652304"",""Prop!$CM$1:$CX""),12,0),iferror(vlookup(B19,importrange(""https://docs.google.com/spreadsheets/d/1p53T2AuvvIqhP7Nf-bo3Uhj8cbKYRPpZdsrBv3x3bAQ/edit?resourcekey#gid=1321652304"",""Prop!$CY$1:$DI""),11,0)))))))))))"),"https://drive.google.com/open?id=1y4taegEMLvJ22vFy6HFtjt5sY8I4Meiv")</f>
        <v>https://drive.google.com/open?id=1y4taegEMLvJ22vFy6HFtjt5sY8I4Meiv</v>
      </c>
      <c r="R19" s="92" t="s">
        <v>1206</v>
      </c>
      <c r="S19" s="20" t="str">
        <f ca="1">IFERROR(__xludf.DUMMYFUNCTION("IFERROR(vlookup(B19,IMPORTRANGE(""https://docs.google.com/spreadsheets/d/1g_jfYYK_KeipEDNDUgqgrsxK94XiocfNQIcP-v1QVhI/edit?resourcekey#gid=233272945"",""Nilai!B:CT""),46,0),"" "")"),"rancangan biaya perlu direvisi (perhatikan batas maksimal untuk tiap jenis pengeluaran)")</f>
        <v>rancangan biaya perlu direvisi (perhatikan batas maksimal untuk tiap jenis pengeluaran)</v>
      </c>
      <c r="T19" s="20" t="str">
        <f ca="1">IFERROR(__xludf.DUMMYFUNCTION("IFERROR(vlookup(B19,IMPORTRANGE(""https://docs.google.com/spreadsheets/d/1g_jfYYK_KeipEDNDUgqgrsxK94XiocfNQIcP-v1QVhI/edit?resourcekey#gid=233272945"",""Nilai!B:CT""),97,0),"" "")"),"LAYAK UPLOAD KE SIMBELMAWA DENGAN REVISI")</f>
        <v>LAYAK UPLOAD KE SIMBELMAWA DENGAN REVISI</v>
      </c>
      <c r="U19" s="45" t="s">
        <v>757</v>
      </c>
      <c r="V19" s="38">
        <f ca="1">IFERROR(__xludf.DUMMYFUNCTION("IFERROR(
        vlookup(B19,
                IMPORTRANGE(""https://docs.google.com/spreadsheets/d/1dN4XwmJdILpQh5cYONP2LyBh3ksWo6DCzMrUbN3lo_Q/edit#gid=1905254675"",
                        ""Form Responses 1!F2:I""),
                4,
                f"&amp;"alse))"),95)</f>
        <v>95</v>
      </c>
      <c r="W19" s="46" t="s">
        <v>1207</v>
      </c>
      <c r="X19" s="23" t="s">
        <v>1216</v>
      </c>
      <c r="Y19" s="19" t="b">
        <v>0</v>
      </c>
    </row>
    <row r="20" spans="1:25">
      <c r="A20" s="15">
        <v>18</v>
      </c>
      <c r="B20" s="15">
        <f ca="1">IFERROR(__xludf.DUMMYFUNCTION("""COMPUTED_VALUE"""),3596)</f>
        <v>3596</v>
      </c>
      <c r="C20" s="49" t="str">
        <f ca="1">IFERROR(__xludf.DUMMYFUNCTION("""COMPUTED_VALUE"""),"RIZKY FERDIANSYAH PUTRA")</f>
        <v>RIZKY FERDIANSYAH PUTRA</v>
      </c>
      <c r="D20" s="49" t="str">
        <f ca="1">IFERROR(__xludf.DUMMYFUNCTION("""COMPUTED_VALUE"""),"10611810000050")</f>
        <v>10611810000050</v>
      </c>
      <c r="E20" s="49" t="str">
        <f ca="1">IFERROR(__xludf.DUMMYFUNCTION("""COMPUTED_VALUE"""),"Departemen Statistika Bisnis")</f>
        <v>Departemen Statistika Bisnis</v>
      </c>
      <c r="F20" s="49" t="str">
        <f ca="1">IFERROR(__xludf.DUMMYFUNCTION("""COMPUTED_VALUE"""),"Rancang Bangun Aplikasi Klasifikasi Nasabah Pembiayaan Bermasalah BPRS Lantabur Tebuireng Menggunakan Naive Bayes Classifier-Synthetic Minority Over-Sampling Methods")</f>
        <v>Rancang Bangun Aplikasi Klasifikasi Nasabah Pembiayaan Bermasalah BPRS Lantabur Tebuireng Menggunakan Naive Bayes Classifier-Synthetic Minority Over-Sampling Methods</v>
      </c>
      <c r="G20" s="49" t="str">
        <f ca="1">IFERROR(__xludf.DUMMYFUNCTION("""COMPUTED_VALUE"""),"Iis Dewi Ratih, S.Si., M.Si.")</f>
        <v>Iis Dewi Ratih, S.Si., M.Si.</v>
      </c>
      <c r="H20" s="49" t="str">
        <f ca="1">IFERROR(__xludf.DUMMYFUNCTION("""COMPUTED_VALUE"""),"Ir. Nur Husodo, M.S")</f>
        <v>Ir. Nur Husodo, M.S</v>
      </c>
      <c r="I20" s="49" t="str">
        <f ca="1">IFERROR(__xludf.DUMMYFUNCTION("""COMPUTED_VALUE"""),"Muhammad Syifaul Mufid, S.Si.,M.Si")</f>
        <v>Muhammad Syifaul Mufid, S.Si.,M.Si</v>
      </c>
      <c r="J20" s="49"/>
      <c r="K20" s="34" t="s">
        <v>1218</v>
      </c>
      <c r="L20" s="23" t="s">
        <v>1217</v>
      </c>
      <c r="M20" s="19" t="b">
        <v>1</v>
      </c>
      <c r="N20" s="19" t="b">
        <v>0</v>
      </c>
      <c r="O20" s="1" t="s">
        <v>1215</v>
      </c>
      <c r="P20" s="7" t="str">
        <f ca="1">IFERROR(__xludf.DUMMYFUNCTION("iferror(vlookup(B20,importrange(""https://docs.google.com/spreadsheets/d/1boHyJQ4e2FU0QG8MHwEi6qjX4hvZWVCHcFfXjq7bbMc/edit?resourcekey#gid=923248883"",""Prop!$C$1:$M""),12,0),IFERROR(vlookup(B20,importrange(""https://docs.google.com/spreadsheets/d/1boHyJQ"&amp;"4e2FU0QG8MHwEi6qjX4hvZWVCHcFfXjq7bbMc/edit?resourcekey#gid=923248883"",""Prop!$N$1:$X""),11,0),iferror(vlookup(B20,importrange(""https://docs.google.com/spreadsheets/d/1boHyJQ4e2FU0QG8MHwEi6qjX4hvZWVCHcFfXjq7bbMc/edit?resourcekey#gid=923248883"",""Prop!$Y"&amp;"$1:$AI""),11,0),iferror(vlookup(B20,importrange(""https://docs.google.com/spreadsheets/d/1boHyJQ4e2FU0QG8MHwEi6qjX4hvZWVCHcFfXjq7bbMc/edit?resourcekey#gid=923248883"",""Prop!$AJ$1:$AT""),11,0),iferror(vlookup(B20,importrange(""https://docs.google.com/spre"&amp;"adsheets/d/1boHyJQ4e2FU0QG8MHwEi6qjX4hvZWVCHcFfXjq7bbMc/edit?resourcekey#gid=923248883"",""Prop!$AU$1:$BE""),11,0),iferror(vlookup(B20,importrange(""https://docs.google.com/spreadsheets/d/1boHyJQ4e2FU0QG8MHwEi6qjX4hvZWVCHcFfXjq7bbMc/edit?resourcekey#gid=9"&amp;"23248883"",""Prop!$BF$1:$BP""),11,0),iferror(vlookup(B20,importrange(""https://docs.google.com/spreadsheets/d/1boHyJQ4e2FU0QG8MHwEi6qjX4hvZWVCHcFfXjq7bbMc/edit?resourcekey#gid=923248883"",""Prop!$BQ$1:$CA""),11,0),iferror(vlookup(B20,importrange(""https:/"&amp;"/docs.google.com/spreadsheets/d/1boHyJQ4e2FU0QG8MHwEi6qjX4hvZWVCHcFfXjq7bbMc/edit?resourcekey#gid=923248883"",""Prop!$CB$1:$CL""),11,0),iferror(vlookup(B20,importrange(""https://docs.google.com/spreadsheets/d/1boHyJQ4e2FU0QG8MHwEi6qjX4hvZWVCHcFfXjq7bbMc/e"&amp;"dit?resourcekey#gid=923248883"",""Prop!$CM$1:$CX""),12,0),iferror(vlookup(B20,importrange(""https://docs.google.com/spreadsheets/d/1boHyJQ4e2FU0QG8MHwEi6qjX4hvZWVCHcFfXjq7bbMc/edit?resourcekey#gid=923248883"",""Prop!$CV$1:$DI""),11,0)))))))))))"),"https://drive.google.com/open?id=1VtKpmfnKtH2OjI-z7ooqX5oUlWlp0aeQ")</f>
        <v>https://drive.google.com/open?id=1VtKpmfnKtH2OjI-z7ooqX5oUlWlp0aeQ</v>
      </c>
      <c r="Q20" s="50" t="str">
        <f ca="1">IFERROR(__xludf.DUMMYFUNCTION("iferror(vlookup(B20,importrange(""https://docs.google.com/spreadsheets/d/1p53T2AuvvIqhP7Nf-bo3Uhj8cbKYRPpZdsrBv3x3bAQ/edit?resourcekey#gid=1321652304"",""Prop!$C$1:$M""),11,0),IFERROR(vlookup(B20,importrange(""https://docs.google.com/spreadsheets/d/1p53T2"&amp;"AuvvIqhP7Nf-bo3Uhj8cbKYRPpZdsrBv3x3bAQ/edit?resourcekey#gid=1321652304"",""Prop!$N$1:$X""),11,0),iferror(vlookup(B20,importrange(""https://docs.google.com/spreadsheets/d/1p53T2AuvvIqhP7Nf-bo3Uhj8cbKYRPpZdsrBv3x3bAQ/edit?resourcekey#gid=1321652304"",""Prop"&amp;"!$Y$1:$AI""),11,0),iferror(vlookup(B20,importrange(""https://docs.google.com/spreadsheets/d/1p53T2AuvvIqhP7Nf-bo3Uhj8cbKYRPpZdsrBv3x3bAQ/edit?resourcekey#gid=1321652304"",""Prop!$AJ$1:$AT""),11,0),iferror(vlookup(B20,importrange(""https://docs.google.com/"&amp;"spreadsheets/d/1p53T2AuvvIqhP7Nf-bo3Uhj8cbKYRPpZdsrBv3x3bAQ/edit?resourcekey#gid=1321652304"",""Prop!$AU$1:$BE""),11,0),iferror(vlookup(B20,importrange(""https://docs.google.com/spreadsheets/d/1p53T2AuvvIqhP7Nf-bo3Uhj8cbKYRPpZdsrBv3x3bAQ/edit?resourcekey#"&amp;"gid=1321652304"",""Prop!$BF$1:$BP""),11,0),iferror(vlookup(B20,importrange(""https://docs.google.com/spreadsheets/d/1p53T2AuvvIqhP7Nf-bo3Uhj8cbKYRPpZdsrBv3x3bAQ/edit?resourcekey#gid=1321652304"",""Prop!$BQ$1:$CA""),11,0),iferror(vlookup(B20,importrange("""&amp;"https://docs.google.com/spreadsheets/d/1p53T2AuvvIqhP7Nf-bo3Uhj8cbKYRPpZdsrBv3x3bAQ/edit?resourcekey#gid=1321652304"",""Prop!$CB$1:$CL""),11,0),iferror(vlookup(B20,importrange(""https://docs.google.com/spreadsheets/d/1p53T2AuvvIqhP7Nf-bo3Uhj8cbKYRPpZdsrBv"&amp;"3x3bAQ/edit?resourcekey#gid=1321652304"",""Prop!$CM$1:$CX""),12,0),iferror(vlookup(B20,importrange(""https://docs.google.com/spreadsheets/d/1p53T2AuvvIqhP7Nf-bo3Uhj8cbKYRPpZdsrBv3x3bAQ/edit?resourcekey#gid=1321652304"",""Prop!$CY$1:$DI""),11,0)))))))))))"),"https://drive.google.com/open?id=1vJEkNsUoc1eoQJzhjjEqUC5HX-h5nIFx")</f>
        <v>https://drive.google.com/open?id=1vJEkNsUoc1eoQJzhjjEqUC5HX-h5nIFx</v>
      </c>
      <c r="R20" s="92" t="s">
        <v>1206</v>
      </c>
      <c r="S20" s="20" t="str">
        <f ca="1">IFERROR(__xludf.DUMMYFUNCTION("IFERROR(vlookup(B20,IMPORTRANGE(""https://docs.google.com/spreadsheets/d/1g_jfYYK_KeipEDNDUgqgrsxK94XiocfNQIcP-v1QVhI/edit?resourcekey#gid=233272945"",""Nilai!B:CT""),46,0),"" "")"),"RAB diperbaiki ")</f>
        <v xml:space="preserve">RAB diperbaiki </v>
      </c>
      <c r="T20" s="20" t="str">
        <f ca="1">IFERROR(__xludf.DUMMYFUNCTION("IFERROR(vlookup(B20,IMPORTRANGE(""https://docs.google.com/spreadsheets/d/1g_jfYYK_KeipEDNDUgqgrsxK94XiocfNQIcP-v1QVhI/edit?resourcekey#gid=233272945"",""Nilai!B:CT""),97,0),"" "")"),"LAYAK UPLOAD KE SIMBELMAWA DENGAN REVISI")</f>
        <v>LAYAK UPLOAD KE SIMBELMAWA DENGAN REVISI</v>
      </c>
      <c r="U20" s="45" t="s">
        <v>757</v>
      </c>
      <c r="V20" s="38">
        <f ca="1">IFERROR(__xludf.DUMMYFUNCTION("IFERROR(
        vlookup(B20,
                IMPORTRANGE(""https://docs.google.com/spreadsheets/d/1dN4XwmJdILpQh5cYONP2LyBh3ksWo6DCzMrUbN3lo_Q/edit#gid=1905254675"",
                        ""Form Responses 1!F2:I""),
                4,
                f"&amp;"alse))"),84)</f>
        <v>84</v>
      </c>
      <c r="W20" s="46" t="s">
        <v>1207</v>
      </c>
      <c r="X20" s="23" t="s">
        <v>1216</v>
      </c>
      <c r="Y20" s="19" t="b">
        <v>0</v>
      </c>
    </row>
    <row r="21" spans="1:25">
      <c r="A21" s="15">
        <v>19</v>
      </c>
      <c r="B21" s="15">
        <f ca="1">IFERROR(__xludf.DUMMYFUNCTION("""COMPUTED_VALUE"""),2849)</f>
        <v>2849</v>
      </c>
      <c r="C21" s="49" t="str">
        <f ca="1">IFERROR(__xludf.DUMMYFUNCTION("""COMPUTED_VALUE"""),"KARENINA ANISYA PRATIWI")</f>
        <v>KARENINA ANISYA PRATIWI</v>
      </c>
      <c r="D21" s="49" t="str">
        <f ca="1">IFERROR(__xludf.DUMMYFUNCTION("""COMPUTED_VALUE"""),"10411810000050")</f>
        <v>10411810000050</v>
      </c>
      <c r="E21" s="49" t="str">
        <f ca="1">IFERROR(__xludf.DUMMYFUNCTION("""COMPUTED_VALUE"""),"Departemen Teknik Kimia Industri")</f>
        <v>Departemen Teknik Kimia Industri</v>
      </c>
      <c r="F21" s="49" t="str">
        <f ca="1">IFERROR(__xludf.DUMMYFUNCTION("""COMPUTED_VALUE"""),"Mesin Mixing Tank dengan Adjustable Speed Guna Mengelola Limbah Cair UMKM Gula Merah Kediri Menjadi Bioethanol Menggunakan Ragi Terimobilisasi")</f>
        <v>Mesin Mixing Tank dengan Adjustable Speed Guna Mengelola Limbah Cair UMKM Gula Merah Kediri Menjadi Bioethanol Menggunakan Ragi Terimobilisasi</v>
      </c>
      <c r="G21" s="49" t="str">
        <f ca="1">IFERROR(__xludf.DUMMYFUNCTION("""COMPUTED_VALUE"""),"Dr. Afan Hamzah, S.T.")</f>
        <v>Dr. Afan Hamzah, S.T.</v>
      </c>
      <c r="H21" s="49" t="str">
        <f ca="1">IFERROR(__xludf.DUMMYFUNCTION("""COMPUTED_VALUE"""),"Ir. Nur Husodo, M.S")</f>
        <v>Ir. Nur Husodo, M.S</v>
      </c>
      <c r="I21" s="49" t="str">
        <f ca="1">IFERROR(__xludf.DUMMYFUNCTION("""COMPUTED_VALUE"""),"Muhammad Syifaul Mufid, S.Si.,M.Si")</f>
        <v>Muhammad Syifaul Mufid, S.Si.,M.Si</v>
      </c>
      <c r="J21" s="49"/>
      <c r="K21" s="34" t="s">
        <v>1218</v>
      </c>
      <c r="L21" s="23" t="s">
        <v>1217</v>
      </c>
      <c r="M21" s="19" t="b">
        <v>1</v>
      </c>
      <c r="N21" s="19" t="b">
        <v>0</v>
      </c>
      <c r="O21" s="1" t="s">
        <v>1215</v>
      </c>
      <c r="P21" s="7" t="str">
        <f ca="1">IFERROR(__xludf.DUMMYFUNCTION("iferror(vlookup(B21,importrange(""https://docs.google.com/spreadsheets/d/1boHyJQ4e2FU0QG8MHwEi6qjX4hvZWVCHcFfXjq7bbMc/edit?resourcekey#gid=923248883"",""Prop!$C$1:$M""),12,0),IFERROR(vlookup(B21,importrange(""https://docs.google.com/spreadsheets/d/1boHyJQ"&amp;"4e2FU0QG8MHwEi6qjX4hvZWVCHcFfXjq7bbMc/edit?resourcekey#gid=923248883"",""Prop!$N$1:$X""),11,0),iferror(vlookup(B21,importrange(""https://docs.google.com/spreadsheets/d/1boHyJQ4e2FU0QG8MHwEi6qjX4hvZWVCHcFfXjq7bbMc/edit?resourcekey#gid=923248883"",""Prop!$Y"&amp;"$1:$AI""),11,0),iferror(vlookup(B21,importrange(""https://docs.google.com/spreadsheets/d/1boHyJQ4e2FU0QG8MHwEi6qjX4hvZWVCHcFfXjq7bbMc/edit?resourcekey#gid=923248883"",""Prop!$AJ$1:$AT""),11,0),iferror(vlookup(B21,importrange(""https://docs.google.com/spre"&amp;"adsheets/d/1boHyJQ4e2FU0QG8MHwEi6qjX4hvZWVCHcFfXjq7bbMc/edit?resourcekey#gid=923248883"",""Prop!$AU$1:$BE""),11,0),iferror(vlookup(B21,importrange(""https://docs.google.com/spreadsheets/d/1boHyJQ4e2FU0QG8MHwEi6qjX4hvZWVCHcFfXjq7bbMc/edit?resourcekey#gid=9"&amp;"23248883"",""Prop!$BF$1:$BP""),11,0),iferror(vlookup(B21,importrange(""https://docs.google.com/spreadsheets/d/1boHyJQ4e2FU0QG8MHwEi6qjX4hvZWVCHcFfXjq7bbMc/edit?resourcekey#gid=923248883"",""Prop!$BQ$1:$CA""),11,0),iferror(vlookup(B21,importrange(""https:/"&amp;"/docs.google.com/spreadsheets/d/1boHyJQ4e2FU0QG8MHwEi6qjX4hvZWVCHcFfXjq7bbMc/edit?resourcekey#gid=923248883"",""Prop!$CB$1:$CL""),11,0),iferror(vlookup(B21,importrange(""https://docs.google.com/spreadsheets/d/1boHyJQ4e2FU0QG8MHwEi6qjX4hvZWVCHcFfXjq7bbMc/e"&amp;"dit?resourcekey#gid=923248883"",""Prop!$CM$1:$CX""),12,0),iferror(vlookup(B21,importrange(""https://docs.google.com/spreadsheets/d/1boHyJQ4e2FU0QG8MHwEi6qjX4hvZWVCHcFfXjq7bbMc/edit?resourcekey#gid=923248883"",""Prop!$CV$1:$DI""),11,0)))))))))))"),"https://drive.google.com/open?id=1zQ2NHs7ocRucgwIEOUU1ROx0Ueooiay3")</f>
        <v>https://drive.google.com/open?id=1zQ2NHs7ocRucgwIEOUU1ROx0Ueooiay3</v>
      </c>
      <c r="Q21" s="50" t="str">
        <f ca="1">IFERROR(__xludf.DUMMYFUNCTION("iferror(vlookup(B21,importrange(""https://docs.google.com/spreadsheets/d/1p53T2AuvvIqhP7Nf-bo3Uhj8cbKYRPpZdsrBv3x3bAQ/edit?resourcekey#gid=1321652304"",""Prop!$C$1:$M""),11,0),IFERROR(vlookup(B21,importrange(""https://docs.google.com/spreadsheets/d/1p53T2"&amp;"AuvvIqhP7Nf-bo3Uhj8cbKYRPpZdsrBv3x3bAQ/edit?resourcekey#gid=1321652304"",""Prop!$N$1:$X""),11,0),iferror(vlookup(B21,importrange(""https://docs.google.com/spreadsheets/d/1p53T2AuvvIqhP7Nf-bo3Uhj8cbKYRPpZdsrBv3x3bAQ/edit?resourcekey#gid=1321652304"",""Prop"&amp;"!$Y$1:$AI""),11,0),iferror(vlookup(B21,importrange(""https://docs.google.com/spreadsheets/d/1p53T2AuvvIqhP7Nf-bo3Uhj8cbKYRPpZdsrBv3x3bAQ/edit?resourcekey#gid=1321652304"",""Prop!$AJ$1:$AT""),11,0),iferror(vlookup(B21,importrange(""https://docs.google.com/"&amp;"spreadsheets/d/1p53T2AuvvIqhP7Nf-bo3Uhj8cbKYRPpZdsrBv3x3bAQ/edit?resourcekey#gid=1321652304"",""Prop!$AU$1:$BE""),11,0),iferror(vlookup(B21,importrange(""https://docs.google.com/spreadsheets/d/1p53T2AuvvIqhP7Nf-bo3Uhj8cbKYRPpZdsrBv3x3bAQ/edit?resourcekey#"&amp;"gid=1321652304"",""Prop!$BF$1:$BP""),11,0),iferror(vlookup(B21,importrange(""https://docs.google.com/spreadsheets/d/1p53T2AuvvIqhP7Nf-bo3Uhj8cbKYRPpZdsrBv3x3bAQ/edit?resourcekey#gid=1321652304"",""Prop!$BQ$1:$CA""),11,0),iferror(vlookup(B21,importrange("""&amp;"https://docs.google.com/spreadsheets/d/1p53T2AuvvIqhP7Nf-bo3Uhj8cbKYRPpZdsrBv3x3bAQ/edit?resourcekey#gid=1321652304"",""Prop!$CB$1:$CL""),11,0),iferror(vlookup(B21,importrange(""https://docs.google.com/spreadsheets/d/1p53T2AuvvIqhP7Nf-bo3Uhj8cbKYRPpZdsrBv"&amp;"3x3bAQ/edit?resourcekey#gid=1321652304"",""Prop!$CM$1:$CX""),12,0),iferror(vlookup(B21,importrange(""https://docs.google.com/spreadsheets/d/1p53T2AuvvIqhP7Nf-bo3Uhj8cbKYRPpZdsrBv3x3bAQ/edit?resourcekey#gid=1321652304"",""Prop!$CY$1:$DI""),11,0)))))))))))"),"https://drive.google.com/open?id=1xvX-AXMIusXK-sLYWQMpJq_Wid0Lu1-V")</f>
        <v>https://drive.google.com/open?id=1xvX-AXMIusXK-sLYWQMpJq_Wid0Lu1-V</v>
      </c>
      <c r="R21" s="92" t="s">
        <v>1206</v>
      </c>
      <c r="S21" s="20" t="str">
        <f ca="1">IFERROR(__xludf.DUMMYFUNCTION("IFERROR(vlookup(B21,IMPORTRANGE(""https://docs.google.com/spreadsheets/d/1g_jfYYK_KeipEDNDUgqgrsxK94XiocfNQIcP-v1QVhI/edit?resourcekey#gid=233272945"",""Nilai!B:CT""),46,0),"" "")"),"Masih banyak ""komentar"" yang belum dihapus")</f>
        <v>Masih banyak "komentar" yang belum dihapus</v>
      </c>
      <c r="T21" s="20" t="str">
        <f ca="1">IFERROR(__xludf.DUMMYFUNCTION("IFERROR(vlookup(B21,IMPORTRANGE(""https://docs.google.com/spreadsheets/d/1g_jfYYK_KeipEDNDUgqgrsxK94XiocfNQIcP-v1QVhI/edit?resourcekey#gid=233272945"",""Nilai!B:CT""),97,0),"" "")"),"LAYAK UPLOAD KE SIMBELMAWA DENGAN REVISI")</f>
        <v>LAYAK UPLOAD KE SIMBELMAWA DENGAN REVISI</v>
      </c>
      <c r="U21" s="45" t="s">
        <v>757</v>
      </c>
      <c r="V21" s="38">
        <f ca="1">IFERROR(__xludf.DUMMYFUNCTION("IFERROR(
        vlookup(B21,
                IMPORTRANGE(""https://docs.google.com/spreadsheets/d/1dN4XwmJdILpQh5cYONP2LyBh3ksWo6DCzMrUbN3lo_Q/edit#gid=1905254675"",
                        ""Form Responses 1!F2:I""),
                4,
                f"&amp;"alse))"),103)</f>
        <v>103</v>
      </c>
      <c r="W21" s="46" t="s">
        <v>1207</v>
      </c>
      <c r="X21" s="23" t="s">
        <v>1219</v>
      </c>
      <c r="Y21" s="19" t="b">
        <v>1</v>
      </c>
    </row>
    <row r="22" spans="1:25">
      <c r="A22" s="15">
        <v>20</v>
      </c>
      <c r="B22" s="15">
        <f ca="1">IFERROR(__xludf.DUMMYFUNCTION("""COMPUTED_VALUE"""),2464)</f>
        <v>2464</v>
      </c>
      <c r="C22" s="49" t="str">
        <f ca="1">IFERROR(__xludf.DUMMYFUNCTION("""COMPUTED_VALUE"""),"FADHILLIANT NUR PRAMUDYA")</f>
        <v>FADHILLIANT NUR PRAMUDYA</v>
      </c>
      <c r="D22" s="49" t="str">
        <f ca="1">IFERROR(__xludf.DUMMYFUNCTION("""COMPUTED_VALUE"""),"2042201049")</f>
        <v>2042201049</v>
      </c>
      <c r="E22" s="49" t="str">
        <f ca="1">IFERROR(__xludf.DUMMYFUNCTION("""COMPUTED_VALUE"""),"Departemen Teknik Instrumentasi")</f>
        <v>Departemen Teknik Instrumentasi</v>
      </c>
      <c r="F22" s="49" t="str">
        <f ca="1">IFERROR(__xludf.DUMMYFUNCTION("""COMPUTED_VALUE"""),"Landslide Monitoring Instrument Berbasis Internet of Thing Sebagai Upaya Mengurangi Biaya Maintanance PT Teknindo Geosistem Unggul
")</f>
        <v xml:space="preserve">Landslide Monitoring Instrument Berbasis Internet of Thing Sebagai Upaya Mengurangi Biaya Maintanance PT Teknindo Geosistem Unggul
</v>
      </c>
      <c r="G22" s="49" t="str">
        <f ca="1">IFERROR(__xludf.DUMMYFUNCTION("""COMPUTED_VALUE"""),"Murry Raditya, S.T., M.T.")</f>
        <v>Murry Raditya, S.T., M.T.</v>
      </c>
      <c r="H22" s="49" t="str">
        <f ca="1">IFERROR(__xludf.DUMMYFUNCTION("""COMPUTED_VALUE"""),"Ir. Nur Husodo, M.S")</f>
        <v>Ir. Nur Husodo, M.S</v>
      </c>
      <c r="I22" s="49" t="str">
        <f ca="1">IFERROR(__xludf.DUMMYFUNCTION("""COMPUTED_VALUE"""),"Muhammad Syifaul Mufid, S.Si.,M.Si")</f>
        <v>Muhammad Syifaul Mufid, S.Si.,M.Si</v>
      </c>
      <c r="J22" s="49"/>
      <c r="K22" s="34" t="s">
        <v>1218</v>
      </c>
      <c r="L22" s="23" t="s">
        <v>1217</v>
      </c>
      <c r="M22" s="19" t="b">
        <v>0</v>
      </c>
      <c r="N22" s="19" t="b">
        <v>0</v>
      </c>
      <c r="O22" s="1" t="s">
        <v>1215</v>
      </c>
      <c r="P22" s="7" t="str">
        <f ca="1">IFERROR(__xludf.DUMMYFUNCTION("iferror(vlookup(B22,importrange(""https://docs.google.com/spreadsheets/d/1boHyJQ4e2FU0QG8MHwEi6qjX4hvZWVCHcFfXjq7bbMc/edit?resourcekey#gid=923248883"",""Prop!$C$1:$M""),12,0),IFERROR(vlookup(B22,importrange(""https://docs.google.com/spreadsheets/d/1boHyJQ"&amp;"4e2FU0QG8MHwEi6qjX4hvZWVCHcFfXjq7bbMc/edit?resourcekey#gid=923248883"",""Prop!$N$1:$X""),11,0),iferror(vlookup(B22,importrange(""https://docs.google.com/spreadsheets/d/1boHyJQ4e2FU0QG8MHwEi6qjX4hvZWVCHcFfXjq7bbMc/edit?resourcekey#gid=923248883"",""Prop!$Y"&amp;"$1:$AI""),11,0),iferror(vlookup(B22,importrange(""https://docs.google.com/spreadsheets/d/1boHyJQ4e2FU0QG8MHwEi6qjX4hvZWVCHcFfXjq7bbMc/edit?resourcekey#gid=923248883"",""Prop!$AJ$1:$AT""),11,0),iferror(vlookup(B22,importrange(""https://docs.google.com/spre"&amp;"adsheets/d/1boHyJQ4e2FU0QG8MHwEi6qjX4hvZWVCHcFfXjq7bbMc/edit?resourcekey#gid=923248883"",""Prop!$AU$1:$BE""),11,0),iferror(vlookup(B22,importrange(""https://docs.google.com/spreadsheets/d/1boHyJQ4e2FU0QG8MHwEi6qjX4hvZWVCHcFfXjq7bbMc/edit?resourcekey#gid=9"&amp;"23248883"",""Prop!$BF$1:$BP""),11,0),iferror(vlookup(B22,importrange(""https://docs.google.com/spreadsheets/d/1boHyJQ4e2FU0QG8MHwEi6qjX4hvZWVCHcFfXjq7bbMc/edit?resourcekey#gid=923248883"",""Prop!$BQ$1:$CA""),11,0),iferror(vlookup(B22,importrange(""https:/"&amp;"/docs.google.com/spreadsheets/d/1boHyJQ4e2FU0QG8MHwEi6qjX4hvZWVCHcFfXjq7bbMc/edit?resourcekey#gid=923248883"",""Prop!$CB$1:$CL""),11,0),iferror(vlookup(B22,importrange(""https://docs.google.com/spreadsheets/d/1boHyJQ4e2FU0QG8MHwEi6qjX4hvZWVCHcFfXjq7bbMc/e"&amp;"dit?resourcekey#gid=923248883"",""Prop!$CM$1:$CX""),12,0),iferror(vlookup(B22,importrange(""https://docs.google.com/spreadsheets/d/1boHyJQ4e2FU0QG8MHwEi6qjX4hvZWVCHcFfXjq7bbMc/edit?resourcekey#gid=923248883"",""Prop!$CV$1:$DI""),11,0)))))))))))"),"https://drive.google.com/open?id=1mFP6WGIeOhaMQ8ETVsavCXeCUd9mRak1")</f>
        <v>https://drive.google.com/open?id=1mFP6WGIeOhaMQ8ETVsavCXeCUd9mRak1</v>
      </c>
      <c r="Q22" s="50" t="str">
        <f ca="1">IFERROR(__xludf.DUMMYFUNCTION("iferror(vlookup(B22,importrange(""https://docs.google.com/spreadsheets/d/1p53T2AuvvIqhP7Nf-bo3Uhj8cbKYRPpZdsrBv3x3bAQ/edit?resourcekey#gid=1321652304"",""Prop!$C$1:$M""),11,0),IFERROR(vlookup(B22,importrange(""https://docs.google.com/spreadsheets/d/1p53T2"&amp;"AuvvIqhP7Nf-bo3Uhj8cbKYRPpZdsrBv3x3bAQ/edit?resourcekey#gid=1321652304"",""Prop!$N$1:$X""),11,0),iferror(vlookup(B22,importrange(""https://docs.google.com/spreadsheets/d/1p53T2AuvvIqhP7Nf-bo3Uhj8cbKYRPpZdsrBv3x3bAQ/edit?resourcekey#gid=1321652304"",""Prop"&amp;"!$Y$1:$AI""),11,0),iferror(vlookup(B22,importrange(""https://docs.google.com/spreadsheets/d/1p53T2AuvvIqhP7Nf-bo3Uhj8cbKYRPpZdsrBv3x3bAQ/edit?resourcekey#gid=1321652304"",""Prop!$AJ$1:$AT""),11,0),iferror(vlookup(B22,importrange(""https://docs.google.com/"&amp;"spreadsheets/d/1p53T2AuvvIqhP7Nf-bo3Uhj8cbKYRPpZdsrBv3x3bAQ/edit?resourcekey#gid=1321652304"",""Prop!$AU$1:$BE""),11,0),iferror(vlookup(B22,importrange(""https://docs.google.com/spreadsheets/d/1p53T2AuvvIqhP7Nf-bo3Uhj8cbKYRPpZdsrBv3x3bAQ/edit?resourcekey#"&amp;"gid=1321652304"",""Prop!$BF$1:$BP""),11,0),iferror(vlookup(B22,importrange(""https://docs.google.com/spreadsheets/d/1p53T2AuvvIqhP7Nf-bo3Uhj8cbKYRPpZdsrBv3x3bAQ/edit?resourcekey#gid=1321652304"",""Prop!$BQ$1:$CA""),11,0),iferror(vlookup(B22,importrange("""&amp;"https://docs.google.com/spreadsheets/d/1p53T2AuvvIqhP7Nf-bo3Uhj8cbKYRPpZdsrBv3x3bAQ/edit?resourcekey#gid=1321652304"",""Prop!$CB$1:$CL""),11,0),iferror(vlookup(B22,importrange(""https://docs.google.com/spreadsheets/d/1p53T2AuvvIqhP7Nf-bo3Uhj8cbKYRPpZdsrBv"&amp;"3x3bAQ/edit?resourcekey#gid=1321652304"",""Prop!$CM$1:$CX""),12,0),iferror(vlookup(B22,importrange(""https://docs.google.com/spreadsheets/d/1p53T2AuvvIqhP7Nf-bo3Uhj8cbKYRPpZdsrBv3x3bAQ/edit?resourcekey#gid=1321652304"",""Prop!$CY$1:$DI""),11,0)))))))))))"),"https://drive.google.com/open?id=1q9Vx328RF-v1YcvPRwUKMe1DHhcSfzyO")</f>
        <v>https://drive.google.com/open?id=1q9Vx328RF-v1YcvPRwUKMe1DHhcSfzyO</v>
      </c>
      <c r="R22" s="92" t="s">
        <v>1206</v>
      </c>
      <c r="S22" s="20" t="str">
        <f ca="1">IFERROR(__xludf.DUMMYFUNCTION("IFERROR(vlookup(B22,IMPORTRANGE(""https://docs.google.com/spreadsheets/d/1g_jfYYK_KeipEDNDUgqgrsxK94XiocfNQIcP-v1QVhI/edit?resourcekey#gid=233272945"",""Nilai!B:CT""),46,0),"" "")"),"daftar isi tidak sesuai format; perlu kondisi mitra di tinjauan pustaka;")</f>
        <v>daftar isi tidak sesuai format; perlu kondisi mitra di tinjauan pustaka;</v>
      </c>
      <c r="T22" s="20" t="str">
        <f ca="1">IFERROR(__xludf.DUMMYFUNCTION("IFERROR(vlookup(B22,IMPORTRANGE(""https://docs.google.com/spreadsheets/d/1g_jfYYK_KeipEDNDUgqgrsxK94XiocfNQIcP-v1QVhI/edit?resourcekey#gid=233272945"",""Nilai!B:CT""),97,0),"" "")"),"LAYAK UPLOAD KE SIMBELMAWA DENGAN REVISI")</f>
        <v>LAYAK UPLOAD KE SIMBELMAWA DENGAN REVISI</v>
      </c>
      <c r="U22" s="45" t="s">
        <v>757</v>
      </c>
      <c r="V22" s="38" t="str">
        <f ca="1">IFERROR(__xludf.DUMMYFUNCTION("IFERROR(
        vlookup(B22,
                IMPORTRANGE(""https://docs.google.com/spreadsheets/d/1dN4XwmJdILpQh5cYONP2LyBh3ksWo6DCzMrUbN3lo_Q/edit#gid=1905254675"",
                        ""Form Responses 1!F2:I""),
                4,
                f"&amp;"alse))"),"10km")</f>
        <v>10km</v>
      </c>
      <c r="W22" s="46" t="s">
        <v>1207</v>
      </c>
      <c r="X22" s="23" t="s">
        <v>1219</v>
      </c>
      <c r="Y22" s="19" t="b">
        <v>0</v>
      </c>
    </row>
    <row r="23" spans="1:25">
      <c r="A23" s="15">
        <v>21</v>
      </c>
      <c r="B23" s="15">
        <f ca="1">IFERROR(__xludf.DUMMYFUNCTION("""COMPUTED_VALUE"""),4121)</f>
        <v>4121</v>
      </c>
      <c r="C23" s="49" t="str">
        <f ca="1">IFERROR(__xludf.DUMMYFUNCTION("""COMPUTED_VALUE"""),"RAHMAT MUROBIT FIKRI")</f>
        <v>RAHMAT MUROBIT FIKRI</v>
      </c>
      <c r="D23" s="49" t="str">
        <f ca="1">IFERROR(__xludf.DUMMYFUNCTION("""COMPUTED_VALUE"""),"2038201066")</f>
        <v>2038201066</v>
      </c>
      <c r="E23" s="49" t="str">
        <f ca="1">IFERROR(__xludf.DUMMYFUNCTION("""COMPUTED_VALUE"""),"Departemen Teknik Mesin Industri")</f>
        <v>Departemen Teknik Mesin Industri</v>
      </c>
      <c r="F23" s="49" t="str">
        <f ca="1">IFERROR(__xludf.DUMMYFUNCTION("""COMPUTED_VALUE"""),"Pengaplikasian Boiler Uap dengan Bahan Bakar Biogas Limbah Tahu di Pabrik Graha Sukses")</f>
        <v>Pengaplikasian Boiler Uap dengan Bahan Bakar Biogas Limbah Tahu di Pabrik Graha Sukses</v>
      </c>
      <c r="G23" s="49" t="str">
        <f ca="1">IFERROR(__xludf.DUMMYFUNCTION("""COMPUTED_VALUE"""),"Ir. Nur Husodo, M.S")</f>
        <v>Ir. Nur Husodo, M.S</v>
      </c>
      <c r="H23" s="49" t="str">
        <f ca="1">IFERROR(__xludf.DUMMYFUNCTION("""COMPUTED_VALUE"""),"Dr. Dhany Arifianto, S.T., M.Eng.")</f>
        <v>Dr. Dhany Arifianto, S.T., M.Eng.</v>
      </c>
      <c r="I23" s="49" t="str">
        <f ca="1">IFERROR(__xludf.DUMMYFUNCTION("""COMPUTED_VALUE"""),"Muhammad Syifaul Mufid, S.Si.,M.Si")</f>
        <v>Muhammad Syifaul Mufid, S.Si.,M.Si</v>
      </c>
      <c r="J23" s="49"/>
      <c r="K23" s="34" t="s">
        <v>1218</v>
      </c>
      <c r="L23" s="23" t="s">
        <v>1217</v>
      </c>
      <c r="M23" s="19" t="b">
        <v>1</v>
      </c>
      <c r="N23" s="19" t="b">
        <v>0</v>
      </c>
      <c r="O23" s="1" t="s">
        <v>1215</v>
      </c>
      <c r="P23" s="7" t="str">
        <f ca="1">IFERROR(__xludf.DUMMYFUNCTION("iferror(vlookup(B23,importrange(""https://docs.google.com/spreadsheets/d/1boHyJQ4e2FU0QG8MHwEi6qjX4hvZWVCHcFfXjq7bbMc/edit?resourcekey#gid=923248883"",""Prop!$C$1:$M""),12,0),IFERROR(vlookup(B23,importrange(""https://docs.google.com/spreadsheets/d/1boHyJQ"&amp;"4e2FU0QG8MHwEi6qjX4hvZWVCHcFfXjq7bbMc/edit?resourcekey#gid=923248883"",""Prop!$N$1:$X""),11,0),iferror(vlookup(B23,importrange(""https://docs.google.com/spreadsheets/d/1boHyJQ4e2FU0QG8MHwEi6qjX4hvZWVCHcFfXjq7bbMc/edit?resourcekey#gid=923248883"",""Prop!$Y"&amp;"$1:$AI""),11,0),iferror(vlookup(B23,importrange(""https://docs.google.com/spreadsheets/d/1boHyJQ4e2FU0QG8MHwEi6qjX4hvZWVCHcFfXjq7bbMc/edit?resourcekey#gid=923248883"",""Prop!$AJ$1:$AT""),11,0),iferror(vlookup(B23,importrange(""https://docs.google.com/spre"&amp;"adsheets/d/1boHyJQ4e2FU0QG8MHwEi6qjX4hvZWVCHcFfXjq7bbMc/edit?resourcekey#gid=923248883"",""Prop!$AU$1:$BE""),11,0),iferror(vlookup(B23,importrange(""https://docs.google.com/spreadsheets/d/1boHyJQ4e2FU0QG8MHwEi6qjX4hvZWVCHcFfXjq7bbMc/edit?resourcekey#gid=9"&amp;"23248883"",""Prop!$BF$1:$BP""),11,0),iferror(vlookup(B23,importrange(""https://docs.google.com/spreadsheets/d/1boHyJQ4e2FU0QG8MHwEi6qjX4hvZWVCHcFfXjq7bbMc/edit?resourcekey#gid=923248883"",""Prop!$BQ$1:$CA""),11,0),iferror(vlookup(B23,importrange(""https:/"&amp;"/docs.google.com/spreadsheets/d/1boHyJQ4e2FU0QG8MHwEi6qjX4hvZWVCHcFfXjq7bbMc/edit?resourcekey#gid=923248883"",""Prop!$CB$1:$CL""),11,0),iferror(vlookup(B23,importrange(""https://docs.google.com/spreadsheets/d/1boHyJQ4e2FU0QG8MHwEi6qjX4hvZWVCHcFfXjq7bbMc/e"&amp;"dit?resourcekey#gid=923248883"",""Prop!$CM$1:$CX""),12,0),iferror(vlookup(B23,importrange(""https://docs.google.com/spreadsheets/d/1boHyJQ4e2FU0QG8MHwEi6qjX4hvZWVCHcFfXjq7bbMc/edit?resourcekey#gid=923248883"",""Prop!$CV$1:$DI""),11,0)))))))))))"),"https://drive.google.com/open?id=1YOzClNoxkeDbla6COADUA7lzFHRWYTda")</f>
        <v>https://drive.google.com/open?id=1YOzClNoxkeDbla6COADUA7lzFHRWYTda</v>
      </c>
      <c r="Q23" s="50" t="str">
        <f ca="1">IFERROR(__xludf.DUMMYFUNCTION("iferror(vlookup(B23,importrange(""https://docs.google.com/spreadsheets/d/1p53T2AuvvIqhP7Nf-bo3Uhj8cbKYRPpZdsrBv3x3bAQ/edit?resourcekey#gid=1321652304"",""Prop!$C$1:$M""),11,0),IFERROR(vlookup(B23,importrange(""https://docs.google.com/spreadsheets/d/1p53T2"&amp;"AuvvIqhP7Nf-bo3Uhj8cbKYRPpZdsrBv3x3bAQ/edit?resourcekey#gid=1321652304"",""Prop!$N$1:$X""),11,0),iferror(vlookup(B23,importrange(""https://docs.google.com/spreadsheets/d/1p53T2AuvvIqhP7Nf-bo3Uhj8cbKYRPpZdsrBv3x3bAQ/edit?resourcekey#gid=1321652304"",""Prop"&amp;"!$Y$1:$AI""),11,0),iferror(vlookup(B23,importrange(""https://docs.google.com/spreadsheets/d/1p53T2AuvvIqhP7Nf-bo3Uhj8cbKYRPpZdsrBv3x3bAQ/edit?resourcekey#gid=1321652304"",""Prop!$AJ$1:$AT""),11,0),iferror(vlookup(B23,importrange(""https://docs.google.com/"&amp;"spreadsheets/d/1p53T2AuvvIqhP7Nf-bo3Uhj8cbKYRPpZdsrBv3x3bAQ/edit?resourcekey#gid=1321652304"",""Prop!$AU$1:$BE""),11,0),iferror(vlookup(B23,importrange(""https://docs.google.com/spreadsheets/d/1p53T2AuvvIqhP7Nf-bo3Uhj8cbKYRPpZdsrBv3x3bAQ/edit?resourcekey#"&amp;"gid=1321652304"",""Prop!$BF$1:$BP""),11,0),iferror(vlookup(B23,importrange(""https://docs.google.com/spreadsheets/d/1p53T2AuvvIqhP7Nf-bo3Uhj8cbKYRPpZdsrBv3x3bAQ/edit?resourcekey#gid=1321652304"",""Prop!$BQ$1:$CA""),11,0),iferror(vlookup(B23,importrange("""&amp;"https://docs.google.com/spreadsheets/d/1p53T2AuvvIqhP7Nf-bo3Uhj8cbKYRPpZdsrBv3x3bAQ/edit?resourcekey#gid=1321652304"",""Prop!$CB$1:$CL""),11,0),iferror(vlookup(B23,importrange(""https://docs.google.com/spreadsheets/d/1p53T2AuvvIqhP7Nf-bo3Uhj8cbKYRPpZdsrBv"&amp;"3x3bAQ/edit?resourcekey#gid=1321652304"",""Prop!$CM$1:$CX""),12,0),iferror(vlookup(B23,importrange(""https://docs.google.com/spreadsheets/d/1p53T2AuvvIqhP7Nf-bo3Uhj8cbKYRPpZdsrBv3x3bAQ/edit?resourcekey#gid=1321652304"",""Prop!$CY$1:$DI""),11,0)))))))))))"),"")</f>
        <v/>
      </c>
      <c r="R23" s="92" t="s">
        <v>1206</v>
      </c>
      <c r="S23" s="20" t="str">
        <f ca="1">IFERROR(__xludf.DUMMYFUNCTION("IFERROR(vlookup(B23,IMPORTRANGE(""https://docs.google.com/spreadsheets/d/1g_jfYYK_KeipEDNDUgqgrsxK94XiocfNQIcP-v1QVhI/edit?resourcekey#gid=233272945"",""Nilai!B:CT""),46,0),"" "")"),"Mitra jaraknya lebih dari 100km; pelaksanaan harus full luring")</f>
        <v>Mitra jaraknya lebih dari 100km; pelaksanaan harus full luring</v>
      </c>
      <c r="T23" s="20" t="str">
        <f ca="1">IFERROR(__xludf.DUMMYFUNCTION("IFERROR(vlookup(B23,IMPORTRANGE(""https://docs.google.com/spreadsheets/d/1g_jfYYK_KeipEDNDUgqgrsxK94XiocfNQIcP-v1QVhI/edit?resourcekey#gid=233272945"",""Nilai!B:CT""),97,0),"" "")"),"LAYAK UPLOAD KE SIMBELMAWA DENGAN REVISI")</f>
        <v>LAYAK UPLOAD KE SIMBELMAWA DENGAN REVISI</v>
      </c>
      <c r="U23" s="45" t="s">
        <v>757</v>
      </c>
      <c r="V23" s="38">
        <f ca="1">IFERROR(__xludf.DUMMYFUNCTION("IFERROR(
        vlookup(B23,
                IMPORTRANGE(""https://docs.google.com/spreadsheets/d/1dN4XwmJdILpQh5cYONP2LyBh3ksWo6DCzMrUbN3lo_Q/edit#gid=1905254675"",
                        ""Form Responses 1!F2:I""),
                4,
                f"&amp;"alse))"),727)</f>
        <v>727</v>
      </c>
      <c r="W23" s="46" t="s">
        <v>1207</v>
      </c>
      <c r="X23" s="23" t="s">
        <v>1219</v>
      </c>
      <c r="Y23" s="19" t="b">
        <v>0</v>
      </c>
    </row>
    <row r="24" spans="1:25">
      <c r="A24" s="15">
        <v>22</v>
      </c>
      <c r="B24" s="15">
        <f ca="1">IFERROR(__xludf.DUMMYFUNCTION("""COMPUTED_VALUE"""),2224)</f>
        <v>2224</v>
      </c>
      <c r="C24" s="49" t="str">
        <f ca="1">IFERROR(__xludf.DUMMYFUNCTION("""COMPUTED_VALUE"""),"FEBI EKA FRADASARI")</f>
        <v>FEBI EKA FRADASARI</v>
      </c>
      <c r="D24" s="49" t="str">
        <f ca="1">IFERROR(__xludf.DUMMYFUNCTION("""COMPUTED_VALUE"""),"07311840000055")</f>
        <v>07311840000055</v>
      </c>
      <c r="E24" s="49" t="str">
        <f ca="1">IFERROR(__xludf.DUMMYFUNCTION("""COMPUTED_VALUE"""),"Departemen Teknik Biomedik")</f>
        <v>Departemen Teknik Biomedik</v>
      </c>
      <c r="F24" s="49" t="str">
        <f ca="1">IFERROR(__xludf.DUMMYFUNCTION("""COMPUTED_VALUE"""),"Inovasi Mesin Pemotong Kunyit Otomatis Berbasis PLC untuk Membantu Meningkatkan Jumlah Produksi UMKM Warga Kesugihan Ponorogo")</f>
        <v>Inovasi Mesin Pemotong Kunyit Otomatis Berbasis PLC untuk Membantu Meningkatkan Jumlah Produksi UMKM Warga Kesugihan Ponorogo</v>
      </c>
      <c r="G24" s="49" t="str">
        <f ca="1">IFERROR(__xludf.DUMMYFUNCTION("""COMPUTED_VALUE"""),"Ir. Josaphat Pramudijanto, M.Eng.")</f>
        <v>Ir. Josaphat Pramudijanto, M.Eng.</v>
      </c>
      <c r="H24" s="49" t="str">
        <f ca="1">IFERROR(__xludf.DUMMYFUNCTION("""COMPUTED_VALUE"""),"Ir. Nur Husodo, M.S")</f>
        <v>Ir. Nur Husodo, M.S</v>
      </c>
      <c r="I24" s="49" t="str">
        <f ca="1">IFERROR(__xludf.DUMMYFUNCTION("""COMPUTED_VALUE"""),"Muhammad Syifaul Mufid, S.Si.,M.Si")</f>
        <v>Muhammad Syifaul Mufid, S.Si.,M.Si</v>
      </c>
      <c r="J24" s="49"/>
      <c r="K24" s="34" t="s">
        <v>1218</v>
      </c>
      <c r="L24" s="23" t="s">
        <v>1217</v>
      </c>
      <c r="M24" s="19" t="b">
        <v>1</v>
      </c>
      <c r="N24" s="19" t="b">
        <v>0</v>
      </c>
      <c r="O24" s="1" t="s">
        <v>1220</v>
      </c>
      <c r="P24" s="7" t="str">
        <f ca="1">IFERROR(__xludf.DUMMYFUNCTION("iferror(vlookup(B24,importrange(""https://docs.google.com/spreadsheets/d/1boHyJQ4e2FU0QG8MHwEi6qjX4hvZWVCHcFfXjq7bbMc/edit?resourcekey#gid=923248883"",""Prop!$C$1:$M""),12,0),IFERROR(vlookup(B24,importrange(""https://docs.google.com/spreadsheets/d/1boHyJQ"&amp;"4e2FU0QG8MHwEi6qjX4hvZWVCHcFfXjq7bbMc/edit?resourcekey#gid=923248883"",""Prop!$N$1:$X""),11,0),iferror(vlookup(B24,importrange(""https://docs.google.com/spreadsheets/d/1boHyJQ4e2FU0QG8MHwEi6qjX4hvZWVCHcFfXjq7bbMc/edit?resourcekey#gid=923248883"",""Prop!$Y"&amp;"$1:$AI""),11,0),iferror(vlookup(B24,importrange(""https://docs.google.com/spreadsheets/d/1boHyJQ4e2FU0QG8MHwEi6qjX4hvZWVCHcFfXjq7bbMc/edit?resourcekey#gid=923248883"",""Prop!$AJ$1:$AT""),11,0),iferror(vlookup(B24,importrange(""https://docs.google.com/spre"&amp;"adsheets/d/1boHyJQ4e2FU0QG8MHwEi6qjX4hvZWVCHcFfXjq7bbMc/edit?resourcekey#gid=923248883"",""Prop!$AU$1:$BE""),11,0),iferror(vlookup(B24,importrange(""https://docs.google.com/spreadsheets/d/1boHyJQ4e2FU0QG8MHwEi6qjX4hvZWVCHcFfXjq7bbMc/edit?resourcekey#gid=9"&amp;"23248883"",""Prop!$BF$1:$BP""),11,0),iferror(vlookup(B24,importrange(""https://docs.google.com/spreadsheets/d/1boHyJQ4e2FU0QG8MHwEi6qjX4hvZWVCHcFfXjq7bbMc/edit?resourcekey#gid=923248883"",""Prop!$BQ$1:$CA""),11,0),iferror(vlookup(B24,importrange(""https:/"&amp;"/docs.google.com/spreadsheets/d/1boHyJQ4e2FU0QG8MHwEi6qjX4hvZWVCHcFfXjq7bbMc/edit?resourcekey#gid=923248883"",""Prop!$CB$1:$CL""),11,0),iferror(vlookup(B24,importrange(""https://docs.google.com/spreadsheets/d/1boHyJQ4e2FU0QG8MHwEi6qjX4hvZWVCHcFfXjq7bbMc/e"&amp;"dit?resourcekey#gid=923248883"",""Prop!$CM$1:$CX""),12,0),iferror(vlookup(B24,importrange(""https://docs.google.com/spreadsheets/d/1boHyJQ4e2FU0QG8MHwEi6qjX4hvZWVCHcFfXjq7bbMc/edit?resourcekey#gid=923248883"",""Prop!$CV$1:$DI""),11,0)))))))))))"),"https://drive.google.com/open?id=1zZAYSEHMYnjXKonILZ9ZJTfXMNJfqger")</f>
        <v>https://drive.google.com/open?id=1zZAYSEHMYnjXKonILZ9ZJTfXMNJfqger</v>
      </c>
      <c r="Q24" s="50" t="str">
        <f ca="1">IFERROR(__xludf.DUMMYFUNCTION("iferror(vlookup(B24,importrange(""https://docs.google.com/spreadsheets/d/1p53T2AuvvIqhP7Nf-bo3Uhj8cbKYRPpZdsrBv3x3bAQ/edit?resourcekey#gid=1321652304"",""Prop!$C$1:$M""),11,0),IFERROR(vlookup(B24,importrange(""https://docs.google.com/spreadsheets/d/1p53T2"&amp;"AuvvIqhP7Nf-bo3Uhj8cbKYRPpZdsrBv3x3bAQ/edit?resourcekey#gid=1321652304"",""Prop!$N$1:$X""),11,0),iferror(vlookup(B24,importrange(""https://docs.google.com/spreadsheets/d/1p53T2AuvvIqhP7Nf-bo3Uhj8cbKYRPpZdsrBv3x3bAQ/edit?resourcekey#gid=1321652304"",""Prop"&amp;"!$Y$1:$AI""),11,0),iferror(vlookup(B24,importrange(""https://docs.google.com/spreadsheets/d/1p53T2AuvvIqhP7Nf-bo3Uhj8cbKYRPpZdsrBv3x3bAQ/edit?resourcekey#gid=1321652304"",""Prop!$AJ$1:$AT""),11,0),iferror(vlookup(B24,importrange(""https://docs.google.com/"&amp;"spreadsheets/d/1p53T2AuvvIqhP7Nf-bo3Uhj8cbKYRPpZdsrBv3x3bAQ/edit?resourcekey#gid=1321652304"",""Prop!$AU$1:$BE""),11,0),iferror(vlookup(B24,importrange(""https://docs.google.com/spreadsheets/d/1p53T2AuvvIqhP7Nf-bo3Uhj8cbKYRPpZdsrBv3x3bAQ/edit?resourcekey#"&amp;"gid=1321652304"",""Prop!$BF$1:$BP""),11,0),iferror(vlookup(B24,importrange(""https://docs.google.com/spreadsheets/d/1p53T2AuvvIqhP7Nf-bo3Uhj8cbKYRPpZdsrBv3x3bAQ/edit?resourcekey#gid=1321652304"",""Prop!$BQ$1:$CA""),11,0),iferror(vlookup(B24,importrange("""&amp;"https://docs.google.com/spreadsheets/d/1p53T2AuvvIqhP7Nf-bo3Uhj8cbKYRPpZdsrBv3x3bAQ/edit?resourcekey#gid=1321652304"",""Prop!$CB$1:$CL""),11,0),iferror(vlookup(B24,importrange(""https://docs.google.com/spreadsheets/d/1p53T2AuvvIqhP7Nf-bo3Uhj8cbKYRPpZdsrBv"&amp;"3x3bAQ/edit?resourcekey#gid=1321652304"",""Prop!$CM$1:$CX""),12,0),iferror(vlookup(B24,importrange(""https://docs.google.com/spreadsheets/d/1p53T2AuvvIqhP7Nf-bo3Uhj8cbKYRPpZdsrBv3x3bAQ/edit?resourcekey#gid=1321652304"",""Prop!$CY$1:$DI""),11,0)))))))))))"),"https://drive.google.com/open?id=1YZQ5BWO0Bnzcks4WGOOWmIVc8ZykIcAg")</f>
        <v>https://drive.google.com/open?id=1YZQ5BWO0Bnzcks4WGOOWmIVc8ZykIcAg</v>
      </c>
      <c r="R24" s="92" t="s">
        <v>1206</v>
      </c>
      <c r="S24" s="20" t="str">
        <f ca="1">IFERROR(__xludf.DUMMYFUNCTION("IFERROR(vlookup(B24,IMPORTRANGE(""https://docs.google.com/spreadsheets/d/1g_jfYYK_KeipEDNDUgqgrsxK94XiocfNQIcP-v1QVhI/edit?resourcekey#gid=233272945"",""Nilai!B:CT""),46,0),"" "")"),"anggaran biaya perlu direvisi (perhatikan batas maksimal tiap jenis pengeluaran)")</f>
        <v>anggaran biaya perlu direvisi (perhatikan batas maksimal tiap jenis pengeluaran)</v>
      </c>
      <c r="T24" s="20" t="str">
        <f ca="1">IFERROR(__xludf.DUMMYFUNCTION("IFERROR(vlookup(B24,IMPORTRANGE(""https://docs.google.com/spreadsheets/d/1g_jfYYK_KeipEDNDUgqgrsxK94XiocfNQIcP-v1QVhI/edit?resourcekey#gid=233272945"",""Nilai!B:CT""),97,0),"" "")"),"LAYAK UPLOAD KE SIMBELMAWA DENGAN REVISI")</f>
        <v>LAYAK UPLOAD KE SIMBELMAWA DENGAN REVISI</v>
      </c>
      <c r="U24" s="45" t="s">
        <v>757</v>
      </c>
      <c r="V24" s="51">
        <f ca="1">IFERROR(__xludf.DUMMYFUNCTION("IFERROR(
        vlookup(B24,
                IMPORTRANGE(""https://docs.google.com/spreadsheets/d/1dN4XwmJdILpQh5cYONP2LyBh3ksWo6DCzMrUbN3lo_Q/edit#gid=1905254675"",
                        ""Form Responses 1!F2:I""),
                4,
                f"&amp;"alse))"),205)</f>
        <v>205</v>
      </c>
      <c r="W24" s="46" t="s">
        <v>1207</v>
      </c>
      <c r="X24" s="23" t="s">
        <v>1219</v>
      </c>
      <c r="Y24" s="19" t="b">
        <v>1</v>
      </c>
    </row>
    <row r="25" spans="1:25">
      <c r="A25" s="15">
        <v>23</v>
      </c>
      <c r="B25" s="15">
        <f ca="1">IFERROR(__xludf.DUMMYFUNCTION("""COMPUTED_VALUE"""),2261)</f>
        <v>2261</v>
      </c>
      <c r="C25" s="49" t="str">
        <f ca="1">IFERROR(__xludf.DUMMYFUNCTION("""COMPUTED_VALUE"""),"BRILLIANT ALFAN SYAFI`I")</f>
        <v>BRILLIANT ALFAN SYAFI`I</v>
      </c>
      <c r="D25" s="49" t="str">
        <f ca="1">IFERROR(__xludf.DUMMYFUNCTION("""COMPUTED_VALUE"""),"07111940000107")</f>
        <v>07111940000107</v>
      </c>
      <c r="E25" s="49" t="str">
        <f ca="1">IFERROR(__xludf.DUMMYFUNCTION("""COMPUTED_VALUE"""),"Departemen Teknik Elektro")</f>
        <v>Departemen Teknik Elektro</v>
      </c>
      <c r="F25" s="49" t="str">
        <f ca="1">IFERROR(__xludf.DUMMYFUNCTION("""COMPUTED_VALUE"""),"Penerapan Photovoltaic pada Mesin Pencacah Rumput untuk Pakan Ternak Sapi Perah")</f>
        <v>Penerapan Photovoltaic pada Mesin Pencacah Rumput untuk Pakan Ternak Sapi Perah</v>
      </c>
      <c r="G25" s="49" t="str">
        <f ca="1">IFERROR(__xludf.DUMMYFUNCTION("""COMPUTED_VALUE"""),"Feby Agung Pamuji, S.T., M.T., Ph.D.")</f>
        <v>Feby Agung Pamuji, S.T., M.T., Ph.D.</v>
      </c>
      <c r="H25" s="49" t="str">
        <f ca="1">IFERROR(__xludf.DUMMYFUNCTION("""COMPUTED_VALUE"""),"Ir. Nur Husodo, M.S")</f>
        <v>Ir. Nur Husodo, M.S</v>
      </c>
      <c r="I25" s="49" t="str">
        <f ca="1">IFERROR(__xludf.DUMMYFUNCTION("""COMPUTED_VALUE"""),"Muhammad Syifaul Mufid, S.Si.,M.Si")</f>
        <v>Muhammad Syifaul Mufid, S.Si.,M.Si</v>
      </c>
      <c r="J25" s="49"/>
      <c r="K25" s="34" t="s">
        <v>1218</v>
      </c>
      <c r="L25" s="23" t="s">
        <v>1217</v>
      </c>
      <c r="M25" s="19" t="b">
        <v>1</v>
      </c>
      <c r="N25" s="19" t="b">
        <v>0</v>
      </c>
      <c r="O25" s="1" t="s">
        <v>1220</v>
      </c>
      <c r="P25" s="7" t="str">
        <f ca="1">IFERROR(__xludf.DUMMYFUNCTION("iferror(vlookup(B25,importrange(""https://docs.google.com/spreadsheets/d/1boHyJQ4e2FU0QG8MHwEi6qjX4hvZWVCHcFfXjq7bbMc/edit?resourcekey#gid=923248883"",""Prop!$C$1:$M""),12,0),IFERROR(vlookup(B25,importrange(""https://docs.google.com/spreadsheets/d/1boHyJQ"&amp;"4e2FU0QG8MHwEi6qjX4hvZWVCHcFfXjq7bbMc/edit?resourcekey#gid=923248883"",""Prop!$N$1:$X""),11,0),iferror(vlookup(B25,importrange(""https://docs.google.com/spreadsheets/d/1boHyJQ4e2FU0QG8MHwEi6qjX4hvZWVCHcFfXjq7bbMc/edit?resourcekey#gid=923248883"",""Prop!$Y"&amp;"$1:$AI""),11,0),iferror(vlookup(B25,importrange(""https://docs.google.com/spreadsheets/d/1boHyJQ4e2FU0QG8MHwEi6qjX4hvZWVCHcFfXjq7bbMc/edit?resourcekey#gid=923248883"",""Prop!$AJ$1:$AT""),11,0),iferror(vlookup(B25,importrange(""https://docs.google.com/spre"&amp;"adsheets/d/1boHyJQ4e2FU0QG8MHwEi6qjX4hvZWVCHcFfXjq7bbMc/edit?resourcekey#gid=923248883"",""Prop!$AU$1:$BE""),11,0),iferror(vlookup(B25,importrange(""https://docs.google.com/spreadsheets/d/1boHyJQ4e2FU0QG8MHwEi6qjX4hvZWVCHcFfXjq7bbMc/edit?resourcekey#gid=9"&amp;"23248883"",""Prop!$BF$1:$BP""),11,0),iferror(vlookup(B25,importrange(""https://docs.google.com/spreadsheets/d/1boHyJQ4e2FU0QG8MHwEi6qjX4hvZWVCHcFfXjq7bbMc/edit?resourcekey#gid=923248883"",""Prop!$BQ$1:$CA""),11,0),iferror(vlookup(B25,importrange(""https:/"&amp;"/docs.google.com/spreadsheets/d/1boHyJQ4e2FU0QG8MHwEi6qjX4hvZWVCHcFfXjq7bbMc/edit?resourcekey#gid=923248883"",""Prop!$CB$1:$CL""),11,0),iferror(vlookup(B25,importrange(""https://docs.google.com/spreadsheets/d/1boHyJQ4e2FU0QG8MHwEi6qjX4hvZWVCHcFfXjq7bbMc/e"&amp;"dit?resourcekey#gid=923248883"",""Prop!$CM$1:$CX""),12,0),iferror(vlookup(B25,importrange(""https://docs.google.com/spreadsheets/d/1boHyJQ4e2FU0QG8MHwEi6qjX4hvZWVCHcFfXjq7bbMc/edit?resourcekey#gid=923248883"",""Prop!$CV$1:$DI""),11,0)))))))))))"),"https://drive.google.com/open?id=16qzcF_cwIAS0S62Y3_sGFzEFGaNMtyaj")</f>
        <v>https://drive.google.com/open?id=16qzcF_cwIAS0S62Y3_sGFzEFGaNMtyaj</v>
      </c>
      <c r="Q25" s="50" t="str">
        <f ca="1">IFERROR(__xludf.DUMMYFUNCTION("iferror(vlookup(B25,importrange(""https://docs.google.com/spreadsheets/d/1p53T2AuvvIqhP7Nf-bo3Uhj8cbKYRPpZdsrBv3x3bAQ/edit?resourcekey#gid=1321652304"",""Prop!$C$1:$M""),11,0),IFERROR(vlookup(B25,importrange(""https://docs.google.com/spreadsheets/d/1p53T2"&amp;"AuvvIqhP7Nf-bo3Uhj8cbKYRPpZdsrBv3x3bAQ/edit?resourcekey#gid=1321652304"",""Prop!$N$1:$X""),11,0),iferror(vlookup(B25,importrange(""https://docs.google.com/spreadsheets/d/1p53T2AuvvIqhP7Nf-bo3Uhj8cbKYRPpZdsrBv3x3bAQ/edit?resourcekey#gid=1321652304"",""Prop"&amp;"!$Y$1:$AI""),11,0),iferror(vlookup(B25,importrange(""https://docs.google.com/spreadsheets/d/1p53T2AuvvIqhP7Nf-bo3Uhj8cbKYRPpZdsrBv3x3bAQ/edit?resourcekey#gid=1321652304"",""Prop!$AJ$1:$AT""),11,0),iferror(vlookup(B25,importrange(""https://docs.google.com/"&amp;"spreadsheets/d/1p53T2AuvvIqhP7Nf-bo3Uhj8cbKYRPpZdsrBv3x3bAQ/edit?resourcekey#gid=1321652304"",""Prop!$AU$1:$BE""),11,0),iferror(vlookup(B25,importrange(""https://docs.google.com/spreadsheets/d/1p53T2AuvvIqhP7Nf-bo3Uhj8cbKYRPpZdsrBv3x3bAQ/edit?resourcekey#"&amp;"gid=1321652304"",""Prop!$BF$1:$BP""),11,0),iferror(vlookup(B25,importrange(""https://docs.google.com/spreadsheets/d/1p53T2AuvvIqhP7Nf-bo3Uhj8cbKYRPpZdsrBv3x3bAQ/edit?resourcekey#gid=1321652304"",""Prop!$BQ$1:$CA""),11,0),iferror(vlookup(B25,importrange("""&amp;"https://docs.google.com/spreadsheets/d/1p53T2AuvvIqhP7Nf-bo3Uhj8cbKYRPpZdsrBv3x3bAQ/edit?resourcekey#gid=1321652304"",""Prop!$CB$1:$CL""),11,0),iferror(vlookup(B25,importrange(""https://docs.google.com/spreadsheets/d/1p53T2AuvvIqhP7Nf-bo3Uhj8cbKYRPpZdsrBv"&amp;"3x3bAQ/edit?resourcekey#gid=1321652304"",""Prop!$CM$1:$CX""),12,0),iferror(vlookup(B25,importrange(""https://docs.google.com/spreadsheets/d/1p53T2AuvvIqhP7Nf-bo3Uhj8cbKYRPpZdsrBv3x3bAQ/edit?resourcekey#gid=1321652304"",""Prop!$CY$1:$DI""),11,0)))))))))))"),"https://drive.google.com/open?id=1HO38cVx6602FWiEr0teAIalIRzRlZRgP")</f>
        <v>https://drive.google.com/open?id=1HO38cVx6602FWiEr0teAIalIRzRlZRgP</v>
      </c>
      <c r="R25" s="92" t="s">
        <v>1206</v>
      </c>
      <c r="S25" s="20" t="str">
        <f ca="1">IFERROR(__xludf.DUMMYFUNCTION("IFERROR(vlookup(B25,IMPORTRANGE(""https://docs.google.com/spreadsheets/d/1g_jfYYK_KeipEDNDUgqgrsxK94XiocfNQIcP-v1QVhI/edit?resourcekey#gid=233272945"",""Nilai!B:CT""),46,0),"" "")"),"rumusan masalah seharusnya berupa pertanyaan; anggaran biaya perlu diubah (perhatikan batas maksimal tiap jenis pengeluaran)")</f>
        <v>rumusan masalah seharusnya berupa pertanyaan; anggaran biaya perlu diubah (perhatikan batas maksimal tiap jenis pengeluaran)</v>
      </c>
      <c r="T25" s="20" t="str">
        <f ca="1">IFERROR(__xludf.DUMMYFUNCTION("IFERROR(vlookup(B25,IMPORTRANGE(""https://docs.google.com/spreadsheets/d/1g_jfYYK_KeipEDNDUgqgrsxK94XiocfNQIcP-v1QVhI/edit?resourcekey#gid=233272945"",""Nilai!B:CT""),97,0),"" "")"),"LAYAK UPLOAD KE SIMBELMAWA DENGAN REVISI")</f>
        <v>LAYAK UPLOAD KE SIMBELMAWA DENGAN REVISI</v>
      </c>
      <c r="U25" s="45" t="s">
        <v>757</v>
      </c>
      <c r="V25" s="38">
        <f ca="1">IFERROR(__xludf.DUMMYFUNCTION("IFERROR(
        vlookup(B25,
                IMPORTRANGE(""https://docs.google.com/spreadsheets/d/1dN4XwmJdILpQh5cYONP2LyBh3ksWo6DCzMrUbN3lo_Q/edit#gid=1905254675"",
                        ""Form Responses 1!F2:I""),
                4,
                f"&amp;"alse))"),93.7)</f>
        <v>93.7</v>
      </c>
      <c r="W25" s="46" t="s">
        <v>1207</v>
      </c>
      <c r="X25" s="23" t="s">
        <v>1221</v>
      </c>
      <c r="Y25" s="19" t="b">
        <v>0</v>
      </c>
    </row>
    <row r="26" spans="1:25">
      <c r="A26" s="15">
        <v>24</v>
      </c>
      <c r="B26" s="15">
        <f ca="1">IFERROR(__xludf.DUMMYFUNCTION("""COMPUTED_VALUE"""),2955)</f>
        <v>2955</v>
      </c>
      <c r="C26" s="49" t="str">
        <f ca="1">IFERROR(__xludf.DUMMYFUNCTION("""COMPUTED_VALUE"""),"SHAAFIRA AUFI RAHMAH")</f>
        <v>SHAAFIRA AUFI RAHMAH</v>
      </c>
      <c r="D26" s="49" t="str">
        <f ca="1">IFERROR(__xludf.DUMMYFUNCTION("""COMPUTED_VALUE"""),"10511810000075")</f>
        <v>10511810000075</v>
      </c>
      <c r="E26" s="49" t="str">
        <f ca="1">IFERROR(__xludf.DUMMYFUNCTION("""COMPUTED_VALUE"""),"Departemen Teknik Instrumentasi")</f>
        <v>Departemen Teknik Instrumentasi</v>
      </c>
      <c r="F26" s="49" t="str">
        <f ca="1">IFERROR(__xludf.DUMMYFUNCTION("""COMPUTED_VALUE"""),"SISTEM MONITORING IDENTIFIKASI SAPI UNTUK MENUNJANG PRODUKTIVITAS PADA PETERNAK SAPI POTONG DI KABUPATEN SIDOARJO BERBASIS INTERNET OF THINGS ")</f>
        <v xml:space="preserve">SISTEM MONITORING IDENTIFIKASI SAPI UNTUK MENUNJANG PRODUKTIVITAS PADA PETERNAK SAPI POTONG DI KABUPATEN SIDOARJO BERBASIS INTERNET OF THINGS </v>
      </c>
      <c r="G26" s="49" t="str">
        <f ca="1">IFERROR(__xludf.DUMMYFUNCTION("""COMPUTED_VALUE"""),"Brian Raafi'u, S.ST., M.T.")</f>
        <v>Brian Raafi'u, S.ST., M.T.</v>
      </c>
      <c r="H26" s="49" t="str">
        <f ca="1">IFERROR(__xludf.DUMMYFUNCTION("""COMPUTED_VALUE"""),"Sefi Novendra Patrialova, S.Si., M.T")</f>
        <v>Sefi Novendra Patrialova, S.Si., M.T</v>
      </c>
      <c r="I26" s="49" t="str">
        <f ca="1">IFERROR(__xludf.DUMMYFUNCTION("""COMPUTED_VALUE"""),"Muhammad Syifaul Mufid, S.Si.,M.Si")</f>
        <v>Muhammad Syifaul Mufid, S.Si.,M.Si</v>
      </c>
      <c r="J26" s="49"/>
      <c r="K26" s="34" t="s">
        <v>1222</v>
      </c>
      <c r="L26" s="23" t="s">
        <v>1223</v>
      </c>
      <c r="M26" s="19" t="b">
        <v>1</v>
      </c>
      <c r="N26" s="19" t="b">
        <v>0</v>
      </c>
      <c r="O26" s="1" t="s">
        <v>1220</v>
      </c>
      <c r="P26" s="7" t="str">
        <f ca="1">IFERROR(__xludf.DUMMYFUNCTION("iferror(vlookup(B26,importrange(""https://docs.google.com/spreadsheets/d/1boHyJQ4e2FU0QG8MHwEi6qjX4hvZWVCHcFfXjq7bbMc/edit?resourcekey#gid=923248883"",""Prop!$C$1:$M""),12,0),IFERROR(vlookup(B26,importrange(""https://docs.google.com/spreadsheets/d/1boHyJQ"&amp;"4e2FU0QG8MHwEi6qjX4hvZWVCHcFfXjq7bbMc/edit?resourcekey#gid=923248883"",""Prop!$N$1:$X""),11,0),iferror(vlookup(B26,importrange(""https://docs.google.com/spreadsheets/d/1boHyJQ4e2FU0QG8MHwEi6qjX4hvZWVCHcFfXjq7bbMc/edit?resourcekey#gid=923248883"",""Prop!$Y"&amp;"$1:$AI""),11,0),iferror(vlookup(B26,importrange(""https://docs.google.com/spreadsheets/d/1boHyJQ4e2FU0QG8MHwEi6qjX4hvZWVCHcFfXjq7bbMc/edit?resourcekey#gid=923248883"",""Prop!$AJ$1:$AT""),11,0),iferror(vlookup(B26,importrange(""https://docs.google.com/spre"&amp;"adsheets/d/1boHyJQ4e2FU0QG8MHwEi6qjX4hvZWVCHcFfXjq7bbMc/edit?resourcekey#gid=923248883"",""Prop!$AU$1:$BE""),11,0),iferror(vlookup(B26,importrange(""https://docs.google.com/spreadsheets/d/1boHyJQ4e2FU0QG8MHwEi6qjX4hvZWVCHcFfXjq7bbMc/edit?resourcekey#gid=9"&amp;"23248883"",""Prop!$BF$1:$BP""),11,0),iferror(vlookup(B26,importrange(""https://docs.google.com/spreadsheets/d/1boHyJQ4e2FU0QG8MHwEi6qjX4hvZWVCHcFfXjq7bbMc/edit?resourcekey#gid=923248883"",""Prop!$BQ$1:$CA""),11,0),iferror(vlookup(B26,importrange(""https:/"&amp;"/docs.google.com/spreadsheets/d/1boHyJQ4e2FU0QG8MHwEi6qjX4hvZWVCHcFfXjq7bbMc/edit?resourcekey#gid=923248883"",""Prop!$CB$1:$CL""),11,0),iferror(vlookup(B26,importrange(""https://docs.google.com/spreadsheets/d/1boHyJQ4e2FU0QG8MHwEi6qjX4hvZWVCHcFfXjq7bbMc/e"&amp;"dit?resourcekey#gid=923248883"",""Prop!$CM$1:$CX""),12,0),iferror(vlookup(B26,importrange(""https://docs.google.com/spreadsheets/d/1boHyJQ4e2FU0QG8MHwEi6qjX4hvZWVCHcFfXjq7bbMc/edit?resourcekey#gid=923248883"",""Prop!$CV$1:$DI""),11,0)))))))))))"),"https://drive.google.com/open?id=1dYBBTBpmYDv2H7k4YLdmrmGsuVv1rz3p")</f>
        <v>https://drive.google.com/open?id=1dYBBTBpmYDv2H7k4YLdmrmGsuVv1rz3p</v>
      </c>
      <c r="Q26" s="50" t="str">
        <f ca="1">IFERROR(__xludf.DUMMYFUNCTION("iferror(vlookup(B26,importrange(""https://docs.google.com/spreadsheets/d/1p53T2AuvvIqhP7Nf-bo3Uhj8cbKYRPpZdsrBv3x3bAQ/edit?resourcekey#gid=1321652304"",""Prop!$C$1:$M""),11,0),IFERROR(vlookup(B26,importrange(""https://docs.google.com/spreadsheets/d/1p53T2"&amp;"AuvvIqhP7Nf-bo3Uhj8cbKYRPpZdsrBv3x3bAQ/edit?resourcekey#gid=1321652304"",""Prop!$N$1:$X""),11,0),iferror(vlookup(B26,importrange(""https://docs.google.com/spreadsheets/d/1p53T2AuvvIqhP7Nf-bo3Uhj8cbKYRPpZdsrBv3x3bAQ/edit?resourcekey#gid=1321652304"",""Prop"&amp;"!$Y$1:$AI""),11,0),iferror(vlookup(B26,importrange(""https://docs.google.com/spreadsheets/d/1p53T2AuvvIqhP7Nf-bo3Uhj8cbKYRPpZdsrBv3x3bAQ/edit?resourcekey#gid=1321652304"",""Prop!$AJ$1:$AT""),11,0),iferror(vlookup(B26,importrange(""https://docs.google.com/"&amp;"spreadsheets/d/1p53T2AuvvIqhP7Nf-bo3Uhj8cbKYRPpZdsrBv3x3bAQ/edit?resourcekey#gid=1321652304"",""Prop!$AU$1:$BE""),11,0),iferror(vlookup(B26,importrange(""https://docs.google.com/spreadsheets/d/1p53T2AuvvIqhP7Nf-bo3Uhj8cbKYRPpZdsrBv3x3bAQ/edit?resourcekey#"&amp;"gid=1321652304"",""Prop!$BF$1:$BP""),11,0),iferror(vlookup(B26,importrange(""https://docs.google.com/spreadsheets/d/1p53T2AuvvIqhP7Nf-bo3Uhj8cbKYRPpZdsrBv3x3bAQ/edit?resourcekey#gid=1321652304"",""Prop!$BQ$1:$CA""),11,0),iferror(vlookup(B26,importrange("""&amp;"https://docs.google.com/spreadsheets/d/1p53T2AuvvIqhP7Nf-bo3Uhj8cbKYRPpZdsrBv3x3bAQ/edit?resourcekey#gid=1321652304"",""Prop!$CB$1:$CL""),11,0),iferror(vlookup(B26,importrange(""https://docs.google.com/spreadsheets/d/1p53T2AuvvIqhP7Nf-bo3Uhj8cbKYRPpZdsrBv"&amp;"3x3bAQ/edit?resourcekey#gid=1321652304"",""Prop!$CM$1:$CX""),12,0),iferror(vlookup(B26,importrange(""https://docs.google.com/spreadsheets/d/1p53T2AuvvIqhP7Nf-bo3Uhj8cbKYRPpZdsrBv3x3bAQ/edit?resourcekey#gid=1321652304"",""Prop!$CY$1:$DI""),11,0)))))))))))"),"https://drive.google.com/open?id=1OuI7zcfChYh1xfDaLxnuXCm8w4fnh46Y")</f>
        <v>https://drive.google.com/open?id=1OuI7zcfChYh1xfDaLxnuXCm8w4fnh46Y</v>
      </c>
      <c r="R26" s="92" t="s">
        <v>1206</v>
      </c>
      <c r="S26" s="20" t="str">
        <f ca="1">IFERROR(__xludf.DUMMYFUNCTION("IFERROR(vlookup(B26,IMPORTRANGE(""https://docs.google.com/spreadsheets/d/1g_jfYYK_KeipEDNDUgqgrsxK94XiocfNQIcP-v1QVhI/edit?resourcekey#gid=233272945"",""Nilai!B:CT""),46,0),"" "")"),"format masih salah; anggaran tidak wajar dan tidak sesuai format")</f>
        <v>format masih salah; anggaran tidak wajar dan tidak sesuai format</v>
      </c>
      <c r="T26" s="20" t="str">
        <f ca="1">IFERROR(__xludf.DUMMYFUNCTION("IFERROR(vlookup(B26,IMPORTRANGE(""https://docs.google.com/spreadsheets/d/1g_jfYYK_KeipEDNDUgqgrsxK94XiocfNQIcP-v1QVhI/edit?resourcekey#gid=233272945"",""Nilai!B:CT""),97,0),"" "")"),"TIDAK LAYAK UPLOAD KE SIMBELMAWA")</f>
        <v>TIDAK LAYAK UPLOAD KE SIMBELMAWA</v>
      </c>
      <c r="U26" s="45" t="s">
        <v>757</v>
      </c>
      <c r="V26" s="38" t="str">
        <f ca="1">IFERROR(__xludf.DUMMYFUNCTION("IFERROR(
        vlookup(B26,
                IMPORTRANGE(""https://docs.google.com/spreadsheets/d/1dN4XwmJdILpQh5cYONP2LyBh3ksWo6DCzMrUbN3lo_Q/edit#gid=1905254675"",
                        ""Form Responses 1!F2:I""),
                4,
                f"&amp;"alse))"),"23 km")</f>
        <v>23 km</v>
      </c>
      <c r="W26" s="46" t="s">
        <v>1207</v>
      </c>
      <c r="X26" s="23" t="s">
        <v>1221</v>
      </c>
      <c r="Y26" s="19" t="b">
        <v>1</v>
      </c>
    </row>
    <row r="27" spans="1:25">
      <c r="A27" s="15">
        <v>25</v>
      </c>
      <c r="B27" s="15">
        <f ca="1">IFERROR(__xludf.DUMMYFUNCTION("""COMPUTED_VALUE"""),2934)</f>
        <v>2934</v>
      </c>
      <c r="C27" s="49" t="str">
        <f ca="1">IFERROR(__xludf.DUMMYFUNCTION("""COMPUTED_VALUE"""),"Aulia Zahra Rahmah")</f>
        <v>Aulia Zahra Rahmah</v>
      </c>
      <c r="D27" s="49" t="str">
        <f ca="1">IFERROR(__xludf.DUMMYFUNCTION("""COMPUTED_VALUE"""),"2043211089")</f>
        <v>2043211089</v>
      </c>
      <c r="E27" s="49" t="str">
        <f ca="1">IFERROR(__xludf.DUMMYFUNCTION("""COMPUTED_VALUE"""),"Departemen Statistika Bisnis")</f>
        <v>Departemen Statistika Bisnis</v>
      </c>
      <c r="F27" s="49" t="str">
        <f ca="1">IFERROR(__xludf.DUMMYFUNCTION("""COMPUTED_VALUE"""),"SMART SUSTAINABLE ECONOMY SYSTEM  SEBAGAI UPAYA PEMULIHAN EKONOMI SEKTOR WISATA LEMBAH MBENCIRANG DESA KEBONTUNGGUL GONDANG MOJOKERTO")</f>
        <v>SMART SUSTAINABLE ECONOMY SYSTEM  SEBAGAI UPAYA PEMULIHAN EKONOMI SEKTOR WISATA LEMBAH MBENCIRANG DESA KEBONTUNGGUL GONDANG MOJOKERTO</v>
      </c>
      <c r="G27" s="49" t="str">
        <f ca="1">IFERROR(__xludf.DUMMYFUNCTION("""COMPUTED_VALUE"""),"Arwi Yudhi Koswara, S.T., M.T.")</f>
        <v>Arwi Yudhi Koswara, S.T., M.T.</v>
      </c>
      <c r="H27" s="49" t="str">
        <f ca="1">IFERROR(__xludf.DUMMYFUNCTION("""COMPUTED_VALUE"""),"Ir. Nur Husodo, M.S")</f>
        <v>Ir. Nur Husodo, M.S</v>
      </c>
      <c r="I27" s="49" t="str">
        <f ca="1">IFERROR(__xludf.DUMMYFUNCTION("""COMPUTED_VALUE"""),"Muhammad Syifaul Mufid, S.Si.,M.Si")</f>
        <v>Muhammad Syifaul Mufid, S.Si.,M.Si</v>
      </c>
      <c r="J27" s="49"/>
      <c r="K27" s="34" t="s">
        <v>1222</v>
      </c>
      <c r="L27" s="23" t="s">
        <v>1223</v>
      </c>
      <c r="M27" s="19" t="b">
        <v>0</v>
      </c>
      <c r="N27" s="19" t="b">
        <v>0</v>
      </c>
      <c r="O27" s="1" t="s">
        <v>1220</v>
      </c>
      <c r="P27" s="7" t="str">
        <f ca="1">IFERROR(__xludf.DUMMYFUNCTION("iferror(vlookup(B27,importrange(""https://docs.google.com/spreadsheets/d/1boHyJQ4e2FU0QG8MHwEi6qjX4hvZWVCHcFfXjq7bbMc/edit?resourcekey#gid=923248883"",""Prop!$C$1:$M""),12,0),IFERROR(vlookup(B27,importrange(""https://docs.google.com/spreadsheets/d/1boHyJQ"&amp;"4e2FU0QG8MHwEi6qjX4hvZWVCHcFfXjq7bbMc/edit?resourcekey#gid=923248883"",""Prop!$N$1:$X""),11,0),iferror(vlookup(B27,importrange(""https://docs.google.com/spreadsheets/d/1boHyJQ4e2FU0QG8MHwEi6qjX4hvZWVCHcFfXjq7bbMc/edit?resourcekey#gid=923248883"",""Prop!$Y"&amp;"$1:$AI""),11,0),iferror(vlookup(B27,importrange(""https://docs.google.com/spreadsheets/d/1boHyJQ4e2FU0QG8MHwEi6qjX4hvZWVCHcFfXjq7bbMc/edit?resourcekey#gid=923248883"",""Prop!$AJ$1:$AT""),11,0),iferror(vlookup(B27,importrange(""https://docs.google.com/spre"&amp;"adsheets/d/1boHyJQ4e2FU0QG8MHwEi6qjX4hvZWVCHcFfXjq7bbMc/edit?resourcekey#gid=923248883"",""Prop!$AU$1:$BE""),11,0),iferror(vlookup(B27,importrange(""https://docs.google.com/spreadsheets/d/1boHyJQ4e2FU0QG8MHwEi6qjX4hvZWVCHcFfXjq7bbMc/edit?resourcekey#gid=9"&amp;"23248883"",""Prop!$BF$1:$BP""),11,0),iferror(vlookup(B27,importrange(""https://docs.google.com/spreadsheets/d/1boHyJQ4e2FU0QG8MHwEi6qjX4hvZWVCHcFfXjq7bbMc/edit?resourcekey#gid=923248883"",""Prop!$BQ$1:$CA""),11,0),iferror(vlookup(B27,importrange(""https:/"&amp;"/docs.google.com/spreadsheets/d/1boHyJQ4e2FU0QG8MHwEi6qjX4hvZWVCHcFfXjq7bbMc/edit?resourcekey#gid=923248883"",""Prop!$CB$1:$CL""),11,0),iferror(vlookup(B27,importrange(""https://docs.google.com/spreadsheets/d/1boHyJQ4e2FU0QG8MHwEi6qjX4hvZWVCHcFfXjq7bbMc/e"&amp;"dit?resourcekey#gid=923248883"",""Prop!$CM$1:$CX""),12,0),iferror(vlookup(B27,importrange(""https://docs.google.com/spreadsheets/d/1boHyJQ4e2FU0QG8MHwEi6qjX4hvZWVCHcFfXjq7bbMc/edit?resourcekey#gid=923248883"",""Prop!$CV$1:$DI""),11,0)))))))))))"),"https://drive.google.com/open?id=1oRSe2Ng8zfCtJmE2O97bhzpK-s_MZ1zI")</f>
        <v>https://drive.google.com/open?id=1oRSe2Ng8zfCtJmE2O97bhzpK-s_MZ1zI</v>
      </c>
      <c r="Q27" s="50" t="str">
        <f ca="1">IFERROR(__xludf.DUMMYFUNCTION("iferror(vlookup(B27,importrange(""https://docs.google.com/spreadsheets/d/1p53T2AuvvIqhP7Nf-bo3Uhj8cbKYRPpZdsrBv3x3bAQ/edit?resourcekey#gid=1321652304"",""Prop!$C$1:$M""),11,0),IFERROR(vlookup(B27,importrange(""https://docs.google.com/spreadsheets/d/1p53T2"&amp;"AuvvIqhP7Nf-bo3Uhj8cbKYRPpZdsrBv3x3bAQ/edit?resourcekey#gid=1321652304"",""Prop!$N$1:$X""),11,0),iferror(vlookup(B27,importrange(""https://docs.google.com/spreadsheets/d/1p53T2AuvvIqhP7Nf-bo3Uhj8cbKYRPpZdsrBv3x3bAQ/edit?resourcekey#gid=1321652304"",""Prop"&amp;"!$Y$1:$AI""),11,0),iferror(vlookup(B27,importrange(""https://docs.google.com/spreadsheets/d/1p53T2AuvvIqhP7Nf-bo3Uhj8cbKYRPpZdsrBv3x3bAQ/edit?resourcekey#gid=1321652304"",""Prop!$AJ$1:$AT""),11,0),iferror(vlookup(B27,importrange(""https://docs.google.com/"&amp;"spreadsheets/d/1p53T2AuvvIqhP7Nf-bo3Uhj8cbKYRPpZdsrBv3x3bAQ/edit?resourcekey#gid=1321652304"",""Prop!$AU$1:$BE""),11,0),iferror(vlookup(B27,importrange(""https://docs.google.com/spreadsheets/d/1p53T2AuvvIqhP7Nf-bo3Uhj8cbKYRPpZdsrBv3x3bAQ/edit?resourcekey#"&amp;"gid=1321652304"",""Prop!$BF$1:$BP""),11,0),iferror(vlookup(B27,importrange(""https://docs.google.com/spreadsheets/d/1p53T2AuvvIqhP7Nf-bo3Uhj8cbKYRPpZdsrBv3x3bAQ/edit?resourcekey#gid=1321652304"",""Prop!$BQ$1:$CA""),11,0),iferror(vlookup(B27,importrange("""&amp;"https://docs.google.com/spreadsheets/d/1p53T2AuvvIqhP7Nf-bo3Uhj8cbKYRPpZdsrBv3x3bAQ/edit?resourcekey#gid=1321652304"",""Prop!$CB$1:$CL""),11,0),iferror(vlookup(B27,importrange(""https://docs.google.com/spreadsheets/d/1p53T2AuvvIqhP7Nf-bo3Uhj8cbKYRPpZdsrBv"&amp;"3x3bAQ/edit?resourcekey#gid=1321652304"",""Prop!$CM$1:$CX""),12,0),iferror(vlookup(B27,importrange(""https://docs.google.com/spreadsheets/d/1p53T2AuvvIqhP7Nf-bo3Uhj8cbKYRPpZdsrBv3x3bAQ/edit?resourcekey#gid=1321652304"",""Prop!$CY$1:$DI""),11,0)))))))))))"),"https://drive.google.com/open?id=1wEOle1o2ahWhiHDg1DfL823BazDTpR-a")</f>
        <v>https://drive.google.com/open?id=1wEOle1o2ahWhiHDg1DfL823BazDTpR-a</v>
      </c>
      <c r="R27" s="92" t="s">
        <v>1206</v>
      </c>
      <c r="S27" s="20" t="str">
        <f ca="1">IFERROR(__xludf.DUMMYFUNCTION("IFERROR(vlookup(B27,IMPORTRANGE(""https://docs.google.com/spreadsheets/d/1g_jfYYK_KeipEDNDUgqgrsxK94XiocfNQIcP-v1QVhI/edit?resourcekey#gid=233272945"",""Nilai!B:CT""),46,0),"" "")"),"penerapan IPTEKnya tidak kelihatan, hanya sebatas membuat website")</f>
        <v>penerapan IPTEKnya tidak kelihatan, hanya sebatas membuat website</v>
      </c>
      <c r="T27" s="20" t="str">
        <f ca="1">IFERROR(__xludf.DUMMYFUNCTION("IFERROR(vlookup(B27,IMPORTRANGE(""https://docs.google.com/spreadsheets/d/1g_jfYYK_KeipEDNDUgqgrsxK94XiocfNQIcP-v1QVhI/edit?resourcekey#gid=233272945"",""Nilai!B:CT""),97,0),"" "")"),"TIDAK LAYAK UPLOAD KE SIMBELMAWA")</f>
        <v>TIDAK LAYAK UPLOAD KE SIMBELMAWA</v>
      </c>
      <c r="U27" s="45" t="s">
        <v>757</v>
      </c>
      <c r="V27" s="38" t="str">
        <f ca="1">IFERROR(__xludf.DUMMYFUNCTION("IFERROR(
        vlookup(B27,
                IMPORTRANGE(""https://docs.google.com/spreadsheets/d/1dN4XwmJdILpQh5cYONP2LyBh3ksWo6DCzMrUbN3lo_Q/edit#gid=1905254675"",
                        ""Form Responses 1!F2:I""),
                4,
                f"&amp;"alse))"),"77.5")</f>
        <v>77.5</v>
      </c>
      <c r="W27" s="46" t="s">
        <v>1207</v>
      </c>
      <c r="X27" s="23" t="s">
        <v>1221</v>
      </c>
      <c r="Y27" s="19" t="b">
        <v>1</v>
      </c>
    </row>
    <row r="28" spans="1:25">
      <c r="A28" s="15">
        <v>26</v>
      </c>
      <c r="B28" s="15">
        <f ca="1">IFERROR(__xludf.DUMMYFUNCTION("""COMPUTED_VALUE"""),2727)</f>
        <v>2727</v>
      </c>
      <c r="C28" s="49" t="str">
        <f ca="1">IFERROR(__xludf.DUMMYFUNCTION("""COMPUTED_VALUE"""),"ALBERT KURNIAWAN WILLI T")</f>
        <v>ALBERT KURNIAWAN WILLI T</v>
      </c>
      <c r="D28" s="49" t="str">
        <f ca="1">IFERROR(__xludf.DUMMYFUNCTION("""COMPUTED_VALUE"""),"10511910000059")</f>
        <v>10511910000059</v>
      </c>
      <c r="E28" s="49" t="str">
        <f ca="1">IFERROR(__xludf.DUMMYFUNCTION("""COMPUTED_VALUE"""),"Departemen Teknik Instrumentasi")</f>
        <v>Departemen Teknik Instrumentasi</v>
      </c>
      <c r="F28" s="49" t="str">
        <f ca="1">IFERROR(__xludf.DUMMYFUNCTION("""COMPUTED_VALUE"""),"Alat monitoring dan kontrol tingkat Ph dan amonia berbasis IoT sebagai solusi pergantian air tambak secara online dan otomatis")</f>
        <v>Alat monitoring dan kontrol tingkat Ph dan amonia berbasis IoT sebagai solusi pergantian air tambak secara online dan otomatis</v>
      </c>
      <c r="G28" s="49" t="str">
        <f ca="1">IFERROR(__xludf.DUMMYFUNCTION("""COMPUTED_VALUE"""),"Sefi Novendra Patrialova, S.Si., M.T")</f>
        <v>Sefi Novendra Patrialova, S.Si., M.T</v>
      </c>
      <c r="H28" s="49" t="str">
        <f ca="1">IFERROR(__xludf.DUMMYFUNCTION("""COMPUTED_VALUE"""),"Dr. Dhany Arifianto, S.T., M.Eng.")</f>
        <v>Dr. Dhany Arifianto, S.T., M.Eng.</v>
      </c>
      <c r="I28" s="49" t="str">
        <f ca="1">IFERROR(__xludf.DUMMYFUNCTION("""COMPUTED_VALUE"""),"Sunarsih, S.T., M.Eng., Ph.D.")</f>
        <v>Sunarsih, S.T., M.Eng., Ph.D.</v>
      </c>
      <c r="J28" s="49"/>
      <c r="K28" s="34" t="s">
        <v>1222</v>
      </c>
      <c r="L28" s="23" t="s">
        <v>1223</v>
      </c>
      <c r="M28" s="19" t="b">
        <v>0</v>
      </c>
      <c r="N28" s="19" t="b">
        <v>0</v>
      </c>
      <c r="O28" s="1" t="s">
        <v>1224</v>
      </c>
      <c r="P28" s="7" t="str">
        <f ca="1">IFERROR(__xludf.DUMMYFUNCTION("iferror(vlookup(B28,importrange(""https://docs.google.com/spreadsheets/d/1boHyJQ4e2FU0QG8MHwEi6qjX4hvZWVCHcFfXjq7bbMc/edit?resourcekey#gid=923248883"",""Prop!$C$1:$M""),12,0),IFERROR(vlookup(B28,importrange(""https://docs.google.com/spreadsheets/d/1boHyJQ"&amp;"4e2FU0QG8MHwEi6qjX4hvZWVCHcFfXjq7bbMc/edit?resourcekey#gid=923248883"",""Prop!$N$1:$X""),11,0),iferror(vlookup(B28,importrange(""https://docs.google.com/spreadsheets/d/1boHyJQ4e2FU0QG8MHwEi6qjX4hvZWVCHcFfXjq7bbMc/edit?resourcekey#gid=923248883"",""Prop!$Y"&amp;"$1:$AI""),11,0),iferror(vlookup(B28,importrange(""https://docs.google.com/spreadsheets/d/1boHyJQ4e2FU0QG8MHwEi6qjX4hvZWVCHcFfXjq7bbMc/edit?resourcekey#gid=923248883"",""Prop!$AJ$1:$AT""),11,0),iferror(vlookup(B28,importrange(""https://docs.google.com/spre"&amp;"adsheets/d/1boHyJQ4e2FU0QG8MHwEi6qjX4hvZWVCHcFfXjq7bbMc/edit?resourcekey#gid=923248883"",""Prop!$AU$1:$BE""),11,0),iferror(vlookup(B28,importrange(""https://docs.google.com/spreadsheets/d/1boHyJQ4e2FU0QG8MHwEi6qjX4hvZWVCHcFfXjq7bbMc/edit?resourcekey#gid=9"&amp;"23248883"",""Prop!$BF$1:$BP""),11,0),iferror(vlookup(B28,importrange(""https://docs.google.com/spreadsheets/d/1boHyJQ4e2FU0QG8MHwEi6qjX4hvZWVCHcFfXjq7bbMc/edit?resourcekey#gid=923248883"",""Prop!$BQ$1:$CA""),11,0),iferror(vlookup(B28,importrange(""https:/"&amp;"/docs.google.com/spreadsheets/d/1boHyJQ4e2FU0QG8MHwEi6qjX4hvZWVCHcFfXjq7bbMc/edit?resourcekey#gid=923248883"",""Prop!$CB$1:$CL""),11,0),iferror(vlookup(B28,importrange(""https://docs.google.com/spreadsheets/d/1boHyJQ4e2FU0QG8MHwEi6qjX4hvZWVCHcFfXjq7bbMc/e"&amp;"dit?resourcekey#gid=923248883"",""Prop!$CM$1:$CX""),12,0),iferror(vlookup(B28,importrange(""https://docs.google.com/spreadsheets/d/1boHyJQ4e2FU0QG8MHwEi6qjX4hvZWVCHcFfXjq7bbMc/edit?resourcekey#gid=923248883"",""Prop!$CV$1:$DI""),11,0)))))))))))"),"https://drive.google.com/open?id=14eQ3yvof0d5VGN6ECcHHBTtRExAZE_fp")</f>
        <v>https://drive.google.com/open?id=14eQ3yvof0d5VGN6ECcHHBTtRExAZE_fp</v>
      </c>
      <c r="Q28" s="8" t="str">
        <f ca="1">IFERROR(__xludf.DUMMYFUNCTION("iferror(vlookup(B28,importrange(""https://docs.google.com/spreadsheets/d/1p53T2AuvvIqhP7Nf-bo3Uhj8cbKYRPpZdsrBv3x3bAQ/edit?resourcekey#gid=1321652304"",""Prop!$C$1:$M""),11,0),IFERROR(vlookup(B28,importrange(""https://docs.google.com/spreadsheets/d/1p53T2"&amp;"AuvvIqhP7Nf-bo3Uhj8cbKYRPpZdsrBv3x3bAQ/edit?resourcekey#gid=1321652304"",""Prop!$N$1:$X""),11,0),iferror(vlookup(B28,importrange(""https://docs.google.com/spreadsheets/d/1p53T2AuvvIqhP7Nf-bo3Uhj8cbKYRPpZdsrBv3x3bAQ/edit?resourcekey#gid=1321652304"",""Prop"&amp;"!$Y$1:$AI""),11,0),iferror(vlookup(B28,importrange(""https://docs.google.com/spreadsheets/d/1p53T2AuvvIqhP7Nf-bo3Uhj8cbKYRPpZdsrBv3x3bAQ/edit?resourcekey#gid=1321652304"",""Prop!$AJ$1:$AT""),11,0),iferror(vlookup(B28,importrange(""https://docs.google.com/"&amp;"spreadsheets/d/1p53T2AuvvIqhP7Nf-bo3Uhj8cbKYRPpZdsrBv3x3bAQ/edit?resourcekey#gid=1321652304"",""Prop!$AU$1:$BE""),11,0),iferror(vlookup(B28,importrange(""https://docs.google.com/spreadsheets/d/1p53T2AuvvIqhP7Nf-bo3Uhj8cbKYRPpZdsrBv3x3bAQ/edit?resourcekey#"&amp;"gid=1321652304"",""Prop!$BF$1:$BP""),11,0),iferror(vlookup(B28,importrange(""https://docs.google.com/spreadsheets/d/1p53T2AuvvIqhP7Nf-bo3Uhj8cbKYRPpZdsrBv3x3bAQ/edit?resourcekey#gid=1321652304"",""Prop!$BQ$1:$CA""),11,0),iferror(vlookup(B28,importrange("""&amp;"https://docs.google.com/spreadsheets/d/1p53T2AuvvIqhP7Nf-bo3Uhj8cbKYRPpZdsrBv3x3bAQ/edit?resourcekey#gid=1321652304"",""Prop!$CB$1:$CL""),11,0),iferror(vlookup(B28,importrange(""https://docs.google.com/spreadsheets/d/1p53T2AuvvIqhP7Nf-bo3Uhj8cbKYRPpZdsrBv"&amp;"3x3bAQ/edit?resourcekey#gid=1321652304"",""Prop!$CM$1:$CX""),12,0),iferror(vlookup(B28,importrange(""https://docs.google.com/spreadsheets/d/1p53T2AuvvIqhP7Nf-bo3Uhj8cbKYRPpZdsrBv3x3bAQ/edit?resourcekey#gid=1321652304"",""Prop!$CY$1:$DI""),11,0)))))))))))"),"")</f>
        <v/>
      </c>
      <c r="R28" s="92" t="s">
        <v>1206</v>
      </c>
      <c r="S28" s="20" t="str">
        <f ca="1">IFERROR(__xludf.DUMMYFUNCTION("IFERROR(vlookup(B28,IMPORTRANGE(""https://docs.google.com/spreadsheets/d/1g_jfYYK_KeipEDNDUgqgrsxK94XiocfNQIcP-v1QVhI/edit?resourcekey#gid=233272945"",""Nilai!B:CT""),46,0),"" "")"),"proposal tidak sesuai format baru; tidak ada daftar pustaka")</f>
        <v>proposal tidak sesuai format baru; tidak ada daftar pustaka</v>
      </c>
      <c r="T28" s="20" t="str">
        <f ca="1">IFERROR(__xludf.DUMMYFUNCTION("IFERROR(vlookup(B28,IMPORTRANGE(""https://docs.google.com/spreadsheets/d/1g_jfYYK_KeipEDNDUgqgrsxK94XiocfNQIcP-v1QVhI/edit?resourcekey#gid=233272945"",""Nilai!B:CT""),97,0),"" "")"),"TIDAK LAYAK UPLOAD KE SIMBELMAWA")</f>
        <v>TIDAK LAYAK UPLOAD KE SIMBELMAWA</v>
      </c>
      <c r="U28" s="45" t="s">
        <v>757</v>
      </c>
      <c r="V28" s="38">
        <f ca="1">IFERROR(__xludf.DUMMYFUNCTION("IFERROR(
        vlookup(B28,
                IMPORTRANGE(""https://docs.google.com/spreadsheets/d/1dN4XwmJdILpQh5cYONP2LyBh3ksWo6DCzMrUbN3lo_Q/edit#gid=1905254675"",
                        ""Form Responses 1!F2:I""),
                4,
                f"&amp;"alse))"),11)</f>
        <v>11</v>
      </c>
      <c r="W28" s="46" t="s">
        <v>1207</v>
      </c>
      <c r="X28" s="23" t="s">
        <v>1221</v>
      </c>
      <c r="Y28" s="19" t="b">
        <v>0</v>
      </c>
    </row>
    <row r="29" spans="1:25">
      <c r="A29" s="15">
        <v>27</v>
      </c>
      <c r="B29" s="15">
        <f ca="1">IFERROR(__xludf.DUMMYFUNCTION("""COMPUTED_VALUE"""),2139)</f>
        <v>2139</v>
      </c>
      <c r="C29" s="49" t="str">
        <f ca="1">IFERROR(__xludf.DUMMYFUNCTION("""COMPUTED_VALUE"""),"DANENDRA CLEVERO ANANDA")</f>
        <v>DANENDRA CLEVERO ANANDA</v>
      </c>
      <c r="D29" s="49" t="str">
        <f ca="1">IFERROR(__xludf.DUMMYFUNCTION("""COMPUTED_VALUE"""),"5022201123")</f>
        <v>5022201123</v>
      </c>
      <c r="E29" s="49" t="str">
        <f ca="1">IFERROR(__xludf.DUMMYFUNCTION("""COMPUTED_VALUE"""),"Departemen Teknik Elektro")</f>
        <v>Departemen Teknik Elektro</v>
      </c>
      <c r="F29" s="49" t="str">
        <f ca="1">IFERROR(__xludf.DUMMYFUNCTION("""COMPUTED_VALUE"""),"Implementasi Robot Cerdas Berbasis Machine Learning untuk Meningkatkan Performa Kiper Futsal di SSB Gators Sentra Surabaya")</f>
        <v>Implementasi Robot Cerdas Berbasis Machine Learning untuk Meningkatkan Performa Kiper Futsal di SSB Gators Sentra Surabaya</v>
      </c>
      <c r="G29" s="49" t="str">
        <f ca="1">IFERROR(__xludf.DUMMYFUNCTION("""COMPUTED_VALUE"""),"Rudy Dikairono, ST., M.T.")</f>
        <v>Rudy Dikairono, ST., M.T.</v>
      </c>
      <c r="H29" s="49" t="str">
        <f ca="1">IFERROR(__xludf.DUMMYFUNCTION("""COMPUTED_VALUE"""),"Ir. Nur Husodo, M.S")</f>
        <v>Ir. Nur Husodo, M.S</v>
      </c>
      <c r="I29" s="49" t="str">
        <f ca="1">IFERROR(__xludf.DUMMYFUNCTION("""COMPUTED_VALUE"""),"Muhammad Syifaul Mufid, S.Si.,M.Si")</f>
        <v>Muhammad Syifaul Mufid, S.Si.,M.Si</v>
      </c>
      <c r="J29" s="49"/>
      <c r="K29" s="34" t="s">
        <v>1222</v>
      </c>
      <c r="L29" s="23" t="s">
        <v>1223</v>
      </c>
      <c r="M29" s="19" t="b">
        <v>1</v>
      </c>
      <c r="N29" s="19" t="b">
        <v>0</v>
      </c>
      <c r="O29" s="1" t="s">
        <v>1224</v>
      </c>
      <c r="P29" s="7" t="str">
        <f ca="1">IFERROR(__xludf.DUMMYFUNCTION("iferror(vlookup(B29,importrange(""https://docs.google.com/spreadsheets/d/1boHyJQ4e2FU0QG8MHwEi6qjX4hvZWVCHcFfXjq7bbMc/edit?resourcekey#gid=923248883"",""Prop!$C$1:$M""),12,0),IFERROR(vlookup(B29,importrange(""https://docs.google.com/spreadsheets/d/1boHyJQ"&amp;"4e2FU0QG8MHwEi6qjX4hvZWVCHcFfXjq7bbMc/edit?resourcekey#gid=923248883"",""Prop!$N$1:$X""),11,0),iferror(vlookup(B29,importrange(""https://docs.google.com/spreadsheets/d/1boHyJQ4e2FU0QG8MHwEi6qjX4hvZWVCHcFfXjq7bbMc/edit?resourcekey#gid=923248883"",""Prop!$Y"&amp;"$1:$AI""),11,0),iferror(vlookup(B29,importrange(""https://docs.google.com/spreadsheets/d/1boHyJQ4e2FU0QG8MHwEi6qjX4hvZWVCHcFfXjq7bbMc/edit?resourcekey#gid=923248883"",""Prop!$AJ$1:$AT""),11,0),iferror(vlookup(B29,importrange(""https://docs.google.com/spre"&amp;"adsheets/d/1boHyJQ4e2FU0QG8MHwEi6qjX4hvZWVCHcFfXjq7bbMc/edit?resourcekey#gid=923248883"",""Prop!$AU$1:$BE""),11,0),iferror(vlookup(B29,importrange(""https://docs.google.com/spreadsheets/d/1boHyJQ4e2FU0QG8MHwEi6qjX4hvZWVCHcFfXjq7bbMc/edit?resourcekey#gid=9"&amp;"23248883"",""Prop!$BF$1:$BP""),11,0),iferror(vlookup(B29,importrange(""https://docs.google.com/spreadsheets/d/1boHyJQ4e2FU0QG8MHwEi6qjX4hvZWVCHcFfXjq7bbMc/edit?resourcekey#gid=923248883"",""Prop!$BQ$1:$CA""),11,0),iferror(vlookup(B29,importrange(""https:/"&amp;"/docs.google.com/spreadsheets/d/1boHyJQ4e2FU0QG8MHwEi6qjX4hvZWVCHcFfXjq7bbMc/edit?resourcekey#gid=923248883"",""Prop!$CB$1:$CL""),11,0),iferror(vlookup(B29,importrange(""https://docs.google.com/spreadsheets/d/1boHyJQ4e2FU0QG8MHwEi6qjX4hvZWVCHcFfXjq7bbMc/e"&amp;"dit?resourcekey#gid=923248883"",""Prop!$CM$1:$CX""),12,0),iferror(vlookup(B29,importrange(""https://docs.google.com/spreadsheets/d/1boHyJQ4e2FU0QG8MHwEi6qjX4hvZWVCHcFfXjq7bbMc/edit?resourcekey#gid=923248883"",""Prop!$CV$1:$DI""),11,0)))))))))))"),"https://drive.google.com/open?id=14epkqr4350t_z5fHwbMz6hpOqAkfKdre")</f>
        <v>https://drive.google.com/open?id=14epkqr4350t_z5fHwbMz6hpOqAkfKdre</v>
      </c>
      <c r="Q29" s="50" t="str">
        <f ca="1">IFERROR(__xludf.DUMMYFUNCTION("iferror(vlookup(B29,importrange(""https://docs.google.com/spreadsheets/d/1p53T2AuvvIqhP7Nf-bo3Uhj8cbKYRPpZdsrBv3x3bAQ/edit?resourcekey#gid=1321652304"",""Prop!$C$1:$M""),11,0),IFERROR(vlookup(B29,importrange(""https://docs.google.com/spreadsheets/d/1p53T2"&amp;"AuvvIqhP7Nf-bo3Uhj8cbKYRPpZdsrBv3x3bAQ/edit?resourcekey#gid=1321652304"",""Prop!$N$1:$X""),11,0),iferror(vlookup(B29,importrange(""https://docs.google.com/spreadsheets/d/1p53T2AuvvIqhP7Nf-bo3Uhj8cbKYRPpZdsrBv3x3bAQ/edit?resourcekey#gid=1321652304"",""Prop"&amp;"!$Y$1:$AI""),11,0),iferror(vlookup(B29,importrange(""https://docs.google.com/spreadsheets/d/1p53T2AuvvIqhP7Nf-bo3Uhj8cbKYRPpZdsrBv3x3bAQ/edit?resourcekey#gid=1321652304"",""Prop!$AJ$1:$AT""),11,0),iferror(vlookup(B29,importrange(""https://docs.google.com/"&amp;"spreadsheets/d/1p53T2AuvvIqhP7Nf-bo3Uhj8cbKYRPpZdsrBv3x3bAQ/edit?resourcekey#gid=1321652304"",""Prop!$AU$1:$BE""),11,0),iferror(vlookup(B29,importrange(""https://docs.google.com/spreadsheets/d/1p53T2AuvvIqhP7Nf-bo3Uhj8cbKYRPpZdsrBv3x3bAQ/edit?resourcekey#"&amp;"gid=1321652304"",""Prop!$BF$1:$BP""),11,0),iferror(vlookup(B29,importrange(""https://docs.google.com/spreadsheets/d/1p53T2AuvvIqhP7Nf-bo3Uhj8cbKYRPpZdsrBv3x3bAQ/edit?resourcekey#gid=1321652304"",""Prop!$BQ$1:$CA""),11,0),iferror(vlookup(B29,importrange("""&amp;"https://docs.google.com/spreadsheets/d/1p53T2AuvvIqhP7Nf-bo3Uhj8cbKYRPpZdsrBv3x3bAQ/edit?resourcekey#gid=1321652304"",""Prop!$CB$1:$CL""),11,0),iferror(vlookup(B29,importrange(""https://docs.google.com/spreadsheets/d/1p53T2AuvvIqhP7Nf-bo3Uhj8cbKYRPpZdsrBv"&amp;"3x3bAQ/edit?resourcekey#gid=1321652304"",""Prop!$CM$1:$CX""),12,0),iferror(vlookup(B29,importrange(""https://docs.google.com/spreadsheets/d/1p53T2AuvvIqhP7Nf-bo3Uhj8cbKYRPpZdsrBv3x3bAQ/edit?resourcekey#gid=1321652304"",""Prop!$CY$1:$DI""),11,0)))))))))))"),"https://drive.google.com/open?id=1kXi1I-M0MetwtoHY4r4Q5_xw0U6Mk-dY")</f>
        <v>https://drive.google.com/open?id=1kXi1I-M0MetwtoHY4r4Q5_xw0U6Mk-dY</v>
      </c>
      <c r="R29" s="92" t="s">
        <v>1206</v>
      </c>
      <c r="S29" s="20" t="str">
        <f ca="1">IFERROR(__xludf.DUMMYFUNCTION("IFERROR(vlookup(B29,IMPORTRANGE(""https://docs.google.com/spreadsheets/d/1g_jfYYK_KeipEDNDUgqgrsxK94XiocfNQIcP-v1QVhI/edit?resourcekey#gid=233272945"",""Nilai!B:CT""),46,0),"" "")"),"Problem tidak berasal dari mitra; sebaiknya pindah ke KC jika memungkinkan")</f>
        <v>Problem tidak berasal dari mitra; sebaiknya pindah ke KC jika memungkinkan</v>
      </c>
      <c r="T29" s="20" t="str">
        <f ca="1">IFERROR(__xludf.DUMMYFUNCTION("IFERROR(vlookup(B29,IMPORTRANGE(""https://docs.google.com/spreadsheets/d/1g_jfYYK_KeipEDNDUgqgrsxK94XiocfNQIcP-v1QVhI/edit?resourcekey#gid=233272945"",""Nilai!B:CT""),97,0),"" "")"),"LAYAK UPLOAD KE SIMBELMAWA DENGAN REVISI")</f>
        <v>LAYAK UPLOAD KE SIMBELMAWA DENGAN REVISI</v>
      </c>
      <c r="U29" s="45" t="s">
        <v>757</v>
      </c>
      <c r="V29" s="38" t="str">
        <f ca="1">IFERROR(__xludf.DUMMYFUNCTION("IFERROR(
        vlookup(B29,
                IMPORTRANGE(""https://docs.google.com/spreadsheets/d/1dN4XwmJdILpQh5cYONP2LyBh3ksWo6DCzMrUbN3lo_Q/edit#gid=1905254675"",
                        ""Form Responses 1!F2:I""),
                4,
                f"&amp;"alse))"),"21 KM")</f>
        <v>21 KM</v>
      </c>
      <c r="W29" s="46" t="s">
        <v>1207</v>
      </c>
      <c r="X29" s="23" t="s">
        <v>1225</v>
      </c>
      <c r="Y29" s="19" t="b">
        <v>1</v>
      </c>
    </row>
    <row r="30" spans="1:25">
      <c r="A30" s="15">
        <v>28</v>
      </c>
      <c r="B30" s="15">
        <f ca="1">IFERROR(__xludf.DUMMYFUNCTION("""COMPUTED_VALUE"""),3915)</f>
        <v>3915</v>
      </c>
      <c r="C30" s="49" t="str">
        <f ca="1">IFERROR(__xludf.DUMMYFUNCTION("""COMPUTED_VALUE"""),"MUHAJIRIN NASUTION")</f>
        <v>MUHAJIRIN NASUTION</v>
      </c>
      <c r="D30" s="49" t="str">
        <f ca="1">IFERROR(__xludf.DUMMYFUNCTION("""COMPUTED_VALUE"""),"2040201022")</f>
        <v>2040201022</v>
      </c>
      <c r="E30" s="49" t="str">
        <f ca="1">IFERROR(__xludf.DUMMYFUNCTION("""COMPUTED_VALUE"""),"Departemen Teknik Elektro Otomasi")</f>
        <v>Departemen Teknik Elektro Otomasi</v>
      </c>
      <c r="F30" s="49" t="str">
        <f ca="1">IFERROR(__xludf.DUMMYFUNCTION("""COMPUTED_VALUE"""),"SISTEM MONITORING IRIGASI SAWAH BERBASIS GSM (SMS GATEAWAY) UNTUK MENINGKATKAN EFISIENSI PETANI UD. SUBUR JAYA DI KABUPATEN BLITAR")</f>
        <v>SISTEM MONITORING IRIGASI SAWAH BERBASIS GSM (SMS GATEAWAY) UNTUK MENINGKATKAN EFISIENSI PETANI UD. SUBUR JAYA DI KABUPATEN BLITAR</v>
      </c>
      <c r="G30" s="49" t="str">
        <f ca="1">IFERROR(__xludf.DUMMYFUNCTION("""COMPUTED_VALUE"""),"Ciptian Weried Priananda, S.ST., M.T.")</f>
        <v>Ciptian Weried Priananda, S.ST., M.T.</v>
      </c>
      <c r="H30" s="49" t="str">
        <f ca="1">IFERROR(__xludf.DUMMYFUNCTION("""COMPUTED_VALUE"""),"Arief Abdurrakhman, S.T., M.T.")</f>
        <v>Arief Abdurrakhman, S.T., M.T.</v>
      </c>
      <c r="I30" s="49" t="str">
        <f ca="1">IFERROR(__xludf.DUMMYFUNCTION("""COMPUTED_VALUE"""),"Sunarsih, S.T., M.Eng., Ph.D.")</f>
        <v>Sunarsih, S.T., M.Eng., Ph.D.</v>
      </c>
      <c r="J30" s="49"/>
      <c r="K30" s="34" t="s">
        <v>1222</v>
      </c>
      <c r="L30" s="23" t="s">
        <v>1223</v>
      </c>
      <c r="M30" s="19" t="b">
        <v>0</v>
      </c>
      <c r="N30" s="19" t="b">
        <v>0</v>
      </c>
      <c r="O30" s="1" t="s">
        <v>1224</v>
      </c>
      <c r="P30" s="7" t="str">
        <f ca="1">IFERROR(__xludf.DUMMYFUNCTION("iferror(vlookup(B30,importrange(""https://docs.google.com/spreadsheets/d/1boHyJQ4e2FU0QG8MHwEi6qjX4hvZWVCHcFfXjq7bbMc/edit?resourcekey#gid=923248883"",""Prop!$C$1:$M""),12,0),IFERROR(vlookup(B30,importrange(""https://docs.google.com/spreadsheets/d/1boHyJQ"&amp;"4e2FU0QG8MHwEi6qjX4hvZWVCHcFfXjq7bbMc/edit?resourcekey#gid=923248883"",""Prop!$N$1:$X""),11,0),iferror(vlookup(B30,importrange(""https://docs.google.com/spreadsheets/d/1boHyJQ4e2FU0QG8MHwEi6qjX4hvZWVCHcFfXjq7bbMc/edit?resourcekey#gid=923248883"",""Prop!$Y"&amp;"$1:$AI""),11,0),iferror(vlookup(B30,importrange(""https://docs.google.com/spreadsheets/d/1boHyJQ4e2FU0QG8MHwEi6qjX4hvZWVCHcFfXjq7bbMc/edit?resourcekey#gid=923248883"",""Prop!$AJ$1:$AT""),11,0),iferror(vlookup(B30,importrange(""https://docs.google.com/spre"&amp;"adsheets/d/1boHyJQ4e2FU0QG8MHwEi6qjX4hvZWVCHcFfXjq7bbMc/edit?resourcekey#gid=923248883"",""Prop!$AU$1:$BE""),11,0),iferror(vlookup(B30,importrange(""https://docs.google.com/spreadsheets/d/1boHyJQ4e2FU0QG8MHwEi6qjX4hvZWVCHcFfXjq7bbMc/edit?resourcekey#gid=9"&amp;"23248883"",""Prop!$BF$1:$BP""),11,0),iferror(vlookup(B30,importrange(""https://docs.google.com/spreadsheets/d/1boHyJQ4e2FU0QG8MHwEi6qjX4hvZWVCHcFfXjq7bbMc/edit?resourcekey#gid=923248883"",""Prop!$BQ$1:$CA""),11,0),iferror(vlookup(B30,importrange(""https:/"&amp;"/docs.google.com/spreadsheets/d/1boHyJQ4e2FU0QG8MHwEi6qjX4hvZWVCHcFfXjq7bbMc/edit?resourcekey#gid=923248883"",""Prop!$CB$1:$CL""),11,0),iferror(vlookup(B30,importrange(""https://docs.google.com/spreadsheets/d/1boHyJQ4e2FU0QG8MHwEi6qjX4hvZWVCHcFfXjq7bbMc/e"&amp;"dit?resourcekey#gid=923248883"",""Prop!$CM$1:$CX""),12,0),iferror(vlookup(B30,importrange(""https://docs.google.com/spreadsheets/d/1boHyJQ4e2FU0QG8MHwEi6qjX4hvZWVCHcFfXjq7bbMc/edit?resourcekey#gid=923248883"",""Prop!$CV$1:$DI""),11,0)))))))))))"),"https://drive.google.com/open?id=1Aai39jSn6W4gbxq-aVL3Kp8E-WolnYr3")</f>
        <v>https://drive.google.com/open?id=1Aai39jSn6W4gbxq-aVL3Kp8E-WolnYr3</v>
      </c>
      <c r="Q30" s="50" t="str">
        <f ca="1">IFERROR(__xludf.DUMMYFUNCTION("iferror(vlookup(B30,importrange(""https://docs.google.com/spreadsheets/d/1p53T2AuvvIqhP7Nf-bo3Uhj8cbKYRPpZdsrBv3x3bAQ/edit?resourcekey#gid=1321652304"",""Prop!$C$1:$M""),11,0),IFERROR(vlookup(B30,importrange(""https://docs.google.com/spreadsheets/d/1p53T2"&amp;"AuvvIqhP7Nf-bo3Uhj8cbKYRPpZdsrBv3x3bAQ/edit?resourcekey#gid=1321652304"",""Prop!$N$1:$X""),11,0),iferror(vlookup(B30,importrange(""https://docs.google.com/spreadsheets/d/1p53T2AuvvIqhP7Nf-bo3Uhj8cbKYRPpZdsrBv3x3bAQ/edit?resourcekey#gid=1321652304"",""Prop"&amp;"!$Y$1:$AI""),11,0),iferror(vlookup(B30,importrange(""https://docs.google.com/spreadsheets/d/1p53T2AuvvIqhP7Nf-bo3Uhj8cbKYRPpZdsrBv3x3bAQ/edit?resourcekey#gid=1321652304"",""Prop!$AJ$1:$AT""),11,0),iferror(vlookup(B30,importrange(""https://docs.google.com/"&amp;"spreadsheets/d/1p53T2AuvvIqhP7Nf-bo3Uhj8cbKYRPpZdsrBv3x3bAQ/edit?resourcekey#gid=1321652304"",""Prop!$AU$1:$BE""),11,0),iferror(vlookup(B30,importrange(""https://docs.google.com/spreadsheets/d/1p53T2AuvvIqhP7Nf-bo3Uhj8cbKYRPpZdsrBv3x3bAQ/edit?resourcekey#"&amp;"gid=1321652304"",""Prop!$BF$1:$BP""),11,0),iferror(vlookup(B30,importrange(""https://docs.google.com/spreadsheets/d/1p53T2AuvvIqhP7Nf-bo3Uhj8cbKYRPpZdsrBv3x3bAQ/edit?resourcekey#gid=1321652304"",""Prop!$BQ$1:$CA""),11,0),iferror(vlookup(B30,importrange("""&amp;"https://docs.google.com/spreadsheets/d/1p53T2AuvvIqhP7Nf-bo3Uhj8cbKYRPpZdsrBv3x3bAQ/edit?resourcekey#gid=1321652304"",""Prop!$CB$1:$CL""),11,0),iferror(vlookup(B30,importrange(""https://docs.google.com/spreadsheets/d/1p53T2AuvvIqhP7Nf-bo3Uhj8cbKYRPpZdsrBv"&amp;"3x3bAQ/edit?resourcekey#gid=1321652304"",""Prop!$CM$1:$CX""),12,0),iferror(vlookup(B30,importrange(""https://docs.google.com/spreadsheets/d/1p53T2AuvvIqhP7Nf-bo3Uhj8cbKYRPpZdsrBv3x3bAQ/edit?resourcekey#gid=1321652304"",""Prop!$CY$1:$DI""),11,0)))))))))))"),"")</f>
        <v/>
      </c>
      <c r="R30" s="92" t="s">
        <v>1206</v>
      </c>
      <c r="S30" s="20" t="str">
        <f ca="1">IFERROR(__xludf.DUMMYFUNCTION("IFERROR(vlookup(B30,IMPORTRANGE(""https://docs.google.com/spreadsheets/d/1g_jfYYK_KeipEDNDUgqgrsxK94XiocfNQIcP-v1QVhI/edit?resourcekey#gid=233272945"",""Nilai!B:CT""),46,0),"" "")"),"latar belakang terlalu singkat; caption tabel seharusnya diatas; lampiran yang ada ttd harus diganti dg tanggal yang baru")</f>
        <v>latar belakang terlalu singkat; caption tabel seharusnya diatas; lampiran yang ada ttd harus diganti dg tanggal yang baru</v>
      </c>
      <c r="T30" s="20" t="str">
        <f ca="1">IFERROR(__xludf.DUMMYFUNCTION("IFERROR(vlookup(B30,IMPORTRANGE(""https://docs.google.com/spreadsheets/d/1g_jfYYK_KeipEDNDUgqgrsxK94XiocfNQIcP-v1QVhI/edit?resourcekey#gid=233272945"",""Nilai!B:CT""),97,0),"" "")"),"LAYAK UPLOAD KE SIMBELMAWA DENGAN REVISI")</f>
        <v>LAYAK UPLOAD KE SIMBELMAWA DENGAN REVISI</v>
      </c>
      <c r="U30" s="45" t="s">
        <v>757</v>
      </c>
      <c r="V30" s="51" t="str">
        <f ca="1">IFERROR(__xludf.DUMMYFUNCTION("IFERROR(
        vlookup(B30,
                IMPORTRANGE(""https://docs.google.com/spreadsheets/d/1dN4XwmJdILpQh5cYONP2LyBh3ksWo6DCzMrUbN3lo_Q/edit#gid=1905254675"",
                        ""Form Responses 1!F2:I""),
                4,
                f"&amp;"alse))"),"152 Km")</f>
        <v>152 Km</v>
      </c>
      <c r="W30" s="46" t="s">
        <v>1207</v>
      </c>
      <c r="X30" s="23" t="s">
        <v>1225</v>
      </c>
      <c r="Y30" s="19" t="b">
        <v>0</v>
      </c>
    </row>
    <row r="31" spans="1:25">
      <c r="A31" s="15">
        <v>29</v>
      </c>
      <c r="B31" s="15">
        <f ca="1">IFERROR(__xludf.DUMMYFUNCTION("""COMPUTED_VALUE"""),2268)</f>
        <v>2268</v>
      </c>
      <c r="C31" s="49" t="str">
        <f ca="1">IFERROR(__xludf.DUMMYFUNCTION("""COMPUTED_VALUE"""),"SANIA SYACH MAHARANI")</f>
        <v>SANIA SYACH MAHARANI</v>
      </c>
      <c r="D31" s="49" t="str">
        <f ca="1">IFERROR(__xludf.DUMMYFUNCTION("""COMPUTED_VALUE"""),"2041201030")</f>
        <v>2041201030</v>
      </c>
      <c r="E31" s="49" t="str">
        <f ca="1">IFERROR(__xludf.DUMMYFUNCTION("""COMPUTED_VALUE"""),"Departemen Teknik Kimia Industri")</f>
        <v>Departemen Teknik Kimia Industri</v>
      </c>
      <c r="F31" s="49" t="str">
        <f ca="1">IFERROR(__xludf.DUMMYFUNCTION("""COMPUTED_VALUE"""),"Optimalisasi Alat Mixer Pada Pembuatan Kerupuk Kerang di UMKM Cibuyam Surboyo")</f>
        <v>Optimalisasi Alat Mixer Pada Pembuatan Kerupuk Kerang di UMKM Cibuyam Surboyo</v>
      </c>
      <c r="G31" s="49" t="str">
        <f ca="1">IFERROR(__xludf.DUMMYFUNCTION("""COMPUTED_VALUE"""),"Dr. Lailatul Qomariyah, S.T.")</f>
        <v>Dr. Lailatul Qomariyah, S.T.</v>
      </c>
      <c r="H31" s="49" t="str">
        <f ca="1">IFERROR(__xludf.DUMMYFUNCTION("""COMPUTED_VALUE"""),"Ir. Nur Husodo, M.S")</f>
        <v>Ir. Nur Husodo, M.S</v>
      </c>
      <c r="I31" s="49" t="str">
        <f ca="1">IFERROR(__xludf.DUMMYFUNCTION("""COMPUTED_VALUE"""),"Muhammad Syifaul Mufid, S.Si.,M.Si")</f>
        <v>Muhammad Syifaul Mufid, S.Si.,M.Si</v>
      </c>
      <c r="J31" s="49"/>
      <c r="K31" s="34" t="s">
        <v>1222</v>
      </c>
      <c r="L31" s="23" t="s">
        <v>1223</v>
      </c>
      <c r="M31" s="19" t="b">
        <v>1</v>
      </c>
      <c r="N31" s="19" t="b">
        <v>0</v>
      </c>
      <c r="O31" s="1" t="s">
        <v>1224</v>
      </c>
      <c r="P31" s="7" t="str">
        <f ca="1">IFERROR(__xludf.DUMMYFUNCTION("iferror(vlookup(B31,importrange(""https://docs.google.com/spreadsheets/d/1boHyJQ4e2FU0QG8MHwEi6qjX4hvZWVCHcFfXjq7bbMc/edit?resourcekey#gid=923248883"",""Prop!$C$1:$M""),12,0),IFERROR(vlookup(B31,importrange(""https://docs.google.com/spreadsheets/d/1boHyJQ"&amp;"4e2FU0QG8MHwEi6qjX4hvZWVCHcFfXjq7bbMc/edit?resourcekey#gid=923248883"",""Prop!$N$1:$X""),11,0),iferror(vlookup(B31,importrange(""https://docs.google.com/spreadsheets/d/1boHyJQ4e2FU0QG8MHwEi6qjX4hvZWVCHcFfXjq7bbMc/edit?resourcekey#gid=923248883"",""Prop!$Y"&amp;"$1:$AI""),11,0),iferror(vlookup(B31,importrange(""https://docs.google.com/spreadsheets/d/1boHyJQ4e2FU0QG8MHwEi6qjX4hvZWVCHcFfXjq7bbMc/edit?resourcekey#gid=923248883"",""Prop!$AJ$1:$AT""),11,0),iferror(vlookup(B31,importrange(""https://docs.google.com/spre"&amp;"adsheets/d/1boHyJQ4e2FU0QG8MHwEi6qjX4hvZWVCHcFfXjq7bbMc/edit?resourcekey#gid=923248883"",""Prop!$AU$1:$BE""),11,0),iferror(vlookup(B31,importrange(""https://docs.google.com/spreadsheets/d/1boHyJQ4e2FU0QG8MHwEi6qjX4hvZWVCHcFfXjq7bbMc/edit?resourcekey#gid=9"&amp;"23248883"",""Prop!$BF$1:$BP""),11,0),iferror(vlookup(B31,importrange(""https://docs.google.com/spreadsheets/d/1boHyJQ4e2FU0QG8MHwEi6qjX4hvZWVCHcFfXjq7bbMc/edit?resourcekey#gid=923248883"",""Prop!$BQ$1:$CA""),11,0),iferror(vlookup(B31,importrange(""https:/"&amp;"/docs.google.com/spreadsheets/d/1boHyJQ4e2FU0QG8MHwEi6qjX4hvZWVCHcFfXjq7bbMc/edit?resourcekey#gid=923248883"",""Prop!$CB$1:$CL""),11,0),iferror(vlookup(B31,importrange(""https://docs.google.com/spreadsheets/d/1boHyJQ4e2FU0QG8MHwEi6qjX4hvZWVCHcFfXjq7bbMc/e"&amp;"dit?resourcekey#gid=923248883"",""Prop!$CM$1:$CX""),12,0),iferror(vlookup(B31,importrange(""https://docs.google.com/spreadsheets/d/1boHyJQ4e2FU0QG8MHwEi6qjX4hvZWVCHcFfXjq7bbMc/edit?resourcekey#gid=923248883"",""Prop!$CV$1:$DI""),11,0)))))))))))"),"https://drive.google.com/open?id=1DKeIX8QyN2wJvKQqgusg3mZ4UhdXInna")</f>
        <v>https://drive.google.com/open?id=1DKeIX8QyN2wJvKQqgusg3mZ4UhdXInna</v>
      </c>
      <c r="Q31" s="50" t="str">
        <f ca="1">IFERROR(__xludf.DUMMYFUNCTION("iferror(vlookup(B31,importrange(""https://docs.google.com/spreadsheets/d/1p53T2AuvvIqhP7Nf-bo3Uhj8cbKYRPpZdsrBv3x3bAQ/edit?resourcekey#gid=1321652304"",""Prop!$C$1:$M""),11,0),IFERROR(vlookup(B31,importrange(""https://docs.google.com/spreadsheets/d/1p53T2"&amp;"AuvvIqhP7Nf-bo3Uhj8cbKYRPpZdsrBv3x3bAQ/edit?resourcekey#gid=1321652304"",""Prop!$N$1:$X""),11,0),iferror(vlookup(B31,importrange(""https://docs.google.com/spreadsheets/d/1p53T2AuvvIqhP7Nf-bo3Uhj8cbKYRPpZdsrBv3x3bAQ/edit?resourcekey#gid=1321652304"",""Prop"&amp;"!$Y$1:$AI""),11,0),iferror(vlookup(B31,importrange(""https://docs.google.com/spreadsheets/d/1p53T2AuvvIqhP7Nf-bo3Uhj8cbKYRPpZdsrBv3x3bAQ/edit?resourcekey#gid=1321652304"",""Prop!$AJ$1:$AT""),11,0),iferror(vlookup(B31,importrange(""https://docs.google.com/"&amp;"spreadsheets/d/1p53T2AuvvIqhP7Nf-bo3Uhj8cbKYRPpZdsrBv3x3bAQ/edit?resourcekey#gid=1321652304"",""Prop!$AU$1:$BE""),11,0),iferror(vlookup(B31,importrange(""https://docs.google.com/spreadsheets/d/1p53T2AuvvIqhP7Nf-bo3Uhj8cbKYRPpZdsrBv3x3bAQ/edit?resourcekey#"&amp;"gid=1321652304"",""Prop!$BF$1:$BP""),11,0),iferror(vlookup(B31,importrange(""https://docs.google.com/spreadsheets/d/1p53T2AuvvIqhP7Nf-bo3Uhj8cbKYRPpZdsrBv3x3bAQ/edit?resourcekey#gid=1321652304"",""Prop!$BQ$1:$CA""),11,0),iferror(vlookup(B31,importrange("""&amp;"https://docs.google.com/spreadsheets/d/1p53T2AuvvIqhP7Nf-bo3Uhj8cbKYRPpZdsrBv3x3bAQ/edit?resourcekey#gid=1321652304"",""Prop!$CB$1:$CL""),11,0),iferror(vlookup(B31,importrange(""https://docs.google.com/spreadsheets/d/1p53T2AuvvIqhP7Nf-bo3Uhj8cbKYRPpZdsrBv"&amp;"3x3bAQ/edit?resourcekey#gid=1321652304"",""Prop!$CM$1:$CX""),12,0),iferror(vlookup(B31,importrange(""https://docs.google.com/spreadsheets/d/1p53T2AuvvIqhP7Nf-bo3Uhj8cbKYRPpZdsrBv3x3bAQ/edit?resourcekey#gid=1321652304"",""Prop!$CY$1:$DI""),11,0)))))))))))"),"https://drive.google.com/open?id=1UzC69MtGqgXCvbVoxmorTdxU0GapBV2X")</f>
        <v>https://drive.google.com/open?id=1UzC69MtGqgXCvbVoxmorTdxU0GapBV2X</v>
      </c>
      <c r="R31" s="92" t="s">
        <v>1206</v>
      </c>
      <c r="S31" s="20" t="str">
        <f ca="1">IFERROR(__xludf.DUMMYFUNCTION("IFERROR(vlookup(B31,IMPORTRANGE(""https://docs.google.com/spreadsheets/d/1g_jfYYK_KeipEDNDUgqgrsxK94XiocfNQIcP-v1QVhI/edit?resourcekey#gid=233272945"",""Nilai!B:CT""),46,0),"" "")"),"Perlu ditambahkan Kondisi Mitra di Tinjauan Pustaka; penulisan angka di Tabel 4.1 perlu diperbaiki")</f>
        <v>Perlu ditambahkan Kondisi Mitra di Tinjauan Pustaka; penulisan angka di Tabel 4.1 perlu diperbaiki</v>
      </c>
      <c r="T31" s="20" t="str">
        <f ca="1">IFERROR(__xludf.DUMMYFUNCTION("IFERROR(vlookup(B31,IMPORTRANGE(""https://docs.google.com/spreadsheets/d/1g_jfYYK_KeipEDNDUgqgrsxK94XiocfNQIcP-v1QVhI/edit?resourcekey#gid=233272945"",""Nilai!B:CT""),97,0),"" "")"),"LAYAK UPLOAD KE SIMBELMAWA DENGAN REVISI")</f>
        <v>LAYAK UPLOAD KE SIMBELMAWA DENGAN REVISI</v>
      </c>
      <c r="U31" s="45" t="s">
        <v>757</v>
      </c>
      <c r="V31" s="38" t="str">
        <f ca="1">IFERROR(__xludf.DUMMYFUNCTION("IFERROR(
        vlookup(B31,
                IMPORTRANGE(""https://docs.google.com/spreadsheets/d/1dN4XwmJdILpQh5cYONP2LyBh3ksWo6DCzMrUbN3lo_Q/edit#gid=1905254675"",
                        ""Form Responses 1!F2:I""),
                4,
                f"&amp;"alse))"),"7,5 km")</f>
        <v>7,5 km</v>
      </c>
      <c r="W31" s="46" t="s">
        <v>1207</v>
      </c>
      <c r="X31" s="23" t="s">
        <v>1225</v>
      </c>
      <c r="Y31" s="19" t="b">
        <v>1</v>
      </c>
    </row>
    <row r="32" spans="1:25">
      <c r="A32" s="15">
        <v>30</v>
      </c>
      <c r="B32" s="15">
        <f ca="1">IFERROR(__xludf.DUMMYFUNCTION("""COMPUTED_VALUE"""),2834)</f>
        <v>2834</v>
      </c>
      <c r="C32" s="49" t="str">
        <f ca="1">IFERROR(__xludf.DUMMYFUNCTION("""COMPUTED_VALUE"""),"PUTU AZMELLYA PUTRI SANJAYA")</f>
        <v>PUTU AZMELLYA PUTRI SANJAYA</v>
      </c>
      <c r="D32" s="49" t="str">
        <f ca="1">IFERROR(__xludf.DUMMYFUNCTION("""COMPUTED_VALUE"""),"5010201188")</f>
        <v>5010201188</v>
      </c>
      <c r="E32" s="49" t="str">
        <f ca="1">IFERROR(__xludf.DUMMYFUNCTION("""COMPUTED_VALUE"""),"Departemen Teknik Sistem dan Industri")</f>
        <v>Departemen Teknik Sistem dan Industri</v>
      </c>
      <c r="F32" s="49" t="str">
        <f ca="1">IFERROR(__xludf.DUMMYFUNCTION("""COMPUTED_VALUE"""),"i-Feed: Otomisasi Pemberian Makan Ikan Supaya Dapat Meminimalisir Terjadinya Kesalahan Takaran dan Terlewatnya Pemberian Makan")</f>
        <v>i-Feed: Otomisasi Pemberian Makan Ikan Supaya Dapat Meminimalisir Terjadinya Kesalahan Takaran dan Terlewatnya Pemberian Makan</v>
      </c>
      <c r="G32" s="49" t="str">
        <f ca="1">IFERROR(__xludf.DUMMYFUNCTION("""COMPUTED_VALUE"""),"Putu Dana Karningsih, S.T., M.Eng.Sc., Ph.D.")</f>
        <v>Putu Dana Karningsih, S.T., M.Eng.Sc., Ph.D.</v>
      </c>
      <c r="H32" s="49" t="str">
        <f ca="1">IFERROR(__xludf.DUMMYFUNCTION("""COMPUTED_VALUE"""),"Ir. Nur Husodo, M.S")</f>
        <v>Ir. Nur Husodo, M.S</v>
      </c>
      <c r="I32" s="49" t="str">
        <f ca="1">IFERROR(__xludf.DUMMYFUNCTION("""COMPUTED_VALUE"""),"Muhammad Syifaul Mufid, S.Si.,M.Si")</f>
        <v>Muhammad Syifaul Mufid, S.Si.,M.Si</v>
      </c>
      <c r="J32" s="49"/>
      <c r="K32" s="34" t="s">
        <v>1222</v>
      </c>
      <c r="L32" s="23" t="s">
        <v>1223</v>
      </c>
      <c r="M32" s="19" t="b">
        <v>1</v>
      </c>
      <c r="N32" s="19" t="b">
        <v>0</v>
      </c>
      <c r="O32" s="1" t="s">
        <v>1224</v>
      </c>
      <c r="P32" s="7" t="str">
        <f ca="1">IFERROR(__xludf.DUMMYFUNCTION("iferror(vlookup(B32,importrange(""https://docs.google.com/spreadsheets/d/1boHyJQ4e2FU0QG8MHwEi6qjX4hvZWVCHcFfXjq7bbMc/edit?resourcekey#gid=923248883"",""Prop!$C$1:$M""),12,0),IFERROR(vlookup(B32,importrange(""https://docs.google.com/spreadsheets/d/1boHyJQ"&amp;"4e2FU0QG8MHwEi6qjX4hvZWVCHcFfXjq7bbMc/edit?resourcekey#gid=923248883"",""Prop!$N$1:$X""),11,0),iferror(vlookup(B32,importrange(""https://docs.google.com/spreadsheets/d/1boHyJQ4e2FU0QG8MHwEi6qjX4hvZWVCHcFfXjq7bbMc/edit?resourcekey#gid=923248883"",""Prop!$Y"&amp;"$1:$AI""),11,0),iferror(vlookup(B32,importrange(""https://docs.google.com/spreadsheets/d/1boHyJQ4e2FU0QG8MHwEi6qjX4hvZWVCHcFfXjq7bbMc/edit?resourcekey#gid=923248883"",""Prop!$AJ$1:$AT""),11,0),iferror(vlookup(B32,importrange(""https://docs.google.com/spre"&amp;"adsheets/d/1boHyJQ4e2FU0QG8MHwEi6qjX4hvZWVCHcFfXjq7bbMc/edit?resourcekey#gid=923248883"",""Prop!$AU$1:$BE""),11,0),iferror(vlookup(B32,importrange(""https://docs.google.com/spreadsheets/d/1boHyJQ4e2FU0QG8MHwEi6qjX4hvZWVCHcFfXjq7bbMc/edit?resourcekey#gid=9"&amp;"23248883"",""Prop!$BF$1:$BP""),11,0),iferror(vlookup(B32,importrange(""https://docs.google.com/spreadsheets/d/1boHyJQ4e2FU0QG8MHwEi6qjX4hvZWVCHcFfXjq7bbMc/edit?resourcekey#gid=923248883"",""Prop!$BQ$1:$CA""),11,0),iferror(vlookup(B32,importrange(""https:/"&amp;"/docs.google.com/spreadsheets/d/1boHyJQ4e2FU0QG8MHwEi6qjX4hvZWVCHcFfXjq7bbMc/edit?resourcekey#gid=923248883"",""Prop!$CB$1:$CL""),11,0),iferror(vlookup(B32,importrange(""https://docs.google.com/spreadsheets/d/1boHyJQ4e2FU0QG8MHwEi6qjX4hvZWVCHcFfXjq7bbMc/e"&amp;"dit?resourcekey#gid=923248883"",""Prop!$CM$1:$CX""),12,0),iferror(vlookup(B32,importrange(""https://docs.google.com/spreadsheets/d/1boHyJQ4e2FU0QG8MHwEi6qjX4hvZWVCHcFfXjq7bbMc/edit?resourcekey#gid=923248883"",""Prop!$CV$1:$DI""),11,0)))))))))))"),"https://drive.google.com/open?id=1jqNGwpCwfGKneVw08uuOVQqQ4YaPod5x")</f>
        <v>https://drive.google.com/open?id=1jqNGwpCwfGKneVw08uuOVQqQ4YaPod5x</v>
      </c>
      <c r="Q32" s="50" t="str">
        <f ca="1">IFERROR(__xludf.DUMMYFUNCTION("iferror(vlookup(B32,importrange(""https://docs.google.com/spreadsheets/d/1p53T2AuvvIqhP7Nf-bo3Uhj8cbKYRPpZdsrBv3x3bAQ/edit?resourcekey#gid=1321652304"",""Prop!$C$1:$M""),11,0),IFERROR(vlookup(B32,importrange(""https://docs.google.com/spreadsheets/d/1p53T2"&amp;"AuvvIqhP7Nf-bo3Uhj8cbKYRPpZdsrBv3x3bAQ/edit?resourcekey#gid=1321652304"",""Prop!$N$1:$X""),11,0),iferror(vlookup(B32,importrange(""https://docs.google.com/spreadsheets/d/1p53T2AuvvIqhP7Nf-bo3Uhj8cbKYRPpZdsrBv3x3bAQ/edit?resourcekey#gid=1321652304"",""Prop"&amp;"!$Y$1:$AI""),11,0),iferror(vlookup(B32,importrange(""https://docs.google.com/spreadsheets/d/1p53T2AuvvIqhP7Nf-bo3Uhj8cbKYRPpZdsrBv3x3bAQ/edit?resourcekey#gid=1321652304"",""Prop!$AJ$1:$AT""),11,0),iferror(vlookup(B32,importrange(""https://docs.google.com/"&amp;"spreadsheets/d/1p53T2AuvvIqhP7Nf-bo3Uhj8cbKYRPpZdsrBv3x3bAQ/edit?resourcekey#gid=1321652304"",""Prop!$AU$1:$BE""),11,0),iferror(vlookup(B32,importrange(""https://docs.google.com/spreadsheets/d/1p53T2AuvvIqhP7Nf-bo3Uhj8cbKYRPpZdsrBv3x3bAQ/edit?resourcekey#"&amp;"gid=1321652304"",""Prop!$BF$1:$BP""),11,0),iferror(vlookup(B32,importrange(""https://docs.google.com/spreadsheets/d/1p53T2AuvvIqhP7Nf-bo3Uhj8cbKYRPpZdsrBv3x3bAQ/edit?resourcekey#gid=1321652304"",""Prop!$BQ$1:$CA""),11,0),iferror(vlookup(B32,importrange("""&amp;"https://docs.google.com/spreadsheets/d/1p53T2AuvvIqhP7Nf-bo3Uhj8cbKYRPpZdsrBv3x3bAQ/edit?resourcekey#gid=1321652304"",""Prop!$CB$1:$CL""),11,0),iferror(vlookup(B32,importrange(""https://docs.google.com/spreadsheets/d/1p53T2AuvvIqhP7Nf-bo3Uhj8cbKYRPpZdsrBv"&amp;"3x3bAQ/edit?resourcekey#gid=1321652304"",""Prop!$CM$1:$CX""),12,0),iferror(vlookup(B32,importrange(""https://docs.google.com/spreadsheets/d/1p53T2AuvvIqhP7Nf-bo3Uhj8cbKYRPpZdsrBv3x3bAQ/edit?resourcekey#gid=1321652304"",""Prop!$CY$1:$DI""),11,0)))))))))))"),"https://drive.google.com/open?id=1FP8d3GXRrK_UFG2XjGs-xzjfcRH4PvP7")</f>
        <v>https://drive.google.com/open?id=1FP8d3GXRrK_UFG2XjGs-xzjfcRH4PvP7</v>
      </c>
      <c r="R32" s="92" t="s">
        <v>1206</v>
      </c>
      <c r="S32" s="20" t="str">
        <f ca="1">IFERROR(__xludf.DUMMYFUNCTION("IFERROR(vlookup(B32,IMPORTRANGE(""https://docs.google.com/spreadsheets/d/1g_jfYYK_KeipEDNDUgqgrsxK94XiocfNQIcP-v1QVhI/edit?resourcekey#gid=233272945"",""Nilai!B:CT""),46,0),"" "")"),"Permasalahan dari mitra tidak terjelaskan dengan baik")</f>
        <v>Permasalahan dari mitra tidak terjelaskan dengan baik</v>
      </c>
      <c r="T32" s="20" t="str">
        <f ca="1">IFERROR(__xludf.DUMMYFUNCTION("IFERROR(vlookup(B32,IMPORTRANGE(""https://docs.google.com/spreadsheets/d/1g_jfYYK_KeipEDNDUgqgrsxK94XiocfNQIcP-v1QVhI/edit?resourcekey#gid=233272945"",""Nilai!B:CT""),97,0),"" "")"),"LAYAK UPLOAD KE SIMBELMAWA DENGAN REVISI")</f>
        <v>LAYAK UPLOAD KE SIMBELMAWA DENGAN REVISI</v>
      </c>
      <c r="U32" s="45" t="s">
        <v>757</v>
      </c>
      <c r="V32" s="38">
        <f ca="1">IFERROR(__xludf.DUMMYFUNCTION("IFERROR(
        vlookup(B32,
                IMPORTRANGE(""https://docs.google.com/spreadsheets/d/1dN4XwmJdILpQh5cYONP2LyBh3ksWo6DCzMrUbN3lo_Q/edit#gid=1905254675"",
                        ""Form Responses 1!F2:I""),
                4,
                f"&amp;"alse))"),85.8)</f>
        <v>85.8</v>
      </c>
      <c r="W32" s="46" t="s">
        <v>1207</v>
      </c>
      <c r="X32" s="23" t="s">
        <v>1225</v>
      </c>
      <c r="Y32" s="19" t="b">
        <v>1</v>
      </c>
    </row>
    <row r="33" spans="1:25">
      <c r="A33" s="15">
        <v>31</v>
      </c>
      <c r="B33" s="15">
        <f ca="1">IFERROR(__xludf.DUMMYFUNCTION("""COMPUTED_VALUE"""),3392)</f>
        <v>3392</v>
      </c>
      <c r="C33" s="49" t="str">
        <f ca="1">IFERROR(__xludf.DUMMYFUNCTION("""COMPUTED_VALUE"""),"RAISHA AUDREI KIRANA")</f>
        <v>RAISHA AUDREI KIRANA</v>
      </c>
      <c r="D33" s="49" t="str">
        <f ca="1">IFERROR(__xludf.DUMMYFUNCTION("""COMPUTED_VALUE"""),"5010201082")</f>
        <v>5010201082</v>
      </c>
      <c r="E33" s="49" t="str">
        <f ca="1">IFERROR(__xludf.DUMMYFUNCTION("""COMPUTED_VALUE"""),"Departemen Teknik Sistem dan Industri")</f>
        <v>Departemen Teknik Sistem dan Industri</v>
      </c>
      <c r="F33" s="49" t="str">
        <f ca="1">IFERROR(__xludf.DUMMYFUNCTION("""COMPUTED_VALUE"""),"Inovasi Pendaur Ulang Sampah Organik Terotomasi Menjadi Pupuk Cair untuk Menciptakan Waste Bank Bagi BUMDesMa Singosari")</f>
        <v>Inovasi Pendaur Ulang Sampah Organik Terotomasi Menjadi Pupuk Cair untuk Menciptakan Waste Bank Bagi BUMDesMa Singosari</v>
      </c>
      <c r="G33" s="49" t="str">
        <f ca="1">IFERROR(__xludf.DUMMYFUNCTION("""COMPUTED_VALUE"""),"Rindi Kusumawardani, S.Si., M.Sc.")</f>
        <v>Rindi Kusumawardani, S.Si., M.Sc.</v>
      </c>
      <c r="H33" s="49" t="str">
        <f ca="1">IFERROR(__xludf.DUMMYFUNCTION("""COMPUTED_VALUE"""),"Ir. Nur Husodo, M.S")</f>
        <v>Ir. Nur Husodo, M.S</v>
      </c>
      <c r="I33" s="49" t="str">
        <f ca="1">IFERROR(__xludf.DUMMYFUNCTION("""COMPUTED_VALUE"""),"Muhammad Syifaul Mufid, S.Si.,M.Si")</f>
        <v>Muhammad Syifaul Mufid, S.Si.,M.Si</v>
      </c>
      <c r="J33" s="49"/>
      <c r="K33" s="34" t="s">
        <v>1222</v>
      </c>
      <c r="L33" s="23" t="s">
        <v>1223</v>
      </c>
      <c r="M33" s="19" t="b">
        <v>1</v>
      </c>
      <c r="N33" s="19" t="b">
        <v>0</v>
      </c>
      <c r="O33" s="1" t="s">
        <v>1224</v>
      </c>
      <c r="P33" s="7" t="str">
        <f ca="1">IFERROR(__xludf.DUMMYFUNCTION("iferror(vlookup(B33,importrange(""https://docs.google.com/spreadsheets/d/1boHyJQ4e2FU0QG8MHwEi6qjX4hvZWVCHcFfXjq7bbMc/edit?resourcekey#gid=923248883"",""Prop!$C$1:$M""),12,0),IFERROR(vlookup(B33,importrange(""https://docs.google.com/spreadsheets/d/1boHyJQ"&amp;"4e2FU0QG8MHwEi6qjX4hvZWVCHcFfXjq7bbMc/edit?resourcekey#gid=923248883"",""Prop!$N$1:$X""),11,0),iferror(vlookup(B33,importrange(""https://docs.google.com/spreadsheets/d/1boHyJQ4e2FU0QG8MHwEi6qjX4hvZWVCHcFfXjq7bbMc/edit?resourcekey#gid=923248883"",""Prop!$Y"&amp;"$1:$AI""),11,0),iferror(vlookup(B33,importrange(""https://docs.google.com/spreadsheets/d/1boHyJQ4e2FU0QG8MHwEi6qjX4hvZWVCHcFfXjq7bbMc/edit?resourcekey#gid=923248883"",""Prop!$AJ$1:$AT""),11,0),iferror(vlookup(B33,importrange(""https://docs.google.com/spre"&amp;"adsheets/d/1boHyJQ4e2FU0QG8MHwEi6qjX4hvZWVCHcFfXjq7bbMc/edit?resourcekey#gid=923248883"",""Prop!$AU$1:$BE""),11,0),iferror(vlookup(B33,importrange(""https://docs.google.com/spreadsheets/d/1boHyJQ4e2FU0QG8MHwEi6qjX4hvZWVCHcFfXjq7bbMc/edit?resourcekey#gid=9"&amp;"23248883"",""Prop!$BF$1:$BP""),11,0),iferror(vlookup(B33,importrange(""https://docs.google.com/spreadsheets/d/1boHyJQ4e2FU0QG8MHwEi6qjX4hvZWVCHcFfXjq7bbMc/edit?resourcekey#gid=923248883"",""Prop!$BQ$1:$CA""),11,0),iferror(vlookup(B33,importrange(""https:/"&amp;"/docs.google.com/spreadsheets/d/1boHyJQ4e2FU0QG8MHwEi6qjX4hvZWVCHcFfXjq7bbMc/edit?resourcekey#gid=923248883"",""Prop!$CB$1:$CL""),11,0),iferror(vlookup(B33,importrange(""https://docs.google.com/spreadsheets/d/1boHyJQ4e2FU0QG8MHwEi6qjX4hvZWVCHcFfXjq7bbMc/e"&amp;"dit?resourcekey#gid=923248883"",""Prop!$CM$1:$CX""),12,0),iferror(vlookup(B33,importrange(""https://docs.google.com/spreadsheets/d/1boHyJQ4e2FU0QG8MHwEi6qjX4hvZWVCHcFfXjq7bbMc/edit?resourcekey#gid=923248883"",""Prop!$CV$1:$DI""),11,0)))))))))))"),"https://drive.google.com/open?id=1p56X5J8wKRhTbXac8cCuZGwOYLXqPoB0")</f>
        <v>https://drive.google.com/open?id=1p56X5J8wKRhTbXac8cCuZGwOYLXqPoB0</v>
      </c>
      <c r="Q33" s="50" t="str">
        <f ca="1">IFERROR(__xludf.DUMMYFUNCTION("iferror(vlookup(B33,importrange(""https://docs.google.com/spreadsheets/d/1p53T2AuvvIqhP7Nf-bo3Uhj8cbKYRPpZdsrBv3x3bAQ/edit?resourcekey#gid=1321652304"",""Prop!$C$1:$M""),11,0),IFERROR(vlookup(B33,importrange(""https://docs.google.com/spreadsheets/d/1p53T2"&amp;"AuvvIqhP7Nf-bo3Uhj8cbKYRPpZdsrBv3x3bAQ/edit?resourcekey#gid=1321652304"",""Prop!$N$1:$X""),11,0),iferror(vlookup(B33,importrange(""https://docs.google.com/spreadsheets/d/1p53T2AuvvIqhP7Nf-bo3Uhj8cbKYRPpZdsrBv3x3bAQ/edit?resourcekey#gid=1321652304"",""Prop"&amp;"!$Y$1:$AI""),11,0),iferror(vlookup(B33,importrange(""https://docs.google.com/spreadsheets/d/1p53T2AuvvIqhP7Nf-bo3Uhj8cbKYRPpZdsrBv3x3bAQ/edit?resourcekey#gid=1321652304"",""Prop!$AJ$1:$AT""),11,0),iferror(vlookup(B33,importrange(""https://docs.google.com/"&amp;"spreadsheets/d/1p53T2AuvvIqhP7Nf-bo3Uhj8cbKYRPpZdsrBv3x3bAQ/edit?resourcekey#gid=1321652304"",""Prop!$AU$1:$BE""),11,0),iferror(vlookup(B33,importrange(""https://docs.google.com/spreadsheets/d/1p53T2AuvvIqhP7Nf-bo3Uhj8cbKYRPpZdsrBv3x3bAQ/edit?resourcekey#"&amp;"gid=1321652304"",""Prop!$BF$1:$BP""),11,0),iferror(vlookup(B33,importrange(""https://docs.google.com/spreadsheets/d/1p53T2AuvvIqhP7Nf-bo3Uhj8cbKYRPpZdsrBv3x3bAQ/edit?resourcekey#gid=1321652304"",""Prop!$BQ$1:$CA""),11,0),iferror(vlookup(B33,importrange("""&amp;"https://docs.google.com/spreadsheets/d/1p53T2AuvvIqhP7Nf-bo3Uhj8cbKYRPpZdsrBv3x3bAQ/edit?resourcekey#gid=1321652304"",""Prop!$CB$1:$CL""),11,0),iferror(vlookup(B33,importrange(""https://docs.google.com/spreadsheets/d/1p53T2AuvvIqhP7Nf-bo3Uhj8cbKYRPpZdsrBv"&amp;"3x3bAQ/edit?resourcekey#gid=1321652304"",""Prop!$CM$1:$CX""),12,0),iferror(vlookup(B33,importrange(""https://docs.google.com/spreadsheets/d/1p53T2AuvvIqhP7Nf-bo3Uhj8cbKYRPpZdsrBv3x3bAQ/edit?resourcekey#gid=1321652304"",""Prop!$CY$1:$DI""),11,0)))))))))))"),"https://drive.google.com/open?id=1lRg7klVbWU_iNUWDhuMYjpuSuQjzpdVc")</f>
        <v>https://drive.google.com/open?id=1lRg7klVbWU_iNUWDhuMYjpuSuQjzpdVc</v>
      </c>
      <c r="R33" s="92" t="s">
        <v>1206</v>
      </c>
      <c r="S33" s="20" t="str">
        <f ca="1">IFERROR(__xludf.DUMMYFUNCTION("IFERROR(vlookup(B33,IMPORTRANGE(""https://docs.google.com/spreadsheets/d/1g_jfYYK_KeipEDNDUgqgrsxK94XiocfNQIcP-v1QVhI/edit?resourcekey#gid=233272945"",""Nilai!B:CT""),46,0),"" "")"),"Masih banyak yang tidak sesuai format (terutama anggaran biaya). Hampir tidak ada perubahan dari proposal awal.")</f>
        <v>Masih banyak yang tidak sesuai format (terutama anggaran biaya). Hampir tidak ada perubahan dari proposal awal.</v>
      </c>
      <c r="T33" s="20" t="str">
        <f ca="1">IFERROR(__xludf.DUMMYFUNCTION("IFERROR(vlookup(B33,IMPORTRANGE(""https://docs.google.com/spreadsheets/d/1g_jfYYK_KeipEDNDUgqgrsxK94XiocfNQIcP-v1QVhI/edit?resourcekey#gid=233272945"",""Nilai!B:CT""),97,0),"" "")"),"TIDAK LAYAK UPLOAD KE SIMBELMAWA")</f>
        <v>TIDAK LAYAK UPLOAD KE SIMBELMAWA</v>
      </c>
      <c r="U33" s="45" t="s">
        <v>757</v>
      </c>
      <c r="V33" s="38">
        <f ca="1">IFERROR(__xludf.DUMMYFUNCTION("IFERROR(
        vlookup(B33,
                IMPORTRANGE(""https://docs.google.com/spreadsheets/d/1dN4XwmJdILpQh5cYONP2LyBh3ksWo6DCzMrUbN3lo_Q/edit#gid=1905254675"",
                        ""Form Responses 1!F2:I""),
                4,
                f"&amp;"alse))"),81)</f>
        <v>81</v>
      </c>
      <c r="W33" s="46" t="s">
        <v>1207</v>
      </c>
      <c r="X33" s="23" t="s">
        <v>1225</v>
      </c>
      <c r="Y33" s="19" t="b">
        <v>1</v>
      </c>
    </row>
    <row r="34" spans="1:25">
      <c r="A34" s="15"/>
      <c r="B34" s="15"/>
      <c r="C34" s="49"/>
      <c r="D34" s="49"/>
      <c r="E34" s="49"/>
      <c r="F34" s="49"/>
      <c r="G34" s="49"/>
      <c r="H34" s="49"/>
      <c r="I34" s="49"/>
      <c r="J34" s="49"/>
      <c r="K34" s="49"/>
      <c r="L34" s="38"/>
      <c r="M34" s="19"/>
      <c r="N34" s="19"/>
      <c r="O34" s="49"/>
      <c r="P34" s="1"/>
      <c r="Q34" s="50"/>
      <c r="R34" s="92"/>
      <c r="S34" s="20" t="str">
        <f ca="1">IFERROR(__xludf.DUMMYFUNCTION("IFERROR(vlookup(B34,IMPORTRANGE(""https://docs.google.com/spreadsheets/d/1g_jfYYK_KeipEDNDUgqgrsxK94XiocfNQIcP-v1QVhI/edit?resourcekey#gid=233272945"",""Nilai!B:CT""),57,0),"" "")")," ")</f>
        <v xml:space="preserve"> </v>
      </c>
      <c r="T34" s="92"/>
      <c r="U34" s="50"/>
      <c r="V34" s="38"/>
      <c r="W34" s="1"/>
      <c r="X34" s="1"/>
      <c r="Y34" s="1"/>
    </row>
    <row r="35" spans="1:25">
      <c r="A35" s="15"/>
      <c r="B35" s="15"/>
      <c r="C35" s="49"/>
      <c r="D35" s="49"/>
      <c r="E35" s="49"/>
      <c r="F35" s="49"/>
      <c r="G35" s="49"/>
      <c r="H35" s="49"/>
      <c r="I35" s="49"/>
      <c r="J35" s="49"/>
      <c r="K35" s="49"/>
      <c r="L35" s="38"/>
      <c r="M35" s="19"/>
      <c r="N35" s="19"/>
      <c r="O35" s="49"/>
      <c r="P35" s="1"/>
      <c r="Q35" s="50"/>
      <c r="R35" s="92"/>
      <c r="S35" s="20" t="str">
        <f ca="1">IFERROR(__xludf.DUMMYFUNCTION("IFERROR(vlookup(B35,IMPORTRANGE(""https://docs.google.com/spreadsheets/d/1g_jfYYK_KeipEDNDUgqgrsxK94XiocfNQIcP-v1QVhI/edit?resourcekey#gid=233272945"",""Nilai!B:CT""),57,0),"" "")")," ")</f>
        <v xml:space="preserve"> </v>
      </c>
      <c r="T35" s="92"/>
      <c r="U35" s="50"/>
      <c r="V35" s="38"/>
      <c r="W35" s="1"/>
      <c r="X35" s="1"/>
      <c r="Y35" s="1"/>
    </row>
    <row r="36" spans="1:25">
      <c r="A36" s="15"/>
      <c r="B36" s="15"/>
      <c r="C36" s="49"/>
      <c r="D36" s="49"/>
      <c r="E36" s="49"/>
      <c r="F36" s="49"/>
      <c r="G36" s="49"/>
      <c r="H36" s="49"/>
      <c r="I36" s="49"/>
      <c r="J36" s="49"/>
      <c r="K36" s="49"/>
      <c r="L36" s="38"/>
      <c r="M36" s="19"/>
      <c r="N36" s="19"/>
      <c r="O36" s="49"/>
      <c r="P36" s="1"/>
      <c r="Q36" s="50"/>
      <c r="R36" s="92"/>
      <c r="S36" s="20" t="str">
        <f ca="1">IFERROR(__xludf.DUMMYFUNCTION("IFERROR(vlookup(B36,IMPORTRANGE(""https://docs.google.com/spreadsheets/d/1g_jfYYK_KeipEDNDUgqgrsxK94XiocfNQIcP-v1QVhI/edit?resourcekey#gid=233272945"",""Nilai!B:CT""),57,0),"" "")")," ")</f>
        <v xml:space="preserve"> </v>
      </c>
      <c r="T36" s="92"/>
      <c r="U36" s="50"/>
      <c r="V36" s="38"/>
      <c r="W36" s="1"/>
      <c r="X36" s="1"/>
      <c r="Y36" s="1"/>
    </row>
    <row r="37" spans="1:25">
      <c r="A37" s="15"/>
      <c r="B37" s="15"/>
      <c r="C37" s="49"/>
      <c r="D37" s="49"/>
      <c r="E37" s="49"/>
      <c r="F37" s="49"/>
      <c r="G37" s="49"/>
      <c r="H37" s="49"/>
      <c r="I37" s="49"/>
      <c r="J37" s="49"/>
      <c r="K37" s="49"/>
      <c r="L37" s="38"/>
      <c r="M37" s="19"/>
      <c r="N37" s="19"/>
      <c r="O37" s="49"/>
      <c r="P37" s="1"/>
      <c r="Q37" s="8"/>
      <c r="R37" s="92"/>
      <c r="S37" s="20" t="str">
        <f ca="1">IFERROR(__xludf.DUMMYFUNCTION("IFERROR(vlookup(B37,IMPORTRANGE(""https://docs.google.com/spreadsheets/d/1g_jfYYK_KeipEDNDUgqgrsxK94XiocfNQIcP-v1QVhI/edit?resourcekey#gid=233272945"",""Nilai!B:CT""),57,0),"" "")")," ")</f>
        <v xml:space="preserve"> </v>
      </c>
      <c r="T37" s="92"/>
      <c r="U37" s="8"/>
      <c r="V37" s="38"/>
      <c r="W37" s="1"/>
      <c r="X37" s="1"/>
      <c r="Y37" s="1"/>
    </row>
    <row r="38" spans="1:25">
      <c r="A38" s="15"/>
      <c r="B38" s="15"/>
      <c r="C38" s="49"/>
      <c r="D38" s="49"/>
      <c r="E38" s="49"/>
      <c r="F38" s="49"/>
      <c r="G38" s="49"/>
      <c r="H38" s="49"/>
      <c r="I38" s="49"/>
      <c r="J38" s="49"/>
      <c r="K38" s="49"/>
      <c r="L38" s="38"/>
      <c r="M38" s="19"/>
      <c r="N38" s="19"/>
      <c r="O38" s="49"/>
      <c r="P38" s="1"/>
      <c r="Q38" s="50"/>
      <c r="R38" s="92"/>
      <c r="S38" s="20" t="str">
        <f ca="1">IFERROR(__xludf.DUMMYFUNCTION("IFERROR(vlookup(B38,IMPORTRANGE(""https://docs.google.com/spreadsheets/d/1g_jfYYK_KeipEDNDUgqgrsxK94XiocfNQIcP-v1QVhI/edit?resourcekey#gid=233272945"",""Nilai!B:CT""),57,0),"" "")")," ")</f>
        <v xml:space="preserve"> </v>
      </c>
      <c r="T38" s="92"/>
      <c r="U38" s="50"/>
      <c r="V38" s="38"/>
      <c r="W38" s="1"/>
      <c r="X38" s="1"/>
      <c r="Y38" s="1"/>
    </row>
    <row r="39" spans="1:25">
      <c r="A39" s="15"/>
      <c r="B39" s="15"/>
      <c r="C39" s="49"/>
      <c r="D39" s="49"/>
      <c r="E39" s="49"/>
      <c r="F39" s="49"/>
      <c r="G39" s="49"/>
      <c r="H39" s="49"/>
      <c r="I39" s="49"/>
      <c r="J39" s="49"/>
      <c r="K39" s="49"/>
      <c r="L39" s="38"/>
      <c r="M39" s="19"/>
      <c r="N39" s="19"/>
      <c r="O39" s="49"/>
      <c r="P39" s="1"/>
      <c r="Q39" s="50"/>
      <c r="R39" s="92"/>
      <c r="S39" s="20" t="str">
        <f ca="1">IFERROR(__xludf.DUMMYFUNCTION("IFERROR(vlookup(B39,IMPORTRANGE(""https://docs.google.com/spreadsheets/d/1g_jfYYK_KeipEDNDUgqgrsxK94XiocfNQIcP-v1QVhI/edit?resourcekey#gid=233272945"",""Nilai!B:CT""),57,0),"" "")")," ")</f>
        <v xml:space="preserve"> </v>
      </c>
      <c r="T39" s="92"/>
      <c r="U39" s="50"/>
      <c r="V39" s="38"/>
      <c r="W39" s="1"/>
      <c r="X39" s="1"/>
      <c r="Y39" s="1"/>
    </row>
    <row r="40" spans="1:25">
      <c r="A40" s="15"/>
      <c r="B40" s="15"/>
      <c r="C40" s="49"/>
      <c r="D40" s="49"/>
      <c r="E40" s="49"/>
      <c r="F40" s="49"/>
      <c r="G40" s="49"/>
      <c r="H40" s="49"/>
      <c r="I40" s="49"/>
      <c r="J40" s="49"/>
      <c r="K40" s="49"/>
      <c r="L40" s="38"/>
      <c r="M40" s="19"/>
      <c r="N40" s="19"/>
      <c r="O40" s="49"/>
      <c r="P40" s="1"/>
      <c r="Q40" s="8"/>
      <c r="R40" s="92"/>
      <c r="S40" s="20" t="str">
        <f ca="1">IFERROR(__xludf.DUMMYFUNCTION("IFERROR(vlookup(B40,IMPORTRANGE(""https://docs.google.com/spreadsheets/d/1g_jfYYK_KeipEDNDUgqgrsxK94XiocfNQIcP-v1QVhI/edit?resourcekey#gid=233272945"",""Nilai!B:CT""),57,0),"" "")")," ")</f>
        <v xml:space="preserve"> </v>
      </c>
      <c r="T40" s="92"/>
      <c r="U40" s="8"/>
      <c r="V40" s="38"/>
      <c r="W40" s="1"/>
      <c r="X40" s="1"/>
      <c r="Y40" s="1"/>
    </row>
    <row r="41" spans="1:25">
      <c r="A41" s="15"/>
      <c r="B41" s="15"/>
      <c r="C41" s="49"/>
      <c r="D41" s="49"/>
      <c r="E41" s="49"/>
      <c r="F41" s="49"/>
      <c r="G41" s="49"/>
      <c r="H41" s="49"/>
      <c r="I41" s="49"/>
      <c r="J41" s="49"/>
      <c r="K41" s="49"/>
      <c r="L41" s="38"/>
      <c r="M41" s="19"/>
      <c r="N41" s="19"/>
      <c r="O41" s="49"/>
      <c r="P41" s="1"/>
      <c r="Q41" s="50"/>
      <c r="R41" s="92"/>
      <c r="S41" s="20" t="str">
        <f ca="1">IFERROR(__xludf.DUMMYFUNCTION("IFERROR(vlookup(B41,IMPORTRANGE(""https://docs.google.com/spreadsheets/d/1g_jfYYK_KeipEDNDUgqgrsxK94XiocfNQIcP-v1QVhI/edit?resourcekey#gid=233272945"",""Nilai!B:CT""),57,0),"" "")")," ")</f>
        <v xml:space="preserve"> </v>
      </c>
      <c r="T41" s="92"/>
      <c r="U41" s="50"/>
      <c r="V41" s="38"/>
      <c r="W41" s="1"/>
      <c r="X41" s="1"/>
      <c r="Y41" s="1"/>
    </row>
    <row r="42" spans="1:25">
      <c r="A42" s="15"/>
      <c r="B42" s="15"/>
      <c r="C42" s="49"/>
      <c r="D42" s="49"/>
      <c r="E42" s="49"/>
      <c r="F42" s="49"/>
      <c r="G42" s="49"/>
      <c r="H42" s="49"/>
      <c r="I42" s="49"/>
      <c r="J42" s="49"/>
      <c r="K42" s="49"/>
      <c r="L42" s="38"/>
      <c r="M42" s="25"/>
      <c r="N42" s="25"/>
      <c r="O42" s="49"/>
      <c r="P42" s="1"/>
      <c r="Q42" s="50"/>
      <c r="R42" s="92"/>
      <c r="S42" s="20" t="str">
        <f ca="1">IFERROR(__xludf.DUMMYFUNCTION("IFERROR(vlookup(B42,IMPORTRANGE(""https://docs.google.com/spreadsheets/d/1g_jfYYK_KeipEDNDUgqgrsxK94XiocfNQIcP-v1QVhI/edit?resourcekey#gid=233272945"",""Nilai!B:CT""),57,0),"" "")")," ")</f>
        <v xml:space="preserve"> </v>
      </c>
      <c r="T42" s="92"/>
      <c r="U42" s="50"/>
      <c r="V42" s="38"/>
      <c r="W42" s="1"/>
      <c r="X42" s="1"/>
      <c r="Y42" s="1"/>
    </row>
    <row r="43" spans="1:25">
      <c r="A43" s="15"/>
      <c r="B43" s="15"/>
      <c r="C43" s="49"/>
      <c r="D43" s="49"/>
      <c r="E43" s="49"/>
      <c r="F43" s="49"/>
      <c r="G43" s="49"/>
      <c r="H43" s="49"/>
      <c r="I43" s="49"/>
      <c r="J43" s="49"/>
      <c r="K43" s="49"/>
      <c r="L43" s="38"/>
      <c r="M43" s="25"/>
      <c r="N43" s="25"/>
      <c r="O43" s="49"/>
      <c r="P43" s="1"/>
      <c r="Q43" s="8"/>
      <c r="R43" s="92"/>
      <c r="S43" s="20" t="str">
        <f ca="1">IFERROR(__xludf.DUMMYFUNCTION("IFERROR(vlookup(B43,IMPORTRANGE(""https://docs.google.com/spreadsheets/d/1g_jfYYK_KeipEDNDUgqgrsxK94XiocfNQIcP-v1QVhI/edit?resourcekey#gid=233272945"",""Nilai!B:CT""),57,0),"" "")")," ")</f>
        <v xml:space="preserve"> </v>
      </c>
      <c r="T43" s="92"/>
      <c r="U43" s="8"/>
      <c r="V43" s="38"/>
      <c r="W43" s="1"/>
      <c r="X43" s="1"/>
      <c r="Y43" s="1"/>
    </row>
    <row r="44" spans="1:25">
      <c r="A44" s="15"/>
      <c r="B44" s="15"/>
      <c r="C44" s="49"/>
      <c r="D44" s="49"/>
      <c r="E44" s="49"/>
      <c r="F44" s="49"/>
      <c r="G44" s="49"/>
      <c r="H44" s="49"/>
      <c r="I44" s="49"/>
      <c r="J44" s="49"/>
      <c r="K44" s="49"/>
      <c r="L44" s="38"/>
      <c r="M44" s="25"/>
      <c r="N44" s="25"/>
      <c r="O44" s="49"/>
      <c r="P44" s="1"/>
      <c r="Q44" s="50"/>
      <c r="R44" s="92"/>
      <c r="S44" s="20" t="str">
        <f ca="1">IFERROR(__xludf.DUMMYFUNCTION("IFERROR(vlookup(B44,IMPORTRANGE(""https://docs.google.com/spreadsheets/d/1g_jfYYK_KeipEDNDUgqgrsxK94XiocfNQIcP-v1QVhI/edit?resourcekey#gid=233272945"",""Nilai!B:CT""),57,0),"" "")")," ")</f>
        <v xml:space="preserve"> </v>
      </c>
      <c r="T44" s="92"/>
      <c r="U44" s="50"/>
      <c r="V44" s="38"/>
      <c r="W44" s="1"/>
      <c r="X44" s="1"/>
      <c r="Y44" s="1"/>
    </row>
    <row r="45" spans="1:25">
      <c r="A45" s="15"/>
      <c r="B45" s="15"/>
      <c r="C45" s="49"/>
      <c r="D45" s="49"/>
      <c r="E45" s="49"/>
      <c r="F45" s="49"/>
      <c r="G45" s="49"/>
      <c r="H45" s="49"/>
      <c r="I45" s="49"/>
      <c r="J45" s="49"/>
      <c r="K45" s="49"/>
      <c r="L45" s="38"/>
      <c r="M45" s="25"/>
      <c r="N45" s="25"/>
      <c r="O45" s="49"/>
      <c r="P45" s="1"/>
      <c r="Q45" s="50"/>
      <c r="R45" s="92"/>
      <c r="S45" s="20" t="str">
        <f ca="1">IFERROR(__xludf.DUMMYFUNCTION("IFERROR(vlookup(B45,IMPORTRANGE(""https://docs.google.com/spreadsheets/d/1g_jfYYK_KeipEDNDUgqgrsxK94XiocfNQIcP-v1QVhI/edit?resourcekey#gid=233272945"",""Nilai!B:CT""),57,0),"" "")")," ")</f>
        <v xml:space="preserve"> </v>
      </c>
      <c r="T45" s="92"/>
      <c r="U45" s="50"/>
      <c r="V45" s="38"/>
      <c r="W45" s="1"/>
      <c r="X45" s="1"/>
      <c r="Y45" s="1"/>
    </row>
    <row r="46" spans="1:25">
      <c r="A46" s="15"/>
      <c r="B46" s="15"/>
      <c r="C46" s="49"/>
      <c r="D46" s="49"/>
      <c r="E46" s="49"/>
      <c r="F46" s="49"/>
      <c r="G46" s="49"/>
      <c r="H46" s="49"/>
      <c r="I46" s="49"/>
      <c r="J46" s="49"/>
      <c r="K46" s="49"/>
      <c r="L46" s="38"/>
      <c r="M46" s="25"/>
      <c r="N46" s="25"/>
      <c r="O46" s="49"/>
      <c r="P46" s="1"/>
      <c r="Q46" s="8"/>
      <c r="R46" s="92"/>
      <c r="S46" s="20" t="str">
        <f ca="1">IFERROR(__xludf.DUMMYFUNCTION("IFERROR(vlookup(B46,IMPORTRANGE(""https://docs.google.com/spreadsheets/d/1g_jfYYK_KeipEDNDUgqgrsxK94XiocfNQIcP-v1QVhI/edit?resourcekey#gid=233272945"",""Nilai!B:CT""),57,0),"" "")")," ")</f>
        <v xml:space="preserve"> </v>
      </c>
      <c r="T46" s="92"/>
      <c r="U46" s="8"/>
      <c r="V46" s="38"/>
      <c r="W46" s="1"/>
      <c r="X46" s="1"/>
      <c r="Y46" s="1"/>
    </row>
    <row r="47" spans="1:25">
      <c r="A47" s="15"/>
      <c r="B47" s="15"/>
      <c r="C47" s="49"/>
      <c r="D47" s="49"/>
      <c r="E47" s="49"/>
      <c r="F47" s="49"/>
      <c r="G47" s="49"/>
      <c r="H47" s="49"/>
      <c r="I47" s="49"/>
      <c r="J47" s="49"/>
      <c r="K47" s="49"/>
      <c r="L47" s="38"/>
      <c r="M47" s="25"/>
      <c r="N47" s="25"/>
      <c r="O47" s="49"/>
      <c r="P47" s="1"/>
      <c r="Q47" s="8"/>
      <c r="R47" s="92"/>
      <c r="S47" s="20" t="str">
        <f ca="1">IFERROR(__xludf.DUMMYFUNCTION("IFERROR(vlookup(B47,IMPORTRANGE(""https://docs.google.com/spreadsheets/d/1g_jfYYK_KeipEDNDUgqgrsxK94XiocfNQIcP-v1QVhI/edit?resourcekey#gid=233272945"",""Nilai!B:CT""),57,0),"" "")")," ")</f>
        <v xml:space="preserve"> </v>
      </c>
      <c r="T47" s="92"/>
      <c r="U47" s="8"/>
      <c r="V47" s="38"/>
      <c r="W47" s="1"/>
      <c r="X47" s="1"/>
      <c r="Y47" s="1"/>
    </row>
    <row r="48" spans="1:25">
      <c r="A48" s="15"/>
      <c r="B48" s="15"/>
      <c r="C48" s="49"/>
      <c r="D48" s="49"/>
      <c r="E48" s="49"/>
      <c r="F48" s="49"/>
      <c r="G48" s="49"/>
      <c r="H48" s="49"/>
      <c r="I48" s="49"/>
      <c r="J48" s="49"/>
      <c r="K48" s="49"/>
      <c r="L48" s="38"/>
      <c r="M48" s="25"/>
      <c r="N48" s="25"/>
      <c r="O48" s="49"/>
      <c r="P48" s="1"/>
      <c r="Q48" s="50"/>
      <c r="R48" s="92"/>
      <c r="S48" s="20" t="str">
        <f ca="1">IFERROR(__xludf.DUMMYFUNCTION("IFERROR(vlookup(B48,IMPORTRANGE(""https://docs.google.com/spreadsheets/d/1g_jfYYK_KeipEDNDUgqgrsxK94XiocfNQIcP-v1QVhI/edit?resourcekey#gid=233272945"",""Nilai!B:CT""),57,0),"" "")")," ")</f>
        <v xml:space="preserve"> </v>
      </c>
      <c r="T48" s="92"/>
      <c r="U48" s="50"/>
      <c r="V48" s="38"/>
      <c r="W48" s="1"/>
      <c r="X48" s="1"/>
      <c r="Y48" s="1"/>
    </row>
    <row r="49" spans="1:25">
      <c r="A49" s="15"/>
      <c r="B49" s="15"/>
      <c r="C49" s="49"/>
      <c r="D49" s="49"/>
      <c r="E49" s="49"/>
      <c r="F49" s="49"/>
      <c r="G49" s="49"/>
      <c r="H49" s="49"/>
      <c r="I49" s="49"/>
      <c r="J49" s="49"/>
      <c r="K49" s="49"/>
      <c r="L49" s="38"/>
      <c r="M49" s="25"/>
      <c r="N49" s="25"/>
      <c r="O49" s="49"/>
      <c r="P49" s="1"/>
      <c r="Q49" s="50"/>
      <c r="R49" s="92"/>
      <c r="S49" s="20" t="str">
        <f ca="1">IFERROR(__xludf.DUMMYFUNCTION("IFERROR(vlookup(B49,IMPORTRANGE(""https://docs.google.com/spreadsheets/d/1g_jfYYK_KeipEDNDUgqgrsxK94XiocfNQIcP-v1QVhI/edit?resourcekey#gid=233272945"",""Nilai!B:CT""),57,0),"" "")")," ")</f>
        <v xml:space="preserve"> </v>
      </c>
      <c r="T49" s="92"/>
      <c r="U49" s="50"/>
      <c r="V49" s="38"/>
      <c r="W49" s="1"/>
      <c r="X49" s="1"/>
      <c r="Y49" s="1"/>
    </row>
    <row r="50" spans="1:25">
      <c r="A50" s="15"/>
      <c r="B50" s="15"/>
      <c r="C50" s="49"/>
      <c r="D50" s="49"/>
      <c r="E50" s="49"/>
      <c r="F50" s="49"/>
      <c r="G50" s="49"/>
      <c r="H50" s="49"/>
      <c r="I50" s="49"/>
      <c r="J50" s="49"/>
      <c r="K50" s="49"/>
      <c r="L50" s="38"/>
      <c r="M50" s="25"/>
      <c r="N50" s="25"/>
      <c r="O50" s="49"/>
      <c r="P50" s="1"/>
      <c r="Q50" s="50"/>
      <c r="R50" s="92"/>
      <c r="S50" s="20" t="str">
        <f ca="1">IFERROR(__xludf.DUMMYFUNCTION("IFERROR(vlookup(B50,IMPORTRANGE(""https://docs.google.com/spreadsheets/d/1g_jfYYK_KeipEDNDUgqgrsxK94XiocfNQIcP-v1QVhI/edit?resourcekey#gid=233272945"",""Nilai!B:CT""),57,0),"" "")")," ")</f>
        <v xml:space="preserve"> </v>
      </c>
      <c r="T50" s="92"/>
      <c r="U50" s="50"/>
      <c r="V50" s="38"/>
      <c r="W50" s="1"/>
      <c r="X50" s="1"/>
      <c r="Y50" s="1"/>
    </row>
    <row r="51" spans="1:25">
      <c r="A51" s="15"/>
      <c r="B51" s="15"/>
      <c r="C51" s="49"/>
      <c r="D51" s="49"/>
      <c r="E51" s="49"/>
      <c r="F51" s="49"/>
      <c r="G51" s="49"/>
      <c r="H51" s="49"/>
      <c r="I51" s="49"/>
      <c r="J51" s="49"/>
      <c r="K51" s="49"/>
      <c r="L51" s="38"/>
      <c r="M51" s="25"/>
      <c r="N51" s="25"/>
      <c r="O51" s="49"/>
      <c r="P51" s="1"/>
      <c r="Q51" s="50"/>
      <c r="R51" s="92"/>
      <c r="S51" s="20" t="str">
        <f ca="1">IFERROR(__xludf.DUMMYFUNCTION("IFERROR(vlookup(B51,IMPORTRANGE(""https://docs.google.com/spreadsheets/d/1g_jfYYK_KeipEDNDUgqgrsxK94XiocfNQIcP-v1QVhI/edit?resourcekey#gid=233272945"",""Nilai!B:CT""),57,0),"" "")")," ")</f>
        <v xml:space="preserve"> </v>
      </c>
      <c r="T51" s="92"/>
      <c r="U51" s="50"/>
      <c r="V51" s="38"/>
      <c r="W51" s="1"/>
      <c r="X51" s="1"/>
      <c r="Y51" s="1"/>
    </row>
    <row r="52" spans="1:25">
      <c r="A52" s="15"/>
      <c r="B52" s="15"/>
      <c r="C52" s="49"/>
      <c r="D52" s="49"/>
      <c r="E52" s="49"/>
      <c r="F52" s="49"/>
      <c r="G52" s="49"/>
      <c r="H52" s="49"/>
      <c r="I52" s="49"/>
      <c r="J52" s="49"/>
      <c r="K52" s="49"/>
      <c r="L52" s="38"/>
      <c r="M52" s="25"/>
      <c r="N52" s="25"/>
      <c r="O52" s="49"/>
      <c r="P52" s="1"/>
      <c r="Q52" s="50"/>
      <c r="R52" s="92"/>
      <c r="S52" s="20" t="str">
        <f ca="1">IFERROR(__xludf.DUMMYFUNCTION("IFERROR(vlookup(B52,IMPORTRANGE(""https://docs.google.com/spreadsheets/d/1g_jfYYK_KeipEDNDUgqgrsxK94XiocfNQIcP-v1QVhI/edit?resourcekey#gid=233272945"",""Nilai!B:CT""),57,0),"" "")")," ")</f>
        <v xml:space="preserve"> </v>
      </c>
      <c r="T52" s="92"/>
      <c r="U52" s="50"/>
      <c r="V52" s="38"/>
      <c r="W52" s="1"/>
      <c r="X52" s="1"/>
      <c r="Y52" s="1"/>
    </row>
    <row r="53" spans="1:25">
      <c r="A53" s="15"/>
      <c r="B53" s="15"/>
      <c r="C53" s="49"/>
      <c r="D53" s="49"/>
      <c r="E53" s="49"/>
      <c r="F53" s="49"/>
      <c r="G53" s="49"/>
      <c r="H53" s="49"/>
      <c r="I53" s="49"/>
      <c r="J53" s="49"/>
      <c r="K53" s="49"/>
      <c r="L53" s="38"/>
      <c r="M53" s="25"/>
      <c r="N53" s="25"/>
      <c r="O53" s="49"/>
      <c r="P53" s="1"/>
      <c r="Q53" s="8"/>
      <c r="R53" s="92"/>
      <c r="S53" s="20" t="str">
        <f ca="1">IFERROR(__xludf.DUMMYFUNCTION("IFERROR(vlookup(B53,IMPORTRANGE(""https://docs.google.com/spreadsheets/d/1g_jfYYK_KeipEDNDUgqgrsxK94XiocfNQIcP-v1QVhI/edit?resourcekey#gid=233272945"",""Nilai!B:CT""),57,0),"" "")")," ")</f>
        <v xml:space="preserve"> </v>
      </c>
      <c r="T53" s="92"/>
      <c r="U53" s="8"/>
      <c r="V53" s="38"/>
      <c r="W53" s="1"/>
      <c r="X53" s="1"/>
      <c r="Y53" s="1"/>
    </row>
    <row r="54" spans="1:25">
      <c r="A54" s="15"/>
      <c r="B54" s="15"/>
      <c r="C54" s="49"/>
      <c r="D54" s="49"/>
      <c r="E54" s="49"/>
      <c r="F54" s="49"/>
      <c r="G54" s="49"/>
      <c r="H54" s="49"/>
      <c r="I54" s="49"/>
      <c r="J54" s="49"/>
      <c r="K54" s="49"/>
      <c r="L54" s="38"/>
      <c r="M54" s="25"/>
      <c r="N54" s="25"/>
      <c r="O54" s="49"/>
      <c r="P54" s="1"/>
      <c r="Q54" s="50"/>
      <c r="R54" s="92"/>
      <c r="S54" s="20" t="str">
        <f ca="1">IFERROR(__xludf.DUMMYFUNCTION("IFERROR(vlookup(B54,IMPORTRANGE(""https://docs.google.com/spreadsheets/d/1g_jfYYK_KeipEDNDUgqgrsxK94XiocfNQIcP-v1QVhI/edit?resourcekey#gid=233272945"",""Nilai!B:CT""),57,0),"" "")")," ")</f>
        <v xml:space="preserve"> </v>
      </c>
      <c r="T54" s="92"/>
      <c r="U54" s="50"/>
      <c r="V54" s="38"/>
      <c r="W54" s="1"/>
      <c r="X54" s="1"/>
      <c r="Y54" s="1"/>
    </row>
    <row r="55" spans="1:25">
      <c r="A55" s="15"/>
      <c r="B55" s="15"/>
      <c r="C55" s="49"/>
      <c r="D55" s="49"/>
      <c r="E55" s="49"/>
      <c r="F55" s="49"/>
      <c r="G55" s="49"/>
      <c r="H55" s="49"/>
      <c r="I55" s="49"/>
      <c r="J55" s="49"/>
      <c r="K55" s="49"/>
      <c r="L55" s="38"/>
      <c r="M55" s="25"/>
      <c r="N55" s="25"/>
      <c r="O55" s="49"/>
      <c r="P55" s="1"/>
      <c r="Q55" s="8"/>
      <c r="R55" s="92"/>
      <c r="S55" s="20" t="str">
        <f ca="1">IFERROR(__xludf.DUMMYFUNCTION("IFERROR(vlookup(B55,IMPORTRANGE(""https://docs.google.com/spreadsheets/d/1g_jfYYK_KeipEDNDUgqgrsxK94XiocfNQIcP-v1QVhI/edit?resourcekey#gid=233272945"",""Nilai!B:CT""),57,0),"" "")")," ")</f>
        <v xml:space="preserve"> </v>
      </c>
      <c r="T55" s="92"/>
      <c r="U55" s="8"/>
      <c r="V55" s="38"/>
      <c r="W55" s="1"/>
      <c r="X55" s="1"/>
      <c r="Y55" s="1"/>
    </row>
    <row r="56" spans="1:25">
      <c r="A56" s="15"/>
      <c r="B56" s="15"/>
      <c r="C56" s="49"/>
      <c r="D56" s="49"/>
      <c r="E56" s="49"/>
      <c r="F56" s="49"/>
      <c r="G56" s="49"/>
      <c r="H56" s="49"/>
      <c r="I56" s="49"/>
      <c r="J56" s="49"/>
      <c r="K56" s="49"/>
      <c r="L56" s="38"/>
      <c r="M56" s="25"/>
      <c r="N56" s="25"/>
      <c r="O56" s="49"/>
      <c r="P56" s="1"/>
      <c r="Q56" s="50"/>
      <c r="R56" s="92"/>
      <c r="S56" s="20" t="str">
        <f ca="1">IFERROR(__xludf.DUMMYFUNCTION("IFERROR(vlookup(B56,IMPORTRANGE(""https://docs.google.com/spreadsheets/d/1g_jfYYK_KeipEDNDUgqgrsxK94XiocfNQIcP-v1QVhI/edit?resourcekey#gid=233272945"",""Nilai!B:CT""),57,0),"" "")")," ")</f>
        <v xml:space="preserve"> </v>
      </c>
      <c r="T56" s="92"/>
      <c r="U56" s="50"/>
      <c r="V56" s="38"/>
      <c r="W56" s="1"/>
      <c r="X56" s="1"/>
      <c r="Y56" s="1"/>
    </row>
    <row r="57" spans="1:25">
      <c r="A57" s="15"/>
      <c r="B57" s="15"/>
      <c r="C57" s="49"/>
      <c r="D57" s="49"/>
      <c r="E57" s="49"/>
      <c r="F57" s="49"/>
      <c r="G57" s="49"/>
      <c r="H57" s="49"/>
      <c r="I57" s="49"/>
      <c r="J57" s="49"/>
      <c r="K57" s="49"/>
      <c r="L57" s="38"/>
      <c r="M57" s="25"/>
      <c r="N57" s="25"/>
      <c r="O57" s="49"/>
      <c r="P57" s="1"/>
      <c r="Q57" s="50"/>
      <c r="R57" s="92"/>
      <c r="S57" s="20" t="str">
        <f ca="1">IFERROR(__xludf.DUMMYFUNCTION("IFERROR(vlookup(B57,IMPORTRANGE(""https://docs.google.com/spreadsheets/d/1g_jfYYK_KeipEDNDUgqgrsxK94XiocfNQIcP-v1QVhI/edit?resourcekey#gid=233272945"",""Nilai!B:CT""),57,0),"" "")")," ")</f>
        <v xml:space="preserve"> </v>
      </c>
      <c r="T57" s="92"/>
      <c r="U57" s="50"/>
      <c r="V57" s="38"/>
      <c r="W57" s="1"/>
      <c r="X57" s="1"/>
      <c r="Y57" s="1"/>
    </row>
    <row r="58" spans="1:25">
      <c r="A58" s="15"/>
      <c r="B58" s="15"/>
      <c r="C58" s="49"/>
      <c r="D58" s="49"/>
      <c r="E58" s="49"/>
      <c r="F58" s="49"/>
      <c r="G58" s="49"/>
      <c r="H58" s="49"/>
      <c r="I58" s="49"/>
      <c r="J58" s="49"/>
      <c r="K58" s="49"/>
      <c r="L58" s="38"/>
      <c r="M58" s="25"/>
      <c r="N58" s="25"/>
      <c r="O58" s="49"/>
      <c r="P58" s="1"/>
      <c r="Q58" s="8"/>
      <c r="R58" s="92"/>
      <c r="S58" s="20" t="str">
        <f ca="1">IFERROR(__xludf.DUMMYFUNCTION("IFERROR(vlookup(B58,IMPORTRANGE(""https://docs.google.com/spreadsheets/d/1g_jfYYK_KeipEDNDUgqgrsxK94XiocfNQIcP-v1QVhI/edit?resourcekey#gid=233272945"",""Nilai!B:CT""),57,0),"" "")")," ")</f>
        <v xml:space="preserve"> </v>
      </c>
      <c r="T58" s="92"/>
      <c r="U58" s="8"/>
      <c r="V58" s="38"/>
      <c r="W58" s="1"/>
      <c r="X58" s="1"/>
      <c r="Y58" s="1"/>
    </row>
    <row r="59" spans="1:25">
      <c r="A59" s="15"/>
      <c r="B59" s="15"/>
      <c r="C59" s="49"/>
      <c r="D59" s="49"/>
      <c r="E59" s="49"/>
      <c r="F59" s="49"/>
      <c r="G59" s="49"/>
      <c r="H59" s="49"/>
      <c r="I59" s="49"/>
      <c r="J59" s="49"/>
      <c r="K59" s="49"/>
      <c r="L59" s="38"/>
      <c r="M59" s="25"/>
      <c r="N59" s="25"/>
      <c r="O59" s="49"/>
      <c r="P59" s="1"/>
      <c r="Q59" s="8"/>
      <c r="R59" s="92"/>
      <c r="S59" s="20" t="str">
        <f ca="1">IFERROR(__xludf.DUMMYFUNCTION("IFERROR(vlookup(B59,IMPORTRANGE(""https://docs.google.com/spreadsheets/d/1g_jfYYK_KeipEDNDUgqgrsxK94XiocfNQIcP-v1QVhI/edit?resourcekey#gid=233272945"",""Nilai!B:CT""),57,0),"" "")")," ")</f>
        <v xml:space="preserve"> </v>
      </c>
      <c r="T59" s="92"/>
      <c r="U59" s="8"/>
      <c r="V59" s="38"/>
      <c r="W59" s="1"/>
      <c r="X59" s="1"/>
      <c r="Y59" s="1"/>
    </row>
    <row r="60" spans="1:25">
      <c r="A60" s="15"/>
      <c r="B60" s="15"/>
      <c r="C60" s="49"/>
      <c r="D60" s="49"/>
      <c r="E60" s="49"/>
      <c r="F60" s="49"/>
      <c r="G60" s="49"/>
      <c r="H60" s="49"/>
      <c r="I60" s="49"/>
      <c r="J60" s="49"/>
      <c r="K60" s="49"/>
      <c r="L60" s="38"/>
      <c r="M60" s="25"/>
      <c r="N60" s="25"/>
      <c r="O60" s="49"/>
      <c r="P60" s="1"/>
      <c r="Q60" s="8"/>
      <c r="R60" s="92"/>
      <c r="S60" s="20" t="str">
        <f ca="1">IFERROR(__xludf.DUMMYFUNCTION("IFERROR(vlookup(B60,IMPORTRANGE(""https://docs.google.com/spreadsheets/d/1g_jfYYK_KeipEDNDUgqgrsxK94XiocfNQIcP-v1QVhI/edit?resourcekey#gid=233272945"",""Nilai!B:CT""),57,0),"" "")")," ")</f>
        <v xml:space="preserve"> </v>
      </c>
      <c r="T60" s="92"/>
      <c r="U60" s="8"/>
      <c r="V60" s="38"/>
      <c r="W60" s="1"/>
      <c r="X60" s="1"/>
      <c r="Y60" s="1"/>
    </row>
    <row r="61" spans="1:25">
      <c r="A61" s="15"/>
      <c r="B61" s="15"/>
      <c r="C61" s="49"/>
      <c r="D61" s="49"/>
      <c r="E61" s="49"/>
      <c r="F61" s="49"/>
      <c r="G61" s="49"/>
      <c r="H61" s="49"/>
      <c r="I61" s="49"/>
      <c r="J61" s="49"/>
      <c r="K61" s="49"/>
      <c r="L61" s="38"/>
      <c r="M61" s="25"/>
      <c r="N61" s="25"/>
      <c r="O61" s="49"/>
      <c r="P61" s="1"/>
      <c r="Q61" s="8"/>
      <c r="R61" s="92"/>
      <c r="S61" s="20" t="str">
        <f ca="1">IFERROR(__xludf.DUMMYFUNCTION("IFERROR(vlookup(B61,IMPORTRANGE(""https://docs.google.com/spreadsheets/d/1g_jfYYK_KeipEDNDUgqgrsxK94XiocfNQIcP-v1QVhI/edit?resourcekey#gid=233272945"",""Nilai!B:CT""),57,0),"" "")")," ")</f>
        <v xml:space="preserve"> </v>
      </c>
      <c r="T61" s="92"/>
      <c r="U61" s="8"/>
      <c r="V61" s="38"/>
      <c r="W61" s="1"/>
      <c r="X61" s="1"/>
      <c r="Y61" s="1"/>
    </row>
    <row r="62" spans="1:25">
      <c r="A62" s="15"/>
      <c r="B62" s="15"/>
      <c r="C62" s="49"/>
      <c r="D62" s="49"/>
      <c r="E62" s="49"/>
      <c r="F62" s="49"/>
      <c r="G62" s="49"/>
      <c r="H62" s="49"/>
      <c r="I62" s="49"/>
      <c r="J62" s="49"/>
      <c r="K62" s="49"/>
      <c r="L62" s="38"/>
      <c r="M62" s="25"/>
      <c r="N62" s="25"/>
      <c r="O62" s="49"/>
      <c r="P62" s="1"/>
      <c r="Q62" s="8"/>
      <c r="R62" s="92"/>
      <c r="S62" s="20" t="str">
        <f ca="1">IFERROR(__xludf.DUMMYFUNCTION("IFERROR(vlookup(B62,IMPORTRANGE(""https://docs.google.com/spreadsheets/d/1g_jfYYK_KeipEDNDUgqgrsxK94XiocfNQIcP-v1QVhI/edit?resourcekey#gid=233272945"",""Nilai!B:CT""),57,0),"" "")")," ")</f>
        <v xml:space="preserve"> </v>
      </c>
      <c r="T62" s="92"/>
      <c r="U62" s="8"/>
      <c r="V62" s="38"/>
      <c r="W62" s="1"/>
      <c r="X62" s="1"/>
      <c r="Y62" s="1"/>
    </row>
    <row r="63" spans="1:25">
      <c r="A63" s="15"/>
      <c r="B63" s="15"/>
      <c r="C63" s="49"/>
      <c r="D63" s="49"/>
      <c r="E63" s="49"/>
      <c r="F63" s="49"/>
      <c r="G63" s="49"/>
      <c r="H63" s="49"/>
      <c r="I63" s="49"/>
      <c r="J63" s="49"/>
      <c r="K63" s="49"/>
      <c r="L63" s="38"/>
      <c r="M63" s="25"/>
      <c r="N63" s="25"/>
      <c r="O63" s="49"/>
      <c r="P63" s="1"/>
      <c r="Q63" s="8"/>
      <c r="R63" s="92"/>
      <c r="S63" s="20" t="str">
        <f ca="1">IFERROR(__xludf.DUMMYFUNCTION("IFERROR(vlookup(B63,IMPORTRANGE(""https://docs.google.com/spreadsheets/d/1g_jfYYK_KeipEDNDUgqgrsxK94XiocfNQIcP-v1QVhI/edit?resourcekey#gid=233272945"",""Nilai!B:CT""),57,0),"" "")")," ")</f>
        <v xml:space="preserve"> </v>
      </c>
      <c r="T63" s="92"/>
      <c r="U63" s="8"/>
      <c r="V63" s="38"/>
      <c r="W63" s="1"/>
      <c r="X63" s="1"/>
      <c r="Y63" s="1"/>
    </row>
    <row r="64" spans="1:25">
      <c r="A64" s="15"/>
      <c r="B64" s="15"/>
      <c r="C64" s="49"/>
      <c r="D64" s="49"/>
      <c r="E64" s="49"/>
      <c r="F64" s="49"/>
      <c r="G64" s="49"/>
      <c r="H64" s="49"/>
      <c r="I64" s="49"/>
      <c r="J64" s="49"/>
      <c r="K64" s="49"/>
      <c r="L64" s="38"/>
      <c r="M64" s="25"/>
      <c r="N64" s="25"/>
      <c r="O64" s="49"/>
      <c r="P64" s="1"/>
      <c r="Q64" s="8"/>
      <c r="R64" s="66"/>
      <c r="S64" s="20" t="str">
        <f ca="1">IFERROR(__xludf.DUMMYFUNCTION("IFERROR(vlookup(B64,IMPORTRANGE(""https://docs.google.com/spreadsheets/d/1g_jfYYK_KeipEDNDUgqgrsxK94XiocfNQIcP-v1QVhI/edit?resourcekey#gid=233272945"",""Nilai!B:CT""),57,0),"" "")")," ")</f>
        <v xml:space="preserve"> </v>
      </c>
      <c r="T64" s="66"/>
      <c r="U64" s="8"/>
      <c r="V64" s="38"/>
      <c r="W64" s="1"/>
      <c r="X64" s="1"/>
      <c r="Y64" s="1"/>
    </row>
    <row r="65" spans="1:25">
      <c r="A65" s="15"/>
      <c r="B65" s="15"/>
      <c r="C65" s="49"/>
      <c r="D65" s="49"/>
      <c r="E65" s="49"/>
      <c r="F65" s="49"/>
      <c r="G65" s="49"/>
      <c r="H65" s="49"/>
      <c r="I65" s="49"/>
      <c r="J65" s="49"/>
      <c r="K65" s="49"/>
      <c r="L65" s="38"/>
      <c r="M65" s="25"/>
      <c r="N65" s="25"/>
      <c r="O65" s="49"/>
      <c r="P65" s="1"/>
      <c r="Q65" s="8"/>
      <c r="R65" s="66"/>
      <c r="S65" s="20" t="str">
        <f ca="1">IFERROR(__xludf.DUMMYFUNCTION("IFERROR(vlookup(B65,IMPORTRANGE(""https://docs.google.com/spreadsheets/d/1g_jfYYK_KeipEDNDUgqgrsxK94XiocfNQIcP-v1QVhI/edit?resourcekey#gid=233272945"",""Nilai!B:CT""),57,0),"" "")")," ")</f>
        <v xml:space="preserve"> </v>
      </c>
      <c r="T65" s="66"/>
      <c r="U65" s="8"/>
      <c r="V65" s="38"/>
      <c r="W65" s="1"/>
      <c r="X65" s="1"/>
      <c r="Y65" s="1"/>
    </row>
    <row r="66" spans="1:25">
      <c r="A66" s="15"/>
      <c r="B66" s="15"/>
      <c r="C66" s="49"/>
      <c r="D66" s="49"/>
      <c r="E66" s="49"/>
      <c r="F66" s="49"/>
      <c r="G66" s="49"/>
      <c r="H66" s="49"/>
      <c r="I66" s="49"/>
      <c r="J66" s="49"/>
      <c r="K66" s="49"/>
      <c r="L66" s="38"/>
      <c r="M66" s="25"/>
      <c r="N66" s="25"/>
      <c r="O66" s="49"/>
      <c r="P66" s="1"/>
      <c r="Q66" s="8"/>
      <c r="R66" s="66"/>
      <c r="S66" s="20" t="str">
        <f ca="1">IFERROR(__xludf.DUMMYFUNCTION("IFERROR(vlookup(B66,IMPORTRANGE(""https://docs.google.com/spreadsheets/d/1g_jfYYK_KeipEDNDUgqgrsxK94XiocfNQIcP-v1QVhI/edit?resourcekey#gid=233272945"",""Nilai!B:CT""),57,0),"" "")")," ")</f>
        <v xml:space="preserve"> </v>
      </c>
      <c r="T66" s="66"/>
      <c r="U66" s="8"/>
      <c r="V66" s="38"/>
      <c r="W66" s="1"/>
      <c r="X66" s="1"/>
      <c r="Y66" s="1"/>
    </row>
    <row r="67" spans="1:25">
      <c r="A67" s="15"/>
      <c r="B67" s="15"/>
      <c r="C67" s="49"/>
      <c r="D67" s="49"/>
      <c r="E67" s="49"/>
      <c r="F67" s="49"/>
      <c r="G67" s="49"/>
      <c r="H67" s="49"/>
      <c r="I67" s="49"/>
      <c r="J67" s="49"/>
      <c r="K67" s="49"/>
      <c r="L67" s="38"/>
      <c r="M67" s="25"/>
      <c r="N67" s="25"/>
      <c r="O67" s="49"/>
      <c r="P67" s="1"/>
      <c r="Q67" s="8"/>
      <c r="R67" s="66"/>
      <c r="S67" s="20" t="str">
        <f ca="1">IFERROR(__xludf.DUMMYFUNCTION("IFERROR(vlookup(B67,IMPORTRANGE(""https://docs.google.com/spreadsheets/d/1g_jfYYK_KeipEDNDUgqgrsxK94XiocfNQIcP-v1QVhI/edit?resourcekey#gid=233272945"",""Nilai!B:CT""),57,0),"" "")")," ")</f>
        <v xml:space="preserve"> </v>
      </c>
      <c r="T67" s="66"/>
      <c r="U67" s="8"/>
      <c r="V67" s="38"/>
      <c r="W67" s="1"/>
      <c r="X67" s="1"/>
      <c r="Y67" s="1"/>
    </row>
    <row r="68" spans="1:25">
      <c r="A68" s="15"/>
      <c r="B68" s="15"/>
      <c r="C68" s="49"/>
      <c r="D68" s="49"/>
      <c r="E68" s="49"/>
      <c r="F68" s="49"/>
      <c r="G68" s="49"/>
      <c r="H68" s="49"/>
      <c r="I68" s="49"/>
      <c r="J68" s="49"/>
      <c r="K68" s="49"/>
      <c r="L68" s="38"/>
      <c r="M68" s="25"/>
      <c r="N68" s="25"/>
      <c r="O68" s="49"/>
      <c r="P68" s="1"/>
      <c r="Q68" s="8"/>
      <c r="R68" s="66"/>
      <c r="S68" s="20" t="str">
        <f ca="1">IFERROR(__xludf.DUMMYFUNCTION("IFERROR(vlookup(B68,IMPORTRANGE(""https://docs.google.com/spreadsheets/d/1g_jfYYK_KeipEDNDUgqgrsxK94XiocfNQIcP-v1QVhI/edit?resourcekey#gid=233272945"",""Nilai!B:CT""),57,0),"" "")")," ")</f>
        <v xml:space="preserve"> </v>
      </c>
      <c r="T68" s="66"/>
      <c r="U68" s="8"/>
      <c r="V68" s="38"/>
      <c r="W68" s="1"/>
      <c r="X68" s="1"/>
      <c r="Y68" s="1"/>
    </row>
    <row r="69" spans="1:25">
      <c r="A69" s="15"/>
      <c r="B69" s="15"/>
      <c r="C69" s="49"/>
      <c r="D69" s="49"/>
      <c r="E69" s="49"/>
      <c r="F69" s="49"/>
      <c r="G69" s="49"/>
      <c r="H69" s="49"/>
      <c r="I69" s="49"/>
      <c r="J69" s="49"/>
      <c r="K69" s="49"/>
      <c r="L69" s="38"/>
      <c r="M69" s="25"/>
      <c r="N69" s="25"/>
      <c r="O69" s="49"/>
      <c r="P69" s="1"/>
      <c r="Q69" s="8"/>
      <c r="R69" s="66"/>
      <c r="S69" s="20" t="str">
        <f ca="1">IFERROR(__xludf.DUMMYFUNCTION("IFERROR(vlookup(B69,IMPORTRANGE(""https://docs.google.com/spreadsheets/d/1g_jfYYK_KeipEDNDUgqgrsxK94XiocfNQIcP-v1QVhI/edit?resourcekey#gid=233272945"",""Nilai!B:CT""),57,0),"" "")")," ")</f>
        <v xml:space="preserve"> </v>
      </c>
      <c r="T69" s="66"/>
      <c r="U69" s="8"/>
      <c r="V69" s="38"/>
      <c r="W69" s="1"/>
      <c r="X69" s="1"/>
      <c r="Y69" s="1"/>
    </row>
    <row r="70" spans="1:25">
      <c r="A70" s="15"/>
      <c r="B70" s="15"/>
      <c r="C70" s="49"/>
      <c r="D70" s="49"/>
      <c r="E70" s="49"/>
      <c r="F70" s="49"/>
      <c r="G70" s="49"/>
      <c r="H70" s="49"/>
      <c r="I70" s="49"/>
      <c r="J70" s="49"/>
      <c r="K70" s="49"/>
      <c r="L70" s="38"/>
      <c r="M70" s="25"/>
      <c r="N70" s="25"/>
      <c r="O70" s="49"/>
      <c r="P70" s="1"/>
      <c r="Q70" s="8"/>
      <c r="R70" s="66"/>
      <c r="S70" s="20" t="str">
        <f ca="1">IFERROR(__xludf.DUMMYFUNCTION("IFERROR(vlookup(B70,IMPORTRANGE(""https://docs.google.com/spreadsheets/d/1g_jfYYK_KeipEDNDUgqgrsxK94XiocfNQIcP-v1QVhI/edit?resourcekey#gid=233272945"",""Nilai!B:CT""),57,0),"" "")")," ")</f>
        <v xml:space="preserve"> </v>
      </c>
      <c r="T70" s="66"/>
      <c r="U70" s="8"/>
      <c r="V70" s="38"/>
      <c r="W70" s="1"/>
      <c r="X70" s="1"/>
      <c r="Y70" s="1"/>
    </row>
    <row r="71" spans="1:25">
      <c r="A71" s="15"/>
      <c r="B71" s="15"/>
      <c r="C71" s="49"/>
      <c r="D71" s="49"/>
      <c r="E71" s="49"/>
      <c r="F71" s="49"/>
      <c r="G71" s="49"/>
      <c r="H71" s="49"/>
      <c r="I71" s="49"/>
      <c r="J71" s="49"/>
      <c r="K71" s="49"/>
      <c r="L71" s="38"/>
      <c r="M71" s="25"/>
      <c r="N71" s="25"/>
      <c r="O71" s="49"/>
      <c r="P71" s="1"/>
      <c r="Q71" s="8"/>
      <c r="R71" s="66"/>
      <c r="S71" s="20" t="str">
        <f ca="1">IFERROR(__xludf.DUMMYFUNCTION("IFERROR(vlookup(B71,IMPORTRANGE(""https://docs.google.com/spreadsheets/d/1g_jfYYK_KeipEDNDUgqgrsxK94XiocfNQIcP-v1QVhI/edit?resourcekey#gid=233272945"",""Nilai!B:CT""),57,0),"" "")")," ")</f>
        <v xml:space="preserve"> </v>
      </c>
      <c r="T71" s="66"/>
      <c r="U71" s="8"/>
      <c r="V71" s="38"/>
      <c r="W71" s="1"/>
      <c r="X71" s="1"/>
      <c r="Y71" s="1"/>
    </row>
    <row r="72" spans="1:25">
      <c r="A72" s="15"/>
      <c r="B72" s="15"/>
      <c r="C72" s="49"/>
      <c r="D72" s="49"/>
      <c r="E72" s="49"/>
      <c r="F72" s="49"/>
      <c r="G72" s="49"/>
      <c r="H72" s="49"/>
      <c r="I72" s="49"/>
      <c r="J72" s="49"/>
      <c r="K72" s="49"/>
      <c r="L72" s="38"/>
      <c r="M72" s="25"/>
      <c r="N72" s="25"/>
      <c r="O72" s="49"/>
      <c r="P72" s="1"/>
      <c r="Q72" s="8"/>
      <c r="R72" s="66"/>
      <c r="S72" s="20" t="str">
        <f ca="1">IFERROR(__xludf.DUMMYFUNCTION("IFERROR(vlookup(B72,IMPORTRANGE(""https://docs.google.com/spreadsheets/d/1g_jfYYK_KeipEDNDUgqgrsxK94XiocfNQIcP-v1QVhI/edit?resourcekey#gid=233272945"",""Nilai!B:CT""),57,0),"" "")")," ")</f>
        <v xml:space="preserve"> </v>
      </c>
      <c r="T72" s="66"/>
      <c r="U72" s="8"/>
      <c r="V72" s="38"/>
      <c r="W72" s="1"/>
      <c r="X72" s="1"/>
      <c r="Y72" s="1"/>
    </row>
    <row r="73" spans="1:25">
      <c r="A73" s="15"/>
      <c r="B73" s="15"/>
      <c r="C73" s="49"/>
      <c r="D73" s="49"/>
      <c r="E73" s="49"/>
      <c r="F73" s="49"/>
      <c r="G73" s="49"/>
      <c r="H73" s="49"/>
      <c r="I73" s="49"/>
      <c r="J73" s="49"/>
      <c r="K73" s="49"/>
      <c r="L73" s="38"/>
      <c r="M73" s="25"/>
      <c r="N73" s="25"/>
      <c r="O73" s="49"/>
      <c r="P73" s="1"/>
      <c r="Q73" s="8"/>
      <c r="R73" s="66"/>
      <c r="S73" s="20" t="str">
        <f ca="1">IFERROR(__xludf.DUMMYFUNCTION("IFERROR(vlookup(B73,IMPORTRANGE(""https://docs.google.com/spreadsheets/d/1g_jfYYK_KeipEDNDUgqgrsxK94XiocfNQIcP-v1QVhI/edit?resourcekey#gid=233272945"",""Nilai!B:CT""),57,0),"" "")")," ")</f>
        <v xml:space="preserve"> </v>
      </c>
      <c r="T73" s="66"/>
      <c r="U73" s="8"/>
      <c r="V73" s="38"/>
      <c r="W73" s="1"/>
      <c r="X73" s="1"/>
      <c r="Y73" s="1"/>
    </row>
    <row r="74" spans="1:25">
      <c r="A74" s="15"/>
      <c r="B74" s="15"/>
      <c r="C74" s="49"/>
      <c r="D74" s="49"/>
      <c r="E74" s="49"/>
      <c r="F74" s="49"/>
      <c r="G74" s="49"/>
      <c r="H74" s="49"/>
      <c r="I74" s="49"/>
      <c r="J74" s="49"/>
      <c r="K74" s="49"/>
      <c r="L74" s="38"/>
      <c r="M74" s="25"/>
      <c r="N74" s="25"/>
      <c r="O74" s="49"/>
      <c r="P74" s="1"/>
      <c r="Q74" s="8"/>
      <c r="R74" s="66"/>
      <c r="S74" s="20" t="str">
        <f ca="1">IFERROR(__xludf.DUMMYFUNCTION("IFERROR(vlookup(B74,IMPORTRANGE(""https://docs.google.com/spreadsheets/d/1g_jfYYK_KeipEDNDUgqgrsxK94XiocfNQIcP-v1QVhI/edit?resourcekey#gid=233272945"",""Nilai!B:CT""),57,0),"" "")")," ")</f>
        <v xml:space="preserve"> </v>
      </c>
      <c r="T74" s="66"/>
      <c r="U74" s="8"/>
      <c r="V74" s="38"/>
      <c r="W74" s="1"/>
      <c r="X74" s="1"/>
      <c r="Y74" s="1"/>
    </row>
    <row r="75" spans="1:25">
      <c r="A75" s="15"/>
      <c r="B75" s="15"/>
      <c r="C75" s="49"/>
      <c r="D75" s="49"/>
      <c r="E75" s="49"/>
      <c r="F75" s="49"/>
      <c r="G75" s="49"/>
      <c r="H75" s="49"/>
      <c r="I75" s="49"/>
      <c r="J75" s="49"/>
      <c r="K75" s="49"/>
      <c r="L75" s="38"/>
      <c r="M75" s="25"/>
      <c r="N75" s="25"/>
      <c r="O75" s="49"/>
      <c r="P75" s="1"/>
      <c r="Q75" s="8"/>
      <c r="R75" s="66"/>
      <c r="S75" s="20" t="str">
        <f ca="1">IFERROR(__xludf.DUMMYFUNCTION("IFERROR(vlookup(B75,IMPORTRANGE(""https://docs.google.com/spreadsheets/d/1g_jfYYK_KeipEDNDUgqgrsxK94XiocfNQIcP-v1QVhI/edit?resourcekey#gid=233272945"",""Nilai!B:CT""),57,0),"" "")")," ")</f>
        <v xml:space="preserve"> </v>
      </c>
      <c r="T75" s="66"/>
      <c r="U75" s="8"/>
      <c r="V75" s="38"/>
      <c r="W75" s="1"/>
      <c r="X75" s="1"/>
      <c r="Y75" s="1"/>
    </row>
    <row r="76" spans="1:25">
      <c r="A76" s="15"/>
      <c r="B76" s="15"/>
      <c r="C76" s="49"/>
      <c r="D76" s="49"/>
      <c r="E76" s="49"/>
      <c r="F76" s="49"/>
      <c r="G76" s="49"/>
      <c r="H76" s="49"/>
      <c r="I76" s="49"/>
      <c r="J76" s="49"/>
      <c r="K76" s="49"/>
      <c r="L76" s="38"/>
      <c r="M76" s="25"/>
      <c r="N76" s="25"/>
      <c r="O76" s="49"/>
      <c r="P76" s="1"/>
      <c r="Q76" s="8"/>
      <c r="R76" s="66"/>
      <c r="S76" s="20" t="str">
        <f ca="1">IFERROR(__xludf.DUMMYFUNCTION("IFERROR(vlookup(B76,IMPORTRANGE(""https://docs.google.com/spreadsheets/d/1g_jfYYK_KeipEDNDUgqgrsxK94XiocfNQIcP-v1QVhI/edit?resourcekey#gid=233272945"",""Nilai!B:CT""),57,0),"" "")")," ")</f>
        <v xml:space="preserve"> </v>
      </c>
      <c r="T76" s="66"/>
      <c r="U76" s="8"/>
      <c r="V76" s="38"/>
      <c r="W76" s="1"/>
      <c r="X76" s="1"/>
      <c r="Y76" s="1"/>
    </row>
    <row r="77" spans="1:25">
      <c r="A77" s="15"/>
      <c r="B77" s="15"/>
      <c r="C77" s="49"/>
      <c r="D77" s="49"/>
      <c r="E77" s="49"/>
      <c r="F77" s="49"/>
      <c r="G77" s="49"/>
      <c r="H77" s="49"/>
      <c r="I77" s="49"/>
      <c r="J77" s="49"/>
      <c r="K77" s="49"/>
      <c r="L77" s="38"/>
      <c r="M77" s="25"/>
      <c r="N77" s="25"/>
      <c r="O77" s="49"/>
      <c r="P77" s="1"/>
      <c r="Q77" s="8"/>
      <c r="R77" s="66"/>
      <c r="S77" s="20" t="str">
        <f ca="1">IFERROR(__xludf.DUMMYFUNCTION("IFERROR(vlookup(B77,IMPORTRANGE(""https://docs.google.com/spreadsheets/d/1g_jfYYK_KeipEDNDUgqgrsxK94XiocfNQIcP-v1QVhI/edit?resourcekey#gid=233272945"",""Nilai!B:CT""),57,0),"" "")")," ")</f>
        <v xml:space="preserve"> </v>
      </c>
      <c r="T77" s="66"/>
      <c r="U77" s="8"/>
      <c r="V77" s="38"/>
      <c r="W77" s="1"/>
      <c r="X77" s="1"/>
      <c r="Y77" s="1"/>
    </row>
    <row r="78" spans="1:25">
      <c r="A78" s="15"/>
      <c r="B78" s="15"/>
      <c r="C78" s="49"/>
      <c r="D78" s="49"/>
      <c r="E78" s="49"/>
      <c r="F78" s="49"/>
      <c r="G78" s="49"/>
      <c r="H78" s="49"/>
      <c r="I78" s="49"/>
      <c r="J78" s="49"/>
      <c r="K78" s="49"/>
      <c r="L78" s="38"/>
      <c r="M78" s="25"/>
      <c r="N78" s="25"/>
      <c r="O78" s="49"/>
      <c r="P78" s="1"/>
      <c r="Q78" s="8"/>
      <c r="R78" s="66"/>
      <c r="S78" s="20" t="str">
        <f ca="1">IFERROR(__xludf.DUMMYFUNCTION("IFERROR(vlookup(B78,IMPORTRANGE(""https://docs.google.com/spreadsheets/d/1g_jfYYK_KeipEDNDUgqgrsxK94XiocfNQIcP-v1QVhI/edit?resourcekey#gid=233272945"",""Nilai!B:CT""),57,0),"" "")")," ")</f>
        <v xml:space="preserve"> </v>
      </c>
      <c r="T78" s="66"/>
      <c r="U78" s="8"/>
      <c r="V78" s="38"/>
      <c r="W78" s="1"/>
      <c r="X78" s="1"/>
      <c r="Y78" s="1"/>
    </row>
    <row r="79" spans="1:25">
      <c r="A79" s="15"/>
      <c r="B79" s="15"/>
      <c r="C79" s="49"/>
      <c r="D79" s="49"/>
      <c r="E79" s="49"/>
      <c r="F79" s="49"/>
      <c r="G79" s="49"/>
      <c r="H79" s="49"/>
      <c r="I79" s="49"/>
      <c r="J79" s="49"/>
      <c r="K79" s="49"/>
      <c r="L79" s="38"/>
      <c r="M79" s="25"/>
      <c r="N79" s="25"/>
      <c r="O79" s="49"/>
      <c r="P79" s="1"/>
      <c r="Q79" s="8"/>
      <c r="R79" s="66"/>
      <c r="S79" s="20" t="str">
        <f ca="1">IFERROR(__xludf.DUMMYFUNCTION("IFERROR(vlookup(B79,IMPORTRANGE(""https://docs.google.com/spreadsheets/d/1g_jfYYK_KeipEDNDUgqgrsxK94XiocfNQIcP-v1QVhI/edit?resourcekey#gid=233272945"",""Nilai!B:CT""),57,0),"" "")")," ")</f>
        <v xml:space="preserve"> </v>
      </c>
      <c r="T79" s="66"/>
      <c r="U79" s="8"/>
      <c r="V79" s="38"/>
      <c r="W79" s="1"/>
      <c r="X79" s="1"/>
      <c r="Y79" s="1"/>
    </row>
    <row r="80" spans="1:25">
      <c r="A80" s="15"/>
      <c r="B80" s="15"/>
      <c r="C80" s="49"/>
      <c r="D80" s="49"/>
      <c r="E80" s="49"/>
      <c r="F80" s="49"/>
      <c r="G80" s="49"/>
      <c r="H80" s="49"/>
      <c r="I80" s="49"/>
      <c r="J80" s="49"/>
      <c r="K80" s="49"/>
      <c r="L80" s="38"/>
      <c r="M80" s="25"/>
      <c r="N80" s="25"/>
      <c r="O80" s="49"/>
      <c r="P80" s="1"/>
      <c r="Q80" s="8"/>
      <c r="R80" s="66"/>
      <c r="S80" s="20" t="str">
        <f ca="1">IFERROR(__xludf.DUMMYFUNCTION("IFERROR(vlookup(B80,IMPORTRANGE(""https://docs.google.com/spreadsheets/d/1g_jfYYK_KeipEDNDUgqgrsxK94XiocfNQIcP-v1QVhI/edit?resourcekey#gid=233272945"",""Nilai!B:CT""),57,0),"" "")")," ")</f>
        <v xml:space="preserve"> </v>
      </c>
      <c r="T80" s="66"/>
      <c r="U80" s="8"/>
      <c r="V80" s="38"/>
      <c r="W80" s="1"/>
      <c r="X80" s="1"/>
      <c r="Y80" s="1"/>
    </row>
    <row r="81" spans="1:25">
      <c r="A81" s="15"/>
      <c r="B81" s="15"/>
      <c r="C81" s="49"/>
      <c r="D81" s="49"/>
      <c r="E81" s="49"/>
      <c r="F81" s="49"/>
      <c r="G81" s="49"/>
      <c r="H81" s="49"/>
      <c r="I81" s="49"/>
      <c r="J81" s="49"/>
      <c r="K81" s="49"/>
      <c r="L81" s="38"/>
      <c r="M81" s="25"/>
      <c r="N81" s="25"/>
      <c r="O81" s="49"/>
      <c r="P81" s="1"/>
      <c r="Q81" s="8"/>
      <c r="R81" s="66"/>
      <c r="S81" s="20" t="str">
        <f ca="1">IFERROR(__xludf.DUMMYFUNCTION("IFERROR(vlookup(B81,IMPORTRANGE(""https://docs.google.com/spreadsheets/d/1g_jfYYK_KeipEDNDUgqgrsxK94XiocfNQIcP-v1QVhI/edit?resourcekey#gid=233272945"",""Nilai!B:CT""),57,0),"" "")")," ")</f>
        <v xml:space="preserve"> </v>
      </c>
      <c r="T81" s="66"/>
      <c r="U81" s="8"/>
      <c r="V81" s="38"/>
      <c r="W81" s="1"/>
      <c r="X81" s="1"/>
      <c r="Y81" s="1"/>
    </row>
    <row r="82" spans="1:25">
      <c r="A82" s="15"/>
      <c r="B82" s="15"/>
      <c r="C82" s="49"/>
      <c r="D82" s="49"/>
      <c r="E82" s="49"/>
      <c r="F82" s="49"/>
      <c r="G82" s="49"/>
      <c r="H82" s="49"/>
      <c r="I82" s="49"/>
      <c r="J82" s="49"/>
      <c r="K82" s="49"/>
      <c r="L82" s="38"/>
      <c r="M82" s="25"/>
      <c r="N82" s="25"/>
      <c r="O82" s="49"/>
      <c r="P82" s="1"/>
      <c r="Q82" s="8"/>
      <c r="R82" s="66"/>
      <c r="S82" s="20" t="str">
        <f ca="1">IFERROR(__xludf.DUMMYFUNCTION("IFERROR(vlookup(B82,IMPORTRANGE(""https://docs.google.com/spreadsheets/d/1g_jfYYK_KeipEDNDUgqgrsxK94XiocfNQIcP-v1QVhI/edit?resourcekey#gid=233272945"",""Nilai!B:CT""),57,0),"" "")")," ")</f>
        <v xml:space="preserve"> </v>
      </c>
      <c r="T82" s="66"/>
      <c r="U82" s="8"/>
      <c r="V82" s="38"/>
      <c r="W82" s="1"/>
      <c r="X82" s="1"/>
      <c r="Y82" s="1"/>
    </row>
    <row r="83" spans="1:25">
      <c r="A83" s="15"/>
      <c r="B83" s="15"/>
      <c r="C83" s="49"/>
      <c r="D83" s="49"/>
      <c r="E83" s="49"/>
      <c r="F83" s="49"/>
      <c r="G83" s="49"/>
      <c r="H83" s="49"/>
      <c r="I83" s="49"/>
      <c r="J83" s="49"/>
      <c r="K83" s="49"/>
      <c r="L83" s="38"/>
      <c r="M83" s="25"/>
      <c r="N83" s="25"/>
      <c r="O83" s="49"/>
      <c r="P83" s="1"/>
      <c r="Q83" s="8"/>
      <c r="R83" s="66"/>
      <c r="S83" s="20" t="str">
        <f ca="1">IFERROR(__xludf.DUMMYFUNCTION("IFERROR(vlookup(B83,IMPORTRANGE(""https://docs.google.com/spreadsheets/d/1g_jfYYK_KeipEDNDUgqgrsxK94XiocfNQIcP-v1QVhI/edit?resourcekey#gid=233272945"",""Nilai!B:CT""),57,0),"" "")")," ")</f>
        <v xml:space="preserve"> </v>
      </c>
      <c r="T83" s="66"/>
      <c r="U83" s="8"/>
      <c r="V83" s="38"/>
      <c r="W83" s="1"/>
      <c r="X83" s="1"/>
      <c r="Y83" s="1"/>
    </row>
    <row r="84" spans="1:25">
      <c r="A84" s="15"/>
      <c r="B84" s="15"/>
      <c r="C84" s="49"/>
      <c r="D84" s="49"/>
      <c r="E84" s="49"/>
      <c r="F84" s="49"/>
      <c r="G84" s="49"/>
      <c r="H84" s="49"/>
      <c r="I84" s="49"/>
      <c r="J84" s="49"/>
      <c r="K84" s="49"/>
      <c r="L84" s="38"/>
      <c r="M84" s="25"/>
      <c r="N84" s="25"/>
      <c r="O84" s="49"/>
      <c r="P84" s="1"/>
      <c r="Q84" s="8"/>
      <c r="R84" s="66"/>
      <c r="S84" s="20" t="str">
        <f ca="1">IFERROR(__xludf.DUMMYFUNCTION("IFERROR(vlookup(B84,IMPORTRANGE(""https://docs.google.com/spreadsheets/d/1g_jfYYK_KeipEDNDUgqgrsxK94XiocfNQIcP-v1QVhI/edit?resourcekey#gid=233272945"",""Nilai!B:CT""),57,0),"" "")")," ")</f>
        <v xml:space="preserve"> </v>
      </c>
      <c r="T84" s="66"/>
      <c r="U84" s="8"/>
      <c r="V84" s="38"/>
      <c r="W84" s="1"/>
      <c r="X84" s="1"/>
      <c r="Y84" s="1"/>
    </row>
    <row r="85" spans="1:25">
      <c r="A85" s="15"/>
      <c r="B85" s="15"/>
      <c r="C85" s="49"/>
      <c r="D85" s="49"/>
      <c r="E85" s="49"/>
      <c r="F85" s="49"/>
      <c r="G85" s="49"/>
      <c r="H85" s="49"/>
      <c r="I85" s="49"/>
      <c r="J85" s="49"/>
      <c r="K85" s="49"/>
      <c r="L85" s="38"/>
      <c r="M85" s="25"/>
      <c r="N85" s="25"/>
      <c r="O85" s="49"/>
      <c r="P85" s="1"/>
      <c r="Q85" s="8"/>
      <c r="R85" s="66"/>
      <c r="S85" s="20" t="str">
        <f ca="1">IFERROR(__xludf.DUMMYFUNCTION("IFERROR(vlookup(B85,IMPORTRANGE(""https://docs.google.com/spreadsheets/d/1g_jfYYK_KeipEDNDUgqgrsxK94XiocfNQIcP-v1QVhI/edit?resourcekey#gid=233272945"",""Nilai!B:CT""),57,0),"" "")")," ")</f>
        <v xml:space="preserve"> </v>
      </c>
      <c r="T85" s="66"/>
      <c r="U85" s="8"/>
      <c r="V85" s="38"/>
      <c r="W85" s="1"/>
      <c r="X85" s="1"/>
      <c r="Y85" s="1"/>
    </row>
    <row r="86" spans="1:25">
      <c r="A86" s="15"/>
      <c r="B86" s="15"/>
      <c r="C86" s="49"/>
      <c r="D86" s="49"/>
      <c r="E86" s="49"/>
      <c r="F86" s="49"/>
      <c r="G86" s="49"/>
      <c r="H86" s="49"/>
      <c r="I86" s="49"/>
      <c r="J86" s="49"/>
      <c r="K86" s="49"/>
      <c r="L86" s="38"/>
      <c r="M86" s="25"/>
      <c r="N86" s="25"/>
      <c r="O86" s="49"/>
      <c r="P86" s="1"/>
      <c r="Q86" s="8"/>
      <c r="R86" s="66"/>
      <c r="S86" s="20" t="str">
        <f ca="1">IFERROR(__xludf.DUMMYFUNCTION("IFERROR(vlookup(B86,IMPORTRANGE(""https://docs.google.com/spreadsheets/d/1g_jfYYK_KeipEDNDUgqgrsxK94XiocfNQIcP-v1QVhI/edit?resourcekey#gid=233272945"",""Nilai!B:CT""),57,0),"" "")")," ")</f>
        <v xml:space="preserve"> </v>
      </c>
      <c r="T86" s="66"/>
      <c r="U86" s="8"/>
      <c r="V86" s="38"/>
      <c r="W86" s="1"/>
      <c r="X86" s="1"/>
      <c r="Y86" s="1"/>
    </row>
    <row r="87" spans="1:25">
      <c r="A87" s="15"/>
      <c r="B87" s="15"/>
      <c r="C87" s="49"/>
      <c r="D87" s="49"/>
      <c r="E87" s="49"/>
      <c r="F87" s="49"/>
      <c r="G87" s="49"/>
      <c r="H87" s="49"/>
      <c r="I87" s="49"/>
      <c r="J87" s="49"/>
      <c r="K87" s="49"/>
      <c r="L87" s="38"/>
      <c r="M87" s="25"/>
      <c r="N87" s="25"/>
      <c r="O87" s="49"/>
      <c r="P87" s="1"/>
      <c r="Q87" s="8"/>
      <c r="R87" s="66"/>
      <c r="S87" s="20" t="str">
        <f ca="1">IFERROR(__xludf.DUMMYFUNCTION("IFERROR(vlookup(B87,IMPORTRANGE(""https://docs.google.com/spreadsheets/d/1g_jfYYK_KeipEDNDUgqgrsxK94XiocfNQIcP-v1QVhI/edit?resourcekey#gid=233272945"",""Nilai!B:CT""),57,0),"" "")")," ")</f>
        <v xml:space="preserve"> </v>
      </c>
      <c r="T87" s="66"/>
      <c r="U87" s="8"/>
      <c r="V87" s="38"/>
      <c r="W87" s="1"/>
      <c r="X87" s="1"/>
      <c r="Y87" s="1"/>
    </row>
    <row r="88" spans="1:25">
      <c r="A88" s="15"/>
      <c r="B88" s="15"/>
      <c r="C88" s="49"/>
      <c r="D88" s="49"/>
      <c r="E88" s="49"/>
      <c r="F88" s="49"/>
      <c r="G88" s="49"/>
      <c r="H88" s="49"/>
      <c r="I88" s="49"/>
      <c r="J88" s="49"/>
      <c r="K88" s="49"/>
      <c r="L88" s="38"/>
      <c r="M88" s="25"/>
      <c r="N88" s="25"/>
      <c r="O88" s="49"/>
      <c r="P88" s="1"/>
      <c r="Q88" s="8"/>
      <c r="R88" s="66"/>
      <c r="S88" s="20" t="str">
        <f ca="1">IFERROR(__xludf.DUMMYFUNCTION("IFERROR(vlookup(B88,IMPORTRANGE(""https://docs.google.com/spreadsheets/d/1g_jfYYK_KeipEDNDUgqgrsxK94XiocfNQIcP-v1QVhI/edit?resourcekey#gid=233272945"",""Nilai!B:CT""),57,0),"" "")")," ")</f>
        <v xml:space="preserve"> </v>
      </c>
      <c r="T88" s="66"/>
      <c r="U88" s="8"/>
      <c r="V88" s="38"/>
      <c r="W88" s="1"/>
      <c r="X88" s="1"/>
      <c r="Y88" s="1"/>
    </row>
    <row r="89" spans="1:25">
      <c r="A89" s="15"/>
      <c r="B89" s="15"/>
      <c r="C89" s="49"/>
      <c r="D89" s="49"/>
      <c r="E89" s="49"/>
      <c r="F89" s="49"/>
      <c r="G89" s="49"/>
      <c r="H89" s="49"/>
      <c r="I89" s="49"/>
      <c r="J89" s="49"/>
      <c r="K89" s="49"/>
      <c r="L89" s="38"/>
      <c r="M89" s="25"/>
      <c r="N89" s="25"/>
      <c r="O89" s="49"/>
      <c r="P89" s="1"/>
      <c r="Q89" s="8"/>
      <c r="R89" s="66"/>
      <c r="S89" s="20" t="str">
        <f ca="1">IFERROR(__xludf.DUMMYFUNCTION("IFERROR(vlookup(B89,IMPORTRANGE(""https://docs.google.com/spreadsheets/d/1g_jfYYK_KeipEDNDUgqgrsxK94XiocfNQIcP-v1QVhI/edit?resourcekey#gid=233272945"",""Nilai!B:CT""),57,0),"" "")")," ")</f>
        <v xml:space="preserve"> </v>
      </c>
      <c r="T89" s="66"/>
      <c r="U89" s="8"/>
      <c r="V89" s="38"/>
      <c r="W89" s="1"/>
      <c r="X89" s="1"/>
      <c r="Y89" s="1"/>
    </row>
    <row r="90" spans="1:25">
      <c r="A90" s="15"/>
      <c r="B90" s="15"/>
      <c r="C90" s="49"/>
      <c r="D90" s="49"/>
      <c r="E90" s="49"/>
      <c r="F90" s="49"/>
      <c r="G90" s="49"/>
      <c r="H90" s="49"/>
      <c r="I90" s="49"/>
      <c r="J90" s="49"/>
      <c r="K90" s="49"/>
      <c r="L90" s="38"/>
      <c r="M90" s="25"/>
      <c r="N90" s="25"/>
      <c r="O90" s="49"/>
      <c r="P90" s="1"/>
      <c r="Q90" s="8"/>
      <c r="R90" s="66"/>
      <c r="S90" s="20" t="str">
        <f ca="1">IFERROR(__xludf.DUMMYFUNCTION("IFERROR(vlookup(B90,IMPORTRANGE(""https://docs.google.com/spreadsheets/d/1g_jfYYK_KeipEDNDUgqgrsxK94XiocfNQIcP-v1QVhI/edit?resourcekey#gid=233272945"",""Nilai!B:CT""),57,0),"" "")")," ")</f>
        <v xml:space="preserve"> </v>
      </c>
      <c r="T90" s="66"/>
      <c r="U90" s="8"/>
      <c r="V90" s="38"/>
      <c r="W90" s="1"/>
      <c r="X90" s="1"/>
      <c r="Y90" s="1"/>
    </row>
    <row r="91" spans="1:25">
      <c r="A91" s="15"/>
      <c r="B91" s="15"/>
      <c r="C91" s="49"/>
      <c r="D91" s="49"/>
      <c r="E91" s="49"/>
      <c r="F91" s="49"/>
      <c r="G91" s="49"/>
      <c r="H91" s="49"/>
      <c r="I91" s="49"/>
      <c r="J91" s="49"/>
      <c r="K91" s="49"/>
      <c r="L91" s="38"/>
      <c r="M91" s="25"/>
      <c r="N91" s="25"/>
      <c r="O91" s="49"/>
      <c r="P91" s="1"/>
      <c r="Q91" s="8"/>
      <c r="R91" s="66"/>
      <c r="S91" s="20" t="str">
        <f ca="1">IFERROR(__xludf.DUMMYFUNCTION("IFERROR(vlookup(B91,IMPORTRANGE(""https://docs.google.com/spreadsheets/d/1g_jfYYK_KeipEDNDUgqgrsxK94XiocfNQIcP-v1QVhI/edit?resourcekey#gid=233272945"",""Nilai!B:CT""),57,0),"" "")")," ")</f>
        <v xml:space="preserve"> </v>
      </c>
      <c r="T91" s="66"/>
      <c r="U91" s="8"/>
      <c r="V91" s="38"/>
      <c r="W91" s="1"/>
      <c r="X91" s="1"/>
      <c r="Y91" s="1"/>
    </row>
    <row r="92" spans="1:25">
      <c r="A92" s="15"/>
      <c r="B92" s="15"/>
      <c r="C92" s="49"/>
      <c r="D92" s="49"/>
      <c r="E92" s="49"/>
      <c r="F92" s="49"/>
      <c r="G92" s="49"/>
      <c r="H92" s="49"/>
      <c r="I92" s="49"/>
      <c r="J92" s="49"/>
      <c r="K92" s="49"/>
      <c r="L92" s="38"/>
      <c r="M92" s="25"/>
      <c r="N92" s="25"/>
      <c r="O92" s="49"/>
      <c r="P92" s="1"/>
      <c r="Q92" s="8"/>
      <c r="R92" s="66"/>
      <c r="S92" s="20" t="str">
        <f ca="1">IFERROR(__xludf.DUMMYFUNCTION("IFERROR(vlookup(B92,IMPORTRANGE(""https://docs.google.com/spreadsheets/d/1g_jfYYK_KeipEDNDUgqgrsxK94XiocfNQIcP-v1QVhI/edit?resourcekey#gid=233272945"",""Nilai!B:CT""),57,0),"" "")")," ")</f>
        <v xml:space="preserve"> </v>
      </c>
      <c r="T92" s="66"/>
      <c r="U92" s="8"/>
      <c r="V92" s="38"/>
      <c r="W92" s="1"/>
      <c r="X92" s="1"/>
      <c r="Y92" s="1"/>
    </row>
    <row r="93" spans="1:25">
      <c r="A93" s="15"/>
      <c r="B93" s="15"/>
      <c r="C93" s="49"/>
      <c r="D93" s="49"/>
      <c r="E93" s="49"/>
      <c r="F93" s="49"/>
      <c r="G93" s="49"/>
      <c r="H93" s="49"/>
      <c r="I93" s="49"/>
      <c r="J93" s="49"/>
      <c r="K93" s="49"/>
      <c r="L93" s="38"/>
      <c r="M93" s="25"/>
      <c r="N93" s="25"/>
      <c r="O93" s="49"/>
      <c r="P93" s="1"/>
      <c r="Q93" s="8"/>
      <c r="R93" s="66"/>
      <c r="S93" s="20" t="str">
        <f ca="1">IFERROR(__xludf.DUMMYFUNCTION("IFERROR(vlookup(B93,IMPORTRANGE(""https://docs.google.com/spreadsheets/d/1g_jfYYK_KeipEDNDUgqgrsxK94XiocfNQIcP-v1QVhI/edit?resourcekey#gid=233272945"",""Nilai!B:CT""),57,0),"" "")")," ")</f>
        <v xml:space="preserve"> </v>
      </c>
      <c r="T93" s="66"/>
      <c r="U93" s="8"/>
      <c r="V93" s="38"/>
      <c r="W93" s="1"/>
      <c r="X93" s="1"/>
      <c r="Y93" s="1"/>
    </row>
    <row r="94" spans="1:25">
      <c r="A94" s="15"/>
      <c r="B94" s="15"/>
      <c r="C94" s="49"/>
      <c r="D94" s="49"/>
      <c r="E94" s="49"/>
      <c r="F94" s="49"/>
      <c r="G94" s="49"/>
      <c r="H94" s="49"/>
      <c r="I94" s="49"/>
      <c r="J94" s="49"/>
      <c r="K94" s="49"/>
      <c r="L94" s="38"/>
      <c r="M94" s="25"/>
      <c r="N94" s="25"/>
      <c r="O94" s="49"/>
      <c r="P94" s="1"/>
      <c r="Q94" s="8"/>
      <c r="R94" s="66"/>
      <c r="S94" s="20" t="str">
        <f ca="1">IFERROR(__xludf.DUMMYFUNCTION("IFERROR(vlookup(B94,IMPORTRANGE(""https://docs.google.com/spreadsheets/d/1g_jfYYK_KeipEDNDUgqgrsxK94XiocfNQIcP-v1QVhI/edit?resourcekey#gid=233272945"",""Nilai!B:CT""),57,0),"" "")")," ")</f>
        <v xml:space="preserve"> </v>
      </c>
      <c r="T94" s="66"/>
      <c r="U94" s="8"/>
      <c r="V94" s="38"/>
      <c r="W94" s="1"/>
      <c r="X94" s="1"/>
      <c r="Y94" s="1"/>
    </row>
    <row r="95" spans="1:25">
      <c r="A95" s="15"/>
      <c r="B95" s="15"/>
      <c r="C95" s="49"/>
      <c r="D95" s="49"/>
      <c r="E95" s="49"/>
      <c r="F95" s="49"/>
      <c r="G95" s="49"/>
      <c r="H95" s="49"/>
      <c r="I95" s="49"/>
      <c r="J95" s="49"/>
      <c r="K95" s="49"/>
      <c r="L95" s="38"/>
      <c r="M95" s="25"/>
      <c r="N95" s="25"/>
      <c r="O95" s="49"/>
      <c r="P95" s="1"/>
      <c r="Q95" s="8"/>
      <c r="R95" s="66"/>
      <c r="S95" s="20" t="str">
        <f ca="1">IFERROR(__xludf.DUMMYFUNCTION("IFERROR(vlookup(B95,IMPORTRANGE(""https://docs.google.com/spreadsheets/d/1g_jfYYK_KeipEDNDUgqgrsxK94XiocfNQIcP-v1QVhI/edit?resourcekey#gid=233272945"",""Nilai!B:CT""),57,0),"" "")")," ")</f>
        <v xml:space="preserve"> </v>
      </c>
      <c r="T95" s="66"/>
      <c r="U95" s="8"/>
      <c r="V95" s="38"/>
      <c r="W95" s="1"/>
      <c r="X95" s="1"/>
      <c r="Y95" s="1"/>
    </row>
    <row r="96" spans="1:25">
      <c r="A96" s="15"/>
      <c r="B96" s="15"/>
      <c r="C96" s="49"/>
      <c r="D96" s="49"/>
      <c r="E96" s="49"/>
      <c r="F96" s="49"/>
      <c r="G96" s="49"/>
      <c r="H96" s="49"/>
      <c r="I96" s="49"/>
      <c r="J96" s="49"/>
      <c r="K96" s="49"/>
      <c r="L96" s="38"/>
      <c r="M96" s="25"/>
      <c r="N96" s="25"/>
      <c r="O96" s="49"/>
      <c r="P96" s="1"/>
      <c r="Q96" s="8"/>
      <c r="R96" s="66"/>
      <c r="S96" s="20" t="str">
        <f ca="1">IFERROR(__xludf.DUMMYFUNCTION("IFERROR(vlookup(B96,IMPORTRANGE(""https://docs.google.com/spreadsheets/d/1g_jfYYK_KeipEDNDUgqgrsxK94XiocfNQIcP-v1QVhI/edit?resourcekey#gid=233272945"",""Nilai!B:CT""),57,0),"" "")")," ")</f>
        <v xml:space="preserve"> </v>
      </c>
      <c r="T96" s="66"/>
      <c r="U96" s="8"/>
      <c r="V96" s="38"/>
      <c r="W96" s="1"/>
      <c r="X96" s="1"/>
      <c r="Y96" s="1"/>
    </row>
    <row r="97" spans="1:25">
      <c r="A97" s="15"/>
      <c r="B97" s="15"/>
      <c r="C97" s="49"/>
      <c r="D97" s="49"/>
      <c r="E97" s="49"/>
      <c r="F97" s="49"/>
      <c r="G97" s="49"/>
      <c r="H97" s="49"/>
      <c r="I97" s="49"/>
      <c r="J97" s="49"/>
      <c r="K97" s="49"/>
      <c r="L97" s="38"/>
      <c r="M97" s="25"/>
      <c r="N97" s="25"/>
      <c r="O97" s="49"/>
      <c r="P97" s="1"/>
      <c r="Q97" s="8"/>
      <c r="R97" s="66"/>
      <c r="S97" s="20" t="str">
        <f ca="1">IFERROR(__xludf.DUMMYFUNCTION("IFERROR(vlookup(B97,IMPORTRANGE(""https://docs.google.com/spreadsheets/d/1g_jfYYK_KeipEDNDUgqgrsxK94XiocfNQIcP-v1QVhI/edit?resourcekey#gid=233272945"",""Nilai!B:CT""),57,0),"" "")")," ")</f>
        <v xml:space="preserve"> </v>
      </c>
      <c r="T97" s="66"/>
      <c r="U97" s="8"/>
      <c r="V97" s="38"/>
      <c r="W97" s="1"/>
      <c r="X97" s="1"/>
      <c r="Y97" s="1"/>
    </row>
    <row r="98" spans="1:25">
      <c r="A98" s="15"/>
      <c r="B98" s="15"/>
      <c r="C98" s="49"/>
      <c r="D98" s="49"/>
      <c r="E98" s="49"/>
      <c r="F98" s="49"/>
      <c r="G98" s="49"/>
      <c r="H98" s="49"/>
      <c r="I98" s="49"/>
      <c r="J98" s="49"/>
      <c r="K98" s="49"/>
      <c r="L98" s="38"/>
      <c r="M98" s="25"/>
      <c r="N98" s="25"/>
      <c r="O98" s="49"/>
      <c r="P98" s="1"/>
      <c r="Q98" s="8"/>
      <c r="R98" s="66"/>
      <c r="S98" s="20" t="str">
        <f ca="1">IFERROR(__xludf.DUMMYFUNCTION("IFERROR(vlookup(B98,IMPORTRANGE(""https://docs.google.com/spreadsheets/d/1g_jfYYK_KeipEDNDUgqgrsxK94XiocfNQIcP-v1QVhI/edit?resourcekey#gid=233272945"",""Nilai!B:CT""),57,0),"" "")")," ")</f>
        <v xml:space="preserve"> </v>
      </c>
      <c r="T98" s="66"/>
      <c r="U98" s="8"/>
      <c r="V98" s="38"/>
      <c r="W98" s="1"/>
      <c r="X98" s="1"/>
      <c r="Y98" s="1"/>
    </row>
    <row r="99" spans="1:25">
      <c r="A99" s="15"/>
      <c r="B99" s="15"/>
      <c r="C99" s="49"/>
      <c r="D99" s="49"/>
      <c r="E99" s="49"/>
      <c r="F99" s="49"/>
      <c r="G99" s="49"/>
      <c r="H99" s="49"/>
      <c r="I99" s="49"/>
      <c r="J99" s="49"/>
      <c r="K99" s="49"/>
      <c r="L99" s="38"/>
      <c r="M99" s="25"/>
      <c r="N99" s="25"/>
      <c r="O99" s="49"/>
      <c r="P99" s="1"/>
      <c r="Q99" s="8"/>
      <c r="R99" s="66"/>
      <c r="S99" s="20" t="str">
        <f ca="1">IFERROR(__xludf.DUMMYFUNCTION("IFERROR(vlookup(B99,IMPORTRANGE(""https://docs.google.com/spreadsheets/d/1g_jfYYK_KeipEDNDUgqgrsxK94XiocfNQIcP-v1QVhI/edit?resourcekey#gid=233272945"",""Nilai!B:CT""),57,0),"" "")")," ")</f>
        <v xml:space="preserve"> </v>
      </c>
      <c r="T99" s="66"/>
      <c r="U99" s="8"/>
      <c r="V99" s="38"/>
      <c r="W99" s="1"/>
      <c r="X99" s="1"/>
      <c r="Y99" s="1"/>
    </row>
    <row r="100" spans="1:25">
      <c r="A100" s="15"/>
      <c r="B100" s="15"/>
      <c r="C100" s="49"/>
      <c r="D100" s="49"/>
      <c r="E100" s="49"/>
      <c r="F100" s="49"/>
      <c r="G100" s="49"/>
      <c r="H100" s="49"/>
      <c r="I100" s="49"/>
      <c r="J100" s="49"/>
      <c r="K100" s="49"/>
      <c r="L100" s="38"/>
      <c r="M100" s="25"/>
      <c r="N100" s="25"/>
      <c r="O100" s="49"/>
      <c r="P100" s="1"/>
      <c r="Q100" s="8"/>
      <c r="R100" s="66"/>
      <c r="S100" s="20" t="str">
        <f ca="1">IFERROR(__xludf.DUMMYFUNCTION("IFERROR(vlookup(B100,IMPORTRANGE(""https://docs.google.com/spreadsheets/d/1g_jfYYK_KeipEDNDUgqgrsxK94XiocfNQIcP-v1QVhI/edit?resourcekey#gid=233272945"",""Nilai!B:CT""),57,0),"" "")")," ")</f>
        <v xml:space="preserve"> </v>
      </c>
      <c r="T100" s="66"/>
      <c r="U100" s="8"/>
      <c r="V100" s="38"/>
      <c r="W100" s="1"/>
      <c r="X100" s="1"/>
      <c r="Y100" s="1"/>
    </row>
    <row r="101" spans="1:25">
      <c r="A101" s="15"/>
      <c r="B101" s="15"/>
      <c r="C101" s="49"/>
      <c r="D101" s="49"/>
      <c r="E101" s="49"/>
      <c r="F101" s="49"/>
      <c r="G101" s="49"/>
      <c r="H101" s="49"/>
      <c r="I101" s="49"/>
      <c r="J101" s="49"/>
      <c r="K101" s="49"/>
      <c r="L101" s="38"/>
      <c r="M101" s="25"/>
      <c r="N101" s="25"/>
      <c r="O101" s="49"/>
      <c r="P101" s="1"/>
      <c r="Q101" s="8"/>
      <c r="R101" s="66"/>
      <c r="S101" s="20" t="str">
        <f ca="1">IFERROR(__xludf.DUMMYFUNCTION("IFERROR(vlookup(B101,IMPORTRANGE(""https://docs.google.com/spreadsheets/d/1g_jfYYK_KeipEDNDUgqgrsxK94XiocfNQIcP-v1QVhI/edit?resourcekey#gid=233272945"",""Nilai!B:CT""),57,0),"" "")")," ")</f>
        <v xml:space="preserve"> </v>
      </c>
      <c r="T101" s="66"/>
      <c r="U101" s="8"/>
      <c r="V101" s="38"/>
      <c r="W101" s="1"/>
      <c r="X101" s="1"/>
      <c r="Y101" s="1"/>
    </row>
    <row r="102" spans="1:25">
      <c r="A102" s="15"/>
      <c r="B102" s="15"/>
      <c r="C102" s="49"/>
      <c r="D102" s="49"/>
      <c r="E102" s="49"/>
      <c r="F102" s="49"/>
      <c r="G102" s="49"/>
      <c r="H102" s="49"/>
      <c r="I102" s="49"/>
      <c r="J102" s="49"/>
      <c r="K102" s="49"/>
      <c r="L102" s="38"/>
      <c r="M102" s="25"/>
      <c r="N102" s="25"/>
      <c r="O102" s="49"/>
      <c r="P102" s="1"/>
      <c r="Q102" s="8"/>
      <c r="R102" s="66"/>
      <c r="S102" s="20" t="str">
        <f ca="1">IFERROR(__xludf.DUMMYFUNCTION("IFERROR(vlookup(B102,IMPORTRANGE(""https://docs.google.com/spreadsheets/d/1g_jfYYK_KeipEDNDUgqgrsxK94XiocfNQIcP-v1QVhI/edit?resourcekey#gid=233272945"",""Nilai!B:CT""),57,0),"" "")")," ")</f>
        <v xml:space="preserve"> </v>
      </c>
      <c r="T102" s="66"/>
      <c r="U102" s="8"/>
      <c r="V102" s="38"/>
      <c r="W102" s="1"/>
      <c r="X102" s="1"/>
      <c r="Y102" s="1"/>
    </row>
    <row r="103" spans="1:25">
      <c r="A103" s="15"/>
      <c r="B103" s="15"/>
      <c r="C103" s="49"/>
      <c r="D103" s="49"/>
      <c r="E103" s="49"/>
      <c r="F103" s="49"/>
      <c r="G103" s="49"/>
      <c r="H103" s="49"/>
      <c r="I103" s="49"/>
      <c r="J103" s="49"/>
      <c r="K103" s="49"/>
      <c r="L103" s="38"/>
      <c r="M103" s="25"/>
      <c r="N103" s="25"/>
      <c r="O103" s="49"/>
      <c r="P103" s="1"/>
      <c r="Q103" s="8"/>
      <c r="R103" s="66"/>
      <c r="S103" s="20" t="str">
        <f ca="1">IFERROR(__xludf.DUMMYFUNCTION("IFERROR(vlookup(B103,IMPORTRANGE(""https://docs.google.com/spreadsheets/d/1g_jfYYK_KeipEDNDUgqgrsxK94XiocfNQIcP-v1QVhI/edit?resourcekey#gid=233272945"",""Nilai!B:CT""),57,0),"" "")")," ")</f>
        <v xml:space="preserve"> </v>
      </c>
      <c r="T103" s="66"/>
      <c r="U103" s="8"/>
      <c r="V103" s="38"/>
      <c r="W103" s="1"/>
      <c r="X103" s="1"/>
      <c r="Y103" s="1"/>
    </row>
    <row r="104" spans="1:25">
      <c r="A104" s="15"/>
      <c r="B104" s="15"/>
      <c r="C104" s="49"/>
      <c r="D104" s="49"/>
      <c r="E104" s="49"/>
      <c r="F104" s="49"/>
      <c r="G104" s="49"/>
      <c r="H104" s="49"/>
      <c r="I104" s="49"/>
      <c r="J104" s="49"/>
      <c r="K104" s="49"/>
      <c r="L104" s="38"/>
      <c r="M104" s="25"/>
      <c r="N104" s="25"/>
      <c r="O104" s="49"/>
      <c r="P104" s="1"/>
      <c r="Q104" s="8"/>
      <c r="R104" s="66"/>
      <c r="S104" s="20" t="str">
        <f ca="1">IFERROR(__xludf.DUMMYFUNCTION("IFERROR(vlookup(B104,IMPORTRANGE(""https://docs.google.com/spreadsheets/d/1g_jfYYK_KeipEDNDUgqgrsxK94XiocfNQIcP-v1QVhI/edit?resourcekey#gid=233272945"",""Nilai!B:CT""),57,0),"" "")")," ")</f>
        <v xml:space="preserve"> </v>
      </c>
      <c r="T104" s="66"/>
      <c r="U104" s="8"/>
      <c r="V104" s="38"/>
      <c r="W104" s="1"/>
      <c r="X104" s="1"/>
      <c r="Y104" s="1"/>
    </row>
    <row r="105" spans="1:25">
      <c r="A105" s="15"/>
      <c r="B105" s="15"/>
      <c r="C105" s="49"/>
      <c r="D105" s="49"/>
      <c r="E105" s="49"/>
      <c r="F105" s="49"/>
      <c r="G105" s="49"/>
      <c r="H105" s="49"/>
      <c r="I105" s="49"/>
      <c r="J105" s="49"/>
      <c r="K105" s="49"/>
      <c r="L105" s="38"/>
      <c r="M105" s="25"/>
      <c r="N105" s="25"/>
      <c r="O105" s="49"/>
      <c r="P105" s="1"/>
      <c r="Q105" s="8"/>
      <c r="R105" s="66"/>
      <c r="S105" s="20" t="str">
        <f ca="1">IFERROR(__xludf.DUMMYFUNCTION("IFERROR(vlookup(B105,IMPORTRANGE(""https://docs.google.com/spreadsheets/d/1g_jfYYK_KeipEDNDUgqgrsxK94XiocfNQIcP-v1QVhI/edit?resourcekey#gid=233272945"",""Nilai!B:CT""),57,0),"" "")")," ")</f>
        <v xml:space="preserve"> </v>
      </c>
      <c r="T105" s="66"/>
      <c r="U105" s="8"/>
      <c r="V105" s="38"/>
      <c r="W105" s="1"/>
      <c r="X105" s="1"/>
      <c r="Y105" s="1"/>
    </row>
    <row r="106" spans="1:25">
      <c r="A106" s="15"/>
      <c r="B106" s="15"/>
      <c r="C106" s="49"/>
      <c r="D106" s="49"/>
      <c r="E106" s="49"/>
      <c r="F106" s="49"/>
      <c r="G106" s="49"/>
      <c r="H106" s="49"/>
      <c r="I106" s="49"/>
      <c r="J106" s="49"/>
      <c r="K106" s="49"/>
      <c r="L106" s="38"/>
      <c r="M106" s="25"/>
      <c r="N106" s="25"/>
      <c r="O106" s="49"/>
      <c r="P106" s="1"/>
      <c r="Q106" s="8"/>
      <c r="R106" s="66"/>
      <c r="S106" s="20" t="str">
        <f ca="1">IFERROR(__xludf.DUMMYFUNCTION("IFERROR(vlookup(B106,IMPORTRANGE(""https://docs.google.com/spreadsheets/d/1g_jfYYK_KeipEDNDUgqgrsxK94XiocfNQIcP-v1QVhI/edit?resourcekey#gid=233272945"",""Nilai!B:CT""),57,0),"" "")")," ")</f>
        <v xml:space="preserve"> </v>
      </c>
      <c r="T106" s="66"/>
      <c r="U106" s="8"/>
      <c r="V106" s="38"/>
      <c r="W106" s="1"/>
      <c r="X106" s="1"/>
      <c r="Y106" s="1"/>
    </row>
    <row r="107" spans="1:25">
      <c r="A107" s="15"/>
      <c r="B107" s="15"/>
      <c r="C107" s="49"/>
      <c r="D107" s="49"/>
      <c r="E107" s="49"/>
      <c r="F107" s="49"/>
      <c r="G107" s="49"/>
      <c r="H107" s="49"/>
      <c r="I107" s="49"/>
      <c r="J107" s="49"/>
      <c r="K107" s="49"/>
      <c r="L107" s="38"/>
      <c r="M107" s="25"/>
      <c r="N107" s="25"/>
      <c r="O107" s="49"/>
      <c r="P107" s="1"/>
      <c r="Q107" s="8"/>
      <c r="R107" s="66"/>
      <c r="S107" s="20" t="str">
        <f ca="1">IFERROR(__xludf.DUMMYFUNCTION("IFERROR(vlookup(B107,IMPORTRANGE(""https://docs.google.com/spreadsheets/d/1g_jfYYK_KeipEDNDUgqgrsxK94XiocfNQIcP-v1QVhI/edit?resourcekey#gid=233272945"",""Nilai!B:CT""),57,0),"" "")")," ")</f>
        <v xml:space="preserve"> </v>
      </c>
      <c r="T107" s="66"/>
      <c r="U107" s="8"/>
      <c r="V107" s="38"/>
      <c r="W107" s="1"/>
      <c r="X107" s="1"/>
      <c r="Y107" s="1"/>
    </row>
    <row r="108" spans="1:25">
      <c r="A108" s="15"/>
      <c r="B108" s="15"/>
      <c r="C108" s="49"/>
      <c r="D108" s="49"/>
      <c r="E108" s="49"/>
      <c r="F108" s="49"/>
      <c r="G108" s="49"/>
      <c r="H108" s="49"/>
      <c r="I108" s="49"/>
      <c r="J108" s="49"/>
      <c r="K108" s="49"/>
      <c r="L108" s="38"/>
      <c r="M108" s="25"/>
      <c r="N108" s="25"/>
      <c r="O108" s="49"/>
      <c r="P108" s="1"/>
      <c r="Q108" s="8"/>
      <c r="R108" s="66"/>
      <c r="S108" s="20" t="str">
        <f ca="1">IFERROR(__xludf.DUMMYFUNCTION("IFERROR(vlookup(B108,IMPORTRANGE(""https://docs.google.com/spreadsheets/d/1g_jfYYK_KeipEDNDUgqgrsxK94XiocfNQIcP-v1QVhI/edit?resourcekey#gid=233272945"",""Nilai!B:CT""),57,0),"" "")")," ")</f>
        <v xml:space="preserve"> </v>
      </c>
      <c r="T108" s="66"/>
      <c r="U108" s="8"/>
      <c r="V108" s="38"/>
      <c r="W108" s="1"/>
      <c r="X108" s="1"/>
      <c r="Y108" s="1"/>
    </row>
    <row r="109" spans="1:25">
      <c r="A109" s="15"/>
      <c r="B109" s="15"/>
      <c r="C109" s="49"/>
      <c r="D109" s="49"/>
      <c r="E109" s="49"/>
      <c r="F109" s="49"/>
      <c r="G109" s="49"/>
      <c r="H109" s="49"/>
      <c r="I109" s="49"/>
      <c r="J109" s="49"/>
      <c r="K109" s="49"/>
      <c r="L109" s="38"/>
      <c r="M109" s="25"/>
      <c r="N109" s="25"/>
      <c r="O109" s="49"/>
      <c r="P109" s="1"/>
      <c r="Q109" s="8"/>
      <c r="R109" s="66"/>
      <c r="S109" s="20" t="str">
        <f ca="1">IFERROR(__xludf.DUMMYFUNCTION("IFERROR(vlookup(B109,IMPORTRANGE(""https://docs.google.com/spreadsheets/d/1g_jfYYK_KeipEDNDUgqgrsxK94XiocfNQIcP-v1QVhI/edit?resourcekey#gid=233272945"",""Nilai!B:CT""),57,0),"" "")")," ")</f>
        <v xml:space="preserve"> </v>
      </c>
      <c r="T109" s="66"/>
      <c r="U109" s="8"/>
      <c r="V109" s="38"/>
      <c r="W109" s="1"/>
      <c r="X109" s="1"/>
      <c r="Y109" s="1"/>
    </row>
    <row r="110" spans="1:25">
      <c r="A110" s="15"/>
      <c r="B110" s="15"/>
      <c r="C110" s="49"/>
      <c r="D110" s="49"/>
      <c r="E110" s="49"/>
      <c r="F110" s="49"/>
      <c r="G110" s="49"/>
      <c r="H110" s="49"/>
      <c r="I110" s="49"/>
      <c r="J110" s="49"/>
      <c r="K110" s="49"/>
      <c r="L110" s="38"/>
      <c r="M110" s="25"/>
      <c r="N110" s="25"/>
      <c r="O110" s="49"/>
      <c r="P110" s="1"/>
      <c r="Q110" s="8"/>
      <c r="R110" s="66"/>
      <c r="S110" s="20" t="str">
        <f ca="1">IFERROR(__xludf.DUMMYFUNCTION("IFERROR(vlookup(B110,IMPORTRANGE(""https://docs.google.com/spreadsheets/d/1g_jfYYK_KeipEDNDUgqgrsxK94XiocfNQIcP-v1QVhI/edit?resourcekey#gid=233272945"",""Nilai!B:CT""),57,0),"" "")")," ")</f>
        <v xml:space="preserve"> </v>
      </c>
      <c r="T110" s="66"/>
      <c r="U110" s="8"/>
      <c r="V110" s="38"/>
      <c r="W110" s="1"/>
      <c r="X110" s="1"/>
      <c r="Y110" s="1"/>
    </row>
    <row r="111" spans="1:25">
      <c r="A111" s="15"/>
      <c r="B111" s="15"/>
      <c r="C111" s="49"/>
      <c r="D111" s="49"/>
      <c r="E111" s="49"/>
      <c r="F111" s="49"/>
      <c r="G111" s="49"/>
      <c r="H111" s="49"/>
      <c r="I111" s="49"/>
      <c r="J111" s="49"/>
      <c r="K111" s="49"/>
      <c r="L111" s="38"/>
      <c r="M111" s="25"/>
      <c r="N111" s="25"/>
      <c r="O111" s="49"/>
      <c r="P111" s="1"/>
      <c r="Q111" s="8"/>
      <c r="R111" s="66"/>
      <c r="S111" s="20" t="str">
        <f ca="1">IFERROR(__xludf.DUMMYFUNCTION("IFERROR(vlookup(B111,IMPORTRANGE(""https://docs.google.com/spreadsheets/d/1g_jfYYK_KeipEDNDUgqgrsxK94XiocfNQIcP-v1QVhI/edit?resourcekey#gid=233272945"",""Nilai!B:CT""),57,0),"" "")")," ")</f>
        <v xml:space="preserve"> </v>
      </c>
      <c r="T111" s="66"/>
      <c r="U111" s="8"/>
      <c r="V111" s="38"/>
      <c r="W111" s="1"/>
      <c r="X111" s="1"/>
      <c r="Y111" s="1"/>
    </row>
    <row r="112" spans="1:25">
      <c r="A112" s="15"/>
      <c r="B112" s="15"/>
      <c r="C112" s="49"/>
      <c r="D112" s="49"/>
      <c r="E112" s="49"/>
      <c r="F112" s="49"/>
      <c r="G112" s="49"/>
      <c r="H112" s="49"/>
      <c r="I112" s="49"/>
      <c r="J112" s="49"/>
      <c r="K112" s="49"/>
      <c r="L112" s="38"/>
      <c r="M112" s="25"/>
      <c r="N112" s="25"/>
      <c r="O112" s="49"/>
      <c r="P112" s="1"/>
      <c r="Q112" s="8"/>
      <c r="R112" s="66"/>
      <c r="S112" s="20" t="str">
        <f ca="1">IFERROR(__xludf.DUMMYFUNCTION("IFERROR(vlookup(B112,IMPORTRANGE(""https://docs.google.com/spreadsheets/d/1g_jfYYK_KeipEDNDUgqgrsxK94XiocfNQIcP-v1QVhI/edit?resourcekey#gid=233272945"",""Nilai!B:CT""),57,0),"" "")")," ")</f>
        <v xml:space="preserve"> </v>
      </c>
      <c r="T112" s="66"/>
      <c r="U112" s="8"/>
      <c r="V112" s="38"/>
      <c r="W112" s="1"/>
      <c r="X112" s="1"/>
      <c r="Y112" s="1"/>
    </row>
    <row r="113" spans="1:25">
      <c r="A113" s="15"/>
      <c r="B113" s="15"/>
      <c r="C113" s="49"/>
      <c r="D113" s="49"/>
      <c r="E113" s="49"/>
      <c r="F113" s="49"/>
      <c r="G113" s="49"/>
      <c r="H113" s="49"/>
      <c r="I113" s="49"/>
      <c r="J113" s="49"/>
      <c r="K113" s="49"/>
      <c r="L113" s="38"/>
      <c r="M113" s="25"/>
      <c r="N113" s="25"/>
      <c r="O113" s="49"/>
      <c r="P113" s="1"/>
      <c r="Q113" s="8"/>
      <c r="R113" s="66"/>
      <c r="S113" s="20" t="str">
        <f ca="1">IFERROR(__xludf.DUMMYFUNCTION("IFERROR(vlookup(B113,IMPORTRANGE(""https://docs.google.com/spreadsheets/d/1g_jfYYK_KeipEDNDUgqgrsxK94XiocfNQIcP-v1QVhI/edit?resourcekey#gid=233272945"",""Nilai!B:CT""),57,0),"" "")")," ")</f>
        <v xml:space="preserve"> </v>
      </c>
      <c r="T113" s="66"/>
      <c r="U113" s="8"/>
      <c r="V113" s="38"/>
      <c r="W113" s="1"/>
      <c r="X113" s="1"/>
      <c r="Y113" s="1"/>
    </row>
    <row r="114" spans="1:25">
      <c r="A114" s="15"/>
      <c r="B114" s="15"/>
      <c r="C114" s="49"/>
      <c r="D114" s="49"/>
      <c r="E114" s="49"/>
      <c r="F114" s="49"/>
      <c r="G114" s="49"/>
      <c r="H114" s="49"/>
      <c r="I114" s="49"/>
      <c r="J114" s="49"/>
      <c r="K114" s="49"/>
      <c r="L114" s="38"/>
      <c r="M114" s="25"/>
      <c r="N114" s="25"/>
      <c r="O114" s="49"/>
      <c r="P114" s="1"/>
      <c r="Q114" s="8"/>
      <c r="R114" s="66"/>
      <c r="S114" s="20" t="str">
        <f ca="1">IFERROR(__xludf.DUMMYFUNCTION("IFERROR(vlookup(B114,IMPORTRANGE(""https://docs.google.com/spreadsheets/d/1g_jfYYK_KeipEDNDUgqgrsxK94XiocfNQIcP-v1QVhI/edit?resourcekey#gid=233272945"",""Nilai!B:CT""),57,0),"" "")")," ")</f>
        <v xml:space="preserve"> </v>
      </c>
      <c r="T114" s="66"/>
      <c r="U114" s="8"/>
      <c r="V114" s="38"/>
      <c r="W114" s="1"/>
      <c r="X114" s="1"/>
      <c r="Y114" s="1"/>
    </row>
    <row r="115" spans="1:25">
      <c r="A115" s="15"/>
      <c r="B115" s="15"/>
      <c r="C115" s="49"/>
      <c r="D115" s="49"/>
      <c r="E115" s="49"/>
      <c r="F115" s="49"/>
      <c r="G115" s="49"/>
      <c r="H115" s="49"/>
      <c r="I115" s="49"/>
      <c r="J115" s="49"/>
      <c r="K115" s="49"/>
      <c r="L115" s="38"/>
      <c r="M115" s="25"/>
      <c r="N115" s="25"/>
      <c r="O115" s="49"/>
      <c r="P115" s="1"/>
      <c r="Q115" s="8"/>
      <c r="R115" s="66"/>
      <c r="S115" s="20" t="str">
        <f ca="1">IFERROR(__xludf.DUMMYFUNCTION("IFERROR(vlookup(B115,IMPORTRANGE(""https://docs.google.com/spreadsheets/d/1g_jfYYK_KeipEDNDUgqgrsxK94XiocfNQIcP-v1QVhI/edit?resourcekey#gid=233272945"",""Nilai!B:CT""),57,0),"" "")")," ")</f>
        <v xml:space="preserve"> </v>
      </c>
      <c r="T115" s="66"/>
      <c r="U115" s="8"/>
      <c r="V115" s="38"/>
      <c r="W115" s="1"/>
      <c r="X115" s="1"/>
      <c r="Y115" s="1"/>
    </row>
    <row r="116" spans="1:25">
      <c r="A116" s="15"/>
      <c r="B116" s="15"/>
      <c r="C116" s="49"/>
      <c r="D116" s="49"/>
      <c r="E116" s="49"/>
      <c r="F116" s="49"/>
      <c r="G116" s="49"/>
      <c r="H116" s="49"/>
      <c r="I116" s="49"/>
      <c r="J116" s="49"/>
      <c r="K116" s="49"/>
      <c r="L116" s="38"/>
      <c r="M116" s="25"/>
      <c r="N116" s="25"/>
      <c r="O116" s="49"/>
      <c r="P116" s="1"/>
      <c r="Q116" s="8"/>
      <c r="R116" s="66"/>
      <c r="S116" s="20" t="str">
        <f ca="1">IFERROR(__xludf.DUMMYFUNCTION("IFERROR(vlookup(B116,IMPORTRANGE(""https://docs.google.com/spreadsheets/d/1g_jfYYK_KeipEDNDUgqgrsxK94XiocfNQIcP-v1QVhI/edit?resourcekey#gid=233272945"",""Nilai!B:CT""),57,0),"" "")")," ")</f>
        <v xml:space="preserve"> </v>
      </c>
      <c r="T116" s="66"/>
      <c r="U116" s="8"/>
      <c r="V116" s="38"/>
      <c r="W116" s="1"/>
      <c r="X116" s="1"/>
      <c r="Y116" s="1"/>
    </row>
    <row r="117" spans="1:25">
      <c r="A117" s="15"/>
      <c r="B117" s="15"/>
      <c r="C117" s="49"/>
      <c r="D117" s="49"/>
      <c r="E117" s="49"/>
      <c r="F117" s="49"/>
      <c r="G117" s="49"/>
      <c r="H117" s="49"/>
      <c r="I117" s="49"/>
      <c r="J117" s="49"/>
      <c r="K117" s="49"/>
      <c r="L117" s="38"/>
      <c r="M117" s="25"/>
      <c r="N117" s="25"/>
      <c r="O117" s="49"/>
      <c r="P117" s="1"/>
      <c r="Q117" s="8"/>
      <c r="R117" s="66"/>
      <c r="S117" s="20" t="str">
        <f ca="1">IFERROR(__xludf.DUMMYFUNCTION("IFERROR(vlookup(B117,IMPORTRANGE(""https://docs.google.com/spreadsheets/d/1g_jfYYK_KeipEDNDUgqgrsxK94XiocfNQIcP-v1QVhI/edit?resourcekey#gid=233272945"",""Nilai!B:CT""),57,0),"" "")")," ")</f>
        <v xml:space="preserve"> </v>
      </c>
      <c r="T117" s="66"/>
      <c r="U117" s="8"/>
      <c r="V117" s="38"/>
      <c r="W117" s="1"/>
      <c r="X117" s="1"/>
      <c r="Y117" s="1"/>
    </row>
    <row r="118" spans="1:25">
      <c r="A118" s="15"/>
      <c r="B118" s="15"/>
      <c r="C118" s="49"/>
      <c r="D118" s="49"/>
      <c r="E118" s="49"/>
      <c r="F118" s="49"/>
      <c r="G118" s="49"/>
      <c r="H118" s="49"/>
      <c r="I118" s="49"/>
      <c r="J118" s="49"/>
      <c r="K118" s="49"/>
      <c r="L118" s="38"/>
      <c r="M118" s="25"/>
      <c r="N118" s="25"/>
      <c r="O118" s="49"/>
      <c r="P118" s="1"/>
      <c r="Q118" s="8"/>
      <c r="R118" s="66"/>
      <c r="S118" s="20" t="str">
        <f ca="1">IFERROR(__xludf.DUMMYFUNCTION("IFERROR(vlookup(B118,IMPORTRANGE(""https://docs.google.com/spreadsheets/d/1g_jfYYK_KeipEDNDUgqgrsxK94XiocfNQIcP-v1QVhI/edit?resourcekey#gid=233272945"",""Nilai!B:CT""),57,0),"" "")")," ")</f>
        <v xml:space="preserve"> </v>
      </c>
      <c r="T118" s="66"/>
      <c r="U118" s="8"/>
      <c r="V118" s="38"/>
      <c r="W118" s="1"/>
      <c r="X118" s="1"/>
      <c r="Y118" s="1"/>
    </row>
    <row r="119" spans="1:25">
      <c r="A119" s="15"/>
      <c r="B119" s="15"/>
      <c r="C119" s="49"/>
      <c r="D119" s="49"/>
      <c r="E119" s="49"/>
      <c r="F119" s="49"/>
      <c r="G119" s="49"/>
      <c r="H119" s="49"/>
      <c r="I119" s="49"/>
      <c r="J119" s="49"/>
      <c r="K119" s="49"/>
      <c r="L119" s="38"/>
      <c r="M119" s="25"/>
      <c r="N119" s="25"/>
      <c r="O119" s="49"/>
      <c r="P119" s="1"/>
      <c r="Q119" s="8"/>
      <c r="R119" s="66"/>
      <c r="S119" s="20" t="str">
        <f ca="1">IFERROR(__xludf.DUMMYFUNCTION("IFERROR(vlookup(B119,IMPORTRANGE(""https://docs.google.com/spreadsheets/d/1g_jfYYK_KeipEDNDUgqgrsxK94XiocfNQIcP-v1QVhI/edit?resourcekey#gid=233272945"",""Nilai!B:CT""),57,0),"" "")")," ")</f>
        <v xml:space="preserve"> </v>
      </c>
      <c r="T119" s="66"/>
      <c r="U119" s="8"/>
      <c r="V119" s="38"/>
      <c r="W119" s="1"/>
      <c r="X119" s="1"/>
      <c r="Y119" s="1"/>
    </row>
    <row r="120" spans="1:25">
      <c r="A120" s="15"/>
      <c r="B120" s="15"/>
      <c r="C120" s="49"/>
      <c r="D120" s="49"/>
      <c r="E120" s="49"/>
      <c r="F120" s="49"/>
      <c r="G120" s="49"/>
      <c r="H120" s="49"/>
      <c r="I120" s="49"/>
      <c r="J120" s="49"/>
      <c r="K120" s="49"/>
      <c r="L120" s="38"/>
      <c r="M120" s="25"/>
      <c r="N120" s="25"/>
      <c r="O120" s="49"/>
      <c r="P120" s="1"/>
      <c r="Q120" s="8"/>
      <c r="R120" s="66"/>
      <c r="S120" s="20" t="str">
        <f ca="1">IFERROR(__xludf.DUMMYFUNCTION("IFERROR(vlookup(B120,IMPORTRANGE(""https://docs.google.com/spreadsheets/d/1g_jfYYK_KeipEDNDUgqgrsxK94XiocfNQIcP-v1QVhI/edit?resourcekey#gid=233272945"",""Nilai!B:CT""),57,0),"" "")")," ")</f>
        <v xml:space="preserve"> </v>
      </c>
      <c r="T120" s="66"/>
      <c r="U120" s="8"/>
      <c r="V120" s="38"/>
      <c r="W120" s="1"/>
      <c r="X120" s="1"/>
      <c r="Y120" s="1"/>
    </row>
    <row r="121" spans="1:25">
      <c r="A121" s="15"/>
      <c r="B121" s="15"/>
      <c r="C121" s="49"/>
      <c r="D121" s="49"/>
      <c r="E121" s="49"/>
      <c r="F121" s="49"/>
      <c r="G121" s="49"/>
      <c r="H121" s="49"/>
      <c r="I121" s="49"/>
      <c r="J121" s="49"/>
      <c r="K121" s="49"/>
      <c r="L121" s="38"/>
      <c r="M121" s="25"/>
      <c r="N121" s="25"/>
      <c r="O121" s="49"/>
      <c r="P121" s="1"/>
      <c r="Q121" s="8"/>
      <c r="R121" s="66"/>
      <c r="S121" s="20" t="str">
        <f ca="1">IFERROR(__xludf.DUMMYFUNCTION("IFERROR(vlookup(B121,IMPORTRANGE(""https://docs.google.com/spreadsheets/d/1g_jfYYK_KeipEDNDUgqgrsxK94XiocfNQIcP-v1QVhI/edit?resourcekey#gid=233272945"",""Nilai!B:CT""),57,0),"" "")")," ")</f>
        <v xml:space="preserve"> </v>
      </c>
      <c r="T121" s="66"/>
      <c r="U121" s="8"/>
      <c r="V121" s="38"/>
      <c r="W121" s="1"/>
      <c r="X121" s="1"/>
      <c r="Y121" s="1"/>
    </row>
    <row r="122" spans="1:25">
      <c r="A122" s="15"/>
      <c r="B122" s="15"/>
      <c r="C122" s="49"/>
      <c r="D122" s="49"/>
      <c r="E122" s="49"/>
      <c r="F122" s="49"/>
      <c r="G122" s="49"/>
      <c r="H122" s="49"/>
      <c r="I122" s="49"/>
      <c r="J122" s="49"/>
      <c r="K122" s="49"/>
      <c r="L122" s="38"/>
      <c r="M122" s="25"/>
      <c r="N122" s="25"/>
      <c r="O122" s="49"/>
      <c r="P122" s="1"/>
      <c r="Q122" s="8"/>
      <c r="R122" s="66"/>
      <c r="S122" s="20" t="str">
        <f ca="1">IFERROR(__xludf.DUMMYFUNCTION("IFERROR(vlookup(B122,IMPORTRANGE(""https://docs.google.com/spreadsheets/d/1g_jfYYK_KeipEDNDUgqgrsxK94XiocfNQIcP-v1QVhI/edit?resourcekey#gid=233272945"",""Nilai!B:CT""),57,0),"" "")")," ")</f>
        <v xml:space="preserve"> </v>
      </c>
      <c r="T122" s="66"/>
      <c r="U122" s="8"/>
      <c r="V122" s="38"/>
      <c r="W122" s="1"/>
      <c r="X122" s="1"/>
      <c r="Y122" s="1"/>
    </row>
    <row r="123" spans="1:25">
      <c r="A123" s="15"/>
      <c r="B123" s="15"/>
      <c r="C123" s="49"/>
      <c r="D123" s="49"/>
      <c r="E123" s="49"/>
      <c r="F123" s="49"/>
      <c r="G123" s="49"/>
      <c r="H123" s="49"/>
      <c r="I123" s="49"/>
      <c r="J123" s="49"/>
      <c r="K123" s="49"/>
      <c r="L123" s="38"/>
      <c r="M123" s="25"/>
      <c r="N123" s="25"/>
      <c r="O123" s="49"/>
      <c r="P123" s="1"/>
      <c r="Q123" s="8"/>
      <c r="R123" s="66"/>
      <c r="S123" s="20" t="str">
        <f ca="1">IFERROR(__xludf.DUMMYFUNCTION("IFERROR(vlookup(B123,IMPORTRANGE(""https://docs.google.com/spreadsheets/d/1g_jfYYK_KeipEDNDUgqgrsxK94XiocfNQIcP-v1QVhI/edit?resourcekey#gid=233272945"",""Nilai!B:CT""),57,0),"" "")")," ")</f>
        <v xml:space="preserve"> </v>
      </c>
      <c r="T123" s="66"/>
      <c r="U123" s="8"/>
      <c r="V123" s="38"/>
      <c r="W123" s="1"/>
      <c r="X123" s="1"/>
      <c r="Y123" s="1"/>
    </row>
    <row r="124" spans="1:25">
      <c r="A124" s="15"/>
      <c r="B124" s="15"/>
      <c r="C124" s="49"/>
      <c r="D124" s="49"/>
      <c r="E124" s="49"/>
      <c r="F124" s="49"/>
      <c r="G124" s="49"/>
      <c r="H124" s="49"/>
      <c r="I124" s="49"/>
      <c r="J124" s="49"/>
      <c r="K124" s="49"/>
      <c r="L124" s="38"/>
      <c r="M124" s="25"/>
      <c r="N124" s="25"/>
      <c r="O124" s="49"/>
      <c r="P124" s="1"/>
      <c r="Q124" s="8"/>
      <c r="R124" s="66"/>
      <c r="S124" s="20" t="str">
        <f ca="1">IFERROR(__xludf.DUMMYFUNCTION("IFERROR(vlookup(B124,IMPORTRANGE(""https://docs.google.com/spreadsheets/d/1g_jfYYK_KeipEDNDUgqgrsxK94XiocfNQIcP-v1QVhI/edit?resourcekey#gid=233272945"",""Nilai!B:CT""),57,0),"" "")")," ")</f>
        <v xml:space="preserve"> </v>
      </c>
      <c r="T124" s="66"/>
      <c r="U124" s="8"/>
      <c r="V124" s="38"/>
      <c r="W124" s="1"/>
      <c r="X124" s="1"/>
      <c r="Y124" s="1"/>
    </row>
    <row r="125" spans="1:25">
      <c r="A125" s="15"/>
      <c r="B125" s="15"/>
      <c r="C125" s="49"/>
      <c r="D125" s="49"/>
      <c r="E125" s="49"/>
      <c r="F125" s="49"/>
      <c r="G125" s="49"/>
      <c r="H125" s="49"/>
      <c r="I125" s="49"/>
      <c r="J125" s="49"/>
      <c r="K125" s="49"/>
      <c r="L125" s="38"/>
      <c r="M125" s="25"/>
      <c r="N125" s="25"/>
      <c r="O125" s="49"/>
      <c r="P125" s="1"/>
      <c r="Q125" s="8"/>
      <c r="R125" s="66"/>
      <c r="S125" s="20" t="str">
        <f ca="1">IFERROR(__xludf.DUMMYFUNCTION("IFERROR(vlookup(B125,IMPORTRANGE(""https://docs.google.com/spreadsheets/d/1g_jfYYK_KeipEDNDUgqgrsxK94XiocfNQIcP-v1QVhI/edit?resourcekey#gid=233272945"",""Nilai!B:CT""),57,0),"" "")")," ")</f>
        <v xml:space="preserve"> </v>
      </c>
      <c r="T125" s="66"/>
      <c r="U125" s="8"/>
      <c r="V125" s="38"/>
      <c r="W125" s="1"/>
      <c r="X125" s="1"/>
      <c r="Y125" s="1"/>
    </row>
    <row r="126" spans="1:25">
      <c r="A126" s="15"/>
      <c r="B126" s="15"/>
      <c r="C126" s="49"/>
      <c r="D126" s="49"/>
      <c r="E126" s="49"/>
      <c r="F126" s="49"/>
      <c r="G126" s="49"/>
      <c r="H126" s="49"/>
      <c r="I126" s="49"/>
      <c r="J126" s="49"/>
      <c r="K126" s="49"/>
      <c r="L126" s="38"/>
      <c r="M126" s="25"/>
      <c r="N126" s="25"/>
      <c r="O126" s="49"/>
      <c r="P126" s="1"/>
      <c r="Q126" s="8"/>
      <c r="R126" s="66"/>
      <c r="S126" s="20" t="str">
        <f ca="1">IFERROR(__xludf.DUMMYFUNCTION("IFERROR(vlookup(B126,IMPORTRANGE(""https://docs.google.com/spreadsheets/d/1g_jfYYK_KeipEDNDUgqgrsxK94XiocfNQIcP-v1QVhI/edit?resourcekey#gid=233272945"",""Nilai!B:CT""),57,0),"" "")")," ")</f>
        <v xml:space="preserve"> </v>
      </c>
      <c r="T126" s="66"/>
      <c r="U126" s="8"/>
      <c r="V126" s="38"/>
      <c r="W126" s="1"/>
      <c r="X126" s="1"/>
      <c r="Y126" s="1"/>
    </row>
    <row r="127" spans="1:25">
      <c r="A127" s="15"/>
      <c r="B127" s="15"/>
      <c r="C127" s="49"/>
      <c r="D127" s="49"/>
      <c r="E127" s="49"/>
      <c r="F127" s="49"/>
      <c r="G127" s="49"/>
      <c r="H127" s="49"/>
      <c r="I127" s="49"/>
      <c r="J127" s="49"/>
      <c r="K127" s="49"/>
      <c r="L127" s="38"/>
      <c r="M127" s="25"/>
      <c r="N127" s="25"/>
      <c r="O127" s="49"/>
      <c r="P127" s="1"/>
      <c r="Q127" s="8"/>
      <c r="R127" s="66"/>
      <c r="S127" s="20" t="str">
        <f ca="1">IFERROR(__xludf.DUMMYFUNCTION("IFERROR(vlookup(B127,IMPORTRANGE(""https://docs.google.com/spreadsheets/d/1g_jfYYK_KeipEDNDUgqgrsxK94XiocfNQIcP-v1QVhI/edit?resourcekey#gid=233272945"",""Nilai!B:CT""),57,0),"" "")")," ")</f>
        <v xml:space="preserve"> </v>
      </c>
      <c r="T127" s="66"/>
      <c r="U127" s="8"/>
      <c r="V127" s="38"/>
      <c r="W127" s="1"/>
      <c r="X127" s="1"/>
      <c r="Y127" s="1"/>
    </row>
    <row r="128" spans="1:25">
      <c r="A128" s="15"/>
      <c r="B128" s="15"/>
      <c r="C128" s="49"/>
      <c r="D128" s="49"/>
      <c r="E128" s="49"/>
      <c r="F128" s="49"/>
      <c r="G128" s="49"/>
      <c r="H128" s="49"/>
      <c r="I128" s="49"/>
      <c r="J128" s="49"/>
      <c r="K128" s="49"/>
      <c r="L128" s="38"/>
      <c r="M128" s="25"/>
      <c r="N128" s="25"/>
      <c r="O128" s="49"/>
      <c r="P128" s="1"/>
      <c r="Q128" s="8"/>
      <c r="R128" s="66"/>
      <c r="S128" s="20" t="str">
        <f ca="1">IFERROR(__xludf.DUMMYFUNCTION("IFERROR(vlookup(B128,IMPORTRANGE(""https://docs.google.com/spreadsheets/d/1g_jfYYK_KeipEDNDUgqgrsxK94XiocfNQIcP-v1QVhI/edit?resourcekey#gid=233272945"",""Nilai!B:CT""),57,0),"" "")")," ")</f>
        <v xml:space="preserve"> </v>
      </c>
      <c r="T128" s="66"/>
      <c r="U128" s="8"/>
      <c r="V128" s="38"/>
      <c r="W128" s="1"/>
      <c r="X128" s="1"/>
      <c r="Y128" s="1"/>
    </row>
    <row r="129" spans="1:25">
      <c r="A129" s="15"/>
      <c r="B129" s="15"/>
      <c r="C129" s="49"/>
      <c r="D129" s="49"/>
      <c r="E129" s="49"/>
      <c r="F129" s="49"/>
      <c r="G129" s="49"/>
      <c r="H129" s="49"/>
      <c r="I129" s="49"/>
      <c r="J129" s="49"/>
      <c r="K129" s="49"/>
      <c r="L129" s="38"/>
      <c r="M129" s="25"/>
      <c r="N129" s="25"/>
      <c r="O129" s="49"/>
      <c r="P129" s="1"/>
      <c r="Q129" s="8"/>
      <c r="R129" s="66"/>
      <c r="S129" s="20" t="str">
        <f ca="1">IFERROR(__xludf.DUMMYFUNCTION("IFERROR(vlookup(B129,IMPORTRANGE(""https://docs.google.com/spreadsheets/d/1g_jfYYK_KeipEDNDUgqgrsxK94XiocfNQIcP-v1QVhI/edit?resourcekey#gid=233272945"",""Nilai!B:CT""),57,0),"" "")")," ")</f>
        <v xml:space="preserve"> </v>
      </c>
      <c r="T129" s="66"/>
      <c r="U129" s="8"/>
      <c r="V129" s="38"/>
      <c r="W129" s="1"/>
      <c r="X129" s="1"/>
      <c r="Y129" s="1"/>
    </row>
    <row r="130" spans="1:25">
      <c r="A130" s="15"/>
      <c r="B130" s="15"/>
      <c r="C130" s="49"/>
      <c r="D130" s="49"/>
      <c r="E130" s="49"/>
      <c r="F130" s="49"/>
      <c r="G130" s="49"/>
      <c r="H130" s="49"/>
      <c r="I130" s="49"/>
      <c r="J130" s="49"/>
      <c r="K130" s="49"/>
      <c r="L130" s="38"/>
      <c r="M130" s="25"/>
      <c r="N130" s="25"/>
      <c r="O130" s="49"/>
      <c r="P130" s="1"/>
      <c r="Q130" s="8"/>
      <c r="R130" s="66"/>
      <c r="S130" s="20" t="str">
        <f ca="1">IFERROR(__xludf.DUMMYFUNCTION("IFERROR(vlookup(B130,IMPORTRANGE(""https://docs.google.com/spreadsheets/d/1g_jfYYK_KeipEDNDUgqgrsxK94XiocfNQIcP-v1QVhI/edit?resourcekey#gid=233272945"",""Nilai!B:CT""),57,0),"" "")")," ")</f>
        <v xml:space="preserve"> </v>
      </c>
      <c r="T130" s="66"/>
      <c r="U130" s="8"/>
      <c r="V130" s="38"/>
      <c r="W130" s="1"/>
      <c r="X130" s="1"/>
      <c r="Y130" s="1"/>
    </row>
    <row r="131" spans="1:25">
      <c r="A131" s="15"/>
      <c r="B131" s="15"/>
      <c r="C131" s="49"/>
      <c r="D131" s="49"/>
      <c r="E131" s="49"/>
      <c r="F131" s="49"/>
      <c r="G131" s="49"/>
      <c r="H131" s="49"/>
      <c r="I131" s="49"/>
      <c r="J131" s="49"/>
      <c r="K131" s="49"/>
      <c r="L131" s="38"/>
      <c r="M131" s="25"/>
      <c r="N131" s="25"/>
      <c r="O131" s="49"/>
      <c r="P131" s="1"/>
      <c r="Q131" s="8"/>
      <c r="R131" s="66"/>
      <c r="S131" s="20" t="str">
        <f ca="1">IFERROR(__xludf.DUMMYFUNCTION("IFERROR(vlookup(B131,IMPORTRANGE(""https://docs.google.com/spreadsheets/d/1g_jfYYK_KeipEDNDUgqgrsxK94XiocfNQIcP-v1QVhI/edit?resourcekey#gid=233272945"",""Nilai!B:CT""),57,0),"" "")")," ")</f>
        <v xml:space="preserve"> </v>
      </c>
      <c r="T131" s="66"/>
      <c r="U131" s="8"/>
      <c r="V131" s="38"/>
      <c r="W131" s="1"/>
      <c r="X131" s="1"/>
      <c r="Y131" s="1"/>
    </row>
    <row r="132" spans="1:25">
      <c r="A132" s="15"/>
      <c r="B132" s="15"/>
      <c r="C132" s="49"/>
      <c r="D132" s="49"/>
      <c r="E132" s="49"/>
      <c r="F132" s="49"/>
      <c r="G132" s="49"/>
      <c r="H132" s="49"/>
      <c r="I132" s="49"/>
      <c r="J132" s="49"/>
      <c r="K132" s="49"/>
      <c r="L132" s="38"/>
      <c r="M132" s="25"/>
      <c r="N132" s="25"/>
      <c r="O132" s="49"/>
      <c r="P132" s="1"/>
      <c r="Q132" s="8"/>
      <c r="R132" s="66"/>
      <c r="S132" s="20" t="str">
        <f ca="1">IFERROR(__xludf.DUMMYFUNCTION("IFERROR(vlookup(B132,IMPORTRANGE(""https://docs.google.com/spreadsheets/d/1g_jfYYK_KeipEDNDUgqgrsxK94XiocfNQIcP-v1QVhI/edit?resourcekey#gid=233272945"",""Nilai!B:CT""),57,0),"" "")")," ")</f>
        <v xml:space="preserve"> </v>
      </c>
      <c r="T132" s="66"/>
      <c r="U132" s="8"/>
      <c r="V132" s="38"/>
      <c r="W132" s="1"/>
      <c r="X132" s="1"/>
      <c r="Y132" s="1"/>
    </row>
    <row r="133" spans="1:25">
      <c r="A133" s="15"/>
      <c r="B133" s="15"/>
      <c r="C133" s="49"/>
      <c r="D133" s="49"/>
      <c r="E133" s="49"/>
      <c r="F133" s="49"/>
      <c r="G133" s="49"/>
      <c r="H133" s="49"/>
      <c r="I133" s="49"/>
      <c r="J133" s="49"/>
      <c r="K133" s="49"/>
      <c r="L133" s="38"/>
      <c r="M133" s="25"/>
      <c r="N133" s="25"/>
      <c r="O133" s="49"/>
      <c r="P133" s="1"/>
      <c r="Q133" s="8"/>
      <c r="R133" s="66"/>
      <c r="S133" s="20" t="str">
        <f ca="1">IFERROR(__xludf.DUMMYFUNCTION("IFERROR(vlookup(B133,IMPORTRANGE(""https://docs.google.com/spreadsheets/d/1g_jfYYK_KeipEDNDUgqgrsxK94XiocfNQIcP-v1QVhI/edit?resourcekey#gid=233272945"",""Nilai!B:CT""),57,0),"" "")")," ")</f>
        <v xml:space="preserve"> </v>
      </c>
      <c r="T133" s="66"/>
      <c r="U133" s="8"/>
      <c r="V133" s="38"/>
      <c r="W133" s="1"/>
      <c r="X133" s="1"/>
      <c r="Y133" s="1"/>
    </row>
    <row r="134" spans="1:25">
      <c r="A134" s="15"/>
      <c r="B134" s="15"/>
      <c r="C134" s="49"/>
      <c r="D134" s="49"/>
      <c r="E134" s="49"/>
      <c r="F134" s="49"/>
      <c r="G134" s="49"/>
      <c r="H134" s="49"/>
      <c r="I134" s="49"/>
      <c r="J134" s="49"/>
      <c r="K134" s="49"/>
      <c r="L134" s="38"/>
      <c r="M134" s="25"/>
      <c r="N134" s="25"/>
      <c r="O134" s="49"/>
      <c r="P134" s="1"/>
      <c r="Q134" s="8"/>
      <c r="R134" s="66"/>
      <c r="S134" s="20" t="str">
        <f ca="1">IFERROR(__xludf.DUMMYFUNCTION("IFERROR(vlookup(B134,IMPORTRANGE(""https://docs.google.com/spreadsheets/d/1g_jfYYK_KeipEDNDUgqgrsxK94XiocfNQIcP-v1QVhI/edit?resourcekey#gid=233272945"",""Nilai!B:CT""),57,0),"" "")")," ")</f>
        <v xml:space="preserve"> </v>
      </c>
      <c r="T134" s="66"/>
      <c r="U134" s="8"/>
      <c r="V134" s="38"/>
      <c r="W134" s="1"/>
      <c r="X134" s="1"/>
      <c r="Y134" s="1"/>
    </row>
    <row r="135" spans="1:25">
      <c r="A135" s="15"/>
      <c r="B135" s="15"/>
      <c r="C135" s="49"/>
      <c r="D135" s="49"/>
      <c r="E135" s="49"/>
      <c r="F135" s="49"/>
      <c r="G135" s="49"/>
      <c r="H135" s="49"/>
      <c r="I135" s="49"/>
      <c r="J135" s="49"/>
      <c r="K135" s="49"/>
      <c r="L135" s="38"/>
      <c r="M135" s="25"/>
      <c r="N135" s="25"/>
      <c r="O135" s="49"/>
      <c r="P135" s="1"/>
      <c r="Q135" s="8"/>
      <c r="R135" s="66"/>
      <c r="S135" s="20" t="str">
        <f ca="1">IFERROR(__xludf.DUMMYFUNCTION("IFERROR(vlookup(B135,IMPORTRANGE(""https://docs.google.com/spreadsheets/d/1g_jfYYK_KeipEDNDUgqgrsxK94XiocfNQIcP-v1QVhI/edit?resourcekey#gid=233272945"",""Nilai!B:CT""),57,0),"" "")")," ")</f>
        <v xml:space="preserve"> </v>
      </c>
      <c r="T135" s="66"/>
      <c r="U135" s="8"/>
      <c r="V135" s="38"/>
      <c r="W135" s="1"/>
      <c r="X135" s="1"/>
      <c r="Y135" s="1"/>
    </row>
    <row r="136" spans="1:25">
      <c r="A136" s="15"/>
      <c r="B136" s="15"/>
      <c r="C136" s="49"/>
      <c r="D136" s="49"/>
      <c r="E136" s="49"/>
      <c r="F136" s="49"/>
      <c r="G136" s="49"/>
      <c r="H136" s="49"/>
      <c r="I136" s="49"/>
      <c r="J136" s="49"/>
      <c r="K136" s="49"/>
      <c r="L136" s="38"/>
      <c r="M136" s="25"/>
      <c r="N136" s="25"/>
      <c r="O136" s="49"/>
      <c r="P136" s="1"/>
      <c r="Q136" s="8"/>
      <c r="R136" s="66"/>
      <c r="S136" s="20" t="str">
        <f ca="1">IFERROR(__xludf.DUMMYFUNCTION("IFERROR(vlookup(B136,IMPORTRANGE(""https://docs.google.com/spreadsheets/d/1g_jfYYK_KeipEDNDUgqgrsxK94XiocfNQIcP-v1QVhI/edit?resourcekey#gid=233272945"",""Nilai!B:CT""),57,0),"" "")")," ")</f>
        <v xml:space="preserve"> </v>
      </c>
      <c r="T136" s="66"/>
      <c r="U136" s="8"/>
      <c r="V136" s="38"/>
      <c r="W136" s="1"/>
      <c r="X136" s="1"/>
      <c r="Y136" s="1"/>
    </row>
    <row r="137" spans="1:25">
      <c r="A137" s="15"/>
      <c r="B137" s="15"/>
      <c r="C137" s="49"/>
      <c r="D137" s="49"/>
      <c r="E137" s="49"/>
      <c r="F137" s="49"/>
      <c r="G137" s="49"/>
      <c r="H137" s="49"/>
      <c r="I137" s="49"/>
      <c r="J137" s="49"/>
      <c r="K137" s="49"/>
      <c r="L137" s="38"/>
      <c r="M137" s="25"/>
      <c r="N137" s="25"/>
      <c r="O137" s="49"/>
      <c r="P137" s="1"/>
      <c r="Q137" s="8"/>
      <c r="R137" s="66"/>
      <c r="S137" s="20" t="str">
        <f ca="1">IFERROR(__xludf.DUMMYFUNCTION("IFERROR(vlookup(B137,IMPORTRANGE(""https://docs.google.com/spreadsheets/d/1g_jfYYK_KeipEDNDUgqgrsxK94XiocfNQIcP-v1QVhI/edit?resourcekey#gid=233272945"",""Nilai!B:CT""),57,0),"" "")")," ")</f>
        <v xml:space="preserve"> </v>
      </c>
      <c r="T137" s="66"/>
      <c r="U137" s="8"/>
      <c r="V137" s="38"/>
      <c r="W137" s="1"/>
      <c r="X137" s="1"/>
      <c r="Y137" s="1"/>
    </row>
    <row r="138" spans="1:25">
      <c r="A138" s="15"/>
      <c r="B138" s="15"/>
      <c r="C138" s="49"/>
      <c r="D138" s="49"/>
      <c r="E138" s="49"/>
      <c r="F138" s="49"/>
      <c r="G138" s="49"/>
      <c r="H138" s="49"/>
      <c r="I138" s="49"/>
      <c r="J138" s="49"/>
      <c r="K138" s="49"/>
      <c r="L138" s="38"/>
      <c r="M138" s="25"/>
      <c r="N138" s="25"/>
      <c r="O138" s="49"/>
      <c r="P138" s="1"/>
      <c r="Q138" s="8"/>
      <c r="R138" s="66"/>
      <c r="S138" s="20" t="str">
        <f ca="1">IFERROR(__xludf.DUMMYFUNCTION("IFERROR(vlookup(B138,IMPORTRANGE(""https://docs.google.com/spreadsheets/d/1g_jfYYK_KeipEDNDUgqgrsxK94XiocfNQIcP-v1QVhI/edit?resourcekey#gid=233272945"",""Nilai!B:CT""),57,0),"" "")")," ")</f>
        <v xml:space="preserve"> </v>
      </c>
      <c r="T138" s="66"/>
      <c r="U138" s="8"/>
      <c r="V138" s="38"/>
      <c r="W138" s="1"/>
      <c r="X138" s="1"/>
      <c r="Y138" s="1"/>
    </row>
    <row r="139" spans="1:25">
      <c r="A139" s="15"/>
      <c r="B139" s="15"/>
      <c r="C139" s="49"/>
      <c r="D139" s="49"/>
      <c r="E139" s="49"/>
      <c r="F139" s="49"/>
      <c r="G139" s="49"/>
      <c r="H139" s="49"/>
      <c r="I139" s="49"/>
      <c r="J139" s="49"/>
      <c r="K139" s="49"/>
      <c r="L139" s="38"/>
      <c r="M139" s="25"/>
      <c r="N139" s="25"/>
      <c r="O139" s="49"/>
      <c r="P139" s="1"/>
      <c r="Q139" s="8"/>
      <c r="R139" s="66"/>
      <c r="S139" s="20" t="str">
        <f ca="1">IFERROR(__xludf.DUMMYFUNCTION("IFERROR(vlookup(B139,IMPORTRANGE(""https://docs.google.com/spreadsheets/d/1g_jfYYK_KeipEDNDUgqgrsxK94XiocfNQIcP-v1QVhI/edit?resourcekey#gid=233272945"",""Nilai!B:CT""),57,0),"" "")")," ")</f>
        <v xml:space="preserve"> </v>
      </c>
      <c r="T139" s="66"/>
      <c r="U139" s="8"/>
      <c r="V139" s="38"/>
      <c r="W139" s="1"/>
      <c r="X139" s="1"/>
      <c r="Y139" s="1"/>
    </row>
    <row r="140" spans="1:25">
      <c r="A140" s="15"/>
      <c r="B140" s="15"/>
      <c r="C140" s="49"/>
      <c r="D140" s="49"/>
      <c r="E140" s="49"/>
      <c r="F140" s="49"/>
      <c r="G140" s="49"/>
      <c r="H140" s="49"/>
      <c r="I140" s="49"/>
      <c r="J140" s="49"/>
      <c r="K140" s="49"/>
      <c r="L140" s="38"/>
      <c r="M140" s="25"/>
      <c r="N140" s="25"/>
      <c r="O140" s="49"/>
      <c r="P140" s="1"/>
      <c r="Q140" s="8"/>
      <c r="R140" s="66"/>
      <c r="S140" s="20" t="str">
        <f ca="1">IFERROR(__xludf.DUMMYFUNCTION("IFERROR(vlookup(B140,IMPORTRANGE(""https://docs.google.com/spreadsheets/d/1g_jfYYK_KeipEDNDUgqgrsxK94XiocfNQIcP-v1QVhI/edit?resourcekey#gid=233272945"",""Nilai!B:CT""),57,0),"" "")")," ")</f>
        <v xml:space="preserve"> </v>
      </c>
      <c r="T140" s="66"/>
      <c r="U140" s="8"/>
      <c r="V140" s="38"/>
      <c r="W140" s="1"/>
      <c r="X140" s="1"/>
      <c r="Y140" s="1"/>
    </row>
    <row r="141" spans="1:25">
      <c r="A141" s="15"/>
      <c r="B141" s="15"/>
      <c r="C141" s="49"/>
      <c r="D141" s="49"/>
      <c r="E141" s="49"/>
      <c r="F141" s="49"/>
      <c r="G141" s="49"/>
      <c r="H141" s="49"/>
      <c r="I141" s="49"/>
      <c r="J141" s="49"/>
      <c r="K141" s="49"/>
      <c r="L141" s="38"/>
      <c r="M141" s="25"/>
      <c r="N141" s="25"/>
      <c r="O141" s="49"/>
      <c r="P141" s="1"/>
      <c r="Q141" s="8"/>
      <c r="R141" s="66"/>
      <c r="S141" s="20" t="str">
        <f ca="1">IFERROR(__xludf.DUMMYFUNCTION("IFERROR(vlookup(B141,IMPORTRANGE(""https://docs.google.com/spreadsheets/d/1g_jfYYK_KeipEDNDUgqgrsxK94XiocfNQIcP-v1QVhI/edit?resourcekey#gid=233272945"",""Nilai!B:CT""),57,0),"" "")")," ")</f>
        <v xml:space="preserve"> </v>
      </c>
      <c r="T141" s="66"/>
      <c r="U141" s="8"/>
      <c r="V141" s="38"/>
      <c r="W141" s="1"/>
      <c r="X141" s="1"/>
      <c r="Y141" s="1"/>
    </row>
    <row r="142" spans="1:25">
      <c r="A142" s="15"/>
      <c r="B142" s="15"/>
      <c r="C142" s="49"/>
      <c r="D142" s="49"/>
      <c r="E142" s="49"/>
      <c r="F142" s="49"/>
      <c r="G142" s="49"/>
      <c r="H142" s="49"/>
      <c r="I142" s="49"/>
      <c r="J142" s="49"/>
      <c r="K142" s="49"/>
      <c r="L142" s="38"/>
      <c r="M142" s="25"/>
      <c r="N142" s="25"/>
      <c r="O142" s="49"/>
      <c r="P142" s="1"/>
      <c r="Q142" s="8"/>
      <c r="R142" s="66"/>
      <c r="S142" s="20" t="str">
        <f ca="1">IFERROR(__xludf.DUMMYFUNCTION("IFERROR(vlookup(B142,IMPORTRANGE(""https://docs.google.com/spreadsheets/d/1g_jfYYK_KeipEDNDUgqgrsxK94XiocfNQIcP-v1QVhI/edit?resourcekey#gid=233272945"",""Nilai!B:CT""),57,0),"" "")")," ")</f>
        <v xml:space="preserve"> </v>
      </c>
      <c r="T142" s="66"/>
      <c r="U142" s="8"/>
      <c r="V142" s="38"/>
      <c r="W142" s="1"/>
      <c r="X142" s="1"/>
      <c r="Y142" s="1"/>
    </row>
    <row r="143" spans="1:25">
      <c r="A143" s="15"/>
      <c r="B143" s="15"/>
      <c r="C143" s="49"/>
      <c r="D143" s="49"/>
      <c r="E143" s="49"/>
      <c r="F143" s="49"/>
      <c r="G143" s="49"/>
      <c r="H143" s="49"/>
      <c r="I143" s="49"/>
      <c r="J143" s="49"/>
      <c r="K143" s="49"/>
      <c r="L143" s="38"/>
      <c r="M143" s="25"/>
      <c r="N143" s="25"/>
      <c r="O143" s="49"/>
      <c r="P143" s="1"/>
      <c r="Q143" s="8"/>
      <c r="R143" s="66"/>
      <c r="S143" s="20" t="str">
        <f ca="1">IFERROR(__xludf.DUMMYFUNCTION("IFERROR(vlookup(B143,IMPORTRANGE(""https://docs.google.com/spreadsheets/d/1g_jfYYK_KeipEDNDUgqgrsxK94XiocfNQIcP-v1QVhI/edit?resourcekey#gid=233272945"",""Nilai!B:CT""),57,0),"" "")")," ")</f>
        <v xml:space="preserve"> </v>
      </c>
      <c r="T143" s="66"/>
      <c r="U143" s="8"/>
      <c r="V143" s="38"/>
      <c r="W143" s="1"/>
      <c r="X143" s="1"/>
      <c r="Y143" s="1"/>
    </row>
    <row r="144" spans="1:25">
      <c r="A144" s="15"/>
      <c r="B144" s="15"/>
      <c r="C144" s="49"/>
      <c r="D144" s="49"/>
      <c r="E144" s="49"/>
      <c r="F144" s="49"/>
      <c r="G144" s="49"/>
      <c r="H144" s="49"/>
      <c r="I144" s="49"/>
      <c r="J144" s="49"/>
      <c r="K144" s="49"/>
      <c r="L144" s="38"/>
      <c r="M144" s="25"/>
      <c r="N144" s="25"/>
      <c r="O144" s="49"/>
      <c r="P144" s="1"/>
      <c r="Q144" s="8"/>
      <c r="R144" s="66"/>
      <c r="S144" s="1"/>
      <c r="T144" s="66"/>
      <c r="U144" s="8"/>
      <c r="V144" s="38"/>
      <c r="W144" s="1"/>
      <c r="X144" s="1"/>
      <c r="Y144" s="1"/>
    </row>
    <row r="145" spans="1:25">
      <c r="A145" s="15"/>
      <c r="B145" s="15"/>
      <c r="C145" s="49"/>
      <c r="D145" s="49"/>
      <c r="E145" s="49"/>
      <c r="F145" s="49"/>
      <c r="G145" s="49"/>
      <c r="H145" s="49"/>
      <c r="I145" s="49"/>
      <c r="J145" s="49"/>
      <c r="K145" s="49"/>
      <c r="L145" s="38"/>
      <c r="M145" s="25"/>
      <c r="N145" s="25"/>
      <c r="O145" s="49"/>
      <c r="P145" s="1"/>
      <c r="Q145" s="8"/>
      <c r="R145" s="66"/>
      <c r="S145" s="1"/>
      <c r="T145" s="66"/>
      <c r="U145" s="8"/>
      <c r="V145" s="38"/>
      <c r="W145" s="1"/>
      <c r="X145" s="1"/>
      <c r="Y145" s="1"/>
    </row>
    <row r="146" spans="1:25">
      <c r="A146" s="15"/>
      <c r="B146" s="15"/>
      <c r="C146" s="49"/>
      <c r="D146" s="49"/>
      <c r="E146" s="49"/>
      <c r="F146" s="49"/>
      <c r="G146" s="49"/>
      <c r="H146" s="49"/>
      <c r="I146" s="49"/>
      <c r="J146" s="49"/>
      <c r="K146" s="49"/>
      <c r="L146" s="38"/>
      <c r="M146" s="25"/>
      <c r="N146" s="25"/>
      <c r="O146" s="49"/>
      <c r="P146" s="1"/>
      <c r="Q146" s="8"/>
      <c r="R146" s="66"/>
      <c r="S146" s="1"/>
      <c r="T146" s="66"/>
      <c r="U146" s="8"/>
      <c r="V146" s="38"/>
      <c r="W146" s="1"/>
      <c r="X146" s="1"/>
      <c r="Y146" s="1"/>
    </row>
    <row r="147" spans="1:25">
      <c r="A147" s="15"/>
      <c r="B147" s="15"/>
      <c r="C147" s="49"/>
      <c r="D147" s="49"/>
      <c r="E147" s="49"/>
      <c r="F147" s="49"/>
      <c r="G147" s="49"/>
      <c r="H147" s="49"/>
      <c r="I147" s="49"/>
      <c r="J147" s="49"/>
      <c r="K147" s="49"/>
      <c r="L147" s="38"/>
      <c r="M147" s="25"/>
      <c r="N147" s="25"/>
      <c r="O147" s="49"/>
      <c r="P147" s="1"/>
      <c r="Q147" s="8"/>
      <c r="R147" s="66"/>
      <c r="S147" s="1"/>
      <c r="T147" s="66"/>
      <c r="U147" s="8"/>
      <c r="V147" s="38"/>
      <c r="W147" s="1"/>
      <c r="X147" s="1"/>
      <c r="Y147" s="1"/>
    </row>
    <row r="148" spans="1:25">
      <c r="A148" s="15"/>
      <c r="B148" s="15"/>
      <c r="C148" s="49"/>
      <c r="D148" s="49"/>
      <c r="E148" s="49"/>
      <c r="F148" s="49"/>
      <c r="G148" s="49"/>
      <c r="H148" s="49"/>
      <c r="I148" s="49"/>
      <c r="J148" s="49"/>
      <c r="K148" s="49"/>
      <c r="L148" s="38"/>
      <c r="M148" s="25"/>
      <c r="N148" s="25"/>
      <c r="O148" s="49"/>
      <c r="P148" s="1"/>
      <c r="Q148" s="8"/>
      <c r="R148" s="66"/>
      <c r="S148" s="1"/>
      <c r="T148" s="66"/>
      <c r="U148" s="8"/>
      <c r="V148" s="38"/>
      <c r="W148" s="1"/>
      <c r="X148" s="1"/>
      <c r="Y148" s="1"/>
    </row>
    <row r="149" spans="1:25">
      <c r="A149" s="15"/>
      <c r="B149" s="15"/>
      <c r="C149" s="49"/>
      <c r="D149" s="49"/>
      <c r="E149" s="49"/>
      <c r="F149" s="49"/>
      <c r="G149" s="49"/>
      <c r="H149" s="49"/>
      <c r="I149" s="49"/>
      <c r="J149" s="49"/>
      <c r="K149" s="49"/>
      <c r="L149" s="38"/>
      <c r="M149" s="25"/>
      <c r="N149" s="25"/>
      <c r="O149" s="49"/>
      <c r="P149" s="1"/>
      <c r="Q149" s="8"/>
      <c r="R149" s="66"/>
      <c r="S149" s="1"/>
      <c r="T149" s="66"/>
      <c r="U149" s="8"/>
      <c r="V149" s="38"/>
      <c r="W149" s="1"/>
      <c r="X149" s="1"/>
      <c r="Y149" s="1"/>
    </row>
    <row r="150" spans="1:25">
      <c r="A150" s="15"/>
      <c r="B150" s="15"/>
      <c r="C150" s="49"/>
      <c r="D150" s="49"/>
      <c r="E150" s="49"/>
      <c r="F150" s="49"/>
      <c r="G150" s="49"/>
      <c r="H150" s="49"/>
      <c r="I150" s="49"/>
      <c r="J150" s="49"/>
      <c r="K150" s="49"/>
      <c r="L150" s="38"/>
      <c r="M150" s="25"/>
      <c r="N150" s="25"/>
      <c r="O150" s="49"/>
      <c r="P150" s="1"/>
      <c r="Q150" s="8"/>
      <c r="R150" s="66"/>
      <c r="S150" s="1"/>
      <c r="T150" s="66"/>
      <c r="U150" s="8"/>
      <c r="V150" s="38"/>
      <c r="W150" s="1"/>
      <c r="X150" s="1"/>
      <c r="Y150" s="1"/>
    </row>
    <row r="151" spans="1:25">
      <c r="A151" s="15"/>
      <c r="B151" s="15"/>
      <c r="C151" s="49"/>
      <c r="D151" s="49"/>
      <c r="E151" s="49"/>
      <c r="F151" s="49"/>
      <c r="G151" s="49"/>
      <c r="H151" s="49"/>
      <c r="I151" s="49"/>
      <c r="J151" s="49"/>
      <c r="K151" s="49"/>
      <c r="L151" s="38"/>
      <c r="M151" s="25"/>
      <c r="N151" s="25"/>
      <c r="O151" s="49"/>
      <c r="P151" s="1"/>
      <c r="Q151" s="8"/>
      <c r="R151" s="66"/>
      <c r="S151" s="1"/>
      <c r="T151" s="66"/>
      <c r="U151" s="8"/>
      <c r="V151" s="38"/>
      <c r="W151" s="1"/>
      <c r="X151" s="1"/>
      <c r="Y151" s="1"/>
    </row>
    <row r="152" spans="1:25">
      <c r="A152" s="15"/>
      <c r="B152" s="15"/>
      <c r="C152" s="49"/>
      <c r="D152" s="49"/>
      <c r="E152" s="49"/>
      <c r="F152" s="49"/>
      <c r="G152" s="49"/>
      <c r="H152" s="49"/>
      <c r="I152" s="49"/>
      <c r="J152" s="49"/>
      <c r="K152" s="49"/>
      <c r="L152" s="38"/>
      <c r="M152" s="25"/>
      <c r="N152" s="25"/>
      <c r="O152" s="49"/>
      <c r="P152" s="1"/>
      <c r="Q152" s="8"/>
      <c r="R152" s="66"/>
      <c r="S152" s="1"/>
      <c r="T152" s="66"/>
      <c r="U152" s="8"/>
      <c r="V152" s="38"/>
      <c r="W152" s="1"/>
      <c r="X152" s="1"/>
      <c r="Y152" s="1"/>
    </row>
    <row r="153" spans="1:25">
      <c r="A153" s="15"/>
      <c r="B153" s="15"/>
      <c r="C153" s="49"/>
      <c r="D153" s="49"/>
      <c r="E153" s="49"/>
      <c r="F153" s="49"/>
      <c r="G153" s="49"/>
      <c r="H153" s="49"/>
      <c r="I153" s="49"/>
      <c r="J153" s="49"/>
      <c r="K153" s="49"/>
      <c r="L153" s="38"/>
      <c r="M153" s="25"/>
      <c r="N153" s="25"/>
      <c r="O153" s="49"/>
      <c r="P153" s="1"/>
      <c r="Q153" s="8"/>
      <c r="R153" s="66"/>
      <c r="S153" s="1"/>
      <c r="T153" s="66"/>
      <c r="U153" s="8"/>
      <c r="V153" s="38"/>
      <c r="W153" s="1"/>
      <c r="X153" s="1"/>
      <c r="Y153" s="1"/>
    </row>
    <row r="154" spans="1:25">
      <c r="A154" s="15"/>
      <c r="B154" s="15"/>
      <c r="C154" s="49"/>
      <c r="D154" s="49"/>
      <c r="E154" s="49"/>
      <c r="F154" s="49"/>
      <c r="G154" s="49"/>
      <c r="H154" s="49"/>
      <c r="I154" s="49"/>
      <c r="J154" s="49"/>
      <c r="K154" s="49"/>
      <c r="L154" s="38"/>
      <c r="M154" s="25"/>
      <c r="N154" s="25"/>
      <c r="O154" s="49"/>
      <c r="P154" s="1"/>
      <c r="Q154" s="8"/>
      <c r="R154" s="66"/>
      <c r="S154" s="1"/>
      <c r="T154" s="66"/>
      <c r="U154" s="8"/>
      <c r="V154" s="38"/>
      <c r="W154" s="1"/>
      <c r="X154" s="1"/>
      <c r="Y154" s="1"/>
    </row>
    <row r="155" spans="1:25">
      <c r="A155" s="15"/>
      <c r="B155" s="15"/>
      <c r="C155" s="49"/>
      <c r="D155" s="49"/>
      <c r="E155" s="49"/>
      <c r="F155" s="49"/>
      <c r="G155" s="49"/>
      <c r="H155" s="49"/>
      <c r="I155" s="49"/>
      <c r="J155" s="49"/>
      <c r="K155" s="49"/>
      <c r="L155" s="38"/>
      <c r="M155" s="25"/>
      <c r="N155" s="25"/>
      <c r="O155" s="49"/>
      <c r="P155" s="1"/>
      <c r="Q155" s="8"/>
      <c r="R155" s="66"/>
      <c r="S155" s="1"/>
      <c r="T155" s="66"/>
      <c r="U155" s="8"/>
      <c r="V155" s="38"/>
      <c r="W155" s="1"/>
      <c r="X155" s="1"/>
      <c r="Y155" s="1"/>
    </row>
    <row r="156" spans="1:25">
      <c r="A156" s="15"/>
      <c r="B156" s="15"/>
      <c r="C156" s="49"/>
      <c r="D156" s="49"/>
      <c r="E156" s="49"/>
      <c r="F156" s="49"/>
      <c r="G156" s="49"/>
      <c r="H156" s="49"/>
      <c r="I156" s="49"/>
      <c r="J156" s="49"/>
      <c r="K156" s="49"/>
      <c r="L156" s="38"/>
      <c r="M156" s="25"/>
      <c r="N156" s="25"/>
      <c r="O156" s="49"/>
      <c r="P156" s="1"/>
      <c r="Q156" s="8"/>
      <c r="R156" s="66"/>
      <c r="S156" s="1"/>
      <c r="T156" s="66"/>
      <c r="U156" s="8"/>
      <c r="V156" s="38"/>
      <c r="W156" s="1"/>
      <c r="X156" s="1"/>
      <c r="Y156" s="1"/>
    </row>
    <row r="157" spans="1:25">
      <c r="A157" s="15"/>
      <c r="B157" s="15"/>
      <c r="C157" s="49"/>
      <c r="D157" s="49"/>
      <c r="E157" s="49"/>
      <c r="F157" s="49"/>
      <c r="G157" s="49"/>
      <c r="H157" s="49"/>
      <c r="I157" s="49"/>
      <c r="J157" s="49"/>
      <c r="K157" s="49"/>
      <c r="L157" s="38"/>
      <c r="M157" s="25"/>
      <c r="N157" s="25"/>
      <c r="O157" s="49"/>
      <c r="P157" s="1"/>
      <c r="Q157" s="8"/>
      <c r="R157" s="66"/>
      <c r="S157" s="1"/>
      <c r="T157" s="66"/>
      <c r="U157" s="8"/>
      <c r="V157" s="38"/>
      <c r="W157" s="1"/>
      <c r="X157" s="1"/>
      <c r="Y157" s="1"/>
    </row>
    <row r="158" spans="1:25">
      <c r="A158" s="15"/>
      <c r="B158" s="15"/>
      <c r="C158" s="49"/>
      <c r="D158" s="49"/>
      <c r="E158" s="49"/>
      <c r="F158" s="49"/>
      <c r="G158" s="49"/>
      <c r="H158" s="49"/>
      <c r="I158" s="49"/>
      <c r="J158" s="49"/>
      <c r="K158" s="49"/>
      <c r="L158" s="38"/>
      <c r="M158" s="25"/>
      <c r="N158" s="25"/>
      <c r="O158" s="49"/>
      <c r="P158" s="1"/>
      <c r="Q158" s="8"/>
      <c r="R158" s="66"/>
      <c r="S158" s="1"/>
      <c r="T158" s="66"/>
      <c r="U158" s="8"/>
      <c r="V158" s="38"/>
      <c r="W158" s="1"/>
      <c r="X158" s="1"/>
      <c r="Y158" s="1"/>
    </row>
    <row r="159" spans="1:25">
      <c r="A159" s="15"/>
      <c r="B159" s="15"/>
      <c r="C159" s="49"/>
      <c r="D159" s="49"/>
      <c r="E159" s="49"/>
      <c r="F159" s="49"/>
      <c r="G159" s="49"/>
      <c r="H159" s="49"/>
      <c r="I159" s="49"/>
      <c r="J159" s="49"/>
      <c r="K159" s="49"/>
      <c r="L159" s="38"/>
      <c r="M159" s="25"/>
      <c r="N159" s="25"/>
      <c r="O159" s="49"/>
      <c r="P159" s="1"/>
      <c r="Q159" s="8"/>
      <c r="R159" s="66"/>
      <c r="S159" s="1"/>
      <c r="T159" s="66"/>
      <c r="U159" s="8"/>
      <c r="V159" s="38"/>
      <c r="W159" s="1"/>
      <c r="X159" s="1"/>
      <c r="Y159" s="1"/>
    </row>
    <row r="160" spans="1:25">
      <c r="A160" s="15"/>
      <c r="B160" s="15"/>
      <c r="C160" s="49"/>
      <c r="D160" s="49"/>
      <c r="E160" s="49"/>
      <c r="F160" s="49"/>
      <c r="G160" s="49"/>
      <c r="H160" s="49"/>
      <c r="I160" s="49"/>
      <c r="J160" s="49"/>
      <c r="K160" s="49"/>
      <c r="L160" s="38"/>
      <c r="M160" s="25"/>
      <c r="N160" s="25"/>
      <c r="O160" s="49"/>
      <c r="P160" s="1"/>
      <c r="Q160" s="8"/>
      <c r="R160" s="66"/>
      <c r="S160" s="1"/>
      <c r="T160" s="66"/>
      <c r="U160" s="8"/>
      <c r="V160" s="38"/>
      <c r="W160" s="1"/>
      <c r="X160" s="1"/>
      <c r="Y160" s="1"/>
    </row>
    <row r="161" spans="1:25">
      <c r="A161" s="15"/>
      <c r="B161" s="15"/>
      <c r="C161" s="49"/>
      <c r="D161" s="49"/>
      <c r="E161" s="49"/>
      <c r="F161" s="49"/>
      <c r="G161" s="49"/>
      <c r="H161" s="49"/>
      <c r="I161" s="49"/>
      <c r="J161" s="49"/>
      <c r="K161" s="49"/>
      <c r="L161" s="38"/>
      <c r="M161" s="25"/>
      <c r="N161" s="25"/>
      <c r="O161" s="49"/>
      <c r="P161" s="1"/>
      <c r="Q161" s="8"/>
      <c r="R161" s="66"/>
      <c r="S161" s="1"/>
      <c r="T161" s="66"/>
      <c r="U161" s="8"/>
      <c r="V161" s="38"/>
      <c r="W161" s="1"/>
      <c r="X161" s="1"/>
      <c r="Y161" s="1"/>
    </row>
    <row r="162" spans="1:25">
      <c r="A162" s="15"/>
      <c r="B162" s="15"/>
      <c r="C162" s="49"/>
      <c r="D162" s="49"/>
      <c r="E162" s="49"/>
      <c r="F162" s="49"/>
      <c r="G162" s="49"/>
      <c r="H162" s="49"/>
      <c r="I162" s="49"/>
      <c r="J162" s="49"/>
      <c r="K162" s="49"/>
      <c r="L162" s="38"/>
      <c r="M162" s="25"/>
      <c r="N162" s="25"/>
      <c r="O162" s="49"/>
      <c r="P162" s="1"/>
      <c r="Q162" s="8"/>
      <c r="R162" s="66"/>
      <c r="S162" s="1"/>
      <c r="T162" s="66"/>
      <c r="U162" s="8"/>
      <c r="V162" s="38"/>
      <c r="W162" s="1"/>
      <c r="X162" s="1"/>
      <c r="Y162" s="1"/>
    </row>
    <row r="163" spans="1:25">
      <c r="A163" s="15"/>
      <c r="B163" s="15"/>
      <c r="C163" s="49"/>
      <c r="D163" s="49"/>
      <c r="E163" s="49"/>
      <c r="F163" s="49"/>
      <c r="G163" s="49"/>
      <c r="H163" s="49"/>
      <c r="I163" s="49"/>
      <c r="J163" s="49"/>
      <c r="K163" s="49"/>
      <c r="L163" s="38"/>
      <c r="M163" s="25"/>
      <c r="N163" s="25"/>
      <c r="O163" s="49"/>
      <c r="P163" s="1"/>
      <c r="Q163" s="8"/>
      <c r="R163" s="66"/>
      <c r="S163" s="1"/>
      <c r="T163" s="66"/>
      <c r="U163" s="8"/>
      <c r="V163" s="38"/>
      <c r="W163" s="1"/>
      <c r="X163" s="1"/>
      <c r="Y163" s="1"/>
    </row>
    <row r="164" spans="1:25">
      <c r="A164" s="15"/>
      <c r="B164" s="15"/>
      <c r="C164" s="49"/>
      <c r="D164" s="49"/>
      <c r="E164" s="49"/>
      <c r="F164" s="49"/>
      <c r="G164" s="49"/>
      <c r="H164" s="49"/>
      <c r="I164" s="49"/>
      <c r="J164" s="49"/>
      <c r="K164" s="49"/>
      <c r="L164" s="38"/>
      <c r="M164" s="25"/>
      <c r="N164" s="25"/>
      <c r="O164" s="49"/>
      <c r="P164" s="1"/>
      <c r="Q164" s="8"/>
      <c r="R164" s="66"/>
      <c r="S164" s="1"/>
      <c r="T164" s="66"/>
      <c r="U164" s="8"/>
      <c r="V164" s="38"/>
      <c r="W164" s="1"/>
      <c r="X164" s="1"/>
      <c r="Y164" s="1"/>
    </row>
    <row r="165" spans="1:25">
      <c r="A165" s="15"/>
      <c r="B165" s="15"/>
      <c r="C165" s="49"/>
      <c r="D165" s="49"/>
      <c r="E165" s="49"/>
      <c r="F165" s="49"/>
      <c r="G165" s="49"/>
      <c r="H165" s="49"/>
      <c r="I165" s="49"/>
      <c r="J165" s="49"/>
      <c r="K165" s="49"/>
      <c r="L165" s="38"/>
      <c r="M165" s="25"/>
      <c r="N165" s="25"/>
      <c r="O165" s="49"/>
      <c r="P165" s="1"/>
      <c r="Q165" s="8"/>
      <c r="R165" s="66"/>
      <c r="S165" s="1"/>
      <c r="T165" s="66"/>
      <c r="U165" s="8"/>
      <c r="V165" s="38"/>
      <c r="W165" s="1"/>
      <c r="X165" s="1"/>
      <c r="Y165" s="1"/>
    </row>
    <row r="166" spans="1:25">
      <c r="A166" s="15"/>
      <c r="B166" s="15"/>
      <c r="C166" s="49"/>
      <c r="D166" s="49"/>
      <c r="E166" s="49"/>
      <c r="F166" s="49"/>
      <c r="G166" s="49"/>
      <c r="H166" s="49"/>
      <c r="I166" s="49"/>
      <c r="J166" s="49"/>
      <c r="K166" s="49"/>
      <c r="L166" s="38"/>
      <c r="M166" s="25"/>
      <c r="N166" s="25"/>
      <c r="O166" s="49"/>
      <c r="P166" s="1"/>
      <c r="Q166" s="8"/>
      <c r="R166" s="66"/>
      <c r="S166" s="1"/>
      <c r="T166" s="66"/>
      <c r="U166" s="8"/>
      <c r="V166" s="38"/>
      <c r="W166" s="1"/>
      <c r="X166" s="1"/>
      <c r="Y166" s="1"/>
    </row>
    <row r="167" spans="1:25">
      <c r="A167" s="15"/>
      <c r="B167" s="15"/>
      <c r="C167" s="49"/>
      <c r="D167" s="49"/>
      <c r="E167" s="49"/>
      <c r="F167" s="49"/>
      <c r="G167" s="49"/>
      <c r="H167" s="49"/>
      <c r="I167" s="49"/>
      <c r="J167" s="49"/>
      <c r="K167" s="49"/>
      <c r="L167" s="38"/>
      <c r="M167" s="25"/>
      <c r="N167" s="25"/>
      <c r="O167" s="49"/>
      <c r="P167" s="1"/>
      <c r="Q167" s="8"/>
      <c r="R167" s="66"/>
      <c r="S167" s="1"/>
      <c r="T167" s="66"/>
      <c r="U167" s="8"/>
      <c r="V167" s="38"/>
      <c r="W167" s="1"/>
      <c r="X167" s="1"/>
      <c r="Y167" s="1"/>
    </row>
    <row r="168" spans="1:25">
      <c r="A168" s="15"/>
      <c r="B168" s="15"/>
      <c r="C168" s="49"/>
      <c r="D168" s="49"/>
      <c r="E168" s="49"/>
      <c r="F168" s="49"/>
      <c r="G168" s="49"/>
      <c r="H168" s="49"/>
      <c r="I168" s="49"/>
      <c r="J168" s="49"/>
      <c r="K168" s="49"/>
      <c r="L168" s="38"/>
      <c r="M168" s="25"/>
      <c r="N168" s="25"/>
      <c r="O168" s="49"/>
      <c r="P168" s="1"/>
      <c r="Q168" s="8"/>
      <c r="R168" s="66"/>
      <c r="S168" s="1"/>
      <c r="T168" s="66"/>
      <c r="U168" s="8"/>
      <c r="V168" s="38"/>
      <c r="W168" s="1"/>
      <c r="X168" s="1"/>
      <c r="Y168" s="1"/>
    </row>
    <row r="169" spans="1:25">
      <c r="A169" s="15"/>
      <c r="B169" s="15"/>
      <c r="C169" s="49"/>
      <c r="D169" s="49"/>
      <c r="E169" s="49"/>
      <c r="F169" s="49"/>
      <c r="G169" s="49"/>
      <c r="H169" s="49"/>
      <c r="I169" s="49"/>
      <c r="J169" s="49"/>
      <c r="K169" s="49"/>
      <c r="L169" s="38"/>
      <c r="M169" s="25"/>
      <c r="N169" s="25"/>
      <c r="O169" s="49"/>
      <c r="P169" s="1"/>
      <c r="Q169" s="8"/>
      <c r="R169" s="66"/>
      <c r="S169" s="1"/>
      <c r="T169" s="66"/>
      <c r="U169" s="8"/>
      <c r="V169" s="38"/>
      <c r="W169" s="1"/>
      <c r="X169" s="1"/>
      <c r="Y169" s="1"/>
    </row>
    <row r="170" spans="1:25">
      <c r="A170" s="15"/>
      <c r="B170" s="15"/>
      <c r="C170" s="49"/>
      <c r="D170" s="49"/>
      <c r="E170" s="49"/>
      <c r="F170" s="49"/>
      <c r="G170" s="49"/>
      <c r="H170" s="49"/>
      <c r="I170" s="49"/>
      <c r="J170" s="49"/>
      <c r="K170" s="49"/>
      <c r="L170" s="38"/>
      <c r="M170" s="25"/>
      <c r="N170" s="25"/>
      <c r="O170" s="49"/>
      <c r="P170" s="1"/>
      <c r="Q170" s="8"/>
      <c r="R170" s="66"/>
      <c r="S170" s="1"/>
      <c r="T170" s="66"/>
      <c r="U170" s="8"/>
      <c r="V170" s="38"/>
      <c r="W170" s="1"/>
      <c r="X170" s="1"/>
      <c r="Y170" s="1"/>
    </row>
    <row r="171" spans="1:25">
      <c r="A171" s="15"/>
      <c r="B171" s="15"/>
      <c r="C171" s="49"/>
      <c r="D171" s="49"/>
      <c r="E171" s="49"/>
      <c r="F171" s="49"/>
      <c r="G171" s="49"/>
      <c r="H171" s="49"/>
      <c r="I171" s="49"/>
      <c r="J171" s="49"/>
      <c r="K171" s="49"/>
      <c r="L171" s="38"/>
      <c r="M171" s="25"/>
      <c r="N171" s="25"/>
      <c r="O171" s="49"/>
      <c r="P171" s="1"/>
      <c r="Q171" s="8"/>
      <c r="R171" s="66"/>
      <c r="S171" s="1"/>
      <c r="T171" s="66"/>
      <c r="U171" s="8"/>
      <c r="V171" s="38"/>
      <c r="W171" s="1"/>
      <c r="X171" s="1"/>
      <c r="Y171" s="1"/>
    </row>
    <row r="172" spans="1:25">
      <c r="A172" s="15"/>
      <c r="B172" s="15"/>
      <c r="C172" s="49"/>
      <c r="D172" s="49"/>
      <c r="E172" s="49"/>
      <c r="F172" s="49"/>
      <c r="G172" s="49"/>
      <c r="H172" s="49"/>
      <c r="I172" s="49"/>
      <c r="J172" s="49"/>
      <c r="K172" s="49"/>
      <c r="L172" s="38"/>
      <c r="M172" s="25"/>
      <c r="N172" s="25"/>
      <c r="O172" s="49"/>
      <c r="P172" s="1"/>
      <c r="Q172" s="8"/>
      <c r="R172" s="66"/>
      <c r="S172" s="1"/>
      <c r="T172" s="66"/>
      <c r="U172" s="8"/>
      <c r="V172" s="38"/>
      <c r="W172" s="1"/>
      <c r="X172" s="1"/>
      <c r="Y172" s="1"/>
    </row>
    <row r="173" spans="1:25">
      <c r="A173" s="15"/>
      <c r="B173" s="15"/>
      <c r="C173" s="49"/>
      <c r="D173" s="49"/>
      <c r="E173" s="49"/>
      <c r="F173" s="49"/>
      <c r="G173" s="49"/>
      <c r="H173" s="49"/>
      <c r="I173" s="49"/>
      <c r="J173" s="49"/>
      <c r="K173" s="49"/>
      <c r="L173" s="38"/>
      <c r="M173" s="25"/>
      <c r="N173" s="25"/>
      <c r="O173" s="49"/>
      <c r="P173" s="1"/>
      <c r="Q173" s="8"/>
      <c r="R173" s="66"/>
      <c r="S173" s="1"/>
      <c r="T173" s="66"/>
      <c r="U173" s="8"/>
      <c r="V173" s="38"/>
      <c r="W173" s="1"/>
      <c r="X173" s="1"/>
      <c r="Y173" s="1"/>
    </row>
    <row r="174" spans="1:25">
      <c r="A174" s="15"/>
      <c r="B174" s="15"/>
      <c r="C174" s="49"/>
      <c r="D174" s="49"/>
      <c r="E174" s="49"/>
      <c r="F174" s="49"/>
      <c r="G174" s="49"/>
      <c r="H174" s="49"/>
      <c r="I174" s="49"/>
      <c r="J174" s="49"/>
      <c r="K174" s="49"/>
      <c r="L174" s="38"/>
      <c r="M174" s="25"/>
      <c r="N174" s="25"/>
      <c r="O174" s="49"/>
      <c r="P174" s="1"/>
      <c r="Q174" s="8"/>
      <c r="R174" s="66"/>
      <c r="S174" s="1"/>
      <c r="T174" s="66"/>
      <c r="U174" s="8"/>
      <c r="V174" s="38"/>
      <c r="W174" s="1"/>
      <c r="X174" s="1"/>
      <c r="Y174" s="1"/>
    </row>
    <row r="175" spans="1:25">
      <c r="A175" s="15"/>
      <c r="B175" s="15"/>
      <c r="C175" s="49"/>
      <c r="D175" s="49"/>
      <c r="E175" s="49"/>
      <c r="F175" s="49"/>
      <c r="G175" s="49"/>
      <c r="H175" s="49"/>
      <c r="I175" s="49"/>
      <c r="J175" s="49"/>
      <c r="K175" s="49"/>
      <c r="L175" s="38"/>
      <c r="M175" s="25"/>
      <c r="N175" s="25"/>
      <c r="O175" s="49"/>
      <c r="P175" s="1"/>
      <c r="Q175" s="8"/>
      <c r="R175" s="66"/>
      <c r="S175" s="1"/>
      <c r="T175" s="66"/>
      <c r="U175" s="8"/>
      <c r="V175" s="38"/>
      <c r="W175" s="1"/>
      <c r="X175" s="1"/>
      <c r="Y175" s="1"/>
    </row>
    <row r="176" spans="1:25">
      <c r="A176" s="15"/>
      <c r="B176" s="15"/>
      <c r="C176" s="49"/>
      <c r="D176" s="49"/>
      <c r="E176" s="49"/>
      <c r="F176" s="49"/>
      <c r="G176" s="49"/>
      <c r="H176" s="49"/>
      <c r="I176" s="49"/>
      <c r="J176" s="49"/>
      <c r="K176" s="49"/>
      <c r="L176" s="38"/>
      <c r="M176" s="25"/>
      <c r="N176" s="25"/>
      <c r="O176" s="49"/>
      <c r="P176" s="1"/>
      <c r="Q176" s="8"/>
      <c r="R176" s="66"/>
      <c r="S176" s="1"/>
      <c r="T176" s="66"/>
      <c r="U176" s="8"/>
      <c r="V176" s="38"/>
      <c r="W176" s="1"/>
      <c r="X176" s="1"/>
      <c r="Y176" s="1"/>
    </row>
    <row r="177" spans="1:25">
      <c r="A177" s="15"/>
      <c r="B177" s="15"/>
      <c r="C177" s="49"/>
      <c r="D177" s="49"/>
      <c r="E177" s="49"/>
      <c r="F177" s="49"/>
      <c r="G177" s="49"/>
      <c r="H177" s="49"/>
      <c r="I177" s="49"/>
      <c r="J177" s="49"/>
      <c r="K177" s="49"/>
      <c r="L177" s="38"/>
      <c r="M177" s="25"/>
      <c r="N177" s="25"/>
      <c r="O177" s="49"/>
      <c r="P177" s="1"/>
      <c r="Q177" s="8"/>
      <c r="R177" s="66"/>
      <c r="S177" s="1"/>
      <c r="T177" s="66"/>
      <c r="U177" s="8"/>
      <c r="V177" s="38"/>
      <c r="W177" s="1"/>
      <c r="X177" s="1"/>
      <c r="Y177" s="1"/>
    </row>
    <row r="178" spans="1:25">
      <c r="A178" s="15"/>
      <c r="B178" s="15"/>
      <c r="C178" s="49"/>
      <c r="D178" s="49"/>
      <c r="E178" s="49"/>
      <c r="F178" s="49"/>
      <c r="G178" s="49"/>
      <c r="H178" s="49"/>
      <c r="I178" s="49"/>
      <c r="J178" s="49"/>
      <c r="K178" s="49"/>
      <c r="L178" s="38"/>
      <c r="M178" s="25"/>
      <c r="N178" s="25"/>
      <c r="O178" s="49"/>
      <c r="P178" s="1"/>
      <c r="Q178" s="8"/>
      <c r="R178" s="66"/>
      <c r="S178" s="1"/>
      <c r="T178" s="66"/>
      <c r="U178" s="8"/>
      <c r="V178" s="38"/>
      <c r="W178" s="1"/>
      <c r="X178" s="1"/>
      <c r="Y178" s="1"/>
    </row>
    <row r="179" spans="1:25">
      <c r="A179" s="15"/>
      <c r="B179" s="15"/>
      <c r="C179" s="49"/>
      <c r="D179" s="49"/>
      <c r="E179" s="49"/>
      <c r="F179" s="49"/>
      <c r="G179" s="49"/>
      <c r="H179" s="49"/>
      <c r="I179" s="49"/>
      <c r="J179" s="49"/>
      <c r="K179" s="49"/>
      <c r="L179" s="38"/>
      <c r="M179" s="25"/>
      <c r="N179" s="25"/>
      <c r="O179" s="49"/>
      <c r="P179" s="1"/>
      <c r="Q179" s="8"/>
      <c r="R179" s="66"/>
      <c r="S179" s="1"/>
      <c r="T179" s="66"/>
      <c r="U179" s="8"/>
      <c r="V179" s="38"/>
      <c r="W179" s="1"/>
      <c r="X179" s="1"/>
      <c r="Y179" s="1"/>
    </row>
    <row r="180" spans="1:25">
      <c r="A180" s="15"/>
      <c r="B180" s="15"/>
      <c r="C180" s="49"/>
      <c r="D180" s="49"/>
      <c r="E180" s="49"/>
      <c r="F180" s="49"/>
      <c r="G180" s="49"/>
      <c r="H180" s="49"/>
      <c r="I180" s="49"/>
      <c r="J180" s="49"/>
      <c r="K180" s="49"/>
      <c r="L180" s="38"/>
      <c r="M180" s="25"/>
      <c r="N180" s="25"/>
      <c r="O180" s="49"/>
      <c r="P180" s="1"/>
      <c r="Q180" s="8"/>
      <c r="R180" s="66"/>
      <c r="S180" s="1"/>
      <c r="T180" s="66"/>
      <c r="U180" s="8"/>
      <c r="V180" s="38"/>
      <c r="W180" s="1"/>
      <c r="X180" s="1"/>
      <c r="Y180" s="1"/>
    </row>
    <row r="181" spans="1:25">
      <c r="A181" s="15"/>
      <c r="B181" s="15"/>
      <c r="C181" s="49"/>
      <c r="D181" s="49"/>
      <c r="E181" s="49"/>
      <c r="F181" s="49"/>
      <c r="G181" s="49"/>
      <c r="H181" s="49"/>
      <c r="I181" s="49"/>
      <c r="J181" s="49"/>
      <c r="K181" s="49"/>
      <c r="L181" s="38"/>
      <c r="M181" s="25"/>
      <c r="N181" s="25"/>
      <c r="O181" s="49"/>
      <c r="P181" s="1"/>
      <c r="Q181" s="8"/>
      <c r="R181" s="66"/>
      <c r="S181" s="1"/>
      <c r="T181" s="66"/>
      <c r="U181" s="8"/>
      <c r="V181" s="38"/>
      <c r="W181" s="1"/>
      <c r="X181" s="1"/>
      <c r="Y181" s="1"/>
    </row>
    <row r="182" spans="1:25">
      <c r="A182" s="15"/>
      <c r="B182" s="15"/>
      <c r="C182" s="49"/>
      <c r="D182" s="49"/>
      <c r="E182" s="49"/>
      <c r="F182" s="49"/>
      <c r="G182" s="49"/>
      <c r="H182" s="49"/>
      <c r="I182" s="49"/>
      <c r="J182" s="49"/>
      <c r="K182" s="49"/>
      <c r="L182" s="38"/>
      <c r="M182" s="25"/>
      <c r="N182" s="25"/>
      <c r="O182" s="49"/>
      <c r="P182" s="1"/>
      <c r="Q182" s="8"/>
      <c r="R182" s="66"/>
      <c r="S182" s="1"/>
      <c r="T182" s="66"/>
      <c r="U182" s="8"/>
      <c r="V182" s="38"/>
      <c r="W182" s="1"/>
      <c r="X182" s="1"/>
      <c r="Y182" s="1"/>
    </row>
    <row r="183" spans="1:25">
      <c r="A183" s="15"/>
      <c r="B183" s="15"/>
      <c r="C183" s="49"/>
      <c r="D183" s="49"/>
      <c r="E183" s="49"/>
      <c r="F183" s="49"/>
      <c r="G183" s="49"/>
      <c r="H183" s="49"/>
      <c r="I183" s="49"/>
      <c r="J183" s="49"/>
      <c r="K183" s="49"/>
      <c r="L183" s="38"/>
      <c r="M183" s="25"/>
      <c r="N183" s="25"/>
      <c r="O183" s="49"/>
      <c r="P183" s="1"/>
      <c r="Q183" s="8"/>
      <c r="R183" s="66"/>
      <c r="S183" s="1"/>
      <c r="T183" s="66"/>
      <c r="U183" s="8"/>
      <c r="V183" s="38"/>
      <c r="W183" s="1"/>
      <c r="X183" s="1"/>
      <c r="Y183" s="1"/>
    </row>
    <row r="184" spans="1:25">
      <c r="A184" s="15"/>
      <c r="B184" s="15"/>
      <c r="C184" s="49"/>
      <c r="D184" s="49"/>
      <c r="E184" s="49"/>
      <c r="F184" s="49"/>
      <c r="G184" s="49"/>
      <c r="H184" s="49"/>
      <c r="I184" s="49"/>
      <c r="J184" s="49"/>
      <c r="K184" s="49"/>
      <c r="L184" s="38"/>
      <c r="M184" s="25"/>
      <c r="N184" s="25"/>
      <c r="O184" s="49"/>
      <c r="P184" s="1"/>
      <c r="Q184" s="8"/>
      <c r="R184" s="66"/>
      <c r="S184" s="1"/>
      <c r="T184" s="66"/>
      <c r="U184" s="8"/>
      <c r="V184" s="38"/>
      <c r="W184" s="1"/>
      <c r="X184" s="1"/>
      <c r="Y184" s="1"/>
    </row>
    <row r="185" spans="1:25">
      <c r="A185" s="15"/>
      <c r="B185" s="15"/>
      <c r="C185" s="49"/>
      <c r="D185" s="49"/>
      <c r="E185" s="49"/>
      <c r="F185" s="49"/>
      <c r="G185" s="49"/>
      <c r="H185" s="49"/>
      <c r="I185" s="49"/>
      <c r="J185" s="49"/>
      <c r="K185" s="49"/>
      <c r="L185" s="38"/>
      <c r="M185" s="25"/>
      <c r="N185" s="25"/>
      <c r="O185" s="49"/>
      <c r="P185" s="1"/>
      <c r="Q185" s="8"/>
      <c r="R185" s="66"/>
      <c r="S185" s="1"/>
      <c r="T185" s="66"/>
      <c r="U185" s="8"/>
      <c r="V185" s="38"/>
      <c r="W185" s="1"/>
      <c r="X185" s="1"/>
      <c r="Y185" s="1"/>
    </row>
    <row r="186" spans="1:25">
      <c r="A186" s="15"/>
      <c r="B186" s="15"/>
      <c r="C186" s="49"/>
      <c r="D186" s="49"/>
      <c r="E186" s="49"/>
      <c r="F186" s="49"/>
      <c r="G186" s="49"/>
      <c r="H186" s="49"/>
      <c r="I186" s="49"/>
      <c r="J186" s="49"/>
      <c r="K186" s="49"/>
      <c r="L186" s="38"/>
      <c r="M186" s="25"/>
      <c r="N186" s="25"/>
      <c r="O186" s="49"/>
      <c r="P186" s="1"/>
      <c r="Q186" s="8"/>
      <c r="R186" s="66"/>
      <c r="S186" s="1"/>
      <c r="T186" s="66"/>
      <c r="U186" s="8"/>
      <c r="V186" s="38"/>
      <c r="W186" s="1"/>
      <c r="X186" s="1"/>
      <c r="Y186" s="1"/>
    </row>
    <row r="187" spans="1:25">
      <c r="A187" s="15"/>
      <c r="B187" s="15"/>
      <c r="C187" s="49"/>
      <c r="D187" s="49"/>
      <c r="E187" s="49"/>
      <c r="F187" s="49"/>
      <c r="G187" s="49"/>
      <c r="H187" s="49"/>
      <c r="I187" s="49"/>
      <c r="J187" s="49"/>
      <c r="K187" s="49"/>
      <c r="L187" s="38"/>
      <c r="M187" s="25"/>
      <c r="N187" s="25"/>
      <c r="O187" s="49"/>
      <c r="P187" s="1"/>
      <c r="Q187" s="8"/>
      <c r="R187" s="66"/>
      <c r="S187" s="1"/>
      <c r="T187" s="66"/>
      <c r="U187" s="8"/>
      <c r="V187" s="38"/>
      <c r="W187" s="1"/>
      <c r="X187" s="1"/>
      <c r="Y187" s="1"/>
    </row>
    <row r="188" spans="1:25">
      <c r="A188" s="15"/>
      <c r="B188" s="15"/>
      <c r="C188" s="49"/>
      <c r="D188" s="49"/>
      <c r="E188" s="49"/>
      <c r="F188" s="49"/>
      <c r="G188" s="49"/>
      <c r="H188" s="49"/>
      <c r="I188" s="49"/>
      <c r="J188" s="49"/>
      <c r="K188" s="49"/>
      <c r="L188" s="38"/>
      <c r="M188" s="25"/>
      <c r="N188" s="25"/>
      <c r="O188" s="49"/>
      <c r="P188" s="1"/>
      <c r="Q188" s="8"/>
      <c r="R188" s="66"/>
      <c r="S188" s="1"/>
      <c r="T188" s="66"/>
      <c r="U188" s="8"/>
      <c r="V188" s="38"/>
      <c r="W188" s="1"/>
      <c r="X188" s="1"/>
      <c r="Y188" s="1"/>
    </row>
    <row r="189" spans="1:25">
      <c r="A189" s="15"/>
      <c r="B189" s="15"/>
      <c r="C189" s="49"/>
      <c r="D189" s="49"/>
      <c r="E189" s="49"/>
      <c r="F189" s="49"/>
      <c r="G189" s="49"/>
      <c r="H189" s="49"/>
      <c r="I189" s="49"/>
      <c r="J189" s="49"/>
      <c r="K189" s="49"/>
      <c r="L189" s="38"/>
      <c r="M189" s="25"/>
      <c r="N189" s="25"/>
      <c r="O189" s="49"/>
      <c r="P189" s="1"/>
      <c r="Q189" s="8"/>
      <c r="R189" s="66"/>
      <c r="S189" s="1"/>
      <c r="T189" s="66"/>
      <c r="U189" s="8"/>
      <c r="V189" s="38"/>
      <c r="W189" s="1"/>
      <c r="X189" s="1"/>
      <c r="Y189" s="1"/>
    </row>
    <row r="190" spans="1:25">
      <c r="A190" s="15"/>
      <c r="B190" s="15"/>
      <c r="C190" s="49"/>
      <c r="D190" s="49"/>
      <c r="E190" s="49"/>
      <c r="F190" s="49"/>
      <c r="G190" s="49"/>
      <c r="H190" s="49"/>
      <c r="I190" s="49"/>
      <c r="J190" s="49"/>
      <c r="K190" s="49"/>
      <c r="L190" s="38"/>
      <c r="M190" s="25"/>
      <c r="N190" s="25"/>
      <c r="O190" s="49"/>
      <c r="P190" s="1"/>
      <c r="Q190" s="8"/>
      <c r="R190" s="66"/>
      <c r="S190" s="1"/>
      <c r="T190" s="66"/>
      <c r="U190" s="8"/>
      <c r="V190" s="38"/>
      <c r="W190" s="1"/>
      <c r="X190" s="1"/>
      <c r="Y190" s="1"/>
    </row>
    <row r="191" spans="1:25">
      <c r="A191" s="15"/>
      <c r="B191" s="15"/>
      <c r="C191" s="49"/>
      <c r="D191" s="49"/>
      <c r="E191" s="49"/>
      <c r="F191" s="49"/>
      <c r="G191" s="49"/>
      <c r="H191" s="49"/>
      <c r="I191" s="49"/>
      <c r="J191" s="49"/>
      <c r="K191" s="49"/>
      <c r="L191" s="38"/>
      <c r="M191" s="25"/>
      <c r="N191" s="25"/>
      <c r="O191" s="49"/>
      <c r="P191" s="1"/>
      <c r="Q191" s="8"/>
      <c r="R191" s="66"/>
      <c r="S191" s="1"/>
      <c r="T191" s="66"/>
      <c r="U191" s="8"/>
      <c r="V191" s="38"/>
      <c r="W191" s="1"/>
      <c r="X191" s="1"/>
      <c r="Y191" s="1"/>
    </row>
    <row r="192" spans="1:25">
      <c r="A192" s="15"/>
      <c r="B192" s="15"/>
      <c r="C192" s="49"/>
      <c r="D192" s="49"/>
      <c r="E192" s="49"/>
      <c r="F192" s="49"/>
      <c r="G192" s="49"/>
      <c r="H192" s="49"/>
      <c r="I192" s="49"/>
      <c r="J192" s="49"/>
      <c r="K192" s="49"/>
      <c r="L192" s="38"/>
      <c r="M192" s="25"/>
      <c r="N192" s="25"/>
      <c r="O192" s="49"/>
      <c r="P192" s="1"/>
      <c r="Q192" s="8"/>
      <c r="R192" s="66"/>
      <c r="S192" s="1"/>
      <c r="T192" s="66"/>
      <c r="U192" s="8"/>
      <c r="V192" s="38"/>
      <c r="W192" s="1"/>
      <c r="X192" s="1"/>
      <c r="Y192" s="1"/>
    </row>
    <row r="193" spans="1:25">
      <c r="A193" s="15"/>
      <c r="B193" s="15"/>
      <c r="C193" s="49"/>
      <c r="D193" s="49"/>
      <c r="E193" s="49"/>
      <c r="F193" s="49"/>
      <c r="G193" s="49"/>
      <c r="H193" s="49"/>
      <c r="I193" s="49"/>
      <c r="J193" s="49"/>
      <c r="K193" s="49"/>
      <c r="L193" s="38"/>
      <c r="M193" s="25"/>
      <c r="N193" s="25"/>
      <c r="O193" s="49"/>
      <c r="P193" s="1"/>
      <c r="Q193" s="8"/>
      <c r="R193" s="66"/>
      <c r="S193" s="1"/>
      <c r="T193" s="66"/>
      <c r="U193" s="8"/>
      <c r="V193" s="38"/>
      <c r="W193" s="1"/>
      <c r="X193" s="1"/>
      <c r="Y193" s="1"/>
    </row>
    <row r="194" spans="1:25">
      <c r="A194" s="15"/>
      <c r="B194" s="15"/>
      <c r="C194" s="49"/>
      <c r="D194" s="49"/>
      <c r="E194" s="49"/>
      <c r="F194" s="49"/>
      <c r="G194" s="49"/>
      <c r="H194" s="49"/>
      <c r="I194" s="49"/>
      <c r="J194" s="49"/>
      <c r="K194" s="49"/>
      <c r="L194" s="38"/>
      <c r="M194" s="25"/>
      <c r="N194" s="25"/>
      <c r="O194" s="49"/>
      <c r="P194" s="1"/>
      <c r="Q194" s="8"/>
      <c r="R194" s="66"/>
      <c r="S194" s="1"/>
      <c r="T194" s="66"/>
      <c r="U194" s="8"/>
      <c r="V194" s="38"/>
      <c r="W194" s="1"/>
      <c r="X194" s="1"/>
      <c r="Y194" s="1"/>
    </row>
    <row r="195" spans="1:25">
      <c r="A195" s="15"/>
      <c r="B195" s="15"/>
      <c r="C195" s="49"/>
      <c r="D195" s="49"/>
      <c r="E195" s="49"/>
      <c r="F195" s="49"/>
      <c r="G195" s="49"/>
      <c r="H195" s="49"/>
      <c r="I195" s="49"/>
      <c r="J195" s="49"/>
      <c r="K195" s="49"/>
      <c r="L195" s="38"/>
      <c r="M195" s="25"/>
      <c r="N195" s="25"/>
      <c r="O195" s="49"/>
      <c r="P195" s="1"/>
      <c r="Q195" s="8"/>
      <c r="R195" s="66"/>
      <c r="S195" s="1"/>
      <c r="T195" s="66"/>
      <c r="U195" s="8"/>
      <c r="V195" s="38"/>
      <c r="W195" s="1"/>
      <c r="X195" s="1"/>
      <c r="Y195" s="1"/>
    </row>
    <row r="196" spans="1:25">
      <c r="A196" s="15"/>
      <c r="B196" s="15"/>
      <c r="C196" s="49"/>
      <c r="D196" s="49"/>
      <c r="E196" s="49"/>
      <c r="F196" s="49"/>
      <c r="G196" s="49"/>
      <c r="H196" s="49"/>
      <c r="I196" s="49"/>
      <c r="J196" s="49"/>
      <c r="K196" s="49"/>
      <c r="L196" s="38"/>
      <c r="M196" s="25"/>
      <c r="N196" s="25"/>
      <c r="O196" s="49"/>
      <c r="P196" s="1"/>
      <c r="Q196" s="8"/>
      <c r="R196" s="66"/>
      <c r="S196" s="1"/>
      <c r="T196" s="66"/>
      <c r="U196" s="8"/>
      <c r="V196" s="38"/>
      <c r="W196" s="1"/>
      <c r="X196" s="1"/>
      <c r="Y196" s="1"/>
    </row>
    <row r="197" spans="1:25">
      <c r="A197" s="15"/>
      <c r="B197" s="15"/>
      <c r="C197" s="49"/>
      <c r="D197" s="49"/>
      <c r="E197" s="49"/>
      <c r="F197" s="49"/>
      <c r="G197" s="49"/>
      <c r="H197" s="49"/>
      <c r="I197" s="49"/>
      <c r="J197" s="49"/>
      <c r="K197" s="49"/>
      <c r="L197" s="38"/>
      <c r="M197" s="25"/>
      <c r="N197" s="25"/>
      <c r="O197" s="49"/>
      <c r="P197" s="1"/>
      <c r="Q197" s="8"/>
      <c r="R197" s="66"/>
      <c r="S197" s="1"/>
      <c r="T197" s="66"/>
      <c r="U197" s="8"/>
      <c r="V197" s="38"/>
      <c r="W197" s="1"/>
      <c r="X197" s="1"/>
      <c r="Y197" s="1"/>
    </row>
    <row r="198" spans="1:25">
      <c r="A198" s="15"/>
      <c r="B198" s="15"/>
      <c r="C198" s="49"/>
      <c r="D198" s="49"/>
      <c r="E198" s="49"/>
      <c r="F198" s="49"/>
      <c r="G198" s="49"/>
      <c r="H198" s="49"/>
      <c r="I198" s="49"/>
      <c r="J198" s="49"/>
      <c r="K198" s="49"/>
      <c r="L198" s="38"/>
      <c r="M198" s="25"/>
      <c r="N198" s="25"/>
      <c r="O198" s="49"/>
      <c r="P198" s="1"/>
      <c r="Q198" s="8"/>
      <c r="R198" s="66"/>
      <c r="S198" s="1"/>
      <c r="T198" s="66"/>
      <c r="U198" s="8"/>
      <c r="V198" s="38"/>
      <c r="W198" s="1"/>
      <c r="X198" s="1"/>
      <c r="Y198" s="1"/>
    </row>
    <row r="199" spans="1:25">
      <c r="A199" s="15"/>
      <c r="B199" s="15"/>
      <c r="C199" s="49"/>
      <c r="D199" s="49"/>
      <c r="E199" s="49"/>
      <c r="F199" s="49"/>
      <c r="G199" s="49"/>
      <c r="H199" s="49"/>
      <c r="I199" s="49"/>
      <c r="J199" s="49"/>
      <c r="K199" s="49"/>
      <c r="L199" s="38"/>
      <c r="M199" s="25"/>
      <c r="N199" s="25"/>
      <c r="O199" s="49"/>
      <c r="P199" s="1"/>
      <c r="Q199" s="8"/>
      <c r="R199" s="66"/>
      <c r="S199" s="1"/>
      <c r="T199" s="66"/>
      <c r="U199" s="8"/>
      <c r="V199" s="38"/>
      <c r="W199" s="1"/>
      <c r="X199" s="1"/>
      <c r="Y199" s="1"/>
    </row>
    <row r="200" spans="1:25">
      <c r="A200" s="15"/>
      <c r="B200" s="15"/>
      <c r="C200" s="49"/>
      <c r="D200" s="49"/>
      <c r="E200" s="49"/>
      <c r="F200" s="49"/>
      <c r="G200" s="49"/>
      <c r="H200" s="49"/>
      <c r="I200" s="49"/>
      <c r="J200" s="49"/>
      <c r="K200" s="49"/>
      <c r="L200" s="38"/>
      <c r="M200" s="25"/>
      <c r="N200" s="25"/>
      <c r="O200" s="49"/>
      <c r="P200" s="1"/>
      <c r="Q200" s="8"/>
      <c r="R200" s="66"/>
      <c r="S200" s="1"/>
      <c r="T200" s="66"/>
      <c r="U200" s="8"/>
      <c r="V200" s="38"/>
      <c r="W200" s="1"/>
      <c r="X200" s="1"/>
      <c r="Y200" s="1"/>
    </row>
    <row r="201" spans="1:25">
      <c r="A201" s="15"/>
      <c r="B201" s="15"/>
      <c r="C201" s="49"/>
      <c r="D201" s="49"/>
      <c r="E201" s="49"/>
      <c r="F201" s="49"/>
      <c r="G201" s="49"/>
      <c r="H201" s="49"/>
      <c r="I201" s="49"/>
      <c r="J201" s="49"/>
      <c r="K201" s="49"/>
      <c r="L201" s="38"/>
      <c r="M201" s="25"/>
      <c r="N201" s="25"/>
      <c r="O201" s="49"/>
      <c r="P201" s="1"/>
      <c r="Q201" s="8"/>
      <c r="R201" s="66"/>
      <c r="S201" s="1"/>
      <c r="T201" s="66"/>
      <c r="U201" s="8"/>
      <c r="V201" s="38"/>
      <c r="W201" s="1"/>
      <c r="X201" s="1"/>
      <c r="Y201" s="1"/>
    </row>
    <row r="202" spans="1:25">
      <c r="A202" s="15"/>
      <c r="B202" s="15"/>
      <c r="C202" s="49"/>
      <c r="D202" s="49"/>
      <c r="E202" s="49"/>
      <c r="F202" s="49"/>
      <c r="G202" s="49"/>
      <c r="H202" s="49"/>
      <c r="I202" s="49"/>
      <c r="J202" s="49"/>
      <c r="K202" s="49"/>
      <c r="L202" s="38"/>
      <c r="M202" s="25"/>
      <c r="N202" s="25"/>
      <c r="O202" s="49"/>
      <c r="P202" s="1"/>
      <c r="Q202" s="8"/>
      <c r="R202" s="66"/>
      <c r="S202" s="1"/>
      <c r="T202" s="66"/>
      <c r="U202" s="8"/>
      <c r="V202" s="38"/>
      <c r="W202" s="1"/>
      <c r="X202" s="1"/>
      <c r="Y202" s="1"/>
    </row>
    <row r="203" spans="1:25">
      <c r="A203" s="15"/>
      <c r="B203" s="15"/>
      <c r="C203" s="49"/>
      <c r="D203" s="49"/>
      <c r="E203" s="49"/>
      <c r="F203" s="49"/>
      <c r="G203" s="49"/>
      <c r="H203" s="49"/>
      <c r="I203" s="49"/>
      <c r="J203" s="49"/>
      <c r="K203" s="49"/>
      <c r="L203" s="38"/>
      <c r="M203" s="25"/>
      <c r="N203" s="25"/>
      <c r="O203" s="49"/>
      <c r="P203" s="1"/>
      <c r="Q203" s="8"/>
      <c r="R203" s="66"/>
      <c r="S203" s="1"/>
      <c r="T203" s="66"/>
      <c r="U203" s="8"/>
      <c r="V203" s="38"/>
      <c r="W203" s="1"/>
      <c r="X203" s="1"/>
      <c r="Y203" s="1"/>
    </row>
    <row r="204" spans="1:25">
      <c r="A204" s="15"/>
      <c r="B204" s="15"/>
      <c r="C204" s="49"/>
      <c r="D204" s="49"/>
      <c r="E204" s="49"/>
      <c r="F204" s="49"/>
      <c r="G204" s="49"/>
      <c r="H204" s="49"/>
      <c r="I204" s="49"/>
      <c r="J204" s="49"/>
      <c r="K204" s="49"/>
      <c r="L204" s="38"/>
      <c r="M204" s="25"/>
      <c r="N204" s="25"/>
      <c r="O204" s="49"/>
      <c r="P204" s="1"/>
      <c r="Q204" s="8"/>
      <c r="R204" s="66"/>
      <c r="S204" s="1"/>
      <c r="T204" s="66"/>
      <c r="U204" s="8"/>
      <c r="V204" s="38"/>
      <c r="W204" s="1"/>
      <c r="X204" s="1"/>
      <c r="Y204" s="1"/>
    </row>
    <row r="205" spans="1:25">
      <c r="A205" s="15"/>
      <c r="B205" s="15"/>
      <c r="C205" s="49"/>
      <c r="D205" s="49"/>
      <c r="E205" s="49"/>
      <c r="F205" s="49"/>
      <c r="G205" s="49"/>
      <c r="H205" s="49"/>
      <c r="I205" s="49"/>
      <c r="J205" s="49"/>
      <c r="K205" s="49"/>
      <c r="L205" s="38"/>
      <c r="M205" s="25"/>
      <c r="N205" s="25"/>
      <c r="O205" s="49"/>
      <c r="P205" s="1"/>
      <c r="Q205" s="8"/>
      <c r="R205" s="66"/>
      <c r="S205" s="1"/>
      <c r="T205" s="66"/>
      <c r="U205" s="8"/>
      <c r="V205" s="38"/>
      <c r="W205" s="1"/>
      <c r="X205" s="1"/>
      <c r="Y205" s="1"/>
    </row>
    <row r="206" spans="1:25">
      <c r="A206" s="15"/>
      <c r="B206" s="15"/>
      <c r="C206" s="49"/>
      <c r="D206" s="49"/>
      <c r="E206" s="49"/>
      <c r="F206" s="49"/>
      <c r="G206" s="49"/>
      <c r="H206" s="49"/>
      <c r="I206" s="49"/>
      <c r="J206" s="49"/>
      <c r="K206" s="49"/>
      <c r="L206" s="38"/>
      <c r="M206" s="25"/>
      <c r="N206" s="25"/>
      <c r="O206" s="49"/>
      <c r="P206" s="1"/>
      <c r="Q206" s="8"/>
      <c r="R206" s="66"/>
      <c r="S206" s="1"/>
      <c r="T206" s="66"/>
      <c r="U206" s="8"/>
      <c r="V206" s="38"/>
      <c r="W206" s="1"/>
      <c r="X206" s="1"/>
      <c r="Y206" s="1"/>
    </row>
    <row r="207" spans="1:25">
      <c r="A207" s="15"/>
      <c r="B207" s="15"/>
      <c r="C207" s="49"/>
      <c r="D207" s="49"/>
      <c r="E207" s="49"/>
      <c r="F207" s="49"/>
      <c r="G207" s="49"/>
      <c r="H207" s="49"/>
      <c r="I207" s="49"/>
      <c r="J207" s="49"/>
      <c r="K207" s="49"/>
      <c r="L207" s="38"/>
      <c r="M207" s="25"/>
      <c r="N207" s="25"/>
      <c r="O207" s="49"/>
      <c r="P207" s="1"/>
      <c r="Q207" s="8"/>
      <c r="R207" s="66"/>
      <c r="S207" s="1"/>
      <c r="T207" s="66"/>
      <c r="U207" s="8"/>
      <c r="V207" s="38"/>
      <c r="W207" s="1"/>
      <c r="X207" s="1"/>
      <c r="Y207" s="1"/>
    </row>
    <row r="208" spans="1:25">
      <c r="A208" s="15"/>
      <c r="B208" s="15"/>
      <c r="C208" s="49"/>
      <c r="D208" s="49"/>
      <c r="E208" s="49"/>
      <c r="F208" s="49"/>
      <c r="G208" s="49"/>
      <c r="H208" s="49"/>
      <c r="I208" s="49"/>
      <c r="J208" s="49"/>
      <c r="K208" s="49"/>
      <c r="L208" s="38"/>
      <c r="M208" s="25"/>
      <c r="N208" s="25"/>
      <c r="O208" s="49"/>
      <c r="P208" s="1"/>
      <c r="Q208" s="8"/>
      <c r="R208" s="66"/>
      <c r="S208" s="1"/>
      <c r="T208" s="66"/>
      <c r="U208" s="8"/>
      <c r="V208" s="38"/>
      <c r="W208" s="1"/>
      <c r="X208" s="1"/>
      <c r="Y208" s="1"/>
    </row>
    <row r="209" spans="1:25">
      <c r="A209" s="15"/>
      <c r="B209" s="15"/>
      <c r="C209" s="49"/>
      <c r="D209" s="49"/>
      <c r="E209" s="49"/>
      <c r="F209" s="49"/>
      <c r="G209" s="49"/>
      <c r="H209" s="49"/>
      <c r="I209" s="49"/>
      <c r="J209" s="49"/>
      <c r="K209" s="49"/>
      <c r="L209" s="38"/>
      <c r="M209" s="25"/>
      <c r="N209" s="25"/>
      <c r="O209" s="49"/>
      <c r="P209" s="1"/>
      <c r="Q209" s="8"/>
      <c r="R209" s="66"/>
      <c r="S209" s="1"/>
      <c r="T209" s="66"/>
      <c r="U209" s="8"/>
      <c r="V209" s="38"/>
      <c r="W209" s="1"/>
      <c r="X209" s="1"/>
      <c r="Y209" s="1"/>
    </row>
    <row r="210" spans="1:25">
      <c r="A210" s="15"/>
      <c r="B210" s="15"/>
      <c r="C210" s="49"/>
      <c r="D210" s="49"/>
      <c r="E210" s="49"/>
      <c r="F210" s="49"/>
      <c r="G210" s="49"/>
      <c r="H210" s="49"/>
      <c r="I210" s="49"/>
      <c r="J210" s="49"/>
      <c r="K210" s="49"/>
      <c r="L210" s="38"/>
      <c r="M210" s="25"/>
      <c r="N210" s="25"/>
      <c r="O210" s="49"/>
      <c r="P210" s="1"/>
      <c r="Q210" s="8"/>
      <c r="R210" s="66"/>
      <c r="S210" s="1"/>
      <c r="T210" s="66"/>
      <c r="U210" s="8"/>
      <c r="V210" s="38"/>
      <c r="W210" s="1"/>
      <c r="X210" s="1"/>
      <c r="Y210" s="1"/>
    </row>
    <row r="211" spans="1:25">
      <c r="A211" s="15"/>
      <c r="B211" s="15"/>
      <c r="C211" s="49"/>
      <c r="D211" s="49"/>
      <c r="E211" s="49"/>
      <c r="F211" s="49"/>
      <c r="G211" s="49"/>
      <c r="H211" s="49"/>
      <c r="I211" s="49"/>
      <c r="J211" s="49"/>
      <c r="K211" s="49"/>
      <c r="L211" s="38"/>
      <c r="M211" s="25"/>
      <c r="N211" s="25"/>
      <c r="O211" s="49"/>
      <c r="P211" s="1"/>
      <c r="Q211" s="8"/>
      <c r="R211" s="66"/>
      <c r="S211" s="1"/>
      <c r="T211" s="66"/>
      <c r="U211" s="8"/>
      <c r="V211" s="38"/>
      <c r="W211" s="1"/>
      <c r="X211" s="1"/>
      <c r="Y211" s="1"/>
    </row>
    <row r="212" spans="1:25">
      <c r="A212" s="15"/>
      <c r="B212" s="15"/>
      <c r="C212" s="49"/>
      <c r="D212" s="49"/>
      <c r="E212" s="49"/>
      <c r="F212" s="49"/>
      <c r="G212" s="49"/>
      <c r="H212" s="49"/>
      <c r="I212" s="49"/>
      <c r="J212" s="49"/>
      <c r="K212" s="49"/>
      <c r="L212" s="38"/>
      <c r="M212" s="25"/>
      <c r="N212" s="25"/>
      <c r="O212" s="49"/>
      <c r="P212" s="1"/>
      <c r="Q212" s="8"/>
      <c r="R212" s="66"/>
      <c r="S212" s="1"/>
      <c r="T212" s="66"/>
      <c r="U212" s="8"/>
      <c r="V212" s="38"/>
      <c r="W212" s="1"/>
      <c r="X212" s="1"/>
      <c r="Y212" s="1"/>
    </row>
    <row r="213" spans="1:25">
      <c r="A213" s="15"/>
      <c r="B213" s="15"/>
      <c r="C213" s="49"/>
      <c r="D213" s="49"/>
      <c r="E213" s="49"/>
      <c r="F213" s="49"/>
      <c r="G213" s="49"/>
      <c r="H213" s="49"/>
      <c r="I213" s="49"/>
      <c r="J213" s="49"/>
      <c r="K213" s="49"/>
      <c r="L213" s="38"/>
      <c r="M213" s="25"/>
      <c r="N213" s="25"/>
      <c r="O213" s="49"/>
      <c r="P213" s="1"/>
      <c r="Q213" s="8"/>
      <c r="R213" s="66"/>
      <c r="S213" s="1"/>
      <c r="T213" s="66"/>
      <c r="U213" s="8"/>
      <c r="V213" s="38"/>
      <c r="W213" s="1"/>
      <c r="X213" s="1"/>
      <c r="Y213" s="1"/>
    </row>
    <row r="214" spans="1:25">
      <c r="A214" s="15"/>
      <c r="B214" s="15"/>
      <c r="C214" s="49"/>
      <c r="D214" s="49"/>
      <c r="E214" s="49"/>
      <c r="F214" s="49"/>
      <c r="G214" s="49"/>
      <c r="H214" s="49"/>
      <c r="I214" s="49"/>
      <c r="J214" s="49"/>
      <c r="K214" s="49"/>
      <c r="L214" s="38"/>
      <c r="M214" s="25"/>
      <c r="N214" s="25"/>
      <c r="O214" s="49"/>
      <c r="P214" s="1"/>
      <c r="Q214" s="8"/>
      <c r="R214" s="66"/>
      <c r="S214" s="1"/>
      <c r="T214" s="66"/>
      <c r="U214" s="8"/>
      <c r="V214" s="38"/>
      <c r="W214" s="1"/>
      <c r="X214" s="1"/>
      <c r="Y214" s="1"/>
    </row>
    <row r="215" spans="1:25">
      <c r="A215" s="15"/>
      <c r="B215" s="15"/>
      <c r="C215" s="49"/>
      <c r="D215" s="49"/>
      <c r="E215" s="49"/>
      <c r="F215" s="49"/>
      <c r="G215" s="49"/>
      <c r="H215" s="49"/>
      <c r="I215" s="49"/>
      <c r="J215" s="49"/>
      <c r="K215" s="49"/>
      <c r="L215" s="38"/>
      <c r="M215" s="25"/>
      <c r="N215" s="25"/>
      <c r="O215" s="49"/>
      <c r="P215" s="1"/>
      <c r="Q215" s="8"/>
      <c r="R215" s="66"/>
      <c r="S215" s="1"/>
      <c r="T215" s="66"/>
      <c r="U215" s="8"/>
      <c r="V215" s="38"/>
      <c r="W215" s="1"/>
      <c r="X215" s="1"/>
      <c r="Y215" s="1"/>
    </row>
    <row r="216" spans="1:25">
      <c r="A216" s="15"/>
      <c r="B216" s="15"/>
      <c r="C216" s="49"/>
      <c r="D216" s="49"/>
      <c r="E216" s="49"/>
      <c r="F216" s="49"/>
      <c r="G216" s="49"/>
      <c r="H216" s="49"/>
      <c r="I216" s="49"/>
      <c r="J216" s="49"/>
      <c r="K216" s="49"/>
      <c r="L216" s="38"/>
      <c r="M216" s="25"/>
      <c r="N216" s="25"/>
      <c r="O216" s="49"/>
      <c r="P216" s="1"/>
      <c r="Q216" s="8"/>
      <c r="R216" s="66"/>
      <c r="S216" s="1"/>
      <c r="T216" s="66"/>
      <c r="U216" s="8"/>
      <c r="V216" s="38"/>
      <c r="W216" s="1"/>
      <c r="X216" s="1"/>
      <c r="Y216" s="1"/>
    </row>
    <row r="217" spans="1:25">
      <c r="A217" s="15"/>
      <c r="B217" s="15"/>
      <c r="C217" s="49"/>
      <c r="D217" s="49"/>
      <c r="E217" s="49"/>
      <c r="F217" s="49"/>
      <c r="G217" s="49"/>
      <c r="H217" s="49"/>
      <c r="I217" s="49"/>
      <c r="J217" s="49"/>
      <c r="K217" s="49"/>
      <c r="L217" s="38"/>
      <c r="M217" s="25"/>
      <c r="N217" s="25"/>
      <c r="O217" s="49"/>
      <c r="P217" s="1"/>
      <c r="Q217" s="8"/>
      <c r="R217" s="66"/>
      <c r="S217" s="1"/>
      <c r="T217" s="66"/>
      <c r="U217" s="8"/>
      <c r="V217" s="38"/>
      <c r="W217" s="1"/>
      <c r="X217" s="1"/>
      <c r="Y217" s="1"/>
    </row>
    <row r="218" spans="1:25">
      <c r="A218" s="15"/>
      <c r="B218" s="15"/>
      <c r="C218" s="49"/>
      <c r="D218" s="49"/>
      <c r="E218" s="49"/>
      <c r="F218" s="49"/>
      <c r="G218" s="49"/>
      <c r="H218" s="49"/>
      <c r="I218" s="49"/>
      <c r="J218" s="49"/>
      <c r="K218" s="49"/>
      <c r="L218" s="38"/>
      <c r="M218" s="25"/>
      <c r="N218" s="25"/>
      <c r="O218" s="49"/>
      <c r="P218" s="1"/>
      <c r="Q218" s="8"/>
      <c r="R218" s="66"/>
      <c r="S218" s="1"/>
      <c r="T218" s="66"/>
      <c r="U218" s="8"/>
      <c r="V218" s="38"/>
      <c r="W218" s="1"/>
      <c r="X218" s="1"/>
      <c r="Y218" s="1"/>
    </row>
    <row r="219" spans="1:25">
      <c r="A219" s="15"/>
      <c r="B219" s="15"/>
      <c r="C219" s="49"/>
      <c r="D219" s="49"/>
      <c r="E219" s="49"/>
      <c r="F219" s="49"/>
      <c r="G219" s="49"/>
      <c r="H219" s="49"/>
      <c r="I219" s="49"/>
      <c r="J219" s="49"/>
      <c r="K219" s="49"/>
      <c r="L219" s="38"/>
      <c r="M219" s="25"/>
      <c r="N219" s="25"/>
      <c r="O219" s="49"/>
      <c r="P219" s="1"/>
      <c r="Q219" s="8"/>
      <c r="R219" s="66"/>
      <c r="S219" s="1"/>
      <c r="T219" s="66"/>
      <c r="U219" s="8"/>
      <c r="V219" s="38"/>
      <c r="W219" s="1"/>
      <c r="X219" s="1"/>
      <c r="Y219" s="1"/>
    </row>
    <row r="220" spans="1:25">
      <c r="A220" s="15"/>
      <c r="B220" s="15"/>
      <c r="C220" s="49"/>
      <c r="D220" s="49"/>
      <c r="E220" s="49"/>
      <c r="F220" s="49"/>
      <c r="G220" s="49"/>
      <c r="H220" s="49"/>
      <c r="I220" s="49"/>
      <c r="J220" s="49"/>
      <c r="K220" s="49"/>
      <c r="L220" s="38"/>
      <c r="M220" s="25"/>
      <c r="N220" s="25"/>
      <c r="O220" s="49"/>
      <c r="P220" s="1"/>
      <c r="Q220" s="8"/>
      <c r="R220" s="66"/>
      <c r="S220" s="1"/>
      <c r="T220" s="66"/>
      <c r="U220" s="8"/>
      <c r="V220" s="38"/>
      <c r="W220" s="1"/>
      <c r="X220" s="1"/>
      <c r="Y220" s="1"/>
    </row>
    <row r="221" spans="1:25">
      <c r="A221" s="15"/>
      <c r="B221" s="15"/>
      <c r="C221" s="49"/>
      <c r="D221" s="49"/>
      <c r="E221" s="49"/>
      <c r="F221" s="49"/>
      <c r="G221" s="49"/>
      <c r="H221" s="49"/>
      <c r="I221" s="49"/>
      <c r="J221" s="49"/>
      <c r="K221" s="49"/>
      <c r="L221" s="38"/>
      <c r="M221" s="25"/>
      <c r="N221" s="25"/>
      <c r="O221" s="49"/>
      <c r="P221" s="1"/>
      <c r="Q221" s="8"/>
      <c r="R221" s="66"/>
      <c r="S221" s="1"/>
      <c r="T221" s="66"/>
      <c r="U221" s="8"/>
      <c r="V221" s="38"/>
      <c r="W221" s="1"/>
      <c r="X221" s="1"/>
      <c r="Y221" s="1"/>
    </row>
    <row r="222" spans="1:25">
      <c r="A222" s="15"/>
      <c r="B222" s="15"/>
      <c r="C222" s="49"/>
      <c r="D222" s="49"/>
      <c r="E222" s="49"/>
      <c r="F222" s="49"/>
      <c r="G222" s="49"/>
      <c r="H222" s="49"/>
      <c r="I222" s="49"/>
      <c r="J222" s="49"/>
      <c r="K222" s="49"/>
      <c r="L222" s="38"/>
      <c r="M222" s="25"/>
      <c r="N222" s="25"/>
      <c r="O222" s="49"/>
      <c r="P222" s="1"/>
      <c r="Q222" s="8"/>
      <c r="R222" s="66"/>
      <c r="S222" s="1"/>
      <c r="T222" s="66"/>
      <c r="U222" s="8"/>
      <c r="V222" s="38"/>
      <c r="W222" s="1"/>
      <c r="X222" s="1"/>
      <c r="Y222" s="1"/>
    </row>
    <row r="223" spans="1:25">
      <c r="A223" s="15"/>
      <c r="B223" s="15"/>
      <c r="C223" s="49"/>
      <c r="D223" s="49"/>
      <c r="E223" s="49"/>
      <c r="F223" s="49"/>
      <c r="G223" s="49"/>
      <c r="H223" s="49"/>
      <c r="I223" s="49"/>
      <c r="J223" s="49"/>
      <c r="K223" s="49"/>
      <c r="L223" s="38"/>
      <c r="M223" s="25"/>
      <c r="N223" s="25"/>
      <c r="O223" s="49"/>
      <c r="P223" s="1"/>
      <c r="Q223" s="8"/>
      <c r="R223" s="66"/>
      <c r="S223" s="1"/>
      <c r="T223" s="66"/>
      <c r="U223" s="8"/>
      <c r="V223" s="38"/>
      <c r="W223" s="1"/>
      <c r="X223" s="1"/>
      <c r="Y223" s="1"/>
    </row>
    <row r="224" spans="1:25">
      <c r="A224" s="15"/>
      <c r="B224" s="15"/>
      <c r="C224" s="49"/>
      <c r="D224" s="49"/>
      <c r="E224" s="49"/>
      <c r="F224" s="49"/>
      <c r="G224" s="49"/>
      <c r="H224" s="49"/>
      <c r="I224" s="49"/>
      <c r="J224" s="49"/>
      <c r="K224" s="49"/>
      <c r="L224" s="38"/>
      <c r="M224" s="25"/>
      <c r="N224" s="25"/>
      <c r="O224" s="49"/>
      <c r="P224" s="1"/>
      <c r="Q224" s="8"/>
      <c r="R224" s="66"/>
      <c r="S224" s="1"/>
      <c r="T224" s="66"/>
      <c r="U224" s="8"/>
      <c r="V224" s="38"/>
      <c r="W224" s="1"/>
      <c r="X224" s="1"/>
      <c r="Y224" s="1"/>
    </row>
    <row r="225" spans="1:25">
      <c r="A225" s="15"/>
      <c r="B225" s="15"/>
      <c r="C225" s="49"/>
      <c r="D225" s="49"/>
      <c r="E225" s="49"/>
      <c r="F225" s="49"/>
      <c r="G225" s="49"/>
      <c r="H225" s="49"/>
      <c r="I225" s="49"/>
      <c r="J225" s="49"/>
      <c r="K225" s="49"/>
      <c r="L225" s="38"/>
      <c r="M225" s="25"/>
      <c r="N225" s="25"/>
      <c r="O225" s="49"/>
      <c r="P225" s="1"/>
      <c r="Q225" s="8"/>
      <c r="R225" s="66"/>
      <c r="S225" s="1"/>
      <c r="T225" s="66"/>
      <c r="U225" s="8"/>
      <c r="V225" s="38"/>
      <c r="W225" s="1"/>
      <c r="X225" s="1"/>
      <c r="Y225" s="1"/>
    </row>
    <row r="226" spans="1:25">
      <c r="A226" s="15"/>
      <c r="B226" s="15"/>
      <c r="C226" s="49"/>
      <c r="D226" s="49"/>
      <c r="E226" s="49"/>
      <c r="F226" s="49"/>
      <c r="G226" s="49"/>
      <c r="H226" s="49"/>
      <c r="I226" s="49"/>
      <c r="J226" s="49"/>
      <c r="K226" s="49"/>
      <c r="L226" s="38"/>
      <c r="M226" s="25"/>
      <c r="N226" s="25"/>
      <c r="O226" s="49"/>
      <c r="P226" s="1"/>
      <c r="Q226" s="8"/>
      <c r="R226" s="66"/>
      <c r="S226" s="1"/>
      <c r="T226" s="66"/>
      <c r="U226" s="8"/>
      <c r="V226" s="38"/>
      <c r="W226" s="1"/>
      <c r="X226" s="1"/>
      <c r="Y226" s="1"/>
    </row>
    <row r="227" spans="1:25">
      <c r="A227" s="15"/>
      <c r="B227" s="15"/>
      <c r="C227" s="49"/>
      <c r="D227" s="49"/>
      <c r="E227" s="49"/>
      <c r="F227" s="49"/>
      <c r="G227" s="49"/>
      <c r="H227" s="49"/>
      <c r="I227" s="49"/>
      <c r="J227" s="49"/>
      <c r="K227" s="49"/>
      <c r="L227" s="38"/>
      <c r="M227" s="25"/>
      <c r="N227" s="25"/>
      <c r="O227" s="49"/>
      <c r="P227" s="1"/>
      <c r="Q227" s="8"/>
      <c r="R227" s="66"/>
      <c r="S227" s="1"/>
      <c r="T227" s="66"/>
      <c r="U227" s="8"/>
      <c r="V227" s="38"/>
      <c r="W227" s="1"/>
      <c r="X227" s="1"/>
      <c r="Y227" s="1"/>
    </row>
    <row r="228" spans="1:25">
      <c r="A228" s="15"/>
      <c r="B228" s="15"/>
      <c r="C228" s="49"/>
      <c r="D228" s="49"/>
      <c r="E228" s="49"/>
      <c r="F228" s="49"/>
      <c r="G228" s="49"/>
      <c r="H228" s="49"/>
      <c r="I228" s="49"/>
      <c r="J228" s="49"/>
      <c r="K228" s="49"/>
      <c r="L228" s="38"/>
      <c r="M228" s="25"/>
      <c r="N228" s="25"/>
      <c r="O228" s="49"/>
      <c r="P228" s="1"/>
      <c r="Q228" s="8"/>
      <c r="R228" s="66"/>
      <c r="S228" s="1"/>
      <c r="T228" s="66"/>
      <c r="U228" s="8"/>
      <c r="V228" s="38"/>
      <c r="W228" s="1"/>
      <c r="X228" s="1"/>
      <c r="Y228" s="1"/>
    </row>
    <row r="229" spans="1:25">
      <c r="A229" s="15"/>
      <c r="B229" s="15"/>
      <c r="C229" s="49"/>
      <c r="D229" s="49"/>
      <c r="E229" s="49"/>
      <c r="F229" s="49"/>
      <c r="G229" s="49"/>
      <c r="H229" s="49"/>
      <c r="I229" s="49"/>
      <c r="J229" s="49"/>
      <c r="K229" s="49"/>
      <c r="L229" s="38"/>
      <c r="M229" s="25"/>
      <c r="N229" s="25"/>
      <c r="O229" s="49"/>
      <c r="P229" s="1"/>
      <c r="Q229" s="8"/>
      <c r="R229" s="66"/>
      <c r="S229" s="1"/>
      <c r="T229" s="66"/>
      <c r="U229" s="8"/>
      <c r="V229" s="38"/>
      <c r="W229" s="1"/>
      <c r="X229" s="1"/>
      <c r="Y229" s="1"/>
    </row>
    <row r="230" spans="1:25">
      <c r="A230" s="15"/>
      <c r="B230" s="15"/>
      <c r="C230" s="49"/>
      <c r="D230" s="49"/>
      <c r="E230" s="49"/>
      <c r="F230" s="49"/>
      <c r="G230" s="49"/>
      <c r="H230" s="49"/>
      <c r="I230" s="49"/>
      <c r="J230" s="49"/>
      <c r="K230" s="49"/>
      <c r="L230" s="38"/>
      <c r="M230" s="25"/>
      <c r="N230" s="25"/>
      <c r="O230" s="49"/>
      <c r="P230" s="1"/>
      <c r="Q230" s="8"/>
      <c r="R230" s="66"/>
      <c r="S230" s="1"/>
      <c r="T230" s="66"/>
      <c r="U230" s="8"/>
      <c r="V230" s="38"/>
      <c r="W230" s="1"/>
      <c r="X230" s="1"/>
      <c r="Y230" s="1"/>
    </row>
    <row r="231" spans="1:25">
      <c r="A231" s="15"/>
      <c r="B231" s="15"/>
      <c r="C231" s="49"/>
      <c r="D231" s="49"/>
      <c r="E231" s="49"/>
      <c r="F231" s="49"/>
      <c r="G231" s="49"/>
      <c r="H231" s="49"/>
      <c r="I231" s="49"/>
      <c r="J231" s="49"/>
      <c r="K231" s="49"/>
      <c r="L231" s="38"/>
      <c r="M231" s="25"/>
      <c r="N231" s="25"/>
      <c r="O231" s="49"/>
      <c r="P231" s="1"/>
      <c r="Q231" s="8"/>
      <c r="R231" s="66"/>
      <c r="S231" s="1"/>
      <c r="T231" s="66"/>
      <c r="U231" s="8"/>
      <c r="V231" s="38"/>
      <c r="W231" s="1"/>
      <c r="X231" s="1"/>
      <c r="Y231" s="1"/>
    </row>
    <row r="232" spans="1:25">
      <c r="A232" s="15"/>
      <c r="B232" s="15"/>
      <c r="C232" s="49"/>
      <c r="D232" s="49"/>
      <c r="E232" s="49"/>
      <c r="F232" s="49"/>
      <c r="G232" s="49"/>
      <c r="H232" s="49"/>
      <c r="I232" s="49"/>
      <c r="J232" s="49"/>
      <c r="K232" s="49"/>
      <c r="L232" s="38"/>
      <c r="M232" s="25"/>
      <c r="N232" s="25"/>
      <c r="O232" s="49"/>
      <c r="P232" s="1"/>
      <c r="Q232" s="8"/>
      <c r="R232" s="66"/>
      <c r="S232" s="1"/>
      <c r="T232" s="66"/>
      <c r="U232" s="8"/>
      <c r="V232" s="38"/>
      <c r="W232" s="1"/>
      <c r="X232" s="1"/>
      <c r="Y232" s="1"/>
    </row>
    <row r="233" spans="1:25">
      <c r="A233" s="15"/>
      <c r="B233" s="15"/>
      <c r="C233" s="49"/>
      <c r="D233" s="49"/>
      <c r="E233" s="49"/>
      <c r="F233" s="49"/>
      <c r="G233" s="49"/>
      <c r="H233" s="49"/>
      <c r="I233" s="49"/>
      <c r="J233" s="49"/>
      <c r="K233" s="49"/>
      <c r="L233" s="38"/>
      <c r="M233" s="25"/>
      <c r="N233" s="25"/>
      <c r="O233" s="49"/>
      <c r="P233" s="1"/>
      <c r="Q233" s="8"/>
      <c r="R233" s="66"/>
      <c r="S233" s="1"/>
      <c r="T233" s="66"/>
      <c r="U233" s="8"/>
      <c r="V233" s="38"/>
      <c r="W233" s="1"/>
      <c r="X233" s="1"/>
      <c r="Y233" s="1"/>
    </row>
    <row r="234" spans="1:25">
      <c r="A234" s="15"/>
      <c r="B234" s="15"/>
      <c r="C234" s="49"/>
      <c r="D234" s="49"/>
      <c r="E234" s="49"/>
      <c r="F234" s="49"/>
      <c r="G234" s="49"/>
      <c r="H234" s="49"/>
      <c r="I234" s="49"/>
      <c r="J234" s="49"/>
      <c r="K234" s="49"/>
      <c r="L234" s="38"/>
      <c r="M234" s="25"/>
      <c r="N234" s="25"/>
      <c r="O234" s="49"/>
      <c r="P234" s="1"/>
      <c r="Q234" s="8"/>
      <c r="R234" s="66"/>
      <c r="S234" s="1"/>
      <c r="T234" s="66"/>
      <c r="U234" s="8"/>
      <c r="V234" s="38"/>
      <c r="W234" s="1"/>
      <c r="X234" s="1"/>
      <c r="Y234" s="1"/>
    </row>
    <row r="235" spans="1:25">
      <c r="A235" s="15"/>
      <c r="B235" s="15"/>
      <c r="C235" s="49"/>
      <c r="D235" s="49"/>
      <c r="E235" s="49"/>
      <c r="F235" s="49"/>
      <c r="G235" s="49"/>
      <c r="H235" s="49"/>
      <c r="I235" s="49"/>
      <c r="J235" s="49"/>
      <c r="K235" s="49"/>
      <c r="L235" s="38"/>
      <c r="M235" s="25"/>
      <c r="N235" s="25"/>
      <c r="O235" s="49"/>
      <c r="P235" s="1"/>
      <c r="Q235" s="8"/>
      <c r="R235" s="66"/>
      <c r="S235" s="1"/>
      <c r="T235" s="66"/>
      <c r="U235" s="8"/>
      <c r="V235" s="38"/>
      <c r="W235" s="1"/>
      <c r="X235" s="1"/>
      <c r="Y235" s="1"/>
    </row>
    <row r="236" spans="1:25">
      <c r="A236" s="15"/>
      <c r="B236" s="15"/>
      <c r="C236" s="49"/>
      <c r="D236" s="49"/>
      <c r="E236" s="49"/>
      <c r="F236" s="49"/>
      <c r="G236" s="49"/>
      <c r="H236" s="49"/>
      <c r="I236" s="49"/>
      <c r="J236" s="49"/>
      <c r="K236" s="49"/>
      <c r="L236" s="38"/>
      <c r="M236" s="25"/>
      <c r="N236" s="25"/>
      <c r="O236" s="49"/>
      <c r="P236" s="1"/>
      <c r="Q236" s="8"/>
      <c r="R236" s="66"/>
      <c r="S236" s="1"/>
      <c r="T236" s="66"/>
      <c r="U236" s="8"/>
      <c r="V236" s="38"/>
      <c r="W236" s="1"/>
      <c r="X236" s="1"/>
      <c r="Y236" s="1"/>
    </row>
    <row r="237" spans="1:25">
      <c r="A237" s="15"/>
      <c r="B237" s="15"/>
      <c r="C237" s="49"/>
      <c r="D237" s="49"/>
      <c r="E237" s="49"/>
      <c r="F237" s="49"/>
      <c r="G237" s="49"/>
      <c r="H237" s="49"/>
      <c r="I237" s="49"/>
      <c r="J237" s="49"/>
      <c r="K237" s="49"/>
      <c r="L237" s="38"/>
      <c r="M237" s="25"/>
      <c r="N237" s="25"/>
      <c r="O237" s="49"/>
      <c r="P237" s="1"/>
      <c r="Q237" s="8"/>
      <c r="R237" s="66"/>
      <c r="S237" s="1"/>
      <c r="T237" s="66"/>
      <c r="U237" s="8"/>
      <c r="V237" s="38"/>
      <c r="W237" s="1"/>
      <c r="X237" s="1"/>
      <c r="Y237" s="1"/>
    </row>
    <row r="238" spans="1:25">
      <c r="A238" s="15"/>
      <c r="B238" s="15"/>
      <c r="C238" s="49"/>
      <c r="D238" s="49"/>
      <c r="E238" s="49"/>
      <c r="F238" s="49"/>
      <c r="G238" s="49"/>
      <c r="H238" s="49"/>
      <c r="I238" s="49"/>
      <c r="J238" s="49"/>
      <c r="K238" s="49"/>
      <c r="L238" s="38"/>
      <c r="M238" s="25"/>
      <c r="N238" s="25"/>
      <c r="O238" s="49"/>
      <c r="P238" s="1"/>
      <c r="Q238" s="8"/>
      <c r="R238" s="66"/>
      <c r="S238" s="1"/>
      <c r="T238" s="66"/>
      <c r="U238" s="8"/>
      <c r="V238" s="38"/>
      <c r="W238" s="1"/>
      <c r="X238" s="1"/>
      <c r="Y238" s="1"/>
    </row>
    <row r="239" spans="1:25">
      <c r="A239" s="15"/>
      <c r="B239" s="15"/>
      <c r="C239" s="49"/>
      <c r="D239" s="49"/>
      <c r="E239" s="49"/>
      <c r="F239" s="49"/>
      <c r="G239" s="49"/>
      <c r="H239" s="49"/>
      <c r="I239" s="49"/>
      <c r="J239" s="49"/>
      <c r="K239" s="49"/>
      <c r="L239" s="38"/>
      <c r="M239" s="25"/>
      <c r="N239" s="25"/>
      <c r="O239" s="49"/>
      <c r="P239" s="1"/>
      <c r="Q239" s="8"/>
      <c r="R239" s="66"/>
      <c r="S239" s="1"/>
      <c r="T239" s="66"/>
      <c r="U239" s="8"/>
      <c r="V239" s="38"/>
      <c r="W239" s="1"/>
      <c r="X239" s="1"/>
      <c r="Y239" s="1"/>
    </row>
    <row r="240" spans="1:25">
      <c r="A240" s="15"/>
      <c r="B240" s="15"/>
      <c r="C240" s="49"/>
      <c r="D240" s="49"/>
      <c r="E240" s="49"/>
      <c r="F240" s="49"/>
      <c r="G240" s="49"/>
      <c r="H240" s="49"/>
      <c r="I240" s="49"/>
      <c r="J240" s="49"/>
      <c r="K240" s="49"/>
      <c r="L240" s="38"/>
      <c r="M240" s="25"/>
      <c r="N240" s="25"/>
      <c r="O240" s="49"/>
      <c r="P240" s="1"/>
      <c r="Q240" s="8"/>
      <c r="R240" s="66"/>
      <c r="S240" s="1"/>
      <c r="T240" s="66"/>
      <c r="U240" s="8"/>
      <c r="V240" s="38"/>
      <c r="W240" s="1"/>
      <c r="X240" s="1"/>
      <c r="Y240" s="1"/>
    </row>
    <row r="241" spans="1:25">
      <c r="A241" s="15"/>
      <c r="B241" s="15"/>
      <c r="C241" s="49"/>
      <c r="D241" s="49"/>
      <c r="E241" s="49"/>
      <c r="F241" s="49"/>
      <c r="G241" s="49"/>
      <c r="H241" s="49"/>
      <c r="I241" s="49"/>
      <c r="J241" s="49"/>
      <c r="K241" s="49"/>
      <c r="L241" s="38"/>
      <c r="M241" s="25"/>
      <c r="N241" s="25"/>
      <c r="O241" s="49"/>
      <c r="P241" s="1"/>
      <c r="Q241" s="8"/>
      <c r="R241" s="66"/>
      <c r="S241" s="1"/>
      <c r="T241" s="66"/>
      <c r="U241" s="8"/>
      <c r="V241" s="38"/>
      <c r="W241" s="1"/>
      <c r="X241" s="1"/>
      <c r="Y241" s="1"/>
    </row>
    <row r="242" spans="1:25">
      <c r="A242" s="15"/>
      <c r="B242" s="15"/>
      <c r="C242" s="49"/>
      <c r="D242" s="49"/>
      <c r="E242" s="49"/>
      <c r="F242" s="49"/>
      <c r="G242" s="49"/>
      <c r="H242" s="49"/>
      <c r="I242" s="49"/>
      <c r="J242" s="49"/>
      <c r="K242" s="49"/>
      <c r="L242" s="38"/>
      <c r="M242" s="25"/>
      <c r="N242" s="25"/>
      <c r="O242" s="49"/>
      <c r="P242" s="1"/>
      <c r="Q242" s="8"/>
      <c r="R242" s="66"/>
      <c r="S242" s="1"/>
      <c r="T242" s="66"/>
      <c r="U242" s="8"/>
      <c r="V242" s="38"/>
      <c r="W242" s="1"/>
      <c r="X242" s="1"/>
      <c r="Y242" s="1"/>
    </row>
    <row r="243" spans="1:25">
      <c r="A243" s="15"/>
      <c r="B243" s="15"/>
      <c r="C243" s="49"/>
      <c r="D243" s="49"/>
      <c r="E243" s="49"/>
      <c r="F243" s="49"/>
      <c r="G243" s="49"/>
      <c r="H243" s="49"/>
      <c r="I243" s="49"/>
      <c r="J243" s="49"/>
      <c r="K243" s="49"/>
      <c r="L243" s="38"/>
      <c r="M243" s="25"/>
      <c r="N243" s="25"/>
      <c r="O243" s="49"/>
      <c r="P243" s="1"/>
      <c r="Q243" s="8"/>
      <c r="R243" s="66"/>
      <c r="S243" s="1"/>
      <c r="T243" s="66"/>
      <c r="U243" s="8"/>
      <c r="V243" s="38"/>
      <c r="W243" s="1"/>
      <c r="X243" s="1"/>
      <c r="Y243" s="1"/>
    </row>
    <row r="244" spans="1:25">
      <c r="A244" s="15"/>
      <c r="B244" s="15"/>
      <c r="C244" s="49"/>
      <c r="D244" s="49"/>
      <c r="E244" s="49"/>
      <c r="F244" s="49"/>
      <c r="G244" s="49"/>
      <c r="H244" s="49"/>
      <c r="I244" s="49"/>
      <c r="J244" s="49"/>
      <c r="K244" s="49"/>
      <c r="L244" s="38"/>
      <c r="M244" s="25"/>
      <c r="N244" s="25"/>
      <c r="O244" s="49"/>
      <c r="P244" s="1"/>
      <c r="Q244" s="8"/>
      <c r="R244" s="66"/>
      <c r="S244" s="1"/>
      <c r="T244" s="66"/>
      <c r="U244" s="8"/>
      <c r="V244" s="38"/>
      <c r="W244" s="1"/>
      <c r="X244" s="1"/>
      <c r="Y244" s="1"/>
    </row>
    <row r="245" spans="1:25">
      <c r="A245" s="15"/>
      <c r="B245" s="15"/>
      <c r="C245" s="49"/>
      <c r="D245" s="49"/>
      <c r="E245" s="49"/>
      <c r="F245" s="49"/>
      <c r="G245" s="49"/>
      <c r="H245" s="49"/>
      <c r="I245" s="49"/>
      <c r="J245" s="49"/>
      <c r="K245" s="49"/>
      <c r="L245" s="38"/>
      <c r="M245" s="25"/>
      <c r="N245" s="25"/>
      <c r="O245" s="49"/>
      <c r="P245" s="1"/>
      <c r="Q245" s="8"/>
      <c r="R245" s="66"/>
      <c r="S245" s="1"/>
      <c r="T245" s="66"/>
      <c r="U245" s="8"/>
      <c r="V245" s="38"/>
      <c r="W245" s="1"/>
      <c r="X245" s="1"/>
      <c r="Y245" s="1"/>
    </row>
    <row r="246" spans="1:25">
      <c r="A246" s="15"/>
      <c r="B246" s="15"/>
      <c r="C246" s="49"/>
      <c r="D246" s="49"/>
      <c r="E246" s="49"/>
      <c r="F246" s="49"/>
      <c r="G246" s="49"/>
      <c r="H246" s="49"/>
      <c r="I246" s="49"/>
      <c r="J246" s="49"/>
      <c r="K246" s="49"/>
      <c r="L246" s="38"/>
      <c r="M246" s="25"/>
      <c r="N246" s="25"/>
      <c r="O246" s="49"/>
      <c r="P246" s="1"/>
      <c r="Q246" s="8"/>
      <c r="R246" s="66"/>
      <c r="S246" s="1"/>
      <c r="T246" s="66"/>
      <c r="U246" s="8"/>
      <c r="V246" s="38"/>
      <c r="W246" s="1"/>
      <c r="X246" s="1"/>
      <c r="Y246" s="1"/>
    </row>
    <row r="247" spans="1:25">
      <c r="A247" s="15"/>
      <c r="B247" s="15"/>
      <c r="C247" s="49"/>
      <c r="D247" s="49"/>
      <c r="E247" s="49"/>
      <c r="F247" s="49"/>
      <c r="G247" s="49"/>
      <c r="H247" s="49"/>
      <c r="I247" s="49"/>
      <c r="J247" s="49"/>
      <c r="K247" s="49"/>
      <c r="L247" s="38"/>
      <c r="M247" s="25"/>
      <c r="N247" s="25"/>
      <c r="O247" s="49"/>
      <c r="P247" s="1"/>
      <c r="Q247" s="8"/>
      <c r="R247" s="66"/>
      <c r="S247" s="1"/>
      <c r="T247" s="66"/>
      <c r="U247" s="8"/>
      <c r="V247" s="38"/>
      <c r="W247" s="1"/>
      <c r="X247" s="1"/>
      <c r="Y247" s="1"/>
    </row>
    <row r="248" spans="1:25">
      <c r="A248" s="15"/>
      <c r="B248" s="15"/>
      <c r="C248" s="49"/>
      <c r="D248" s="49"/>
      <c r="E248" s="49"/>
      <c r="F248" s="49"/>
      <c r="G248" s="49"/>
      <c r="H248" s="49"/>
      <c r="I248" s="49"/>
      <c r="J248" s="49"/>
      <c r="K248" s="49"/>
      <c r="L248" s="38"/>
      <c r="M248" s="25"/>
      <c r="N248" s="25"/>
      <c r="O248" s="49"/>
      <c r="P248" s="1"/>
      <c r="Q248" s="8"/>
      <c r="R248" s="66"/>
      <c r="S248" s="1"/>
      <c r="T248" s="66"/>
      <c r="U248" s="8"/>
      <c r="V248" s="38"/>
      <c r="W248" s="1"/>
      <c r="X248" s="1"/>
      <c r="Y248" s="1"/>
    </row>
    <row r="249" spans="1:25">
      <c r="A249" s="15"/>
      <c r="B249" s="15"/>
      <c r="C249" s="49"/>
      <c r="D249" s="49"/>
      <c r="E249" s="49"/>
      <c r="F249" s="49"/>
      <c r="G249" s="49"/>
      <c r="H249" s="49"/>
      <c r="I249" s="49"/>
      <c r="J249" s="49"/>
      <c r="K249" s="49"/>
      <c r="L249" s="38"/>
      <c r="M249" s="25"/>
      <c r="N249" s="25"/>
      <c r="O249" s="49"/>
      <c r="P249" s="1"/>
      <c r="Q249" s="8"/>
      <c r="R249" s="66"/>
      <c r="S249" s="1"/>
      <c r="T249" s="66"/>
      <c r="U249" s="8"/>
      <c r="V249" s="38"/>
      <c r="W249" s="1"/>
      <c r="X249" s="1"/>
      <c r="Y249" s="1"/>
    </row>
    <row r="250" spans="1:25">
      <c r="A250" s="15"/>
      <c r="B250" s="15"/>
      <c r="C250" s="49"/>
      <c r="D250" s="49"/>
      <c r="E250" s="49"/>
      <c r="F250" s="49"/>
      <c r="G250" s="49"/>
      <c r="H250" s="49"/>
      <c r="I250" s="49"/>
      <c r="J250" s="49"/>
      <c r="K250" s="49"/>
      <c r="L250" s="38"/>
      <c r="M250" s="25"/>
      <c r="N250" s="25"/>
      <c r="O250" s="49"/>
      <c r="P250" s="1"/>
      <c r="Q250" s="8"/>
      <c r="R250" s="66"/>
      <c r="S250" s="1"/>
      <c r="T250" s="66"/>
      <c r="U250" s="8"/>
      <c r="V250" s="38"/>
      <c r="W250" s="1"/>
      <c r="X250" s="1"/>
      <c r="Y250" s="1"/>
    </row>
    <row r="251" spans="1:25">
      <c r="A251" s="15"/>
      <c r="B251" s="15"/>
      <c r="C251" s="49"/>
      <c r="D251" s="49"/>
      <c r="E251" s="49"/>
      <c r="F251" s="49"/>
      <c r="G251" s="49"/>
      <c r="H251" s="49"/>
      <c r="I251" s="49"/>
      <c r="J251" s="49"/>
      <c r="K251" s="49"/>
      <c r="L251" s="38"/>
      <c r="M251" s="25"/>
      <c r="N251" s="25"/>
      <c r="O251" s="49"/>
      <c r="P251" s="1"/>
      <c r="Q251" s="8"/>
      <c r="R251" s="66"/>
      <c r="S251" s="1"/>
      <c r="T251" s="66"/>
      <c r="U251" s="8"/>
      <c r="V251" s="38"/>
      <c r="W251" s="1"/>
      <c r="X251" s="1"/>
      <c r="Y251" s="1"/>
    </row>
    <row r="252" spans="1:25">
      <c r="A252" s="15"/>
      <c r="B252" s="15"/>
      <c r="C252" s="49"/>
      <c r="D252" s="49"/>
      <c r="E252" s="49"/>
      <c r="F252" s="49"/>
      <c r="G252" s="49"/>
      <c r="H252" s="49"/>
      <c r="I252" s="49"/>
      <c r="J252" s="49"/>
      <c r="K252" s="49"/>
      <c r="L252" s="38"/>
      <c r="M252" s="25"/>
      <c r="N252" s="25"/>
      <c r="O252" s="49"/>
      <c r="P252" s="1"/>
      <c r="Q252" s="8"/>
      <c r="R252" s="66"/>
      <c r="S252" s="1"/>
      <c r="T252" s="66"/>
      <c r="U252" s="8"/>
      <c r="V252" s="38"/>
      <c r="W252" s="1"/>
      <c r="X252" s="1"/>
      <c r="Y252" s="1"/>
    </row>
    <row r="253" spans="1:25">
      <c r="A253" s="15"/>
      <c r="B253" s="15"/>
      <c r="C253" s="49"/>
      <c r="D253" s="49"/>
      <c r="E253" s="49"/>
      <c r="F253" s="49"/>
      <c r="G253" s="49"/>
      <c r="H253" s="49"/>
      <c r="I253" s="49"/>
      <c r="J253" s="49"/>
      <c r="K253" s="49"/>
      <c r="L253" s="38"/>
      <c r="M253" s="25"/>
      <c r="N253" s="25"/>
      <c r="O253" s="49"/>
      <c r="P253" s="1"/>
      <c r="Q253" s="8"/>
      <c r="R253" s="66"/>
      <c r="S253" s="1"/>
      <c r="T253" s="66"/>
      <c r="U253" s="8"/>
      <c r="V253" s="38"/>
      <c r="W253" s="1"/>
      <c r="X253" s="1"/>
      <c r="Y253" s="1"/>
    </row>
    <row r="254" spans="1:25">
      <c r="A254" s="15"/>
      <c r="B254" s="15"/>
      <c r="C254" s="49"/>
      <c r="D254" s="49"/>
      <c r="E254" s="49"/>
      <c r="F254" s="49"/>
      <c r="G254" s="49"/>
      <c r="H254" s="49"/>
      <c r="I254" s="49"/>
      <c r="J254" s="49"/>
      <c r="K254" s="49"/>
      <c r="L254" s="38"/>
      <c r="M254" s="25"/>
      <c r="N254" s="25"/>
      <c r="O254" s="49"/>
      <c r="P254" s="1"/>
      <c r="Q254" s="8"/>
      <c r="R254" s="66"/>
      <c r="S254" s="1"/>
      <c r="T254" s="66"/>
      <c r="U254" s="8"/>
      <c r="V254" s="38"/>
      <c r="W254" s="1"/>
      <c r="X254" s="1"/>
      <c r="Y254" s="1"/>
    </row>
    <row r="255" spans="1:25">
      <c r="A255" s="15"/>
      <c r="B255" s="15"/>
      <c r="C255" s="49"/>
      <c r="D255" s="49"/>
      <c r="E255" s="49"/>
      <c r="F255" s="49"/>
      <c r="G255" s="49"/>
      <c r="H255" s="49"/>
      <c r="I255" s="49"/>
      <c r="J255" s="49"/>
      <c r="K255" s="49"/>
      <c r="L255" s="38"/>
      <c r="M255" s="25"/>
      <c r="N255" s="25"/>
      <c r="O255" s="49"/>
      <c r="P255" s="1"/>
      <c r="Q255" s="8"/>
      <c r="R255" s="66"/>
      <c r="S255" s="1"/>
      <c r="T255" s="66"/>
      <c r="U255" s="8"/>
      <c r="V255" s="38"/>
      <c r="W255" s="1"/>
      <c r="X255" s="1"/>
      <c r="Y255" s="1"/>
    </row>
    <row r="256" spans="1:25">
      <c r="A256" s="15"/>
      <c r="B256" s="15"/>
      <c r="C256" s="49"/>
      <c r="D256" s="49"/>
      <c r="E256" s="49"/>
      <c r="F256" s="49"/>
      <c r="G256" s="49"/>
      <c r="H256" s="49"/>
      <c r="I256" s="49"/>
      <c r="J256" s="49"/>
      <c r="K256" s="49"/>
      <c r="L256" s="38"/>
      <c r="M256" s="25"/>
      <c r="N256" s="25"/>
      <c r="O256" s="49"/>
      <c r="P256" s="1"/>
      <c r="Q256" s="8"/>
      <c r="R256" s="66"/>
      <c r="S256" s="1"/>
      <c r="T256" s="66"/>
      <c r="U256" s="8"/>
      <c r="V256" s="38"/>
      <c r="W256" s="1"/>
      <c r="X256" s="1"/>
      <c r="Y256" s="1"/>
    </row>
    <row r="257" spans="1:25">
      <c r="A257" s="15"/>
      <c r="B257" s="15"/>
      <c r="C257" s="49"/>
      <c r="D257" s="49"/>
      <c r="E257" s="49"/>
      <c r="F257" s="49"/>
      <c r="G257" s="49"/>
      <c r="H257" s="49"/>
      <c r="I257" s="49"/>
      <c r="J257" s="49"/>
      <c r="K257" s="49"/>
      <c r="L257" s="38"/>
      <c r="M257" s="25"/>
      <c r="N257" s="25"/>
      <c r="O257" s="49"/>
      <c r="P257" s="1"/>
      <c r="Q257" s="8"/>
      <c r="R257" s="66"/>
      <c r="S257" s="1"/>
      <c r="T257" s="66"/>
      <c r="U257" s="8"/>
      <c r="V257" s="38"/>
      <c r="W257" s="1"/>
      <c r="X257" s="1"/>
      <c r="Y257" s="1"/>
    </row>
    <row r="258" spans="1:25">
      <c r="A258" s="15"/>
      <c r="B258" s="15"/>
      <c r="C258" s="49"/>
      <c r="D258" s="49"/>
      <c r="E258" s="49"/>
      <c r="F258" s="49"/>
      <c r="G258" s="49"/>
      <c r="H258" s="49"/>
      <c r="I258" s="49"/>
      <c r="J258" s="49"/>
      <c r="K258" s="49"/>
      <c r="L258" s="38"/>
      <c r="M258" s="25"/>
      <c r="N258" s="25"/>
      <c r="O258" s="49"/>
      <c r="P258" s="1"/>
      <c r="Q258" s="8"/>
      <c r="R258" s="66"/>
      <c r="S258" s="1"/>
      <c r="T258" s="66"/>
      <c r="U258" s="8"/>
      <c r="V258" s="38"/>
      <c r="W258" s="1"/>
      <c r="X258" s="1"/>
      <c r="Y258" s="1"/>
    </row>
    <row r="259" spans="1:25">
      <c r="A259" s="15"/>
      <c r="B259" s="15"/>
      <c r="C259" s="49"/>
      <c r="D259" s="49"/>
      <c r="E259" s="49"/>
      <c r="F259" s="49"/>
      <c r="G259" s="49"/>
      <c r="H259" s="49"/>
      <c r="I259" s="49"/>
      <c r="J259" s="49"/>
      <c r="K259" s="49"/>
      <c r="L259" s="38"/>
      <c r="M259" s="25"/>
      <c r="N259" s="25"/>
      <c r="O259" s="49"/>
      <c r="P259" s="1"/>
      <c r="Q259" s="8"/>
      <c r="R259" s="66"/>
      <c r="S259" s="1"/>
      <c r="T259" s="66"/>
      <c r="U259" s="8"/>
      <c r="V259" s="38"/>
      <c r="W259" s="1"/>
      <c r="X259" s="1"/>
      <c r="Y259" s="1"/>
    </row>
    <row r="260" spans="1:25">
      <c r="A260" s="15"/>
      <c r="B260" s="15"/>
      <c r="C260" s="49"/>
      <c r="D260" s="49"/>
      <c r="E260" s="49"/>
      <c r="F260" s="49"/>
      <c r="G260" s="49"/>
      <c r="H260" s="49"/>
      <c r="I260" s="49"/>
      <c r="J260" s="49"/>
      <c r="K260" s="49"/>
      <c r="L260" s="38"/>
      <c r="M260" s="25"/>
      <c r="N260" s="25"/>
      <c r="O260" s="49"/>
      <c r="P260" s="1"/>
      <c r="Q260" s="8"/>
      <c r="R260" s="66"/>
      <c r="S260" s="1"/>
      <c r="T260" s="66"/>
      <c r="U260" s="8"/>
      <c r="V260" s="38"/>
      <c r="W260" s="1"/>
      <c r="X260" s="1"/>
      <c r="Y260" s="1"/>
    </row>
    <row r="261" spans="1:25">
      <c r="A261" s="15"/>
      <c r="B261" s="15"/>
      <c r="C261" s="49"/>
      <c r="D261" s="49"/>
      <c r="E261" s="49"/>
      <c r="F261" s="49"/>
      <c r="G261" s="49"/>
      <c r="H261" s="49"/>
      <c r="I261" s="49"/>
      <c r="J261" s="49"/>
      <c r="K261" s="49"/>
      <c r="L261" s="38"/>
      <c r="M261" s="25"/>
      <c r="N261" s="25"/>
      <c r="O261" s="49"/>
      <c r="P261" s="1"/>
      <c r="Q261" s="8"/>
      <c r="R261" s="66"/>
      <c r="S261" s="1"/>
      <c r="T261" s="66"/>
      <c r="U261" s="8"/>
      <c r="V261" s="38"/>
      <c r="W261" s="1"/>
      <c r="X261" s="1"/>
      <c r="Y261" s="1"/>
    </row>
    <row r="262" spans="1:25">
      <c r="A262" s="15"/>
      <c r="B262" s="15"/>
      <c r="C262" s="49"/>
      <c r="D262" s="49"/>
      <c r="E262" s="49"/>
      <c r="F262" s="49"/>
      <c r="G262" s="49"/>
      <c r="H262" s="49"/>
      <c r="I262" s="49"/>
      <c r="J262" s="49"/>
      <c r="K262" s="49"/>
      <c r="L262" s="38"/>
      <c r="M262" s="25"/>
      <c r="N262" s="25"/>
      <c r="O262" s="49"/>
      <c r="P262" s="1"/>
      <c r="Q262" s="8"/>
      <c r="R262" s="66"/>
      <c r="S262" s="1"/>
      <c r="T262" s="66"/>
      <c r="U262" s="8"/>
      <c r="V262" s="38"/>
      <c r="W262" s="1"/>
      <c r="X262" s="1"/>
      <c r="Y262" s="1"/>
    </row>
    <row r="263" spans="1:25">
      <c r="A263" s="15"/>
      <c r="B263" s="15"/>
      <c r="C263" s="49"/>
      <c r="D263" s="49"/>
      <c r="E263" s="49"/>
      <c r="F263" s="49"/>
      <c r="G263" s="49"/>
      <c r="H263" s="49"/>
      <c r="I263" s="49"/>
      <c r="J263" s="49"/>
      <c r="K263" s="49"/>
      <c r="L263" s="38"/>
      <c r="M263" s="25"/>
      <c r="N263" s="25"/>
      <c r="O263" s="49"/>
      <c r="P263" s="1"/>
      <c r="Q263" s="8"/>
      <c r="R263" s="66"/>
      <c r="S263" s="1"/>
      <c r="T263" s="66"/>
      <c r="U263" s="8"/>
      <c r="V263" s="38"/>
      <c r="W263" s="1"/>
      <c r="X263" s="1"/>
      <c r="Y263" s="1"/>
    </row>
    <row r="264" spans="1:25">
      <c r="A264" s="15"/>
      <c r="B264" s="15"/>
      <c r="C264" s="49"/>
      <c r="D264" s="49"/>
      <c r="E264" s="49"/>
      <c r="F264" s="49"/>
      <c r="G264" s="49"/>
      <c r="H264" s="49"/>
      <c r="I264" s="49"/>
      <c r="J264" s="49"/>
      <c r="K264" s="49"/>
      <c r="L264" s="38"/>
      <c r="M264" s="25"/>
      <c r="N264" s="25"/>
      <c r="O264" s="49"/>
      <c r="P264" s="1"/>
      <c r="Q264" s="8"/>
      <c r="R264" s="66"/>
      <c r="S264" s="1"/>
      <c r="T264" s="66"/>
      <c r="U264" s="8"/>
      <c r="V264" s="38"/>
      <c r="W264" s="1"/>
      <c r="X264" s="1"/>
      <c r="Y264" s="1"/>
    </row>
    <row r="265" spans="1:25">
      <c r="A265" s="15"/>
      <c r="B265" s="15"/>
      <c r="C265" s="49"/>
      <c r="D265" s="49"/>
      <c r="E265" s="49"/>
      <c r="F265" s="49"/>
      <c r="G265" s="49"/>
      <c r="H265" s="49"/>
      <c r="I265" s="49"/>
      <c r="J265" s="49"/>
      <c r="K265" s="49"/>
      <c r="L265" s="38"/>
      <c r="M265" s="25"/>
      <c r="N265" s="25"/>
      <c r="O265" s="49"/>
      <c r="P265" s="1"/>
      <c r="Q265" s="8"/>
      <c r="R265" s="66"/>
      <c r="S265" s="1"/>
      <c r="T265" s="66"/>
      <c r="U265" s="8"/>
      <c r="V265" s="38"/>
      <c r="W265" s="1"/>
      <c r="X265" s="1"/>
      <c r="Y265" s="1"/>
    </row>
    <row r="266" spans="1:25">
      <c r="A266" s="15"/>
      <c r="B266" s="15"/>
      <c r="C266" s="49"/>
      <c r="D266" s="49"/>
      <c r="E266" s="49"/>
      <c r="F266" s="49"/>
      <c r="G266" s="49"/>
      <c r="H266" s="49"/>
      <c r="I266" s="49"/>
      <c r="J266" s="49"/>
      <c r="K266" s="49"/>
      <c r="L266" s="38"/>
      <c r="M266" s="25"/>
      <c r="N266" s="25"/>
      <c r="O266" s="49"/>
      <c r="P266" s="1"/>
      <c r="Q266" s="8"/>
      <c r="R266" s="66"/>
      <c r="S266" s="1"/>
      <c r="T266" s="66"/>
      <c r="U266" s="8"/>
      <c r="V266" s="38"/>
      <c r="W266" s="1"/>
      <c r="X266" s="1"/>
      <c r="Y266" s="1"/>
    </row>
    <row r="267" spans="1:25">
      <c r="A267" s="15"/>
      <c r="B267" s="15"/>
      <c r="C267" s="49"/>
      <c r="D267" s="49"/>
      <c r="E267" s="49"/>
      <c r="F267" s="49"/>
      <c r="G267" s="49"/>
      <c r="H267" s="49"/>
      <c r="I267" s="49"/>
      <c r="J267" s="49"/>
      <c r="K267" s="49"/>
      <c r="L267" s="38"/>
      <c r="M267" s="25"/>
      <c r="N267" s="25"/>
      <c r="O267" s="49"/>
      <c r="P267" s="1"/>
      <c r="Q267" s="8"/>
      <c r="R267" s="66"/>
      <c r="S267" s="1"/>
      <c r="T267" s="66"/>
      <c r="U267" s="8"/>
      <c r="V267" s="38"/>
      <c r="W267" s="1"/>
      <c r="X267" s="1"/>
      <c r="Y267" s="1"/>
    </row>
    <row r="268" spans="1:25">
      <c r="A268" s="15"/>
      <c r="B268" s="15"/>
      <c r="C268" s="49"/>
      <c r="D268" s="49"/>
      <c r="E268" s="49"/>
      <c r="F268" s="49"/>
      <c r="G268" s="49"/>
      <c r="H268" s="49"/>
      <c r="I268" s="49"/>
      <c r="J268" s="49"/>
      <c r="K268" s="49"/>
      <c r="L268" s="38"/>
      <c r="M268" s="25"/>
      <c r="N268" s="25"/>
      <c r="O268" s="49"/>
      <c r="P268" s="1"/>
      <c r="Q268" s="8"/>
      <c r="R268" s="66"/>
      <c r="S268" s="1"/>
      <c r="T268" s="66"/>
      <c r="U268" s="8"/>
      <c r="V268" s="38"/>
      <c r="W268" s="1"/>
      <c r="X268" s="1"/>
      <c r="Y268" s="1"/>
    </row>
    <row r="269" spans="1:25">
      <c r="A269" s="15"/>
      <c r="B269" s="15"/>
      <c r="C269" s="49"/>
      <c r="D269" s="49"/>
      <c r="E269" s="49"/>
      <c r="F269" s="49"/>
      <c r="G269" s="49"/>
      <c r="H269" s="49"/>
      <c r="I269" s="49"/>
      <c r="J269" s="49"/>
      <c r="K269" s="49"/>
      <c r="L269" s="38"/>
      <c r="M269" s="25"/>
      <c r="N269" s="25"/>
      <c r="O269" s="49"/>
      <c r="P269" s="1"/>
      <c r="Q269" s="8"/>
      <c r="R269" s="66"/>
      <c r="S269" s="1"/>
      <c r="T269" s="66"/>
      <c r="U269" s="8"/>
      <c r="V269" s="38"/>
      <c r="W269" s="1"/>
      <c r="X269" s="1"/>
      <c r="Y269" s="1"/>
    </row>
    <row r="270" spans="1:25">
      <c r="A270" s="15"/>
      <c r="B270" s="15"/>
      <c r="C270" s="49"/>
      <c r="D270" s="49"/>
      <c r="E270" s="49"/>
      <c r="F270" s="49"/>
      <c r="G270" s="49"/>
      <c r="H270" s="49"/>
      <c r="I270" s="49"/>
      <c r="J270" s="49"/>
      <c r="K270" s="49"/>
      <c r="L270" s="38"/>
      <c r="M270" s="25"/>
      <c r="N270" s="25"/>
      <c r="O270" s="49"/>
      <c r="P270" s="1"/>
      <c r="Q270" s="8"/>
      <c r="R270" s="66"/>
      <c r="S270" s="1"/>
      <c r="T270" s="66"/>
      <c r="U270" s="8"/>
      <c r="V270" s="38"/>
      <c r="W270" s="1"/>
      <c r="X270" s="1"/>
      <c r="Y270" s="1"/>
    </row>
    <row r="271" spans="1:25">
      <c r="A271" s="15"/>
      <c r="B271" s="15"/>
      <c r="C271" s="49"/>
      <c r="D271" s="49"/>
      <c r="E271" s="49"/>
      <c r="F271" s="49"/>
      <c r="G271" s="49"/>
      <c r="H271" s="49"/>
      <c r="I271" s="49"/>
      <c r="J271" s="49"/>
      <c r="K271" s="49"/>
      <c r="L271" s="38"/>
      <c r="M271" s="25"/>
      <c r="N271" s="25"/>
      <c r="O271" s="49"/>
      <c r="P271" s="1"/>
      <c r="Q271" s="8"/>
      <c r="R271" s="66"/>
      <c r="S271" s="1"/>
      <c r="T271" s="66"/>
      <c r="U271" s="8"/>
      <c r="V271" s="38"/>
      <c r="W271" s="1"/>
      <c r="X271" s="1"/>
      <c r="Y271" s="1"/>
    </row>
    <row r="272" spans="1:25">
      <c r="A272" s="15"/>
      <c r="B272" s="15"/>
      <c r="C272" s="49"/>
      <c r="D272" s="49"/>
      <c r="E272" s="49"/>
      <c r="F272" s="49"/>
      <c r="G272" s="49"/>
      <c r="H272" s="49"/>
      <c r="I272" s="49"/>
      <c r="J272" s="49"/>
      <c r="K272" s="49"/>
      <c r="L272" s="38"/>
      <c r="M272" s="25"/>
      <c r="N272" s="25"/>
      <c r="O272" s="49"/>
      <c r="P272" s="1"/>
      <c r="Q272" s="8"/>
      <c r="R272" s="66"/>
      <c r="S272" s="1"/>
      <c r="T272" s="66"/>
      <c r="U272" s="8"/>
      <c r="V272" s="38"/>
      <c r="W272" s="1"/>
      <c r="X272" s="1"/>
      <c r="Y272" s="1"/>
    </row>
    <row r="273" spans="1:25">
      <c r="A273" s="15"/>
      <c r="B273" s="15"/>
      <c r="C273" s="49"/>
      <c r="D273" s="49"/>
      <c r="E273" s="49"/>
      <c r="F273" s="49"/>
      <c r="G273" s="49"/>
      <c r="H273" s="49"/>
      <c r="I273" s="49"/>
      <c r="J273" s="49"/>
      <c r="K273" s="49"/>
      <c r="L273" s="38"/>
      <c r="M273" s="25"/>
      <c r="N273" s="25"/>
      <c r="O273" s="49"/>
      <c r="P273" s="1"/>
      <c r="Q273" s="8"/>
      <c r="R273" s="66"/>
      <c r="S273" s="1"/>
      <c r="T273" s="66"/>
      <c r="U273" s="8"/>
      <c r="V273" s="38"/>
      <c r="W273" s="1"/>
      <c r="X273" s="1"/>
      <c r="Y273" s="1"/>
    </row>
    <row r="274" spans="1:25">
      <c r="A274" s="15"/>
      <c r="B274" s="15"/>
      <c r="C274" s="49"/>
      <c r="D274" s="49"/>
      <c r="E274" s="49"/>
      <c r="F274" s="49"/>
      <c r="G274" s="49"/>
      <c r="H274" s="49"/>
      <c r="I274" s="49"/>
      <c r="J274" s="49"/>
      <c r="K274" s="49"/>
      <c r="L274" s="38"/>
      <c r="M274" s="25"/>
      <c r="N274" s="25"/>
      <c r="O274" s="49"/>
      <c r="P274" s="1"/>
      <c r="Q274" s="8"/>
      <c r="R274" s="66"/>
      <c r="S274" s="1"/>
      <c r="T274" s="66"/>
      <c r="U274" s="8"/>
      <c r="V274" s="38"/>
      <c r="W274" s="1"/>
      <c r="X274" s="1"/>
      <c r="Y274" s="1"/>
    </row>
    <row r="275" spans="1:25">
      <c r="A275" s="15"/>
      <c r="B275" s="15"/>
      <c r="C275" s="49"/>
      <c r="D275" s="49"/>
      <c r="E275" s="49"/>
      <c r="F275" s="49"/>
      <c r="G275" s="49"/>
      <c r="H275" s="49"/>
      <c r="I275" s="49"/>
      <c r="J275" s="49"/>
      <c r="K275" s="49"/>
      <c r="L275" s="38"/>
      <c r="M275" s="25"/>
      <c r="N275" s="25"/>
      <c r="O275" s="49"/>
      <c r="P275" s="1"/>
      <c r="Q275" s="8"/>
      <c r="R275" s="66"/>
      <c r="S275" s="1"/>
      <c r="T275" s="66"/>
      <c r="U275" s="8"/>
      <c r="V275" s="38"/>
      <c r="W275" s="1"/>
      <c r="X275" s="1"/>
      <c r="Y275" s="1"/>
    </row>
    <row r="276" spans="1:25">
      <c r="A276" s="15"/>
      <c r="B276" s="15"/>
      <c r="C276" s="49"/>
      <c r="D276" s="49"/>
      <c r="E276" s="49"/>
      <c r="F276" s="49"/>
      <c r="G276" s="49"/>
      <c r="H276" s="49"/>
      <c r="I276" s="49"/>
      <c r="J276" s="49"/>
      <c r="K276" s="49"/>
      <c r="L276" s="38"/>
      <c r="M276" s="25"/>
      <c r="N276" s="25"/>
      <c r="O276" s="49"/>
      <c r="P276" s="1"/>
      <c r="Q276" s="8"/>
      <c r="R276" s="66"/>
      <c r="S276" s="1"/>
      <c r="T276" s="66"/>
      <c r="U276" s="8"/>
      <c r="V276" s="38"/>
      <c r="W276" s="1"/>
      <c r="X276" s="1"/>
      <c r="Y276" s="1"/>
    </row>
    <row r="277" spans="1:25">
      <c r="A277" s="15"/>
      <c r="B277" s="15"/>
      <c r="C277" s="49"/>
      <c r="D277" s="49"/>
      <c r="E277" s="49"/>
      <c r="F277" s="49"/>
      <c r="G277" s="49"/>
      <c r="H277" s="49"/>
      <c r="I277" s="49"/>
      <c r="J277" s="49"/>
      <c r="K277" s="49"/>
      <c r="L277" s="38"/>
      <c r="M277" s="25"/>
      <c r="N277" s="25"/>
      <c r="O277" s="49"/>
      <c r="P277" s="1"/>
      <c r="Q277" s="8"/>
      <c r="R277" s="66"/>
      <c r="S277" s="1"/>
      <c r="T277" s="66"/>
      <c r="U277" s="8"/>
      <c r="V277" s="38"/>
      <c r="W277" s="1"/>
      <c r="X277" s="1"/>
      <c r="Y277" s="1"/>
    </row>
    <row r="278" spans="1:25">
      <c r="A278" s="15"/>
      <c r="B278" s="15"/>
      <c r="C278" s="49"/>
      <c r="D278" s="49"/>
      <c r="E278" s="49"/>
      <c r="F278" s="49"/>
      <c r="G278" s="49"/>
      <c r="H278" s="49"/>
      <c r="I278" s="49"/>
      <c r="J278" s="49"/>
      <c r="K278" s="49"/>
      <c r="L278" s="38"/>
      <c r="M278" s="25"/>
      <c r="N278" s="25"/>
      <c r="O278" s="49"/>
      <c r="P278" s="1"/>
      <c r="Q278" s="8"/>
      <c r="R278" s="66"/>
      <c r="S278" s="1"/>
      <c r="T278" s="66"/>
      <c r="U278" s="8"/>
      <c r="V278" s="38"/>
      <c r="W278" s="1"/>
      <c r="X278" s="1"/>
      <c r="Y278" s="1"/>
    </row>
    <row r="279" spans="1:25">
      <c r="A279" s="15"/>
      <c r="B279" s="15"/>
      <c r="C279" s="49"/>
      <c r="D279" s="49"/>
      <c r="E279" s="49"/>
      <c r="F279" s="49"/>
      <c r="G279" s="49"/>
      <c r="H279" s="49"/>
      <c r="I279" s="49"/>
      <c r="J279" s="49"/>
      <c r="K279" s="49"/>
      <c r="L279" s="38"/>
      <c r="M279" s="25"/>
      <c r="N279" s="25"/>
      <c r="O279" s="49"/>
      <c r="P279" s="1"/>
      <c r="Q279" s="8"/>
      <c r="R279" s="66"/>
      <c r="S279" s="1"/>
      <c r="T279" s="66"/>
      <c r="U279" s="8"/>
      <c r="V279" s="38"/>
      <c r="W279" s="1"/>
      <c r="X279" s="1"/>
      <c r="Y279" s="1"/>
    </row>
    <row r="280" spans="1:25">
      <c r="A280" s="15"/>
      <c r="B280" s="15"/>
      <c r="C280" s="49"/>
      <c r="D280" s="49"/>
      <c r="E280" s="49"/>
      <c r="F280" s="49"/>
      <c r="G280" s="49"/>
      <c r="H280" s="49"/>
      <c r="I280" s="49"/>
      <c r="J280" s="49"/>
      <c r="K280" s="49"/>
      <c r="L280" s="38"/>
      <c r="M280" s="25"/>
      <c r="N280" s="25"/>
      <c r="O280" s="49"/>
      <c r="P280" s="1"/>
      <c r="Q280" s="8"/>
      <c r="R280" s="66"/>
      <c r="S280" s="1"/>
      <c r="T280" s="66"/>
      <c r="U280" s="8"/>
      <c r="V280" s="38"/>
      <c r="W280" s="1"/>
      <c r="X280" s="1"/>
      <c r="Y280" s="1"/>
    </row>
    <row r="281" spans="1:25">
      <c r="A281" s="15"/>
      <c r="B281" s="15"/>
      <c r="C281" s="49"/>
      <c r="D281" s="49"/>
      <c r="E281" s="49"/>
      <c r="F281" s="49"/>
      <c r="G281" s="49"/>
      <c r="H281" s="49"/>
      <c r="I281" s="49"/>
      <c r="J281" s="49"/>
      <c r="K281" s="49"/>
      <c r="L281" s="38"/>
      <c r="M281" s="25"/>
      <c r="N281" s="25"/>
      <c r="O281" s="49"/>
      <c r="P281" s="1"/>
      <c r="Q281" s="8"/>
      <c r="R281" s="66"/>
      <c r="S281" s="1"/>
      <c r="T281" s="66"/>
      <c r="U281" s="8"/>
      <c r="V281" s="38"/>
      <c r="W281" s="1"/>
      <c r="X281" s="1"/>
      <c r="Y281" s="1"/>
    </row>
    <row r="282" spans="1:25">
      <c r="A282" s="15"/>
      <c r="B282" s="15"/>
      <c r="C282" s="49"/>
      <c r="D282" s="49"/>
      <c r="E282" s="49"/>
      <c r="F282" s="49"/>
      <c r="G282" s="49"/>
      <c r="H282" s="49"/>
      <c r="I282" s="49"/>
      <c r="J282" s="49"/>
      <c r="K282" s="49"/>
      <c r="L282" s="38"/>
      <c r="M282" s="25"/>
      <c r="N282" s="25"/>
      <c r="O282" s="49"/>
      <c r="P282" s="1"/>
      <c r="Q282" s="8"/>
      <c r="R282" s="66"/>
      <c r="S282" s="1"/>
      <c r="T282" s="66"/>
      <c r="U282" s="8"/>
      <c r="V282" s="38"/>
      <c r="W282" s="1"/>
      <c r="X282" s="1"/>
      <c r="Y282" s="1"/>
    </row>
    <row r="283" spans="1:25">
      <c r="A283" s="15"/>
      <c r="B283" s="15"/>
      <c r="C283" s="49"/>
      <c r="D283" s="49"/>
      <c r="E283" s="49"/>
      <c r="F283" s="49"/>
      <c r="G283" s="49"/>
      <c r="H283" s="49"/>
      <c r="I283" s="49"/>
      <c r="J283" s="49"/>
      <c r="K283" s="49"/>
      <c r="L283" s="38"/>
      <c r="M283" s="25"/>
      <c r="N283" s="25"/>
      <c r="O283" s="49"/>
      <c r="P283" s="1"/>
      <c r="Q283" s="8"/>
      <c r="R283" s="66"/>
      <c r="S283" s="1"/>
      <c r="T283" s="66"/>
      <c r="U283" s="8"/>
      <c r="V283" s="38"/>
      <c r="W283" s="1"/>
      <c r="X283" s="1"/>
      <c r="Y283" s="1"/>
    </row>
    <row r="284" spans="1:25">
      <c r="A284" s="15"/>
      <c r="B284" s="15"/>
      <c r="C284" s="49"/>
      <c r="D284" s="49"/>
      <c r="E284" s="49"/>
      <c r="F284" s="49"/>
      <c r="G284" s="49"/>
      <c r="H284" s="49"/>
      <c r="I284" s="49"/>
      <c r="J284" s="49"/>
      <c r="K284" s="49"/>
      <c r="L284" s="38"/>
      <c r="M284" s="25"/>
      <c r="N284" s="25"/>
      <c r="O284" s="49"/>
      <c r="P284" s="1"/>
      <c r="Q284" s="8"/>
      <c r="R284" s="66"/>
      <c r="S284" s="1"/>
      <c r="T284" s="66"/>
      <c r="U284" s="8"/>
      <c r="V284" s="38"/>
      <c r="W284" s="1"/>
      <c r="X284" s="1"/>
      <c r="Y284" s="1"/>
    </row>
    <row r="285" spans="1:25">
      <c r="A285" s="15"/>
      <c r="B285" s="15"/>
      <c r="C285" s="49"/>
      <c r="D285" s="49"/>
      <c r="E285" s="49"/>
      <c r="F285" s="49"/>
      <c r="G285" s="49"/>
      <c r="H285" s="49"/>
      <c r="I285" s="49"/>
      <c r="J285" s="49"/>
      <c r="K285" s="49"/>
      <c r="L285" s="38"/>
      <c r="M285" s="25"/>
      <c r="N285" s="25"/>
      <c r="O285" s="49"/>
      <c r="P285" s="1"/>
      <c r="Q285" s="8"/>
      <c r="R285" s="66"/>
      <c r="S285" s="1"/>
      <c r="T285" s="66"/>
      <c r="U285" s="8"/>
      <c r="V285" s="38"/>
      <c r="W285" s="1"/>
      <c r="X285" s="1"/>
      <c r="Y285" s="1"/>
    </row>
    <row r="286" spans="1:25">
      <c r="A286" s="15"/>
      <c r="B286" s="15"/>
      <c r="C286" s="49"/>
      <c r="D286" s="49"/>
      <c r="E286" s="49"/>
      <c r="F286" s="49"/>
      <c r="G286" s="49"/>
      <c r="H286" s="49"/>
      <c r="I286" s="49"/>
      <c r="J286" s="49"/>
      <c r="K286" s="49"/>
      <c r="L286" s="38"/>
      <c r="M286" s="25"/>
      <c r="N286" s="25"/>
      <c r="O286" s="49"/>
      <c r="P286" s="1"/>
      <c r="Q286" s="8"/>
      <c r="R286" s="66"/>
      <c r="S286" s="1"/>
      <c r="T286" s="66"/>
      <c r="U286" s="8"/>
      <c r="V286" s="38"/>
      <c r="W286" s="1"/>
      <c r="X286" s="1"/>
      <c r="Y286" s="1"/>
    </row>
    <row r="287" spans="1:25">
      <c r="A287" s="15"/>
      <c r="B287" s="15"/>
      <c r="C287" s="49"/>
      <c r="D287" s="49"/>
      <c r="E287" s="49"/>
      <c r="F287" s="49"/>
      <c r="G287" s="49"/>
      <c r="H287" s="49"/>
      <c r="I287" s="49"/>
      <c r="J287" s="49"/>
      <c r="K287" s="49"/>
      <c r="L287" s="38"/>
      <c r="M287" s="25"/>
      <c r="N287" s="25"/>
      <c r="O287" s="49"/>
      <c r="P287" s="1"/>
      <c r="Q287" s="8"/>
      <c r="R287" s="66"/>
      <c r="S287" s="1"/>
      <c r="T287" s="66"/>
      <c r="U287" s="8"/>
      <c r="V287" s="38"/>
      <c r="W287" s="1"/>
      <c r="X287" s="1"/>
      <c r="Y287" s="1"/>
    </row>
    <row r="288" spans="1:25">
      <c r="A288" s="15"/>
      <c r="B288" s="15"/>
      <c r="C288" s="49"/>
      <c r="D288" s="49"/>
      <c r="E288" s="49"/>
      <c r="F288" s="49"/>
      <c r="G288" s="49"/>
      <c r="H288" s="49"/>
      <c r="I288" s="49"/>
      <c r="J288" s="49"/>
      <c r="K288" s="49"/>
      <c r="L288" s="38"/>
      <c r="M288" s="25"/>
      <c r="N288" s="25"/>
      <c r="O288" s="49"/>
      <c r="P288" s="1"/>
      <c r="Q288" s="8"/>
      <c r="R288" s="66"/>
      <c r="S288" s="1"/>
      <c r="T288" s="66"/>
      <c r="U288" s="8"/>
      <c r="V288" s="38"/>
      <c r="W288" s="1"/>
      <c r="X288" s="1"/>
      <c r="Y288" s="1"/>
    </row>
    <row r="289" spans="1:25">
      <c r="A289" s="15"/>
      <c r="B289" s="15"/>
      <c r="C289" s="49"/>
      <c r="D289" s="49"/>
      <c r="E289" s="49"/>
      <c r="F289" s="49"/>
      <c r="G289" s="49"/>
      <c r="H289" s="49"/>
      <c r="I289" s="49"/>
      <c r="J289" s="49"/>
      <c r="K289" s="49"/>
      <c r="L289" s="38"/>
      <c r="M289" s="25"/>
      <c r="N289" s="25"/>
      <c r="O289" s="49"/>
      <c r="P289" s="1"/>
      <c r="Q289" s="8"/>
      <c r="R289" s="66"/>
      <c r="S289" s="1"/>
      <c r="T289" s="66"/>
      <c r="U289" s="8"/>
      <c r="V289" s="38"/>
      <c r="W289" s="1"/>
      <c r="X289" s="1"/>
      <c r="Y289" s="1"/>
    </row>
    <row r="290" spans="1:25">
      <c r="A290" s="15"/>
      <c r="B290" s="15"/>
      <c r="C290" s="49"/>
      <c r="D290" s="49"/>
      <c r="E290" s="49"/>
      <c r="F290" s="49"/>
      <c r="G290" s="49"/>
      <c r="H290" s="49"/>
      <c r="I290" s="49"/>
      <c r="J290" s="49"/>
      <c r="K290" s="49"/>
      <c r="L290" s="38"/>
      <c r="M290" s="25"/>
      <c r="N290" s="25"/>
      <c r="O290" s="49"/>
      <c r="P290" s="1"/>
      <c r="Q290" s="8"/>
      <c r="R290" s="66"/>
      <c r="S290" s="1"/>
      <c r="T290" s="66"/>
      <c r="U290" s="8"/>
      <c r="V290" s="38"/>
      <c r="W290" s="1"/>
      <c r="X290" s="1"/>
      <c r="Y290" s="1"/>
    </row>
    <row r="291" spans="1:25">
      <c r="A291" s="15"/>
      <c r="B291" s="15"/>
      <c r="C291" s="49"/>
      <c r="D291" s="49"/>
      <c r="E291" s="49"/>
      <c r="F291" s="49"/>
      <c r="G291" s="49"/>
      <c r="H291" s="49"/>
      <c r="I291" s="49"/>
      <c r="J291" s="49"/>
      <c r="K291" s="49"/>
      <c r="L291" s="38"/>
      <c r="M291" s="25"/>
      <c r="N291" s="25"/>
      <c r="O291" s="49"/>
      <c r="P291" s="1"/>
      <c r="Q291" s="8"/>
      <c r="R291" s="66"/>
      <c r="S291" s="1"/>
      <c r="T291" s="66"/>
      <c r="U291" s="8"/>
      <c r="V291" s="38"/>
      <c r="W291" s="1"/>
      <c r="X291" s="1"/>
      <c r="Y291" s="1"/>
    </row>
    <row r="292" spans="1:25">
      <c r="A292" s="15"/>
      <c r="B292" s="15"/>
      <c r="C292" s="49"/>
      <c r="D292" s="49"/>
      <c r="E292" s="49"/>
      <c r="F292" s="49"/>
      <c r="G292" s="49"/>
      <c r="H292" s="49"/>
      <c r="I292" s="49"/>
      <c r="J292" s="49"/>
      <c r="K292" s="49"/>
      <c r="L292" s="38"/>
      <c r="M292" s="25"/>
      <c r="N292" s="25"/>
      <c r="O292" s="49"/>
      <c r="P292" s="1"/>
      <c r="Q292" s="8"/>
      <c r="R292" s="66"/>
      <c r="S292" s="1"/>
      <c r="T292" s="66"/>
      <c r="U292" s="8"/>
      <c r="V292" s="38"/>
      <c r="W292" s="1"/>
      <c r="X292" s="1"/>
      <c r="Y292" s="1"/>
    </row>
    <row r="293" spans="1:25">
      <c r="A293" s="15"/>
      <c r="B293" s="15"/>
      <c r="C293" s="49"/>
      <c r="D293" s="49"/>
      <c r="E293" s="49"/>
      <c r="F293" s="49"/>
      <c r="G293" s="49"/>
      <c r="H293" s="49"/>
      <c r="I293" s="49"/>
      <c r="J293" s="49"/>
      <c r="K293" s="49"/>
      <c r="L293" s="38"/>
      <c r="M293" s="25"/>
      <c r="N293" s="25"/>
      <c r="O293" s="49"/>
      <c r="P293" s="1"/>
      <c r="Q293" s="8"/>
      <c r="R293" s="66"/>
      <c r="S293" s="1"/>
      <c r="T293" s="66"/>
      <c r="U293" s="8"/>
      <c r="V293" s="38"/>
      <c r="W293" s="1"/>
      <c r="X293" s="1"/>
      <c r="Y293" s="1"/>
    </row>
    <row r="294" spans="1:25">
      <c r="A294" s="15"/>
      <c r="B294" s="15"/>
      <c r="C294" s="49"/>
      <c r="D294" s="49"/>
      <c r="E294" s="49"/>
      <c r="F294" s="49"/>
      <c r="G294" s="49"/>
      <c r="H294" s="49"/>
      <c r="I294" s="49"/>
      <c r="J294" s="49"/>
      <c r="K294" s="49"/>
      <c r="L294" s="38"/>
      <c r="M294" s="25"/>
      <c r="N294" s="25"/>
      <c r="O294" s="49"/>
      <c r="P294" s="1"/>
      <c r="Q294" s="8"/>
      <c r="R294" s="66"/>
      <c r="S294" s="1"/>
      <c r="T294" s="66"/>
      <c r="U294" s="8"/>
      <c r="V294" s="38"/>
      <c r="W294" s="1"/>
      <c r="X294" s="1"/>
      <c r="Y294" s="1"/>
    </row>
    <row r="295" spans="1:25">
      <c r="A295" s="15"/>
      <c r="B295" s="15"/>
      <c r="C295" s="49"/>
      <c r="D295" s="49"/>
      <c r="E295" s="49"/>
      <c r="F295" s="49"/>
      <c r="G295" s="49"/>
      <c r="H295" s="49"/>
      <c r="I295" s="49"/>
      <c r="J295" s="49"/>
      <c r="K295" s="49"/>
      <c r="L295" s="38"/>
      <c r="M295" s="25"/>
      <c r="N295" s="25"/>
      <c r="O295" s="49"/>
      <c r="P295" s="1"/>
      <c r="Q295" s="8"/>
      <c r="R295" s="66"/>
      <c r="S295" s="1"/>
      <c r="T295" s="66"/>
      <c r="U295" s="8"/>
      <c r="V295" s="38"/>
      <c r="W295" s="1"/>
      <c r="X295" s="1"/>
      <c r="Y295" s="1"/>
    </row>
    <row r="296" spans="1:25">
      <c r="A296" s="15"/>
      <c r="B296" s="15"/>
      <c r="C296" s="49"/>
      <c r="D296" s="49"/>
      <c r="E296" s="49"/>
      <c r="F296" s="49"/>
      <c r="G296" s="49"/>
      <c r="H296" s="49"/>
      <c r="I296" s="49"/>
      <c r="J296" s="49"/>
      <c r="K296" s="49"/>
      <c r="L296" s="38"/>
      <c r="M296" s="25"/>
      <c r="N296" s="25"/>
      <c r="O296" s="49"/>
      <c r="P296" s="1"/>
      <c r="Q296" s="8"/>
      <c r="R296" s="66"/>
      <c r="S296" s="1"/>
      <c r="T296" s="66"/>
      <c r="U296" s="8"/>
      <c r="V296" s="38"/>
      <c r="W296" s="1"/>
      <c r="X296" s="1"/>
      <c r="Y296" s="1"/>
    </row>
    <row r="297" spans="1:25">
      <c r="A297" s="15"/>
      <c r="B297" s="15"/>
      <c r="C297" s="49"/>
      <c r="D297" s="49"/>
      <c r="E297" s="49"/>
      <c r="F297" s="49"/>
      <c r="G297" s="49"/>
      <c r="H297" s="49"/>
      <c r="I297" s="49"/>
      <c r="J297" s="49"/>
      <c r="K297" s="49"/>
      <c r="L297" s="38"/>
      <c r="M297" s="25"/>
      <c r="N297" s="25"/>
      <c r="O297" s="49"/>
      <c r="P297" s="1"/>
      <c r="Q297" s="8"/>
      <c r="R297" s="66"/>
      <c r="S297" s="1"/>
      <c r="T297" s="66"/>
      <c r="U297" s="8"/>
      <c r="V297" s="38"/>
      <c r="W297" s="1"/>
      <c r="X297" s="1"/>
      <c r="Y297" s="1"/>
    </row>
    <row r="298" spans="1:25">
      <c r="A298" s="15"/>
      <c r="B298" s="15"/>
      <c r="C298" s="49"/>
      <c r="D298" s="49"/>
      <c r="E298" s="49"/>
      <c r="F298" s="49"/>
      <c r="G298" s="49"/>
      <c r="H298" s="49"/>
      <c r="I298" s="49"/>
      <c r="J298" s="49"/>
      <c r="K298" s="49"/>
      <c r="L298" s="38"/>
      <c r="M298" s="25"/>
      <c r="N298" s="25"/>
      <c r="O298" s="49"/>
      <c r="P298" s="1"/>
      <c r="Q298" s="8"/>
      <c r="R298" s="66"/>
      <c r="S298" s="1"/>
      <c r="T298" s="66"/>
      <c r="U298" s="8"/>
      <c r="V298" s="38"/>
      <c r="W298" s="1"/>
      <c r="X298" s="1"/>
      <c r="Y298" s="1"/>
    </row>
    <row r="299" spans="1:25">
      <c r="A299" s="15"/>
      <c r="B299" s="15"/>
      <c r="C299" s="49"/>
      <c r="D299" s="49"/>
      <c r="E299" s="49"/>
      <c r="F299" s="49"/>
      <c r="G299" s="49"/>
      <c r="H299" s="49"/>
      <c r="I299" s="49"/>
      <c r="J299" s="49"/>
      <c r="K299" s="49"/>
      <c r="L299" s="38"/>
      <c r="M299" s="25"/>
      <c r="N299" s="25"/>
      <c r="O299" s="49"/>
      <c r="P299" s="1"/>
      <c r="Q299" s="8"/>
      <c r="R299" s="66"/>
      <c r="S299" s="1"/>
      <c r="T299" s="66"/>
      <c r="U299" s="8"/>
      <c r="V299" s="38"/>
      <c r="W299" s="1"/>
      <c r="X299" s="1"/>
      <c r="Y299" s="1"/>
    </row>
    <row r="300" spans="1:25">
      <c r="A300" s="15"/>
      <c r="B300" s="15"/>
      <c r="C300" s="49"/>
      <c r="D300" s="49"/>
      <c r="E300" s="49"/>
      <c r="F300" s="49"/>
      <c r="G300" s="49"/>
      <c r="H300" s="49"/>
      <c r="I300" s="49"/>
      <c r="J300" s="49"/>
      <c r="K300" s="49"/>
      <c r="L300" s="38"/>
      <c r="M300" s="25"/>
      <c r="N300" s="25"/>
      <c r="O300" s="49"/>
      <c r="P300" s="1"/>
      <c r="Q300" s="8"/>
      <c r="R300" s="66"/>
      <c r="S300" s="1"/>
      <c r="T300" s="66"/>
      <c r="U300" s="8"/>
      <c r="V300" s="38"/>
      <c r="W300" s="1"/>
      <c r="X300" s="1"/>
      <c r="Y300" s="1"/>
    </row>
    <row r="301" spans="1:25">
      <c r="A301" s="15"/>
      <c r="B301" s="15"/>
      <c r="C301" s="49"/>
      <c r="D301" s="49"/>
      <c r="E301" s="49"/>
      <c r="F301" s="49"/>
      <c r="G301" s="49"/>
      <c r="H301" s="49"/>
      <c r="I301" s="49"/>
      <c r="J301" s="49"/>
      <c r="K301" s="49"/>
      <c r="L301" s="38"/>
      <c r="M301" s="25"/>
      <c r="N301" s="25"/>
      <c r="O301" s="49"/>
      <c r="P301" s="1"/>
      <c r="Q301" s="8"/>
      <c r="R301" s="66"/>
      <c r="S301" s="1"/>
      <c r="T301" s="66"/>
      <c r="U301" s="8"/>
      <c r="V301" s="38"/>
      <c r="W301" s="1"/>
      <c r="X301" s="1"/>
      <c r="Y301" s="1"/>
    </row>
    <row r="302" spans="1:25">
      <c r="A302" s="15"/>
      <c r="B302" s="15"/>
      <c r="C302" s="49"/>
      <c r="D302" s="49"/>
      <c r="E302" s="49"/>
      <c r="F302" s="49"/>
      <c r="G302" s="49"/>
      <c r="H302" s="49"/>
      <c r="I302" s="49"/>
      <c r="J302" s="49"/>
      <c r="K302" s="49"/>
      <c r="L302" s="38"/>
      <c r="M302" s="25"/>
      <c r="N302" s="25"/>
      <c r="O302" s="49"/>
      <c r="P302" s="1"/>
      <c r="Q302" s="8"/>
      <c r="R302" s="66"/>
      <c r="S302" s="1"/>
      <c r="T302" s="66"/>
      <c r="U302" s="8"/>
      <c r="V302" s="38"/>
      <c r="W302" s="1"/>
      <c r="X302" s="1"/>
      <c r="Y302" s="1"/>
    </row>
    <row r="303" spans="1:25">
      <c r="A303" s="15"/>
      <c r="B303" s="15"/>
      <c r="C303" s="49"/>
      <c r="D303" s="49"/>
      <c r="E303" s="49"/>
      <c r="F303" s="49"/>
      <c r="G303" s="49"/>
      <c r="H303" s="49"/>
      <c r="I303" s="49"/>
      <c r="J303" s="49"/>
      <c r="K303" s="49"/>
      <c r="L303" s="38"/>
      <c r="M303" s="25"/>
      <c r="N303" s="25"/>
      <c r="O303" s="49"/>
      <c r="P303" s="1"/>
      <c r="Q303" s="8"/>
      <c r="R303" s="66"/>
      <c r="S303" s="1"/>
      <c r="T303" s="66"/>
      <c r="U303" s="8"/>
      <c r="V303" s="38"/>
      <c r="W303" s="1"/>
      <c r="X303" s="1"/>
      <c r="Y303" s="1"/>
    </row>
    <row r="304" spans="1:25">
      <c r="A304" s="15"/>
      <c r="B304" s="15"/>
      <c r="C304" s="49"/>
      <c r="D304" s="49"/>
      <c r="E304" s="49"/>
      <c r="F304" s="49"/>
      <c r="G304" s="49"/>
      <c r="H304" s="49"/>
      <c r="I304" s="49"/>
      <c r="J304" s="49"/>
      <c r="K304" s="49"/>
      <c r="L304" s="38"/>
      <c r="M304" s="25"/>
      <c r="N304" s="25"/>
      <c r="O304" s="49"/>
      <c r="P304" s="1"/>
      <c r="Q304" s="8"/>
      <c r="R304" s="66"/>
      <c r="S304" s="1"/>
      <c r="T304" s="66"/>
      <c r="U304" s="8"/>
      <c r="V304" s="38"/>
      <c r="W304" s="1"/>
      <c r="X304" s="1"/>
      <c r="Y304" s="1"/>
    </row>
    <row r="305" spans="1:25">
      <c r="A305" s="15"/>
      <c r="B305" s="15"/>
      <c r="C305" s="49"/>
      <c r="D305" s="49"/>
      <c r="E305" s="49"/>
      <c r="F305" s="49"/>
      <c r="G305" s="49"/>
      <c r="H305" s="49"/>
      <c r="I305" s="49"/>
      <c r="J305" s="49"/>
      <c r="K305" s="49"/>
      <c r="L305" s="38"/>
      <c r="M305" s="25"/>
      <c r="N305" s="25"/>
      <c r="O305" s="49"/>
      <c r="P305" s="1"/>
      <c r="Q305" s="8"/>
      <c r="R305" s="66"/>
      <c r="S305" s="1"/>
      <c r="T305" s="66"/>
      <c r="U305" s="8"/>
      <c r="V305" s="38"/>
      <c r="W305" s="1"/>
      <c r="X305" s="1"/>
      <c r="Y305" s="1"/>
    </row>
    <row r="306" spans="1:25">
      <c r="A306" s="15"/>
      <c r="B306" s="15"/>
      <c r="C306" s="49"/>
      <c r="D306" s="49"/>
      <c r="E306" s="49"/>
      <c r="F306" s="49"/>
      <c r="G306" s="49"/>
      <c r="H306" s="49"/>
      <c r="I306" s="49"/>
      <c r="J306" s="49"/>
      <c r="K306" s="49"/>
      <c r="L306" s="38"/>
      <c r="M306" s="25"/>
      <c r="N306" s="25"/>
      <c r="O306" s="49"/>
      <c r="P306" s="1"/>
      <c r="Q306" s="8"/>
      <c r="R306" s="66"/>
      <c r="S306" s="1"/>
      <c r="T306" s="66"/>
      <c r="U306" s="8"/>
      <c r="V306" s="38"/>
      <c r="W306" s="1"/>
      <c r="X306" s="1"/>
      <c r="Y306" s="1"/>
    </row>
    <row r="307" spans="1:25">
      <c r="A307" s="15"/>
      <c r="B307" s="15"/>
      <c r="C307" s="49"/>
      <c r="D307" s="49"/>
      <c r="E307" s="49"/>
      <c r="F307" s="49"/>
      <c r="G307" s="49"/>
      <c r="H307" s="49"/>
      <c r="I307" s="49"/>
      <c r="J307" s="49"/>
      <c r="K307" s="49"/>
      <c r="L307" s="38"/>
      <c r="M307" s="25"/>
      <c r="N307" s="25"/>
      <c r="O307" s="49"/>
      <c r="P307" s="1"/>
      <c r="Q307" s="8"/>
      <c r="R307" s="66"/>
      <c r="S307" s="1"/>
      <c r="T307" s="66"/>
      <c r="U307" s="8"/>
      <c r="V307" s="38"/>
      <c r="W307" s="1"/>
      <c r="X307" s="1"/>
      <c r="Y307" s="1"/>
    </row>
    <row r="308" spans="1:25">
      <c r="A308" s="15"/>
      <c r="B308" s="15"/>
      <c r="C308" s="49"/>
      <c r="D308" s="49"/>
      <c r="E308" s="49"/>
      <c r="F308" s="49"/>
      <c r="G308" s="49"/>
      <c r="H308" s="49"/>
      <c r="I308" s="49"/>
      <c r="J308" s="49"/>
      <c r="K308" s="49"/>
      <c r="L308" s="38"/>
      <c r="M308" s="25"/>
      <c r="N308" s="25"/>
      <c r="O308" s="49"/>
      <c r="P308" s="1"/>
      <c r="Q308" s="8"/>
      <c r="R308" s="66"/>
      <c r="S308" s="1"/>
      <c r="T308" s="66"/>
      <c r="U308" s="8"/>
      <c r="V308" s="38"/>
      <c r="W308" s="1"/>
      <c r="X308" s="1"/>
      <c r="Y308" s="1"/>
    </row>
    <row r="309" spans="1:25">
      <c r="A309" s="15"/>
      <c r="B309" s="15"/>
      <c r="C309" s="49"/>
      <c r="D309" s="49"/>
      <c r="E309" s="49"/>
      <c r="F309" s="49"/>
      <c r="G309" s="49"/>
      <c r="H309" s="49"/>
      <c r="I309" s="49"/>
      <c r="J309" s="49"/>
      <c r="K309" s="49"/>
      <c r="L309" s="38"/>
      <c r="M309" s="25"/>
      <c r="N309" s="25"/>
      <c r="O309" s="49"/>
      <c r="P309" s="1"/>
      <c r="Q309" s="8"/>
      <c r="R309" s="66"/>
      <c r="S309" s="1"/>
      <c r="T309" s="66"/>
      <c r="U309" s="8"/>
      <c r="V309" s="38"/>
      <c r="W309" s="1"/>
      <c r="X309" s="1"/>
      <c r="Y309" s="1"/>
    </row>
    <row r="310" spans="1:25">
      <c r="A310" s="15"/>
      <c r="B310" s="15"/>
      <c r="C310" s="49"/>
      <c r="D310" s="49"/>
      <c r="E310" s="49"/>
      <c r="F310" s="49"/>
      <c r="G310" s="49"/>
      <c r="H310" s="49"/>
      <c r="I310" s="49"/>
      <c r="J310" s="49"/>
      <c r="K310" s="49"/>
      <c r="L310" s="38"/>
      <c r="M310" s="25"/>
      <c r="N310" s="25"/>
      <c r="O310" s="49"/>
      <c r="P310" s="1"/>
      <c r="Q310" s="8"/>
      <c r="R310" s="66"/>
      <c r="S310" s="1"/>
      <c r="T310" s="66"/>
      <c r="U310" s="8"/>
      <c r="V310" s="38"/>
      <c r="W310" s="1"/>
      <c r="X310" s="1"/>
      <c r="Y310" s="1"/>
    </row>
    <row r="311" spans="1:25">
      <c r="A311" s="15"/>
      <c r="B311" s="15"/>
      <c r="C311" s="49"/>
      <c r="D311" s="49"/>
      <c r="E311" s="49"/>
      <c r="F311" s="49"/>
      <c r="G311" s="49"/>
      <c r="H311" s="49"/>
      <c r="I311" s="49"/>
      <c r="J311" s="49"/>
      <c r="K311" s="49"/>
      <c r="L311" s="38"/>
      <c r="M311" s="25"/>
      <c r="N311" s="25"/>
      <c r="O311" s="49"/>
      <c r="P311" s="1"/>
      <c r="Q311" s="8"/>
      <c r="R311" s="66"/>
      <c r="S311" s="1"/>
      <c r="T311" s="66"/>
      <c r="U311" s="8"/>
      <c r="V311" s="38"/>
      <c r="W311" s="1"/>
      <c r="X311" s="1"/>
      <c r="Y311" s="1"/>
    </row>
    <row r="312" spans="1:25">
      <c r="A312" s="15"/>
      <c r="B312" s="15"/>
      <c r="C312" s="49"/>
      <c r="D312" s="49"/>
      <c r="E312" s="49"/>
      <c r="F312" s="49"/>
      <c r="G312" s="49"/>
      <c r="H312" s="49"/>
      <c r="I312" s="49"/>
      <c r="J312" s="49"/>
      <c r="K312" s="49"/>
      <c r="L312" s="38"/>
      <c r="M312" s="25"/>
      <c r="N312" s="25"/>
      <c r="O312" s="49"/>
      <c r="P312" s="1"/>
      <c r="Q312" s="8"/>
      <c r="R312" s="66"/>
      <c r="S312" s="1"/>
      <c r="T312" s="66"/>
      <c r="U312" s="8"/>
      <c r="V312" s="38"/>
      <c r="W312" s="1"/>
      <c r="X312" s="1"/>
      <c r="Y312" s="1"/>
    </row>
    <row r="313" spans="1:25">
      <c r="A313" s="15"/>
      <c r="B313" s="15"/>
      <c r="C313" s="49"/>
      <c r="D313" s="49"/>
      <c r="E313" s="49"/>
      <c r="F313" s="49"/>
      <c r="G313" s="49"/>
      <c r="H313" s="49"/>
      <c r="I313" s="49"/>
      <c r="J313" s="49"/>
      <c r="K313" s="49"/>
      <c r="L313" s="38"/>
      <c r="M313" s="25"/>
      <c r="N313" s="25"/>
      <c r="O313" s="49"/>
      <c r="P313" s="1"/>
      <c r="Q313" s="8"/>
      <c r="R313" s="66"/>
      <c r="S313" s="1"/>
      <c r="T313" s="66"/>
      <c r="U313" s="8"/>
      <c r="V313" s="38"/>
      <c r="W313" s="1"/>
      <c r="X313" s="1"/>
      <c r="Y313" s="1"/>
    </row>
    <row r="314" spans="1:25">
      <c r="A314" s="15"/>
      <c r="B314" s="15"/>
      <c r="C314" s="49"/>
      <c r="D314" s="49"/>
      <c r="E314" s="49"/>
      <c r="F314" s="49"/>
      <c r="G314" s="49"/>
      <c r="H314" s="49"/>
      <c r="I314" s="49"/>
      <c r="J314" s="49"/>
      <c r="K314" s="49"/>
      <c r="L314" s="38"/>
      <c r="M314" s="25"/>
      <c r="N314" s="25"/>
      <c r="O314" s="49"/>
      <c r="P314" s="1"/>
      <c r="Q314" s="8"/>
      <c r="R314" s="66"/>
      <c r="S314" s="1"/>
      <c r="T314" s="66"/>
      <c r="U314" s="8"/>
      <c r="V314" s="38"/>
      <c r="W314" s="1"/>
      <c r="X314" s="1"/>
      <c r="Y314" s="1"/>
    </row>
    <row r="315" spans="1:25">
      <c r="A315" s="15"/>
      <c r="B315" s="15"/>
      <c r="C315" s="49"/>
      <c r="D315" s="49"/>
      <c r="E315" s="49"/>
      <c r="F315" s="49"/>
      <c r="G315" s="49"/>
      <c r="H315" s="49"/>
      <c r="I315" s="49"/>
      <c r="J315" s="49"/>
      <c r="K315" s="49"/>
      <c r="L315" s="38"/>
      <c r="M315" s="25"/>
      <c r="N315" s="25"/>
      <c r="O315" s="49"/>
      <c r="P315" s="1"/>
      <c r="Q315" s="8"/>
      <c r="R315" s="66"/>
      <c r="S315" s="1"/>
      <c r="T315" s="66"/>
      <c r="U315" s="8"/>
      <c r="V315" s="38"/>
      <c r="W315" s="1"/>
      <c r="X315" s="1"/>
      <c r="Y315" s="1"/>
    </row>
    <row r="316" spans="1:25">
      <c r="A316" s="15"/>
      <c r="B316" s="15"/>
      <c r="C316" s="49"/>
      <c r="D316" s="49"/>
      <c r="E316" s="49"/>
      <c r="F316" s="49"/>
      <c r="G316" s="49"/>
      <c r="H316" s="49"/>
      <c r="I316" s="49"/>
      <c r="J316" s="49"/>
      <c r="K316" s="49"/>
      <c r="L316" s="38"/>
      <c r="M316" s="25"/>
      <c r="N316" s="25"/>
      <c r="O316" s="49"/>
      <c r="P316" s="1"/>
      <c r="Q316" s="8"/>
      <c r="R316" s="66"/>
      <c r="S316" s="1"/>
      <c r="T316" s="66"/>
      <c r="U316" s="8"/>
      <c r="V316" s="38"/>
      <c r="W316" s="1"/>
      <c r="X316" s="1"/>
      <c r="Y316" s="1"/>
    </row>
    <row r="317" spans="1:25">
      <c r="A317" s="15"/>
      <c r="B317" s="15"/>
      <c r="C317" s="49"/>
      <c r="D317" s="49"/>
      <c r="E317" s="49"/>
      <c r="F317" s="49"/>
      <c r="G317" s="49"/>
      <c r="H317" s="49"/>
      <c r="I317" s="49"/>
      <c r="J317" s="49"/>
      <c r="K317" s="49"/>
      <c r="L317" s="38"/>
      <c r="M317" s="25"/>
      <c r="N317" s="25"/>
      <c r="O317" s="49"/>
      <c r="P317" s="1"/>
      <c r="Q317" s="8"/>
      <c r="R317" s="66"/>
      <c r="S317" s="1"/>
      <c r="T317" s="66"/>
      <c r="U317" s="8"/>
      <c r="V317" s="38"/>
      <c r="W317" s="1"/>
      <c r="X317" s="1"/>
      <c r="Y317" s="1"/>
    </row>
    <row r="318" spans="1:25">
      <c r="A318" s="15"/>
      <c r="B318" s="15"/>
      <c r="C318" s="49"/>
      <c r="D318" s="49"/>
      <c r="E318" s="49"/>
      <c r="F318" s="49"/>
      <c r="G318" s="49"/>
      <c r="H318" s="49"/>
      <c r="I318" s="49"/>
      <c r="J318" s="49"/>
      <c r="K318" s="49"/>
      <c r="L318" s="38"/>
      <c r="M318" s="25"/>
      <c r="N318" s="25"/>
      <c r="O318" s="49"/>
      <c r="P318" s="1"/>
      <c r="Q318" s="8"/>
      <c r="R318" s="66"/>
      <c r="S318" s="1"/>
      <c r="T318" s="66"/>
      <c r="U318" s="8"/>
      <c r="V318" s="38"/>
      <c r="W318" s="1"/>
      <c r="X318" s="1"/>
      <c r="Y318" s="1"/>
    </row>
    <row r="319" spans="1:25">
      <c r="A319" s="15"/>
      <c r="B319" s="15"/>
      <c r="C319" s="49"/>
      <c r="D319" s="49"/>
      <c r="E319" s="49"/>
      <c r="F319" s="49"/>
      <c r="G319" s="49"/>
      <c r="H319" s="49"/>
      <c r="I319" s="49"/>
      <c r="J319" s="49"/>
      <c r="K319" s="49"/>
      <c r="L319" s="38"/>
      <c r="M319" s="25"/>
      <c r="N319" s="25"/>
      <c r="O319" s="49"/>
      <c r="P319" s="1"/>
      <c r="Q319" s="8"/>
      <c r="R319" s="66"/>
      <c r="S319" s="1"/>
      <c r="T319" s="66"/>
      <c r="U319" s="8"/>
      <c r="V319" s="38"/>
      <c r="W319" s="1"/>
      <c r="X319" s="1"/>
      <c r="Y319" s="1"/>
    </row>
    <row r="320" spans="1:25">
      <c r="A320" s="15"/>
      <c r="B320" s="15"/>
      <c r="C320" s="49"/>
      <c r="D320" s="49"/>
      <c r="E320" s="49"/>
      <c r="F320" s="49"/>
      <c r="G320" s="49"/>
      <c r="H320" s="49"/>
      <c r="I320" s="49"/>
      <c r="J320" s="49"/>
      <c r="K320" s="49"/>
      <c r="L320" s="38"/>
      <c r="M320" s="25"/>
      <c r="N320" s="25"/>
      <c r="O320" s="49"/>
      <c r="P320" s="1"/>
      <c r="Q320" s="8"/>
      <c r="R320" s="66"/>
      <c r="S320" s="1"/>
      <c r="T320" s="66"/>
      <c r="U320" s="8"/>
      <c r="V320" s="38"/>
      <c r="W320" s="1"/>
      <c r="X320" s="1"/>
      <c r="Y320" s="1"/>
    </row>
    <row r="321" spans="1:25">
      <c r="A321" s="15"/>
      <c r="B321" s="15"/>
      <c r="C321" s="49"/>
      <c r="D321" s="49"/>
      <c r="E321" s="49"/>
      <c r="F321" s="49"/>
      <c r="G321" s="49"/>
      <c r="H321" s="49"/>
      <c r="I321" s="49"/>
      <c r="J321" s="49"/>
      <c r="K321" s="49"/>
      <c r="L321" s="38"/>
      <c r="M321" s="25"/>
      <c r="N321" s="25"/>
      <c r="O321" s="49"/>
      <c r="P321" s="1"/>
      <c r="Q321" s="8"/>
      <c r="R321" s="66"/>
      <c r="S321" s="1"/>
      <c r="T321" s="66"/>
      <c r="U321" s="8"/>
      <c r="V321" s="38"/>
      <c r="W321" s="1"/>
      <c r="X321" s="1"/>
      <c r="Y321" s="1"/>
    </row>
    <row r="322" spans="1:25">
      <c r="A322" s="15"/>
      <c r="B322" s="15"/>
      <c r="C322" s="49"/>
      <c r="D322" s="49"/>
      <c r="E322" s="49"/>
      <c r="F322" s="49"/>
      <c r="G322" s="49"/>
      <c r="H322" s="49"/>
      <c r="I322" s="49"/>
      <c r="J322" s="49"/>
      <c r="K322" s="49"/>
      <c r="L322" s="38"/>
      <c r="M322" s="25"/>
      <c r="N322" s="25"/>
      <c r="O322" s="49"/>
      <c r="P322" s="1"/>
      <c r="Q322" s="8"/>
      <c r="R322" s="66"/>
      <c r="S322" s="1"/>
      <c r="T322" s="66"/>
      <c r="U322" s="8"/>
      <c r="V322" s="38"/>
      <c r="W322" s="1"/>
      <c r="X322" s="1"/>
      <c r="Y322" s="1"/>
    </row>
    <row r="323" spans="1:25">
      <c r="A323" s="15"/>
      <c r="B323" s="15"/>
      <c r="C323" s="49"/>
      <c r="D323" s="49"/>
      <c r="E323" s="49"/>
      <c r="F323" s="49"/>
      <c r="G323" s="49"/>
      <c r="H323" s="49"/>
      <c r="I323" s="49"/>
      <c r="J323" s="49"/>
      <c r="K323" s="49"/>
      <c r="L323" s="38"/>
      <c r="M323" s="25"/>
      <c r="N323" s="25"/>
      <c r="O323" s="49"/>
      <c r="P323" s="1"/>
      <c r="Q323" s="8"/>
      <c r="R323" s="66"/>
      <c r="S323" s="1"/>
      <c r="T323" s="66"/>
      <c r="U323" s="8"/>
      <c r="V323" s="38"/>
      <c r="W323" s="1"/>
      <c r="X323" s="1"/>
      <c r="Y323" s="1"/>
    </row>
    <row r="324" spans="1:25">
      <c r="A324" s="15"/>
      <c r="B324" s="15"/>
      <c r="C324" s="49"/>
      <c r="D324" s="49"/>
      <c r="E324" s="49"/>
      <c r="F324" s="49"/>
      <c r="G324" s="49"/>
      <c r="H324" s="49"/>
      <c r="I324" s="49"/>
      <c r="J324" s="49"/>
      <c r="K324" s="49"/>
      <c r="L324" s="38"/>
      <c r="M324" s="25"/>
      <c r="N324" s="25"/>
      <c r="O324" s="49"/>
      <c r="P324" s="1"/>
      <c r="Q324" s="8"/>
      <c r="R324" s="66"/>
      <c r="S324" s="1"/>
      <c r="T324" s="66"/>
      <c r="U324" s="8"/>
      <c r="V324" s="38"/>
      <c r="W324" s="1"/>
      <c r="X324" s="1"/>
      <c r="Y324" s="1"/>
    </row>
    <row r="325" spans="1:25">
      <c r="A325" s="15"/>
      <c r="B325" s="15"/>
      <c r="C325" s="49"/>
      <c r="D325" s="49"/>
      <c r="E325" s="49"/>
      <c r="F325" s="49"/>
      <c r="G325" s="49"/>
      <c r="H325" s="49"/>
      <c r="I325" s="49"/>
      <c r="J325" s="49"/>
      <c r="K325" s="49"/>
      <c r="L325" s="38"/>
      <c r="M325" s="25"/>
      <c r="N325" s="25"/>
      <c r="O325" s="49"/>
      <c r="P325" s="1"/>
      <c r="Q325" s="8"/>
      <c r="R325" s="66"/>
      <c r="S325" s="1"/>
      <c r="T325" s="66"/>
      <c r="U325" s="8"/>
      <c r="V325" s="38"/>
      <c r="W325" s="1"/>
      <c r="X325" s="1"/>
      <c r="Y325" s="1"/>
    </row>
    <row r="326" spans="1:25">
      <c r="A326" s="15"/>
      <c r="B326" s="15"/>
      <c r="C326" s="49"/>
      <c r="D326" s="49"/>
      <c r="E326" s="49"/>
      <c r="F326" s="49"/>
      <c r="G326" s="49"/>
      <c r="H326" s="49"/>
      <c r="I326" s="49"/>
      <c r="J326" s="49"/>
      <c r="K326" s="49"/>
      <c r="L326" s="38"/>
      <c r="M326" s="25"/>
      <c r="N326" s="25"/>
      <c r="O326" s="49"/>
      <c r="P326" s="1"/>
      <c r="Q326" s="8"/>
      <c r="R326" s="66"/>
      <c r="S326" s="1"/>
      <c r="T326" s="66"/>
      <c r="U326" s="8"/>
      <c r="V326" s="38"/>
      <c r="W326" s="1"/>
      <c r="X326" s="1"/>
      <c r="Y326" s="1"/>
    </row>
    <row r="327" spans="1:25">
      <c r="A327" s="15"/>
      <c r="B327" s="15"/>
      <c r="C327" s="49"/>
      <c r="D327" s="49"/>
      <c r="E327" s="49"/>
      <c r="F327" s="49"/>
      <c r="G327" s="49"/>
      <c r="H327" s="49"/>
      <c r="I327" s="49"/>
      <c r="J327" s="49"/>
      <c r="K327" s="49"/>
      <c r="L327" s="38"/>
      <c r="M327" s="25"/>
      <c r="N327" s="25"/>
      <c r="O327" s="49"/>
      <c r="P327" s="1"/>
      <c r="Q327" s="8"/>
      <c r="R327" s="66"/>
      <c r="S327" s="1"/>
      <c r="T327" s="66"/>
      <c r="U327" s="8"/>
      <c r="V327" s="38"/>
      <c r="W327" s="1"/>
      <c r="X327" s="1"/>
      <c r="Y327" s="1"/>
    </row>
    <row r="328" spans="1:25">
      <c r="A328" s="15"/>
      <c r="B328" s="15"/>
      <c r="C328" s="49"/>
      <c r="D328" s="49"/>
      <c r="E328" s="49"/>
      <c r="F328" s="49"/>
      <c r="G328" s="49"/>
      <c r="H328" s="49"/>
      <c r="I328" s="49"/>
      <c r="J328" s="49"/>
      <c r="K328" s="49"/>
      <c r="L328" s="38"/>
      <c r="M328" s="25"/>
      <c r="N328" s="25"/>
      <c r="O328" s="49"/>
      <c r="P328" s="1"/>
      <c r="Q328" s="8"/>
      <c r="R328" s="66"/>
      <c r="S328" s="1"/>
      <c r="T328" s="66"/>
      <c r="U328" s="8"/>
      <c r="V328" s="38"/>
      <c r="W328" s="1"/>
      <c r="X328" s="1"/>
      <c r="Y328" s="1"/>
    </row>
    <row r="329" spans="1:25">
      <c r="A329" s="15"/>
      <c r="B329" s="15"/>
      <c r="C329" s="49"/>
      <c r="D329" s="49"/>
      <c r="E329" s="49"/>
      <c r="F329" s="49"/>
      <c r="G329" s="49"/>
      <c r="H329" s="49"/>
      <c r="I329" s="49"/>
      <c r="J329" s="49"/>
      <c r="K329" s="49"/>
      <c r="L329" s="38"/>
      <c r="M329" s="25"/>
      <c r="N329" s="25"/>
      <c r="O329" s="49"/>
      <c r="P329" s="1"/>
      <c r="Q329" s="8"/>
      <c r="R329" s="66"/>
      <c r="S329" s="1"/>
      <c r="T329" s="66"/>
      <c r="U329" s="8"/>
      <c r="V329" s="38"/>
      <c r="W329" s="1"/>
      <c r="X329" s="1"/>
      <c r="Y329" s="1"/>
    </row>
    <row r="330" spans="1:25">
      <c r="A330" s="15"/>
      <c r="B330" s="15"/>
      <c r="C330" s="49"/>
      <c r="D330" s="49"/>
      <c r="E330" s="49"/>
      <c r="F330" s="49"/>
      <c r="G330" s="49"/>
      <c r="H330" s="49"/>
      <c r="I330" s="49"/>
      <c r="J330" s="49"/>
      <c r="K330" s="49"/>
      <c r="L330" s="38"/>
      <c r="M330" s="25"/>
      <c r="N330" s="25"/>
      <c r="O330" s="49"/>
      <c r="P330" s="1"/>
      <c r="Q330" s="8"/>
      <c r="R330" s="66"/>
      <c r="S330" s="1"/>
      <c r="T330" s="66"/>
      <c r="U330" s="8"/>
      <c r="V330" s="38"/>
      <c r="W330" s="1"/>
      <c r="X330" s="1"/>
      <c r="Y330" s="1"/>
    </row>
    <row r="331" spans="1:25">
      <c r="A331" s="15"/>
      <c r="B331" s="15"/>
      <c r="C331" s="49"/>
      <c r="D331" s="49"/>
      <c r="E331" s="49"/>
      <c r="F331" s="49"/>
      <c r="G331" s="49"/>
      <c r="H331" s="49"/>
      <c r="I331" s="49"/>
      <c r="J331" s="49"/>
      <c r="K331" s="49"/>
      <c r="L331" s="38"/>
      <c r="M331" s="25"/>
      <c r="N331" s="25"/>
      <c r="O331" s="49"/>
      <c r="P331" s="1"/>
      <c r="Q331" s="8"/>
      <c r="R331" s="66"/>
      <c r="S331" s="1"/>
      <c r="T331" s="66"/>
      <c r="U331" s="8"/>
      <c r="V331" s="38"/>
      <c r="W331" s="1"/>
      <c r="X331" s="1"/>
      <c r="Y331" s="1"/>
    </row>
    <row r="332" spans="1:25">
      <c r="A332" s="15"/>
      <c r="B332" s="15"/>
      <c r="C332" s="49"/>
      <c r="D332" s="49"/>
      <c r="E332" s="49"/>
      <c r="F332" s="49"/>
      <c r="G332" s="49"/>
      <c r="H332" s="49"/>
      <c r="I332" s="49"/>
      <c r="J332" s="49"/>
      <c r="K332" s="49"/>
      <c r="L332" s="38"/>
      <c r="M332" s="25"/>
      <c r="N332" s="25"/>
      <c r="O332" s="49"/>
      <c r="P332" s="1"/>
      <c r="Q332" s="8"/>
      <c r="R332" s="66"/>
      <c r="S332" s="1"/>
      <c r="T332" s="66"/>
      <c r="U332" s="8"/>
      <c r="V332" s="38"/>
      <c r="W332" s="1"/>
      <c r="X332" s="1"/>
      <c r="Y332" s="1"/>
    </row>
    <row r="333" spans="1:25">
      <c r="A333" s="15"/>
      <c r="B333" s="15"/>
      <c r="C333" s="49"/>
      <c r="D333" s="49"/>
      <c r="E333" s="49"/>
      <c r="F333" s="49"/>
      <c r="G333" s="49"/>
      <c r="H333" s="49"/>
      <c r="I333" s="49"/>
      <c r="J333" s="49"/>
      <c r="K333" s="49"/>
      <c r="L333" s="38"/>
      <c r="M333" s="25"/>
      <c r="N333" s="25"/>
      <c r="O333" s="49"/>
      <c r="P333" s="1"/>
      <c r="Q333" s="8"/>
      <c r="R333" s="66"/>
      <c r="S333" s="1"/>
      <c r="T333" s="66"/>
      <c r="U333" s="8"/>
      <c r="V333" s="38"/>
      <c r="W333" s="1"/>
      <c r="X333" s="1"/>
      <c r="Y333" s="1"/>
    </row>
    <row r="334" spans="1:25">
      <c r="A334" s="15"/>
      <c r="B334" s="15"/>
      <c r="C334" s="49"/>
      <c r="D334" s="49"/>
      <c r="E334" s="49"/>
      <c r="F334" s="49"/>
      <c r="G334" s="49"/>
      <c r="H334" s="49"/>
      <c r="I334" s="49"/>
      <c r="J334" s="49"/>
      <c r="K334" s="49"/>
      <c r="L334" s="38"/>
      <c r="M334" s="25"/>
      <c r="N334" s="25"/>
      <c r="O334" s="49"/>
      <c r="P334" s="1"/>
      <c r="Q334" s="8"/>
      <c r="R334" s="66"/>
      <c r="S334" s="1"/>
      <c r="T334" s="66"/>
      <c r="U334" s="8"/>
      <c r="V334" s="38"/>
      <c r="W334" s="1"/>
      <c r="X334" s="1"/>
      <c r="Y334" s="1"/>
    </row>
    <row r="335" spans="1:25">
      <c r="A335" s="15"/>
      <c r="B335" s="15"/>
      <c r="C335" s="49"/>
      <c r="D335" s="49"/>
      <c r="E335" s="49"/>
      <c r="F335" s="49"/>
      <c r="G335" s="49"/>
      <c r="H335" s="49"/>
      <c r="I335" s="49"/>
      <c r="J335" s="49"/>
      <c r="K335" s="49"/>
      <c r="L335" s="38"/>
      <c r="M335" s="25"/>
      <c r="N335" s="25"/>
      <c r="O335" s="49"/>
      <c r="P335" s="1"/>
      <c r="Q335" s="8"/>
      <c r="R335" s="66"/>
      <c r="S335" s="1"/>
      <c r="T335" s="66"/>
      <c r="U335" s="8"/>
      <c r="V335" s="38"/>
      <c r="W335" s="1"/>
      <c r="X335" s="1"/>
      <c r="Y335" s="1"/>
    </row>
    <row r="336" spans="1:25">
      <c r="A336" s="15"/>
      <c r="B336" s="15"/>
      <c r="C336" s="49"/>
      <c r="D336" s="49"/>
      <c r="E336" s="49"/>
      <c r="F336" s="49"/>
      <c r="G336" s="49"/>
      <c r="H336" s="49"/>
      <c r="I336" s="49"/>
      <c r="J336" s="49"/>
      <c r="K336" s="49"/>
      <c r="L336" s="38"/>
      <c r="M336" s="25"/>
      <c r="N336" s="25"/>
      <c r="O336" s="49"/>
      <c r="P336" s="1"/>
      <c r="Q336" s="8"/>
      <c r="R336" s="66"/>
      <c r="S336" s="1"/>
      <c r="T336" s="66"/>
      <c r="U336" s="8"/>
      <c r="V336" s="38"/>
      <c r="W336" s="1"/>
      <c r="X336" s="1"/>
      <c r="Y336" s="1"/>
    </row>
    <row r="337" spans="1:25">
      <c r="A337" s="15"/>
      <c r="B337" s="15"/>
      <c r="C337" s="49"/>
      <c r="D337" s="49"/>
      <c r="E337" s="49"/>
      <c r="F337" s="49"/>
      <c r="G337" s="49"/>
      <c r="H337" s="49"/>
      <c r="I337" s="49"/>
      <c r="J337" s="49"/>
      <c r="K337" s="49"/>
      <c r="L337" s="38"/>
      <c r="M337" s="25"/>
      <c r="N337" s="25"/>
      <c r="O337" s="49"/>
      <c r="P337" s="1"/>
      <c r="Q337" s="8"/>
      <c r="R337" s="66"/>
      <c r="S337" s="1"/>
      <c r="T337" s="66"/>
      <c r="U337" s="8"/>
      <c r="V337" s="38"/>
      <c r="W337" s="1"/>
      <c r="X337" s="1"/>
      <c r="Y337" s="1"/>
    </row>
    <row r="338" spans="1:25">
      <c r="A338" s="15"/>
      <c r="B338" s="15"/>
      <c r="C338" s="49"/>
      <c r="D338" s="49"/>
      <c r="E338" s="49"/>
      <c r="F338" s="49"/>
      <c r="G338" s="49"/>
      <c r="H338" s="49"/>
      <c r="I338" s="49"/>
      <c r="J338" s="49"/>
      <c r="K338" s="49"/>
      <c r="L338" s="38"/>
      <c r="M338" s="25"/>
      <c r="N338" s="25"/>
      <c r="O338" s="49"/>
      <c r="P338" s="1"/>
      <c r="Q338" s="8"/>
      <c r="R338" s="66"/>
      <c r="S338" s="1"/>
      <c r="T338" s="66"/>
      <c r="U338" s="8"/>
      <c r="V338" s="38"/>
      <c r="W338" s="1"/>
      <c r="X338" s="1"/>
      <c r="Y338" s="1"/>
    </row>
    <row r="339" spans="1:25">
      <c r="A339" s="15"/>
      <c r="B339" s="15"/>
      <c r="C339" s="49"/>
      <c r="D339" s="49"/>
      <c r="E339" s="49"/>
      <c r="F339" s="49"/>
      <c r="G339" s="49"/>
      <c r="H339" s="49"/>
      <c r="I339" s="49"/>
      <c r="J339" s="49"/>
      <c r="K339" s="49"/>
      <c r="L339" s="38"/>
      <c r="M339" s="25"/>
      <c r="N339" s="25"/>
      <c r="O339" s="49"/>
      <c r="P339" s="1"/>
      <c r="Q339" s="8"/>
      <c r="R339" s="66"/>
      <c r="S339" s="1"/>
      <c r="T339" s="66"/>
      <c r="U339" s="8"/>
      <c r="V339" s="38"/>
      <c r="W339" s="1"/>
      <c r="X339" s="1"/>
      <c r="Y339" s="1"/>
    </row>
    <row r="340" spans="1:25">
      <c r="A340" s="15"/>
      <c r="B340" s="15"/>
      <c r="C340" s="49"/>
      <c r="D340" s="49"/>
      <c r="E340" s="49"/>
      <c r="F340" s="49"/>
      <c r="G340" s="49"/>
      <c r="H340" s="49"/>
      <c r="I340" s="49"/>
      <c r="J340" s="49"/>
      <c r="K340" s="49"/>
      <c r="L340" s="38"/>
      <c r="M340" s="25"/>
      <c r="N340" s="25"/>
      <c r="O340" s="49"/>
      <c r="P340" s="1"/>
      <c r="Q340" s="8"/>
      <c r="R340" s="66"/>
      <c r="S340" s="1"/>
      <c r="T340" s="66"/>
      <c r="U340" s="8"/>
      <c r="V340" s="38"/>
      <c r="W340" s="1"/>
      <c r="X340" s="1"/>
      <c r="Y340" s="1"/>
    </row>
    <row r="341" spans="1:25">
      <c r="A341" s="15"/>
      <c r="B341" s="15"/>
      <c r="C341" s="49"/>
      <c r="D341" s="49"/>
      <c r="E341" s="49"/>
      <c r="F341" s="49"/>
      <c r="G341" s="49"/>
      <c r="H341" s="49"/>
      <c r="I341" s="49"/>
      <c r="J341" s="49"/>
      <c r="K341" s="49"/>
      <c r="L341" s="38"/>
      <c r="M341" s="25"/>
      <c r="N341" s="25"/>
      <c r="O341" s="49"/>
      <c r="P341" s="1"/>
      <c r="Q341" s="8"/>
      <c r="R341" s="66"/>
      <c r="S341" s="1"/>
      <c r="T341" s="66"/>
      <c r="U341" s="8"/>
      <c r="V341" s="38"/>
      <c r="W341" s="1"/>
      <c r="X341" s="1"/>
      <c r="Y341" s="1"/>
    </row>
    <row r="342" spans="1:25">
      <c r="A342" s="15"/>
      <c r="B342" s="15"/>
      <c r="C342" s="49"/>
      <c r="D342" s="49"/>
      <c r="E342" s="49"/>
      <c r="F342" s="49"/>
      <c r="G342" s="49"/>
      <c r="H342" s="49"/>
      <c r="I342" s="49"/>
      <c r="J342" s="49"/>
      <c r="K342" s="49"/>
      <c r="L342" s="38"/>
      <c r="M342" s="25"/>
      <c r="N342" s="25"/>
      <c r="O342" s="49"/>
      <c r="P342" s="1"/>
      <c r="Q342" s="8"/>
      <c r="R342" s="66"/>
      <c r="S342" s="1"/>
      <c r="T342" s="66"/>
      <c r="U342" s="8"/>
      <c r="V342" s="38"/>
      <c r="W342" s="1"/>
      <c r="X342" s="1"/>
      <c r="Y342" s="1"/>
    </row>
    <row r="343" spans="1:25">
      <c r="A343" s="15"/>
      <c r="B343" s="15"/>
      <c r="C343" s="49"/>
      <c r="D343" s="49"/>
      <c r="E343" s="49"/>
      <c r="F343" s="49"/>
      <c r="G343" s="49"/>
      <c r="H343" s="49"/>
      <c r="I343" s="49"/>
      <c r="J343" s="49"/>
      <c r="K343" s="49"/>
      <c r="L343" s="38"/>
      <c r="M343" s="25"/>
      <c r="N343" s="25"/>
      <c r="O343" s="49"/>
      <c r="P343" s="1"/>
      <c r="Q343" s="8"/>
      <c r="R343" s="66"/>
      <c r="S343" s="1"/>
      <c r="T343" s="66"/>
      <c r="U343" s="8"/>
      <c r="V343" s="38"/>
      <c r="W343" s="1"/>
      <c r="X343" s="1"/>
      <c r="Y343" s="1"/>
    </row>
    <row r="344" spans="1:25">
      <c r="A344" s="15"/>
      <c r="B344" s="15"/>
      <c r="C344" s="49"/>
      <c r="D344" s="49"/>
      <c r="E344" s="49"/>
      <c r="F344" s="49"/>
      <c r="G344" s="49"/>
      <c r="H344" s="49"/>
      <c r="I344" s="49"/>
      <c r="J344" s="49"/>
      <c r="K344" s="49"/>
      <c r="L344" s="38"/>
      <c r="M344" s="25"/>
      <c r="N344" s="25"/>
      <c r="O344" s="49"/>
      <c r="P344" s="1"/>
      <c r="Q344" s="8"/>
      <c r="R344" s="66"/>
      <c r="S344" s="1"/>
      <c r="T344" s="66"/>
      <c r="U344" s="8"/>
      <c r="V344" s="38"/>
      <c r="W344" s="1"/>
      <c r="X344" s="1"/>
      <c r="Y344" s="1"/>
    </row>
    <row r="345" spans="1:25">
      <c r="A345" s="15"/>
      <c r="B345" s="15"/>
      <c r="C345" s="49"/>
      <c r="D345" s="49"/>
      <c r="E345" s="49"/>
      <c r="F345" s="49"/>
      <c r="G345" s="49"/>
      <c r="H345" s="49"/>
      <c r="I345" s="49"/>
      <c r="J345" s="49"/>
      <c r="K345" s="49"/>
      <c r="L345" s="38"/>
      <c r="M345" s="25"/>
      <c r="N345" s="25"/>
      <c r="O345" s="49"/>
      <c r="P345" s="1"/>
      <c r="Q345" s="8"/>
      <c r="R345" s="66"/>
      <c r="S345" s="1"/>
      <c r="T345" s="66"/>
      <c r="U345" s="8"/>
      <c r="V345" s="38"/>
      <c r="W345" s="1"/>
      <c r="X345" s="1"/>
      <c r="Y345" s="1"/>
    </row>
    <row r="346" spans="1:25">
      <c r="A346" s="15"/>
      <c r="B346" s="15"/>
      <c r="C346" s="49"/>
      <c r="D346" s="49"/>
      <c r="E346" s="49"/>
      <c r="F346" s="49"/>
      <c r="G346" s="49"/>
      <c r="H346" s="49"/>
      <c r="I346" s="49"/>
      <c r="J346" s="49"/>
      <c r="K346" s="49"/>
      <c r="L346" s="38"/>
      <c r="M346" s="25"/>
      <c r="N346" s="25"/>
      <c r="O346" s="49"/>
      <c r="P346" s="1"/>
      <c r="Q346" s="8"/>
      <c r="R346" s="66"/>
      <c r="S346" s="1"/>
      <c r="T346" s="66"/>
      <c r="U346" s="8"/>
      <c r="V346" s="38"/>
      <c r="W346" s="1"/>
      <c r="X346" s="1"/>
      <c r="Y346" s="1"/>
    </row>
    <row r="347" spans="1:25">
      <c r="A347" s="15"/>
      <c r="B347" s="15"/>
      <c r="C347" s="49"/>
      <c r="D347" s="49"/>
      <c r="E347" s="49"/>
      <c r="F347" s="49"/>
      <c r="G347" s="49"/>
      <c r="H347" s="49"/>
      <c r="I347" s="49"/>
      <c r="J347" s="49"/>
      <c r="K347" s="49"/>
      <c r="L347" s="38"/>
      <c r="M347" s="25"/>
      <c r="N347" s="25"/>
      <c r="O347" s="49"/>
      <c r="P347" s="1"/>
      <c r="Q347" s="8"/>
      <c r="R347" s="66"/>
      <c r="S347" s="1"/>
      <c r="T347" s="66"/>
      <c r="U347" s="8"/>
      <c r="V347" s="38"/>
      <c r="W347" s="1"/>
      <c r="X347" s="1"/>
      <c r="Y347" s="1"/>
    </row>
    <row r="348" spans="1:25">
      <c r="A348" s="15"/>
      <c r="B348" s="15"/>
      <c r="C348" s="49"/>
      <c r="D348" s="49"/>
      <c r="E348" s="49"/>
      <c r="F348" s="49"/>
      <c r="G348" s="49"/>
      <c r="H348" s="49"/>
      <c r="I348" s="49"/>
      <c r="J348" s="49"/>
      <c r="K348" s="49"/>
      <c r="L348" s="38"/>
      <c r="M348" s="25"/>
      <c r="N348" s="25"/>
      <c r="O348" s="49"/>
      <c r="P348" s="1"/>
      <c r="Q348" s="8"/>
      <c r="R348" s="66"/>
      <c r="S348" s="1"/>
      <c r="T348" s="66"/>
      <c r="U348" s="8"/>
      <c r="V348" s="38"/>
      <c r="W348" s="1"/>
      <c r="X348" s="1"/>
      <c r="Y348" s="1"/>
    </row>
    <row r="349" spans="1:25">
      <c r="A349" s="15"/>
      <c r="B349" s="15"/>
      <c r="C349" s="49"/>
      <c r="D349" s="49"/>
      <c r="E349" s="49"/>
      <c r="F349" s="49"/>
      <c r="G349" s="49"/>
      <c r="H349" s="49"/>
      <c r="I349" s="49"/>
      <c r="J349" s="49"/>
      <c r="K349" s="49"/>
      <c r="L349" s="38"/>
      <c r="M349" s="25"/>
      <c r="N349" s="25"/>
      <c r="O349" s="49"/>
      <c r="P349" s="1"/>
      <c r="Q349" s="8"/>
      <c r="R349" s="66"/>
      <c r="S349" s="1"/>
      <c r="T349" s="66"/>
      <c r="U349" s="8"/>
      <c r="V349" s="38"/>
      <c r="W349" s="1"/>
      <c r="X349" s="1"/>
      <c r="Y349" s="1"/>
    </row>
    <row r="350" spans="1:25">
      <c r="A350" s="15"/>
      <c r="B350" s="15"/>
      <c r="C350" s="49"/>
      <c r="D350" s="49"/>
      <c r="E350" s="49"/>
      <c r="F350" s="49"/>
      <c r="G350" s="49"/>
      <c r="H350" s="49"/>
      <c r="I350" s="49"/>
      <c r="J350" s="49"/>
      <c r="K350" s="49"/>
      <c r="L350" s="38"/>
      <c r="M350" s="25"/>
      <c r="N350" s="25"/>
      <c r="O350" s="49"/>
      <c r="P350" s="1"/>
      <c r="Q350" s="8"/>
      <c r="R350" s="66"/>
      <c r="S350" s="1"/>
      <c r="T350" s="66"/>
      <c r="U350" s="8"/>
      <c r="V350" s="38"/>
      <c r="W350" s="1"/>
      <c r="X350" s="1"/>
      <c r="Y350" s="1"/>
    </row>
    <row r="351" spans="1:25">
      <c r="A351" s="15"/>
      <c r="B351" s="15"/>
      <c r="C351" s="49"/>
      <c r="D351" s="49"/>
      <c r="E351" s="49"/>
      <c r="F351" s="49"/>
      <c r="G351" s="49"/>
      <c r="H351" s="49"/>
      <c r="I351" s="49"/>
      <c r="J351" s="49"/>
      <c r="K351" s="49"/>
      <c r="L351" s="38"/>
      <c r="M351" s="25"/>
      <c r="N351" s="25"/>
      <c r="O351" s="49"/>
      <c r="P351" s="1"/>
      <c r="Q351" s="8"/>
      <c r="R351" s="66"/>
      <c r="S351" s="1"/>
      <c r="T351" s="66"/>
      <c r="U351" s="8"/>
      <c r="V351" s="38"/>
      <c r="W351" s="1"/>
      <c r="X351" s="1"/>
      <c r="Y351" s="1"/>
    </row>
    <row r="352" spans="1:25">
      <c r="A352" s="15"/>
      <c r="B352" s="15"/>
      <c r="C352" s="49"/>
      <c r="D352" s="49"/>
      <c r="E352" s="49"/>
      <c r="F352" s="49"/>
      <c r="G352" s="49"/>
      <c r="H352" s="49"/>
      <c r="I352" s="49"/>
      <c r="J352" s="49"/>
      <c r="K352" s="49"/>
      <c r="L352" s="38"/>
      <c r="M352" s="25"/>
      <c r="N352" s="25"/>
      <c r="O352" s="49"/>
      <c r="P352" s="1"/>
      <c r="Q352" s="8"/>
      <c r="R352" s="66"/>
      <c r="S352" s="1"/>
      <c r="T352" s="66"/>
      <c r="U352" s="8"/>
      <c r="V352" s="38"/>
      <c r="W352" s="1"/>
      <c r="X352" s="1"/>
      <c r="Y352" s="1"/>
    </row>
    <row r="353" spans="1:25">
      <c r="A353" s="15"/>
      <c r="B353" s="15"/>
      <c r="C353" s="49"/>
      <c r="D353" s="49"/>
      <c r="E353" s="49"/>
      <c r="F353" s="49"/>
      <c r="G353" s="49"/>
      <c r="H353" s="49"/>
      <c r="I353" s="49"/>
      <c r="J353" s="49"/>
      <c r="K353" s="49"/>
      <c r="L353" s="38"/>
      <c r="M353" s="25"/>
      <c r="N353" s="25"/>
      <c r="O353" s="49"/>
      <c r="P353" s="1"/>
      <c r="Q353" s="8"/>
      <c r="R353" s="66"/>
      <c r="S353" s="1"/>
      <c r="T353" s="66"/>
      <c r="U353" s="8"/>
      <c r="V353" s="38"/>
      <c r="W353" s="1"/>
      <c r="X353" s="1"/>
      <c r="Y353" s="1"/>
    </row>
    <row r="354" spans="1:25">
      <c r="A354" s="15"/>
      <c r="B354" s="15"/>
      <c r="C354" s="49"/>
      <c r="D354" s="49"/>
      <c r="E354" s="49"/>
      <c r="F354" s="49"/>
      <c r="G354" s="49"/>
      <c r="H354" s="49"/>
      <c r="I354" s="49"/>
      <c r="J354" s="49"/>
      <c r="K354" s="49"/>
      <c r="L354" s="38"/>
      <c r="M354" s="25"/>
      <c r="N354" s="25"/>
      <c r="O354" s="49"/>
      <c r="P354" s="1"/>
      <c r="Q354" s="8"/>
      <c r="R354" s="66"/>
      <c r="S354" s="1"/>
      <c r="T354" s="66"/>
      <c r="U354" s="8"/>
      <c r="V354" s="38"/>
      <c r="W354" s="1"/>
      <c r="X354" s="1"/>
      <c r="Y354" s="1"/>
    </row>
    <row r="355" spans="1:25">
      <c r="A355" s="15"/>
      <c r="B355" s="15"/>
      <c r="C355" s="49"/>
      <c r="D355" s="49"/>
      <c r="E355" s="49"/>
      <c r="F355" s="49"/>
      <c r="G355" s="49"/>
      <c r="H355" s="49"/>
      <c r="I355" s="49"/>
      <c r="J355" s="49"/>
      <c r="K355" s="49"/>
      <c r="L355" s="38"/>
      <c r="M355" s="25"/>
      <c r="N355" s="25"/>
      <c r="O355" s="49"/>
      <c r="P355" s="1"/>
      <c r="Q355" s="8"/>
      <c r="R355" s="66"/>
      <c r="S355" s="1"/>
      <c r="T355" s="66"/>
      <c r="U355" s="8"/>
      <c r="V355" s="38"/>
      <c r="W355" s="1"/>
      <c r="X355" s="1"/>
      <c r="Y355" s="1"/>
    </row>
    <row r="356" spans="1:25">
      <c r="A356" s="15"/>
      <c r="B356" s="15"/>
      <c r="C356" s="49"/>
      <c r="D356" s="49"/>
      <c r="E356" s="49"/>
      <c r="F356" s="49"/>
      <c r="G356" s="49"/>
      <c r="H356" s="49"/>
      <c r="I356" s="49"/>
      <c r="J356" s="49"/>
      <c r="K356" s="49"/>
      <c r="L356" s="38"/>
      <c r="M356" s="25"/>
      <c r="N356" s="25"/>
      <c r="O356" s="49"/>
      <c r="P356" s="1"/>
      <c r="Q356" s="8"/>
      <c r="R356" s="66"/>
      <c r="S356" s="1"/>
      <c r="T356" s="66"/>
      <c r="U356" s="8"/>
      <c r="V356" s="38"/>
      <c r="W356" s="1"/>
      <c r="X356" s="1"/>
      <c r="Y356" s="1"/>
    </row>
    <row r="357" spans="1:25">
      <c r="A357" s="15"/>
      <c r="B357" s="15"/>
      <c r="C357" s="49"/>
      <c r="D357" s="49"/>
      <c r="E357" s="49"/>
      <c r="F357" s="49"/>
      <c r="G357" s="49"/>
      <c r="H357" s="49"/>
      <c r="I357" s="49"/>
      <c r="J357" s="49"/>
      <c r="K357" s="49"/>
      <c r="L357" s="38"/>
      <c r="M357" s="25"/>
      <c r="N357" s="25"/>
      <c r="O357" s="49"/>
      <c r="P357" s="1"/>
      <c r="Q357" s="8"/>
      <c r="R357" s="66"/>
      <c r="S357" s="1"/>
      <c r="T357" s="66"/>
      <c r="U357" s="8"/>
      <c r="V357" s="38"/>
      <c r="W357" s="1"/>
      <c r="X357" s="1"/>
      <c r="Y357" s="1"/>
    </row>
    <row r="358" spans="1:25">
      <c r="A358" s="15"/>
      <c r="B358" s="15"/>
      <c r="C358" s="49"/>
      <c r="D358" s="49"/>
      <c r="E358" s="49"/>
      <c r="F358" s="49"/>
      <c r="G358" s="49"/>
      <c r="H358" s="49"/>
      <c r="I358" s="49"/>
      <c r="J358" s="49"/>
      <c r="K358" s="49"/>
      <c r="L358" s="38"/>
      <c r="M358" s="25"/>
      <c r="N358" s="25"/>
      <c r="O358" s="49"/>
      <c r="P358" s="1"/>
      <c r="Q358" s="8"/>
      <c r="R358" s="66"/>
      <c r="S358" s="1"/>
      <c r="T358" s="66"/>
      <c r="U358" s="8"/>
      <c r="V358" s="38"/>
      <c r="W358" s="1"/>
      <c r="X358" s="1"/>
      <c r="Y358" s="1"/>
    </row>
    <row r="359" spans="1:25">
      <c r="A359" s="15"/>
      <c r="B359" s="15"/>
      <c r="C359" s="49"/>
      <c r="D359" s="49"/>
      <c r="E359" s="49"/>
      <c r="F359" s="49"/>
      <c r="G359" s="49"/>
      <c r="H359" s="49"/>
      <c r="I359" s="49"/>
      <c r="J359" s="49"/>
      <c r="K359" s="49"/>
      <c r="L359" s="38"/>
      <c r="M359" s="25"/>
      <c r="N359" s="25"/>
      <c r="O359" s="49"/>
      <c r="P359" s="1"/>
      <c r="Q359" s="8"/>
      <c r="R359" s="66"/>
      <c r="S359" s="1"/>
      <c r="T359" s="66"/>
      <c r="U359" s="8"/>
      <c r="V359" s="38"/>
      <c r="W359" s="1"/>
      <c r="X359" s="1"/>
      <c r="Y359" s="1"/>
    </row>
    <row r="360" spans="1:25">
      <c r="A360" s="15"/>
      <c r="B360" s="15"/>
      <c r="C360" s="49"/>
      <c r="D360" s="49"/>
      <c r="E360" s="49"/>
      <c r="F360" s="49"/>
      <c r="G360" s="49"/>
      <c r="H360" s="49"/>
      <c r="I360" s="49"/>
      <c r="J360" s="49"/>
      <c r="K360" s="49"/>
      <c r="L360" s="38"/>
      <c r="M360" s="25"/>
      <c r="N360" s="25"/>
      <c r="O360" s="49"/>
      <c r="P360" s="1"/>
      <c r="Q360" s="8"/>
      <c r="R360" s="66"/>
      <c r="S360" s="1"/>
      <c r="T360" s="66"/>
      <c r="U360" s="8"/>
      <c r="V360" s="38"/>
      <c r="W360" s="1"/>
      <c r="X360" s="1"/>
      <c r="Y360" s="1"/>
    </row>
    <row r="361" spans="1:25">
      <c r="A361" s="15"/>
      <c r="B361" s="15"/>
      <c r="C361" s="49"/>
      <c r="D361" s="49"/>
      <c r="E361" s="49"/>
      <c r="F361" s="49"/>
      <c r="G361" s="49"/>
      <c r="H361" s="49"/>
      <c r="I361" s="49"/>
      <c r="J361" s="49"/>
      <c r="K361" s="49"/>
      <c r="L361" s="38"/>
      <c r="M361" s="25"/>
      <c r="N361" s="25"/>
      <c r="O361" s="49"/>
      <c r="P361" s="1"/>
      <c r="Q361" s="8"/>
      <c r="R361" s="66"/>
      <c r="S361" s="1"/>
      <c r="T361" s="66"/>
      <c r="U361" s="8"/>
      <c r="V361" s="38"/>
      <c r="W361" s="1"/>
      <c r="X361" s="1"/>
      <c r="Y361" s="1"/>
    </row>
    <row r="362" spans="1:25">
      <c r="A362" s="15"/>
      <c r="B362" s="15"/>
      <c r="C362" s="49"/>
      <c r="D362" s="49"/>
      <c r="E362" s="49"/>
      <c r="F362" s="49"/>
      <c r="G362" s="49"/>
      <c r="H362" s="49"/>
      <c r="I362" s="49"/>
      <c r="J362" s="49"/>
      <c r="K362" s="49"/>
      <c r="L362" s="38"/>
      <c r="M362" s="25"/>
      <c r="N362" s="25"/>
      <c r="O362" s="49"/>
      <c r="P362" s="1"/>
      <c r="Q362" s="8"/>
      <c r="R362" s="66"/>
      <c r="S362" s="1"/>
      <c r="T362" s="66"/>
      <c r="U362" s="8"/>
      <c r="V362" s="38"/>
      <c r="W362" s="1"/>
      <c r="X362" s="1"/>
      <c r="Y362" s="1"/>
    </row>
    <row r="363" spans="1:25">
      <c r="A363" s="15"/>
      <c r="B363" s="15"/>
      <c r="C363" s="49"/>
      <c r="D363" s="49"/>
      <c r="E363" s="49"/>
      <c r="F363" s="49"/>
      <c r="G363" s="49"/>
      <c r="H363" s="49"/>
      <c r="I363" s="49"/>
      <c r="J363" s="49"/>
      <c r="K363" s="49"/>
      <c r="L363" s="38"/>
      <c r="M363" s="25"/>
      <c r="N363" s="25"/>
      <c r="O363" s="49"/>
      <c r="P363" s="1"/>
      <c r="Q363" s="8"/>
      <c r="R363" s="66"/>
      <c r="S363" s="1"/>
      <c r="T363" s="66"/>
      <c r="U363" s="8"/>
      <c r="V363" s="38"/>
      <c r="W363" s="1"/>
      <c r="X363" s="1"/>
      <c r="Y363" s="1"/>
    </row>
    <row r="364" spans="1:25">
      <c r="A364" s="15"/>
      <c r="B364" s="15"/>
      <c r="C364" s="49"/>
      <c r="D364" s="49"/>
      <c r="E364" s="49"/>
      <c r="F364" s="49"/>
      <c r="G364" s="49"/>
      <c r="H364" s="49"/>
      <c r="I364" s="49"/>
      <c r="J364" s="49"/>
      <c r="K364" s="49"/>
      <c r="L364" s="38"/>
      <c r="M364" s="25"/>
      <c r="N364" s="25"/>
      <c r="O364" s="49"/>
      <c r="P364" s="1"/>
      <c r="Q364" s="8"/>
      <c r="R364" s="66"/>
      <c r="S364" s="1"/>
      <c r="T364" s="66"/>
      <c r="U364" s="8"/>
      <c r="V364" s="38"/>
      <c r="W364" s="1"/>
      <c r="X364" s="1"/>
      <c r="Y364" s="1"/>
    </row>
    <row r="365" spans="1:25">
      <c r="A365" s="15"/>
      <c r="B365" s="15"/>
      <c r="C365" s="49"/>
      <c r="D365" s="49"/>
      <c r="E365" s="49"/>
      <c r="F365" s="49"/>
      <c r="G365" s="49"/>
      <c r="H365" s="49"/>
      <c r="I365" s="49"/>
      <c r="J365" s="49"/>
      <c r="K365" s="49"/>
      <c r="L365" s="38"/>
      <c r="M365" s="25"/>
      <c r="N365" s="25"/>
      <c r="O365" s="49"/>
      <c r="P365" s="1"/>
      <c r="Q365" s="8"/>
      <c r="R365" s="66"/>
      <c r="S365" s="1"/>
      <c r="T365" s="66"/>
      <c r="U365" s="8"/>
      <c r="V365" s="38"/>
      <c r="W365" s="1"/>
      <c r="X365" s="1"/>
      <c r="Y365" s="1"/>
    </row>
    <row r="366" spans="1:25">
      <c r="A366" s="15"/>
      <c r="B366" s="15"/>
      <c r="C366" s="49"/>
      <c r="D366" s="49"/>
      <c r="E366" s="49"/>
      <c r="F366" s="49"/>
      <c r="G366" s="49"/>
      <c r="H366" s="49"/>
      <c r="I366" s="49"/>
      <c r="J366" s="49"/>
      <c r="K366" s="49"/>
      <c r="L366" s="38"/>
      <c r="M366" s="25"/>
      <c r="N366" s="25"/>
      <c r="O366" s="49"/>
      <c r="P366" s="1"/>
      <c r="Q366" s="8"/>
      <c r="R366" s="66"/>
      <c r="S366" s="1"/>
      <c r="T366" s="66"/>
      <c r="U366" s="8"/>
      <c r="V366" s="38"/>
      <c r="W366" s="1"/>
      <c r="X366" s="1"/>
      <c r="Y366" s="1"/>
    </row>
    <row r="367" spans="1:25">
      <c r="A367" s="15"/>
      <c r="B367" s="15"/>
      <c r="C367" s="49"/>
      <c r="D367" s="49"/>
      <c r="E367" s="49"/>
      <c r="F367" s="49"/>
      <c r="G367" s="49"/>
      <c r="H367" s="49"/>
      <c r="I367" s="49"/>
      <c r="J367" s="49"/>
      <c r="K367" s="49"/>
      <c r="L367" s="38"/>
      <c r="M367" s="25"/>
      <c r="N367" s="25"/>
      <c r="O367" s="49"/>
      <c r="P367" s="1"/>
      <c r="Q367" s="8"/>
      <c r="R367" s="66"/>
      <c r="S367" s="1"/>
      <c r="T367" s="66"/>
      <c r="U367" s="8"/>
      <c r="V367" s="38"/>
      <c r="W367" s="1"/>
      <c r="X367" s="1"/>
      <c r="Y367" s="1"/>
    </row>
    <row r="368" spans="1:25">
      <c r="A368" s="15"/>
      <c r="B368" s="15"/>
      <c r="C368" s="49"/>
      <c r="D368" s="49"/>
      <c r="E368" s="49"/>
      <c r="F368" s="49"/>
      <c r="G368" s="49"/>
      <c r="H368" s="49"/>
      <c r="I368" s="49"/>
      <c r="J368" s="49"/>
      <c r="K368" s="49"/>
      <c r="L368" s="38"/>
      <c r="M368" s="25"/>
      <c r="N368" s="25"/>
      <c r="O368" s="49"/>
      <c r="P368" s="1"/>
      <c r="Q368" s="8"/>
      <c r="R368" s="66"/>
      <c r="S368" s="1"/>
      <c r="T368" s="66"/>
      <c r="U368" s="8"/>
      <c r="V368" s="38"/>
      <c r="W368" s="1"/>
      <c r="X368" s="1"/>
      <c r="Y368" s="1"/>
    </row>
    <row r="369" spans="1:25">
      <c r="A369" s="15"/>
      <c r="B369" s="15"/>
      <c r="C369" s="49"/>
      <c r="D369" s="49"/>
      <c r="E369" s="49"/>
      <c r="F369" s="49"/>
      <c r="G369" s="49"/>
      <c r="H369" s="49"/>
      <c r="I369" s="49"/>
      <c r="J369" s="49"/>
      <c r="K369" s="49"/>
      <c r="L369" s="38"/>
      <c r="M369" s="25"/>
      <c r="N369" s="25"/>
      <c r="O369" s="49"/>
      <c r="P369" s="1"/>
      <c r="Q369" s="8"/>
      <c r="R369" s="66"/>
      <c r="S369" s="1"/>
      <c r="T369" s="66"/>
      <c r="U369" s="8"/>
      <c r="V369" s="38"/>
      <c r="W369" s="1"/>
      <c r="X369" s="1"/>
      <c r="Y369" s="1"/>
    </row>
    <row r="370" spans="1:25">
      <c r="A370" s="15"/>
      <c r="B370" s="15"/>
      <c r="C370" s="49"/>
      <c r="D370" s="49"/>
      <c r="E370" s="49"/>
      <c r="F370" s="49"/>
      <c r="G370" s="49"/>
      <c r="H370" s="49"/>
      <c r="I370" s="49"/>
      <c r="J370" s="49"/>
      <c r="K370" s="49"/>
      <c r="L370" s="38"/>
      <c r="M370" s="25"/>
      <c r="N370" s="25"/>
      <c r="O370" s="49"/>
      <c r="P370" s="1"/>
      <c r="Q370" s="8"/>
      <c r="R370" s="66"/>
      <c r="S370" s="1"/>
      <c r="T370" s="66"/>
      <c r="U370" s="8"/>
      <c r="V370" s="38"/>
      <c r="W370" s="1"/>
      <c r="X370" s="1"/>
      <c r="Y370" s="1"/>
    </row>
    <row r="371" spans="1:25">
      <c r="A371" s="15"/>
      <c r="B371" s="15"/>
      <c r="C371" s="49"/>
      <c r="D371" s="49"/>
      <c r="E371" s="49"/>
      <c r="F371" s="49"/>
      <c r="G371" s="49"/>
      <c r="H371" s="49"/>
      <c r="I371" s="49"/>
      <c r="J371" s="49"/>
      <c r="K371" s="49"/>
      <c r="L371" s="38"/>
      <c r="M371" s="25"/>
      <c r="N371" s="25"/>
      <c r="O371" s="49"/>
      <c r="P371" s="1"/>
      <c r="Q371" s="8"/>
      <c r="R371" s="66"/>
      <c r="S371" s="1"/>
      <c r="T371" s="66"/>
      <c r="U371" s="8"/>
      <c r="V371" s="38"/>
      <c r="W371" s="1"/>
      <c r="X371" s="1"/>
      <c r="Y371" s="1"/>
    </row>
    <row r="372" spans="1:25">
      <c r="A372" s="15"/>
      <c r="B372" s="15"/>
      <c r="C372" s="49"/>
      <c r="D372" s="49"/>
      <c r="E372" s="49"/>
      <c r="F372" s="49"/>
      <c r="G372" s="49"/>
      <c r="H372" s="49"/>
      <c r="I372" s="49"/>
      <c r="J372" s="49"/>
      <c r="K372" s="49"/>
      <c r="L372" s="38"/>
      <c r="M372" s="25"/>
      <c r="N372" s="25"/>
      <c r="O372" s="49"/>
      <c r="P372" s="1"/>
      <c r="Q372" s="8"/>
      <c r="R372" s="66"/>
      <c r="S372" s="1"/>
      <c r="T372" s="66"/>
      <c r="U372" s="8"/>
      <c r="V372" s="38"/>
      <c r="W372" s="1"/>
      <c r="X372" s="1"/>
      <c r="Y372" s="1"/>
    </row>
    <row r="373" spans="1:25">
      <c r="A373" s="15"/>
      <c r="B373" s="15"/>
      <c r="C373" s="49"/>
      <c r="D373" s="49"/>
      <c r="E373" s="49"/>
      <c r="F373" s="49"/>
      <c r="G373" s="49"/>
      <c r="H373" s="49"/>
      <c r="I373" s="49"/>
      <c r="J373" s="49"/>
      <c r="K373" s="49"/>
      <c r="L373" s="38"/>
      <c r="M373" s="25"/>
      <c r="N373" s="25"/>
      <c r="O373" s="49"/>
      <c r="P373" s="1"/>
      <c r="Q373" s="8"/>
      <c r="R373" s="66"/>
      <c r="S373" s="1"/>
      <c r="T373" s="66"/>
      <c r="U373" s="8"/>
      <c r="V373" s="38"/>
      <c r="W373" s="1"/>
      <c r="X373" s="1"/>
      <c r="Y373" s="1"/>
    </row>
    <row r="374" spans="1:25">
      <c r="A374" s="15"/>
      <c r="B374" s="15"/>
      <c r="C374" s="49"/>
      <c r="D374" s="49"/>
      <c r="E374" s="49"/>
      <c r="F374" s="49"/>
      <c r="G374" s="49"/>
      <c r="H374" s="49"/>
      <c r="I374" s="49"/>
      <c r="J374" s="49"/>
      <c r="K374" s="49"/>
      <c r="L374" s="38"/>
      <c r="M374" s="26"/>
      <c r="N374" s="26"/>
      <c r="O374" s="49"/>
      <c r="P374" s="1"/>
      <c r="Q374" s="8"/>
      <c r="R374" s="66"/>
      <c r="S374" s="1"/>
      <c r="T374" s="66"/>
      <c r="U374" s="8"/>
      <c r="V374" s="38"/>
      <c r="W374" s="1"/>
      <c r="X374" s="1"/>
      <c r="Y374" s="1"/>
    </row>
    <row r="375" spans="1:25">
      <c r="A375" s="15"/>
      <c r="B375" s="67"/>
      <c r="C375" s="68"/>
      <c r="D375" s="68"/>
      <c r="E375" s="68"/>
      <c r="F375" s="68"/>
      <c r="G375" s="68"/>
      <c r="H375" s="68"/>
      <c r="I375" s="68"/>
      <c r="J375" s="68"/>
      <c r="K375" s="68"/>
      <c r="L375" s="56"/>
      <c r="M375" s="26"/>
      <c r="N375" s="26"/>
      <c r="O375" s="68"/>
      <c r="P375" s="1"/>
      <c r="Q375" s="8"/>
      <c r="R375" s="66"/>
      <c r="S375" s="1"/>
      <c r="T375" s="66"/>
      <c r="U375" s="8"/>
      <c r="V375" s="56"/>
      <c r="W375" s="1"/>
      <c r="X375" s="1"/>
      <c r="Y375" s="1"/>
    </row>
    <row r="376" spans="1:25">
      <c r="A376" s="15"/>
      <c r="B376" s="67"/>
      <c r="C376" s="68"/>
      <c r="D376" s="68"/>
      <c r="E376" s="68"/>
      <c r="F376" s="68"/>
      <c r="G376" s="68"/>
      <c r="H376" s="68"/>
      <c r="I376" s="68"/>
      <c r="J376" s="68"/>
      <c r="K376" s="68"/>
      <c r="L376" s="56"/>
      <c r="M376" s="26"/>
      <c r="N376" s="26"/>
      <c r="O376" s="68"/>
      <c r="P376" s="1"/>
      <c r="Q376" s="8"/>
      <c r="R376" s="66"/>
      <c r="S376" s="1"/>
      <c r="T376" s="66"/>
      <c r="U376" s="8"/>
      <c r="V376" s="56"/>
      <c r="W376" s="1"/>
      <c r="X376" s="1"/>
      <c r="Y376" s="1"/>
    </row>
    <row r="377" spans="1:25">
      <c r="A377" s="15"/>
      <c r="B377" s="67"/>
      <c r="C377" s="68"/>
      <c r="D377" s="68"/>
      <c r="E377" s="68"/>
      <c r="F377" s="68"/>
      <c r="G377" s="68"/>
      <c r="H377" s="68"/>
      <c r="I377" s="68"/>
      <c r="J377" s="68"/>
      <c r="K377" s="68"/>
      <c r="L377" s="56"/>
      <c r="M377" s="26"/>
      <c r="N377" s="26"/>
      <c r="O377" s="68"/>
      <c r="P377" s="1"/>
      <c r="Q377" s="8"/>
      <c r="R377" s="66"/>
      <c r="S377" s="1"/>
      <c r="T377" s="66"/>
      <c r="U377" s="8"/>
      <c r="V377" s="56"/>
      <c r="W377" s="1"/>
      <c r="X377" s="1"/>
      <c r="Y377" s="1"/>
    </row>
    <row r="378" spans="1:25">
      <c r="A378" s="57"/>
      <c r="B378" s="111"/>
      <c r="C378" s="68"/>
      <c r="D378" s="68"/>
      <c r="E378" s="68"/>
      <c r="F378" s="110"/>
      <c r="G378" s="110"/>
      <c r="H378" s="110"/>
      <c r="I378" s="110"/>
      <c r="J378" s="110"/>
      <c r="K378" s="110"/>
      <c r="L378" s="109"/>
      <c r="M378" s="26"/>
      <c r="N378" s="26"/>
      <c r="O378" s="68"/>
      <c r="P378" s="1"/>
      <c r="Q378" s="8"/>
      <c r="R378" s="66"/>
      <c r="S378" s="1"/>
      <c r="T378" s="66"/>
      <c r="U378" s="8"/>
      <c r="V378" s="56"/>
      <c r="W378" s="1"/>
      <c r="X378" s="1"/>
      <c r="Y378" s="1"/>
    </row>
    <row r="379" spans="1:25">
      <c r="A379" s="57"/>
      <c r="B379" s="94"/>
      <c r="C379" s="68"/>
      <c r="D379" s="68"/>
      <c r="E379" s="68"/>
      <c r="F379" s="94"/>
      <c r="G379" s="94"/>
      <c r="H379" s="94"/>
      <c r="I379" s="94"/>
      <c r="J379" s="94"/>
      <c r="K379" s="94"/>
      <c r="L379" s="94"/>
      <c r="M379" s="26"/>
      <c r="N379" s="26"/>
      <c r="O379" s="68"/>
      <c r="P379" s="1"/>
      <c r="Q379" s="8"/>
      <c r="R379" s="66"/>
      <c r="S379" s="1"/>
      <c r="T379" s="66"/>
      <c r="U379" s="8"/>
      <c r="V379" s="56"/>
      <c r="W379" s="1"/>
      <c r="X379" s="1"/>
      <c r="Y379" s="1"/>
    </row>
    <row r="380" spans="1:25">
      <c r="A380" s="57"/>
      <c r="B380" s="94"/>
      <c r="C380" s="68"/>
      <c r="D380" s="68"/>
      <c r="E380" s="68"/>
      <c r="F380" s="94"/>
      <c r="G380" s="94"/>
      <c r="H380" s="94"/>
      <c r="I380" s="94"/>
      <c r="J380" s="94"/>
      <c r="K380" s="94"/>
      <c r="L380" s="94"/>
      <c r="M380" s="26"/>
      <c r="N380" s="26"/>
      <c r="O380" s="68"/>
      <c r="P380" s="1"/>
      <c r="Q380" s="8"/>
      <c r="R380" s="66"/>
      <c r="S380" s="1"/>
      <c r="T380" s="66"/>
      <c r="U380" s="8"/>
      <c r="V380" s="56"/>
      <c r="W380" s="1"/>
      <c r="X380" s="1"/>
      <c r="Y380" s="1"/>
    </row>
    <row r="381" spans="1:25">
      <c r="A381" s="57"/>
      <c r="B381" s="94"/>
      <c r="C381" s="68"/>
      <c r="D381" s="68"/>
      <c r="E381" s="68"/>
      <c r="F381" s="94"/>
      <c r="G381" s="94"/>
      <c r="H381" s="94"/>
      <c r="I381" s="94"/>
      <c r="J381" s="94"/>
      <c r="K381" s="94"/>
      <c r="L381" s="94"/>
      <c r="M381" s="26"/>
      <c r="N381" s="26"/>
      <c r="O381" s="68"/>
      <c r="P381" s="1"/>
      <c r="Q381" s="8"/>
      <c r="R381" s="66"/>
      <c r="S381" s="1"/>
      <c r="T381" s="66"/>
      <c r="U381" s="8"/>
      <c r="V381" s="56"/>
      <c r="W381" s="1"/>
      <c r="X381" s="1"/>
      <c r="Y381" s="1"/>
    </row>
    <row r="382" spans="1:25">
      <c r="A382" s="57"/>
      <c r="B382" s="94"/>
      <c r="C382" s="68"/>
      <c r="D382" s="68"/>
      <c r="E382" s="68"/>
      <c r="F382" s="94"/>
      <c r="G382" s="94"/>
      <c r="H382" s="94"/>
      <c r="I382" s="94"/>
      <c r="J382" s="94"/>
      <c r="K382" s="94"/>
      <c r="L382" s="94"/>
      <c r="M382" s="26"/>
      <c r="N382" s="26"/>
      <c r="O382" s="68"/>
      <c r="P382" s="1"/>
      <c r="Q382" s="8"/>
      <c r="R382" s="66"/>
      <c r="S382" s="1"/>
      <c r="T382" s="66"/>
      <c r="U382" s="8"/>
      <c r="V382" s="56"/>
      <c r="W382" s="1"/>
      <c r="X382" s="1"/>
      <c r="Y382" s="1"/>
    </row>
    <row r="383" spans="1:25">
      <c r="A383" s="57"/>
      <c r="B383" s="111"/>
      <c r="C383" s="68"/>
      <c r="D383" s="68"/>
      <c r="E383" s="68"/>
      <c r="F383" s="110"/>
      <c r="G383" s="110"/>
      <c r="H383" s="110"/>
      <c r="I383" s="110"/>
      <c r="J383" s="110"/>
      <c r="K383" s="110"/>
      <c r="L383" s="109"/>
      <c r="M383" s="26"/>
      <c r="N383" s="26"/>
      <c r="O383" s="68"/>
      <c r="P383" s="1"/>
      <c r="Q383" s="8"/>
      <c r="R383" s="66"/>
      <c r="S383" s="1"/>
      <c r="T383" s="66"/>
      <c r="U383" s="8"/>
      <c r="V383" s="56"/>
      <c r="W383" s="1"/>
      <c r="X383" s="1"/>
      <c r="Y383" s="1"/>
    </row>
    <row r="384" spans="1:25">
      <c r="A384" s="57"/>
      <c r="B384" s="94"/>
      <c r="C384" s="68"/>
      <c r="D384" s="68"/>
      <c r="E384" s="68"/>
      <c r="F384" s="94"/>
      <c r="G384" s="94"/>
      <c r="H384" s="94"/>
      <c r="I384" s="94"/>
      <c r="J384" s="94"/>
      <c r="K384" s="94"/>
      <c r="L384" s="94"/>
      <c r="M384" s="26"/>
      <c r="N384" s="26"/>
      <c r="O384" s="68"/>
      <c r="P384" s="1"/>
      <c r="Q384" s="8"/>
      <c r="R384" s="66"/>
      <c r="S384" s="1"/>
      <c r="T384" s="66"/>
      <c r="U384" s="8"/>
      <c r="V384" s="56"/>
      <c r="W384" s="1"/>
      <c r="X384" s="1"/>
      <c r="Y384" s="1"/>
    </row>
    <row r="385" spans="1:25">
      <c r="A385" s="57"/>
      <c r="B385" s="94"/>
      <c r="C385" s="68"/>
      <c r="D385" s="68"/>
      <c r="E385" s="68"/>
      <c r="F385" s="94"/>
      <c r="G385" s="94"/>
      <c r="H385" s="94"/>
      <c r="I385" s="94"/>
      <c r="J385" s="94"/>
      <c r="K385" s="94"/>
      <c r="L385" s="94"/>
      <c r="M385" s="26"/>
      <c r="N385" s="26"/>
      <c r="O385" s="68"/>
      <c r="P385" s="1"/>
      <c r="Q385" s="8"/>
      <c r="R385" s="66"/>
      <c r="S385" s="1"/>
      <c r="T385" s="66"/>
      <c r="U385" s="8"/>
      <c r="V385" s="56"/>
      <c r="W385" s="1"/>
      <c r="X385" s="1"/>
      <c r="Y385" s="1"/>
    </row>
    <row r="386" spans="1:25">
      <c r="A386" s="57"/>
      <c r="B386" s="94"/>
      <c r="C386" s="68"/>
      <c r="D386" s="68"/>
      <c r="E386" s="68"/>
      <c r="F386" s="94"/>
      <c r="G386" s="94"/>
      <c r="H386" s="94"/>
      <c r="I386" s="94"/>
      <c r="J386" s="94"/>
      <c r="K386" s="94"/>
      <c r="L386" s="94"/>
      <c r="M386" s="26"/>
      <c r="N386" s="26"/>
      <c r="O386" s="68"/>
      <c r="P386" s="1"/>
      <c r="Q386" s="8"/>
      <c r="R386" s="66"/>
      <c r="S386" s="1"/>
      <c r="T386" s="66"/>
      <c r="U386" s="8"/>
      <c r="V386" s="56"/>
      <c r="W386" s="1"/>
      <c r="X386" s="1"/>
      <c r="Y386" s="1"/>
    </row>
    <row r="387" spans="1:25">
      <c r="A387" s="57"/>
      <c r="B387" s="94"/>
      <c r="C387" s="68"/>
      <c r="D387" s="68"/>
      <c r="E387" s="68"/>
      <c r="F387" s="94"/>
      <c r="G387" s="94"/>
      <c r="H387" s="94"/>
      <c r="I387" s="94"/>
      <c r="J387" s="94"/>
      <c r="K387" s="94"/>
      <c r="L387" s="94"/>
      <c r="M387" s="26"/>
      <c r="N387" s="26"/>
      <c r="O387" s="68"/>
      <c r="P387" s="1"/>
      <c r="Q387" s="8"/>
      <c r="R387" s="66"/>
      <c r="S387" s="1"/>
      <c r="T387" s="66"/>
      <c r="U387" s="8"/>
      <c r="V387" s="56"/>
      <c r="W387" s="1"/>
      <c r="X387" s="1"/>
      <c r="Y387" s="1"/>
    </row>
    <row r="388" spans="1:25">
      <c r="A388" s="57"/>
      <c r="B388" s="111"/>
      <c r="C388" s="68"/>
      <c r="D388" s="68"/>
      <c r="E388" s="68"/>
      <c r="F388" s="110"/>
      <c r="G388" s="110"/>
      <c r="H388" s="110"/>
      <c r="I388" s="110"/>
      <c r="J388" s="110"/>
      <c r="K388" s="110"/>
      <c r="L388" s="109"/>
      <c r="M388" s="26"/>
      <c r="N388" s="26"/>
      <c r="O388" s="68"/>
      <c r="P388" s="1"/>
      <c r="Q388" s="8"/>
      <c r="R388" s="66"/>
      <c r="S388" s="1"/>
      <c r="T388" s="66"/>
      <c r="U388" s="8"/>
      <c r="V388" s="56"/>
      <c r="W388" s="1"/>
      <c r="X388" s="1"/>
      <c r="Y388" s="1"/>
    </row>
    <row r="389" spans="1:25">
      <c r="A389" s="57"/>
      <c r="B389" s="94"/>
      <c r="C389" s="68"/>
      <c r="D389" s="68"/>
      <c r="E389" s="68"/>
      <c r="F389" s="94"/>
      <c r="G389" s="94"/>
      <c r="H389" s="94"/>
      <c r="I389" s="94"/>
      <c r="J389" s="94"/>
      <c r="K389" s="94"/>
      <c r="L389" s="94"/>
      <c r="M389" s="26"/>
      <c r="N389" s="26"/>
      <c r="O389" s="68"/>
      <c r="P389" s="1"/>
      <c r="Q389" s="8"/>
      <c r="R389" s="66"/>
      <c r="S389" s="1"/>
      <c r="T389" s="66"/>
      <c r="U389" s="8"/>
      <c r="V389" s="56"/>
      <c r="W389" s="1"/>
      <c r="X389" s="1"/>
      <c r="Y389" s="1"/>
    </row>
    <row r="390" spans="1:25">
      <c r="A390" s="57"/>
      <c r="B390" s="94"/>
      <c r="C390" s="68"/>
      <c r="D390" s="68"/>
      <c r="E390" s="68"/>
      <c r="F390" s="94"/>
      <c r="G390" s="94"/>
      <c r="H390" s="94"/>
      <c r="I390" s="94"/>
      <c r="J390" s="94"/>
      <c r="K390" s="94"/>
      <c r="L390" s="94"/>
      <c r="M390" s="26"/>
      <c r="N390" s="26"/>
      <c r="O390" s="68"/>
      <c r="P390" s="1"/>
      <c r="Q390" s="8"/>
      <c r="R390" s="66"/>
      <c r="S390" s="1"/>
      <c r="T390" s="66"/>
      <c r="U390" s="8"/>
      <c r="V390" s="56"/>
      <c r="W390" s="1"/>
      <c r="X390" s="1"/>
      <c r="Y390" s="1"/>
    </row>
    <row r="391" spans="1:25">
      <c r="A391" s="57"/>
      <c r="B391" s="94"/>
      <c r="C391" s="68"/>
      <c r="D391" s="68"/>
      <c r="E391" s="68"/>
      <c r="F391" s="94"/>
      <c r="G391" s="94"/>
      <c r="H391" s="94"/>
      <c r="I391" s="94"/>
      <c r="J391" s="94"/>
      <c r="K391" s="94"/>
      <c r="L391" s="94"/>
      <c r="M391" s="26"/>
      <c r="N391" s="26"/>
      <c r="O391" s="68"/>
      <c r="P391" s="1"/>
      <c r="Q391" s="8"/>
      <c r="R391" s="66"/>
      <c r="S391" s="1"/>
      <c r="T391" s="66"/>
      <c r="U391" s="8"/>
      <c r="V391" s="56"/>
      <c r="W391" s="1"/>
      <c r="X391" s="1"/>
      <c r="Y391" s="1"/>
    </row>
    <row r="392" spans="1:25">
      <c r="A392" s="57"/>
      <c r="B392" s="94"/>
      <c r="C392" s="68"/>
      <c r="D392" s="68"/>
      <c r="E392" s="68"/>
      <c r="F392" s="94"/>
      <c r="G392" s="94"/>
      <c r="H392" s="94"/>
      <c r="I392" s="94"/>
      <c r="J392" s="94"/>
      <c r="K392" s="94"/>
      <c r="L392" s="94"/>
      <c r="M392" s="26"/>
      <c r="N392" s="26"/>
      <c r="O392" s="68"/>
      <c r="P392" s="1"/>
      <c r="Q392" s="8"/>
      <c r="R392" s="66"/>
      <c r="S392" s="1"/>
      <c r="T392" s="66"/>
      <c r="U392" s="8"/>
      <c r="V392" s="56"/>
      <c r="W392" s="1"/>
      <c r="X392" s="1"/>
      <c r="Y392" s="1"/>
    </row>
    <row r="393" spans="1:25">
      <c r="A393" s="57"/>
      <c r="B393" s="111"/>
      <c r="C393" s="68"/>
      <c r="D393" s="68"/>
      <c r="E393" s="68"/>
      <c r="F393" s="110"/>
      <c r="G393" s="110"/>
      <c r="H393" s="110"/>
      <c r="I393" s="110"/>
      <c r="J393" s="110"/>
      <c r="K393" s="110"/>
      <c r="L393" s="109"/>
      <c r="M393" s="26"/>
      <c r="N393" s="26"/>
      <c r="O393" s="68"/>
      <c r="P393" s="1"/>
      <c r="Q393" s="8"/>
      <c r="R393" s="66"/>
      <c r="S393" s="1"/>
      <c r="T393" s="66"/>
      <c r="U393" s="8"/>
      <c r="V393" s="56"/>
      <c r="W393" s="1"/>
      <c r="X393" s="1"/>
      <c r="Y393" s="1"/>
    </row>
    <row r="394" spans="1:25">
      <c r="A394" s="57"/>
      <c r="B394" s="94"/>
      <c r="C394" s="68"/>
      <c r="D394" s="68"/>
      <c r="E394" s="68"/>
      <c r="F394" s="94"/>
      <c r="G394" s="94"/>
      <c r="H394" s="94"/>
      <c r="I394" s="94"/>
      <c r="J394" s="94"/>
      <c r="K394" s="94"/>
      <c r="L394" s="94"/>
      <c r="M394" s="26"/>
      <c r="N394" s="26"/>
      <c r="O394" s="68"/>
      <c r="P394" s="1"/>
      <c r="Q394" s="8"/>
      <c r="R394" s="66"/>
      <c r="S394" s="1"/>
      <c r="T394" s="66"/>
      <c r="U394" s="8"/>
      <c r="V394" s="56"/>
      <c r="W394" s="1"/>
      <c r="X394" s="1"/>
      <c r="Y394" s="1"/>
    </row>
    <row r="395" spans="1:25">
      <c r="A395" s="57"/>
      <c r="B395" s="94"/>
      <c r="C395" s="68"/>
      <c r="D395" s="68"/>
      <c r="E395" s="68"/>
      <c r="F395" s="94"/>
      <c r="G395" s="94"/>
      <c r="H395" s="94"/>
      <c r="I395" s="94"/>
      <c r="J395" s="94"/>
      <c r="K395" s="94"/>
      <c r="L395" s="94"/>
      <c r="M395" s="26"/>
      <c r="N395" s="26"/>
      <c r="O395" s="68"/>
      <c r="P395" s="1"/>
      <c r="Q395" s="8"/>
      <c r="R395" s="66"/>
      <c r="S395" s="1"/>
      <c r="T395" s="66"/>
      <c r="U395" s="8"/>
      <c r="V395" s="56"/>
      <c r="W395" s="1"/>
      <c r="X395" s="1"/>
      <c r="Y395" s="1"/>
    </row>
    <row r="396" spans="1:25">
      <c r="A396" s="57"/>
      <c r="B396" s="94"/>
      <c r="C396" s="68"/>
      <c r="D396" s="68"/>
      <c r="E396" s="68"/>
      <c r="F396" s="94"/>
      <c r="G396" s="94"/>
      <c r="H396" s="94"/>
      <c r="I396" s="94"/>
      <c r="J396" s="94"/>
      <c r="K396" s="94"/>
      <c r="L396" s="94"/>
      <c r="M396" s="26"/>
      <c r="N396" s="26"/>
      <c r="O396" s="68"/>
      <c r="P396" s="1"/>
      <c r="Q396" s="8"/>
      <c r="R396" s="66"/>
      <c r="S396" s="1"/>
      <c r="T396" s="66"/>
      <c r="U396" s="8"/>
      <c r="V396" s="56"/>
      <c r="W396" s="1"/>
      <c r="X396" s="1"/>
      <c r="Y396" s="1"/>
    </row>
    <row r="397" spans="1:25">
      <c r="A397" s="57"/>
      <c r="B397" s="94"/>
      <c r="C397" s="68"/>
      <c r="D397" s="68"/>
      <c r="E397" s="68"/>
      <c r="F397" s="94"/>
      <c r="G397" s="94"/>
      <c r="H397" s="94"/>
      <c r="I397" s="94"/>
      <c r="J397" s="94"/>
      <c r="K397" s="94"/>
      <c r="L397" s="94"/>
      <c r="M397" s="26"/>
      <c r="N397" s="26"/>
      <c r="O397" s="68"/>
      <c r="P397" s="1"/>
      <c r="Q397" s="8"/>
      <c r="R397" s="66"/>
      <c r="S397" s="1"/>
      <c r="T397" s="66"/>
      <c r="U397" s="8"/>
      <c r="V397" s="56"/>
      <c r="W397" s="1"/>
      <c r="X397" s="1"/>
      <c r="Y397" s="1"/>
    </row>
    <row r="398" spans="1:25">
      <c r="A398" s="57"/>
      <c r="B398" s="111"/>
      <c r="C398" s="68"/>
      <c r="D398" s="68"/>
      <c r="E398" s="68"/>
      <c r="F398" s="110"/>
      <c r="G398" s="110"/>
      <c r="H398" s="110"/>
      <c r="I398" s="110"/>
      <c r="J398" s="110"/>
      <c r="K398" s="110"/>
      <c r="L398" s="109"/>
      <c r="M398" s="26"/>
      <c r="N398" s="26"/>
      <c r="O398" s="68"/>
      <c r="P398" s="1"/>
      <c r="Q398" s="8"/>
      <c r="R398" s="66"/>
      <c r="S398" s="1"/>
      <c r="T398" s="66"/>
      <c r="U398" s="8"/>
      <c r="V398" s="56"/>
      <c r="W398" s="1"/>
      <c r="X398" s="1"/>
      <c r="Y398" s="1"/>
    </row>
    <row r="399" spans="1:25">
      <c r="A399" s="57"/>
      <c r="B399" s="94"/>
      <c r="C399" s="68"/>
      <c r="D399" s="68"/>
      <c r="E399" s="68"/>
      <c r="F399" s="94"/>
      <c r="G399" s="94"/>
      <c r="H399" s="94"/>
      <c r="I399" s="94"/>
      <c r="J399" s="94"/>
      <c r="K399" s="94"/>
      <c r="L399" s="94"/>
      <c r="M399" s="26"/>
      <c r="N399" s="26"/>
      <c r="O399" s="68"/>
      <c r="P399" s="1"/>
      <c r="Q399" s="8"/>
      <c r="R399" s="66"/>
      <c r="S399" s="1"/>
      <c r="T399" s="66"/>
      <c r="U399" s="8"/>
      <c r="V399" s="56"/>
      <c r="W399" s="1"/>
      <c r="X399" s="1"/>
      <c r="Y399" s="1"/>
    </row>
    <row r="400" spans="1:25">
      <c r="A400" s="57"/>
      <c r="B400" s="94"/>
      <c r="C400" s="68"/>
      <c r="D400" s="68"/>
      <c r="E400" s="68"/>
      <c r="F400" s="94"/>
      <c r="G400" s="94"/>
      <c r="H400" s="94"/>
      <c r="I400" s="94"/>
      <c r="J400" s="94"/>
      <c r="K400" s="94"/>
      <c r="L400" s="94"/>
      <c r="M400" s="26"/>
      <c r="N400" s="26"/>
      <c r="O400" s="68"/>
      <c r="P400" s="1"/>
      <c r="Q400" s="8"/>
      <c r="R400" s="66"/>
      <c r="S400" s="1"/>
      <c r="T400" s="66"/>
      <c r="U400" s="8"/>
      <c r="V400" s="56"/>
      <c r="W400" s="1"/>
      <c r="X400" s="1"/>
      <c r="Y400" s="1"/>
    </row>
    <row r="401" spans="1:25">
      <c r="A401" s="57"/>
      <c r="B401" s="94"/>
      <c r="C401" s="68"/>
      <c r="D401" s="68"/>
      <c r="E401" s="68"/>
      <c r="F401" s="94"/>
      <c r="G401" s="94"/>
      <c r="H401" s="94"/>
      <c r="I401" s="94"/>
      <c r="J401" s="94"/>
      <c r="K401" s="94"/>
      <c r="L401" s="94"/>
      <c r="M401" s="26"/>
      <c r="N401" s="26"/>
      <c r="O401" s="68"/>
      <c r="P401" s="1"/>
      <c r="Q401" s="8"/>
      <c r="R401" s="66"/>
      <c r="S401" s="1"/>
      <c r="T401" s="66"/>
      <c r="U401" s="8"/>
      <c r="V401" s="56"/>
      <c r="W401" s="1"/>
      <c r="X401" s="1"/>
      <c r="Y401" s="1"/>
    </row>
    <row r="402" spans="1:25">
      <c r="A402" s="57"/>
      <c r="B402" s="94"/>
      <c r="C402" s="68"/>
      <c r="D402" s="68"/>
      <c r="E402" s="68"/>
      <c r="F402" s="94"/>
      <c r="G402" s="94"/>
      <c r="H402" s="94"/>
      <c r="I402" s="94"/>
      <c r="J402" s="94"/>
      <c r="K402" s="94"/>
      <c r="L402" s="94"/>
      <c r="M402" s="26"/>
      <c r="N402" s="26"/>
      <c r="O402" s="68"/>
      <c r="P402" s="1"/>
      <c r="Q402" s="8"/>
      <c r="R402" s="66"/>
      <c r="S402" s="1"/>
      <c r="T402" s="66"/>
      <c r="U402" s="8"/>
      <c r="V402" s="56"/>
      <c r="W402" s="1"/>
      <c r="X402" s="1"/>
      <c r="Y402" s="1"/>
    </row>
    <row r="403" spans="1:25">
      <c r="A403" s="57"/>
      <c r="B403" s="111"/>
      <c r="C403" s="68"/>
      <c r="D403" s="68"/>
      <c r="E403" s="68"/>
      <c r="F403" s="110"/>
      <c r="G403" s="110"/>
      <c r="H403" s="110"/>
      <c r="I403" s="110"/>
      <c r="J403" s="110"/>
      <c r="K403" s="110"/>
      <c r="L403" s="109"/>
      <c r="M403" s="26"/>
      <c r="N403" s="26"/>
      <c r="O403" s="68"/>
      <c r="P403" s="1"/>
      <c r="Q403" s="8"/>
      <c r="R403" s="66"/>
      <c r="S403" s="1"/>
      <c r="T403" s="66"/>
      <c r="U403" s="8"/>
      <c r="V403" s="56"/>
      <c r="W403" s="1"/>
      <c r="X403" s="1"/>
      <c r="Y403" s="1"/>
    </row>
    <row r="404" spans="1:25">
      <c r="A404" s="57"/>
      <c r="B404" s="94"/>
      <c r="C404" s="68"/>
      <c r="D404" s="68"/>
      <c r="E404" s="68"/>
      <c r="F404" s="94"/>
      <c r="G404" s="94"/>
      <c r="H404" s="94"/>
      <c r="I404" s="94"/>
      <c r="J404" s="94"/>
      <c r="K404" s="94"/>
      <c r="L404" s="94"/>
      <c r="M404" s="26"/>
      <c r="N404" s="26"/>
      <c r="O404" s="68"/>
      <c r="P404" s="1"/>
      <c r="Q404" s="8"/>
      <c r="R404" s="66"/>
      <c r="S404" s="1"/>
      <c r="T404" s="66"/>
      <c r="U404" s="8"/>
      <c r="V404" s="56"/>
      <c r="W404" s="1"/>
      <c r="X404" s="1"/>
      <c r="Y404" s="1"/>
    </row>
    <row r="405" spans="1:25">
      <c r="A405" s="57"/>
      <c r="B405" s="94"/>
      <c r="C405" s="68"/>
      <c r="D405" s="68"/>
      <c r="E405" s="68"/>
      <c r="F405" s="94"/>
      <c r="G405" s="94"/>
      <c r="H405" s="94"/>
      <c r="I405" s="94"/>
      <c r="J405" s="94"/>
      <c r="K405" s="94"/>
      <c r="L405" s="94"/>
      <c r="M405" s="26"/>
      <c r="N405" s="26"/>
      <c r="O405" s="68"/>
      <c r="P405" s="1"/>
      <c r="Q405" s="8"/>
      <c r="R405" s="66"/>
      <c r="S405" s="1"/>
      <c r="T405" s="66"/>
      <c r="U405" s="8"/>
      <c r="V405" s="56"/>
      <c r="W405" s="1"/>
      <c r="X405" s="1"/>
      <c r="Y405" s="1"/>
    </row>
    <row r="406" spans="1:25">
      <c r="A406" s="57"/>
      <c r="B406" s="94"/>
      <c r="C406" s="68"/>
      <c r="D406" s="68"/>
      <c r="E406" s="68"/>
      <c r="F406" s="94"/>
      <c r="G406" s="94"/>
      <c r="H406" s="94"/>
      <c r="I406" s="94"/>
      <c r="J406" s="94"/>
      <c r="K406" s="94"/>
      <c r="L406" s="94"/>
      <c r="M406" s="26"/>
      <c r="N406" s="26"/>
      <c r="O406" s="68"/>
      <c r="P406" s="1"/>
      <c r="Q406" s="8"/>
      <c r="R406" s="66"/>
      <c r="S406" s="1"/>
      <c r="T406" s="66"/>
      <c r="U406" s="8"/>
      <c r="V406" s="56"/>
      <c r="W406" s="1"/>
      <c r="X406" s="1"/>
      <c r="Y406" s="1"/>
    </row>
    <row r="407" spans="1:25">
      <c r="A407" s="57"/>
      <c r="B407" s="94"/>
      <c r="C407" s="68"/>
      <c r="D407" s="68"/>
      <c r="E407" s="68"/>
      <c r="F407" s="94"/>
      <c r="G407" s="94"/>
      <c r="H407" s="94"/>
      <c r="I407" s="94"/>
      <c r="J407" s="94"/>
      <c r="K407" s="94"/>
      <c r="L407" s="94"/>
      <c r="M407" s="26"/>
      <c r="N407" s="26"/>
      <c r="O407" s="68"/>
      <c r="P407" s="1"/>
      <c r="Q407" s="8"/>
      <c r="R407" s="66"/>
      <c r="S407" s="1"/>
      <c r="T407" s="66"/>
      <c r="U407" s="8"/>
      <c r="V407" s="56"/>
      <c r="W407" s="1"/>
      <c r="X407" s="1"/>
      <c r="Y407" s="1"/>
    </row>
    <row r="408" spans="1:25">
      <c r="A408" s="57"/>
      <c r="B408" s="111"/>
      <c r="C408" s="68"/>
      <c r="D408" s="68"/>
      <c r="E408" s="68"/>
      <c r="F408" s="110"/>
      <c r="G408" s="110"/>
      <c r="H408" s="110"/>
      <c r="I408" s="110"/>
      <c r="J408" s="110"/>
      <c r="K408" s="110"/>
      <c r="L408" s="109"/>
      <c r="M408" s="26"/>
      <c r="N408" s="26"/>
      <c r="O408" s="68"/>
      <c r="P408" s="1"/>
      <c r="Q408" s="8"/>
      <c r="R408" s="66"/>
      <c r="S408" s="1"/>
      <c r="T408" s="66"/>
      <c r="U408" s="8"/>
      <c r="V408" s="56"/>
      <c r="W408" s="1"/>
      <c r="X408" s="1"/>
      <c r="Y408" s="1"/>
    </row>
    <row r="409" spans="1:25">
      <c r="A409" s="57"/>
      <c r="B409" s="94"/>
      <c r="C409" s="68"/>
      <c r="D409" s="68"/>
      <c r="E409" s="68"/>
      <c r="F409" s="94"/>
      <c r="G409" s="94"/>
      <c r="H409" s="94"/>
      <c r="I409" s="94"/>
      <c r="J409" s="94"/>
      <c r="K409" s="94"/>
      <c r="L409" s="94"/>
      <c r="M409" s="26"/>
      <c r="N409" s="26"/>
      <c r="O409" s="68"/>
      <c r="P409" s="1"/>
      <c r="Q409" s="8"/>
      <c r="R409" s="66"/>
      <c r="S409" s="1"/>
      <c r="T409" s="66"/>
      <c r="U409" s="8"/>
      <c r="V409" s="56"/>
      <c r="W409" s="1"/>
      <c r="X409" s="1"/>
      <c r="Y409" s="1"/>
    </row>
    <row r="410" spans="1:25">
      <c r="A410" s="57"/>
      <c r="B410" s="94"/>
      <c r="C410" s="68"/>
      <c r="D410" s="68"/>
      <c r="E410" s="68"/>
      <c r="F410" s="94"/>
      <c r="G410" s="94"/>
      <c r="H410" s="94"/>
      <c r="I410" s="94"/>
      <c r="J410" s="94"/>
      <c r="K410" s="94"/>
      <c r="L410" s="94"/>
      <c r="M410" s="26"/>
      <c r="N410" s="26"/>
      <c r="O410" s="68"/>
      <c r="P410" s="1"/>
      <c r="Q410" s="8"/>
      <c r="R410" s="66"/>
      <c r="S410" s="1"/>
      <c r="T410" s="66"/>
      <c r="U410" s="8"/>
      <c r="V410" s="56"/>
      <c r="W410" s="1"/>
      <c r="X410" s="1"/>
      <c r="Y410" s="1"/>
    </row>
    <row r="411" spans="1:25">
      <c r="A411" s="57"/>
      <c r="B411" s="94"/>
      <c r="C411" s="68"/>
      <c r="D411" s="68"/>
      <c r="E411" s="68"/>
      <c r="F411" s="94"/>
      <c r="G411" s="94"/>
      <c r="H411" s="94"/>
      <c r="I411" s="94"/>
      <c r="J411" s="94"/>
      <c r="K411" s="94"/>
      <c r="L411" s="94"/>
      <c r="M411" s="26"/>
      <c r="N411" s="26"/>
      <c r="O411" s="68"/>
      <c r="P411" s="1"/>
      <c r="Q411" s="8"/>
      <c r="R411" s="66"/>
      <c r="S411" s="1"/>
      <c r="T411" s="66"/>
      <c r="U411" s="8"/>
      <c r="V411" s="56"/>
      <c r="W411" s="1"/>
      <c r="X411" s="1"/>
      <c r="Y411" s="1"/>
    </row>
    <row r="412" spans="1:25">
      <c r="A412" s="57"/>
      <c r="B412" s="94"/>
      <c r="C412" s="68"/>
      <c r="D412" s="68"/>
      <c r="E412" s="68"/>
      <c r="F412" s="94"/>
      <c r="G412" s="94"/>
      <c r="H412" s="94"/>
      <c r="I412" s="94"/>
      <c r="J412" s="94"/>
      <c r="K412" s="94"/>
      <c r="L412" s="94"/>
      <c r="M412" s="26"/>
      <c r="N412" s="26"/>
      <c r="O412" s="68"/>
      <c r="P412" s="1"/>
      <c r="Q412" s="8"/>
      <c r="R412" s="66"/>
      <c r="S412" s="1"/>
      <c r="T412" s="66"/>
      <c r="U412" s="8"/>
      <c r="V412" s="56"/>
      <c r="W412" s="1"/>
      <c r="X412" s="1"/>
      <c r="Y412" s="1"/>
    </row>
    <row r="413" spans="1:25">
      <c r="A413" s="57"/>
      <c r="B413" s="111"/>
      <c r="C413" s="68"/>
      <c r="D413" s="68"/>
      <c r="E413" s="68"/>
      <c r="F413" s="110"/>
      <c r="G413" s="110"/>
      <c r="H413" s="110"/>
      <c r="I413" s="110"/>
      <c r="J413" s="110"/>
      <c r="K413" s="110"/>
      <c r="L413" s="109"/>
      <c r="M413" s="26"/>
      <c r="N413" s="26"/>
      <c r="O413" s="68"/>
      <c r="P413" s="1"/>
      <c r="Q413" s="8"/>
      <c r="R413" s="66"/>
      <c r="S413" s="1"/>
      <c r="T413" s="66"/>
      <c r="U413" s="8"/>
      <c r="V413" s="56"/>
      <c r="W413" s="1"/>
      <c r="X413" s="1"/>
      <c r="Y413" s="1"/>
    </row>
    <row r="414" spans="1:25">
      <c r="A414" s="57"/>
      <c r="B414" s="94"/>
      <c r="C414" s="68"/>
      <c r="D414" s="68"/>
      <c r="E414" s="68"/>
      <c r="F414" s="94"/>
      <c r="G414" s="94"/>
      <c r="H414" s="94"/>
      <c r="I414" s="94"/>
      <c r="J414" s="94"/>
      <c r="K414" s="94"/>
      <c r="L414" s="94"/>
      <c r="M414" s="26"/>
      <c r="N414" s="26"/>
      <c r="O414" s="68"/>
      <c r="P414" s="1"/>
      <c r="Q414" s="8"/>
      <c r="R414" s="66"/>
      <c r="S414" s="1"/>
      <c r="T414" s="66"/>
      <c r="U414" s="8"/>
      <c r="V414" s="56"/>
      <c r="W414" s="1"/>
      <c r="X414" s="1"/>
      <c r="Y414" s="1"/>
    </row>
    <row r="415" spans="1:25">
      <c r="A415" s="57"/>
      <c r="B415" s="94"/>
      <c r="C415" s="68"/>
      <c r="D415" s="68"/>
      <c r="E415" s="68"/>
      <c r="F415" s="94"/>
      <c r="G415" s="94"/>
      <c r="H415" s="94"/>
      <c r="I415" s="94"/>
      <c r="J415" s="94"/>
      <c r="K415" s="94"/>
      <c r="L415" s="94"/>
      <c r="M415" s="26"/>
      <c r="N415" s="26"/>
      <c r="O415" s="68"/>
      <c r="P415" s="1"/>
      <c r="Q415" s="8"/>
      <c r="R415" s="66"/>
      <c r="S415" s="1"/>
      <c r="T415" s="66"/>
      <c r="U415" s="8"/>
      <c r="V415" s="56"/>
      <c r="W415" s="1"/>
      <c r="X415" s="1"/>
      <c r="Y415" s="1"/>
    </row>
    <row r="416" spans="1:25">
      <c r="A416" s="57"/>
      <c r="B416" s="94"/>
      <c r="C416" s="68"/>
      <c r="D416" s="68"/>
      <c r="E416" s="68"/>
      <c r="F416" s="94"/>
      <c r="G416" s="94"/>
      <c r="H416" s="94"/>
      <c r="I416" s="94"/>
      <c r="J416" s="94"/>
      <c r="K416" s="94"/>
      <c r="L416" s="94"/>
      <c r="M416" s="26"/>
      <c r="N416" s="26"/>
      <c r="O416" s="68"/>
      <c r="P416" s="1"/>
      <c r="Q416" s="8"/>
      <c r="R416" s="66"/>
      <c r="S416" s="1"/>
      <c r="T416" s="66"/>
      <c r="U416" s="8"/>
      <c r="V416" s="56"/>
      <c r="W416" s="1"/>
      <c r="X416" s="1"/>
      <c r="Y416" s="1"/>
    </row>
    <row r="417" spans="1:25">
      <c r="A417" s="57"/>
      <c r="B417" s="94"/>
      <c r="C417" s="68"/>
      <c r="D417" s="68"/>
      <c r="E417" s="68"/>
      <c r="F417" s="94"/>
      <c r="G417" s="94"/>
      <c r="H417" s="94"/>
      <c r="I417" s="94"/>
      <c r="J417" s="94"/>
      <c r="K417" s="94"/>
      <c r="L417" s="94"/>
      <c r="M417" s="26"/>
      <c r="N417" s="26"/>
      <c r="O417" s="68"/>
      <c r="P417" s="1"/>
      <c r="Q417" s="8"/>
      <c r="R417" s="66"/>
      <c r="S417" s="1"/>
      <c r="T417" s="66"/>
      <c r="U417" s="8"/>
      <c r="V417" s="56"/>
      <c r="W417" s="1"/>
      <c r="X417" s="1"/>
      <c r="Y417" s="1"/>
    </row>
    <row r="418" spans="1:25">
      <c r="A418" s="57"/>
      <c r="B418" s="111"/>
      <c r="C418" s="68"/>
      <c r="D418" s="68"/>
      <c r="E418" s="68"/>
      <c r="F418" s="110"/>
      <c r="G418" s="110"/>
      <c r="H418" s="110"/>
      <c r="I418" s="110"/>
      <c r="J418" s="110"/>
      <c r="K418" s="110"/>
      <c r="L418" s="109"/>
      <c r="M418" s="26"/>
      <c r="N418" s="26"/>
      <c r="O418" s="68"/>
      <c r="P418" s="1"/>
      <c r="Q418" s="8"/>
      <c r="R418" s="66"/>
      <c r="S418" s="1"/>
      <c r="T418" s="66"/>
      <c r="U418" s="8"/>
      <c r="V418" s="56"/>
      <c r="W418" s="1"/>
      <c r="X418" s="1"/>
      <c r="Y418" s="1"/>
    </row>
    <row r="419" spans="1:25">
      <c r="A419" s="57"/>
      <c r="B419" s="94"/>
      <c r="C419" s="68"/>
      <c r="D419" s="68"/>
      <c r="E419" s="68"/>
      <c r="F419" s="94"/>
      <c r="G419" s="94"/>
      <c r="H419" s="94"/>
      <c r="I419" s="94"/>
      <c r="J419" s="94"/>
      <c r="K419" s="94"/>
      <c r="L419" s="94"/>
      <c r="M419" s="26"/>
      <c r="N419" s="26"/>
      <c r="O419" s="68"/>
      <c r="P419" s="1"/>
      <c r="Q419" s="8"/>
      <c r="R419" s="66"/>
      <c r="S419" s="1"/>
      <c r="T419" s="66"/>
      <c r="U419" s="8"/>
      <c r="V419" s="56"/>
      <c r="W419" s="1"/>
      <c r="X419" s="1"/>
      <c r="Y419" s="1"/>
    </row>
    <row r="420" spans="1:25">
      <c r="A420" s="57"/>
      <c r="B420" s="94"/>
      <c r="C420" s="68"/>
      <c r="D420" s="68"/>
      <c r="E420" s="68"/>
      <c r="F420" s="94"/>
      <c r="G420" s="94"/>
      <c r="H420" s="94"/>
      <c r="I420" s="94"/>
      <c r="J420" s="94"/>
      <c r="K420" s="94"/>
      <c r="L420" s="94"/>
      <c r="M420" s="26"/>
      <c r="N420" s="26"/>
      <c r="O420" s="68"/>
      <c r="P420" s="1"/>
      <c r="Q420" s="8"/>
      <c r="R420" s="66"/>
      <c r="S420" s="1"/>
      <c r="T420" s="66"/>
      <c r="U420" s="8"/>
      <c r="V420" s="56"/>
      <c r="W420" s="1"/>
      <c r="X420" s="1"/>
      <c r="Y420" s="1"/>
    </row>
    <row r="421" spans="1:25">
      <c r="A421" s="57"/>
      <c r="B421" s="94"/>
      <c r="C421" s="68"/>
      <c r="D421" s="68"/>
      <c r="E421" s="68"/>
      <c r="F421" s="94"/>
      <c r="G421" s="94"/>
      <c r="H421" s="94"/>
      <c r="I421" s="94"/>
      <c r="J421" s="94"/>
      <c r="K421" s="94"/>
      <c r="L421" s="94"/>
      <c r="M421" s="26"/>
      <c r="N421" s="26"/>
      <c r="O421" s="68"/>
      <c r="P421" s="1"/>
      <c r="Q421" s="8"/>
      <c r="R421" s="66"/>
      <c r="S421" s="1"/>
      <c r="T421" s="66"/>
      <c r="U421" s="8"/>
      <c r="V421" s="56"/>
      <c r="W421" s="1"/>
      <c r="X421" s="1"/>
      <c r="Y421" s="1"/>
    </row>
    <row r="422" spans="1:25">
      <c r="A422" s="57"/>
      <c r="B422" s="94"/>
      <c r="C422" s="68"/>
      <c r="D422" s="68"/>
      <c r="E422" s="68"/>
      <c r="F422" s="94"/>
      <c r="G422" s="94"/>
      <c r="H422" s="94"/>
      <c r="I422" s="94"/>
      <c r="J422" s="94"/>
      <c r="K422" s="94"/>
      <c r="L422" s="94"/>
      <c r="M422" s="26"/>
      <c r="N422" s="26"/>
      <c r="O422" s="68"/>
      <c r="P422" s="1"/>
      <c r="Q422" s="8"/>
      <c r="R422" s="66"/>
      <c r="S422" s="1"/>
      <c r="T422" s="66"/>
      <c r="U422" s="8"/>
      <c r="V422" s="56"/>
      <c r="W422" s="1"/>
      <c r="X422" s="1"/>
      <c r="Y422" s="1"/>
    </row>
    <row r="423" spans="1:25">
      <c r="A423" s="57"/>
      <c r="B423" s="111"/>
      <c r="C423" s="68"/>
      <c r="D423" s="68"/>
      <c r="E423" s="68"/>
      <c r="F423" s="110"/>
      <c r="G423" s="110"/>
      <c r="H423" s="110"/>
      <c r="I423" s="110"/>
      <c r="J423" s="110"/>
      <c r="K423" s="110"/>
      <c r="L423" s="109"/>
      <c r="M423" s="26"/>
      <c r="N423" s="26"/>
      <c r="O423" s="68"/>
      <c r="P423" s="1"/>
      <c r="Q423" s="8"/>
      <c r="R423" s="66"/>
      <c r="S423" s="1"/>
      <c r="T423" s="66"/>
      <c r="U423" s="8"/>
      <c r="V423" s="56"/>
      <c r="W423" s="1"/>
      <c r="X423" s="1"/>
      <c r="Y423" s="1"/>
    </row>
    <row r="424" spans="1:25">
      <c r="A424" s="57"/>
      <c r="B424" s="94"/>
      <c r="C424" s="68"/>
      <c r="D424" s="68"/>
      <c r="E424" s="68"/>
      <c r="F424" s="94"/>
      <c r="G424" s="94"/>
      <c r="H424" s="94"/>
      <c r="I424" s="94"/>
      <c r="J424" s="94"/>
      <c r="K424" s="94"/>
      <c r="L424" s="94"/>
      <c r="M424" s="26"/>
      <c r="N424" s="26"/>
      <c r="O424" s="68"/>
      <c r="P424" s="1"/>
      <c r="Q424" s="8"/>
      <c r="R424" s="66"/>
      <c r="S424" s="1"/>
      <c r="T424" s="66"/>
      <c r="U424" s="8"/>
      <c r="V424" s="56"/>
      <c r="W424" s="1"/>
      <c r="X424" s="1"/>
      <c r="Y424" s="1"/>
    </row>
    <row r="425" spans="1:25">
      <c r="A425" s="57"/>
      <c r="B425" s="94"/>
      <c r="C425" s="68"/>
      <c r="D425" s="68"/>
      <c r="E425" s="68"/>
      <c r="F425" s="94"/>
      <c r="G425" s="94"/>
      <c r="H425" s="94"/>
      <c r="I425" s="94"/>
      <c r="J425" s="94"/>
      <c r="K425" s="94"/>
      <c r="L425" s="94"/>
      <c r="M425" s="26"/>
      <c r="N425" s="26"/>
      <c r="O425" s="68"/>
      <c r="P425" s="1"/>
      <c r="Q425" s="8"/>
      <c r="R425" s="66"/>
      <c r="S425" s="1"/>
      <c r="T425" s="66"/>
      <c r="U425" s="8"/>
      <c r="V425" s="56"/>
      <c r="W425" s="1"/>
      <c r="X425" s="1"/>
      <c r="Y425" s="1"/>
    </row>
    <row r="426" spans="1:25">
      <c r="A426" s="57"/>
      <c r="B426" s="94"/>
      <c r="C426" s="68"/>
      <c r="D426" s="68"/>
      <c r="E426" s="68"/>
      <c r="F426" s="94"/>
      <c r="G426" s="94"/>
      <c r="H426" s="94"/>
      <c r="I426" s="94"/>
      <c r="J426" s="94"/>
      <c r="K426" s="94"/>
      <c r="L426" s="94"/>
      <c r="M426" s="26"/>
      <c r="N426" s="26"/>
      <c r="O426" s="68"/>
      <c r="P426" s="1"/>
      <c r="Q426" s="8"/>
      <c r="R426" s="66"/>
      <c r="S426" s="1"/>
      <c r="T426" s="66"/>
      <c r="U426" s="8"/>
      <c r="V426" s="56"/>
      <c r="W426" s="1"/>
      <c r="X426" s="1"/>
      <c r="Y426" s="1"/>
    </row>
    <row r="427" spans="1:25">
      <c r="A427" s="57"/>
      <c r="B427" s="94"/>
      <c r="C427" s="68"/>
      <c r="D427" s="68"/>
      <c r="E427" s="68"/>
      <c r="F427" s="94"/>
      <c r="G427" s="94"/>
      <c r="H427" s="94"/>
      <c r="I427" s="94"/>
      <c r="J427" s="94"/>
      <c r="K427" s="94"/>
      <c r="L427" s="94"/>
      <c r="M427" s="26"/>
      <c r="N427" s="26"/>
      <c r="O427" s="68"/>
      <c r="P427" s="1"/>
      <c r="Q427" s="8"/>
      <c r="R427" s="66"/>
      <c r="S427" s="1"/>
      <c r="T427" s="66"/>
      <c r="U427" s="8"/>
      <c r="V427" s="56"/>
      <c r="W427" s="1"/>
      <c r="X427" s="1"/>
      <c r="Y427" s="1"/>
    </row>
    <row r="428" spans="1:25">
      <c r="A428" s="57"/>
      <c r="B428" s="111"/>
      <c r="C428" s="68"/>
      <c r="D428" s="68"/>
      <c r="E428" s="68"/>
      <c r="F428" s="110"/>
      <c r="G428" s="110"/>
      <c r="H428" s="110"/>
      <c r="I428" s="110"/>
      <c r="J428" s="110"/>
      <c r="K428" s="110"/>
      <c r="L428" s="109"/>
      <c r="M428" s="26"/>
      <c r="N428" s="26"/>
      <c r="O428" s="68"/>
      <c r="P428" s="1"/>
      <c r="Q428" s="8"/>
      <c r="R428" s="66"/>
      <c r="S428" s="1"/>
      <c r="T428" s="66"/>
      <c r="U428" s="8"/>
      <c r="V428" s="56"/>
      <c r="W428" s="1"/>
      <c r="X428" s="1"/>
      <c r="Y428" s="1"/>
    </row>
    <row r="429" spans="1:25">
      <c r="A429" s="57"/>
      <c r="B429" s="94"/>
      <c r="C429" s="68"/>
      <c r="D429" s="68"/>
      <c r="E429" s="68"/>
      <c r="F429" s="94"/>
      <c r="G429" s="94"/>
      <c r="H429" s="94"/>
      <c r="I429" s="94"/>
      <c r="J429" s="94"/>
      <c r="K429" s="94"/>
      <c r="L429" s="94"/>
      <c r="M429" s="26"/>
      <c r="N429" s="26"/>
      <c r="O429" s="68"/>
      <c r="P429" s="1"/>
      <c r="Q429" s="8"/>
      <c r="R429" s="66"/>
      <c r="S429" s="1"/>
      <c r="T429" s="66"/>
      <c r="U429" s="8"/>
      <c r="V429" s="56"/>
      <c r="W429" s="1"/>
      <c r="X429" s="1"/>
      <c r="Y429" s="1"/>
    </row>
    <row r="430" spans="1:25">
      <c r="A430" s="57"/>
      <c r="B430" s="94"/>
      <c r="C430" s="68"/>
      <c r="D430" s="68"/>
      <c r="E430" s="68"/>
      <c r="F430" s="94"/>
      <c r="G430" s="94"/>
      <c r="H430" s="94"/>
      <c r="I430" s="94"/>
      <c r="J430" s="94"/>
      <c r="K430" s="94"/>
      <c r="L430" s="94"/>
      <c r="M430" s="26"/>
      <c r="N430" s="26"/>
      <c r="O430" s="68"/>
      <c r="P430" s="1"/>
      <c r="Q430" s="8"/>
      <c r="R430" s="66"/>
      <c r="S430" s="1"/>
      <c r="T430" s="66"/>
      <c r="U430" s="8"/>
      <c r="V430" s="56"/>
      <c r="W430" s="1"/>
      <c r="X430" s="1"/>
      <c r="Y430" s="1"/>
    </row>
    <row r="431" spans="1:25">
      <c r="A431" s="57"/>
      <c r="B431" s="94"/>
      <c r="C431" s="68"/>
      <c r="D431" s="68"/>
      <c r="E431" s="68"/>
      <c r="F431" s="94"/>
      <c r="G431" s="94"/>
      <c r="H431" s="94"/>
      <c r="I431" s="94"/>
      <c r="J431" s="94"/>
      <c r="K431" s="94"/>
      <c r="L431" s="94"/>
      <c r="M431" s="26"/>
      <c r="N431" s="26"/>
      <c r="O431" s="68"/>
      <c r="P431" s="1"/>
      <c r="Q431" s="8"/>
      <c r="R431" s="66"/>
      <c r="S431" s="1"/>
      <c r="T431" s="66"/>
      <c r="U431" s="8"/>
      <c r="V431" s="56"/>
      <c r="W431" s="1"/>
      <c r="X431" s="1"/>
      <c r="Y431" s="1"/>
    </row>
    <row r="432" spans="1:25">
      <c r="A432" s="57"/>
      <c r="B432" s="94"/>
      <c r="C432" s="68"/>
      <c r="D432" s="68"/>
      <c r="E432" s="68"/>
      <c r="F432" s="94"/>
      <c r="G432" s="94"/>
      <c r="H432" s="94"/>
      <c r="I432" s="94"/>
      <c r="J432" s="94"/>
      <c r="K432" s="94"/>
      <c r="L432" s="94"/>
      <c r="M432" s="26"/>
      <c r="N432" s="26"/>
      <c r="O432" s="68"/>
      <c r="P432" s="1"/>
      <c r="Q432" s="8"/>
      <c r="R432" s="66"/>
      <c r="S432" s="1"/>
      <c r="T432" s="66"/>
      <c r="U432" s="8"/>
      <c r="V432" s="56"/>
      <c r="W432" s="1"/>
      <c r="X432" s="1"/>
      <c r="Y432" s="1"/>
    </row>
    <row r="433" spans="1:25">
      <c r="A433" s="57"/>
      <c r="B433" s="111"/>
      <c r="C433" s="68"/>
      <c r="D433" s="68"/>
      <c r="E433" s="68"/>
      <c r="F433" s="110"/>
      <c r="G433" s="110"/>
      <c r="H433" s="110"/>
      <c r="I433" s="110"/>
      <c r="J433" s="110"/>
      <c r="K433" s="110"/>
      <c r="L433" s="109"/>
      <c r="M433" s="26"/>
      <c r="N433" s="26"/>
      <c r="O433" s="68"/>
      <c r="P433" s="1"/>
      <c r="Q433" s="8"/>
      <c r="R433" s="66"/>
      <c r="S433" s="1"/>
      <c r="T433" s="66"/>
      <c r="U433" s="8"/>
      <c r="V433" s="56"/>
      <c r="W433" s="1"/>
      <c r="X433" s="1"/>
      <c r="Y433" s="1"/>
    </row>
    <row r="434" spans="1:25">
      <c r="A434" s="57"/>
      <c r="B434" s="94"/>
      <c r="C434" s="68"/>
      <c r="D434" s="68"/>
      <c r="E434" s="68"/>
      <c r="F434" s="94"/>
      <c r="G434" s="94"/>
      <c r="H434" s="94"/>
      <c r="I434" s="94"/>
      <c r="J434" s="94"/>
      <c r="K434" s="94"/>
      <c r="L434" s="94"/>
      <c r="M434" s="26"/>
      <c r="N434" s="26"/>
      <c r="O434" s="68"/>
      <c r="P434" s="1"/>
      <c r="Q434" s="8"/>
      <c r="R434" s="66"/>
      <c r="S434" s="1"/>
      <c r="T434" s="66"/>
      <c r="U434" s="8"/>
      <c r="V434" s="56"/>
      <c r="W434" s="1"/>
      <c r="X434" s="1"/>
      <c r="Y434" s="1"/>
    </row>
    <row r="435" spans="1:25">
      <c r="A435" s="57"/>
      <c r="B435" s="94"/>
      <c r="C435" s="68"/>
      <c r="D435" s="68"/>
      <c r="E435" s="68"/>
      <c r="F435" s="94"/>
      <c r="G435" s="94"/>
      <c r="H435" s="94"/>
      <c r="I435" s="94"/>
      <c r="J435" s="94"/>
      <c r="K435" s="94"/>
      <c r="L435" s="94"/>
      <c r="M435" s="26"/>
      <c r="N435" s="26"/>
      <c r="O435" s="68"/>
      <c r="P435" s="1"/>
      <c r="Q435" s="8"/>
      <c r="R435" s="66"/>
      <c r="S435" s="1"/>
      <c r="T435" s="66"/>
      <c r="U435" s="8"/>
      <c r="V435" s="56"/>
      <c r="W435" s="1"/>
      <c r="X435" s="1"/>
      <c r="Y435" s="1"/>
    </row>
    <row r="436" spans="1:25">
      <c r="A436" s="57"/>
      <c r="B436" s="94"/>
      <c r="C436" s="68"/>
      <c r="D436" s="68"/>
      <c r="E436" s="68"/>
      <c r="F436" s="94"/>
      <c r="G436" s="94"/>
      <c r="H436" s="94"/>
      <c r="I436" s="94"/>
      <c r="J436" s="94"/>
      <c r="K436" s="94"/>
      <c r="L436" s="94"/>
      <c r="M436" s="26"/>
      <c r="N436" s="26"/>
      <c r="O436" s="68"/>
      <c r="P436" s="1"/>
      <c r="Q436" s="8"/>
      <c r="R436" s="66"/>
      <c r="S436" s="1"/>
      <c r="T436" s="66"/>
      <c r="U436" s="8"/>
      <c r="V436" s="56"/>
      <c r="W436" s="1"/>
      <c r="X436" s="1"/>
      <c r="Y436" s="1"/>
    </row>
    <row r="437" spans="1:25">
      <c r="A437" s="57"/>
      <c r="B437" s="94"/>
      <c r="C437" s="68"/>
      <c r="D437" s="68"/>
      <c r="E437" s="68"/>
      <c r="F437" s="94"/>
      <c r="G437" s="94"/>
      <c r="H437" s="94"/>
      <c r="I437" s="94"/>
      <c r="J437" s="94"/>
      <c r="K437" s="94"/>
      <c r="L437" s="94"/>
      <c r="M437" s="26"/>
      <c r="N437" s="26"/>
      <c r="O437" s="68"/>
      <c r="P437" s="1"/>
      <c r="Q437" s="8"/>
      <c r="R437" s="66"/>
      <c r="S437" s="1"/>
      <c r="T437" s="66"/>
      <c r="U437" s="8"/>
      <c r="V437" s="56"/>
      <c r="W437" s="1"/>
      <c r="X437" s="1"/>
      <c r="Y437" s="1"/>
    </row>
    <row r="438" spans="1:25">
      <c r="A438" s="57"/>
      <c r="B438" s="111"/>
      <c r="C438" s="68"/>
      <c r="D438" s="68"/>
      <c r="E438" s="68"/>
      <c r="F438" s="110"/>
      <c r="G438" s="110"/>
      <c r="H438" s="110"/>
      <c r="I438" s="110"/>
      <c r="J438" s="110"/>
      <c r="K438" s="110"/>
      <c r="L438" s="109"/>
      <c r="M438" s="26"/>
      <c r="N438" s="26"/>
      <c r="O438" s="68"/>
      <c r="P438" s="1"/>
      <c r="Q438" s="8"/>
      <c r="R438" s="66"/>
      <c r="S438" s="1"/>
      <c r="T438" s="66"/>
      <c r="U438" s="8"/>
      <c r="V438" s="56"/>
      <c r="W438" s="1"/>
      <c r="X438" s="1"/>
      <c r="Y438" s="1"/>
    </row>
    <row r="439" spans="1:25">
      <c r="A439" s="57"/>
      <c r="B439" s="94"/>
      <c r="C439" s="68"/>
      <c r="D439" s="68"/>
      <c r="E439" s="68"/>
      <c r="F439" s="94"/>
      <c r="G439" s="94"/>
      <c r="H439" s="94"/>
      <c r="I439" s="94"/>
      <c r="J439" s="94"/>
      <c r="K439" s="94"/>
      <c r="L439" s="94"/>
      <c r="M439" s="26"/>
      <c r="N439" s="26"/>
      <c r="O439" s="68"/>
      <c r="P439" s="1"/>
      <c r="Q439" s="8"/>
      <c r="R439" s="66"/>
      <c r="S439" s="1"/>
      <c r="T439" s="66"/>
      <c r="U439" s="8"/>
      <c r="V439" s="56"/>
      <c r="W439" s="1"/>
      <c r="X439" s="1"/>
      <c r="Y439" s="1"/>
    </row>
    <row r="440" spans="1:25">
      <c r="A440" s="57"/>
      <c r="B440" s="94"/>
      <c r="C440" s="68"/>
      <c r="D440" s="68"/>
      <c r="E440" s="68"/>
      <c r="F440" s="94"/>
      <c r="G440" s="94"/>
      <c r="H440" s="94"/>
      <c r="I440" s="94"/>
      <c r="J440" s="94"/>
      <c r="K440" s="94"/>
      <c r="L440" s="94"/>
      <c r="M440" s="26"/>
      <c r="N440" s="26"/>
      <c r="O440" s="68"/>
      <c r="P440" s="1"/>
      <c r="Q440" s="8"/>
      <c r="R440" s="66"/>
      <c r="S440" s="1"/>
      <c r="T440" s="66"/>
      <c r="U440" s="8"/>
      <c r="V440" s="56"/>
      <c r="W440" s="1"/>
      <c r="X440" s="1"/>
      <c r="Y440" s="1"/>
    </row>
    <row r="441" spans="1:25">
      <c r="A441" s="57"/>
      <c r="B441" s="94"/>
      <c r="C441" s="68"/>
      <c r="D441" s="68"/>
      <c r="E441" s="68"/>
      <c r="F441" s="94"/>
      <c r="G441" s="94"/>
      <c r="H441" s="94"/>
      <c r="I441" s="94"/>
      <c r="J441" s="94"/>
      <c r="K441" s="94"/>
      <c r="L441" s="94"/>
      <c r="M441" s="26"/>
      <c r="N441" s="26"/>
      <c r="O441" s="68"/>
      <c r="P441" s="1"/>
      <c r="Q441" s="8"/>
      <c r="R441" s="66"/>
      <c r="S441" s="1"/>
      <c r="T441" s="66"/>
      <c r="U441" s="8"/>
      <c r="V441" s="56"/>
      <c r="W441" s="1"/>
      <c r="X441" s="1"/>
      <c r="Y441" s="1"/>
    </row>
    <row r="442" spans="1:25">
      <c r="A442" s="57"/>
      <c r="B442" s="94"/>
      <c r="C442" s="68"/>
      <c r="D442" s="68"/>
      <c r="E442" s="68"/>
      <c r="F442" s="94"/>
      <c r="G442" s="94"/>
      <c r="H442" s="94"/>
      <c r="I442" s="94"/>
      <c r="J442" s="94"/>
      <c r="K442" s="94"/>
      <c r="L442" s="94"/>
      <c r="M442" s="26"/>
      <c r="N442" s="26"/>
      <c r="O442" s="68"/>
      <c r="P442" s="1"/>
      <c r="Q442" s="8"/>
      <c r="R442" s="66"/>
      <c r="S442" s="1"/>
      <c r="T442" s="66"/>
      <c r="U442" s="8"/>
      <c r="V442" s="56"/>
      <c r="W442" s="1"/>
      <c r="X442" s="1"/>
      <c r="Y442" s="1"/>
    </row>
    <row r="443" spans="1:25">
      <c r="A443" s="57"/>
      <c r="B443" s="111"/>
      <c r="C443" s="68"/>
      <c r="D443" s="68"/>
      <c r="E443" s="68"/>
      <c r="F443" s="110"/>
      <c r="G443" s="110"/>
      <c r="H443" s="110"/>
      <c r="I443" s="110"/>
      <c r="J443" s="110"/>
      <c r="K443" s="110"/>
      <c r="L443" s="109"/>
      <c r="M443" s="26"/>
      <c r="N443" s="26"/>
      <c r="O443" s="68"/>
      <c r="P443" s="1"/>
      <c r="Q443" s="8"/>
      <c r="R443" s="66"/>
      <c r="S443" s="1"/>
      <c r="T443" s="66"/>
      <c r="U443" s="8"/>
      <c r="V443" s="56"/>
      <c r="W443" s="1"/>
      <c r="X443" s="1"/>
      <c r="Y443" s="1"/>
    </row>
    <row r="444" spans="1:25">
      <c r="A444" s="57"/>
      <c r="B444" s="94"/>
      <c r="C444" s="68"/>
      <c r="D444" s="68"/>
      <c r="E444" s="68"/>
      <c r="F444" s="94"/>
      <c r="G444" s="94"/>
      <c r="H444" s="94"/>
      <c r="I444" s="94"/>
      <c r="J444" s="94"/>
      <c r="K444" s="94"/>
      <c r="L444" s="94"/>
      <c r="M444" s="26"/>
      <c r="N444" s="26"/>
      <c r="O444" s="68"/>
      <c r="P444" s="1"/>
      <c r="Q444" s="8"/>
      <c r="R444" s="66"/>
      <c r="S444" s="1"/>
      <c r="T444" s="66"/>
      <c r="U444" s="8"/>
      <c r="V444" s="56"/>
      <c r="W444" s="1"/>
      <c r="X444" s="1"/>
      <c r="Y444" s="1"/>
    </row>
    <row r="445" spans="1:25">
      <c r="A445" s="57"/>
      <c r="B445" s="94"/>
      <c r="C445" s="68"/>
      <c r="D445" s="68"/>
      <c r="E445" s="68"/>
      <c r="F445" s="94"/>
      <c r="G445" s="94"/>
      <c r="H445" s="94"/>
      <c r="I445" s="94"/>
      <c r="J445" s="94"/>
      <c r="K445" s="94"/>
      <c r="L445" s="94"/>
      <c r="M445" s="26"/>
      <c r="N445" s="26"/>
      <c r="O445" s="68"/>
      <c r="P445" s="1"/>
      <c r="Q445" s="8"/>
      <c r="R445" s="66"/>
      <c r="S445" s="1"/>
      <c r="T445" s="66"/>
      <c r="U445" s="8"/>
      <c r="V445" s="56"/>
      <c r="W445" s="1"/>
      <c r="X445" s="1"/>
      <c r="Y445" s="1"/>
    </row>
    <row r="446" spans="1:25">
      <c r="A446" s="57"/>
      <c r="B446" s="94"/>
      <c r="C446" s="68"/>
      <c r="D446" s="68"/>
      <c r="E446" s="68"/>
      <c r="F446" s="94"/>
      <c r="G446" s="94"/>
      <c r="H446" s="94"/>
      <c r="I446" s="94"/>
      <c r="J446" s="94"/>
      <c r="K446" s="94"/>
      <c r="L446" s="94"/>
      <c r="M446" s="26"/>
      <c r="N446" s="26"/>
      <c r="O446" s="68"/>
      <c r="P446" s="1"/>
      <c r="Q446" s="8"/>
      <c r="R446" s="66"/>
      <c r="S446" s="1"/>
      <c r="T446" s="66"/>
      <c r="U446" s="8"/>
      <c r="V446" s="56"/>
      <c r="W446" s="1"/>
      <c r="X446" s="1"/>
      <c r="Y446" s="1"/>
    </row>
    <row r="447" spans="1:25">
      <c r="A447" s="57"/>
      <c r="B447" s="94"/>
      <c r="C447" s="68"/>
      <c r="D447" s="68"/>
      <c r="E447" s="68"/>
      <c r="F447" s="94"/>
      <c r="G447" s="94"/>
      <c r="H447" s="94"/>
      <c r="I447" s="94"/>
      <c r="J447" s="94"/>
      <c r="K447" s="94"/>
      <c r="L447" s="94"/>
      <c r="M447" s="26"/>
      <c r="N447" s="26"/>
      <c r="O447" s="68"/>
      <c r="P447" s="1"/>
      <c r="Q447" s="8"/>
      <c r="R447" s="66"/>
      <c r="S447" s="1"/>
      <c r="T447" s="66"/>
      <c r="U447" s="8"/>
      <c r="V447" s="56"/>
      <c r="W447" s="1"/>
      <c r="X447" s="1"/>
      <c r="Y447" s="1"/>
    </row>
    <row r="448" spans="1:25">
      <c r="A448" s="57"/>
      <c r="B448" s="111"/>
      <c r="C448" s="68"/>
      <c r="D448" s="68"/>
      <c r="E448" s="68"/>
      <c r="F448" s="110"/>
      <c r="G448" s="110"/>
      <c r="H448" s="110"/>
      <c r="I448" s="110"/>
      <c r="J448" s="110"/>
      <c r="K448" s="110"/>
      <c r="L448" s="109"/>
      <c r="M448" s="26"/>
      <c r="N448" s="26"/>
      <c r="O448" s="68"/>
      <c r="P448" s="1"/>
      <c r="Q448" s="8"/>
      <c r="R448" s="66"/>
      <c r="S448" s="1"/>
      <c r="T448" s="66"/>
      <c r="U448" s="8"/>
      <c r="V448" s="56"/>
      <c r="W448" s="1"/>
      <c r="X448" s="1"/>
      <c r="Y448" s="1"/>
    </row>
    <row r="449" spans="1:25">
      <c r="A449" s="57"/>
      <c r="B449" s="94"/>
      <c r="C449" s="68"/>
      <c r="D449" s="68"/>
      <c r="E449" s="68"/>
      <c r="F449" s="94"/>
      <c r="G449" s="94"/>
      <c r="H449" s="94"/>
      <c r="I449" s="94"/>
      <c r="J449" s="94"/>
      <c r="K449" s="94"/>
      <c r="L449" s="94"/>
      <c r="M449" s="26"/>
      <c r="N449" s="26"/>
      <c r="O449" s="68"/>
      <c r="P449" s="1"/>
      <c r="Q449" s="8"/>
      <c r="R449" s="66"/>
      <c r="S449" s="1"/>
      <c r="T449" s="66"/>
      <c r="U449" s="8"/>
      <c r="V449" s="56"/>
      <c r="W449" s="1"/>
      <c r="X449" s="1"/>
      <c r="Y449" s="1"/>
    </row>
    <row r="450" spans="1:25">
      <c r="A450" s="57"/>
      <c r="B450" s="94"/>
      <c r="C450" s="68"/>
      <c r="D450" s="68"/>
      <c r="E450" s="68"/>
      <c r="F450" s="94"/>
      <c r="G450" s="94"/>
      <c r="H450" s="94"/>
      <c r="I450" s="94"/>
      <c r="J450" s="94"/>
      <c r="K450" s="94"/>
      <c r="L450" s="94"/>
      <c r="M450" s="26"/>
      <c r="N450" s="26"/>
      <c r="O450" s="68"/>
      <c r="P450" s="1"/>
      <c r="Q450" s="8"/>
      <c r="R450" s="66"/>
      <c r="S450" s="1"/>
      <c r="T450" s="66"/>
      <c r="U450" s="8"/>
      <c r="V450" s="56"/>
      <c r="W450" s="1"/>
      <c r="X450" s="1"/>
      <c r="Y450" s="1"/>
    </row>
    <row r="451" spans="1:25">
      <c r="A451" s="57"/>
      <c r="B451" s="94"/>
      <c r="C451" s="68"/>
      <c r="D451" s="68"/>
      <c r="E451" s="68"/>
      <c r="F451" s="94"/>
      <c r="G451" s="94"/>
      <c r="H451" s="94"/>
      <c r="I451" s="94"/>
      <c r="J451" s="94"/>
      <c r="K451" s="94"/>
      <c r="L451" s="94"/>
      <c r="M451" s="26"/>
      <c r="N451" s="26"/>
      <c r="O451" s="68"/>
      <c r="P451" s="1"/>
      <c r="Q451" s="8"/>
      <c r="R451" s="66"/>
      <c r="S451" s="1"/>
      <c r="T451" s="66"/>
      <c r="U451" s="8"/>
      <c r="V451" s="56"/>
      <c r="W451" s="1"/>
      <c r="X451" s="1"/>
      <c r="Y451" s="1"/>
    </row>
    <row r="452" spans="1:25">
      <c r="A452" s="57"/>
      <c r="B452" s="94"/>
      <c r="C452" s="68"/>
      <c r="D452" s="68"/>
      <c r="E452" s="68"/>
      <c r="F452" s="94"/>
      <c r="G452" s="94"/>
      <c r="H452" s="94"/>
      <c r="I452" s="94"/>
      <c r="J452" s="94"/>
      <c r="K452" s="94"/>
      <c r="L452" s="94"/>
      <c r="M452" s="26"/>
      <c r="N452" s="26"/>
      <c r="O452" s="68"/>
      <c r="P452" s="1"/>
      <c r="Q452" s="8"/>
      <c r="R452" s="66"/>
      <c r="S452" s="1"/>
      <c r="T452" s="66"/>
      <c r="U452" s="8"/>
      <c r="V452" s="56"/>
      <c r="W452" s="1"/>
      <c r="X452" s="1"/>
      <c r="Y452" s="1"/>
    </row>
    <row r="453" spans="1:25">
      <c r="A453" s="57"/>
      <c r="B453" s="111"/>
      <c r="C453" s="68"/>
      <c r="D453" s="68"/>
      <c r="E453" s="68"/>
      <c r="F453" s="110"/>
      <c r="G453" s="110"/>
      <c r="H453" s="110"/>
      <c r="I453" s="110"/>
      <c r="J453" s="110"/>
      <c r="K453" s="110"/>
      <c r="L453" s="109"/>
      <c r="M453" s="26"/>
      <c r="N453" s="26"/>
      <c r="O453" s="68"/>
      <c r="P453" s="1"/>
      <c r="Q453" s="8"/>
      <c r="R453" s="66"/>
      <c r="S453" s="1"/>
      <c r="T453" s="66"/>
      <c r="U453" s="8"/>
      <c r="V453" s="56"/>
      <c r="W453" s="1"/>
      <c r="X453" s="1"/>
      <c r="Y453" s="1"/>
    </row>
    <row r="454" spans="1:25">
      <c r="A454" s="57"/>
      <c r="B454" s="94"/>
      <c r="C454" s="68"/>
      <c r="D454" s="68"/>
      <c r="E454" s="68"/>
      <c r="F454" s="94"/>
      <c r="G454" s="94"/>
      <c r="H454" s="94"/>
      <c r="I454" s="94"/>
      <c r="J454" s="94"/>
      <c r="K454" s="94"/>
      <c r="L454" s="94"/>
      <c r="M454" s="26"/>
      <c r="N454" s="26"/>
      <c r="O454" s="68"/>
      <c r="P454" s="1"/>
      <c r="Q454" s="8"/>
      <c r="R454" s="66"/>
      <c r="S454" s="1"/>
      <c r="T454" s="66"/>
      <c r="U454" s="8"/>
      <c r="V454" s="56"/>
      <c r="W454" s="1"/>
      <c r="X454" s="1"/>
      <c r="Y454" s="1"/>
    </row>
    <row r="455" spans="1:25">
      <c r="A455" s="57"/>
      <c r="B455" s="94"/>
      <c r="C455" s="68"/>
      <c r="D455" s="68"/>
      <c r="E455" s="68"/>
      <c r="F455" s="94"/>
      <c r="G455" s="94"/>
      <c r="H455" s="94"/>
      <c r="I455" s="94"/>
      <c r="J455" s="94"/>
      <c r="K455" s="94"/>
      <c r="L455" s="94"/>
      <c r="M455" s="26"/>
      <c r="N455" s="26"/>
      <c r="O455" s="68"/>
      <c r="P455" s="1"/>
      <c r="Q455" s="8"/>
      <c r="R455" s="66"/>
      <c r="S455" s="1"/>
      <c r="T455" s="66"/>
      <c r="U455" s="8"/>
      <c r="V455" s="56"/>
      <c r="W455" s="1"/>
      <c r="X455" s="1"/>
      <c r="Y455" s="1"/>
    </row>
    <row r="456" spans="1:25">
      <c r="A456" s="57"/>
      <c r="B456" s="94"/>
      <c r="C456" s="68"/>
      <c r="D456" s="68"/>
      <c r="E456" s="68"/>
      <c r="F456" s="94"/>
      <c r="G456" s="94"/>
      <c r="H456" s="94"/>
      <c r="I456" s="94"/>
      <c r="J456" s="94"/>
      <c r="K456" s="94"/>
      <c r="L456" s="94"/>
      <c r="M456" s="26"/>
      <c r="N456" s="26"/>
      <c r="O456" s="68"/>
      <c r="P456" s="1"/>
      <c r="Q456" s="8"/>
      <c r="R456" s="66"/>
      <c r="S456" s="1"/>
      <c r="T456" s="66"/>
      <c r="U456" s="8"/>
      <c r="V456" s="56"/>
      <c r="W456" s="1"/>
      <c r="X456" s="1"/>
      <c r="Y456" s="1"/>
    </row>
    <row r="457" spans="1:25">
      <c r="A457" s="57"/>
      <c r="B457" s="94"/>
      <c r="C457" s="68"/>
      <c r="D457" s="68"/>
      <c r="E457" s="68"/>
      <c r="F457" s="94"/>
      <c r="G457" s="94"/>
      <c r="H457" s="94"/>
      <c r="I457" s="94"/>
      <c r="J457" s="94"/>
      <c r="K457" s="94"/>
      <c r="L457" s="94"/>
      <c r="M457" s="26"/>
      <c r="N457" s="26"/>
      <c r="O457" s="68"/>
      <c r="P457" s="1"/>
      <c r="Q457" s="8"/>
      <c r="R457" s="66"/>
      <c r="S457" s="1"/>
      <c r="T457" s="66"/>
      <c r="U457" s="8"/>
      <c r="V457" s="56"/>
      <c r="W457" s="1"/>
      <c r="X457" s="1"/>
      <c r="Y457" s="1"/>
    </row>
    <row r="458" spans="1:25">
      <c r="A458" s="57"/>
      <c r="B458" s="111"/>
      <c r="C458" s="68"/>
      <c r="D458" s="68"/>
      <c r="E458" s="68"/>
      <c r="F458" s="110"/>
      <c r="G458" s="110"/>
      <c r="H458" s="110"/>
      <c r="I458" s="110"/>
      <c r="J458" s="110"/>
      <c r="K458" s="110"/>
      <c r="L458" s="109"/>
      <c r="M458" s="26"/>
      <c r="N458" s="26"/>
      <c r="O458" s="68"/>
      <c r="P458" s="1"/>
      <c r="Q458" s="8"/>
      <c r="R458" s="66"/>
      <c r="S458" s="1"/>
      <c r="T458" s="66"/>
      <c r="U458" s="8"/>
      <c r="V458" s="56"/>
      <c r="W458" s="1"/>
      <c r="X458" s="1"/>
      <c r="Y458" s="1"/>
    </row>
    <row r="459" spans="1:25">
      <c r="A459" s="57"/>
      <c r="B459" s="94"/>
      <c r="C459" s="68"/>
      <c r="D459" s="68"/>
      <c r="E459" s="68"/>
      <c r="F459" s="94"/>
      <c r="G459" s="94"/>
      <c r="H459" s="94"/>
      <c r="I459" s="94"/>
      <c r="J459" s="94"/>
      <c r="K459" s="94"/>
      <c r="L459" s="94"/>
      <c r="M459" s="26"/>
      <c r="N459" s="26"/>
      <c r="O459" s="68"/>
      <c r="P459" s="1"/>
      <c r="Q459" s="8"/>
      <c r="R459" s="66"/>
      <c r="S459" s="1"/>
      <c r="T459" s="66"/>
      <c r="U459" s="8"/>
      <c r="V459" s="56"/>
      <c r="W459" s="1"/>
      <c r="X459" s="1"/>
      <c r="Y459" s="1"/>
    </row>
    <row r="460" spans="1:25">
      <c r="A460" s="57"/>
      <c r="B460" s="94"/>
      <c r="C460" s="68"/>
      <c r="D460" s="68"/>
      <c r="E460" s="68"/>
      <c r="F460" s="94"/>
      <c r="G460" s="94"/>
      <c r="H460" s="94"/>
      <c r="I460" s="94"/>
      <c r="J460" s="94"/>
      <c r="K460" s="94"/>
      <c r="L460" s="94"/>
      <c r="M460" s="26"/>
      <c r="N460" s="26"/>
      <c r="O460" s="68"/>
      <c r="P460" s="1"/>
      <c r="Q460" s="8"/>
      <c r="R460" s="66"/>
      <c r="S460" s="1"/>
      <c r="T460" s="66"/>
      <c r="U460" s="8"/>
      <c r="V460" s="56"/>
      <c r="W460" s="1"/>
      <c r="X460" s="1"/>
      <c r="Y460" s="1"/>
    </row>
    <row r="461" spans="1:25">
      <c r="A461" s="57"/>
      <c r="B461" s="94"/>
      <c r="C461" s="68"/>
      <c r="D461" s="68"/>
      <c r="E461" s="68"/>
      <c r="F461" s="94"/>
      <c r="G461" s="94"/>
      <c r="H461" s="94"/>
      <c r="I461" s="94"/>
      <c r="J461" s="94"/>
      <c r="K461" s="94"/>
      <c r="L461" s="94"/>
      <c r="M461" s="26"/>
      <c r="N461" s="26"/>
      <c r="O461" s="68"/>
      <c r="P461" s="1"/>
      <c r="Q461" s="8"/>
      <c r="R461" s="66"/>
      <c r="S461" s="1"/>
      <c r="T461" s="66"/>
      <c r="U461" s="8"/>
      <c r="V461" s="56"/>
      <c r="W461" s="1"/>
      <c r="X461" s="1"/>
      <c r="Y461" s="1"/>
    </row>
    <row r="462" spans="1:25">
      <c r="A462" s="57"/>
      <c r="B462" s="94"/>
      <c r="C462" s="68"/>
      <c r="D462" s="68"/>
      <c r="E462" s="68"/>
      <c r="F462" s="94"/>
      <c r="G462" s="94"/>
      <c r="H462" s="94"/>
      <c r="I462" s="94"/>
      <c r="J462" s="94"/>
      <c r="K462" s="94"/>
      <c r="L462" s="94"/>
      <c r="M462" s="26"/>
      <c r="N462" s="26"/>
      <c r="O462" s="68"/>
      <c r="P462" s="1"/>
      <c r="Q462" s="8"/>
      <c r="R462" s="66"/>
      <c r="S462" s="1"/>
      <c r="T462" s="66"/>
      <c r="U462" s="8"/>
      <c r="V462" s="56"/>
      <c r="W462" s="1"/>
      <c r="X462" s="1"/>
      <c r="Y462" s="1"/>
    </row>
    <row r="463" spans="1:25">
      <c r="A463" s="57"/>
      <c r="B463" s="111"/>
      <c r="C463" s="68"/>
      <c r="D463" s="68"/>
      <c r="E463" s="68"/>
      <c r="F463" s="110"/>
      <c r="G463" s="110"/>
      <c r="H463" s="110"/>
      <c r="I463" s="110"/>
      <c r="J463" s="110"/>
      <c r="K463" s="110"/>
      <c r="L463" s="109"/>
      <c r="M463" s="26"/>
      <c r="N463" s="26"/>
      <c r="O463" s="68"/>
      <c r="P463" s="1"/>
      <c r="Q463" s="8"/>
      <c r="R463" s="66"/>
      <c r="S463" s="1"/>
      <c r="T463" s="66"/>
      <c r="U463" s="8"/>
      <c r="V463" s="56"/>
      <c r="W463" s="1"/>
      <c r="X463" s="1"/>
      <c r="Y463" s="1"/>
    </row>
    <row r="464" spans="1:25">
      <c r="A464" s="57"/>
      <c r="B464" s="94"/>
      <c r="C464" s="68"/>
      <c r="D464" s="68"/>
      <c r="E464" s="68"/>
      <c r="F464" s="94"/>
      <c r="G464" s="94"/>
      <c r="H464" s="94"/>
      <c r="I464" s="94"/>
      <c r="J464" s="94"/>
      <c r="K464" s="94"/>
      <c r="L464" s="94"/>
      <c r="M464" s="26"/>
      <c r="N464" s="26"/>
      <c r="O464" s="68"/>
      <c r="P464" s="1"/>
      <c r="Q464" s="8"/>
      <c r="R464" s="66"/>
      <c r="S464" s="1"/>
      <c r="T464" s="66"/>
      <c r="U464" s="8"/>
      <c r="V464" s="56"/>
      <c r="W464" s="1"/>
      <c r="X464" s="1"/>
      <c r="Y464" s="1"/>
    </row>
    <row r="465" spans="1:25">
      <c r="A465" s="57"/>
      <c r="B465" s="94"/>
      <c r="C465" s="68"/>
      <c r="D465" s="68"/>
      <c r="E465" s="68"/>
      <c r="F465" s="94"/>
      <c r="G465" s="94"/>
      <c r="H465" s="94"/>
      <c r="I465" s="94"/>
      <c r="J465" s="94"/>
      <c r="K465" s="94"/>
      <c r="L465" s="94"/>
      <c r="M465" s="26"/>
      <c r="N465" s="26"/>
      <c r="O465" s="68"/>
      <c r="P465" s="1"/>
      <c r="Q465" s="8"/>
      <c r="R465" s="66"/>
      <c r="S465" s="1"/>
      <c r="T465" s="66"/>
      <c r="U465" s="8"/>
      <c r="V465" s="56"/>
      <c r="W465" s="1"/>
      <c r="X465" s="1"/>
      <c r="Y465" s="1"/>
    </row>
    <row r="466" spans="1:25">
      <c r="A466" s="57"/>
      <c r="B466" s="94"/>
      <c r="C466" s="68"/>
      <c r="D466" s="68"/>
      <c r="E466" s="68"/>
      <c r="F466" s="94"/>
      <c r="G466" s="94"/>
      <c r="H466" s="94"/>
      <c r="I466" s="94"/>
      <c r="J466" s="94"/>
      <c r="K466" s="94"/>
      <c r="L466" s="94"/>
      <c r="M466" s="26"/>
      <c r="N466" s="26"/>
      <c r="O466" s="68"/>
      <c r="P466" s="1"/>
      <c r="Q466" s="8"/>
      <c r="R466" s="66"/>
      <c r="S466" s="1"/>
      <c r="T466" s="66"/>
      <c r="U466" s="8"/>
      <c r="V466" s="56"/>
      <c r="W466" s="1"/>
      <c r="X466" s="1"/>
      <c r="Y466" s="1"/>
    </row>
    <row r="467" spans="1:25">
      <c r="A467" s="57"/>
      <c r="B467" s="94"/>
      <c r="C467" s="68"/>
      <c r="D467" s="68"/>
      <c r="E467" s="68"/>
      <c r="F467" s="94"/>
      <c r="G467" s="94"/>
      <c r="H467" s="94"/>
      <c r="I467" s="94"/>
      <c r="J467" s="94"/>
      <c r="K467" s="94"/>
      <c r="L467" s="94"/>
      <c r="M467" s="26"/>
      <c r="N467" s="26"/>
      <c r="O467" s="68"/>
      <c r="P467" s="1"/>
      <c r="Q467" s="8"/>
      <c r="R467" s="66"/>
      <c r="S467" s="1"/>
      <c r="T467" s="66"/>
      <c r="U467" s="8"/>
      <c r="V467" s="56"/>
      <c r="W467" s="1"/>
      <c r="X467" s="1"/>
      <c r="Y467" s="1"/>
    </row>
    <row r="468" spans="1:25">
      <c r="A468" s="57"/>
      <c r="B468" s="111"/>
      <c r="C468" s="68"/>
      <c r="D468" s="68"/>
      <c r="E468" s="68"/>
      <c r="F468" s="110"/>
      <c r="G468" s="110"/>
      <c r="H468" s="110"/>
      <c r="I468" s="110"/>
      <c r="J468" s="110"/>
      <c r="K468" s="110"/>
      <c r="L468" s="109"/>
      <c r="M468" s="26"/>
      <c r="N468" s="26"/>
      <c r="O468" s="68"/>
      <c r="P468" s="1"/>
      <c r="Q468" s="8"/>
      <c r="R468" s="66"/>
      <c r="S468" s="1"/>
      <c r="T468" s="66"/>
      <c r="U468" s="8"/>
      <c r="V468" s="56"/>
      <c r="W468" s="1"/>
      <c r="X468" s="1"/>
      <c r="Y468" s="1"/>
    </row>
    <row r="469" spans="1:25">
      <c r="A469" s="57"/>
      <c r="B469" s="94"/>
      <c r="C469" s="68"/>
      <c r="D469" s="68"/>
      <c r="E469" s="68"/>
      <c r="F469" s="94"/>
      <c r="G469" s="94"/>
      <c r="H469" s="94"/>
      <c r="I469" s="94"/>
      <c r="J469" s="94"/>
      <c r="K469" s="94"/>
      <c r="L469" s="94"/>
      <c r="M469" s="26"/>
      <c r="N469" s="26"/>
      <c r="O469" s="68"/>
      <c r="P469" s="1"/>
      <c r="Q469" s="8"/>
      <c r="R469" s="66"/>
      <c r="S469" s="1"/>
      <c r="T469" s="66"/>
      <c r="U469" s="8"/>
      <c r="V469" s="56"/>
      <c r="W469" s="1"/>
      <c r="X469" s="1"/>
      <c r="Y469" s="1"/>
    </row>
    <row r="470" spans="1:25">
      <c r="A470" s="57"/>
      <c r="B470" s="94"/>
      <c r="C470" s="68"/>
      <c r="D470" s="68"/>
      <c r="E470" s="68"/>
      <c r="F470" s="94"/>
      <c r="G470" s="94"/>
      <c r="H470" s="94"/>
      <c r="I470" s="94"/>
      <c r="J470" s="94"/>
      <c r="K470" s="94"/>
      <c r="L470" s="94"/>
      <c r="M470" s="26"/>
      <c r="N470" s="26"/>
      <c r="O470" s="68"/>
      <c r="P470" s="1"/>
      <c r="Q470" s="8"/>
      <c r="R470" s="66"/>
      <c r="S470" s="1"/>
      <c r="T470" s="66"/>
      <c r="U470" s="8"/>
      <c r="V470" s="56"/>
      <c r="W470" s="1"/>
      <c r="X470" s="1"/>
      <c r="Y470" s="1"/>
    </row>
    <row r="471" spans="1:25">
      <c r="A471" s="57"/>
      <c r="B471" s="94"/>
      <c r="C471" s="68"/>
      <c r="D471" s="68"/>
      <c r="E471" s="68"/>
      <c r="F471" s="94"/>
      <c r="G471" s="94"/>
      <c r="H471" s="94"/>
      <c r="I471" s="94"/>
      <c r="J471" s="94"/>
      <c r="K471" s="94"/>
      <c r="L471" s="94"/>
      <c r="M471" s="26"/>
      <c r="N471" s="26"/>
      <c r="O471" s="68"/>
      <c r="P471" s="1"/>
      <c r="Q471" s="8"/>
      <c r="R471" s="66"/>
      <c r="S471" s="1"/>
      <c r="T471" s="66"/>
      <c r="U471" s="8"/>
      <c r="V471" s="56"/>
      <c r="W471" s="1"/>
      <c r="X471" s="1"/>
      <c r="Y471" s="1"/>
    </row>
    <row r="472" spans="1:25">
      <c r="A472" s="57"/>
      <c r="B472" s="94"/>
      <c r="C472" s="68"/>
      <c r="D472" s="68"/>
      <c r="E472" s="68"/>
      <c r="F472" s="94"/>
      <c r="G472" s="94"/>
      <c r="H472" s="94"/>
      <c r="I472" s="94"/>
      <c r="J472" s="94"/>
      <c r="K472" s="94"/>
      <c r="L472" s="94"/>
      <c r="M472" s="26"/>
      <c r="N472" s="26"/>
      <c r="O472" s="68"/>
      <c r="P472" s="1"/>
      <c r="Q472" s="8"/>
      <c r="R472" s="66"/>
      <c r="S472" s="1"/>
      <c r="T472" s="66"/>
      <c r="U472" s="8"/>
      <c r="V472" s="56"/>
      <c r="W472" s="1"/>
      <c r="X472" s="1"/>
      <c r="Y472" s="1"/>
    </row>
    <row r="473" spans="1:25">
      <c r="A473" s="57"/>
      <c r="B473" s="111"/>
      <c r="C473" s="68"/>
      <c r="D473" s="68"/>
      <c r="E473" s="68"/>
      <c r="F473" s="110"/>
      <c r="G473" s="110"/>
      <c r="H473" s="110"/>
      <c r="I473" s="110"/>
      <c r="J473" s="110"/>
      <c r="K473" s="110"/>
      <c r="L473" s="109"/>
      <c r="M473" s="26"/>
      <c r="N473" s="26"/>
      <c r="O473" s="68"/>
      <c r="P473" s="1"/>
      <c r="Q473" s="8"/>
      <c r="R473" s="66"/>
      <c r="S473" s="1"/>
      <c r="T473" s="66"/>
      <c r="U473" s="8"/>
      <c r="V473" s="56"/>
      <c r="W473" s="1"/>
      <c r="X473" s="1"/>
      <c r="Y473" s="1"/>
    </row>
    <row r="474" spans="1:25">
      <c r="A474" s="57"/>
      <c r="B474" s="94"/>
      <c r="C474" s="68"/>
      <c r="D474" s="68"/>
      <c r="E474" s="68"/>
      <c r="F474" s="94"/>
      <c r="G474" s="94"/>
      <c r="H474" s="94"/>
      <c r="I474" s="94"/>
      <c r="J474" s="94"/>
      <c r="K474" s="94"/>
      <c r="L474" s="94"/>
      <c r="M474" s="26"/>
      <c r="N474" s="26"/>
      <c r="O474" s="68"/>
      <c r="P474" s="1"/>
      <c r="Q474" s="8"/>
      <c r="R474" s="66"/>
      <c r="S474" s="1"/>
      <c r="T474" s="66"/>
      <c r="U474" s="8"/>
      <c r="V474" s="56"/>
      <c r="W474" s="1"/>
      <c r="X474" s="1"/>
      <c r="Y474" s="1"/>
    </row>
    <row r="475" spans="1:25">
      <c r="A475" s="57"/>
      <c r="B475" s="94"/>
      <c r="C475" s="68"/>
      <c r="D475" s="68"/>
      <c r="E475" s="68"/>
      <c r="F475" s="94"/>
      <c r="G475" s="94"/>
      <c r="H475" s="94"/>
      <c r="I475" s="94"/>
      <c r="J475" s="94"/>
      <c r="K475" s="94"/>
      <c r="L475" s="94"/>
      <c r="M475" s="26"/>
      <c r="N475" s="26"/>
      <c r="O475" s="68"/>
      <c r="P475" s="1"/>
      <c r="Q475" s="8"/>
      <c r="R475" s="66"/>
      <c r="S475" s="1"/>
      <c r="T475" s="66"/>
      <c r="U475" s="8"/>
      <c r="V475" s="56"/>
      <c r="W475" s="1"/>
      <c r="X475" s="1"/>
      <c r="Y475" s="1"/>
    </row>
    <row r="476" spans="1:25">
      <c r="A476" s="57"/>
      <c r="B476" s="94"/>
      <c r="C476" s="68"/>
      <c r="D476" s="68"/>
      <c r="E476" s="68"/>
      <c r="F476" s="94"/>
      <c r="G476" s="94"/>
      <c r="H476" s="94"/>
      <c r="I476" s="94"/>
      <c r="J476" s="94"/>
      <c r="K476" s="94"/>
      <c r="L476" s="94"/>
      <c r="M476" s="26"/>
      <c r="N476" s="26"/>
      <c r="O476" s="68"/>
      <c r="P476" s="1"/>
      <c r="Q476" s="8"/>
      <c r="R476" s="66"/>
      <c r="S476" s="1"/>
      <c r="T476" s="66"/>
      <c r="U476" s="8"/>
      <c r="V476" s="56"/>
      <c r="W476" s="1"/>
      <c r="X476" s="1"/>
      <c r="Y476" s="1"/>
    </row>
    <row r="477" spans="1:25">
      <c r="A477" s="57"/>
      <c r="B477" s="94"/>
      <c r="C477" s="68"/>
      <c r="D477" s="68"/>
      <c r="E477" s="68"/>
      <c r="F477" s="94"/>
      <c r="G477" s="94"/>
      <c r="H477" s="94"/>
      <c r="I477" s="94"/>
      <c r="J477" s="94"/>
      <c r="K477" s="94"/>
      <c r="L477" s="94"/>
      <c r="M477" s="26"/>
      <c r="N477" s="26"/>
      <c r="O477" s="68"/>
      <c r="P477" s="1"/>
      <c r="Q477" s="8"/>
      <c r="R477" s="66"/>
      <c r="S477" s="1"/>
      <c r="T477" s="66"/>
      <c r="U477" s="8"/>
      <c r="V477" s="56"/>
      <c r="W477" s="1"/>
      <c r="X477" s="1"/>
      <c r="Y477" s="1"/>
    </row>
    <row r="478" spans="1:25">
      <c r="A478" s="57"/>
      <c r="B478" s="111"/>
      <c r="C478" s="68"/>
      <c r="D478" s="68"/>
      <c r="E478" s="68"/>
      <c r="F478" s="110"/>
      <c r="G478" s="110"/>
      <c r="H478" s="110"/>
      <c r="I478" s="110"/>
      <c r="J478" s="110"/>
      <c r="K478" s="110"/>
      <c r="L478" s="109"/>
      <c r="M478" s="26"/>
      <c r="N478" s="26"/>
      <c r="O478" s="68"/>
      <c r="P478" s="1"/>
      <c r="Q478" s="8"/>
      <c r="R478" s="66"/>
      <c r="S478" s="1"/>
      <c r="T478" s="66"/>
      <c r="U478" s="8"/>
      <c r="V478" s="56"/>
      <c r="W478" s="1"/>
      <c r="X478" s="1"/>
      <c r="Y478" s="1"/>
    </row>
    <row r="479" spans="1:25">
      <c r="A479" s="57"/>
      <c r="B479" s="94"/>
      <c r="C479" s="68"/>
      <c r="D479" s="68"/>
      <c r="E479" s="68"/>
      <c r="F479" s="94"/>
      <c r="G479" s="94"/>
      <c r="H479" s="94"/>
      <c r="I479" s="94"/>
      <c r="J479" s="94"/>
      <c r="K479" s="94"/>
      <c r="L479" s="94"/>
      <c r="M479" s="26"/>
      <c r="N479" s="26"/>
      <c r="O479" s="68"/>
      <c r="P479" s="1"/>
      <c r="Q479" s="8"/>
      <c r="R479" s="66"/>
      <c r="S479" s="1"/>
      <c r="T479" s="66"/>
      <c r="U479" s="8"/>
      <c r="V479" s="56"/>
      <c r="W479" s="1"/>
      <c r="X479" s="1"/>
      <c r="Y479" s="1"/>
    </row>
    <row r="480" spans="1:25">
      <c r="A480" s="57"/>
      <c r="B480" s="94"/>
      <c r="C480" s="68"/>
      <c r="D480" s="68"/>
      <c r="E480" s="68"/>
      <c r="F480" s="94"/>
      <c r="G480" s="94"/>
      <c r="H480" s="94"/>
      <c r="I480" s="94"/>
      <c r="J480" s="94"/>
      <c r="K480" s="94"/>
      <c r="L480" s="94"/>
      <c r="M480" s="26"/>
      <c r="N480" s="26"/>
      <c r="O480" s="68"/>
      <c r="P480" s="1"/>
      <c r="Q480" s="8"/>
      <c r="R480" s="66"/>
      <c r="S480" s="1"/>
      <c r="T480" s="66"/>
      <c r="U480" s="8"/>
      <c r="V480" s="56"/>
      <c r="W480" s="1"/>
      <c r="X480" s="1"/>
      <c r="Y480" s="1"/>
    </row>
    <row r="481" spans="1:25">
      <c r="A481" s="57"/>
      <c r="B481" s="94"/>
      <c r="C481" s="68"/>
      <c r="D481" s="68"/>
      <c r="E481" s="68"/>
      <c r="F481" s="94"/>
      <c r="G481" s="94"/>
      <c r="H481" s="94"/>
      <c r="I481" s="94"/>
      <c r="J481" s="94"/>
      <c r="K481" s="94"/>
      <c r="L481" s="94"/>
      <c r="M481" s="26"/>
      <c r="N481" s="26"/>
      <c r="O481" s="68"/>
      <c r="P481" s="1"/>
      <c r="Q481" s="8"/>
      <c r="R481" s="66"/>
      <c r="S481" s="1"/>
      <c r="T481" s="66"/>
      <c r="U481" s="8"/>
      <c r="V481" s="56"/>
      <c r="W481" s="1"/>
      <c r="X481" s="1"/>
      <c r="Y481" s="1"/>
    </row>
    <row r="482" spans="1:25">
      <c r="A482" s="57"/>
      <c r="B482" s="94"/>
      <c r="C482" s="68"/>
      <c r="D482" s="68"/>
      <c r="E482" s="68"/>
      <c r="F482" s="94"/>
      <c r="G482" s="94"/>
      <c r="H482" s="94"/>
      <c r="I482" s="94"/>
      <c r="J482" s="94"/>
      <c r="K482" s="94"/>
      <c r="L482" s="94"/>
      <c r="M482" s="26"/>
      <c r="N482" s="26"/>
      <c r="O482" s="68"/>
      <c r="P482" s="1"/>
      <c r="Q482" s="8"/>
      <c r="R482" s="66"/>
      <c r="S482" s="1"/>
      <c r="T482" s="66"/>
      <c r="U482" s="8"/>
      <c r="V482" s="56"/>
      <c r="W482" s="1"/>
      <c r="X482" s="1"/>
      <c r="Y482" s="1"/>
    </row>
    <row r="483" spans="1:25">
      <c r="A483" s="57"/>
      <c r="B483" s="111"/>
      <c r="C483" s="68"/>
      <c r="D483" s="68"/>
      <c r="E483" s="68"/>
      <c r="F483" s="110"/>
      <c r="G483" s="110"/>
      <c r="H483" s="110"/>
      <c r="I483" s="110"/>
      <c r="J483" s="110"/>
      <c r="K483" s="110"/>
      <c r="L483" s="109"/>
      <c r="M483" s="26"/>
      <c r="N483" s="26"/>
      <c r="O483" s="68"/>
      <c r="P483" s="1"/>
      <c r="Q483" s="8"/>
      <c r="R483" s="66"/>
      <c r="S483" s="1"/>
      <c r="T483" s="66"/>
      <c r="U483" s="8"/>
      <c r="V483" s="56"/>
      <c r="W483" s="1"/>
      <c r="X483" s="1"/>
      <c r="Y483" s="1"/>
    </row>
    <row r="484" spans="1:25">
      <c r="A484" s="57"/>
      <c r="B484" s="94"/>
      <c r="C484" s="68"/>
      <c r="D484" s="68"/>
      <c r="E484" s="68"/>
      <c r="F484" s="94"/>
      <c r="G484" s="94"/>
      <c r="H484" s="94"/>
      <c r="I484" s="94"/>
      <c r="J484" s="94"/>
      <c r="K484" s="94"/>
      <c r="L484" s="94"/>
      <c r="M484" s="26"/>
      <c r="N484" s="26"/>
      <c r="O484" s="68"/>
      <c r="P484" s="1"/>
      <c r="Q484" s="8"/>
      <c r="R484" s="66"/>
      <c r="S484" s="1"/>
      <c r="T484" s="66"/>
      <c r="U484" s="8"/>
      <c r="V484" s="56"/>
      <c r="W484" s="1"/>
      <c r="X484" s="1"/>
      <c r="Y484" s="1"/>
    </row>
    <row r="485" spans="1:25">
      <c r="A485" s="57"/>
      <c r="B485" s="94"/>
      <c r="C485" s="68"/>
      <c r="D485" s="68"/>
      <c r="E485" s="68"/>
      <c r="F485" s="94"/>
      <c r="G485" s="94"/>
      <c r="H485" s="94"/>
      <c r="I485" s="94"/>
      <c r="J485" s="94"/>
      <c r="K485" s="94"/>
      <c r="L485" s="94"/>
      <c r="M485" s="26"/>
      <c r="N485" s="26"/>
      <c r="O485" s="68"/>
      <c r="P485" s="1"/>
      <c r="Q485" s="8"/>
      <c r="R485" s="66"/>
      <c r="S485" s="1"/>
      <c r="T485" s="66"/>
      <c r="U485" s="8"/>
      <c r="V485" s="56"/>
      <c r="W485" s="1"/>
      <c r="X485" s="1"/>
      <c r="Y485" s="1"/>
    </row>
    <row r="486" spans="1:25">
      <c r="A486" s="57"/>
      <c r="B486" s="94"/>
      <c r="C486" s="68"/>
      <c r="D486" s="68"/>
      <c r="E486" s="68"/>
      <c r="F486" s="94"/>
      <c r="G486" s="94"/>
      <c r="H486" s="94"/>
      <c r="I486" s="94"/>
      <c r="J486" s="94"/>
      <c r="K486" s="94"/>
      <c r="L486" s="94"/>
      <c r="M486" s="26"/>
      <c r="N486" s="26"/>
      <c r="O486" s="68"/>
      <c r="P486" s="1"/>
      <c r="Q486" s="8"/>
      <c r="R486" s="66"/>
      <c r="S486" s="1"/>
      <c r="T486" s="66"/>
      <c r="U486" s="8"/>
      <c r="V486" s="56"/>
      <c r="W486" s="1"/>
      <c r="X486" s="1"/>
      <c r="Y486" s="1"/>
    </row>
    <row r="487" spans="1:25">
      <c r="A487" s="57"/>
      <c r="B487" s="94"/>
      <c r="C487" s="68"/>
      <c r="D487" s="68"/>
      <c r="E487" s="68"/>
      <c r="F487" s="94"/>
      <c r="G487" s="94"/>
      <c r="H487" s="94"/>
      <c r="I487" s="94"/>
      <c r="J487" s="94"/>
      <c r="K487" s="94"/>
      <c r="L487" s="94"/>
      <c r="M487" s="26"/>
      <c r="N487" s="26"/>
      <c r="O487" s="68"/>
      <c r="P487" s="1"/>
      <c r="Q487" s="8"/>
      <c r="R487" s="66"/>
      <c r="S487" s="1"/>
      <c r="T487" s="66"/>
      <c r="U487" s="8"/>
      <c r="V487" s="56"/>
      <c r="W487" s="1"/>
      <c r="X487" s="1"/>
      <c r="Y487" s="1"/>
    </row>
    <row r="488" spans="1:25">
      <c r="A488" s="57"/>
      <c r="B488" s="111"/>
      <c r="C488" s="68"/>
      <c r="D488" s="68"/>
      <c r="E488" s="68"/>
      <c r="F488" s="110"/>
      <c r="G488" s="110"/>
      <c r="H488" s="110"/>
      <c r="I488" s="110"/>
      <c r="J488" s="110"/>
      <c r="K488" s="110"/>
      <c r="L488" s="109"/>
      <c r="M488" s="26"/>
      <c r="N488" s="26"/>
      <c r="O488" s="68"/>
      <c r="P488" s="1"/>
      <c r="Q488" s="8"/>
      <c r="R488" s="66"/>
      <c r="S488" s="1"/>
      <c r="T488" s="66"/>
      <c r="U488" s="8"/>
      <c r="V488" s="56"/>
      <c r="W488" s="1"/>
      <c r="X488" s="1"/>
      <c r="Y488" s="1"/>
    </row>
    <row r="489" spans="1:25">
      <c r="A489" s="57"/>
      <c r="B489" s="94"/>
      <c r="C489" s="68"/>
      <c r="D489" s="68"/>
      <c r="E489" s="68"/>
      <c r="F489" s="94"/>
      <c r="G489" s="94"/>
      <c r="H489" s="94"/>
      <c r="I489" s="94"/>
      <c r="J489" s="94"/>
      <c r="K489" s="94"/>
      <c r="L489" s="94"/>
      <c r="M489" s="26"/>
      <c r="N489" s="26"/>
      <c r="O489" s="68"/>
      <c r="P489" s="1"/>
      <c r="Q489" s="8"/>
      <c r="R489" s="66"/>
      <c r="S489" s="1"/>
      <c r="T489" s="66"/>
      <c r="U489" s="8"/>
      <c r="V489" s="56"/>
      <c r="W489" s="1"/>
      <c r="X489" s="1"/>
      <c r="Y489" s="1"/>
    </row>
    <row r="490" spans="1:25">
      <c r="A490" s="57"/>
      <c r="B490" s="94"/>
      <c r="C490" s="68"/>
      <c r="D490" s="68"/>
      <c r="E490" s="68"/>
      <c r="F490" s="94"/>
      <c r="G490" s="94"/>
      <c r="H490" s="94"/>
      <c r="I490" s="94"/>
      <c r="J490" s="94"/>
      <c r="K490" s="94"/>
      <c r="L490" s="94"/>
      <c r="M490" s="26"/>
      <c r="N490" s="26"/>
      <c r="O490" s="68"/>
      <c r="P490" s="1"/>
      <c r="Q490" s="8"/>
      <c r="R490" s="66"/>
      <c r="S490" s="1"/>
      <c r="T490" s="66"/>
      <c r="U490" s="8"/>
      <c r="V490" s="56"/>
      <c r="W490" s="1"/>
      <c r="X490" s="1"/>
      <c r="Y490" s="1"/>
    </row>
    <row r="491" spans="1:25">
      <c r="A491" s="57"/>
      <c r="B491" s="94"/>
      <c r="C491" s="68"/>
      <c r="D491" s="68"/>
      <c r="E491" s="68"/>
      <c r="F491" s="94"/>
      <c r="G491" s="94"/>
      <c r="H491" s="94"/>
      <c r="I491" s="94"/>
      <c r="J491" s="94"/>
      <c r="K491" s="94"/>
      <c r="L491" s="94"/>
      <c r="M491" s="26"/>
      <c r="N491" s="26"/>
      <c r="O491" s="68"/>
      <c r="P491" s="1"/>
      <c r="Q491" s="8"/>
      <c r="R491" s="66"/>
      <c r="S491" s="1"/>
      <c r="T491" s="66"/>
      <c r="U491" s="8"/>
      <c r="V491" s="56"/>
      <c r="W491" s="1"/>
      <c r="X491" s="1"/>
      <c r="Y491" s="1"/>
    </row>
    <row r="492" spans="1:25">
      <c r="A492" s="57"/>
      <c r="B492" s="94"/>
      <c r="C492" s="68"/>
      <c r="D492" s="68"/>
      <c r="E492" s="68"/>
      <c r="F492" s="94"/>
      <c r="G492" s="94"/>
      <c r="H492" s="94"/>
      <c r="I492" s="94"/>
      <c r="J492" s="94"/>
      <c r="K492" s="94"/>
      <c r="L492" s="94"/>
      <c r="M492" s="26"/>
      <c r="N492" s="26"/>
      <c r="O492" s="68"/>
      <c r="P492" s="1"/>
      <c r="Q492" s="8"/>
      <c r="R492" s="66"/>
      <c r="S492" s="1"/>
      <c r="T492" s="66"/>
      <c r="U492" s="8"/>
      <c r="V492" s="56"/>
      <c r="W492" s="1"/>
      <c r="X492" s="1"/>
      <c r="Y492" s="1"/>
    </row>
    <row r="493" spans="1:25">
      <c r="A493" s="57"/>
      <c r="B493" s="111"/>
      <c r="C493" s="68"/>
      <c r="D493" s="68"/>
      <c r="E493" s="68"/>
      <c r="F493" s="110"/>
      <c r="G493" s="110"/>
      <c r="H493" s="110"/>
      <c r="I493" s="110"/>
      <c r="J493" s="110"/>
      <c r="K493" s="110"/>
      <c r="L493" s="109"/>
      <c r="M493" s="26"/>
      <c r="N493" s="26"/>
      <c r="O493" s="68"/>
      <c r="P493" s="1"/>
      <c r="Q493" s="8"/>
      <c r="R493" s="66"/>
      <c r="S493" s="1"/>
      <c r="T493" s="66"/>
      <c r="U493" s="8"/>
      <c r="V493" s="56"/>
      <c r="W493" s="1"/>
      <c r="X493" s="1"/>
      <c r="Y493" s="1"/>
    </row>
    <row r="494" spans="1:25">
      <c r="A494" s="57"/>
      <c r="B494" s="94"/>
      <c r="C494" s="68"/>
      <c r="D494" s="68"/>
      <c r="E494" s="68"/>
      <c r="F494" s="94"/>
      <c r="G494" s="94"/>
      <c r="H494" s="94"/>
      <c r="I494" s="94"/>
      <c r="J494" s="94"/>
      <c r="K494" s="94"/>
      <c r="L494" s="94"/>
      <c r="M494" s="26"/>
      <c r="N494" s="26"/>
      <c r="O494" s="68"/>
      <c r="P494" s="1"/>
      <c r="Q494" s="8"/>
      <c r="R494" s="66"/>
      <c r="S494" s="1"/>
      <c r="T494" s="66"/>
      <c r="U494" s="8"/>
      <c r="V494" s="56"/>
      <c r="W494" s="1"/>
      <c r="X494" s="1"/>
      <c r="Y494" s="1"/>
    </row>
    <row r="495" spans="1:25">
      <c r="A495" s="57"/>
      <c r="B495" s="94"/>
      <c r="C495" s="68"/>
      <c r="D495" s="68"/>
      <c r="E495" s="68"/>
      <c r="F495" s="94"/>
      <c r="G495" s="94"/>
      <c r="H495" s="94"/>
      <c r="I495" s="94"/>
      <c r="J495" s="94"/>
      <c r="K495" s="94"/>
      <c r="L495" s="94"/>
      <c r="M495" s="26"/>
      <c r="N495" s="26"/>
      <c r="O495" s="68"/>
      <c r="P495" s="1"/>
      <c r="Q495" s="8"/>
      <c r="R495" s="66"/>
      <c r="S495" s="1"/>
      <c r="T495" s="66"/>
      <c r="U495" s="8"/>
      <c r="V495" s="56"/>
      <c r="W495" s="1"/>
      <c r="X495" s="1"/>
      <c r="Y495" s="1"/>
    </row>
    <row r="496" spans="1:25">
      <c r="A496" s="57"/>
      <c r="B496" s="94"/>
      <c r="C496" s="68"/>
      <c r="D496" s="68"/>
      <c r="E496" s="68"/>
      <c r="F496" s="94"/>
      <c r="G496" s="94"/>
      <c r="H496" s="94"/>
      <c r="I496" s="94"/>
      <c r="J496" s="94"/>
      <c r="K496" s="94"/>
      <c r="L496" s="94"/>
      <c r="M496" s="26"/>
      <c r="N496" s="26"/>
      <c r="O496" s="68"/>
      <c r="P496" s="1"/>
      <c r="Q496" s="8"/>
      <c r="R496" s="66"/>
      <c r="S496" s="1"/>
      <c r="T496" s="66"/>
      <c r="U496" s="8"/>
      <c r="V496" s="56"/>
      <c r="W496" s="1"/>
      <c r="X496" s="1"/>
      <c r="Y496" s="1"/>
    </row>
    <row r="497" spans="1:25">
      <c r="A497" s="57"/>
      <c r="B497" s="94"/>
      <c r="C497" s="68"/>
      <c r="D497" s="68"/>
      <c r="E497" s="68"/>
      <c r="F497" s="94"/>
      <c r="G497" s="94"/>
      <c r="H497" s="94"/>
      <c r="I497" s="94"/>
      <c r="J497" s="94"/>
      <c r="K497" s="94"/>
      <c r="L497" s="94"/>
      <c r="M497" s="26"/>
      <c r="N497" s="26"/>
      <c r="O497" s="68"/>
      <c r="P497" s="1"/>
      <c r="Q497" s="8"/>
      <c r="R497" s="66"/>
      <c r="S497" s="1"/>
      <c r="T497" s="66"/>
      <c r="U497" s="8"/>
      <c r="V497" s="56"/>
      <c r="W497" s="1"/>
      <c r="X497" s="1"/>
      <c r="Y497" s="1"/>
    </row>
    <row r="498" spans="1:25">
      <c r="A498" s="57"/>
      <c r="B498" s="111"/>
      <c r="C498" s="68"/>
      <c r="D498" s="68"/>
      <c r="E498" s="68"/>
      <c r="F498" s="110"/>
      <c r="G498" s="110"/>
      <c r="H498" s="110"/>
      <c r="I498" s="110"/>
      <c r="J498" s="110"/>
      <c r="K498" s="110"/>
      <c r="L498" s="109"/>
      <c r="M498" s="26"/>
      <c r="N498" s="26"/>
      <c r="O498" s="68"/>
      <c r="P498" s="1"/>
      <c r="Q498" s="8"/>
      <c r="R498" s="66"/>
      <c r="S498" s="1"/>
      <c r="T498" s="66"/>
      <c r="U498" s="8"/>
      <c r="V498" s="56"/>
      <c r="W498" s="1"/>
      <c r="X498" s="1"/>
      <c r="Y498" s="1"/>
    </row>
    <row r="499" spans="1:25">
      <c r="A499" s="57"/>
      <c r="B499" s="94"/>
      <c r="C499" s="68"/>
      <c r="D499" s="68"/>
      <c r="E499" s="68"/>
      <c r="F499" s="94"/>
      <c r="G499" s="94"/>
      <c r="H499" s="94"/>
      <c r="I499" s="94"/>
      <c r="J499" s="94"/>
      <c r="K499" s="94"/>
      <c r="L499" s="94"/>
      <c r="M499" s="26"/>
      <c r="N499" s="26"/>
      <c r="O499" s="68"/>
      <c r="P499" s="1"/>
      <c r="Q499" s="8"/>
      <c r="R499" s="66"/>
      <c r="S499" s="1"/>
      <c r="T499" s="66"/>
      <c r="U499" s="8"/>
      <c r="V499" s="56"/>
      <c r="W499" s="1"/>
      <c r="X499" s="1"/>
      <c r="Y499" s="1"/>
    </row>
    <row r="500" spans="1:25">
      <c r="A500" s="57"/>
      <c r="B500" s="94"/>
      <c r="C500" s="68"/>
      <c r="D500" s="68"/>
      <c r="E500" s="68"/>
      <c r="F500" s="94"/>
      <c r="G500" s="94"/>
      <c r="H500" s="94"/>
      <c r="I500" s="94"/>
      <c r="J500" s="94"/>
      <c r="K500" s="94"/>
      <c r="L500" s="94"/>
      <c r="M500" s="26"/>
      <c r="N500" s="26"/>
      <c r="O500" s="68"/>
      <c r="P500" s="1"/>
      <c r="Q500" s="8"/>
      <c r="R500" s="66"/>
      <c r="S500" s="1"/>
      <c r="T500" s="66"/>
      <c r="U500" s="8"/>
      <c r="V500" s="56"/>
      <c r="W500" s="1"/>
      <c r="X500" s="1"/>
      <c r="Y500" s="1"/>
    </row>
    <row r="501" spans="1:25">
      <c r="A501" s="57"/>
      <c r="B501" s="94"/>
      <c r="C501" s="68"/>
      <c r="D501" s="68"/>
      <c r="E501" s="68"/>
      <c r="F501" s="94"/>
      <c r="G501" s="94"/>
      <c r="H501" s="94"/>
      <c r="I501" s="94"/>
      <c r="J501" s="94"/>
      <c r="K501" s="94"/>
      <c r="L501" s="94"/>
      <c r="M501" s="26"/>
      <c r="N501" s="26"/>
      <c r="O501" s="68"/>
      <c r="P501" s="1"/>
      <c r="Q501" s="8"/>
      <c r="R501" s="66"/>
      <c r="S501" s="1"/>
      <c r="T501" s="66"/>
      <c r="U501" s="8"/>
      <c r="V501" s="56"/>
      <c r="W501" s="1"/>
      <c r="X501" s="1"/>
      <c r="Y501" s="1"/>
    </row>
    <row r="502" spans="1:25">
      <c r="A502" s="57"/>
      <c r="B502" s="94"/>
      <c r="C502" s="68"/>
      <c r="D502" s="68"/>
      <c r="E502" s="68"/>
      <c r="F502" s="94"/>
      <c r="G502" s="94"/>
      <c r="H502" s="94"/>
      <c r="I502" s="94"/>
      <c r="J502" s="94"/>
      <c r="K502" s="94"/>
      <c r="L502" s="94"/>
      <c r="M502" s="26"/>
      <c r="N502" s="26"/>
      <c r="O502" s="68"/>
      <c r="P502" s="1"/>
      <c r="Q502" s="8"/>
      <c r="R502" s="66"/>
      <c r="S502" s="1"/>
      <c r="T502" s="66"/>
      <c r="U502" s="8"/>
      <c r="V502" s="56"/>
      <c r="W502" s="1"/>
      <c r="X502" s="1"/>
      <c r="Y502" s="1"/>
    </row>
    <row r="503" spans="1:25">
      <c r="A503" s="57"/>
      <c r="B503" s="111"/>
      <c r="C503" s="68"/>
      <c r="D503" s="68"/>
      <c r="E503" s="68"/>
      <c r="F503" s="110"/>
      <c r="G503" s="110"/>
      <c r="H503" s="110"/>
      <c r="I503" s="110"/>
      <c r="J503" s="110"/>
      <c r="K503" s="110"/>
      <c r="L503" s="109"/>
      <c r="M503" s="26"/>
      <c r="N503" s="26"/>
      <c r="O503" s="68"/>
      <c r="P503" s="1"/>
      <c r="Q503" s="8"/>
      <c r="R503" s="66"/>
      <c r="S503" s="1"/>
      <c r="T503" s="66"/>
      <c r="U503" s="8"/>
      <c r="V503" s="56"/>
      <c r="W503" s="1"/>
      <c r="X503" s="1"/>
      <c r="Y503" s="1"/>
    </row>
    <row r="504" spans="1:25">
      <c r="A504" s="57"/>
      <c r="B504" s="94"/>
      <c r="C504" s="68"/>
      <c r="D504" s="68"/>
      <c r="E504" s="68"/>
      <c r="F504" s="94"/>
      <c r="G504" s="94"/>
      <c r="H504" s="94"/>
      <c r="I504" s="94"/>
      <c r="J504" s="94"/>
      <c r="K504" s="94"/>
      <c r="L504" s="94"/>
      <c r="M504" s="26"/>
      <c r="N504" s="26"/>
      <c r="O504" s="68"/>
      <c r="P504" s="1"/>
      <c r="Q504" s="8"/>
      <c r="R504" s="66"/>
      <c r="S504" s="1"/>
      <c r="T504" s="66"/>
      <c r="U504" s="8"/>
      <c r="V504" s="56"/>
      <c r="W504" s="1"/>
      <c r="X504" s="1"/>
      <c r="Y504" s="1"/>
    </row>
    <row r="505" spans="1:25">
      <c r="A505" s="57"/>
      <c r="B505" s="94"/>
      <c r="C505" s="68"/>
      <c r="D505" s="68"/>
      <c r="E505" s="68"/>
      <c r="F505" s="94"/>
      <c r="G505" s="94"/>
      <c r="H505" s="94"/>
      <c r="I505" s="94"/>
      <c r="J505" s="94"/>
      <c r="K505" s="94"/>
      <c r="L505" s="94"/>
      <c r="M505" s="26"/>
      <c r="N505" s="26"/>
      <c r="O505" s="68"/>
      <c r="P505" s="1"/>
      <c r="Q505" s="8"/>
      <c r="R505" s="66"/>
      <c r="S505" s="1"/>
      <c r="T505" s="66"/>
      <c r="U505" s="8"/>
      <c r="V505" s="56"/>
      <c r="W505" s="1"/>
      <c r="X505" s="1"/>
      <c r="Y505" s="1"/>
    </row>
    <row r="506" spans="1:25">
      <c r="A506" s="57"/>
      <c r="B506" s="94"/>
      <c r="C506" s="68"/>
      <c r="D506" s="68"/>
      <c r="E506" s="68"/>
      <c r="F506" s="94"/>
      <c r="G506" s="94"/>
      <c r="H506" s="94"/>
      <c r="I506" s="94"/>
      <c r="J506" s="94"/>
      <c r="K506" s="94"/>
      <c r="L506" s="94"/>
      <c r="M506" s="26"/>
      <c r="N506" s="26"/>
      <c r="O506" s="68"/>
      <c r="P506" s="1"/>
      <c r="Q506" s="8"/>
      <c r="R506" s="66"/>
      <c r="S506" s="1"/>
      <c r="T506" s="66"/>
      <c r="U506" s="8"/>
      <c r="V506" s="56"/>
      <c r="W506" s="1"/>
      <c r="X506" s="1"/>
      <c r="Y506" s="1"/>
    </row>
    <row r="507" spans="1:25">
      <c r="A507" s="57"/>
      <c r="B507" s="94"/>
      <c r="C507" s="68"/>
      <c r="D507" s="68"/>
      <c r="E507" s="68"/>
      <c r="F507" s="94"/>
      <c r="G507" s="94"/>
      <c r="H507" s="94"/>
      <c r="I507" s="94"/>
      <c r="J507" s="94"/>
      <c r="K507" s="94"/>
      <c r="L507" s="94"/>
      <c r="M507" s="26"/>
      <c r="N507" s="26"/>
      <c r="O507" s="68"/>
      <c r="P507" s="1"/>
      <c r="Q507" s="8"/>
      <c r="R507" s="66"/>
      <c r="S507" s="1"/>
      <c r="T507" s="66"/>
      <c r="U507" s="8"/>
      <c r="V507" s="56"/>
      <c r="W507" s="1"/>
      <c r="X507" s="1"/>
      <c r="Y507" s="1"/>
    </row>
    <row r="508" spans="1:25">
      <c r="A508" s="57"/>
      <c r="B508" s="111"/>
      <c r="C508" s="68"/>
      <c r="D508" s="68"/>
      <c r="E508" s="68"/>
      <c r="F508" s="110"/>
      <c r="G508" s="110"/>
      <c r="H508" s="110"/>
      <c r="I508" s="110"/>
      <c r="J508" s="110"/>
      <c r="K508" s="110"/>
      <c r="L508" s="109"/>
      <c r="M508" s="26"/>
      <c r="N508" s="26"/>
      <c r="O508" s="68"/>
      <c r="P508" s="1"/>
      <c r="Q508" s="8"/>
      <c r="R508" s="66"/>
      <c r="S508" s="1"/>
      <c r="T508" s="66"/>
      <c r="U508" s="8"/>
      <c r="V508" s="56"/>
      <c r="W508" s="1"/>
      <c r="X508" s="1"/>
      <c r="Y508" s="1"/>
    </row>
    <row r="509" spans="1:25">
      <c r="A509" s="57"/>
      <c r="B509" s="94"/>
      <c r="C509" s="68"/>
      <c r="D509" s="68"/>
      <c r="E509" s="68"/>
      <c r="F509" s="94"/>
      <c r="G509" s="94"/>
      <c r="H509" s="94"/>
      <c r="I509" s="94"/>
      <c r="J509" s="94"/>
      <c r="K509" s="94"/>
      <c r="L509" s="94"/>
      <c r="M509" s="26"/>
      <c r="N509" s="26"/>
      <c r="O509" s="68"/>
      <c r="P509" s="1"/>
      <c r="Q509" s="8"/>
      <c r="R509" s="66"/>
      <c r="S509" s="1"/>
      <c r="T509" s="66"/>
      <c r="U509" s="8"/>
      <c r="V509" s="56"/>
      <c r="W509" s="1"/>
      <c r="X509" s="1"/>
      <c r="Y509" s="1"/>
    </row>
    <row r="510" spans="1:25">
      <c r="A510" s="57"/>
      <c r="B510" s="94"/>
      <c r="C510" s="68"/>
      <c r="D510" s="68"/>
      <c r="E510" s="68"/>
      <c r="F510" s="94"/>
      <c r="G510" s="94"/>
      <c r="H510" s="94"/>
      <c r="I510" s="94"/>
      <c r="J510" s="94"/>
      <c r="K510" s="94"/>
      <c r="L510" s="94"/>
      <c r="M510" s="26"/>
      <c r="N510" s="26"/>
      <c r="O510" s="68"/>
      <c r="P510" s="1"/>
      <c r="Q510" s="8"/>
      <c r="R510" s="66"/>
      <c r="S510" s="1"/>
      <c r="T510" s="66"/>
      <c r="U510" s="8"/>
      <c r="V510" s="56"/>
      <c r="W510" s="1"/>
      <c r="X510" s="1"/>
      <c r="Y510" s="1"/>
    </row>
    <row r="511" spans="1:25">
      <c r="A511" s="57"/>
      <c r="B511" s="94"/>
      <c r="C511" s="68"/>
      <c r="D511" s="68"/>
      <c r="E511" s="68"/>
      <c r="F511" s="94"/>
      <c r="G511" s="94"/>
      <c r="H511" s="94"/>
      <c r="I511" s="94"/>
      <c r="J511" s="94"/>
      <c r="K511" s="94"/>
      <c r="L511" s="94"/>
      <c r="M511" s="26"/>
      <c r="N511" s="26"/>
      <c r="O511" s="68"/>
      <c r="P511" s="1"/>
      <c r="Q511" s="8"/>
      <c r="R511" s="66"/>
      <c r="S511" s="1"/>
      <c r="T511" s="66"/>
      <c r="U511" s="8"/>
      <c r="V511" s="56"/>
      <c r="W511" s="1"/>
      <c r="X511" s="1"/>
      <c r="Y511" s="1"/>
    </row>
    <row r="512" spans="1:25">
      <c r="A512" s="57"/>
      <c r="B512" s="94"/>
      <c r="C512" s="68"/>
      <c r="D512" s="68"/>
      <c r="E512" s="68"/>
      <c r="F512" s="94"/>
      <c r="G512" s="94"/>
      <c r="H512" s="94"/>
      <c r="I512" s="94"/>
      <c r="J512" s="94"/>
      <c r="K512" s="94"/>
      <c r="L512" s="94"/>
      <c r="M512" s="26"/>
      <c r="N512" s="26"/>
      <c r="O512" s="68"/>
      <c r="P512" s="1"/>
      <c r="Q512" s="8"/>
      <c r="R512" s="66"/>
      <c r="S512" s="1"/>
      <c r="T512" s="66"/>
      <c r="U512" s="8"/>
      <c r="V512" s="56"/>
      <c r="W512" s="1"/>
      <c r="X512" s="1"/>
      <c r="Y512" s="1"/>
    </row>
    <row r="513" spans="1:25">
      <c r="A513" s="57"/>
      <c r="B513" s="110"/>
      <c r="C513" s="68"/>
      <c r="D513" s="68"/>
      <c r="E513" s="68"/>
      <c r="F513" s="110"/>
      <c r="G513" s="110"/>
      <c r="H513" s="110"/>
      <c r="I513" s="110"/>
      <c r="J513" s="110"/>
      <c r="K513" s="110"/>
      <c r="L513" s="109"/>
      <c r="M513" s="26"/>
      <c r="N513" s="26"/>
      <c r="O513" s="68"/>
      <c r="P513" s="1"/>
      <c r="Q513" s="8"/>
      <c r="R513" s="66"/>
      <c r="S513" s="1"/>
      <c r="T513" s="66"/>
      <c r="U513" s="8"/>
      <c r="V513" s="56"/>
      <c r="W513" s="1"/>
      <c r="X513" s="1"/>
      <c r="Y513" s="1"/>
    </row>
    <row r="514" spans="1:25">
      <c r="A514" s="57"/>
      <c r="B514" s="94"/>
      <c r="C514" s="68"/>
      <c r="D514" s="68"/>
      <c r="E514" s="68"/>
      <c r="F514" s="94"/>
      <c r="G514" s="94"/>
      <c r="H514" s="94"/>
      <c r="I514" s="94"/>
      <c r="J514" s="94"/>
      <c r="K514" s="94"/>
      <c r="L514" s="94"/>
      <c r="M514" s="26"/>
      <c r="N514" s="26"/>
      <c r="O514" s="68"/>
      <c r="P514" s="1"/>
      <c r="Q514" s="8"/>
      <c r="R514" s="66"/>
      <c r="S514" s="1"/>
      <c r="T514" s="66"/>
      <c r="U514" s="8"/>
      <c r="V514" s="56"/>
      <c r="W514" s="1"/>
      <c r="X514" s="1"/>
      <c r="Y514" s="1"/>
    </row>
    <row r="515" spans="1:25">
      <c r="A515" s="57"/>
      <c r="B515" s="94"/>
      <c r="C515" s="68"/>
      <c r="D515" s="68"/>
      <c r="E515" s="68"/>
      <c r="F515" s="94"/>
      <c r="G515" s="94"/>
      <c r="H515" s="94"/>
      <c r="I515" s="94"/>
      <c r="J515" s="94"/>
      <c r="K515" s="94"/>
      <c r="L515" s="94"/>
      <c r="M515" s="26"/>
      <c r="N515" s="26"/>
      <c r="O515" s="68"/>
      <c r="P515" s="1"/>
      <c r="Q515" s="8"/>
      <c r="R515" s="66"/>
      <c r="S515" s="1"/>
      <c r="T515" s="66"/>
      <c r="U515" s="8"/>
      <c r="V515" s="56"/>
      <c r="W515" s="1"/>
      <c r="X515" s="1"/>
      <c r="Y515" s="1"/>
    </row>
    <row r="516" spans="1:25">
      <c r="A516" s="57"/>
      <c r="B516" s="94"/>
      <c r="C516" s="68"/>
      <c r="D516" s="68"/>
      <c r="E516" s="68"/>
      <c r="F516" s="94"/>
      <c r="G516" s="94"/>
      <c r="H516" s="94"/>
      <c r="I516" s="94"/>
      <c r="J516" s="94"/>
      <c r="K516" s="94"/>
      <c r="L516" s="94"/>
      <c r="M516" s="26"/>
      <c r="N516" s="26"/>
      <c r="O516" s="68"/>
      <c r="P516" s="1"/>
      <c r="Q516" s="8"/>
      <c r="R516" s="66"/>
      <c r="S516" s="1"/>
      <c r="T516" s="66"/>
      <c r="U516" s="8"/>
      <c r="V516" s="56"/>
      <c r="W516" s="1"/>
      <c r="X516" s="1"/>
      <c r="Y516" s="1"/>
    </row>
    <row r="517" spans="1:25">
      <c r="A517" s="57"/>
      <c r="B517" s="94"/>
      <c r="C517" s="68"/>
      <c r="D517" s="68"/>
      <c r="E517" s="68"/>
      <c r="F517" s="94"/>
      <c r="G517" s="94"/>
      <c r="H517" s="94"/>
      <c r="I517" s="94"/>
      <c r="J517" s="94"/>
      <c r="K517" s="94"/>
      <c r="L517" s="94"/>
      <c r="M517" s="26"/>
      <c r="N517" s="26"/>
      <c r="O517" s="68"/>
      <c r="P517" s="1"/>
      <c r="Q517" s="8"/>
      <c r="R517" s="66"/>
      <c r="S517" s="1"/>
      <c r="T517" s="66"/>
      <c r="U517" s="8"/>
      <c r="V517" s="56"/>
      <c r="W517" s="1"/>
      <c r="X517" s="1"/>
      <c r="Y517" s="1"/>
    </row>
    <row r="518" spans="1:25">
      <c r="A518" s="57"/>
      <c r="B518" s="110"/>
      <c r="C518" s="68"/>
      <c r="D518" s="68"/>
      <c r="E518" s="68"/>
      <c r="F518" s="110"/>
      <c r="G518" s="110"/>
      <c r="H518" s="110"/>
      <c r="I518" s="110"/>
      <c r="J518" s="110"/>
      <c r="K518" s="110"/>
      <c r="L518" s="109"/>
      <c r="M518" s="26"/>
      <c r="N518" s="26"/>
      <c r="O518" s="68"/>
      <c r="P518" s="1"/>
      <c r="Q518" s="8"/>
      <c r="R518" s="66"/>
      <c r="S518" s="1"/>
      <c r="T518" s="66"/>
      <c r="U518" s="8"/>
      <c r="V518" s="56"/>
      <c r="W518" s="1"/>
      <c r="X518" s="1"/>
      <c r="Y518" s="1"/>
    </row>
    <row r="519" spans="1:25">
      <c r="A519" s="57"/>
      <c r="B519" s="94"/>
      <c r="C519" s="68"/>
      <c r="D519" s="68"/>
      <c r="E519" s="68"/>
      <c r="F519" s="94"/>
      <c r="G519" s="94"/>
      <c r="H519" s="94"/>
      <c r="I519" s="94"/>
      <c r="J519" s="94"/>
      <c r="K519" s="94"/>
      <c r="L519" s="94"/>
      <c r="M519" s="26"/>
      <c r="N519" s="26"/>
      <c r="O519" s="68"/>
      <c r="P519" s="1"/>
      <c r="Q519" s="8"/>
      <c r="R519" s="66"/>
      <c r="S519" s="1"/>
      <c r="T519" s="66"/>
      <c r="U519" s="8"/>
      <c r="V519" s="56"/>
      <c r="W519" s="1"/>
      <c r="X519" s="1"/>
      <c r="Y519" s="1"/>
    </row>
    <row r="520" spans="1:25">
      <c r="A520" s="57"/>
      <c r="B520" s="94"/>
      <c r="C520" s="68"/>
      <c r="D520" s="68"/>
      <c r="E520" s="68"/>
      <c r="F520" s="94"/>
      <c r="G520" s="94"/>
      <c r="H520" s="94"/>
      <c r="I520" s="94"/>
      <c r="J520" s="94"/>
      <c r="K520" s="94"/>
      <c r="L520" s="94"/>
      <c r="M520" s="26"/>
      <c r="N520" s="26"/>
      <c r="O520" s="68"/>
      <c r="P520" s="1"/>
      <c r="Q520" s="8"/>
      <c r="R520" s="66"/>
      <c r="S520" s="1"/>
      <c r="T520" s="66"/>
      <c r="U520" s="8"/>
      <c r="V520" s="56"/>
      <c r="W520" s="1"/>
      <c r="X520" s="1"/>
      <c r="Y520" s="1"/>
    </row>
    <row r="521" spans="1:25">
      <c r="A521" s="57"/>
      <c r="B521" s="94"/>
      <c r="C521" s="68"/>
      <c r="D521" s="68"/>
      <c r="E521" s="68"/>
      <c r="F521" s="94"/>
      <c r="G521" s="94"/>
      <c r="H521" s="94"/>
      <c r="I521" s="94"/>
      <c r="J521" s="94"/>
      <c r="K521" s="94"/>
      <c r="L521" s="94"/>
      <c r="M521" s="26"/>
      <c r="N521" s="26"/>
      <c r="O521" s="68"/>
      <c r="P521" s="1"/>
      <c r="Q521" s="8"/>
      <c r="R521" s="66"/>
      <c r="S521" s="1"/>
      <c r="T521" s="66"/>
      <c r="U521" s="8"/>
      <c r="V521" s="56"/>
      <c r="W521" s="1"/>
      <c r="X521" s="1"/>
      <c r="Y521" s="1"/>
    </row>
    <row r="522" spans="1:25">
      <c r="A522" s="57"/>
      <c r="B522" s="94"/>
      <c r="C522" s="68"/>
      <c r="D522" s="68"/>
      <c r="E522" s="68"/>
      <c r="F522" s="94"/>
      <c r="G522" s="94"/>
      <c r="H522" s="94"/>
      <c r="I522" s="94"/>
      <c r="J522" s="94"/>
      <c r="K522" s="94"/>
      <c r="L522" s="94"/>
      <c r="M522" s="26"/>
      <c r="N522" s="26"/>
      <c r="O522" s="68"/>
      <c r="P522" s="1"/>
      <c r="Q522" s="8"/>
      <c r="R522" s="66"/>
      <c r="S522" s="1"/>
      <c r="T522" s="66"/>
      <c r="U522" s="8"/>
      <c r="V522" s="56"/>
      <c r="W522" s="1"/>
      <c r="X522" s="1"/>
      <c r="Y522" s="1"/>
    </row>
    <row r="523" spans="1:25">
      <c r="A523" s="57"/>
      <c r="B523" s="110"/>
      <c r="C523" s="68"/>
      <c r="D523" s="68"/>
      <c r="E523" s="68"/>
      <c r="F523" s="110"/>
      <c r="G523" s="110"/>
      <c r="H523" s="110"/>
      <c r="I523" s="110"/>
      <c r="J523" s="110"/>
      <c r="K523" s="110"/>
      <c r="L523" s="109"/>
      <c r="M523" s="26"/>
      <c r="N523" s="26"/>
      <c r="O523" s="68"/>
      <c r="P523" s="1"/>
      <c r="Q523" s="8"/>
      <c r="R523" s="66"/>
      <c r="S523" s="1"/>
      <c r="T523" s="66"/>
      <c r="U523" s="8"/>
      <c r="V523" s="56"/>
      <c r="W523" s="1"/>
      <c r="X523" s="1"/>
      <c r="Y523" s="1"/>
    </row>
    <row r="524" spans="1:25">
      <c r="A524" s="57"/>
      <c r="B524" s="94"/>
      <c r="C524" s="68"/>
      <c r="D524" s="68"/>
      <c r="E524" s="68"/>
      <c r="F524" s="94"/>
      <c r="G524" s="94"/>
      <c r="H524" s="94"/>
      <c r="I524" s="94"/>
      <c r="J524" s="94"/>
      <c r="K524" s="94"/>
      <c r="L524" s="94"/>
      <c r="M524" s="26"/>
      <c r="N524" s="26"/>
      <c r="O524" s="68"/>
      <c r="P524" s="1"/>
      <c r="Q524" s="8"/>
      <c r="R524" s="66"/>
      <c r="S524" s="1"/>
      <c r="T524" s="66"/>
      <c r="U524" s="8"/>
      <c r="V524" s="56"/>
      <c r="W524" s="1"/>
      <c r="X524" s="1"/>
      <c r="Y524" s="1"/>
    </row>
    <row r="525" spans="1:25">
      <c r="A525" s="57"/>
      <c r="B525" s="94"/>
      <c r="C525" s="68"/>
      <c r="D525" s="68"/>
      <c r="E525" s="68"/>
      <c r="F525" s="94"/>
      <c r="G525" s="94"/>
      <c r="H525" s="94"/>
      <c r="I525" s="94"/>
      <c r="J525" s="94"/>
      <c r="K525" s="94"/>
      <c r="L525" s="94"/>
      <c r="M525" s="26"/>
      <c r="N525" s="26"/>
      <c r="O525" s="68"/>
      <c r="P525" s="1"/>
      <c r="Q525" s="8"/>
      <c r="R525" s="66"/>
      <c r="S525" s="1"/>
      <c r="T525" s="66"/>
      <c r="U525" s="8"/>
      <c r="V525" s="56"/>
      <c r="W525" s="1"/>
      <c r="X525" s="1"/>
      <c r="Y525" s="1"/>
    </row>
    <row r="526" spans="1:25">
      <c r="A526" s="57"/>
      <c r="B526" s="94"/>
      <c r="C526" s="68"/>
      <c r="D526" s="68"/>
      <c r="E526" s="68"/>
      <c r="F526" s="94"/>
      <c r="G526" s="94"/>
      <c r="H526" s="94"/>
      <c r="I526" s="94"/>
      <c r="J526" s="94"/>
      <c r="K526" s="94"/>
      <c r="L526" s="94"/>
      <c r="M526" s="26"/>
      <c r="N526" s="26"/>
      <c r="O526" s="68"/>
      <c r="P526" s="1"/>
      <c r="Q526" s="8"/>
      <c r="R526" s="66"/>
      <c r="S526" s="1"/>
      <c r="T526" s="66"/>
      <c r="U526" s="8"/>
      <c r="V526" s="56"/>
      <c r="W526" s="1"/>
      <c r="X526" s="1"/>
      <c r="Y526" s="1"/>
    </row>
    <row r="527" spans="1:25">
      <c r="A527" s="57"/>
      <c r="B527" s="94"/>
      <c r="C527" s="68"/>
      <c r="D527" s="68"/>
      <c r="E527" s="68"/>
      <c r="F527" s="94"/>
      <c r="G527" s="94"/>
      <c r="H527" s="94"/>
      <c r="I527" s="94"/>
      <c r="J527" s="94"/>
      <c r="K527" s="94"/>
      <c r="L527" s="94"/>
      <c r="M527" s="26"/>
      <c r="N527" s="26"/>
      <c r="O527" s="68"/>
      <c r="P527" s="1"/>
      <c r="Q527" s="8"/>
      <c r="R527" s="66"/>
      <c r="S527" s="1"/>
      <c r="T527" s="66"/>
      <c r="U527" s="8"/>
      <c r="V527" s="56"/>
      <c r="W527" s="1"/>
      <c r="X527" s="1"/>
      <c r="Y527" s="1"/>
    </row>
    <row r="528" spans="1:25">
      <c r="A528" s="57"/>
      <c r="B528" s="110"/>
      <c r="C528" s="68"/>
      <c r="D528" s="68"/>
      <c r="E528" s="68"/>
      <c r="F528" s="110"/>
      <c r="G528" s="110"/>
      <c r="H528" s="110"/>
      <c r="I528" s="110"/>
      <c r="J528" s="110"/>
      <c r="K528" s="110"/>
      <c r="L528" s="109"/>
      <c r="M528" s="26"/>
      <c r="N528" s="26"/>
      <c r="O528" s="68"/>
      <c r="P528" s="1"/>
      <c r="Q528" s="8"/>
      <c r="R528" s="66"/>
      <c r="S528" s="1"/>
      <c r="T528" s="66"/>
      <c r="U528" s="8"/>
      <c r="V528" s="56"/>
      <c r="W528" s="1"/>
      <c r="X528" s="1"/>
      <c r="Y528" s="1"/>
    </row>
    <row r="529" spans="1:25">
      <c r="A529" s="57"/>
      <c r="B529" s="94"/>
      <c r="C529" s="68"/>
      <c r="D529" s="68"/>
      <c r="E529" s="68"/>
      <c r="F529" s="94"/>
      <c r="G529" s="94"/>
      <c r="H529" s="94"/>
      <c r="I529" s="94"/>
      <c r="J529" s="94"/>
      <c r="K529" s="94"/>
      <c r="L529" s="94"/>
      <c r="M529" s="26"/>
      <c r="N529" s="26"/>
      <c r="O529" s="68"/>
      <c r="P529" s="1"/>
      <c r="Q529" s="8"/>
      <c r="R529" s="66"/>
      <c r="S529" s="1"/>
      <c r="T529" s="66"/>
      <c r="U529" s="8"/>
      <c r="V529" s="56"/>
      <c r="W529" s="1"/>
      <c r="X529" s="1"/>
      <c r="Y529" s="1"/>
    </row>
    <row r="530" spans="1:25">
      <c r="A530" s="57"/>
      <c r="B530" s="94"/>
      <c r="C530" s="68"/>
      <c r="D530" s="68"/>
      <c r="E530" s="68"/>
      <c r="F530" s="94"/>
      <c r="G530" s="94"/>
      <c r="H530" s="94"/>
      <c r="I530" s="94"/>
      <c r="J530" s="94"/>
      <c r="K530" s="94"/>
      <c r="L530" s="94"/>
      <c r="M530" s="26"/>
      <c r="N530" s="26"/>
      <c r="O530" s="68"/>
      <c r="P530" s="1"/>
      <c r="Q530" s="8"/>
      <c r="R530" s="66"/>
      <c r="S530" s="1"/>
      <c r="T530" s="66"/>
      <c r="U530" s="8"/>
      <c r="V530" s="56"/>
      <c r="W530" s="1"/>
      <c r="X530" s="1"/>
      <c r="Y530" s="1"/>
    </row>
    <row r="531" spans="1:25">
      <c r="A531" s="57"/>
      <c r="B531" s="94"/>
      <c r="C531" s="68"/>
      <c r="D531" s="68"/>
      <c r="E531" s="68"/>
      <c r="F531" s="94"/>
      <c r="G531" s="94"/>
      <c r="H531" s="94"/>
      <c r="I531" s="94"/>
      <c r="J531" s="94"/>
      <c r="K531" s="94"/>
      <c r="L531" s="94"/>
      <c r="M531" s="26"/>
      <c r="N531" s="26"/>
      <c r="O531" s="68"/>
      <c r="P531" s="1"/>
      <c r="Q531" s="8"/>
      <c r="R531" s="66"/>
      <c r="S531" s="1"/>
      <c r="T531" s="66"/>
      <c r="U531" s="8"/>
      <c r="V531" s="56"/>
      <c r="W531" s="1"/>
      <c r="X531" s="1"/>
      <c r="Y531" s="1"/>
    </row>
    <row r="532" spans="1:25">
      <c r="A532" s="57"/>
      <c r="B532" s="94"/>
      <c r="C532" s="68"/>
      <c r="D532" s="68"/>
      <c r="E532" s="68"/>
      <c r="F532" s="94"/>
      <c r="G532" s="94"/>
      <c r="H532" s="94"/>
      <c r="I532" s="94"/>
      <c r="J532" s="94"/>
      <c r="K532" s="94"/>
      <c r="L532" s="94"/>
      <c r="M532" s="26"/>
      <c r="N532" s="26"/>
      <c r="O532" s="68"/>
      <c r="P532" s="1"/>
      <c r="Q532" s="8"/>
      <c r="R532" s="66"/>
      <c r="S532" s="1"/>
      <c r="T532" s="66"/>
      <c r="U532" s="8"/>
      <c r="V532" s="56"/>
      <c r="W532" s="1"/>
      <c r="X532" s="1"/>
      <c r="Y532" s="1"/>
    </row>
    <row r="533" spans="1:25">
      <c r="A533" s="57"/>
      <c r="B533" s="110"/>
      <c r="C533" s="68"/>
      <c r="D533" s="68"/>
      <c r="E533" s="68"/>
      <c r="F533" s="110"/>
      <c r="G533" s="110"/>
      <c r="H533" s="110"/>
      <c r="I533" s="110"/>
      <c r="J533" s="110"/>
      <c r="K533" s="110"/>
      <c r="L533" s="109"/>
      <c r="M533" s="26"/>
      <c r="N533" s="26"/>
      <c r="O533" s="68"/>
      <c r="P533" s="1"/>
      <c r="Q533" s="8"/>
      <c r="R533" s="66"/>
      <c r="S533" s="1"/>
      <c r="T533" s="66"/>
      <c r="U533" s="8"/>
      <c r="V533" s="56"/>
      <c r="W533" s="1"/>
      <c r="X533" s="1"/>
      <c r="Y533" s="1"/>
    </row>
    <row r="534" spans="1:25">
      <c r="A534" s="57"/>
      <c r="B534" s="94"/>
      <c r="C534" s="68"/>
      <c r="D534" s="68"/>
      <c r="E534" s="68"/>
      <c r="F534" s="94"/>
      <c r="G534" s="94"/>
      <c r="H534" s="94"/>
      <c r="I534" s="94"/>
      <c r="J534" s="94"/>
      <c r="K534" s="94"/>
      <c r="L534" s="94"/>
      <c r="M534" s="26"/>
      <c r="N534" s="26"/>
      <c r="O534" s="68"/>
      <c r="P534" s="1"/>
      <c r="Q534" s="8"/>
      <c r="R534" s="66"/>
      <c r="S534" s="1"/>
      <c r="T534" s="66"/>
      <c r="U534" s="8"/>
      <c r="V534" s="56"/>
      <c r="W534" s="1"/>
      <c r="X534" s="1"/>
      <c r="Y534" s="1"/>
    </row>
    <row r="535" spans="1:25">
      <c r="A535" s="57"/>
      <c r="B535" s="94"/>
      <c r="C535" s="68"/>
      <c r="D535" s="68"/>
      <c r="E535" s="68"/>
      <c r="F535" s="94"/>
      <c r="G535" s="94"/>
      <c r="H535" s="94"/>
      <c r="I535" s="94"/>
      <c r="J535" s="94"/>
      <c r="K535" s="94"/>
      <c r="L535" s="94"/>
      <c r="M535" s="26"/>
      <c r="N535" s="26"/>
      <c r="O535" s="68"/>
      <c r="P535" s="1"/>
      <c r="Q535" s="8"/>
      <c r="R535" s="66"/>
      <c r="S535" s="1"/>
      <c r="T535" s="66"/>
      <c r="U535" s="8"/>
      <c r="V535" s="56"/>
      <c r="W535" s="1"/>
      <c r="X535" s="1"/>
      <c r="Y535" s="1"/>
    </row>
    <row r="536" spans="1:25">
      <c r="A536" s="57"/>
      <c r="B536" s="94"/>
      <c r="C536" s="68"/>
      <c r="D536" s="68"/>
      <c r="E536" s="68"/>
      <c r="F536" s="94"/>
      <c r="G536" s="94"/>
      <c r="H536" s="94"/>
      <c r="I536" s="94"/>
      <c r="J536" s="94"/>
      <c r="K536" s="94"/>
      <c r="L536" s="94"/>
      <c r="M536" s="26"/>
      <c r="N536" s="26"/>
      <c r="O536" s="68"/>
      <c r="P536" s="1"/>
      <c r="Q536" s="8"/>
      <c r="R536" s="66"/>
      <c r="S536" s="1"/>
      <c r="T536" s="66"/>
      <c r="U536" s="8"/>
      <c r="V536" s="56"/>
      <c r="W536" s="1"/>
      <c r="X536" s="1"/>
      <c r="Y536" s="1"/>
    </row>
    <row r="537" spans="1:25">
      <c r="A537" s="57"/>
      <c r="B537" s="94"/>
      <c r="C537" s="68"/>
      <c r="D537" s="68"/>
      <c r="E537" s="68"/>
      <c r="F537" s="94"/>
      <c r="G537" s="94"/>
      <c r="H537" s="94"/>
      <c r="I537" s="94"/>
      <c r="J537" s="94"/>
      <c r="K537" s="94"/>
      <c r="L537" s="94"/>
      <c r="M537" s="26"/>
      <c r="N537" s="26"/>
      <c r="O537" s="68"/>
      <c r="P537" s="1"/>
      <c r="Q537" s="8"/>
      <c r="R537" s="66"/>
      <c r="S537" s="1"/>
      <c r="T537" s="66"/>
      <c r="U537" s="8"/>
      <c r="V537" s="56"/>
      <c r="W537" s="1"/>
      <c r="X537" s="1"/>
      <c r="Y537" s="1"/>
    </row>
    <row r="538" spans="1:25">
      <c r="A538" s="57"/>
      <c r="B538" s="110"/>
      <c r="C538" s="68"/>
      <c r="D538" s="68"/>
      <c r="E538" s="68"/>
      <c r="F538" s="110"/>
      <c r="G538" s="110"/>
      <c r="H538" s="110"/>
      <c r="I538" s="110"/>
      <c r="J538" s="110"/>
      <c r="K538" s="110"/>
      <c r="L538" s="109"/>
      <c r="M538" s="26"/>
      <c r="N538" s="26"/>
      <c r="O538" s="68"/>
      <c r="P538" s="1"/>
      <c r="Q538" s="8"/>
      <c r="R538" s="66"/>
      <c r="S538" s="1"/>
      <c r="T538" s="66"/>
      <c r="U538" s="8"/>
      <c r="V538" s="56"/>
      <c r="W538" s="1"/>
      <c r="X538" s="1"/>
      <c r="Y538" s="1"/>
    </row>
    <row r="539" spans="1:25">
      <c r="A539" s="57"/>
      <c r="B539" s="94"/>
      <c r="C539" s="68"/>
      <c r="D539" s="68"/>
      <c r="E539" s="68"/>
      <c r="F539" s="94"/>
      <c r="G539" s="94"/>
      <c r="H539" s="94"/>
      <c r="I539" s="94"/>
      <c r="J539" s="94"/>
      <c r="K539" s="94"/>
      <c r="L539" s="94"/>
      <c r="M539" s="26"/>
      <c r="N539" s="26"/>
      <c r="O539" s="68"/>
      <c r="P539" s="1"/>
      <c r="Q539" s="8"/>
      <c r="R539" s="66"/>
      <c r="S539" s="1"/>
      <c r="T539" s="66"/>
      <c r="U539" s="8"/>
      <c r="V539" s="56"/>
      <c r="W539" s="1"/>
      <c r="X539" s="1"/>
      <c r="Y539" s="1"/>
    </row>
    <row r="540" spans="1:25">
      <c r="A540" s="57"/>
      <c r="B540" s="94"/>
      <c r="C540" s="68"/>
      <c r="D540" s="68"/>
      <c r="E540" s="68"/>
      <c r="F540" s="94"/>
      <c r="G540" s="94"/>
      <c r="H540" s="94"/>
      <c r="I540" s="94"/>
      <c r="J540" s="94"/>
      <c r="K540" s="94"/>
      <c r="L540" s="94"/>
      <c r="M540" s="26"/>
      <c r="N540" s="26"/>
      <c r="O540" s="68"/>
      <c r="P540" s="1"/>
      <c r="Q540" s="8"/>
      <c r="R540" s="66"/>
      <c r="S540" s="1"/>
      <c r="T540" s="66"/>
      <c r="U540" s="8"/>
      <c r="V540" s="56"/>
      <c r="W540" s="1"/>
      <c r="X540" s="1"/>
      <c r="Y540" s="1"/>
    </row>
    <row r="541" spans="1:25">
      <c r="A541" s="57"/>
      <c r="B541" s="94"/>
      <c r="C541" s="68"/>
      <c r="D541" s="68"/>
      <c r="E541" s="68"/>
      <c r="F541" s="94"/>
      <c r="G541" s="94"/>
      <c r="H541" s="94"/>
      <c r="I541" s="94"/>
      <c r="J541" s="94"/>
      <c r="K541" s="94"/>
      <c r="L541" s="94"/>
      <c r="M541" s="26"/>
      <c r="N541" s="26"/>
      <c r="O541" s="68"/>
      <c r="P541" s="1"/>
      <c r="Q541" s="8"/>
      <c r="R541" s="66"/>
      <c r="S541" s="1"/>
      <c r="T541" s="66"/>
      <c r="U541" s="8"/>
      <c r="V541" s="56"/>
      <c r="W541" s="1"/>
      <c r="X541" s="1"/>
      <c r="Y541" s="1"/>
    </row>
    <row r="542" spans="1:25">
      <c r="A542" s="57"/>
      <c r="B542" s="94"/>
      <c r="C542" s="68"/>
      <c r="D542" s="68"/>
      <c r="E542" s="68"/>
      <c r="F542" s="94"/>
      <c r="G542" s="94"/>
      <c r="H542" s="94"/>
      <c r="I542" s="94"/>
      <c r="J542" s="94"/>
      <c r="K542" s="94"/>
      <c r="L542" s="94"/>
      <c r="M542" s="26"/>
      <c r="N542" s="26"/>
      <c r="O542" s="68"/>
      <c r="P542" s="1"/>
      <c r="Q542" s="8"/>
      <c r="R542" s="66"/>
      <c r="S542" s="1"/>
      <c r="T542" s="66"/>
      <c r="U542" s="8"/>
      <c r="V542" s="56"/>
      <c r="W542" s="1"/>
      <c r="X542" s="1"/>
      <c r="Y542" s="1"/>
    </row>
    <row r="543" spans="1:25">
      <c r="A543" s="57"/>
      <c r="B543" s="110"/>
      <c r="C543" s="68"/>
      <c r="D543" s="68"/>
      <c r="E543" s="68"/>
      <c r="F543" s="110"/>
      <c r="G543" s="110"/>
      <c r="H543" s="110"/>
      <c r="I543" s="110"/>
      <c r="J543" s="110"/>
      <c r="K543" s="110"/>
      <c r="L543" s="109"/>
      <c r="M543" s="26"/>
      <c r="N543" s="26"/>
      <c r="O543" s="68"/>
      <c r="P543" s="1"/>
      <c r="Q543" s="8"/>
      <c r="R543" s="66"/>
      <c r="S543" s="1"/>
      <c r="T543" s="66"/>
      <c r="U543" s="8"/>
      <c r="V543" s="56"/>
      <c r="W543" s="1"/>
      <c r="X543" s="1"/>
      <c r="Y543" s="1"/>
    </row>
    <row r="544" spans="1:25">
      <c r="A544" s="57"/>
      <c r="B544" s="94"/>
      <c r="C544" s="68"/>
      <c r="D544" s="68"/>
      <c r="E544" s="68"/>
      <c r="F544" s="94"/>
      <c r="G544" s="94"/>
      <c r="H544" s="94"/>
      <c r="I544" s="94"/>
      <c r="J544" s="94"/>
      <c r="K544" s="94"/>
      <c r="L544" s="94"/>
      <c r="M544" s="26"/>
      <c r="N544" s="26"/>
      <c r="O544" s="68"/>
      <c r="P544" s="1"/>
      <c r="Q544" s="8"/>
      <c r="R544" s="66"/>
      <c r="S544" s="1"/>
      <c r="T544" s="66"/>
      <c r="U544" s="8"/>
      <c r="V544" s="56"/>
      <c r="W544" s="1"/>
      <c r="X544" s="1"/>
      <c r="Y544" s="1"/>
    </row>
    <row r="545" spans="1:25">
      <c r="A545" s="57"/>
      <c r="B545" s="94"/>
      <c r="C545" s="68"/>
      <c r="D545" s="68"/>
      <c r="E545" s="68"/>
      <c r="F545" s="94"/>
      <c r="G545" s="94"/>
      <c r="H545" s="94"/>
      <c r="I545" s="94"/>
      <c r="J545" s="94"/>
      <c r="K545" s="94"/>
      <c r="L545" s="94"/>
      <c r="M545" s="26"/>
      <c r="N545" s="26"/>
      <c r="O545" s="68"/>
      <c r="P545" s="1"/>
      <c r="Q545" s="8"/>
      <c r="R545" s="66"/>
      <c r="S545" s="1"/>
      <c r="T545" s="66"/>
      <c r="U545" s="8"/>
      <c r="V545" s="56"/>
      <c r="W545" s="1"/>
      <c r="X545" s="1"/>
      <c r="Y545" s="1"/>
    </row>
    <row r="546" spans="1:25">
      <c r="A546" s="57"/>
      <c r="B546" s="94"/>
      <c r="C546" s="68"/>
      <c r="D546" s="68"/>
      <c r="E546" s="68"/>
      <c r="F546" s="94"/>
      <c r="G546" s="94"/>
      <c r="H546" s="94"/>
      <c r="I546" s="94"/>
      <c r="J546" s="94"/>
      <c r="K546" s="94"/>
      <c r="L546" s="94"/>
      <c r="M546" s="26"/>
      <c r="N546" s="26"/>
      <c r="O546" s="68"/>
      <c r="P546" s="1"/>
      <c r="Q546" s="8"/>
      <c r="R546" s="66"/>
      <c r="S546" s="1"/>
      <c r="T546" s="66"/>
      <c r="U546" s="8"/>
      <c r="V546" s="56"/>
      <c r="W546" s="1"/>
      <c r="X546" s="1"/>
      <c r="Y546" s="1"/>
    </row>
    <row r="547" spans="1:25">
      <c r="A547" s="57"/>
      <c r="B547" s="94"/>
      <c r="C547" s="68"/>
      <c r="D547" s="68"/>
      <c r="E547" s="68"/>
      <c r="F547" s="94"/>
      <c r="G547" s="94"/>
      <c r="H547" s="94"/>
      <c r="I547" s="94"/>
      <c r="J547" s="94"/>
      <c r="K547" s="94"/>
      <c r="L547" s="94"/>
      <c r="M547" s="26"/>
      <c r="N547" s="26"/>
      <c r="O547" s="68"/>
      <c r="P547" s="1"/>
      <c r="Q547" s="8"/>
      <c r="R547" s="66"/>
      <c r="S547" s="1"/>
      <c r="T547" s="66"/>
      <c r="U547" s="8"/>
      <c r="V547" s="56"/>
      <c r="W547" s="1"/>
      <c r="X547" s="1"/>
      <c r="Y547" s="1"/>
    </row>
    <row r="548" spans="1:25">
      <c r="A548" s="57"/>
      <c r="B548" s="110"/>
      <c r="C548" s="68"/>
      <c r="D548" s="68"/>
      <c r="E548" s="68"/>
      <c r="F548" s="110"/>
      <c r="G548" s="110"/>
      <c r="H548" s="110"/>
      <c r="I548" s="110"/>
      <c r="J548" s="110"/>
      <c r="K548" s="110"/>
      <c r="L548" s="109"/>
      <c r="M548" s="26"/>
      <c r="N548" s="26"/>
      <c r="O548" s="68"/>
      <c r="P548" s="1"/>
      <c r="Q548" s="8"/>
      <c r="R548" s="66"/>
      <c r="S548" s="1"/>
      <c r="T548" s="66"/>
      <c r="U548" s="8"/>
      <c r="V548" s="56"/>
      <c r="W548" s="1"/>
      <c r="X548" s="1"/>
      <c r="Y548" s="1"/>
    </row>
    <row r="549" spans="1:25">
      <c r="A549" s="57"/>
      <c r="B549" s="94"/>
      <c r="C549" s="68"/>
      <c r="D549" s="68"/>
      <c r="E549" s="68"/>
      <c r="F549" s="94"/>
      <c r="G549" s="94"/>
      <c r="H549" s="94"/>
      <c r="I549" s="94"/>
      <c r="J549" s="94"/>
      <c r="K549" s="94"/>
      <c r="L549" s="94"/>
      <c r="M549" s="26"/>
      <c r="N549" s="26"/>
      <c r="O549" s="68"/>
      <c r="P549" s="1"/>
      <c r="Q549" s="8"/>
      <c r="R549" s="66"/>
      <c r="S549" s="1"/>
      <c r="T549" s="66"/>
      <c r="U549" s="8"/>
      <c r="V549" s="56"/>
      <c r="W549" s="1"/>
      <c r="X549" s="1"/>
      <c r="Y549" s="1"/>
    </row>
    <row r="550" spans="1:25">
      <c r="A550" s="57"/>
      <c r="B550" s="94"/>
      <c r="C550" s="68"/>
      <c r="D550" s="68"/>
      <c r="E550" s="68"/>
      <c r="F550" s="94"/>
      <c r="G550" s="94"/>
      <c r="H550" s="94"/>
      <c r="I550" s="94"/>
      <c r="J550" s="94"/>
      <c r="K550" s="94"/>
      <c r="L550" s="94"/>
      <c r="M550" s="26"/>
      <c r="N550" s="26"/>
      <c r="O550" s="68"/>
      <c r="P550" s="1"/>
      <c r="Q550" s="8"/>
      <c r="R550" s="66"/>
      <c r="S550" s="1"/>
      <c r="T550" s="66"/>
      <c r="U550" s="8"/>
      <c r="V550" s="56"/>
      <c r="W550" s="1"/>
      <c r="X550" s="1"/>
      <c r="Y550" s="1"/>
    </row>
    <row r="551" spans="1:25">
      <c r="A551" s="57"/>
      <c r="B551" s="94"/>
      <c r="C551" s="68"/>
      <c r="D551" s="68"/>
      <c r="E551" s="68"/>
      <c r="F551" s="94"/>
      <c r="G551" s="94"/>
      <c r="H551" s="94"/>
      <c r="I551" s="94"/>
      <c r="J551" s="94"/>
      <c r="K551" s="94"/>
      <c r="L551" s="94"/>
      <c r="M551" s="26"/>
      <c r="N551" s="26"/>
      <c r="O551" s="68"/>
      <c r="P551" s="1"/>
      <c r="Q551" s="8"/>
      <c r="R551" s="66"/>
      <c r="S551" s="1"/>
      <c r="T551" s="66"/>
      <c r="U551" s="8"/>
      <c r="V551" s="56"/>
      <c r="W551" s="1"/>
      <c r="X551" s="1"/>
      <c r="Y551" s="1"/>
    </row>
    <row r="552" spans="1:25">
      <c r="A552" s="57"/>
      <c r="B552" s="94"/>
      <c r="C552" s="68"/>
      <c r="D552" s="68"/>
      <c r="E552" s="68"/>
      <c r="F552" s="94"/>
      <c r="G552" s="94"/>
      <c r="H552" s="94"/>
      <c r="I552" s="94"/>
      <c r="J552" s="94"/>
      <c r="K552" s="94"/>
      <c r="L552" s="94"/>
      <c r="M552" s="26"/>
      <c r="N552" s="26"/>
      <c r="O552" s="68"/>
      <c r="P552" s="1"/>
      <c r="Q552" s="8"/>
      <c r="R552" s="66"/>
      <c r="S552" s="1"/>
      <c r="T552" s="66"/>
      <c r="U552" s="8"/>
      <c r="V552" s="56"/>
      <c r="W552" s="1"/>
      <c r="X552" s="1"/>
      <c r="Y552" s="1"/>
    </row>
    <row r="553" spans="1:25">
      <c r="A553" s="57"/>
      <c r="B553" s="110"/>
      <c r="C553" s="68"/>
      <c r="D553" s="68"/>
      <c r="E553" s="68"/>
      <c r="F553" s="110"/>
      <c r="G553" s="110"/>
      <c r="H553" s="110"/>
      <c r="I553" s="110"/>
      <c r="J553" s="110"/>
      <c r="K553" s="110"/>
      <c r="L553" s="109"/>
      <c r="M553" s="26"/>
      <c r="N553" s="26"/>
      <c r="O553" s="68"/>
      <c r="P553" s="1"/>
      <c r="Q553" s="8"/>
      <c r="R553" s="66"/>
      <c r="S553" s="1"/>
      <c r="T553" s="66"/>
      <c r="U553" s="8"/>
      <c r="V553" s="56"/>
      <c r="W553" s="1"/>
      <c r="X553" s="1"/>
      <c r="Y553" s="1"/>
    </row>
    <row r="554" spans="1:25">
      <c r="A554" s="57"/>
      <c r="B554" s="94"/>
      <c r="C554" s="68"/>
      <c r="D554" s="68"/>
      <c r="E554" s="68"/>
      <c r="F554" s="94"/>
      <c r="G554" s="94"/>
      <c r="H554" s="94"/>
      <c r="I554" s="94"/>
      <c r="J554" s="94"/>
      <c r="K554" s="94"/>
      <c r="L554" s="94"/>
      <c r="M554" s="26"/>
      <c r="N554" s="26"/>
      <c r="O554" s="68"/>
      <c r="P554" s="1"/>
      <c r="Q554" s="8"/>
      <c r="R554" s="66"/>
      <c r="S554" s="1"/>
      <c r="T554" s="66"/>
      <c r="U554" s="8"/>
      <c r="V554" s="56"/>
      <c r="W554" s="1"/>
      <c r="X554" s="1"/>
      <c r="Y554" s="1"/>
    </row>
    <row r="555" spans="1:25">
      <c r="A555" s="57"/>
      <c r="B555" s="94"/>
      <c r="C555" s="68"/>
      <c r="D555" s="68"/>
      <c r="E555" s="68"/>
      <c r="F555" s="94"/>
      <c r="G555" s="94"/>
      <c r="H555" s="94"/>
      <c r="I555" s="94"/>
      <c r="J555" s="94"/>
      <c r="K555" s="94"/>
      <c r="L555" s="94"/>
      <c r="M555" s="26"/>
      <c r="N555" s="26"/>
      <c r="O555" s="68"/>
      <c r="P555" s="1"/>
      <c r="Q555" s="8"/>
      <c r="R555" s="66"/>
      <c r="S555" s="1"/>
      <c r="T555" s="66"/>
      <c r="U555" s="8"/>
      <c r="V555" s="56"/>
      <c r="W555" s="1"/>
      <c r="X555" s="1"/>
      <c r="Y555" s="1"/>
    </row>
    <row r="556" spans="1:25">
      <c r="A556" s="57"/>
      <c r="B556" s="94"/>
      <c r="C556" s="68"/>
      <c r="D556" s="68"/>
      <c r="E556" s="68"/>
      <c r="F556" s="94"/>
      <c r="G556" s="94"/>
      <c r="H556" s="94"/>
      <c r="I556" s="94"/>
      <c r="J556" s="94"/>
      <c r="K556" s="94"/>
      <c r="L556" s="94"/>
      <c r="M556" s="26"/>
      <c r="N556" s="26"/>
      <c r="O556" s="68"/>
      <c r="P556" s="1"/>
      <c r="Q556" s="8"/>
      <c r="R556" s="66"/>
      <c r="S556" s="1"/>
      <c r="T556" s="66"/>
      <c r="U556" s="8"/>
      <c r="V556" s="56"/>
      <c r="W556" s="1"/>
      <c r="X556" s="1"/>
      <c r="Y556" s="1"/>
    </row>
    <row r="557" spans="1:25">
      <c r="A557" s="57"/>
      <c r="B557" s="94"/>
      <c r="C557" s="68"/>
      <c r="D557" s="68"/>
      <c r="E557" s="68"/>
      <c r="F557" s="94"/>
      <c r="G557" s="94"/>
      <c r="H557" s="94"/>
      <c r="I557" s="94"/>
      <c r="J557" s="94"/>
      <c r="K557" s="94"/>
      <c r="L557" s="94"/>
      <c r="M557" s="26"/>
      <c r="N557" s="26"/>
      <c r="O557" s="68"/>
      <c r="P557" s="1"/>
      <c r="Q557" s="8"/>
      <c r="R557" s="66"/>
      <c r="S557" s="1"/>
      <c r="T557" s="66"/>
      <c r="U557" s="8"/>
      <c r="V557" s="56"/>
      <c r="W557" s="1"/>
      <c r="X557" s="1"/>
      <c r="Y557" s="1"/>
    </row>
    <row r="558" spans="1:25">
      <c r="A558" s="57"/>
      <c r="B558" s="110"/>
      <c r="C558" s="68"/>
      <c r="D558" s="68"/>
      <c r="E558" s="68"/>
      <c r="F558" s="110"/>
      <c r="G558" s="110"/>
      <c r="H558" s="110"/>
      <c r="I558" s="110"/>
      <c r="J558" s="110"/>
      <c r="K558" s="110"/>
      <c r="L558" s="109"/>
      <c r="M558" s="26"/>
      <c r="N558" s="26"/>
      <c r="O558" s="68"/>
      <c r="P558" s="1"/>
      <c r="Q558" s="8"/>
      <c r="R558" s="66"/>
      <c r="S558" s="1"/>
      <c r="T558" s="66"/>
      <c r="U558" s="8"/>
      <c r="V558" s="56"/>
      <c r="W558" s="1"/>
      <c r="X558" s="1"/>
      <c r="Y558" s="1"/>
    </row>
    <row r="559" spans="1:25">
      <c r="A559" s="57"/>
      <c r="B559" s="94"/>
      <c r="C559" s="68"/>
      <c r="D559" s="68"/>
      <c r="E559" s="68"/>
      <c r="F559" s="94"/>
      <c r="G559" s="94"/>
      <c r="H559" s="94"/>
      <c r="I559" s="94"/>
      <c r="J559" s="94"/>
      <c r="K559" s="94"/>
      <c r="L559" s="94"/>
      <c r="M559" s="26"/>
      <c r="N559" s="26"/>
      <c r="O559" s="68"/>
      <c r="P559" s="1"/>
      <c r="Q559" s="8"/>
      <c r="R559" s="66"/>
      <c r="S559" s="1"/>
      <c r="T559" s="66"/>
      <c r="U559" s="8"/>
      <c r="V559" s="56"/>
      <c r="W559" s="1"/>
      <c r="X559" s="1"/>
      <c r="Y559" s="1"/>
    </row>
    <row r="560" spans="1:25">
      <c r="A560" s="57"/>
      <c r="B560" s="94"/>
      <c r="C560" s="68"/>
      <c r="D560" s="68"/>
      <c r="E560" s="68"/>
      <c r="F560" s="94"/>
      <c r="G560" s="94"/>
      <c r="H560" s="94"/>
      <c r="I560" s="94"/>
      <c r="J560" s="94"/>
      <c r="K560" s="94"/>
      <c r="L560" s="94"/>
      <c r="M560" s="26"/>
      <c r="N560" s="26"/>
      <c r="O560" s="68"/>
      <c r="P560" s="1"/>
      <c r="Q560" s="8"/>
      <c r="R560" s="66"/>
      <c r="S560" s="1"/>
      <c r="T560" s="66"/>
      <c r="U560" s="8"/>
      <c r="V560" s="56"/>
      <c r="W560" s="1"/>
      <c r="X560" s="1"/>
      <c r="Y560" s="1"/>
    </row>
    <row r="561" spans="1:25">
      <c r="A561" s="57"/>
      <c r="B561" s="94"/>
      <c r="C561" s="68"/>
      <c r="D561" s="68"/>
      <c r="E561" s="68"/>
      <c r="F561" s="94"/>
      <c r="G561" s="94"/>
      <c r="H561" s="94"/>
      <c r="I561" s="94"/>
      <c r="J561" s="94"/>
      <c r="K561" s="94"/>
      <c r="L561" s="94"/>
      <c r="M561" s="26"/>
      <c r="N561" s="26"/>
      <c r="O561" s="68"/>
      <c r="P561" s="1"/>
      <c r="Q561" s="8"/>
      <c r="R561" s="66"/>
      <c r="S561" s="1"/>
      <c r="T561" s="66"/>
      <c r="U561" s="8"/>
      <c r="V561" s="56"/>
      <c r="W561" s="1"/>
      <c r="X561" s="1"/>
      <c r="Y561" s="1"/>
    </row>
    <row r="562" spans="1:25">
      <c r="A562" s="57"/>
      <c r="B562" s="94"/>
      <c r="C562" s="68"/>
      <c r="D562" s="68"/>
      <c r="E562" s="68"/>
      <c r="F562" s="94"/>
      <c r="G562" s="94"/>
      <c r="H562" s="94"/>
      <c r="I562" s="94"/>
      <c r="J562" s="94"/>
      <c r="K562" s="94"/>
      <c r="L562" s="94"/>
      <c r="M562" s="26"/>
      <c r="N562" s="26"/>
      <c r="O562" s="68"/>
      <c r="P562" s="1"/>
      <c r="Q562" s="8"/>
      <c r="R562" s="66"/>
      <c r="S562" s="1"/>
      <c r="T562" s="66"/>
      <c r="U562" s="8"/>
      <c r="V562" s="56"/>
      <c r="W562" s="1"/>
      <c r="X562" s="1"/>
      <c r="Y562" s="1"/>
    </row>
    <row r="563" spans="1:25">
      <c r="A563" s="57"/>
      <c r="B563" s="110"/>
      <c r="C563" s="68"/>
      <c r="D563" s="68"/>
      <c r="E563" s="68"/>
      <c r="F563" s="110"/>
      <c r="G563" s="110"/>
      <c r="H563" s="110"/>
      <c r="I563" s="110"/>
      <c r="J563" s="110"/>
      <c r="K563" s="110"/>
      <c r="L563" s="109"/>
      <c r="M563" s="26"/>
      <c r="N563" s="26"/>
      <c r="O563" s="68"/>
      <c r="P563" s="1"/>
      <c r="Q563" s="8"/>
      <c r="R563" s="66"/>
      <c r="S563" s="1"/>
      <c r="T563" s="66"/>
      <c r="U563" s="8"/>
      <c r="V563" s="56"/>
      <c r="W563" s="1"/>
      <c r="X563" s="1"/>
      <c r="Y563" s="1"/>
    </row>
    <row r="564" spans="1:25">
      <c r="A564" s="57"/>
      <c r="B564" s="94"/>
      <c r="C564" s="68"/>
      <c r="D564" s="68"/>
      <c r="E564" s="68"/>
      <c r="F564" s="94"/>
      <c r="G564" s="94"/>
      <c r="H564" s="94"/>
      <c r="I564" s="94"/>
      <c r="J564" s="94"/>
      <c r="K564" s="94"/>
      <c r="L564" s="94"/>
      <c r="M564" s="26"/>
      <c r="N564" s="26"/>
      <c r="O564" s="68"/>
      <c r="P564" s="1"/>
      <c r="Q564" s="8"/>
      <c r="R564" s="66"/>
      <c r="S564" s="1"/>
      <c r="T564" s="66"/>
      <c r="U564" s="8"/>
      <c r="V564" s="56"/>
      <c r="W564" s="1"/>
      <c r="X564" s="1"/>
      <c r="Y564" s="1"/>
    </row>
    <row r="565" spans="1:25">
      <c r="A565" s="57"/>
      <c r="B565" s="94"/>
      <c r="C565" s="68"/>
      <c r="D565" s="68"/>
      <c r="E565" s="68"/>
      <c r="F565" s="94"/>
      <c r="G565" s="94"/>
      <c r="H565" s="94"/>
      <c r="I565" s="94"/>
      <c r="J565" s="94"/>
      <c r="K565" s="94"/>
      <c r="L565" s="94"/>
      <c r="M565" s="26"/>
      <c r="N565" s="26"/>
      <c r="O565" s="68"/>
      <c r="P565" s="1"/>
      <c r="Q565" s="8"/>
      <c r="R565" s="66"/>
      <c r="S565" s="1"/>
      <c r="T565" s="66"/>
      <c r="U565" s="8"/>
      <c r="V565" s="56"/>
      <c r="W565" s="1"/>
      <c r="X565" s="1"/>
      <c r="Y565" s="1"/>
    </row>
    <row r="566" spans="1:25">
      <c r="A566" s="57"/>
      <c r="B566" s="94"/>
      <c r="C566" s="68"/>
      <c r="D566" s="68"/>
      <c r="E566" s="68"/>
      <c r="F566" s="94"/>
      <c r="G566" s="94"/>
      <c r="H566" s="94"/>
      <c r="I566" s="94"/>
      <c r="J566" s="94"/>
      <c r="K566" s="94"/>
      <c r="L566" s="94"/>
      <c r="M566" s="26"/>
      <c r="N566" s="26"/>
      <c r="O566" s="68"/>
      <c r="P566" s="1"/>
      <c r="Q566" s="8"/>
      <c r="R566" s="66"/>
      <c r="S566" s="1"/>
      <c r="T566" s="66"/>
      <c r="U566" s="8"/>
      <c r="V566" s="56"/>
      <c r="W566" s="1"/>
      <c r="X566" s="1"/>
      <c r="Y566" s="1"/>
    </row>
    <row r="567" spans="1:25">
      <c r="A567" s="57"/>
      <c r="B567" s="94"/>
      <c r="C567" s="68"/>
      <c r="D567" s="68"/>
      <c r="E567" s="68"/>
      <c r="F567" s="94"/>
      <c r="G567" s="94"/>
      <c r="H567" s="94"/>
      <c r="I567" s="94"/>
      <c r="J567" s="94"/>
      <c r="K567" s="94"/>
      <c r="L567" s="94"/>
      <c r="M567" s="26"/>
      <c r="N567" s="26"/>
      <c r="O567" s="68"/>
      <c r="P567" s="1"/>
      <c r="Q567" s="8"/>
      <c r="R567" s="66"/>
      <c r="S567" s="1"/>
      <c r="T567" s="66"/>
      <c r="U567" s="8"/>
      <c r="V567" s="56"/>
      <c r="W567" s="1"/>
      <c r="X567" s="1"/>
      <c r="Y567" s="1"/>
    </row>
    <row r="568" spans="1:25">
      <c r="A568" s="57"/>
      <c r="B568" s="110"/>
      <c r="C568" s="68"/>
      <c r="D568" s="68"/>
      <c r="E568" s="68"/>
      <c r="F568" s="110"/>
      <c r="G568" s="110"/>
      <c r="H568" s="110"/>
      <c r="I568" s="110"/>
      <c r="J568" s="110"/>
      <c r="K568" s="110"/>
      <c r="L568" s="109"/>
      <c r="M568" s="26"/>
      <c r="N568" s="26"/>
      <c r="O568" s="68"/>
      <c r="P568" s="1"/>
      <c r="Q568" s="8"/>
      <c r="R568" s="66"/>
      <c r="S568" s="1"/>
      <c r="T568" s="66"/>
      <c r="U568" s="8"/>
      <c r="V568" s="56"/>
      <c r="W568" s="1"/>
      <c r="X568" s="1"/>
      <c r="Y568" s="1"/>
    </row>
    <row r="569" spans="1:25">
      <c r="A569" s="57"/>
      <c r="B569" s="94"/>
      <c r="C569" s="68"/>
      <c r="D569" s="68"/>
      <c r="E569" s="68"/>
      <c r="F569" s="94"/>
      <c r="G569" s="94"/>
      <c r="H569" s="94"/>
      <c r="I569" s="94"/>
      <c r="J569" s="94"/>
      <c r="K569" s="94"/>
      <c r="L569" s="94"/>
      <c r="M569" s="26"/>
      <c r="N569" s="26"/>
      <c r="O569" s="68"/>
      <c r="P569" s="1"/>
      <c r="Q569" s="8"/>
      <c r="R569" s="66"/>
      <c r="S569" s="1"/>
      <c r="T569" s="66"/>
      <c r="U569" s="8"/>
      <c r="V569" s="56"/>
      <c r="W569" s="1"/>
      <c r="X569" s="1"/>
      <c r="Y569" s="1"/>
    </row>
    <row r="570" spans="1:25">
      <c r="A570" s="57"/>
      <c r="B570" s="94"/>
      <c r="C570" s="68"/>
      <c r="D570" s="68"/>
      <c r="E570" s="68"/>
      <c r="F570" s="94"/>
      <c r="G570" s="94"/>
      <c r="H570" s="94"/>
      <c r="I570" s="94"/>
      <c r="J570" s="94"/>
      <c r="K570" s="94"/>
      <c r="L570" s="94"/>
      <c r="M570" s="26"/>
      <c r="N570" s="26"/>
      <c r="O570" s="68"/>
      <c r="P570" s="1"/>
      <c r="Q570" s="8"/>
      <c r="R570" s="66"/>
      <c r="S570" s="1"/>
      <c r="T570" s="66"/>
      <c r="U570" s="8"/>
      <c r="V570" s="56"/>
      <c r="W570" s="1"/>
      <c r="X570" s="1"/>
      <c r="Y570" s="1"/>
    </row>
    <row r="571" spans="1:25">
      <c r="A571" s="57"/>
      <c r="B571" s="94"/>
      <c r="C571" s="68"/>
      <c r="D571" s="68"/>
      <c r="E571" s="68"/>
      <c r="F571" s="94"/>
      <c r="G571" s="94"/>
      <c r="H571" s="94"/>
      <c r="I571" s="94"/>
      <c r="J571" s="94"/>
      <c r="K571" s="94"/>
      <c r="L571" s="94"/>
      <c r="M571" s="26"/>
      <c r="N571" s="26"/>
      <c r="O571" s="68"/>
      <c r="P571" s="1"/>
      <c r="Q571" s="8"/>
      <c r="R571" s="66"/>
      <c r="S571" s="1"/>
      <c r="T571" s="66"/>
      <c r="U571" s="8"/>
      <c r="V571" s="56"/>
      <c r="W571" s="1"/>
      <c r="X571" s="1"/>
      <c r="Y571" s="1"/>
    </row>
    <row r="572" spans="1:25">
      <c r="A572" s="57"/>
      <c r="B572" s="94"/>
      <c r="C572" s="68"/>
      <c r="D572" s="68"/>
      <c r="E572" s="68"/>
      <c r="F572" s="94"/>
      <c r="G572" s="94"/>
      <c r="H572" s="94"/>
      <c r="I572" s="94"/>
      <c r="J572" s="94"/>
      <c r="K572" s="94"/>
      <c r="L572" s="94"/>
      <c r="M572" s="26"/>
      <c r="N572" s="26"/>
      <c r="O572" s="68"/>
      <c r="P572" s="1"/>
      <c r="Q572" s="8"/>
      <c r="R572" s="66"/>
      <c r="S572" s="1"/>
      <c r="T572" s="66"/>
      <c r="U572" s="8"/>
      <c r="V572" s="56"/>
      <c r="W572" s="1"/>
      <c r="X572" s="1"/>
      <c r="Y572" s="1"/>
    </row>
    <row r="573" spans="1:25">
      <c r="A573" s="57"/>
      <c r="B573" s="110"/>
      <c r="C573" s="68"/>
      <c r="D573" s="68"/>
      <c r="E573" s="68"/>
      <c r="F573" s="110"/>
      <c r="G573" s="110"/>
      <c r="H573" s="110"/>
      <c r="I573" s="110"/>
      <c r="J573" s="110"/>
      <c r="K573" s="110"/>
      <c r="L573" s="109"/>
      <c r="M573" s="26"/>
      <c r="N573" s="26"/>
      <c r="O573" s="68"/>
      <c r="P573" s="1"/>
      <c r="Q573" s="8"/>
      <c r="R573" s="66"/>
      <c r="S573" s="1"/>
      <c r="T573" s="66"/>
      <c r="U573" s="8"/>
      <c r="V573" s="56"/>
      <c r="W573" s="1"/>
      <c r="X573" s="1"/>
      <c r="Y573" s="1"/>
    </row>
    <row r="574" spans="1:25">
      <c r="A574" s="57"/>
      <c r="B574" s="94"/>
      <c r="C574" s="68"/>
      <c r="D574" s="68"/>
      <c r="E574" s="68"/>
      <c r="F574" s="94"/>
      <c r="G574" s="94"/>
      <c r="H574" s="94"/>
      <c r="I574" s="94"/>
      <c r="J574" s="94"/>
      <c r="K574" s="94"/>
      <c r="L574" s="94"/>
      <c r="M574" s="26"/>
      <c r="N574" s="26"/>
      <c r="O574" s="68"/>
      <c r="P574" s="1"/>
      <c r="Q574" s="8"/>
      <c r="R574" s="66"/>
      <c r="S574" s="1"/>
      <c r="T574" s="66"/>
      <c r="U574" s="8"/>
      <c r="V574" s="56"/>
      <c r="W574" s="1"/>
      <c r="X574" s="1"/>
      <c r="Y574" s="1"/>
    </row>
    <row r="575" spans="1:25">
      <c r="A575" s="57"/>
      <c r="B575" s="94"/>
      <c r="C575" s="68"/>
      <c r="D575" s="68"/>
      <c r="E575" s="68"/>
      <c r="F575" s="94"/>
      <c r="G575" s="94"/>
      <c r="H575" s="94"/>
      <c r="I575" s="94"/>
      <c r="J575" s="94"/>
      <c r="K575" s="94"/>
      <c r="L575" s="94"/>
      <c r="M575" s="26"/>
      <c r="N575" s="26"/>
      <c r="O575" s="68"/>
      <c r="P575" s="1"/>
      <c r="Q575" s="8"/>
      <c r="R575" s="66"/>
      <c r="S575" s="1"/>
      <c r="T575" s="66"/>
      <c r="U575" s="8"/>
      <c r="V575" s="56"/>
      <c r="W575" s="1"/>
      <c r="X575" s="1"/>
      <c r="Y575" s="1"/>
    </row>
    <row r="576" spans="1:25">
      <c r="A576" s="57"/>
      <c r="B576" s="94"/>
      <c r="C576" s="68"/>
      <c r="D576" s="68"/>
      <c r="E576" s="68"/>
      <c r="F576" s="94"/>
      <c r="G576" s="94"/>
      <c r="H576" s="94"/>
      <c r="I576" s="94"/>
      <c r="J576" s="94"/>
      <c r="K576" s="94"/>
      <c r="L576" s="94"/>
      <c r="M576" s="26"/>
      <c r="N576" s="26"/>
      <c r="O576" s="68"/>
      <c r="P576" s="1"/>
      <c r="Q576" s="8"/>
      <c r="R576" s="66"/>
      <c r="S576" s="1"/>
      <c r="T576" s="66"/>
      <c r="U576" s="8"/>
      <c r="V576" s="56"/>
      <c r="W576" s="1"/>
      <c r="X576" s="1"/>
      <c r="Y576" s="1"/>
    </row>
    <row r="577" spans="1:25">
      <c r="A577" s="57"/>
      <c r="B577" s="94"/>
      <c r="C577" s="68"/>
      <c r="D577" s="68"/>
      <c r="E577" s="68"/>
      <c r="F577" s="94"/>
      <c r="G577" s="94"/>
      <c r="H577" s="94"/>
      <c r="I577" s="94"/>
      <c r="J577" s="94"/>
      <c r="K577" s="94"/>
      <c r="L577" s="94"/>
      <c r="M577" s="26"/>
      <c r="N577" s="26"/>
      <c r="O577" s="68"/>
      <c r="P577" s="1"/>
      <c r="Q577" s="8"/>
      <c r="R577" s="66"/>
      <c r="S577" s="1"/>
      <c r="T577" s="66"/>
      <c r="U577" s="8"/>
      <c r="V577" s="56"/>
      <c r="W577" s="1"/>
      <c r="X577" s="1"/>
      <c r="Y577" s="1"/>
    </row>
    <row r="578" spans="1:25">
      <c r="A578" s="57"/>
      <c r="B578" s="110"/>
      <c r="C578" s="68"/>
      <c r="D578" s="68"/>
      <c r="E578" s="68"/>
      <c r="F578" s="110"/>
      <c r="G578" s="110"/>
      <c r="H578" s="110"/>
      <c r="I578" s="110"/>
      <c r="J578" s="110"/>
      <c r="K578" s="110"/>
      <c r="L578" s="109"/>
      <c r="M578" s="26"/>
      <c r="N578" s="26"/>
      <c r="O578" s="68"/>
      <c r="P578" s="1"/>
      <c r="Q578" s="8"/>
      <c r="R578" s="66"/>
      <c r="S578" s="1"/>
      <c r="T578" s="66"/>
      <c r="U578" s="8"/>
      <c r="V578" s="56"/>
      <c r="W578" s="1"/>
      <c r="X578" s="1"/>
      <c r="Y578" s="1"/>
    </row>
    <row r="579" spans="1:25">
      <c r="A579" s="57"/>
      <c r="B579" s="94"/>
      <c r="C579" s="68"/>
      <c r="D579" s="68"/>
      <c r="E579" s="68"/>
      <c r="F579" s="94"/>
      <c r="G579" s="94"/>
      <c r="H579" s="94"/>
      <c r="I579" s="94"/>
      <c r="J579" s="94"/>
      <c r="K579" s="94"/>
      <c r="L579" s="94"/>
      <c r="M579" s="26"/>
      <c r="N579" s="26"/>
      <c r="O579" s="68"/>
      <c r="P579" s="1"/>
      <c r="Q579" s="8"/>
      <c r="R579" s="66"/>
      <c r="S579" s="1"/>
      <c r="T579" s="66"/>
      <c r="U579" s="8"/>
      <c r="V579" s="56"/>
      <c r="W579" s="1"/>
      <c r="X579" s="1"/>
      <c r="Y579" s="1"/>
    </row>
    <row r="580" spans="1:25">
      <c r="A580" s="57"/>
      <c r="B580" s="94"/>
      <c r="C580" s="68"/>
      <c r="D580" s="68"/>
      <c r="E580" s="68"/>
      <c r="F580" s="94"/>
      <c r="G580" s="94"/>
      <c r="H580" s="94"/>
      <c r="I580" s="94"/>
      <c r="J580" s="94"/>
      <c r="K580" s="94"/>
      <c r="L580" s="94"/>
      <c r="M580" s="26"/>
      <c r="N580" s="26"/>
      <c r="O580" s="68"/>
      <c r="P580" s="1"/>
      <c r="Q580" s="8"/>
      <c r="R580" s="66"/>
      <c r="S580" s="1"/>
      <c r="T580" s="66"/>
      <c r="U580" s="8"/>
      <c r="V580" s="56"/>
      <c r="W580" s="1"/>
      <c r="X580" s="1"/>
      <c r="Y580" s="1"/>
    </row>
    <row r="581" spans="1:25">
      <c r="A581" s="57"/>
      <c r="B581" s="94"/>
      <c r="C581" s="68"/>
      <c r="D581" s="68"/>
      <c r="E581" s="68"/>
      <c r="F581" s="94"/>
      <c r="G581" s="94"/>
      <c r="H581" s="94"/>
      <c r="I581" s="94"/>
      <c r="J581" s="94"/>
      <c r="K581" s="94"/>
      <c r="L581" s="94"/>
      <c r="M581" s="26"/>
      <c r="N581" s="26"/>
      <c r="O581" s="68"/>
      <c r="P581" s="1"/>
      <c r="Q581" s="8"/>
      <c r="R581" s="66"/>
      <c r="S581" s="1"/>
      <c r="T581" s="66"/>
      <c r="U581" s="8"/>
      <c r="V581" s="56"/>
      <c r="W581" s="1"/>
      <c r="X581" s="1"/>
      <c r="Y581" s="1"/>
    </row>
    <row r="582" spans="1:25">
      <c r="A582" s="57"/>
      <c r="B582" s="94"/>
      <c r="C582" s="68"/>
      <c r="D582" s="68"/>
      <c r="E582" s="68"/>
      <c r="F582" s="94"/>
      <c r="G582" s="94"/>
      <c r="H582" s="94"/>
      <c r="I582" s="94"/>
      <c r="J582" s="94"/>
      <c r="K582" s="94"/>
      <c r="L582" s="94"/>
      <c r="M582" s="26"/>
      <c r="N582" s="26"/>
      <c r="O582" s="68"/>
      <c r="P582" s="1"/>
      <c r="Q582" s="8"/>
      <c r="R582" s="66"/>
      <c r="S582" s="1"/>
      <c r="T582" s="66"/>
      <c r="U582" s="8"/>
      <c r="V582" s="56"/>
      <c r="W582" s="1"/>
      <c r="X582" s="1"/>
      <c r="Y582" s="1"/>
    </row>
    <row r="583" spans="1:25">
      <c r="A583" s="57"/>
      <c r="B583" s="110"/>
      <c r="C583" s="68"/>
      <c r="D583" s="68"/>
      <c r="E583" s="68"/>
      <c r="F583" s="110"/>
      <c r="G583" s="110"/>
      <c r="H583" s="110"/>
      <c r="I583" s="110"/>
      <c r="J583" s="110"/>
      <c r="K583" s="110"/>
      <c r="L583" s="109"/>
      <c r="M583" s="26"/>
      <c r="N583" s="26"/>
      <c r="O583" s="68"/>
      <c r="P583" s="1"/>
      <c r="Q583" s="8"/>
      <c r="R583" s="66"/>
      <c r="S583" s="1"/>
      <c r="T583" s="66"/>
      <c r="U583" s="8"/>
      <c r="V583" s="56"/>
      <c r="W583" s="1"/>
      <c r="X583" s="1"/>
      <c r="Y583" s="1"/>
    </row>
    <row r="584" spans="1:25">
      <c r="A584" s="57"/>
      <c r="B584" s="94"/>
      <c r="C584" s="68"/>
      <c r="D584" s="68"/>
      <c r="E584" s="68"/>
      <c r="F584" s="94"/>
      <c r="G584" s="94"/>
      <c r="H584" s="94"/>
      <c r="I584" s="94"/>
      <c r="J584" s="94"/>
      <c r="K584" s="94"/>
      <c r="L584" s="94"/>
      <c r="M584" s="26"/>
      <c r="N584" s="26"/>
      <c r="O584" s="68"/>
      <c r="P584" s="1"/>
      <c r="Q584" s="8"/>
      <c r="R584" s="66"/>
      <c r="S584" s="1"/>
      <c r="T584" s="66"/>
      <c r="U584" s="8"/>
      <c r="V584" s="56"/>
      <c r="W584" s="1"/>
      <c r="X584" s="1"/>
      <c r="Y584" s="1"/>
    </row>
    <row r="585" spans="1:25">
      <c r="A585" s="57"/>
      <c r="B585" s="94"/>
      <c r="C585" s="68"/>
      <c r="D585" s="68"/>
      <c r="E585" s="68"/>
      <c r="F585" s="94"/>
      <c r="G585" s="94"/>
      <c r="H585" s="94"/>
      <c r="I585" s="94"/>
      <c r="J585" s="94"/>
      <c r="K585" s="94"/>
      <c r="L585" s="94"/>
      <c r="M585" s="26"/>
      <c r="N585" s="26"/>
      <c r="O585" s="68"/>
      <c r="P585" s="1"/>
      <c r="Q585" s="8"/>
      <c r="R585" s="66"/>
      <c r="S585" s="1"/>
      <c r="T585" s="66"/>
      <c r="U585" s="8"/>
      <c r="V585" s="56"/>
      <c r="W585" s="1"/>
      <c r="X585" s="1"/>
      <c r="Y585" s="1"/>
    </row>
    <row r="586" spans="1:25">
      <c r="A586" s="57"/>
      <c r="B586" s="94"/>
      <c r="C586" s="68"/>
      <c r="D586" s="68"/>
      <c r="E586" s="68"/>
      <c r="F586" s="94"/>
      <c r="G586" s="94"/>
      <c r="H586" s="94"/>
      <c r="I586" s="94"/>
      <c r="J586" s="94"/>
      <c r="K586" s="94"/>
      <c r="L586" s="94"/>
      <c r="M586" s="26"/>
      <c r="N586" s="26"/>
      <c r="O586" s="68"/>
      <c r="P586" s="1"/>
      <c r="Q586" s="8"/>
      <c r="R586" s="66"/>
      <c r="S586" s="1"/>
      <c r="T586" s="66"/>
      <c r="U586" s="8"/>
      <c r="V586" s="56"/>
      <c r="W586" s="1"/>
      <c r="X586" s="1"/>
      <c r="Y586" s="1"/>
    </row>
    <row r="587" spans="1:25">
      <c r="A587" s="57"/>
      <c r="B587" s="94"/>
      <c r="C587" s="68"/>
      <c r="D587" s="68"/>
      <c r="E587" s="68"/>
      <c r="F587" s="94"/>
      <c r="G587" s="94"/>
      <c r="H587" s="94"/>
      <c r="I587" s="94"/>
      <c r="J587" s="94"/>
      <c r="K587" s="94"/>
      <c r="L587" s="94"/>
      <c r="M587" s="26"/>
      <c r="N587" s="26"/>
      <c r="O587" s="68"/>
      <c r="P587" s="1"/>
      <c r="Q587" s="8"/>
      <c r="R587" s="66"/>
      <c r="S587" s="1"/>
      <c r="T587" s="66"/>
      <c r="U587" s="8"/>
      <c r="V587" s="56"/>
      <c r="W587" s="1"/>
      <c r="X587" s="1"/>
      <c r="Y587" s="1"/>
    </row>
    <row r="588" spans="1:25">
      <c r="A588" s="57"/>
      <c r="B588" s="110"/>
      <c r="C588" s="68"/>
      <c r="D588" s="68"/>
      <c r="E588" s="68"/>
      <c r="F588" s="110"/>
      <c r="G588" s="110"/>
      <c r="H588" s="110"/>
      <c r="I588" s="110"/>
      <c r="J588" s="110"/>
      <c r="K588" s="110"/>
      <c r="L588" s="109"/>
      <c r="M588" s="26"/>
      <c r="N588" s="26"/>
      <c r="O588" s="68"/>
      <c r="P588" s="1"/>
      <c r="Q588" s="8"/>
      <c r="R588" s="66"/>
      <c r="S588" s="1"/>
      <c r="T588" s="66"/>
      <c r="U588" s="8"/>
      <c r="V588" s="56"/>
      <c r="W588" s="1"/>
      <c r="X588" s="1"/>
      <c r="Y588" s="1"/>
    </row>
    <row r="589" spans="1:25">
      <c r="A589" s="57"/>
      <c r="B589" s="94"/>
      <c r="C589" s="68"/>
      <c r="D589" s="68"/>
      <c r="E589" s="68"/>
      <c r="F589" s="94"/>
      <c r="G589" s="94"/>
      <c r="H589" s="94"/>
      <c r="I589" s="94"/>
      <c r="J589" s="94"/>
      <c r="K589" s="94"/>
      <c r="L589" s="94"/>
      <c r="M589" s="26"/>
      <c r="N589" s="26"/>
      <c r="O589" s="68"/>
      <c r="P589" s="1"/>
      <c r="Q589" s="8"/>
      <c r="R589" s="66"/>
      <c r="S589" s="1"/>
      <c r="T589" s="66"/>
      <c r="U589" s="8"/>
      <c r="V589" s="56"/>
      <c r="W589" s="1"/>
      <c r="X589" s="1"/>
      <c r="Y589" s="1"/>
    </row>
    <row r="590" spans="1:25">
      <c r="A590" s="57"/>
      <c r="B590" s="94"/>
      <c r="C590" s="68"/>
      <c r="D590" s="68"/>
      <c r="E590" s="68"/>
      <c r="F590" s="94"/>
      <c r="G590" s="94"/>
      <c r="H590" s="94"/>
      <c r="I590" s="94"/>
      <c r="J590" s="94"/>
      <c r="K590" s="94"/>
      <c r="L590" s="94"/>
      <c r="M590" s="26"/>
      <c r="N590" s="26"/>
      <c r="O590" s="68"/>
      <c r="P590" s="1"/>
      <c r="Q590" s="8"/>
      <c r="R590" s="66"/>
      <c r="S590" s="1"/>
      <c r="T590" s="66"/>
      <c r="U590" s="8"/>
      <c r="V590" s="56"/>
      <c r="W590" s="1"/>
      <c r="X590" s="1"/>
      <c r="Y590" s="1"/>
    </row>
    <row r="591" spans="1:25">
      <c r="A591" s="57"/>
      <c r="B591" s="94"/>
      <c r="C591" s="68"/>
      <c r="D591" s="68"/>
      <c r="E591" s="68"/>
      <c r="F591" s="94"/>
      <c r="G591" s="94"/>
      <c r="H591" s="94"/>
      <c r="I591" s="94"/>
      <c r="J591" s="94"/>
      <c r="K591" s="94"/>
      <c r="L591" s="94"/>
      <c r="M591" s="26"/>
      <c r="N591" s="26"/>
      <c r="O591" s="68"/>
      <c r="P591" s="1"/>
      <c r="Q591" s="8"/>
      <c r="R591" s="66"/>
      <c r="S591" s="1"/>
      <c r="T591" s="66"/>
      <c r="U591" s="8"/>
      <c r="V591" s="56"/>
      <c r="W591" s="1"/>
      <c r="X591" s="1"/>
      <c r="Y591" s="1"/>
    </row>
    <row r="592" spans="1:25">
      <c r="A592" s="57"/>
      <c r="B592" s="94"/>
      <c r="C592" s="68"/>
      <c r="D592" s="68"/>
      <c r="E592" s="68"/>
      <c r="F592" s="94"/>
      <c r="G592" s="94"/>
      <c r="H592" s="94"/>
      <c r="I592" s="94"/>
      <c r="J592" s="94"/>
      <c r="K592" s="94"/>
      <c r="L592" s="94"/>
      <c r="M592" s="26"/>
      <c r="N592" s="26"/>
      <c r="O592" s="68"/>
      <c r="P592" s="1"/>
      <c r="Q592" s="8"/>
      <c r="R592" s="66"/>
      <c r="S592" s="1"/>
      <c r="T592" s="66"/>
      <c r="U592" s="8"/>
      <c r="V592" s="56"/>
      <c r="W592" s="1"/>
      <c r="X592" s="1"/>
      <c r="Y592" s="1"/>
    </row>
    <row r="593" spans="1:25">
      <c r="A593" s="57"/>
      <c r="B593" s="110"/>
      <c r="C593" s="68"/>
      <c r="D593" s="68"/>
      <c r="E593" s="68"/>
      <c r="F593" s="110"/>
      <c r="G593" s="110"/>
      <c r="H593" s="110"/>
      <c r="I593" s="110"/>
      <c r="J593" s="110"/>
      <c r="K593" s="110"/>
      <c r="L593" s="109"/>
      <c r="M593" s="26"/>
      <c r="N593" s="26"/>
      <c r="O593" s="68"/>
      <c r="P593" s="1"/>
      <c r="Q593" s="8"/>
      <c r="R593" s="66"/>
      <c r="S593" s="1"/>
      <c r="T593" s="66"/>
      <c r="U593" s="8"/>
      <c r="V593" s="56"/>
      <c r="W593" s="1"/>
      <c r="X593" s="1"/>
      <c r="Y593" s="1"/>
    </row>
    <row r="594" spans="1:25">
      <c r="A594" s="57"/>
      <c r="B594" s="94"/>
      <c r="C594" s="68"/>
      <c r="D594" s="68"/>
      <c r="E594" s="68"/>
      <c r="F594" s="94"/>
      <c r="G594" s="94"/>
      <c r="H594" s="94"/>
      <c r="I594" s="94"/>
      <c r="J594" s="94"/>
      <c r="K594" s="94"/>
      <c r="L594" s="94"/>
      <c r="M594" s="26"/>
      <c r="N594" s="26"/>
      <c r="O594" s="68"/>
      <c r="P594" s="1"/>
      <c r="Q594" s="8"/>
      <c r="R594" s="66"/>
      <c r="S594" s="1"/>
      <c r="T594" s="66"/>
      <c r="U594" s="8"/>
      <c r="V594" s="56"/>
      <c r="W594" s="1"/>
      <c r="X594" s="1"/>
      <c r="Y594" s="1"/>
    </row>
    <row r="595" spans="1:25">
      <c r="A595" s="57"/>
      <c r="B595" s="94"/>
      <c r="C595" s="68"/>
      <c r="D595" s="68"/>
      <c r="E595" s="68"/>
      <c r="F595" s="94"/>
      <c r="G595" s="94"/>
      <c r="H595" s="94"/>
      <c r="I595" s="94"/>
      <c r="J595" s="94"/>
      <c r="K595" s="94"/>
      <c r="L595" s="94"/>
      <c r="M595" s="26"/>
      <c r="N595" s="26"/>
      <c r="O595" s="68"/>
      <c r="P595" s="1"/>
      <c r="Q595" s="8"/>
      <c r="R595" s="66"/>
      <c r="S595" s="1"/>
      <c r="T595" s="66"/>
      <c r="U595" s="8"/>
      <c r="V595" s="56"/>
      <c r="W595" s="1"/>
      <c r="X595" s="1"/>
      <c r="Y595" s="1"/>
    </row>
    <row r="596" spans="1:25">
      <c r="A596" s="57"/>
      <c r="B596" s="94"/>
      <c r="C596" s="68"/>
      <c r="D596" s="68"/>
      <c r="E596" s="68"/>
      <c r="F596" s="94"/>
      <c r="G596" s="94"/>
      <c r="H596" s="94"/>
      <c r="I596" s="94"/>
      <c r="J596" s="94"/>
      <c r="K596" s="94"/>
      <c r="L596" s="94"/>
      <c r="M596" s="26"/>
      <c r="N596" s="26"/>
      <c r="O596" s="68"/>
      <c r="P596" s="1"/>
      <c r="Q596" s="8"/>
      <c r="R596" s="66"/>
      <c r="S596" s="1"/>
      <c r="T596" s="66"/>
      <c r="U596" s="8"/>
      <c r="V596" s="56"/>
      <c r="W596" s="1"/>
      <c r="X596" s="1"/>
      <c r="Y596" s="1"/>
    </row>
    <row r="597" spans="1:25">
      <c r="A597" s="57"/>
      <c r="B597" s="94"/>
      <c r="C597" s="68"/>
      <c r="D597" s="68"/>
      <c r="E597" s="68"/>
      <c r="F597" s="94"/>
      <c r="G597" s="94"/>
      <c r="H597" s="94"/>
      <c r="I597" s="94"/>
      <c r="J597" s="94"/>
      <c r="K597" s="94"/>
      <c r="L597" s="94"/>
      <c r="M597" s="26"/>
      <c r="N597" s="26"/>
      <c r="O597" s="68"/>
      <c r="P597" s="1"/>
      <c r="Q597" s="8"/>
      <c r="R597" s="66"/>
      <c r="S597" s="1"/>
      <c r="T597" s="66"/>
      <c r="U597" s="8"/>
      <c r="V597" s="56"/>
      <c r="W597" s="1"/>
      <c r="X597" s="1"/>
      <c r="Y597" s="1"/>
    </row>
    <row r="598" spans="1:25">
      <c r="A598" s="57"/>
      <c r="B598" s="68"/>
      <c r="C598" s="68"/>
      <c r="D598" s="68"/>
      <c r="E598" s="68"/>
      <c r="F598" s="68"/>
      <c r="G598" s="68"/>
      <c r="H598" s="68"/>
      <c r="I598" s="68"/>
      <c r="J598" s="68"/>
      <c r="K598" s="68"/>
      <c r="L598" s="56"/>
      <c r="M598" s="26"/>
      <c r="N598" s="26"/>
      <c r="O598" s="68"/>
      <c r="P598" s="1"/>
      <c r="Q598" s="8"/>
      <c r="R598" s="66"/>
      <c r="S598" s="1"/>
      <c r="T598" s="66"/>
      <c r="U598" s="8"/>
      <c r="V598" s="56"/>
      <c r="W598" s="1"/>
      <c r="X598" s="1"/>
      <c r="Y598" s="1"/>
    </row>
    <row r="599" spans="1:25">
      <c r="A599" s="57"/>
      <c r="B599" s="68"/>
      <c r="C599" s="68"/>
      <c r="D599" s="68"/>
      <c r="E599" s="68"/>
      <c r="F599" s="68"/>
      <c r="G599" s="68"/>
      <c r="H599" s="68"/>
      <c r="I599" s="68"/>
      <c r="J599" s="68"/>
      <c r="K599" s="68"/>
      <c r="L599" s="56"/>
      <c r="M599" s="26"/>
      <c r="N599" s="26"/>
      <c r="O599" s="68"/>
      <c r="P599" s="1"/>
      <c r="Q599" s="8"/>
      <c r="R599" s="66"/>
      <c r="S599" s="1"/>
      <c r="T599" s="66"/>
      <c r="U599" s="8"/>
      <c r="V599" s="56"/>
      <c r="W599" s="1"/>
      <c r="X599" s="1"/>
      <c r="Y599" s="1"/>
    </row>
    <row r="600" spans="1:25">
      <c r="A600" s="57"/>
      <c r="B600" s="68"/>
      <c r="C600" s="68"/>
      <c r="D600" s="68"/>
      <c r="E600" s="68"/>
      <c r="F600" s="68"/>
      <c r="G600" s="68"/>
      <c r="H600" s="68"/>
      <c r="I600" s="68"/>
      <c r="J600" s="68"/>
      <c r="K600" s="68"/>
      <c r="L600" s="56"/>
      <c r="M600" s="26"/>
      <c r="N600" s="26"/>
      <c r="O600" s="68"/>
      <c r="P600" s="1"/>
      <c r="Q600" s="8"/>
      <c r="R600" s="66"/>
      <c r="S600" s="1"/>
      <c r="T600" s="66"/>
      <c r="U600" s="8"/>
      <c r="V600" s="56"/>
      <c r="W600" s="1"/>
      <c r="X600" s="1"/>
      <c r="Y600" s="1"/>
    </row>
    <row r="601" spans="1:25">
      <c r="A601" s="57"/>
      <c r="B601" s="68"/>
      <c r="C601" s="68"/>
      <c r="D601" s="68"/>
      <c r="E601" s="68"/>
      <c r="F601" s="68"/>
      <c r="G601" s="68"/>
      <c r="H601" s="68"/>
      <c r="I601" s="68"/>
      <c r="J601" s="68"/>
      <c r="K601" s="68"/>
      <c r="L601" s="56"/>
      <c r="M601" s="26"/>
      <c r="N601" s="26"/>
      <c r="O601" s="68"/>
      <c r="P601" s="1"/>
      <c r="Q601" s="8"/>
      <c r="R601" s="66"/>
      <c r="S601" s="1"/>
      <c r="T601" s="66"/>
      <c r="U601" s="8"/>
      <c r="V601" s="56"/>
      <c r="W601" s="1"/>
      <c r="X601" s="1"/>
      <c r="Y601" s="1"/>
    </row>
    <row r="602" spans="1:25">
      <c r="A602" s="57"/>
      <c r="B602" s="68"/>
      <c r="C602" s="68"/>
      <c r="D602" s="68"/>
      <c r="E602" s="68"/>
      <c r="F602" s="68"/>
      <c r="G602" s="68"/>
      <c r="H602" s="68"/>
      <c r="I602" s="68"/>
      <c r="J602" s="68"/>
      <c r="K602" s="68"/>
      <c r="L602" s="56"/>
      <c r="M602" s="26"/>
      <c r="N602" s="26"/>
      <c r="O602" s="68"/>
      <c r="P602" s="1"/>
      <c r="Q602" s="8"/>
      <c r="R602" s="66"/>
      <c r="S602" s="1"/>
      <c r="T602" s="66"/>
      <c r="U602" s="8"/>
      <c r="V602" s="56"/>
      <c r="W602" s="1"/>
      <c r="X602" s="1"/>
      <c r="Y602" s="1"/>
    </row>
    <row r="603" spans="1:25">
      <c r="A603" s="57"/>
      <c r="B603" s="68"/>
      <c r="C603" s="68"/>
      <c r="D603" s="68"/>
      <c r="E603" s="68"/>
      <c r="F603" s="68"/>
      <c r="G603" s="68"/>
      <c r="H603" s="68"/>
      <c r="I603" s="68"/>
      <c r="J603" s="68"/>
      <c r="K603" s="68"/>
      <c r="L603" s="56"/>
      <c r="M603" s="26"/>
      <c r="N603" s="26"/>
      <c r="O603" s="68"/>
      <c r="P603" s="1"/>
      <c r="Q603" s="8"/>
      <c r="R603" s="66"/>
      <c r="S603" s="1"/>
      <c r="T603" s="66"/>
      <c r="U603" s="8"/>
      <c r="V603" s="56"/>
      <c r="W603" s="1"/>
      <c r="X603" s="1"/>
      <c r="Y603" s="1"/>
    </row>
    <row r="604" spans="1:25">
      <c r="A604" s="57"/>
      <c r="B604" s="68"/>
      <c r="C604" s="68"/>
      <c r="D604" s="68"/>
      <c r="E604" s="68"/>
      <c r="F604" s="68"/>
      <c r="G604" s="68"/>
      <c r="H604" s="68"/>
      <c r="I604" s="68"/>
      <c r="J604" s="68"/>
      <c r="K604" s="68"/>
      <c r="L604" s="56"/>
      <c r="M604" s="26"/>
      <c r="N604" s="26"/>
      <c r="O604" s="68"/>
      <c r="P604" s="1"/>
      <c r="Q604" s="8"/>
      <c r="R604" s="66"/>
      <c r="S604" s="1"/>
      <c r="T604" s="66"/>
      <c r="U604" s="8"/>
      <c r="V604" s="56"/>
      <c r="W604" s="1"/>
      <c r="X604" s="1"/>
      <c r="Y604" s="1"/>
    </row>
    <row r="605" spans="1:25">
      <c r="A605" s="57"/>
      <c r="B605" s="68"/>
      <c r="C605" s="68"/>
      <c r="D605" s="68"/>
      <c r="E605" s="68"/>
      <c r="F605" s="68"/>
      <c r="G605" s="68"/>
      <c r="H605" s="68"/>
      <c r="I605" s="68"/>
      <c r="J605" s="68"/>
      <c r="K605" s="68"/>
      <c r="L605" s="56"/>
      <c r="M605" s="26"/>
      <c r="N605" s="26"/>
      <c r="O605" s="68"/>
      <c r="P605" s="1"/>
      <c r="Q605" s="8"/>
      <c r="R605" s="66"/>
      <c r="S605" s="1"/>
      <c r="T605" s="66"/>
      <c r="U605" s="8"/>
      <c r="V605" s="56"/>
      <c r="W605" s="1"/>
      <c r="X605" s="1"/>
      <c r="Y605" s="1"/>
    </row>
    <row r="606" spans="1:25">
      <c r="A606" s="57"/>
      <c r="B606" s="68"/>
      <c r="C606" s="68"/>
      <c r="D606" s="68"/>
      <c r="E606" s="68"/>
      <c r="F606" s="68"/>
      <c r="G606" s="68"/>
      <c r="H606" s="68"/>
      <c r="I606" s="68"/>
      <c r="J606" s="68"/>
      <c r="K606" s="68"/>
      <c r="L606" s="56"/>
      <c r="M606" s="26"/>
      <c r="N606" s="26"/>
      <c r="O606" s="68"/>
      <c r="P606" s="1"/>
      <c r="Q606" s="8"/>
      <c r="R606" s="66"/>
      <c r="S606" s="1"/>
      <c r="T606" s="66"/>
      <c r="U606" s="8"/>
      <c r="V606" s="56"/>
      <c r="W606" s="1"/>
      <c r="X606" s="1"/>
      <c r="Y606" s="1"/>
    </row>
    <row r="607" spans="1:25">
      <c r="A607" s="57"/>
      <c r="B607" s="68"/>
      <c r="C607" s="68"/>
      <c r="D607" s="68"/>
      <c r="E607" s="68"/>
      <c r="F607" s="68"/>
      <c r="G607" s="68"/>
      <c r="H607" s="68"/>
      <c r="I607" s="68"/>
      <c r="J607" s="68"/>
      <c r="K607" s="68"/>
      <c r="L607" s="56"/>
      <c r="M607" s="26"/>
      <c r="N607" s="26"/>
      <c r="O607" s="68"/>
      <c r="P607" s="1"/>
      <c r="Q607" s="8"/>
      <c r="R607" s="66"/>
      <c r="S607" s="1"/>
      <c r="T607" s="66"/>
      <c r="U607" s="8"/>
      <c r="V607" s="56"/>
      <c r="W607" s="1"/>
      <c r="X607" s="1"/>
      <c r="Y607" s="1"/>
    </row>
    <row r="608" spans="1:25">
      <c r="A608" s="57"/>
      <c r="B608" s="68"/>
      <c r="C608" s="68"/>
      <c r="D608" s="68"/>
      <c r="E608" s="68"/>
      <c r="F608" s="68"/>
      <c r="G608" s="68"/>
      <c r="H608" s="68"/>
      <c r="I608" s="68"/>
      <c r="J608" s="68"/>
      <c r="K608" s="68"/>
      <c r="L608" s="56"/>
      <c r="M608" s="26"/>
      <c r="N608" s="26"/>
      <c r="O608" s="68"/>
      <c r="P608" s="1"/>
      <c r="Q608" s="8"/>
      <c r="R608" s="66"/>
      <c r="S608" s="1"/>
      <c r="T608" s="66"/>
      <c r="U608" s="8"/>
      <c r="V608" s="56"/>
      <c r="W608" s="1"/>
      <c r="X608" s="1"/>
      <c r="Y608" s="1"/>
    </row>
    <row r="609" spans="1:25">
      <c r="A609" s="57"/>
      <c r="B609" s="68"/>
      <c r="C609" s="68"/>
      <c r="D609" s="68"/>
      <c r="E609" s="68"/>
      <c r="F609" s="68"/>
      <c r="G609" s="68"/>
      <c r="H609" s="68"/>
      <c r="I609" s="68"/>
      <c r="J609" s="68"/>
      <c r="K609" s="68"/>
      <c r="L609" s="56"/>
      <c r="M609" s="26"/>
      <c r="N609" s="26"/>
      <c r="O609" s="68"/>
      <c r="P609" s="1"/>
      <c r="Q609" s="8"/>
      <c r="R609" s="66"/>
      <c r="S609" s="1"/>
      <c r="T609" s="66"/>
      <c r="U609" s="8"/>
      <c r="V609" s="56"/>
      <c r="W609" s="1"/>
      <c r="X609" s="1"/>
      <c r="Y609" s="1"/>
    </row>
    <row r="610" spans="1:25">
      <c r="A610" s="57"/>
      <c r="B610" s="68"/>
      <c r="C610" s="68"/>
      <c r="D610" s="68"/>
      <c r="E610" s="68"/>
      <c r="F610" s="68"/>
      <c r="G610" s="68"/>
      <c r="H610" s="68"/>
      <c r="I610" s="68"/>
      <c r="J610" s="68"/>
      <c r="K610" s="68"/>
      <c r="L610" s="56"/>
      <c r="M610" s="26"/>
      <c r="N610" s="26"/>
      <c r="O610" s="68"/>
      <c r="P610" s="1"/>
      <c r="Q610" s="8"/>
      <c r="R610" s="66"/>
      <c r="S610" s="1"/>
      <c r="T610" s="66"/>
      <c r="U610" s="8"/>
      <c r="V610" s="56"/>
      <c r="W610" s="1"/>
      <c r="X610" s="1"/>
      <c r="Y610" s="1"/>
    </row>
    <row r="611" spans="1:25">
      <c r="A611" s="57"/>
      <c r="B611" s="68"/>
      <c r="C611" s="68"/>
      <c r="D611" s="68"/>
      <c r="E611" s="68"/>
      <c r="F611" s="68"/>
      <c r="G611" s="68"/>
      <c r="H611" s="68"/>
      <c r="I611" s="68"/>
      <c r="J611" s="68"/>
      <c r="K611" s="68"/>
      <c r="L611" s="56"/>
      <c r="M611" s="26"/>
      <c r="N611" s="26"/>
      <c r="O611" s="68"/>
      <c r="P611" s="1"/>
      <c r="Q611" s="8"/>
      <c r="R611" s="66"/>
      <c r="S611" s="1"/>
      <c r="T611" s="66"/>
      <c r="U611" s="8"/>
      <c r="V611" s="56"/>
      <c r="W611" s="1"/>
      <c r="X611" s="1"/>
      <c r="Y611" s="1"/>
    </row>
    <row r="612" spans="1:25">
      <c r="A612" s="57"/>
      <c r="B612" s="68"/>
      <c r="C612" s="68"/>
      <c r="D612" s="68"/>
      <c r="E612" s="68"/>
      <c r="F612" s="68"/>
      <c r="G612" s="68"/>
      <c r="H612" s="68"/>
      <c r="I612" s="68"/>
      <c r="J612" s="68"/>
      <c r="K612" s="68"/>
      <c r="L612" s="56"/>
      <c r="M612" s="26"/>
      <c r="N612" s="26"/>
      <c r="O612" s="68"/>
      <c r="P612" s="1"/>
      <c r="Q612" s="8"/>
      <c r="R612" s="66"/>
      <c r="S612" s="1"/>
      <c r="T612" s="66"/>
      <c r="U612" s="8"/>
      <c r="V612" s="56"/>
      <c r="W612" s="1"/>
      <c r="X612" s="1"/>
      <c r="Y612" s="1"/>
    </row>
    <row r="613" spans="1:25">
      <c r="A613" s="57"/>
      <c r="B613" s="68"/>
      <c r="C613" s="68"/>
      <c r="D613" s="68"/>
      <c r="E613" s="68"/>
      <c r="F613" s="68"/>
      <c r="G613" s="68"/>
      <c r="H613" s="68"/>
      <c r="I613" s="68"/>
      <c r="J613" s="68"/>
      <c r="K613" s="68"/>
      <c r="L613" s="56"/>
      <c r="M613" s="26"/>
      <c r="N613" s="26"/>
      <c r="O613" s="68"/>
      <c r="P613" s="1"/>
      <c r="Q613" s="8"/>
      <c r="R613" s="66"/>
      <c r="S613" s="1"/>
      <c r="T613" s="66"/>
      <c r="U613" s="8"/>
      <c r="V613" s="56"/>
      <c r="W613" s="1"/>
      <c r="X613" s="1"/>
      <c r="Y613" s="1"/>
    </row>
    <row r="614" spans="1:25">
      <c r="A614" s="57"/>
      <c r="B614" s="68"/>
      <c r="C614" s="68"/>
      <c r="D614" s="68"/>
      <c r="E614" s="68"/>
      <c r="F614" s="68"/>
      <c r="G614" s="68"/>
      <c r="H614" s="68"/>
      <c r="I614" s="68"/>
      <c r="J614" s="68"/>
      <c r="K614" s="68"/>
      <c r="L614" s="56"/>
      <c r="M614" s="26"/>
      <c r="N614" s="26"/>
      <c r="O614" s="68"/>
      <c r="P614" s="1"/>
      <c r="Q614" s="8"/>
      <c r="R614" s="66"/>
      <c r="S614" s="1"/>
      <c r="T614" s="66"/>
      <c r="U614" s="8"/>
      <c r="V614" s="56"/>
      <c r="W614" s="1"/>
      <c r="X614" s="1"/>
      <c r="Y614" s="1"/>
    </row>
    <row r="615" spans="1:25">
      <c r="A615" s="57"/>
      <c r="B615" s="68"/>
      <c r="C615" s="68"/>
      <c r="D615" s="68"/>
      <c r="E615" s="68"/>
      <c r="F615" s="68"/>
      <c r="G615" s="68"/>
      <c r="H615" s="68"/>
      <c r="I615" s="68"/>
      <c r="J615" s="68"/>
      <c r="K615" s="68"/>
      <c r="L615" s="56"/>
      <c r="M615" s="26"/>
      <c r="N615" s="26"/>
      <c r="O615" s="68"/>
      <c r="P615" s="1"/>
      <c r="Q615" s="8"/>
      <c r="R615" s="66"/>
      <c r="S615" s="1"/>
      <c r="T615" s="66"/>
      <c r="U615" s="8"/>
      <c r="V615" s="56"/>
      <c r="W615" s="1"/>
      <c r="X615" s="1"/>
      <c r="Y615" s="1"/>
    </row>
    <row r="616" spans="1:25">
      <c r="A616" s="57"/>
      <c r="B616" s="68"/>
      <c r="C616" s="68"/>
      <c r="D616" s="68"/>
      <c r="E616" s="68"/>
      <c r="F616" s="68"/>
      <c r="G616" s="68"/>
      <c r="H616" s="68"/>
      <c r="I616" s="68"/>
      <c r="J616" s="68"/>
      <c r="K616" s="68"/>
      <c r="L616" s="56"/>
      <c r="M616" s="26"/>
      <c r="N616" s="26"/>
      <c r="O616" s="68"/>
      <c r="P616" s="1"/>
      <c r="Q616" s="8"/>
      <c r="R616" s="66"/>
      <c r="S616" s="1"/>
      <c r="T616" s="66"/>
      <c r="U616" s="8"/>
      <c r="V616" s="56"/>
      <c r="W616" s="1"/>
      <c r="X616" s="1"/>
      <c r="Y616" s="1"/>
    </row>
    <row r="617" spans="1:25">
      <c r="A617" s="57"/>
      <c r="B617" s="68"/>
      <c r="C617" s="68"/>
      <c r="D617" s="68"/>
      <c r="E617" s="68"/>
      <c r="F617" s="68"/>
      <c r="G617" s="68"/>
      <c r="H617" s="68"/>
      <c r="I617" s="68"/>
      <c r="J617" s="68"/>
      <c r="K617" s="68"/>
      <c r="L617" s="56"/>
      <c r="M617" s="26"/>
      <c r="N617" s="26"/>
      <c r="O617" s="68"/>
      <c r="P617" s="1"/>
      <c r="Q617" s="8"/>
      <c r="R617" s="66"/>
      <c r="S617" s="1"/>
      <c r="T617" s="66"/>
      <c r="U617" s="8"/>
      <c r="V617" s="56"/>
      <c r="W617" s="1"/>
      <c r="X617" s="1"/>
      <c r="Y617" s="1"/>
    </row>
    <row r="618" spans="1:25">
      <c r="A618" s="57"/>
      <c r="B618" s="68"/>
      <c r="C618" s="68"/>
      <c r="D618" s="68"/>
      <c r="E618" s="68"/>
      <c r="F618" s="68"/>
      <c r="G618" s="68"/>
      <c r="H618" s="68"/>
      <c r="I618" s="68"/>
      <c r="J618" s="68"/>
      <c r="K618" s="68"/>
      <c r="L618" s="56"/>
      <c r="M618" s="26"/>
      <c r="N618" s="26"/>
      <c r="O618" s="68"/>
      <c r="P618" s="1"/>
      <c r="Q618" s="8"/>
      <c r="R618" s="66"/>
      <c r="S618" s="1"/>
      <c r="T618" s="66"/>
      <c r="U618" s="8"/>
      <c r="V618" s="56"/>
      <c r="W618" s="1"/>
      <c r="X618" s="1"/>
      <c r="Y618" s="1"/>
    </row>
    <row r="619" spans="1:25">
      <c r="A619" s="57"/>
      <c r="B619" s="68"/>
      <c r="C619" s="68"/>
      <c r="D619" s="68"/>
      <c r="E619" s="68"/>
      <c r="F619" s="68"/>
      <c r="G619" s="68"/>
      <c r="H619" s="68"/>
      <c r="I619" s="68"/>
      <c r="J619" s="68"/>
      <c r="K619" s="68"/>
      <c r="L619" s="56"/>
      <c r="M619" s="26"/>
      <c r="N619" s="26"/>
      <c r="O619" s="68"/>
      <c r="P619" s="1"/>
      <c r="Q619" s="8"/>
      <c r="R619" s="66"/>
      <c r="S619" s="1"/>
      <c r="T619" s="66"/>
      <c r="U619" s="8"/>
      <c r="V619" s="56"/>
      <c r="W619" s="1"/>
      <c r="X619" s="1"/>
      <c r="Y619" s="1"/>
    </row>
    <row r="620" spans="1:25">
      <c r="A620" s="57"/>
      <c r="B620" s="68"/>
      <c r="C620" s="68"/>
      <c r="D620" s="68"/>
      <c r="E620" s="68"/>
      <c r="F620" s="68"/>
      <c r="G620" s="68"/>
      <c r="H620" s="68"/>
      <c r="I620" s="68"/>
      <c r="J620" s="68"/>
      <c r="K620" s="68"/>
      <c r="L620" s="56"/>
      <c r="M620" s="26"/>
      <c r="N620" s="26"/>
      <c r="O620" s="68"/>
      <c r="P620" s="1"/>
      <c r="Q620" s="8"/>
      <c r="R620" s="66"/>
      <c r="S620" s="1"/>
      <c r="T620" s="66"/>
      <c r="U620" s="8"/>
      <c r="V620" s="56"/>
      <c r="W620" s="1"/>
      <c r="X620" s="1"/>
      <c r="Y620" s="1"/>
    </row>
    <row r="621" spans="1:25">
      <c r="A621" s="57"/>
      <c r="B621" s="68"/>
      <c r="C621" s="68"/>
      <c r="D621" s="68"/>
      <c r="E621" s="68"/>
      <c r="F621" s="68"/>
      <c r="G621" s="68"/>
      <c r="H621" s="68"/>
      <c r="I621" s="68"/>
      <c r="J621" s="68"/>
      <c r="K621" s="68"/>
      <c r="L621" s="56"/>
      <c r="M621" s="26"/>
      <c r="N621" s="26"/>
      <c r="O621" s="68"/>
      <c r="P621" s="1"/>
      <c r="Q621" s="8"/>
      <c r="R621" s="66"/>
      <c r="S621" s="1"/>
      <c r="T621" s="66"/>
      <c r="U621" s="8"/>
      <c r="V621" s="56"/>
      <c r="W621" s="1"/>
      <c r="X621" s="1"/>
      <c r="Y621" s="1"/>
    </row>
    <row r="622" spans="1:25">
      <c r="A622" s="57"/>
      <c r="B622" s="68"/>
      <c r="C622" s="68"/>
      <c r="D622" s="68"/>
      <c r="E622" s="68"/>
      <c r="F622" s="68"/>
      <c r="G622" s="68"/>
      <c r="H622" s="68"/>
      <c r="I622" s="68"/>
      <c r="J622" s="68"/>
      <c r="K622" s="68"/>
      <c r="L622" s="56"/>
      <c r="M622" s="26"/>
      <c r="N622" s="26"/>
      <c r="O622" s="68"/>
      <c r="P622" s="1"/>
      <c r="Q622" s="8"/>
      <c r="R622" s="66"/>
      <c r="S622" s="1"/>
      <c r="T622" s="66"/>
      <c r="U622" s="8"/>
      <c r="V622" s="56"/>
      <c r="W622" s="1"/>
      <c r="X622" s="1"/>
      <c r="Y622" s="1"/>
    </row>
    <row r="623" spans="1:25">
      <c r="A623" s="57"/>
      <c r="B623" s="68"/>
      <c r="C623" s="68"/>
      <c r="D623" s="68"/>
      <c r="E623" s="68"/>
      <c r="F623" s="68"/>
      <c r="G623" s="68"/>
      <c r="H623" s="68"/>
      <c r="I623" s="68"/>
      <c r="J623" s="68"/>
      <c r="K623" s="68"/>
      <c r="L623" s="56"/>
      <c r="M623" s="26"/>
      <c r="N623" s="26"/>
      <c r="O623" s="68"/>
      <c r="P623" s="1"/>
      <c r="Q623" s="8"/>
      <c r="R623" s="66"/>
      <c r="S623" s="1"/>
      <c r="T623" s="66"/>
      <c r="U623" s="8"/>
      <c r="V623" s="56"/>
      <c r="W623" s="1"/>
      <c r="X623" s="1"/>
      <c r="Y623" s="1"/>
    </row>
    <row r="624" spans="1:25">
      <c r="A624" s="57"/>
      <c r="B624" s="68"/>
      <c r="C624" s="68"/>
      <c r="D624" s="68"/>
      <c r="E624" s="68"/>
      <c r="F624" s="68"/>
      <c r="G624" s="68"/>
      <c r="H624" s="68"/>
      <c r="I624" s="68"/>
      <c r="J624" s="68"/>
      <c r="K624" s="68"/>
      <c r="L624" s="56"/>
      <c r="M624" s="26"/>
      <c r="N624" s="26"/>
      <c r="O624" s="68"/>
      <c r="P624" s="1"/>
      <c r="Q624" s="8"/>
      <c r="R624" s="66"/>
      <c r="S624" s="1"/>
      <c r="T624" s="66"/>
      <c r="U624" s="8"/>
      <c r="V624" s="56"/>
      <c r="W624" s="1"/>
      <c r="X624" s="1"/>
      <c r="Y624" s="1"/>
    </row>
    <row r="625" spans="1:25">
      <c r="A625" s="57"/>
      <c r="B625" s="68"/>
      <c r="C625" s="68"/>
      <c r="D625" s="68"/>
      <c r="E625" s="68"/>
      <c r="F625" s="68"/>
      <c r="G625" s="68"/>
      <c r="H625" s="68"/>
      <c r="I625" s="68"/>
      <c r="J625" s="68"/>
      <c r="K625" s="68"/>
      <c r="L625" s="56"/>
      <c r="M625" s="26"/>
      <c r="N625" s="26"/>
      <c r="O625" s="68"/>
      <c r="P625" s="1"/>
      <c r="Q625" s="8"/>
      <c r="R625" s="66"/>
      <c r="S625" s="1"/>
      <c r="T625" s="66"/>
      <c r="U625" s="8"/>
      <c r="V625" s="56"/>
      <c r="W625" s="1"/>
      <c r="X625" s="1"/>
      <c r="Y625" s="1"/>
    </row>
    <row r="626" spans="1:25">
      <c r="A626" s="57"/>
      <c r="B626" s="68"/>
      <c r="C626" s="68"/>
      <c r="D626" s="68"/>
      <c r="E626" s="68"/>
      <c r="F626" s="68"/>
      <c r="G626" s="68"/>
      <c r="H626" s="68"/>
      <c r="I626" s="68"/>
      <c r="J626" s="68"/>
      <c r="K626" s="68"/>
      <c r="L626" s="56"/>
      <c r="M626" s="26"/>
      <c r="N626" s="26"/>
      <c r="O626" s="68"/>
      <c r="P626" s="1"/>
      <c r="Q626" s="8"/>
      <c r="R626" s="66"/>
      <c r="S626" s="1"/>
      <c r="T626" s="66"/>
      <c r="U626" s="8"/>
      <c r="V626" s="56"/>
      <c r="W626" s="1"/>
      <c r="X626" s="1"/>
      <c r="Y626" s="1"/>
    </row>
    <row r="627" spans="1:25">
      <c r="A627" s="57"/>
      <c r="B627" s="68"/>
      <c r="C627" s="68"/>
      <c r="D627" s="68"/>
      <c r="E627" s="68"/>
      <c r="F627" s="68"/>
      <c r="G627" s="68"/>
      <c r="H627" s="68"/>
      <c r="I627" s="68"/>
      <c r="J627" s="68"/>
      <c r="K627" s="68"/>
      <c r="L627" s="56"/>
      <c r="M627" s="26"/>
      <c r="N627" s="26"/>
      <c r="O627" s="68"/>
      <c r="P627" s="1"/>
      <c r="Q627" s="8"/>
      <c r="R627" s="66"/>
      <c r="S627" s="1"/>
      <c r="T627" s="66"/>
      <c r="U627" s="8"/>
      <c r="V627" s="56"/>
      <c r="W627" s="1"/>
      <c r="X627" s="1"/>
      <c r="Y627" s="1"/>
    </row>
    <row r="628" spans="1:25">
      <c r="A628" s="57"/>
      <c r="B628" s="68"/>
      <c r="C628" s="68"/>
      <c r="D628" s="68"/>
      <c r="E628" s="68"/>
      <c r="F628" s="68"/>
      <c r="G628" s="68"/>
      <c r="H628" s="68"/>
      <c r="I628" s="68"/>
      <c r="J628" s="68"/>
      <c r="K628" s="68"/>
      <c r="L628" s="56"/>
      <c r="M628" s="26"/>
      <c r="N628" s="26"/>
      <c r="O628" s="68"/>
      <c r="P628" s="1"/>
      <c r="Q628" s="8"/>
      <c r="R628" s="66"/>
      <c r="S628" s="1"/>
      <c r="T628" s="66"/>
      <c r="U628" s="8"/>
      <c r="V628" s="56"/>
      <c r="W628" s="1"/>
      <c r="X628" s="1"/>
      <c r="Y628" s="1"/>
    </row>
    <row r="629" spans="1:25">
      <c r="A629" s="57"/>
      <c r="B629" s="68"/>
      <c r="C629" s="68"/>
      <c r="D629" s="68"/>
      <c r="E629" s="68"/>
      <c r="F629" s="68"/>
      <c r="G629" s="68"/>
      <c r="H629" s="68"/>
      <c r="I629" s="68"/>
      <c r="J629" s="68"/>
      <c r="K629" s="68"/>
      <c r="L629" s="56"/>
      <c r="M629" s="26"/>
      <c r="N629" s="26"/>
      <c r="O629" s="68"/>
      <c r="P629" s="1"/>
      <c r="Q629" s="8"/>
      <c r="R629" s="66"/>
      <c r="S629" s="1"/>
      <c r="T629" s="66"/>
      <c r="U629" s="8"/>
      <c r="V629" s="56"/>
      <c r="W629" s="1"/>
      <c r="X629" s="1"/>
      <c r="Y629" s="1"/>
    </row>
    <row r="630" spans="1:25">
      <c r="A630" s="57"/>
      <c r="B630" s="68"/>
      <c r="C630" s="68"/>
      <c r="D630" s="68"/>
      <c r="E630" s="68"/>
      <c r="F630" s="68"/>
      <c r="G630" s="68"/>
      <c r="H630" s="68"/>
      <c r="I630" s="68"/>
      <c r="J630" s="68"/>
      <c r="K630" s="68"/>
      <c r="L630" s="56"/>
      <c r="M630" s="26"/>
      <c r="N630" s="26"/>
      <c r="O630" s="68"/>
      <c r="P630" s="1"/>
      <c r="Q630" s="8"/>
      <c r="R630" s="66"/>
      <c r="S630" s="1"/>
      <c r="T630" s="66"/>
      <c r="U630" s="8"/>
      <c r="V630" s="56"/>
      <c r="W630" s="1"/>
      <c r="X630" s="1"/>
      <c r="Y630" s="1"/>
    </row>
    <row r="631" spans="1:25">
      <c r="A631" s="57"/>
      <c r="B631" s="68"/>
      <c r="C631" s="68"/>
      <c r="D631" s="68"/>
      <c r="E631" s="68"/>
      <c r="F631" s="68"/>
      <c r="G631" s="68"/>
      <c r="H631" s="68"/>
      <c r="I631" s="68"/>
      <c r="J631" s="68"/>
      <c r="K631" s="68"/>
      <c r="L631" s="56"/>
      <c r="M631" s="26"/>
      <c r="N631" s="26"/>
      <c r="O631" s="68"/>
      <c r="P631" s="1"/>
      <c r="Q631" s="8"/>
      <c r="R631" s="66"/>
      <c r="S631" s="1"/>
      <c r="T631" s="66"/>
      <c r="U631" s="8"/>
      <c r="V631" s="56"/>
      <c r="W631" s="1"/>
      <c r="X631" s="1"/>
      <c r="Y631" s="1"/>
    </row>
    <row r="632" spans="1:25">
      <c r="A632" s="57"/>
      <c r="B632" s="68"/>
      <c r="C632" s="68"/>
      <c r="D632" s="68"/>
      <c r="E632" s="68"/>
      <c r="F632" s="68"/>
      <c r="G632" s="68"/>
      <c r="H632" s="68"/>
      <c r="I632" s="68"/>
      <c r="J632" s="68"/>
      <c r="K632" s="68"/>
      <c r="L632" s="56"/>
      <c r="M632" s="26"/>
      <c r="N632" s="26"/>
      <c r="O632" s="68"/>
      <c r="P632" s="1"/>
      <c r="Q632" s="8"/>
      <c r="R632" s="66"/>
      <c r="S632" s="1"/>
      <c r="T632" s="66"/>
      <c r="U632" s="8"/>
      <c r="V632" s="56"/>
      <c r="W632" s="1"/>
      <c r="X632" s="1"/>
      <c r="Y632" s="1"/>
    </row>
    <row r="633" spans="1:25">
      <c r="A633" s="57"/>
      <c r="B633" s="68"/>
      <c r="C633" s="68"/>
      <c r="D633" s="68"/>
      <c r="E633" s="68"/>
      <c r="F633" s="68"/>
      <c r="G633" s="68"/>
      <c r="H633" s="68"/>
      <c r="I633" s="68"/>
      <c r="J633" s="68"/>
      <c r="K633" s="68"/>
      <c r="L633" s="56"/>
      <c r="M633" s="26"/>
      <c r="N633" s="26"/>
      <c r="O633" s="68"/>
      <c r="P633" s="1"/>
      <c r="Q633" s="8"/>
      <c r="R633" s="66"/>
      <c r="S633" s="1"/>
      <c r="T633" s="66"/>
      <c r="U633" s="8"/>
      <c r="V633" s="56"/>
      <c r="W633" s="1"/>
      <c r="X633" s="1"/>
      <c r="Y633" s="1"/>
    </row>
    <row r="634" spans="1:25">
      <c r="A634" s="57"/>
      <c r="B634" s="68"/>
      <c r="C634" s="68"/>
      <c r="D634" s="68"/>
      <c r="E634" s="68"/>
      <c r="F634" s="68"/>
      <c r="G634" s="68"/>
      <c r="H634" s="68"/>
      <c r="I634" s="68"/>
      <c r="J634" s="68"/>
      <c r="K634" s="68"/>
      <c r="L634" s="56"/>
      <c r="M634" s="26"/>
      <c r="N634" s="26"/>
      <c r="O634" s="68"/>
      <c r="P634" s="1"/>
      <c r="Q634" s="8"/>
      <c r="R634" s="66"/>
      <c r="S634" s="1"/>
      <c r="T634" s="66"/>
      <c r="U634" s="8"/>
      <c r="V634" s="56"/>
      <c r="W634" s="1"/>
      <c r="X634" s="1"/>
      <c r="Y634" s="1"/>
    </row>
    <row r="635" spans="1:25">
      <c r="A635" s="57"/>
      <c r="B635" s="68"/>
      <c r="C635" s="68"/>
      <c r="D635" s="68"/>
      <c r="E635" s="68"/>
      <c r="F635" s="68"/>
      <c r="G635" s="68"/>
      <c r="H635" s="68"/>
      <c r="I635" s="68"/>
      <c r="J635" s="68"/>
      <c r="K635" s="68"/>
      <c r="L635" s="56"/>
      <c r="M635" s="26"/>
      <c r="N635" s="26"/>
      <c r="O635" s="68"/>
      <c r="P635" s="1"/>
      <c r="Q635" s="8"/>
      <c r="R635" s="66"/>
      <c r="S635" s="1"/>
      <c r="T635" s="66"/>
      <c r="U635" s="8"/>
      <c r="V635" s="56"/>
      <c r="W635" s="1"/>
      <c r="X635" s="1"/>
      <c r="Y635" s="1"/>
    </row>
    <row r="636" spans="1:25">
      <c r="A636" s="57"/>
      <c r="B636" s="68"/>
      <c r="C636" s="68"/>
      <c r="D636" s="68"/>
      <c r="E636" s="68"/>
      <c r="F636" s="68"/>
      <c r="G636" s="68"/>
      <c r="H636" s="68"/>
      <c r="I636" s="68"/>
      <c r="J636" s="68"/>
      <c r="K636" s="68"/>
      <c r="L636" s="56"/>
      <c r="M636" s="26"/>
      <c r="N636" s="26"/>
      <c r="O636" s="68"/>
      <c r="P636" s="1"/>
      <c r="Q636" s="8"/>
      <c r="R636" s="66"/>
      <c r="S636" s="1"/>
      <c r="T636" s="66"/>
      <c r="U636" s="8"/>
      <c r="V636" s="56"/>
      <c r="W636" s="1"/>
      <c r="X636" s="1"/>
      <c r="Y636" s="1"/>
    </row>
    <row r="637" spans="1:25">
      <c r="A637" s="57"/>
      <c r="B637" s="68"/>
      <c r="C637" s="68"/>
      <c r="D637" s="68"/>
      <c r="E637" s="68"/>
      <c r="F637" s="68"/>
      <c r="G637" s="68"/>
      <c r="H637" s="68"/>
      <c r="I637" s="68"/>
      <c r="J637" s="68"/>
      <c r="K637" s="68"/>
      <c r="L637" s="56"/>
      <c r="M637" s="26"/>
      <c r="N637" s="26"/>
      <c r="O637" s="68"/>
      <c r="P637" s="1"/>
      <c r="Q637" s="8"/>
      <c r="R637" s="66"/>
      <c r="S637" s="1"/>
      <c r="T637" s="66"/>
      <c r="U637" s="8"/>
      <c r="V637" s="56"/>
      <c r="W637" s="1"/>
      <c r="X637" s="1"/>
      <c r="Y637" s="1"/>
    </row>
    <row r="638" spans="1:25">
      <c r="A638" s="57"/>
      <c r="B638" s="68"/>
      <c r="C638" s="68"/>
      <c r="D638" s="68"/>
      <c r="E638" s="68"/>
      <c r="F638" s="68"/>
      <c r="G638" s="68"/>
      <c r="H638" s="68"/>
      <c r="I638" s="68"/>
      <c r="J638" s="68"/>
      <c r="K638" s="68"/>
      <c r="L638" s="56"/>
      <c r="M638" s="26"/>
      <c r="N638" s="26"/>
      <c r="O638" s="68"/>
      <c r="P638" s="1"/>
      <c r="Q638" s="8"/>
      <c r="R638" s="66"/>
      <c r="S638" s="1"/>
      <c r="T638" s="66"/>
      <c r="U638" s="8"/>
      <c r="V638" s="56"/>
      <c r="W638" s="1"/>
      <c r="X638" s="1"/>
      <c r="Y638" s="1"/>
    </row>
    <row r="639" spans="1:25">
      <c r="A639" s="57"/>
      <c r="B639" s="68"/>
      <c r="C639" s="68"/>
      <c r="D639" s="68"/>
      <c r="E639" s="68"/>
      <c r="F639" s="68"/>
      <c r="G639" s="68"/>
      <c r="H639" s="68"/>
      <c r="I639" s="68"/>
      <c r="J639" s="68"/>
      <c r="K639" s="68"/>
      <c r="L639" s="56"/>
      <c r="M639" s="26"/>
      <c r="N639" s="26"/>
      <c r="O639" s="68"/>
      <c r="P639" s="1"/>
      <c r="Q639" s="8"/>
      <c r="R639" s="66"/>
      <c r="S639" s="1"/>
      <c r="T639" s="66"/>
      <c r="U639" s="8"/>
      <c r="V639" s="56"/>
      <c r="W639" s="1"/>
      <c r="X639" s="1"/>
      <c r="Y639" s="1"/>
    </row>
    <row r="640" spans="1:25">
      <c r="A640" s="57"/>
      <c r="B640" s="68"/>
      <c r="C640" s="68"/>
      <c r="D640" s="68"/>
      <c r="E640" s="68"/>
      <c r="F640" s="68"/>
      <c r="G640" s="68"/>
      <c r="H640" s="68"/>
      <c r="I640" s="68"/>
      <c r="J640" s="68"/>
      <c r="K640" s="68"/>
      <c r="L640" s="56"/>
      <c r="M640" s="26"/>
      <c r="N640" s="26"/>
      <c r="O640" s="68"/>
      <c r="P640" s="1"/>
      <c r="Q640" s="8"/>
      <c r="R640" s="66"/>
      <c r="S640" s="1"/>
      <c r="T640" s="66"/>
      <c r="U640" s="8"/>
      <c r="V640" s="56"/>
      <c r="W640" s="1"/>
      <c r="X640" s="1"/>
      <c r="Y640" s="1"/>
    </row>
    <row r="641" spans="1:25">
      <c r="A641" s="57"/>
      <c r="B641" s="68"/>
      <c r="C641" s="68"/>
      <c r="D641" s="68"/>
      <c r="E641" s="68"/>
      <c r="F641" s="68"/>
      <c r="G641" s="68"/>
      <c r="H641" s="68"/>
      <c r="I641" s="68"/>
      <c r="J641" s="68"/>
      <c r="K641" s="68"/>
      <c r="L641" s="56"/>
      <c r="M641" s="26"/>
      <c r="N641" s="26"/>
      <c r="O641" s="68"/>
      <c r="P641" s="1"/>
      <c r="Q641" s="8"/>
      <c r="R641" s="66"/>
      <c r="S641" s="1"/>
      <c r="T641" s="66"/>
      <c r="U641" s="8"/>
      <c r="V641" s="56"/>
      <c r="W641" s="1"/>
      <c r="X641" s="1"/>
      <c r="Y641" s="1"/>
    </row>
    <row r="642" spans="1:25">
      <c r="A642" s="57"/>
      <c r="B642" s="68"/>
      <c r="C642" s="68"/>
      <c r="D642" s="68"/>
      <c r="E642" s="68"/>
      <c r="F642" s="68"/>
      <c r="G642" s="68"/>
      <c r="H642" s="68"/>
      <c r="I642" s="68"/>
      <c r="J642" s="68"/>
      <c r="K642" s="68"/>
      <c r="L642" s="56"/>
      <c r="M642" s="26"/>
      <c r="N642" s="26"/>
      <c r="O642" s="68"/>
      <c r="P642" s="1"/>
      <c r="Q642" s="8"/>
      <c r="R642" s="66"/>
      <c r="S642" s="1"/>
      <c r="T642" s="66"/>
      <c r="U642" s="8"/>
      <c r="V642" s="56"/>
      <c r="W642" s="1"/>
      <c r="X642" s="1"/>
      <c r="Y642" s="1"/>
    </row>
    <row r="643" spans="1:25">
      <c r="A643" s="57"/>
      <c r="B643" s="68"/>
      <c r="C643" s="68"/>
      <c r="D643" s="68"/>
      <c r="E643" s="68"/>
      <c r="F643" s="68"/>
      <c r="G643" s="68"/>
      <c r="H643" s="68"/>
      <c r="I643" s="68"/>
      <c r="J643" s="68"/>
      <c r="K643" s="68"/>
      <c r="L643" s="56"/>
      <c r="M643" s="26"/>
      <c r="N643" s="26"/>
      <c r="O643" s="68"/>
      <c r="P643" s="1"/>
      <c r="Q643" s="8"/>
      <c r="R643" s="66"/>
      <c r="S643" s="1"/>
      <c r="T643" s="66"/>
      <c r="U643" s="8"/>
      <c r="V643" s="56"/>
      <c r="W643" s="1"/>
      <c r="X643" s="1"/>
      <c r="Y643" s="1"/>
    </row>
    <row r="644" spans="1:25">
      <c r="A644" s="57"/>
      <c r="B644" s="68"/>
      <c r="C644" s="68"/>
      <c r="D644" s="68"/>
      <c r="E644" s="68"/>
      <c r="F644" s="68"/>
      <c r="G644" s="68"/>
      <c r="H644" s="68"/>
      <c r="I644" s="68"/>
      <c r="J644" s="68"/>
      <c r="K644" s="68"/>
      <c r="L644" s="56"/>
      <c r="M644" s="26"/>
      <c r="N644" s="26"/>
      <c r="O644" s="68"/>
      <c r="P644" s="1"/>
      <c r="Q644" s="8"/>
      <c r="R644" s="66"/>
      <c r="S644" s="1"/>
      <c r="T644" s="66"/>
      <c r="U644" s="8"/>
      <c r="V644" s="56"/>
      <c r="W644" s="1"/>
      <c r="X644" s="1"/>
      <c r="Y644" s="1"/>
    </row>
    <row r="645" spans="1:25">
      <c r="A645" s="57"/>
      <c r="B645" s="68"/>
      <c r="C645" s="68"/>
      <c r="D645" s="68"/>
      <c r="E645" s="68"/>
      <c r="F645" s="68"/>
      <c r="G645" s="68"/>
      <c r="H645" s="68"/>
      <c r="I645" s="68"/>
      <c r="J645" s="68"/>
      <c r="K645" s="68"/>
      <c r="L645" s="56"/>
      <c r="M645" s="26"/>
      <c r="N645" s="26"/>
      <c r="O645" s="68"/>
      <c r="P645" s="1"/>
      <c r="Q645" s="8"/>
      <c r="R645" s="66"/>
      <c r="S645" s="1"/>
      <c r="T645" s="66"/>
      <c r="U645" s="8"/>
      <c r="V645" s="56"/>
      <c r="W645" s="1"/>
      <c r="X645" s="1"/>
      <c r="Y645" s="1"/>
    </row>
    <row r="646" spans="1:25">
      <c r="A646" s="57"/>
      <c r="B646" s="68"/>
      <c r="C646" s="68"/>
      <c r="D646" s="68"/>
      <c r="E646" s="68"/>
      <c r="F646" s="68"/>
      <c r="G646" s="68"/>
      <c r="H646" s="68"/>
      <c r="I646" s="68"/>
      <c r="J646" s="68"/>
      <c r="K646" s="68"/>
      <c r="L646" s="56"/>
      <c r="M646" s="26"/>
      <c r="N646" s="26"/>
      <c r="O646" s="68"/>
      <c r="P646" s="1"/>
      <c r="Q646" s="8"/>
      <c r="R646" s="66"/>
      <c r="S646" s="1"/>
      <c r="T646" s="66"/>
      <c r="U646" s="8"/>
      <c r="V646" s="56"/>
      <c r="W646" s="1"/>
      <c r="X646" s="1"/>
      <c r="Y646" s="1"/>
    </row>
    <row r="647" spans="1:25">
      <c r="A647" s="57"/>
      <c r="B647" s="68"/>
      <c r="C647" s="68"/>
      <c r="D647" s="68"/>
      <c r="E647" s="68"/>
      <c r="F647" s="68"/>
      <c r="G647" s="68"/>
      <c r="H647" s="68"/>
      <c r="I647" s="68"/>
      <c r="J647" s="68"/>
      <c r="K647" s="68"/>
      <c r="L647" s="56"/>
      <c r="M647" s="26"/>
      <c r="N647" s="26"/>
      <c r="O647" s="68"/>
      <c r="P647" s="1"/>
      <c r="Q647" s="8"/>
      <c r="R647" s="66"/>
      <c r="S647" s="1"/>
      <c r="T647" s="66"/>
      <c r="U647" s="8"/>
      <c r="V647" s="56"/>
      <c r="W647" s="1"/>
      <c r="X647" s="1"/>
      <c r="Y647" s="1"/>
    </row>
    <row r="648" spans="1:25">
      <c r="A648" s="57"/>
      <c r="B648" s="68"/>
      <c r="C648" s="68"/>
      <c r="D648" s="68"/>
      <c r="E648" s="68"/>
      <c r="F648" s="68"/>
      <c r="G648" s="68"/>
      <c r="H648" s="68"/>
      <c r="I648" s="68"/>
      <c r="J648" s="68"/>
      <c r="K648" s="68"/>
      <c r="L648" s="56"/>
      <c r="M648" s="26"/>
      <c r="N648" s="26"/>
      <c r="O648" s="68"/>
      <c r="P648" s="1"/>
      <c r="Q648" s="8"/>
      <c r="R648" s="66"/>
      <c r="S648" s="1"/>
      <c r="T648" s="66"/>
      <c r="U648" s="8"/>
      <c r="V648" s="56"/>
      <c r="W648" s="1"/>
      <c r="X648" s="1"/>
      <c r="Y648" s="1"/>
    </row>
    <row r="649" spans="1:25">
      <c r="A649" s="57"/>
      <c r="B649" s="68"/>
      <c r="C649" s="68"/>
      <c r="D649" s="68"/>
      <c r="E649" s="68"/>
      <c r="F649" s="68"/>
      <c r="G649" s="68"/>
      <c r="H649" s="68"/>
      <c r="I649" s="68"/>
      <c r="J649" s="68"/>
      <c r="K649" s="68"/>
      <c r="L649" s="56"/>
      <c r="M649" s="26"/>
      <c r="N649" s="26"/>
      <c r="O649" s="68"/>
      <c r="P649" s="1"/>
      <c r="Q649" s="8"/>
      <c r="R649" s="66"/>
      <c r="S649" s="1"/>
      <c r="T649" s="66"/>
      <c r="U649" s="8"/>
      <c r="V649" s="56"/>
      <c r="W649" s="1"/>
      <c r="X649" s="1"/>
      <c r="Y649" s="1"/>
    </row>
    <row r="650" spans="1:25">
      <c r="A650" s="57"/>
      <c r="B650" s="68"/>
      <c r="C650" s="68"/>
      <c r="D650" s="68"/>
      <c r="E650" s="68"/>
      <c r="F650" s="68"/>
      <c r="G650" s="68"/>
      <c r="H650" s="68"/>
      <c r="I650" s="68"/>
      <c r="J650" s="68"/>
      <c r="K650" s="68"/>
      <c r="L650" s="56"/>
      <c r="M650" s="26"/>
      <c r="N650" s="26"/>
      <c r="O650" s="68"/>
      <c r="P650" s="1"/>
      <c r="Q650" s="8"/>
      <c r="R650" s="66"/>
      <c r="S650" s="1"/>
      <c r="T650" s="66"/>
      <c r="U650" s="8"/>
      <c r="V650" s="56"/>
      <c r="W650" s="1"/>
      <c r="X650" s="1"/>
      <c r="Y650" s="1"/>
    </row>
    <row r="651" spans="1:25">
      <c r="A651" s="57"/>
      <c r="B651" s="68"/>
      <c r="C651" s="68"/>
      <c r="D651" s="68"/>
      <c r="E651" s="68"/>
      <c r="F651" s="68"/>
      <c r="G651" s="68"/>
      <c r="H651" s="68"/>
      <c r="I651" s="68"/>
      <c r="J651" s="68"/>
      <c r="K651" s="68"/>
      <c r="L651" s="56"/>
      <c r="M651" s="26"/>
      <c r="N651" s="26"/>
      <c r="O651" s="68"/>
      <c r="P651" s="1"/>
      <c r="Q651" s="8"/>
      <c r="R651" s="66"/>
      <c r="S651" s="1"/>
      <c r="T651" s="66"/>
      <c r="U651" s="8"/>
      <c r="V651" s="56"/>
      <c r="W651" s="1"/>
      <c r="X651" s="1"/>
      <c r="Y651" s="1"/>
    </row>
    <row r="652" spans="1:25">
      <c r="A652" s="57"/>
      <c r="B652" s="68"/>
      <c r="C652" s="68"/>
      <c r="D652" s="68"/>
      <c r="E652" s="68"/>
      <c r="F652" s="68"/>
      <c r="G652" s="68"/>
      <c r="H652" s="68"/>
      <c r="I652" s="68"/>
      <c r="J652" s="68"/>
      <c r="K652" s="68"/>
      <c r="L652" s="56"/>
      <c r="M652" s="26"/>
      <c r="N652" s="26"/>
      <c r="O652" s="68"/>
      <c r="P652" s="1"/>
      <c r="Q652" s="8"/>
      <c r="R652" s="66"/>
      <c r="S652" s="1"/>
      <c r="T652" s="66"/>
      <c r="U652" s="8"/>
      <c r="V652" s="56"/>
      <c r="W652" s="1"/>
      <c r="X652" s="1"/>
      <c r="Y652" s="1"/>
    </row>
    <row r="653" spans="1:25">
      <c r="A653" s="57"/>
      <c r="B653" s="68"/>
      <c r="C653" s="68"/>
      <c r="D653" s="68"/>
      <c r="E653" s="68"/>
      <c r="F653" s="68"/>
      <c r="G653" s="68"/>
      <c r="H653" s="68"/>
      <c r="I653" s="68"/>
      <c r="J653" s="68"/>
      <c r="K653" s="68"/>
      <c r="L653" s="56"/>
      <c r="M653" s="26"/>
      <c r="N653" s="26"/>
      <c r="O653" s="68"/>
      <c r="P653" s="1"/>
      <c r="Q653" s="8"/>
      <c r="R653" s="66"/>
      <c r="S653" s="1"/>
      <c r="T653" s="66"/>
      <c r="U653" s="8"/>
      <c r="V653" s="56"/>
      <c r="W653" s="1"/>
      <c r="X653" s="1"/>
      <c r="Y653" s="1"/>
    </row>
    <row r="654" spans="1:25">
      <c r="A654" s="57"/>
      <c r="B654" s="68"/>
      <c r="C654" s="68"/>
      <c r="D654" s="68"/>
      <c r="E654" s="68"/>
      <c r="F654" s="68"/>
      <c r="G654" s="68"/>
      <c r="H654" s="68"/>
      <c r="I654" s="68"/>
      <c r="J654" s="68"/>
      <c r="K654" s="68"/>
      <c r="L654" s="56"/>
      <c r="M654" s="26"/>
      <c r="N654" s="26"/>
      <c r="O654" s="68"/>
      <c r="P654" s="1"/>
      <c r="Q654" s="8"/>
      <c r="R654" s="66"/>
      <c r="S654" s="1"/>
      <c r="T654" s="66"/>
      <c r="U654" s="8"/>
      <c r="V654" s="56"/>
      <c r="W654" s="1"/>
      <c r="X654" s="1"/>
      <c r="Y654" s="1"/>
    </row>
    <row r="655" spans="1:25">
      <c r="A655" s="57"/>
      <c r="B655" s="68"/>
      <c r="C655" s="68"/>
      <c r="D655" s="68"/>
      <c r="E655" s="68"/>
      <c r="F655" s="68"/>
      <c r="G655" s="68"/>
      <c r="H655" s="68"/>
      <c r="I655" s="68"/>
      <c r="J655" s="68"/>
      <c r="K655" s="68"/>
      <c r="L655" s="56"/>
      <c r="M655" s="26"/>
      <c r="N655" s="26"/>
      <c r="O655" s="68"/>
      <c r="P655" s="1"/>
      <c r="Q655" s="8"/>
      <c r="R655" s="66"/>
      <c r="S655" s="1"/>
      <c r="T655" s="66"/>
      <c r="U655" s="8"/>
      <c r="V655" s="56"/>
      <c r="W655" s="1"/>
      <c r="X655" s="1"/>
      <c r="Y655" s="1"/>
    </row>
    <row r="656" spans="1:25">
      <c r="A656" s="57"/>
      <c r="B656" s="68"/>
      <c r="C656" s="68"/>
      <c r="D656" s="68"/>
      <c r="E656" s="68"/>
      <c r="F656" s="68"/>
      <c r="G656" s="68"/>
      <c r="H656" s="68"/>
      <c r="I656" s="68"/>
      <c r="J656" s="68"/>
      <c r="K656" s="68"/>
      <c r="L656" s="56"/>
      <c r="M656" s="26"/>
      <c r="N656" s="26"/>
      <c r="O656" s="68"/>
      <c r="P656" s="1"/>
      <c r="Q656" s="8"/>
      <c r="R656" s="66"/>
      <c r="S656" s="1"/>
      <c r="T656" s="66"/>
      <c r="U656" s="8"/>
      <c r="V656" s="56"/>
      <c r="W656" s="1"/>
      <c r="X656" s="1"/>
      <c r="Y656" s="1"/>
    </row>
    <row r="657" spans="1:25">
      <c r="A657" s="57"/>
      <c r="B657" s="68"/>
      <c r="C657" s="68"/>
      <c r="D657" s="68"/>
      <c r="E657" s="68"/>
      <c r="F657" s="68"/>
      <c r="G657" s="68"/>
      <c r="H657" s="68"/>
      <c r="I657" s="68"/>
      <c r="J657" s="68"/>
      <c r="K657" s="68"/>
      <c r="L657" s="56"/>
      <c r="M657" s="26"/>
      <c r="N657" s="26"/>
      <c r="O657" s="68"/>
      <c r="P657" s="1"/>
      <c r="Q657" s="8"/>
      <c r="R657" s="66"/>
      <c r="S657" s="1"/>
      <c r="T657" s="66"/>
      <c r="U657" s="8"/>
      <c r="V657" s="56"/>
      <c r="W657" s="1"/>
      <c r="X657" s="1"/>
      <c r="Y657" s="1"/>
    </row>
    <row r="658" spans="1:25">
      <c r="A658" s="57"/>
      <c r="B658" s="68"/>
      <c r="C658" s="68"/>
      <c r="D658" s="68"/>
      <c r="E658" s="68"/>
      <c r="F658" s="68"/>
      <c r="G658" s="68"/>
      <c r="H658" s="68"/>
      <c r="I658" s="68"/>
      <c r="J658" s="68"/>
      <c r="K658" s="68"/>
      <c r="L658" s="56"/>
      <c r="M658" s="26"/>
      <c r="N658" s="26"/>
      <c r="O658" s="68"/>
      <c r="P658" s="1"/>
      <c r="Q658" s="8"/>
      <c r="R658" s="66"/>
      <c r="S658" s="1"/>
      <c r="T658" s="66"/>
      <c r="U658" s="8"/>
      <c r="V658" s="56"/>
      <c r="W658" s="1"/>
      <c r="X658" s="1"/>
      <c r="Y658" s="1"/>
    </row>
    <row r="659" spans="1:25">
      <c r="A659" s="57"/>
      <c r="B659" s="68"/>
      <c r="C659" s="68"/>
      <c r="D659" s="68"/>
      <c r="E659" s="68"/>
      <c r="F659" s="68"/>
      <c r="G659" s="68"/>
      <c r="H659" s="68"/>
      <c r="I659" s="68"/>
      <c r="J659" s="68"/>
      <c r="K659" s="68"/>
      <c r="L659" s="56"/>
      <c r="M659" s="26"/>
      <c r="N659" s="26"/>
      <c r="O659" s="68"/>
      <c r="P659" s="1"/>
      <c r="Q659" s="8"/>
      <c r="R659" s="66"/>
      <c r="S659" s="1"/>
      <c r="T659" s="66"/>
      <c r="U659" s="8"/>
      <c r="V659" s="56"/>
      <c r="W659" s="1"/>
      <c r="X659" s="1"/>
      <c r="Y659" s="1"/>
    </row>
    <row r="660" spans="1:25">
      <c r="A660" s="57"/>
      <c r="B660" s="68"/>
      <c r="C660" s="68"/>
      <c r="D660" s="68"/>
      <c r="E660" s="68"/>
      <c r="F660" s="68"/>
      <c r="G660" s="68"/>
      <c r="H660" s="68"/>
      <c r="I660" s="68"/>
      <c r="J660" s="68"/>
      <c r="K660" s="68"/>
      <c r="L660" s="56"/>
      <c r="M660" s="26"/>
      <c r="N660" s="26"/>
      <c r="O660" s="68"/>
      <c r="P660" s="1"/>
      <c r="Q660" s="8"/>
      <c r="R660" s="66"/>
      <c r="S660" s="1"/>
      <c r="T660" s="66"/>
      <c r="U660" s="8"/>
      <c r="V660" s="56"/>
      <c r="W660" s="1"/>
      <c r="X660" s="1"/>
      <c r="Y660" s="1"/>
    </row>
    <row r="661" spans="1:25">
      <c r="A661" s="57"/>
      <c r="B661" s="68"/>
      <c r="C661" s="68"/>
      <c r="D661" s="68"/>
      <c r="E661" s="68"/>
      <c r="F661" s="68"/>
      <c r="G661" s="68"/>
      <c r="H661" s="68"/>
      <c r="I661" s="68"/>
      <c r="J661" s="68"/>
      <c r="K661" s="68"/>
      <c r="L661" s="56"/>
      <c r="M661" s="26"/>
      <c r="N661" s="26"/>
      <c r="O661" s="68"/>
      <c r="P661" s="1"/>
      <c r="Q661" s="8"/>
      <c r="R661" s="66"/>
      <c r="S661" s="1"/>
      <c r="T661" s="66"/>
      <c r="U661" s="8"/>
      <c r="V661" s="56"/>
      <c r="W661" s="1"/>
      <c r="X661" s="1"/>
      <c r="Y661" s="1"/>
    </row>
    <row r="662" spans="1:25">
      <c r="A662" s="57"/>
      <c r="B662" s="68"/>
      <c r="C662" s="68"/>
      <c r="D662" s="68"/>
      <c r="E662" s="68"/>
      <c r="F662" s="68"/>
      <c r="G662" s="68"/>
      <c r="H662" s="68"/>
      <c r="I662" s="68"/>
      <c r="J662" s="68"/>
      <c r="K662" s="68"/>
      <c r="L662" s="56"/>
      <c r="M662" s="26"/>
      <c r="N662" s="26"/>
      <c r="O662" s="68"/>
      <c r="P662" s="1"/>
      <c r="Q662" s="8"/>
      <c r="R662" s="66"/>
      <c r="S662" s="1"/>
      <c r="T662" s="66"/>
      <c r="U662" s="8"/>
      <c r="V662" s="56"/>
      <c r="W662" s="1"/>
      <c r="X662" s="1"/>
      <c r="Y662" s="1"/>
    </row>
    <row r="663" spans="1:25">
      <c r="A663" s="57"/>
      <c r="B663" s="68"/>
      <c r="C663" s="68"/>
      <c r="D663" s="68"/>
      <c r="E663" s="68"/>
      <c r="F663" s="68"/>
      <c r="G663" s="68"/>
      <c r="H663" s="68"/>
      <c r="I663" s="68"/>
      <c r="J663" s="68"/>
      <c r="K663" s="68"/>
      <c r="L663" s="56"/>
      <c r="M663" s="26"/>
      <c r="N663" s="26"/>
      <c r="O663" s="68"/>
      <c r="P663" s="1"/>
      <c r="Q663" s="8"/>
      <c r="R663" s="66"/>
      <c r="S663" s="1"/>
      <c r="T663" s="66"/>
      <c r="U663" s="8"/>
      <c r="V663" s="56"/>
      <c r="W663" s="1"/>
      <c r="X663" s="1"/>
      <c r="Y663" s="1"/>
    </row>
    <row r="664" spans="1:25">
      <c r="A664" s="57"/>
      <c r="B664" s="68"/>
      <c r="C664" s="68"/>
      <c r="D664" s="68"/>
      <c r="E664" s="68"/>
      <c r="F664" s="68"/>
      <c r="G664" s="68"/>
      <c r="H664" s="68"/>
      <c r="I664" s="68"/>
      <c r="J664" s="68"/>
      <c r="K664" s="68"/>
      <c r="L664" s="56"/>
      <c r="M664" s="26"/>
      <c r="N664" s="26"/>
      <c r="O664" s="68"/>
      <c r="P664" s="1"/>
      <c r="Q664" s="8"/>
      <c r="R664" s="66"/>
      <c r="S664" s="1"/>
      <c r="T664" s="66"/>
      <c r="U664" s="8"/>
      <c r="V664" s="56"/>
      <c r="W664" s="1"/>
      <c r="X664" s="1"/>
      <c r="Y664" s="1"/>
    </row>
    <row r="665" spans="1:25">
      <c r="A665" s="57"/>
      <c r="B665" s="68"/>
      <c r="C665" s="68"/>
      <c r="D665" s="68"/>
      <c r="E665" s="68"/>
      <c r="F665" s="68"/>
      <c r="G665" s="68"/>
      <c r="H665" s="68"/>
      <c r="I665" s="68"/>
      <c r="J665" s="68"/>
      <c r="K665" s="68"/>
      <c r="L665" s="56"/>
      <c r="M665" s="26"/>
      <c r="N665" s="26"/>
      <c r="O665" s="68"/>
      <c r="P665" s="1"/>
      <c r="Q665" s="8"/>
      <c r="R665" s="66"/>
      <c r="S665" s="1"/>
      <c r="T665" s="66"/>
      <c r="U665" s="8"/>
      <c r="V665" s="56"/>
      <c r="W665" s="1"/>
      <c r="X665" s="1"/>
      <c r="Y665" s="1"/>
    </row>
    <row r="666" spans="1:25">
      <c r="A666" s="57"/>
      <c r="B666" s="68"/>
      <c r="C666" s="68"/>
      <c r="D666" s="68"/>
      <c r="E666" s="68"/>
      <c r="F666" s="68"/>
      <c r="G666" s="68"/>
      <c r="H666" s="68"/>
      <c r="I666" s="68"/>
      <c r="J666" s="68"/>
      <c r="K666" s="68"/>
      <c r="L666" s="56"/>
      <c r="M666" s="26"/>
      <c r="N666" s="26"/>
      <c r="O666" s="68"/>
      <c r="P666" s="1"/>
      <c r="Q666" s="8"/>
      <c r="R666" s="66"/>
      <c r="S666" s="1"/>
      <c r="T666" s="66"/>
      <c r="U666" s="8"/>
      <c r="V666" s="56"/>
      <c r="W666" s="1"/>
      <c r="X666" s="1"/>
      <c r="Y666" s="1"/>
    </row>
    <row r="667" spans="1:25">
      <c r="A667" s="57"/>
      <c r="B667" s="68"/>
      <c r="C667" s="68"/>
      <c r="D667" s="68"/>
      <c r="E667" s="68"/>
      <c r="F667" s="68"/>
      <c r="G667" s="68"/>
      <c r="H667" s="68"/>
      <c r="I667" s="68"/>
      <c r="J667" s="68"/>
      <c r="K667" s="68"/>
      <c r="L667" s="56"/>
      <c r="M667" s="26"/>
      <c r="N667" s="26"/>
      <c r="O667" s="68"/>
      <c r="P667" s="1"/>
      <c r="Q667" s="8"/>
      <c r="R667" s="66"/>
      <c r="S667" s="1"/>
      <c r="T667" s="66"/>
      <c r="U667" s="8"/>
      <c r="V667" s="56"/>
      <c r="W667" s="1"/>
      <c r="X667" s="1"/>
      <c r="Y667" s="1"/>
    </row>
    <row r="668" spans="1:25">
      <c r="A668" s="57"/>
      <c r="B668" s="68"/>
      <c r="C668" s="68"/>
      <c r="D668" s="68"/>
      <c r="E668" s="68"/>
      <c r="F668" s="68"/>
      <c r="G668" s="68"/>
      <c r="H668" s="68"/>
      <c r="I668" s="68"/>
      <c r="J668" s="68"/>
      <c r="K668" s="68"/>
      <c r="L668" s="56"/>
      <c r="M668" s="26"/>
      <c r="N668" s="26"/>
      <c r="O668" s="68"/>
      <c r="P668" s="1"/>
      <c r="Q668" s="8"/>
      <c r="R668" s="66"/>
      <c r="S668" s="1"/>
      <c r="T668" s="66"/>
      <c r="U668" s="8"/>
      <c r="V668" s="56"/>
      <c r="W668" s="1"/>
      <c r="X668" s="1"/>
      <c r="Y668" s="1"/>
    </row>
    <row r="669" spans="1:25">
      <c r="A669" s="57"/>
      <c r="B669" s="68"/>
      <c r="C669" s="68"/>
      <c r="D669" s="68"/>
      <c r="E669" s="68"/>
      <c r="F669" s="68"/>
      <c r="G669" s="68"/>
      <c r="H669" s="68"/>
      <c r="I669" s="68"/>
      <c r="J669" s="68"/>
      <c r="K669" s="68"/>
      <c r="L669" s="56"/>
      <c r="M669" s="26"/>
      <c r="N669" s="26"/>
      <c r="O669" s="68"/>
      <c r="P669" s="1"/>
      <c r="Q669" s="8"/>
      <c r="R669" s="66"/>
      <c r="S669" s="1"/>
      <c r="T669" s="66"/>
      <c r="U669" s="8"/>
      <c r="V669" s="56"/>
      <c r="W669" s="1"/>
      <c r="X669" s="1"/>
      <c r="Y669" s="1"/>
    </row>
    <row r="670" spans="1:25">
      <c r="A670" s="57"/>
      <c r="B670" s="68"/>
      <c r="C670" s="68"/>
      <c r="D670" s="68"/>
      <c r="E670" s="68"/>
      <c r="F670" s="68"/>
      <c r="G670" s="68"/>
      <c r="H670" s="68"/>
      <c r="I670" s="68"/>
      <c r="J670" s="68"/>
      <c r="K670" s="68"/>
      <c r="L670" s="56"/>
      <c r="M670" s="26"/>
      <c r="N670" s="26"/>
      <c r="O670" s="68"/>
      <c r="P670" s="1"/>
      <c r="Q670" s="8"/>
      <c r="R670" s="66"/>
      <c r="S670" s="1"/>
      <c r="T670" s="66"/>
      <c r="U670" s="8"/>
      <c r="V670" s="56"/>
      <c r="W670" s="1"/>
      <c r="X670" s="1"/>
      <c r="Y670" s="1"/>
    </row>
    <row r="671" spans="1:25">
      <c r="A671" s="57"/>
      <c r="B671" s="68"/>
      <c r="C671" s="68"/>
      <c r="D671" s="68"/>
      <c r="E671" s="68"/>
      <c r="F671" s="68"/>
      <c r="G671" s="68"/>
      <c r="H671" s="68"/>
      <c r="I671" s="68"/>
      <c r="J671" s="68"/>
      <c r="K671" s="68"/>
      <c r="L671" s="56"/>
      <c r="M671" s="26"/>
      <c r="N671" s="26"/>
      <c r="O671" s="68"/>
      <c r="P671" s="1"/>
      <c r="Q671" s="8"/>
      <c r="R671" s="66"/>
      <c r="S671" s="1"/>
      <c r="T671" s="66"/>
      <c r="U671" s="8"/>
      <c r="V671" s="56"/>
      <c r="W671" s="1"/>
      <c r="X671" s="1"/>
      <c r="Y671" s="1"/>
    </row>
    <row r="672" spans="1:25">
      <c r="A672" s="57"/>
      <c r="B672" s="68"/>
      <c r="C672" s="68"/>
      <c r="D672" s="68"/>
      <c r="E672" s="68"/>
      <c r="F672" s="68"/>
      <c r="G672" s="68"/>
      <c r="H672" s="68"/>
      <c r="I672" s="68"/>
      <c r="J672" s="68"/>
      <c r="K672" s="68"/>
      <c r="L672" s="56"/>
      <c r="M672" s="26"/>
      <c r="N672" s="26"/>
      <c r="O672" s="68"/>
      <c r="P672" s="1"/>
      <c r="Q672" s="8"/>
      <c r="R672" s="66"/>
      <c r="S672" s="1"/>
      <c r="T672" s="66"/>
      <c r="U672" s="8"/>
      <c r="V672" s="56"/>
      <c r="W672" s="1"/>
      <c r="X672" s="1"/>
      <c r="Y672" s="1"/>
    </row>
    <row r="673" spans="1:25">
      <c r="A673" s="57"/>
      <c r="B673" s="68"/>
      <c r="C673" s="68"/>
      <c r="D673" s="68"/>
      <c r="E673" s="68"/>
      <c r="F673" s="68"/>
      <c r="G673" s="68"/>
      <c r="H673" s="68"/>
      <c r="I673" s="68"/>
      <c r="J673" s="68"/>
      <c r="K673" s="68"/>
      <c r="L673" s="56"/>
      <c r="M673" s="26"/>
      <c r="N673" s="26"/>
      <c r="O673" s="68"/>
      <c r="P673" s="1"/>
      <c r="Q673" s="8"/>
      <c r="R673" s="66"/>
      <c r="S673" s="1"/>
      <c r="T673" s="66"/>
      <c r="U673" s="8"/>
      <c r="V673" s="56"/>
      <c r="W673" s="1"/>
      <c r="X673" s="1"/>
      <c r="Y673" s="1"/>
    </row>
    <row r="674" spans="1:25">
      <c r="A674" s="57"/>
      <c r="B674" s="68"/>
      <c r="C674" s="68"/>
      <c r="D674" s="68"/>
      <c r="E674" s="68"/>
      <c r="F674" s="68"/>
      <c r="G674" s="68"/>
      <c r="H674" s="68"/>
      <c r="I674" s="68"/>
      <c r="J674" s="68"/>
      <c r="K674" s="68"/>
      <c r="L674" s="56"/>
      <c r="M674" s="26"/>
      <c r="N674" s="26"/>
      <c r="O674" s="68"/>
      <c r="P674" s="1"/>
      <c r="Q674" s="8"/>
      <c r="R674" s="66"/>
      <c r="S674" s="1"/>
      <c r="T674" s="66"/>
      <c r="U674" s="8"/>
      <c r="V674" s="56"/>
      <c r="W674" s="1"/>
      <c r="X674" s="1"/>
      <c r="Y674" s="1"/>
    </row>
    <row r="675" spans="1:25">
      <c r="A675" s="57"/>
      <c r="B675" s="68"/>
      <c r="C675" s="68"/>
      <c r="D675" s="68"/>
      <c r="E675" s="68"/>
      <c r="F675" s="68"/>
      <c r="G675" s="68"/>
      <c r="H675" s="68"/>
      <c r="I675" s="68"/>
      <c r="J675" s="68"/>
      <c r="K675" s="68"/>
      <c r="L675" s="56"/>
      <c r="M675" s="26"/>
      <c r="N675" s="26"/>
      <c r="O675" s="68"/>
      <c r="P675" s="1"/>
      <c r="Q675" s="8"/>
      <c r="R675" s="66"/>
      <c r="S675" s="1"/>
      <c r="T675" s="66"/>
      <c r="U675" s="8"/>
      <c r="V675" s="56"/>
      <c r="W675" s="1"/>
      <c r="X675" s="1"/>
      <c r="Y675" s="1"/>
    </row>
    <row r="676" spans="1:25">
      <c r="A676" s="57"/>
      <c r="B676" s="68"/>
      <c r="C676" s="68"/>
      <c r="D676" s="68"/>
      <c r="E676" s="68"/>
      <c r="F676" s="68"/>
      <c r="G676" s="68"/>
      <c r="H676" s="68"/>
      <c r="I676" s="68"/>
      <c r="J676" s="68"/>
      <c r="K676" s="68"/>
      <c r="L676" s="56"/>
      <c r="M676" s="26"/>
      <c r="N676" s="26"/>
      <c r="O676" s="68"/>
      <c r="P676" s="1"/>
      <c r="Q676" s="8"/>
      <c r="R676" s="66"/>
      <c r="S676" s="1"/>
      <c r="T676" s="66"/>
      <c r="U676" s="8"/>
      <c r="V676" s="56"/>
      <c r="W676" s="1"/>
      <c r="X676" s="1"/>
      <c r="Y676" s="1"/>
    </row>
    <row r="677" spans="1:25">
      <c r="A677" s="57"/>
      <c r="B677" s="68"/>
      <c r="C677" s="68"/>
      <c r="D677" s="68"/>
      <c r="E677" s="68"/>
      <c r="F677" s="68"/>
      <c r="G677" s="68"/>
      <c r="H677" s="68"/>
      <c r="I677" s="68"/>
      <c r="J677" s="68"/>
      <c r="K677" s="68"/>
      <c r="L677" s="56"/>
      <c r="M677" s="26"/>
      <c r="N677" s="26"/>
      <c r="O677" s="68"/>
      <c r="P677" s="1"/>
      <c r="Q677" s="8"/>
      <c r="R677" s="66"/>
      <c r="S677" s="1"/>
      <c r="T677" s="66"/>
      <c r="U677" s="8"/>
      <c r="V677" s="56"/>
      <c r="W677" s="1"/>
      <c r="X677" s="1"/>
      <c r="Y677" s="1"/>
    </row>
    <row r="678" spans="1:25">
      <c r="A678" s="57"/>
      <c r="B678" s="68"/>
      <c r="C678" s="68"/>
      <c r="D678" s="68"/>
      <c r="E678" s="68"/>
      <c r="F678" s="68"/>
      <c r="G678" s="68"/>
      <c r="H678" s="68"/>
      <c r="I678" s="68"/>
      <c r="J678" s="68"/>
      <c r="K678" s="68"/>
      <c r="L678" s="56"/>
      <c r="M678" s="26"/>
      <c r="N678" s="26"/>
      <c r="O678" s="68"/>
      <c r="P678" s="1"/>
      <c r="Q678" s="8"/>
      <c r="R678" s="66"/>
      <c r="S678" s="1"/>
      <c r="T678" s="66"/>
      <c r="U678" s="8"/>
      <c r="V678" s="56"/>
      <c r="W678" s="1"/>
      <c r="X678" s="1"/>
      <c r="Y678" s="1"/>
    </row>
    <row r="679" spans="1:25">
      <c r="A679" s="57"/>
      <c r="B679" s="68"/>
      <c r="C679" s="68"/>
      <c r="D679" s="68"/>
      <c r="E679" s="68"/>
      <c r="F679" s="68"/>
      <c r="G679" s="68"/>
      <c r="H679" s="68"/>
      <c r="I679" s="68"/>
      <c r="J679" s="68"/>
      <c r="K679" s="68"/>
      <c r="L679" s="56"/>
      <c r="M679" s="26"/>
      <c r="N679" s="26"/>
      <c r="O679" s="68"/>
      <c r="P679" s="1"/>
      <c r="Q679" s="8"/>
      <c r="R679" s="66"/>
      <c r="S679" s="1"/>
      <c r="T679" s="66"/>
      <c r="U679" s="8"/>
      <c r="V679" s="56"/>
      <c r="W679" s="1"/>
      <c r="X679" s="1"/>
      <c r="Y679" s="1"/>
    </row>
    <row r="680" spans="1:25">
      <c r="A680" s="57"/>
      <c r="B680" s="68"/>
      <c r="C680" s="68"/>
      <c r="D680" s="68"/>
      <c r="E680" s="68"/>
      <c r="F680" s="68"/>
      <c r="G680" s="68"/>
      <c r="H680" s="68"/>
      <c r="I680" s="68"/>
      <c r="J680" s="68"/>
      <c r="K680" s="68"/>
      <c r="L680" s="56"/>
      <c r="M680" s="26"/>
      <c r="N680" s="26"/>
      <c r="O680" s="68"/>
      <c r="P680" s="1"/>
      <c r="Q680" s="8"/>
      <c r="R680" s="66"/>
      <c r="S680" s="1"/>
      <c r="T680" s="66"/>
      <c r="U680" s="8"/>
      <c r="V680" s="56"/>
      <c r="W680" s="1"/>
      <c r="X680" s="1"/>
      <c r="Y680" s="1"/>
    </row>
    <row r="681" spans="1:25">
      <c r="A681" s="57"/>
      <c r="B681" s="68"/>
      <c r="C681" s="68"/>
      <c r="D681" s="68"/>
      <c r="E681" s="68"/>
      <c r="F681" s="68"/>
      <c r="G681" s="68"/>
      <c r="H681" s="68"/>
      <c r="I681" s="68"/>
      <c r="J681" s="68"/>
      <c r="K681" s="68"/>
      <c r="L681" s="56"/>
      <c r="M681" s="26"/>
      <c r="N681" s="26"/>
      <c r="O681" s="68"/>
      <c r="P681" s="1"/>
      <c r="Q681" s="8"/>
      <c r="R681" s="66"/>
      <c r="S681" s="1"/>
      <c r="T681" s="66"/>
      <c r="U681" s="8"/>
      <c r="V681" s="56"/>
      <c r="W681" s="1"/>
      <c r="X681" s="1"/>
      <c r="Y681" s="1"/>
    </row>
    <row r="682" spans="1:25">
      <c r="A682" s="57"/>
      <c r="B682" s="68"/>
      <c r="C682" s="68"/>
      <c r="D682" s="68"/>
      <c r="E682" s="68"/>
      <c r="F682" s="68"/>
      <c r="G682" s="68"/>
      <c r="H682" s="68"/>
      <c r="I682" s="68"/>
      <c r="J682" s="68"/>
      <c r="K682" s="68"/>
      <c r="L682" s="56"/>
      <c r="M682" s="26"/>
      <c r="N682" s="26"/>
      <c r="O682" s="68"/>
      <c r="P682" s="1"/>
      <c r="Q682" s="8"/>
      <c r="R682" s="66"/>
      <c r="S682" s="1"/>
      <c r="T682" s="66"/>
      <c r="U682" s="8"/>
      <c r="V682" s="56"/>
      <c r="W682" s="1"/>
      <c r="X682" s="1"/>
      <c r="Y682" s="1"/>
    </row>
    <row r="683" spans="1:25">
      <c r="A683" s="57"/>
      <c r="B683" s="68"/>
      <c r="C683" s="68"/>
      <c r="D683" s="68"/>
      <c r="E683" s="68"/>
      <c r="F683" s="68"/>
      <c r="G683" s="68"/>
      <c r="H683" s="68"/>
      <c r="I683" s="68"/>
      <c r="J683" s="68"/>
      <c r="K683" s="68"/>
      <c r="L683" s="56"/>
      <c r="M683" s="26"/>
      <c r="N683" s="26"/>
      <c r="O683" s="68"/>
      <c r="P683" s="1"/>
      <c r="Q683" s="8"/>
      <c r="R683" s="66"/>
      <c r="S683" s="1"/>
      <c r="T683" s="66"/>
      <c r="U683" s="8"/>
      <c r="V683" s="56"/>
      <c r="W683" s="1"/>
      <c r="X683" s="1"/>
      <c r="Y683" s="1"/>
    </row>
    <row r="684" spans="1:25">
      <c r="A684" s="57"/>
      <c r="B684" s="68"/>
      <c r="C684" s="68"/>
      <c r="D684" s="68"/>
      <c r="E684" s="68"/>
      <c r="F684" s="68"/>
      <c r="G684" s="68"/>
      <c r="H684" s="68"/>
      <c r="I684" s="68"/>
      <c r="J684" s="68"/>
      <c r="K684" s="68"/>
      <c r="L684" s="56"/>
      <c r="M684" s="26"/>
      <c r="N684" s="26"/>
      <c r="O684" s="68"/>
      <c r="P684" s="1"/>
      <c r="Q684" s="8"/>
      <c r="R684" s="66"/>
      <c r="S684" s="1"/>
      <c r="T684" s="66"/>
      <c r="U684" s="8"/>
      <c r="V684" s="56"/>
      <c r="W684" s="1"/>
      <c r="X684" s="1"/>
      <c r="Y684" s="1"/>
    </row>
    <row r="685" spans="1:25">
      <c r="A685" s="57"/>
      <c r="B685" s="68"/>
      <c r="C685" s="68"/>
      <c r="D685" s="68"/>
      <c r="E685" s="68"/>
      <c r="F685" s="68"/>
      <c r="G685" s="68"/>
      <c r="H685" s="68"/>
      <c r="I685" s="68"/>
      <c r="J685" s="68"/>
      <c r="K685" s="68"/>
      <c r="L685" s="56"/>
      <c r="M685" s="26"/>
      <c r="N685" s="26"/>
      <c r="O685" s="68"/>
      <c r="P685" s="1"/>
      <c r="Q685" s="8"/>
      <c r="R685" s="66"/>
      <c r="S685" s="1"/>
      <c r="T685" s="66"/>
      <c r="U685" s="8"/>
      <c r="V685" s="56"/>
      <c r="W685" s="1"/>
      <c r="X685" s="1"/>
      <c r="Y685" s="1"/>
    </row>
    <row r="686" spans="1:25">
      <c r="A686" s="57"/>
      <c r="B686" s="68"/>
      <c r="C686" s="68"/>
      <c r="D686" s="68"/>
      <c r="E686" s="68"/>
      <c r="F686" s="68"/>
      <c r="G686" s="68"/>
      <c r="H686" s="68"/>
      <c r="I686" s="68"/>
      <c r="J686" s="68"/>
      <c r="K686" s="68"/>
      <c r="L686" s="56"/>
      <c r="M686" s="26"/>
      <c r="N686" s="26"/>
      <c r="O686" s="68"/>
      <c r="P686" s="1"/>
      <c r="Q686" s="8"/>
      <c r="R686" s="66"/>
      <c r="S686" s="1"/>
      <c r="T686" s="66"/>
      <c r="U686" s="8"/>
      <c r="V686" s="56"/>
      <c r="W686" s="1"/>
      <c r="X686" s="1"/>
      <c r="Y686" s="1"/>
    </row>
    <row r="687" spans="1:25">
      <c r="A687" s="57"/>
      <c r="B687" s="68"/>
      <c r="C687" s="68"/>
      <c r="D687" s="68"/>
      <c r="E687" s="68"/>
      <c r="F687" s="68"/>
      <c r="G687" s="68"/>
      <c r="H687" s="68"/>
      <c r="I687" s="68"/>
      <c r="J687" s="68"/>
      <c r="K687" s="68"/>
      <c r="L687" s="56"/>
      <c r="M687" s="26"/>
      <c r="N687" s="26"/>
      <c r="O687" s="68"/>
      <c r="P687" s="1"/>
      <c r="Q687" s="8"/>
      <c r="R687" s="66"/>
      <c r="S687" s="1"/>
      <c r="T687" s="66"/>
      <c r="U687" s="8"/>
      <c r="V687" s="56"/>
      <c r="W687" s="1"/>
      <c r="X687" s="1"/>
      <c r="Y687" s="1"/>
    </row>
    <row r="688" spans="1:25">
      <c r="A688" s="57"/>
      <c r="B688" s="68"/>
      <c r="C688" s="68"/>
      <c r="D688" s="68"/>
      <c r="E688" s="68"/>
      <c r="F688" s="68"/>
      <c r="G688" s="68"/>
      <c r="H688" s="68"/>
      <c r="I688" s="68"/>
      <c r="J688" s="68"/>
      <c r="K688" s="68"/>
      <c r="L688" s="56"/>
      <c r="M688" s="26"/>
      <c r="N688" s="26"/>
      <c r="O688" s="68"/>
      <c r="P688" s="1"/>
      <c r="Q688" s="8"/>
      <c r="R688" s="66"/>
      <c r="S688" s="1"/>
      <c r="T688" s="66"/>
      <c r="U688" s="8"/>
      <c r="V688" s="56"/>
      <c r="W688" s="1"/>
      <c r="X688" s="1"/>
      <c r="Y688" s="1"/>
    </row>
    <row r="689" spans="1:25">
      <c r="A689" s="57"/>
      <c r="B689" s="68"/>
      <c r="C689" s="68"/>
      <c r="D689" s="68"/>
      <c r="E689" s="68"/>
      <c r="F689" s="68"/>
      <c r="G689" s="68"/>
      <c r="H689" s="68"/>
      <c r="I689" s="68"/>
      <c r="J689" s="68"/>
      <c r="K689" s="68"/>
      <c r="L689" s="56"/>
      <c r="M689" s="26"/>
      <c r="N689" s="26"/>
      <c r="O689" s="68"/>
      <c r="P689" s="1"/>
      <c r="Q689" s="8"/>
      <c r="R689" s="66"/>
      <c r="S689" s="1"/>
      <c r="T689" s="66"/>
      <c r="U689" s="8"/>
      <c r="V689" s="56"/>
      <c r="W689" s="1"/>
      <c r="X689" s="1"/>
      <c r="Y689" s="1"/>
    </row>
    <row r="690" spans="1:25">
      <c r="A690" s="57"/>
      <c r="B690" s="68"/>
      <c r="C690" s="68"/>
      <c r="D690" s="68"/>
      <c r="E690" s="68"/>
      <c r="F690" s="68"/>
      <c r="G690" s="68"/>
      <c r="H690" s="68"/>
      <c r="I690" s="68"/>
      <c r="J690" s="68"/>
      <c r="K690" s="68"/>
      <c r="L690" s="56"/>
      <c r="M690" s="26"/>
      <c r="N690" s="26"/>
      <c r="O690" s="68"/>
      <c r="P690" s="1"/>
      <c r="Q690" s="8"/>
      <c r="R690" s="66"/>
      <c r="S690" s="1"/>
      <c r="T690" s="66"/>
      <c r="U690" s="8"/>
      <c r="V690" s="56"/>
      <c r="W690" s="1"/>
      <c r="X690" s="1"/>
      <c r="Y690" s="1"/>
    </row>
    <row r="691" spans="1:25">
      <c r="A691" s="57"/>
      <c r="B691" s="68"/>
      <c r="C691" s="68"/>
      <c r="D691" s="68"/>
      <c r="E691" s="68"/>
      <c r="F691" s="68"/>
      <c r="G691" s="68"/>
      <c r="H691" s="68"/>
      <c r="I691" s="68"/>
      <c r="J691" s="68"/>
      <c r="K691" s="68"/>
      <c r="L691" s="56"/>
      <c r="M691" s="26"/>
      <c r="N691" s="26"/>
      <c r="O691" s="68"/>
      <c r="P691" s="1"/>
      <c r="Q691" s="8"/>
      <c r="R691" s="66"/>
      <c r="S691" s="1"/>
      <c r="T691" s="66"/>
      <c r="U691" s="8"/>
      <c r="V691" s="56"/>
      <c r="W691" s="1"/>
      <c r="X691" s="1"/>
      <c r="Y691" s="1"/>
    </row>
    <row r="692" spans="1:25">
      <c r="A692" s="57"/>
      <c r="B692" s="68"/>
      <c r="C692" s="68"/>
      <c r="D692" s="68"/>
      <c r="E692" s="68"/>
      <c r="F692" s="68"/>
      <c r="G692" s="68"/>
      <c r="H692" s="68"/>
      <c r="I692" s="68"/>
      <c r="J692" s="68"/>
      <c r="K692" s="68"/>
      <c r="L692" s="56"/>
      <c r="M692" s="26"/>
      <c r="N692" s="26"/>
      <c r="O692" s="68"/>
      <c r="P692" s="1"/>
      <c r="Q692" s="8"/>
      <c r="R692" s="66"/>
      <c r="S692" s="1"/>
      <c r="T692" s="66"/>
      <c r="U692" s="8"/>
      <c r="V692" s="56"/>
      <c r="W692" s="1"/>
      <c r="X692" s="1"/>
      <c r="Y692" s="1"/>
    </row>
    <row r="693" spans="1:25">
      <c r="A693" s="57"/>
      <c r="B693" s="68"/>
      <c r="C693" s="68"/>
      <c r="D693" s="68"/>
      <c r="E693" s="68"/>
      <c r="F693" s="68"/>
      <c r="G693" s="68"/>
      <c r="H693" s="68"/>
      <c r="I693" s="68"/>
      <c r="J693" s="68"/>
      <c r="K693" s="68"/>
      <c r="L693" s="56"/>
      <c r="M693" s="26"/>
      <c r="N693" s="26"/>
      <c r="O693" s="68"/>
      <c r="P693" s="1"/>
      <c r="Q693" s="8"/>
      <c r="R693" s="66"/>
      <c r="S693" s="1"/>
      <c r="T693" s="66"/>
      <c r="U693" s="8"/>
      <c r="V693" s="56"/>
      <c r="W693" s="1"/>
      <c r="X693" s="1"/>
      <c r="Y693" s="1"/>
    </row>
    <row r="694" spans="1:25">
      <c r="A694" s="57"/>
      <c r="B694" s="68"/>
      <c r="C694" s="68"/>
      <c r="D694" s="68"/>
      <c r="E694" s="68"/>
      <c r="F694" s="68"/>
      <c r="G694" s="68"/>
      <c r="H694" s="68"/>
      <c r="I694" s="68"/>
      <c r="J694" s="68"/>
      <c r="K694" s="68"/>
      <c r="L694" s="56"/>
      <c r="M694" s="26"/>
      <c r="N694" s="26"/>
      <c r="O694" s="68"/>
      <c r="P694" s="1"/>
      <c r="Q694" s="8"/>
      <c r="R694" s="66"/>
      <c r="S694" s="1"/>
      <c r="T694" s="66"/>
      <c r="U694" s="8"/>
      <c r="V694" s="56"/>
      <c r="W694" s="1"/>
      <c r="X694" s="1"/>
      <c r="Y694" s="1"/>
    </row>
    <row r="695" spans="1:25">
      <c r="A695" s="57"/>
      <c r="B695" s="68"/>
      <c r="C695" s="68"/>
      <c r="D695" s="68"/>
      <c r="E695" s="68"/>
      <c r="F695" s="68"/>
      <c r="G695" s="68"/>
      <c r="H695" s="68"/>
      <c r="I695" s="68"/>
      <c r="J695" s="68"/>
      <c r="K695" s="68"/>
      <c r="L695" s="56"/>
      <c r="M695" s="26"/>
      <c r="N695" s="26"/>
      <c r="O695" s="68"/>
      <c r="P695" s="1"/>
      <c r="Q695" s="8"/>
      <c r="R695" s="66"/>
      <c r="S695" s="1"/>
      <c r="T695" s="66"/>
      <c r="U695" s="8"/>
      <c r="V695" s="56"/>
      <c r="W695" s="1"/>
      <c r="X695" s="1"/>
      <c r="Y695" s="1"/>
    </row>
    <row r="696" spans="1:25">
      <c r="A696" s="57"/>
      <c r="B696" s="68"/>
      <c r="C696" s="68"/>
      <c r="D696" s="68"/>
      <c r="E696" s="68"/>
      <c r="F696" s="68"/>
      <c r="G696" s="68"/>
      <c r="H696" s="68"/>
      <c r="I696" s="68"/>
      <c r="J696" s="68"/>
      <c r="K696" s="68"/>
      <c r="L696" s="56"/>
      <c r="M696" s="26"/>
      <c r="N696" s="26"/>
      <c r="O696" s="68"/>
      <c r="P696" s="1"/>
      <c r="Q696" s="8"/>
      <c r="R696" s="66"/>
      <c r="S696" s="1"/>
      <c r="T696" s="66"/>
      <c r="U696" s="8"/>
      <c r="V696" s="56"/>
      <c r="W696" s="1"/>
      <c r="X696" s="1"/>
      <c r="Y696" s="1"/>
    </row>
    <row r="697" spans="1:25">
      <c r="A697" s="57"/>
      <c r="B697" s="68"/>
      <c r="C697" s="68"/>
      <c r="D697" s="68"/>
      <c r="E697" s="68"/>
      <c r="F697" s="68"/>
      <c r="G697" s="68"/>
      <c r="H697" s="68"/>
      <c r="I697" s="68"/>
      <c r="J697" s="68"/>
      <c r="K697" s="68"/>
      <c r="L697" s="56"/>
      <c r="M697" s="26"/>
      <c r="N697" s="26"/>
      <c r="O697" s="68"/>
      <c r="P697" s="1"/>
      <c r="Q697" s="8"/>
      <c r="R697" s="66"/>
      <c r="S697" s="1"/>
      <c r="T697" s="66"/>
      <c r="U697" s="8"/>
      <c r="V697" s="56"/>
      <c r="W697" s="1"/>
      <c r="X697" s="1"/>
      <c r="Y697" s="1"/>
    </row>
    <row r="698" spans="1:25">
      <c r="A698" s="57"/>
      <c r="B698" s="68"/>
      <c r="C698" s="68"/>
      <c r="D698" s="68"/>
      <c r="E698" s="68"/>
      <c r="F698" s="68"/>
      <c r="G698" s="68"/>
      <c r="H698" s="68"/>
      <c r="I698" s="68"/>
      <c r="J698" s="68"/>
      <c r="K698" s="68"/>
      <c r="L698" s="56"/>
      <c r="M698" s="26"/>
      <c r="N698" s="26"/>
      <c r="O698" s="68"/>
      <c r="P698" s="1"/>
      <c r="Q698" s="8"/>
      <c r="R698" s="66"/>
      <c r="S698" s="1"/>
      <c r="T698" s="66"/>
      <c r="U698" s="8"/>
      <c r="V698" s="56"/>
      <c r="W698" s="1"/>
      <c r="X698" s="1"/>
      <c r="Y698" s="1"/>
    </row>
    <row r="699" spans="1:25">
      <c r="A699" s="57"/>
      <c r="B699" s="68"/>
      <c r="C699" s="68"/>
      <c r="D699" s="68"/>
      <c r="E699" s="68"/>
      <c r="F699" s="68"/>
      <c r="G699" s="68"/>
      <c r="H699" s="68"/>
      <c r="I699" s="68"/>
      <c r="J699" s="68"/>
      <c r="K699" s="68"/>
      <c r="L699" s="56"/>
      <c r="M699" s="26"/>
      <c r="N699" s="26"/>
      <c r="O699" s="68"/>
      <c r="P699" s="1"/>
      <c r="Q699" s="8"/>
      <c r="R699" s="66"/>
      <c r="S699" s="1"/>
      <c r="T699" s="66"/>
      <c r="U699" s="8"/>
      <c r="V699" s="56"/>
      <c r="W699" s="1"/>
      <c r="X699" s="1"/>
      <c r="Y699" s="1"/>
    </row>
    <row r="700" spans="1:25">
      <c r="A700" s="57"/>
      <c r="B700" s="68"/>
      <c r="C700" s="68"/>
      <c r="D700" s="68"/>
      <c r="E700" s="68"/>
      <c r="F700" s="68"/>
      <c r="G700" s="68"/>
      <c r="H700" s="68"/>
      <c r="I700" s="68"/>
      <c r="J700" s="68"/>
      <c r="K700" s="68"/>
      <c r="L700" s="56"/>
      <c r="M700" s="26"/>
      <c r="N700" s="26"/>
      <c r="O700" s="68"/>
      <c r="P700" s="1"/>
      <c r="Q700" s="8"/>
      <c r="R700" s="66"/>
      <c r="S700" s="1"/>
      <c r="T700" s="66"/>
      <c r="U700" s="8"/>
      <c r="V700" s="56"/>
      <c r="W700" s="1"/>
      <c r="X700" s="1"/>
      <c r="Y700" s="1"/>
    </row>
    <row r="701" spans="1:25">
      <c r="A701" s="57"/>
      <c r="B701" s="68"/>
      <c r="C701" s="68"/>
      <c r="D701" s="68"/>
      <c r="E701" s="68"/>
      <c r="F701" s="68"/>
      <c r="G701" s="68"/>
      <c r="H701" s="68"/>
      <c r="I701" s="68"/>
      <c r="J701" s="68"/>
      <c r="K701" s="68"/>
      <c r="L701" s="56"/>
      <c r="M701" s="26"/>
      <c r="N701" s="26"/>
      <c r="O701" s="68"/>
      <c r="P701" s="1"/>
      <c r="Q701" s="8"/>
      <c r="R701" s="66"/>
      <c r="S701" s="1"/>
      <c r="T701" s="66"/>
      <c r="U701" s="8"/>
      <c r="V701" s="56"/>
      <c r="W701" s="1"/>
      <c r="X701" s="1"/>
      <c r="Y701" s="1"/>
    </row>
    <row r="702" spans="1:25">
      <c r="A702" s="57"/>
      <c r="B702" s="68"/>
      <c r="C702" s="68"/>
      <c r="D702" s="68"/>
      <c r="E702" s="68"/>
      <c r="F702" s="68"/>
      <c r="G702" s="68"/>
      <c r="H702" s="68"/>
      <c r="I702" s="68"/>
      <c r="J702" s="68"/>
      <c r="K702" s="68"/>
      <c r="L702" s="56"/>
      <c r="M702" s="26"/>
      <c r="N702" s="26"/>
      <c r="O702" s="68"/>
      <c r="P702" s="1"/>
      <c r="Q702" s="8"/>
      <c r="R702" s="66"/>
      <c r="S702" s="1"/>
      <c r="T702" s="66"/>
      <c r="U702" s="8"/>
      <c r="V702" s="56"/>
      <c r="W702" s="1"/>
      <c r="X702" s="1"/>
      <c r="Y702" s="1"/>
    </row>
    <row r="703" spans="1:25">
      <c r="A703" s="57"/>
      <c r="B703" s="68"/>
      <c r="C703" s="68"/>
      <c r="D703" s="68"/>
      <c r="E703" s="68"/>
      <c r="F703" s="68"/>
      <c r="G703" s="68"/>
      <c r="H703" s="68"/>
      <c r="I703" s="68"/>
      <c r="J703" s="68"/>
      <c r="K703" s="68"/>
      <c r="L703" s="56"/>
      <c r="M703" s="26"/>
      <c r="N703" s="26"/>
      <c r="O703" s="68"/>
      <c r="P703" s="1"/>
      <c r="Q703" s="8"/>
      <c r="R703" s="66"/>
      <c r="S703" s="1"/>
      <c r="T703" s="66"/>
      <c r="U703" s="8"/>
      <c r="V703" s="56"/>
      <c r="W703" s="1"/>
      <c r="X703" s="1"/>
      <c r="Y703" s="1"/>
    </row>
    <row r="704" spans="1:25">
      <c r="A704" s="57"/>
      <c r="B704" s="68"/>
      <c r="C704" s="68"/>
      <c r="D704" s="68"/>
      <c r="E704" s="68"/>
      <c r="F704" s="68"/>
      <c r="G704" s="68"/>
      <c r="H704" s="68"/>
      <c r="I704" s="68"/>
      <c r="J704" s="68"/>
      <c r="K704" s="68"/>
      <c r="L704" s="56"/>
      <c r="M704" s="26"/>
      <c r="N704" s="26"/>
      <c r="O704" s="68"/>
      <c r="P704" s="1"/>
      <c r="Q704" s="8"/>
      <c r="R704" s="66"/>
      <c r="S704" s="1"/>
      <c r="T704" s="66"/>
      <c r="U704" s="8"/>
      <c r="V704" s="56"/>
      <c r="W704" s="1"/>
      <c r="X704" s="1"/>
      <c r="Y704" s="1"/>
    </row>
    <row r="705" spans="1:25">
      <c r="A705" s="57"/>
      <c r="B705" s="68"/>
      <c r="C705" s="68"/>
      <c r="D705" s="68"/>
      <c r="E705" s="68"/>
      <c r="F705" s="68"/>
      <c r="G705" s="68"/>
      <c r="H705" s="68"/>
      <c r="I705" s="68"/>
      <c r="J705" s="68"/>
      <c r="K705" s="68"/>
      <c r="L705" s="56"/>
      <c r="M705" s="26"/>
      <c r="N705" s="26"/>
      <c r="O705" s="68"/>
      <c r="P705" s="1"/>
      <c r="Q705" s="8"/>
      <c r="R705" s="66"/>
      <c r="S705" s="1"/>
      <c r="T705" s="66"/>
      <c r="U705" s="8"/>
      <c r="V705" s="56"/>
      <c r="W705" s="1"/>
      <c r="X705" s="1"/>
      <c r="Y705" s="1"/>
    </row>
    <row r="706" spans="1:25">
      <c r="A706" s="57"/>
      <c r="B706" s="68"/>
      <c r="C706" s="68"/>
      <c r="D706" s="68"/>
      <c r="E706" s="68"/>
      <c r="F706" s="68"/>
      <c r="G706" s="68"/>
      <c r="H706" s="68"/>
      <c r="I706" s="68"/>
      <c r="J706" s="68"/>
      <c r="K706" s="68"/>
      <c r="L706" s="56"/>
      <c r="M706" s="26"/>
      <c r="N706" s="26"/>
      <c r="O706" s="68"/>
      <c r="P706" s="1"/>
      <c r="Q706" s="8"/>
      <c r="R706" s="66"/>
      <c r="S706" s="1"/>
      <c r="T706" s="66"/>
      <c r="U706" s="8"/>
      <c r="V706" s="56"/>
      <c r="W706" s="1"/>
      <c r="X706" s="1"/>
      <c r="Y706" s="1"/>
    </row>
    <row r="707" spans="1:25">
      <c r="A707" s="57"/>
      <c r="B707" s="68"/>
      <c r="C707" s="68"/>
      <c r="D707" s="68"/>
      <c r="E707" s="68"/>
      <c r="F707" s="68"/>
      <c r="G707" s="68"/>
      <c r="H707" s="68"/>
      <c r="I707" s="68"/>
      <c r="J707" s="68"/>
      <c r="K707" s="68"/>
      <c r="L707" s="56"/>
      <c r="M707" s="26"/>
      <c r="N707" s="26"/>
      <c r="O707" s="68"/>
      <c r="P707" s="1"/>
      <c r="Q707" s="8"/>
      <c r="R707" s="66"/>
      <c r="S707" s="1"/>
      <c r="T707" s="66"/>
      <c r="U707" s="8"/>
      <c r="V707" s="56"/>
      <c r="W707" s="1"/>
      <c r="X707" s="1"/>
      <c r="Y707" s="1"/>
    </row>
    <row r="708" spans="1:25">
      <c r="A708" s="57"/>
      <c r="B708" s="68"/>
      <c r="C708" s="68"/>
      <c r="D708" s="68"/>
      <c r="E708" s="68"/>
      <c r="F708" s="68"/>
      <c r="G708" s="68"/>
      <c r="H708" s="68"/>
      <c r="I708" s="68"/>
      <c r="J708" s="68"/>
      <c r="K708" s="68"/>
      <c r="L708" s="56"/>
      <c r="M708" s="26"/>
      <c r="N708" s="26"/>
      <c r="O708" s="68"/>
      <c r="P708" s="1"/>
      <c r="Q708" s="8"/>
      <c r="R708" s="66"/>
      <c r="S708" s="1"/>
      <c r="T708" s="66"/>
      <c r="U708" s="8"/>
      <c r="V708" s="56"/>
      <c r="W708" s="1"/>
      <c r="X708" s="1"/>
      <c r="Y708" s="1"/>
    </row>
    <row r="709" spans="1:25">
      <c r="A709" s="57"/>
      <c r="B709" s="68"/>
      <c r="C709" s="68"/>
      <c r="D709" s="68"/>
      <c r="E709" s="68"/>
      <c r="F709" s="68"/>
      <c r="G709" s="68"/>
      <c r="H709" s="68"/>
      <c r="I709" s="68"/>
      <c r="J709" s="68"/>
      <c r="K709" s="68"/>
      <c r="L709" s="56"/>
      <c r="M709" s="26"/>
      <c r="N709" s="26"/>
      <c r="O709" s="68"/>
      <c r="P709" s="1"/>
      <c r="Q709" s="8"/>
      <c r="R709" s="66"/>
      <c r="S709" s="1"/>
      <c r="T709" s="66"/>
      <c r="U709" s="8"/>
      <c r="V709" s="56"/>
      <c r="W709" s="1"/>
      <c r="X709" s="1"/>
      <c r="Y709" s="1"/>
    </row>
    <row r="710" spans="1:25">
      <c r="A710" s="57"/>
      <c r="B710" s="68"/>
      <c r="C710" s="68"/>
      <c r="D710" s="68"/>
      <c r="E710" s="68"/>
      <c r="F710" s="68"/>
      <c r="G710" s="68"/>
      <c r="H710" s="68"/>
      <c r="I710" s="68"/>
      <c r="J710" s="68"/>
      <c r="K710" s="68"/>
      <c r="L710" s="56"/>
      <c r="M710" s="26"/>
      <c r="N710" s="26"/>
      <c r="O710" s="68"/>
      <c r="P710" s="1"/>
      <c r="Q710" s="8"/>
      <c r="R710" s="66"/>
      <c r="S710" s="1"/>
      <c r="T710" s="66"/>
      <c r="U710" s="8"/>
      <c r="V710" s="56"/>
      <c r="W710" s="1"/>
      <c r="X710" s="1"/>
      <c r="Y710" s="1"/>
    </row>
    <row r="711" spans="1:25">
      <c r="A711" s="57"/>
      <c r="B711" s="68"/>
      <c r="C711" s="68"/>
      <c r="D711" s="68"/>
      <c r="E711" s="68"/>
      <c r="F711" s="68"/>
      <c r="G711" s="68"/>
      <c r="H711" s="68"/>
      <c r="I711" s="68"/>
      <c r="J711" s="68"/>
      <c r="K711" s="68"/>
      <c r="L711" s="56"/>
      <c r="M711" s="26"/>
      <c r="N711" s="26"/>
      <c r="O711" s="68"/>
      <c r="P711" s="1"/>
      <c r="Q711" s="8"/>
      <c r="R711" s="66"/>
      <c r="S711" s="1"/>
      <c r="T711" s="66"/>
      <c r="U711" s="8"/>
      <c r="V711" s="56"/>
      <c r="W711" s="1"/>
      <c r="X711" s="1"/>
      <c r="Y711" s="1"/>
    </row>
    <row r="712" spans="1:25">
      <c r="A712" s="57"/>
      <c r="B712" s="68"/>
      <c r="C712" s="68"/>
      <c r="D712" s="68"/>
      <c r="E712" s="68"/>
      <c r="F712" s="68"/>
      <c r="G712" s="68"/>
      <c r="H712" s="68"/>
      <c r="I712" s="68"/>
      <c r="J712" s="68"/>
      <c r="K712" s="68"/>
      <c r="L712" s="56"/>
      <c r="M712" s="26"/>
      <c r="N712" s="26"/>
      <c r="O712" s="68"/>
      <c r="P712" s="1"/>
      <c r="Q712" s="8"/>
      <c r="R712" s="66"/>
      <c r="S712" s="1"/>
      <c r="T712" s="66"/>
      <c r="U712" s="8"/>
      <c r="V712" s="56"/>
      <c r="W712" s="1"/>
      <c r="X712" s="1"/>
      <c r="Y712" s="1"/>
    </row>
    <row r="713" spans="1:25">
      <c r="A713" s="57"/>
      <c r="B713" s="68"/>
      <c r="C713" s="68"/>
      <c r="D713" s="68"/>
      <c r="E713" s="68"/>
      <c r="F713" s="68"/>
      <c r="G713" s="68"/>
      <c r="H713" s="68"/>
      <c r="I713" s="68"/>
      <c r="J713" s="68"/>
      <c r="K713" s="68"/>
      <c r="L713" s="56"/>
      <c r="M713" s="26"/>
      <c r="N713" s="26"/>
      <c r="O713" s="68"/>
      <c r="P713" s="1"/>
      <c r="Q713" s="8"/>
      <c r="R713" s="66"/>
      <c r="S713" s="1"/>
      <c r="T713" s="66"/>
      <c r="U713" s="8"/>
      <c r="V713" s="56"/>
      <c r="W713" s="1"/>
      <c r="X713" s="1"/>
      <c r="Y713" s="1"/>
    </row>
    <row r="714" spans="1:25">
      <c r="A714" s="57"/>
      <c r="B714" s="68"/>
      <c r="C714" s="68"/>
      <c r="D714" s="68"/>
      <c r="E714" s="68"/>
      <c r="F714" s="68"/>
      <c r="G714" s="68"/>
      <c r="H714" s="68"/>
      <c r="I714" s="68"/>
      <c r="J714" s="68"/>
      <c r="K714" s="68"/>
      <c r="L714" s="56"/>
      <c r="M714" s="26"/>
      <c r="N714" s="26"/>
      <c r="O714" s="68"/>
      <c r="P714" s="1"/>
      <c r="Q714" s="8"/>
      <c r="R714" s="66"/>
      <c r="S714" s="1"/>
      <c r="T714" s="66"/>
      <c r="U714" s="8"/>
      <c r="V714" s="56"/>
      <c r="W714" s="1"/>
      <c r="X714" s="1"/>
      <c r="Y714" s="1"/>
    </row>
    <row r="715" spans="1:25">
      <c r="A715" s="57"/>
      <c r="B715" s="68"/>
      <c r="C715" s="68"/>
      <c r="D715" s="68"/>
      <c r="E715" s="68"/>
      <c r="F715" s="68"/>
      <c r="G715" s="68"/>
      <c r="H715" s="68"/>
      <c r="I715" s="68"/>
      <c r="J715" s="68"/>
      <c r="K715" s="68"/>
      <c r="L715" s="56"/>
      <c r="M715" s="26"/>
      <c r="N715" s="26"/>
      <c r="O715" s="68"/>
      <c r="P715" s="1"/>
      <c r="Q715" s="8"/>
      <c r="R715" s="66"/>
      <c r="S715" s="1"/>
      <c r="T715" s="66"/>
      <c r="U715" s="8"/>
      <c r="V715" s="56"/>
      <c r="W715" s="1"/>
      <c r="X715" s="1"/>
      <c r="Y715" s="1"/>
    </row>
    <row r="716" spans="1:25">
      <c r="A716" s="57"/>
      <c r="B716" s="68"/>
      <c r="C716" s="68"/>
      <c r="D716" s="68"/>
      <c r="E716" s="68"/>
      <c r="F716" s="68"/>
      <c r="G716" s="68"/>
      <c r="H716" s="68"/>
      <c r="I716" s="68"/>
      <c r="J716" s="68"/>
      <c r="K716" s="68"/>
      <c r="L716" s="56"/>
      <c r="M716" s="26"/>
      <c r="N716" s="26"/>
      <c r="O716" s="68"/>
      <c r="P716" s="1"/>
      <c r="Q716" s="8"/>
      <c r="R716" s="66"/>
      <c r="S716" s="1"/>
      <c r="T716" s="66"/>
      <c r="U716" s="8"/>
      <c r="V716" s="56"/>
      <c r="W716" s="1"/>
      <c r="X716" s="1"/>
      <c r="Y716" s="1"/>
    </row>
    <row r="717" spans="1:25">
      <c r="A717" s="57"/>
      <c r="B717" s="68"/>
      <c r="C717" s="68"/>
      <c r="D717" s="68"/>
      <c r="E717" s="68"/>
      <c r="F717" s="68"/>
      <c r="G717" s="68"/>
      <c r="H717" s="68"/>
      <c r="I717" s="68"/>
      <c r="J717" s="68"/>
      <c r="K717" s="68"/>
      <c r="L717" s="56"/>
      <c r="M717" s="26"/>
      <c r="N717" s="26"/>
      <c r="O717" s="68"/>
      <c r="P717" s="1"/>
      <c r="Q717" s="8"/>
      <c r="R717" s="66"/>
      <c r="S717" s="1"/>
      <c r="T717" s="66"/>
      <c r="U717" s="8"/>
      <c r="V717" s="56"/>
      <c r="W717" s="1"/>
      <c r="X717" s="1"/>
      <c r="Y717" s="1"/>
    </row>
    <row r="718" spans="1:25">
      <c r="A718" s="57"/>
      <c r="B718" s="68"/>
      <c r="C718" s="68"/>
      <c r="D718" s="68"/>
      <c r="E718" s="68"/>
      <c r="F718" s="68"/>
      <c r="G718" s="68"/>
      <c r="H718" s="68"/>
      <c r="I718" s="68"/>
      <c r="J718" s="68"/>
      <c r="K718" s="68"/>
      <c r="L718" s="56"/>
      <c r="M718" s="26"/>
      <c r="N718" s="26"/>
      <c r="O718" s="68"/>
      <c r="P718" s="1"/>
      <c r="Q718" s="8"/>
      <c r="R718" s="66"/>
      <c r="S718" s="1"/>
      <c r="T718" s="66"/>
      <c r="U718" s="8"/>
      <c r="V718" s="56"/>
      <c r="W718" s="1"/>
      <c r="X718" s="1"/>
      <c r="Y718" s="1"/>
    </row>
    <row r="719" spans="1:25">
      <c r="A719" s="57"/>
      <c r="B719" s="68"/>
      <c r="C719" s="68"/>
      <c r="D719" s="68"/>
      <c r="E719" s="68"/>
      <c r="F719" s="68"/>
      <c r="G719" s="68"/>
      <c r="H719" s="68"/>
      <c r="I719" s="68"/>
      <c r="J719" s="68"/>
      <c r="K719" s="68"/>
      <c r="L719" s="56"/>
      <c r="M719" s="26"/>
      <c r="N719" s="26"/>
      <c r="O719" s="68"/>
      <c r="P719" s="1"/>
      <c r="Q719" s="8"/>
      <c r="R719" s="66"/>
      <c r="S719" s="1"/>
      <c r="T719" s="66"/>
      <c r="U719" s="8"/>
      <c r="V719" s="56"/>
      <c r="W719" s="1"/>
      <c r="X719" s="1"/>
      <c r="Y719" s="1"/>
    </row>
    <row r="720" spans="1:25">
      <c r="A720" s="57"/>
      <c r="B720" s="68"/>
      <c r="C720" s="68"/>
      <c r="D720" s="68"/>
      <c r="E720" s="68"/>
      <c r="F720" s="68"/>
      <c r="G720" s="68"/>
      <c r="H720" s="68"/>
      <c r="I720" s="68"/>
      <c r="J720" s="68"/>
      <c r="K720" s="68"/>
      <c r="L720" s="56"/>
      <c r="M720" s="26"/>
      <c r="N720" s="26"/>
      <c r="O720" s="68"/>
      <c r="P720" s="1"/>
      <c r="Q720" s="8"/>
      <c r="R720" s="66"/>
      <c r="S720" s="1"/>
      <c r="T720" s="66"/>
      <c r="U720" s="8"/>
      <c r="V720" s="56"/>
      <c r="W720" s="1"/>
      <c r="X720" s="1"/>
      <c r="Y720" s="1"/>
    </row>
    <row r="721" spans="1:25">
      <c r="A721" s="57"/>
      <c r="B721" s="68"/>
      <c r="C721" s="68"/>
      <c r="D721" s="68"/>
      <c r="E721" s="68"/>
      <c r="F721" s="68"/>
      <c r="G721" s="68"/>
      <c r="H721" s="68"/>
      <c r="I721" s="68"/>
      <c r="J721" s="68"/>
      <c r="K721" s="68"/>
      <c r="L721" s="56"/>
      <c r="M721" s="26"/>
      <c r="N721" s="26"/>
      <c r="O721" s="68"/>
      <c r="P721" s="1"/>
      <c r="Q721" s="8"/>
      <c r="R721" s="66"/>
      <c r="S721" s="1"/>
      <c r="T721" s="66"/>
      <c r="U721" s="8"/>
      <c r="V721" s="56"/>
      <c r="W721" s="1"/>
      <c r="X721" s="1"/>
      <c r="Y721" s="1"/>
    </row>
    <row r="722" spans="1:25">
      <c r="A722" s="57"/>
      <c r="B722" s="68"/>
      <c r="C722" s="68"/>
      <c r="D722" s="68"/>
      <c r="E722" s="68"/>
      <c r="F722" s="68"/>
      <c r="G722" s="68"/>
      <c r="H722" s="68"/>
      <c r="I722" s="68"/>
      <c r="J722" s="68"/>
      <c r="K722" s="68"/>
      <c r="L722" s="56"/>
      <c r="M722" s="26"/>
      <c r="N722" s="26"/>
      <c r="O722" s="68"/>
      <c r="P722" s="1"/>
      <c r="Q722" s="8"/>
      <c r="R722" s="66"/>
      <c r="S722" s="1"/>
      <c r="T722" s="66"/>
      <c r="U722" s="8"/>
      <c r="V722" s="56"/>
      <c r="W722" s="1"/>
      <c r="X722" s="1"/>
      <c r="Y722" s="1"/>
    </row>
    <row r="723" spans="1:25">
      <c r="A723" s="57"/>
      <c r="B723" s="68"/>
      <c r="C723" s="68"/>
      <c r="D723" s="68"/>
      <c r="E723" s="68"/>
      <c r="F723" s="68"/>
      <c r="G723" s="68"/>
      <c r="H723" s="68"/>
      <c r="I723" s="68"/>
      <c r="J723" s="68"/>
      <c r="K723" s="68"/>
      <c r="L723" s="56"/>
      <c r="M723" s="26"/>
      <c r="N723" s="26"/>
      <c r="O723" s="68"/>
      <c r="P723" s="1"/>
      <c r="Q723" s="8"/>
      <c r="R723" s="66"/>
      <c r="S723" s="1"/>
      <c r="T723" s="66"/>
      <c r="U723" s="8"/>
      <c r="V723" s="56"/>
      <c r="W723" s="1"/>
      <c r="X723" s="1"/>
      <c r="Y723" s="1"/>
    </row>
    <row r="724" spans="1:25">
      <c r="A724" s="57"/>
      <c r="B724" s="68"/>
      <c r="C724" s="68"/>
      <c r="D724" s="68"/>
      <c r="E724" s="68"/>
      <c r="F724" s="68"/>
      <c r="G724" s="68"/>
      <c r="H724" s="68"/>
      <c r="I724" s="68"/>
      <c r="J724" s="68"/>
      <c r="K724" s="68"/>
      <c r="L724" s="56"/>
      <c r="M724" s="26"/>
      <c r="N724" s="26"/>
      <c r="O724" s="68"/>
      <c r="P724" s="1"/>
      <c r="Q724" s="8"/>
      <c r="R724" s="66"/>
      <c r="S724" s="1"/>
      <c r="T724" s="66"/>
      <c r="U724" s="8"/>
      <c r="V724" s="56"/>
      <c r="W724" s="1"/>
      <c r="X724" s="1"/>
      <c r="Y724" s="1"/>
    </row>
    <row r="725" spans="1:25">
      <c r="A725" s="57"/>
      <c r="B725" s="68"/>
      <c r="C725" s="68"/>
      <c r="D725" s="68"/>
      <c r="E725" s="68"/>
      <c r="F725" s="68"/>
      <c r="G725" s="68"/>
      <c r="H725" s="68"/>
      <c r="I725" s="68"/>
      <c r="J725" s="68"/>
      <c r="K725" s="68"/>
      <c r="L725" s="56"/>
      <c r="M725" s="26"/>
      <c r="N725" s="26"/>
      <c r="O725" s="68"/>
      <c r="P725" s="1"/>
      <c r="Q725" s="8"/>
      <c r="R725" s="66"/>
      <c r="S725" s="1"/>
      <c r="T725" s="66"/>
      <c r="U725" s="8"/>
      <c r="V725" s="56"/>
      <c r="W725" s="1"/>
      <c r="X725" s="1"/>
      <c r="Y725" s="1"/>
    </row>
    <row r="726" spans="1:25">
      <c r="A726" s="57"/>
      <c r="B726" s="68"/>
      <c r="C726" s="68"/>
      <c r="D726" s="68"/>
      <c r="E726" s="68"/>
      <c r="F726" s="68"/>
      <c r="G726" s="68"/>
      <c r="H726" s="68"/>
      <c r="I726" s="68"/>
      <c r="J726" s="68"/>
      <c r="K726" s="68"/>
      <c r="L726" s="56"/>
      <c r="M726" s="26"/>
      <c r="N726" s="26"/>
      <c r="O726" s="68"/>
      <c r="P726" s="1"/>
      <c r="Q726" s="8"/>
      <c r="R726" s="66"/>
      <c r="S726" s="1"/>
      <c r="T726" s="66"/>
      <c r="U726" s="8"/>
      <c r="V726" s="56"/>
      <c r="W726" s="1"/>
      <c r="X726" s="1"/>
      <c r="Y726" s="1"/>
    </row>
    <row r="727" spans="1:25">
      <c r="A727" s="57"/>
      <c r="B727" s="68"/>
      <c r="C727" s="68"/>
      <c r="D727" s="68"/>
      <c r="E727" s="68"/>
      <c r="F727" s="68"/>
      <c r="G727" s="68"/>
      <c r="H727" s="68"/>
      <c r="I727" s="68"/>
      <c r="J727" s="68"/>
      <c r="K727" s="68"/>
      <c r="L727" s="56"/>
      <c r="M727" s="26"/>
      <c r="N727" s="26"/>
      <c r="O727" s="68"/>
      <c r="P727" s="1"/>
      <c r="Q727" s="8"/>
      <c r="R727" s="66"/>
      <c r="S727" s="1"/>
      <c r="T727" s="66"/>
      <c r="U727" s="8"/>
      <c r="V727" s="56"/>
      <c r="W727" s="1"/>
      <c r="X727" s="1"/>
      <c r="Y727" s="1"/>
    </row>
    <row r="728" spans="1:25">
      <c r="A728" s="57"/>
      <c r="B728" s="68"/>
      <c r="C728" s="68"/>
      <c r="D728" s="68"/>
      <c r="E728" s="68"/>
      <c r="F728" s="68"/>
      <c r="G728" s="68"/>
      <c r="H728" s="68"/>
      <c r="I728" s="68"/>
      <c r="J728" s="68"/>
      <c r="K728" s="68"/>
      <c r="L728" s="56"/>
      <c r="M728" s="26"/>
      <c r="N728" s="26"/>
      <c r="O728" s="68"/>
      <c r="P728" s="1"/>
      <c r="Q728" s="8"/>
      <c r="R728" s="66"/>
      <c r="S728" s="1"/>
      <c r="T728" s="66"/>
      <c r="U728" s="8"/>
      <c r="V728" s="56"/>
      <c r="W728" s="1"/>
      <c r="X728" s="1"/>
      <c r="Y728" s="1"/>
    </row>
    <row r="729" spans="1:25">
      <c r="A729" s="57"/>
      <c r="B729" s="68"/>
      <c r="C729" s="68"/>
      <c r="D729" s="68"/>
      <c r="E729" s="68"/>
      <c r="F729" s="68"/>
      <c r="G729" s="68"/>
      <c r="H729" s="68"/>
      <c r="I729" s="68"/>
      <c r="J729" s="68"/>
      <c r="K729" s="68"/>
      <c r="L729" s="56"/>
      <c r="M729" s="26"/>
      <c r="N729" s="26"/>
      <c r="O729" s="68"/>
      <c r="P729" s="1"/>
      <c r="Q729" s="8"/>
      <c r="R729" s="66"/>
      <c r="S729" s="1"/>
      <c r="T729" s="66"/>
      <c r="U729" s="8"/>
      <c r="V729" s="56"/>
      <c r="W729" s="1"/>
      <c r="X729" s="1"/>
      <c r="Y729" s="1"/>
    </row>
    <row r="730" spans="1:25">
      <c r="A730" s="57"/>
      <c r="B730" s="68"/>
      <c r="C730" s="68"/>
      <c r="D730" s="68"/>
      <c r="E730" s="68"/>
      <c r="F730" s="68"/>
      <c r="G730" s="68"/>
      <c r="H730" s="68"/>
      <c r="I730" s="68"/>
      <c r="J730" s="68"/>
      <c r="K730" s="68"/>
      <c r="L730" s="56"/>
      <c r="M730" s="26"/>
      <c r="N730" s="26"/>
      <c r="O730" s="68"/>
      <c r="P730" s="1"/>
      <c r="Q730" s="8"/>
      <c r="R730" s="66"/>
      <c r="S730" s="1"/>
      <c r="T730" s="66"/>
      <c r="U730" s="8"/>
      <c r="V730" s="56"/>
      <c r="W730" s="1"/>
      <c r="X730" s="1"/>
      <c r="Y730" s="1"/>
    </row>
    <row r="731" spans="1:25">
      <c r="A731" s="57"/>
      <c r="B731" s="68"/>
      <c r="C731" s="68"/>
      <c r="D731" s="68"/>
      <c r="E731" s="68"/>
      <c r="F731" s="68"/>
      <c r="G731" s="68"/>
      <c r="H731" s="68"/>
      <c r="I731" s="68"/>
      <c r="J731" s="68"/>
      <c r="K731" s="68"/>
      <c r="L731" s="56"/>
      <c r="M731" s="26"/>
      <c r="N731" s="26"/>
      <c r="O731" s="68"/>
      <c r="P731" s="1"/>
      <c r="Q731" s="8"/>
      <c r="R731" s="66"/>
      <c r="S731" s="1"/>
      <c r="T731" s="66"/>
      <c r="U731" s="8"/>
      <c r="V731" s="56"/>
      <c r="W731" s="1"/>
      <c r="X731" s="1"/>
      <c r="Y731" s="1"/>
    </row>
    <row r="732" spans="1:25">
      <c r="A732" s="57"/>
      <c r="B732" s="68"/>
      <c r="C732" s="68"/>
      <c r="D732" s="68"/>
      <c r="E732" s="68"/>
      <c r="F732" s="68"/>
      <c r="G732" s="68"/>
      <c r="H732" s="68"/>
      <c r="I732" s="68"/>
      <c r="J732" s="68"/>
      <c r="K732" s="68"/>
      <c r="L732" s="56"/>
      <c r="M732" s="26"/>
      <c r="N732" s="26"/>
      <c r="O732" s="68"/>
      <c r="P732" s="1"/>
      <c r="Q732" s="8"/>
      <c r="R732" s="66"/>
      <c r="S732" s="1"/>
      <c r="T732" s="66"/>
      <c r="U732" s="8"/>
      <c r="V732" s="56"/>
      <c r="W732" s="1"/>
      <c r="X732" s="1"/>
      <c r="Y732" s="1"/>
    </row>
    <row r="733" spans="1:25">
      <c r="A733" s="57"/>
      <c r="B733" s="68"/>
      <c r="C733" s="68"/>
      <c r="D733" s="68"/>
      <c r="E733" s="68"/>
      <c r="F733" s="68"/>
      <c r="G733" s="68"/>
      <c r="H733" s="68"/>
      <c r="I733" s="68"/>
      <c r="J733" s="68"/>
      <c r="K733" s="68"/>
      <c r="L733" s="56"/>
      <c r="M733" s="26"/>
      <c r="N733" s="26"/>
      <c r="O733" s="68"/>
      <c r="P733" s="1"/>
      <c r="Q733" s="8"/>
      <c r="R733" s="66"/>
      <c r="S733" s="1"/>
      <c r="T733" s="66"/>
      <c r="U733" s="8"/>
      <c r="V733" s="56"/>
      <c r="W733" s="1"/>
      <c r="X733" s="1"/>
      <c r="Y733" s="1"/>
    </row>
    <row r="734" spans="1:25">
      <c r="A734" s="57"/>
      <c r="B734" s="68"/>
      <c r="C734" s="68"/>
      <c r="D734" s="68"/>
      <c r="E734" s="68"/>
      <c r="F734" s="68"/>
      <c r="G734" s="68"/>
      <c r="H734" s="68"/>
      <c r="I734" s="68"/>
      <c r="J734" s="68"/>
      <c r="K734" s="68"/>
      <c r="L734" s="56"/>
      <c r="M734" s="26"/>
      <c r="N734" s="26"/>
      <c r="O734" s="68"/>
      <c r="P734" s="1"/>
      <c r="Q734" s="8"/>
      <c r="R734" s="66"/>
      <c r="S734" s="1"/>
      <c r="T734" s="66"/>
      <c r="U734" s="8"/>
      <c r="V734" s="56"/>
      <c r="W734" s="1"/>
      <c r="X734" s="1"/>
      <c r="Y734" s="1"/>
    </row>
    <row r="735" spans="1:25">
      <c r="A735" s="57"/>
      <c r="B735" s="68"/>
      <c r="C735" s="68"/>
      <c r="D735" s="68"/>
      <c r="E735" s="68"/>
      <c r="F735" s="68"/>
      <c r="G735" s="68"/>
      <c r="H735" s="68"/>
      <c r="I735" s="68"/>
      <c r="J735" s="68"/>
      <c r="K735" s="68"/>
      <c r="L735" s="56"/>
      <c r="M735" s="26"/>
      <c r="N735" s="26"/>
      <c r="O735" s="68"/>
      <c r="P735" s="1"/>
      <c r="Q735" s="8"/>
      <c r="R735" s="66"/>
      <c r="S735" s="1"/>
      <c r="T735" s="66"/>
      <c r="U735" s="8"/>
      <c r="V735" s="56"/>
      <c r="W735" s="1"/>
      <c r="X735" s="1"/>
      <c r="Y735" s="1"/>
    </row>
    <row r="736" spans="1:25">
      <c r="A736" s="57"/>
      <c r="B736" s="68"/>
      <c r="C736" s="68"/>
      <c r="D736" s="68"/>
      <c r="E736" s="68"/>
      <c r="F736" s="68"/>
      <c r="G736" s="68"/>
      <c r="H736" s="68"/>
      <c r="I736" s="68"/>
      <c r="J736" s="68"/>
      <c r="K736" s="68"/>
      <c r="L736" s="56"/>
      <c r="M736" s="26"/>
      <c r="N736" s="26"/>
      <c r="O736" s="68"/>
      <c r="P736" s="1"/>
      <c r="Q736" s="8"/>
      <c r="R736" s="66"/>
      <c r="S736" s="1"/>
      <c r="T736" s="66"/>
      <c r="U736" s="8"/>
      <c r="V736" s="56"/>
      <c r="W736" s="1"/>
      <c r="X736" s="1"/>
      <c r="Y736" s="1"/>
    </row>
    <row r="737" spans="1:25">
      <c r="A737" s="57"/>
      <c r="B737" s="68"/>
      <c r="C737" s="68"/>
      <c r="D737" s="68"/>
      <c r="E737" s="68"/>
      <c r="F737" s="68"/>
      <c r="G737" s="68"/>
      <c r="H737" s="68"/>
      <c r="I737" s="68"/>
      <c r="J737" s="68"/>
      <c r="K737" s="68"/>
      <c r="L737" s="56"/>
      <c r="M737" s="26"/>
      <c r="N737" s="26"/>
      <c r="O737" s="68"/>
      <c r="P737" s="1"/>
      <c r="Q737" s="8"/>
      <c r="R737" s="66"/>
      <c r="S737" s="1"/>
      <c r="T737" s="66"/>
      <c r="U737" s="8"/>
      <c r="V737" s="56"/>
      <c r="W737" s="1"/>
      <c r="X737" s="1"/>
      <c r="Y737" s="1"/>
    </row>
    <row r="738" spans="1:25">
      <c r="A738" s="57"/>
      <c r="B738" s="68"/>
      <c r="C738" s="68"/>
      <c r="D738" s="68"/>
      <c r="E738" s="68"/>
      <c r="F738" s="68"/>
      <c r="G738" s="68"/>
      <c r="H738" s="68"/>
      <c r="I738" s="68"/>
      <c r="J738" s="68"/>
      <c r="K738" s="68"/>
      <c r="L738" s="56"/>
      <c r="M738" s="26"/>
      <c r="N738" s="26"/>
      <c r="O738" s="68"/>
      <c r="P738" s="1"/>
      <c r="Q738" s="8"/>
      <c r="R738" s="66"/>
      <c r="S738" s="1"/>
      <c r="T738" s="66"/>
      <c r="U738" s="8"/>
      <c r="V738" s="56"/>
      <c r="W738" s="1"/>
      <c r="X738" s="1"/>
      <c r="Y738" s="1"/>
    </row>
    <row r="739" spans="1:25">
      <c r="A739" s="57"/>
      <c r="B739" s="68"/>
      <c r="C739" s="68"/>
      <c r="D739" s="68"/>
      <c r="E739" s="68"/>
      <c r="F739" s="68"/>
      <c r="G739" s="68"/>
      <c r="H739" s="68"/>
      <c r="I739" s="68"/>
      <c r="J739" s="68"/>
      <c r="K739" s="68"/>
      <c r="L739" s="56"/>
      <c r="M739" s="26"/>
      <c r="N739" s="26"/>
      <c r="O739" s="68"/>
      <c r="P739" s="1"/>
      <c r="Q739" s="8"/>
      <c r="R739" s="66"/>
      <c r="S739" s="1"/>
      <c r="T739" s="66"/>
      <c r="U739" s="8"/>
      <c r="V739" s="56"/>
      <c r="W739" s="1"/>
      <c r="X739" s="1"/>
      <c r="Y739" s="1"/>
    </row>
    <row r="740" spans="1:25">
      <c r="A740" s="57"/>
      <c r="B740" s="68"/>
      <c r="C740" s="68"/>
      <c r="D740" s="68"/>
      <c r="E740" s="68"/>
      <c r="F740" s="68"/>
      <c r="G740" s="68"/>
      <c r="H740" s="68"/>
      <c r="I740" s="68"/>
      <c r="J740" s="68"/>
      <c r="K740" s="68"/>
      <c r="L740" s="56"/>
      <c r="M740" s="26"/>
      <c r="N740" s="26"/>
      <c r="O740" s="68"/>
      <c r="P740" s="1"/>
      <c r="Q740" s="8"/>
      <c r="R740" s="66"/>
      <c r="S740" s="1"/>
      <c r="T740" s="66"/>
      <c r="U740" s="8"/>
      <c r="V740" s="56"/>
      <c r="W740" s="1"/>
      <c r="X740" s="1"/>
      <c r="Y740" s="1"/>
    </row>
    <row r="741" spans="1:25">
      <c r="A741" s="57"/>
      <c r="B741" s="68"/>
      <c r="C741" s="68"/>
      <c r="D741" s="68"/>
      <c r="E741" s="68"/>
      <c r="F741" s="68"/>
      <c r="G741" s="68"/>
      <c r="H741" s="68"/>
      <c r="I741" s="68"/>
      <c r="J741" s="68"/>
      <c r="K741" s="68"/>
      <c r="L741" s="56"/>
      <c r="M741" s="26"/>
      <c r="N741" s="26"/>
      <c r="O741" s="68"/>
      <c r="P741" s="1"/>
      <c r="Q741" s="8"/>
      <c r="R741" s="66"/>
      <c r="S741" s="1"/>
      <c r="T741" s="66"/>
      <c r="U741" s="8"/>
      <c r="V741" s="56"/>
      <c r="W741" s="1"/>
      <c r="X741" s="1"/>
      <c r="Y741" s="1"/>
    </row>
    <row r="742" spans="1:25">
      <c r="A742" s="57"/>
      <c r="B742" s="68"/>
      <c r="C742" s="68"/>
      <c r="D742" s="68"/>
      <c r="E742" s="68"/>
      <c r="F742" s="68"/>
      <c r="G742" s="68"/>
      <c r="H742" s="68"/>
      <c r="I742" s="68"/>
      <c r="J742" s="68"/>
      <c r="K742" s="68"/>
      <c r="L742" s="56"/>
      <c r="M742" s="26"/>
      <c r="N742" s="26"/>
      <c r="O742" s="68"/>
      <c r="P742" s="1"/>
      <c r="Q742" s="8"/>
      <c r="R742" s="66"/>
      <c r="S742" s="1"/>
      <c r="T742" s="66"/>
      <c r="U742" s="8"/>
      <c r="V742" s="56"/>
      <c r="W742" s="1"/>
      <c r="X742" s="1"/>
      <c r="Y742" s="1"/>
    </row>
    <row r="743" spans="1:25">
      <c r="A743" s="57"/>
      <c r="B743" s="68"/>
      <c r="C743" s="68"/>
      <c r="D743" s="68"/>
      <c r="E743" s="68"/>
      <c r="F743" s="68"/>
      <c r="G743" s="68"/>
      <c r="H743" s="68"/>
      <c r="I743" s="68"/>
      <c r="J743" s="68"/>
      <c r="K743" s="68"/>
      <c r="L743" s="56"/>
      <c r="M743" s="26"/>
      <c r="N743" s="26"/>
      <c r="O743" s="68"/>
      <c r="P743" s="1"/>
      <c r="Q743" s="8"/>
      <c r="R743" s="66"/>
      <c r="S743" s="1"/>
      <c r="T743" s="66"/>
      <c r="U743" s="8"/>
      <c r="V743" s="56"/>
      <c r="W743" s="1"/>
      <c r="X743" s="1"/>
      <c r="Y743" s="1"/>
    </row>
    <row r="744" spans="1:25">
      <c r="A744" s="57"/>
      <c r="B744" s="68"/>
      <c r="C744" s="68"/>
      <c r="D744" s="68"/>
      <c r="E744" s="68"/>
      <c r="F744" s="68"/>
      <c r="G744" s="68"/>
      <c r="H744" s="68"/>
      <c r="I744" s="68"/>
      <c r="J744" s="68"/>
      <c r="K744" s="68"/>
      <c r="L744" s="56"/>
      <c r="M744" s="26"/>
      <c r="N744" s="26"/>
      <c r="O744" s="68"/>
      <c r="P744" s="1"/>
      <c r="Q744" s="8"/>
      <c r="R744" s="66"/>
      <c r="S744" s="1"/>
      <c r="T744" s="66"/>
      <c r="U744" s="8"/>
      <c r="V744" s="56"/>
      <c r="W744" s="1"/>
      <c r="X744" s="1"/>
      <c r="Y744" s="1"/>
    </row>
    <row r="745" spans="1:25">
      <c r="A745" s="57"/>
      <c r="B745" s="68"/>
      <c r="C745" s="68"/>
      <c r="D745" s="68"/>
      <c r="E745" s="68"/>
      <c r="F745" s="68"/>
      <c r="G745" s="68"/>
      <c r="H745" s="68"/>
      <c r="I745" s="68"/>
      <c r="J745" s="68"/>
      <c r="K745" s="68"/>
      <c r="L745" s="56"/>
      <c r="M745" s="26"/>
      <c r="N745" s="26"/>
      <c r="O745" s="68"/>
      <c r="P745" s="1"/>
      <c r="Q745" s="8"/>
      <c r="R745" s="66"/>
      <c r="S745" s="1"/>
      <c r="T745" s="66"/>
      <c r="U745" s="8"/>
      <c r="V745" s="56"/>
      <c r="W745" s="1"/>
      <c r="X745" s="1"/>
      <c r="Y745" s="1"/>
    </row>
    <row r="746" spans="1:25">
      <c r="A746" s="57"/>
      <c r="B746" s="68"/>
      <c r="C746" s="68"/>
      <c r="D746" s="68"/>
      <c r="E746" s="68"/>
      <c r="F746" s="68"/>
      <c r="G746" s="68"/>
      <c r="H746" s="68"/>
      <c r="I746" s="68"/>
      <c r="J746" s="68"/>
      <c r="K746" s="68"/>
      <c r="L746" s="56"/>
      <c r="M746" s="26"/>
      <c r="N746" s="26"/>
      <c r="O746" s="68"/>
      <c r="P746" s="1"/>
      <c r="Q746" s="8"/>
      <c r="R746" s="66"/>
      <c r="S746" s="1"/>
      <c r="T746" s="66"/>
      <c r="U746" s="8"/>
      <c r="V746" s="56"/>
      <c r="W746" s="1"/>
      <c r="X746" s="1"/>
      <c r="Y746" s="1"/>
    </row>
    <row r="747" spans="1:25">
      <c r="A747" s="57"/>
      <c r="B747" s="68"/>
      <c r="C747" s="68"/>
      <c r="D747" s="68"/>
      <c r="E747" s="68"/>
      <c r="F747" s="68"/>
      <c r="G747" s="68"/>
      <c r="H747" s="68"/>
      <c r="I747" s="68"/>
      <c r="J747" s="68"/>
      <c r="K747" s="68"/>
      <c r="L747" s="56"/>
      <c r="M747" s="26"/>
      <c r="N747" s="26"/>
      <c r="O747" s="68"/>
      <c r="P747" s="1"/>
      <c r="Q747" s="8"/>
      <c r="R747" s="66"/>
      <c r="S747" s="1"/>
      <c r="T747" s="66"/>
      <c r="U747" s="8"/>
      <c r="V747" s="56"/>
      <c r="W747" s="1"/>
      <c r="X747" s="1"/>
      <c r="Y747" s="1"/>
    </row>
    <row r="748" spans="1:25">
      <c r="A748" s="57"/>
      <c r="B748" s="68"/>
      <c r="C748" s="68"/>
      <c r="D748" s="68"/>
      <c r="E748" s="68"/>
      <c r="F748" s="68"/>
      <c r="G748" s="68"/>
      <c r="H748" s="68"/>
      <c r="I748" s="68"/>
      <c r="J748" s="68"/>
      <c r="K748" s="68"/>
      <c r="L748" s="56"/>
      <c r="M748" s="26"/>
      <c r="N748" s="26"/>
      <c r="O748" s="68"/>
      <c r="P748" s="1"/>
      <c r="Q748" s="8"/>
      <c r="R748" s="66"/>
      <c r="S748" s="1"/>
      <c r="T748" s="66"/>
      <c r="U748" s="8"/>
      <c r="V748" s="56"/>
      <c r="W748" s="1"/>
      <c r="X748" s="1"/>
      <c r="Y748" s="1"/>
    </row>
    <row r="749" spans="1:25">
      <c r="A749" s="57"/>
      <c r="B749" s="68"/>
      <c r="C749" s="68"/>
      <c r="D749" s="68"/>
      <c r="E749" s="68"/>
      <c r="F749" s="68"/>
      <c r="G749" s="68"/>
      <c r="H749" s="68"/>
      <c r="I749" s="68"/>
      <c r="J749" s="68"/>
      <c r="K749" s="68"/>
      <c r="L749" s="56"/>
      <c r="M749" s="26"/>
      <c r="N749" s="26"/>
      <c r="O749" s="68"/>
      <c r="P749" s="1"/>
      <c r="Q749" s="8"/>
      <c r="R749" s="66"/>
      <c r="S749" s="1"/>
      <c r="T749" s="66"/>
      <c r="U749" s="8"/>
      <c r="V749" s="56"/>
      <c r="W749" s="1"/>
      <c r="X749" s="1"/>
      <c r="Y749" s="1"/>
    </row>
    <row r="750" spans="1:25">
      <c r="A750" s="57"/>
      <c r="B750" s="68"/>
      <c r="C750" s="68"/>
      <c r="D750" s="68"/>
      <c r="E750" s="68"/>
      <c r="F750" s="68"/>
      <c r="G750" s="68"/>
      <c r="H750" s="68"/>
      <c r="I750" s="68"/>
      <c r="J750" s="68"/>
      <c r="K750" s="68"/>
      <c r="L750" s="56"/>
      <c r="M750" s="26"/>
      <c r="N750" s="26"/>
      <c r="O750" s="68"/>
      <c r="P750" s="1"/>
      <c r="Q750" s="8"/>
      <c r="R750" s="66"/>
      <c r="S750" s="1"/>
      <c r="T750" s="66"/>
      <c r="U750" s="8"/>
      <c r="V750" s="56"/>
      <c r="W750" s="1"/>
      <c r="X750" s="1"/>
      <c r="Y750" s="1"/>
    </row>
    <row r="751" spans="1:25">
      <c r="A751" s="57"/>
      <c r="B751" s="68"/>
      <c r="C751" s="68"/>
      <c r="D751" s="68"/>
      <c r="E751" s="68"/>
      <c r="F751" s="68"/>
      <c r="G751" s="68"/>
      <c r="H751" s="68"/>
      <c r="I751" s="68"/>
      <c r="J751" s="68"/>
      <c r="K751" s="68"/>
      <c r="L751" s="56"/>
      <c r="M751" s="26"/>
      <c r="N751" s="26"/>
      <c r="O751" s="68"/>
      <c r="P751" s="1"/>
      <c r="Q751" s="8"/>
      <c r="R751" s="66"/>
      <c r="S751" s="1"/>
      <c r="T751" s="66"/>
      <c r="U751" s="8"/>
      <c r="V751" s="56"/>
      <c r="W751" s="1"/>
      <c r="X751" s="1"/>
      <c r="Y751" s="1"/>
    </row>
    <row r="752" spans="1:25">
      <c r="A752" s="57"/>
      <c r="B752" s="68"/>
      <c r="C752" s="68"/>
      <c r="D752" s="68"/>
      <c r="E752" s="68"/>
      <c r="F752" s="68"/>
      <c r="G752" s="68"/>
      <c r="H752" s="68"/>
      <c r="I752" s="68"/>
      <c r="J752" s="68"/>
      <c r="K752" s="68"/>
      <c r="L752" s="56"/>
      <c r="M752" s="26"/>
      <c r="N752" s="26"/>
      <c r="O752" s="68"/>
      <c r="P752" s="1"/>
      <c r="Q752" s="8"/>
      <c r="R752" s="66"/>
      <c r="S752" s="1"/>
      <c r="T752" s="66"/>
      <c r="U752" s="8"/>
      <c r="V752" s="56"/>
      <c r="W752" s="1"/>
      <c r="X752" s="1"/>
      <c r="Y752" s="1"/>
    </row>
    <row r="753" spans="1:25">
      <c r="A753" s="57"/>
      <c r="B753" s="68"/>
      <c r="C753" s="68"/>
      <c r="D753" s="68"/>
      <c r="E753" s="68"/>
      <c r="F753" s="68"/>
      <c r="G753" s="68"/>
      <c r="H753" s="68"/>
      <c r="I753" s="68"/>
      <c r="J753" s="68"/>
      <c r="K753" s="68"/>
      <c r="L753" s="56"/>
      <c r="M753" s="26"/>
      <c r="N753" s="26"/>
      <c r="O753" s="68"/>
      <c r="P753" s="1"/>
      <c r="Q753" s="8"/>
      <c r="R753" s="66"/>
      <c r="S753" s="1"/>
      <c r="T753" s="66"/>
      <c r="U753" s="8"/>
      <c r="V753" s="56"/>
      <c r="W753" s="1"/>
      <c r="X753" s="1"/>
      <c r="Y753" s="1"/>
    </row>
    <row r="754" spans="1:25">
      <c r="A754" s="57"/>
      <c r="B754" s="68"/>
      <c r="C754" s="68"/>
      <c r="D754" s="68"/>
      <c r="E754" s="68"/>
      <c r="F754" s="68"/>
      <c r="G754" s="68"/>
      <c r="H754" s="68"/>
      <c r="I754" s="68"/>
      <c r="J754" s="68"/>
      <c r="K754" s="68"/>
      <c r="L754" s="56"/>
      <c r="M754" s="26"/>
      <c r="N754" s="26"/>
      <c r="O754" s="68"/>
      <c r="P754" s="1"/>
      <c r="Q754" s="8"/>
      <c r="R754" s="66"/>
      <c r="S754" s="1"/>
      <c r="T754" s="66"/>
      <c r="U754" s="8"/>
      <c r="V754" s="56"/>
      <c r="W754" s="1"/>
      <c r="X754" s="1"/>
      <c r="Y754" s="1"/>
    </row>
    <row r="755" spans="1:25">
      <c r="A755" s="57"/>
      <c r="B755" s="68"/>
      <c r="C755" s="68"/>
      <c r="D755" s="68"/>
      <c r="E755" s="68"/>
      <c r="F755" s="68"/>
      <c r="G755" s="68"/>
      <c r="H755" s="68"/>
      <c r="I755" s="68"/>
      <c r="J755" s="68"/>
      <c r="K755" s="68"/>
      <c r="L755" s="56"/>
      <c r="M755" s="26"/>
      <c r="N755" s="26"/>
      <c r="O755" s="68"/>
      <c r="P755" s="1"/>
      <c r="Q755" s="8"/>
      <c r="R755" s="66"/>
      <c r="S755" s="1"/>
      <c r="T755" s="66"/>
      <c r="U755" s="8"/>
      <c r="V755" s="56"/>
      <c r="W755" s="1"/>
      <c r="X755" s="1"/>
      <c r="Y755" s="1"/>
    </row>
    <row r="756" spans="1:25">
      <c r="A756" s="57"/>
      <c r="B756" s="68"/>
      <c r="C756" s="68"/>
      <c r="D756" s="68"/>
      <c r="E756" s="68"/>
      <c r="F756" s="68"/>
      <c r="G756" s="68"/>
      <c r="H756" s="68"/>
      <c r="I756" s="68"/>
      <c r="J756" s="68"/>
      <c r="K756" s="68"/>
      <c r="L756" s="56"/>
      <c r="M756" s="26"/>
      <c r="N756" s="26"/>
      <c r="O756" s="68"/>
      <c r="P756" s="1"/>
      <c r="Q756" s="8"/>
      <c r="R756" s="66"/>
      <c r="S756" s="1"/>
      <c r="T756" s="66"/>
      <c r="U756" s="8"/>
      <c r="V756" s="56"/>
      <c r="W756" s="1"/>
      <c r="X756" s="1"/>
      <c r="Y756" s="1"/>
    </row>
    <row r="757" spans="1:25">
      <c r="A757" s="57"/>
      <c r="B757" s="68"/>
      <c r="C757" s="68"/>
      <c r="D757" s="68"/>
      <c r="E757" s="68"/>
      <c r="F757" s="68"/>
      <c r="G757" s="68"/>
      <c r="H757" s="68"/>
      <c r="I757" s="68"/>
      <c r="J757" s="68"/>
      <c r="K757" s="68"/>
      <c r="L757" s="56"/>
      <c r="M757" s="26"/>
      <c r="N757" s="26"/>
      <c r="O757" s="68"/>
      <c r="P757" s="1"/>
      <c r="Q757" s="8"/>
      <c r="R757" s="66"/>
      <c r="S757" s="1"/>
      <c r="T757" s="66"/>
      <c r="U757" s="8"/>
      <c r="V757" s="56"/>
      <c r="W757" s="1"/>
      <c r="X757" s="1"/>
      <c r="Y757" s="1"/>
    </row>
    <row r="758" spans="1:25">
      <c r="A758" s="57"/>
      <c r="B758" s="68"/>
      <c r="C758" s="68"/>
      <c r="D758" s="68"/>
      <c r="E758" s="68"/>
      <c r="F758" s="68"/>
      <c r="G758" s="68"/>
      <c r="H758" s="68"/>
      <c r="I758" s="68"/>
      <c r="J758" s="68"/>
      <c r="K758" s="68"/>
      <c r="L758" s="56"/>
      <c r="M758" s="26"/>
      <c r="N758" s="26"/>
      <c r="O758" s="68"/>
      <c r="P758" s="1"/>
      <c r="Q758" s="8"/>
      <c r="R758" s="66"/>
      <c r="S758" s="1"/>
      <c r="T758" s="66"/>
      <c r="U758" s="8"/>
      <c r="V758" s="56"/>
      <c r="W758" s="1"/>
      <c r="X758" s="1"/>
      <c r="Y758" s="1"/>
    </row>
    <row r="759" spans="1:25">
      <c r="A759" s="57"/>
      <c r="B759" s="68"/>
      <c r="C759" s="68"/>
      <c r="D759" s="68"/>
      <c r="E759" s="68"/>
      <c r="F759" s="68"/>
      <c r="G759" s="68"/>
      <c r="H759" s="68"/>
      <c r="I759" s="68"/>
      <c r="J759" s="68"/>
      <c r="K759" s="68"/>
      <c r="L759" s="56"/>
      <c r="M759" s="26"/>
      <c r="N759" s="26"/>
      <c r="O759" s="68"/>
      <c r="P759" s="1"/>
      <c r="Q759" s="8"/>
      <c r="R759" s="66"/>
      <c r="S759" s="1"/>
      <c r="T759" s="66"/>
      <c r="U759" s="8"/>
      <c r="V759" s="56"/>
      <c r="W759" s="1"/>
      <c r="X759" s="1"/>
      <c r="Y759" s="1"/>
    </row>
    <row r="760" spans="1:25">
      <c r="A760" s="57"/>
      <c r="B760" s="68"/>
      <c r="C760" s="68"/>
      <c r="D760" s="68"/>
      <c r="E760" s="68"/>
      <c r="F760" s="68"/>
      <c r="G760" s="68"/>
      <c r="H760" s="68"/>
      <c r="I760" s="68"/>
      <c r="J760" s="68"/>
      <c r="K760" s="68"/>
      <c r="L760" s="56"/>
      <c r="M760" s="26"/>
      <c r="N760" s="26"/>
      <c r="O760" s="68"/>
      <c r="P760" s="1"/>
      <c r="Q760" s="8"/>
      <c r="R760" s="66"/>
      <c r="S760" s="1"/>
      <c r="T760" s="66"/>
      <c r="U760" s="8"/>
      <c r="V760" s="56"/>
      <c r="W760" s="1"/>
      <c r="X760" s="1"/>
      <c r="Y760" s="1"/>
    </row>
    <row r="761" spans="1:25">
      <c r="A761" s="57"/>
      <c r="B761" s="68"/>
      <c r="C761" s="68"/>
      <c r="D761" s="68"/>
      <c r="E761" s="68"/>
      <c r="F761" s="68"/>
      <c r="G761" s="68"/>
      <c r="H761" s="68"/>
      <c r="I761" s="68"/>
      <c r="J761" s="68"/>
      <c r="K761" s="68"/>
      <c r="L761" s="56"/>
      <c r="M761" s="26"/>
      <c r="N761" s="26"/>
      <c r="O761" s="68"/>
      <c r="P761" s="1"/>
      <c r="Q761" s="8"/>
      <c r="R761" s="66"/>
      <c r="S761" s="1"/>
      <c r="T761" s="66"/>
      <c r="U761" s="8"/>
      <c r="V761" s="56"/>
      <c r="W761" s="1"/>
      <c r="X761" s="1"/>
      <c r="Y761" s="1"/>
    </row>
    <row r="762" spans="1:25">
      <c r="A762" s="57"/>
      <c r="B762" s="68"/>
      <c r="C762" s="68"/>
      <c r="D762" s="68"/>
      <c r="E762" s="68"/>
      <c r="F762" s="68"/>
      <c r="G762" s="68"/>
      <c r="H762" s="68"/>
      <c r="I762" s="68"/>
      <c r="J762" s="68"/>
      <c r="K762" s="68"/>
      <c r="L762" s="56"/>
      <c r="M762" s="26"/>
      <c r="N762" s="26"/>
      <c r="O762" s="68"/>
      <c r="P762" s="1"/>
      <c r="Q762" s="8"/>
      <c r="R762" s="66"/>
      <c r="S762" s="1"/>
      <c r="T762" s="66"/>
      <c r="U762" s="8"/>
      <c r="V762" s="56"/>
      <c r="W762" s="1"/>
      <c r="X762" s="1"/>
      <c r="Y762" s="1"/>
    </row>
    <row r="763" spans="1:25">
      <c r="A763" s="57"/>
      <c r="B763" s="68"/>
      <c r="C763" s="68"/>
      <c r="D763" s="68"/>
      <c r="E763" s="68"/>
      <c r="F763" s="68"/>
      <c r="G763" s="68"/>
      <c r="H763" s="68"/>
      <c r="I763" s="68"/>
      <c r="J763" s="68"/>
      <c r="K763" s="68"/>
      <c r="L763" s="56"/>
      <c r="M763" s="26"/>
      <c r="N763" s="26"/>
      <c r="O763" s="68"/>
      <c r="P763" s="1"/>
      <c r="Q763" s="8"/>
      <c r="R763" s="66"/>
      <c r="S763" s="1"/>
      <c r="T763" s="66"/>
      <c r="U763" s="8"/>
      <c r="V763" s="56"/>
      <c r="W763" s="1"/>
      <c r="X763" s="1"/>
      <c r="Y763" s="1"/>
    </row>
    <row r="764" spans="1:25">
      <c r="A764" s="57"/>
      <c r="B764" s="68"/>
      <c r="C764" s="68"/>
      <c r="D764" s="68"/>
      <c r="E764" s="68"/>
      <c r="F764" s="68"/>
      <c r="G764" s="68"/>
      <c r="H764" s="68"/>
      <c r="I764" s="68"/>
      <c r="J764" s="68"/>
      <c r="K764" s="68"/>
      <c r="L764" s="56"/>
      <c r="M764" s="26"/>
      <c r="N764" s="26"/>
      <c r="O764" s="68"/>
      <c r="P764" s="1"/>
      <c r="Q764" s="8"/>
      <c r="R764" s="66"/>
      <c r="S764" s="1"/>
      <c r="T764" s="66"/>
      <c r="U764" s="8"/>
      <c r="V764" s="56"/>
      <c r="W764" s="1"/>
      <c r="X764" s="1"/>
      <c r="Y764" s="1"/>
    </row>
    <row r="765" spans="1:25">
      <c r="A765" s="57"/>
      <c r="B765" s="68"/>
      <c r="C765" s="68"/>
      <c r="D765" s="68"/>
      <c r="E765" s="68"/>
      <c r="F765" s="68"/>
      <c r="G765" s="68"/>
      <c r="H765" s="68"/>
      <c r="I765" s="68"/>
      <c r="J765" s="68"/>
      <c r="K765" s="68"/>
      <c r="L765" s="56"/>
      <c r="M765" s="26"/>
      <c r="N765" s="26"/>
      <c r="O765" s="68"/>
      <c r="P765" s="1"/>
      <c r="Q765" s="8"/>
      <c r="R765" s="66"/>
      <c r="S765" s="1"/>
      <c r="T765" s="66"/>
      <c r="U765" s="8"/>
      <c r="V765" s="56"/>
      <c r="W765" s="1"/>
      <c r="X765" s="1"/>
      <c r="Y765" s="1"/>
    </row>
    <row r="766" spans="1:25">
      <c r="A766" s="57"/>
      <c r="B766" s="68"/>
      <c r="C766" s="68"/>
      <c r="D766" s="68"/>
      <c r="E766" s="68"/>
      <c r="F766" s="68"/>
      <c r="G766" s="68"/>
      <c r="H766" s="68"/>
      <c r="I766" s="68"/>
      <c r="J766" s="68"/>
      <c r="K766" s="68"/>
      <c r="L766" s="56"/>
      <c r="M766" s="26"/>
      <c r="N766" s="26"/>
      <c r="O766" s="68"/>
      <c r="P766" s="1"/>
      <c r="Q766" s="8"/>
      <c r="R766" s="66"/>
      <c r="S766" s="1"/>
      <c r="T766" s="66"/>
      <c r="U766" s="8"/>
      <c r="V766" s="56"/>
      <c r="W766" s="1"/>
      <c r="X766" s="1"/>
      <c r="Y766" s="1"/>
    </row>
    <row r="767" spans="1:25">
      <c r="A767" s="57"/>
      <c r="B767" s="68"/>
      <c r="C767" s="68"/>
      <c r="D767" s="68"/>
      <c r="E767" s="68"/>
      <c r="F767" s="68"/>
      <c r="G767" s="68"/>
      <c r="H767" s="68"/>
      <c r="I767" s="68"/>
      <c r="J767" s="68"/>
      <c r="K767" s="68"/>
      <c r="L767" s="56"/>
      <c r="M767" s="26"/>
      <c r="N767" s="26"/>
      <c r="O767" s="68"/>
      <c r="P767" s="1"/>
      <c r="Q767" s="8"/>
      <c r="R767" s="66"/>
      <c r="S767" s="1"/>
      <c r="T767" s="66"/>
      <c r="U767" s="8"/>
      <c r="V767" s="56"/>
      <c r="W767" s="1"/>
      <c r="X767" s="1"/>
      <c r="Y767" s="1"/>
    </row>
    <row r="768" spans="1:25">
      <c r="A768" s="57"/>
      <c r="B768" s="68"/>
      <c r="C768" s="68"/>
      <c r="D768" s="68"/>
      <c r="E768" s="68"/>
      <c r="F768" s="68"/>
      <c r="G768" s="68"/>
      <c r="H768" s="68"/>
      <c r="I768" s="68"/>
      <c r="J768" s="68"/>
      <c r="K768" s="68"/>
      <c r="L768" s="56"/>
      <c r="M768" s="26"/>
      <c r="N768" s="26"/>
      <c r="O768" s="68"/>
      <c r="P768" s="1"/>
      <c r="Q768" s="8"/>
      <c r="R768" s="66"/>
      <c r="S768" s="1"/>
      <c r="T768" s="66"/>
      <c r="U768" s="8"/>
      <c r="V768" s="56"/>
      <c r="W768" s="1"/>
      <c r="X768" s="1"/>
      <c r="Y768" s="1"/>
    </row>
    <row r="769" spans="1:25">
      <c r="A769" s="57"/>
      <c r="B769" s="68"/>
      <c r="C769" s="68"/>
      <c r="D769" s="68"/>
      <c r="E769" s="68"/>
      <c r="F769" s="68"/>
      <c r="G769" s="68"/>
      <c r="H769" s="68"/>
      <c r="I769" s="68"/>
      <c r="J769" s="68"/>
      <c r="K769" s="68"/>
      <c r="L769" s="56"/>
      <c r="M769" s="26"/>
      <c r="N769" s="26"/>
      <c r="O769" s="68"/>
      <c r="P769" s="1"/>
      <c r="Q769" s="8"/>
      <c r="R769" s="66"/>
      <c r="S769" s="1"/>
      <c r="T769" s="66"/>
      <c r="U769" s="8"/>
      <c r="V769" s="56"/>
      <c r="W769" s="1"/>
      <c r="X769" s="1"/>
      <c r="Y769" s="1"/>
    </row>
    <row r="770" spans="1:25">
      <c r="A770" s="57"/>
      <c r="B770" s="68"/>
      <c r="C770" s="68"/>
      <c r="D770" s="68"/>
      <c r="E770" s="68"/>
      <c r="F770" s="68"/>
      <c r="G770" s="68"/>
      <c r="H770" s="68"/>
      <c r="I770" s="68"/>
      <c r="J770" s="68"/>
      <c r="K770" s="68"/>
      <c r="L770" s="56"/>
      <c r="M770" s="26"/>
      <c r="N770" s="26"/>
      <c r="O770" s="68"/>
      <c r="P770" s="1"/>
      <c r="Q770" s="8"/>
      <c r="R770" s="66"/>
      <c r="S770" s="1"/>
      <c r="T770" s="66"/>
      <c r="U770" s="8"/>
      <c r="V770" s="56"/>
      <c r="W770" s="1"/>
      <c r="X770" s="1"/>
      <c r="Y770" s="1"/>
    </row>
    <row r="771" spans="1:25">
      <c r="A771" s="57"/>
      <c r="B771" s="68"/>
      <c r="C771" s="68"/>
      <c r="D771" s="68"/>
      <c r="E771" s="68"/>
      <c r="F771" s="68"/>
      <c r="G771" s="68"/>
      <c r="H771" s="68"/>
      <c r="I771" s="68"/>
      <c r="J771" s="68"/>
      <c r="K771" s="68"/>
      <c r="L771" s="56"/>
      <c r="M771" s="26"/>
      <c r="N771" s="26"/>
      <c r="O771" s="68"/>
      <c r="P771" s="1"/>
      <c r="Q771" s="8"/>
      <c r="R771" s="66"/>
      <c r="S771" s="1"/>
      <c r="T771" s="66"/>
      <c r="U771" s="8"/>
      <c r="V771" s="56"/>
      <c r="W771" s="1"/>
      <c r="X771" s="1"/>
      <c r="Y771" s="1"/>
    </row>
    <row r="772" spans="1:25">
      <c r="A772" s="57"/>
      <c r="B772" s="68"/>
      <c r="C772" s="68"/>
      <c r="D772" s="68"/>
      <c r="E772" s="68"/>
      <c r="F772" s="68"/>
      <c r="G772" s="68"/>
      <c r="H772" s="68"/>
      <c r="I772" s="68"/>
      <c r="J772" s="68"/>
      <c r="K772" s="68"/>
      <c r="L772" s="56"/>
      <c r="M772" s="26"/>
      <c r="N772" s="26"/>
      <c r="O772" s="68"/>
      <c r="P772" s="1"/>
      <c r="Q772" s="8"/>
      <c r="R772" s="66"/>
      <c r="S772" s="1"/>
      <c r="T772" s="66"/>
      <c r="U772" s="8"/>
      <c r="V772" s="56"/>
      <c r="W772" s="1"/>
      <c r="X772" s="1"/>
      <c r="Y772" s="1"/>
    </row>
    <row r="773" spans="1:25">
      <c r="A773" s="57"/>
      <c r="B773" s="68"/>
      <c r="C773" s="68"/>
      <c r="D773" s="68"/>
      <c r="E773" s="68"/>
      <c r="F773" s="68"/>
      <c r="G773" s="68"/>
      <c r="H773" s="68"/>
      <c r="I773" s="68"/>
      <c r="J773" s="68"/>
      <c r="K773" s="68"/>
      <c r="L773" s="56"/>
      <c r="M773" s="26"/>
      <c r="N773" s="26"/>
      <c r="O773" s="68"/>
      <c r="P773" s="1"/>
      <c r="Q773" s="8"/>
      <c r="R773" s="66"/>
      <c r="S773" s="1"/>
      <c r="T773" s="66"/>
      <c r="U773" s="8"/>
      <c r="V773" s="56"/>
      <c r="W773" s="1"/>
      <c r="X773" s="1"/>
      <c r="Y773" s="1"/>
    </row>
    <row r="774" spans="1:25">
      <c r="A774" s="57"/>
      <c r="B774" s="68"/>
      <c r="C774" s="68"/>
      <c r="D774" s="68"/>
      <c r="E774" s="68"/>
      <c r="F774" s="68"/>
      <c r="G774" s="68"/>
      <c r="H774" s="68"/>
      <c r="I774" s="68"/>
      <c r="J774" s="68"/>
      <c r="K774" s="68"/>
      <c r="L774" s="56"/>
      <c r="M774" s="26"/>
      <c r="N774" s="26"/>
      <c r="O774" s="68"/>
      <c r="P774" s="1"/>
      <c r="Q774" s="8"/>
      <c r="R774" s="66"/>
      <c r="S774" s="1"/>
      <c r="T774" s="66"/>
      <c r="U774" s="8"/>
      <c r="V774" s="56"/>
      <c r="W774" s="1"/>
      <c r="X774" s="1"/>
      <c r="Y774" s="1"/>
    </row>
    <row r="775" spans="1:25">
      <c r="A775" s="57"/>
      <c r="B775" s="68"/>
      <c r="C775" s="68"/>
      <c r="D775" s="68"/>
      <c r="E775" s="68"/>
      <c r="F775" s="68"/>
      <c r="G775" s="68"/>
      <c r="H775" s="68"/>
      <c r="I775" s="68"/>
      <c r="J775" s="68"/>
      <c r="K775" s="68"/>
      <c r="L775" s="56"/>
      <c r="M775" s="26"/>
      <c r="N775" s="26"/>
      <c r="O775" s="68"/>
      <c r="P775" s="1"/>
      <c r="Q775" s="8"/>
      <c r="R775" s="66"/>
      <c r="S775" s="1"/>
      <c r="T775" s="66"/>
      <c r="U775" s="8"/>
      <c r="V775" s="56"/>
      <c r="W775" s="1"/>
      <c r="X775" s="1"/>
      <c r="Y775" s="1"/>
    </row>
    <row r="776" spans="1:25">
      <c r="A776" s="57"/>
      <c r="B776" s="68"/>
      <c r="C776" s="68"/>
      <c r="D776" s="68"/>
      <c r="E776" s="68"/>
      <c r="F776" s="68"/>
      <c r="G776" s="68"/>
      <c r="H776" s="68"/>
      <c r="I776" s="68"/>
      <c r="J776" s="68"/>
      <c r="K776" s="68"/>
      <c r="L776" s="56"/>
      <c r="M776" s="26"/>
      <c r="N776" s="26"/>
      <c r="O776" s="68"/>
      <c r="P776" s="1"/>
      <c r="Q776" s="8"/>
      <c r="R776" s="66"/>
      <c r="S776" s="1"/>
      <c r="T776" s="66"/>
      <c r="U776" s="8"/>
      <c r="V776" s="56"/>
      <c r="W776" s="1"/>
      <c r="X776" s="1"/>
      <c r="Y776" s="1"/>
    </row>
    <row r="777" spans="1:25">
      <c r="A777" s="57"/>
      <c r="B777" s="68"/>
      <c r="C777" s="68"/>
      <c r="D777" s="68"/>
      <c r="E777" s="68"/>
      <c r="F777" s="68"/>
      <c r="G777" s="68"/>
      <c r="H777" s="68"/>
      <c r="I777" s="68"/>
      <c r="J777" s="68"/>
      <c r="K777" s="68"/>
      <c r="L777" s="56"/>
      <c r="M777" s="26"/>
      <c r="N777" s="26"/>
      <c r="O777" s="68"/>
      <c r="P777" s="1"/>
      <c r="Q777" s="8"/>
      <c r="R777" s="66"/>
      <c r="S777" s="1"/>
      <c r="T777" s="66"/>
      <c r="U777" s="8"/>
      <c r="V777" s="56"/>
      <c r="W777" s="1"/>
      <c r="X777" s="1"/>
      <c r="Y777" s="1"/>
    </row>
    <row r="778" spans="1:25">
      <c r="A778" s="57"/>
      <c r="B778" s="68"/>
      <c r="C778" s="68"/>
      <c r="D778" s="68"/>
      <c r="E778" s="68"/>
      <c r="F778" s="68"/>
      <c r="G778" s="68"/>
      <c r="H778" s="68"/>
      <c r="I778" s="68"/>
      <c r="J778" s="68"/>
      <c r="K778" s="68"/>
      <c r="L778" s="56"/>
      <c r="M778" s="26"/>
      <c r="N778" s="26"/>
      <c r="O778" s="68"/>
      <c r="P778" s="1"/>
      <c r="Q778" s="8"/>
      <c r="R778" s="66"/>
      <c r="S778" s="1"/>
      <c r="T778" s="66"/>
      <c r="U778" s="8"/>
      <c r="V778" s="56"/>
      <c r="W778" s="1"/>
      <c r="X778" s="1"/>
      <c r="Y778" s="1"/>
    </row>
    <row r="779" spans="1:25">
      <c r="A779" s="57"/>
      <c r="B779" s="68"/>
      <c r="C779" s="68"/>
      <c r="D779" s="68"/>
      <c r="E779" s="68"/>
      <c r="F779" s="68"/>
      <c r="G779" s="68"/>
      <c r="H779" s="68"/>
      <c r="I779" s="68"/>
      <c r="J779" s="68"/>
      <c r="K779" s="68"/>
      <c r="L779" s="56"/>
      <c r="M779" s="26"/>
      <c r="N779" s="26"/>
      <c r="O779" s="68"/>
      <c r="P779" s="1"/>
      <c r="Q779" s="8"/>
      <c r="R779" s="66"/>
      <c r="S779" s="1"/>
      <c r="T779" s="66"/>
      <c r="U779" s="8"/>
      <c r="V779" s="56"/>
      <c r="W779" s="1"/>
      <c r="X779" s="1"/>
      <c r="Y779" s="1"/>
    </row>
    <row r="780" spans="1:25">
      <c r="A780" s="57"/>
      <c r="B780" s="68"/>
      <c r="C780" s="68"/>
      <c r="D780" s="68"/>
      <c r="E780" s="68"/>
      <c r="F780" s="68"/>
      <c r="G780" s="68"/>
      <c r="H780" s="68"/>
      <c r="I780" s="68"/>
      <c r="J780" s="68"/>
      <c r="K780" s="68"/>
      <c r="L780" s="56"/>
      <c r="M780" s="26"/>
      <c r="N780" s="26"/>
      <c r="O780" s="68"/>
      <c r="P780" s="1"/>
      <c r="Q780" s="8"/>
      <c r="R780" s="66"/>
      <c r="S780" s="1"/>
      <c r="T780" s="66"/>
      <c r="U780" s="8"/>
      <c r="V780" s="56"/>
      <c r="W780" s="1"/>
      <c r="X780" s="1"/>
      <c r="Y780" s="1"/>
    </row>
    <row r="781" spans="1:25">
      <c r="A781" s="57"/>
      <c r="B781" s="68"/>
      <c r="C781" s="68"/>
      <c r="D781" s="68"/>
      <c r="E781" s="68"/>
      <c r="F781" s="68"/>
      <c r="G781" s="68"/>
      <c r="H781" s="68"/>
      <c r="I781" s="68"/>
      <c r="J781" s="68"/>
      <c r="K781" s="68"/>
      <c r="L781" s="56"/>
      <c r="M781" s="26"/>
      <c r="N781" s="26"/>
      <c r="O781" s="68"/>
      <c r="P781" s="1"/>
      <c r="Q781" s="8"/>
      <c r="R781" s="66"/>
      <c r="S781" s="1"/>
      <c r="T781" s="66"/>
      <c r="U781" s="8"/>
      <c r="V781" s="56"/>
      <c r="W781" s="1"/>
      <c r="X781" s="1"/>
      <c r="Y781" s="1"/>
    </row>
    <row r="782" spans="1:25">
      <c r="A782" s="57"/>
      <c r="B782" s="68"/>
      <c r="C782" s="68"/>
      <c r="D782" s="68"/>
      <c r="E782" s="68"/>
      <c r="F782" s="68"/>
      <c r="G782" s="68"/>
      <c r="H782" s="68"/>
      <c r="I782" s="68"/>
      <c r="J782" s="68"/>
      <c r="K782" s="68"/>
      <c r="L782" s="56"/>
      <c r="M782" s="26"/>
      <c r="N782" s="26"/>
      <c r="O782" s="68"/>
      <c r="P782" s="1"/>
      <c r="Q782" s="8"/>
      <c r="R782" s="66"/>
      <c r="S782" s="1"/>
      <c r="T782" s="66"/>
      <c r="U782" s="8"/>
      <c r="V782" s="56"/>
      <c r="W782" s="1"/>
      <c r="X782" s="1"/>
      <c r="Y782" s="1"/>
    </row>
    <row r="783" spans="1:25">
      <c r="A783" s="57"/>
      <c r="B783" s="68"/>
      <c r="C783" s="68"/>
      <c r="D783" s="68"/>
      <c r="E783" s="68"/>
      <c r="F783" s="68"/>
      <c r="G783" s="68"/>
      <c r="H783" s="68"/>
      <c r="I783" s="68"/>
      <c r="J783" s="68"/>
      <c r="K783" s="68"/>
      <c r="L783" s="56"/>
      <c r="M783" s="26"/>
      <c r="N783" s="26"/>
      <c r="O783" s="68"/>
      <c r="P783" s="1"/>
      <c r="Q783" s="8"/>
      <c r="R783" s="66"/>
      <c r="S783" s="1"/>
      <c r="T783" s="66"/>
      <c r="U783" s="8"/>
      <c r="V783" s="56"/>
      <c r="W783" s="1"/>
      <c r="X783" s="1"/>
      <c r="Y783" s="1"/>
    </row>
    <row r="784" spans="1:25">
      <c r="A784" s="57"/>
      <c r="B784" s="68"/>
      <c r="C784" s="68"/>
      <c r="D784" s="68"/>
      <c r="E784" s="68"/>
      <c r="F784" s="68"/>
      <c r="G784" s="68"/>
      <c r="H784" s="68"/>
      <c r="I784" s="68"/>
      <c r="J784" s="68"/>
      <c r="K784" s="68"/>
      <c r="L784" s="56"/>
      <c r="M784" s="26"/>
      <c r="N784" s="26"/>
      <c r="O784" s="68"/>
      <c r="P784" s="1"/>
      <c r="Q784" s="8"/>
      <c r="R784" s="66"/>
      <c r="S784" s="1"/>
      <c r="T784" s="66"/>
      <c r="U784" s="8"/>
      <c r="V784" s="56"/>
      <c r="W784" s="1"/>
      <c r="X784" s="1"/>
      <c r="Y784" s="1"/>
    </row>
    <row r="785" spans="1:25">
      <c r="A785" s="57"/>
      <c r="B785" s="68"/>
      <c r="C785" s="68"/>
      <c r="D785" s="68"/>
      <c r="E785" s="68"/>
      <c r="F785" s="68"/>
      <c r="G785" s="68"/>
      <c r="H785" s="68"/>
      <c r="I785" s="68"/>
      <c r="J785" s="68"/>
      <c r="K785" s="68"/>
      <c r="L785" s="56"/>
      <c r="M785" s="26"/>
      <c r="N785" s="26"/>
      <c r="O785" s="68"/>
      <c r="P785" s="1"/>
      <c r="Q785" s="8"/>
      <c r="R785" s="66"/>
      <c r="S785" s="1"/>
      <c r="T785" s="66"/>
      <c r="U785" s="8"/>
      <c r="V785" s="56"/>
      <c r="W785" s="1"/>
      <c r="X785" s="1"/>
      <c r="Y785" s="1"/>
    </row>
    <row r="786" spans="1:25">
      <c r="A786" s="57"/>
      <c r="B786" s="68"/>
      <c r="C786" s="68"/>
      <c r="D786" s="68"/>
      <c r="E786" s="68"/>
      <c r="F786" s="68"/>
      <c r="G786" s="68"/>
      <c r="H786" s="68"/>
      <c r="I786" s="68"/>
      <c r="J786" s="68"/>
      <c r="K786" s="68"/>
      <c r="L786" s="56"/>
      <c r="M786" s="26"/>
      <c r="N786" s="26"/>
      <c r="O786" s="68"/>
      <c r="P786" s="1"/>
      <c r="Q786" s="8"/>
      <c r="R786" s="66"/>
      <c r="S786" s="1"/>
      <c r="T786" s="66"/>
      <c r="U786" s="8"/>
      <c r="V786" s="56"/>
      <c r="W786" s="1"/>
      <c r="X786" s="1"/>
      <c r="Y786" s="1"/>
    </row>
    <row r="787" spans="1:25">
      <c r="A787" s="57"/>
      <c r="B787" s="68"/>
      <c r="C787" s="68"/>
      <c r="D787" s="68"/>
      <c r="E787" s="68"/>
      <c r="F787" s="68"/>
      <c r="G787" s="68"/>
      <c r="H787" s="68"/>
      <c r="I787" s="68"/>
      <c r="J787" s="68"/>
      <c r="K787" s="68"/>
      <c r="L787" s="56"/>
      <c r="M787" s="26"/>
      <c r="N787" s="26"/>
      <c r="O787" s="68"/>
      <c r="P787" s="1"/>
      <c r="Q787" s="8"/>
      <c r="R787" s="66"/>
      <c r="S787" s="1"/>
      <c r="T787" s="66"/>
      <c r="U787" s="8"/>
      <c r="V787" s="56"/>
      <c r="W787" s="1"/>
      <c r="X787" s="1"/>
      <c r="Y787" s="1"/>
    </row>
    <row r="788" spans="1:25">
      <c r="A788" s="57"/>
      <c r="B788" s="68"/>
      <c r="C788" s="68"/>
      <c r="D788" s="68"/>
      <c r="E788" s="68"/>
      <c r="F788" s="68"/>
      <c r="G788" s="68"/>
      <c r="H788" s="68"/>
      <c r="I788" s="68"/>
      <c r="J788" s="68"/>
      <c r="K788" s="68"/>
      <c r="L788" s="56"/>
      <c r="M788" s="26"/>
      <c r="N788" s="26"/>
      <c r="O788" s="68"/>
      <c r="P788" s="1"/>
      <c r="Q788" s="8"/>
      <c r="R788" s="66"/>
      <c r="S788" s="1"/>
      <c r="T788" s="66"/>
      <c r="U788" s="8"/>
      <c r="V788" s="56"/>
      <c r="W788" s="1"/>
      <c r="X788" s="1"/>
      <c r="Y788" s="1"/>
    </row>
    <row r="789" spans="1:25">
      <c r="A789" s="57"/>
      <c r="B789" s="68"/>
      <c r="C789" s="68"/>
      <c r="D789" s="68"/>
      <c r="E789" s="68"/>
      <c r="F789" s="68"/>
      <c r="G789" s="68"/>
      <c r="H789" s="68"/>
      <c r="I789" s="68"/>
      <c r="J789" s="68"/>
      <c r="K789" s="68"/>
      <c r="L789" s="56"/>
      <c r="M789" s="26"/>
      <c r="N789" s="26"/>
      <c r="O789" s="68"/>
      <c r="P789" s="1"/>
      <c r="Q789" s="8"/>
      <c r="R789" s="66"/>
      <c r="S789" s="1"/>
      <c r="T789" s="66"/>
      <c r="U789" s="8"/>
      <c r="V789" s="56"/>
      <c r="W789" s="1"/>
      <c r="X789" s="1"/>
      <c r="Y789" s="1"/>
    </row>
    <row r="790" spans="1:25">
      <c r="A790" s="57"/>
      <c r="B790" s="68"/>
      <c r="C790" s="68"/>
      <c r="D790" s="68"/>
      <c r="E790" s="68"/>
      <c r="F790" s="68"/>
      <c r="G790" s="68"/>
      <c r="H790" s="68"/>
      <c r="I790" s="68"/>
      <c r="J790" s="68"/>
      <c r="K790" s="68"/>
      <c r="L790" s="56"/>
      <c r="M790" s="26"/>
      <c r="N790" s="26"/>
      <c r="O790" s="68"/>
      <c r="P790" s="1"/>
      <c r="Q790" s="8"/>
      <c r="R790" s="66"/>
      <c r="S790" s="1"/>
      <c r="T790" s="66"/>
      <c r="U790" s="8"/>
      <c r="V790" s="56"/>
      <c r="W790" s="1"/>
      <c r="X790" s="1"/>
      <c r="Y790" s="1"/>
    </row>
    <row r="791" spans="1:25">
      <c r="A791" s="57"/>
      <c r="B791" s="68"/>
      <c r="C791" s="68"/>
      <c r="D791" s="68"/>
      <c r="E791" s="68"/>
      <c r="F791" s="68"/>
      <c r="G791" s="68"/>
      <c r="H791" s="68"/>
      <c r="I791" s="68"/>
      <c r="J791" s="68"/>
      <c r="K791" s="68"/>
      <c r="L791" s="56"/>
      <c r="M791" s="26"/>
      <c r="N791" s="26"/>
      <c r="O791" s="68"/>
      <c r="P791" s="1"/>
      <c r="Q791" s="8"/>
      <c r="R791" s="66"/>
      <c r="S791" s="1"/>
      <c r="T791" s="66"/>
      <c r="U791" s="8"/>
      <c r="V791" s="56"/>
      <c r="W791" s="1"/>
      <c r="X791" s="1"/>
      <c r="Y791" s="1"/>
    </row>
    <row r="792" spans="1:25">
      <c r="A792" s="57"/>
      <c r="B792" s="68"/>
      <c r="C792" s="68"/>
      <c r="D792" s="68"/>
      <c r="E792" s="68"/>
      <c r="F792" s="68"/>
      <c r="G792" s="68"/>
      <c r="H792" s="68"/>
      <c r="I792" s="68"/>
      <c r="J792" s="68"/>
      <c r="K792" s="68"/>
      <c r="L792" s="56"/>
      <c r="M792" s="26"/>
      <c r="N792" s="26"/>
      <c r="O792" s="68"/>
      <c r="P792" s="1"/>
      <c r="Q792" s="8"/>
      <c r="R792" s="66"/>
      <c r="S792" s="1"/>
      <c r="T792" s="66"/>
      <c r="U792" s="8"/>
      <c r="V792" s="56"/>
      <c r="W792" s="1"/>
      <c r="X792" s="1"/>
      <c r="Y792" s="1"/>
    </row>
    <row r="793" spans="1:25">
      <c r="A793" s="57"/>
      <c r="B793" s="68"/>
      <c r="C793" s="68"/>
      <c r="D793" s="68"/>
      <c r="E793" s="68"/>
      <c r="F793" s="68"/>
      <c r="G793" s="68"/>
      <c r="H793" s="68"/>
      <c r="I793" s="68"/>
      <c r="J793" s="68"/>
      <c r="K793" s="68"/>
      <c r="L793" s="56"/>
      <c r="M793" s="26"/>
      <c r="N793" s="26"/>
      <c r="O793" s="68"/>
      <c r="P793" s="1"/>
      <c r="Q793" s="8"/>
      <c r="R793" s="66"/>
      <c r="S793" s="1"/>
      <c r="T793" s="66"/>
      <c r="U793" s="8"/>
      <c r="V793" s="56"/>
      <c r="W793" s="1"/>
      <c r="X793" s="1"/>
      <c r="Y793" s="1"/>
    </row>
    <row r="794" spans="1:25">
      <c r="A794" s="57"/>
      <c r="B794" s="68"/>
      <c r="C794" s="68"/>
      <c r="D794" s="68"/>
      <c r="E794" s="68"/>
      <c r="F794" s="68"/>
      <c r="G794" s="68"/>
      <c r="H794" s="68"/>
      <c r="I794" s="68"/>
      <c r="J794" s="68"/>
      <c r="K794" s="68"/>
      <c r="L794" s="56"/>
      <c r="M794" s="26"/>
      <c r="N794" s="26"/>
      <c r="O794" s="68"/>
      <c r="P794" s="1"/>
      <c r="Q794" s="8"/>
      <c r="R794" s="66"/>
      <c r="S794" s="1"/>
      <c r="T794" s="66"/>
      <c r="U794" s="8"/>
      <c r="V794" s="56"/>
      <c r="W794" s="1"/>
      <c r="X794" s="1"/>
      <c r="Y794" s="1"/>
    </row>
    <row r="795" spans="1:25">
      <c r="A795" s="57"/>
      <c r="B795" s="68"/>
      <c r="C795" s="68"/>
      <c r="D795" s="68"/>
      <c r="E795" s="68"/>
      <c r="F795" s="68"/>
      <c r="G795" s="68"/>
      <c r="H795" s="68"/>
      <c r="I795" s="68"/>
      <c r="J795" s="68"/>
      <c r="K795" s="68"/>
      <c r="L795" s="56"/>
      <c r="M795" s="26"/>
      <c r="N795" s="26"/>
      <c r="O795" s="68"/>
      <c r="P795" s="1"/>
      <c r="Q795" s="8"/>
      <c r="R795" s="66"/>
      <c r="S795" s="1"/>
      <c r="T795" s="66"/>
      <c r="U795" s="8"/>
      <c r="V795" s="56"/>
      <c r="W795" s="1"/>
      <c r="X795" s="1"/>
      <c r="Y795" s="1"/>
    </row>
    <row r="796" spans="1:25">
      <c r="A796" s="57"/>
      <c r="B796" s="68"/>
      <c r="C796" s="68"/>
      <c r="D796" s="68"/>
      <c r="E796" s="68"/>
      <c r="F796" s="68"/>
      <c r="G796" s="68"/>
      <c r="H796" s="68"/>
      <c r="I796" s="68"/>
      <c r="J796" s="68"/>
      <c r="K796" s="68"/>
      <c r="L796" s="56"/>
      <c r="M796" s="26"/>
      <c r="N796" s="26"/>
      <c r="O796" s="68"/>
      <c r="P796" s="1"/>
      <c r="Q796" s="8"/>
      <c r="R796" s="66"/>
      <c r="S796" s="1"/>
      <c r="T796" s="66"/>
      <c r="U796" s="8"/>
      <c r="V796" s="56"/>
      <c r="W796" s="1"/>
      <c r="X796" s="1"/>
      <c r="Y796" s="1"/>
    </row>
    <row r="797" spans="1:25">
      <c r="A797" s="57"/>
      <c r="B797" s="68"/>
      <c r="C797" s="68"/>
      <c r="D797" s="68"/>
      <c r="E797" s="68"/>
      <c r="F797" s="68"/>
      <c r="G797" s="68"/>
      <c r="H797" s="68"/>
      <c r="I797" s="68"/>
      <c r="J797" s="68"/>
      <c r="K797" s="68"/>
      <c r="L797" s="56"/>
      <c r="M797" s="26"/>
      <c r="N797" s="26"/>
      <c r="O797" s="68"/>
      <c r="P797" s="1"/>
      <c r="Q797" s="8"/>
      <c r="R797" s="66"/>
      <c r="S797" s="1"/>
      <c r="T797" s="66"/>
      <c r="U797" s="8"/>
      <c r="V797" s="56"/>
      <c r="W797" s="1"/>
      <c r="X797" s="1"/>
      <c r="Y797" s="1"/>
    </row>
    <row r="798" spans="1:25">
      <c r="A798" s="57"/>
      <c r="B798" s="68"/>
      <c r="C798" s="68"/>
      <c r="D798" s="68"/>
      <c r="E798" s="68"/>
      <c r="F798" s="68"/>
      <c r="G798" s="68"/>
      <c r="H798" s="68"/>
      <c r="I798" s="68"/>
      <c r="J798" s="68"/>
      <c r="K798" s="68"/>
      <c r="L798" s="56"/>
      <c r="M798" s="26"/>
      <c r="N798" s="26"/>
      <c r="O798" s="68"/>
      <c r="P798" s="1"/>
      <c r="Q798" s="8"/>
      <c r="R798" s="66"/>
      <c r="S798" s="1"/>
      <c r="T798" s="66"/>
      <c r="U798" s="8"/>
      <c r="V798" s="56"/>
      <c r="W798" s="1"/>
      <c r="X798" s="1"/>
      <c r="Y798" s="1"/>
    </row>
    <row r="799" spans="1:25">
      <c r="A799" s="57"/>
      <c r="B799" s="68"/>
      <c r="C799" s="68"/>
      <c r="D799" s="68"/>
      <c r="E799" s="68"/>
      <c r="F799" s="68"/>
      <c r="G799" s="68"/>
      <c r="H799" s="68"/>
      <c r="I799" s="68"/>
      <c r="J799" s="68"/>
      <c r="K799" s="68"/>
      <c r="L799" s="56"/>
      <c r="M799" s="26"/>
      <c r="N799" s="26"/>
      <c r="O799" s="68"/>
      <c r="P799" s="1"/>
      <c r="Q799" s="8"/>
      <c r="R799" s="66"/>
      <c r="S799" s="1"/>
      <c r="T799" s="66"/>
      <c r="U799" s="8"/>
      <c r="V799" s="56"/>
      <c r="W799" s="1"/>
      <c r="X799" s="1"/>
      <c r="Y799" s="1"/>
    </row>
    <row r="800" spans="1:25">
      <c r="A800" s="57"/>
      <c r="B800" s="68"/>
      <c r="C800" s="68"/>
      <c r="D800" s="68"/>
      <c r="E800" s="68"/>
      <c r="F800" s="68"/>
      <c r="G800" s="68"/>
      <c r="H800" s="68"/>
      <c r="I800" s="68"/>
      <c r="J800" s="68"/>
      <c r="K800" s="68"/>
      <c r="L800" s="56"/>
      <c r="M800" s="26"/>
      <c r="N800" s="26"/>
      <c r="O800" s="68"/>
      <c r="P800" s="1"/>
      <c r="Q800" s="8"/>
      <c r="R800" s="66"/>
      <c r="S800" s="1"/>
      <c r="T800" s="66"/>
      <c r="U800" s="8"/>
      <c r="V800" s="56"/>
      <c r="W800" s="1"/>
      <c r="X800" s="1"/>
      <c r="Y800" s="1"/>
    </row>
    <row r="801" spans="1:25">
      <c r="A801" s="57"/>
      <c r="B801" s="68"/>
      <c r="C801" s="68"/>
      <c r="D801" s="68"/>
      <c r="E801" s="68"/>
      <c r="F801" s="68"/>
      <c r="G801" s="68"/>
      <c r="H801" s="68"/>
      <c r="I801" s="68"/>
      <c r="J801" s="68"/>
      <c r="K801" s="68"/>
      <c r="L801" s="56"/>
      <c r="M801" s="26"/>
      <c r="N801" s="26"/>
      <c r="O801" s="68"/>
      <c r="P801" s="1"/>
      <c r="Q801" s="8"/>
      <c r="R801" s="66"/>
      <c r="S801" s="1"/>
      <c r="T801" s="66"/>
      <c r="U801" s="8"/>
      <c r="V801" s="56"/>
      <c r="W801" s="1"/>
      <c r="X801" s="1"/>
      <c r="Y801" s="1"/>
    </row>
    <row r="802" spans="1:25">
      <c r="A802" s="57"/>
      <c r="B802" s="68"/>
      <c r="C802" s="68"/>
      <c r="D802" s="68"/>
      <c r="E802" s="68"/>
      <c r="F802" s="68"/>
      <c r="G802" s="68"/>
      <c r="H802" s="68"/>
      <c r="I802" s="68"/>
      <c r="J802" s="68"/>
      <c r="K802" s="68"/>
      <c r="L802" s="56"/>
      <c r="M802" s="26"/>
      <c r="N802" s="26"/>
      <c r="O802" s="68"/>
      <c r="P802" s="1"/>
      <c r="Q802" s="8"/>
      <c r="R802" s="66"/>
      <c r="S802" s="1"/>
      <c r="T802" s="66"/>
      <c r="U802" s="8"/>
      <c r="V802" s="56"/>
      <c r="W802" s="1"/>
      <c r="X802" s="1"/>
      <c r="Y802" s="1"/>
    </row>
    <row r="803" spans="1:25">
      <c r="A803" s="57"/>
      <c r="B803" s="68"/>
      <c r="C803" s="68"/>
      <c r="D803" s="68"/>
      <c r="E803" s="68"/>
      <c r="F803" s="68"/>
      <c r="G803" s="68"/>
      <c r="H803" s="68"/>
      <c r="I803" s="68"/>
      <c r="J803" s="68"/>
      <c r="K803" s="68"/>
      <c r="L803" s="56"/>
      <c r="M803" s="26"/>
      <c r="N803" s="26"/>
      <c r="O803" s="68"/>
      <c r="P803" s="1"/>
      <c r="Q803" s="8"/>
      <c r="R803" s="66"/>
      <c r="S803" s="1"/>
      <c r="T803" s="66"/>
      <c r="U803" s="8"/>
      <c r="V803" s="56"/>
      <c r="W803" s="1"/>
      <c r="X803" s="1"/>
      <c r="Y803" s="1"/>
    </row>
    <row r="804" spans="1:25">
      <c r="A804" s="57"/>
      <c r="B804" s="68"/>
      <c r="C804" s="68"/>
      <c r="D804" s="68"/>
      <c r="E804" s="68"/>
      <c r="F804" s="68"/>
      <c r="G804" s="68"/>
      <c r="H804" s="68"/>
      <c r="I804" s="68"/>
      <c r="J804" s="68"/>
      <c r="K804" s="68"/>
      <c r="L804" s="56"/>
      <c r="M804" s="26"/>
      <c r="N804" s="26"/>
      <c r="O804" s="68"/>
      <c r="P804" s="1"/>
      <c r="Q804" s="8"/>
      <c r="R804" s="66"/>
      <c r="S804" s="1"/>
      <c r="T804" s="66"/>
      <c r="U804" s="8"/>
      <c r="V804" s="56"/>
      <c r="W804" s="1"/>
      <c r="X804" s="1"/>
      <c r="Y804" s="1"/>
    </row>
    <row r="805" spans="1:25">
      <c r="A805" s="57"/>
      <c r="B805" s="68"/>
      <c r="C805" s="68"/>
      <c r="D805" s="68"/>
      <c r="E805" s="68"/>
      <c r="F805" s="68"/>
      <c r="G805" s="68"/>
      <c r="H805" s="68"/>
      <c r="I805" s="68"/>
      <c r="J805" s="68"/>
      <c r="K805" s="68"/>
      <c r="L805" s="56"/>
      <c r="M805" s="26"/>
      <c r="N805" s="26"/>
      <c r="O805" s="68"/>
      <c r="P805" s="1"/>
      <c r="Q805" s="8"/>
      <c r="R805" s="66"/>
      <c r="S805" s="1"/>
      <c r="T805" s="66"/>
      <c r="U805" s="8"/>
      <c r="V805" s="56"/>
      <c r="W805" s="1"/>
      <c r="X805" s="1"/>
      <c r="Y805" s="1"/>
    </row>
    <row r="806" spans="1:25">
      <c r="A806" s="57"/>
      <c r="B806" s="68"/>
      <c r="C806" s="68"/>
      <c r="D806" s="68"/>
      <c r="E806" s="68"/>
      <c r="F806" s="68"/>
      <c r="G806" s="68"/>
      <c r="H806" s="68"/>
      <c r="I806" s="68"/>
      <c r="J806" s="68"/>
      <c r="K806" s="68"/>
      <c r="L806" s="56"/>
      <c r="M806" s="26"/>
      <c r="N806" s="26"/>
      <c r="O806" s="68"/>
      <c r="P806" s="1"/>
      <c r="Q806" s="8"/>
      <c r="R806" s="66"/>
      <c r="S806" s="1"/>
      <c r="T806" s="66"/>
      <c r="U806" s="8"/>
      <c r="V806" s="56"/>
      <c r="W806" s="1"/>
      <c r="X806" s="1"/>
      <c r="Y806" s="1"/>
    </row>
    <row r="807" spans="1:25">
      <c r="A807" s="57"/>
      <c r="B807" s="68"/>
      <c r="C807" s="68"/>
      <c r="D807" s="68"/>
      <c r="E807" s="68"/>
      <c r="F807" s="68"/>
      <c r="G807" s="68"/>
      <c r="H807" s="68"/>
      <c r="I807" s="68"/>
      <c r="J807" s="68"/>
      <c r="K807" s="68"/>
      <c r="L807" s="56"/>
      <c r="M807" s="26"/>
      <c r="N807" s="26"/>
      <c r="O807" s="68"/>
      <c r="P807" s="1"/>
      <c r="Q807" s="8"/>
      <c r="R807" s="66"/>
      <c r="S807" s="1"/>
      <c r="T807" s="66"/>
      <c r="U807" s="8"/>
      <c r="V807" s="56"/>
      <c r="W807" s="1"/>
      <c r="X807" s="1"/>
      <c r="Y807" s="1"/>
    </row>
    <row r="808" spans="1:25">
      <c r="A808" s="57"/>
      <c r="B808" s="68"/>
      <c r="C808" s="68"/>
      <c r="D808" s="68"/>
      <c r="E808" s="68"/>
      <c r="F808" s="68"/>
      <c r="G808" s="68"/>
      <c r="H808" s="68"/>
      <c r="I808" s="68"/>
      <c r="J808" s="68"/>
      <c r="K808" s="68"/>
      <c r="L808" s="56"/>
      <c r="M808" s="26"/>
      <c r="N808" s="26"/>
      <c r="O808" s="68"/>
      <c r="P808" s="1"/>
      <c r="Q808" s="8"/>
      <c r="R808" s="66"/>
      <c r="S808" s="1"/>
      <c r="T808" s="66"/>
      <c r="U808" s="8"/>
      <c r="V808" s="56"/>
      <c r="W808" s="1"/>
      <c r="X808" s="1"/>
      <c r="Y808" s="1"/>
    </row>
    <row r="809" spans="1:25">
      <c r="A809" s="57"/>
      <c r="B809" s="68"/>
      <c r="C809" s="68"/>
      <c r="D809" s="68"/>
      <c r="E809" s="68"/>
      <c r="F809" s="68"/>
      <c r="G809" s="68"/>
      <c r="H809" s="68"/>
      <c r="I809" s="68"/>
      <c r="J809" s="68"/>
      <c r="K809" s="68"/>
      <c r="L809" s="56"/>
      <c r="M809" s="26"/>
      <c r="N809" s="26"/>
      <c r="O809" s="68"/>
      <c r="P809" s="1"/>
      <c r="Q809" s="8"/>
      <c r="R809" s="66"/>
      <c r="S809" s="1"/>
      <c r="T809" s="66"/>
      <c r="U809" s="8"/>
      <c r="V809" s="56"/>
      <c r="W809" s="1"/>
      <c r="X809" s="1"/>
      <c r="Y809" s="1"/>
    </row>
    <row r="810" spans="1:25">
      <c r="A810" s="57"/>
      <c r="B810" s="68"/>
      <c r="C810" s="68"/>
      <c r="D810" s="68"/>
      <c r="E810" s="68"/>
      <c r="F810" s="68"/>
      <c r="G810" s="68"/>
      <c r="H810" s="68"/>
      <c r="I810" s="68"/>
      <c r="J810" s="68"/>
      <c r="K810" s="68"/>
      <c r="L810" s="56"/>
      <c r="M810" s="26"/>
      <c r="N810" s="26"/>
      <c r="O810" s="68"/>
      <c r="P810" s="1"/>
      <c r="Q810" s="8"/>
      <c r="R810" s="66"/>
      <c r="S810" s="1"/>
      <c r="T810" s="66"/>
      <c r="U810" s="8"/>
      <c r="V810" s="56"/>
      <c r="W810" s="1"/>
      <c r="X810" s="1"/>
      <c r="Y810" s="1"/>
    </row>
    <row r="811" spans="1:25">
      <c r="A811" s="57"/>
      <c r="B811" s="68"/>
      <c r="C811" s="68"/>
      <c r="D811" s="68"/>
      <c r="E811" s="68"/>
      <c r="F811" s="68"/>
      <c r="G811" s="68"/>
      <c r="H811" s="68"/>
      <c r="I811" s="68"/>
      <c r="J811" s="68"/>
      <c r="K811" s="68"/>
      <c r="L811" s="56"/>
      <c r="M811" s="26"/>
      <c r="N811" s="26"/>
      <c r="O811" s="68"/>
      <c r="P811" s="1"/>
      <c r="Q811" s="8"/>
      <c r="R811" s="66"/>
      <c r="S811" s="1"/>
      <c r="T811" s="66"/>
      <c r="U811" s="8"/>
      <c r="V811" s="56"/>
      <c r="W811" s="1"/>
      <c r="X811" s="1"/>
      <c r="Y811" s="1"/>
    </row>
    <row r="812" spans="1:25">
      <c r="A812" s="57"/>
      <c r="B812" s="68"/>
      <c r="C812" s="68"/>
      <c r="D812" s="68"/>
      <c r="E812" s="68"/>
      <c r="F812" s="68"/>
      <c r="G812" s="68"/>
      <c r="H812" s="68"/>
      <c r="I812" s="68"/>
      <c r="J812" s="68"/>
      <c r="K812" s="68"/>
      <c r="L812" s="56"/>
      <c r="M812" s="26"/>
      <c r="N812" s="26"/>
      <c r="O812" s="68"/>
      <c r="P812" s="1"/>
      <c r="Q812" s="8"/>
      <c r="R812" s="66"/>
      <c r="S812" s="1"/>
      <c r="T812" s="66"/>
      <c r="U812" s="8"/>
      <c r="V812" s="56"/>
      <c r="W812" s="1"/>
      <c r="X812" s="1"/>
      <c r="Y812" s="1"/>
    </row>
    <row r="813" spans="1:25">
      <c r="A813" s="57"/>
      <c r="B813" s="68"/>
      <c r="C813" s="68"/>
      <c r="D813" s="68"/>
      <c r="E813" s="68"/>
      <c r="F813" s="68"/>
      <c r="G813" s="68"/>
      <c r="H813" s="68"/>
      <c r="I813" s="68"/>
      <c r="J813" s="68"/>
      <c r="K813" s="68"/>
      <c r="L813" s="56"/>
      <c r="M813" s="26"/>
      <c r="N813" s="26"/>
      <c r="O813" s="68"/>
      <c r="P813" s="1"/>
      <c r="Q813" s="8"/>
      <c r="R813" s="66"/>
      <c r="S813" s="1"/>
      <c r="T813" s="66"/>
      <c r="U813" s="8"/>
      <c r="V813" s="56"/>
      <c r="W813" s="1"/>
      <c r="X813" s="1"/>
      <c r="Y813" s="1"/>
    </row>
    <row r="814" spans="1:25">
      <c r="A814" s="57"/>
      <c r="B814" s="68"/>
      <c r="C814" s="68"/>
      <c r="D814" s="68"/>
      <c r="E814" s="68"/>
      <c r="F814" s="68"/>
      <c r="G814" s="68"/>
      <c r="H814" s="68"/>
      <c r="I814" s="68"/>
      <c r="J814" s="68"/>
      <c r="K814" s="68"/>
      <c r="L814" s="56"/>
      <c r="M814" s="26"/>
      <c r="N814" s="26"/>
      <c r="O814" s="68"/>
      <c r="P814" s="1"/>
      <c r="Q814" s="8"/>
      <c r="R814" s="66"/>
      <c r="S814" s="1"/>
      <c r="T814" s="66"/>
      <c r="U814" s="8"/>
      <c r="V814" s="56"/>
      <c r="W814" s="1"/>
      <c r="X814" s="1"/>
      <c r="Y814" s="1"/>
    </row>
    <row r="815" spans="1:25">
      <c r="A815" s="57"/>
      <c r="B815" s="68"/>
      <c r="C815" s="68"/>
      <c r="D815" s="68"/>
      <c r="E815" s="68"/>
      <c r="F815" s="68"/>
      <c r="G815" s="68"/>
      <c r="H815" s="68"/>
      <c r="I815" s="68"/>
      <c r="J815" s="68"/>
      <c r="K815" s="68"/>
      <c r="L815" s="56"/>
      <c r="M815" s="26"/>
      <c r="N815" s="26"/>
      <c r="O815" s="68"/>
      <c r="P815" s="1"/>
      <c r="Q815" s="8"/>
      <c r="R815" s="66"/>
      <c r="S815" s="1"/>
      <c r="T815" s="66"/>
      <c r="U815" s="8"/>
      <c r="V815" s="56"/>
      <c r="W815" s="1"/>
      <c r="X815" s="1"/>
      <c r="Y815" s="1"/>
    </row>
    <row r="816" spans="1:25">
      <c r="A816" s="57"/>
      <c r="B816" s="68"/>
      <c r="C816" s="68"/>
      <c r="D816" s="68"/>
      <c r="E816" s="68"/>
      <c r="F816" s="68"/>
      <c r="G816" s="68"/>
      <c r="H816" s="68"/>
      <c r="I816" s="68"/>
      <c r="J816" s="68"/>
      <c r="K816" s="68"/>
      <c r="L816" s="56"/>
      <c r="M816" s="26"/>
      <c r="N816" s="26"/>
      <c r="O816" s="68"/>
      <c r="P816" s="1"/>
      <c r="Q816" s="8"/>
      <c r="R816" s="66"/>
      <c r="S816" s="1"/>
      <c r="T816" s="66"/>
      <c r="U816" s="8"/>
      <c r="V816" s="56"/>
      <c r="W816" s="1"/>
      <c r="X816" s="1"/>
      <c r="Y816" s="1"/>
    </row>
    <row r="817" spans="1:25">
      <c r="A817" s="57"/>
      <c r="B817" s="68"/>
      <c r="C817" s="68"/>
      <c r="D817" s="68"/>
      <c r="E817" s="68"/>
      <c r="F817" s="68"/>
      <c r="G817" s="68"/>
      <c r="H817" s="68"/>
      <c r="I817" s="68"/>
      <c r="J817" s="68"/>
      <c r="K817" s="68"/>
      <c r="L817" s="56"/>
      <c r="M817" s="26"/>
      <c r="N817" s="26"/>
      <c r="O817" s="68"/>
      <c r="P817" s="1"/>
      <c r="Q817" s="8"/>
      <c r="R817" s="66"/>
      <c r="S817" s="1"/>
      <c r="T817" s="66"/>
      <c r="U817" s="8"/>
      <c r="V817" s="56"/>
      <c r="W817" s="1"/>
      <c r="X817" s="1"/>
      <c r="Y817" s="1"/>
    </row>
    <row r="818" spans="1:25">
      <c r="A818" s="57"/>
      <c r="B818" s="68"/>
      <c r="C818" s="68"/>
      <c r="D818" s="68"/>
      <c r="E818" s="68"/>
      <c r="F818" s="68"/>
      <c r="G818" s="68"/>
      <c r="H818" s="68"/>
      <c r="I818" s="68"/>
      <c r="J818" s="68"/>
      <c r="K818" s="68"/>
      <c r="L818" s="56"/>
      <c r="M818" s="26"/>
      <c r="N818" s="26"/>
      <c r="O818" s="68"/>
      <c r="P818" s="1"/>
      <c r="Q818" s="8"/>
      <c r="R818" s="66"/>
      <c r="S818" s="1"/>
      <c r="T818" s="66"/>
      <c r="U818" s="8"/>
      <c r="V818" s="56"/>
      <c r="W818" s="1"/>
      <c r="X818" s="1"/>
      <c r="Y818" s="1"/>
    </row>
    <row r="819" spans="1:25">
      <c r="A819" s="57"/>
      <c r="B819" s="68"/>
      <c r="C819" s="68"/>
      <c r="D819" s="68"/>
      <c r="E819" s="68"/>
      <c r="F819" s="68"/>
      <c r="G819" s="68"/>
      <c r="H819" s="68"/>
      <c r="I819" s="68"/>
      <c r="J819" s="68"/>
      <c r="K819" s="68"/>
      <c r="L819" s="56"/>
      <c r="M819" s="26"/>
      <c r="N819" s="26"/>
      <c r="O819" s="68"/>
      <c r="P819" s="1"/>
      <c r="Q819" s="8"/>
      <c r="R819" s="66"/>
      <c r="S819" s="1"/>
      <c r="T819" s="66"/>
      <c r="U819" s="8"/>
      <c r="V819" s="56"/>
      <c r="W819" s="1"/>
      <c r="X819" s="1"/>
      <c r="Y819" s="1"/>
    </row>
    <row r="820" spans="1:25">
      <c r="A820" s="57"/>
      <c r="B820" s="68"/>
      <c r="C820" s="68"/>
      <c r="D820" s="68"/>
      <c r="E820" s="68"/>
      <c r="F820" s="68"/>
      <c r="G820" s="68"/>
      <c r="H820" s="68"/>
      <c r="I820" s="68"/>
      <c r="J820" s="68"/>
      <c r="K820" s="68"/>
      <c r="L820" s="56"/>
      <c r="M820" s="26"/>
      <c r="N820" s="26"/>
      <c r="O820" s="68"/>
      <c r="P820" s="1"/>
      <c r="Q820" s="8"/>
      <c r="R820" s="66"/>
      <c r="S820" s="1"/>
      <c r="T820" s="66"/>
      <c r="U820" s="8"/>
      <c r="V820" s="56"/>
      <c r="W820" s="1"/>
      <c r="X820" s="1"/>
      <c r="Y820" s="1"/>
    </row>
    <row r="821" spans="1:25">
      <c r="A821" s="57"/>
      <c r="B821" s="68"/>
      <c r="C821" s="68"/>
      <c r="D821" s="68"/>
      <c r="E821" s="68"/>
      <c r="F821" s="68"/>
      <c r="G821" s="68"/>
      <c r="H821" s="68"/>
      <c r="I821" s="68"/>
      <c r="J821" s="68"/>
      <c r="K821" s="68"/>
      <c r="L821" s="56"/>
      <c r="M821" s="26"/>
      <c r="N821" s="26"/>
      <c r="O821" s="68"/>
      <c r="P821" s="1"/>
      <c r="Q821" s="8"/>
      <c r="R821" s="66"/>
      <c r="S821" s="1"/>
      <c r="T821" s="66"/>
      <c r="U821" s="8"/>
      <c r="V821" s="56"/>
      <c r="W821" s="1"/>
      <c r="X821" s="1"/>
      <c r="Y821" s="1"/>
    </row>
    <row r="822" spans="1:25">
      <c r="A822" s="57"/>
      <c r="B822" s="68"/>
      <c r="C822" s="68"/>
      <c r="D822" s="68"/>
      <c r="E822" s="68"/>
      <c r="F822" s="68"/>
      <c r="G822" s="68"/>
      <c r="H822" s="68"/>
      <c r="I822" s="68"/>
      <c r="J822" s="68"/>
      <c r="K822" s="68"/>
      <c r="L822" s="56"/>
      <c r="M822" s="26"/>
      <c r="N822" s="26"/>
      <c r="O822" s="68"/>
      <c r="P822" s="1"/>
      <c r="Q822" s="8"/>
      <c r="R822" s="66"/>
      <c r="S822" s="1"/>
      <c r="T822" s="66"/>
      <c r="U822" s="8"/>
      <c r="V822" s="56"/>
      <c r="W822" s="1"/>
      <c r="X822" s="1"/>
      <c r="Y822" s="1"/>
    </row>
    <row r="823" spans="1:25">
      <c r="A823" s="57"/>
      <c r="B823" s="68"/>
      <c r="C823" s="68"/>
      <c r="D823" s="68"/>
      <c r="E823" s="68"/>
      <c r="F823" s="68"/>
      <c r="G823" s="68"/>
      <c r="H823" s="68"/>
      <c r="I823" s="68"/>
      <c r="J823" s="68"/>
      <c r="K823" s="68"/>
      <c r="L823" s="56"/>
      <c r="M823" s="26"/>
      <c r="N823" s="26"/>
      <c r="O823" s="68"/>
      <c r="P823" s="1"/>
      <c r="Q823" s="8"/>
      <c r="R823" s="66"/>
      <c r="S823" s="1"/>
      <c r="T823" s="66"/>
      <c r="U823" s="8"/>
      <c r="V823" s="56"/>
      <c r="W823" s="1"/>
      <c r="X823" s="1"/>
      <c r="Y823" s="1"/>
    </row>
    <row r="824" spans="1:25">
      <c r="A824" s="57"/>
      <c r="B824" s="68"/>
      <c r="C824" s="68"/>
      <c r="D824" s="68"/>
      <c r="E824" s="68"/>
      <c r="F824" s="68"/>
      <c r="G824" s="68"/>
      <c r="H824" s="68"/>
      <c r="I824" s="68"/>
      <c r="J824" s="68"/>
      <c r="K824" s="68"/>
      <c r="L824" s="56"/>
      <c r="M824" s="26"/>
      <c r="N824" s="26"/>
      <c r="O824" s="68"/>
      <c r="P824" s="1"/>
      <c r="Q824" s="8"/>
      <c r="R824" s="66"/>
      <c r="S824" s="1"/>
      <c r="T824" s="66"/>
      <c r="U824" s="8"/>
      <c r="V824" s="56"/>
      <c r="W824" s="1"/>
      <c r="X824" s="1"/>
      <c r="Y824" s="1"/>
    </row>
    <row r="825" spans="1:25">
      <c r="A825" s="57"/>
      <c r="B825" s="68"/>
      <c r="C825" s="68"/>
      <c r="D825" s="68"/>
      <c r="E825" s="68"/>
      <c r="F825" s="68"/>
      <c r="G825" s="68"/>
      <c r="H825" s="68"/>
      <c r="I825" s="68"/>
      <c r="J825" s="68"/>
      <c r="K825" s="68"/>
      <c r="L825" s="56"/>
      <c r="M825" s="26"/>
      <c r="N825" s="26"/>
      <c r="O825" s="68"/>
      <c r="P825" s="1"/>
      <c r="Q825" s="8"/>
      <c r="R825" s="66"/>
      <c r="S825" s="1"/>
      <c r="T825" s="66"/>
      <c r="U825" s="8"/>
      <c r="V825" s="56"/>
      <c r="W825" s="1"/>
      <c r="X825" s="1"/>
      <c r="Y825" s="1"/>
    </row>
    <row r="826" spans="1:25">
      <c r="A826" s="57"/>
      <c r="B826" s="68"/>
      <c r="C826" s="68"/>
      <c r="D826" s="68"/>
      <c r="E826" s="68"/>
      <c r="F826" s="68"/>
      <c r="G826" s="68"/>
      <c r="H826" s="68"/>
      <c r="I826" s="68"/>
      <c r="J826" s="68"/>
      <c r="K826" s="68"/>
      <c r="L826" s="56"/>
      <c r="M826" s="26"/>
      <c r="N826" s="26"/>
      <c r="O826" s="68"/>
      <c r="P826" s="1"/>
      <c r="Q826" s="8"/>
      <c r="R826" s="66"/>
      <c r="S826" s="1"/>
      <c r="T826" s="66"/>
      <c r="U826" s="8"/>
      <c r="V826" s="56"/>
      <c r="W826" s="1"/>
      <c r="X826" s="1"/>
      <c r="Y826" s="1"/>
    </row>
    <row r="827" spans="1:25">
      <c r="A827" s="57"/>
      <c r="B827" s="68"/>
      <c r="C827" s="68"/>
      <c r="D827" s="68"/>
      <c r="E827" s="68"/>
      <c r="F827" s="68"/>
      <c r="G827" s="68"/>
      <c r="H827" s="68"/>
      <c r="I827" s="68"/>
      <c r="J827" s="68"/>
      <c r="K827" s="68"/>
      <c r="L827" s="56"/>
      <c r="M827" s="26"/>
      <c r="N827" s="26"/>
      <c r="O827" s="68"/>
      <c r="P827" s="1"/>
      <c r="Q827" s="8"/>
      <c r="R827" s="66"/>
      <c r="S827" s="1"/>
      <c r="T827" s="66"/>
      <c r="U827" s="8"/>
      <c r="V827" s="56"/>
      <c r="W827" s="1"/>
      <c r="X827" s="1"/>
      <c r="Y827" s="1"/>
    </row>
    <row r="828" spans="1:25">
      <c r="A828" s="57"/>
      <c r="B828" s="68"/>
      <c r="C828" s="68"/>
      <c r="D828" s="68"/>
      <c r="E828" s="68"/>
      <c r="F828" s="68"/>
      <c r="G828" s="68"/>
      <c r="H828" s="68"/>
      <c r="I828" s="68"/>
      <c r="J828" s="68"/>
      <c r="K828" s="68"/>
      <c r="L828" s="56"/>
      <c r="M828" s="26"/>
      <c r="N828" s="26"/>
      <c r="O828" s="68"/>
      <c r="P828" s="1"/>
      <c r="Q828" s="8"/>
      <c r="R828" s="66"/>
      <c r="S828" s="1"/>
      <c r="T828" s="66"/>
      <c r="U828" s="8"/>
      <c r="V828" s="56"/>
      <c r="W828" s="1"/>
      <c r="X828" s="1"/>
      <c r="Y828" s="1"/>
    </row>
    <row r="829" spans="1:25">
      <c r="A829" s="57"/>
      <c r="B829" s="68"/>
      <c r="C829" s="68"/>
      <c r="D829" s="68"/>
      <c r="E829" s="68"/>
      <c r="F829" s="68"/>
      <c r="G829" s="68"/>
      <c r="H829" s="68"/>
      <c r="I829" s="68"/>
      <c r="J829" s="68"/>
      <c r="K829" s="68"/>
      <c r="L829" s="56"/>
      <c r="M829" s="26"/>
      <c r="N829" s="26"/>
      <c r="O829" s="68"/>
      <c r="P829" s="1"/>
      <c r="Q829" s="8"/>
      <c r="R829" s="66"/>
      <c r="S829" s="1"/>
      <c r="T829" s="66"/>
      <c r="U829" s="8"/>
      <c r="V829" s="56"/>
      <c r="W829" s="1"/>
      <c r="X829" s="1"/>
      <c r="Y829" s="1"/>
    </row>
    <row r="830" spans="1:25">
      <c r="A830" s="57"/>
      <c r="B830" s="68"/>
      <c r="C830" s="68"/>
      <c r="D830" s="68"/>
      <c r="E830" s="68"/>
      <c r="F830" s="68"/>
      <c r="G830" s="68"/>
      <c r="H830" s="68"/>
      <c r="I830" s="68"/>
      <c r="J830" s="68"/>
      <c r="K830" s="68"/>
      <c r="L830" s="56"/>
      <c r="M830" s="26"/>
      <c r="N830" s="26"/>
      <c r="O830" s="68"/>
      <c r="P830" s="1"/>
      <c r="Q830" s="8"/>
      <c r="R830" s="66"/>
      <c r="S830" s="1"/>
      <c r="T830" s="66"/>
      <c r="U830" s="8"/>
      <c r="V830" s="56"/>
      <c r="W830" s="1"/>
      <c r="X830" s="1"/>
      <c r="Y830" s="1"/>
    </row>
    <row r="831" spans="1:25">
      <c r="A831" s="57"/>
      <c r="B831" s="68"/>
      <c r="C831" s="68"/>
      <c r="D831" s="68"/>
      <c r="E831" s="68"/>
      <c r="F831" s="68"/>
      <c r="G831" s="68"/>
      <c r="H831" s="68"/>
      <c r="I831" s="68"/>
      <c r="J831" s="68"/>
      <c r="K831" s="68"/>
      <c r="L831" s="56"/>
      <c r="M831" s="26"/>
      <c r="N831" s="26"/>
      <c r="O831" s="68"/>
      <c r="P831" s="1"/>
      <c r="Q831" s="8"/>
      <c r="R831" s="66"/>
      <c r="S831" s="1"/>
      <c r="T831" s="66"/>
      <c r="U831" s="8"/>
      <c r="V831" s="56"/>
      <c r="W831" s="1"/>
      <c r="X831" s="1"/>
      <c r="Y831" s="1"/>
    </row>
    <row r="832" spans="1:25">
      <c r="A832" s="57"/>
      <c r="B832" s="68"/>
      <c r="C832" s="68"/>
      <c r="D832" s="68"/>
      <c r="E832" s="68"/>
      <c r="F832" s="68"/>
      <c r="G832" s="68"/>
      <c r="H832" s="68"/>
      <c r="I832" s="68"/>
      <c r="J832" s="68"/>
      <c r="K832" s="68"/>
      <c r="L832" s="56"/>
      <c r="M832" s="26"/>
      <c r="N832" s="26"/>
      <c r="O832" s="68"/>
      <c r="P832" s="1"/>
      <c r="Q832" s="8"/>
      <c r="R832" s="66"/>
      <c r="S832" s="1"/>
      <c r="T832" s="66"/>
      <c r="U832" s="8"/>
      <c r="V832" s="56"/>
      <c r="W832" s="1"/>
      <c r="X832" s="1"/>
      <c r="Y832" s="1"/>
    </row>
    <row r="833" spans="1:25">
      <c r="A833" s="57"/>
      <c r="B833" s="68"/>
      <c r="C833" s="68"/>
      <c r="D833" s="68"/>
      <c r="E833" s="68"/>
      <c r="F833" s="68"/>
      <c r="G833" s="68"/>
      <c r="H833" s="68"/>
      <c r="I833" s="68"/>
      <c r="J833" s="68"/>
      <c r="K833" s="68"/>
      <c r="L833" s="56"/>
      <c r="M833" s="26"/>
      <c r="N833" s="26"/>
      <c r="O833" s="68"/>
      <c r="P833" s="1"/>
      <c r="Q833" s="8"/>
      <c r="R833" s="66"/>
      <c r="S833" s="1"/>
      <c r="T833" s="66"/>
      <c r="U833" s="8"/>
      <c r="V833" s="56"/>
      <c r="W833" s="1"/>
      <c r="X833" s="1"/>
      <c r="Y833" s="1"/>
    </row>
    <row r="834" spans="1:25">
      <c r="A834" s="57"/>
      <c r="B834" s="68"/>
      <c r="C834" s="68"/>
      <c r="D834" s="68"/>
      <c r="E834" s="68"/>
      <c r="F834" s="68"/>
      <c r="G834" s="68"/>
      <c r="H834" s="68"/>
      <c r="I834" s="68"/>
      <c r="J834" s="68"/>
      <c r="K834" s="68"/>
      <c r="L834" s="56"/>
      <c r="M834" s="26"/>
      <c r="N834" s="26"/>
      <c r="O834" s="68"/>
      <c r="P834" s="1"/>
      <c r="Q834" s="8"/>
      <c r="R834" s="66"/>
      <c r="S834" s="1"/>
      <c r="T834" s="66"/>
      <c r="U834" s="8"/>
      <c r="V834" s="56"/>
      <c r="W834" s="1"/>
      <c r="X834" s="1"/>
      <c r="Y834" s="1"/>
    </row>
    <row r="835" spans="1:25">
      <c r="A835" s="57"/>
      <c r="B835" s="68"/>
      <c r="C835" s="68"/>
      <c r="D835" s="68"/>
      <c r="E835" s="68"/>
      <c r="F835" s="68"/>
      <c r="G835" s="68"/>
      <c r="H835" s="68"/>
      <c r="I835" s="68"/>
      <c r="J835" s="68"/>
      <c r="K835" s="68"/>
      <c r="L835" s="56"/>
      <c r="M835" s="26"/>
      <c r="N835" s="26"/>
      <c r="O835" s="68"/>
      <c r="P835" s="1"/>
      <c r="Q835" s="8"/>
      <c r="R835" s="66"/>
      <c r="S835" s="1"/>
      <c r="T835" s="66"/>
      <c r="U835" s="8"/>
      <c r="V835" s="56"/>
      <c r="W835" s="1"/>
      <c r="X835" s="1"/>
      <c r="Y835" s="1"/>
    </row>
    <row r="836" spans="1:25">
      <c r="A836" s="57"/>
      <c r="B836" s="68"/>
      <c r="C836" s="68"/>
      <c r="D836" s="68"/>
      <c r="E836" s="68"/>
      <c r="F836" s="68"/>
      <c r="G836" s="68"/>
      <c r="H836" s="68"/>
      <c r="I836" s="68"/>
      <c r="J836" s="68"/>
      <c r="K836" s="68"/>
      <c r="L836" s="56"/>
      <c r="M836" s="26"/>
      <c r="N836" s="26"/>
      <c r="O836" s="68"/>
      <c r="P836" s="1"/>
      <c r="Q836" s="8"/>
      <c r="R836" s="66"/>
      <c r="S836" s="1"/>
      <c r="T836" s="66"/>
      <c r="U836" s="8"/>
      <c r="V836" s="56"/>
      <c r="W836" s="1"/>
      <c r="X836" s="1"/>
      <c r="Y836" s="1"/>
    </row>
    <row r="837" spans="1:25">
      <c r="A837" s="57"/>
      <c r="B837" s="68"/>
      <c r="C837" s="68"/>
      <c r="D837" s="68"/>
      <c r="E837" s="68"/>
      <c r="F837" s="68"/>
      <c r="G837" s="68"/>
      <c r="H837" s="68"/>
      <c r="I837" s="68"/>
      <c r="J837" s="68"/>
      <c r="K837" s="68"/>
      <c r="L837" s="56"/>
      <c r="M837" s="26"/>
      <c r="N837" s="26"/>
      <c r="O837" s="68"/>
      <c r="P837" s="1"/>
      <c r="Q837" s="8"/>
      <c r="R837" s="66"/>
      <c r="S837" s="1"/>
      <c r="T837" s="66"/>
      <c r="U837" s="8"/>
      <c r="V837" s="56"/>
      <c r="W837" s="1"/>
      <c r="X837" s="1"/>
      <c r="Y837" s="1"/>
    </row>
    <row r="838" spans="1:25">
      <c r="A838" s="57"/>
      <c r="B838" s="68"/>
      <c r="C838" s="68"/>
      <c r="D838" s="68"/>
      <c r="E838" s="68"/>
      <c r="F838" s="68"/>
      <c r="G838" s="68"/>
      <c r="H838" s="68"/>
      <c r="I838" s="68"/>
      <c r="J838" s="68"/>
      <c r="K838" s="68"/>
      <c r="L838" s="56"/>
      <c r="M838" s="26"/>
      <c r="N838" s="26"/>
      <c r="O838" s="68"/>
      <c r="P838" s="1"/>
      <c r="Q838" s="8"/>
      <c r="R838" s="66"/>
      <c r="S838" s="1"/>
      <c r="T838" s="66"/>
      <c r="U838" s="8"/>
      <c r="V838" s="56"/>
      <c r="W838" s="1"/>
      <c r="X838" s="1"/>
      <c r="Y838" s="1"/>
    </row>
    <row r="839" spans="1:25">
      <c r="A839" s="57"/>
      <c r="B839" s="68"/>
      <c r="C839" s="68"/>
      <c r="D839" s="68"/>
      <c r="E839" s="68"/>
      <c r="F839" s="68"/>
      <c r="G839" s="68"/>
      <c r="H839" s="68"/>
      <c r="I839" s="68"/>
      <c r="J839" s="68"/>
      <c r="K839" s="68"/>
      <c r="L839" s="56"/>
      <c r="M839" s="26"/>
      <c r="N839" s="26"/>
      <c r="O839" s="68"/>
      <c r="P839" s="1"/>
      <c r="Q839" s="8"/>
      <c r="R839" s="66"/>
      <c r="S839" s="1"/>
      <c r="T839" s="66"/>
      <c r="U839" s="8"/>
      <c r="V839" s="56"/>
      <c r="W839" s="1"/>
      <c r="X839" s="1"/>
      <c r="Y839" s="1"/>
    </row>
    <row r="840" spans="1:25">
      <c r="A840" s="57"/>
      <c r="B840" s="68"/>
      <c r="C840" s="68"/>
      <c r="D840" s="68"/>
      <c r="E840" s="68"/>
      <c r="F840" s="68"/>
      <c r="G840" s="68"/>
      <c r="H840" s="68"/>
      <c r="I840" s="68"/>
      <c r="J840" s="68"/>
      <c r="K840" s="68"/>
      <c r="L840" s="56"/>
      <c r="M840" s="26"/>
      <c r="N840" s="26"/>
      <c r="O840" s="68"/>
      <c r="P840" s="1"/>
      <c r="Q840" s="8"/>
      <c r="R840" s="66"/>
      <c r="S840" s="1"/>
      <c r="T840" s="66"/>
      <c r="U840" s="8"/>
      <c r="V840" s="56"/>
      <c r="W840" s="1"/>
      <c r="X840" s="1"/>
      <c r="Y840" s="1"/>
    </row>
    <row r="841" spans="1:25">
      <c r="A841" s="57"/>
      <c r="B841" s="68"/>
      <c r="C841" s="68"/>
      <c r="D841" s="68"/>
      <c r="E841" s="68"/>
      <c r="F841" s="68"/>
      <c r="G841" s="68"/>
      <c r="H841" s="68"/>
      <c r="I841" s="68"/>
      <c r="J841" s="68"/>
      <c r="K841" s="68"/>
      <c r="L841" s="56"/>
      <c r="M841" s="26"/>
      <c r="N841" s="26"/>
      <c r="O841" s="68"/>
      <c r="P841" s="1"/>
      <c r="Q841" s="8"/>
      <c r="R841" s="66"/>
      <c r="S841" s="1"/>
      <c r="T841" s="66"/>
      <c r="U841" s="8"/>
      <c r="V841" s="56"/>
      <c r="W841" s="1"/>
      <c r="X841" s="1"/>
      <c r="Y841" s="1"/>
    </row>
    <row r="842" spans="1:25">
      <c r="A842" s="57"/>
      <c r="B842" s="68"/>
      <c r="C842" s="68"/>
      <c r="D842" s="68"/>
      <c r="E842" s="68"/>
      <c r="F842" s="68"/>
      <c r="G842" s="68"/>
      <c r="H842" s="68"/>
      <c r="I842" s="68"/>
      <c r="J842" s="68"/>
      <c r="K842" s="68"/>
      <c r="L842" s="56"/>
      <c r="M842" s="26"/>
      <c r="N842" s="26"/>
      <c r="O842" s="68"/>
      <c r="P842" s="1"/>
      <c r="Q842" s="8"/>
      <c r="R842" s="66"/>
      <c r="S842" s="1"/>
      <c r="T842" s="66"/>
      <c r="U842" s="8"/>
      <c r="V842" s="56"/>
      <c r="W842" s="1"/>
      <c r="X842" s="1"/>
      <c r="Y842" s="1"/>
    </row>
    <row r="843" spans="1:25">
      <c r="A843" s="57"/>
      <c r="B843" s="68"/>
      <c r="C843" s="68"/>
      <c r="D843" s="68"/>
      <c r="E843" s="68"/>
      <c r="F843" s="68"/>
      <c r="G843" s="68"/>
      <c r="H843" s="68"/>
      <c r="I843" s="68"/>
      <c r="J843" s="68"/>
      <c r="K843" s="68"/>
      <c r="L843" s="56"/>
      <c r="M843" s="26"/>
      <c r="N843" s="26"/>
      <c r="O843" s="68"/>
      <c r="P843" s="1"/>
      <c r="Q843" s="8"/>
      <c r="R843" s="66"/>
      <c r="S843" s="1"/>
      <c r="T843" s="66"/>
      <c r="U843" s="8"/>
      <c r="V843" s="56"/>
      <c r="W843" s="1"/>
      <c r="X843" s="1"/>
      <c r="Y843" s="1"/>
    </row>
    <row r="844" spans="1:25">
      <c r="A844" s="57"/>
      <c r="B844" s="68"/>
      <c r="C844" s="68"/>
      <c r="D844" s="68"/>
      <c r="E844" s="68"/>
      <c r="F844" s="68"/>
      <c r="G844" s="68"/>
      <c r="H844" s="68"/>
      <c r="I844" s="68"/>
      <c r="J844" s="68"/>
      <c r="K844" s="68"/>
      <c r="L844" s="56"/>
      <c r="M844" s="26"/>
      <c r="N844" s="26"/>
      <c r="O844" s="68"/>
      <c r="P844" s="1"/>
      <c r="Q844" s="8"/>
      <c r="R844" s="66"/>
      <c r="S844" s="1"/>
      <c r="T844" s="66"/>
      <c r="U844" s="8"/>
      <c r="V844" s="56"/>
      <c r="W844" s="1"/>
      <c r="X844" s="1"/>
      <c r="Y844" s="1"/>
    </row>
    <row r="845" spans="1:25">
      <c r="A845" s="57"/>
      <c r="B845" s="68"/>
      <c r="C845" s="68"/>
      <c r="D845" s="68"/>
      <c r="E845" s="68"/>
      <c r="F845" s="68"/>
      <c r="G845" s="68"/>
      <c r="H845" s="68"/>
      <c r="I845" s="68"/>
      <c r="J845" s="68"/>
      <c r="K845" s="68"/>
      <c r="L845" s="56"/>
      <c r="M845" s="26"/>
      <c r="N845" s="26"/>
      <c r="O845" s="68"/>
      <c r="P845" s="1"/>
      <c r="Q845" s="8"/>
      <c r="R845" s="66"/>
      <c r="S845" s="1"/>
      <c r="T845" s="66"/>
      <c r="U845" s="8"/>
      <c r="V845" s="56"/>
      <c r="W845" s="1"/>
      <c r="X845" s="1"/>
      <c r="Y845" s="1"/>
    </row>
    <row r="846" spans="1:25">
      <c r="A846" s="57"/>
      <c r="B846" s="68"/>
      <c r="C846" s="68"/>
      <c r="D846" s="68"/>
      <c r="E846" s="68"/>
      <c r="F846" s="68"/>
      <c r="G846" s="68"/>
      <c r="H846" s="68"/>
      <c r="I846" s="68"/>
      <c r="J846" s="68"/>
      <c r="K846" s="68"/>
      <c r="L846" s="56"/>
      <c r="M846" s="26"/>
      <c r="N846" s="26"/>
      <c r="O846" s="68"/>
      <c r="P846" s="1"/>
      <c r="Q846" s="8"/>
      <c r="R846" s="66"/>
      <c r="S846" s="1"/>
      <c r="T846" s="66"/>
      <c r="U846" s="8"/>
      <c r="V846" s="56"/>
      <c r="W846" s="1"/>
      <c r="X846" s="1"/>
      <c r="Y846" s="1"/>
    </row>
    <row r="847" spans="1:25">
      <c r="A847" s="57"/>
      <c r="B847" s="68"/>
      <c r="C847" s="68"/>
      <c r="D847" s="68"/>
      <c r="E847" s="68"/>
      <c r="F847" s="68"/>
      <c r="G847" s="68"/>
      <c r="H847" s="68"/>
      <c r="I847" s="68"/>
      <c r="J847" s="68"/>
      <c r="K847" s="68"/>
      <c r="L847" s="56"/>
      <c r="M847" s="26"/>
      <c r="N847" s="26"/>
      <c r="O847" s="68"/>
      <c r="P847" s="1"/>
      <c r="Q847" s="8"/>
      <c r="R847" s="66"/>
      <c r="S847" s="1"/>
      <c r="T847" s="66"/>
      <c r="U847" s="8"/>
      <c r="V847" s="56"/>
      <c r="W847" s="1"/>
      <c r="X847" s="1"/>
      <c r="Y847" s="1"/>
    </row>
    <row r="848" spans="1:25">
      <c r="A848" s="57"/>
      <c r="B848" s="68"/>
      <c r="C848" s="68"/>
      <c r="D848" s="68"/>
      <c r="E848" s="68"/>
      <c r="F848" s="68"/>
      <c r="G848" s="68"/>
      <c r="H848" s="68"/>
      <c r="I848" s="68"/>
      <c r="J848" s="68"/>
      <c r="K848" s="68"/>
      <c r="L848" s="56"/>
      <c r="M848" s="26"/>
      <c r="N848" s="26"/>
      <c r="O848" s="68"/>
      <c r="P848" s="1"/>
      <c r="Q848" s="8"/>
      <c r="R848" s="66"/>
      <c r="S848" s="1"/>
      <c r="T848" s="66"/>
      <c r="U848" s="8"/>
      <c r="V848" s="56"/>
      <c r="W848" s="1"/>
      <c r="X848" s="1"/>
      <c r="Y848" s="1"/>
    </row>
    <row r="849" spans="1:25">
      <c r="A849" s="57"/>
      <c r="B849" s="68"/>
      <c r="C849" s="68"/>
      <c r="D849" s="68"/>
      <c r="E849" s="68"/>
      <c r="F849" s="68"/>
      <c r="G849" s="68"/>
      <c r="H849" s="68"/>
      <c r="I849" s="68"/>
      <c r="J849" s="68"/>
      <c r="K849" s="68"/>
      <c r="L849" s="56"/>
      <c r="M849" s="26"/>
      <c r="N849" s="26"/>
      <c r="O849" s="68"/>
      <c r="P849" s="1"/>
      <c r="Q849" s="8"/>
      <c r="R849" s="66"/>
      <c r="S849" s="1"/>
      <c r="T849" s="66"/>
      <c r="U849" s="8"/>
      <c r="V849" s="56"/>
      <c r="W849" s="1"/>
      <c r="X849" s="1"/>
      <c r="Y849" s="1"/>
    </row>
    <row r="850" spans="1:25">
      <c r="A850" s="57"/>
      <c r="B850" s="68"/>
      <c r="C850" s="68"/>
      <c r="D850" s="68"/>
      <c r="E850" s="68"/>
      <c r="F850" s="68"/>
      <c r="G850" s="68"/>
      <c r="H850" s="68"/>
      <c r="I850" s="68"/>
      <c r="J850" s="68"/>
      <c r="K850" s="68"/>
      <c r="L850" s="56"/>
      <c r="M850" s="26"/>
      <c r="N850" s="26"/>
      <c r="O850" s="68"/>
      <c r="P850" s="1"/>
      <c r="Q850" s="8"/>
      <c r="R850" s="66"/>
      <c r="S850" s="1"/>
      <c r="T850" s="66"/>
      <c r="U850" s="8"/>
      <c r="V850" s="56"/>
      <c r="W850" s="1"/>
      <c r="X850" s="1"/>
      <c r="Y850" s="1"/>
    </row>
    <row r="851" spans="1:25">
      <c r="A851" s="57"/>
      <c r="B851" s="68"/>
      <c r="C851" s="68"/>
      <c r="D851" s="68"/>
      <c r="E851" s="68"/>
      <c r="F851" s="68"/>
      <c r="G851" s="68"/>
      <c r="H851" s="68"/>
      <c r="I851" s="68"/>
      <c r="J851" s="68"/>
      <c r="K851" s="68"/>
      <c r="L851" s="56"/>
      <c r="M851" s="26"/>
      <c r="N851" s="26"/>
      <c r="O851" s="68"/>
      <c r="P851" s="1"/>
      <c r="Q851" s="8"/>
      <c r="R851" s="66"/>
      <c r="S851" s="1"/>
      <c r="T851" s="66"/>
      <c r="U851" s="8"/>
      <c r="V851" s="56"/>
      <c r="W851" s="1"/>
      <c r="X851" s="1"/>
      <c r="Y851" s="1"/>
    </row>
    <row r="852" spans="1:25">
      <c r="A852" s="57"/>
      <c r="B852" s="68"/>
      <c r="C852" s="68"/>
      <c r="D852" s="68"/>
      <c r="E852" s="68"/>
      <c r="F852" s="68"/>
      <c r="G852" s="68"/>
      <c r="H852" s="68"/>
      <c r="I852" s="68"/>
      <c r="J852" s="68"/>
      <c r="K852" s="68"/>
      <c r="L852" s="56"/>
      <c r="M852" s="26"/>
      <c r="N852" s="26"/>
      <c r="O852" s="68"/>
      <c r="P852" s="1"/>
      <c r="Q852" s="8"/>
      <c r="R852" s="66"/>
      <c r="S852" s="1"/>
      <c r="T852" s="66"/>
      <c r="U852" s="8"/>
      <c r="V852" s="56"/>
      <c r="W852" s="1"/>
      <c r="X852" s="1"/>
      <c r="Y852" s="1"/>
    </row>
    <row r="853" spans="1:25">
      <c r="A853" s="57"/>
      <c r="B853" s="68"/>
      <c r="C853" s="68"/>
      <c r="D853" s="68"/>
      <c r="E853" s="68"/>
      <c r="F853" s="68"/>
      <c r="G853" s="68"/>
      <c r="H853" s="68"/>
      <c r="I853" s="68"/>
      <c r="J853" s="68"/>
      <c r="K853" s="68"/>
      <c r="L853" s="56"/>
      <c r="M853" s="26"/>
      <c r="N853" s="26"/>
      <c r="O853" s="68"/>
      <c r="P853" s="1"/>
      <c r="Q853" s="8"/>
      <c r="R853" s="66"/>
      <c r="S853" s="1"/>
      <c r="T853" s="66"/>
      <c r="U853" s="8"/>
      <c r="V853" s="56"/>
      <c r="W853" s="1"/>
      <c r="X853" s="1"/>
      <c r="Y853" s="1"/>
    </row>
    <row r="854" spans="1:25">
      <c r="A854" s="57"/>
      <c r="B854" s="68"/>
      <c r="C854" s="68"/>
      <c r="D854" s="68"/>
      <c r="E854" s="68"/>
      <c r="F854" s="68"/>
      <c r="G854" s="68"/>
      <c r="H854" s="68"/>
      <c r="I854" s="68"/>
      <c r="J854" s="68"/>
      <c r="K854" s="68"/>
      <c r="L854" s="56"/>
      <c r="M854" s="26"/>
      <c r="N854" s="26"/>
      <c r="O854" s="68"/>
      <c r="P854" s="1"/>
      <c r="Q854" s="8"/>
      <c r="R854" s="66"/>
      <c r="S854" s="1"/>
      <c r="T854" s="66"/>
      <c r="U854" s="8"/>
      <c r="V854" s="56"/>
      <c r="W854" s="1"/>
      <c r="X854" s="1"/>
      <c r="Y854" s="1"/>
    </row>
    <row r="855" spans="1:25">
      <c r="A855" s="57"/>
      <c r="B855" s="68"/>
      <c r="C855" s="68"/>
      <c r="D855" s="68"/>
      <c r="E855" s="68"/>
      <c r="F855" s="68"/>
      <c r="G855" s="68"/>
      <c r="H855" s="68"/>
      <c r="I855" s="68"/>
      <c r="J855" s="68"/>
      <c r="K855" s="68"/>
      <c r="L855" s="56"/>
      <c r="M855" s="26"/>
      <c r="N855" s="26"/>
      <c r="O855" s="68"/>
      <c r="P855" s="1"/>
      <c r="Q855" s="8"/>
      <c r="R855" s="66"/>
      <c r="S855" s="1"/>
      <c r="T855" s="66"/>
      <c r="U855" s="8"/>
      <c r="V855" s="56"/>
      <c r="W855" s="1"/>
      <c r="X855" s="1"/>
      <c r="Y855" s="1"/>
    </row>
    <row r="856" spans="1:25">
      <c r="A856" s="57"/>
      <c r="B856" s="68"/>
      <c r="C856" s="68"/>
      <c r="D856" s="68"/>
      <c r="E856" s="68"/>
      <c r="F856" s="68"/>
      <c r="G856" s="68"/>
      <c r="H856" s="68"/>
      <c r="I856" s="68"/>
      <c r="J856" s="68"/>
      <c r="K856" s="68"/>
      <c r="L856" s="56"/>
      <c r="M856" s="26"/>
      <c r="N856" s="26"/>
      <c r="O856" s="68"/>
      <c r="P856" s="1"/>
      <c r="Q856" s="8"/>
      <c r="R856" s="66"/>
      <c r="S856" s="1"/>
      <c r="T856" s="66"/>
      <c r="U856" s="8"/>
      <c r="V856" s="56"/>
      <c r="W856" s="1"/>
      <c r="X856" s="1"/>
      <c r="Y856" s="1"/>
    </row>
    <row r="857" spans="1:25">
      <c r="A857" s="57"/>
      <c r="B857" s="68"/>
      <c r="C857" s="68"/>
      <c r="D857" s="68"/>
      <c r="E857" s="68"/>
      <c r="F857" s="68"/>
      <c r="G857" s="68"/>
      <c r="H857" s="68"/>
      <c r="I857" s="68"/>
      <c r="J857" s="68"/>
      <c r="K857" s="68"/>
      <c r="L857" s="56"/>
      <c r="M857" s="26"/>
      <c r="N857" s="26"/>
      <c r="O857" s="68"/>
      <c r="P857" s="1"/>
      <c r="Q857" s="8"/>
      <c r="R857" s="66"/>
      <c r="S857" s="1"/>
      <c r="T857" s="66"/>
      <c r="U857" s="8"/>
      <c r="V857" s="56"/>
      <c r="W857" s="1"/>
      <c r="X857" s="1"/>
      <c r="Y857" s="1"/>
    </row>
    <row r="858" spans="1:25">
      <c r="A858" s="57"/>
      <c r="B858" s="68"/>
      <c r="C858" s="68"/>
      <c r="D858" s="68"/>
      <c r="E858" s="68"/>
      <c r="F858" s="68"/>
      <c r="G858" s="68"/>
      <c r="H858" s="68"/>
      <c r="I858" s="68"/>
      <c r="J858" s="68"/>
      <c r="K858" s="68"/>
      <c r="L858" s="56"/>
      <c r="M858" s="26"/>
      <c r="N858" s="26"/>
      <c r="O858" s="68"/>
      <c r="P858" s="1"/>
      <c r="Q858" s="8"/>
      <c r="R858" s="66"/>
      <c r="S858" s="1"/>
      <c r="T858" s="66"/>
      <c r="U858" s="8"/>
      <c r="V858" s="56"/>
      <c r="W858" s="1"/>
      <c r="X858" s="1"/>
      <c r="Y858" s="1"/>
    </row>
    <row r="859" spans="1:25">
      <c r="A859" s="57"/>
      <c r="B859" s="68"/>
      <c r="C859" s="68"/>
      <c r="D859" s="68"/>
      <c r="E859" s="68"/>
      <c r="F859" s="68"/>
      <c r="G859" s="68"/>
      <c r="H859" s="68"/>
      <c r="I859" s="68"/>
      <c r="J859" s="68"/>
      <c r="K859" s="68"/>
      <c r="L859" s="56"/>
      <c r="M859" s="26"/>
      <c r="N859" s="26"/>
      <c r="O859" s="68"/>
      <c r="P859" s="1"/>
      <c r="Q859" s="8"/>
      <c r="R859" s="66"/>
      <c r="S859" s="1"/>
      <c r="T859" s="66"/>
      <c r="U859" s="8"/>
      <c r="V859" s="56"/>
      <c r="W859" s="1"/>
      <c r="X859" s="1"/>
      <c r="Y859" s="1"/>
    </row>
    <row r="860" spans="1:25">
      <c r="A860" s="57"/>
      <c r="B860" s="68"/>
      <c r="C860" s="68"/>
      <c r="D860" s="68"/>
      <c r="E860" s="68"/>
      <c r="F860" s="68"/>
      <c r="G860" s="68"/>
      <c r="H860" s="68"/>
      <c r="I860" s="68"/>
      <c r="J860" s="68"/>
      <c r="K860" s="68"/>
      <c r="L860" s="56"/>
      <c r="M860" s="26"/>
      <c r="N860" s="26"/>
      <c r="O860" s="68"/>
      <c r="P860" s="1"/>
      <c r="Q860" s="8"/>
      <c r="R860" s="66"/>
      <c r="S860" s="1"/>
      <c r="T860" s="66"/>
      <c r="U860" s="8"/>
      <c r="V860" s="56"/>
      <c r="W860" s="1"/>
      <c r="X860" s="1"/>
      <c r="Y860" s="1"/>
    </row>
    <row r="861" spans="1:25">
      <c r="A861" s="57"/>
      <c r="B861" s="68"/>
      <c r="C861" s="68"/>
      <c r="D861" s="68"/>
      <c r="E861" s="68"/>
      <c r="F861" s="68"/>
      <c r="G861" s="68"/>
      <c r="H861" s="68"/>
      <c r="I861" s="68"/>
      <c r="J861" s="68"/>
      <c r="K861" s="68"/>
      <c r="L861" s="56"/>
      <c r="M861" s="26"/>
      <c r="N861" s="26"/>
      <c r="O861" s="68"/>
      <c r="P861" s="1"/>
      <c r="Q861" s="8"/>
      <c r="R861" s="66"/>
      <c r="S861" s="1"/>
      <c r="T861" s="66"/>
      <c r="U861" s="8"/>
      <c r="V861" s="56"/>
      <c r="W861" s="1"/>
      <c r="X861" s="1"/>
      <c r="Y861" s="1"/>
    </row>
    <row r="862" spans="1:25">
      <c r="A862" s="57"/>
      <c r="B862" s="68"/>
      <c r="C862" s="68"/>
      <c r="D862" s="68"/>
      <c r="E862" s="68"/>
      <c r="F862" s="68"/>
      <c r="G862" s="68"/>
      <c r="H862" s="68"/>
      <c r="I862" s="68"/>
      <c r="J862" s="68"/>
      <c r="K862" s="68"/>
      <c r="L862" s="56"/>
      <c r="M862" s="26"/>
      <c r="N862" s="26"/>
      <c r="O862" s="68"/>
      <c r="P862" s="1"/>
      <c r="Q862" s="8"/>
      <c r="R862" s="66"/>
      <c r="S862" s="1"/>
      <c r="T862" s="66"/>
      <c r="U862" s="8"/>
      <c r="V862" s="56"/>
      <c r="W862" s="1"/>
      <c r="X862" s="1"/>
      <c r="Y862" s="1"/>
    </row>
    <row r="863" spans="1:25">
      <c r="A863" s="57"/>
      <c r="B863" s="68"/>
      <c r="C863" s="68"/>
      <c r="D863" s="68"/>
      <c r="E863" s="68"/>
      <c r="F863" s="68"/>
      <c r="G863" s="68"/>
      <c r="H863" s="68"/>
      <c r="I863" s="68"/>
      <c r="J863" s="68"/>
      <c r="K863" s="68"/>
      <c r="L863" s="56"/>
      <c r="M863" s="26"/>
      <c r="N863" s="26"/>
      <c r="O863" s="68"/>
      <c r="P863" s="1"/>
      <c r="Q863" s="8"/>
      <c r="R863" s="66"/>
      <c r="S863" s="1"/>
      <c r="T863" s="66"/>
      <c r="U863" s="8"/>
      <c r="V863" s="56"/>
      <c r="W863" s="1"/>
      <c r="X863" s="1"/>
      <c r="Y863" s="1"/>
    </row>
    <row r="864" spans="1:25">
      <c r="A864" s="57"/>
      <c r="B864" s="68"/>
      <c r="C864" s="68"/>
      <c r="D864" s="68"/>
      <c r="E864" s="68"/>
      <c r="F864" s="68"/>
      <c r="G864" s="68"/>
      <c r="H864" s="68"/>
      <c r="I864" s="68"/>
      <c r="J864" s="68"/>
      <c r="K864" s="68"/>
      <c r="L864" s="56"/>
      <c r="M864" s="26"/>
      <c r="N864" s="26"/>
      <c r="O864" s="68"/>
      <c r="P864" s="1"/>
      <c r="Q864" s="8"/>
      <c r="R864" s="66"/>
      <c r="S864" s="1"/>
      <c r="T864" s="66"/>
      <c r="U864" s="8"/>
      <c r="V864" s="56"/>
      <c r="W864" s="1"/>
      <c r="X864" s="1"/>
      <c r="Y864" s="1"/>
    </row>
    <row r="865" spans="1:25">
      <c r="A865" s="57"/>
      <c r="B865" s="68"/>
      <c r="C865" s="68"/>
      <c r="D865" s="68"/>
      <c r="E865" s="68"/>
      <c r="F865" s="68"/>
      <c r="G865" s="68"/>
      <c r="H865" s="68"/>
      <c r="I865" s="68"/>
      <c r="J865" s="68"/>
      <c r="K865" s="68"/>
      <c r="L865" s="56"/>
      <c r="M865" s="26"/>
      <c r="N865" s="26"/>
      <c r="O865" s="68"/>
      <c r="P865" s="1"/>
      <c r="Q865" s="8"/>
      <c r="R865" s="66"/>
      <c r="S865" s="1"/>
      <c r="T865" s="66"/>
      <c r="U865" s="8"/>
      <c r="V865" s="56"/>
      <c r="W865" s="1"/>
      <c r="X865" s="1"/>
      <c r="Y865" s="1"/>
    </row>
    <row r="866" spans="1:25">
      <c r="A866" s="57"/>
      <c r="B866" s="68"/>
      <c r="C866" s="68"/>
      <c r="D866" s="68"/>
      <c r="E866" s="68"/>
      <c r="F866" s="68"/>
      <c r="G866" s="68"/>
      <c r="H866" s="68"/>
      <c r="I866" s="68"/>
      <c r="J866" s="68"/>
      <c r="K866" s="68"/>
      <c r="L866" s="56"/>
      <c r="M866" s="26"/>
      <c r="N866" s="26"/>
      <c r="O866" s="68"/>
      <c r="P866" s="1"/>
      <c r="Q866" s="8"/>
      <c r="R866" s="66"/>
      <c r="S866" s="1"/>
      <c r="T866" s="66"/>
      <c r="U866" s="8"/>
      <c r="V866" s="56"/>
      <c r="W866" s="1"/>
      <c r="X866" s="1"/>
      <c r="Y866" s="1"/>
    </row>
    <row r="867" spans="1:25">
      <c r="A867" s="57"/>
      <c r="B867" s="68"/>
      <c r="C867" s="68"/>
      <c r="D867" s="68"/>
      <c r="E867" s="68"/>
      <c r="F867" s="68"/>
      <c r="G867" s="68"/>
      <c r="H867" s="68"/>
      <c r="I867" s="68"/>
      <c r="J867" s="68"/>
      <c r="K867" s="68"/>
      <c r="L867" s="56"/>
      <c r="M867" s="26"/>
      <c r="N867" s="26"/>
      <c r="O867" s="68"/>
      <c r="P867" s="1"/>
      <c r="Q867" s="8"/>
      <c r="R867" s="66"/>
      <c r="S867" s="1"/>
      <c r="T867" s="66"/>
      <c r="U867" s="8"/>
      <c r="V867" s="56"/>
      <c r="W867" s="1"/>
      <c r="X867" s="1"/>
      <c r="Y867" s="1"/>
    </row>
    <row r="868" spans="1:25">
      <c r="A868" s="57"/>
      <c r="B868" s="68"/>
      <c r="C868" s="68"/>
      <c r="D868" s="68"/>
      <c r="E868" s="68"/>
      <c r="F868" s="68"/>
      <c r="G868" s="68"/>
      <c r="H868" s="68"/>
      <c r="I868" s="68"/>
      <c r="J868" s="68"/>
      <c r="K868" s="68"/>
      <c r="L868" s="56"/>
      <c r="M868" s="26"/>
      <c r="N868" s="26"/>
      <c r="O868" s="68"/>
      <c r="P868" s="1"/>
      <c r="Q868" s="8"/>
      <c r="R868" s="66"/>
      <c r="S868" s="1"/>
      <c r="T868" s="66"/>
      <c r="U868" s="8"/>
      <c r="V868" s="56"/>
      <c r="W868" s="1"/>
      <c r="X868" s="1"/>
      <c r="Y868" s="1"/>
    </row>
    <row r="869" spans="1:25">
      <c r="A869" s="57"/>
      <c r="B869" s="68"/>
      <c r="C869" s="68"/>
      <c r="D869" s="68"/>
      <c r="E869" s="68"/>
      <c r="F869" s="68"/>
      <c r="G869" s="68"/>
      <c r="H869" s="68"/>
      <c r="I869" s="68"/>
      <c r="J869" s="68"/>
      <c r="K869" s="68"/>
      <c r="L869" s="56"/>
      <c r="M869" s="26"/>
      <c r="N869" s="26"/>
      <c r="O869" s="68"/>
      <c r="P869" s="1"/>
      <c r="Q869" s="8"/>
      <c r="R869" s="66"/>
      <c r="S869" s="1"/>
      <c r="T869" s="66"/>
      <c r="U869" s="8"/>
      <c r="V869" s="56"/>
      <c r="W869" s="1"/>
      <c r="X869" s="1"/>
      <c r="Y869" s="1"/>
    </row>
    <row r="870" spans="1:25">
      <c r="A870" s="57"/>
      <c r="B870" s="68"/>
      <c r="C870" s="68"/>
      <c r="D870" s="68"/>
      <c r="E870" s="68"/>
      <c r="F870" s="68"/>
      <c r="G870" s="68"/>
      <c r="H870" s="68"/>
      <c r="I870" s="68"/>
      <c r="J870" s="68"/>
      <c r="K870" s="68"/>
      <c r="L870" s="56"/>
      <c r="M870" s="26"/>
      <c r="N870" s="26"/>
      <c r="O870" s="68"/>
      <c r="P870" s="1"/>
      <c r="Q870" s="8"/>
      <c r="R870" s="66"/>
      <c r="S870" s="1"/>
      <c r="T870" s="66"/>
      <c r="U870" s="8"/>
      <c r="V870" s="56"/>
      <c r="W870" s="1"/>
      <c r="X870" s="1"/>
      <c r="Y870" s="1"/>
    </row>
    <row r="871" spans="1:25">
      <c r="A871" s="57"/>
      <c r="B871" s="68"/>
      <c r="C871" s="68"/>
      <c r="D871" s="68"/>
      <c r="E871" s="68"/>
      <c r="F871" s="68"/>
      <c r="G871" s="68"/>
      <c r="H871" s="68"/>
      <c r="I871" s="68"/>
      <c r="J871" s="68"/>
      <c r="K871" s="68"/>
      <c r="L871" s="56"/>
      <c r="M871" s="26"/>
      <c r="N871" s="26"/>
      <c r="O871" s="68"/>
      <c r="P871" s="1"/>
      <c r="Q871" s="8"/>
      <c r="R871" s="66"/>
      <c r="S871" s="1"/>
      <c r="T871" s="66"/>
      <c r="U871" s="8"/>
      <c r="V871" s="56"/>
      <c r="W871" s="1"/>
      <c r="X871" s="1"/>
      <c r="Y871" s="1"/>
    </row>
    <row r="872" spans="1:25">
      <c r="A872" s="57"/>
      <c r="B872" s="68"/>
      <c r="C872" s="68"/>
      <c r="D872" s="68"/>
      <c r="E872" s="68"/>
      <c r="F872" s="68"/>
      <c r="G872" s="68"/>
      <c r="H872" s="68"/>
      <c r="I872" s="68"/>
      <c r="J872" s="68"/>
      <c r="K872" s="68"/>
      <c r="L872" s="56"/>
      <c r="M872" s="26"/>
      <c r="N872" s="26"/>
      <c r="O872" s="68"/>
      <c r="P872" s="1"/>
      <c r="Q872" s="8"/>
      <c r="R872" s="66"/>
      <c r="S872" s="1"/>
      <c r="T872" s="66"/>
      <c r="U872" s="8"/>
      <c r="V872" s="56"/>
      <c r="W872" s="1"/>
      <c r="X872" s="1"/>
      <c r="Y872" s="1"/>
    </row>
    <row r="873" spans="1:25">
      <c r="A873" s="57"/>
      <c r="B873" s="68"/>
      <c r="C873" s="68"/>
      <c r="D873" s="68"/>
      <c r="E873" s="68"/>
      <c r="F873" s="68"/>
      <c r="G873" s="68"/>
      <c r="H873" s="68"/>
      <c r="I873" s="68"/>
      <c r="J873" s="68"/>
      <c r="K873" s="68"/>
      <c r="L873" s="56"/>
      <c r="M873" s="26"/>
      <c r="N873" s="26"/>
      <c r="O873" s="68"/>
      <c r="P873" s="1"/>
      <c r="Q873" s="8"/>
      <c r="R873" s="66"/>
      <c r="S873" s="1"/>
      <c r="T873" s="66"/>
      <c r="U873" s="8"/>
      <c r="V873" s="56"/>
      <c r="W873" s="1"/>
      <c r="X873" s="1"/>
      <c r="Y873" s="1"/>
    </row>
    <row r="874" spans="1:25">
      <c r="A874" s="57"/>
      <c r="B874" s="68"/>
      <c r="C874" s="68"/>
      <c r="D874" s="68"/>
      <c r="E874" s="68"/>
      <c r="F874" s="68"/>
      <c r="G874" s="68"/>
      <c r="H874" s="68"/>
      <c r="I874" s="68"/>
      <c r="J874" s="68"/>
      <c r="K874" s="68"/>
      <c r="L874" s="56"/>
      <c r="M874" s="26"/>
      <c r="N874" s="26"/>
      <c r="O874" s="68"/>
      <c r="P874" s="1"/>
      <c r="Q874" s="8"/>
      <c r="R874" s="66"/>
      <c r="S874" s="1"/>
      <c r="T874" s="66"/>
      <c r="U874" s="8"/>
      <c r="V874" s="56"/>
      <c r="W874" s="1"/>
      <c r="X874" s="1"/>
      <c r="Y874" s="1"/>
    </row>
    <row r="875" spans="1:25">
      <c r="A875" s="57"/>
      <c r="B875" s="68"/>
      <c r="C875" s="68"/>
      <c r="D875" s="68"/>
      <c r="E875" s="68"/>
      <c r="F875" s="68"/>
      <c r="G875" s="68"/>
      <c r="H875" s="68"/>
      <c r="I875" s="68"/>
      <c r="J875" s="68"/>
      <c r="K875" s="68"/>
      <c r="L875" s="56"/>
      <c r="M875" s="26"/>
      <c r="N875" s="26"/>
      <c r="O875" s="68"/>
      <c r="P875" s="1"/>
      <c r="Q875" s="8"/>
      <c r="R875" s="66"/>
      <c r="S875" s="1"/>
      <c r="T875" s="66"/>
      <c r="U875" s="8"/>
      <c r="V875" s="56"/>
      <c r="W875" s="1"/>
      <c r="X875" s="1"/>
      <c r="Y875" s="1"/>
    </row>
    <row r="876" spans="1:25">
      <c r="A876" s="57"/>
      <c r="B876" s="68"/>
      <c r="C876" s="68"/>
      <c r="D876" s="68"/>
      <c r="E876" s="68"/>
      <c r="F876" s="68"/>
      <c r="G876" s="68"/>
      <c r="H876" s="68"/>
      <c r="I876" s="68"/>
      <c r="J876" s="68"/>
      <c r="K876" s="68"/>
      <c r="L876" s="56"/>
      <c r="M876" s="26"/>
      <c r="N876" s="26"/>
      <c r="O876" s="68"/>
      <c r="P876" s="1"/>
      <c r="Q876" s="8"/>
      <c r="R876" s="66"/>
      <c r="S876" s="1"/>
      <c r="T876" s="66"/>
      <c r="U876" s="8"/>
      <c r="V876" s="56"/>
      <c r="W876" s="1"/>
      <c r="X876" s="1"/>
      <c r="Y876" s="1"/>
    </row>
    <row r="877" spans="1:25">
      <c r="A877" s="57"/>
      <c r="B877" s="68"/>
      <c r="C877" s="68"/>
      <c r="D877" s="68"/>
      <c r="E877" s="68"/>
      <c r="F877" s="68"/>
      <c r="G877" s="68"/>
      <c r="H877" s="68"/>
      <c r="I877" s="68"/>
      <c r="J877" s="68"/>
      <c r="K877" s="68"/>
      <c r="L877" s="56"/>
      <c r="M877" s="26"/>
      <c r="N877" s="26"/>
      <c r="O877" s="68"/>
      <c r="P877" s="1"/>
      <c r="Q877" s="8"/>
      <c r="R877" s="66"/>
      <c r="S877" s="1"/>
      <c r="T877" s="66"/>
      <c r="U877" s="8"/>
      <c r="V877" s="56"/>
      <c r="W877" s="1"/>
      <c r="X877" s="1"/>
      <c r="Y877" s="1"/>
    </row>
    <row r="878" spans="1:25">
      <c r="A878" s="57"/>
      <c r="B878" s="68"/>
      <c r="C878" s="68"/>
      <c r="D878" s="68"/>
      <c r="E878" s="68"/>
      <c r="F878" s="68"/>
      <c r="G878" s="68"/>
      <c r="H878" s="68"/>
      <c r="I878" s="68"/>
      <c r="J878" s="68"/>
      <c r="K878" s="68"/>
      <c r="L878" s="56"/>
      <c r="M878" s="26"/>
      <c r="N878" s="26"/>
      <c r="O878" s="68"/>
      <c r="P878" s="1"/>
      <c r="Q878" s="8"/>
      <c r="R878" s="66"/>
      <c r="S878" s="1"/>
      <c r="T878" s="66"/>
      <c r="U878" s="8"/>
      <c r="V878" s="56"/>
      <c r="W878" s="1"/>
      <c r="X878" s="1"/>
      <c r="Y878" s="1"/>
    </row>
    <row r="879" spans="1:25">
      <c r="A879" s="57"/>
      <c r="B879" s="68"/>
      <c r="C879" s="68"/>
      <c r="D879" s="68"/>
      <c r="E879" s="68"/>
      <c r="F879" s="68"/>
      <c r="G879" s="68"/>
      <c r="H879" s="68"/>
      <c r="I879" s="68"/>
      <c r="J879" s="68"/>
      <c r="K879" s="68"/>
      <c r="L879" s="56"/>
      <c r="M879" s="26"/>
      <c r="N879" s="26"/>
      <c r="O879" s="68"/>
      <c r="P879" s="1"/>
      <c r="Q879" s="8"/>
      <c r="R879" s="66"/>
      <c r="S879" s="1"/>
      <c r="T879" s="66"/>
      <c r="U879" s="8"/>
      <c r="V879" s="56"/>
      <c r="W879" s="1"/>
      <c r="X879" s="1"/>
      <c r="Y879" s="1"/>
    </row>
    <row r="880" spans="1:25">
      <c r="A880" s="57"/>
      <c r="B880" s="68"/>
      <c r="C880" s="68"/>
      <c r="D880" s="68"/>
      <c r="E880" s="68"/>
      <c r="F880" s="68"/>
      <c r="G880" s="68"/>
      <c r="H880" s="68"/>
      <c r="I880" s="68"/>
      <c r="J880" s="68"/>
      <c r="K880" s="68"/>
      <c r="L880" s="56"/>
      <c r="M880" s="26"/>
      <c r="N880" s="26"/>
      <c r="O880" s="68"/>
      <c r="P880" s="1"/>
      <c r="Q880" s="8"/>
      <c r="R880" s="66"/>
      <c r="S880" s="1"/>
      <c r="T880" s="66"/>
      <c r="U880" s="8"/>
      <c r="V880" s="56"/>
      <c r="W880" s="1"/>
      <c r="X880" s="1"/>
      <c r="Y880" s="1"/>
    </row>
    <row r="881" spans="1:25">
      <c r="A881" s="57"/>
      <c r="B881" s="68"/>
      <c r="C881" s="68"/>
      <c r="D881" s="68"/>
      <c r="E881" s="68"/>
      <c r="F881" s="68"/>
      <c r="G881" s="68"/>
      <c r="H881" s="68"/>
      <c r="I881" s="68"/>
      <c r="J881" s="68"/>
      <c r="K881" s="68"/>
      <c r="L881" s="56"/>
      <c r="M881" s="26"/>
      <c r="N881" s="26"/>
      <c r="O881" s="68"/>
      <c r="P881" s="1"/>
      <c r="Q881" s="8"/>
      <c r="R881" s="66"/>
      <c r="S881" s="1"/>
      <c r="T881" s="66"/>
      <c r="U881" s="8"/>
      <c r="V881" s="56"/>
      <c r="W881" s="1"/>
      <c r="X881" s="1"/>
      <c r="Y881" s="1"/>
    </row>
    <row r="882" spans="1:25">
      <c r="A882" s="57"/>
      <c r="B882" s="68"/>
      <c r="C882" s="68"/>
      <c r="D882" s="68"/>
      <c r="E882" s="68"/>
      <c r="F882" s="68"/>
      <c r="G882" s="68"/>
      <c r="H882" s="68"/>
      <c r="I882" s="68"/>
      <c r="J882" s="68"/>
      <c r="K882" s="68"/>
      <c r="L882" s="56"/>
      <c r="M882" s="26"/>
      <c r="N882" s="26"/>
      <c r="O882" s="68"/>
      <c r="P882" s="1"/>
      <c r="Q882" s="8"/>
      <c r="R882" s="66"/>
      <c r="S882" s="1"/>
      <c r="T882" s="66"/>
      <c r="U882" s="8"/>
      <c r="V882" s="56"/>
      <c r="W882" s="1"/>
      <c r="X882" s="1"/>
      <c r="Y882" s="1"/>
    </row>
    <row r="883" spans="1:25">
      <c r="A883" s="57"/>
      <c r="B883" s="68"/>
      <c r="C883" s="68"/>
      <c r="D883" s="68"/>
      <c r="E883" s="68"/>
      <c r="F883" s="68"/>
      <c r="G883" s="68"/>
      <c r="H883" s="68"/>
      <c r="I883" s="68"/>
      <c r="J883" s="68"/>
      <c r="K883" s="68"/>
      <c r="L883" s="56"/>
      <c r="M883" s="26"/>
      <c r="N883" s="26"/>
      <c r="O883" s="68"/>
      <c r="P883" s="1"/>
      <c r="Q883" s="8"/>
      <c r="R883" s="66"/>
      <c r="S883" s="1"/>
      <c r="T883" s="66"/>
      <c r="U883" s="8"/>
      <c r="V883" s="56"/>
      <c r="W883" s="1"/>
      <c r="X883" s="1"/>
      <c r="Y883" s="1"/>
    </row>
    <row r="884" spans="1:25">
      <c r="A884" s="57"/>
      <c r="B884" s="68"/>
      <c r="C884" s="68"/>
      <c r="D884" s="68"/>
      <c r="E884" s="68"/>
      <c r="F884" s="68"/>
      <c r="G884" s="68"/>
      <c r="H884" s="68"/>
      <c r="I884" s="68"/>
      <c r="J884" s="68"/>
      <c r="K884" s="68"/>
      <c r="L884" s="56"/>
      <c r="M884" s="26"/>
      <c r="N884" s="26"/>
      <c r="O884" s="68"/>
      <c r="P884" s="1"/>
      <c r="Q884" s="8"/>
      <c r="R884" s="66"/>
      <c r="S884" s="1"/>
      <c r="T884" s="66"/>
      <c r="U884" s="8"/>
      <c r="V884" s="56"/>
      <c r="W884" s="1"/>
      <c r="X884" s="1"/>
      <c r="Y884" s="1"/>
    </row>
    <row r="885" spans="1:25">
      <c r="A885" s="57"/>
      <c r="B885" s="68"/>
      <c r="C885" s="68"/>
      <c r="D885" s="68"/>
      <c r="E885" s="68"/>
      <c r="F885" s="68"/>
      <c r="G885" s="68"/>
      <c r="H885" s="68"/>
      <c r="I885" s="68"/>
      <c r="J885" s="68"/>
      <c r="K885" s="68"/>
      <c r="L885" s="56"/>
      <c r="M885" s="26"/>
      <c r="N885" s="26"/>
      <c r="O885" s="68"/>
      <c r="P885" s="1"/>
      <c r="Q885" s="8"/>
      <c r="R885" s="66"/>
      <c r="S885" s="1"/>
      <c r="T885" s="66"/>
      <c r="U885" s="8"/>
      <c r="V885" s="56"/>
      <c r="W885" s="1"/>
      <c r="X885" s="1"/>
      <c r="Y885" s="1"/>
    </row>
    <row r="886" spans="1:25">
      <c r="A886" s="57"/>
      <c r="B886" s="68"/>
      <c r="C886" s="68"/>
      <c r="D886" s="68"/>
      <c r="E886" s="68"/>
      <c r="F886" s="68"/>
      <c r="G886" s="68"/>
      <c r="H886" s="68"/>
      <c r="I886" s="68"/>
      <c r="J886" s="68"/>
      <c r="K886" s="68"/>
      <c r="L886" s="56"/>
      <c r="M886" s="26"/>
      <c r="N886" s="26"/>
      <c r="O886" s="68"/>
      <c r="P886" s="1"/>
      <c r="Q886" s="8"/>
      <c r="R886" s="66"/>
      <c r="S886" s="1"/>
      <c r="T886" s="66"/>
      <c r="U886" s="8"/>
      <c r="V886" s="56"/>
      <c r="W886" s="1"/>
      <c r="X886" s="1"/>
      <c r="Y886" s="1"/>
    </row>
    <row r="887" spans="1:25">
      <c r="A887" s="57"/>
      <c r="B887" s="68"/>
      <c r="C887" s="68"/>
      <c r="D887" s="68"/>
      <c r="E887" s="68"/>
      <c r="F887" s="68"/>
      <c r="G887" s="68"/>
      <c r="H887" s="68"/>
      <c r="I887" s="68"/>
      <c r="J887" s="68"/>
      <c r="K887" s="68"/>
      <c r="L887" s="56"/>
      <c r="M887" s="26"/>
      <c r="N887" s="26"/>
      <c r="O887" s="68"/>
      <c r="P887" s="1"/>
      <c r="Q887" s="8"/>
      <c r="R887" s="66"/>
      <c r="S887" s="1"/>
      <c r="T887" s="66"/>
      <c r="U887" s="8"/>
      <c r="V887" s="56"/>
      <c r="W887" s="1"/>
      <c r="X887" s="1"/>
      <c r="Y887" s="1"/>
    </row>
    <row r="888" spans="1:25">
      <c r="A888" s="57"/>
      <c r="B888" s="68"/>
      <c r="C888" s="68"/>
      <c r="D888" s="68"/>
      <c r="E888" s="68"/>
      <c r="F888" s="68"/>
      <c r="G888" s="68"/>
      <c r="H888" s="68"/>
      <c r="I888" s="68"/>
      <c r="J888" s="68"/>
      <c r="K888" s="68"/>
      <c r="L888" s="56"/>
      <c r="M888" s="26"/>
      <c r="N888" s="26"/>
      <c r="O888" s="68"/>
      <c r="P888" s="1"/>
      <c r="Q888" s="8"/>
      <c r="R888" s="66"/>
      <c r="S888" s="1"/>
      <c r="T888" s="66"/>
      <c r="U888" s="8"/>
      <c r="V888" s="56"/>
      <c r="W888" s="1"/>
      <c r="X888" s="1"/>
      <c r="Y888" s="1"/>
    </row>
    <row r="889" spans="1:25">
      <c r="A889" s="57"/>
      <c r="B889" s="68"/>
      <c r="C889" s="68"/>
      <c r="D889" s="68"/>
      <c r="E889" s="68"/>
      <c r="F889" s="68"/>
      <c r="G889" s="68"/>
      <c r="H889" s="68"/>
      <c r="I889" s="68"/>
      <c r="J889" s="68"/>
      <c r="K889" s="68"/>
      <c r="L889" s="56"/>
      <c r="M889" s="26"/>
      <c r="N889" s="26"/>
      <c r="O889" s="68"/>
      <c r="P889" s="1"/>
      <c r="Q889" s="8"/>
      <c r="R889" s="66"/>
      <c r="S889" s="1"/>
      <c r="T889" s="66"/>
      <c r="U889" s="8"/>
      <c r="V889" s="56"/>
      <c r="W889" s="1"/>
      <c r="X889" s="1"/>
      <c r="Y889" s="1"/>
    </row>
    <row r="890" spans="1:25">
      <c r="A890" s="57"/>
      <c r="B890" s="68"/>
      <c r="C890" s="68"/>
      <c r="D890" s="68"/>
      <c r="E890" s="68"/>
      <c r="F890" s="68"/>
      <c r="G890" s="68"/>
      <c r="H890" s="68"/>
      <c r="I890" s="68"/>
      <c r="J890" s="68"/>
      <c r="K890" s="68"/>
      <c r="L890" s="56"/>
      <c r="M890" s="26"/>
      <c r="N890" s="26"/>
      <c r="O890" s="68"/>
      <c r="P890" s="1"/>
      <c r="Q890" s="8"/>
      <c r="R890" s="66"/>
      <c r="S890" s="1"/>
      <c r="T890" s="66"/>
      <c r="U890" s="8"/>
      <c r="V890" s="56"/>
      <c r="W890" s="1"/>
      <c r="X890" s="1"/>
      <c r="Y890" s="1"/>
    </row>
    <row r="891" spans="1:25">
      <c r="A891" s="57"/>
      <c r="B891" s="68"/>
      <c r="C891" s="68"/>
      <c r="D891" s="68"/>
      <c r="E891" s="68"/>
      <c r="F891" s="68"/>
      <c r="G891" s="68"/>
      <c r="H891" s="68"/>
      <c r="I891" s="68"/>
      <c r="J891" s="68"/>
      <c r="K891" s="68"/>
      <c r="L891" s="56"/>
      <c r="M891" s="26"/>
      <c r="N891" s="26"/>
      <c r="O891" s="68"/>
      <c r="P891" s="1"/>
      <c r="Q891" s="8"/>
      <c r="R891" s="66"/>
      <c r="S891" s="1"/>
      <c r="T891" s="66"/>
      <c r="U891" s="8"/>
      <c r="V891" s="56"/>
      <c r="W891" s="1"/>
      <c r="X891" s="1"/>
      <c r="Y891" s="1"/>
    </row>
    <row r="892" spans="1:25">
      <c r="A892" s="57"/>
      <c r="B892" s="68"/>
      <c r="C892" s="68"/>
      <c r="D892" s="68"/>
      <c r="E892" s="68"/>
      <c r="F892" s="68"/>
      <c r="G892" s="68"/>
      <c r="H892" s="68"/>
      <c r="I892" s="68"/>
      <c r="J892" s="68"/>
      <c r="K892" s="68"/>
      <c r="L892" s="56"/>
      <c r="M892" s="26"/>
      <c r="N892" s="26"/>
      <c r="O892" s="68"/>
      <c r="P892" s="1"/>
      <c r="Q892" s="8"/>
      <c r="R892" s="66"/>
      <c r="S892" s="1"/>
      <c r="T892" s="66"/>
      <c r="U892" s="8"/>
      <c r="V892" s="56"/>
      <c r="W892" s="1"/>
      <c r="X892" s="1"/>
      <c r="Y892" s="1"/>
    </row>
    <row r="893" spans="1:25">
      <c r="A893" s="57"/>
      <c r="B893" s="68"/>
      <c r="C893" s="68"/>
      <c r="D893" s="68"/>
      <c r="E893" s="68"/>
      <c r="F893" s="68"/>
      <c r="G893" s="68"/>
      <c r="H893" s="68"/>
      <c r="I893" s="68"/>
      <c r="J893" s="68"/>
      <c r="K893" s="68"/>
      <c r="L893" s="56"/>
      <c r="M893" s="26"/>
      <c r="N893" s="26"/>
      <c r="O893" s="68"/>
      <c r="P893" s="1"/>
      <c r="Q893" s="8"/>
      <c r="R893" s="66"/>
      <c r="S893" s="1"/>
      <c r="T893" s="66"/>
      <c r="U893" s="8"/>
      <c r="V893" s="56"/>
      <c r="W893" s="1"/>
      <c r="X893" s="1"/>
      <c r="Y893" s="1"/>
    </row>
    <row r="894" spans="1:25">
      <c r="A894" s="57"/>
      <c r="B894" s="68"/>
      <c r="C894" s="68"/>
      <c r="D894" s="68"/>
      <c r="E894" s="68"/>
      <c r="F894" s="68"/>
      <c r="G894" s="68"/>
      <c r="H894" s="68"/>
      <c r="I894" s="68"/>
      <c r="J894" s="68"/>
      <c r="K894" s="68"/>
      <c r="L894" s="56"/>
      <c r="M894" s="26"/>
      <c r="N894" s="26"/>
      <c r="O894" s="68"/>
      <c r="P894" s="1"/>
      <c r="Q894" s="8"/>
      <c r="R894" s="66"/>
      <c r="S894" s="1"/>
      <c r="T894" s="66"/>
      <c r="U894" s="8"/>
      <c r="V894" s="56"/>
      <c r="W894" s="1"/>
      <c r="X894" s="1"/>
      <c r="Y894" s="1"/>
    </row>
    <row r="895" spans="1:25">
      <c r="A895" s="57"/>
      <c r="B895" s="68"/>
      <c r="C895" s="68"/>
      <c r="D895" s="68"/>
      <c r="E895" s="68"/>
      <c r="F895" s="68"/>
      <c r="G895" s="68"/>
      <c r="H895" s="68"/>
      <c r="I895" s="68"/>
      <c r="J895" s="68"/>
      <c r="K895" s="68"/>
      <c r="L895" s="56"/>
      <c r="M895" s="26"/>
      <c r="N895" s="26"/>
      <c r="O895" s="68"/>
      <c r="P895" s="1"/>
      <c r="Q895" s="8"/>
      <c r="R895" s="66"/>
      <c r="S895" s="1"/>
      <c r="T895" s="66"/>
      <c r="U895" s="8"/>
      <c r="V895" s="56"/>
      <c r="W895" s="1"/>
      <c r="X895" s="1"/>
      <c r="Y895" s="1"/>
    </row>
    <row r="896" spans="1:25">
      <c r="A896" s="57"/>
      <c r="B896" s="68"/>
      <c r="C896" s="68"/>
      <c r="D896" s="68"/>
      <c r="E896" s="68"/>
      <c r="F896" s="68"/>
      <c r="G896" s="68"/>
      <c r="H896" s="68"/>
      <c r="I896" s="68"/>
      <c r="J896" s="68"/>
      <c r="K896" s="68"/>
      <c r="L896" s="56"/>
      <c r="M896" s="26"/>
      <c r="N896" s="26"/>
      <c r="O896" s="68"/>
      <c r="P896" s="1"/>
      <c r="Q896" s="8"/>
      <c r="R896" s="66"/>
      <c r="S896" s="1"/>
      <c r="T896" s="66"/>
      <c r="U896" s="8"/>
      <c r="V896" s="56"/>
      <c r="W896" s="1"/>
      <c r="X896" s="1"/>
      <c r="Y896" s="1"/>
    </row>
    <row r="897" spans="1:25">
      <c r="A897" s="57"/>
      <c r="B897" s="68"/>
      <c r="C897" s="68"/>
      <c r="D897" s="68"/>
      <c r="E897" s="68"/>
      <c r="F897" s="68"/>
      <c r="G897" s="68"/>
      <c r="H897" s="68"/>
      <c r="I897" s="68"/>
      <c r="J897" s="68"/>
      <c r="K897" s="68"/>
      <c r="L897" s="56"/>
      <c r="M897" s="26"/>
      <c r="N897" s="26"/>
      <c r="O897" s="68"/>
      <c r="P897" s="1"/>
      <c r="Q897" s="8"/>
      <c r="R897" s="66"/>
      <c r="S897" s="1"/>
      <c r="T897" s="66"/>
      <c r="U897" s="8"/>
      <c r="V897" s="56"/>
      <c r="W897" s="1"/>
      <c r="X897" s="1"/>
      <c r="Y897" s="1"/>
    </row>
    <row r="898" spans="1:25">
      <c r="A898" s="57"/>
      <c r="B898" s="68"/>
      <c r="C898" s="68"/>
      <c r="D898" s="68"/>
      <c r="E898" s="68"/>
      <c r="F898" s="68"/>
      <c r="G898" s="68"/>
      <c r="H898" s="68"/>
      <c r="I898" s="68"/>
      <c r="J898" s="68"/>
      <c r="K898" s="68"/>
      <c r="L898" s="56"/>
      <c r="M898" s="26"/>
      <c r="N898" s="26"/>
      <c r="O898" s="68"/>
      <c r="P898" s="1"/>
      <c r="Q898" s="8"/>
      <c r="R898" s="66"/>
      <c r="S898" s="1"/>
      <c r="T898" s="66"/>
      <c r="U898" s="8"/>
      <c r="V898" s="56"/>
      <c r="W898" s="1"/>
      <c r="X898" s="1"/>
      <c r="Y898" s="1"/>
    </row>
    <row r="899" spans="1:25">
      <c r="A899" s="57"/>
      <c r="B899" s="68"/>
      <c r="C899" s="68"/>
      <c r="D899" s="68"/>
      <c r="E899" s="68"/>
      <c r="F899" s="68"/>
      <c r="G899" s="68"/>
      <c r="H899" s="68"/>
      <c r="I899" s="68"/>
      <c r="J899" s="68"/>
      <c r="K899" s="68"/>
      <c r="L899" s="56"/>
      <c r="M899" s="26"/>
      <c r="N899" s="26"/>
      <c r="O899" s="68"/>
      <c r="P899" s="1"/>
      <c r="Q899" s="8"/>
      <c r="R899" s="66"/>
      <c r="S899" s="1"/>
      <c r="T899" s="66"/>
      <c r="U899" s="8"/>
      <c r="V899" s="56"/>
      <c r="W899" s="1"/>
      <c r="X899" s="1"/>
      <c r="Y899" s="1"/>
    </row>
    <row r="900" spans="1:25">
      <c r="A900" s="57"/>
      <c r="B900" s="68"/>
      <c r="C900" s="68"/>
      <c r="D900" s="68"/>
      <c r="E900" s="68"/>
      <c r="F900" s="68"/>
      <c r="G900" s="68"/>
      <c r="H900" s="68"/>
      <c r="I900" s="68"/>
      <c r="J900" s="68"/>
      <c r="K900" s="68"/>
      <c r="L900" s="56"/>
      <c r="M900" s="26"/>
      <c r="N900" s="26"/>
      <c r="O900" s="68"/>
      <c r="P900" s="1"/>
      <c r="Q900" s="8"/>
      <c r="R900" s="66"/>
      <c r="S900" s="1"/>
      <c r="T900" s="66"/>
      <c r="U900" s="8"/>
      <c r="V900" s="56"/>
      <c r="W900" s="1"/>
      <c r="X900" s="1"/>
      <c r="Y900" s="1"/>
    </row>
    <row r="901" spans="1:25">
      <c r="A901" s="57"/>
      <c r="B901" s="68"/>
      <c r="C901" s="68"/>
      <c r="D901" s="68"/>
      <c r="E901" s="68"/>
      <c r="F901" s="68"/>
      <c r="G901" s="68"/>
      <c r="H901" s="68"/>
      <c r="I901" s="68"/>
      <c r="J901" s="68"/>
      <c r="K901" s="68"/>
      <c r="L901" s="56"/>
      <c r="M901" s="26"/>
      <c r="N901" s="26"/>
      <c r="O901" s="68"/>
      <c r="P901" s="1"/>
      <c r="Q901" s="8"/>
      <c r="R901" s="66"/>
      <c r="S901" s="1"/>
      <c r="T901" s="66"/>
      <c r="U901" s="8"/>
      <c r="V901" s="56"/>
      <c r="W901" s="1"/>
      <c r="X901" s="1"/>
      <c r="Y901" s="1"/>
    </row>
    <row r="902" spans="1:25">
      <c r="A902" s="57"/>
      <c r="B902" s="68"/>
      <c r="C902" s="68"/>
      <c r="D902" s="68"/>
      <c r="E902" s="68"/>
      <c r="F902" s="68"/>
      <c r="G902" s="68"/>
      <c r="H902" s="68"/>
      <c r="I902" s="68"/>
      <c r="J902" s="68"/>
      <c r="K902" s="68"/>
      <c r="L902" s="56"/>
      <c r="M902" s="26"/>
      <c r="N902" s="26"/>
      <c r="O902" s="68"/>
      <c r="P902" s="1"/>
      <c r="Q902" s="8"/>
      <c r="R902" s="66"/>
      <c r="S902" s="1"/>
      <c r="T902" s="66"/>
      <c r="U902" s="8"/>
      <c r="V902" s="56"/>
      <c r="W902" s="1"/>
      <c r="X902" s="1"/>
      <c r="Y902" s="1"/>
    </row>
    <row r="903" spans="1:25">
      <c r="A903" s="57"/>
      <c r="B903" s="68"/>
      <c r="C903" s="68"/>
      <c r="D903" s="68"/>
      <c r="E903" s="68"/>
      <c r="F903" s="68"/>
      <c r="G903" s="68"/>
      <c r="H903" s="68"/>
      <c r="I903" s="68"/>
      <c r="J903" s="68"/>
      <c r="K903" s="68"/>
      <c r="L903" s="56"/>
      <c r="M903" s="26"/>
      <c r="N903" s="26"/>
      <c r="O903" s="68"/>
      <c r="P903" s="1"/>
      <c r="Q903" s="8"/>
      <c r="R903" s="66"/>
      <c r="S903" s="1"/>
      <c r="T903" s="66"/>
      <c r="U903" s="8"/>
      <c r="V903" s="56"/>
      <c r="W903" s="1"/>
      <c r="X903" s="1"/>
      <c r="Y903" s="1"/>
    </row>
    <row r="904" spans="1:25">
      <c r="A904" s="57"/>
      <c r="B904" s="68"/>
      <c r="C904" s="68"/>
      <c r="D904" s="68"/>
      <c r="E904" s="68"/>
      <c r="F904" s="68"/>
      <c r="G904" s="68"/>
      <c r="H904" s="68"/>
      <c r="I904" s="68"/>
      <c r="J904" s="68"/>
      <c r="K904" s="68"/>
      <c r="L904" s="56"/>
      <c r="M904" s="26"/>
      <c r="N904" s="26"/>
      <c r="O904" s="68"/>
      <c r="P904" s="1"/>
      <c r="Q904" s="8"/>
      <c r="R904" s="66"/>
      <c r="S904" s="1"/>
      <c r="T904" s="66"/>
      <c r="U904" s="8"/>
      <c r="V904" s="56"/>
      <c r="W904" s="1"/>
      <c r="X904" s="1"/>
      <c r="Y904" s="1"/>
    </row>
    <row r="905" spans="1:25">
      <c r="A905" s="57"/>
      <c r="B905" s="68"/>
      <c r="C905" s="68"/>
      <c r="D905" s="68"/>
      <c r="E905" s="68"/>
      <c r="F905" s="68"/>
      <c r="G905" s="68"/>
      <c r="H905" s="68"/>
      <c r="I905" s="68"/>
      <c r="J905" s="68"/>
      <c r="K905" s="68"/>
      <c r="L905" s="56"/>
      <c r="M905" s="26"/>
      <c r="N905" s="26"/>
      <c r="O905" s="68"/>
      <c r="P905" s="1"/>
      <c r="Q905" s="8"/>
      <c r="R905" s="66"/>
      <c r="S905" s="1"/>
      <c r="T905" s="66"/>
      <c r="U905" s="8"/>
      <c r="V905" s="56"/>
      <c r="W905" s="1"/>
      <c r="X905" s="1"/>
      <c r="Y905" s="1"/>
    </row>
    <row r="906" spans="1:25">
      <c r="A906" s="57"/>
      <c r="B906" s="68"/>
      <c r="C906" s="68"/>
      <c r="D906" s="68"/>
      <c r="E906" s="68"/>
      <c r="F906" s="68"/>
      <c r="G906" s="68"/>
      <c r="H906" s="68"/>
      <c r="I906" s="68"/>
      <c r="J906" s="68"/>
      <c r="K906" s="68"/>
      <c r="L906" s="56"/>
      <c r="M906" s="26"/>
      <c r="N906" s="26"/>
      <c r="O906" s="68"/>
      <c r="P906" s="1"/>
      <c r="Q906" s="8"/>
      <c r="R906" s="66"/>
      <c r="S906" s="1"/>
      <c r="T906" s="66"/>
      <c r="U906" s="8"/>
      <c r="V906" s="56"/>
      <c r="W906" s="1"/>
      <c r="X906" s="1"/>
      <c r="Y906" s="1"/>
    </row>
    <row r="907" spans="1:25">
      <c r="A907" s="57"/>
      <c r="B907" s="68"/>
      <c r="C907" s="68"/>
      <c r="D907" s="68"/>
      <c r="E907" s="68"/>
      <c r="F907" s="68"/>
      <c r="G907" s="68"/>
      <c r="H907" s="68"/>
      <c r="I907" s="68"/>
      <c r="J907" s="68"/>
      <c r="K907" s="68"/>
      <c r="L907" s="56"/>
      <c r="M907" s="26"/>
      <c r="N907" s="26"/>
      <c r="O907" s="68"/>
      <c r="P907" s="1"/>
      <c r="Q907" s="8"/>
      <c r="R907" s="66"/>
      <c r="S907" s="1"/>
      <c r="T907" s="66"/>
      <c r="U907" s="8"/>
      <c r="V907" s="56"/>
      <c r="W907" s="1"/>
      <c r="X907" s="1"/>
      <c r="Y907" s="1"/>
    </row>
    <row r="908" spans="1:25">
      <c r="A908" s="57"/>
      <c r="B908" s="68"/>
      <c r="C908" s="68"/>
      <c r="D908" s="68"/>
      <c r="E908" s="68"/>
      <c r="F908" s="68"/>
      <c r="G908" s="68"/>
      <c r="H908" s="68"/>
      <c r="I908" s="68"/>
      <c r="J908" s="68"/>
      <c r="K908" s="68"/>
      <c r="L908" s="56"/>
      <c r="M908" s="26"/>
      <c r="N908" s="26"/>
      <c r="O908" s="68"/>
      <c r="P908" s="1"/>
      <c r="Q908" s="8"/>
      <c r="R908" s="66"/>
      <c r="S908" s="1"/>
      <c r="T908" s="66"/>
      <c r="U908" s="8"/>
      <c r="V908" s="56"/>
      <c r="W908" s="1"/>
      <c r="X908" s="1"/>
      <c r="Y908" s="1"/>
    </row>
    <row r="909" spans="1:25">
      <c r="A909" s="57"/>
      <c r="B909" s="68"/>
      <c r="C909" s="68"/>
      <c r="D909" s="68"/>
      <c r="E909" s="68"/>
      <c r="F909" s="68"/>
      <c r="G909" s="68"/>
      <c r="H909" s="68"/>
      <c r="I909" s="68"/>
      <c r="J909" s="68"/>
      <c r="K909" s="68"/>
      <c r="L909" s="56"/>
      <c r="M909" s="26"/>
      <c r="N909" s="26"/>
      <c r="O909" s="68"/>
      <c r="P909" s="1"/>
      <c r="Q909" s="8"/>
      <c r="R909" s="66"/>
      <c r="S909" s="1"/>
      <c r="T909" s="66"/>
      <c r="U909" s="8"/>
      <c r="V909" s="56"/>
      <c r="W909" s="1"/>
      <c r="X909" s="1"/>
      <c r="Y909" s="1"/>
    </row>
    <row r="910" spans="1:25">
      <c r="A910" s="57"/>
      <c r="B910" s="68"/>
      <c r="C910" s="68"/>
      <c r="D910" s="68"/>
      <c r="E910" s="68"/>
      <c r="F910" s="68"/>
      <c r="G910" s="68"/>
      <c r="H910" s="68"/>
      <c r="I910" s="68"/>
      <c r="J910" s="68"/>
      <c r="K910" s="68"/>
      <c r="L910" s="56"/>
      <c r="M910" s="26"/>
      <c r="N910" s="26"/>
      <c r="O910" s="68"/>
      <c r="P910" s="1"/>
      <c r="Q910" s="8"/>
      <c r="R910" s="66"/>
      <c r="S910" s="1"/>
      <c r="T910" s="66"/>
      <c r="U910" s="8"/>
      <c r="V910" s="56"/>
      <c r="W910" s="1"/>
      <c r="X910" s="1"/>
      <c r="Y910" s="1"/>
    </row>
    <row r="911" spans="1:25">
      <c r="A911" s="57"/>
      <c r="B911" s="68"/>
      <c r="C911" s="68"/>
      <c r="D911" s="68"/>
      <c r="E911" s="68"/>
      <c r="F911" s="68"/>
      <c r="G911" s="68"/>
      <c r="H911" s="68"/>
      <c r="I911" s="68"/>
      <c r="J911" s="68"/>
      <c r="K911" s="68"/>
      <c r="L911" s="56"/>
      <c r="M911" s="26"/>
      <c r="N911" s="26"/>
      <c r="O911" s="68"/>
      <c r="P911" s="1"/>
      <c r="Q911" s="8"/>
      <c r="R911" s="66"/>
      <c r="S911" s="1"/>
      <c r="T911" s="66"/>
      <c r="U911" s="8"/>
      <c r="V911" s="56"/>
      <c r="W911" s="1"/>
      <c r="X911" s="1"/>
      <c r="Y911" s="1"/>
    </row>
    <row r="912" spans="1:25">
      <c r="A912" s="57"/>
      <c r="B912" s="68"/>
      <c r="C912" s="68"/>
      <c r="D912" s="68"/>
      <c r="E912" s="68"/>
      <c r="F912" s="68"/>
      <c r="G912" s="68"/>
      <c r="H912" s="68"/>
      <c r="I912" s="68"/>
      <c r="J912" s="68"/>
      <c r="K912" s="68"/>
      <c r="L912" s="56"/>
      <c r="M912" s="26"/>
      <c r="N912" s="26"/>
      <c r="O912" s="68"/>
      <c r="P912" s="1"/>
      <c r="Q912" s="8"/>
      <c r="R912" s="66"/>
      <c r="S912" s="1"/>
      <c r="T912" s="66"/>
      <c r="U912" s="8"/>
      <c r="V912" s="56"/>
      <c r="W912" s="1"/>
      <c r="X912" s="1"/>
      <c r="Y912" s="1"/>
    </row>
    <row r="913" spans="1:25">
      <c r="A913" s="57"/>
      <c r="B913" s="68"/>
      <c r="C913" s="68"/>
      <c r="D913" s="68"/>
      <c r="E913" s="68"/>
      <c r="F913" s="68"/>
      <c r="G913" s="68"/>
      <c r="H913" s="68"/>
      <c r="I913" s="68"/>
      <c r="J913" s="68"/>
      <c r="K913" s="68"/>
      <c r="L913" s="56"/>
      <c r="M913" s="26"/>
      <c r="N913" s="26"/>
      <c r="O913" s="68"/>
      <c r="P913" s="1"/>
      <c r="Q913" s="8"/>
      <c r="R913" s="66"/>
      <c r="S913" s="1"/>
      <c r="T913" s="66"/>
      <c r="U913" s="8"/>
      <c r="V913" s="56"/>
      <c r="W913" s="1"/>
      <c r="X913" s="1"/>
      <c r="Y913" s="1"/>
    </row>
    <row r="914" spans="1:25">
      <c r="A914" s="57"/>
      <c r="B914" s="68"/>
      <c r="C914" s="68"/>
      <c r="D914" s="68"/>
      <c r="E914" s="68"/>
      <c r="F914" s="68"/>
      <c r="G914" s="68"/>
      <c r="H914" s="68"/>
      <c r="I914" s="68"/>
      <c r="J914" s="68"/>
      <c r="K914" s="68"/>
      <c r="L914" s="56"/>
      <c r="M914" s="26"/>
      <c r="N914" s="26"/>
      <c r="O914" s="68"/>
      <c r="P914" s="1"/>
      <c r="Q914" s="8"/>
      <c r="R914" s="66"/>
      <c r="S914" s="1"/>
      <c r="T914" s="66"/>
      <c r="U914" s="8"/>
      <c r="V914" s="56"/>
      <c r="W914" s="1"/>
      <c r="X914" s="1"/>
      <c r="Y914" s="1"/>
    </row>
    <row r="915" spans="1:25">
      <c r="A915" s="57"/>
      <c r="B915" s="68"/>
      <c r="C915" s="68"/>
      <c r="D915" s="68"/>
      <c r="E915" s="68"/>
      <c r="F915" s="68"/>
      <c r="G915" s="68"/>
      <c r="H915" s="68"/>
      <c r="I915" s="68"/>
      <c r="J915" s="68"/>
      <c r="K915" s="68"/>
      <c r="L915" s="56"/>
      <c r="M915" s="26"/>
      <c r="N915" s="26"/>
      <c r="O915" s="68"/>
      <c r="P915" s="1"/>
      <c r="Q915" s="8"/>
      <c r="R915" s="66"/>
      <c r="S915" s="1"/>
      <c r="T915" s="66"/>
      <c r="U915" s="8"/>
      <c r="V915" s="56"/>
      <c r="W915" s="1"/>
      <c r="X915" s="1"/>
      <c r="Y915" s="1"/>
    </row>
    <row r="916" spans="1:25">
      <c r="A916" s="57"/>
      <c r="B916" s="68"/>
      <c r="C916" s="68"/>
      <c r="D916" s="68"/>
      <c r="E916" s="68"/>
      <c r="F916" s="68"/>
      <c r="G916" s="68"/>
      <c r="H916" s="68"/>
      <c r="I916" s="68"/>
      <c r="J916" s="68"/>
      <c r="K916" s="68"/>
      <c r="L916" s="56"/>
      <c r="M916" s="26"/>
      <c r="N916" s="26"/>
      <c r="O916" s="68"/>
      <c r="P916" s="1"/>
      <c r="Q916" s="8"/>
      <c r="R916" s="66"/>
      <c r="S916" s="1"/>
      <c r="T916" s="66"/>
      <c r="U916" s="8"/>
      <c r="V916" s="56"/>
      <c r="W916" s="1"/>
      <c r="X916" s="1"/>
      <c r="Y916" s="1"/>
    </row>
    <row r="917" spans="1:25">
      <c r="A917" s="57"/>
      <c r="B917" s="68"/>
      <c r="C917" s="68"/>
      <c r="D917" s="68"/>
      <c r="E917" s="68"/>
      <c r="F917" s="68"/>
      <c r="G917" s="68"/>
      <c r="H917" s="68"/>
      <c r="I917" s="68"/>
      <c r="J917" s="68"/>
      <c r="K917" s="68"/>
      <c r="L917" s="56"/>
      <c r="M917" s="26"/>
      <c r="N917" s="26"/>
      <c r="O917" s="68"/>
      <c r="P917" s="1"/>
      <c r="Q917" s="8"/>
      <c r="R917" s="66"/>
      <c r="S917" s="1"/>
      <c r="T917" s="66"/>
      <c r="U917" s="8"/>
      <c r="V917" s="56"/>
      <c r="W917" s="1"/>
      <c r="X917" s="1"/>
      <c r="Y917" s="1"/>
    </row>
    <row r="918" spans="1:25">
      <c r="A918" s="57"/>
      <c r="B918" s="68"/>
      <c r="C918" s="68"/>
      <c r="D918" s="68"/>
      <c r="E918" s="68"/>
      <c r="F918" s="68"/>
      <c r="G918" s="68"/>
      <c r="H918" s="68"/>
      <c r="I918" s="68"/>
      <c r="J918" s="68"/>
      <c r="K918" s="68"/>
      <c r="L918" s="56"/>
      <c r="M918" s="26"/>
      <c r="N918" s="26"/>
      <c r="O918" s="68"/>
      <c r="P918" s="1"/>
      <c r="Q918" s="8"/>
      <c r="R918" s="66"/>
      <c r="S918" s="1"/>
      <c r="T918" s="66"/>
      <c r="U918" s="8"/>
      <c r="V918" s="56"/>
      <c r="W918" s="1"/>
      <c r="X918" s="1"/>
      <c r="Y918" s="1"/>
    </row>
    <row r="919" spans="1:25">
      <c r="A919" s="57"/>
      <c r="B919" s="68"/>
      <c r="C919" s="68"/>
      <c r="D919" s="68"/>
      <c r="E919" s="68"/>
      <c r="F919" s="68"/>
      <c r="G919" s="68"/>
      <c r="H919" s="68"/>
      <c r="I919" s="68"/>
      <c r="J919" s="68"/>
      <c r="K919" s="68"/>
      <c r="L919" s="56"/>
      <c r="M919" s="26"/>
      <c r="N919" s="26"/>
      <c r="O919" s="68"/>
      <c r="P919" s="1"/>
      <c r="Q919" s="8"/>
      <c r="R919" s="66"/>
      <c r="S919" s="1"/>
      <c r="T919" s="66"/>
      <c r="U919" s="8"/>
      <c r="V919" s="56"/>
      <c r="W919" s="1"/>
      <c r="X919" s="1"/>
      <c r="Y919" s="1"/>
    </row>
    <row r="920" spans="1:25">
      <c r="A920" s="57"/>
      <c r="B920" s="68"/>
      <c r="C920" s="68"/>
      <c r="D920" s="68"/>
      <c r="E920" s="68"/>
      <c r="F920" s="68"/>
      <c r="G920" s="68"/>
      <c r="H920" s="68"/>
      <c r="I920" s="68"/>
      <c r="J920" s="68"/>
      <c r="K920" s="68"/>
      <c r="L920" s="56"/>
      <c r="M920" s="26"/>
      <c r="N920" s="26"/>
      <c r="O920" s="68"/>
      <c r="P920" s="1"/>
      <c r="Q920" s="8"/>
      <c r="R920" s="66"/>
      <c r="S920" s="1"/>
      <c r="T920" s="66"/>
      <c r="U920" s="8"/>
      <c r="V920" s="56"/>
      <c r="W920" s="1"/>
      <c r="X920" s="1"/>
      <c r="Y920" s="1"/>
    </row>
    <row r="921" spans="1:25">
      <c r="A921" s="57"/>
      <c r="B921" s="68"/>
      <c r="C921" s="68"/>
      <c r="D921" s="68"/>
      <c r="E921" s="68"/>
      <c r="F921" s="68"/>
      <c r="G921" s="68"/>
      <c r="H921" s="68"/>
      <c r="I921" s="68"/>
      <c r="J921" s="68"/>
      <c r="K921" s="68"/>
      <c r="L921" s="56"/>
      <c r="M921" s="26"/>
      <c r="N921" s="26"/>
      <c r="O921" s="68"/>
      <c r="P921" s="1"/>
      <c r="Q921" s="8"/>
      <c r="R921" s="66"/>
      <c r="S921" s="1"/>
      <c r="T921" s="66"/>
      <c r="U921" s="8"/>
      <c r="V921" s="56"/>
      <c r="W921" s="1"/>
      <c r="X921" s="1"/>
      <c r="Y921" s="1"/>
    </row>
    <row r="922" spans="1:25">
      <c r="A922" s="57"/>
      <c r="B922" s="68"/>
      <c r="C922" s="68"/>
      <c r="D922" s="68"/>
      <c r="E922" s="68"/>
      <c r="F922" s="68"/>
      <c r="G922" s="68"/>
      <c r="H922" s="68"/>
      <c r="I922" s="68"/>
      <c r="J922" s="68"/>
      <c r="K922" s="68"/>
      <c r="L922" s="56"/>
      <c r="M922" s="26"/>
      <c r="N922" s="26"/>
      <c r="O922" s="68"/>
      <c r="P922" s="1"/>
      <c r="Q922" s="8"/>
      <c r="R922" s="66"/>
      <c r="S922" s="1"/>
      <c r="T922" s="66"/>
      <c r="U922" s="8"/>
      <c r="V922" s="56"/>
      <c r="W922" s="1"/>
      <c r="X922" s="1"/>
      <c r="Y922" s="1"/>
    </row>
    <row r="923" spans="1:25">
      <c r="A923" s="57"/>
      <c r="B923" s="68"/>
      <c r="C923" s="68"/>
      <c r="D923" s="68"/>
      <c r="E923" s="68"/>
      <c r="F923" s="68"/>
      <c r="G923" s="68"/>
      <c r="H923" s="68"/>
      <c r="I923" s="68"/>
      <c r="J923" s="68"/>
      <c r="K923" s="68"/>
      <c r="L923" s="56"/>
      <c r="M923" s="26"/>
      <c r="N923" s="26"/>
      <c r="O923" s="68"/>
      <c r="P923" s="1"/>
      <c r="Q923" s="8"/>
      <c r="R923" s="66"/>
      <c r="S923" s="1"/>
      <c r="T923" s="66"/>
      <c r="U923" s="8"/>
      <c r="V923" s="56"/>
      <c r="W923" s="1"/>
      <c r="X923" s="1"/>
      <c r="Y923" s="1"/>
    </row>
    <row r="924" spans="1:25">
      <c r="A924" s="57"/>
      <c r="B924" s="68"/>
      <c r="C924" s="68"/>
      <c r="D924" s="68"/>
      <c r="E924" s="68"/>
      <c r="F924" s="68"/>
      <c r="G924" s="68"/>
      <c r="H924" s="68"/>
      <c r="I924" s="68"/>
      <c r="J924" s="68"/>
      <c r="K924" s="68"/>
      <c r="L924" s="56"/>
      <c r="M924" s="26"/>
      <c r="N924" s="26"/>
      <c r="O924" s="68"/>
      <c r="P924" s="1"/>
      <c r="Q924" s="8"/>
      <c r="R924" s="66"/>
      <c r="S924" s="1"/>
      <c r="T924" s="66"/>
      <c r="U924" s="8"/>
      <c r="V924" s="56"/>
      <c r="W924" s="1"/>
      <c r="X924" s="1"/>
      <c r="Y924" s="1"/>
    </row>
    <row r="925" spans="1:25">
      <c r="A925" s="57"/>
      <c r="B925" s="68"/>
      <c r="C925" s="68"/>
      <c r="D925" s="68"/>
      <c r="E925" s="68"/>
      <c r="F925" s="68"/>
      <c r="G925" s="68"/>
      <c r="H925" s="68"/>
      <c r="I925" s="68"/>
      <c r="J925" s="68"/>
      <c r="K925" s="68"/>
      <c r="L925" s="56"/>
      <c r="M925" s="26"/>
      <c r="N925" s="26"/>
      <c r="O925" s="68"/>
      <c r="P925" s="1"/>
      <c r="Q925" s="8"/>
      <c r="R925" s="66"/>
      <c r="S925" s="1"/>
      <c r="T925" s="66"/>
      <c r="U925" s="8"/>
      <c r="V925" s="56"/>
      <c r="W925" s="1"/>
      <c r="X925" s="1"/>
      <c r="Y925" s="1"/>
    </row>
    <row r="926" spans="1:25">
      <c r="A926" s="57"/>
      <c r="B926" s="68"/>
      <c r="C926" s="68"/>
      <c r="D926" s="68"/>
      <c r="E926" s="68"/>
      <c r="F926" s="68"/>
      <c r="G926" s="68"/>
      <c r="H926" s="68"/>
      <c r="I926" s="68"/>
      <c r="J926" s="68"/>
      <c r="K926" s="68"/>
      <c r="L926" s="56"/>
      <c r="M926" s="26"/>
      <c r="N926" s="26"/>
      <c r="O926" s="68"/>
      <c r="P926" s="1"/>
      <c r="Q926" s="8"/>
      <c r="R926" s="66"/>
      <c r="S926" s="1"/>
      <c r="T926" s="66"/>
      <c r="U926" s="8"/>
      <c r="V926" s="56"/>
      <c r="W926" s="1"/>
      <c r="X926" s="1"/>
      <c r="Y926" s="1"/>
    </row>
    <row r="927" spans="1:25">
      <c r="A927" s="57"/>
      <c r="B927" s="68"/>
      <c r="C927" s="68"/>
      <c r="D927" s="68"/>
      <c r="E927" s="68"/>
      <c r="F927" s="68"/>
      <c r="G927" s="68"/>
      <c r="H927" s="68"/>
      <c r="I927" s="68"/>
      <c r="J927" s="68"/>
      <c r="K927" s="68"/>
      <c r="L927" s="56"/>
      <c r="M927" s="26"/>
      <c r="N927" s="26"/>
      <c r="O927" s="68"/>
      <c r="P927" s="1"/>
      <c r="Q927" s="8"/>
      <c r="R927" s="66"/>
      <c r="S927" s="1"/>
      <c r="T927" s="66"/>
      <c r="U927" s="8"/>
      <c r="V927" s="56"/>
      <c r="W927" s="1"/>
      <c r="X927" s="1"/>
      <c r="Y927" s="1"/>
    </row>
    <row r="928" spans="1:25">
      <c r="A928" s="57"/>
      <c r="B928" s="68"/>
      <c r="C928" s="68"/>
      <c r="D928" s="68"/>
      <c r="E928" s="68"/>
      <c r="F928" s="68"/>
      <c r="G928" s="68"/>
      <c r="H928" s="68"/>
      <c r="I928" s="68"/>
      <c r="J928" s="68"/>
      <c r="K928" s="68"/>
      <c r="L928" s="56"/>
      <c r="M928" s="26"/>
      <c r="N928" s="26"/>
      <c r="O928" s="68"/>
      <c r="P928" s="1"/>
      <c r="Q928" s="8"/>
      <c r="R928" s="66"/>
      <c r="S928" s="1"/>
      <c r="T928" s="66"/>
      <c r="U928" s="8"/>
      <c r="V928" s="56"/>
      <c r="W928" s="1"/>
      <c r="X928" s="1"/>
      <c r="Y928" s="1"/>
    </row>
    <row r="929" spans="1:25">
      <c r="A929" s="57"/>
      <c r="B929" s="68"/>
      <c r="C929" s="68"/>
      <c r="D929" s="68"/>
      <c r="E929" s="68"/>
      <c r="F929" s="68"/>
      <c r="G929" s="68"/>
      <c r="H929" s="68"/>
      <c r="I929" s="68"/>
      <c r="J929" s="68"/>
      <c r="K929" s="68"/>
      <c r="L929" s="56"/>
      <c r="M929" s="26"/>
      <c r="N929" s="26"/>
      <c r="O929" s="68"/>
      <c r="P929" s="1"/>
      <c r="Q929" s="8"/>
      <c r="R929" s="66"/>
      <c r="S929" s="1"/>
      <c r="T929" s="66"/>
      <c r="U929" s="8"/>
      <c r="V929" s="56"/>
      <c r="W929" s="1"/>
      <c r="X929" s="1"/>
      <c r="Y929" s="1"/>
    </row>
    <row r="930" spans="1:25">
      <c r="A930" s="57"/>
      <c r="B930" s="68"/>
      <c r="C930" s="68"/>
      <c r="D930" s="68"/>
      <c r="E930" s="68"/>
      <c r="F930" s="68"/>
      <c r="G930" s="68"/>
      <c r="H930" s="68"/>
      <c r="I930" s="68"/>
      <c r="J930" s="68"/>
      <c r="K930" s="68"/>
      <c r="L930" s="56"/>
      <c r="M930" s="26"/>
      <c r="N930" s="26"/>
      <c r="O930" s="68"/>
      <c r="P930" s="1"/>
      <c r="Q930" s="8"/>
      <c r="R930" s="66"/>
      <c r="S930" s="1"/>
      <c r="T930" s="66"/>
      <c r="U930" s="8"/>
      <c r="V930" s="56"/>
      <c r="W930" s="1"/>
      <c r="X930" s="1"/>
      <c r="Y930" s="1"/>
    </row>
    <row r="931" spans="1:25">
      <c r="A931" s="57"/>
      <c r="B931" s="68"/>
      <c r="C931" s="68"/>
      <c r="D931" s="68"/>
      <c r="E931" s="68"/>
      <c r="F931" s="68"/>
      <c r="G931" s="68"/>
      <c r="H931" s="68"/>
      <c r="I931" s="68"/>
      <c r="J931" s="68"/>
      <c r="K931" s="68"/>
      <c r="L931" s="56"/>
      <c r="M931" s="26"/>
      <c r="N931" s="26"/>
      <c r="O931" s="68"/>
      <c r="P931" s="1"/>
      <c r="Q931" s="8"/>
      <c r="R931" s="66"/>
      <c r="S931" s="1"/>
      <c r="T931" s="66"/>
      <c r="U931" s="8"/>
      <c r="V931" s="56"/>
      <c r="W931" s="1"/>
      <c r="X931" s="1"/>
      <c r="Y931" s="1"/>
    </row>
    <row r="932" spans="1:25">
      <c r="A932" s="57"/>
      <c r="B932" s="68"/>
      <c r="C932" s="68"/>
      <c r="D932" s="68"/>
      <c r="E932" s="68"/>
      <c r="F932" s="68"/>
      <c r="G932" s="68"/>
      <c r="H932" s="68"/>
      <c r="I932" s="68"/>
      <c r="J932" s="68"/>
      <c r="K932" s="68"/>
      <c r="L932" s="56"/>
      <c r="M932" s="26"/>
      <c r="N932" s="26"/>
      <c r="O932" s="68"/>
      <c r="P932" s="1"/>
      <c r="Q932" s="8"/>
      <c r="R932" s="66"/>
      <c r="S932" s="1"/>
      <c r="T932" s="66"/>
      <c r="U932" s="8"/>
      <c r="V932" s="56"/>
      <c r="W932" s="1"/>
      <c r="X932" s="1"/>
      <c r="Y932" s="1"/>
    </row>
    <row r="933" spans="1:25">
      <c r="A933" s="57"/>
      <c r="B933" s="68"/>
      <c r="C933" s="68"/>
      <c r="D933" s="68"/>
      <c r="E933" s="68"/>
      <c r="F933" s="68"/>
      <c r="G933" s="68"/>
      <c r="H933" s="68"/>
      <c r="I933" s="68"/>
      <c r="J933" s="68"/>
      <c r="K933" s="68"/>
      <c r="L933" s="56"/>
      <c r="M933" s="26"/>
      <c r="N933" s="26"/>
      <c r="O933" s="68"/>
      <c r="P933" s="1"/>
      <c r="Q933" s="8"/>
      <c r="R933" s="66"/>
      <c r="S933" s="1"/>
      <c r="T933" s="66"/>
      <c r="U933" s="8"/>
      <c r="V933" s="56"/>
      <c r="W933" s="1"/>
      <c r="X933" s="1"/>
      <c r="Y933" s="1"/>
    </row>
    <row r="934" spans="1:25">
      <c r="A934" s="57"/>
      <c r="B934" s="68"/>
      <c r="C934" s="68"/>
      <c r="D934" s="68"/>
      <c r="E934" s="68"/>
      <c r="F934" s="68"/>
      <c r="G934" s="68"/>
      <c r="H934" s="68"/>
      <c r="I934" s="68"/>
      <c r="J934" s="68"/>
      <c r="K934" s="68"/>
      <c r="L934" s="56"/>
      <c r="M934" s="26"/>
      <c r="N934" s="26"/>
      <c r="O934" s="68"/>
      <c r="P934" s="1"/>
      <c r="Q934" s="8"/>
      <c r="R934" s="66"/>
      <c r="S934" s="1"/>
      <c r="T934" s="66"/>
      <c r="U934" s="8"/>
      <c r="V934" s="56"/>
      <c r="W934" s="1"/>
      <c r="X934" s="1"/>
      <c r="Y934" s="1"/>
    </row>
    <row r="935" spans="1:25">
      <c r="A935" s="57"/>
      <c r="B935" s="68"/>
      <c r="C935" s="68"/>
      <c r="D935" s="68"/>
      <c r="E935" s="68"/>
      <c r="F935" s="68"/>
      <c r="G935" s="68"/>
      <c r="H935" s="68"/>
      <c r="I935" s="68"/>
      <c r="J935" s="68"/>
      <c r="K935" s="68"/>
      <c r="L935" s="56"/>
      <c r="M935" s="26"/>
      <c r="N935" s="26"/>
      <c r="O935" s="68"/>
      <c r="P935" s="1"/>
      <c r="Q935" s="8"/>
      <c r="R935" s="66"/>
      <c r="S935" s="1"/>
      <c r="T935" s="66"/>
      <c r="U935" s="8"/>
      <c r="V935" s="56"/>
      <c r="W935" s="1"/>
      <c r="X935" s="1"/>
      <c r="Y935" s="1"/>
    </row>
    <row r="936" spans="1:25">
      <c r="A936" s="57"/>
      <c r="B936" s="68"/>
      <c r="C936" s="68"/>
      <c r="D936" s="68"/>
      <c r="E936" s="68"/>
      <c r="F936" s="68"/>
      <c r="G936" s="68"/>
      <c r="H936" s="68"/>
      <c r="I936" s="68"/>
      <c r="J936" s="68"/>
      <c r="K936" s="68"/>
      <c r="L936" s="56"/>
      <c r="M936" s="26"/>
      <c r="N936" s="26"/>
      <c r="O936" s="68"/>
      <c r="P936" s="1"/>
      <c r="Q936" s="8"/>
      <c r="R936" s="66"/>
      <c r="S936" s="1"/>
      <c r="T936" s="66"/>
      <c r="U936" s="8"/>
      <c r="V936" s="56"/>
      <c r="W936" s="1"/>
      <c r="X936" s="1"/>
      <c r="Y936" s="1"/>
    </row>
    <row r="937" spans="1:25">
      <c r="A937" s="57"/>
      <c r="B937" s="68"/>
      <c r="C937" s="68"/>
      <c r="D937" s="68"/>
      <c r="E937" s="68"/>
      <c r="F937" s="68"/>
      <c r="G937" s="68"/>
      <c r="H937" s="68"/>
      <c r="I937" s="68"/>
      <c r="J937" s="68"/>
      <c r="K937" s="68"/>
      <c r="L937" s="56"/>
      <c r="M937" s="26"/>
      <c r="N937" s="26"/>
      <c r="O937" s="68"/>
      <c r="P937" s="1"/>
      <c r="Q937" s="8"/>
      <c r="R937" s="66"/>
      <c r="S937" s="1"/>
      <c r="T937" s="66"/>
      <c r="U937" s="8"/>
      <c r="V937" s="56"/>
      <c r="W937" s="1"/>
      <c r="X937" s="1"/>
      <c r="Y937" s="1"/>
    </row>
    <row r="938" spans="1:25">
      <c r="A938" s="57"/>
      <c r="B938" s="68"/>
      <c r="C938" s="68"/>
      <c r="D938" s="68"/>
      <c r="E938" s="68"/>
      <c r="F938" s="68"/>
      <c r="G938" s="68"/>
      <c r="H938" s="68"/>
      <c r="I938" s="68"/>
      <c r="J938" s="68"/>
      <c r="K938" s="68"/>
      <c r="L938" s="56"/>
      <c r="M938" s="26"/>
      <c r="N938" s="26"/>
      <c r="O938" s="68"/>
      <c r="P938" s="1"/>
      <c r="Q938" s="8"/>
      <c r="R938" s="66"/>
      <c r="S938" s="1"/>
      <c r="T938" s="66"/>
      <c r="U938" s="8"/>
      <c r="V938" s="56"/>
      <c r="W938" s="1"/>
      <c r="X938" s="1"/>
      <c r="Y938" s="1"/>
    </row>
    <row r="939" spans="1:25">
      <c r="A939" s="57"/>
      <c r="B939" s="68"/>
      <c r="C939" s="68"/>
      <c r="D939" s="68"/>
      <c r="E939" s="68"/>
      <c r="F939" s="68"/>
      <c r="G939" s="68"/>
      <c r="H939" s="68"/>
      <c r="I939" s="68"/>
      <c r="J939" s="68"/>
      <c r="K939" s="68"/>
      <c r="L939" s="56"/>
      <c r="M939" s="26"/>
      <c r="N939" s="26"/>
      <c r="O939" s="68"/>
      <c r="P939" s="1"/>
      <c r="Q939" s="8"/>
      <c r="R939" s="66"/>
      <c r="S939" s="1"/>
      <c r="T939" s="66"/>
      <c r="U939" s="8"/>
      <c r="V939" s="56"/>
      <c r="W939" s="1"/>
      <c r="X939" s="1"/>
      <c r="Y939" s="1"/>
    </row>
    <row r="940" spans="1:25">
      <c r="A940" s="57"/>
      <c r="B940" s="68"/>
      <c r="C940" s="68"/>
      <c r="D940" s="68"/>
      <c r="E940" s="68"/>
      <c r="F940" s="68"/>
      <c r="G940" s="68"/>
      <c r="H940" s="68"/>
      <c r="I940" s="68"/>
      <c r="J940" s="68"/>
      <c r="K940" s="68"/>
      <c r="L940" s="56"/>
      <c r="M940" s="26"/>
      <c r="N940" s="26"/>
      <c r="O940" s="68"/>
      <c r="P940" s="1"/>
      <c r="Q940" s="8"/>
      <c r="R940" s="66"/>
      <c r="S940" s="1"/>
      <c r="T940" s="66"/>
      <c r="U940" s="8"/>
      <c r="V940" s="56"/>
      <c r="W940" s="1"/>
      <c r="X940" s="1"/>
      <c r="Y940" s="1"/>
    </row>
    <row r="941" spans="1:25">
      <c r="A941" s="57"/>
      <c r="B941" s="68"/>
      <c r="C941" s="68"/>
      <c r="D941" s="68"/>
      <c r="E941" s="68"/>
      <c r="F941" s="68"/>
      <c r="G941" s="68"/>
      <c r="H941" s="68"/>
      <c r="I941" s="68"/>
      <c r="J941" s="68"/>
      <c r="K941" s="68"/>
      <c r="L941" s="56"/>
      <c r="M941" s="26"/>
      <c r="N941" s="26"/>
      <c r="O941" s="68"/>
      <c r="P941" s="1"/>
      <c r="Q941" s="8"/>
      <c r="R941" s="66"/>
      <c r="S941" s="1"/>
      <c r="T941" s="66"/>
      <c r="U941" s="8"/>
      <c r="V941" s="56"/>
      <c r="W941" s="1"/>
      <c r="X941" s="1"/>
      <c r="Y941" s="1"/>
    </row>
    <row r="942" spans="1:25">
      <c r="A942" s="57"/>
      <c r="B942" s="68"/>
      <c r="C942" s="68"/>
      <c r="D942" s="68"/>
      <c r="E942" s="68"/>
      <c r="F942" s="68"/>
      <c r="G942" s="68"/>
      <c r="H942" s="68"/>
      <c r="I942" s="68"/>
      <c r="J942" s="68"/>
      <c r="K942" s="68"/>
      <c r="L942" s="56"/>
      <c r="M942" s="26"/>
      <c r="N942" s="26"/>
      <c r="O942" s="68"/>
      <c r="P942" s="1"/>
      <c r="Q942" s="8"/>
      <c r="R942" s="66"/>
      <c r="S942" s="1"/>
      <c r="T942" s="66"/>
      <c r="U942" s="8"/>
      <c r="V942" s="56"/>
      <c r="W942" s="1"/>
      <c r="X942" s="1"/>
      <c r="Y942" s="1"/>
    </row>
    <row r="943" spans="1:25">
      <c r="A943" s="57"/>
      <c r="B943" s="68"/>
      <c r="C943" s="68"/>
      <c r="D943" s="68"/>
      <c r="E943" s="68"/>
      <c r="F943" s="68"/>
      <c r="G943" s="68"/>
      <c r="H943" s="68"/>
      <c r="I943" s="68"/>
      <c r="J943" s="68"/>
      <c r="K943" s="68"/>
      <c r="L943" s="56"/>
      <c r="M943" s="26"/>
      <c r="N943" s="26"/>
      <c r="O943" s="68"/>
      <c r="P943" s="1"/>
      <c r="Q943" s="8"/>
      <c r="R943" s="66"/>
      <c r="S943" s="1"/>
      <c r="T943" s="66"/>
      <c r="U943" s="8"/>
      <c r="V943" s="56"/>
      <c r="W943" s="1"/>
      <c r="X943" s="1"/>
      <c r="Y943" s="1"/>
    </row>
    <row r="944" spans="1:25">
      <c r="A944" s="57"/>
      <c r="B944" s="68"/>
      <c r="C944" s="68"/>
      <c r="D944" s="68"/>
      <c r="E944" s="68"/>
      <c r="F944" s="68"/>
      <c r="G944" s="68"/>
      <c r="H944" s="68"/>
      <c r="I944" s="68"/>
      <c r="J944" s="68"/>
      <c r="K944" s="68"/>
      <c r="L944" s="56"/>
      <c r="M944" s="26"/>
      <c r="N944" s="26"/>
      <c r="O944" s="68"/>
      <c r="P944" s="1"/>
      <c r="Q944" s="8"/>
      <c r="R944" s="66"/>
      <c r="S944" s="1"/>
      <c r="T944" s="66"/>
      <c r="U944" s="8"/>
      <c r="V944" s="56"/>
      <c r="W944" s="1"/>
      <c r="X944" s="1"/>
      <c r="Y944" s="1"/>
    </row>
    <row r="945" spans="1:25">
      <c r="A945" s="57"/>
      <c r="B945" s="68"/>
      <c r="C945" s="68"/>
      <c r="D945" s="68"/>
      <c r="E945" s="68"/>
      <c r="F945" s="68"/>
      <c r="G945" s="68"/>
      <c r="H945" s="68"/>
      <c r="I945" s="68"/>
      <c r="J945" s="68"/>
      <c r="K945" s="68"/>
      <c r="L945" s="56"/>
      <c r="M945" s="26"/>
      <c r="N945" s="26"/>
      <c r="O945" s="68"/>
      <c r="P945" s="1"/>
      <c r="Q945" s="8"/>
      <c r="R945" s="66"/>
      <c r="S945" s="1"/>
      <c r="T945" s="66"/>
      <c r="U945" s="8"/>
      <c r="V945" s="56"/>
      <c r="W945" s="1"/>
      <c r="X945" s="1"/>
      <c r="Y945" s="1"/>
    </row>
    <row r="946" spans="1:25">
      <c r="A946" s="57"/>
      <c r="B946" s="68"/>
      <c r="C946" s="68"/>
      <c r="D946" s="68"/>
      <c r="E946" s="68"/>
      <c r="F946" s="68"/>
      <c r="G946" s="68"/>
      <c r="H946" s="68"/>
      <c r="I946" s="68"/>
      <c r="J946" s="68"/>
      <c r="K946" s="68"/>
      <c r="L946" s="56"/>
      <c r="M946" s="26"/>
      <c r="N946" s="26"/>
      <c r="O946" s="68"/>
      <c r="P946" s="1"/>
      <c r="Q946" s="8"/>
      <c r="R946" s="66"/>
      <c r="S946" s="1"/>
      <c r="T946" s="66"/>
      <c r="U946" s="8"/>
      <c r="V946" s="56"/>
      <c r="W946" s="1"/>
      <c r="X946" s="1"/>
      <c r="Y946" s="1"/>
    </row>
    <row r="947" spans="1:25">
      <c r="A947" s="57"/>
      <c r="B947" s="68"/>
      <c r="C947" s="68"/>
      <c r="D947" s="68"/>
      <c r="E947" s="68"/>
      <c r="F947" s="68"/>
      <c r="G947" s="68"/>
      <c r="H947" s="68"/>
      <c r="I947" s="68"/>
      <c r="J947" s="68"/>
      <c r="K947" s="68"/>
      <c r="L947" s="56"/>
      <c r="M947" s="26"/>
      <c r="N947" s="26"/>
      <c r="O947" s="68"/>
      <c r="P947" s="1"/>
      <c r="Q947" s="8"/>
      <c r="R947" s="66"/>
      <c r="S947" s="1"/>
      <c r="T947" s="66"/>
      <c r="U947" s="8"/>
      <c r="V947" s="56"/>
      <c r="W947" s="1"/>
      <c r="X947" s="1"/>
      <c r="Y947" s="1"/>
    </row>
    <row r="948" spans="1:25">
      <c r="A948" s="57"/>
      <c r="B948" s="68"/>
      <c r="C948" s="68"/>
      <c r="D948" s="68"/>
      <c r="E948" s="68"/>
      <c r="F948" s="68"/>
      <c r="G948" s="68"/>
      <c r="H948" s="68"/>
      <c r="I948" s="68"/>
      <c r="J948" s="68"/>
      <c r="K948" s="68"/>
      <c r="L948" s="56"/>
      <c r="M948" s="26"/>
      <c r="N948" s="26"/>
      <c r="O948" s="68"/>
      <c r="P948" s="1"/>
      <c r="Q948" s="8"/>
      <c r="R948" s="66"/>
      <c r="S948" s="1"/>
      <c r="T948" s="66"/>
      <c r="U948" s="8"/>
      <c r="V948" s="56"/>
      <c r="W948" s="1"/>
      <c r="X948" s="1"/>
      <c r="Y948" s="1"/>
    </row>
    <row r="949" spans="1:25">
      <c r="A949" s="57"/>
      <c r="B949" s="68"/>
      <c r="C949" s="68"/>
      <c r="D949" s="68"/>
      <c r="E949" s="68"/>
      <c r="F949" s="68"/>
      <c r="G949" s="68"/>
      <c r="H949" s="68"/>
      <c r="I949" s="68"/>
      <c r="J949" s="68"/>
      <c r="K949" s="68"/>
      <c r="L949" s="56"/>
      <c r="M949" s="26"/>
      <c r="N949" s="26"/>
      <c r="O949" s="68"/>
      <c r="P949" s="1"/>
      <c r="Q949" s="8"/>
      <c r="R949" s="66"/>
      <c r="S949" s="1"/>
      <c r="T949" s="66"/>
      <c r="U949" s="8"/>
      <c r="V949" s="56"/>
      <c r="W949" s="1"/>
      <c r="X949" s="1"/>
      <c r="Y949" s="1"/>
    </row>
    <row r="950" spans="1:25">
      <c r="A950" s="57"/>
      <c r="B950" s="68"/>
      <c r="C950" s="68"/>
      <c r="D950" s="68"/>
      <c r="E950" s="68"/>
      <c r="F950" s="68"/>
      <c r="G950" s="68"/>
      <c r="H950" s="68"/>
      <c r="I950" s="68"/>
      <c r="J950" s="68"/>
      <c r="K950" s="68"/>
      <c r="L950" s="56"/>
      <c r="M950" s="26"/>
      <c r="N950" s="26"/>
      <c r="O950" s="68"/>
      <c r="P950" s="1"/>
      <c r="Q950" s="8"/>
      <c r="R950" s="66"/>
      <c r="S950" s="1"/>
      <c r="T950" s="66"/>
      <c r="U950" s="8"/>
      <c r="V950" s="56"/>
      <c r="W950" s="1"/>
      <c r="X950" s="1"/>
      <c r="Y950" s="1"/>
    </row>
    <row r="951" spans="1:25">
      <c r="A951" s="57"/>
      <c r="B951" s="68"/>
      <c r="C951" s="68"/>
      <c r="D951" s="68"/>
      <c r="E951" s="68"/>
      <c r="F951" s="68"/>
      <c r="G951" s="68"/>
      <c r="H951" s="68"/>
      <c r="I951" s="68"/>
      <c r="J951" s="68"/>
      <c r="K951" s="68"/>
      <c r="L951" s="56"/>
      <c r="M951" s="26"/>
      <c r="N951" s="26"/>
      <c r="O951" s="68"/>
      <c r="P951" s="1"/>
      <c r="Q951" s="8"/>
      <c r="R951" s="66"/>
      <c r="S951" s="1"/>
      <c r="T951" s="66"/>
      <c r="U951" s="8"/>
      <c r="V951" s="56"/>
      <c r="W951" s="1"/>
      <c r="X951" s="1"/>
      <c r="Y951" s="1"/>
    </row>
    <row r="952" spans="1:25">
      <c r="A952" s="57"/>
      <c r="B952" s="68"/>
      <c r="C952" s="68"/>
      <c r="D952" s="68"/>
      <c r="E952" s="68"/>
      <c r="F952" s="68"/>
      <c r="G952" s="68"/>
      <c r="H952" s="68"/>
      <c r="I952" s="68"/>
      <c r="J952" s="68"/>
      <c r="K952" s="68"/>
      <c r="L952" s="56"/>
      <c r="M952" s="26"/>
      <c r="N952" s="26"/>
      <c r="O952" s="68"/>
      <c r="P952" s="1"/>
      <c r="Q952" s="8"/>
      <c r="R952" s="66"/>
      <c r="S952" s="1"/>
      <c r="T952" s="66"/>
      <c r="U952" s="8"/>
      <c r="V952" s="56"/>
      <c r="W952" s="1"/>
      <c r="X952" s="1"/>
      <c r="Y952" s="1"/>
    </row>
    <row r="953" spans="1:25">
      <c r="A953" s="57"/>
      <c r="B953" s="68"/>
      <c r="C953" s="68"/>
      <c r="D953" s="68"/>
      <c r="E953" s="68"/>
      <c r="F953" s="68"/>
      <c r="G953" s="68"/>
      <c r="H953" s="68"/>
      <c r="I953" s="68"/>
      <c r="J953" s="68"/>
      <c r="K953" s="68"/>
      <c r="L953" s="56"/>
      <c r="M953" s="26"/>
      <c r="N953" s="26"/>
      <c r="O953" s="68"/>
      <c r="P953" s="1"/>
      <c r="Q953" s="8"/>
      <c r="R953" s="66"/>
      <c r="S953" s="1"/>
      <c r="T953" s="66"/>
      <c r="U953" s="8"/>
      <c r="V953" s="56"/>
      <c r="W953" s="1"/>
      <c r="X953" s="1"/>
      <c r="Y953" s="1"/>
    </row>
    <row r="954" spans="1:25">
      <c r="A954" s="57"/>
      <c r="B954" s="68"/>
      <c r="C954" s="68"/>
      <c r="D954" s="68"/>
      <c r="E954" s="68"/>
      <c r="F954" s="68"/>
      <c r="G954" s="68"/>
      <c r="H954" s="68"/>
      <c r="I954" s="68"/>
      <c r="J954" s="68"/>
      <c r="K954" s="68"/>
      <c r="L954" s="56"/>
      <c r="M954" s="26"/>
      <c r="N954" s="26"/>
      <c r="O954" s="68"/>
      <c r="P954" s="1"/>
      <c r="Q954" s="8"/>
      <c r="R954" s="66"/>
      <c r="S954" s="1"/>
      <c r="T954" s="66"/>
      <c r="U954" s="8"/>
      <c r="V954" s="56"/>
      <c r="W954" s="1"/>
      <c r="X954" s="1"/>
      <c r="Y954" s="1"/>
    </row>
    <row r="955" spans="1:25">
      <c r="A955" s="57"/>
      <c r="B955" s="68"/>
      <c r="C955" s="68"/>
      <c r="D955" s="68"/>
      <c r="E955" s="68"/>
      <c r="F955" s="68"/>
      <c r="G955" s="68"/>
      <c r="H955" s="68"/>
      <c r="I955" s="68"/>
      <c r="J955" s="68"/>
      <c r="K955" s="68"/>
      <c r="L955" s="56"/>
      <c r="M955" s="26"/>
      <c r="N955" s="26"/>
      <c r="O955" s="68"/>
      <c r="P955" s="1"/>
      <c r="Q955" s="8"/>
      <c r="R955" s="66"/>
      <c r="S955" s="1"/>
      <c r="T955" s="66"/>
      <c r="U955" s="8"/>
      <c r="V955" s="56"/>
      <c r="W955" s="1"/>
      <c r="X955" s="1"/>
      <c r="Y955" s="1"/>
    </row>
    <row r="956" spans="1:25">
      <c r="A956" s="57"/>
      <c r="B956" s="68"/>
      <c r="C956" s="68"/>
      <c r="D956" s="68"/>
      <c r="E956" s="68"/>
      <c r="F956" s="68"/>
      <c r="G956" s="68"/>
      <c r="H956" s="68"/>
      <c r="I956" s="68"/>
      <c r="J956" s="68"/>
      <c r="K956" s="68"/>
      <c r="L956" s="56"/>
      <c r="M956" s="26"/>
      <c r="N956" s="26"/>
      <c r="O956" s="68"/>
      <c r="P956" s="1"/>
      <c r="Q956" s="8"/>
      <c r="R956" s="66"/>
      <c r="S956" s="1"/>
      <c r="T956" s="66"/>
      <c r="U956" s="8"/>
      <c r="V956" s="56"/>
      <c r="W956" s="1"/>
      <c r="X956" s="1"/>
      <c r="Y956" s="1"/>
    </row>
    <row r="957" spans="1:25">
      <c r="A957" s="57"/>
      <c r="B957" s="68"/>
      <c r="C957" s="68"/>
      <c r="D957" s="68"/>
      <c r="E957" s="68"/>
      <c r="F957" s="68"/>
      <c r="G957" s="68"/>
      <c r="H957" s="68"/>
      <c r="I957" s="68"/>
      <c r="J957" s="68"/>
      <c r="K957" s="68"/>
      <c r="L957" s="56"/>
      <c r="M957" s="26"/>
      <c r="N957" s="26"/>
      <c r="O957" s="68"/>
      <c r="P957" s="1"/>
      <c r="Q957" s="8"/>
      <c r="R957" s="66"/>
      <c r="S957" s="1"/>
      <c r="T957" s="66"/>
      <c r="U957" s="8"/>
      <c r="V957" s="56"/>
      <c r="W957" s="1"/>
      <c r="X957" s="1"/>
      <c r="Y957" s="1"/>
    </row>
    <row r="958" spans="1:25">
      <c r="A958" s="57"/>
      <c r="B958" s="68"/>
      <c r="C958" s="68"/>
      <c r="D958" s="68"/>
      <c r="E958" s="68"/>
      <c r="F958" s="68"/>
      <c r="G958" s="68"/>
      <c r="H958" s="68"/>
      <c r="I958" s="68"/>
      <c r="J958" s="68"/>
      <c r="K958" s="68"/>
      <c r="L958" s="56"/>
      <c r="M958" s="26"/>
      <c r="N958" s="26"/>
      <c r="O958" s="68"/>
      <c r="P958" s="1"/>
      <c r="Q958" s="8"/>
      <c r="R958" s="66"/>
      <c r="S958" s="1"/>
      <c r="T958" s="66"/>
      <c r="U958" s="8"/>
      <c r="V958" s="56"/>
      <c r="W958" s="1"/>
      <c r="X958" s="1"/>
      <c r="Y958" s="1"/>
    </row>
    <row r="959" spans="1:25">
      <c r="A959" s="57"/>
      <c r="B959" s="68"/>
      <c r="C959" s="68"/>
      <c r="D959" s="68"/>
      <c r="E959" s="68"/>
      <c r="F959" s="68"/>
      <c r="G959" s="68"/>
      <c r="H959" s="68"/>
      <c r="I959" s="68"/>
      <c r="J959" s="68"/>
      <c r="K959" s="68"/>
      <c r="L959" s="56"/>
      <c r="M959" s="26"/>
      <c r="N959" s="26"/>
      <c r="O959" s="68"/>
      <c r="P959" s="1"/>
      <c r="Q959" s="8"/>
      <c r="R959" s="66"/>
      <c r="S959" s="1"/>
      <c r="T959" s="66"/>
      <c r="U959" s="8"/>
      <c r="V959" s="56"/>
      <c r="W959" s="1"/>
      <c r="X959" s="1"/>
      <c r="Y959" s="1"/>
    </row>
    <row r="960" spans="1:25">
      <c r="A960" s="57"/>
      <c r="B960" s="68"/>
      <c r="C960" s="68"/>
      <c r="D960" s="68"/>
      <c r="E960" s="68"/>
      <c r="F960" s="68"/>
      <c r="G960" s="68"/>
      <c r="H960" s="68"/>
      <c r="I960" s="68"/>
      <c r="J960" s="68"/>
      <c r="K960" s="68"/>
      <c r="L960" s="56"/>
      <c r="M960" s="26"/>
      <c r="N960" s="26"/>
      <c r="O960" s="68"/>
      <c r="P960" s="1"/>
      <c r="Q960" s="8"/>
      <c r="R960" s="66"/>
      <c r="S960" s="1"/>
      <c r="T960" s="66"/>
      <c r="U960" s="8"/>
      <c r="V960" s="56"/>
      <c r="W960" s="1"/>
      <c r="X960" s="1"/>
      <c r="Y960" s="1"/>
    </row>
    <row r="961" spans="1:25">
      <c r="A961" s="57"/>
      <c r="B961" s="68"/>
      <c r="C961" s="68"/>
      <c r="D961" s="68"/>
      <c r="E961" s="68"/>
      <c r="F961" s="68"/>
      <c r="G961" s="68"/>
      <c r="H961" s="68"/>
      <c r="I961" s="68"/>
      <c r="J961" s="68"/>
      <c r="K961" s="68"/>
      <c r="L961" s="56"/>
      <c r="M961" s="26"/>
      <c r="N961" s="26"/>
      <c r="O961" s="68"/>
      <c r="P961" s="1"/>
      <c r="Q961" s="8"/>
      <c r="R961" s="66"/>
      <c r="S961" s="1"/>
      <c r="T961" s="66"/>
      <c r="U961" s="8"/>
      <c r="V961" s="56"/>
      <c r="W961" s="1"/>
      <c r="X961" s="1"/>
      <c r="Y961" s="1"/>
    </row>
    <row r="962" spans="1:25">
      <c r="A962" s="57"/>
      <c r="B962" s="68"/>
      <c r="C962" s="68"/>
      <c r="D962" s="68"/>
      <c r="E962" s="68"/>
      <c r="F962" s="68"/>
      <c r="G962" s="68"/>
      <c r="H962" s="68"/>
      <c r="I962" s="68"/>
      <c r="J962" s="68"/>
      <c r="K962" s="68"/>
      <c r="L962" s="56"/>
      <c r="M962" s="26"/>
      <c r="N962" s="26"/>
      <c r="O962" s="68"/>
      <c r="P962" s="1"/>
      <c r="Q962" s="8"/>
      <c r="R962" s="66"/>
      <c r="S962" s="1"/>
      <c r="T962" s="66"/>
      <c r="U962" s="8"/>
      <c r="V962" s="56"/>
      <c r="W962" s="1"/>
      <c r="X962" s="1"/>
      <c r="Y962" s="1"/>
    </row>
    <row r="963" spans="1:25">
      <c r="A963" s="57"/>
      <c r="B963" s="68"/>
      <c r="C963" s="68"/>
      <c r="D963" s="68"/>
      <c r="E963" s="68"/>
      <c r="F963" s="68"/>
      <c r="G963" s="68"/>
      <c r="H963" s="68"/>
      <c r="I963" s="68"/>
      <c r="J963" s="68"/>
      <c r="K963" s="68"/>
      <c r="L963" s="56"/>
      <c r="M963" s="26"/>
      <c r="N963" s="26"/>
      <c r="O963" s="68"/>
      <c r="P963" s="1"/>
      <c r="Q963" s="8"/>
      <c r="R963" s="66"/>
      <c r="S963" s="1"/>
      <c r="T963" s="66"/>
      <c r="U963" s="8"/>
      <c r="V963" s="56"/>
      <c r="W963" s="1"/>
      <c r="X963" s="1"/>
      <c r="Y963" s="1"/>
    </row>
    <row r="964" spans="1:25">
      <c r="A964" s="57"/>
      <c r="B964" s="68"/>
      <c r="C964" s="68"/>
      <c r="D964" s="68"/>
      <c r="E964" s="68"/>
      <c r="F964" s="68"/>
      <c r="G964" s="68"/>
      <c r="H964" s="68"/>
      <c r="I964" s="68"/>
      <c r="J964" s="68"/>
      <c r="K964" s="68"/>
      <c r="L964" s="56"/>
      <c r="M964" s="26"/>
      <c r="N964" s="26"/>
      <c r="O964" s="68"/>
      <c r="P964" s="1"/>
      <c r="Q964" s="8"/>
      <c r="R964" s="66"/>
      <c r="S964" s="1"/>
      <c r="T964" s="66"/>
      <c r="U964" s="8"/>
      <c r="V964" s="56"/>
      <c r="W964" s="1"/>
      <c r="X964" s="1"/>
      <c r="Y964" s="1"/>
    </row>
    <row r="965" spans="1:25">
      <c r="A965" s="57"/>
      <c r="B965" s="68"/>
      <c r="C965" s="68"/>
      <c r="D965" s="68"/>
      <c r="E965" s="68"/>
      <c r="F965" s="68"/>
      <c r="G965" s="68"/>
      <c r="H965" s="68"/>
      <c r="I965" s="68"/>
      <c r="J965" s="68"/>
      <c r="K965" s="68"/>
      <c r="L965" s="56"/>
      <c r="M965" s="26"/>
      <c r="N965" s="26"/>
      <c r="O965" s="68"/>
      <c r="P965" s="1"/>
      <c r="Q965" s="8"/>
      <c r="R965" s="66"/>
      <c r="S965" s="1"/>
      <c r="T965" s="66"/>
      <c r="U965" s="8"/>
      <c r="V965" s="56"/>
      <c r="W965" s="1"/>
      <c r="X965" s="1"/>
      <c r="Y965" s="1"/>
    </row>
    <row r="966" spans="1:25">
      <c r="A966" s="57"/>
      <c r="B966" s="68"/>
      <c r="C966" s="68"/>
      <c r="D966" s="68"/>
      <c r="E966" s="68"/>
      <c r="F966" s="68"/>
      <c r="G966" s="68"/>
      <c r="H966" s="68"/>
      <c r="I966" s="68"/>
      <c r="J966" s="68"/>
      <c r="K966" s="68"/>
      <c r="L966" s="56"/>
      <c r="M966" s="26"/>
      <c r="N966" s="26"/>
      <c r="O966" s="68"/>
      <c r="P966" s="1"/>
      <c r="Q966" s="8"/>
      <c r="R966" s="66"/>
      <c r="S966" s="1"/>
      <c r="T966" s="66"/>
      <c r="U966" s="8"/>
      <c r="V966" s="56"/>
      <c r="W966" s="1"/>
      <c r="X966" s="1"/>
      <c r="Y966" s="1"/>
    </row>
    <row r="967" spans="1:25">
      <c r="A967" s="57"/>
      <c r="B967" s="68"/>
      <c r="C967" s="68"/>
      <c r="D967" s="68"/>
      <c r="E967" s="68"/>
      <c r="F967" s="68"/>
      <c r="G967" s="68"/>
      <c r="H967" s="68"/>
      <c r="I967" s="68"/>
      <c r="J967" s="68"/>
      <c r="K967" s="68"/>
      <c r="L967" s="56"/>
      <c r="M967" s="26"/>
      <c r="N967" s="26"/>
      <c r="O967" s="68"/>
      <c r="P967" s="1"/>
      <c r="Q967" s="8"/>
      <c r="R967" s="66"/>
      <c r="S967" s="1"/>
      <c r="T967" s="66"/>
      <c r="U967" s="8"/>
      <c r="V967" s="56"/>
      <c r="W967" s="1"/>
      <c r="X967" s="1"/>
      <c r="Y967" s="1"/>
    </row>
    <row r="968" spans="1:25">
      <c r="A968" s="57"/>
      <c r="B968" s="68"/>
      <c r="C968" s="68"/>
      <c r="D968" s="68"/>
      <c r="E968" s="68"/>
      <c r="F968" s="68"/>
      <c r="G968" s="68"/>
      <c r="H968" s="68"/>
      <c r="I968" s="68"/>
      <c r="J968" s="68"/>
      <c r="K968" s="68"/>
      <c r="L968" s="56"/>
      <c r="M968" s="26"/>
      <c r="N968" s="26"/>
      <c r="O968" s="68"/>
      <c r="P968" s="1"/>
      <c r="Q968" s="8"/>
      <c r="R968" s="66"/>
      <c r="S968" s="1"/>
      <c r="T968" s="66"/>
      <c r="U968" s="8"/>
      <c r="V968" s="56"/>
      <c r="W968" s="1"/>
      <c r="X968" s="1"/>
      <c r="Y968" s="1"/>
    </row>
    <row r="969" spans="1:25">
      <c r="A969" s="57"/>
      <c r="B969" s="68"/>
      <c r="C969" s="68"/>
      <c r="D969" s="68"/>
      <c r="E969" s="68"/>
      <c r="F969" s="68"/>
      <c r="G969" s="68"/>
      <c r="H969" s="68"/>
      <c r="I969" s="68"/>
      <c r="J969" s="68"/>
      <c r="K969" s="68"/>
      <c r="L969" s="56"/>
      <c r="M969" s="26"/>
      <c r="N969" s="26"/>
      <c r="O969" s="68"/>
      <c r="P969" s="1"/>
      <c r="Q969" s="8"/>
      <c r="R969" s="66"/>
      <c r="S969" s="1"/>
      <c r="T969" s="66"/>
      <c r="U969" s="8"/>
      <c r="V969" s="56"/>
      <c r="W969" s="1"/>
      <c r="X969" s="1"/>
      <c r="Y969" s="1"/>
    </row>
    <row r="970" spans="1:25">
      <c r="A970" s="57"/>
      <c r="B970" s="68"/>
      <c r="C970" s="68"/>
      <c r="D970" s="68"/>
      <c r="E970" s="68"/>
      <c r="F970" s="68"/>
      <c r="G970" s="68"/>
      <c r="H970" s="68"/>
      <c r="I970" s="68"/>
      <c r="J970" s="68"/>
      <c r="K970" s="68"/>
      <c r="L970" s="56"/>
      <c r="M970" s="26"/>
      <c r="N970" s="26"/>
      <c r="O970" s="68"/>
      <c r="P970" s="1"/>
      <c r="Q970" s="8"/>
      <c r="R970" s="66"/>
      <c r="S970" s="1"/>
      <c r="T970" s="66"/>
      <c r="U970" s="8"/>
      <c r="V970" s="56"/>
      <c r="W970" s="1"/>
      <c r="X970" s="1"/>
      <c r="Y970" s="1"/>
    </row>
    <row r="971" spans="1:25">
      <c r="A971" s="57"/>
      <c r="B971" s="68"/>
      <c r="C971" s="68"/>
      <c r="D971" s="68"/>
      <c r="E971" s="68"/>
      <c r="F971" s="68"/>
      <c r="G971" s="68"/>
      <c r="H971" s="68"/>
      <c r="I971" s="68"/>
      <c r="J971" s="68"/>
      <c r="K971" s="68"/>
      <c r="L971" s="56"/>
      <c r="M971" s="26"/>
      <c r="N971" s="26"/>
      <c r="O971" s="68"/>
      <c r="P971" s="1"/>
      <c r="Q971" s="8"/>
      <c r="R971" s="66"/>
      <c r="S971" s="1"/>
      <c r="T971" s="66"/>
      <c r="U971" s="8"/>
      <c r="V971" s="56"/>
      <c r="W971" s="1"/>
      <c r="X971" s="1"/>
      <c r="Y971" s="1"/>
    </row>
    <row r="972" spans="1:25">
      <c r="A972" s="57"/>
      <c r="B972" s="68"/>
      <c r="C972" s="68"/>
      <c r="D972" s="68"/>
      <c r="E972" s="68"/>
      <c r="F972" s="68"/>
      <c r="G972" s="68"/>
      <c r="H972" s="68"/>
      <c r="I972" s="68"/>
      <c r="J972" s="68"/>
      <c r="K972" s="68"/>
      <c r="L972" s="56"/>
      <c r="M972" s="26"/>
      <c r="N972" s="26"/>
      <c r="O972" s="68"/>
      <c r="P972" s="1"/>
      <c r="Q972" s="8"/>
      <c r="R972" s="66"/>
      <c r="S972" s="1"/>
      <c r="T972" s="66"/>
      <c r="U972" s="8"/>
      <c r="V972" s="56"/>
      <c r="W972" s="1"/>
      <c r="X972" s="1"/>
      <c r="Y972" s="1"/>
    </row>
    <row r="973" spans="1:25">
      <c r="A973" s="57"/>
      <c r="B973" s="68"/>
      <c r="C973" s="68"/>
      <c r="D973" s="68"/>
      <c r="E973" s="68"/>
      <c r="F973" s="68"/>
      <c r="G973" s="68"/>
      <c r="H973" s="68"/>
      <c r="I973" s="68"/>
      <c r="J973" s="68"/>
      <c r="K973" s="68"/>
      <c r="L973" s="56"/>
      <c r="M973" s="26"/>
      <c r="N973" s="26"/>
      <c r="O973" s="68"/>
      <c r="P973" s="1"/>
      <c r="Q973" s="8"/>
      <c r="R973" s="66"/>
      <c r="S973" s="1"/>
      <c r="T973" s="66"/>
      <c r="U973" s="8"/>
      <c r="V973" s="56"/>
      <c r="W973" s="1"/>
      <c r="X973" s="1"/>
      <c r="Y973" s="1"/>
    </row>
    <row r="974" spans="1:25">
      <c r="A974" s="57"/>
      <c r="B974" s="68"/>
      <c r="C974" s="68"/>
      <c r="D974" s="68"/>
      <c r="E974" s="68"/>
      <c r="F974" s="68"/>
      <c r="G974" s="68"/>
      <c r="H974" s="68"/>
      <c r="I974" s="68"/>
      <c r="J974" s="68"/>
      <c r="K974" s="68"/>
      <c r="L974" s="56"/>
      <c r="M974" s="26"/>
      <c r="N974" s="26"/>
      <c r="O974" s="68"/>
      <c r="P974" s="1"/>
      <c r="Q974" s="8"/>
      <c r="R974" s="66"/>
      <c r="S974" s="1"/>
      <c r="T974" s="66"/>
      <c r="U974" s="8"/>
      <c r="V974" s="56"/>
      <c r="W974" s="1"/>
      <c r="X974" s="1"/>
      <c r="Y974" s="1"/>
    </row>
    <row r="975" spans="1:25">
      <c r="A975" s="57"/>
      <c r="B975" s="68"/>
      <c r="C975" s="68"/>
      <c r="D975" s="68"/>
      <c r="E975" s="68"/>
      <c r="F975" s="68"/>
      <c r="G975" s="68"/>
      <c r="H975" s="68"/>
      <c r="I975" s="68"/>
      <c r="J975" s="68"/>
      <c r="K975" s="68"/>
      <c r="L975" s="56"/>
      <c r="M975" s="26"/>
      <c r="N975" s="26"/>
      <c r="O975" s="68"/>
      <c r="P975" s="1"/>
      <c r="Q975" s="8"/>
      <c r="R975" s="66"/>
      <c r="S975" s="1"/>
      <c r="T975" s="66"/>
      <c r="U975" s="8"/>
      <c r="V975" s="56"/>
      <c r="W975" s="1"/>
      <c r="X975" s="1"/>
      <c r="Y975" s="1"/>
    </row>
    <row r="976" spans="1:25">
      <c r="A976" s="57"/>
      <c r="B976" s="68"/>
      <c r="C976" s="68"/>
      <c r="D976" s="68"/>
      <c r="E976" s="68"/>
      <c r="F976" s="68"/>
      <c r="G976" s="68"/>
      <c r="H976" s="68"/>
      <c r="I976" s="68"/>
      <c r="J976" s="68"/>
      <c r="K976" s="68"/>
      <c r="L976" s="56"/>
      <c r="M976" s="26"/>
      <c r="N976" s="26"/>
      <c r="O976" s="68"/>
      <c r="P976" s="1"/>
      <c r="Q976" s="8"/>
      <c r="R976" s="66"/>
      <c r="S976" s="1"/>
      <c r="T976" s="66"/>
      <c r="U976" s="8"/>
      <c r="V976" s="56"/>
      <c r="W976" s="1"/>
      <c r="X976" s="1"/>
      <c r="Y976" s="1"/>
    </row>
    <row r="977" spans="1:25">
      <c r="A977" s="57"/>
      <c r="B977" s="68"/>
      <c r="C977" s="68"/>
      <c r="D977" s="68"/>
      <c r="E977" s="68"/>
      <c r="F977" s="68"/>
      <c r="G977" s="68"/>
      <c r="H977" s="68"/>
      <c r="I977" s="68"/>
      <c r="J977" s="68"/>
      <c r="K977" s="68"/>
      <c r="L977" s="56"/>
      <c r="M977" s="26"/>
      <c r="N977" s="26"/>
      <c r="O977" s="68"/>
      <c r="P977" s="1"/>
      <c r="Q977" s="8"/>
      <c r="R977" s="66"/>
      <c r="S977" s="1"/>
      <c r="T977" s="66"/>
      <c r="U977" s="8"/>
      <c r="V977" s="56"/>
      <c r="W977" s="1"/>
      <c r="X977" s="1"/>
      <c r="Y977" s="1"/>
    </row>
    <row r="978" spans="1:25">
      <c r="A978" s="57"/>
      <c r="B978" s="68"/>
      <c r="C978" s="68"/>
      <c r="D978" s="68"/>
      <c r="E978" s="68"/>
      <c r="F978" s="68"/>
      <c r="G978" s="68"/>
      <c r="H978" s="68"/>
      <c r="I978" s="68"/>
      <c r="J978" s="68"/>
      <c r="K978" s="68"/>
      <c r="L978" s="56"/>
      <c r="M978" s="26"/>
      <c r="N978" s="26"/>
      <c r="O978" s="68"/>
      <c r="P978" s="1"/>
      <c r="Q978" s="8"/>
      <c r="R978" s="66"/>
      <c r="S978" s="1"/>
      <c r="T978" s="66"/>
      <c r="U978" s="8"/>
      <c r="V978" s="56"/>
      <c r="W978" s="1"/>
      <c r="X978" s="1"/>
      <c r="Y978" s="1"/>
    </row>
    <row r="979" spans="1:25">
      <c r="A979" s="57"/>
      <c r="B979" s="68"/>
      <c r="C979" s="68"/>
      <c r="D979" s="68"/>
      <c r="E979" s="68"/>
      <c r="F979" s="68"/>
      <c r="G979" s="68"/>
      <c r="H979" s="68"/>
      <c r="I979" s="68"/>
      <c r="J979" s="68"/>
      <c r="K979" s="68"/>
      <c r="L979" s="56"/>
      <c r="M979" s="26"/>
      <c r="N979" s="26"/>
      <c r="O979" s="68"/>
      <c r="P979" s="1"/>
      <c r="Q979" s="8"/>
      <c r="R979" s="66"/>
      <c r="S979" s="1"/>
      <c r="T979" s="66"/>
      <c r="U979" s="8"/>
      <c r="V979" s="56"/>
      <c r="W979" s="1"/>
      <c r="X979" s="1"/>
      <c r="Y979" s="1"/>
    </row>
    <row r="980" spans="1:25">
      <c r="A980" s="57"/>
      <c r="B980" s="68"/>
      <c r="C980" s="68"/>
      <c r="D980" s="68"/>
      <c r="E980" s="68"/>
      <c r="F980" s="68"/>
      <c r="G980" s="68"/>
      <c r="H980" s="68"/>
      <c r="I980" s="68"/>
      <c r="J980" s="68"/>
      <c r="K980" s="68"/>
      <c r="L980" s="56"/>
      <c r="M980" s="26"/>
      <c r="N980" s="26"/>
      <c r="O980" s="68"/>
      <c r="P980" s="1"/>
      <c r="Q980" s="8"/>
      <c r="R980" s="66"/>
      <c r="S980" s="1"/>
      <c r="T980" s="66"/>
      <c r="U980" s="8"/>
      <c r="V980" s="56"/>
      <c r="W980" s="1"/>
      <c r="X980" s="1"/>
      <c r="Y980" s="1"/>
    </row>
    <row r="981" spans="1:25">
      <c r="A981" s="57"/>
      <c r="B981" s="68"/>
      <c r="C981" s="68"/>
      <c r="D981" s="68"/>
      <c r="E981" s="68"/>
      <c r="F981" s="68"/>
      <c r="G981" s="68"/>
      <c r="H981" s="68"/>
      <c r="I981" s="68"/>
      <c r="J981" s="68"/>
      <c r="K981" s="68"/>
      <c r="L981" s="56"/>
      <c r="M981" s="26"/>
      <c r="N981" s="26"/>
      <c r="O981" s="68"/>
      <c r="P981" s="1"/>
      <c r="Q981" s="8"/>
      <c r="R981" s="66"/>
      <c r="S981" s="1"/>
      <c r="T981" s="66"/>
      <c r="U981" s="8"/>
      <c r="V981" s="56"/>
      <c r="W981" s="1"/>
      <c r="X981" s="1"/>
      <c r="Y981" s="1"/>
    </row>
    <row r="982" spans="1:25">
      <c r="A982" s="57"/>
      <c r="B982" s="68"/>
      <c r="C982" s="68"/>
      <c r="D982" s="68"/>
      <c r="E982" s="68"/>
      <c r="F982" s="68"/>
      <c r="G982" s="68"/>
      <c r="H982" s="68"/>
      <c r="I982" s="68"/>
      <c r="J982" s="68"/>
      <c r="K982" s="68"/>
      <c r="L982" s="56"/>
      <c r="M982" s="26"/>
      <c r="N982" s="26"/>
      <c r="O982" s="68"/>
      <c r="P982" s="1"/>
      <c r="Q982" s="8"/>
      <c r="R982" s="66"/>
      <c r="S982" s="1"/>
      <c r="T982" s="66"/>
      <c r="U982" s="8"/>
      <c r="V982" s="56"/>
      <c r="W982" s="1"/>
      <c r="X982" s="1"/>
      <c r="Y982" s="1"/>
    </row>
    <row r="983" spans="1:25">
      <c r="A983" s="57"/>
      <c r="B983" s="68"/>
      <c r="C983" s="68"/>
      <c r="D983" s="68"/>
      <c r="E983" s="68"/>
      <c r="F983" s="68"/>
      <c r="G983" s="68"/>
      <c r="H983" s="68"/>
      <c r="I983" s="68"/>
      <c r="J983" s="68"/>
      <c r="K983" s="68"/>
      <c r="L983" s="56"/>
      <c r="M983" s="26"/>
      <c r="N983" s="26"/>
      <c r="O983" s="68"/>
      <c r="P983" s="1"/>
      <c r="Q983" s="8"/>
      <c r="R983" s="66"/>
      <c r="S983" s="1"/>
      <c r="T983" s="66"/>
      <c r="U983" s="8"/>
      <c r="V983" s="56"/>
      <c r="W983" s="1"/>
      <c r="X983" s="1"/>
      <c r="Y983" s="1"/>
    </row>
    <row r="984" spans="1:25">
      <c r="A984" s="57"/>
      <c r="B984" s="68"/>
      <c r="C984" s="68"/>
      <c r="D984" s="68"/>
      <c r="E984" s="68"/>
      <c r="F984" s="68"/>
      <c r="G984" s="68"/>
      <c r="H984" s="68"/>
      <c r="I984" s="68"/>
      <c r="J984" s="68"/>
      <c r="K984" s="68"/>
      <c r="L984" s="56"/>
      <c r="M984" s="26"/>
      <c r="N984" s="26"/>
      <c r="O984" s="68"/>
      <c r="P984" s="1"/>
      <c r="Q984" s="8"/>
      <c r="R984" s="66"/>
      <c r="S984" s="1"/>
      <c r="T984" s="66"/>
      <c r="U984" s="8"/>
      <c r="V984" s="56"/>
      <c r="W984" s="1"/>
      <c r="X984" s="1"/>
      <c r="Y984" s="1"/>
    </row>
    <row r="985" spans="1:25">
      <c r="A985" s="57"/>
      <c r="B985" s="68"/>
      <c r="C985" s="68"/>
      <c r="D985" s="68"/>
      <c r="E985" s="68"/>
      <c r="F985" s="68"/>
      <c r="G985" s="68"/>
      <c r="H985" s="68"/>
      <c r="I985" s="68"/>
      <c r="J985" s="68"/>
      <c r="K985" s="68"/>
      <c r="L985" s="56"/>
      <c r="M985" s="26"/>
      <c r="N985" s="26"/>
      <c r="O985" s="68"/>
      <c r="P985" s="1"/>
      <c r="Q985" s="8"/>
      <c r="R985" s="66"/>
      <c r="S985" s="1"/>
      <c r="T985" s="66"/>
      <c r="U985" s="8"/>
      <c r="V985" s="56"/>
      <c r="W985" s="1"/>
      <c r="X985" s="1"/>
      <c r="Y985" s="1"/>
    </row>
    <row r="986" spans="1:25">
      <c r="A986" s="57"/>
      <c r="B986" s="68"/>
      <c r="C986" s="68"/>
      <c r="D986" s="68"/>
      <c r="E986" s="68"/>
      <c r="F986" s="68"/>
      <c r="G986" s="68"/>
      <c r="H986" s="68"/>
      <c r="I986" s="68"/>
      <c r="J986" s="68"/>
      <c r="K986" s="68"/>
      <c r="L986" s="56"/>
      <c r="M986" s="26"/>
      <c r="N986" s="26"/>
      <c r="O986" s="68"/>
      <c r="P986" s="1"/>
      <c r="Q986" s="8"/>
      <c r="R986" s="66"/>
      <c r="S986" s="1"/>
      <c r="T986" s="66"/>
      <c r="U986" s="8"/>
      <c r="V986" s="56"/>
      <c r="W986" s="1"/>
      <c r="X986" s="1"/>
      <c r="Y986" s="1"/>
    </row>
    <row r="987" spans="1:25">
      <c r="A987" s="57"/>
      <c r="B987" s="68"/>
      <c r="C987" s="68"/>
      <c r="D987" s="68"/>
      <c r="E987" s="68"/>
      <c r="F987" s="68"/>
      <c r="G987" s="68"/>
      <c r="H987" s="68"/>
      <c r="I987" s="68"/>
      <c r="J987" s="68"/>
      <c r="K987" s="68"/>
      <c r="L987" s="56"/>
      <c r="M987" s="26"/>
      <c r="N987" s="26"/>
      <c r="O987" s="68"/>
      <c r="P987" s="1"/>
      <c r="Q987" s="8"/>
      <c r="R987" s="66"/>
      <c r="S987" s="1"/>
      <c r="T987" s="66"/>
      <c r="U987" s="8"/>
      <c r="V987" s="56"/>
      <c r="W987" s="1"/>
      <c r="X987" s="1"/>
      <c r="Y987" s="1"/>
    </row>
    <row r="988" spans="1:25">
      <c r="A988" s="57"/>
      <c r="B988" s="68"/>
      <c r="C988" s="68"/>
      <c r="D988" s="68"/>
      <c r="E988" s="68"/>
      <c r="F988" s="68"/>
      <c r="G988" s="68"/>
      <c r="H988" s="68"/>
      <c r="I988" s="68"/>
      <c r="J988" s="68"/>
      <c r="K988" s="68"/>
      <c r="L988" s="56"/>
      <c r="M988" s="26"/>
      <c r="N988" s="26"/>
      <c r="O988" s="68"/>
      <c r="P988" s="1"/>
      <c r="Q988" s="8"/>
      <c r="R988" s="66"/>
      <c r="S988" s="1"/>
      <c r="T988" s="66"/>
      <c r="U988" s="8"/>
      <c r="V988" s="56"/>
      <c r="W988" s="1"/>
      <c r="X988" s="1"/>
      <c r="Y988" s="1"/>
    </row>
    <row r="989" spans="1:25">
      <c r="A989" s="57"/>
      <c r="B989" s="68"/>
      <c r="C989" s="68"/>
      <c r="D989" s="68"/>
      <c r="E989" s="68"/>
      <c r="F989" s="68"/>
      <c r="G989" s="68"/>
      <c r="H989" s="68"/>
      <c r="I989" s="68"/>
      <c r="J989" s="68"/>
      <c r="K989" s="68"/>
      <c r="L989" s="56"/>
      <c r="M989" s="26"/>
      <c r="N989" s="26"/>
      <c r="O989" s="68"/>
      <c r="P989" s="1"/>
      <c r="Q989" s="8"/>
      <c r="R989" s="66"/>
      <c r="S989" s="1"/>
      <c r="T989" s="66"/>
      <c r="U989" s="8"/>
      <c r="V989" s="56"/>
      <c r="W989" s="1"/>
      <c r="X989" s="1"/>
      <c r="Y989" s="1"/>
    </row>
    <row r="990" spans="1:25">
      <c r="A990" s="57"/>
      <c r="B990" s="68"/>
      <c r="C990" s="68"/>
      <c r="D990" s="68"/>
      <c r="E990" s="68"/>
      <c r="F990" s="68"/>
      <c r="G990" s="68"/>
      <c r="H990" s="68"/>
      <c r="I990" s="68"/>
      <c r="J990" s="68"/>
      <c r="K990" s="68"/>
      <c r="L990" s="56"/>
      <c r="M990" s="26"/>
      <c r="N990" s="26"/>
      <c r="O990" s="68"/>
      <c r="P990" s="1"/>
      <c r="Q990" s="8"/>
      <c r="R990" s="66"/>
      <c r="S990" s="1"/>
      <c r="T990" s="66"/>
      <c r="U990" s="8"/>
      <c r="V990" s="56"/>
      <c r="W990" s="1"/>
      <c r="X990" s="1"/>
      <c r="Y990" s="1"/>
    </row>
    <row r="991" spans="1:25">
      <c r="A991" s="57"/>
      <c r="B991" s="68"/>
      <c r="C991" s="68"/>
      <c r="D991" s="68"/>
      <c r="E991" s="68"/>
      <c r="F991" s="68"/>
      <c r="G991" s="68"/>
      <c r="H991" s="68"/>
      <c r="I991" s="68"/>
      <c r="J991" s="68"/>
      <c r="K991" s="68"/>
      <c r="L991" s="56"/>
      <c r="M991" s="26"/>
      <c r="N991" s="26"/>
      <c r="O991" s="68"/>
      <c r="P991" s="1"/>
      <c r="Q991" s="8"/>
      <c r="R991" s="66"/>
      <c r="S991" s="1"/>
      <c r="T991" s="66"/>
      <c r="U991" s="8"/>
      <c r="V991" s="56"/>
      <c r="W991" s="1"/>
      <c r="X991" s="1"/>
      <c r="Y991" s="1"/>
    </row>
    <row r="992" spans="1:25">
      <c r="A992" s="57"/>
      <c r="B992" s="68"/>
      <c r="C992" s="68"/>
      <c r="D992" s="68"/>
      <c r="E992" s="68"/>
      <c r="F992" s="68"/>
      <c r="G992" s="68"/>
      <c r="H992" s="68"/>
      <c r="I992" s="68"/>
      <c r="J992" s="68"/>
      <c r="K992" s="68"/>
      <c r="L992" s="56"/>
      <c r="M992" s="26"/>
      <c r="N992" s="26"/>
      <c r="O992" s="68"/>
      <c r="P992" s="1"/>
      <c r="Q992" s="8"/>
      <c r="R992" s="66"/>
      <c r="S992" s="1"/>
      <c r="T992" s="66"/>
      <c r="U992" s="8"/>
      <c r="V992" s="56"/>
      <c r="W992" s="1"/>
      <c r="X992" s="1"/>
      <c r="Y992" s="1"/>
    </row>
    <row r="993" spans="1:25">
      <c r="A993" s="57"/>
      <c r="B993" s="68"/>
      <c r="C993" s="68"/>
      <c r="D993" s="68"/>
      <c r="E993" s="68"/>
      <c r="F993" s="68"/>
      <c r="G993" s="68"/>
      <c r="H993" s="68"/>
      <c r="I993" s="68"/>
      <c r="J993" s="68"/>
      <c r="K993" s="68"/>
      <c r="L993" s="56"/>
      <c r="M993" s="26"/>
      <c r="N993" s="26"/>
      <c r="O993" s="68"/>
      <c r="P993" s="1"/>
      <c r="Q993" s="8"/>
      <c r="R993" s="66"/>
      <c r="S993" s="1"/>
      <c r="T993" s="66"/>
      <c r="U993" s="8"/>
      <c r="V993" s="56"/>
      <c r="W993" s="1"/>
      <c r="X993" s="1"/>
      <c r="Y993" s="1"/>
    </row>
    <row r="994" spans="1:25">
      <c r="A994" s="57"/>
      <c r="B994" s="68"/>
      <c r="C994" s="68"/>
      <c r="D994" s="68"/>
      <c r="E994" s="68"/>
      <c r="F994" s="68"/>
      <c r="G994" s="68"/>
      <c r="H994" s="68"/>
      <c r="I994" s="68"/>
      <c r="J994" s="68"/>
      <c r="K994" s="68"/>
      <c r="L994" s="56"/>
      <c r="M994" s="26"/>
      <c r="N994" s="26"/>
      <c r="O994" s="68"/>
      <c r="P994" s="1"/>
      <c r="Q994" s="8"/>
      <c r="R994" s="66"/>
      <c r="S994" s="1"/>
      <c r="T994" s="66"/>
      <c r="U994" s="8"/>
      <c r="V994" s="56"/>
      <c r="W994" s="1"/>
      <c r="X994" s="1"/>
      <c r="Y994" s="1"/>
    </row>
    <row r="995" spans="1:25">
      <c r="A995" s="57"/>
      <c r="B995" s="68"/>
      <c r="C995" s="68"/>
      <c r="D995" s="68"/>
      <c r="E995" s="68"/>
      <c r="F995" s="68"/>
      <c r="G995" s="68"/>
      <c r="H995" s="68"/>
      <c r="I995" s="68"/>
      <c r="J995" s="68"/>
      <c r="K995" s="68"/>
      <c r="L995" s="56"/>
      <c r="M995" s="26"/>
      <c r="N995" s="26"/>
      <c r="O995" s="68"/>
      <c r="P995" s="1"/>
      <c r="Q995" s="8"/>
      <c r="R995" s="66"/>
      <c r="S995" s="1"/>
      <c r="T995" s="66"/>
      <c r="U995" s="8"/>
      <c r="V995" s="56"/>
      <c r="W995" s="1"/>
      <c r="X995" s="1"/>
      <c r="Y995" s="1"/>
    </row>
    <row r="996" spans="1:25">
      <c r="A996" s="57"/>
      <c r="B996" s="68"/>
      <c r="C996" s="68"/>
      <c r="D996" s="68"/>
      <c r="E996" s="68"/>
      <c r="F996" s="68"/>
      <c r="G996" s="68"/>
      <c r="H996" s="68"/>
      <c r="I996" s="68"/>
      <c r="J996" s="68"/>
      <c r="K996" s="68"/>
      <c r="L996" s="56"/>
      <c r="M996" s="26"/>
      <c r="N996" s="26"/>
      <c r="O996" s="68"/>
      <c r="P996" s="1"/>
      <c r="Q996" s="8"/>
      <c r="R996" s="66"/>
      <c r="S996" s="1"/>
      <c r="T996" s="66"/>
      <c r="U996" s="8"/>
      <c r="V996" s="56"/>
      <c r="W996" s="1"/>
      <c r="X996" s="1"/>
      <c r="Y996" s="1"/>
    </row>
    <row r="997" spans="1:25">
      <c r="A997" s="57"/>
      <c r="B997" s="68"/>
      <c r="C997" s="68"/>
      <c r="D997" s="68"/>
      <c r="E997" s="68"/>
      <c r="F997" s="68"/>
      <c r="G997" s="68"/>
      <c r="H997" s="68"/>
      <c r="I997" s="68"/>
      <c r="J997" s="68"/>
      <c r="K997" s="68"/>
      <c r="L997" s="56"/>
      <c r="M997" s="26"/>
      <c r="N997" s="26"/>
      <c r="O997" s="68"/>
      <c r="P997" s="1"/>
      <c r="Q997" s="8"/>
      <c r="R997" s="66"/>
      <c r="S997" s="1"/>
      <c r="T997" s="66"/>
      <c r="U997" s="8"/>
      <c r="V997" s="56"/>
      <c r="W997" s="1"/>
      <c r="X997" s="1"/>
      <c r="Y997" s="1"/>
    </row>
    <row r="998" spans="1:25">
      <c r="A998" s="57"/>
      <c r="B998" s="68"/>
      <c r="C998" s="68"/>
      <c r="D998" s="68"/>
      <c r="E998" s="68"/>
      <c r="F998" s="68"/>
      <c r="G998" s="68"/>
      <c r="H998" s="68"/>
      <c r="I998" s="68"/>
      <c r="J998" s="68"/>
      <c r="K998" s="68"/>
      <c r="L998" s="56"/>
      <c r="M998" s="26"/>
      <c r="N998" s="26"/>
      <c r="O998" s="68"/>
      <c r="P998" s="1"/>
      <c r="Q998" s="8"/>
      <c r="R998" s="66"/>
      <c r="S998" s="1"/>
      <c r="T998" s="66"/>
      <c r="U998" s="8"/>
      <c r="V998" s="56"/>
      <c r="W998" s="1"/>
      <c r="X998" s="1"/>
      <c r="Y998" s="1"/>
    </row>
    <row r="999" spans="1:25">
      <c r="A999" s="57"/>
      <c r="B999" s="68"/>
      <c r="C999" s="68"/>
      <c r="D999" s="68"/>
      <c r="E999" s="68"/>
      <c r="F999" s="68"/>
      <c r="G999" s="68"/>
      <c r="H999" s="68"/>
      <c r="I999" s="68"/>
      <c r="J999" s="68"/>
      <c r="K999" s="68"/>
      <c r="L999" s="56"/>
      <c r="M999" s="26"/>
      <c r="N999" s="26"/>
      <c r="O999" s="68"/>
      <c r="P999" s="1"/>
      <c r="Q999" s="8"/>
      <c r="R999" s="66"/>
      <c r="S999" s="1"/>
      <c r="T999" s="66"/>
      <c r="U999" s="8"/>
      <c r="V999" s="56"/>
      <c r="W999" s="1"/>
      <c r="X999" s="1"/>
      <c r="Y999" s="1"/>
    </row>
    <row r="1000" spans="1:25">
      <c r="A1000" s="57"/>
      <c r="B1000" s="68"/>
      <c r="C1000" s="68"/>
      <c r="D1000" s="68"/>
      <c r="E1000" s="68"/>
      <c r="F1000" s="68"/>
      <c r="G1000" s="68"/>
      <c r="H1000" s="68"/>
      <c r="I1000" s="68"/>
      <c r="J1000" s="68"/>
      <c r="K1000" s="68"/>
      <c r="L1000" s="56"/>
      <c r="M1000" s="26"/>
      <c r="N1000" s="26"/>
      <c r="O1000" s="68"/>
      <c r="P1000" s="1"/>
      <c r="Q1000" s="8"/>
      <c r="R1000" s="66"/>
      <c r="S1000" s="1"/>
      <c r="T1000" s="66"/>
      <c r="U1000" s="8"/>
      <c r="V1000" s="56"/>
      <c r="W1000" s="1"/>
      <c r="X1000" s="1"/>
      <c r="Y1000" s="1"/>
    </row>
    <row r="1001" spans="1:25">
      <c r="A1001" s="57"/>
      <c r="B1001" s="68"/>
      <c r="C1001" s="68"/>
      <c r="D1001" s="68"/>
      <c r="E1001" s="68"/>
      <c r="F1001" s="68"/>
      <c r="G1001" s="68"/>
      <c r="H1001" s="68"/>
      <c r="I1001" s="68"/>
      <c r="J1001" s="68"/>
      <c r="K1001" s="68"/>
      <c r="L1001" s="56"/>
      <c r="M1001" s="26"/>
      <c r="N1001" s="26"/>
      <c r="O1001" s="68"/>
      <c r="P1001" s="1"/>
      <c r="Q1001" s="8"/>
      <c r="R1001" s="66"/>
      <c r="S1001" s="1"/>
      <c r="T1001" s="66"/>
      <c r="U1001" s="8"/>
      <c r="V1001" s="56"/>
      <c r="W1001" s="1"/>
      <c r="X1001" s="1"/>
      <c r="Y1001" s="1"/>
    </row>
    <row r="1002" spans="1:25">
      <c r="A1002" s="57"/>
      <c r="B1002" s="68"/>
      <c r="C1002" s="68"/>
      <c r="D1002" s="68"/>
      <c r="E1002" s="68"/>
      <c r="F1002" s="68"/>
      <c r="G1002" s="68"/>
      <c r="H1002" s="68"/>
      <c r="I1002" s="68"/>
      <c r="J1002" s="68"/>
      <c r="K1002" s="68"/>
      <c r="L1002" s="56"/>
      <c r="M1002" s="26"/>
      <c r="N1002" s="26"/>
      <c r="O1002" s="68"/>
      <c r="P1002" s="1"/>
      <c r="Q1002" s="8"/>
      <c r="R1002" s="66"/>
      <c r="S1002" s="1"/>
      <c r="T1002" s="66"/>
      <c r="U1002" s="8"/>
      <c r="V1002" s="56"/>
      <c r="W1002" s="1"/>
      <c r="X1002" s="1"/>
      <c r="Y1002" s="1"/>
    </row>
    <row r="1003" spans="1:25">
      <c r="A1003" s="57"/>
      <c r="B1003" s="68"/>
      <c r="C1003" s="68"/>
      <c r="D1003" s="68"/>
      <c r="E1003" s="68"/>
      <c r="F1003" s="68"/>
      <c r="G1003" s="68"/>
      <c r="H1003" s="68"/>
      <c r="I1003" s="68"/>
      <c r="J1003" s="68"/>
      <c r="K1003" s="68"/>
      <c r="L1003" s="56"/>
      <c r="M1003" s="26"/>
      <c r="N1003" s="26"/>
      <c r="O1003" s="68"/>
      <c r="P1003" s="1"/>
      <c r="Q1003" s="8"/>
      <c r="R1003" s="66"/>
      <c r="S1003" s="1"/>
      <c r="T1003" s="66"/>
      <c r="U1003" s="8"/>
      <c r="V1003" s="56"/>
      <c r="W1003" s="1"/>
      <c r="X1003" s="1"/>
      <c r="Y1003" s="1"/>
    </row>
    <row r="1004" spans="1:25">
      <c r="A1004" s="57"/>
      <c r="B1004" s="68"/>
      <c r="C1004" s="68"/>
      <c r="D1004" s="68"/>
      <c r="E1004" s="68"/>
      <c r="F1004" s="68"/>
      <c r="G1004" s="68"/>
      <c r="H1004" s="68"/>
      <c r="I1004" s="68"/>
      <c r="J1004" s="68"/>
      <c r="K1004" s="68"/>
      <c r="L1004" s="56"/>
      <c r="M1004" s="26"/>
      <c r="N1004" s="26"/>
      <c r="O1004" s="68"/>
      <c r="P1004" s="1"/>
      <c r="Q1004" s="8"/>
      <c r="R1004" s="66"/>
      <c r="S1004" s="1"/>
      <c r="T1004" s="66"/>
      <c r="U1004" s="8"/>
      <c r="V1004" s="56"/>
      <c r="W1004" s="1"/>
      <c r="X1004" s="1"/>
      <c r="Y1004" s="1"/>
    </row>
    <row r="1005" spans="1:25">
      <c r="A1005" s="57"/>
      <c r="B1005" s="68"/>
      <c r="C1005" s="68"/>
      <c r="D1005" s="68"/>
      <c r="E1005" s="68"/>
      <c r="F1005" s="68"/>
      <c r="G1005" s="68"/>
      <c r="H1005" s="68"/>
      <c r="I1005" s="68"/>
      <c r="J1005" s="68"/>
      <c r="K1005" s="68"/>
      <c r="L1005" s="56"/>
      <c r="M1005" s="26"/>
      <c r="N1005" s="26"/>
      <c r="O1005" s="68"/>
      <c r="P1005" s="1"/>
      <c r="Q1005" s="8"/>
      <c r="R1005" s="66"/>
      <c r="S1005" s="1"/>
      <c r="T1005" s="66"/>
      <c r="U1005" s="8"/>
      <c r="V1005" s="56"/>
      <c r="W1005" s="1"/>
      <c r="X1005" s="1"/>
      <c r="Y1005" s="1"/>
    </row>
    <row r="1006" spans="1:25">
      <c r="A1006" s="57"/>
      <c r="B1006" s="68"/>
      <c r="C1006" s="68"/>
      <c r="D1006" s="68"/>
      <c r="E1006" s="68"/>
      <c r="F1006" s="68"/>
      <c r="G1006" s="68"/>
      <c r="H1006" s="68"/>
      <c r="I1006" s="68"/>
      <c r="J1006" s="68"/>
      <c r="K1006" s="68"/>
      <c r="L1006" s="56"/>
      <c r="M1006" s="26"/>
      <c r="N1006" s="26"/>
      <c r="O1006" s="68"/>
      <c r="P1006" s="1"/>
      <c r="Q1006" s="8"/>
      <c r="R1006" s="66"/>
      <c r="S1006" s="1"/>
      <c r="T1006" s="66"/>
      <c r="U1006" s="8"/>
      <c r="V1006" s="56"/>
      <c r="W1006" s="1"/>
      <c r="X1006" s="1"/>
      <c r="Y1006" s="1"/>
    </row>
    <row r="1007" spans="1:25">
      <c r="A1007" s="57"/>
      <c r="B1007" s="68"/>
      <c r="C1007" s="68"/>
      <c r="D1007" s="68"/>
      <c r="E1007" s="68"/>
      <c r="F1007" s="68"/>
      <c r="G1007" s="68"/>
      <c r="H1007" s="68"/>
      <c r="I1007" s="68"/>
      <c r="J1007" s="68"/>
      <c r="K1007" s="68"/>
      <c r="L1007" s="56"/>
      <c r="M1007" s="26"/>
      <c r="N1007" s="26"/>
      <c r="O1007" s="68"/>
      <c r="P1007" s="1"/>
      <c r="Q1007" s="8"/>
      <c r="R1007" s="66"/>
      <c r="S1007" s="1"/>
      <c r="T1007" s="66"/>
      <c r="U1007" s="8"/>
      <c r="V1007" s="56"/>
      <c r="W1007" s="1"/>
      <c r="X1007" s="1"/>
      <c r="Y1007" s="1"/>
    </row>
    <row r="1008" spans="1:25">
      <c r="A1008" s="57"/>
      <c r="B1008" s="68"/>
      <c r="C1008" s="68"/>
      <c r="D1008" s="68"/>
      <c r="E1008" s="68"/>
      <c r="F1008" s="68"/>
      <c r="G1008" s="68"/>
      <c r="H1008" s="68"/>
      <c r="I1008" s="68"/>
      <c r="J1008" s="68"/>
      <c r="K1008" s="68"/>
      <c r="L1008" s="56"/>
      <c r="M1008" s="26"/>
      <c r="N1008" s="26"/>
      <c r="O1008" s="68"/>
      <c r="P1008" s="1"/>
      <c r="Q1008" s="8"/>
      <c r="R1008" s="66"/>
      <c r="S1008" s="1"/>
      <c r="T1008" s="66"/>
      <c r="U1008" s="8"/>
      <c r="V1008" s="56"/>
      <c r="W1008" s="1"/>
      <c r="X1008" s="1"/>
      <c r="Y1008" s="1"/>
    </row>
    <row r="1009" spans="1:25">
      <c r="A1009" s="57"/>
      <c r="B1009" s="68"/>
      <c r="C1009" s="68"/>
      <c r="D1009" s="68"/>
      <c r="E1009" s="68"/>
      <c r="F1009" s="68"/>
      <c r="G1009" s="68"/>
      <c r="H1009" s="68"/>
      <c r="I1009" s="68"/>
      <c r="J1009" s="68"/>
      <c r="K1009" s="68"/>
      <c r="L1009" s="56"/>
      <c r="M1009" s="26"/>
      <c r="N1009" s="26"/>
      <c r="O1009" s="68"/>
      <c r="P1009" s="1"/>
      <c r="Q1009" s="8"/>
      <c r="R1009" s="66"/>
      <c r="S1009" s="1"/>
      <c r="T1009" s="66"/>
      <c r="U1009" s="8"/>
      <c r="V1009" s="56"/>
      <c r="W1009" s="1"/>
      <c r="X1009" s="1"/>
      <c r="Y1009" s="1"/>
    </row>
    <row r="1010" spans="1:25">
      <c r="A1010" s="57"/>
      <c r="B1010" s="68"/>
      <c r="C1010" s="68"/>
      <c r="D1010" s="68"/>
      <c r="E1010" s="68"/>
      <c r="F1010" s="68"/>
      <c r="G1010" s="68"/>
      <c r="H1010" s="68"/>
      <c r="I1010" s="68"/>
      <c r="J1010" s="68"/>
      <c r="K1010" s="68"/>
      <c r="L1010" s="56"/>
      <c r="M1010" s="26"/>
      <c r="N1010" s="26"/>
      <c r="O1010" s="68"/>
      <c r="P1010" s="1"/>
      <c r="Q1010" s="8"/>
      <c r="R1010" s="66"/>
      <c r="S1010" s="1"/>
      <c r="T1010" s="66"/>
      <c r="U1010" s="8"/>
      <c r="V1010" s="56"/>
      <c r="W1010" s="1"/>
      <c r="X1010" s="1"/>
      <c r="Y1010" s="1"/>
    </row>
    <row r="1011" spans="1:25">
      <c r="A1011" s="57"/>
      <c r="B1011" s="68"/>
      <c r="C1011" s="68"/>
      <c r="D1011" s="68"/>
      <c r="E1011" s="68"/>
      <c r="F1011" s="68"/>
      <c r="G1011" s="68"/>
      <c r="H1011" s="68"/>
      <c r="I1011" s="68"/>
      <c r="J1011" s="68"/>
      <c r="K1011" s="68"/>
      <c r="L1011" s="56"/>
      <c r="M1011" s="26"/>
      <c r="N1011" s="26"/>
      <c r="O1011" s="68"/>
      <c r="P1011" s="1"/>
      <c r="Q1011" s="8"/>
      <c r="R1011" s="66"/>
      <c r="S1011" s="1"/>
      <c r="T1011" s="66"/>
      <c r="U1011" s="8"/>
      <c r="V1011" s="56"/>
      <c r="W1011" s="1"/>
      <c r="X1011" s="1"/>
      <c r="Y1011" s="1"/>
    </row>
    <row r="1012" spans="1:25">
      <c r="A1012" s="57"/>
      <c r="B1012" s="68"/>
      <c r="C1012" s="68"/>
      <c r="D1012" s="68"/>
      <c r="E1012" s="68"/>
      <c r="F1012" s="68"/>
      <c r="G1012" s="68"/>
      <c r="H1012" s="68"/>
      <c r="I1012" s="68"/>
      <c r="J1012" s="68"/>
      <c r="K1012" s="68"/>
      <c r="L1012" s="56"/>
      <c r="M1012" s="26"/>
      <c r="N1012" s="26"/>
      <c r="O1012" s="68"/>
      <c r="P1012" s="1"/>
      <c r="Q1012" s="8"/>
      <c r="R1012" s="66"/>
      <c r="S1012" s="1"/>
      <c r="T1012" s="66"/>
      <c r="U1012" s="8"/>
      <c r="V1012" s="56"/>
      <c r="W1012" s="1"/>
      <c r="X1012" s="1"/>
      <c r="Y1012" s="1"/>
    </row>
    <row r="1013" spans="1:25">
      <c r="A1013" s="57"/>
      <c r="B1013" s="68"/>
      <c r="C1013" s="68"/>
      <c r="D1013" s="68"/>
      <c r="E1013" s="68"/>
      <c r="F1013" s="68"/>
      <c r="G1013" s="68"/>
      <c r="H1013" s="68"/>
      <c r="I1013" s="68"/>
      <c r="J1013" s="68"/>
      <c r="K1013" s="68"/>
      <c r="L1013" s="56"/>
      <c r="M1013" s="26"/>
      <c r="N1013" s="26"/>
      <c r="O1013" s="68"/>
      <c r="P1013" s="1"/>
      <c r="Q1013" s="8"/>
      <c r="R1013" s="66"/>
      <c r="S1013" s="1"/>
      <c r="T1013" s="66"/>
      <c r="U1013" s="8"/>
      <c r="V1013" s="56"/>
      <c r="W1013" s="1"/>
      <c r="X1013" s="1"/>
      <c r="Y1013" s="1"/>
    </row>
    <row r="1014" spans="1:25">
      <c r="A1014" s="57"/>
      <c r="B1014" s="68"/>
      <c r="C1014" s="68"/>
      <c r="D1014" s="68"/>
      <c r="E1014" s="68"/>
      <c r="F1014" s="68"/>
      <c r="G1014" s="68"/>
      <c r="H1014" s="68"/>
      <c r="I1014" s="68"/>
      <c r="J1014" s="68"/>
      <c r="K1014" s="68"/>
      <c r="L1014" s="56"/>
      <c r="M1014" s="26"/>
      <c r="N1014" s="26"/>
      <c r="O1014" s="68"/>
      <c r="P1014" s="1"/>
      <c r="Q1014" s="8"/>
      <c r="R1014" s="66"/>
      <c r="S1014" s="1"/>
      <c r="T1014" s="66"/>
      <c r="U1014" s="8"/>
      <c r="V1014" s="56"/>
      <c r="W1014" s="1"/>
      <c r="X1014" s="1"/>
      <c r="Y1014" s="1"/>
    </row>
    <row r="1015" spans="1:25">
      <c r="A1015" s="57"/>
      <c r="B1015" s="68"/>
      <c r="C1015" s="68"/>
      <c r="D1015" s="68"/>
      <c r="E1015" s="68"/>
      <c r="F1015" s="68"/>
      <c r="G1015" s="68"/>
      <c r="H1015" s="68"/>
      <c r="I1015" s="68"/>
      <c r="J1015" s="68"/>
      <c r="K1015" s="68"/>
      <c r="L1015" s="56"/>
      <c r="M1015" s="26"/>
      <c r="N1015" s="26"/>
      <c r="O1015" s="68"/>
      <c r="P1015" s="1"/>
      <c r="Q1015" s="8"/>
      <c r="R1015" s="66"/>
      <c r="S1015" s="1"/>
      <c r="T1015" s="66"/>
      <c r="U1015" s="8"/>
      <c r="V1015" s="56"/>
      <c r="W1015" s="1"/>
      <c r="X1015" s="1"/>
      <c r="Y1015" s="1"/>
    </row>
    <row r="1016" spans="1:25">
      <c r="A1016" s="57"/>
      <c r="B1016" s="68"/>
      <c r="C1016" s="68"/>
      <c r="D1016" s="68"/>
      <c r="E1016" s="68"/>
      <c r="F1016" s="68"/>
      <c r="G1016" s="68"/>
      <c r="H1016" s="68"/>
      <c r="I1016" s="68"/>
      <c r="J1016" s="68"/>
      <c r="K1016" s="68"/>
      <c r="L1016" s="56"/>
      <c r="M1016" s="26"/>
      <c r="N1016" s="26"/>
      <c r="O1016" s="68"/>
      <c r="P1016" s="1"/>
      <c r="Q1016" s="8"/>
      <c r="R1016" s="66"/>
      <c r="S1016" s="1"/>
      <c r="T1016" s="66"/>
      <c r="U1016" s="8"/>
      <c r="V1016" s="56"/>
      <c r="W1016" s="1"/>
      <c r="X1016" s="1"/>
      <c r="Y1016" s="1"/>
    </row>
    <row r="1017" spans="1:25">
      <c r="A1017" s="57"/>
      <c r="B1017" s="68"/>
      <c r="C1017" s="68"/>
      <c r="D1017" s="68"/>
      <c r="E1017" s="68"/>
      <c r="F1017" s="68"/>
      <c r="G1017" s="68"/>
      <c r="H1017" s="68"/>
      <c r="I1017" s="68"/>
      <c r="J1017" s="68"/>
      <c r="K1017" s="68"/>
      <c r="L1017" s="56"/>
      <c r="M1017" s="26"/>
      <c r="N1017" s="26"/>
      <c r="O1017" s="68"/>
      <c r="P1017" s="1"/>
      <c r="Q1017" s="8"/>
      <c r="R1017" s="66"/>
      <c r="S1017" s="1"/>
      <c r="T1017" s="66"/>
      <c r="U1017" s="8"/>
      <c r="V1017" s="56"/>
      <c r="W1017" s="1"/>
      <c r="X1017" s="1"/>
      <c r="Y1017" s="1"/>
    </row>
    <row r="1018" spans="1:25">
      <c r="A1018" s="57"/>
      <c r="B1018" s="68"/>
      <c r="C1018" s="68"/>
      <c r="D1018" s="68"/>
      <c r="E1018" s="68"/>
      <c r="F1018" s="68"/>
      <c r="G1018" s="68"/>
      <c r="H1018" s="68"/>
      <c r="I1018" s="68"/>
      <c r="J1018" s="68"/>
      <c r="K1018" s="68"/>
      <c r="L1018" s="56"/>
      <c r="M1018" s="26"/>
      <c r="N1018" s="26"/>
      <c r="O1018" s="68"/>
      <c r="P1018" s="1"/>
      <c r="Q1018" s="8"/>
      <c r="R1018" s="66"/>
      <c r="S1018" s="1"/>
      <c r="T1018" s="66"/>
      <c r="U1018" s="8"/>
      <c r="V1018" s="56"/>
      <c r="W1018" s="1"/>
      <c r="X1018" s="1"/>
      <c r="Y1018" s="1"/>
    </row>
    <row r="1019" spans="1:25">
      <c r="A1019" s="57"/>
      <c r="B1019" s="68"/>
      <c r="C1019" s="68"/>
      <c r="D1019" s="68"/>
      <c r="E1019" s="68"/>
      <c r="F1019" s="68"/>
      <c r="G1019" s="68"/>
      <c r="H1019" s="68"/>
      <c r="I1019" s="68"/>
      <c r="J1019" s="68"/>
      <c r="K1019" s="68"/>
      <c r="L1019" s="56"/>
      <c r="M1019" s="26"/>
      <c r="N1019" s="26"/>
      <c r="O1019" s="68"/>
      <c r="P1019" s="1"/>
      <c r="Q1019" s="8"/>
      <c r="R1019" s="66"/>
      <c r="S1019" s="1"/>
      <c r="T1019" s="66"/>
      <c r="U1019" s="8"/>
      <c r="V1019" s="56"/>
      <c r="W1019" s="1"/>
      <c r="X1019" s="1"/>
      <c r="Y1019" s="1"/>
    </row>
    <row r="1020" spans="1:25">
      <c r="A1020" s="57"/>
      <c r="B1020" s="68"/>
      <c r="C1020" s="68"/>
      <c r="D1020" s="68"/>
      <c r="E1020" s="68"/>
      <c r="F1020" s="68"/>
      <c r="G1020" s="68"/>
      <c r="H1020" s="68"/>
      <c r="I1020" s="68"/>
      <c r="J1020" s="68"/>
      <c r="K1020" s="68"/>
      <c r="L1020" s="56"/>
      <c r="M1020" s="26"/>
      <c r="N1020" s="26"/>
      <c r="O1020" s="68"/>
      <c r="P1020" s="1"/>
      <c r="Q1020" s="8"/>
      <c r="R1020" s="66"/>
      <c r="S1020" s="1"/>
      <c r="T1020" s="66"/>
      <c r="U1020" s="8"/>
      <c r="V1020" s="56"/>
      <c r="W1020" s="1"/>
      <c r="X1020" s="1"/>
      <c r="Y1020" s="1"/>
    </row>
    <row r="1021" spans="1:25">
      <c r="A1021" s="57"/>
      <c r="B1021" s="68"/>
      <c r="C1021" s="68"/>
      <c r="D1021" s="68"/>
      <c r="E1021" s="68"/>
      <c r="F1021" s="68"/>
      <c r="G1021" s="68"/>
      <c r="H1021" s="68"/>
      <c r="I1021" s="68"/>
      <c r="J1021" s="68"/>
      <c r="K1021" s="68"/>
      <c r="L1021" s="56"/>
      <c r="M1021" s="26"/>
      <c r="N1021" s="26"/>
      <c r="O1021" s="68"/>
      <c r="P1021" s="1"/>
      <c r="Q1021" s="8"/>
      <c r="R1021" s="66"/>
      <c r="S1021" s="1"/>
      <c r="T1021" s="66"/>
      <c r="U1021" s="8"/>
      <c r="V1021" s="56"/>
      <c r="W1021" s="1"/>
      <c r="X1021" s="1"/>
      <c r="Y1021" s="1"/>
    </row>
    <row r="1022" spans="1:25">
      <c r="A1022" s="57"/>
      <c r="B1022" s="68"/>
      <c r="C1022" s="68"/>
      <c r="D1022" s="68"/>
      <c r="E1022" s="68"/>
      <c r="F1022" s="68"/>
      <c r="G1022" s="68"/>
      <c r="H1022" s="68"/>
      <c r="I1022" s="68"/>
      <c r="J1022" s="68"/>
      <c r="K1022" s="68"/>
      <c r="L1022" s="56"/>
      <c r="M1022" s="26"/>
      <c r="N1022" s="26"/>
      <c r="O1022" s="68"/>
      <c r="P1022" s="1"/>
      <c r="Q1022" s="8"/>
      <c r="R1022" s="66"/>
      <c r="S1022" s="1"/>
      <c r="T1022" s="66"/>
      <c r="U1022" s="8"/>
      <c r="V1022" s="56"/>
      <c r="W1022" s="1"/>
      <c r="X1022" s="1"/>
      <c r="Y1022" s="1"/>
    </row>
    <row r="1023" spans="1:25">
      <c r="A1023" s="57"/>
      <c r="B1023" s="68"/>
      <c r="C1023" s="68"/>
      <c r="D1023" s="68"/>
      <c r="E1023" s="68"/>
      <c r="F1023" s="68"/>
      <c r="G1023" s="68"/>
      <c r="H1023" s="68"/>
      <c r="I1023" s="68"/>
      <c r="J1023" s="68"/>
      <c r="K1023" s="68"/>
      <c r="L1023" s="56"/>
      <c r="M1023" s="26"/>
      <c r="N1023" s="26"/>
      <c r="O1023" s="68"/>
      <c r="P1023" s="1"/>
      <c r="Q1023" s="8"/>
      <c r="R1023" s="66"/>
      <c r="S1023" s="1"/>
      <c r="T1023" s="66"/>
      <c r="U1023" s="8"/>
      <c r="V1023" s="56"/>
      <c r="W1023" s="1"/>
      <c r="X1023" s="1"/>
      <c r="Y1023" s="1"/>
    </row>
    <row r="1024" spans="1:25">
      <c r="A1024" s="57"/>
      <c r="B1024" s="68"/>
      <c r="C1024" s="68"/>
      <c r="D1024" s="68"/>
      <c r="E1024" s="68"/>
      <c r="F1024" s="68"/>
      <c r="G1024" s="68"/>
      <c r="H1024" s="68"/>
      <c r="I1024" s="68"/>
      <c r="J1024" s="68"/>
      <c r="K1024" s="68"/>
      <c r="L1024" s="56"/>
      <c r="M1024" s="26"/>
      <c r="N1024" s="26"/>
      <c r="O1024" s="68"/>
      <c r="P1024" s="1"/>
      <c r="Q1024" s="8"/>
      <c r="R1024" s="66"/>
      <c r="S1024" s="1"/>
      <c r="T1024" s="66"/>
      <c r="U1024" s="8"/>
      <c r="V1024" s="56"/>
      <c r="W1024" s="1"/>
      <c r="X1024" s="1"/>
      <c r="Y1024" s="1"/>
    </row>
    <row r="1025" spans="1:25">
      <c r="A1025" s="57"/>
      <c r="B1025" s="68"/>
      <c r="C1025" s="68"/>
      <c r="D1025" s="68"/>
      <c r="E1025" s="68"/>
      <c r="F1025" s="68"/>
      <c r="G1025" s="68"/>
      <c r="H1025" s="68"/>
      <c r="I1025" s="68"/>
      <c r="J1025" s="68"/>
      <c r="K1025" s="68"/>
      <c r="L1025" s="56"/>
      <c r="M1025" s="26"/>
      <c r="N1025" s="26"/>
      <c r="O1025" s="68"/>
      <c r="P1025" s="1"/>
      <c r="Q1025" s="8"/>
      <c r="R1025" s="66"/>
      <c r="S1025" s="1"/>
      <c r="T1025" s="66"/>
      <c r="U1025" s="8"/>
      <c r="V1025" s="56"/>
      <c r="W1025" s="1"/>
      <c r="X1025" s="1"/>
      <c r="Y1025" s="1"/>
    </row>
    <row r="1026" spans="1:25">
      <c r="A1026" s="57"/>
      <c r="B1026" s="68"/>
      <c r="C1026" s="68"/>
      <c r="D1026" s="68"/>
      <c r="E1026" s="68"/>
      <c r="F1026" s="68"/>
      <c r="G1026" s="68"/>
      <c r="H1026" s="68"/>
      <c r="I1026" s="68"/>
      <c r="J1026" s="68"/>
      <c r="K1026" s="68"/>
      <c r="L1026" s="56"/>
      <c r="M1026" s="26"/>
      <c r="N1026" s="26"/>
      <c r="O1026" s="68"/>
      <c r="P1026" s="1"/>
      <c r="Q1026" s="8"/>
      <c r="R1026" s="66"/>
      <c r="S1026" s="1"/>
      <c r="T1026" s="66"/>
      <c r="U1026" s="8"/>
      <c r="V1026" s="56"/>
      <c r="W1026" s="1"/>
      <c r="X1026" s="1"/>
      <c r="Y1026" s="1"/>
    </row>
    <row r="1027" spans="1:25">
      <c r="A1027" s="57"/>
      <c r="B1027" s="68"/>
      <c r="C1027" s="68"/>
      <c r="D1027" s="68"/>
      <c r="E1027" s="68"/>
      <c r="F1027" s="68"/>
      <c r="G1027" s="68"/>
      <c r="H1027" s="68"/>
      <c r="I1027" s="68"/>
      <c r="J1027" s="68"/>
      <c r="K1027" s="68"/>
      <c r="L1027" s="56"/>
      <c r="M1027" s="26"/>
      <c r="N1027" s="26"/>
      <c r="O1027" s="68"/>
      <c r="P1027" s="1"/>
      <c r="Q1027" s="8"/>
      <c r="R1027" s="66"/>
      <c r="S1027" s="1"/>
      <c r="T1027" s="66"/>
      <c r="U1027" s="8"/>
      <c r="V1027" s="56"/>
      <c r="W1027" s="1"/>
      <c r="X1027" s="1"/>
      <c r="Y1027" s="1"/>
    </row>
    <row r="1028" spans="1:25">
      <c r="A1028" s="57"/>
      <c r="B1028" s="68"/>
      <c r="C1028" s="68"/>
      <c r="D1028" s="68"/>
      <c r="E1028" s="68"/>
      <c r="F1028" s="68"/>
      <c r="G1028" s="68"/>
      <c r="H1028" s="68"/>
      <c r="I1028" s="68"/>
      <c r="J1028" s="68"/>
      <c r="K1028" s="68"/>
      <c r="L1028" s="56"/>
      <c r="M1028" s="26"/>
      <c r="N1028" s="26"/>
      <c r="O1028" s="68"/>
      <c r="P1028" s="1"/>
      <c r="Q1028" s="8"/>
      <c r="R1028" s="66"/>
      <c r="S1028" s="1"/>
      <c r="T1028" s="66"/>
      <c r="U1028" s="8"/>
      <c r="V1028" s="56"/>
      <c r="W1028" s="1"/>
      <c r="X1028" s="1"/>
      <c r="Y1028" s="1"/>
    </row>
    <row r="1029" spans="1:25">
      <c r="A1029" s="57"/>
      <c r="B1029" s="68"/>
      <c r="C1029" s="68"/>
      <c r="D1029" s="68"/>
      <c r="E1029" s="68"/>
      <c r="F1029" s="68"/>
      <c r="G1029" s="68"/>
      <c r="H1029" s="68"/>
      <c r="I1029" s="68"/>
      <c r="J1029" s="68"/>
      <c r="K1029" s="68"/>
      <c r="L1029" s="56"/>
      <c r="M1029" s="26"/>
      <c r="N1029" s="26"/>
      <c r="O1029" s="68"/>
      <c r="P1029" s="1"/>
      <c r="Q1029" s="8"/>
      <c r="R1029" s="66"/>
      <c r="S1029" s="1"/>
      <c r="T1029" s="66"/>
      <c r="U1029" s="8"/>
      <c r="V1029" s="56"/>
      <c r="W1029" s="1"/>
      <c r="X1029" s="1"/>
      <c r="Y1029" s="1"/>
    </row>
    <row r="1030" spans="1:25">
      <c r="A1030" s="57"/>
      <c r="B1030" s="68"/>
      <c r="C1030" s="68"/>
      <c r="D1030" s="68"/>
      <c r="E1030" s="68"/>
      <c r="F1030" s="68"/>
      <c r="G1030" s="68"/>
      <c r="H1030" s="68"/>
      <c r="I1030" s="68"/>
      <c r="J1030" s="68"/>
      <c r="K1030" s="68"/>
      <c r="L1030" s="56"/>
      <c r="M1030" s="26"/>
      <c r="N1030" s="26"/>
      <c r="O1030" s="68"/>
      <c r="P1030" s="1"/>
      <c r="Q1030" s="8"/>
      <c r="R1030" s="66"/>
      <c r="S1030" s="1"/>
      <c r="T1030" s="66"/>
      <c r="U1030" s="8"/>
      <c r="V1030" s="56"/>
      <c r="W1030" s="1"/>
      <c r="X1030" s="1"/>
      <c r="Y1030" s="1"/>
    </row>
    <row r="1031" spans="1:25">
      <c r="A1031" s="57"/>
      <c r="B1031" s="68"/>
      <c r="C1031" s="68"/>
      <c r="D1031" s="68"/>
      <c r="E1031" s="68"/>
      <c r="F1031" s="68"/>
      <c r="G1031" s="68"/>
      <c r="H1031" s="68"/>
      <c r="I1031" s="68"/>
      <c r="J1031" s="68"/>
      <c r="K1031" s="68"/>
      <c r="L1031" s="56"/>
      <c r="M1031" s="26"/>
      <c r="N1031" s="26"/>
      <c r="O1031" s="68"/>
      <c r="P1031" s="1"/>
      <c r="Q1031" s="8"/>
      <c r="R1031" s="66"/>
      <c r="S1031" s="1"/>
      <c r="T1031" s="66"/>
      <c r="U1031" s="8"/>
      <c r="V1031" s="56"/>
      <c r="W1031" s="1"/>
      <c r="X1031" s="1"/>
      <c r="Y1031" s="1"/>
    </row>
    <row r="1032" spans="1:25">
      <c r="A1032" s="57"/>
      <c r="B1032" s="68"/>
      <c r="C1032" s="68"/>
      <c r="D1032" s="68"/>
      <c r="E1032" s="68"/>
      <c r="F1032" s="68"/>
      <c r="G1032" s="68"/>
      <c r="H1032" s="68"/>
      <c r="I1032" s="68"/>
      <c r="J1032" s="68"/>
      <c r="K1032" s="68"/>
      <c r="L1032" s="56"/>
      <c r="M1032" s="26"/>
      <c r="N1032" s="26"/>
      <c r="O1032" s="68"/>
      <c r="P1032" s="1"/>
      <c r="Q1032" s="8"/>
      <c r="R1032" s="66"/>
      <c r="S1032" s="1"/>
      <c r="T1032" s="66"/>
      <c r="U1032" s="8"/>
      <c r="V1032" s="56"/>
      <c r="W1032" s="1"/>
      <c r="X1032" s="1"/>
      <c r="Y1032" s="1"/>
    </row>
    <row r="1033" spans="1:25">
      <c r="A1033" s="57"/>
      <c r="B1033" s="68"/>
      <c r="C1033" s="68"/>
      <c r="D1033" s="68"/>
      <c r="E1033" s="68"/>
      <c r="F1033" s="68"/>
      <c r="G1033" s="68"/>
      <c r="H1033" s="68"/>
      <c r="I1033" s="68"/>
      <c r="J1033" s="68"/>
      <c r="K1033" s="68"/>
      <c r="L1033" s="56"/>
      <c r="M1033" s="26"/>
      <c r="N1033" s="26"/>
      <c r="O1033" s="68"/>
      <c r="P1033" s="1"/>
      <c r="Q1033" s="8"/>
      <c r="R1033" s="66"/>
      <c r="S1033" s="1"/>
      <c r="T1033" s="66"/>
      <c r="U1033" s="8"/>
      <c r="V1033" s="56"/>
      <c r="W1033" s="1"/>
      <c r="X1033" s="1"/>
      <c r="Y1033" s="1"/>
    </row>
    <row r="1034" spans="1:25">
      <c r="A1034" s="57"/>
      <c r="B1034" s="68"/>
      <c r="C1034" s="68"/>
      <c r="D1034" s="68"/>
      <c r="E1034" s="68"/>
      <c r="F1034" s="68"/>
      <c r="G1034" s="68"/>
      <c r="H1034" s="68"/>
      <c r="I1034" s="68"/>
      <c r="J1034" s="68"/>
      <c r="K1034" s="68"/>
      <c r="L1034" s="56"/>
      <c r="M1034" s="26"/>
      <c r="N1034" s="26"/>
      <c r="O1034" s="68"/>
      <c r="P1034" s="1"/>
      <c r="Q1034" s="8"/>
      <c r="R1034" s="66"/>
      <c r="S1034" s="1"/>
      <c r="T1034" s="66"/>
      <c r="U1034" s="8"/>
      <c r="V1034" s="56"/>
      <c r="W1034" s="1"/>
      <c r="X1034" s="1"/>
      <c r="Y1034" s="1"/>
    </row>
    <row r="1035" spans="1:25">
      <c r="A1035" s="57"/>
      <c r="B1035" s="68"/>
      <c r="C1035" s="68"/>
      <c r="D1035" s="68"/>
      <c r="E1035" s="68"/>
      <c r="F1035" s="68"/>
      <c r="G1035" s="68"/>
      <c r="H1035" s="68"/>
      <c r="I1035" s="68"/>
      <c r="J1035" s="68"/>
      <c r="K1035" s="68"/>
      <c r="L1035" s="56"/>
      <c r="M1035" s="26"/>
      <c r="N1035" s="26"/>
      <c r="O1035" s="68"/>
      <c r="P1035" s="1"/>
      <c r="Q1035" s="8"/>
      <c r="R1035" s="66"/>
      <c r="S1035" s="1"/>
      <c r="T1035" s="66"/>
      <c r="U1035" s="8"/>
      <c r="V1035" s="56"/>
      <c r="W1035" s="1"/>
      <c r="X1035" s="1"/>
      <c r="Y1035" s="1"/>
    </row>
    <row r="1036" spans="1:25">
      <c r="A1036" s="57"/>
      <c r="B1036" s="68"/>
      <c r="C1036" s="68"/>
      <c r="D1036" s="68"/>
      <c r="E1036" s="68"/>
      <c r="F1036" s="68"/>
      <c r="G1036" s="68"/>
      <c r="H1036" s="68"/>
      <c r="I1036" s="68"/>
      <c r="J1036" s="68"/>
      <c r="K1036" s="68"/>
      <c r="L1036" s="56"/>
      <c r="M1036" s="26"/>
      <c r="N1036" s="26"/>
      <c r="O1036" s="68"/>
      <c r="P1036" s="1"/>
      <c r="Q1036" s="8"/>
      <c r="R1036" s="66"/>
      <c r="S1036" s="1"/>
      <c r="T1036" s="66"/>
      <c r="U1036" s="8"/>
      <c r="V1036" s="56"/>
      <c r="W1036" s="1"/>
      <c r="X1036" s="1"/>
      <c r="Y1036" s="1"/>
    </row>
    <row r="1037" spans="1:25">
      <c r="A1037" s="57"/>
      <c r="B1037" s="68"/>
      <c r="C1037" s="68"/>
      <c r="D1037" s="68"/>
      <c r="E1037" s="68"/>
      <c r="F1037" s="68"/>
      <c r="G1037" s="68"/>
      <c r="H1037" s="68"/>
      <c r="I1037" s="68"/>
      <c r="J1037" s="68"/>
      <c r="K1037" s="68"/>
      <c r="L1037" s="56"/>
      <c r="M1037" s="26"/>
      <c r="N1037" s="26"/>
      <c r="O1037" s="68"/>
      <c r="P1037" s="1"/>
      <c r="Q1037" s="8"/>
      <c r="R1037" s="66"/>
      <c r="S1037" s="1"/>
      <c r="T1037" s="66"/>
      <c r="U1037" s="8"/>
      <c r="V1037" s="56"/>
      <c r="W1037" s="1"/>
      <c r="X1037" s="1"/>
      <c r="Y1037" s="1"/>
    </row>
    <row r="1038" spans="1:25">
      <c r="A1038" s="57"/>
      <c r="B1038" s="68"/>
      <c r="C1038" s="68"/>
      <c r="D1038" s="68"/>
      <c r="E1038" s="68"/>
      <c r="F1038" s="68"/>
      <c r="G1038" s="68"/>
      <c r="H1038" s="68"/>
      <c r="I1038" s="68"/>
      <c r="J1038" s="68"/>
      <c r="K1038" s="68"/>
      <c r="L1038" s="56"/>
      <c r="M1038" s="26"/>
      <c r="N1038" s="26"/>
      <c r="O1038" s="68"/>
      <c r="P1038" s="1"/>
      <c r="Q1038" s="8"/>
      <c r="R1038" s="66"/>
      <c r="S1038" s="1"/>
      <c r="T1038" s="66"/>
      <c r="U1038" s="8"/>
      <c r="V1038" s="56"/>
      <c r="W1038" s="1"/>
      <c r="X1038" s="1"/>
      <c r="Y1038" s="1"/>
    </row>
    <row r="1039" spans="1:25">
      <c r="A1039" s="57"/>
      <c r="B1039" s="68"/>
      <c r="C1039" s="68"/>
      <c r="D1039" s="68"/>
      <c r="E1039" s="68"/>
      <c r="F1039" s="68"/>
      <c r="G1039" s="68"/>
      <c r="H1039" s="68"/>
      <c r="I1039" s="68"/>
      <c r="J1039" s="68"/>
      <c r="K1039" s="68"/>
      <c r="L1039" s="56"/>
      <c r="M1039" s="26"/>
      <c r="N1039" s="26"/>
      <c r="O1039" s="68"/>
      <c r="P1039" s="1"/>
      <c r="Q1039" s="8"/>
      <c r="R1039" s="66"/>
      <c r="S1039" s="1"/>
      <c r="T1039" s="66"/>
      <c r="U1039" s="8"/>
      <c r="V1039" s="56"/>
      <c r="W1039" s="1"/>
      <c r="X1039" s="1"/>
      <c r="Y1039" s="1"/>
    </row>
    <row r="1040" spans="1:25">
      <c r="A1040" s="57"/>
      <c r="B1040" s="68"/>
      <c r="C1040" s="68"/>
      <c r="D1040" s="68"/>
      <c r="E1040" s="68"/>
      <c r="F1040" s="68"/>
      <c r="G1040" s="68"/>
      <c r="H1040" s="68"/>
      <c r="I1040" s="68"/>
      <c r="J1040" s="68"/>
      <c r="K1040" s="68"/>
      <c r="L1040" s="56"/>
      <c r="M1040" s="26"/>
      <c r="N1040" s="26"/>
      <c r="O1040" s="68"/>
      <c r="P1040" s="1"/>
      <c r="Q1040" s="8"/>
      <c r="R1040" s="66"/>
      <c r="S1040" s="1"/>
      <c r="T1040" s="66"/>
      <c r="U1040" s="8"/>
      <c r="V1040" s="56"/>
      <c r="W1040" s="1"/>
      <c r="X1040" s="1"/>
      <c r="Y1040" s="1"/>
    </row>
    <row r="1041" spans="1:25">
      <c r="A1041" s="57"/>
      <c r="B1041" s="68"/>
      <c r="C1041" s="68"/>
      <c r="D1041" s="68"/>
      <c r="E1041" s="68"/>
      <c r="F1041" s="68"/>
      <c r="G1041" s="68"/>
      <c r="H1041" s="68"/>
      <c r="I1041" s="68"/>
      <c r="J1041" s="68"/>
      <c r="K1041" s="68"/>
      <c r="L1041" s="56"/>
      <c r="M1041" s="26"/>
      <c r="N1041" s="26"/>
      <c r="O1041" s="68"/>
      <c r="P1041" s="1"/>
      <c r="Q1041" s="8"/>
      <c r="R1041" s="66"/>
      <c r="S1041" s="1"/>
      <c r="T1041" s="66"/>
      <c r="U1041" s="8"/>
      <c r="V1041" s="56"/>
      <c r="W1041" s="1"/>
      <c r="X1041" s="1"/>
      <c r="Y1041" s="1"/>
    </row>
    <row r="1042" spans="1:25">
      <c r="A1042" s="57"/>
      <c r="B1042" s="68"/>
      <c r="C1042" s="68"/>
      <c r="D1042" s="68"/>
      <c r="E1042" s="68"/>
      <c r="F1042" s="68"/>
      <c r="G1042" s="68"/>
      <c r="H1042" s="68"/>
      <c r="I1042" s="68"/>
      <c r="J1042" s="68"/>
      <c r="K1042" s="68"/>
      <c r="L1042" s="56"/>
      <c r="M1042" s="26"/>
      <c r="N1042" s="26"/>
      <c r="O1042" s="68"/>
      <c r="P1042" s="1"/>
      <c r="Q1042" s="8"/>
      <c r="R1042" s="66"/>
      <c r="S1042" s="1"/>
      <c r="T1042" s="66"/>
      <c r="U1042" s="8"/>
      <c r="V1042" s="56"/>
      <c r="W1042" s="1"/>
      <c r="X1042" s="1"/>
      <c r="Y1042" s="1"/>
    </row>
    <row r="1043" spans="1:25">
      <c r="A1043" s="57"/>
      <c r="B1043" s="68"/>
      <c r="C1043" s="68"/>
      <c r="D1043" s="68"/>
      <c r="E1043" s="68"/>
      <c r="F1043" s="68"/>
      <c r="G1043" s="68"/>
      <c r="H1043" s="68"/>
      <c r="I1043" s="68"/>
      <c r="J1043" s="68"/>
      <c r="K1043" s="68"/>
      <c r="L1043" s="56"/>
      <c r="M1043" s="26"/>
      <c r="N1043" s="26"/>
      <c r="O1043" s="68"/>
      <c r="P1043" s="1"/>
      <c r="Q1043" s="8"/>
      <c r="R1043" s="66"/>
      <c r="S1043" s="1"/>
      <c r="T1043" s="66"/>
      <c r="U1043" s="8"/>
      <c r="V1043" s="56"/>
      <c r="W1043" s="1"/>
      <c r="X1043" s="1"/>
      <c r="Y1043" s="1"/>
    </row>
    <row r="1044" spans="1:25">
      <c r="A1044" s="57"/>
      <c r="B1044" s="68"/>
      <c r="C1044" s="68"/>
      <c r="D1044" s="68"/>
      <c r="E1044" s="68"/>
      <c r="F1044" s="68"/>
      <c r="G1044" s="68"/>
      <c r="H1044" s="68"/>
      <c r="I1044" s="68"/>
      <c r="J1044" s="68"/>
      <c r="K1044" s="68"/>
      <c r="L1044" s="56"/>
      <c r="M1044" s="26"/>
      <c r="N1044" s="26"/>
      <c r="O1044" s="68"/>
      <c r="P1044" s="1"/>
      <c r="Q1044" s="8"/>
      <c r="R1044" s="66"/>
      <c r="S1044" s="1"/>
      <c r="T1044" s="66"/>
      <c r="U1044" s="8"/>
      <c r="V1044" s="56"/>
      <c r="W1044" s="1"/>
      <c r="X1044" s="1"/>
      <c r="Y1044" s="1"/>
    </row>
    <row r="1045" spans="1:25">
      <c r="A1045" s="57"/>
      <c r="B1045" s="68"/>
      <c r="C1045" s="68"/>
      <c r="D1045" s="68"/>
      <c r="E1045" s="68"/>
      <c r="F1045" s="68"/>
      <c r="G1045" s="68"/>
      <c r="H1045" s="68"/>
      <c r="I1045" s="68"/>
      <c r="J1045" s="68"/>
      <c r="K1045" s="68"/>
      <c r="L1045" s="56"/>
      <c r="M1045" s="26"/>
      <c r="N1045" s="26"/>
      <c r="O1045" s="68"/>
      <c r="P1045" s="1"/>
      <c r="Q1045" s="8"/>
      <c r="R1045" s="66"/>
      <c r="S1045" s="1"/>
      <c r="T1045" s="66"/>
      <c r="U1045" s="8"/>
      <c r="V1045" s="56"/>
      <c r="W1045" s="1"/>
      <c r="X1045" s="1"/>
      <c r="Y1045" s="1"/>
    </row>
    <row r="1046" spans="1:25">
      <c r="A1046" s="57"/>
      <c r="B1046" s="68"/>
      <c r="C1046" s="68"/>
      <c r="D1046" s="68"/>
      <c r="E1046" s="68"/>
      <c r="F1046" s="68"/>
      <c r="G1046" s="68"/>
      <c r="H1046" s="68"/>
      <c r="I1046" s="68"/>
      <c r="J1046" s="68"/>
      <c r="K1046" s="68"/>
      <c r="L1046" s="56"/>
      <c r="M1046" s="26"/>
      <c r="N1046" s="26"/>
      <c r="O1046" s="68"/>
      <c r="P1046" s="1"/>
      <c r="Q1046" s="8"/>
      <c r="R1046" s="66"/>
      <c r="S1046" s="1"/>
      <c r="T1046" s="66"/>
      <c r="U1046" s="8"/>
      <c r="V1046" s="56"/>
      <c r="W1046" s="1"/>
      <c r="X1046" s="1"/>
      <c r="Y1046" s="1"/>
    </row>
    <row r="1047" spans="1:25">
      <c r="A1047" s="57"/>
      <c r="B1047" s="68"/>
      <c r="C1047" s="68"/>
      <c r="D1047" s="68"/>
      <c r="E1047" s="68"/>
      <c r="F1047" s="68"/>
      <c r="G1047" s="68"/>
      <c r="H1047" s="68"/>
      <c r="I1047" s="68"/>
      <c r="J1047" s="68"/>
      <c r="K1047" s="68"/>
      <c r="L1047" s="56"/>
      <c r="M1047" s="26"/>
      <c r="N1047" s="26"/>
      <c r="O1047" s="68"/>
      <c r="P1047" s="1"/>
      <c r="Q1047" s="8"/>
      <c r="R1047" s="66"/>
      <c r="S1047" s="1"/>
      <c r="T1047" s="66"/>
      <c r="U1047" s="8"/>
      <c r="V1047" s="56"/>
      <c r="W1047" s="1"/>
      <c r="X1047" s="1"/>
      <c r="Y1047" s="1"/>
    </row>
    <row r="1048" spans="1:25">
      <c r="A1048" s="57"/>
      <c r="B1048" s="68"/>
      <c r="C1048" s="68"/>
      <c r="D1048" s="68"/>
      <c r="E1048" s="68"/>
      <c r="F1048" s="68"/>
      <c r="G1048" s="68"/>
      <c r="H1048" s="68"/>
      <c r="I1048" s="68"/>
      <c r="J1048" s="68"/>
      <c r="K1048" s="68"/>
      <c r="L1048" s="56"/>
      <c r="M1048" s="26"/>
      <c r="N1048" s="26"/>
      <c r="O1048" s="68"/>
      <c r="P1048" s="1"/>
      <c r="Q1048" s="8"/>
      <c r="R1048" s="66"/>
      <c r="S1048" s="1"/>
      <c r="T1048" s="66"/>
      <c r="U1048" s="8"/>
      <c r="V1048" s="56"/>
      <c r="W1048" s="1"/>
      <c r="X1048" s="1"/>
      <c r="Y1048" s="1"/>
    </row>
    <row r="1049" spans="1:25">
      <c r="A1049" s="57"/>
      <c r="B1049" s="68"/>
      <c r="C1049" s="68"/>
      <c r="D1049" s="68"/>
      <c r="E1049" s="68"/>
      <c r="F1049" s="68"/>
      <c r="G1049" s="68"/>
      <c r="H1049" s="68"/>
      <c r="I1049" s="68"/>
      <c r="J1049" s="68"/>
      <c r="K1049" s="68"/>
      <c r="L1049" s="56"/>
      <c r="M1049" s="26"/>
      <c r="N1049" s="26"/>
      <c r="O1049" s="68"/>
      <c r="P1049" s="1"/>
      <c r="Q1049" s="8"/>
      <c r="R1049" s="66"/>
      <c r="S1049" s="1"/>
      <c r="T1049" s="66"/>
      <c r="U1049" s="8"/>
      <c r="V1049" s="56"/>
      <c r="W1049" s="1"/>
      <c r="X1049" s="1"/>
      <c r="Y1049" s="1"/>
    </row>
    <row r="1050" spans="1:25">
      <c r="A1050" s="57"/>
      <c r="B1050" s="68"/>
      <c r="C1050" s="68"/>
      <c r="D1050" s="68"/>
      <c r="E1050" s="68"/>
      <c r="F1050" s="68"/>
      <c r="G1050" s="68"/>
      <c r="H1050" s="68"/>
      <c r="I1050" s="68"/>
      <c r="J1050" s="68"/>
      <c r="K1050" s="68"/>
      <c r="L1050" s="56"/>
      <c r="M1050" s="26"/>
      <c r="N1050" s="26"/>
      <c r="O1050" s="68"/>
      <c r="P1050" s="1"/>
      <c r="Q1050" s="8"/>
      <c r="R1050" s="66"/>
      <c r="S1050" s="1"/>
      <c r="T1050" s="66"/>
      <c r="U1050" s="8"/>
      <c r="V1050" s="56"/>
      <c r="W1050" s="1"/>
      <c r="X1050" s="1"/>
      <c r="Y1050" s="1"/>
    </row>
    <row r="1051" spans="1:25">
      <c r="A1051" s="57"/>
      <c r="B1051" s="68"/>
      <c r="C1051" s="68"/>
      <c r="D1051" s="68"/>
      <c r="E1051" s="68"/>
      <c r="F1051" s="68"/>
      <c r="G1051" s="68"/>
      <c r="H1051" s="68"/>
      <c r="I1051" s="68"/>
      <c r="J1051" s="68"/>
      <c r="K1051" s="68"/>
      <c r="L1051" s="56"/>
      <c r="M1051" s="26"/>
      <c r="N1051" s="26"/>
      <c r="O1051" s="68"/>
      <c r="P1051" s="1"/>
      <c r="Q1051" s="8"/>
      <c r="R1051" s="66"/>
      <c r="S1051" s="1"/>
      <c r="T1051" s="66"/>
      <c r="U1051" s="8"/>
      <c r="V1051" s="56"/>
      <c r="W1051" s="1"/>
      <c r="X1051" s="1"/>
      <c r="Y1051" s="1"/>
    </row>
    <row r="1052" spans="1:25">
      <c r="A1052" s="57"/>
      <c r="B1052" s="68"/>
      <c r="C1052" s="68"/>
      <c r="D1052" s="68"/>
      <c r="E1052" s="68"/>
      <c r="F1052" s="68"/>
      <c r="G1052" s="68"/>
      <c r="H1052" s="68"/>
      <c r="I1052" s="68"/>
      <c r="J1052" s="68"/>
      <c r="K1052" s="68"/>
      <c r="L1052" s="56"/>
      <c r="M1052" s="26"/>
      <c r="N1052" s="26"/>
      <c r="O1052" s="68"/>
      <c r="P1052" s="1"/>
      <c r="Q1052" s="8"/>
      <c r="R1052" s="66"/>
      <c r="S1052" s="1"/>
      <c r="T1052" s="66"/>
      <c r="U1052" s="8"/>
      <c r="V1052" s="56"/>
      <c r="W1052" s="1"/>
      <c r="X1052" s="1"/>
      <c r="Y1052" s="1"/>
    </row>
    <row r="1053" spans="1:25">
      <c r="A1053" s="57"/>
      <c r="B1053" s="68"/>
      <c r="C1053" s="68"/>
      <c r="D1053" s="68"/>
      <c r="E1053" s="68"/>
      <c r="F1053" s="68"/>
      <c r="G1053" s="68"/>
      <c r="H1053" s="68"/>
      <c r="I1053" s="68"/>
      <c r="J1053" s="68"/>
      <c r="K1053" s="68"/>
      <c r="L1053" s="56"/>
      <c r="M1053" s="26"/>
      <c r="N1053" s="26"/>
      <c r="O1053" s="68"/>
      <c r="P1053" s="1"/>
      <c r="Q1053" s="8"/>
      <c r="R1053" s="66"/>
      <c r="S1053" s="1"/>
      <c r="T1053" s="66"/>
      <c r="U1053" s="8"/>
      <c r="V1053" s="56"/>
      <c r="W1053" s="1"/>
      <c r="X1053" s="1"/>
      <c r="Y1053" s="1"/>
    </row>
    <row r="1054" spans="1:25">
      <c r="A1054" s="57"/>
      <c r="B1054" s="68"/>
      <c r="C1054" s="68"/>
      <c r="D1054" s="68"/>
      <c r="E1054" s="68"/>
      <c r="F1054" s="68"/>
      <c r="G1054" s="68"/>
      <c r="H1054" s="68"/>
      <c r="I1054" s="68"/>
      <c r="J1054" s="68"/>
      <c r="K1054" s="68"/>
      <c r="L1054" s="56"/>
      <c r="M1054" s="26"/>
      <c r="N1054" s="26"/>
      <c r="O1054" s="68"/>
      <c r="P1054" s="1"/>
      <c r="Q1054" s="8"/>
      <c r="R1054" s="66"/>
      <c r="S1054" s="1"/>
      <c r="T1054" s="66"/>
      <c r="U1054" s="8"/>
      <c r="V1054" s="56"/>
      <c r="W1054" s="1"/>
      <c r="X1054" s="1"/>
      <c r="Y1054" s="1"/>
    </row>
    <row r="1055" spans="1:25">
      <c r="A1055" s="57"/>
      <c r="B1055" s="68"/>
      <c r="C1055" s="68"/>
      <c r="D1055" s="68"/>
      <c r="E1055" s="68"/>
      <c r="F1055" s="68"/>
      <c r="G1055" s="68"/>
      <c r="H1055" s="68"/>
      <c r="I1055" s="68"/>
      <c r="J1055" s="68"/>
      <c r="K1055" s="68"/>
      <c r="L1055" s="56"/>
      <c r="M1055" s="26"/>
      <c r="N1055" s="26"/>
      <c r="O1055" s="68"/>
      <c r="P1055" s="1"/>
      <c r="Q1055" s="8"/>
      <c r="R1055" s="66"/>
      <c r="S1055" s="1"/>
      <c r="T1055" s="66"/>
      <c r="U1055" s="8"/>
      <c r="V1055" s="56"/>
      <c r="W1055" s="1"/>
      <c r="X1055" s="1"/>
      <c r="Y1055" s="1"/>
    </row>
    <row r="1056" spans="1:25">
      <c r="A1056" s="57"/>
      <c r="B1056" s="68"/>
      <c r="C1056" s="68"/>
      <c r="D1056" s="68"/>
      <c r="E1056" s="68"/>
      <c r="F1056" s="68"/>
      <c r="G1056" s="68"/>
      <c r="H1056" s="68"/>
      <c r="I1056" s="68"/>
      <c r="J1056" s="68"/>
      <c r="K1056" s="68"/>
      <c r="L1056" s="56"/>
      <c r="M1056" s="26"/>
      <c r="N1056" s="26"/>
      <c r="O1056" s="68"/>
      <c r="P1056" s="1"/>
      <c r="Q1056" s="8"/>
      <c r="R1056" s="66"/>
      <c r="S1056" s="1"/>
      <c r="T1056" s="66"/>
      <c r="U1056" s="8"/>
      <c r="V1056" s="56"/>
      <c r="W1056" s="1"/>
      <c r="X1056" s="1"/>
      <c r="Y1056" s="1"/>
    </row>
    <row r="1057" spans="1:25">
      <c r="A1057" s="57"/>
      <c r="B1057" s="68"/>
      <c r="C1057" s="68"/>
      <c r="D1057" s="68"/>
      <c r="E1057" s="68"/>
      <c r="F1057" s="68"/>
      <c r="G1057" s="68"/>
      <c r="H1057" s="68"/>
      <c r="I1057" s="68"/>
      <c r="J1057" s="68"/>
      <c r="K1057" s="68"/>
      <c r="L1057" s="56"/>
      <c r="M1057" s="26"/>
      <c r="N1057" s="26"/>
      <c r="O1057" s="68"/>
      <c r="P1057" s="1"/>
      <c r="Q1057" s="8"/>
      <c r="R1057" s="66"/>
      <c r="S1057" s="1"/>
      <c r="T1057" s="66"/>
      <c r="U1057" s="8"/>
      <c r="V1057" s="56"/>
      <c r="W1057" s="1"/>
      <c r="X1057" s="1"/>
      <c r="Y1057" s="1"/>
    </row>
    <row r="1058" spans="1:25">
      <c r="A1058" s="57"/>
      <c r="B1058" s="68"/>
      <c r="C1058" s="68"/>
      <c r="D1058" s="68"/>
      <c r="E1058" s="68"/>
      <c r="F1058" s="68"/>
      <c r="G1058" s="68"/>
      <c r="H1058" s="68"/>
      <c r="I1058" s="68"/>
      <c r="J1058" s="68"/>
      <c r="K1058" s="68"/>
      <c r="L1058" s="56"/>
      <c r="M1058" s="26"/>
      <c r="N1058" s="26"/>
      <c r="O1058" s="68"/>
      <c r="P1058" s="1"/>
      <c r="Q1058" s="8"/>
      <c r="R1058" s="66"/>
      <c r="S1058" s="1"/>
      <c r="T1058" s="66"/>
      <c r="U1058" s="8"/>
      <c r="V1058" s="56"/>
      <c r="W1058" s="1"/>
      <c r="X1058" s="1"/>
      <c r="Y1058" s="1"/>
    </row>
    <row r="1059" spans="1:25">
      <c r="A1059" s="57"/>
      <c r="B1059" s="68"/>
      <c r="C1059" s="68"/>
      <c r="D1059" s="68"/>
      <c r="E1059" s="68"/>
      <c r="F1059" s="68"/>
      <c r="G1059" s="68"/>
      <c r="H1059" s="68"/>
      <c r="I1059" s="68"/>
      <c r="J1059" s="68"/>
      <c r="K1059" s="68"/>
      <c r="L1059" s="56"/>
      <c r="M1059" s="26"/>
      <c r="N1059" s="26"/>
      <c r="O1059" s="68"/>
      <c r="P1059" s="1"/>
      <c r="Q1059" s="8"/>
      <c r="R1059" s="66"/>
      <c r="S1059" s="1"/>
      <c r="T1059" s="66"/>
      <c r="U1059" s="8"/>
      <c r="V1059" s="56"/>
      <c r="W1059" s="1"/>
      <c r="X1059" s="1"/>
      <c r="Y1059" s="1"/>
    </row>
    <row r="1060" spans="1:25">
      <c r="A1060" s="57"/>
      <c r="B1060" s="68"/>
      <c r="C1060" s="68"/>
      <c r="D1060" s="68"/>
      <c r="E1060" s="68"/>
      <c r="F1060" s="68"/>
      <c r="G1060" s="68"/>
      <c r="H1060" s="68"/>
      <c r="I1060" s="68"/>
      <c r="J1060" s="68"/>
      <c r="K1060" s="68"/>
      <c r="L1060" s="56"/>
      <c r="M1060" s="26"/>
      <c r="N1060" s="26"/>
      <c r="O1060" s="68"/>
      <c r="P1060" s="1"/>
      <c r="Q1060" s="8"/>
      <c r="R1060" s="66"/>
      <c r="S1060" s="1"/>
      <c r="T1060" s="66"/>
      <c r="U1060" s="8"/>
      <c r="V1060" s="56"/>
      <c r="W1060" s="1"/>
      <c r="X1060" s="1"/>
      <c r="Y1060" s="1"/>
    </row>
    <row r="1061" spans="1:25">
      <c r="A1061" s="57"/>
      <c r="B1061" s="68"/>
      <c r="C1061" s="68"/>
      <c r="D1061" s="68"/>
      <c r="E1061" s="68"/>
      <c r="F1061" s="68"/>
      <c r="G1061" s="68"/>
      <c r="H1061" s="68"/>
      <c r="I1061" s="68"/>
      <c r="J1061" s="68"/>
      <c r="K1061" s="68"/>
      <c r="L1061" s="56"/>
      <c r="M1061" s="26"/>
      <c r="N1061" s="26"/>
      <c r="O1061" s="68"/>
      <c r="P1061" s="1"/>
      <c r="Q1061" s="8"/>
      <c r="R1061" s="66"/>
      <c r="S1061" s="1"/>
      <c r="T1061" s="66"/>
      <c r="U1061" s="8"/>
      <c r="V1061" s="56"/>
      <c r="W1061" s="1"/>
      <c r="X1061" s="1"/>
      <c r="Y1061" s="1"/>
    </row>
    <row r="1062" spans="1:25">
      <c r="A1062" s="57"/>
      <c r="B1062" s="68"/>
      <c r="C1062" s="68"/>
      <c r="D1062" s="68"/>
      <c r="E1062" s="68"/>
      <c r="F1062" s="68"/>
      <c r="G1062" s="68"/>
      <c r="H1062" s="68"/>
      <c r="I1062" s="68"/>
      <c r="J1062" s="68"/>
      <c r="K1062" s="68"/>
      <c r="L1062" s="56"/>
      <c r="M1062" s="26"/>
      <c r="N1062" s="26"/>
      <c r="O1062" s="68"/>
      <c r="P1062" s="1"/>
      <c r="Q1062" s="8"/>
      <c r="R1062" s="66"/>
      <c r="S1062" s="1"/>
      <c r="T1062" s="66"/>
      <c r="U1062" s="8"/>
      <c r="V1062" s="56"/>
      <c r="W1062" s="1"/>
      <c r="X1062" s="1"/>
      <c r="Y1062" s="1"/>
    </row>
    <row r="1063" spans="1:25">
      <c r="A1063" s="57"/>
      <c r="B1063" s="68"/>
      <c r="C1063" s="68"/>
      <c r="D1063" s="68"/>
      <c r="E1063" s="68"/>
      <c r="F1063" s="68"/>
      <c r="G1063" s="68"/>
      <c r="H1063" s="68"/>
      <c r="I1063" s="68"/>
      <c r="J1063" s="68"/>
      <c r="K1063" s="68"/>
      <c r="L1063" s="56"/>
      <c r="M1063" s="26"/>
      <c r="N1063" s="26"/>
      <c r="O1063" s="68"/>
      <c r="P1063" s="1"/>
      <c r="Q1063" s="8"/>
      <c r="R1063" s="66"/>
      <c r="S1063" s="1"/>
      <c r="T1063" s="66"/>
      <c r="U1063" s="8"/>
      <c r="V1063" s="56"/>
      <c r="W1063" s="1"/>
      <c r="X1063" s="1"/>
      <c r="Y1063" s="1"/>
    </row>
    <row r="1064" spans="1:25">
      <c r="A1064" s="57"/>
      <c r="B1064" s="68"/>
      <c r="C1064" s="68"/>
      <c r="D1064" s="68"/>
      <c r="E1064" s="68"/>
      <c r="F1064" s="68"/>
      <c r="G1064" s="68"/>
      <c r="H1064" s="68"/>
      <c r="I1064" s="68"/>
      <c r="J1064" s="68"/>
      <c r="K1064" s="68"/>
      <c r="L1064" s="56"/>
      <c r="M1064" s="26"/>
      <c r="N1064" s="26"/>
      <c r="O1064" s="68"/>
      <c r="P1064" s="1"/>
      <c r="Q1064" s="8"/>
      <c r="R1064" s="66"/>
      <c r="S1064" s="1"/>
      <c r="T1064" s="66"/>
      <c r="U1064" s="8"/>
      <c r="V1064" s="56"/>
      <c r="W1064" s="1"/>
      <c r="X1064" s="1"/>
      <c r="Y1064" s="1"/>
    </row>
    <row r="1065" spans="1:25">
      <c r="A1065" s="57"/>
      <c r="B1065" s="68"/>
      <c r="C1065" s="68"/>
      <c r="D1065" s="68"/>
      <c r="E1065" s="68"/>
      <c r="F1065" s="68"/>
      <c r="G1065" s="68"/>
      <c r="H1065" s="68"/>
      <c r="I1065" s="68"/>
      <c r="J1065" s="68"/>
      <c r="K1065" s="68"/>
      <c r="L1065" s="56"/>
      <c r="M1065" s="26"/>
      <c r="N1065" s="26"/>
      <c r="O1065" s="68"/>
      <c r="P1065" s="1"/>
      <c r="Q1065" s="8"/>
      <c r="R1065" s="66"/>
      <c r="S1065" s="1"/>
      <c r="T1065" s="66"/>
      <c r="U1065" s="8"/>
      <c r="V1065" s="56"/>
      <c r="W1065" s="1"/>
      <c r="X1065" s="1"/>
      <c r="Y1065" s="1"/>
    </row>
    <row r="1066" spans="1:25">
      <c r="A1066" s="57"/>
      <c r="B1066" s="68"/>
      <c r="C1066" s="68"/>
      <c r="D1066" s="68"/>
      <c r="E1066" s="68"/>
      <c r="F1066" s="68"/>
      <c r="G1066" s="68"/>
      <c r="H1066" s="68"/>
      <c r="I1066" s="68"/>
      <c r="J1066" s="68"/>
      <c r="K1066" s="68"/>
      <c r="L1066" s="56"/>
      <c r="M1066" s="26"/>
      <c r="N1066" s="26"/>
      <c r="O1066" s="68"/>
      <c r="P1066" s="1"/>
      <c r="Q1066" s="8"/>
      <c r="R1066" s="66"/>
      <c r="S1066" s="1"/>
      <c r="T1066" s="66"/>
      <c r="U1066" s="8"/>
      <c r="V1066" s="56"/>
      <c r="W1066" s="1"/>
      <c r="X1066" s="1"/>
      <c r="Y1066" s="1"/>
    </row>
    <row r="1067" spans="1:25">
      <c r="A1067" s="57"/>
      <c r="B1067" s="68"/>
      <c r="C1067" s="68"/>
      <c r="D1067" s="68"/>
      <c r="E1067" s="68"/>
      <c r="F1067" s="68"/>
      <c r="G1067" s="68"/>
      <c r="H1067" s="68"/>
      <c r="I1067" s="68"/>
      <c r="J1067" s="68"/>
      <c r="K1067" s="68"/>
      <c r="L1067" s="56"/>
      <c r="M1067" s="26"/>
      <c r="N1067" s="26"/>
      <c r="O1067" s="68"/>
      <c r="P1067" s="1"/>
      <c r="Q1067" s="8"/>
      <c r="R1067" s="66"/>
      <c r="S1067" s="1"/>
      <c r="T1067" s="66"/>
      <c r="U1067" s="8"/>
      <c r="V1067" s="56"/>
      <c r="W1067" s="1"/>
      <c r="X1067" s="1"/>
      <c r="Y1067" s="1"/>
    </row>
    <row r="1068" spans="1:25">
      <c r="A1068" s="57"/>
      <c r="B1068" s="68"/>
      <c r="C1068" s="68"/>
      <c r="D1068" s="68"/>
      <c r="E1068" s="68"/>
      <c r="F1068" s="68"/>
      <c r="G1068" s="68"/>
      <c r="H1068" s="68"/>
      <c r="I1068" s="68"/>
      <c r="J1068" s="68"/>
      <c r="K1068" s="68"/>
      <c r="L1068" s="56"/>
      <c r="M1068" s="26"/>
      <c r="N1068" s="26"/>
      <c r="O1068" s="68"/>
      <c r="P1068" s="1"/>
      <c r="Q1068" s="8"/>
      <c r="R1068" s="66"/>
      <c r="S1068" s="1"/>
      <c r="T1068" s="66"/>
      <c r="U1068" s="8"/>
      <c r="V1068" s="56"/>
      <c r="W1068" s="1"/>
      <c r="X1068" s="1"/>
      <c r="Y1068" s="1"/>
    </row>
    <row r="1069" spans="1:25">
      <c r="A1069" s="57"/>
      <c r="B1069" s="68"/>
      <c r="C1069" s="68"/>
      <c r="D1069" s="68"/>
      <c r="E1069" s="68"/>
      <c r="F1069" s="68"/>
      <c r="G1069" s="68"/>
      <c r="H1069" s="68"/>
      <c r="I1069" s="68"/>
      <c r="J1069" s="68"/>
      <c r="K1069" s="68"/>
      <c r="L1069" s="56"/>
      <c r="M1069" s="26"/>
      <c r="N1069" s="26"/>
      <c r="O1069" s="68"/>
      <c r="P1069" s="1"/>
      <c r="Q1069" s="8"/>
      <c r="R1069" s="66"/>
      <c r="S1069" s="1"/>
      <c r="T1069" s="66"/>
      <c r="U1069" s="8"/>
      <c r="V1069" s="56"/>
      <c r="W1069" s="1"/>
      <c r="X1069" s="1"/>
      <c r="Y1069" s="1"/>
    </row>
    <row r="1070" spans="1:25">
      <c r="A1070" s="57"/>
      <c r="B1070" s="68"/>
      <c r="C1070" s="68"/>
      <c r="D1070" s="68"/>
      <c r="E1070" s="68"/>
      <c r="F1070" s="68"/>
      <c r="G1070" s="68"/>
      <c r="H1070" s="68"/>
      <c r="I1070" s="68"/>
      <c r="J1070" s="68"/>
      <c r="K1070" s="68"/>
      <c r="L1070" s="56"/>
      <c r="M1070" s="26"/>
      <c r="N1070" s="26"/>
      <c r="O1070" s="68"/>
      <c r="P1070" s="1"/>
      <c r="Q1070" s="8"/>
      <c r="R1070" s="66"/>
      <c r="S1070" s="1"/>
      <c r="T1070" s="66"/>
      <c r="U1070" s="8"/>
      <c r="V1070" s="56"/>
      <c r="W1070" s="1"/>
      <c r="X1070" s="1"/>
      <c r="Y1070" s="1"/>
    </row>
    <row r="1071" spans="1:25">
      <c r="A1071" s="57"/>
      <c r="B1071" s="68"/>
      <c r="C1071" s="68"/>
      <c r="D1071" s="68"/>
      <c r="E1071" s="68"/>
      <c r="F1071" s="68"/>
      <c r="G1071" s="68"/>
      <c r="H1071" s="68"/>
      <c r="I1071" s="68"/>
      <c r="J1071" s="68"/>
      <c r="K1071" s="68"/>
      <c r="L1071" s="56"/>
      <c r="M1071" s="26"/>
      <c r="N1071" s="26"/>
      <c r="O1071" s="68"/>
      <c r="P1071" s="1"/>
      <c r="Q1071" s="8"/>
      <c r="R1071" s="66"/>
      <c r="S1071" s="1"/>
      <c r="T1071" s="66"/>
      <c r="U1071" s="8"/>
      <c r="V1071" s="56"/>
      <c r="W1071" s="1"/>
      <c r="X1071" s="1"/>
      <c r="Y1071" s="1"/>
    </row>
    <row r="1072" spans="1:25">
      <c r="A1072" s="57"/>
      <c r="B1072" s="68"/>
      <c r="C1072" s="68"/>
      <c r="D1072" s="68"/>
      <c r="E1072" s="68"/>
      <c r="F1072" s="68"/>
      <c r="G1072" s="68"/>
      <c r="H1072" s="68"/>
      <c r="I1072" s="68"/>
      <c r="J1072" s="68"/>
      <c r="K1072" s="68"/>
      <c r="L1072" s="56"/>
      <c r="M1072" s="26"/>
      <c r="N1072" s="26"/>
      <c r="O1072" s="68"/>
      <c r="P1072" s="1"/>
      <c r="Q1072" s="8"/>
      <c r="R1072" s="66"/>
      <c r="S1072" s="1"/>
      <c r="T1072" s="66"/>
      <c r="U1072" s="8"/>
      <c r="V1072" s="56"/>
      <c r="W1072" s="1"/>
      <c r="X1072" s="1"/>
      <c r="Y1072" s="1"/>
    </row>
    <row r="1073" spans="1:25">
      <c r="A1073" s="57"/>
      <c r="B1073" s="68"/>
      <c r="C1073" s="68"/>
      <c r="D1073" s="68"/>
      <c r="E1073" s="68"/>
      <c r="F1073" s="68"/>
      <c r="G1073" s="68"/>
      <c r="H1073" s="68"/>
      <c r="I1073" s="68"/>
      <c r="J1073" s="68"/>
      <c r="K1073" s="68"/>
      <c r="L1073" s="56"/>
      <c r="M1073" s="26"/>
      <c r="N1073" s="26"/>
      <c r="O1073" s="68"/>
      <c r="P1073" s="1"/>
      <c r="Q1073" s="8"/>
      <c r="R1073" s="66"/>
      <c r="S1073" s="1"/>
      <c r="T1073" s="66"/>
      <c r="U1073" s="8"/>
      <c r="V1073" s="56"/>
      <c r="W1073" s="1"/>
      <c r="X1073" s="1"/>
      <c r="Y1073" s="1"/>
    </row>
    <row r="1074" spans="1:25">
      <c r="A1074" s="57"/>
      <c r="B1074" s="68"/>
      <c r="C1074" s="68"/>
      <c r="D1074" s="68"/>
      <c r="E1074" s="68"/>
      <c r="F1074" s="68"/>
      <c r="G1074" s="68"/>
      <c r="H1074" s="68"/>
      <c r="I1074" s="68"/>
      <c r="J1074" s="68"/>
      <c r="K1074" s="68"/>
      <c r="L1074" s="56"/>
      <c r="M1074" s="26"/>
      <c r="N1074" s="26"/>
      <c r="O1074" s="68"/>
      <c r="P1074" s="1"/>
      <c r="Q1074" s="8"/>
      <c r="R1074" s="66"/>
      <c r="S1074" s="1"/>
      <c r="T1074" s="66"/>
      <c r="U1074" s="8"/>
      <c r="V1074" s="56"/>
      <c r="W1074" s="1"/>
      <c r="X1074" s="1"/>
      <c r="Y1074" s="1"/>
    </row>
    <row r="1075" spans="1:25">
      <c r="A1075" s="57"/>
      <c r="B1075" s="68"/>
      <c r="C1075" s="68"/>
      <c r="D1075" s="68"/>
      <c r="E1075" s="68"/>
      <c r="F1075" s="68"/>
      <c r="G1075" s="68"/>
      <c r="H1075" s="68"/>
      <c r="I1075" s="68"/>
      <c r="J1075" s="68"/>
      <c r="K1075" s="68"/>
      <c r="L1075" s="56"/>
      <c r="M1075" s="26"/>
      <c r="N1075" s="26"/>
      <c r="O1075" s="68"/>
      <c r="P1075" s="1"/>
      <c r="Q1075" s="8"/>
      <c r="R1075" s="66"/>
      <c r="S1075" s="1"/>
      <c r="T1075" s="66"/>
      <c r="U1075" s="8"/>
      <c r="V1075" s="56"/>
      <c r="W1075" s="1"/>
      <c r="X1075" s="1"/>
      <c r="Y1075" s="1"/>
    </row>
    <row r="1076" spans="1:25">
      <c r="A1076" s="57"/>
      <c r="B1076" s="68"/>
      <c r="C1076" s="68"/>
      <c r="D1076" s="68"/>
      <c r="E1076" s="68"/>
      <c r="F1076" s="68"/>
      <c r="G1076" s="68"/>
      <c r="H1076" s="68"/>
      <c r="I1076" s="68"/>
      <c r="J1076" s="68"/>
      <c r="K1076" s="68"/>
      <c r="L1076" s="56"/>
      <c r="M1076" s="26"/>
      <c r="N1076" s="26"/>
      <c r="O1076" s="68"/>
      <c r="P1076" s="1"/>
      <c r="Q1076" s="8"/>
      <c r="R1076" s="66"/>
      <c r="S1076" s="1"/>
      <c r="T1076" s="66"/>
      <c r="U1076" s="8"/>
      <c r="V1076" s="56"/>
      <c r="W1076" s="1"/>
      <c r="X1076" s="1"/>
      <c r="Y1076" s="1"/>
    </row>
    <row r="1077" spans="1:25">
      <c r="A1077" s="57"/>
      <c r="B1077" s="68"/>
      <c r="C1077" s="68"/>
      <c r="D1077" s="68"/>
      <c r="E1077" s="68"/>
      <c r="F1077" s="68"/>
      <c r="G1077" s="68"/>
      <c r="H1077" s="68"/>
      <c r="I1077" s="68"/>
      <c r="J1077" s="68"/>
      <c r="K1077" s="68"/>
      <c r="L1077" s="56"/>
      <c r="M1077" s="26"/>
      <c r="N1077" s="26"/>
      <c r="O1077" s="68"/>
      <c r="P1077" s="1"/>
      <c r="Q1077" s="8"/>
      <c r="R1077" s="66"/>
      <c r="S1077" s="1"/>
      <c r="T1077" s="66"/>
      <c r="U1077" s="8"/>
      <c r="V1077" s="56"/>
      <c r="W1077" s="1"/>
      <c r="X1077" s="1"/>
      <c r="Y1077" s="1"/>
    </row>
    <row r="1078" spans="1:25">
      <c r="A1078" s="57"/>
      <c r="B1078" s="68"/>
      <c r="C1078" s="68"/>
      <c r="D1078" s="68"/>
      <c r="E1078" s="68"/>
      <c r="F1078" s="68"/>
      <c r="G1078" s="68"/>
      <c r="H1078" s="68"/>
      <c r="I1078" s="68"/>
      <c r="J1078" s="68"/>
      <c r="K1078" s="68"/>
      <c r="L1078" s="56"/>
      <c r="M1078" s="26"/>
      <c r="N1078" s="26"/>
      <c r="O1078" s="68"/>
      <c r="P1078" s="1"/>
      <c r="Q1078" s="8"/>
      <c r="R1078" s="66"/>
      <c r="S1078" s="1"/>
      <c r="T1078" s="66"/>
      <c r="U1078" s="8"/>
      <c r="V1078" s="56"/>
      <c r="W1078" s="1"/>
      <c r="X1078" s="1"/>
      <c r="Y1078" s="1"/>
    </row>
    <row r="1079" spans="1:25">
      <c r="A1079" s="57"/>
      <c r="B1079" s="68"/>
      <c r="C1079" s="68"/>
      <c r="D1079" s="68"/>
      <c r="E1079" s="68"/>
      <c r="F1079" s="68"/>
      <c r="G1079" s="68"/>
      <c r="H1079" s="68"/>
      <c r="I1079" s="68"/>
      <c r="J1079" s="68"/>
      <c r="K1079" s="68"/>
      <c r="L1079" s="56"/>
      <c r="M1079" s="26"/>
      <c r="N1079" s="26"/>
      <c r="O1079" s="68"/>
      <c r="P1079" s="1"/>
      <c r="Q1079" s="8"/>
      <c r="R1079" s="66"/>
      <c r="S1079" s="1"/>
      <c r="T1079" s="66"/>
      <c r="U1079" s="8"/>
      <c r="V1079" s="56"/>
      <c r="W1079" s="1"/>
      <c r="X1079" s="1"/>
      <c r="Y1079" s="1"/>
    </row>
    <row r="1080" spans="1:25">
      <c r="A1080" s="57"/>
      <c r="B1080" s="68"/>
      <c r="C1080" s="68"/>
      <c r="D1080" s="68"/>
      <c r="E1080" s="68"/>
      <c r="F1080" s="68"/>
      <c r="G1080" s="68"/>
      <c r="H1080" s="68"/>
      <c r="I1080" s="68"/>
      <c r="J1080" s="68"/>
      <c r="K1080" s="68"/>
      <c r="L1080" s="56"/>
      <c r="M1080" s="26"/>
      <c r="N1080" s="26"/>
      <c r="O1080" s="68"/>
      <c r="P1080" s="1"/>
      <c r="Q1080" s="8"/>
      <c r="R1080" s="66"/>
      <c r="S1080" s="1"/>
      <c r="T1080" s="66"/>
      <c r="U1080" s="8"/>
      <c r="V1080" s="56"/>
      <c r="W1080" s="1"/>
      <c r="X1080" s="1"/>
      <c r="Y1080" s="1"/>
    </row>
    <row r="1081" spans="1:25">
      <c r="A1081" s="57"/>
      <c r="B1081" s="68"/>
      <c r="C1081" s="68"/>
      <c r="D1081" s="68"/>
      <c r="E1081" s="68"/>
      <c r="F1081" s="68"/>
      <c r="G1081" s="68"/>
      <c r="H1081" s="68"/>
      <c r="I1081" s="68"/>
      <c r="J1081" s="68"/>
      <c r="K1081" s="68"/>
      <c r="L1081" s="56"/>
      <c r="M1081" s="26"/>
      <c r="N1081" s="26"/>
      <c r="O1081" s="68"/>
      <c r="P1081" s="1"/>
      <c r="Q1081" s="8"/>
      <c r="R1081" s="66"/>
      <c r="S1081" s="1"/>
      <c r="T1081" s="66"/>
      <c r="U1081" s="8"/>
      <c r="V1081" s="56"/>
      <c r="W1081" s="1"/>
      <c r="X1081" s="1"/>
      <c r="Y1081" s="1"/>
    </row>
    <row r="1082" spans="1:25">
      <c r="A1082" s="57"/>
      <c r="B1082" s="68"/>
      <c r="C1082" s="68"/>
      <c r="D1082" s="68"/>
      <c r="E1082" s="68"/>
      <c r="F1082" s="68"/>
      <c r="G1082" s="68"/>
      <c r="H1082" s="68"/>
      <c r="I1082" s="68"/>
      <c r="J1082" s="68"/>
      <c r="K1082" s="68"/>
      <c r="L1082" s="56"/>
      <c r="M1082" s="26"/>
      <c r="N1082" s="26"/>
      <c r="O1082" s="68"/>
      <c r="P1082" s="1"/>
      <c r="Q1082" s="8"/>
      <c r="R1082" s="66"/>
      <c r="S1082" s="1"/>
      <c r="T1082" s="66"/>
      <c r="U1082" s="8"/>
      <c r="V1082" s="56"/>
      <c r="W1082" s="1"/>
      <c r="X1082" s="1"/>
      <c r="Y1082" s="1"/>
    </row>
    <row r="1083" spans="1:25">
      <c r="A1083" s="57"/>
      <c r="B1083" s="68"/>
      <c r="C1083" s="68"/>
      <c r="D1083" s="68"/>
      <c r="E1083" s="68"/>
      <c r="F1083" s="68"/>
      <c r="G1083" s="68"/>
      <c r="H1083" s="68"/>
      <c r="I1083" s="68"/>
      <c r="J1083" s="68"/>
      <c r="K1083" s="68"/>
      <c r="L1083" s="56"/>
      <c r="M1083" s="26"/>
      <c r="N1083" s="26"/>
      <c r="O1083" s="68"/>
      <c r="P1083" s="1"/>
      <c r="Q1083" s="8"/>
      <c r="R1083" s="66"/>
      <c r="S1083" s="1"/>
      <c r="T1083" s="66"/>
      <c r="U1083" s="8"/>
      <c r="V1083" s="56"/>
      <c r="W1083" s="1"/>
      <c r="X1083" s="1"/>
      <c r="Y1083" s="1"/>
    </row>
    <row r="1084" spans="1:25">
      <c r="A1084" s="57"/>
      <c r="B1084" s="68"/>
      <c r="C1084" s="68"/>
      <c r="D1084" s="68"/>
      <c r="E1084" s="68"/>
      <c r="F1084" s="68"/>
      <c r="G1084" s="68"/>
      <c r="H1084" s="68"/>
      <c r="I1084" s="68"/>
      <c r="J1084" s="68"/>
      <c r="K1084" s="68"/>
      <c r="L1084" s="56"/>
      <c r="M1084" s="26"/>
      <c r="N1084" s="26"/>
      <c r="O1084" s="68"/>
      <c r="P1084" s="1"/>
      <c r="Q1084" s="8"/>
      <c r="R1084" s="66"/>
      <c r="S1084" s="1"/>
      <c r="T1084" s="66"/>
      <c r="U1084" s="8"/>
      <c r="V1084" s="56"/>
      <c r="W1084" s="1"/>
      <c r="X1084" s="1"/>
      <c r="Y1084" s="1"/>
    </row>
    <row r="1085" spans="1:25">
      <c r="A1085" s="57"/>
      <c r="B1085" s="68"/>
      <c r="C1085" s="68"/>
      <c r="D1085" s="68"/>
      <c r="E1085" s="68"/>
      <c r="F1085" s="68"/>
      <c r="G1085" s="68"/>
      <c r="H1085" s="68"/>
      <c r="I1085" s="68"/>
      <c r="J1085" s="68"/>
      <c r="K1085" s="68"/>
      <c r="L1085" s="56"/>
      <c r="M1085" s="26"/>
      <c r="N1085" s="26"/>
      <c r="O1085" s="68"/>
      <c r="P1085" s="1"/>
      <c r="Q1085" s="8"/>
      <c r="R1085" s="66"/>
      <c r="S1085" s="1"/>
      <c r="T1085" s="66"/>
      <c r="U1085" s="8"/>
      <c r="V1085" s="56"/>
      <c r="W1085" s="1"/>
      <c r="X1085" s="1"/>
      <c r="Y1085" s="1"/>
    </row>
    <row r="1086" spans="1:25">
      <c r="A1086" s="57"/>
      <c r="B1086" s="68"/>
      <c r="C1086" s="68"/>
      <c r="D1086" s="68"/>
      <c r="E1086" s="68"/>
      <c r="F1086" s="68"/>
      <c r="G1086" s="68"/>
      <c r="H1086" s="68"/>
      <c r="I1086" s="68"/>
      <c r="J1086" s="68"/>
      <c r="K1086" s="68"/>
      <c r="L1086" s="56"/>
      <c r="M1086" s="26"/>
      <c r="N1086" s="26"/>
      <c r="O1086" s="68"/>
      <c r="P1086" s="1"/>
      <c r="Q1086" s="8"/>
      <c r="R1086" s="66"/>
      <c r="S1086" s="1"/>
      <c r="T1086" s="66"/>
      <c r="U1086" s="8"/>
      <c r="V1086" s="56"/>
      <c r="W1086" s="1"/>
      <c r="X1086" s="1"/>
      <c r="Y1086" s="1"/>
    </row>
    <row r="1087" spans="1:25">
      <c r="A1087" s="57"/>
      <c r="B1087" s="68"/>
      <c r="C1087" s="68"/>
      <c r="D1087" s="68"/>
      <c r="E1087" s="68"/>
      <c r="F1087" s="68"/>
      <c r="G1087" s="68"/>
      <c r="H1087" s="68"/>
      <c r="I1087" s="68"/>
      <c r="J1087" s="68"/>
      <c r="K1087" s="68"/>
      <c r="L1087" s="56"/>
      <c r="M1087" s="26"/>
      <c r="N1087" s="26"/>
      <c r="O1087" s="68"/>
      <c r="P1087" s="1"/>
      <c r="Q1087" s="8"/>
      <c r="R1087" s="66"/>
      <c r="S1087" s="1"/>
      <c r="T1087" s="66"/>
      <c r="U1087" s="8"/>
      <c r="V1087" s="56"/>
      <c r="W1087" s="1"/>
      <c r="X1087" s="1"/>
      <c r="Y1087" s="1"/>
    </row>
    <row r="1088" spans="1:25">
      <c r="A1088" s="57"/>
      <c r="B1088" s="68"/>
      <c r="C1088" s="68"/>
      <c r="D1088" s="68"/>
      <c r="E1088" s="68"/>
      <c r="F1088" s="68"/>
      <c r="G1088" s="68"/>
      <c r="H1088" s="68"/>
      <c r="I1088" s="68"/>
      <c r="J1088" s="68"/>
      <c r="K1088" s="68"/>
      <c r="L1088" s="56"/>
      <c r="M1088" s="26"/>
      <c r="N1088" s="26"/>
      <c r="O1088" s="68"/>
      <c r="P1088" s="1"/>
      <c r="Q1088" s="8"/>
      <c r="R1088" s="66"/>
      <c r="S1088" s="1"/>
      <c r="T1088" s="66"/>
      <c r="U1088" s="8"/>
      <c r="V1088" s="56"/>
      <c r="W1088" s="1"/>
      <c r="X1088" s="1"/>
      <c r="Y1088" s="1"/>
    </row>
    <row r="1089" spans="1:25">
      <c r="A1089" s="57"/>
      <c r="B1089" s="68"/>
      <c r="C1089" s="68"/>
      <c r="D1089" s="68"/>
      <c r="E1089" s="68"/>
      <c r="F1089" s="68"/>
      <c r="G1089" s="68"/>
      <c r="H1089" s="68"/>
      <c r="I1089" s="68"/>
      <c r="J1089" s="68"/>
      <c r="K1089" s="68"/>
      <c r="L1089" s="56"/>
      <c r="M1089" s="26"/>
      <c r="N1089" s="26"/>
      <c r="O1089" s="68"/>
      <c r="P1089" s="1"/>
      <c r="Q1089" s="8"/>
      <c r="R1089" s="66"/>
      <c r="S1089" s="1"/>
      <c r="T1089" s="66"/>
      <c r="U1089" s="8"/>
      <c r="V1089" s="56"/>
      <c r="W1089" s="1"/>
      <c r="X1089" s="1"/>
      <c r="Y1089" s="1"/>
    </row>
    <row r="1090" spans="1:25">
      <c r="A1090" s="57"/>
      <c r="B1090" s="68"/>
      <c r="C1090" s="68"/>
      <c r="D1090" s="68"/>
      <c r="E1090" s="68"/>
      <c r="F1090" s="68"/>
      <c r="G1090" s="68"/>
      <c r="H1090" s="68"/>
      <c r="I1090" s="68"/>
      <c r="J1090" s="68"/>
      <c r="K1090" s="68"/>
      <c r="L1090" s="56"/>
      <c r="M1090" s="26"/>
      <c r="N1090" s="26"/>
      <c r="O1090" s="68"/>
      <c r="P1090" s="1"/>
      <c r="Q1090" s="8"/>
      <c r="R1090" s="66"/>
      <c r="S1090" s="1"/>
      <c r="T1090" s="66"/>
      <c r="U1090" s="8"/>
      <c r="V1090" s="56"/>
      <c r="W1090" s="1"/>
      <c r="X1090" s="1"/>
      <c r="Y1090" s="1"/>
    </row>
    <row r="1091" spans="1:25">
      <c r="A1091" s="57"/>
      <c r="B1091" s="68"/>
      <c r="C1091" s="68"/>
      <c r="D1091" s="68"/>
      <c r="E1091" s="68"/>
      <c r="F1091" s="68"/>
      <c r="G1091" s="68"/>
      <c r="H1091" s="68"/>
      <c r="I1091" s="68"/>
      <c r="J1091" s="68"/>
      <c r="K1091" s="68"/>
      <c r="L1091" s="56"/>
      <c r="M1091" s="26"/>
      <c r="N1091" s="26"/>
      <c r="O1091" s="68"/>
      <c r="P1091" s="1"/>
      <c r="Q1091" s="8"/>
      <c r="R1091" s="66"/>
      <c r="S1091" s="1"/>
      <c r="T1091" s="66"/>
      <c r="U1091" s="8"/>
      <c r="V1091" s="56"/>
      <c r="W1091" s="1"/>
      <c r="X1091" s="1"/>
      <c r="Y1091" s="1"/>
    </row>
    <row r="1092" spans="1:25">
      <c r="A1092" s="57"/>
      <c r="B1092" s="68"/>
      <c r="C1092" s="68"/>
      <c r="D1092" s="68"/>
      <c r="E1092" s="68"/>
      <c r="F1092" s="68"/>
      <c r="G1092" s="68"/>
      <c r="H1092" s="68"/>
      <c r="I1092" s="68"/>
      <c r="J1092" s="68"/>
      <c r="K1092" s="68"/>
      <c r="L1092" s="56"/>
      <c r="M1092" s="26"/>
      <c r="N1092" s="26"/>
      <c r="O1092" s="68"/>
      <c r="P1092" s="1"/>
      <c r="Q1092" s="8"/>
      <c r="R1092" s="66"/>
      <c r="S1092" s="1"/>
      <c r="T1092" s="66"/>
      <c r="U1092" s="8"/>
      <c r="V1092" s="56"/>
      <c r="W1092" s="1"/>
      <c r="X1092" s="1"/>
      <c r="Y1092" s="1"/>
    </row>
    <row r="1093" spans="1:25">
      <c r="A1093" s="57"/>
      <c r="B1093" s="68"/>
      <c r="C1093" s="68"/>
      <c r="D1093" s="68"/>
      <c r="E1093" s="68"/>
      <c r="F1093" s="68"/>
      <c r="G1093" s="68"/>
      <c r="H1093" s="68"/>
      <c r="I1093" s="68"/>
      <c r="J1093" s="68"/>
      <c r="K1093" s="68"/>
      <c r="L1093" s="56"/>
      <c r="M1093" s="26"/>
      <c r="N1093" s="26"/>
      <c r="O1093" s="68"/>
      <c r="P1093" s="1"/>
      <c r="Q1093" s="8"/>
      <c r="R1093" s="66"/>
      <c r="S1093" s="1"/>
      <c r="T1093" s="66"/>
      <c r="U1093" s="8"/>
      <c r="V1093" s="56"/>
      <c r="W1093" s="1"/>
      <c r="X1093" s="1"/>
      <c r="Y1093" s="1"/>
    </row>
    <row r="1094" spans="1:25">
      <c r="A1094" s="57"/>
      <c r="B1094" s="68"/>
      <c r="C1094" s="68"/>
      <c r="D1094" s="68"/>
      <c r="E1094" s="68"/>
      <c r="F1094" s="68"/>
      <c r="G1094" s="68"/>
      <c r="H1094" s="68"/>
      <c r="I1094" s="68"/>
      <c r="J1094" s="68"/>
      <c r="K1094" s="68"/>
      <c r="L1094" s="56"/>
      <c r="M1094" s="26"/>
      <c r="N1094" s="26"/>
      <c r="O1094" s="68"/>
      <c r="P1094" s="1"/>
      <c r="Q1094" s="8"/>
      <c r="R1094" s="66"/>
      <c r="S1094" s="1"/>
      <c r="T1094" s="66"/>
      <c r="U1094" s="8"/>
      <c r="V1094" s="56"/>
      <c r="W1094" s="1"/>
      <c r="X1094" s="1"/>
      <c r="Y1094" s="1"/>
    </row>
    <row r="1095" spans="1:25">
      <c r="A1095" s="57"/>
      <c r="B1095" s="68"/>
      <c r="C1095" s="68"/>
      <c r="D1095" s="68"/>
      <c r="E1095" s="68"/>
      <c r="F1095" s="68"/>
      <c r="G1095" s="68"/>
      <c r="H1095" s="68"/>
      <c r="I1095" s="68"/>
      <c r="J1095" s="68"/>
      <c r="K1095" s="68"/>
      <c r="L1095" s="56"/>
      <c r="M1095" s="26"/>
      <c r="N1095" s="26"/>
      <c r="O1095" s="68"/>
      <c r="P1095" s="1"/>
      <c r="Q1095" s="8"/>
      <c r="R1095" s="66"/>
      <c r="S1095" s="1"/>
      <c r="T1095" s="66"/>
      <c r="U1095" s="8"/>
      <c r="V1095" s="56"/>
      <c r="W1095" s="1"/>
      <c r="X1095" s="1"/>
      <c r="Y1095" s="1"/>
    </row>
    <row r="1096" spans="1:25">
      <c r="A1096" s="57"/>
      <c r="B1096" s="68"/>
      <c r="C1096" s="68"/>
      <c r="D1096" s="68"/>
      <c r="E1096" s="68"/>
      <c r="F1096" s="68"/>
      <c r="G1096" s="68"/>
      <c r="H1096" s="68"/>
      <c r="I1096" s="68"/>
      <c r="J1096" s="68"/>
      <c r="K1096" s="68"/>
      <c r="L1096" s="56"/>
      <c r="M1096" s="26"/>
      <c r="N1096" s="26"/>
      <c r="O1096" s="68"/>
      <c r="P1096" s="1"/>
      <c r="Q1096" s="8"/>
      <c r="R1096" s="66"/>
      <c r="S1096" s="1"/>
      <c r="T1096" s="66"/>
      <c r="U1096" s="8"/>
      <c r="V1096" s="56"/>
      <c r="W1096" s="1"/>
      <c r="X1096" s="1"/>
      <c r="Y1096" s="1"/>
    </row>
    <row r="1097" spans="1:25">
      <c r="A1097" s="57"/>
      <c r="B1097" s="68"/>
      <c r="C1097" s="68"/>
      <c r="D1097" s="68"/>
      <c r="E1097" s="68"/>
      <c r="F1097" s="68"/>
      <c r="G1097" s="68"/>
      <c r="H1097" s="68"/>
      <c r="I1097" s="68"/>
      <c r="J1097" s="68"/>
      <c r="K1097" s="68"/>
      <c r="L1097" s="56"/>
      <c r="M1097" s="26"/>
      <c r="N1097" s="26"/>
      <c r="O1097" s="68"/>
      <c r="P1097" s="1"/>
      <c r="Q1097" s="8"/>
      <c r="R1097" s="66"/>
      <c r="S1097" s="1"/>
      <c r="T1097" s="66"/>
      <c r="U1097" s="8"/>
      <c r="V1097" s="56"/>
      <c r="W1097" s="1"/>
      <c r="X1097" s="1"/>
      <c r="Y1097" s="1"/>
    </row>
    <row r="1098" spans="1:25">
      <c r="A1098" s="57"/>
      <c r="B1098" s="68"/>
      <c r="C1098" s="68"/>
      <c r="D1098" s="68"/>
      <c r="E1098" s="68"/>
      <c r="F1098" s="68"/>
      <c r="G1098" s="68"/>
      <c r="H1098" s="68"/>
      <c r="I1098" s="68"/>
      <c r="J1098" s="68"/>
      <c r="K1098" s="68"/>
      <c r="L1098" s="56"/>
      <c r="M1098" s="26"/>
      <c r="N1098" s="26"/>
      <c r="O1098" s="68"/>
      <c r="P1098" s="1"/>
      <c r="Q1098" s="8"/>
      <c r="R1098" s="66"/>
      <c r="S1098" s="1"/>
      <c r="T1098" s="66"/>
      <c r="U1098" s="8"/>
      <c r="V1098" s="56"/>
      <c r="W1098" s="1"/>
      <c r="X1098" s="1"/>
      <c r="Y1098" s="1"/>
    </row>
    <row r="1099" spans="1:25">
      <c r="A1099" s="57"/>
      <c r="B1099" s="68"/>
      <c r="C1099" s="68"/>
      <c r="D1099" s="68"/>
      <c r="E1099" s="68"/>
      <c r="F1099" s="68"/>
      <c r="G1099" s="68"/>
      <c r="H1099" s="68"/>
      <c r="I1099" s="68"/>
      <c r="J1099" s="68"/>
      <c r="K1099" s="68"/>
      <c r="L1099" s="56"/>
      <c r="M1099" s="26"/>
      <c r="N1099" s="26"/>
      <c r="O1099" s="68"/>
      <c r="P1099" s="1"/>
      <c r="Q1099" s="8"/>
      <c r="R1099" s="66"/>
      <c r="S1099" s="1"/>
      <c r="T1099" s="66"/>
      <c r="U1099" s="8"/>
      <c r="V1099" s="56"/>
      <c r="W1099" s="1"/>
      <c r="X1099" s="1"/>
      <c r="Y1099" s="1"/>
    </row>
    <row r="1100" spans="1:25">
      <c r="A1100" s="57"/>
      <c r="B1100" s="68"/>
      <c r="C1100" s="68"/>
      <c r="D1100" s="68"/>
      <c r="E1100" s="68"/>
      <c r="F1100" s="68"/>
      <c r="G1100" s="68"/>
      <c r="H1100" s="68"/>
      <c r="I1100" s="68"/>
      <c r="J1100" s="68"/>
      <c r="K1100" s="68"/>
      <c r="L1100" s="56"/>
      <c r="M1100" s="26"/>
      <c r="N1100" s="26"/>
      <c r="O1100" s="68"/>
      <c r="P1100" s="1"/>
      <c r="Q1100" s="8"/>
      <c r="R1100" s="66"/>
      <c r="S1100" s="1"/>
      <c r="T1100" s="66"/>
      <c r="U1100" s="8"/>
      <c r="V1100" s="56"/>
      <c r="W1100" s="1"/>
      <c r="X1100" s="1"/>
      <c r="Y1100" s="1"/>
    </row>
    <row r="1101" spans="1:25">
      <c r="A1101" s="57"/>
      <c r="B1101" s="68"/>
      <c r="C1101" s="68"/>
      <c r="D1101" s="68"/>
      <c r="E1101" s="68"/>
      <c r="F1101" s="68"/>
      <c r="G1101" s="68"/>
      <c r="H1101" s="68"/>
      <c r="I1101" s="68"/>
      <c r="J1101" s="68"/>
      <c r="K1101" s="68"/>
      <c r="L1101" s="56"/>
      <c r="M1101" s="26"/>
      <c r="N1101" s="26"/>
      <c r="O1101" s="68"/>
      <c r="P1101" s="1"/>
      <c r="Q1101" s="8"/>
      <c r="R1101" s="66"/>
      <c r="S1101" s="1"/>
      <c r="T1101" s="66"/>
      <c r="U1101" s="8"/>
      <c r="V1101" s="56"/>
      <c r="W1101" s="1"/>
      <c r="X1101" s="1"/>
      <c r="Y1101" s="1"/>
    </row>
    <row r="1102" spans="1:25">
      <c r="A1102" s="57"/>
      <c r="B1102" s="68"/>
      <c r="C1102" s="68"/>
      <c r="D1102" s="68"/>
      <c r="E1102" s="68"/>
      <c r="F1102" s="68"/>
      <c r="G1102" s="68"/>
      <c r="H1102" s="68"/>
      <c r="I1102" s="68"/>
      <c r="J1102" s="68"/>
      <c r="K1102" s="68"/>
      <c r="L1102" s="56"/>
      <c r="M1102" s="26"/>
      <c r="N1102" s="26"/>
      <c r="O1102" s="68"/>
      <c r="P1102" s="1"/>
      <c r="Q1102" s="8"/>
      <c r="R1102" s="66"/>
      <c r="S1102" s="1"/>
      <c r="T1102" s="66"/>
      <c r="U1102" s="8"/>
      <c r="V1102" s="56"/>
      <c r="W1102" s="1"/>
      <c r="X1102" s="1"/>
      <c r="Y1102" s="1"/>
    </row>
    <row r="1103" spans="1:25">
      <c r="A1103" s="57"/>
      <c r="B1103" s="68"/>
      <c r="C1103" s="68"/>
      <c r="D1103" s="68"/>
      <c r="E1103" s="68"/>
      <c r="F1103" s="68"/>
      <c r="G1103" s="68"/>
      <c r="H1103" s="68"/>
      <c r="I1103" s="68"/>
      <c r="J1103" s="68"/>
      <c r="K1103" s="68"/>
      <c r="L1103" s="56"/>
      <c r="M1103" s="26"/>
      <c r="N1103" s="26"/>
      <c r="O1103" s="68"/>
      <c r="P1103" s="1"/>
      <c r="Q1103" s="8"/>
      <c r="R1103" s="66"/>
      <c r="S1103" s="1"/>
      <c r="T1103" s="66"/>
      <c r="U1103" s="8"/>
      <c r="V1103" s="56"/>
      <c r="W1103" s="1"/>
      <c r="X1103" s="1"/>
      <c r="Y1103" s="1"/>
    </row>
    <row r="1104" spans="1:25">
      <c r="A1104" s="57"/>
      <c r="B1104" s="68"/>
      <c r="C1104" s="68"/>
      <c r="D1104" s="68"/>
      <c r="E1104" s="68"/>
      <c r="F1104" s="68"/>
      <c r="G1104" s="68"/>
      <c r="H1104" s="68"/>
      <c r="I1104" s="68"/>
      <c r="J1104" s="68"/>
      <c r="K1104" s="68"/>
      <c r="L1104" s="56"/>
      <c r="M1104" s="26"/>
      <c r="N1104" s="26"/>
      <c r="O1104" s="68"/>
      <c r="P1104" s="1"/>
      <c r="Q1104" s="8"/>
      <c r="R1104" s="66"/>
      <c r="S1104" s="1"/>
      <c r="T1104" s="66"/>
      <c r="U1104" s="8"/>
      <c r="V1104" s="56"/>
      <c r="W1104" s="1"/>
      <c r="X1104" s="1"/>
      <c r="Y1104" s="1"/>
    </row>
    <row r="1105" spans="1:25">
      <c r="A1105" s="57"/>
      <c r="B1105" s="68"/>
      <c r="C1105" s="68"/>
      <c r="D1105" s="68"/>
      <c r="E1105" s="68"/>
      <c r="F1105" s="68"/>
      <c r="G1105" s="68"/>
      <c r="H1105" s="68"/>
      <c r="I1105" s="68"/>
      <c r="J1105" s="68"/>
      <c r="K1105" s="68"/>
      <c r="L1105" s="56"/>
      <c r="M1105" s="26"/>
      <c r="N1105" s="26"/>
      <c r="O1105" s="68"/>
      <c r="P1105" s="1"/>
      <c r="Q1105" s="8"/>
      <c r="R1105" s="66"/>
      <c r="S1105" s="1"/>
      <c r="T1105" s="66"/>
      <c r="U1105" s="8"/>
      <c r="V1105" s="56"/>
      <c r="W1105" s="1"/>
      <c r="X1105" s="1"/>
      <c r="Y1105" s="1"/>
    </row>
    <row r="1106" spans="1:25">
      <c r="A1106" s="57"/>
      <c r="B1106" s="68"/>
      <c r="C1106" s="68"/>
      <c r="D1106" s="68"/>
      <c r="E1106" s="68"/>
      <c r="F1106" s="68"/>
      <c r="G1106" s="68"/>
      <c r="H1106" s="68"/>
      <c r="I1106" s="68"/>
      <c r="J1106" s="68"/>
      <c r="K1106" s="68"/>
      <c r="L1106" s="56"/>
      <c r="M1106" s="26"/>
      <c r="N1106" s="26"/>
      <c r="O1106" s="68"/>
      <c r="P1106" s="1"/>
      <c r="Q1106" s="8"/>
      <c r="R1106" s="66"/>
      <c r="S1106" s="1"/>
      <c r="T1106" s="66"/>
      <c r="U1106" s="8"/>
      <c r="V1106" s="56"/>
      <c r="W1106" s="1"/>
      <c r="X1106" s="1"/>
      <c r="Y1106" s="1"/>
    </row>
    <row r="1107" spans="1:25">
      <c r="A1107" s="57"/>
      <c r="B1107" s="68"/>
      <c r="C1107" s="68"/>
      <c r="D1107" s="68"/>
      <c r="E1107" s="68"/>
      <c r="F1107" s="68"/>
      <c r="G1107" s="68"/>
      <c r="H1107" s="68"/>
      <c r="I1107" s="68"/>
      <c r="J1107" s="68"/>
      <c r="K1107" s="68"/>
      <c r="L1107" s="56"/>
      <c r="M1107" s="26"/>
      <c r="N1107" s="26"/>
      <c r="O1107" s="68"/>
      <c r="P1107" s="1"/>
      <c r="Q1107" s="8"/>
      <c r="R1107" s="66"/>
      <c r="S1107" s="1"/>
      <c r="T1107" s="66"/>
      <c r="U1107" s="8"/>
      <c r="V1107" s="56"/>
      <c r="W1107" s="1"/>
      <c r="X1107" s="1"/>
      <c r="Y1107" s="1"/>
    </row>
    <row r="1108" spans="1:25">
      <c r="A1108" s="57"/>
      <c r="B1108" s="68"/>
      <c r="C1108" s="68"/>
      <c r="D1108" s="68"/>
      <c r="E1108" s="68"/>
      <c r="F1108" s="68"/>
      <c r="G1108" s="68"/>
      <c r="H1108" s="68"/>
      <c r="I1108" s="68"/>
      <c r="J1108" s="68"/>
      <c r="K1108" s="68"/>
      <c r="L1108" s="56"/>
      <c r="M1108" s="26"/>
      <c r="N1108" s="26"/>
      <c r="O1108" s="68"/>
      <c r="P1108" s="1"/>
      <c r="Q1108" s="8"/>
      <c r="R1108" s="66"/>
      <c r="S1108" s="1"/>
      <c r="T1108" s="66"/>
      <c r="U1108" s="8"/>
      <c r="V1108" s="56"/>
      <c r="W1108" s="1"/>
      <c r="X1108" s="1"/>
      <c r="Y1108" s="1"/>
    </row>
    <row r="1109" spans="1:25">
      <c r="A1109" s="57"/>
      <c r="B1109" s="68"/>
      <c r="C1109" s="68"/>
      <c r="D1109" s="68"/>
      <c r="E1109" s="68"/>
      <c r="F1109" s="68"/>
      <c r="G1109" s="68"/>
      <c r="H1109" s="68"/>
      <c r="I1109" s="68"/>
      <c r="J1109" s="68"/>
      <c r="K1109" s="68"/>
      <c r="L1109" s="56"/>
      <c r="M1109" s="26"/>
      <c r="N1109" s="26"/>
      <c r="O1109" s="68"/>
      <c r="P1109" s="1"/>
      <c r="Q1109" s="8"/>
      <c r="R1109" s="66"/>
      <c r="S1109" s="1"/>
      <c r="T1109" s="66"/>
      <c r="U1109" s="8"/>
      <c r="V1109" s="56"/>
      <c r="W1109" s="1"/>
      <c r="X1109" s="1"/>
      <c r="Y1109" s="1"/>
    </row>
    <row r="1110" spans="1:25">
      <c r="A1110" s="57"/>
      <c r="B1110" s="68"/>
      <c r="C1110" s="68"/>
      <c r="D1110" s="68"/>
      <c r="E1110" s="68"/>
      <c r="F1110" s="68"/>
      <c r="G1110" s="68"/>
      <c r="H1110" s="68"/>
      <c r="I1110" s="68"/>
      <c r="J1110" s="68"/>
      <c r="K1110" s="68"/>
      <c r="L1110" s="56"/>
      <c r="M1110" s="26"/>
      <c r="N1110" s="26"/>
      <c r="O1110" s="68"/>
      <c r="P1110" s="1"/>
      <c r="Q1110" s="8"/>
      <c r="R1110" s="66"/>
      <c r="S1110" s="1"/>
      <c r="T1110" s="66"/>
      <c r="U1110" s="8"/>
      <c r="V1110" s="56"/>
      <c r="W1110" s="1"/>
      <c r="X1110" s="1"/>
      <c r="Y1110" s="1"/>
    </row>
    <row r="1111" spans="1:25">
      <c r="A1111" s="57"/>
      <c r="B1111" s="68"/>
      <c r="C1111" s="68"/>
      <c r="D1111" s="68"/>
      <c r="E1111" s="68"/>
      <c r="F1111" s="68"/>
      <c r="G1111" s="68"/>
      <c r="H1111" s="68"/>
      <c r="I1111" s="68"/>
      <c r="J1111" s="68"/>
      <c r="K1111" s="68"/>
      <c r="L1111" s="56"/>
      <c r="M1111" s="26"/>
      <c r="N1111" s="26"/>
      <c r="O1111" s="68"/>
      <c r="P1111" s="1"/>
      <c r="Q1111" s="8"/>
      <c r="R1111" s="66"/>
      <c r="S1111" s="1"/>
      <c r="T1111" s="66"/>
      <c r="U1111" s="8"/>
      <c r="V1111" s="56"/>
      <c r="W1111" s="1"/>
      <c r="X1111" s="1"/>
      <c r="Y1111" s="1"/>
    </row>
    <row r="1112" spans="1:25">
      <c r="A1112" s="57"/>
      <c r="B1112" s="68"/>
      <c r="C1112" s="68"/>
      <c r="D1112" s="68"/>
      <c r="E1112" s="68"/>
      <c r="F1112" s="68"/>
      <c r="G1112" s="68"/>
      <c r="H1112" s="68"/>
      <c r="I1112" s="68"/>
      <c r="J1112" s="68"/>
      <c r="K1112" s="68"/>
      <c r="L1112" s="56"/>
      <c r="M1112" s="26"/>
      <c r="N1112" s="26"/>
      <c r="O1112" s="68"/>
      <c r="P1112" s="1"/>
      <c r="Q1112" s="8"/>
      <c r="R1112" s="66"/>
      <c r="S1112" s="1"/>
      <c r="T1112" s="66"/>
      <c r="U1112" s="8"/>
      <c r="V1112" s="56"/>
      <c r="W1112" s="1"/>
      <c r="X1112" s="1"/>
      <c r="Y1112" s="1"/>
    </row>
    <row r="1113" spans="1:25">
      <c r="A1113" s="57"/>
      <c r="B1113" s="68"/>
      <c r="C1113" s="68"/>
      <c r="D1113" s="68"/>
      <c r="E1113" s="68"/>
      <c r="F1113" s="68"/>
      <c r="G1113" s="68"/>
      <c r="H1113" s="68"/>
      <c r="I1113" s="68"/>
      <c r="J1113" s="68"/>
      <c r="K1113" s="68"/>
      <c r="L1113" s="56"/>
      <c r="M1113" s="26"/>
      <c r="N1113" s="26"/>
      <c r="O1113" s="68"/>
      <c r="P1113" s="1"/>
      <c r="Q1113" s="8"/>
      <c r="R1113" s="66"/>
      <c r="S1113" s="1"/>
      <c r="T1113" s="66"/>
      <c r="U1113" s="8"/>
      <c r="V1113" s="56"/>
      <c r="W1113" s="1"/>
      <c r="X1113" s="1"/>
      <c r="Y1113" s="1"/>
    </row>
    <row r="1114" spans="1:25">
      <c r="A1114" s="57"/>
      <c r="B1114" s="68"/>
      <c r="C1114" s="68"/>
      <c r="D1114" s="68"/>
      <c r="E1114" s="68"/>
      <c r="F1114" s="68"/>
      <c r="G1114" s="68"/>
      <c r="H1114" s="68"/>
      <c r="I1114" s="68"/>
      <c r="J1114" s="68"/>
      <c r="K1114" s="68"/>
      <c r="L1114" s="56"/>
      <c r="M1114" s="26"/>
      <c r="N1114" s="26"/>
      <c r="O1114" s="68"/>
      <c r="P1114" s="1"/>
      <c r="Q1114" s="8"/>
      <c r="R1114" s="66"/>
      <c r="S1114" s="1"/>
      <c r="T1114" s="66"/>
      <c r="U1114" s="8"/>
      <c r="V1114" s="56"/>
      <c r="W1114" s="1"/>
      <c r="X1114" s="1"/>
      <c r="Y1114" s="1"/>
    </row>
    <row r="1115" spans="1:25">
      <c r="A1115" s="57"/>
      <c r="B1115" s="68"/>
      <c r="C1115" s="68"/>
      <c r="D1115" s="68"/>
      <c r="E1115" s="68"/>
      <c r="F1115" s="68"/>
      <c r="G1115" s="68"/>
      <c r="H1115" s="68"/>
      <c r="I1115" s="68"/>
      <c r="J1115" s="68"/>
      <c r="K1115" s="68"/>
      <c r="L1115" s="56"/>
      <c r="M1115" s="26"/>
      <c r="N1115" s="26"/>
      <c r="O1115" s="68"/>
      <c r="P1115" s="1"/>
      <c r="Q1115" s="8"/>
      <c r="R1115" s="66"/>
      <c r="S1115" s="1"/>
      <c r="T1115" s="66"/>
      <c r="U1115" s="8"/>
      <c r="V1115" s="56"/>
      <c r="W1115" s="1"/>
      <c r="X1115" s="1"/>
      <c r="Y1115" s="1"/>
    </row>
    <row r="1116" spans="1:25">
      <c r="A1116" s="57"/>
      <c r="B1116" s="68"/>
      <c r="C1116" s="68"/>
      <c r="D1116" s="68"/>
      <c r="E1116" s="68"/>
      <c r="F1116" s="68"/>
      <c r="G1116" s="68"/>
      <c r="H1116" s="68"/>
      <c r="I1116" s="68"/>
      <c r="J1116" s="68"/>
      <c r="K1116" s="68"/>
      <c r="L1116" s="56"/>
      <c r="M1116" s="26"/>
      <c r="N1116" s="26"/>
      <c r="O1116" s="68"/>
      <c r="P1116" s="1"/>
      <c r="Q1116" s="8"/>
      <c r="R1116" s="66"/>
      <c r="S1116" s="1"/>
      <c r="T1116" s="66"/>
      <c r="U1116" s="8"/>
      <c r="V1116" s="56"/>
      <c r="W1116" s="1"/>
      <c r="X1116" s="1"/>
      <c r="Y1116" s="1"/>
    </row>
    <row r="1117" spans="1:25">
      <c r="A1117" s="57"/>
      <c r="B1117" s="68"/>
      <c r="C1117" s="68"/>
      <c r="D1117" s="68"/>
      <c r="E1117" s="68"/>
      <c r="F1117" s="68"/>
      <c r="G1117" s="68"/>
      <c r="H1117" s="68"/>
      <c r="I1117" s="68"/>
      <c r="J1117" s="68"/>
      <c r="K1117" s="68"/>
      <c r="L1117" s="56"/>
      <c r="M1117" s="26"/>
      <c r="N1117" s="26"/>
      <c r="O1117" s="68"/>
      <c r="P1117" s="1"/>
      <c r="Q1117" s="8"/>
      <c r="R1117" s="66"/>
      <c r="S1117" s="1"/>
      <c r="T1117" s="66"/>
      <c r="U1117" s="8"/>
      <c r="V1117" s="56"/>
      <c r="W1117" s="1"/>
      <c r="X1117" s="1"/>
      <c r="Y1117" s="1"/>
    </row>
    <row r="1118" spans="1:25">
      <c r="A1118" s="57"/>
      <c r="B1118" s="68"/>
      <c r="C1118" s="68"/>
      <c r="D1118" s="68"/>
      <c r="E1118" s="68"/>
      <c r="F1118" s="68"/>
      <c r="G1118" s="68"/>
      <c r="H1118" s="68"/>
      <c r="I1118" s="68"/>
      <c r="J1118" s="68"/>
      <c r="K1118" s="68"/>
      <c r="L1118" s="56"/>
      <c r="M1118" s="26"/>
      <c r="N1118" s="26"/>
      <c r="O1118" s="68"/>
      <c r="P1118" s="1"/>
      <c r="Q1118" s="8"/>
      <c r="R1118" s="66"/>
      <c r="S1118" s="1"/>
      <c r="T1118" s="66"/>
      <c r="U1118" s="8"/>
      <c r="V1118" s="56"/>
      <c r="W1118" s="1"/>
      <c r="X1118" s="1"/>
      <c r="Y1118" s="1"/>
    </row>
    <row r="1119" spans="1:25">
      <c r="A1119" s="57"/>
      <c r="B1119" s="68"/>
      <c r="C1119" s="68"/>
      <c r="D1119" s="68"/>
      <c r="E1119" s="68"/>
      <c r="F1119" s="68"/>
      <c r="G1119" s="68"/>
      <c r="H1119" s="68"/>
      <c r="I1119" s="68"/>
      <c r="J1119" s="68"/>
      <c r="K1119" s="68"/>
      <c r="L1119" s="56"/>
      <c r="M1119" s="26"/>
      <c r="N1119" s="26"/>
      <c r="O1119" s="68"/>
      <c r="P1119" s="1"/>
      <c r="Q1119" s="8"/>
      <c r="R1119" s="66"/>
      <c r="S1119" s="1"/>
      <c r="T1119" s="66"/>
      <c r="U1119" s="8"/>
      <c r="V1119" s="56"/>
      <c r="W1119" s="1"/>
      <c r="X1119" s="1"/>
      <c r="Y1119" s="1"/>
    </row>
    <row r="1120" spans="1:25">
      <c r="A1120" s="57"/>
      <c r="B1120" s="68"/>
      <c r="C1120" s="68"/>
      <c r="D1120" s="68"/>
      <c r="E1120" s="68"/>
      <c r="F1120" s="68"/>
      <c r="G1120" s="68"/>
      <c r="H1120" s="68"/>
      <c r="I1120" s="68"/>
      <c r="J1120" s="68"/>
      <c r="K1120" s="68"/>
      <c r="L1120" s="56"/>
      <c r="M1120" s="26"/>
      <c r="N1120" s="26"/>
      <c r="O1120" s="68"/>
      <c r="P1120" s="1"/>
      <c r="Q1120" s="8"/>
      <c r="R1120" s="66"/>
      <c r="S1120" s="1"/>
      <c r="T1120" s="66"/>
      <c r="U1120" s="8"/>
      <c r="V1120" s="56"/>
      <c r="W1120" s="1"/>
      <c r="X1120" s="1"/>
      <c r="Y1120" s="1"/>
    </row>
    <row r="1121" spans="1:25">
      <c r="A1121" s="57"/>
      <c r="B1121" s="68"/>
      <c r="C1121" s="68"/>
      <c r="D1121" s="68"/>
      <c r="E1121" s="68"/>
      <c r="F1121" s="68"/>
      <c r="G1121" s="68"/>
      <c r="H1121" s="68"/>
      <c r="I1121" s="68"/>
      <c r="J1121" s="68"/>
      <c r="K1121" s="68"/>
      <c r="L1121" s="56"/>
      <c r="M1121" s="26"/>
      <c r="N1121" s="26"/>
      <c r="O1121" s="68"/>
      <c r="P1121" s="1"/>
      <c r="Q1121" s="8"/>
      <c r="R1121" s="66"/>
      <c r="S1121" s="1"/>
      <c r="T1121" s="66"/>
      <c r="U1121" s="8"/>
      <c r="V1121" s="56"/>
      <c r="W1121" s="1"/>
      <c r="X1121" s="1"/>
      <c r="Y1121" s="1"/>
    </row>
    <row r="1122" spans="1:25">
      <c r="A1122" s="57"/>
      <c r="B1122" s="68"/>
      <c r="C1122" s="68"/>
      <c r="D1122" s="68"/>
      <c r="E1122" s="68"/>
      <c r="F1122" s="68"/>
      <c r="G1122" s="68"/>
      <c r="H1122" s="68"/>
      <c r="I1122" s="68"/>
      <c r="J1122" s="68"/>
      <c r="K1122" s="68"/>
      <c r="L1122" s="56"/>
      <c r="M1122" s="26"/>
      <c r="N1122" s="26"/>
      <c r="O1122" s="68"/>
      <c r="P1122" s="1"/>
      <c r="Q1122" s="8"/>
      <c r="R1122" s="66"/>
      <c r="S1122" s="1"/>
      <c r="T1122" s="66"/>
      <c r="U1122" s="8"/>
      <c r="V1122" s="56"/>
      <c r="W1122" s="1"/>
      <c r="X1122" s="1"/>
      <c r="Y1122" s="1"/>
    </row>
    <row r="1123" spans="1:25">
      <c r="A1123" s="57"/>
      <c r="B1123" s="68"/>
      <c r="C1123" s="68"/>
      <c r="D1123" s="68"/>
      <c r="E1123" s="68"/>
      <c r="F1123" s="68"/>
      <c r="G1123" s="68"/>
      <c r="H1123" s="68"/>
      <c r="I1123" s="68"/>
      <c r="J1123" s="68"/>
      <c r="K1123" s="68"/>
      <c r="L1123" s="56"/>
      <c r="M1123" s="26"/>
      <c r="N1123" s="26"/>
      <c r="O1123" s="68"/>
      <c r="P1123" s="1"/>
      <c r="Q1123" s="8"/>
      <c r="R1123" s="66"/>
      <c r="S1123" s="1"/>
      <c r="T1123" s="66"/>
      <c r="U1123" s="8"/>
      <c r="V1123" s="56"/>
      <c r="W1123" s="1"/>
      <c r="X1123" s="1"/>
      <c r="Y1123" s="1"/>
    </row>
    <row r="1124" spans="1:25">
      <c r="A1124" s="57"/>
      <c r="B1124" s="68"/>
      <c r="C1124" s="68"/>
      <c r="D1124" s="68"/>
      <c r="E1124" s="68"/>
      <c r="F1124" s="68"/>
      <c r="G1124" s="68"/>
      <c r="H1124" s="68"/>
      <c r="I1124" s="68"/>
      <c r="J1124" s="68"/>
      <c r="K1124" s="68"/>
      <c r="L1124" s="56"/>
      <c r="M1124" s="26"/>
      <c r="N1124" s="26"/>
      <c r="O1124" s="68"/>
      <c r="P1124" s="1"/>
      <c r="Q1124" s="8"/>
      <c r="R1124" s="66"/>
      <c r="S1124" s="1"/>
      <c r="T1124" s="66"/>
      <c r="U1124" s="8"/>
      <c r="V1124" s="56"/>
      <c r="W1124" s="1"/>
      <c r="X1124" s="1"/>
      <c r="Y1124" s="1"/>
    </row>
    <row r="1125" spans="1:25">
      <c r="A1125" s="57"/>
      <c r="B1125" s="68"/>
      <c r="C1125" s="68"/>
      <c r="D1125" s="68"/>
      <c r="E1125" s="68"/>
      <c r="F1125" s="68"/>
      <c r="G1125" s="68"/>
      <c r="H1125" s="68"/>
      <c r="I1125" s="68"/>
      <c r="J1125" s="68"/>
      <c r="K1125" s="68"/>
      <c r="L1125" s="56"/>
      <c r="M1125" s="26"/>
      <c r="N1125" s="26"/>
      <c r="O1125" s="68"/>
      <c r="P1125" s="1"/>
      <c r="Q1125" s="8"/>
      <c r="R1125" s="66"/>
      <c r="S1125" s="1"/>
      <c r="T1125" s="66"/>
      <c r="U1125" s="8"/>
      <c r="V1125" s="56"/>
      <c r="W1125" s="1"/>
      <c r="X1125" s="1"/>
      <c r="Y1125" s="1"/>
    </row>
    <row r="1126" spans="1:25">
      <c r="A1126" s="57"/>
      <c r="B1126" s="68"/>
      <c r="C1126" s="68"/>
      <c r="D1126" s="68"/>
      <c r="E1126" s="68"/>
      <c r="F1126" s="68"/>
      <c r="G1126" s="68"/>
      <c r="H1126" s="68"/>
      <c r="I1126" s="68"/>
      <c r="J1126" s="68"/>
      <c r="K1126" s="68"/>
      <c r="L1126" s="56"/>
      <c r="M1126" s="26"/>
      <c r="N1126" s="26"/>
      <c r="O1126" s="68"/>
      <c r="P1126" s="1"/>
      <c r="Q1126" s="8"/>
      <c r="R1126" s="66"/>
      <c r="S1126" s="1"/>
      <c r="T1126" s="66"/>
      <c r="U1126" s="8"/>
      <c r="V1126" s="56"/>
      <c r="W1126" s="1"/>
      <c r="X1126" s="1"/>
      <c r="Y1126" s="1"/>
    </row>
    <row r="1127" spans="1:25">
      <c r="A1127" s="57"/>
      <c r="B1127" s="68"/>
      <c r="C1127" s="68"/>
      <c r="D1127" s="68"/>
      <c r="E1127" s="68"/>
      <c r="F1127" s="68"/>
      <c r="G1127" s="68"/>
      <c r="H1127" s="68"/>
      <c r="I1127" s="68"/>
      <c r="J1127" s="68"/>
      <c r="K1127" s="68"/>
      <c r="L1127" s="56"/>
      <c r="M1127" s="26"/>
      <c r="N1127" s="26"/>
      <c r="O1127" s="68"/>
      <c r="P1127" s="1"/>
      <c r="Q1127" s="8"/>
      <c r="R1127" s="66"/>
      <c r="S1127" s="1"/>
      <c r="T1127" s="66"/>
      <c r="U1127" s="8"/>
      <c r="V1127" s="56"/>
      <c r="W1127" s="1"/>
      <c r="X1127" s="1"/>
      <c r="Y1127" s="1"/>
    </row>
    <row r="1128" spans="1:25">
      <c r="A1128" s="57"/>
      <c r="B1128" s="68"/>
      <c r="C1128" s="68"/>
      <c r="D1128" s="68"/>
      <c r="E1128" s="68"/>
      <c r="F1128" s="68"/>
      <c r="G1128" s="68"/>
      <c r="H1128" s="68"/>
      <c r="I1128" s="68"/>
      <c r="J1128" s="68"/>
      <c r="K1128" s="68"/>
      <c r="L1128" s="56"/>
      <c r="M1128" s="26"/>
      <c r="N1128" s="26"/>
      <c r="O1128" s="68"/>
      <c r="P1128" s="1"/>
      <c r="Q1128" s="8"/>
      <c r="R1128" s="66"/>
      <c r="S1128" s="1"/>
      <c r="T1128" s="66"/>
      <c r="U1128" s="8"/>
      <c r="V1128" s="56"/>
      <c r="W1128" s="1"/>
      <c r="X1128" s="1"/>
      <c r="Y1128" s="1"/>
    </row>
    <row r="1129" spans="1:25">
      <c r="A1129" s="57"/>
      <c r="B1129" s="68"/>
      <c r="C1129" s="68"/>
      <c r="D1129" s="68"/>
      <c r="E1129" s="68"/>
      <c r="F1129" s="68"/>
      <c r="G1129" s="68"/>
      <c r="H1129" s="68"/>
      <c r="I1129" s="68"/>
      <c r="J1129" s="68"/>
      <c r="K1129" s="68"/>
      <c r="L1129" s="56"/>
      <c r="M1129" s="26"/>
      <c r="N1129" s="26"/>
      <c r="O1129" s="68"/>
      <c r="P1129" s="1"/>
      <c r="Q1129" s="8"/>
      <c r="R1129" s="66"/>
      <c r="S1129" s="1"/>
      <c r="T1129" s="66"/>
      <c r="U1129" s="8"/>
      <c r="V1129" s="56"/>
      <c r="W1129" s="1"/>
      <c r="X1129" s="1"/>
      <c r="Y1129" s="1"/>
    </row>
    <row r="1130" spans="1:25">
      <c r="A1130" s="57"/>
      <c r="B1130" s="68"/>
      <c r="C1130" s="68"/>
      <c r="D1130" s="68"/>
      <c r="E1130" s="68"/>
      <c r="F1130" s="68"/>
      <c r="G1130" s="68"/>
      <c r="H1130" s="68"/>
      <c r="I1130" s="68"/>
      <c r="J1130" s="68"/>
      <c r="K1130" s="68"/>
      <c r="L1130" s="56"/>
      <c r="M1130" s="26"/>
      <c r="N1130" s="26"/>
      <c r="O1130" s="68"/>
      <c r="P1130" s="1"/>
      <c r="Q1130" s="8"/>
      <c r="R1130" s="66"/>
      <c r="S1130" s="1"/>
      <c r="T1130" s="66"/>
      <c r="U1130" s="8"/>
      <c r="V1130" s="56"/>
      <c r="W1130" s="1"/>
      <c r="X1130" s="1"/>
      <c r="Y1130" s="1"/>
    </row>
    <row r="1131" spans="1:25">
      <c r="A1131" s="57"/>
      <c r="B1131" s="68"/>
      <c r="C1131" s="68"/>
      <c r="D1131" s="68"/>
      <c r="E1131" s="68"/>
      <c r="F1131" s="68"/>
      <c r="G1131" s="68"/>
      <c r="H1131" s="68"/>
      <c r="I1131" s="68"/>
      <c r="J1131" s="68"/>
      <c r="K1131" s="68"/>
      <c r="L1131" s="56"/>
      <c r="M1131" s="26"/>
      <c r="N1131" s="26"/>
      <c r="O1131" s="68"/>
      <c r="P1131" s="1"/>
      <c r="Q1131" s="8"/>
      <c r="R1131" s="66"/>
      <c r="S1131" s="1"/>
      <c r="T1131" s="66"/>
      <c r="U1131" s="8"/>
      <c r="V1131" s="56"/>
      <c r="W1131" s="1"/>
      <c r="X1131" s="1"/>
      <c r="Y1131" s="1"/>
    </row>
    <row r="1132" spans="1:25">
      <c r="A1132" s="57"/>
      <c r="B1132" s="68"/>
      <c r="C1132" s="68"/>
      <c r="D1132" s="68"/>
      <c r="E1132" s="68"/>
      <c r="F1132" s="68"/>
      <c r="G1132" s="68"/>
      <c r="H1132" s="68"/>
      <c r="I1132" s="68"/>
      <c r="J1132" s="68"/>
      <c r="K1132" s="68"/>
      <c r="L1132" s="56"/>
      <c r="M1132" s="26"/>
      <c r="N1132" s="26"/>
      <c r="O1132" s="68"/>
      <c r="P1132" s="1"/>
      <c r="Q1132" s="8"/>
      <c r="R1132" s="66"/>
      <c r="S1132" s="1"/>
      <c r="T1132" s="66"/>
      <c r="U1132" s="8"/>
      <c r="V1132" s="56"/>
      <c r="W1132" s="1"/>
      <c r="X1132" s="1"/>
      <c r="Y1132" s="1"/>
    </row>
    <row r="1133" spans="1:25">
      <c r="A1133" s="57"/>
      <c r="B1133" s="68"/>
      <c r="C1133" s="68"/>
      <c r="D1133" s="68"/>
      <c r="E1133" s="68"/>
      <c r="F1133" s="68"/>
      <c r="G1133" s="68"/>
      <c r="H1133" s="68"/>
      <c r="I1133" s="68"/>
      <c r="J1133" s="68"/>
      <c r="K1133" s="68"/>
      <c r="L1133" s="56"/>
      <c r="M1133" s="26"/>
      <c r="N1133" s="26"/>
      <c r="O1133" s="68"/>
      <c r="P1133" s="1"/>
      <c r="Q1133" s="8"/>
      <c r="R1133" s="66"/>
      <c r="S1133" s="1"/>
      <c r="T1133" s="66"/>
      <c r="U1133" s="8"/>
      <c r="V1133" s="56"/>
      <c r="W1133" s="1"/>
      <c r="X1133" s="1"/>
      <c r="Y1133" s="1"/>
    </row>
    <row r="1134" spans="1:25">
      <c r="A1134" s="57"/>
      <c r="B1134" s="68"/>
      <c r="C1134" s="68"/>
      <c r="D1134" s="68"/>
      <c r="E1134" s="68"/>
      <c r="F1134" s="68"/>
      <c r="G1134" s="68"/>
      <c r="H1134" s="68"/>
      <c r="I1134" s="68"/>
      <c r="J1134" s="68"/>
      <c r="K1134" s="68"/>
      <c r="L1134" s="56"/>
      <c r="M1134" s="26"/>
      <c r="N1134" s="26"/>
      <c r="O1134" s="68"/>
      <c r="P1134" s="1"/>
      <c r="Q1134" s="8"/>
      <c r="R1134" s="66"/>
      <c r="S1134" s="1"/>
      <c r="T1134" s="66"/>
      <c r="U1134" s="8"/>
      <c r="V1134" s="56"/>
      <c r="W1134" s="1"/>
      <c r="X1134" s="1"/>
      <c r="Y1134" s="1"/>
    </row>
    <row r="1135" spans="1:25">
      <c r="A1135" s="57"/>
      <c r="B1135" s="68"/>
      <c r="C1135" s="68"/>
      <c r="D1135" s="68"/>
      <c r="E1135" s="68"/>
      <c r="F1135" s="68"/>
      <c r="G1135" s="68"/>
      <c r="H1135" s="68"/>
      <c r="I1135" s="68"/>
      <c r="J1135" s="68"/>
      <c r="K1135" s="68"/>
      <c r="L1135" s="56"/>
      <c r="M1135" s="26"/>
      <c r="N1135" s="26"/>
      <c r="O1135" s="68"/>
      <c r="P1135" s="1"/>
      <c r="Q1135" s="8"/>
      <c r="R1135" s="66"/>
      <c r="S1135" s="1"/>
      <c r="T1135" s="66"/>
      <c r="U1135" s="8"/>
      <c r="V1135" s="56"/>
      <c r="W1135" s="1"/>
      <c r="X1135" s="1"/>
      <c r="Y1135" s="1"/>
    </row>
    <row r="1136" spans="1:25">
      <c r="A1136" s="57"/>
      <c r="B1136" s="68"/>
      <c r="C1136" s="68"/>
      <c r="D1136" s="68"/>
      <c r="E1136" s="68"/>
      <c r="F1136" s="68"/>
      <c r="G1136" s="68"/>
      <c r="H1136" s="68"/>
      <c r="I1136" s="68"/>
      <c r="J1136" s="68"/>
      <c r="K1136" s="68"/>
      <c r="L1136" s="56"/>
      <c r="M1136" s="26"/>
      <c r="N1136" s="26"/>
      <c r="O1136" s="68"/>
      <c r="P1136" s="1"/>
      <c r="Q1136" s="8"/>
      <c r="R1136" s="66"/>
      <c r="S1136" s="1"/>
      <c r="T1136" s="66"/>
      <c r="U1136" s="8"/>
      <c r="V1136" s="56"/>
      <c r="W1136" s="1"/>
      <c r="X1136" s="1"/>
      <c r="Y1136" s="1"/>
    </row>
    <row r="1137" spans="1:25">
      <c r="A1137" s="57"/>
      <c r="B1137" s="68"/>
      <c r="C1137" s="68"/>
      <c r="D1137" s="68"/>
      <c r="E1137" s="68"/>
      <c r="F1137" s="68"/>
      <c r="G1137" s="68"/>
      <c r="H1137" s="68"/>
      <c r="I1137" s="68"/>
      <c r="J1137" s="68"/>
      <c r="K1137" s="68"/>
      <c r="L1137" s="56"/>
      <c r="M1137" s="26"/>
      <c r="N1137" s="26"/>
      <c r="O1137" s="68"/>
      <c r="P1137" s="1"/>
      <c r="Q1137" s="8"/>
      <c r="R1137" s="66"/>
      <c r="S1137" s="1"/>
      <c r="T1137" s="66"/>
      <c r="U1137" s="8"/>
      <c r="V1137" s="56"/>
      <c r="W1137" s="1"/>
      <c r="X1137" s="1"/>
      <c r="Y1137" s="1"/>
    </row>
    <row r="1138" spans="1:25">
      <c r="A1138" s="57"/>
      <c r="B1138" s="68"/>
      <c r="C1138" s="68"/>
      <c r="D1138" s="68"/>
      <c r="E1138" s="68"/>
      <c r="F1138" s="68"/>
      <c r="G1138" s="68"/>
      <c r="H1138" s="68"/>
      <c r="I1138" s="68"/>
      <c r="J1138" s="68"/>
      <c r="K1138" s="68"/>
      <c r="L1138" s="56"/>
      <c r="M1138" s="26"/>
      <c r="N1138" s="26"/>
      <c r="O1138" s="68"/>
      <c r="P1138" s="1"/>
      <c r="Q1138" s="8"/>
      <c r="R1138" s="66"/>
      <c r="S1138" s="1"/>
      <c r="T1138" s="66"/>
      <c r="U1138" s="8"/>
      <c r="V1138" s="56"/>
      <c r="W1138" s="1"/>
      <c r="X1138" s="1"/>
      <c r="Y1138" s="1"/>
    </row>
    <row r="1139" spans="1:25">
      <c r="A1139" s="57"/>
      <c r="B1139" s="68"/>
      <c r="C1139" s="68"/>
      <c r="D1139" s="68"/>
      <c r="E1139" s="68"/>
      <c r="F1139" s="68"/>
      <c r="G1139" s="68"/>
      <c r="H1139" s="68"/>
      <c r="I1139" s="68"/>
      <c r="J1139" s="68"/>
      <c r="K1139" s="68"/>
      <c r="L1139" s="56"/>
      <c r="M1139" s="26"/>
      <c r="N1139" s="26"/>
      <c r="O1139" s="68"/>
      <c r="P1139" s="1"/>
      <c r="Q1139" s="8"/>
      <c r="R1139" s="66"/>
      <c r="S1139" s="1"/>
      <c r="T1139" s="66"/>
      <c r="U1139" s="8"/>
      <c r="V1139" s="56"/>
      <c r="W1139" s="1"/>
      <c r="X1139" s="1"/>
      <c r="Y1139" s="1"/>
    </row>
    <row r="1140" spans="1:25">
      <c r="A1140" s="57"/>
      <c r="B1140" s="68"/>
      <c r="C1140" s="68"/>
      <c r="D1140" s="68"/>
      <c r="E1140" s="68"/>
      <c r="F1140" s="68"/>
      <c r="G1140" s="68"/>
      <c r="H1140" s="68"/>
      <c r="I1140" s="68"/>
      <c r="J1140" s="68"/>
      <c r="K1140" s="68"/>
      <c r="L1140" s="56"/>
      <c r="M1140" s="26"/>
      <c r="N1140" s="26"/>
      <c r="O1140" s="68"/>
      <c r="P1140" s="1"/>
      <c r="Q1140" s="8"/>
      <c r="R1140" s="66"/>
      <c r="S1140" s="1"/>
      <c r="T1140" s="66"/>
      <c r="U1140" s="8"/>
      <c r="V1140" s="56"/>
      <c r="W1140" s="1"/>
      <c r="X1140" s="1"/>
      <c r="Y1140" s="1"/>
    </row>
    <row r="1141" spans="1:25">
      <c r="A1141" s="57"/>
      <c r="B1141" s="68"/>
      <c r="C1141" s="68"/>
      <c r="D1141" s="68"/>
      <c r="E1141" s="68"/>
      <c r="F1141" s="68"/>
      <c r="G1141" s="68"/>
      <c r="H1141" s="68"/>
      <c r="I1141" s="68"/>
      <c r="J1141" s="68"/>
      <c r="K1141" s="68"/>
      <c r="L1141" s="56"/>
      <c r="M1141" s="26"/>
      <c r="N1141" s="26"/>
      <c r="O1141" s="68"/>
      <c r="P1141" s="1"/>
      <c r="Q1141" s="8"/>
      <c r="R1141" s="66"/>
      <c r="S1141" s="1"/>
      <c r="T1141" s="66"/>
      <c r="U1141" s="8"/>
      <c r="V1141" s="56"/>
      <c r="W1141" s="1"/>
      <c r="X1141" s="1"/>
      <c r="Y1141" s="1"/>
    </row>
    <row r="1142" spans="1:25">
      <c r="A1142" s="57"/>
      <c r="B1142" s="68"/>
      <c r="C1142" s="68"/>
      <c r="D1142" s="68"/>
      <c r="E1142" s="68"/>
      <c r="F1142" s="68"/>
      <c r="G1142" s="68"/>
      <c r="H1142" s="68"/>
      <c r="I1142" s="68"/>
      <c r="J1142" s="68"/>
      <c r="K1142" s="68"/>
      <c r="L1142" s="56"/>
      <c r="M1142" s="26"/>
      <c r="N1142" s="26"/>
      <c r="O1142" s="68"/>
      <c r="P1142" s="1"/>
      <c r="Q1142" s="8"/>
      <c r="R1142" s="66"/>
      <c r="S1142" s="1"/>
      <c r="T1142" s="66"/>
      <c r="U1142" s="8"/>
      <c r="V1142" s="56"/>
      <c r="W1142" s="1"/>
      <c r="X1142" s="1"/>
      <c r="Y1142" s="1"/>
    </row>
    <row r="1143" spans="1:25">
      <c r="A1143" s="57"/>
      <c r="B1143" s="68"/>
      <c r="C1143" s="68"/>
      <c r="D1143" s="68"/>
      <c r="E1143" s="68"/>
      <c r="F1143" s="68"/>
      <c r="G1143" s="68"/>
      <c r="H1143" s="68"/>
      <c r="I1143" s="68"/>
      <c r="J1143" s="68"/>
      <c r="K1143" s="68"/>
      <c r="L1143" s="56"/>
      <c r="M1143" s="26"/>
      <c r="N1143" s="26"/>
      <c r="O1143" s="68"/>
      <c r="P1143" s="1"/>
      <c r="Q1143" s="8"/>
      <c r="R1143" s="66"/>
      <c r="S1143" s="1"/>
      <c r="T1143" s="66"/>
      <c r="U1143" s="8"/>
      <c r="V1143" s="56"/>
      <c r="W1143" s="1"/>
      <c r="X1143" s="1"/>
      <c r="Y1143" s="1"/>
    </row>
    <row r="1144" spans="1:25">
      <c r="A1144" s="57"/>
      <c r="B1144" s="68"/>
      <c r="C1144" s="68"/>
      <c r="D1144" s="68"/>
      <c r="E1144" s="68"/>
      <c r="F1144" s="68"/>
      <c r="G1144" s="68"/>
      <c r="H1144" s="68"/>
      <c r="I1144" s="68"/>
      <c r="J1144" s="68"/>
      <c r="K1144" s="68"/>
      <c r="L1144" s="56"/>
      <c r="M1144" s="26"/>
      <c r="N1144" s="26"/>
      <c r="O1144" s="68"/>
      <c r="P1144" s="1"/>
      <c r="Q1144" s="8"/>
      <c r="R1144" s="66"/>
      <c r="S1144" s="1"/>
      <c r="T1144" s="66"/>
      <c r="U1144" s="8"/>
      <c r="V1144" s="56"/>
      <c r="W1144" s="1"/>
      <c r="X1144" s="1"/>
      <c r="Y1144" s="1"/>
    </row>
    <row r="1145" spans="1:25">
      <c r="A1145" s="57"/>
      <c r="B1145" s="68"/>
      <c r="C1145" s="68"/>
      <c r="D1145" s="68"/>
      <c r="E1145" s="68"/>
      <c r="F1145" s="68"/>
      <c r="G1145" s="68"/>
      <c r="H1145" s="68"/>
      <c r="I1145" s="68"/>
      <c r="J1145" s="68"/>
      <c r="K1145" s="68"/>
      <c r="L1145" s="56"/>
      <c r="M1145" s="26"/>
      <c r="N1145" s="26"/>
      <c r="O1145" s="68"/>
      <c r="P1145" s="1"/>
      <c r="Q1145" s="8"/>
      <c r="R1145" s="66"/>
      <c r="S1145" s="1"/>
      <c r="T1145" s="66"/>
      <c r="U1145" s="8"/>
      <c r="V1145" s="56"/>
      <c r="W1145" s="1"/>
      <c r="X1145" s="1"/>
      <c r="Y1145" s="1"/>
    </row>
    <row r="1146" spans="1:25">
      <c r="A1146" s="57"/>
      <c r="B1146" s="68"/>
      <c r="C1146" s="68"/>
      <c r="D1146" s="68"/>
      <c r="E1146" s="68"/>
      <c r="F1146" s="68"/>
      <c r="G1146" s="68"/>
      <c r="H1146" s="68"/>
      <c r="I1146" s="68"/>
      <c r="J1146" s="68"/>
      <c r="K1146" s="68"/>
      <c r="L1146" s="56"/>
      <c r="M1146" s="26"/>
      <c r="N1146" s="26"/>
      <c r="O1146" s="68"/>
      <c r="P1146" s="1"/>
      <c r="Q1146" s="8"/>
      <c r="R1146" s="66"/>
      <c r="S1146" s="1"/>
      <c r="T1146" s="66"/>
      <c r="U1146" s="8"/>
      <c r="V1146" s="56"/>
      <c r="W1146" s="1"/>
      <c r="X1146" s="1"/>
      <c r="Y1146" s="1"/>
    </row>
    <row r="1147" spans="1:25">
      <c r="A1147" s="57"/>
      <c r="B1147" s="68"/>
      <c r="C1147" s="68"/>
      <c r="D1147" s="68"/>
      <c r="E1147" s="68"/>
      <c r="F1147" s="68"/>
      <c r="G1147" s="68"/>
      <c r="H1147" s="68"/>
      <c r="I1147" s="68"/>
      <c r="J1147" s="68"/>
      <c r="K1147" s="68"/>
      <c r="L1147" s="56"/>
      <c r="M1147" s="26"/>
      <c r="N1147" s="26"/>
      <c r="O1147" s="68"/>
      <c r="P1147" s="1"/>
      <c r="Q1147" s="8"/>
      <c r="R1147" s="66"/>
      <c r="S1147" s="1"/>
      <c r="T1147" s="66"/>
      <c r="U1147" s="8"/>
      <c r="V1147" s="56"/>
      <c r="W1147" s="1"/>
      <c r="X1147" s="1"/>
      <c r="Y1147" s="1"/>
    </row>
    <row r="1148" spans="1:25">
      <c r="A1148" s="57"/>
      <c r="B1148" s="68"/>
      <c r="C1148" s="68"/>
      <c r="D1148" s="68"/>
      <c r="E1148" s="68"/>
      <c r="F1148" s="68"/>
      <c r="G1148" s="68"/>
      <c r="H1148" s="68"/>
      <c r="I1148" s="68"/>
      <c r="J1148" s="68"/>
      <c r="K1148" s="68"/>
      <c r="L1148" s="56"/>
      <c r="M1148" s="26"/>
      <c r="N1148" s="26"/>
      <c r="O1148" s="68"/>
      <c r="P1148" s="1"/>
      <c r="Q1148" s="8"/>
      <c r="R1148" s="66"/>
      <c r="S1148" s="1"/>
      <c r="T1148" s="66"/>
      <c r="U1148" s="8"/>
      <c r="V1148" s="56"/>
      <c r="W1148" s="1"/>
      <c r="X1148" s="1"/>
      <c r="Y1148" s="1"/>
    </row>
    <row r="1149" spans="1:25">
      <c r="A1149" s="57"/>
      <c r="B1149" s="68"/>
      <c r="C1149" s="68"/>
      <c r="D1149" s="68"/>
      <c r="E1149" s="68"/>
      <c r="F1149" s="68"/>
      <c r="G1149" s="68"/>
      <c r="H1149" s="68"/>
      <c r="I1149" s="68"/>
      <c r="J1149" s="68"/>
      <c r="K1149" s="68"/>
      <c r="L1149" s="56"/>
      <c r="M1149" s="26"/>
      <c r="N1149" s="26"/>
      <c r="O1149" s="68"/>
      <c r="P1149" s="1"/>
      <c r="Q1149" s="8"/>
      <c r="R1149" s="66"/>
      <c r="S1149" s="1"/>
      <c r="T1149" s="66"/>
      <c r="U1149" s="8"/>
      <c r="V1149" s="56"/>
      <c r="W1149" s="1"/>
      <c r="X1149" s="1"/>
      <c r="Y1149" s="1"/>
    </row>
    <row r="1150" spans="1:25">
      <c r="A1150" s="57"/>
      <c r="B1150" s="68"/>
      <c r="C1150" s="68"/>
      <c r="D1150" s="68"/>
      <c r="E1150" s="68"/>
      <c r="F1150" s="68"/>
      <c r="G1150" s="68"/>
      <c r="H1150" s="68"/>
      <c r="I1150" s="68"/>
      <c r="J1150" s="68"/>
      <c r="K1150" s="68"/>
      <c r="L1150" s="56"/>
      <c r="M1150" s="26"/>
      <c r="N1150" s="26"/>
      <c r="O1150" s="68"/>
      <c r="P1150" s="1"/>
      <c r="Q1150" s="8"/>
      <c r="R1150" s="66"/>
      <c r="S1150" s="1"/>
      <c r="T1150" s="66"/>
      <c r="U1150" s="8"/>
      <c r="V1150" s="56"/>
      <c r="W1150" s="1"/>
      <c r="X1150" s="1"/>
      <c r="Y1150" s="1"/>
    </row>
    <row r="1151" spans="1:25">
      <c r="A1151" s="57"/>
      <c r="B1151" s="68"/>
      <c r="C1151" s="68"/>
      <c r="D1151" s="68"/>
      <c r="E1151" s="68"/>
      <c r="F1151" s="68"/>
      <c r="G1151" s="68"/>
      <c r="H1151" s="68"/>
      <c r="I1151" s="68"/>
      <c r="J1151" s="68"/>
      <c r="K1151" s="68"/>
      <c r="L1151" s="56"/>
      <c r="M1151" s="26"/>
      <c r="N1151" s="26"/>
      <c r="O1151" s="68"/>
      <c r="P1151" s="1"/>
      <c r="Q1151" s="8"/>
      <c r="R1151" s="66"/>
      <c r="S1151" s="1"/>
      <c r="T1151" s="66"/>
      <c r="U1151" s="8"/>
      <c r="V1151" s="56"/>
      <c r="W1151" s="1"/>
      <c r="X1151" s="1"/>
      <c r="Y1151" s="1"/>
    </row>
    <row r="1152" spans="1:25">
      <c r="A1152" s="57"/>
      <c r="B1152" s="68"/>
      <c r="C1152" s="68"/>
      <c r="D1152" s="68"/>
      <c r="E1152" s="68"/>
      <c r="F1152" s="68"/>
      <c r="G1152" s="68"/>
      <c r="H1152" s="68"/>
      <c r="I1152" s="68"/>
      <c r="J1152" s="68"/>
      <c r="K1152" s="68"/>
      <c r="L1152" s="56"/>
      <c r="M1152" s="26"/>
      <c r="N1152" s="26"/>
      <c r="O1152" s="68"/>
      <c r="P1152" s="1"/>
      <c r="Q1152" s="8"/>
      <c r="R1152" s="66"/>
      <c r="S1152" s="1"/>
      <c r="T1152" s="66"/>
      <c r="U1152" s="8"/>
      <c r="V1152" s="56"/>
      <c r="W1152" s="1"/>
      <c r="X1152" s="1"/>
      <c r="Y1152" s="1"/>
    </row>
    <row r="1153" spans="1:25">
      <c r="A1153" s="57"/>
      <c r="B1153" s="68"/>
      <c r="C1153" s="68"/>
      <c r="D1153" s="68"/>
      <c r="E1153" s="68"/>
      <c r="F1153" s="68"/>
      <c r="G1153" s="68"/>
      <c r="H1153" s="68"/>
      <c r="I1153" s="68"/>
      <c r="J1153" s="68"/>
      <c r="K1153" s="68"/>
      <c r="L1153" s="56"/>
      <c r="M1153" s="26"/>
      <c r="N1153" s="26"/>
      <c r="O1153" s="68"/>
      <c r="P1153" s="1"/>
      <c r="Q1153" s="8"/>
      <c r="R1153" s="66"/>
      <c r="S1153" s="1"/>
      <c r="T1153" s="66"/>
      <c r="U1153" s="8"/>
      <c r="V1153" s="56"/>
      <c r="W1153" s="1"/>
      <c r="X1153" s="1"/>
      <c r="Y1153" s="1"/>
    </row>
    <row r="1154" spans="1:25">
      <c r="A1154" s="57"/>
      <c r="B1154" s="68"/>
      <c r="C1154" s="68"/>
      <c r="D1154" s="68"/>
      <c r="E1154" s="68"/>
      <c r="F1154" s="68"/>
      <c r="G1154" s="68"/>
      <c r="H1154" s="68"/>
      <c r="I1154" s="68"/>
      <c r="J1154" s="68"/>
      <c r="K1154" s="68"/>
      <c r="L1154" s="56"/>
      <c r="M1154" s="26"/>
      <c r="N1154" s="26"/>
      <c r="O1154" s="68"/>
      <c r="P1154" s="1"/>
      <c r="Q1154" s="8"/>
      <c r="R1154" s="66"/>
      <c r="S1154" s="1"/>
      <c r="T1154" s="66"/>
      <c r="U1154" s="8"/>
      <c r="V1154" s="56"/>
      <c r="W1154" s="1"/>
      <c r="X1154" s="1"/>
      <c r="Y1154" s="1"/>
    </row>
    <row r="1155" spans="1:25">
      <c r="A1155" s="57"/>
      <c r="B1155" s="68"/>
      <c r="C1155" s="68"/>
      <c r="D1155" s="68"/>
      <c r="E1155" s="68"/>
      <c r="F1155" s="68"/>
      <c r="G1155" s="68"/>
      <c r="H1155" s="68"/>
      <c r="I1155" s="68"/>
      <c r="J1155" s="68"/>
      <c r="K1155" s="68"/>
      <c r="L1155" s="56"/>
      <c r="M1155" s="26"/>
      <c r="N1155" s="26"/>
      <c r="O1155" s="68"/>
      <c r="P1155" s="1"/>
      <c r="Q1155" s="8"/>
      <c r="R1155" s="66"/>
      <c r="S1155" s="1"/>
      <c r="T1155" s="66"/>
      <c r="U1155" s="8"/>
      <c r="V1155" s="56"/>
      <c r="W1155" s="1"/>
      <c r="X1155" s="1"/>
      <c r="Y1155" s="1"/>
    </row>
    <row r="1156" spans="1:25">
      <c r="A1156" s="57"/>
      <c r="B1156" s="68"/>
      <c r="C1156" s="68"/>
      <c r="D1156" s="68"/>
      <c r="E1156" s="68"/>
      <c r="F1156" s="68"/>
      <c r="G1156" s="68"/>
      <c r="H1156" s="68"/>
      <c r="I1156" s="68"/>
      <c r="J1156" s="68"/>
      <c r="K1156" s="68"/>
      <c r="L1156" s="56"/>
      <c r="M1156" s="26"/>
      <c r="N1156" s="26"/>
      <c r="O1156" s="68"/>
      <c r="P1156" s="1"/>
      <c r="Q1156" s="8"/>
      <c r="R1156" s="66"/>
      <c r="S1156" s="1"/>
      <c r="T1156" s="66"/>
      <c r="U1156" s="8"/>
      <c r="V1156" s="56"/>
      <c r="W1156" s="1"/>
      <c r="X1156" s="1"/>
      <c r="Y1156" s="1"/>
    </row>
    <row r="1157" spans="1:25">
      <c r="A1157" s="57"/>
      <c r="B1157" s="68"/>
      <c r="C1157" s="68"/>
      <c r="D1157" s="68"/>
      <c r="E1157" s="68"/>
      <c r="F1157" s="68"/>
      <c r="G1157" s="68"/>
      <c r="H1157" s="68"/>
      <c r="I1157" s="68"/>
      <c r="J1157" s="68"/>
      <c r="K1157" s="68"/>
      <c r="L1157" s="56"/>
      <c r="M1157" s="26"/>
      <c r="N1157" s="26"/>
      <c r="O1157" s="68"/>
      <c r="P1157" s="1"/>
      <c r="Q1157" s="8"/>
      <c r="R1157" s="66"/>
      <c r="S1157" s="1"/>
      <c r="T1157" s="66"/>
      <c r="U1157" s="8"/>
      <c r="V1157" s="56"/>
      <c r="W1157" s="1"/>
      <c r="X1157" s="1"/>
      <c r="Y1157" s="1"/>
    </row>
    <row r="1158" spans="1:25">
      <c r="A1158" s="57"/>
      <c r="B1158" s="68"/>
      <c r="C1158" s="68"/>
      <c r="D1158" s="68"/>
      <c r="E1158" s="68"/>
      <c r="F1158" s="68"/>
      <c r="G1158" s="68"/>
      <c r="H1158" s="68"/>
      <c r="I1158" s="68"/>
      <c r="J1158" s="68"/>
      <c r="K1158" s="68"/>
      <c r="L1158" s="56"/>
      <c r="M1158" s="26"/>
      <c r="N1158" s="26"/>
      <c r="O1158" s="68"/>
      <c r="P1158" s="1"/>
      <c r="Q1158" s="8"/>
      <c r="R1158" s="66"/>
      <c r="S1158" s="1"/>
      <c r="T1158" s="66"/>
      <c r="U1158" s="8"/>
      <c r="V1158" s="56"/>
      <c r="W1158" s="1"/>
      <c r="X1158" s="1"/>
      <c r="Y1158" s="1"/>
    </row>
    <row r="1159" spans="1:25">
      <c r="A1159" s="57"/>
      <c r="B1159" s="68"/>
      <c r="C1159" s="68"/>
      <c r="D1159" s="68"/>
      <c r="E1159" s="68"/>
      <c r="F1159" s="68"/>
      <c r="G1159" s="68"/>
      <c r="H1159" s="68"/>
      <c r="I1159" s="68"/>
      <c r="J1159" s="68"/>
      <c r="K1159" s="68"/>
      <c r="L1159" s="56"/>
      <c r="M1159" s="26"/>
      <c r="N1159" s="26"/>
      <c r="O1159" s="68"/>
      <c r="P1159" s="1"/>
      <c r="Q1159" s="8"/>
      <c r="R1159" s="66"/>
      <c r="S1159" s="1"/>
      <c r="T1159" s="66"/>
      <c r="U1159" s="8"/>
      <c r="V1159" s="56"/>
      <c r="W1159" s="1"/>
      <c r="X1159" s="1"/>
      <c r="Y1159" s="1"/>
    </row>
    <row r="1160" spans="1:25">
      <c r="A1160" s="57"/>
      <c r="B1160" s="68"/>
      <c r="C1160" s="68"/>
      <c r="D1160" s="68"/>
      <c r="E1160" s="68"/>
      <c r="F1160" s="68"/>
      <c r="G1160" s="68"/>
      <c r="H1160" s="68"/>
      <c r="I1160" s="68"/>
      <c r="J1160" s="68"/>
      <c r="K1160" s="68"/>
      <c r="L1160" s="56"/>
      <c r="M1160" s="26"/>
      <c r="N1160" s="26"/>
      <c r="O1160" s="68"/>
      <c r="P1160" s="1"/>
      <c r="Q1160" s="8"/>
      <c r="R1160" s="66"/>
      <c r="S1160" s="1"/>
      <c r="T1160" s="66"/>
      <c r="U1160" s="8"/>
      <c r="V1160" s="56"/>
      <c r="W1160" s="1"/>
      <c r="X1160" s="1"/>
      <c r="Y1160" s="1"/>
    </row>
    <row r="1161" spans="1:25">
      <c r="A1161" s="57"/>
      <c r="B1161" s="68"/>
      <c r="C1161" s="68"/>
      <c r="D1161" s="68"/>
      <c r="E1161" s="68"/>
      <c r="F1161" s="68"/>
      <c r="G1161" s="68"/>
      <c r="H1161" s="68"/>
      <c r="I1161" s="68"/>
      <c r="J1161" s="68"/>
      <c r="K1161" s="68"/>
      <c r="L1161" s="56"/>
      <c r="M1161" s="26"/>
      <c r="N1161" s="26"/>
      <c r="O1161" s="68"/>
      <c r="P1161" s="1"/>
      <c r="Q1161" s="8"/>
      <c r="R1161" s="66"/>
      <c r="S1161" s="1"/>
      <c r="T1161" s="66"/>
      <c r="U1161" s="8"/>
      <c r="V1161" s="56"/>
      <c r="W1161" s="1"/>
      <c r="X1161" s="1"/>
      <c r="Y1161" s="1"/>
    </row>
    <row r="1162" spans="1:25">
      <c r="A1162" s="57"/>
      <c r="B1162" s="68"/>
      <c r="C1162" s="68"/>
      <c r="D1162" s="68"/>
      <c r="E1162" s="68"/>
      <c r="F1162" s="68"/>
      <c r="G1162" s="68"/>
      <c r="H1162" s="68"/>
      <c r="I1162" s="68"/>
      <c r="J1162" s="68"/>
      <c r="K1162" s="68"/>
      <c r="L1162" s="56"/>
      <c r="M1162" s="26"/>
      <c r="N1162" s="26"/>
      <c r="O1162" s="68"/>
      <c r="P1162" s="1"/>
      <c r="Q1162" s="8"/>
      <c r="R1162" s="66"/>
      <c r="S1162" s="1"/>
      <c r="T1162" s="66"/>
      <c r="U1162" s="8"/>
      <c r="V1162" s="56"/>
      <c r="W1162" s="1"/>
      <c r="X1162" s="1"/>
      <c r="Y1162" s="1"/>
    </row>
    <row r="1163" spans="1:25">
      <c r="A1163" s="57"/>
      <c r="B1163" s="68"/>
      <c r="C1163" s="68"/>
      <c r="D1163" s="68"/>
      <c r="E1163" s="68"/>
      <c r="F1163" s="68"/>
      <c r="G1163" s="68"/>
      <c r="H1163" s="68"/>
      <c r="I1163" s="68"/>
      <c r="J1163" s="68"/>
      <c r="K1163" s="68"/>
      <c r="L1163" s="56"/>
      <c r="M1163" s="26"/>
      <c r="N1163" s="26"/>
      <c r="O1163" s="68"/>
      <c r="P1163" s="1"/>
      <c r="Q1163" s="8"/>
      <c r="R1163" s="66"/>
      <c r="S1163" s="1"/>
      <c r="T1163" s="66"/>
      <c r="U1163" s="8"/>
      <c r="V1163" s="56"/>
      <c r="W1163" s="1"/>
      <c r="X1163" s="1"/>
      <c r="Y1163" s="1"/>
    </row>
    <row r="1164" spans="1:25">
      <c r="A1164" s="57"/>
      <c r="B1164" s="68"/>
      <c r="C1164" s="68"/>
      <c r="D1164" s="68"/>
      <c r="E1164" s="68"/>
      <c r="F1164" s="68"/>
      <c r="G1164" s="68"/>
      <c r="H1164" s="68"/>
      <c r="I1164" s="68"/>
      <c r="J1164" s="68"/>
      <c r="K1164" s="68"/>
      <c r="L1164" s="56"/>
      <c r="M1164" s="26"/>
      <c r="N1164" s="26"/>
      <c r="O1164" s="68"/>
      <c r="P1164" s="1"/>
      <c r="Q1164" s="8"/>
      <c r="R1164" s="66"/>
      <c r="S1164" s="1"/>
      <c r="T1164" s="66"/>
      <c r="U1164" s="8"/>
      <c r="V1164" s="56"/>
      <c r="W1164" s="1"/>
      <c r="X1164" s="1"/>
      <c r="Y1164" s="1"/>
    </row>
    <row r="1165" spans="1:25">
      <c r="A1165" s="57"/>
      <c r="B1165" s="68"/>
      <c r="C1165" s="68"/>
      <c r="D1165" s="68"/>
      <c r="E1165" s="68"/>
      <c r="F1165" s="68"/>
      <c r="G1165" s="68"/>
      <c r="H1165" s="68"/>
      <c r="I1165" s="68"/>
      <c r="J1165" s="68"/>
      <c r="K1165" s="68"/>
      <c r="L1165" s="56"/>
      <c r="M1165" s="26"/>
      <c r="N1165" s="26"/>
      <c r="O1165" s="68"/>
      <c r="P1165" s="1"/>
      <c r="Q1165" s="8"/>
      <c r="R1165" s="66"/>
      <c r="S1165" s="1"/>
      <c r="T1165" s="66"/>
      <c r="U1165" s="8"/>
      <c r="V1165" s="56"/>
      <c r="W1165" s="1"/>
      <c r="X1165" s="1"/>
      <c r="Y1165" s="1"/>
    </row>
    <row r="1166" spans="1:25">
      <c r="A1166" s="57"/>
      <c r="B1166" s="68"/>
      <c r="C1166" s="68"/>
      <c r="D1166" s="68"/>
      <c r="E1166" s="68"/>
      <c r="F1166" s="68"/>
      <c r="G1166" s="68"/>
      <c r="H1166" s="68"/>
      <c r="I1166" s="68"/>
      <c r="J1166" s="68"/>
      <c r="K1166" s="68"/>
      <c r="L1166" s="56"/>
      <c r="M1166" s="26"/>
      <c r="N1166" s="26"/>
      <c r="O1166" s="68"/>
      <c r="P1166" s="1"/>
      <c r="Q1166" s="8"/>
      <c r="R1166" s="66"/>
      <c r="S1166" s="1"/>
      <c r="T1166" s="66"/>
      <c r="U1166" s="8"/>
      <c r="V1166" s="56"/>
      <c r="W1166" s="1"/>
      <c r="X1166" s="1"/>
      <c r="Y1166" s="1"/>
    </row>
    <row r="1167" spans="1:25">
      <c r="A1167" s="57"/>
      <c r="B1167" s="68"/>
      <c r="C1167" s="68"/>
      <c r="D1167" s="68"/>
      <c r="E1167" s="68"/>
      <c r="F1167" s="68"/>
      <c r="G1167" s="68"/>
      <c r="H1167" s="68"/>
      <c r="I1167" s="68"/>
      <c r="J1167" s="68"/>
      <c r="K1167" s="68"/>
      <c r="L1167" s="56"/>
      <c r="M1167" s="26"/>
      <c r="N1167" s="26"/>
      <c r="O1167" s="68"/>
      <c r="P1167" s="1"/>
      <c r="Q1167" s="8"/>
      <c r="R1167" s="66"/>
      <c r="S1167" s="1"/>
      <c r="T1167" s="66"/>
      <c r="U1167" s="8"/>
      <c r="V1167" s="56"/>
      <c r="W1167" s="1"/>
      <c r="X1167" s="1"/>
      <c r="Y1167" s="1"/>
    </row>
    <row r="1168" spans="1:25">
      <c r="A1168" s="57"/>
      <c r="B1168" s="68"/>
      <c r="C1168" s="68"/>
      <c r="D1168" s="68"/>
      <c r="E1168" s="68"/>
      <c r="F1168" s="68"/>
      <c r="G1168" s="68"/>
      <c r="H1168" s="68"/>
      <c r="I1168" s="68"/>
      <c r="J1168" s="68"/>
      <c r="K1168" s="68"/>
      <c r="L1168" s="56"/>
      <c r="M1168" s="26"/>
      <c r="N1168" s="26"/>
      <c r="O1168" s="68"/>
      <c r="P1168" s="1"/>
      <c r="Q1168" s="8"/>
      <c r="R1168" s="66"/>
      <c r="S1168" s="1"/>
      <c r="T1168" s="66"/>
      <c r="U1168" s="8"/>
      <c r="V1168" s="56"/>
      <c r="W1168" s="1"/>
      <c r="X1168" s="1"/>
      <c r="Y1168" s="1"/>
    </row>
    <row r="1169" spans="1:25">
      <c r="A1169" s="57"/>
      <c r="B1169" s="68"/>
      <c r="C1169" s="68"/>
      <c r="D1169" s="68"/>
      <c r="E1169" s="68"/>
      <c r="F1169" s="68"/>
      <c r="G1169" s="68"/>
      <c r="H1169" s="68"/>
      <c r="I1169" s="68"/>
      <c r="J1169" s="68"/>
      <c r="K1169" s="68"/>
      <c r="L1169" s="56"/>
      <c r="M1169" s="26"/>
      <c r="N1169" s="26"/>
      <c r="O1169" s="68"/>
      <c r="P1169" s="1"/>
      <c r="Q1169" s="8"/>
      <c r="R1169" s="66"/>
      <c r="S1169" s="1"/>
      <c r="T1169" s="66"/>
      <c r="U1169" s="8"/>
      <c r="V1169" s="56"/>
      <c r="W1169" s="1"/>
      <c r="X1169" s="1"/>
      <c r="Y1169" s="1"/>
    </row>
    <row r="1170" spans="1:25">
      <c r="A1170" s="57"/>
      <c r="B1170" s="68"/>
      <c r="C1170" s="68"/>
      <c r="D1170" s="68"/>
      <c r="E1170" s="68"/>
      <c r="F1170" s="68"/>
      <c r="G1170" s="68"/>
      <c r="H1170" s="68"/>
      <c r="I1170" s="68"/>
      <c r="J1170" s="68"/>
      <c r="K1170" s="68"/>
      <c r="L1170" s="56"/>
      <c r="M1170" s="26"/>
      <c r="N1170" s="26"/>
      <c r="O1170" s="68"/>
      <c r="P1170" s="1"/>
      <c r="Q1170" s="8"/>
      <c r="R1170" s="66"/>
      <c r="S1170" s="1"/>
      <c r="T1170" s="66"/>
      <c r="U1170" s="8"/>
      <c r="V1170" s="56"/>
      <c r="W1170" s="1"/>
      <c r="X1170" s="1"/>
      <c r="Y1170" s="1"/>
    </row>
    <row r="1171" spans="1:25">
      <c r="A1171" s="57"/>
      <c r="B1171" s="68"/>
      <c r="C1171" s="68"/>
      <c r="D1171" s="68"/>
      <c r="E1171" s="68"/>
      <c r="F1171" s="68"/>
      <c r="G1171" s="68"/>
      <c r="H1171" s="68"/>
      <c r="I1171" s="68"/>
      <c r="J1171" s="68"/>
      <c r="K1171" s="68"/>
      <c r="L1171" s="56"/>
      <c r="M1171" s="26"/>
      <c r="N1171" s="26"/>
      <c r="O1171" s="68"/>
      <c r="P1171" s="1"/>
      <c r="Q1171" s="8"/>
      <c r="R1171" s="66"/>
      <c r="S1171" s="1"/>
      <c r="T1171" s="66"/>
      <c r="U1171" s="8"/>
      <c r="V1171" s="56"/>
      <c r="W1171" s="1"/>
      <c r="X1171" s="1"/>
      <c r="Y1171" s="1"/>
    </row>
    <row r="1172" spans="1:25">
      <c r="A1172" s="57"/>
      <c r="B1172" s="68"/>
      <c r="C1172" s="68"/>
      <c r="D1172" s="68"/>
      <c r="E1172" s="68"/>
      <c r="F1172" s="68"/>
      <c r="G1172" s="68"/>
      <c r="H1172" s="68"/>
      <c r="I1172" s="68"/>
      <c r="J1172" s="68"/>
      <c r="K1172" s="68"/>
      <c r="L1172" s="56"/>
      <c r="M1172" s="26"/>
      <c r="N1172" s="26"/>
      <c r="O1172" s="68"/>
      <c r="P1172" s="1"/>
      <c r="Q1172" s="8"/>
      <c r="R1172" s="66"/>
      <c r="S1172" s="1"/>
      <c r="T1172" s="66"/>
      <c r="U1172" s="8"/>
      <c r="V1172" s="56"/>
      <c r="W1172" s="1"/>
      <c r="X1172" s="1"/>
      <c r="Y1172" s="1"/>
    </row>
    <row r="1173" spans="1:25">
      <c r="A1173" s="57"/>
      <c r="B1173" s="68"/>
      <c r="C1173" s="68"/>
      <c r="D1173" s="68"/>
      <c r="E1173" s="68"/>
      <c r="F1173" s="68"/>
      <c r="G1173" s="68"/>
      <c r="H1173" s="68"/>
      <c r="I1173" s="68"/>
      <c r="J1173" s="68"/>
      <c r="K1173" s="68"/>
      <c r="L1173" s="56"/>
      <c r="M1173" s="26"/>
      <c r="N1173" s="26"/>
      <c r="O1173" s="68"/>
      <c r="P1173" s="1"/>
      <c r="Q1173" s="8"/>
      <c r="R1173" s="66"/>
      <c r="S1173" s="1"/>
      <c r="T1173" s="66"/>
      <c r="U1173" s="8"/>
      <c r="V1173" s="56"/>
      <c r="W1173" s="1"/>
      <c r="X1173" s="1"/>
      <c r="Y1173" s="1"/>
    </row>
    <row r="1174" spans="1:25">
      <c r="A1174" s="57"/>
      <c r="B1174" s="68"/>
      <c r="C1174" s="68"/>
      <c r="D1174" s="68"/>
      <c r="E1174" s="68"/>
      <c r="F1174" s="68"/>
      <c r="G1174" s="68"/>
      <c r="H1174" s="68"/>
      <c r="I1174" s="68"/>
      <c r="J1174" s="68"/>
      <c r="K1174" s="68"/>
      <c r="L1174" s="56"/>
      <c r="M1174" s="26"/>
      <c r="N1174" s="26"/>
      <c r="O1174" s="68"/>
      <c r="P1174" s="1"/>
      <c r="Q1174" s="8"/>
      <c r="R1174" s="66"/>
      <c r="S1174" s="1"/>
      <c r="T1174" s="66"/>
      <c r="U1174" s="8"/>
      <c r="V1174" s="56"/>
      <c r="W1174" s="1"/>
      <c r="X1174" s="1"/>
      <c r="Y1174" s="1"/>
    </row>
    <row r="1175" spans="1:25">
      <c r="A1175" s="57"/>
      <c r="B1175" s="68"/>
      <c r="C1175" s="68"/>
      <c r="D1175" s="68"/>
      <c r="E1175" s="68"/>
      <c r="F1175" s="68"/>
      <c r="G1175" s="68"/>
      <c r="H1175" s="68"/>
      <c r="I1175" s="68"/>
      <c r="J1175" s="68"/>
      <c r="K1175" s="68"/>
      <c r="L1175" s="56"/>
      <c r="M1175" s="26"/>
      <c r="N1175" s="26"/>
      <c r="O1175" s="68"/>
      <c r="P1175" s="1"/>
      <c r="Q1175" s="8"/>
      <c r="R1175" s="66"/>
      <c r="S1175" s="1"/>
      <c r="T1175" s="66"/>
      <c r="U1175" s="8"/>
      <c r="V1175" s="56"/>
      <c r="W1175" s="1"/>
      <c r="X1175" s="1"/>
      <c r="Y1175" s="1"/>
    </row>
    <row r="1176" spans="1:25">
      <c r="A1176" s="57"/>
      <c r="B1176" s="68"/>
      <c r="C1176" s="68"/>
      <c r="D1176" s="68"/>
      <c r="E1176" s="68"/>
      <c r="F1176" s="68"/>
      <c r="G1176" s="68"/>
      <c r="H1176" s="68"/>
      <c r="I1176" s="68"/>
      <c r="J1176" s="68"/>
      <c r="K1176" s="68"/>
      <c r="L1176" s="56"/>
      <c r="M1176" s="26"/>
      <c r="N1176" s="26"/>
      <c r="O1176" s="68"/>
      <c r="P1176" s="1"/>
      <c r="Q1176" s="8"/>
      <c r="R1176" s="66"/>
      <c r="S1176" s="1"/>
      <c r="T1176" s="66"/>
      <c r="U1176" s="8"/>
      <c r="V1176" s="56"/>
      <c r="W1176" s="1"/>
      <c r="X1176" s="1"/>
      <c r="Y1176" s="1"/>
    </row>
    <row r="1177" spans="1:25">
      <c r="A1177" s="57"/>
      <c r="B1177" s="68"/>
      <c r="C1177" s="68"/>
      <c r="D1177" s="68"/>
      <c r="E1177" s="68"/>
      <c r="F1177" s="68"/>
      <c r="G1177" s="68"/>
      <c r="H1177" s="68"/>
      <c r="I1177" s="68"/>
      <c r="J1177" s="68"/>
      <c r="K1177" s="68"/>
      <c r="L1177" s="56"/>
      <c r="M1177" s="26"/>
      <c r="N1177" s="26"/>
      <c r="O1177" s="68"/>
      <c r="P1177" s="1"/>
      <c r="Q1177" s="8"/>
      <c r="R1177" s="66"/>
      <c r="S1177" s="1"/>
      <c r="T1177" s="66"/>
      <c r="U1177" s="8"/>
      <c r="V1177" s="56"/>
      <c r="W1177" s="1"/>
      <c r="X1177" s="1"/>
      <c r="Y1177" s="1"/>
    </row>
    <row r="1178" spans="1:25">
      <c r="A1178" s="57"/>
      <c r="B1178" s="68"/>
      <c r="C1178" s="68"/>
      <c r="D1178" s="68"/>
      <c r="E1178" s="68"/>
      <c r="F1178" s="68"/>
      <c r="G1178" s="68"/>
      <c r="H1178" s="68"/>
      <c r="I1178" s="68"/>
      <c r="J1178" s="68"/>
      <c r="K1178" s="68"/>
      <c r="L1178" s="56"/>
      <c r="M1178" s="26"/>
      <c r="N1178" s="26"/>
      <c r="O1178" s="68"/>
      <c r="P1178" s="1"/>
      <c r="Q1178" s="8"/>
      <c r="R1178" s="66"/>
      <c r="S1178" s="1"/>
      <c r="T1178" s="66"/>
      <c r="U1178" s="8"/>
      <c r="V1178" s="56"/>
      <c r="W1178" s="1"/>
      <c r="X1178" s="1"/>
      <c r="Y1178" s="1"/>
    </row>
    <row r="1179" spans="1:25">
      <c r="A1179" s="57"/>
      <c r="B1179" s="68"/>
      <c r="C1179" s="68"/>
      <c r="D1179" s="68"/>
      <c r="E1179" s="68"/>
      <c r="F1179" s="68"/>
      <c r="G1179" s="68"/>
      <c r="H1179" s="68"/>
      <c r="I1179" s="68"/>
      <c r="J1179" s="68"/>
      <c r="K1179" s="68"/>
      <c r="L1179" s="56"/>
      <c r="M1179" s="26"/>
      <c r="N1179" s="26"/>
      <c r="O1179" s="68"/>
      <c r="P1179" s="1"/>
      <c r="Q1179" s="8"/>
      <c r="R1179" s="66"/>
      <c r="S1179" s="1"/>
      <c r="T1179" s="66"/>
      <c r="U1179" s="8"/>
      <c r="V1179" s="56"/>
      <c r="W1179" s="1"/>
      <c r="X1179" s="1"/>
      <c r="Y1179" s="1"/>
    </row>
    <row r="1180" spans="1:25">
      <c r="A1180" s="57"/>
      <c r="B1180" s="68"/>
      <c r="C1180" s="68"/>
      <c r="D1180" s="68"/>
      <c r="E1180" s="68"/>
      <c r="F1180" s="68"/>
      <c r="G1180" s="68"/>
      <c r="H1180" s="68"/>
      <c r="I1180" s="68"/>
      <c r="J1180" s="68"/>
      <c r="K1180" s="68"/>
      <c r="L1180" s="56"/>
      <c r="M1180" s="26"/>
      <c r="N1180" s="26"/>
      <c r="O1180" s="68"/>
      <c r="P1180" s="1"/>
      <c r="Q1180" s="8"/>
      <c r="R1180" s="66"/>
      <c r="S1180" s="1"/>
      <c r="T1180" s="66"/>
      <c r="U1180" s="8"/>
      <c r="V1180" s="56"/>
      <c r="W1180" s="1"/>
      <c r="X1180" s="1"/>
      <c r="Y1180" s="1"/>
    </row>
    <row r="1181" spans="1:25">
      <c r="A1181" s="57"/>
      <c r="B1181" s="68"/>
      <c r="C1181" s="68"/>
      <c r="D1181" s="68"/>
      <c r="E1181" s="68"/>
      <c r="F1181" s="68"/>
      <c r="G1181" s="68"/>
      <c r="H1181" s="68"/>
      <c r="I1181" s="68"/>
      <c r="J1181" s="68"/>
      <c r="K1181" s="68"/>
      <c r="L1181" s="56"/>
      <c r="M1181" s="26"/>
      <c r="N1181" s="26"/>
      <c r="O1181" s="68"/>
      <c r="P1181" s="1"/>
      <c r="Q1181" s="8"/>
      <c r="R1181" s="66"/>
      <c r="S1181" s="1"/>
      <c r="T1181" s="66"/>
      <c r="U1181" s="8"/>
      <c r="V1181" s="56"/>
      <c r="W1181" s="1"/>
      <c r="X1181" s="1"/>
      <c r="Y1181" s="1"/>
    </row>
    <row r="1182" spans="1:25">
      <c r="A1182" s="57"/>
      <c r="B1182" s="68"/>
      <c r="C1182" s="68"/>
      <c r="D1182" s="68"/>
      <c r="E1182" s="68"/>
      <c r="F1182" s="68"/>
      <c r="G1182" s="68"/>
      <c r="H1182" s="68"/>
      <c r="I1182" s="68"/>
      <c r="J1182" s="68"/>
      <c r="K1182" s="68"/>
      <c r="L1182" s="56"/>
      <c r="M1182" s="26"/>
      <c r="N1182" s="26"/>
      <c r="O1182" s="68"/>
      <c r="P1182" s="1"/>
      <c r="Q1182" s="8"/>
      <c r="R1182" s="66"/>
      <c r="S1182" s="1"/>
      <c r="T1182" s="66"/>
      <c r="U1182" s="8"/>
      <c r="V1182" s="56"/>
      <c r="W1182" s="1"/>
      <c r="X1182" s="1"/>
      <c r="Y1182" s="1"/>
    </row>
    <row r="1183" spans="1:25">
      <c r="A1183" s="57"/>
      <c r="B1183" s="68"/>
      <c r="C1183" s="68"/>
      <c r="D1183" s="68"/>
      <c r="E1183" s="68"/>
      <c r="F1183" s="68"/>
      <c r="G1183" s="68"/>
      <c r="H1183" s="68"/>
      <c r="I1183" s="68"/>
      <c r="J1183" s="68"/>
      <c r="K1183" s="68"/>
      <c r="L1183" s="56"/>
      <c r="M1183" s="26"/>
      <c r="N1183" s="26"/>
      <c r="O1183" s="68"/>
      <c r="P1183" s="1"/>
      <c r="Q1183" s="8"/>
      <c r="R1183" s="66"/>
      <c r="S1183" s="1"/>
      <c r="T1183" s="66"/>
      <c r="U1183" s="8"/>
      <c r="V1183" s="56"/>
      <c r="W1183" s="1"/>
      <c r="X1183" s="1"/>
      <c r="Y1183" s="1"/>
    </row>
    <row r="1184" spans="1:25">
      <c r="A1184" s="57"/>
      <c r="B1184" s="68"/>
      <c r="C1184" s="68"/>
      <c r="D1184" s="68"/>
      <c r="E1184" s="68"/>
      <c r="F1184" s="68"/>
      <c r="G1184" s="68"/>
      <c r="H1184" s="68"/>
      <c r="I1184" s="68"/>
      <c r="J1184" s="68"/>
      <c r="K1184" s="68"/>
      <c r="L1184" s="56"/>
      <c r="M1184" s="26"/>
      <c r="N1184" s="26"/>
      <c r="O1184" s="68"/>
      <c r="P1184" s="1"/>
      <c r="Q1184" s="8"/>
      <c r="R1184" s="66"/>
      <c r="S1184" s="1"/>
      <c r="T1184" s="66"/>
      <c r="U1184" s="8"/>
      <c r="V1184" s="56"/>
      <c r="W1184" s="1"/>
      <c r="X1184" s="1"/>
      <c r="Y1184" s="1"/>
    </row>
    <row r="1185" spans="1:25">
      <c r="A1185" s="57"/>
      <c r="B1185" s="68"/>
      <c r="C1185" s="68"/>
      <c r="D1185" s="68"/>
      <c r="E1185" s="68"/>
      <c r="F1185" s="68"/>
      <c r="G1185" s="68"/>
      <c r="H1185" s="68"/>
      <c r="I1185" s="68"/>
      <c r="J1185" s="68"/>
      <c r="K1185" s="68"/>
      <c r="L1185" s="56"/>
      <c r="M1185" s="26"/>
      <c r="N1185" s="26"/>
      <c r="O1185" s="68"/>
      <c r="P1185" s="1"/>
      <c r="Q1185" s="8"/>
      <c r="R1185" s="66"/>
      <c r="S1185" s="1"/>
      <c r="T1185" s="66"/>
      <c r="U1185" s="8"/>
      <c r="V1185" s="56"/>
      <c r="W1185" s="1"/>
      <c r="X1185" s="1"/>
      <c r="Y1185" s="1"/>
    </row>
    <row r="1186" spans="1:25">
      <c r="A1186" s="57"/>
      <c r="B1186" s="68"/>
      <c r="C1186" s="68"/>
      <c r="D1186" s="68"/>
      <c r="E1186" s="68"/>
      <c r="F1186" s="68"/>
      <c r="G1186" s="68"/>
      <c r="H1186" s="68"/>
      <c r="I1186" s="68"/>
      <c r="J1186" s="68"/>
      <c r="K1186" s="68"/>
      <c r="L1186" s="56"/>
      <c r="M1186" s="26"/>
      <c r="N1186" s="26"/>
      <c r="O1186" s="68"/>
      <c r="P1186" s="1"/>
      <c r="Q1186" s="8"/>
      <c r="R1186" s="66"/>
      <c r="S1186" s="1"/>
      <c r="T1186" s="66"/>
      <c r="U1186" s="8"/>
      <c r="V1186" s="56"/>
      <c r="W1186" s="1"/>
      <c r="X1186" s="1"/>
      <c r="Y1186" s="1"/>
    </row>
    <row r="1187" spans="1:25">
      <c r="A1187" s="57"/>
      <c r="B1187" s="68"/>
      <c r="C1187" s="68"/>
      <c r="D1187" s="68"/>
      <c r="E1187" s="68"/>
      <c r="F1187" s="68"/>
      <c r="G1187" s="68"/>
      <c r="H1187" s="68"/>
      <c r="I1187" s="68"/>
      <c r="J1187" s="68"/>
      <c r="K1187" s="68"/>
      <c r="L1187" s="56"/>
      <c r="M1187" s="26"/>
      <c r="N1187" s="26"/>
      <c r="O1187" s="68"/>
      <c r="P1187" s="1"/>
      <c r="Q1187" s="8"/>
      <c r="R1187" s="66"/>
      <c r="S1187" s="1"/>
      <c r="T1187" s="66"/>
      <c r="U1187" s="8"/>
      <c r="V1187" s="56"/>
      <c r="W1187" s="1"/>
      <c r="X1187" s="1"/>
      <c r="Y1187" s="1"/>
    </row>
    <row r="1188" spans="1:25">
      <c r="A1188" s="57"/>
      <c r="B1188" s="68"/>
      <c r="C1188" s="68"/>
      <c r="D1188" s="68"/>
      <c r="E1188" s="68"/>
      <c r="F1188" s="68"/>
      <c r="G1188" s="68"/>
      <c r="H1188" s="68"/>
      <c r="I1188" s="68"/>
      <c r="J1188" s="68"/>
      <c r="K1188" s="68"/>
      <c r="L1188" s="56"/>
      <c r="M1188" s="26"/>
      <c r="N1188" s="26"/>
      <c r="O1188" s="68"/>
      <c r="P1188" s="1"/>
      <c r="Q1188" s="8"/>
      <c r="R1188" s="66"/>
      <c r="S1188" s="1"/>
      <c r="T1188" s="66"/>
      <c r="U1188" s="8"/>
      <c r="V1188" s="56"/>
      <c r="W1188" s="1"/>
      <c r="X1188" s="1"/>
      <c r="Y1188" s="1"/>
    </row>
    <row r="1189" spans="1:25">
      <c r="A1189" s="57"/>
      <c r="B1189" s="68"/>
      <c r="C1189" s="68"/>
      <c r="D1189" s="68"/>
      <c r="E1189" s="68"/>
      <c r="F1189" s="68"/>
      <c r="G1189" s="68"/>
      <c r="H1189" s="68"/>
      <c r="I1189" s="68"/>
      <c r="J1189" s="68"/>
      <c r="K1189" s="68"/>
      <c r="L1189" s="56"/>
      <c r="M1189" s="26"/>
      <c r="N1189" s="26"/>
      <c r="O1189" s="68"/>
      <c r="P1189" s="1"/>
      <c r="Q1189" s="8"/>
      <c r="R1189" s="66"/>
      <c r="S1189" s="1"/>
      <c r="T1189" s="66"/>
      <c r="U1189" s="8"/>
      <c r="V1189" s="56"/>
      <c r="W1189" s="1"/>
      <c r="X1189" s="1"/>
      <c r="Y1189" s="1"/>
    </row>
    <row r="1190" spans="1:25">
      <c r="A1190" s="57"/>
      <c r="B1190" s="68"/>
      <c r="C1190" s="68"/>
      <c r="D1190" s="68"/>
      <c r="E1190" s="68"/>
      <c r="F1190" s="68"/>
      <c r="G1190" s="68"/>
      <c r="H1190" s="68"/>
      <c r="I1190" s="68"/>
      <c r="J1190" s="68"/>
      <c r="K1190" s="68"/>
      <c r="L1190" s="56"/>
      <c r="M1190" s="26"/>
      <c r="N1190" s="26"/>
      <c r="O1190" s="68"/>
      <c r="P1190" s="1"/>
      <c r="Q1190" s="8"/>
      <c r="R1190" s="66"/>
      <c r="S1190" s="1"/>
      <c r="T1190" s="66"/>
      <c r="U1190" s="8"/>
      <c r="V1190" s="56"/>
      <c r="W1190" s="1"/>
      <c r="X1190" s="1"/>
      <c r="Y1190" s="1"/>
    </row>
    <row r="1191" spans="1:25">
      <c r="A1191" s="57"/>
      <c r="B1191" s="68"/>
      <c r="C1191" s="68"/>
      <c r="D1191" s="68"/>
      <c r="E1191" s="68"/>
      <c r="F1191" s="68"/>
      <c r="G1191" s="68"/>
      <c r="H1191" s="68"/>
      <c r="I1191" s="68"/>
      <c r="J1191" s="68"/>
      <c r="K1191" s="68"/>
      <c r="L1191" s="56"/>
      <c r="M1191" s="26"/>
      <c r="N1191" s="26"/>
      <c r="O1191" s="68"/>
      <c r="P1191" s="1"/>
      <c r="Q1191" s="8"/>
      <c r="R1191" s="66"/>
      <c r="S1191" s="1"/>
      <c r="T1191" s="66"/>
      <c r="U1191" s="8"/>
      <c r="V1191" s="56"/>
      <c r="W1191" s="1"/>
      <c r="X1191" s="1"/>
      <c r="Y1191" s="1"/>
    </row>
    <row r="1192" spans="1:25">
      <c r="A1192" s="57"/>
      <c r="B1192" s="68"/>
      <c r="C1192" s="68"/>
      <c r="D1192" s="68"/>
      <c r="E1192" s="68"/>
      <c r="F1192" s="68"/>
      <c r="G1192" s="68"/>
      <c r="H1192" s="68"/>
      <c r="I1192" s="68"/>
      <c r="J1192" s="68"/>
      <c r="K1192" s="68"/>
      <c r="L1192" s="56"/>
      <c r="M1192" s="26"/>
      <c r="N1192" s="26"/>
      <c r="O1192" s="68"/>
      <c r="P1192" s="1"/>
      <c r="Q1192" s="8"/>
      <c r="R1192" s="66"/>
      <c r="S1192" s="1"/>
      <c r="T1192" s="66"/>
      <c r="U1192" s="8"/>
      <c r="V1192" s="56"/>
      <c r="W1192" s="1"/>
      <c r="X1192" s="1"/>
      <c r="Y1192" s="1"/>
    </row>
    <row r="1193" spans="1:25">
      <c r="A1193" s="57"/>
      <c r="B1193" s="68"/>
      <c r="C1193" s="68"/>
      <c r="D1193" s="68"/>
      <c r="E1193" s="68"/>
      <c r="F1193" s="68"/>
      <c r="G1193" s="68"/>
      <c r="H1193" s="68"/>
      <c r="I1193" s="68"/>
      <c r="J1193" s="68"/>
      <c r="K1193" s="68"/>
      <c r="L1193" s="56"/>
      <c r="M1193" s="26"/>
      <c r="N1193" s="26"/>
      <c r="O1193" s="68"/>
      <c r="P1193" s="1"/>
      <c r="Q1193" s="8"/>
      <c r="R1193" s="66"/>
      <c r="S1193" s="1"/>
      <c r="T1193" s="66"/>
      <c r="U1193" s="8"/>
      <c r="V1193" s="56"/>
      <c r="W1193" s="1"/>
      <c r="X1193" s="1"/>
      <c r="Y1193" s="1"/>
    </row>
    <row r="1194" spans="1:25">
      <c r="A1194" s="57"/>
      <c r="B1194" s="68"/>
      <c r="C1194" s="68"/>
      <c r="D1194" s="68"/>
      <c r="E1194" s="68"/>
      <c r="F1194" s="68"/>
      <c r="G1194" s="68"/>
      <c r="H1194" s="68"/>
      <c r="I1194" s="68"/>
      <c r="J1194" s="68"/>
      <c r="K1194" s="68"/>
      <c r="L1194" s="56"/>
      <c r="M1194" s="26"/>
      <c r="N1194" s="26"/>
      <c r="O1194" s="68"/>
      <c r="P1194" s="1"/>
      <c r="Q1194" s="8"/>
      <c r="R1194" s="66"/>
      <c r="S1194" s="1"/>
      <c r="T1194" s="66"/>
      <c r="U1194" s="8"/>
      <c r="V1194" s="56"/>
      <c r="W1194" s="1"/>
      <c r="X1194" s="1"/>
      <c r="Y1194" s="1"/>
    </row>
    <row r="1195" spans="1:25">
      <c r="A1195" s="57"/>
      <c r="B1195" s="68"/>
      <c r="C1195" s="68"/>
      <c r="D1195" s="68"/>
      <c r="E1195" s="68"/>
      <c r="F1195" s="68"/>
      <c r="G1195" s="68"/>
      <c r="H1195" s="68"/>
      <c r="I1195" s="68"/>
      <c r="J1195" s="68"/>
      <c r="K1195" s="68"/>
      <c r="L1195" s="56"/>
      <c r="M1195" s="26"/>
      <c r="N1195" s="26"/>
      <c r="O1195" s="68"/>
      <c r="P1195" s="1"/>
      <c r="Q1195" s="8"/>
      <c r="R1195" s="66"/>
      <c r="S1195" s="1"/>
      <c r="T1195" s="66"/>
      <c r="U1195" s="8"/>
      <c r="V1195" s="56"/>
      <c r="W1195" s="1"/>
      <c r="X1195" s="1"/>
      <c r="Y1195" s="1"/>
    </row>
    <row r="1196" spans="1:25">
      <c r="A1196" s="57"/>
      <c r="B1196" s="68"/>
      <c r="C1196" s="68"/>
      <c r="D1196" s="68"/>
      <c r="E1196" s="68"/>
      <c r="F1196" s="68"/>
      <c r="G1196" s="68"/>
      <c r="H1196" s="68"/>
      <c r="I1196" s="68"/>
      <c r="J1196" s="68"/>
      <c r="K1196" s="68"/>
      <c r="L1196" s="56"/>
      <c r="M1196" s="26"/>
      <c r="N1196" s="26"/>
      <c r="O1196" s="68"/>
      <c r="P1196" s="1"/>
      <c r="Q1196" s="8"/>
      <c r="R1196" s="66"/>
      <c r="S1196" s="1"/>
      <c r="T1196" s="66"/>
      <c r="U1196" s="8"/>
      <c r="V1196" s="56"/>
      <c r="W1196" s="1"/>
      <c r="X1196" s="1"/>
      <c r="Y1196" s="1"/>
    </row>
    <row r="1197" spans="1:25">
      <c r="A1197" s="57"/>
      <c r="B1197" s="68"/>
      <c r="C1197" s="68"/>
      <c r="D1197" s="68"/>
      <c r="E1197" s="68"/>
      <c r="F1197" s="68"/>
      <c r="G1197" s="68"/>
      <c r="H1197" s="68"/>
      <c r="I1197" s="68"/>
      <c r="J1197" s="68"/>
      <c r="K1197" s="68"/>
      <c r="L1197" s="56"/>
      <c r="M1197" s="26"/>
      <c r="N1197" s="26"/>
      <c r="O1197" s="68"/>
      <c r="P1197" s="1"/>
      <c r="Q1197" s="8"/>
      <c r="R1197" s="66"/>
      <c r="S1197" s="1"/>
      <c r="T1197" s="66"/>
      <c r="U1197" s="8"/>
      <c r="V1197" s="56"/>
      <c r="W1197" s="1"/>
      <c r="X1197" s="1"/>
      <c r="Y1197" s="1"/>
    </row>
    <row r="1198" spans="1:25">
      <c r="A1198" s="57"/>
      <c r="B1198" s="68"/>
      <c r="C1198" s="68"/>
      <c r="D1198" s="68"/>
      <c r="E1198" s="68"/>
      <c r="F1198" s="68"/>
      <c r="G1198" s="68"/>
      <c r="H1198" s="68"/>
      <c r="I1198" s="68"/>
      <c r="J1198" s="68"/>
      <c r="K1198" s="68"/>
      <c r="L1198" s="56"/>
      <c r="M1198" s="26"/>
      <c r="N1198" s="26"/>
      <c r="O1198" s="68"/>
      <c r="P1198" s="1"/>
      <c r="Q1198" s="8"/>
      <c r="R1198" s="66"/>
      <c r="S1198" s="1"/>
      <c r="T1198" s="66"/>
      <c r="U1198" s="8"/>
      <c r="V1198" s="56"/>
      <c r="W1198" s="1"/>
      <c r="X1198" s="1"/>
      <c r="Y1198" s="1"/>
    </row>
    <row r="1199" spans="1:25">
      <c r="A1199" s="57"/>
      <c r="B1199" s="68"/>
      <c r="C1199" s="68"/>
      <c r="D1199" s="68"/>
      <c r="E1199" s="68"/>
      <c r="F1199" s="68"/>
      <c r="G1199" s="68"/>
      <c r="H1199" s="68"/>
      <c r="I1199" s="68"/>
      <c r="J1199" s="68"/>
      <c r="K1199" s="68"/>
      <c r="L1199" s="56"/>
      <c r="M1199" s="26"/>
      <c r="N1199" s="26"/>
      <c r="O1199" s="68"/>
      <c r="P1199" s="1"/>
      <c r="Q1199" s="8"/>
      <c r="R1199" s="66"/>
      <c r="S1199" s="1"/>
      <c r="T1199" s="66"/>
      <c r="U1199" s="8"/>
      <c r="V1199" s="56"/>
      <c r="W1199" s="1"/>
      <c r="X1199" s="1"/>
      <c r="Y1199" s="1"/>
    </row>
    <row r="1200" spans="1:25">
      <c r="A1200" s="57"/>
      <c r="B1200" s="68"/>
      <c r="C1200" s="68"/>
      <c r="D1200" s="68"/>
      <c r="E1200" s="68"/>
      <c r="F1200" s="68"/>
      <c r="G1200" s="68"/>
      <c r="H1200" s="68"/>
      <c r="I1200" s="68"/>
      <c r="J1200" s="68"/>
      <c r="K1200" s="68"/>
      <c r="L1200" s="56"/>
      <c r="M1200" s="26"/>
      <c r="N1200" s="26"/>
      <c r="O1200" s="68"/>
      <c r="P1200" s="1"/>
      <c r="Q1200" s="8"/>
      <c r="R1200" s="66"/>
      <c r="S1200" s="1"/>
      <c r="T1200" s="66"/>
      <c r="U1200" s="8"/>
      <c r="V1200" s="56"/>
      <c r="W1200" s="1"/>
      <c r="X1200" s="1"/>
      <c r="Y1200" s="1"/>
    </row>
    <row r="1201" spans="1:25">
      <c r="A1201" s="57"/>
      <c r="B1201" s="68"/>
      <c r="C1201" s="68"/>
      <c r="D1201" s="68"/>
      <c r="E1201" s="68"/>
      <c r="F1201" s="68"/>
      <c r="G1201" s="68"/>
      <c r="H1201" s="68"/>
      <c r="I1201" s="68"/>
      <c r="J1201" s="68"/>
      <c r="K1201" s="68"/>
      <c r="L1201" s="56"/>
      <c r="M1201" s="26"/>
      <c r="N1201" s="26"/>
      <c r="O1201" s="68"/>
      <c r="P1201" s="1"/>
      <c r="Q1201" s="8"/>
      <c r="R1201" s="66"/>
      <c r="S1201" s="1"/>
      <c r="T1201" s="66"/>
      <c r="U1201" s="8"/>
      <c r="V1201" s="56"/>
      <c r="W1201" s="1"/>
      <c r="X1201" s="1"/>
      <c r="Y1201" s="1"/>
    </row>
    <row r="1202" spans="1:25">
      <c r="A1202" s="57"/>
      <c r="B1202" s="68"/>
      <c r="C1202" s="68"/>
      <c r="D1202" s="68"/>
      <c r="E1202" s="68"/>
      <c r="F1202" s="68"/>
      <c r="G1202" s="68"/>
      <c r="H1202" s="68"/>
      <c r="I1202" s="68"/>
      <c r="J1202" s="68"/>
      <c r="K1202" s="68"/>
      <c r="L1202" s="56"/>
      <c r="M1202" s="26"/>
      <c r="N1202" s="26"/>
      <c r="O1202" s="68"/>
      <c r="P1202" s="1"/>
      <c r="Q1202" s="8"/>
      <c r="R1202" s="66"/>
      <c r="S1202" s="1"/>
      <c r="T1202" s="66"/>
      <c r="U1202" s="8"/>
      <c r="V1202" s="56"/>
      <c r="W1202" s="1"/>
      <c r="X1202" s="1"/>
      <c r="Y1202" s="1"/>
    </row>
    <row r="1203" spans="1:25">
      <c r="A1203" s="57"/>
      <c r="B1203" s="68"/>
      <c r="C1203" s="68"/>
      <c r="D1203" s="68"/>
      <c r="E1203" s="68"/>
      <c r="F1203" s="68"/>
      <c r="G1203" s="68"/>
      <c r="H1203" s="68"/>
      <c r="I1203" s="68"/>
      <c r="J1203" s="68"/>
      <c r="K1203" s="68"/>
      <c r="L1203" s="56"/>
      <c r="M1203" s="26"/>
      <c r="N1203" s="26"/>
      <c r="O1203" s="68"/>
      <c r="P1203" s="1"/>
      <c r="Q1203" s="8"/>
      <c r="R1203" s="66"/>
      <c r="S1203" s="1"/>
      <c r="T1203" s="66"/>
      <c r="U1203" s="8"/>
      <c r="V1203" s="56"/>
      <c r="W1203" s="1"/>
      <c r="X1203" s="1"/>
      <c r="Y1203" s="1"/>
    </row>
    <row r="1204" spans="1:25">
      <c r="A1204" s="57"/>
      <c r="B1204" s="68"/>
      <c r="C1204" s="68"/>
      <c r="D1204" s="68"/>
      <c r="E1204" s="68"/>
      <c r="F1204" s="68"/>
      <c r="G1204" s="68"/>
      <c r="H1204" s="68"/>
      <c r="I1204" s="68"/>
      <c r="J1204" s="68"/>
      <c r="K1204" s="68"/>
      <c r="L1204" s="56"/>
      <c r="M1204" s="26"/>
      <c r="N1204" s="26"/>
      <c r="O1204" s="68"/>
      <c r="P1204" s="1"/>
      <c r="Q1204" s="8"/>
      <c r="R1204" s="66"/>
      <c r="S1204" s="1"/>
      <c r="T1204" s="66"/>
      <c r="U1204" s="8"/>
      <c r="V1204" s="56"/>
      <c r="W1204" s="1"/>
      <c r="X1204" s="1"/>
      <c r="Y1204" s="1"/>
    </row>
    <row r="1205" spans="1:25">
      <c r="A1205" s="57"/>
      <c r="B1205" s="68"/>
      <c r="C1205" s="68"/>
      <c r="D1205" s="68"/>
      <c r="E1205" s="68"/>
      <c r="F1205" s="68"/>
      <c r="G1205" s="68"/>
      <c r="H1205" s="68"/>
      <c r="I1205" s="68"/>
      <c r="J1205" s="68"/>
      <c r="K1205" s="68"/>
      <c r="L1205" s="56"/>
      <c r="M1205" s="26"/>
      <c r="N1205" s="26"/>
      <c r="O1205" s="68"/>
      <c r="P1205" s="1"/>
      <c r="Q1205" s="8"/>
      <c r="R1205" s="66"/>
      <c r="S1205" s="1"/>
      <c r="T1205" s="66"/>
      <c r="U1205" s="8"/>
      <c r="V1205" s="56"/>
      <c r="W1205" s="1"/>
      <c r="X1205" s="1"/>
      <c r="Y1205" s="1"/>
    </row>
    <row r="1206" spans="1:25">
      <c r="A1206" s="57"/>
      <c r="B1206" s="68"/>
      <c r="C1206" s="68"/>
      <c r="D1206" s="68"/>
      <c r="E1206" s="68"/>
      <c r="F1206" s="68"/>
      <c r="G1206" s="68"/>
      <c r="H1206" s="68"/>
      <c r="I1206" s="68"/>
      <c r="J1206" s="68"/>
      <c r="K1206" s="68"/>
      <c r="L1206" s="56"/>
      <c r="M1206" s="26"/>
      <c r="N1206" s="26"/>
      <c r="O1206" s="68"/>
      <c r="P1206" s="1"/>
      <c r="Q1206" s="8"/>
      <c r="R1206" s="66"/>
      <c r="S1206" s="1"/>
      <c r="T1206" s="66"/>
      <c r="U1206" s="8"/>
      <c r="V1206" s="56"/>
      <c r="W1206" s="1"/>
      <c r="X1206" s="1"/>
      <c r="Y1206" s="1"/>
    </row>
    <row r="1207" spans="1:25">
      <c r="A1207" s="57"/>
      <c r="B1207" s="68"/>
      <c r="C1207" s="68"/>
      <c r="D1207" s="68"/>
      <c r="E1207" s="68"/>
      <c r="F1207" s="68"/>
      <c r="G1207" s="68"/>
      <c r="H1207" s="68"/>
      <c r="I1207" s="68"/>
      <c r="J1207" s="68"/>
      <c r="K1207" s="68"/>
      <c r="L1207" s="56"/>
      <c r="M1207" s="26"/>
      <c r="N1207" s="26"/>
      <c r="O1207" s="68"/>
      <c r="P1207" s="1"/>
      <c r="Q1207" s="8"/>
      <c r="R1207" s="66"/>
      <c r="S1207" s="1"/>
      <c r="T1207" s="66"/>
      <c r="U1207" s="8"/>
      <c r="V1207" s="56"/>
      <c r="W1207" s="1"/>
      <c r="X1207" s="1"/>
      <c r="Y1207" s="1"/>
    </row>
    <row r="1208" spans="1:25">
      <c r="A1208" s="57"/>
      <c r="B1208" s="68"/>
      <c r="C1208" s="68"/>
      <c r="D1208" s="68"/>
      <c r="E1208" s="68"/>
      <c r="F1208" s="68"/>
      <c r="G1208" s="68"/>
      <c r="H1208" s="68"/>
      <c r="I1208" s="68"/>
      <c r="J1208" s="68"/>
      <c r="K1208" s="68"/>
      <c r="L1208" s="56"/>
      <c r="M1208" s="26"/>
      <c r="N1208" s="26"/>
      <c r="O1208" s="68"/>
      <c r="P1208" s="1"/>
      <c r="Q1208" s="8"/>
      <c r="R1208" s="66"/>
      <c r="S1208" s="1"/>
      <c r="T1208" s="66"/>
      <c r="U1208" s="8"/>
      <c r="V1208" s="56"/>
      <c r="W1208" s="1"/>
      <c r="X1208" s="1"/>
      <c r="Y1208" s="1"/>
    </row>
    <row r="1209" spans="1:25">
      <c r="A1209" s="57"/>
      <c r="B1209" s="68"/>
      <c r="C1209" s="68"/>
      <c r="D1209" s="68"/>
      <c r="E1209" s="68"/>
      <c r="F1209" s="68"/>
      <c r="G1209" s="68"/>
      <c r="H1209" s="68"/>
      <c r="I1209" s="68"/>
      <c r="J1209" s="68"/>
      <c r="K1209" s="68"/>
      <c r="L1209" s="56"/>
      <c r="M1209" s="26"/>
      <c r="N1209" s="26"/>
      <c r="O1209" s="68"/>
      <c r="P1209" s="1"/>
      <c r="Q1209" s="8"/>
      <c r="R1209" s="66"/>
      <c r="S1209" s="1"/>
      <c r="T1209" s="66"/>
      <c r="U1209" s="8"/>
      <c r="V1209" s="56"/>
      <c r="W1209" s="1"/>
      <c r="X1209" s="1"/>
      <c r="Y1209" s="1"/>
    </row>
    <row r="1210" spans="1:25">
      <c r="A1210" s="57"/>
      <c r="B1210" s="68"/>
      <c r="C1210" s="68"/>
      <c r="D1210" s="68"/>
      <c r="E1210" s="68"/>
      <c r="F1210" s="68"/>
      <c r="G1210" s="68"/>
      <c r="H1210" s="68"/>
      <c r="I1210" s="68"/>
      <c r="J1210" s="68"/>
      <c r="K1210" s="68"/>
      <c r="L1210" s="56"/>
      <c r="M1210" s="26"/>
      <c r="N1210" s="26"/>
      <c r="O1210" s="68"/>
      <c r="P1210" s="1"/>
      <c r="Q1210" s="8"/>
      <c r="R1210" s="66"/>
      <c r="S1210" s="1"/>
      <c r="T1210" s="66"/>
      <c r="U1210" s="8"/>
      <c r="V1210" s="56"/>
      <c r="W1210" s="1"/>
      <c r="X1210" s="1"/>
      <c r="Y1210" s="1"/>
    </row>
    <row r="1211" spans="1:25">
      <c r="A1211" s="57"/>
      <c r="B1211" s="68"/>
      <c r="C1211" s="68"/>
      <c r="D1211" s="68"/>
      <c r="E1211" s="68"/>
      <c r="F1211" s="68"/>
      <c r="G1211" s="68"/>
      <c r="H1211" s="68"/>
      <c r="I1211" s="68"/>
      <c r="J1211" s="68"/>
      <c r="K1211" s="68"/>
      <c r="L1211" s="56"/>
      <c r="M1211" s="26"/>
      <c r="N1211" s="26"/>
      <c r="O1211" s="68"/>
      <c r="P1211" s="1"/>
      <c r="Q1211" s="8"/>
      <c r="R1211" s="66"/>
      <c r="S1211" s="1"/>
      <c r="T1211" s="66"/>
      <c r="U1211" s="8"/>
      <c r="V1211" s="56"/>
      <c r="W1211" s="1"/>
      <c r="X1211" s="1"/>
      <c r="Y1211" s="1"/>
    </row>
    <row r="1212" spans="1:25">
      <c r="A1212" s="57"/>
      <c r="B1212" s="68"/>
      <c r="C1212" s="68"/>
      <c r="D1212" s="68"/>
      <c r="E1212" s="68"/>
      <c r="F1212" s="68"/>
      <c r="G1212" s="68"/>
      <c r="H1212" s="68"/>
      <c r="I1212" s="68"/>
      <c r="J1212" s="68"/>
      <c r="K1212" s="68"/>
      <c r="L1212" s="56"/>
      <c r="M1212" s="26"/>
      <c r="N1212" s="26"/>
      <c r="O1212" s="68"/>
      <c r="P1212" s="1"/>
      <c r="Q1212" s="8"/>
      <c r="R1212" s="66"/>
      <c r="S1212" s="1"/>
      <c r="T1212" s="66"/>
      <c r="U1212" s="8"/>
      <c r="V1212" s="56"/>
      <c r="W1212" s="1"/>
      <c r="X1212" s="1"/>
      <c r="Y1212" s="1"/>
    </row>
    <row r="1213" spans="1:25">
      <c r="A1213" s="57"/>
      <c r="B1213" s="68"/>
      <c r="C1213" s="68"/>
      <c r="D1213" s="68"/>
      <c r="E1213" s="68"/>
      <c r="F1213" s="68"/>
      <c r="G1213" s="68"/>
      <c r="H1213" s="68"/>
      <c r="I1213" s="68"/>
      <c r="J1213" s="68"/>
      <c r="K1213" s="68"/>
      <c r="L1213" s="56"/>
      <c r="M1213" s="26"/>
      <c r="N1213" s="26"/>
      <c r="O1213" s="68"/>
      <c r="P1213" s="1"/>
      <c r="Q1213" s="8"/>
      <c r="R1213" s="66"/>
      <c r="S1213" s="1"/>
      <c r="T1213" s="66"/>
      <c r="U1213" s="8"/>
      <c r="V1213" s="56"/>
      <c r="W1213" s="1"/>
      <c r="X1213" s="1"/>
      <c r="Y1213" s="1"/>
    </row>
    <row r="1214" spans="1:25">
      <c r="A1214" s="57"/>
      <c r="B1214" s="68"/>
      <c r="C1214" s="68"/>
      <c r="D1214" s="68"/>
      <c r="E1214" s="68"/>
      <c r="F1214" s="68"/>
      <c r="G1214" s="68"/>
      <c r="H1214" s="68"/>
      <c r="I1214" s="68"/>
      <c r="J1214" s="68"/>
      <c r="K1214" s="68"/>
      <c r="L1214" s="56"/>
      <c r="M1214" s="26"/>
      <c r="N1214" s="26"/>
      <c r="O1214" s="68"/>
      <c r="P1214" s="1"/>
      <c r="Q1214" s="8"/>
      <c r="R1214" s="66"/>
      <c r="S1214" s="1"/>
      <c r="T1214" s="66"/>
      <c r="U1214" s="8"/>
      <c r="V1214" s="56"/>
      <c r="W1214" s="1"/>
      <c r="X1214" s="1"/>
      <c r="Y1214" s="1"/>
    </row>
    <row r="1215" spans="1:25">
      <c r="A1215" s="57"/>
      <c r="B1215" s="68"/>
      <c r="C1215" s="68"/>
      <c r="D1215" s="68"/>
      <c r="E1215" s="68"/>
      <c r="F1215" s="68"/>
      <c r="G1215" s="68"/>
      <c r="H1215" s="68"/>
      <c r="I1215" s="68"/>
      <c r="J1215" s="68"/>
      <c r="K1215" s="68"/>
      <c r="L1215" s="56"/>
      <c r="M1215" s="26"/>
      <c r="N1215" s="26"/>
      <c r="O1215" s="68"/>
      <c r="P1215" s="1"/>
      <c r="Q1215" s="8"/>
      <c r="R1215" s="66"/>
      <c r="S1215" s="1"/>
      <c r="T1215" s="66"/>
      <c r="U1215" s="8"/>
      <c r="V1215" s="56"/>
      <c r="W1215" s="1"/>
      <c r="X1215" s="1"/>
      <c r="Y1215" s="1"/>
    </row>
    <row r="1216" spans="1:25">
      <c r="A1216" s="57"/>
      <c r="B1216" s="68"/>
      <c r="C1216" s="68"/>
      <c r="D1216" s="68"/>
      <c r="E1216" s="68"/>
      <c r="F1216" s="68"/>
      <c r="G1216" s="68"/>
      <c r="H1216" s="68"/>
      <c r="I1216" s="68"/>
      <c r="J1216" s="68"/>
      <c r="K1216" s="68"/>
      <c r="L1216" s="56"/>
      <c r="M1216" s="26"/>
      <c r="N1216" s="26"/>
      <c r="O1216" s="68"/>
      <c r="P1216" s="1"/>
      <c r="Q1216" s="8"/>
      <c r="R1216" s="66"/>
      <c r="S1216" s="1"/>
      <c r="T1216" s="66"/>
      <c r="U1216" s="8"/>
      <c r="V1216" s="56"/>
      <c r="W1216" s="1"/>
      <c r="X1216" s="1"/>
      <c r="Y1216" s="1"/>
    </row>
    <row r="1217" spans="1:25">
      <c r="A1217" s="57"/>
      <c r="B1217" s="68"/>
      <c r="C1217" s="68"/>
      <c r="D1217" s="68"/>
      <c r="E1217" s="68"/>
      <c r="F1217" s="68"/>
      <c r="G1217" s="68"/>
      <c r="H1217" s="68"/>
      <c r="I1217" s="68"/>
      <c r="J1217" s="68"/>
      <c r="K1217" s="68"/>
      <c r="L1217" s="56"/>
      <c r="M1217" s="26"/>
      <c r="N1217" s="26"/>
      <c r="O1217" s="68"/>
      <c r="P1217" s="1"/>
      <c r="Q1217" s="8"/>
      <c r="R1217" s="66"/>
      <c r="S1217" s="1"/>
      <c r="T1217" s="66"/>
      <c r="U1217" s="8"/>
      <c r="V1217" s="56"/>
      <c r="W1217" s="1"/>
      <c r="X1217" s="1"/>
      <c r="Y1217" s="1"/>
    </row>
    <row r="1218" spans="1:25">
      <c r="A1218" s="57"/>
      <c r="B1218" s="68"/>
      <c r="C1218" s="68"/>
      <c r="D1218" s="68"/>
      <c r="E1218" s="68"/>
      <c r="F1218" s="68"/>
      <c r="G1218" s="68"/>
      <c r="H1218" s="68"/>
      <c r="I1218" s="68"/>
      <c r="J1218" s="68"/>
      <c r="K1218" s="68"/>
      <c r="L1218" s="56"/>
      <c r="M1218" s="26"/>
      <c r="N1218" s="26"/>
      <c r="O1218" s="68"/>
      <c r="P1218" s="1"/>
      <c r="Q1218" s="8"/>
      <c r="R1218" s="66"/>
      <c r="S1218" s="1"/>
      <c r="T1218" s="66"/>
      <c r="U1218" s="8"/>
      <c r="V1218" s="56"/>
      <c r="W1218" s="1"/>
      <c r="X1218" s="1"/>
      <c r="Y1218" s="1"/>
    </row>
    <row r="1219" spans="1:25">
      <c r="A1219" s="57"/>
      <c r="B1219" s="68"/>
      <c r="C1219" s="68"/>
      <c r="D1219" s="68"/>
      <c r="E1219" s="68"/>
      <c r="F1219" s="68"/>
      <c r="G1219" s="68"/>
      <c r="H1219" s="68"/>
      <c r="I1219" s="68"/>
      <c r="J1219" s="68"/>
      <c r="K1219" s="68"/>
      <c r="L1219" s="56"/>
      <c r="M1219" s="26"/>
      <c r="N1219" s="26"/>
      <c r="O1219" s="68"/>
      <c r="P1219" s="1"/>
      <c r="Q1219" s="8"/>
      <c r="R1219" s="66"/>
      <c r="S1219" s="1"/>
      <c r="T1219" s="66"/>
      <c r="U1219" s="8"/>
      <c r="V1219" s="56"/>
      <c r="W1219" s="1"/>
      <c r="X1219" s="1"/>
      <c r="Y1219" s="1"/>
    </row>
    <row r="1220" spans="1:25">
      <c r="A1220" s="57"/>
      <c r="B1220" s="68"/>
      <c r="C1220" s="68"/>
      <c r="D1220" s="68"/>
      <c r="E1220" s="68"/>
      <c r="F1220" s="68"/>
      <c r="G1220" s="68"/>
      <c r="H1220" s="68"/>
      <c r="I1220" s="68"/>
      <c r="J1220" s="68"/>
      <c r="K1220" s="68"/>
      <c r="L1220" s="56"/>
      <c r="M1220" s="26"/>
      <c r="N1220" s="26"/>
      <c r="O1220" s="68"/>
      <c r="P1220" s="1"/>
      <c r="Q1220" s="8"/>
      <c r="R1220" s="66"/>
      <c r="S1220" s="1"/>
      <c r="T1220" s="66"/>
      <c r="U1220" s="8"/>
      <c r="V1220" s="56"/>
      <c r="W1220" s="1"/>
      <c r="X1220" s="1"/>
      <c r="Y1220" s="1"/>
    </row>
    <row r="1221" spans="1:25">
      <c r="A1221" s="57"/>
      <c r="B1221" s="68"/>
      <c r="C1221" s="68"/>
      <c r="D1221" s="68"/>
      <c r="E1221" s="68"/>
      <c r="F1221" s="68"/>
      <c r="G1221" s="68"/>
      <c r="H1221" s="68"/>
      <c r="I1221" s="68"/>
      <c r="J1221" s="68"/>
      <c r="K1221" s="68"/>
      <c r="L1221" s="56"/>
      <c r="M1221" s="26"/>
      <c r="N1221" s="26"/>
      <c r="O1221" s="68"/>
      <c r="P1221" s="1"/>
      <c r="Q1221" s="8"/>
      <c r="R1221" s="66"/>
      <c r="S1221" s="1"/>
      <c r="T1221" s="66"/>
      <c r="U1221" s="8"/>
      <c r="V1221" s="56"/>
      <c r="W1221" s="1"/>
      <c r="X1221" s="1"/>
      <c r="Y1221" s="1"/>
    </row>
    <row r="1222" spans="1:25">
      <c r="A1222" s="57"/>
      <c r="B1222" s="68"/>
      <c r="C1222" s="68"/>
      <c r="D1222" s="68"/>
      <c r="E1222" s="68"/>
      <c r="F1222" s="68"/>
      <c r="G1222" s="68"/>
      <c r="H1222" s="68"/>
      <c r="I1222" s="68"/>
      <c r="J1222" s="68"/>
      <c r="K1222" s="68"/>
      <c r="L1222" s="56"/>
      <c r="M1222" s="26"/>
      <c r="N1222" s="26"/>
      <c r="O1222" s="68"/>
      <c r="P1222" s="1"/>
      <c r="Q1222" s="8"/>
      <c r="R1222" s="66"/>
      <c r="S1222" s="1"/>
      <c r="T1222" s="66"/>
      <c r="U1222" s="8"/>
      <c r="V1222" s="56"/>
      <c r="W1222" s="1"/>
      <c r="X1222" s="1"/>
      <c r="Y1222" s="1"/>
    </row>
    <row r="1223" spans="1:25">
      <c r="A1223" s="57"/>
      <c r="B1223" s="68"/>
      <c r="C1223" s="68"/>
      <c r="D1223" s="68"/>
      <c r="E1223" s="68"/>
      <c r="F1223" s="68"/>
      <c r="G1223" s="68"/>
      <c r="H1223" s="68"/>
      <c r="I1223" s="68"/>
      <c r="J1223" s="68"/>
      <c r="K1223" s="68"/>
      <c r="L1223" s="56"/>
      <c r="M1223" s="26"/>
      <c r="N1223" s="26"/>
      <c r="O1223" s="68"/>
      <c r="P1223" s="1"/>
      <c r="Q1223" s="8"/>
      <c r="R1223" s="66"/>
      <c r="S1223" s="1"/>
      <c r="T1223" s="66"/>
      <c r="U1223" s="8"/>
      <c r="V1223" s="56"/>
      <c r="W1223" s="1"/>
      <c r="X1223" s="1"/>
      <c r="Y1223" s="1"/>
    </row>
    <row r="1224" spans="1:25">
      <c r="A1224" s="57"/>
      <c r="B1224" s="68"/>
      <c r="C1224" s="68"/>
      <c r="D1224" s="68"/>
      <c r="E1224" s="68"/>
      <c r="F1224" s="68"/>
      <c r="G1224" s="68"/>
      <c r="H1224" s="68"/>
      <c r="I1224" s="68"/>
      <c r="J1224" s="68"/>
      <c r="K1224" s="68"/>
      <c r="L1224" s="56"/>
      <c r="M1224" s="26"/>
      <c r="N1224" s="26"/>
      <c r="O1224" s="68"/>
      <c r="P1224" s="1"/>
      <c r="Q1224" s="8"/>
      <c r="R1224" s="66"/>
      <c r="S1224" s="1"/>
      <c r="T1224" s="66"/>
      <c r="U1224" s="8"/>
      <c r="V1224" s="56"/>
      <c r="W1224" s="1"/>
      <c r="X1224" s="1"/>
      <c r="Y1224" s="1"/>
    </row>
    <row r="1225" spans="1:25">
      <c r="A1225" s="57"/>
      <c r="B1225" s="68"/>
      <c r="C1225" s="68"/>
      <c r="D1225" s="68"/>
      <c r="E1225" s="68"/>
      <c r="F1225" s="68"/>
      <c r="G1225" s="68"/>
      <c r="H1225" s="68"/>
      <c r="I1225" s="68"/>
      <c r="J1225" s="68"/>
      <c r="K1225" s="68"/>
      <c r="L1225" s="56"/>
      <c r="M1225" s="26"/>
      <c r="N1225" s="26"/>
      <c r="O1225" s="68"/>
      <c r="P1225" s="1"/>
      <c r="Q1225" s="8"/>
      <c r="R1225" s="66"/>
      <c r="S1225" s="1"/>
      <c r="T1225" s="66"/>
      <c r="U1225" s="8"/>
      <c r="V1225" s="56"/>
      <c r="W1225" s="1"/>
      <c r="X1225" s="1"/>
      <c r="Y1225" s="1"/>
    </row>
    <row r="1226" spans="1:25">
      <c r="A1226" s="57"/>
      <c r="B1226" s="68"/>
      <c r="C1226" s="68"/>
      <c r="D1226" s="68"/>
      <c r="E1226" s="68"/>
      <c r="F1226" s="68"/>
      <c r="G1226" s="68"/>
      <c r="H1226" s="68"/>
      <c r="I1226" s="68"/>
      <c r="J1226" s="68"/>
      <c r="K1226" s="68"/>
      <c r="L1226" s="56"/>
      <c r="M1226" s="26"/>
      <c r="N1226" s="26"/>
      <c r="O1226" s="68"/>
      <c r="P1226" s="1"/>
      <c r="Q1226" s="8"/>
      <c r="R1226" s="66"/>
      <c r="S1226" s="1"/>
      <c r="T1226" s="66"/>
      <c r="U1226" s="8"/>
      <c r="V1226" s="56"/>
      <c r="W1226" s="1"/>
      <c r="X1226" s="1"/>
      <c r="Y1226" s="1"/>
    </row>
    <row r="1227" spans="1:25">
      <c r="A1227" s="57"/>
      <c r="B1227" s="68"/>
      <c r="C1227" s="68"/>
      <c r="D1227" s="68"/>
      <c r="E1227" s="68"/>
      <c r="F1227" s="68"/>
      <c r="G1227" s="68"/>
      <c r="H1227" s="68"/>
      <c r="I1227" s="68"/>
      <c r="J1227" s="68"/>
      <c r="K1227" s="68"/>
      <c r="L1227" s="56"/>
      <c r="M1227" s="26"/>
      <c r="N1227" s="26"/>
      <c r="O1227" s="68"/>
      <c r="P1227" s="1"/>
      <c r="Q1227" s="8"/>
      <c r="R1227" s="66"/>
      <c r="S1227" s="1"/>
      <c r="T1227" s="66"/>
      <c r="U1227" s="8"/>
      <c r="V1227" s="56"/>
      <c r="W1227" s="1"/>
      <c r="X1227" s="1"/>
      <c r="Y1227" s="1"/>
    </row>
    <row r="1228" spans="1:25">
      <c r="A1228" s="57"/>
      <c r="B1228" s="68"/>
      <c r="C1228" s="68"/>
      <c r="D1228" s="68"/>
      <c r="E1228" s="68"/>
      <c r="F1228" s="68"/>
      <c r="G1228" s="68"/>
      <c r="H1228" s="68"/>
      <c r="I1228" s="68"/>
      <c r="J1228" s="68"/>
      <c r="K1228" s="68"/>
      <c r="L1228" s="56"/>
      <c r="M1228" s="26"/>
      <c r="N1228" s="26"/>
      <c r="O1228" s="68"/>
      <c r="P1228" s="1"/>
      <c r="Q1228" s="8"/>
      <c r="R1228" s="66"/>
      <c r="S1228" s="1"/>
      <c r="T1228" s="66"/>
      <c r="U1228" s="8"/>
      <c r="V1228" s="56"/>
      <c r="W1228" s="1"/>
      <c r="X1228" s="1"/>
      <c r="Y1228" s="1"/>
    </row>
    <row r="1229" spans="1:25">
      <c r="A1229" s="57"/>
      <c r="B1229" s="68"/>
      <c r="C1229" s="68"/>
      <c r="D1229" s="68"/>
      <c r="E1229" s="68"/>
      <c r="F1229" s="68"/>
      <c r="G1229" s="68"/>
      <c r="H1229" s="68"/>
      <c r="I1229" s="68"/>
      <c r="J1229" s="68"/>
      <c r="K1229" s="68"/>
      <c r="L1229" s="56"/>
      <c r="M1229" s="26"/>
      <c r="N1229" s="26"/>
      <c r="O1229" s="68"/>
      <c r="P1229" s="1"/>
      <c r="Q1229" s="8"/>
      <c r="R1229" s="66"/>
      <c r="S1229" s="1"/>
      <c r="T1229" s="66"/>
      <c r="U1229" s="8"/>
      <c r="V1229" s="56"/>
      <c r="W1229" s="1"/>
      <c r="X1229" s="1"/>
      <c r="Y1229" s="1"/>
    </row>
    <row r="1230" spans="1:25">
      <c r="A1230" s="57"/>
      <c r="B1230" s="68"/>
      <c r="C1230" s="68"/>
      <c r="D1230" s="68"/>
      <c r="E1230" s="68"/>
      <c r="F1230" s="68"/>
      <c r="G1230" s="68"/>
      <c r="H1230" s="68"/>
      <c r="I1230" s="68"/>
      <c r="J1230" s="68"/>
      <c r="K1230" s="68"/>
      <c r="L1230" s="56"/>
      <c r="M1230" s="26"/>
      <c r="N1230" s="26"/>
      <c r="O1230" s="68"/>
      <c r="P1230" s="1"/>
      <c r="Q1230" s="8"/>
      <c r="R1230" s="66"/>
      <c r="S1230" s="1"/>
      <c r="T1230" s="66"/>
      <c r="U1230" s="8"/>
      <c r="V1230" s="56"/>
      <c r="W1230" s="1"/>
      <c r="X1230" s="1"/>
      <c r="Y1230" s="1"/>
    </row>
    <row r="1231" spans="1:25">
      <c r="A1231" s="57"/>
      <c r="B1231" s="68"/>
      <c r="C1231" s="68"/>
      <c r="D1231" s="68"/>
      <c r="E1231" s="68"/>
      <c r="F1231" s="68"/>
      <c r="G1231" s="68"/>
      <c r="H1231" s="68"/>
      <c r="I1231" s="68"/>
      <c r="J1231" s="68"/>
      <c r="K1231" s="68"/>
      <c r="L1231" s="56"/>
      <c r="M1231" s="26"/>
      <c r="N1231" s="26"/>
      <c r="O1231" s="68"/>
      <c r="P1231" s="1"/>
      <c r="Q1231" s="8"/>
      <c r="R1231" s="66"/>
      <c r="S1231" s="1"/>
      <c r="T1231" s="66"/>
      <c r="U1231" s="8"/>
      <c r="V1231" s="56"/>
      <c r="W1231" s="1"/>
      <c r="X1231" s="1"/>
      <c r="Y1231" s="1"/>
    </row>
    <row r="1232" spans="1:25">
      <c r="A1232" s="57"/>
      <c r="B1232" s="68"/>
      <c r="C1232" s="68"/>
      <c r="D1232" s="68"/>
      <c r="E1232" s="68"/>
      <c r="F1232" s="68"/>
      <c r="G1232" s="68"/>
      <c r="H1232" s="68"/>
      <c r="I1232" s="68"/>
      <c r="J1232" s="68"/>
      <c r="K1232" s="68"/>
      <c r="L1232" s="56"/>
      <c r="M1232" s="26"/>
      <c r="N1232" s="26"/>
      <c r="O1232" s="68"/>
      <c r="P1232" s="1"/>
      <c r="Q1232" s="8"/>
      <c r="R1232" s="66"/>
      <c r="S1232" s="1"/>
      <c r="T1232" s="66"/>
      <c r="U1232" s="8"/>
      <c r="V1232" s="56"/>
      <c r="W1232" s="1"/>
      <c r="X1232" s="1"/>
      <c r="Y1232" s="1"/>
    </row>
    <row r="1233" spans="1:25">
      <c r="A1233" s="57"/>
      <c r="B1233" s="68"/>
      <c r="C1233" s="68"/>
      <c r="D1233" s="68"/>
      <c r="E1233" s="68"/>
      <c r="F1233" s="68"/>
      <c r="G1233" s="68"/>
      <c r="H1233" s="68"/>
      <c r="I1233" s="68"/>
      <c r="J1233" s="68"/>
      <c r="K1233" s="68"/>
      <c r="L1233" s="56"/>
      <c r="M1233" s="26"/>
      <c r="N1233" s="26"/>
      <c r="O1233" s="68"/>
      <c r="P1233" s="1"/>
      <c r="Q1233" s="8"/>
      <c r="R1233" s="66"/>
      <c r="S1233" s="1"/>
      <c r="T1233" s="66"/>
      <c r="U1233" s="8"/>
      <c r="V1233" s="56"/>
      <c r="W1233" s="1"/>
      <c r="X1233" s="1"/>
      <c r="Y1233" s="1"/>
    </row>
    <row r="1234" spans="1:25">
      <c r="A1234" s="57"/>
      <c r="B1234" s="68"/>
      <c r="C1234" s="68"/>
      <c r="D1234" s="68"/>
      <c r="E1234" s="68"/>
      <c r="F1234" s="68"/>
      <c r="G1234" s="68"/>
      <c r="H1234" s="68"/>
      <c r="I1234" s="68"/>
      <c r="J1234" s="68"/>
      <c r="K1234" s="68"/>
      <c r="L1234" s="56"/>
      <c r="M1234" s="26"/>
      <c r="N1234" s="26"/>
      <c r="O1234" s="68"/>
      <c r="P1234" s="1"/>
      <c r="Q1234" s="8"/>
      <c r="R1234" s="66"/>
      <c r="S1234" s="1"/>
      <c r="T1234" s="66"/>
      <c r="U1234" s="8"/>
      <c r="V1234" s="56"/>
      <c r="W1234" s="1"/>
      <c r="X1234" s="1"/>
      <c r="Y1234" s="1"/>
    </row>
    <row r="1235" spans="1:25">
      <c r="A1235" s="57"/>
      <c r="B1235" s="68"/>
      <c r="C1235" s="68"/>
      <c r="D1235" s="68"/>
      <c r="E1235" s="68"/>
      <c r="F1235" s="68"/>
      <c r="G1235" s="68"/>
      <c r="H1235" s="68"/>
      <c r="I1235" s="68"/>
      <c r="J1235" s="68"/>
      <c r="K1235" s="68"/>
      <c r="L1235" s="56"/>
      <c r="M1235" s="26"/>
      <c r="N1235" s="26"/>
      <c r="O1235" s="68"/>
      <c r="P1235" s="1"/>
      <c r="Q1235" s="8"/>
      <c r="R1235" s="66"/>
      <c r="S1235" s="1"/>
      <c r="T1235" s="66"/>
      <c r="U1235" s="8"/>
      <c r="V1235" s="56"/>
      <c r="W1235" s="1"/>
      <c r="X1235" s="1"/>
      <c r="Y1235" s="1"/>
    </row>
    <row r="1236" spans="1:25">
      <c r="A1236" s="57"/>
      <c r="B1236" s="68"/>
      <c r="C1236" s="68"/>
      <c r="D1236" s="68"/>
      <c r="E1236" s="68"/>
      <c r="F1236" s="68"/>
      <c r="G1236" s="68"/>
      <c r="H1236" s="68"/>
      <c r="I1236" s="68"/>
      <c r="J1236" s="68"/>
      <c r="K1236" s="68"/>
      <c r="L1236" s="56"/>
      <c r="M1236" s="26"/>
      <c r="N1236" s="26"/>
      <c r="O1236" s="68"/>
      <c r="P1236" s="1"/>
      <c r="Q1236" s="8"/>
      <c r="R1236" s="66"/>
      <c r="S1236" s="1"/>
      <c r="T1236" s="66"/>
      <c r="U1236" s="8"/>
      <c r="V1236" s="56"/>
      <c r="W1236" s="1"/>
      <c r="X1236" s="1"/>
      <c r="Y1236" s="1"/>
    </row>
    <row r="1237" spans="1:25">
      <c r="A1237" s="57"/>
      <c r="B1237" s="68"/>
      <c r="C1237" s="68"/>
      <c r="D1237" s="68"/>
      <c r="E1237" s="68"/>
      <c r="F1237" s="68"/>
      <c r="G1237" s="68"/>
      <c r="H1237" s="68"/>
      <c r="I1237" s="68"/>
      <c r="J1237" s="68"/>
      <c r="K1237" s="68"/>
      <c r="L1237" s="56"/>
      <c r="M1237" s="26"/>
      <c r="N1237" s="26"/>
      <c r="O1237" s="68"/>
      <c r="P1237" s="1"/>
      <c r="Q1237" s="8"/>
      <c r="R1237" s="66"/>
      <c r="S1237" s="1"/>
      <c r="T1237" s="66"/>
      <c r="U1237" s="8"/>
      <c r="V1237" s="56"/>
      <c r="W1237" s="1"/>
      <c r="X1237" s="1"/>
      <c r="Y1237" s="1"/>
    </row>
    <row r="1238" spans="1:25">
      <c r="A1238" s="57"/>
      <c r="B1238" s="68"/>
      <c r="C1238" s="68"/>
      <c r="D1238" s="68"/>
      <c r="E1238" s="68"/>
      <c r="F1238" s="68"/>
      <c r="G1238" s="68"/>
      <c r="H1238" s="68"/>
      <c r="I1238" s="68"/>
      <c r="J1238" s="68"/>
      <c r="K1238" s="68"/>
      <c r="L1238" s="56"/>
      <c r="M1238" s="26"/>
      <c r="N1238" s="26"/>
      <c r="O1238" s="68"/>
      <c r="P1238" s="1"/>
      <c r="Q1238" s="8"/>
      <c r="R1238" s="66"/>
      <c r="S1238" s="1"/>
      <c r="T1238" s="66"/>
      <c r="U1238" s="8"/>
      <c r="V1238" s="56"/>
      <c r="W1238" s="1"/>
      <c r="X1238" s="1"/>
      <c r="Y1238" s="1"/>
    </row>
    <row r="1239" spans="1:25">
      <c r="A1239" s="57"/>
      <c r="B1239" s="68"/>
      <c r="C1239" s="68"/>
      <c r="D1239" s="68"/>
      <c r="E1239" s="68"/>
      <c r="F1239" s="68"/>
      <c r="G1239" s="68"/>
      <c r="H1239" s="68"/>
      <c r="I1239" s="68"/>
      <c r="J1239" s="68"/>
      <c r="K1239" s="68"/>
      <c r="L1239" s="56"/>
      <c r="M1239" s="26"/>
      <c r="N1239" s="26"/>
      <c r="O1239" s="68"/>
      <c r="P1239" s="1"/>
      <c r="Q1239" s="8"/>
      <c r="R1239" s="66"/>
      <c r="S1239" s="1"/>
      <c r="T1239" s="66"/>
      <c r="U1239" s="8"/>
      <c r="V1239" s="56"/>
      <c r="W1239" s="1"/>
      <c r="X1239" s="1"/>
      <c r="Y1239" s="1"/>
    </row>
    <row r="1240" spans="1:25">
      <c r="A1240" s="57"/>
      <c r="B1240" s="68"/>
      <c r="C1240" s="68"/>
      <c r="D1240" s="68"/>
      <c r="E1240" s="68"/>
      <c r="F1240" s="68"/>
      <c r="G1240" s="68"/>
      <c r="H1240" s="68"/>
      <c r="I1240" s="68"/>
      <c r="J1240" s="68"/>
      <c r="K1240" s="68"/>
      <c r="L1240" s="56"/>
      <c r="M1240" s="26"/>
      <c r="N1240" s="26"/>
      <c r="O1240" s="68"/>
      <c r="P1240" s="1"/>
      <c r="Q1240" s="8"/>
      <c r="R1240" s="66"/>
      <c r="S1240" s="1"/>
      <c r="T1240" s="66"/>
      <c r="U1240" s="8"/>
      <c r="V1240" s="56"/>
      <c r="W1240" s="1"/>
      <c r="X1240" s="1"/>
      <c r="Y1240" s="1"/>
    </row>
    <row r="1241" spans="1:25">
      <c r="A1241" s="57"/>
      <c r="B1241" s="68"/>
      <c r="C1241" s="68"/>
      <c r="D1241" s="68"/>
      <c r="E1241" s="68"/>
      <c r="F1241" s="68"/>
      <c r="G1241" s="68"/>
      <c r="H1241" s="68"/>
      <c r="I1241" s="68"/>
      <c r="J1241" s="68"/>
      <c r="K1241" s="68"/>
      <c r="L1241" s="56"/>
      <c r="M1241" s="26"/>
      <c r="N1241" s="26"/>
      <c r="O1241" s="68"/>
      <c r="P1241" s="1"/>
      <c r="Q1241" s="8"/>
      <c r="R1241" s="66"/>
      <c r="S1241" s="1"/>
      <c r="T1241" s="66"/>
      <c r="U1241" s="8"/>
      <c r="V1241" s="56"/>
      <c r="W1241" s="1"/>
      <c r="X1241" s="1"/>
      <c r="Y1241" s="1"/>
    </row>
    <row r="1242" spans="1:25">
      <c r="A1242" s="57"/>
      <c r="B1242" s="68"/>
      <c r="C1242" s="68"/>
      <c r="D1242" s="68"/>
      <c r="E1242" s="68"/>
      <c r="F1242" s="68"/>
      <c r="G1242" s="68"/>
      <c r="H1242" s="68"/>
      <c r="I1242" s="68"/>
      <c r="J1242" s="68"/>
      <c r="K1242" s="68"/>
      <c r="L1242" s="56"/>
      <c r="M1242" s="26"/>
      <c r="N1242" s="26"/>
      <c r="O1242" s="68"/>
      <c r="P1242" s="1"/>
      <c r="Q1242" s="8"/>
      <c r="R1242" s="66"/>
      <c r="S1242" s="1"/>
      <c r="T1242" s="66"/>
      <c r="U1242" s="8"/>
      <c r="V1242" s="56"/>
      <c r="W1242" s="1"/>
      <c r="X1242" s="1"/>
      <c r="Y1242" s="1"/>
    </row>
    <row r="1243" spans="1:25">
      <c r="A1243" s="57"/>
      <c r="B1243" s="68"/>
      <c r="C1243" s="68"/>
      <c r="D1243" s="68"/>
      <c r="E1243" s="68"/>
      <c r="F1243" s="68"/>
      <c r="G1243" s="68"/>
      <c r="H1243" s="68"/>
      <c r="I1243" s="68"/>
      <c r="J1243" s="68"/>
      <c r="K1243" s="68"/>
      <c r="L1243" s="56"/>
      <c r="M1243" s="26"/>
      <c r="N1243" s="26"/>
      <c r="O1243" s="68"/>
      <c r="P1243" s="1"/>
      <c r="Q1243" s="8"/>
      <c r="R1243" s="66"/>
      <c r="S1243" s="1"/>
      <c r="T1243" s="66"/>
      <c r="U1243" s="8"/>
      <c r="V1243" s="56"/>
      <c r="W1243" s="1"/>
      <c r="X1243" s="1"/>
      <c r="Y1243" s="1"/>
    </row>
    <row r="1244" spans="1:25">
      <c r="A1244" s="57"/>
      <c r="B1244" s="68"/>
      <c r="C1244" s="68"/>
      <c r="D1244" s="68"/>
      <c r="E1244" s="68"/>
      <c r="F1244" s="68"/>
      <c r="G1244" s="68"/>
      <c r="H1244" s="68"/>
      <c r="I1244" s="68"/>
      <c r="J1244" s="68"/>
      <c r="K1244" s="68"/>
      <c r="L1244" s="56"/>
      <c r="M1244" s="26"/>
      <c r="N1244" s="26"/>
      <c r="O1244" s="68"/>
      <c r="P1244" s="1"/>
      <c r="Q1244" s="8"/>
      <c r="R1244" s="66"/>
      <c r="S1244" s="1"/>
      <c r="T1244" s="66"/>
      <c r="U1244" s="8"/>
      <c r="V1244" s="56"/>
      <c r="W1244" s="1"/>
      <c r="X1244" s="1"/>
      <c r="Y1244" s="1"/>
    </row>
    <row r="1245" spans="1:25">
      <c r="A1245" s="57"/>
      <c r="B1245" s="68"/>
      <c r="C1245" s="68"/>
      <c r="D1245" s="68"/>
      <c r="E1245" s="68"/>
      <c r="F1245" s="68"/>
      <c r="G1245" s="68"/>
      <c r="H1245" s="68"/>
      <c r="I1245" s="68"/>
      <c r="J1245" s="68"/>
      <c r="K1245" s="68"/>
      <c r="L1245" s="56"/>
      <c r="M1245" s="26"/>
      <c r="N1245" s="26"/>
      <c r="O1245" s="68"/>
      <c r="P1245" s="1"/>
      <c r="Q1245" s="8"/>
      <c r="R1245" s="66"/>
      <c r="S1245" s="1"/>
      <c r="T1245" s="66"/>
      <c r="U1245" s="8"/>
      <c r="V1245" s="56"/>
      <c r="W1245" s="1"/>
      <c r="X1245" s="1"/>
      <c r="Y1245" s="1"/>
    </row>
    <row r="1246" spans="1:25">
      <c r="A1246" s="57"/>
      <c r="B1246" s="68"/>
      <c r="C1246" s="68"/>
      <c r="D1246" s="68"/>
      <c r="E1246" s="68"/>
      <c r="F1246" s="68"/>
      <c r="G1246" s="68"/>
      <c r="H1246" s="68"/>
      <c r="I1246" s="68"/>
      <c r="J1246" s="68"/>
      <c r="K1246" s="68"/>
      <c r="L1246" s="56"/>
      <c r="M1246" s="26"/>
      <c r="N1246" s="26"/>
      <c r="O1246" s="68"/>
      <c r="P1246" s="1"/>
      <c r="Q1246" s="8"/>
      <c r="R1246" s="66"/>
      <c r="S1246" s="1"/>
      <c r="T1246" s="66"/>
      <c r="U1246" s="8"/>
      <c r="V1246" s="56"/>
      <c r="W1246" s="1"/>
      <c r="X1246" s="1"/>
      <c r="Y1246" s="1"/>
    </row>
    <row r="1247" spans="1:25">
      <c r="A1247" s="57"/>
      <c r="B1247" s="68"/>
      <c r="C1247" s="68"/>
      <c r="D1247" s="68"/>
      <c r="E1247" s="68"/>
      <c r="F1247" s="68"/>
      <c r="G1247" s="68"/>
      <c r="H1247" s="68"/>
      <c r="I1247" s="68"/>
      <c r="J1247" s="68"/>
      <c r="K1247" s="68"/>
      <c r="L1247" s="56"/>
      <c r="M1247" s="26"/>
      <c r="N1247" s="26"/>
      <c r="O1247" s="68"/>
      <c r="P1247" s="1"/>
      <c r="Q1247" s="8"/>
      <c r="R1247" s="66"/>
      <c r="S1247" s="1"/>
      <c r="T1247" s="66"/>
      <c r="U1247" s="8"/>
      <c r="V1247" s="56"/>
      <c r="W1247" s="1"/>
      <c r="X1247" s="1"/>
      <c r="Y1247" s="1"/>
    </row>
    <row r="1248" spans="1:25">
      <c r="A1248" s="57"/>
      <c r="B1248" s="68"/>
      <c r="C1248" s="68"/>
      <c r="D1248" s="68"/>
      <c r="E1248" s="68"/>
      <c r="F1248" s="68"/>
      <c r="G1248" s="68"/>
      <c r="H1248" s="68"/>
      <c r="I1248" s="68"/>
      <c r="J1248" s="68"/>
      <c r="K1248" s="68"/>
      <c r="L1248" s="56"/>
      <c r="M1248" s="26"/>
      <c r="N1248" s="26"/>
      <c r="O1248" s="68"/>
      <c r="P1248" s="1"/>
      <c r="Q1248" s="8"/>
      <c r="R1248" s="66"/>
      <c r="S1248" s="1"/>
      <c r="T1248" s="66"/>
      <c r="U1248" s="8"/>
      <c r="V1248" s="56"/>
      <c r="W1248" s="1"/>
      <c r="X1248" s="1"/>
      <c r="Y1248" s="1"/>
    </row>
    <row r="1249" spans="1:25">
      <c r="A1249" s="57"/>
      <c r="B1249" s="68"/>
      <c r="C1249" s="68"/>
      <c r="D1249" s="68"/>
      <c r="E1249" s="68"/>
      <c r="F1249" s="68"/>
      <c r="G1249" s="68"/>
      <c r="H1249" s="68"/>
      <c r="I1249" s="68"/>
      <c r="J1249" s="68"/>
      <c r="K1249" s="68"/>
      <c r="L1249" s="56"/>
      <c r="M1249" s="26"/>
      <c r="N1249" s="26"/>
      <c r="O1249" s="68"/>
      <c r="P1249" s="1"/>
      <c r="Q1249" s="8"/>
      <c r="R1249" s="66"/>
      <c r="S1249" s="1"/>
      <c r="T1249" s="66"/>
      <c r="U1249" s="8"/>
      <c r="V1249" s="56"/>
      <c r="W1249" s="1"/>
      <c r="X1249" s="1"/>
      <c r="Y1249" s="1"/>
    </row>
    <row r="1250" spans="1:25">
      <c r="A1250" s="57"/>
      <c r="B1250" s="68"/>
      <c r="C1250" s="68"/>
      <c r="D1250" s="68"/>
      <c r="E1250" s="68"/>
      <c r="F1250" s="68"/>
      <c r="G1250" s="68"/>
      <c r="H1250" s="68"/>
      <c r="I1250" s="68"/>
      <c r="J1250" s="68"/>
      <c r="K1250" s="68"/>
      <c r="L1250" s="56"/>
      <c r="M1250" s="26"/>
      <c r="N1250" s="26"/>
      <c r="O1250" s="68"/>
      <c r="P1250" s="1"/>
      <c r="Q1250" s="8"/>
      <c r="R1250" s="66"/>
      <c r="S1250" s="1"/>
      <c r="T1250" s="66"/>
      <c r="U1250" s="8"/>
      <c r="V1250" s="56"/>
      <c r="W1250" s="1"/>
      <c r="X1250" s="1"/>
      <c r="Y1250" s="1"/>
    </row>
    <row r="1251" spans="1:25">
      <c r="A1251" s="57"/>
      <c r="B1251" s="68"/>
      <c r="C1251" s="68"/>
      <c r="D1251" s="68"/>
      <c r="E1251" s="68"/>
      <c r="F1251" s="68"/>
      <c r="G1251" s="68"/>
      <c r="H1251" s="68"/>
      <c r="I1251" s="68"/>
      <c r="J1251" s="68"/>
      <c r="K1251" s="68"/>
      <c r="L1251" s="56"/>
      <c r="M1251" s="26"/>
      <c r="N1251" s="26"/>
      <c r="O1251" s="68"/>
      <c r="P1251" s="1"/>
      <c r="Q1251" s="8"/>
      <c r="R1251" s="66"/>
      <c r="S1251" s="1"/>
      <c r="T1251" s="66"/>
      <c r="U1251" s="8"/>
      <c r="V1251" s="56"/>
      <c r="W1251" s="1"/>
      <c r="X1251" s="1"/>
      <c r="Y1251" s="1"/>
    </row>
    <row r="1252" spans="1:25">
      <c r="A1252" s="57"/>
      <c r="B1252" s="68"/>
      <c r="C1252" s="68"/>
      <c r="D1252" s="68"/>
      <c r="E1252" s="68"/>
      <c r="F1252" s="68"/>
      <c r="G1252" s="68"/>
      <c r="H1252" s="68"/>
      <c r="I1252" s="68"/>
      <c r="J1252" s="68"/>
      <c r="K1252" s="68"/>
      <c r="L1252" s="56"/>
      <c r="M1252" s="26"/>
      <c r="N1252" s="26"/>
      <c r="O1252" s="68"/>
      <c r="P1252" s="1"/>
      <c r="Q1252" s="8"/>
      <c r="R1252" s="66"/>
      <c r="S1252" s="1"/>
      <c r="T1252" s="66"/>
      <c r="U1252" s="8"/>
      <c r="V1252" s="56"/>
      <c r="W1252" s="1"/>
      <c r="X1252" s="1"/>
      <c r="Y1252" s="1"/>
    </row>
    <row r="1253" spans="1:25">
      <c r="A1253" s="57"/>
      <c r="B1253" s="68"/>
      <c r="C1253" s="68"/>
      <c r="D1253" s="68"/>
      <c r="E1253" s="68"/>
      <c r="F1253" s="68"/>
      <c r="G1253" s="68"/>
      <c r="H1253" s="68"/>
      <c r="I1253" s="68"/>
      <c r="J1253" s="68"/>
      <c r="K1253" s="68"/>
      <c r="L1253" s="56"/>
      <c r="M1253" s="26"/>
      <c r="N1253" s="26"/>
      <c r="O1253" s="68"/>
      <c r="P1253" s="1"/>
      <c r="Q1253" s="8"/>
      <c r="R1253" s="66"/>
      <c r="S1253" s="1"/>
      <c r="T1253" s="66"/>
      <c r="U1253" s="8"/>
      <c r="V1253" s="56"/>
      <c r="W1253" s="1"/>
      <c r="X1253" s="1"/>
      <c r="Y1253" s="1"/>
    </row>
    <row r="1254" spans="1:25">
      <c r="A1254" s="57"/>
      <c r="B1254" s="68"/>
      <c r="C1254" s="68"/>
      <c r="D1254" s="68"/>
      <c r="E1254" s="68"/>
      <c r="F1254" s="68"/>
      <c r="G1254" s="68"/>
      <c r="H1254" s="68"/>
      <c r="I1254" s="68"/>
      <c r="J1254" s="68"/>
      <c r="K1254" s="68"/>
      <c r="L1254" s="56"/>
      <c r="M1254" s="26"/>
      <c r="N1254" s="26"/>
      <c r="O1254" s="68"/>
      <c r="P1254" s="1"/>
      <c r="Q1254" s="8"/>
      <c r="R1254" s="66"/>
      <c r="S1254" s="1"/>
      <c r="T1254" s="66"/>
      <c r="U1254" s="8"/>
      <c r="V1254" s="56"/>
      <c r="W1254" s="1"/>
      <c r="X1254" s="1"/>
      <c r="Y1254" s="1"/>
    </row>
    <row r="1255" spans="1:25">
      <c r="A1255" s="57"/>
      <c r="B1255" s="68"/>
      <c r="C1255" s="68"/>
      <c r="D1255" s="68"/>
      <c r="E1255" s="68"/>
      <c r="F1255" s="68"/>
      <c r="G1255" s="68"/>
      <c r="H1255" s="68"/>
      <c r="I1255" s="68"/>
      <c r="J1255" s="68"/>
      <c r="K1255" s="68"/>
      <c r="L1255" s="56"/>
      <c r="M1255" s="26"/>
      <c r="N1255" s="26"/>
      <c r="O1255" s="68"/>
      <c r="P1255" s="1"/>
      <c r="Q1255" s="8"/>
      <c r="R1255" s="66"/>
      <c r="S1255" s="1"/>
      <c r="T1255" s="66"/>
      <c r="U1255" s="8"/>
      <c r="V1255" s="56"/>
      <c r="W1255" s="1"/>
      <c r="X1255" s="1"/>
      <c r="Y1255" s="1"/>
    </row>
    <row r="1256" spans="1:25">
      <c r="A1256" s="57"/>
      <c r="B1256" s="68"/>
      <c r="C1256" s="68"/>
      <c r="D1256" s="68"/>
      <c r="E1256" s="68"/>
      <c r="F1256" s="68"/>
      <c r="G1256" s="68"/>
      <c r="H1256" s="68"/>
      <c r="I1256" s="68"/>
      <c r="J1256" s="68"/>
      <c r="K1256" s="68"/>
      <c r="L1256" s="56"/>
      <c r="M1256" s="26"/>
      <c r="N1256" s="26"/>
      <c r="O1256" s="68"/>
      <c r="P1256" s="1"/>
      <c r="Q1256" s="8"/>
      <c r="R1256" s="66"/>
      <c r="S1256" s="1"/>
      <c r="T1256" s="66"/>
      <c r="U1256" s="8"/>
      <c r="V1256" s="56"/>
      <c r="W1256" s="1"/>
      <c r="X1256" s="1"/>
      <c r="Y1256" s="1"/>
    </row>
    <row r="1257" spans="1:25">
      <c r="A1257" s="57"/>
      <c r="B1257" s="68"/>
      <c r="C1257" s="68"/>
      <c r="D1257" s="68"/>
      <c r="E1257" s="68"/>
      <c r="F1257" s="68"/>
      <c r="G1257" s="68"/>
      <c r="H1257" s="68"/>
      <c r="I1257" s="68"/>
      <c r="J1257" s="68"/>
      <c r="K1257" s="68"/>
      <c r="L1257" s="56"/>
      <c r="M1257" s="26"/>
      <c r="N1257" s="26"/>
      <c r="O1257" s="68"/>
      <c r="P1257" s="1"/>
      <c r="Q1257" s="8"/>
      <c r="R1257" s="66"/>
      <c r="S1257" s="1"/>
      <c r="T1257" s="66"/>
      <c r="U1257" s="8"/>
      <c r="V1257" s="56"/>
      <c r="W1257" s="1"/>
      <c r="X1257" s="1"/>
      <c r="Y1257" s="1"/>
    </row>
    <row r="1258" spans="1:25">
      <c r="A1258" s="57"/>
      <c r="B1258" s="68"/>
      <c r="C1258" s="68"/>
      <c r="D1258" s="68"/>
      <c r="E1258" s="68"/>
      <c r="F1258" s="68"/>
      <c r="G1258" s="68"/>
      <c r="H1258" s="68"/>
      <c r="I1258" s="68"/>
      <c r="J1258" s="68"/>
      <c r="K1258" s="68"/>
      <c r="L1258" s="56"/>
      <c r="M1258" s="26"/>
      <c r="N1258" s="26"/>
      <c r="O1258" s="68"/>
      <c r="P1258" s="1"/>
      <c r="Q1258" s="8"/>
      <c r="R1258" s="66"/>
      <c r="S1258" s="1"/>
      <c r="T1258" s="66"/>
      <c r="U1258" s="8"/>
      <c r="V1258" s="56"/>
      <c r="W1258" s="1"/>
      <c r="X1258" s="1"/>
      <c r="Y1258" s="1"/>
    </row>
    <row r="1259" spans="1:25">
      <c r="A1259" s="57"/>
      <c r="B1259" s="68"/>
      <c r="C1259" s="68"/>
      <c r="D1259" s="68"/>
      <c r="E1259" s="68"/>
      <c r="F1259" s="68"/>
      <c r="G1259" s="68"/>
      <c r="H1259" s="68"/>
      <c r="I1259" s="68"/>
      <c r="J1259" s="68"/>
      <c r="K1259" s="68"/>
      <c r="L1259" s="56"/>
      <c r="M1259" s="26"/>
      <c r="N1259" s="26"/>
      <c r="O1259" s="68"/>
      <c r="P1259" s="1"/>
      <c r="Q1259" s="8"/>
      <c r="R1259" s="66"/>
      <c r="S1259" s="1"/>
      <c r="T1259" s="66"/>
      <c r="U1259" s="8"/>
      <c r="V1259" s="56"/>
      <c r="W1259" s="1"/>
      <c r="X1259" s="1"/>
      <c r="Y1259" s="1"/>
    </row>
    <row r="1260" spans="1:25">
      <c r="A1260" s="57"/>
      <c r="B1260" s="68"/>
      <c r="C1260" s="68"/>
      <c r="D1260" s="68"/>
      <c r="E1260" s="68"/>
      <c r="F1260" s="68"/>
      <c r="G1260" s="68"/>
      <c r="H1260" s="68"/>
      <c r="I1260" s="68"/>
      <c r="J1260" s="68"/>
      <c r="K1260" s="68"/>
      <c r="L1260" s="56"/>
      <c r="M1260" s="26"/>
      <c r="N1260" s="26"/>
      <c r="O1260" s="68"/>
      <c r="P1260" s="1"/>
      <c r="Q1260" s="8"/>
      <c r="R1260" s="66"/>
      <c r="S1260" s="1"/>
      <c r="T1260" s="66"/>
      <c r="U1260" s="8"/>
      <c r="V1260" s="56"/>
      <c r="W1260" s="1"/>
      <c r="X1260" s="1"/>
      <c r="Y1260" s="1"/>
    </row>
    <row r="1261" spans="1:25">
      <c r="A1261" s="57"/>
      <c r="B1261" s="68"/>
      <c r="C1261" s="68"/>
      <c r="D1261" s="68"/>
      <c r="E1261" s="68"/>
      <c r="F1261" s="68"/>
      <c r="G1261" s="68"/>
      <c r="H1261" s="68"/>
      <c r="I1261" s="68"/>
      <c r="J1261" s="68"/>
      <c r="K1261" s="68"/>
      <c r="L1261" s="56"/>
      <c r="M1261" s="26"/>
      <c r="N1261" s="26"/>
      <c r="O1261" s="68"/>
      <c r="P1261" s="1"/>
      <c r="Q1261" s="8"/>
      <c r="R1261" s="66"/>
      <c r="S1261" s="1"/>
      <c r="T1261" s="66"/>
      <c r="U1261" s="8"/>
      <c r="V1261" s="56"/>
      <c r="W1261" s="1"/>
      <c r="X1261" s="1"/>
      <c r="Y1261" s="1"/>
    </row>
    <row r="1262" spans="1:25">
      <c r="A1262" s="57"/>
      <c r="B1262" s="68"/>
      <c r="C1262" s="68"/>
      <c r="D1262" s="68"/>
      <c r="E1262" s="68"/>
      <c r="F1262" s="68"/>
      <c r="G1262" s="68"/>
      <c r="H1262" s="68"/>
      <c r="I1262" s="68"/>
      <c r="J1262" s="68"/>
      <c r="K1262" s="68"/>
      <c r="L1262" s="56"/>
      <c r="M1262" s="26"/>
      <c r="N1262" s="26"/>
      <c r="O1262" s="68"/>
      <c r="P1262" s="1"/>
      <c r="Q1262" s="8"/>
      <c r="R1262" s="66"/>
      <c r="S1262" s="1"/>
      <c r="T1262" s="66"/>
      <c r="U1262" s="8"/>
      <c r="V1262" s="56"/>
      <c r="W1262" s="1"/>
      <c r="X1262" s="1"/>
      <c r="Y1262" s="1"/>
    </row>
    <row r="1263" spans="1:25">
      <c r="A1263" s="57"/>
      <c r="B1263" s="68"/>
      <c r="C1263" s="68"/>
      <c r="D1263" s="68"/>
      <c r="E1263" s="68"/>
      <c r="F1263" s="68"/>
      <c r="G1263" s="68"/>
      <c r="H1263" s="68"/>
      <c r="I1263" s="68"/>
      <c r="J1263" s="68"/>
      <c r="K1263" s="68"/>
      <c r="L1263" s="56"/>
      <c r="M1263" s="26"/>
      <c r="N1263" s="26"/>
      <c r="O1263" s="68"/>
      <c r="P1263" s="1"/>
      <c r="Q1263" s="8"/>
      <c r="R1263" s="66"/>
      <c r="S1263" s="1"/>
      <c r="T1263" s="66"/>
      <c r="U1263" s="8"/>
      <c r="V1263" s="56"/>
      <c r="W1263" s="1"/>
      <c r="X1263" s="1"/>
      <c r="Y1263" s="1"/>
    </row>
    <row r="1264" spans="1:25">
      <c r="A1264" s="57"/>
      <c r="B1264" s="68"/>
      <c r="C1264" s="68"/>
      <c r="D1264" s="68"/>
      <c r="E1264" s="68"/>
      <c r="F1264" s="68"/>
      <c r="G1264" s="68"/>
      <c r="H1264" s="68"/>
      <c r="I1264" s="68"/>
      <c r="J1264" s="68"/>
      <c r="K1264" s="68"/>
      <c r="L1264" s="56"/>
      <c r="M1264" s="26"/>
      <c r="N1264" s="26"/>
      <c r="O1264" s="68"/>
      <c r="P1264" s="1"/>
      <c r="Q1264" s="8"/>
      <c r="R1264" s="66"/>
      <c r="S1264" s="1"/>
      <c r="T1264" s="66"/>
      <c r="U1264" s="8"/>
      <c r="V1264" s="56"/>
      <c r="W1264" s="1"/>
      <c r="X1264" s="1"/>
      <c r="Y1264" s="1"/>
    </row>
    <row r="1265" spans="1:25">
      <c r="A1265" s="57"/>
      <c r="B1265" s="68"/>
      <c r="C1265" s="68"/>
      <c r="D1265" s="68"/>
      <c r="E1265" s="68"/>
      <c r="F1265" s="68"/>
      <c r="G1265" s="68"/>
      <c r="H1265" s="68"/>
      <c r="I1265" s="68"/>
      <c r="J1265" s="68"/>
      <c r="K1265" s="68"/>
      <c r="L1265" s="56"/>
      <c r="M1265" s="26"/>
      <c r="N1265" s="26"/>
      <c r="O1265" s="68"/>
      <c r="P1265" s="1"/>
      <c r="Q1265" s="8"/>
      <c r="R1265" s="66"/>
      <c r="S1265" s="1"/>
      <c r="T1265" s="66"/>
      <c r="U1265" s="8"/>
      <c r="V1265" s="56"/>
      <c r="W1265" s="1"/>
      <c r="X1265" s="1"/>
      <c r="Y1265" s="1"/>
    </row>
    <row r="1266" spans="1:25">
      <c r="A1266" s="57"/>
      <c r="B1266" s="68"/>
      <c r="C1266" s="68"/>
      <c r="D1266" s="68"/>
      <c r="E1266" s="68"/>
      <c r="F1266" s="68"/>
      <c r="G1266" s="68"/>
      <c r="H1266" s="68"/>
      <c r="I1266" s="68"/>
      <c r="J1266" s="68"/>
      <c r="K1266" s="68"/>
      <c r="L1266" s="56"/>
      <c r="M1266" s="26"/>
      <c r="N1266" s="26"/>
      <c r="O1266" s="68"/>
      <c r="P1266" s="1"/>
      <c r="Q1266" s="8"/>
      <c r="R1266" s="66"/>
      <c r="S1266" s="1"/>
      <c r="T1266" s="66"/>
      <c r="U1266" s="8"/>
      <c r="V1266" s="56"/>
      <c r="W1266" s="1"/>
      <c r="X1266" s="1"/>
      <c r="Y1266" s="1"/>
    </row>
    <row r="1267" spans="1:25">
      <c r="A1267" s="57"/>
      <c r="B1267" s="68"/>
      <c r="C1267" s="68"/>
      <c r="D1267" s="68"/>
      <c r="E1267" s="68"/>
      <c r="F1267" s="68"/>
      <c r="G1267" s="68"/>
      <c r="H1267" s="68"/>
      <c r="I1267" s="68"/>
      <c r="J1267" s="68"/>
      <c r="K1267" s="68"/>
      <c r="L1267" s="56"/>
      <c r="M1267" s="26"/>
      <c r="N1267" s="26"/>
      <c r="O1267" s="68"/>
      <c r="P1267" s="1"/>
      <c r="Q1267" s="8"/>
      <c r="R1267" s="66"/>
      <c r="S1267" s="1"/>
      <c r="T1267" s="66"/>
      <c r="U1267" s="8"/>
      <c r="V1267" s="56"/>
      <c r="W1267" s="1"/>
      <c r="X1267" s="1"/>
      <c r="Y1267" s="1"/>
    </row>
    <row r="1268" spans="1:25">
      <c r="A1268" s="57"/>
      <c r="B1268" s="68"/>
      <c r="C1268" s="68"/>
      <c r="D1268" s="68"/>
      <c r="E1268" s="68"/>
      <c r="F1268" s="68"/>
      <c r="G1268" s="68"/>
      <c r="H1268" s="68"/>
      <c r="I1268" s="68"/>
      <c r="J1268" s="68"/>
      <c r="K1268" s="68"/>
      <c r="L1268" s="56"/>
      <c r="M1268" s="26"/>
      <c r="N1268" s="26"/>
      <c r="O1268" s="68"/>
      <c r="P1268" s="1"/>
      <c r="Q1268" s="8"/>
      <c r="R1268" s="66"/>
      <c r="S1268" s="1"/>
      <c r="T1268" s="66"/>
      <c r="U1268" s="8"/>
      <c r="V1268" s="56"/>
      <c r="W1268" s="1"/>
      <c r="X1268" s="1"/>
      <c r="Y1268" s="1"/>
    </row>
    <row r="1269" spans="1:25">
      <c r="A1269" s="57"/>
      <c r="B1269" s="68"/>
      <c r="C1269" s="68"/>
      <c r="D1269" s="68"/>
      <c r="E1269" s="68"/>
      <c r="F1269" s="68"/>
      <c r="G1269" s="68"/>
      <c r="H1269" s="68"/>
      <c r="I1269" s="68"/>
      <c r="J1269" s="68"/>
      <c r="K1269" s="68"/>
      <c r="L1269" s="56"/>
      <c r="M1269" s="26"/>
      <c r="N1269" s="26"/>
      <c r="O1269" s="68"/>
      <c r="P1269" s="1"/>
      <c r="Q1269" s="8"/>
      <c r="R1269" s="66"/>
      <c r="S1269" s="1"/>
      <c r="T1269" s="66"/>
      <c r="U1269" s="8"/>
      <c r="V1269" s="56"/>
      <c r="W1269" s="1"/>
      <c r="X1269" s="1"/>
      <c r="Y1269" s="1"/>
    </row>
    <row r="1270" spans="1:25">
      <c r="A1270" s="57"/>
      <c r="B1270" s="68"/>
      <c r="C1270" s="68"/>
      <c r="D1270" s="68"/>
      <c r="E1270" s="68"/>
      <c r="F1270" s="68"/>
      <c r="G1270" s="68"/>
      <c r="H1270" s="68"/>
      <c r="I1270" s="68"/>
      <c r="J1270" s="68"/>
      <c r="K1270" s="68"/>
      <c r="L1270" s="56"/>
      <c r="M1270" s="26"/>
      <c r="N1270" s="26"/>
      <c r="O1270" s="68"/>
      <c r="P1270" s="1"/>
      <c r="Q1270" s="8"/>
      <c r="R1270" s="66"/>
      <c r="S1270" s="1"/>
      <c r="T1270" s="66"/>
      <c r="U1270" s="8"/>
      <c r="V1270" s="56"/>
      <c r="W1270" s="1"/>
      <c r="X1270" s="1"/>
      <c r="Y1270" s="1"/>
    </row>
    <row r="1271" spans="1:25">
      <c r="A1271" s="57"/>
      <c r="B1271" s="68"/>
      <c r="C1271" s="68"/>
      <c r="D1271" s="68"/>
      <c r="E1271" s="68"/>
      <c r="F1271" s="68"/>
      <c r="G1271" s="68"/>
      <c r="H1271" s="68"/>
      <c r="I1271" s="68"/>
      <c r="J1271" s="68"/>
      <c r="K1271" s="68"/>
      <c r="L1271" s="56"/>
      <c r="M1271" s="26"/>
      <c r="N1271" s="26"/>
      <c r="O1271" s="68"/>
      <c r="P1271" s="1"/>
      <c r="Q1271" s="8"/>
      <c r="R1271" s="66"/>
      <c r="S1271" s="1"/>
      <c r="T1271" s="66"/>
      <c r="U1271" s="8"/>
      <c r="V1271" s="56"/>
      <c r="W1271" s="1"/>
      <c r="X1271" s="1"/>
      <c r="Y1271" s="1"/>
    </row>
    <row r="1272" spans="1:25">
      <c r="A1272" s="57"/>
      <c r="B1272" s="68"/>
      <c r="C1272" s="68"/>
      <c r="D1272" s="68"/>
      <c r="E1272" s="68"/>
      <c r="F1272" s="68"/>
      <c r="G1272" s="68"/>
      <c r="H1272" s="68"/>
      <c r="I1272" s="68"/>
      <c r="J1272" s="68"/>
      <c r="K1272" s="68"/>
      <c r="L1272" s="56"/>
      <c r="M1272" s="26"/>
      <c r="N1272" s="26"/>
      <c r="O1272" s="68"/>
      <c r="P1272" s="1"/>
      <c r="Q1272" s="8"/>
      <c r="R1272" s="66"/>
      <c r="S1272" s="1"/>
      <c r="T1272" s="66"/>
      <c r="U1272" s="8"/>
      <c r="V1272" s="56"/>
      <c r="W1272" s="1"/>
      <c r="X1272" s="1"/>
      <c r="Y1272" s="1"/>
    </row>
    <row r="1273" spans="1:25">
      <c r="A1273" s="57"/>
      <c r="B1273" s="68"/>
      <c r="C1273" s="68"/>
      <c r="D1273" s="68"/>
      <c r="E1273" s="68"/>
      <c r="F1273" s="68"/>
      <c r="G1273" s="68"/>
      <c r="H1273" s="68"/>
      <c r="I1273" s="68"/>
      <c r="J1273" s="68"/>
      <c r="K1273" s="68"/>
      <c r="L1273" s="56"/>
      <c r="M1273" s="26"/>
      <c r="N1273" s="26"/>
      <c r="O1273" s="68"/>
      <c r="P1273" s="1"/>
      <c r="Q1273" s="8"/>
      <c r="R1273" s="66"/>
      <c r="S1273" s="1"/>
      <c r="T1273" s="66"/>
      <c r="U1273" s="8"/>
      <c r="V1273" s="56"/>
      <c r="W1273" s="1"/>
      <c r="X1273" s="1"/>
      <c r="Y1273" s="1"/>
    </row>
    <row r="1274" spans="1:25">
      <c r="A1274" s="57"/>
      <c r="B1274" s="68"/>
      <c r="C1274" s="68"/>
      <c r="D1274" s="68"/>
      <c r="E1274" s="68"/>
      <c r="F1274" s="68"/>
      <c r="G1274" s="68"/>
      <c r="H1274" s="68"/>
      <c r="I1274" s="68"/>
      <c r="J1274" s="68"/>
      <c r="K1274" s="68"/>
      <c r="L1274" s="56"/>
      <c r="M1274" s="26"/>
      <c r="N1274" s="26"/>
      <c r="O1274" s="68"/>
      <c r="P1274" s="1"/>
      <c r="Q1274" s="8"/>
      <c r="R1274" s="66"/>
      <c r="S1274" s="1"/>
      <c r="T1274" s="66"/>
      <c r="U1274" s="8"/>
      <c r="V1274" s="56"/>
      <c r="W1274" s="1"/>
      <c r="X1274" s="1"/>
      <c r="Y1274" s="1"/>
    </row>
    <row r="1275" spans="1:25">
      <c r="A1275" s="57"/>
      <c r="B1275" s="68"/>
      <c r="C1275" s="68"/>
      <c r="D1275" s="68"/>
      <c r="E1275" s="68"/>
      <c r="F1275" s="68"/>
      <c r="G1275" s="68"/>
      <c r="H1275" s="68"/>
      <c r="I1275" s="68"/>
      <c r="J1275" s="68"/>
      <c r="K1275" s="68"/>
      <c r="L1275" s="56"/>
      <c r="M1275" s="26"/>
      <c r="N1275" s="26"/>
      <c r="O1275" s="68"/>
      <c r="P1275" s="1"/>
      <c r="Q1275" s="8"/>
      <c r="R1275" s="66"/>
      <c r="S1275" s="1"/>
      <c r="T1275" s="66"/>
      <c r="U1275" s="8"/>
      <c r="V1275" s="56"/>
      <c r="W1275" s="1"/>
      <c r="X1275" s="1"/>
      <c r="Y1275" s="1"/>
    </row>
    <row r="1276" spans="1:25">
      <c r="A1276" s="57"/>
      <c r="B1276" s="68"/>
      <c r="C1276" s="68"/>
      <c r="D1276" s="68"/>
      <c r="E1276" s="68"/>
      <c r="F1276" s="68"/>
      <c r="G1276" s="68"/>
      <c r="H1276" s="68"/>
      <c r="I1276" s="68"/>
      <c r="J1276" s="68"/>
      <c r="K1276" s="68"/>
      <c r="L1276" s="56"/>
      <c r="M1276" s="26"/>
      <c r="N1276" s="26"/>
      <c r="O1276" s="68"/>
      <c r="P1276" s="1"/>
      <c r="Q1276" s="8"/>
      <c r="R1276" s="66"/>
      <c r="S1276" s="1"/>
      <c r="T1276" s="66"/>
      <c r="U1276" s="8"/>
      <c r="V1276" s="56"/>
      <c r="W1276" s="1"/>
      <c r="X1276" s="1"/>
      <c r="Y1276" s="1"/>
    </row>
    <row r="1277" spans="1:25">
      <c r="A1277" s="57"/>
      <c r="B1277" s="68"/>
      <c r="C1277" s="68"/>
      <c r="D1277" s="68"/>
      <c r="E1277" s="68"/>
      <c r="F1277" s="68"/>
      <c r="G1277" s="68"/>
      <c r="H1277" s="68"/>
      <c r="I1277" s="68"/>
      <c r="J1277" s="68"/>
      <c r="K1277" s="68"/>
      <c r="L1277" s="56"/>
      <c r="M1277" s="26"/>
      <c r="N1277" s="26"/>
      <c r="O1277" s="68"/>
      <c r="P1277" s="1"/>
      <c r="Q1277" s="8"/>
      <c r="R1277" s="66"/>
      <c r="S1277" s="1"/>
      <c r="T1277" s="66"/>
      <c r="U1277" s="8"/>
      <c r="V1277" s="56"/>
      <c r="W1277" s="1"/>
      <c r="X1277" s="1"/>
      <c r="Y1277" s="1"/>
    </row>
    <row r="1278" spans="1:25">
      <c r="A1278" s="57"/>
      <c r="B1278" s="68"/>
      <c r="C1278" s="68"/>
      <c r="D1278" s="68"/>
      <c r="E1278" s="68"/>
      <c r="F1278" s="68"/>
      <c r="G1278" s="68"/>
      <c r="H1278" s="68"/>
      <c r="I1278" s="68"/>
      <c r="J1278" s="68"/>
      <c r="K1278" s="68"/>
      <c r="L1278" s="56"/>
      <c r="M1278" s="26"/>
      <c r="N1278" s="26"/>
      <c r="O1278" s="68"/>
      <c r="P1278" s="1"/>
      <c r="Q1278" s="8"/>
      <c r="R1278" s="66"/>
      <c r="S1278" s="1"/>
      <c r="T1278" s="66"/>
      <c r="U1278" s="8"/>
      <c r="V1278" s="56"/>
      <c r="W1278" s="1"/>
      <c r="X1278" s="1"/>
      <c r="Y1278" s="1"/>
    </row>
    <row r="1279" spans="1:25">
      <c r="A1279" s="57"/>
      <c r="B1279" s="68"/>
      <c r="C1279" s="68"/>
      <c r="D1279" s="68"/>
      <c r="E1279" s="68"/>
      <c r="F1279" s="68"/>
      <c r="G1279" s="68"/>
      <c r="H1279" s="68"/>
      <c r="I1279" s="68"/>
      <c r="J1279" s="68"/>
      <c r="K1279" s="68"/>
      <c r="L1279" s="56"/>
      <c r="M1279" s="26"/>
      <c r="N1279" s="26"/>
      <c r="O1279" s="68"/>
      <c r="P1279" s="1"/>
      <c r="Q1279" s="8"/>
      <c r="R1279" s="66"/>
      <c r="S1279" s="1"/>
      <c r="T1279" s="66"/>
      <c r="U1279" s="8"/>
      <c r="V1279" s="56"/>
      <c r="W1279" s="1"/>
      <c r="X1279" s="1"/>
      <c r="Y1279" s="1"/>
    </row>
    <row r="1280" spans="1:25">
      <c r="A1280" s="57"/>
      <c r="B1280" s="68"/>
      <c r="C1280" s="68"/>
      <c r="D1280" s="68"/>
      <c r="E1280" s="68"/>
      <c r="F1280" s="68"/>
      <c r="G1280" s="68"/>
      <c r="H1280" s="68"/>
      <c r="I1280" s="68"/>
      <c r="J1280" s="68"/>
      <c r="K1280" s="68"/>
      <c r="L1280" s="56"/>
      <c r="M1280" s="26"/>
      <c r="N1280" s="26"/>
      <c r="O1280" s="68"/>
      <c r="P1280" s="1"/>
      <c r="Q1280" s="8"/>
      <c r="R1280" s="66"/>
      <c r="S1280" s="1"/>
      <c r="T1280" s="66"/>
      <c r="U1280" s="8"/>
      <c r="V1280" s="56"/>
      <c r="W1280" s="1"/>
      <c r="X1280" s="1"/>
      <c r="Y1280" s="1"/>
    </row>
    <row r="1281" spans="1:25">
      <c r="A1281" s="57"/>
      <c r="B1281" s="68"/>
      <c r="C1281" s="68"/>
      <c r="D1281" s="68"/>
      <c r="E1281" s="68"/>
      <c r="F1281" s="68"/>
      <c r="G1281" s="68"/>
      <c r="H1281" s="68"/>
      <c r="I1281" s="68"/>
      <c r="J1281" s="68"/>
      <c r="K1281" s="68"/>
      <c r="L1281" s="56"/>
      <c r="M1281" s="26"/>
      <c r="N1281" s="26"/>
      <c r="O1281" s="68"/>
      <c r="P1281" s="1"/>
      <c r="Q1281" s="8"/>
      <c r="R1281" s="66"/>
      <c r="S1281" s="1"/>
      <c r="T1281" s="66"/>
      <c r="U1281" s="8"/>
      <c r="V1281" s="56"/>
      <c r="W1281" s="1"/>
      <c r="X1281" s="1"/>
      <c r="Y1281" s="1"/>
    </row>
    <row r="1282" spans="1:25">
      <c r="A1282" s="57"/>
      <c r="B1282" s="68"/>
      <c r="C1282" s="68"/>
      <c r="D1282" s="68"/>
      <c r="E1282" s="68"/>
      <c r="F1282" s="68"/>
      <c r="G1282" s="68"/>
      <c r="H1282" s="68"/>
      <c r="I1282" s="68"/>
      <c r="J1282" s="68"/>
      <c r="K1282" s="68"/>
      <c r="L1282" s="56"/>
      <c r="M1282" s="26"/>
      <c r="N1282" s="26"/>
      <c r="O1282" s="68"/>
      <c r="P1282" s="1"/>
      <c r="Q1282" s="8"/>
      <c r="R1282" s="66"/>
      <c r="S1282" s="1"/>
      <c r="T1282" s="66"/>
      <c r="U1282" s="8"/>
      <c r="V1282" s="56"/>
      <c r="W1282" s="1"/>
      <c r="X1282" s="1"/>
      <c r="Y1282" s="1"/>
    </row>
    <row r="1283" spans="1:25">
      <c r="A1283" s="57"/>
      <c r="B1283" s="68"/>
      <c r="C1283" s="68"/>
      <c r="D1283" s="68"/>
      <c r="E1283" s="68"/>
      <c r="F1283" s="68"/>
      <c r="G1283" s="68"/>
      <c r="H1283" s="68"/>
      <c r="I1283" s="68"/>
      <c r="J1283" s="68"/>
      <c r="K1283" s="68"/>
      <c r="L1283" s="56"/>
      <c r="M1283" s="26"/>
      <c r="N1283" s="26"/>
      <c r="O1283" s="68"/>
      <c r="P1283" s="1"/>
      <c r="Q1283" s="8"/>
      <c r="R1283" s="66"/>
      <c r="S1283" s="1"/>
      <c r="T1283" s="66"/>
      <c r="U1283" s="8"/>
      <c r="V1283" s="56"/>
      <c r="W1283" s="1"/>
      <c r="X1283" s="1"/>
      <c r="Y1283" s="1"/>
    </row>
    <row r="1284" spans="1:25">
      <c r="A1284" s="57"/>
      <c r="B1284" s="68"/>
      <c r="C1284" s="68"/>
      <c r="D1284" s="68"/>
      <c r="E1284" s="68"/>
      <c r="F1284" s="68"/>
      <c r="G1284" s="68"/>
      <c r="H1284" s="68"/>
      <c r="I1284" s="68"/>
      <c r="J1284" s="68"/>
      <c r="K1284" s="68"/>
      <c r="L1284" s="56"/>
      <c r="M1284" s="26"/>
      <c r="N1284" s="26"/>
      <c r="O1284" s="68"/>
      <c r="P1284" s="1"/>
      <c r="Q1284" s="8"/>
      <c r="R1284" s="66"/>
      <c r="S1284" s="1"/>
      <c r="T1284" s="66"/>
      <c r="U1284" s="8"/>
      <c r="V1284" s="56"/>
      <c r="W1284" s="1"/>
      <c r="X1284" s="1"/>
      <c r="Y1284" s="1"/>
    </row>
    <row r="1285" spans="1:25">
      <c r="A1285" s="57"/>
      <c r="B1285" s="68"/>
      <c r="C1285" s="68"/>
      <c r="D1285" s="68"/>
      <c r="E1285" s="68"/>
      <c r="F1285" s="68"/>
      <c r="G1285" s="68"/>
      <c r="H1285" s="68"/>
      <c r="I1285" s="68"/>
      <c r="J1285" s="68"/>
      <c r="K1285" s="68"/>
      <c r="L1285" s="56"/>
      <c r="M1285" s="26"/>
      <c r="N1285" s="26"/>
      <c r="O1285" s="68"/>
      <c r="P1285" s="1"/>
      <c r="Q1285" s="8"/>
      <c r="R1285" s="66"/>
      <c r="S1285" s="1"/>
      <c r="T1285" s="66"/>
      <c r="U1285" s="8"/>
      <c r="V1285" s="56"/>
      <c r="W1285" s="1"/>
      <c r="X1285" s="1"/>
      <c r="Y1285" s="1"/>
    </row>
    <row r="1286" spans="1:25">
      <c r="A1286" s="57"/>
      <c r="B1286" s="68"/>
      <c r="C1286" s="68"/>
      <c r="D1286" s="68"/>
      <c r="E1286" s="68"/>
      <c r="F1286" s="68"/>
      <c r="G1286" s="68"/>
      <c r="H1286" s="68"/>
      <c r="I1286" s="68"/>
      <c r="J1286" s="68"/>
      <c r="K1286" s="68"/>
      <c r="L1286" s="56"/>
      <c r="M1286" s="26"/>
      <c r="N1286" s="26"/>
      <c r="O1286" s="68"/>
      <c r="P1286" s="1"/>
      <c r="Q1286" s="8"/>
      <c r="R1286" s="66"/>
      <c r="S1286" s="1"/>
      <c r="T1286" s="66"/>
      <c r="U1286" s="8"/>
      <c r="V1286" s="56"/>
      <c r="W1286" s="1"/>
      <c r="X1286" s="1"/>
      <c r="Y1286" s="1"/>
    </row>
    <row r="1287" spans="1:25">
      <c r="A1287" s="57"/>
      <c r="B1287" s="68"/>
      <c r="C1287" s="68"/>
      <c r="D1287" s="68"/>
      <c r="E1287" s="68"/>
      <c r="F1287" s="68"/>
      <c r="G1287" s="68"/>
      <c r="H1287" s="68"/>
      <c r="I1287" s="68"/>
      <c r="J1287" s="68"/>
      <c r="K1287" s="68"/>
      <c r="L1287" s="56"/>
      <c r="M1287" s="26"/>
      <c r="N1287" s="26"/>
      <c r="O1287" s="68"/>
      <c r="P1287" s="1"/>
      <c r="Q1287" s="8"/>
      <c r="R1287" s="66"/>
      <c r="S1287" s="1"/>
      <c r="T1287" s="66"/>
      <c r="U1287" s="8"/>
      <c r="V1287" s="56"/>
      <c r="W1287" s="1"/>
      <c r="X1287" s="1"/>
      <c r="Y1287" s="1"/>
    </row>
    <row r="1288" spans="1:25">
      <c r="A1288" s="57"/>
      <c r="B1288" s="68"/>
      <c r="C1288" s="68"/>
      <c r="D1288" s="68"/>
      <c r="E1288" s="68"/>
      <c r="F1288" s="68"/>
      <c r="G1288" s="68"/>
      <c r="H1288" s="68"/>
      <c r="I1288" s="68"/>
      <c r="J1288" s="68"/>
      <c r="K1288" s="68"/>
      <c r="L1288" s="56"/>
      <c r="M1288" s="26"/>
      <c r="N1288" s="26"/>
      <c r="O1288" s="68"/>
      <c r="P1288" s="1"/>
      <c r="Q1288" s="8"/>
      <c r="R1288" s="66"/>
      <c r="S1288" s="1"/>
      <c r="T1288" s="66"/>
      <c r="U1288" s="8"/>
      <c r="V1288" s="56"/>
      <c r="W1288" s="1"/>
      <c r="X1288" s="1"/>
      <c r="Y1288" s="1"/>
    </row>
    <row r="1289" spans="1:25">
      <c r="A1289" s="57"/>
      <c r="B1289" s="68"/>
      <c r="C1289" s="68"/>
      <c r="D1289" s="68"/>
      <c r="E1289" s="68"/>
      <c r="F1289" s="68"/>
      <c r="G1289" s="68"/>
      <c r="H1289" s="68"/>
      <c r="I1289" s="68"/>
      <c r="J1289" s="68"/>
      <c r="K1289" s="68"/>
      <c r="L1289" s="56"/>
      <c r="M1289" s="26"/>
      <c r="N1289" s="26"/>
      <c r="O1289" s="68"/>
      <c r="P1289" s="1"/>
      <c r="Q1289" s="8"/>
      <c r="R1289" s="66"/>
      <c r="S1289" s="1"/>
      <c r="T1289" s="66"/>
      <c r="U1289" s="8"/>
      <c r="V1289" s="56"/>
      <c r="W1289" s="1"/>
      <c r="X1289" s="1"/>
      <c r="Y1289" s="1"/>
    </row>
    <row r="1290" spans="1:25">
      <c r="A1290" s="57"/>
      <c r="B1290" s="68"/>
      <c r="C1290" s="68"/>
      <c r="D1290" s="68"/>
      <c r="E1290" s="68"/>
      <c r="F1290" s="68"/>
      <c r="G1290" s="68"/>
      <c r="H1290" s="68"/>
      <c r="I1290" s="68"/>
      <c r="J1290" s="68"/>
      <c r="K1290" s="68"/>
      <c r="L1290" s="56"/>
      <c r="M1290" s="26"/>
      <c r="N1290" s="26"/>
      <c r="O1290" s="68"/>
      <c r="P1290" s="1"/>
      <c r="Q1290" s="8"/>
      <c r="R1290" s="66"/>
      <c r="S1290" s="1"/>
      <c r="T1290" s="66"/>
      <c r="U1290" s="8"/>
      <c r="V1290" s="56"/>
      <c r="W1290" s="1"/>
      <c r="X1290" s="1"/>
      <c r="Y1290" s="1"/>
    </row>
    <row r="1291" spans="1:25">
      <c r="A1291" s="57"/>
      <c r="B1291" s="68"/>
      <c r="C1291" s="68"/>
      <c r="D1291" s="68"/>
      <c r="E1291" s="68"/>
      <c r="F1291" s="68"/>
      <c r="G1291" s="68"/>
      <c r="H1291" s="68"/>
      <c r="I1291" s="68"/>
      <c r="J1291" s="68"/>
      <c r="K1291" s="68"/>
      <c r="L1291" s="56"/>
      <c r="M1291" s="26"/>
      <c r="N1291" s="26"/>
      <c r="O1291" s="68"/>
      <c r="P1291" s="1"/>
      <c r="Q1291" s="8"/>
      <c r="R1291" s="66"/>
      <c r="S1291" s="1"/>
      <c r="T1291" s="66"/>
      <c r="U1291" s="8"/>
      <c r="V1291" s="56"/>
      <c r="W1291" s="1"/>
      <c r="X1291" s="1"/>
      <c r="Y1291" s="1"/>
    </row>
    <row r="1292" spans="1:25">
      <c r="A1292" s="57"/>
      <c r="B1292" s="68"/>
      <c r="C1292" s="68"/>
      <c r="D1292" s="68"/>
      <c r="E1292" s="68"/>
      <c r="F1292" s="68"/>
      <c r="G1292" s="68"/>
      <c r="H1292" s="68"/>
      <c r="I1292" s="68"/>
      <c r="J1292" s="68"/>
      <c r="K1292" s="68"/>
      <c r="L1292" s="56"/>
      <c r="M1292" s="26"/>
      <c r="N1292" s="26"/>
      <c r="O1292" s="68"/>
      <c r="P1292" s="1"/>
      <c r="Q1292" s="8"/>
      <c r="R1292" s="66"/>
      <c r="S1292" s="1"/>
      <c r="T1292" s="66"/>
      <c r="U1292" s="8"/>
      <c r="V1292" s="56"/>
      <c r="W1292" s="1"/>
      <c r="X1292" s="1"/>
      <c r="Y1292" s="1"/>
    </row>
    <row r="1293" spans="1:25">
      <c r="A1293" s="57"/>
      <c r="B1293" s="68"/>
      <c r="C1293" s="68"/>
      <c r="D1293" s="68"/>
      <c r="E1293" s="68"/>
      <c r="F1293" s="68"/>
      <c r="G1293" s="68"/>
      <c r="H1293" s="68"/>
      <c r="I1293" s="68"/>
      <c r="J1293" s="68"/>
      <c r="K1293" s="68"/>
      <c r="L1293" s="56"/>
      <c r="M1293" s="26"/>
      <c r="N1293" s="26"/>
      <c r="O1293" s="68"/>
      <c r="P1293" s="1"/>
      <c r="Q1293" s="8"/>
      <c r="R1293" s="66"/>
      <c r="S1293" s="1"/>
      <c r="T1293" s="66"/>
      <c r="U1293" s="8"/>
      <c r="V1293" s="56"/>
      <c r="W1293" s="1"/>
      <c r="X1293" s="1"/>
      <c r="Y1293" s="1"/>
    </row>
    <row r="1294" spans="1:25">
      <c r="A1294" s="57"/>
      <c r="B1294" s="68"/>
      <c r="C1294" s="68"/>
      <c r="D1294" s="68"/>
      <c r="E1294" s="68"/>
      <c r="F1294" s="68"/>
      <c r="G1294" s="68"/>
      <c r="H1294" s="68"/>
      <c r="I1294" s="68"/>
      <c r="J1294" s="68"/>
      <c r="K1294" s="68"/>
      <c r="L1294" s="56"/>
      <c r="M1294" s="26"/>
      <c r="N1294" s="26"/>
      <c r="O1294" s="68"/>
      <c r="P1294" s="1"/>
      <c r="Q1294" s="8"/>
      <c r="R1294" s="66"/>
      <c r="S1294" s="1"/>
      <c r="T1294" s="66"/>
      <c r="U1294" s="8"/>
      <c r="V1294" s="56"/>
      <c r="W1294" s="1"/>
      <c r="X1294" s="1"/>
      <c r="Y1294" s="1"/>
    </row>
    <row r="1295" spans="1:25">
      <c r="A1295" s="57"/>
      <c r="B1295" s="68"/>
      <c r="C1295" s="68"/>
      <c r="D1295" s="68"/>
      <c r="E1295" s="68"/>
      <c r="F1295" s="68"/>
      <c r="G1295" s="68"/>
      <c r="H1295" s="68"/>
      <c r="I1295" s="68"/>
      <c r="J1295" s="68"/>
      <c r="K1295" s="68"/>
      <c r="L1295" s="56"/>
      <c r="M1295" s="26"/>
      <c r="N1295" s="26"/>
      <c r="O1295" s="68"/>
      <c r="P1295" s="1"/>
      <c r="Q1295" s="8"/>
      <c r="R1295" s="66"/>
      <c r="S1295" s="1"/>
      <c r="T1295" s="66"/>
      <c r="U1295" s="8"/>
      <c r="V1295" s="56"/>
      <c r="W1295" s="1"/>
      <c r="X1295" s="1"/>
      <c r="Y1295" s="1"/>
    </row>
    <row r="1296" spans="1:25">
      <c r="A1296" s="57"/>
      <c r="B1296" s="68"/>
      <c r="C1296" s="68"/>
      <c r="D1296" s="68"/>
      <c r="E1296" s="68"/>
      <c r="F1296" s="68"/>
      <c r="G1296" s="68"/>
      <c r="H1296" s="68"/>
      <c r="I1296" s="68"/>
      <c r="J1296" s="68"/>
      <c r="K1296" s="68"/>
      <c r="L1296" s="56"/>
      <c r="M1296" s="26"/>
      <c r="N1296" s="26"/>
      <c r="O1296" s="68"/>
      <c r="P1296" s="1"/>
      <c r="Q1296" s="8"/>
      <c r="R1296" s="66"/>
      <c r="S1296" s="1"/>
      <c r="T1296" s="66"/>
      <c r="U1296" s="8"/>
      <c r="V1296" s="56"/>
      <c r="W1296" s="1"/>
      <c r="X1296" s="1"/>
      <c r="Y1296" s="1"/>
    </row>
    <row r="1297" spans="1:25">
      <c r="A1297" s="57"/>
      <c r="B1297" s="68"/>
      <c r="C1297" s="68"/>
      <c r="D1297" s="68"/>
      <c r="E1297" s="68"/>
      <c r="F1297" s="68"/>
      <c r="G1297" s="68"/>
      <c r="H1297" s="68"/>
      <c r="I1297" s="68"/>
      <c r="J1297" s="68"/>
      <c r="K1297" s="68"/>
      <c r="L1297" s="56"/>
      <c r="M1297" s="26"/>
      <c r="N1297" s="26"/>
      <c r="O1297" s="68"/>
      <c r="P1297" s="1"/>
      <c r="Q1297" s="8"/>
      <c r="R1297" s="66"/>
      <c r="S1297" s="1"/>
      <c r="T1297" s="66"/>
      <c r="U1297" s="8"/>
      <c r="V1297" s="56"/>
      <c r="W1297" s="1"/>
      <c r="X1297" s="1"/>
      <c r="Y1297" s="1"/>
    </row>
    <row r="1298" spans="1:25">
      <c r="A1298" s="57"/>
      <c r="B1298" s="68"/>
      <c r="C1298" s="68"/>
      <c r="D1298" s="68"/>
      <c r="E1298" s="68"/>
      <c r="F1298" s="68"/>
      <c r="G1298" s="68"/>
      <c r="H1298" s="68"/>
      <c r="I1298" s="68"/>
      <c r="J1298" s="68"/>
      <c r="K1298" s="68"/>
      <c r="L1298" s="56"/>
      <c r="M1298" s="26"/>
      <c r="N1298" s="26"/>
      <c r="O1298" s="68"/>
      <c r="P1298" s="1"/>
      <c r="Q1298" s="8"/>
      <c r="R1298" s="66"/>
      <c r="S1298" s="1"/>
      <c r="T1298" s="66"/>
      <c r="U1298" s="8"/>
      <c r="V1298" s="56"/>
      <c r="W1298" s="1"/>
      <c r="X1298" s="1"/>
      <c r="Y1298" s="1"/>
    </row>
    <row r="1299" spans="1:25">
      <c r="A1299" s="57"/>
      <c r="B1299" s="68"/>
      <c r="C1299" s="68"/>
      <c r="D1299" s="68"/>
      <c r="E1299" s="68"/>
      <c r="F1299" s="68"/>
      <c r="G1299" s="68"/>
      <c r="H1299" s="68"/>
      <c r="I1299" s="68"/>
      <c r="J1299" s="68"/>
      <c r="K1299" s="68"/>
      <c r="L1299" s="56"/>
      <c r="M1299" s="26"/>
      <c r="N1299" s="26"/>
      <c r="O1299" s="68"/>
      <c r="P1299" s="1"/>
      <c r="Q1299" s="8"/>
      <c r="R1299" s="66"/>
      <c r="S1299" s="1"/>
      <c r="T1299" s="66"/>
      <c r="U1299" s="8"/>
      <c r="V1299" s="56"/>
      <c r="W1299" s="1"/>
      <c r="X1299" s="1"/>
      <c r="Y1299" s="1"/>
    </row>
    <row r="1300" spans="1:25">
      <c r="A1300" s="57"/>
      <c r="B1300" s="68"/>
      <c r="C1300" s="68"/>
      <c r="D1300" s="68"/>
      <c r="E1300" s="68"/>
      <c r="F1300" s="68"/>
      <c r="G1300" s="68"/>
      <c r="H1300" s="68"/>
      <c r="I1300" s="68"/>
      <c r="J1300" s="68"/>
      <c r="K1300" s="68"/>
      <c r="L1300" s="56"/>
      <c r="M1300" s="26"/>
      <c r="N1300" s="26"/>
      <c r="O1300" s="68"/>
      <c r="P1300" s="1"/>
      <c r="Q1300" s="8"/>
      <c r="R1300" s="66"/>
      <c r="S1300" s="1"/>
      <c r="T1300" s="66"/>
      <c r="U1300" s="8"/>
      <c r="V1300" s="56"/>
      <c r="W1300" s="1"/>
      <c r="X1300" s="1"/>
      <c r="Y1300" s="1"/>
    </row>
    <row r="1301" spans="1:25">
      <c r="A1301" s="57"/>
      <c r="B1301" s="68"/>
      <c r="C1301" s="68"/>
      <c r="D1301" s="68"/>
      <c r="E1301" s="68"/>
      <c r="F1301" s="68"/>
      <c r="G1301" s="68"/>
      <c r="H1301" s="68"/>
      <c r="I1301" s="68"/>
      <c r="J1301" s="68"/>
      <c r="K1301" s="68"/>
      <c r="L1301" s="56"/>
      <c r="M1301" s="26"/>
      <c r="N1301" s="26"/>
      <c r="O1301" s="68"/>
      <c r="P1301" s="1"/>
      <c r="Q1301" s="8"/>
      <c r="R1301" s="66"/>
      <c r="S1301" s="1"/>
      <c r="T1301" s="66"/>
      <c r="U1301" s="8"/>
      <c r="V1301" s="56"/>
      <c r="W1301" s="1"/>
      <c r="X1301" s="1"/>
      <c r="Y1301" s="1"/>
    </row>
    <row r="1302" spans="1:25">
      <c r="A1302" s="57"/>
      <c r="B1302" s="68"/>
      <c r="C1302" s="68"/>
      <c r="D1302" s="68"/>
      <c r="E1302" s="68"/>
      <c r="F1302" s="68"/>
      <c r="G1302" s="68"/>
      <c r="H1302" s="68"/>
      <c r="I1302" s="68"/>
      <c r="J1302" s="68"/>
      <c r="K1302" s="68"/>
      <c r="L1302" s="56"/>
      <c r="M1302" s="26"/>
      <c r="N1302" s="26"/>
      <c r="O1302" s="68"/>
      <c r="P1302" s="1"/>
      <c r="Q1302" s="8"/>
      <c r="R1302" s="66"/>
      <c r="S1302" s="1"/>
      <c r="T1302" s="66"/>
      <c r="U1302" s="8"/>
      <c r="V1302" s="56"/>
      <c r="W1302" s="1"/>
      <c r="X1302" s="1"/>
      <c r="Y1302" s="1"/>
    </row>
    <row r="1303" spans="1:25">
      <c r="A1303" s="57"/>
      <c r="B1303" s="68"/>
      <c r="C1303" s="68"/>
      <c r="D1303" s="68"/>
      <c r="E1303" s="68"/>
      <c r="F1303" s="68"/>
      <c r="G1303" s="68"/>
      <c r="H1303" s="68"/>
      <c r="I1303" s="68"/>
      <c r="J1303" s="68"/>
      <c r="K1303" s="68"/>
      <c r="L1303" s="56"/>
      <c r="M1303" s="26"/>
      <c r="N1303" s="26"/>
      <c r="O1303" s="68"/>
      <c r="P1303" s="1"/>
      <c r="Q1303" s="8"/>
      <c r="R1303" s="66"/>
      <c r="S1303" s="1"/>
      <c r="T1303" s="66"/>
      <c r="U1303" s="8"/>
      <c r="V1303" s="56"/>
      <c r="W1303" s="1"/>
      <c r="X1303" s="1"/>
      <c r="Y1303" s="1"/>
    </row>
    <row r="1304" spans="1:25">
      <c r="A1304" s="57"/>
      <c r="B1304" s="68"/>
      <c r="C1304" s="68"/>
      <c r="D1304" s="68"/>
      <c r="E1304" s="68"/>
      <c r="F1304" s="68"/>
      <c r="G1304" s="68"/>
      <c r="H1304" s="68"/>
      <c r="I1304" s="68"/>
      <c r="J1304" s="68"/>
      <c r="K1304" s="68"/>
      <c r="L1304" s="56"/>
      <c r="M1304" s="26"/>
      <c r="N1304" s="26"/>
      <c r="O1304" s="68"/>
      <c r="P1304" s="1"/>
      <c r="Q1304" s="8"/>
      <c r="R1304" s="66"/>
      <c r="S1304" s="1"/>
      <c r="T1304" s="66"/>
      <c r="U1304" s="8"/>
      <c r="V1304" s="56"/>
      <c r="W1304" s="1"/>
      <c r="X1304" s="1"/>
      <c r="Y1304" s="1"/>
    </row>
    <row r="1305" spans="1:25">
      <c r="A1305" s="57"/>
      <c r="B1305" s="68"/>
      <c r="C1305" s="68"/>
      <c r="D1305" s="68"/>
      <c r="E1305" s="68"/>
      <c r="F1305" s="68"/>
      <c r="G1305" s="68"/>
      <c r="H1305" s="68"/>
      <c r="I1305" s="68"/>
      <c r="J1305" s="68"/>
      <c r="K1305" s="68"/>
      <c r="L1305" s="56"/>
      <c r="M1305" s="26"/>
      <c r="N1305" s="26"/>
      <c r="O1305" s="68"/>
      <c r="P1305" s="1"/>
      <c r="Q1305" s="8"/>
      <c r="R1305" s="66"/>
      <c r="S1305" s="1"/>
      <c r="T1305" s="66"/>
      <c r="U1305" s="8"/>
      <c r="V1305" s="56"/>
      <c r="W1305" s="1"/>
      <c r="X1305" s="1"/>
      <c r="Y1305" s="1"/>
    </row>
    <row r="1306" spans="1:25">
      <c r="A1306" s="57"/>
      <c r="B1306" s="68"/>
      <c r="C1306" s="68"/>
      <c r="D1306" s="68"/>
      <c r="E1306" s="68"/>
      <c r="F1306" s="68"/>
      <c r="G1306" s="68"/>
      <c r="H1306" s="68"/>
      <c r="I1306" s="68"/>
      <c r="J1306" s="68"/>
      <c r="K1306" s="68"/>
      <c r="L1306" s="56"/>
      <c r="M1306" s="26"/>
      <c r="N1306" s="26"/>
      <c r="O1306" s="68"/>
      <c r="P1306" s="1"/>
      <c r="Q1306" s="8"/>
      <c r="R1306" s="66"/>
      <c r="S1306" s="1"/>
      <c r="T1306" s="66"/>
      <c r="U1306" s="8"/>
      <c r="V1306" s="56"/>
      <c r="W1306" s="1"/>
      <c r="X1306" s="1"/>
      <c r="Y1306" s="1"/>
    </row>
    <row r="1307" spans="1:25">
      <c r="A1307" s="57"/>
      <c r="B1307" s="68"/>
      <c r="C1307" s="68"/>
      <c r="D1307" s="68"/>
      <c r="E1307" s="68"/>
      <c r="F1307" s="68"/>
      <c r="G1307" s="68"/>
      <c r="H1307" s="68"/>
      <c r="I1307" s="68"/>
      <c r="J1307" s="68"/>
      <c r="K1307" s="68"/>
      <c r="L1307" s="56"/>
      <c r="M1307" s="26"/>
      <c r="N1307" s="26"/>
      <c r="O1307" s="68"/>
      <c r="P1307" s="1"/>
      <c r="Q1307" s="8"/>
      <c r="R1307" s="66"/>
      <c r="S1307" s="1"/>
      <c r="T1307" s="66"/>
      <c r="U1307" s="8"/>
      <c r="V1307" s="56"/>
      <c r="W1307" s="1"/>
      <c r="X1307" s="1"/>
      <c r="Y1307" s="1"/>
    </row>
    <row r="1308" spans="1:25">
      <c r="A1308" s="57"/>
      <c r="B1308" s="68"/>
      <c r="C1308" s="68"/>
      <c r="D1308" s="68"/>
      <c r="E1308" s="68"/>
      <c r="F1308" s="68"/>
      <c r="G1308" s="68"/>
      <c r="H1308" s="68"/>
      <c r="I1308" s="68"/>
      <c r="J1308" s="68"/>
      <c r="K1308" s="68"/>
      <c r="L1308" s="56"/>
      <c r="M1308" s="26"/>
      <c r="N1308" s="26"/>
      <c r="O1308" s="68"/>
      <c r="P1308" s="1"/>
      <c r="Q1308" s="8"/>
      <c r="R1308" s="66"/>
      <c r="S1308" s="1"/>
      <c r="T1308" s="66"/>
      <c r="U1308" s="8"/>
      <c r="V1308" s="56"/>
      <c r="W1308" s="1"/>
      <c r="X1308" s="1"/>
      <c r="Y1308" s="1"/>
    </row>
    <row r="1309" spans="1:25">
      <c r="A1309" s="57"/>
      <c r="B1309" s="68"/>
      <c r="C1309" s="68"/>
      <c r="D1309" s="68"/>
      <c r="E1309" s="68"/>
      <c r="F1309" s="68"/>
      <c r="G1309" s="68"/>
      <c r="H1309" s="68"/>
      <c r="I1309" s="68"/>
      <c r="J1309" s="68"/>
      <c r="K1309" s="68"/>
      <c r="L1309" s="56"/>
      <c r="M1309" s="26"/>
      <c r="N1309" s="26"/>
      <c r="O1309" s="68"/>
      <c r="P1309" s="1"/>
      <c r="Q1309" s="8"/>
      <c r="R1309" s="66"/>
      <c r="S1309" s="1"/>
      <c r="T1309" s="66"/>
      <c r="U1309" s="8"/>
      <c r="V1309" s="56"/>
      <c r="W1309" s="1"/>
      <c r="X1309" s="1"/>
      <c r="Y1309" s="1"/>
    </row>
    <row r="1310" spans="1:25">
      <c r="A1310" s="57"/>
      <c r="B1310" s="68"/>
      <c r="C1310" s="68"/>
      <c r="D1310" s="68"/>
      <c r="E1310" s="68"/>
      <c r="F1310" s="68"/>
      <c r="G1310" s="68"/>
      <c r="H1310" s="68"/>
      <c r="I1310" s="68"/>
      <c r="J1310" s="68"/>
      <c r="K1310" s="68"/>
      <c r="L1310" s="56"/>
      <c r="M1310" s="26"/>
      <c r="N1310" s="26"/>
      <c r="O1310" s="68"/>
      <c r="P1310" s="1"/>
      <c r="Q1310" s="8"/>
      <c r="R1310" s="66"/>
      <c r="S1310" s="1"/>
      <c r="T1310" s="66"/>
      <c r="U1310" s="8"/>
      <c r="V1310" s="56"/>
      <c r="W1310" s="1"/>
      <c r="X1310" s="1"/>
      <c r="Y1310" s="1"/>
    </row>
    <row r="1311" spans="1:25">
      <c r="A1311" s="57"/>
      <c r="B1311" s="68"/>
      <c r="C1311" s="68"/>
      <c r="D1311" s="68"/>
      <c r="E1311" s="68"/>
      <c r="F1311" s="68"/>
      <c r="G1311" s="68"/>
      <c r="H1311" s="68"/>
      <c r="I1311" s="68"/>
      <c r="J1311" s="68"/>
      <c r="K1311" s="68"/>
      <c r="L1311" s="56"/>
      <c r="M1311" s="26"/>
      <c r="N1311" s="26"/>
      <c r="O1311" s="68"/>
      <c r="P1311" s="1"/>
      <c r="Q1311" s="8"/>
      <c r="R1311" s="66"/>
      <c r="S1311" s="1"/>
      <c r="T1311" s="66"/>
      <c r="U1311" s="8"/>
      <c r="V1311" s="56"/>
      <c r="W1311" s="1"/>
      <c r="X1311" s="1"/>
      <c r="Y1311" s="1"/>
    </row>
    <row r="1312" spans="1:25">
      <c r="A1312" s="57"/>
      <c r="B1312" s="68"/>
      <c r="C1312" s="68"/>
      <c r="D1312" s="68"/>
      <c r="E1312" s="68"/>
      <c r="F1312" s="68"/>
      <c r="G1312" s="68"/>
      <c r="H1312" s="68"/>
      <c r="I1312" s="68"/>
      <c r="J1312" s="68"/>
      <c r="K1312" s="68"/>
      <c r="L1312" s="56"/>
      <c r="M1312" s="26"/>
      <c r="N1312" s="26"/>
      <c r="O1312" s="68"/>
      <c r="P1312" s="1"/>
      <c r="Q1312" s="8"/>
      <c r="R1312" s="66"/>
      <c r="S1312" s="1"/>
      <c r="T1312" s="66"/>
      <c r="U1312" s="8"/>
      <c r="V1312" s="56"/>
      <c r="W1312" s="1"/>
      <c r="X1312" s="1"/>
      <c r="Y1312" s="1"/>
    </row>
    <row r="1313" spans="1:25">
      <c r="A1313" s="57"/>
      <c r="B1313" s="68"/>
      <c r="C1313" s="68"/>
      <c r="D1313" s="68"/>
      <c r="E1313" s="68"/>
      <c r="F1313" s="68"/>
      <c r="G1313" s="68"/>
      <c r="H1313" s="68"/>
      <c r="I1313" s="68"/>
      <c r="J1313" s="68"/>
      <c r="K1313" s="68"/>
      <c r="L1313" s="56"/>
      <c r="M1313" s="26"/>
      <c r="N1313" s="26"/>
      <c r="O1313" s="68"/>
      <c r="P1313" s="1"/>
      <c r="Q1313" s="8"/>
      <c r="R1313" s="66"/>
      <c r="S1313" s="1"/>
      <c r="T1313" s="66"/>
      <c r="U1313" s="8"/>
      <c r="V1313" s="56"/>
      <c r="W1313" s="1"/>
      <c r="X1313" s="1"/>
      <c r="Y1313" s="1"/>
    </row>
    <row r="1314" spans="1:25">
      <c r="A1314" s="57"/>
      <c r="B1314" s="68"/>
      <c r="C1314" s="68"/>
      <c r="D1314" s="68"/>
      <c r="E1314" s="68"/>
      <c r="F1314" s="68"/>
      <c r="G1314" s="68"/>
      <c r="H1314" s="68"/>
      <c r="I1314" s="68"/>
      <c r="J1314" s="68"/>
      <c r="K1314" s="68"/>
      <c r="L1314" s="56"/>
      <c r="M1314" s="26"/>
      <c r="N1314" s="26"/>
      <c r="O1314" s="68"/>
      <c r="P1314" s="1"/>
      <c r="Q1314" s="8"/>
      <c r="R1314" s="66"/>
      <c r="S1314" s="1"/>
      <c r="T1314" s="66"/>
      <c r="U1314" s="8"/>
      <c r="V1314" s="56"/>
      <c r="W1314" s="1"/>
      <c r="X1314" s="1"/>
      <c r="Y1314" s="1"/>
    </row>
    <row r="1315" spans="1:25">
      <c r="A1315" s="57"/>
      <c r="B1315" s="68"/>
      <c r="C1315" s="68"/>
      <c r="D1315" s="68"/>
      <c r="E1315" s="68"/>
      <c r="F1315" s="68"/>
      <c r="G1315" s="68"/>
      <c r="H1315" s="68"/>
      <c r="I1315" s="68"/>
      <c r="J1315" s="68"/>
      <c r="K1315" s="68"/>
      <c r="L1315" s="56"/>
      <c r="M1315" s="26"/>
      <c r="N1315" s="26"/>
      <c r="O1315" s="68"/>
      <c r="P1315" s="1"/>
      <c r="Q1315" s="8"/>
      <c r="R1315" s="66"/>
      <c r="S1315" s="1"/>
      <c r="T1315" s="66"/>
      <c r="U1315" s="8"/>
      <c r="V1315" s="56"/>
      <c r="W1315" s="1"/>
      <c r="X1315" s="1"/>
      <c r="Y1315" s="1"/>
    </row>
    <row r="1316" spans="1:25">
      <c r="A1316" s="57"/>
      <c r="B1316" s="68"/>
      <c r="C1316" s="68"/>
      <c r="D1316" s="68"/>
      <c r="E1316" s="68"/>
      <c r="F1316" s="68"/>
      <c r="G1316" s="68"/>
      <c r="H1316" s="68"/>
      <c r="I1316" s="68"/>
      <c r="J1316" s="68"/>
      <c r="K1316" s="68"/>
      <c r="L1316" s="56"/>
      <c r="M1316" s="26"/>
      <c r="N1316" s="26"/>
      <c r="O1316" s="68"/>
      <c r="P1316" s="1"/>
      <c r="Q1316" s="8"/>
      <c r="R1316" s="66"/>
      <c r="S1316" s="1"/>
      <c r="T1316" s="66"/>
      <c r="U1316" s="8"/>
      <c r="V1316" s="56"/>
      <c r="W1316" s="1"/>
      <c r="X1316" s="1"/>
      <c r="Y1316" s="1"/>
    </row>
    <row r="1317" spans="1:25">
      <c r="A1317" s="57"/>
      <c r="B1317" s="68"/>
      <c r="C1317" s="68"/>
      <c r="D1317" s="68"/>
      <c r="E1317" s="68"/>
      <c r="F1317" s="68"/>
      <c r="G1317" s="68"/>
      <c r="H1317" s="68"/>
      <c r="I1317" s="68"/>
      <c r="J1317" s="68"/>
      <c r="K1317" s="68"/>
      <c r="L1317" s="56"/>
      <c r="M1317" s="26"/>
      <c r="N1317" s="26"/>
      <c r="O1317" s="68"/>
      <c r="P1317" s="1"/>
      <c r="Q1317" s="8"/>
      <c r="R1317" s="66"/>
      <c r="S1317" s="1"/>
      <c r="T1317" s="66"/>
      <c r="U1317" s="8"/>
      <c r="V1317" s="56"/>
      <c r="W1317" s="1"/>
      <c r="X1317" s="1"/>
      <c r="Y1317" s="1"/>
    </row>
    <row r="1318" spans="1:25">
      <c r="A1318" s="57"/>
      <c r="B1318" s="68"/>
      <c r="C1318" s="68"/>
      <c r="D1318" s="68"/>
      <c r="E1318" s="68"/>
      <c r="F1318" s="68"/>
      <c r="G1318" s="68"/>
      <c r="H1318" s="68"/>
      <c r="I1318" s="68"/>
      <c r="J1318" s="68"/>
      <c r="K1318" s="68"/>
      <c r="L1318" s="56"/>
      <c r="M1318" s="26"/>
      <c r="N1318" s="26"/>
      <c r="O1318" s="68"/>
      <c r="P1318" s="1"/>
      <c r="Q1318" s="8"/>
      <c r="R1318" s="66"/>
      <c r="S1318" s="1"/>
      <c r="T1318" s="66"/>
      <c r="U1318" s="8"/>
      <c r="V1318" s="56"/>
      <c r="W1318" s="1"/>
      <c r="X1318" s="1"/>
      <c r="Y1318" s="1"/>
    </row>
    <row r="1319" spans="1:25">
      <c r="A1319" s="57"/>
      <c r="B1319" s="68"/>
      <c r="C1319" s="68"/>
      <c r="D1319" s="68"/>
      <c r="E1319" s="68"/>
      <c r="F1319" s="68"/>
      <c r="G1319" s="68"/>
      <c r="H1319" s="68"/>
      <c r="I1319" s="68"/>
      <c r="J1319" s="68"/>
      <c r="K1319" s="68"/>
      <c r="L1319" s="56"/>
      <c r="M1319" s="26"/>
      <c r="N1319" s="26"/>
      <c r="O1319" s="68"/>
      <c r="P1319" s="1"/>
      <c r="Q1319" s="8"/>
      <c r="R1319" s="66"/>
      <c r="S1319" s="1"/>
      <c r="T1319" s="66"/>
      <c r="U1319" s="8"/>
      <c r="V1319" s="56"/>
      <c r="W1319" s="1"/>
      <c r="X1319" s="1"/>
      <c r="Y1319" s="1"/>
    </row>
    <row r="1320" spans="1:25">
      <c r="A1320" s="57"/>
      <c r="B1320" s="68"/>
      <c r="C1320" s="68"/>
      <c r="D1320" s="68"/>
      <c r="E1320" s="68"/>
      <c r="F1320" s="68"/>
      <c r="G1320" s="68"/>
      <c r="H1320" s="68"/>
      <c r="I1320" s="68"/>
      <c r="J1320" s="68"/>
      <c r="K1320" s="68"/>
      <c r="L1320" s="56"/>
      <c r="M1320" s="26"/>
      <c r="N1320" s="26"/>
      <c r="O1320" s="68"/>
      <c r="P1320" s="1"/>
      <c r="Q1320" s="8"/>
      <c r="R1320" s="66"/>
      <c r="S1320" s="1"/>
      <c r="T1320" s="66"/>
      <c r="U1320" s="8"/>
      <c r="V1320" s="56"/>
      <c r="W1320" s="1"/>
      <c r="X1320" s="1"/>
      <c r="Y1320" s="1"/>
    </row>
    <row r="1321" spans="1:25">
      <c r="A1321" s="57"/>
      <c r="B1321" s="68"/>
      <c r="C1321" s="68"/>
      <c r="D1321" s="68"/>
      <c r="E1321" s="68"/>
      <c r="F1321" s="68"/>
      <c r="G1321" s="68"/>
      <c r="H1321" s="68"/>
      <c r="I1321" s="68"/>
      <c r="J1321" s="68"/>
      <c r="K1321" s="68"/>
      <c r="L1321" s="56"/>
      <c r="M1321" s="26"/>
      <c r="N1321" s="26"/>
      <c r="O1321" s="68"/>
      <c r="P1321" s="1"/>
      <c r="Q1321" s="8"/>
      <c r="R1321" s="66"/>
      <c r="S1321" s="1"/>
      <c r="T1321" s="66"/>
      <c r="U1321" s="8"/>
      <c r="V1321" s="56"/>
      <c r="W1321" s="1"/>
      <c r="X1321" s="1"/>
      <c r="Y1321" s="1"/>
    </row>
    <row r="1322" spans="1:25">
      <c r="A1322" s="57"/>
      <c r="B1322" s="68"/>
      <c r="C1322" s="68"/>
      <c r="D1322" s="68"/>
      <c r="E1322" s="68"/>
      <c r="F1322" s="68"/>
      <c r="G1322" s="68"/>
      <c r="H1322" s="68"/>
      <c r="I1322" s="68"/>
      <c r="J1322" s="68"/>
      <c r="K1322" s="68"/>
      <c r="L1322" s="56"/>
      <c r="M1322" s="26"/>
      <c r="N1322" s="26"/>
      <c r="O1322" s="68"/>
      <c r="P1322" s="1"/>
      <c r="Q1322" s="8"/>
      <c r="R1322" s="66"/>
      <c r="S1322" s="1"/>
      <c r="T1322" s="66"/>
      <c r="U1322" s="8"/>
      <c r="V1322" s="56"/>
      <c r="W1322" s="1"/>
      <c r="X1322" s="1"/>
      <c r="Y1322" s="1"/>
    </row>
    <row r="1323" spans="1:25">
      <c r="A1323" s="57"/>
      <c r="B1323" s="68"/>
      <c r="C1323" s="68"/>
      <c r="D1323" s="68"/>
      <c r="E1323" s="68"/>
      <c r="F1323" s="68"/>
      <c r="G1323" s="68"/>
      <c r="H1323" s="68"/>
      <c r="I1323" s="68"/>
      <c r="J1323" s="68"/>
      <c r="K1323" s="68"/>
      <c r="L1323" s="56"/>
      <c r="M1323" s="26"/>
      <c r="N1323" s="26"/>
      <c r="O1323" s="68"/>
      <c r="P1323" s="1"/>
      <c r="Q1323" s="8"/>
      <c r="R1323" s="66"/>
      <c r="S1323" s="1"/>
      <c r="T1323" s="66"/>
      <c r="U1323" s="8"/>
      <c r="V1323" s="56"/>
      <c r="W1323" s="1"/>
      <c r="X1323" s="1"/>
      <c r="Y1323" s="1"/>
    </row>
    <row r="1324" spans="1:25">
      <c r="A1324" s="57"/>
      <c r="B1324" s="68"/>
      <c r="C1324" s="68"/>
      <c r="D1324" s="68"/>
      <c r="E1324" s="68"/>
      <c r="F1324" s="68"/>
      <c r="G1324" s="68"/>
      <c r="H1324" s="68"/>
      <c r="I1324" s="68"/>
      <c r="J1324" s="68"/>
      <c r="K1324" s="68"/>
      <c r="L1324" s="56"/>
      <c r="M1324" s="26"/>
      <c r="N1324" s="26"/>
      <c r="O1324" s="68"/>
      <c r="P1324" s="1"/>
      <c r="Q1324" s="8"/>
      <c r="R1324" s="66"/>
      <c r="S1324" s="1"/>
      <c r="T1324" s="66"/>
      <c r="U1324" s="8"/>
      <c r="V1324" s="56"/>
      <c r="W1324" s="1"/>
      <c r="X1324" s="1"/>
      <c r="Y1324" s="1"/>
    </row>
    <row r="1325" spans="1:25">
      <c r="A1325" s="57"/>
      <c r="B1325" s="68"/>
      <c r="C1325" s="68"/>
      <c r="D1325" s="68"/>
      <c r="E1325" s="68"/>
      <c r="F1325" s="68"/>
      <c r="G1325" s="68"/>
      <c r="H1325" s="68"/>
      <c r="I1325" s="68"/>
      <c r="J1325" s="68"/>
      <c r="K1325" s="68"/>
      <c r="L1325" s="56"/>
      <c r="M1325" s="26"/>
      <c r="N1325" s="26"/>
      <c r="O1325" s="68"/>
      <c r="P1325" s="1"/>
      <c r="Q1325" s="8"/>
      <c r="R1325" s="66"/>
      <c r="S1325" s="1"/>
      <c r="T1325" s="66"/>
      <c r="U1325" s="8"/>
      <c r="V1325" s="56"/>
      <c r="W1325" s="1"/>
      <c r="X1325" s="1"/>
      <c r="Y1325" s="1"/>
    </row>
    <row r="1326" spans="1:25">
      <c r="A1326" s="57"/>
      <c r="B1326" s="68"/>
      <c r="C1326" s="68"/>
      <c r="D1326" s="68"/>
      <c r="E1326" s="68"/>
      <c r="F1326" s="68"/>
      <c r="G1326" s="68"/>
      <c r="H1326" s="68"/>
      <c r="I1326" s="68"/>
      <c r="J1326" s="68"/>
      <c r="K1326" s="68"/>
      <c r="L1326" s="56"/>
      <c r="M1326" s="26"/>
      <c r="N1326" s="26"/>
      <c r="O1326" s="68"/>
      <c r="P1326" s="1"/>
      <c r="Q1326" s="8"/>
      <c r="R1326" s="66"/>
      <c r="S1326" s="1"/>
      <c r="T1326" s="66"/>
      <c r="U1326" s="8"/>
      <c r="V1326" s="56"/>
      <c r="W1326" s="1"/>
      <c r="X1326" s="1"/>
      <c r="Y1326" s="1"/>
    </row>
    <row r="1327" spans="1:25">
      <c r="A1327" s="57"/>
      <c r="B1327" s="68"/>
      <c r="C1327" s="68"/>
      <c r="D1327" s="68"/>
      <c r="E1327" s="68"/>
      <c r="F1327" s="68"/>
      <c r="G1327" s="68"/>
      <c r="H1327" s="68"/>
      <c r="I1327" s="68"/>
      <c r="J1327" s="68"/>
      <c r="K1327" s="68"/>
      <c r="L1327" s="56"/>
      <c r="M1327" s="26"/>
      <c r="N1327" s="26"/>
      <c r="O1327" s="68"/>
      <c r="P1327" s="1"/>
      <c r="Q1327" s="8"/>
      <c r="R1327" s="66"/>
      <c r="S1327" s="1"/>
      <c r="T1327" s="66"/>
      <c r="U1327" s="8"/>
      <c r="V1327" s="56"/>
      <c r="W1327" s="1"/>
      <c r="X1327" s="1"/>
      <c r="Y1327" s="1"/>
    </row>
    <row r="1328" spans="1:25">
      <c r="A1328" s="57"/>
      <c r="B1328" s="68"/>
      <c r="C1328" s="68"/>
      <c r="D1328" s="68"/>
      <c r="E1328" s="68"/>
      <c r="F1328" s="68"/>
      <c r="G1328" s="68"/>
      <c r="H1328" s="68"/>
      <c r="I1328" s="68"/>
      <c r="J1328" s="68"/>
      <c r="K1328" s="68"/>
      <c r="L1328" s="56"/>
      <c r="M1328" s="26"/>
      <c r="N1328" s="26"/>
      <c r="O1328" s="68"/>
      <c r="P1328" s="1"/>
      <c r="Q1328" s="8"/>
      <c r="R1328" s="66"/>
      <c r="S1328" s="1"/>
      <c r="T1328" s="66"/>
      <c r="U1328" s="8"/>
      <c r="V1328" s="56"/>
      <c r="W1328" s="1"/>
      <c r="X1328" s="1"/>
      <c r="Y1328" s="1"/>
    </row>
    <row r="1329" spans="1:25">
      <c r="A1329" s="57"/>
      <c r="B1329" s="68"/>
      <c r="C1329" s="68"/>
      <c r="D1329" s="68"/>
      <c r="E1329" s="68"/>
      <c r="F1329" s="68"/>
      <c r="G1329" s="68"/>
      <c r="H1329" s="68"/>
      <c r="I1329" s="68"/>
      <c r="J1329" s="68"/>
      <c r="K1329" s="68"/>
      <c r="L1329" s="56"/>
      <c r="M1329" s="26"/>
      <c r="N1329" s="26"/>
      <c r="O1329" s="68"/>
      <c r="P1329" s="1"/>
      <c r="Q1329" s="8"/>
      <c r="R1329" s="66"/>
      <c r="S1329" s="1"/>
      <c r="T1329" s="66"/>
      <c r="U1329" s="8"/>
      <c r="V1329" s="56"/>
      <c r="W1329" s="1"/>
      <c r="X1329" s="1"/>
      <c r="Y1329" s="1"/>
    </row>
    <row r="1330" spans="1:25">
      <c r="A1330" s="57"/>
      <c r="B1330" s="68"/>
      <c r="C1330" s="68"/>
      <c r="D1330" s="68"/>
      <c r="E1330" s="68"/>
      <c r="F1330" s="68"/>
      <c r="G1330" s="68"/>
      <c r="H1330" s="68"/>
      <c r="I1330" s="68"/>
      <c r="J1330" s="68"/>
      <c r="K1330" s="68"/>
      <c r="L1330" s="56"/>
      <c r="M1330" s="26"/>
      <c r="N1330" s="26"/>
      <c r="O1330" s="68"/>
      <c r="P1330" s="1"/>
      <c r="Q1330" s="8"/>
      <c r="R1330" s="66"/>
      <c r="S1330" s="1"/>
      <c r="T1330" s="66"/>
      <c r="U1330" s="8"/>
      <c r="V1330" s="56"/>
      <c r="W1330" s="1"/>
      <c r="X1330" s="1"/>
      <c r="Y1330" s="1"/>
    </row>
    <row r="1331" spans="1:25">
      <c r="A1331" s="57"/>
      <c r="B1331" s="68"/>
      <c r="C1331" s="68"/>
      <c r="D1331" s="68"/>
      <c r="E1331" s="68"/>
      <c r="F1331" s="68"/>
      <c r="G1331" s="68"/>
      <c r="H1331" s="68"/>
      <c r="I1331" s="68"/>
      <c r="J1331" s="68"/>
      <c r="K1331" s="68"/>
      <c r="L1331" s="56"/>
      <c r="M1331" s="26"/>
      <c r="N1331" s="26"/>
      <c r="O1331" s="68"/>
      <c r="P1331" s="1"/>
      <c r="Q1331" s="8"/>
      <c r="R1331" s="66"/>
      <c r="S1331" s="1"/>
      <c r="T1331" s="66"/>
      <c r="U1331" s="8"/>
      <c r="V1331" s="56"/>
      <c r="W1331" s="1"/>
      <c r="X1331" s="1"/>
      <c r="Y1331" s="1"/>
    </row>
    <row r="1332" spans="1:25">
      <c r="A1332" s="57"/>
      <c r="B1332" s="68"/>
      <c r="C1332" s="68"/>
      <c r="D1332" s="68"/>
      <c r="E1332" s="68"/>
      <c r="F1332" s="68"/>
      <c r="G1332" s="68"/>
      <c r="H1332" s="68"/>
      <c r="I1332" s="68"/>
      <c r="J1332" s="68"/>
      <c r="K1332" s="68"/>
      <c r="L1332" s="56"/>
      <c r="M1332" s="26"/>
      <c r="N1332" s="26"/>
      <c r="O1332" s="68"/>
      <c r="P1332" s="1"/>
      <c r="Q1332" s="8"/>
      <c r="R1332" s="66"/>
      <c r="S1332" s="1"/>
      <c r="T1332" s="66"/>
      <c r="U1332" s="8"/>
      <c r="V1332" s="56"/>
      <c r="W1332" s="1"/>
      <c r="X1332" s="1"/>
      <c r="Y1332" s="1"/>
    </row>
    <row r="1333" spans="1:25">
      <c r="A1333" s="57"/>
      <c r="B1333" s="68"/>
      <c r="C1333" s="68"/>
      <c r="D1333" s="68"/>
      <c r="E1333" s="68"/>
      <c r="F1333" s="68"/>
      <c r="G1333" s="68"/>
      <c r="H1333" s="68"/>
      <c r="I1333" s="68"/>
      <c r="J1333" s="68"/>
      <c r="K1333" s="68"/>
      <c r="L1333" s="56"/>
      <c r="M1333" s="26"/>
      <c r="N1333" s="26"/>
      <c r="O1333" s="68"/>
      <c r="P1333" s="1"/>
      <c r="Q1333" s="8"/>
      <c r="R1333" s="66"/>
      <c r="S1333" s="1"/>
      <c r="T1333" s="66"/>
      <c r="U1333" s="8"/>
      <c r="V1333" s="56"/>
      <c r="W1333" s="1"/>
      <c r="X1333" s="1"/>
      <c r="Y1333" s="1"/>
    </row>
    <row r="1334" spans="1:25">
      <c r="A1334" s="57"/>
      <c r="B1334" s="68"/>
      <c r="C1334" s="68"/>
      <c r="D1334" s="68"/>
      <c r="E1334" s="68"/>
      <c r="F1334" s="68"/>
      <c r="G1334" s="68"/>
      <c r="H1334" s="68"/>
      <c r="I1334" s="68"/>
      <c r="J1334" s="68"/>
      <c r="K1334" s="68"/>
      <c r="L1334" s="56"/>
      <c r="M1334" s="26"/>
      <c r="N1334" s="26"/>
      <c r="O1334" s="68"/>
      <c r="P1334" s="1"/>
      <c r="Q1334" s="8"/>
      <c r="R1334" s="66"/>
      <c r="S1334" s="1"/>
      <c r="T1334" s="66"/>
      <c r="U1334" s="8"/>
      <c r="V1334" s="56"/>
      <c r="W1334" s="1"/>
      <c r="X1334" s="1"/>
      <c r="Y1334" s="1"/>
    </row>
    <row r="1335" spans="1:25">
      <c r="A1335" s="57"/>
      <c r="B1335" s="68"/>
      <c r="C1335" s="68"/>
      <c r="D1335" s="68"/>
      <c r="E1335" s="68"/>
      <c r="F1335" s="68"/>
      <c r="G1335" s="68"/>
      <c r="H1335" s="68"/>
      <c r="I1335" s="68"/>
      <c r="J1335" s="68"/>
      <c r="K1335" s="68"/>
      <c r="L1335" s="56"/>
      <c r="M1335" s="26"/>
      <c r="N1335" s="26"/>
      <c r="O1335" s="68"/>
      <c r="P1335" s="1"/>
      <c r="Q1335" s="8"/>
      <c r="R1335" s="66"/>
      <c r="S1335" s="1"/>
      <c r="T1335" s="66"/>
      <c r="U1335" s="8"/>
      <c r="V1335" s="56"/>
      <c r="W1335" s="1"/>
      <c r="X1335" s="1"/>
      <c r="Y1335" s="1"/>
    </row>
    <row r="1336" spans="1:25">
      <c r="A1336" s="57"/>
      <c r="B1336" s="68"/>
      <c r="C1336" s="68"/>
      <c r="D1336" s="68"/>
      <c r="E1336" s="68"/>
      <c r="F1336" s="68"/>
      <c r="G1336" s="68"/>
      <c r="H1336" s="68"/>
      <c r="I1336" s="68"/>
      <c r="J1336" s="68"/>
      <c r="K1336" s="68"/>
      <c r="L1336" s="56"/>
      <c r="M1336" s="26"/>
      <c r="N1336" s="26"/>
      <c r="O1336" s="68"/>
      <c r="P1336" s="1"/>
      <c r="Q1336" s="8"/>
      <c r="R1336" s="66"/>
      <c r="S1336" s="1"/>
      <c r="T1336" s="66"/>
      <c r="U1336" s="8"/>
      <c r="V1336" s="56"/>
      <c r="W1336" s="1"/>
      <c r="X1336" s="1"/>
      <c r="Y1336" s="1"/>
    </row>
    <row r="1337" spans="1:25">
      <c r="A1337" s="57"/>
      <c r="B1337" s="68"/>
      <c r="C1337" s="68"/>
      <c r="D1337" s="68"/>
      <c r="E1337" s="68"/>
      <c r="F1337" s="68"/>
      <c r="G1337" s="68"/>
      <c r="H1337" s="68"/>
      <c r="I1337" s="68"/>
      <c r="J1337" s="68"/>
      <c r="K1337" s="68"/>
      <c r="L1337" s="56"/>
      <c r="M1337" s="26"/>
      <c r="N1337" s="26"/>
      <c r="O1337" s="68"/>
      <c r="P1337" s="1"/>
      <c r="Q1337" s="8"/>
      <c r="R1337" s="66"/>
      <c r="S1337" s="1"/>
      <c r="T1337" s="66"/>
      <c r="U1337" s="8"/>
      <c r="V1337" s="56"/>
      <c r="W1337" s="1"/>
      <c r="X1337" s="1"/>
      <c r="Y1337" s="1"/>
    </row>
    <row r="1338" spans="1:25">
      <c r="A1338" s="57"/>
      <c r="B1338" s="68"/>
      <c r="C1338" s="68"/>
      <c r="D1338" s="68"/>
      <c r="E1338" s="68"/>
      <c r="F1338" s="68"/>
      <c r="G1338" s="68"/>
      <c r="H1338" s="68"/>
      <c r="I1338" s="68"/>
      <c r="J1338" s="68"/>
      <c r="K1338" s="68"/>
      <c r="L1338" s="56"/>
      <c r="M1338" s="26"/>
      <c r="N1338" s="26"/>
      <c r="O1338" s="68"/>
      <c r="P1338" s="1"/>
      <c r="Q1338" s="8"/>
      <c r="R1338" s="66"/>
      <c r="S1338" s="1"/>
      <c r="T1338" s="66"/>
      <c r="U1338" s="8"/>
      <c r="V1338" s="56"/>
      <c r="W1338" s="1"/>
      <c r="X1338" s="1"/>
      <c r="Y1338" s="1"/>
    </row>
    <row r="1339" spans="1:25">
      <c r="A1339" s="57"/>
      <c r="B1339" s="68"/>
      <c r="C1339" s="68"/>
      <c r="D1339" s="68"/>
      <c r="E1339" s="68"/>
      <c r="F1339" s="68"/>
      <c r="G1339" s="68"/>
      <c r="H1339" s="68"/>
      <c r="I1339" s="68"/>
      <c r="J1339" s="68"/>
      <c r="K1339" s="68"/>
      <c r="L1339" s="56"/>
      <c r="M1339" s="26"/>
      <c r="N1339" s="26"/>
      <c r="O1339" s="68"/>
      <c r="P1339" s="1"/>
      <c r="Q1339" s="8"/>
      <c r="R1339" s="66"/>
      <c r="S1339" s="1"/>
      <c r="T1339" s="66"/>
      <c r="U1339" s="8"/>
      <c r="V1339" s="56"/>
      <c r="W1339" s="1"/>
      <c r="X1339" s="1"/>
      <c r="Y1339" s="1"/>
    </row>
    <row r="1340" spans="1:25">
      <c r="A1340" s="57"/>
      <c r="B1340" s="68"/>
      <c r="C1340" s="68"/>
      <c r="D1340" s="68"/>
      <c r="E1340" s="68"/>
      <c r="F1340" s="68"/>
      <c r="G1340" s="68"/>
      <c r="H1340" s="68"/>
      <c r="I1340" s="68"/>
      <c r="J1340" s="68"/>
      <c r="K1340" s="68"/>
      <c r="L1340" s="56"/>
      <c r="M1340" s="26"/>
      <c r="N1340" s="26"/>
      <c r="O1340" s="68"/>
      <c r="P1340" s="1"/>
      <c r="Q1340" s="8"/>
      <c r="R1340" s="66"/>
      <c r="S1340" s="1"/>
      <c r="T1340" s="66"/>
      <c r="U1340" s="8"/>
      <c r="V1340" s="56"/>
      <c r="W1340" s="1"/>
      <c r="X1340" s="1"/>
      <c r="Y1340" s="1"/>
    </row>
    <row r="1341" spans="1:25">
      <c r="A1341" s="57"/>
      <c r="B1341" s="68"/>
      <c r="C1341" s="68"/>
      <c r="D1341" s="68"/>
      <c r="E1341" s="68"/>
      <c r="F1341" s="68"/>
      <c r="G1341" s="68"/>
      <c r="H1341" s="68"/>
      <c r="I1341" s="68"/>
      <c r="J1341" s="68"/>
      <c r="K1341" s="68"/>
      <c r="L1341" s="56"/>
      <c r="M1341" s="26"/>
      <c r="N1341" s="26"/>
      <c r="O1341" s="68"/>
      <c r="P1341" s="1"/>
      <c r="Q1341" s="8"/>
      <c r="R1341" s="66"/>
      <c r="S1341" s="1"/>
      <c r="T1341" s="66"/>
      <c r="U1341" s="8"/>
      <c r="V1341" s="56"/>
      <c r="W1341" s="1"/>
      <c r="X1341" s="1"/>
      <c r="Y1341" s="1"/>
    </row>
    <row r="1342" spans="1:25">
      <c r="A1342" s="57"/>
      <c r="B1342" s="68"/>
      <c r="C1342" s="68"/>
      <c r="D1342" s="68"/>
      <c r="E1342" s="68"/>
      <c r="F1342" s="68"/>
      <c r="G1342" s="68"/>
      <c r="H1342" s="68"/>
      <c r="I1342" s="68"/>
      <c r="J1342" s="68"/>
      <c r="K1342" s="68"/>
      <c r="L1342" s="56"/>
      <c r="M1342" s="26"/>
      <c r="N1342" s="26"/>
      <c r="O1342" s="68"/>
      <c r="P1342" s="1"/>
      <c r="Q1342" s="8"/>
      <c r="R1342" s="66"/>
      <c r="S1342" s="1"/>
      <c r="T1342" s="66"/>
      <c r="U1342" s="8"/>
      <c r="V1342" s="56"/>
      <c r="W1342" s="1"/>
      <c r="X1342" s="1"/>
      <c r="Y1342" s="1"/>
    </row>
    <row r="1343" spans="1:25">
      <c r="A1343" s="57"/>
      <c r="B1343" s="68"/>
      <c r="C1343" s="68"/>
      <c r="D1343" s="68"/>
      <c r="E1343" s="68"/>
      <c r="F1343" s="68"/>
      <c r="G1343" s="68"/>
      <c r="H1343" s="68"/>
      <c r="I1343" s="68"/>
      <c r="J1343" s="68"/>
      <c r="K1343" s="68"/>
      <c r="L1343" s="56"/>
      <c r="M1343" s="26"/>
      <c r="N1343" s="26"/>
      <c r="O1343" s="68"/>
      <c r="P1343" s="1"/>
      <c r="Q1343" s="8"/>
      <c r="R1343" s="66"/>
      <c r="S1343" s="1"/>
      <c r="T1343" s="66"/>
      <c r="U1343" s="8"/>
      <c r="V1343" s="56"/>
      <c r="W1343" s="1"/>
      <c r="X1343" s="1"/>
      <c r="Y1343" s="1"/>
    </row>
    <row r="1344" spans="1:25">
      <c r="A1344" s="57"/>
      <c r="B1344" s="68"/>
      <c r="C1344" s="68"/>
      <c r="D1344" s="68"/>
      <c r="E1344" s="68"/>
      <c r="F1344" s="68"/>
      <c r="G1344" s="68"/>
      <c r="H1344" s="68"/>
      <c r="I1344" s="68"/>
      <c r="J1344" s="68"/>
      <c r="K1344" s="68"/>
      <c r="L1344" s="56"/>
      <c r="M1344" s="26"/>
      <c r="N1344" s="26"/>
      <c r="O1344" s="68"/>
      <c r="P1344" s="1"/>
      <c r="Q1344" s="8"/>
      <c r="R1344" s="66"/>
      <c r="S1344" s="1"/>
      <c r="T1344" s="66"/>
      <c r="U1344" s="8"/>
      <c r="V1344" s="56"/>
      <c r="W1344" s="1"/>
      <c r="X1344" s="1"/>
      <c r="Y1344" s="1"/>
    </row>
    <row r="1345" spans="1:25">
      <c r="A1345" s="57"/>
      <c r="B1345" s="68"/>
      <c r="C1345" s="68"/>
      <c r="D1345" s="68"/>
      <c r="E1345" s="68"/>
      <c r="F1345" s="68"/>
      <c r="G1345" s="68"/>
      <c r="H1345" s="68"/>
      <c r="I1345" s="68"/>
      <c r="J1345" s="68"/>
      <c r="K1345" s="68"/>
      <c r="L1345" s="56"/>
      <c r="M1345" s="26"/>
      <c r="N1345" s="26"/>
      <c r="O1345" s="68"/>
      <c r="P1345" s="1"/>
      <c r="Q1345" s="8"/>
      <c r="R1345" s="66"/>
      <c r="S1345" s="1"/>
      <c r="T1345" s="66"/>
      <c r="U1345" s="8"/>
      <c r="V1345" s="56"/>
      <c r="W1345" s="1"/>
      <c r="X1345" s="1"/>
      <c r="Y1345" s="1"/>
    </row>
    <row r="1346" spans="1:25">
      <c r="A1346" s="57"/>
      <c r="B1346" s="68"/>
      <c r="C1346" s="68"/>
      <c r="D1346" s="68"/>
      <c r="E1346" s="68"/>
      <c r="F1346" s="68"/>
      <c r="G1346" s="68"/>
      <c r="H1346" s="68"/>
      <c r="I1346" s="68"/>
      <c r="J1346" s="68"/>
      <c r="K1346" s="68"/>
      <c r="L1346" s="56"/>
      <c r="M1346" s="26"/>
      <c r="N1346" s="26"/>
      <c r="O1346" s="68"/>
      <c r="P1346" s="1"/>
      <c r="Q1346" s="8"/>
      <c r="R1346" s="66"/>
      <c r="S1346" s="1"/>
      <c r="T1346" s="66"/>
      <c r="U1346" s="8"/>
      <c r="V1346" s="56"/>
      <c r="W1346" s="1"/>
      <c r="X1346" s="1"/>
      <c r="Y1346" s="1"/>
    </row>
    <row r="1347" spans="1:25">
      <c r="A1347" s="57"/>
      <c r="B1347" s="68"/>
      <c r="C1347" s="68"/>
      <c r="D1347" s="68"/>
      <c r="E1347" s="68"/>
      <c r="F1347" s="68"/>
      <c r="G1347" s="68"/>
      <c r="H1347" s="68"/>
      <c r="I1347" s="68"/>
      <c r="J1347" s="68"/>
      <c r="K1347" s="68"/>
      <c r="L1347" s="56"/>
      <c r="M1347" s="26"/>
      <c r="N1347" s="26"/>
      <c r="O1347" s="68"/>
      <c r="P1347" s="1"/>
      <c r="Q1347" s="8"/>
      <c r="R1347" s="66"/>
      <c r="S1347" s="1"/>
      <c r="T1347" s="66"/>
      <c r="U1347" s="8"/>
      <c r="V1347" s="56"/>
      <c r="W1347" s="1"/>
      <c r="X1347" s="1"/>
      <c r="Y1347" s="1"/>
    </row>
    <row r="1348" spans="1:25">
      <c r="A1348" s="57"/>
      <c r="B1348" s="68"/>
      <c r="C1348" s="68"/>
      <c r="D1348" s="68"/>
      <c r="E1348" s="68"/>
      <c r="F1348" s="68"/>
      <c r="G1348" s="68"/>
      <c r="H1348" s="68"/>
      <c r="I1348" s="68"/>
      <c r="J1348" s="68"/>
      <c r="K1348" s="68"/>
      <c r="L1348" s="56"/>
      <c r="M1348" s="26"/>
      <c r="N1348" s="26"/>
      <c r="O1348" s="68"/>
      <c r="P1348" s="1"/>
      <c r="Q1348" s="8"/>
      <c r="R1348" s="66"/>
      <c r="S1348" s="1"/>
      <c r="T1348" s="66"/>
      <c r="U1348" s="8"/>
      <c r="V1348" s="56"/>
      <c r="W1348" s="1"/>
      <c r="X1348" s="1"/>
      <c r="Y1348" s="1"/>
    </row>
    <row r="1349" spans="1:25">
      <c r="A1349" s="57"/>
      <c r="B1349" s="68"/>
      <c r="C1349" s="68"/>
      <c r="D1349" s="68"/>
      <c r="E1349" s="68"/>
      <c r="F1349" s="68"/>
      <c r="G1349" s="68"/>
      <c r="H1349" s="68"/>
      <c r="I1349" s="68"/>
      <c r="J1349" s="68"/>
      <c r="K1349" s="68"/>
      <c r="L1349" s="56"/>
      <c r="M1349" s="26"/>
      <c r="N1349" s="26"/>
      <c r="O1349" s="68"/>
      <c r="P1349" s="1"/>
      <c r="Q1349" s="8"/>
      <c r="R1349" s="66"/>
      <c r="S1349" s="1"/>
      <c r="T1349" s="66"/>
      <c r="U1349" s="8"/>
      <c r="V1349" s="56"/>
      <c r="W1349" s="1"/>
      <c r="X1349" s="1"/>
      <c r="Y1349" s="1"/>
    </row>
    <row r="1350" spans="1:25">
      <c r="A1350" s="57"/>
      <c r="B1350" s="68"/>
      <c r="C1350" s="68"/>
      <c r="D1350" s="68"/>
      <c r="E1350" s="68"/>
      <c r="F1350" s="68"/>
      <c r="G1350" s="68"/>
      <c r="H1350" s="68"/>
      <c r="I1350" s="68"/>
      <c r="J1350" s="68"/>
      <c r="K1350" s="68"/>
      <c r="L1350" s="56"/>
      <c r="M1350" s="26"/>
      <c r="N1350" s="26"/>
      <c r="O1350" s="68"/>
      <c r="P1350" s="1"/>
      <c r="Q1350" s="8"/>
      <c r="R1350" s="66"/>
      <c r="S1350" s="1"/>
      <c r="T1350" s="66"/>
      <c r="U1350" s="8"/>
      <c r="V1350" s="56"/>
      <c r="W1350" s="1"/>
      <c r="X1350" s="1"/>
      <c r="Y1350" s="1"/>
    </row>
    <row r="1351" spans="1:25">
      <c r="A1351" s="57"/>
      <c r="B1351" s="68"/>
      <c r="C1351" s="68"/>
      <c r="D1351" s="68"/>
      <c r="E1351" s="68"/>
      <c r="F1351" s="68"/>
      <c r="G1351" s="68"/>
      <c r="H1351" s="68"/>
      <c r="I1351" s="68"/>
      <c r="J1351" s="68"/>
      <c r="K1351" s="68"/>
      <c r="L1351" s="56"/>
      <c r="M1351" s="26"/>
      <c r="N1351" s="26"/>
      <c r="O1351" s="68"/>
      <c r="P1351" s="1"/>
      <c r="Q1351" s="8"/>
      <c r="R1351" s="66"/>
      <c r="S1351" s="1"/>
      <c r="T1351" s="66"/>
      <c r="U1351" s="8"/>
      <c r="V1351" s="56"/>
      <c r="W1351" s="1"/>
      <c r="X1351" s="1"/>
      <c r="Y1351" s="1"/>
    </row>
    <row r="1352" spans="1:25">
      <c r="A1352" s="57"/>
      <c r="B1352" s="68"/>
      <c r="C1352" s="68"/>
      <c r="D1352" s="68"/>
      <c r="E1352" s="68"/>
      <c r="F1352" s="68"/>
      <c r="G1352" s="68"/>
      <c r="H1352" s="68"/>
      <c r="I1352" s="68"/>
      <c r="J1352" s="68"/>
      <c r="K1352" s="68"/>
      <c r="L1352" s="56"/>
      <c r="M1352" s="26"/>
      <c r="N1352" s="26"/>
      <c r="O1352" s="68"/>
      <c r="P1352" s="1"/>
      <c r="Q1352" s="8"/>
      <c r="R1352" s="66"/>
      <c r="S1352" s="1"/>
      <c r="T1352" s="66"/>
      <c r="U1352" s="8"/>
      <c r="V1352" s="56"/>
      <c r="W1352" s="1"/>
      <c r="X1352" s="1"/>
      <c r="Y1352" s="1"/>
    </row>
    <row r="1353" spans="1:25">
      <c r="A1353" s="57"/>
      <c r="B1353" s="68"/>
      <c r="C1353" s="68"/>
      <c r="D1353" s="68"/>
      <c r="E1353" s="68"/>
      <c r="F1353" s="68"/>
      <c r="G1353" s="68"/>
      <c r="H1353" s="68"/>
      <c r="I1353" s="68"/>
      <c r="J1353" s="68"/>
      <c r="K1353" s="68"/>
      <c r="L1353" s="56"/>
      <c r="M1353" s="26"/>
      <c r="N1353" s="26"/>
      <c r="O1353" s="68"/>
      <c r="P1353" s="1"/>
      <c r="Q1353" s="8"/>
      <c r="R1353" s="66"/>
      <c r="S1353" s="1"/>
      <c r="T1353" s="66"/>
      <c r="U1353" s="8"/>
      <c r="V1353" s="56"/>
      <c r="W1353" s="1"/>
      <c r="X1353" s="1"/>
      <c r="Y1353" s="1"/>
    </row>
    <row r="1354" spans="1:25">
      <c r="A1354" s="57"/>
      <c r="B1354" s="68"/>
      <c r="C1354" s="68"/>
      <c r="D1354" s="68"/>
      <c r="E1354" s="68"/>
      <c r="F1354" s="68"/>
      <c r="G1354" s="68"/>
      <c r="H1354" s="68"/>
      <c r="I1354" s="68"/>
      <c r="J1354" s="68"/>
      <c r="K1354" s="68"/>
      <c r="L1354" s="56"/>
      <c r="M1354" s="26"/>
      <c r="N1354" s="26"/>
      <c r="O1354" s="68"/>
      <c r="P1354" s="1"/>
      <c r="Q1354" s="8"/>
      <c r="R1354" s="66"/>
      <c r="S1354" s="1"/>
      <c r="T1354" s="66"/>
      <c r="U1354" s="8"/>
      <c r="V1354" s="56"/>
      <c r="W1354" s="1"/>
      <c r="X1354" s="1"/>
      <c r="Y1354" s="1"/>
    </row>
    <row r="1355" spans="1:25">
      <c r="A1355" s="57"/>
      <c r="B1355" s="68"/>
      <c r="C1355" s="68"/>
      <c r="D1355" s="68"/>
      <c r="E1355" s="68"/>
      <c r="F1355" s="68"/>
      <c r="G1355" s="68"/>
      <c r="H1355" s="68"/>
      <c r="I1355" s="68"/>
      <c r="J1355" s="68"/>
      <c r="K1355" s="68"/>
      <c r="L1355" s="56"/>
      <c r="M1355" s="26"/>
      <c r="N1355" s="26"/>
      <c r="O1355" s="68"/>
      <c r="P1355" s="1"/>
      <c r="Q1355" s="8"/>
      <c r="R1355" s="66"/>
      <c r="S1355" s="1"/>
      <c r="T1355" s="66"/>
      <c r="U1355" s="8"/>
      <c r="V1355" s="56"/>
      <c r="W1355" s="1"/>
      <c r="X1355" s="1"/>
      <c r="Y1355" s="1"/>
    </row>
    <row r="1356" spans="1:25">
      <c r="A1356" s="57"/>
      <c r="B1356" s="68"/>
      <c r="C1356" s="68"/>
      <c r="D1356" s="68"/>
      <c r="E1356" s="68"/>
      <c r="F1356" s="68"/>
      <c r="G1356" s="68"/>
      <c r="H1356" s="68"/>
      <c r="I1356" s="68"/>
      <c r="J1356" s="68"/>
      <c r="K1356" s="68"/>
      <c r="L1356" s="56"/>
      <c r="M1356" s="26"/>
      <c r="N1356" s="26"/>
      <c r="O1356" s="68"/>
      <c r="P1356" s="1"/>
      <c r="Q1356" s="8"/>
      <c r="R1356" s="66"/>
      <c r="S1356" s="1"/>
      <c r="T1356" s="66"/>
      <c r="U1356" s="8"/>
      <c r="V1356" s="56"/>
      <c r="W1356" s="1"/>
      <c r="X1356" s="1"/>
      <c r="Y1356" s="1"/>
    </row>
    <row r="1357" spans="1:25">
      <c r="A1357" s="57"/>
      <c r="B1357" s="68"/>
      <c r="C1357" s="68"/>
      <c r="D1357" s="68"/>
      <c r="E1357" s="68"/>
      <c r="F1357" s="68"/>
      <c r="G1357" s="68"/>
      <c r="H1357" s="68"/>
      <c r="I1357" s="68"/>
      <c r="J1357" s="68"/>
      <c r="K1357" s="68"/>
      <c r="L1357" s="56"/>
      <c r="M1357" s="26"/>
      <c r="N1357" s="26"/>
      <c r="O1357" s="68"/>
      <c r="P1357" s="1"/>
      <c r="Q1357" s="8"/>
      <c r="R1357" s="66"/>
      <c r="S1357" s="1"/>
      <c r="T1357" s="66"/>
      <c r="U1357" s="8"/>
      <c r="V1357" s="56"/>
      <c r="W1357" s="1"/>
      <c r="X1357" s="1"/>
      <c r="Y1357" s="1"/>
    </row>
    <row r="1358" spans="1:25">
      <c r="A1358" s="57"/>
      <c r="B1358" s="68"/>
      <c r="C1358" s="68"/>
      <c r="D1358" s="68"/>
      <c r="E1358" s="68"/>
      <c r="F1358" s="68"/>
      <c r="G1358" s="68"/>
      <c r="H1358" s="68"/>
      <c r="I1358" s="68"/>
      <c r="J1358" s="68"/>
      <c r="K1358" s="68"/>
      <c r="L1358" s="56"/>
      <c r="M1358" s="26"/>
      <c r="N1358" s="26"/>
      <c r="O1358" s="68"/>
      <c r="P1358" s="1"/>
      <c r="Q1358" s="8"/>
      <c r="R1358" s="66"/>
      <c r="S1358" s="1"/>
      <c r="T1358" s="66"/>
      <c r="U1358" s="8"/>
      <c r="V1358" s="56"/>
      <c r="W1358" s="1"/>
      <c r="X1358" s="1"/>
      <c r="Y1358" s="1"/>
    </row>
    <row r="1359" spans="1:25">
      <c r="A1359" s="57"/>
      <c r="B1359" s="68"/>
      <c r="C1359" s="68"/>
      <c r="D1359" s="68"/>
      <c r="E1359" s="68"/>
      <c r="F1359" s="68"/>
      <c r="G1359" s="68"/>
      <c r="H1359" s="68"/>
      <c r="I1359" s="68"/>
      <c r="J1359" s="68"/>
      <c r="K1359" s="68"/>
      <c r="L1359" s="56"/>
      <c r="M1359" s="26"/>
      <c r="N1359" s="26"/>
      <c r="O1359" s="68"/>
      <c r="P1359" s="1"/>
      <c r="Q1359" s="8"/>
      <c r="R1359" s="66"/>
      <c r="S1359" s="1"/>
      <c r="T1359" s="66"/>
      <c r="U1359" s="8"/>
      <c r="V1359" s="56"/>
      <c r="W1359" s="1"/>
      <c r="X1359" s="1"/>
      <c r="Y1359" s="1"/>
    </row>
    <row r="1360" spans="1:25">
      <c r="A1360" s="57"/>
      <c r="B1360" s="68"/>
      <c r="C1360" s="68"/>
      <c r="D1360" s="68"/>
      <c r="E1360" s="68"/>
      <c r="F1360" s="68"/>
      <c r="G1360" s="68"/>
      <c r="H1360" s="68"/>
      <c r="I1360" s="68"/>
      <c r="J1360" s="68"/>
      <c r="K1360" s="68"/>
      <c r="L1360" s="56"/>
      <c r="M1360" s="26"/>
      <c r="N1360" s="26"/>
      <c r="O1360" s="68"/>
      <c r="P1360" s="1"/>
      <c r="Q1360" s="8"/>
      <c r="R1360" s="66"/>
      <c r="S1360" s="1"/>
      <c r="T1360" s="66"/>
      <c r="U1360" s="8"/>
      <c r="V1360" s="56"/>
      <c r="W1360" s="1"/>
      <c r="X1360" s="1"/>
      <c r="Y1360" s="1"/>
    </row>
    <row r="1361" spans="1:25">
      <c r="A1361" s="57"/>
      <c r="B1361" s="68"/>
      <c r="C1361" s="68"/>
      <c r="D1361" s="68"/>
      <c r="E1361" s="68"/>
      <c r="F1361" s="68"/>
      <c r="G1361" s="68"/>
      <c r="H1361" s="68"/>
      <c r="I1361" s="68"/>
      <c r="J1361" s="68"/>
      <c r="K1361" s="68"/>
      <c r="L1361" s="56"/>
      <c r="M1361" s="26"/>
      <c r="N1361" s="26"/>
      <c r="O1361" s="68"/>
      <c r="P1361" s="1"/>
      <c r="Q1361" s="8"/>
      <c r="R1361" s="66"/>
      <c r="S1361" s="1"/>
      <c r="T1361" s="66"/>
      <c r="U1361" s="8"/>
      <c r="V1361" s="56"/>
      <c r="W1361" s="1"/>
      <c r="X1361" s="1"/>
      <c r="Y1361" s="1"/>
    </row>
    <row r="1362" spans="1:25">
      <c r="A1362" s="57"/>
      <c r="B1362" s="68"/>
      <c r="C1362" s="68"/>
      <c r="D1362" s="68"/>
      <c r="E1362" s="68"/>
      <c r="F1362" s="68"/>
      <c r="G1362" s="68"/>
      <c r="H1362" s="68"/>
      <c r="I1362" s="68"/>
      <c r="J1362" s="68"/>
      <c r="K1362" s="68"/>
      <c r="L1362" s="56"/>
      <c r="M1362" s="26"/>
      <c r="N1362" s="26"/>
      <c r="O1362" s="68"/>
      <c r="P1362" s="1"/>
      <c r="Q1362" s="8"/>
      <c r="R1362" s="66"/>
      <c r="S1362" s="1"/>
      <c r="T1362" s="66"/>
      <c r="U1362" s="8"/>
      <c r="V1362" s="56"/>
      <c r="W1362" s="1"/>
      <c r="X1362" s="1"/>
      <c r="Y1362" s="1"/>
    </row>
    <row r="1363" spans="1:25">
      <c r="A1363" s="57"/>
      <c r="B1363" s="68"/>
      <c r="C1363" s="68"/>
      <c r="D1363" s="68"/>
      <c r="E1363" s="68"/>
      <c r="F1363" s="68"/>
      <c r="G1363" s="68"/>
      <c r="H1363" s="68"/>
      <c r="I1363" s="68"/>
      <c r="J1363" s="68"/>
      <c r="K1363" s="68"/>
      <c r="L1363" s="56"/>
      <c r="M1363" s="26"/>
      <c r="N1363" s="26"/>
      <c r="O1363" s="68"/>
      <c r="P1363" s="1"/>
      <c r="Q1363" s="8"/>
      <c r="R1363" s="66"/>
      <c r="S1363" s="1"/>
      <c r="T1363" s="66"/>
      <c r="U1363" s="8"/>
      <c r="V1363" s="56"/>
      <c r="W1363" s="1"/>
      <c r="X1363" s="1"/>
      <c r="Y1363" s="1"/>
    </row>
    <row r="1364" spans="1:25">
      <c r="A1364" s="57"/>
      <c r="B1364" s="68"/>
      <c r="C1364" s="68"/>
      <c r="D1364" s="68"/>
      <c r="E1364" s="68"/>
      <c r="F1364" s="68"/>
      <c r="G1364" s="68"/>
      <c r="H1364" s="68"/>
      <c r="I1364" s="68"/>
      <c r="J1364" s="68"/>
      <c r="K1364" s="68"/>
      <c r="L1364" s="56"/>
      <c r="M1364" s="26"/>
      <c r="N1364" s="26"/>
      <c r="O1364" s="68"/>
      <c r="P1364" s="1"/>
      <c r="Q1364" s="8"/>
      <c r="R1364" s="66"/>
      <c r="S1364" s="1"/>
      <c r="T1364" s="66"/>
      <c r="U1364" s="8"/>
      <c r="V1364" s="56"/>
      <c r="W1364" s="1"/>
      <c r="X1364" s="1"/>
      <c r="Y1364" s="1"/>
    </row>
    <row r="1365" spans="1:25">
      <c r="A1365" s="57"/>
      <c r="B1365" s="68"/>
      <c r="C1365" s="68"/>
      <c r="D1365" s="68"/>
      <c r="E1365" s="68"/>
      <c r="F1365" s="68"/>
      <c r="G1365" s="68"/>
      <c r="H1365" s="68"/>
      <c r="I1365" s="68"/>
      <c r="J1365" s="68"/>
      <c r="K1365" s="68"/>
      <c r="L1365" s="56"/>
      <c r="M1365" s="26"/>
      <c r="N1365" s="26"/>
      <c r="O1365" s="68"/>
      <c r="P1365" s="1"/>
      <c r="Q1365" s="8"/>
      <c r="R1365" s="66"/>
      <c r="S1365" s="1"/>
      <c r="T1365" s="66"/>
      <c r="U1365" s="8"/>
      <c r="V1365" s="56"/>
      <c r="W1365" s="1"/>
      <c r="X1365" s="1"/>
      <c r="Y1365" s="1"/>
    </row>
    <row r="1366" spans="1:25">
      <c r="A1366" s="57"/>
      <c r="B1366" s="68"/>
      <c r="C1366" s="68"/>
      <c r="D1366" s="68"/>
      <c r="E1366" s="68"/>
      <c r="F1366" s="68"/>
      <c r="G1366" s="68"/>
      <c r="H1366" s="68"/>
      <c r="I1366" s="68"/>
      <c r="J1366" s="68"/>
      <c r="K1366" s="68"/>
      <c r="L1366" s="56"/>
      <c r="M1366" s="26"/>
      <c r="N1366" s="26"/>
      <c r="O1366" s="68"/>
      <c r="P1366" s="1"/>
      <c r="Q1366" s="8"/>
      <c r="R1366" s="66"/>
      <c r="S1366" s="1"/>
      <c r="T1366" s="66"/>
      <c r="U1366" s="8"/>
      <c r="V1366" s="56"/>
      <c r="W1366" s="1"/>
      <c r="X1366" s="1"/>
      <c r="Y1366" s="1"/>
    </row>
    <row r="1367" spans="1:25">
      <c r="A1367" s="57"/>
      <c r="B1367" s="68"/>
      <c r="C1367" s="68"/>
      <c r="D1367" s="68"/>
      <c r="E1367" s="68"/>
      <c r="F1367" s="68"/>
      <c r="G1367" s="68"/>
      <c r="H1367" s="68"/>
      <c r="I1367" s="68"/>
      <c r="J1367" s="68"/>
      <c r="K1367" s="68"/>
      <c r="L1367" s="56"/>
      <c r="M1367" s="26"/>
      <c r="N1367" s="26"/>
      <c r="O1367" s="68"/>
      <c r="P1367" s="1"/>
      <c r="Q1367" s="8"/>
      <c r="R1367" s="66"/>
      <c r="S1367" s="1"/>
      <c r="T1367" s="66"/>
      <c r="U1367" s="8"/>
      <c r="V1367" s="56"/>
      <c r="W1367" s="1"/>
      <c r="X1367" s="1"/>
      <c r="Y1367" s="1"/>
    </row>
    <row r="1368" spans="1:25">
      <c r="A1368" s="57"/>
      <c r="B1368" s="68"/>
      <c r="C1368" s="68"/>
      <c r="D1368" s="68"/>
      <c r="E1368" s="68"/>
      <c r="F1368" s="68"/>
      <c r="G1368" s="68"/>
      <c r="H1368" s="68"/>
      <c r="I1368" s="68"/>
      <c r="J1368" s="68"/>
      <c r="K1368" s="68"/>
      <c r="L1368" s="56"/>
      <c r="M1368" s="26"/>
      <c r="N1368" s="26"/>
      <c r="O1368" s="68"/>
      <c r="P1368" s="1"/>
      <c r="Q1368" s="8"/>
      <c r="R1368" s="66"/>
      <c r="S1368" s="1"/>
      <c r="T1368" s="66"/>
      <c r="U1368" s="8"/>
      <c r="V1368" s="56"/>
      <c r="W1368" s="1"/>
      <c r="X1368" s="1"/>
      <c r="Y1368" s="1"/>
    </row>
    <row r="1369" spans="1:25">
      <c r="A1369" s="57"/>
      <c r="B1369" s="68"/>
      <c r="C1369" s="68"/>
      <c r="D1369" s="68"/>
      <c r="E1369" s="68"/>
      <c r="F1369" s="68"/>
      <c r="G1369" s="68"/>
      <c r="H1369" s="68"/>
      <c r="I1369" s="68"/>
      <c r="J1369" s="68"/>
      <c r="K1369" s="68"/>
      <c r="L1369" s="56"/>
      <c r="M1369" s="26"/>
      <c r="N1369" s="26"/>
      <c r="O1369" s="68"/>
      <c r="P1369" s="1"/>
      <c r="Q1369" s="8"/>
      <c r="R1369" s="66"/>
      <c r="S1369" s="1"/>
      <c r="T1369" s="66"/>
      <c r="U1369" s="8"/>
      <c r="V1369" s="56"/>
      <c r="W1369" s="1"/>
      <c r="X1369" s="1"/>
      <c r="Y1369" s="1"/>
    </row>
    <row r="1370" spans="1:25">
      <c r="A1370" s="57"/>
      <c r="B1370" s="68"/>
      <c r="C1370" s="68"/>
      <c r="D1370" s="68"/>
      <c r="E1370" s="68"/>
      <c r="F1370" s="68"/>
      <c r="G1370" s="68"/>
      <c r="H1370" s="68"/>
      <c r="I1370" s="68"/>
      <c r="J1370" s="68"/>
      <c r="K1370" s="68"/>
      <c r="L1370" s="56"/>
      <c r="M1370" s="26"/>
      <c r="N1370" s="26"/>
      <c r="O1370" s="68"/>
      <c r="P1370" s="1"/>
      <c r="Q1370" s="8"/>
      <c r="R1370" s="66"/>
      <c r="S1370" s="1"/>
      <c r="T1370" s="66"/>
      <c r="U1370" s="8"/>
      <c r="V1370" s="56"/>
      <c r="W1370" s="1"/>
      <c r="X1370" s="1"/>
      <c r="Y1370" s="1"/>
    </row>
    <row r="1371" spans="1:25">
      <c r="A1371" s="57"/>
      <c r="B1371" s="68"/>
      <c r="C1371" s="68"/>
      <c r="D1371" s="68"/>
      <c r="E1371" s="68"/>
      <c r="F1371" s="68"/>
      <c r="G1371" s="68"/>
      <c r="H1371" s="68"/>
      <c r="I1371" s="68"/>
      <c r="J1371" s="68"/>
      <c r="K1371" s="68"/>
      <c r="L1371" s="56"/>
      <c r="M1371" s="26"/>
      <c r="N1371" s="26"/>
      <c r="O1371" s="68"/>
      <c r="P1371" s="1"/>
      <c r="Q1371" s="8"/>
      <c r="R1371" s="66"/>
      <c r="S1371" s="1"/>
      <c r="T1371" s="66"/>
      <c r="U1371" s="8"/>
      <c r="V1371" s="56"/>
      <c r="W1371" s="1"/>
      <c r="X1371" s="1"/>
      <c r="Y1371" s="1"/>
    </row>
    <row r="1372" spans="1:25">
      <c r="A1372" s="57"/>
      <c r="B1372" s="68"/>
      <c r="C1372" s="68"/>
      <c r="D1372" s="68"/>
      <c r="E1372" s="68"/>
      <c r="F1372" s="68"/>
      <c r="G1372" s="68"/>
      <c r="H1372" s="68"/>
      <c r="I1372" s="68"/>
      <c r="J1372" s="68"/>
      <c r="K1372" s="68"/>
      <c r="L1372" s="56"/>
      <c r="M1372" s="26"/>
      <c r="N1372" s="26"/>
      <c r="O1372" s="68"/>
      <c r="P1372" s="1"/>
      <c r="Q1372" s="8"/>
      <c r="R1372" s="66"/>
      <c r="S1372" s="1"/>
      <c r="T1372" s="66"/>
      <c r="U1372" s="8"/>
      <c r="V1372" s="56"/>
      <c r="W1372" s="1"/>
      <c r="X1372" s="1"/>
      <c r="Y1372" s="1"/>
    </row>
    <row r="1373" spans="1:25">
      <c r="A1373" s="57"/>
      <c r="B1373" s="68"/>
      <c r="C1373" s="68"/>
      <c r="D1373" s="68"/>
      <c r="E1373" s="68"/>
      <c r="F1373" s="68"/>
      <c r="G1373" s="68"/>
      <c r="H1373" s="68"/>
      <c r="I1373" s="68"/>
      <c r="J1373" s="68"/>
      <c r="K1373" s="68"/>
      <c r="L1373" s="56"/>
      <c r="M1373" s="26"/>
      <c r="N1373" s="26"/>
      <c r="O1373" s="68"/>
      <c r="P1373" s="1"/>
      <c r="Q1373" s="8"/>
      <c r="R1373" s="66"/>
      <c r="S1373" s="1"/>
      <c r="T1373" s="66"/>
      <c r="U1373" s="8"/>
      <c r="V1373" s="56"/>
      <c r="W1373" s="1"/>
      <c r="X1373" s="1"/>
      <c r="Y1373" s="1"/>
    </row>
    <row r="1374" spans="1:25">
      <c r="A1374" s="57"/>
      <c r="B1374" s="68"/>
      <c r="C1374" s="68"/>
      <c r="D1374" s="68"/>
      <c r="E1374" s="68"/>
      <c r="F1374" s="68"/>
      <c r="G1374" s="68"/>
      <c r="H1374" s="68"/>
      <c r="I1374" s="68"/>
      <c r="J1374" s="68"/>
      <c r="K1374" s="68"/>
      <c r="L1374" s="56"/>
      <c r="M1374" s="26"/>
      <c r="N1374" s="26"/>
      <c r="O1374" s="68"/>
      <c r="P1374" s="1"/>
      <c r="Q1374" s="8"/>
      <c r="R1374" s="66"/>
      <c r="S1374" s="1"/>
      <c r="T1374" s="66"/>
      <c r="U1374" s="8"/>
      <c r="V1374" s="56"/>
      <c r="W1374" s="1"/>
      <c r="X1374" s="1"/>
      <c r="Y1374" s="1"/>
    </row>
    <row r="1375" spans="1:25">
      <c r="A1375" s="57"/>
      <c r="B1375" s="68"/>
      <c r="C1375" s="68"/>
      <c r="D1375" s="68"/>
      <c r="E1375" s="68"/>
      <c r="F1375" s="68"/>
      <c r="G1375" s="68"/>
      <c r="H1375" s="68"/>
      <c r="I1375" s="68"/>
      <c r="J1375" s="68"/>
      <c r="K1375" s="68"/>
      <c r="L1375" s="56"/>
      <c r="M1375" s="26"/>
      <c r="N1375" s="26"/>
      <c r="O1375" s="68"/>
      <c r="P1375" s="1"/>
      <c r="Q1375" s="8"/>
      <c r="R1375" s="66"/>
      <c r="S1375" s="1"/>
      <c r="T1375" s="66"/>
      <c r="U1375" s="8"/>
      <c r="V1375" s="56"/>
      <c r="W1375" s="1"/>
      <c r="X1375" s="1"/>
      <c r="Y1375" s="1"/>
    </row>
    <row r="1376" spans="1:25">
      <c r="A1376" s="57"/>
      <c r="B1376" s="68"/>
      <c r="C1376" s="68"/>
      <c r="D1376" s="68"/>
      <c r="E1376" s="68"/>
      <c r="F1376" s="68"/>
      <c r="G1376" s="68"/>
      <c r="H1376" s="68"/>
      <c r="I1376" s="68"/>
      <c r="J1376" s="68"/>
      <c r="K1376" s="68"/>
      <c r="L1376" s="56"/>
      <c r="M1376" s="26"/>
      <c r="N1376" s="26"/>
      <c r="O1376" s="68"/>
      <c r="P1376" s="1"/>
      <c r="Q1376" s="8"/>
      <c r="R1376" s="66"/>
      <c r="S1376" s="1"/>
      <c r="T1376" s="66"/>
      <c r="U1376" s="8"/>
      <c r="V1376" s="56"/>
      <c r="W1376" s="1"/>
      <c r="X1376" s="1"/>
      <c r="Y1376" s="1"/>
    </row>
    <row r="1377" spans="1:25">
      <c r="A1377" s="57"/>
      <c r="B1377" s="68"/>
      <c r="C1377" s="68"/>
      <c r="D1377" s="68"/>
      <c r="E1377" s="68"/>
      <c r="F1377" s="68"/>
      <c r="G1377" s="68"/>
      <c r="H1377" s="68"/>
      <c r="I1377" s="68"/>
      <c r="J1377" s="68"/>
      <c r="K1377" s="68"/>
      <c r="L1377" s="56"/>
      <c r="M1377" s="26"/>
      <c r="N1377" s="26"/>
      <c r="O1377" s="68"/>
      <c r="P1377" s="1"/>
      <c r="Q1377" s="8"/>
      <c r="R1377" s="66"/>
      <c r="S1377" s="1"/>
      <c r="T1377" s="66"/>
      <c r="U1377" s="8"/>
      <c r="V1377" s="56"/>
      <c r="W1377" s="1"/>
      <c r="X1377" s="1"/>
      <c r="Y1377" s="1"/>
    </row>
    <row r="1378" spans="1:25">
      <c r="A1378" s="57"/>
      <c r="B1378" s="68"/>
      <c r="C1378" s="68"/>
      <c r="D1378" s="68"/>
      <c r="E1378" s="68"/>
      <c r="F1378" s="68"/>
      <c r="G1378" s="68"/>
      <c r="H1378" s="68"/>
      <c r="I1378" s="68"/>
      <c r="J1378" s="68"/>
      <c r="K1378" s="68"/>
      <c r="L1378" s="56"/>
      <c r="M1378" s="26"/>
      <c r="N1378" s="26"/>
      <c r="O1378" s="68"/>
      <c r="P1378" s="1"/>
      <c r="Q1378" s="8"/>
      <c r="R1378" s="66"/>
      <c r="S1378" s="1"/>
      <c r="T1378" s="66"/>
      <c r="U1378" s="8"/>
      <c r="V1378" s="56"/>
      <c r="W1378" s="1"/>
      <c r="X1378" s="1"/>
      <c r="Y1378" s="1"/>
    </row>
    <row r="1379" spans="1:25">
      <c r="A1379" s="57"/>
      <c r="B1379" s="68"/>
      <c r="C1379" s="68"/>
      <c r="D1379" s="68"/>
      <c r="E1379" s="68"/>
      <c r="F1379" s="68"/>
      <c r="G1379" s="68"/>
      <c r="H1379" s="68"/>
      <c r="I1379" s="68"/>
      <c r="J1379" s="68"/>
      <c r="K1379" s="68"/>
      <c r="L1379" s="56"/>
      <c r="M1379" s="26"/>
      <c r="N1379" s="26"/>
      <c r="O1379" s="68"/>
      <c r="P1379" s="1"/>
      <c r="Q1379" s="8"/>
      <c r="R1379" s="66"/>
      <c r="S1379" s="1"/>
      <c r="T1379" s="66"/>
      <c r="U1379" s="8"/>
      <c r="V1379" s="56"/>
      <c r="W1379" s="1"/>
      <c r="X1379" s="1"/>
      <c r="Y1379" s="1"/>
    </row>
    <row r="1380" spans="1:25">
      <c r="A1380" s="57"/>
      <c r="B1380" s="68"/>
      <c r="C1380" s="68"/>
      <c r="D1380" s="68"/>
      <c r="E1380" s="68"/>
      <c r="F1380" s="68"/>
      <c r="G1380" s="68"/>
      <c r="H1380" s="68"/>
      <c r="I1380" s="68"/>
      <c r="J1380" s="68"/>
      <c r="K1380" s="68"/>
      <c r="L1380" s="56"/>
      <c r="M1380" s="26"/>
      <c r="N1380" s="26"/>
      <c r="O1380" s="68"/>
      <c r="P1380" s="1"/>
      <c r="Q1380" s="8"/>
      <c r="R1380" s="66"/>
      <c r="S1380" s="1"/>
      <c r="T1380" s="66"/>
      <c r="U1380" s="8"/>
      <c r="V1380" s="56"/>
      <c r="W1380" s="1"/>
      <c r="X1380" s="1"/>
      <c r="Y1380" s="1"/>
    </row>
    <row r="1381" spans="1:25">
      <c r="A1381" s="57"/>
      <c r="B1381" s="68"/>
      <c r="C1381" s="68"/>
      <c r="D1381" s="68"/>
      <c r="E1381" s="68"/>
      <c r="F1381" s="68"/>
      <c r="G1381" s="68"/>
      <c r="H1381" s="68"/>
      <c r="I1381" s="68"/>
      <c r="J1381" s="68"/>
      <c r="K1381" s="68"/>
      <c r="L1381" s="56"/>
      <c r="M1381" s="26"/>
      <c r="N1381" s="26"/>
      <c r="O1381" s="68"/>
      <c r="P1381" s="1"/>
      <c r="Q1381" s="8"/>
      <c r="R1381" s="66"/>
      <c r="S1381" s="1"/>
      <c r="T1381" s="66"/>
      <c r="U1381" s="8"/>
      <c r="V1381" s="56"/>
      <c r="W1381" s="1"/>
      <c r="X1381" s="1"/>
      <c r="Y1381" s="1"/>
    </row>
    <row r="1382" spans="1:25">
      <c r="A1382" s="57"/>
      <c r="B1382" s="68"/>
      <c r="C1382" s="68"/>
      <c r="D1382" s="68"/>
      <c r="E1382" s="68"/>
      <c r="F1382" s="68"/>
      <c r="G1382" s="68"/>
      <c r="H1382" s="68"/>
      <c r="I1382" s="68"/>
      <c r="J1382" s="68"/>
      <c r="K1382" s="68"/>
      <c r="L1382" s="56"/>
      <c r="M1382" s="26"/>
      <c r="N1382" s="26"/>
      <c r="O1382" s="68"/>
      <c r="P1382" s="1"/>
      <c r="Q1382" s="8"/>
      <c r="R1382" s="66"/>
      <c r="S1382" s="1"/>
      <c r="T1382" s="66"/>
      <c r="U1382" s="8"/>
      <c r="V1382" s="56"/>
      <c r="W1382" s="1"/>
      <c r="X1382" s="1"/>
      <c r="Y1382" s="1"/>
    </row>
    <row r="1383" spans="1:25">
      <c r="A1383" s="57"/>
      <c r="B1383" s="68"/>
      <c r="C1383" s="68"/>
      <c r="D1383" s="68"/>
      <c r="E1383" s="68"/>
      <c r="F1383" s="68"/>
      <c r="G1383" s="68"/>
      <c r="H1383" s="68"/>
      <c r="I1383" s="68"/>
      <c r="J1383" s="68"/>
      <c r="K1383" s="68"/>
      <c r="L1383" s="56"/>
      <c r="M1383" s="26"/>
      <c r="N1383" s="26"/>
      <c r="O1383" s="68"/>
      <c r="P1383" s="1"/>
      <c r="Q1383" s="8"/>
      <c r="R1383" s="66"/>
      <c r="S1383" s="1"/>
      <c r="T1383" s="66"/>
      <c r="U1383" s="8"/>
      <c r="V1383" s="56"/>
      <c r="W1383" s="1"/>
      <c r="X1383" s="1"/>
      <c r="Y1383" s="1"/>
    </row>
    <row r="1384" spans="1:25">
      <c r="A1384" s="57"/>
      <c r="B1384" s="68"/>
      <c r="C1384" s="68"/>
      <c r="D1384" s="68"/>
      <c r="E1384" s="68"/>
      <c r="F1384" s="68"/>
      <c r="G1384" s="68"/>
      <c r="H1384" s="68"/>
      <c r="I1384" s="68"/>
      <c r="J1384" s="68"/>
      <c r="K1384" s="68"/>
      <c r="L1384" s="56"/>
      <c r="M1384" s="26"/>
      <c r="N1384" s="26"/>
      <c r="O1384" s="68"/>
      <c r="P1384" s="1"/>
      <c r="Q1384" s="8"/>
      <c r="R1384" s="66"/>
      <c r="S1384" s="1"/>
      <c r="T1384" s="66"/>
      <c r="U1384" s="8"/>
      <c r="V1384" s="56"/>
      <c r="W1384" s="1"/>
      <c r="X1384" s="1"/>
      <c r="Y1384" s="1"/>
    </row>
    <row r="1385" spans="1:25">
      <c r="A1385" s="57"/>
      <c r="B1385" s="68"/>
      <c r="C1385" s="68"/>
      <c r="D1385" s="68"/>
      <c r="E1385" s="68"/>
      <c r="F1385" s="68"/>
      <c r="G1385" s="68"/>
      <c r="H1385" s="68"/>
      <c r="I1385" s="68"/>
      <c r="J1385" s="68"/>
      <c r="K1385" s="68"/>
      <c r="L1385" s="56"/>
      <c r="M1385" s="26"/>
      <c r="N1385" s="26"/>
      <c r="O1385" s="68"/>
      <c r="P1385" s="1"/>
      <c r="Q1385" s="8"/>
      <c r="R1385" s="66"/>
      <c r="S1385" s="1"/>
      <c r="T1385" s="66"/>
      <c r="U1385" s="8"/>
      <c r="V1385" s="56"/>
      <c r="W1385" s="1"/>
      <c r="X1385" s="1"/>
      <c r="Y1385" s="1"/>
    </row>
    <row r="1386" spans="1:25">
      <c r="A1386" s="57"/>
      <c r="B1386" s="68"/>
      <c r="C1386" s="68"/>
      <c r="D1386" s="68"/>
      <c r="E1386" s="68"/>
      <c r="F1386" s="68"/>
      <c r="G1386" s="68"/>
      <c r="H1386" s="68"/>
      <c r="I1386" s="68"/>
      <c r="J1386" s="68"/>
      <c r="K1386" s="68"/>
      <c r="L1386" s="56"/>
      <c r="M1386" s="26"/>
      <c r="N1386" s="26"/>
      <c r="O1386" s="68"/>
      <c r="P1386" s="1"/>
      <c r="Q1386" s="8"/>
      <c r="R1386" s="66"/>
      <c r="S1386" s="1"/>
      <c r="T1386" s="66"/>
      <c r="U1386" s="8"/>
      <c r="V1386" s="56"/>
      <c r="W1386" s="1"/>
      <c r="X1386" s="1"/>
      <c r="Y1386" s="1"/>
    </row>
    <row r="1387" spans="1:25">
      <c r="A1387" s="57"/>
      <c r="B1387" s="68"/>
      <c r="C1387" s="68"/>
      <c r="D1387" s="68"/>
      <c r="E1387" s="68"/>
      <c r="F1387" s="68"/>
      <c r="G1387" s="68"/>
      <c r="H1387" s="68"/>
      <c r="I1387" s="68"/>
      <c r="J1387" s="68"/>
      <c r="K1387" s="68"/>
      <c r="L1387" s="56"/>
      <c r="M1387" s="26"/>
      <c r="N1387" s="26"/>
      <c r="O1387" s="68"/>
      <c r="P1387" s="1"/>
      <c r="Q1387" s="8"/>
      <c r="R1387" s="66"/>
      <c r="S1387" s="1"/>
      <c r="T1387" s="66"/>
      <c r="U1387" s="8"/>
      <c r="V1387" s="56"/>
      <c r="W1387" s="1"/>
      <c r="X1387" s="1"/>
      <c r="Y1387" s="1"/>
    </row>
    <row r="1388" spans="1:25">
      <c r="A1388" s="57"/>
      <c r="B1388" s="68"/>
      <c r="C1388" s="68"/>
      <c r="D1388" s="68"/>
      <c r="E1388" s="68"/>
      <c r="F1388" s="68"/>
      <c r="G1388" s="68"/>
      <c r="H1388" s="68"/>
      <c r="I1388" s="68"/>
      <c r="J1388" s="68"/>
      <c r="K1388" s="68"/>
      <c r="L1388" s="56"/>
      <c r="M1388" s="26"/>
      <c r="N1388" s="26"/>
      <c r="O1388" s="68"/>
      <c r="P1388" s="1"/>
      <c r="Q1388" s="8"/>
      <c r="R1388" s="66"/>
      <c r="S1388" s="1"/>
      <c r="T1388" s="66"/>
      <c r="U1388" s="8"/>
      <c r="V1388" s="56"/>
      <c r="W1388" s="1"/>
      <c r="X1388" s="1"/>
      <c r="Y1388" s="1"/>
    </row>
    <row r="1389" spans="1:25">
      <c r="A1389" s="57"/>
      <c r="B1389" s="68"/>
      <c r="C1389" s="68"/>
      <c r="D1389" s="68"/>
      <c r="E1389" s="68"/>
      <c r="F1389" s="68"/>
      <c r="G1389" s="68"/>
      <c r="H1389" s="68"/>
      <c r="I1389" s="68"/>
      <c r="J1389" s="68"/>
      <c r="K1389" s="68"/>
      <c r="L1389" s="56"/>
      <c r="M1389" s="26"/>
      <c r="N1389" s="26"/>
      <c r="O1389" s="68"/>
      <c r="P1389" s="1"/>
      <c r="Q1389" s="8"/>
      <c r="R1389" s="66"/>
      <c r="S1389" s="1"/>
      <c r="T1389" s="66"/>
      <c r="U1389" s="8"/>
      <c r="V1389" s="56"/>
      <c r="W1389" s="1"/>
      <c r="X1389" s="1"/>
      <c r="Y1389" s="1"/>
    </row>
    <row r="1390" spans="1:25">
      <c r="A1390" s="57"/>
      <c r="B1390" s="68"/>
      <c r="C1390" s="68"/>
      <c r="D1390" s="68"/>
      <c r="E1390" s="68"/>
      <c r="F1390" s="68"/>
      <c r="G1390" s="68"/>
      <c r="H1390" s="68"/>
      <c r="I1390" s="68"/>
      <c r="J1390" s="68"/>
      <c r="K1390" s="68"/>
      <c r="L1390" s="56"/>
      <c r="M1390" s="26"/>
      <c r="N1390" s="26"/>
      <c r="O1390" s="68"/>
      <c r="P1390" s="1"/>
      <c r="Q1390" s="8"/>
      <c r="R1390" s="66"/>
      <c r="S1390" s="1"/>
      <c r="T1390" s="66"/>
      <c r="U1390" s="8"/>
      <c r="V1390" s="56"/>
      <c r="W1390" s="1"/>
      <c r="X1390" s="1"/>
      <c r="Y1390" s="1"/>
    </row>
    <row r="1391" spans="1:25">
      <c r="A1391" s="57"/>
      <c r="B1391" s="68"/>
      <c r="C1391" s="68"/>
      <c r="D1391" s="68"/>
      <c r="E1391" s="68"/>
      <c r="F1391" s="68"/>
      <c r="G1391" s="68"/>
      <c r="H1391" s="68"/>
      <c r="I1391" s="68"/>
      <c r="J1391" s="68"/>
      <c r="K1391" s="68"/>
      <c r="L1391" s="56"/>
      <c r="M1391" s="26"/>
      <c r="N1391" s="26"/>
      <c r="O1391" s="68"/>
      <c r="P1391" s="1"/>
      <c r="Q1391" s="8"/>
      <c r="R1391" s="66"/>
      <c r="S1391" s="1"/>
      <c r="T1391" s="66"/>
      <c r="U1391" s="8"/>
      <c r="V1391" s="56"/>
      <c r="W1391" s="1"/>
      <c r="X1391" s="1"/>
      <c r="Y1391" s="1"/>
    </row>
    <row r="1392" spans="1:25">
      <c r="A1392" s="57"/>
      <c r="B1392" s="68"/>
      <c r="C1392" s="68"/>
      <c r="D1392" s="68"/>
      <c r="E1392" s="68"/>
      <c r="F1392" s="68"/>
      <c r="G1392" s="68"/>
      <c r="H1392" s="68"/>
      <c r="I1392" s="68"/>
      <c r="J1392" s="68"/>
      <c r="K1392" s="68"/>
      <c r="L1392" s="56"/>
      <c r="M1392" s="26"/>
      <c r="N1392" s="26"/>
      <c r="O1392" s="68"/>
      <c r="P1392" s="1"/>
      <c r="Q1392" s="8"/>
      <c r="R1392" s="66"/>
      <c r="S1392" s="1"/>
      <c r="T1392" s="66"/>
      <c r="U1392" s="8"/>
      <c r="V1392" s="56"/>
      <c r="W1392" s="1"/>
      <c r="X1392" s="1"/>
      <c r="Y1392" s="1"/>
    </row>
    <row r="1393" spans="1:25">
      <c r="A1393" s="57"/>
      <c r="B1393" s="68"/>
      <c r="C1393" s="68"/>
      <c r="D1393" s="68"/>
      <c r="E1393" s="68"/>
      <c r="F1393" s="68"/>
      <c r="G1393" s="68"/>
      <c r="H1393" s="68"/>
      <c r="I1393" s="68"/>
      <c r="J1393" s="68"/>
      <c r="K1393" s="68"/>
      <c r="L1393" s="56"/>
      <c r="M1393" s="26"/>
      <c r="N1393" s="26"/>
      <c r="O1393" s="68"/>
      <c r="P1393" s="1"/>
      <c r="Q1393" s="8"/>
      <c r="R1393" s="66"/>
      <c r="S1393" s="1"/>
      <c r="T1393" s="66"/>
      <c r="U1393" s="8"/>
      <c r="V1393" s="56"/>
      <c r="W1393" s="1"/>
      <c r="X1393" s="1"/>
      <c r="Y1393" s="1"/>
    </row>
    <row r="1394" spans="1:25">
      <c r="A1394" s="57"/>
      <c r="B1394" s="68"/>
      <c r="C1394" s="68"/>
      <c r="D1394" s="68"/>
      <c r="E1394" s="68"/>
      <c r="F1394" s="68"/>
      <c r="G1394" s="68"/>
      <c r="H1394" s="68"/>
      <c r="I1394" s="68"/>
      <c r="J1394" s="68"/>
      <c r="K1394" s="68"/>
      <c r="L1394" s="56"/>
      <c r="M1394" s="26"/>
      <c r="N1394" s="26"/>
      <c r="O1394" s="68"/>
      <c r="P1394" s="1"/>
      <c r="Q1394" s="8"/>
      <c r="R1394" s="66"/>
      <c r="S1394" s="1"/>
      <c r="T1394" s="66"/>
      <c r="U1394" s="8"/>
      <c r="V1394" s="56"/>
      <c r="W1394" s="1"/>
      <c r="X1394" s="1"/>
      <c r="Y1394" s="1"/>
    </row>
    <row r="1395" spans="1:25">
      <c r="A1395" s="57"/>
      <c r="B1395" s="68"/>
      <c r="C1395" s="68"/>
      <c r="D1395" s="68"/>
      <c r="E1395" s="68"/>
      <c r="F1395" s="68"/>
      <c r="G1395" s="68"/>
      <c r="H1395" s="68"/>
      <c r="I1395" s="68"/>
      <c r="J1395" s="68"/>
      <c r="K1395" s="68"/>
      <c r="L1395" s="56"/>
      <c r="M1395" s="26"/>
      <c r="N1395" s="26"/>
      <c r="O1395" s="68"/>
      <c r="P1395" s="1"/>
      <c r="Q1395" s="8"/>
      <c r="R1395" s="66"/>
      <c r="S1395" s="1"/>
      <c r="T1395" s="66"/>
      <c r="U1395" s="8"/>
      <c r="V1395" s="56"/>
      <c r="W1395" s="1"/>
      <c r="X1395" s="1"/>
      <c r="Y1395" s="1"/>
    </row>
    <row r="1396" spans="1:25">
      <c r="A1396" s="57"/>
      <c r="B1396" s="68"/>
      <c r="C1396" s="68"/>
      <c r="D1396" s="68"/>
      <c r="E1396" s="68"/>
      <c r="F1396" s="68"/>
      <c r="G1396" s="68"/>
      <c r="H1396" s="68"/>
      <c r="I1396" s="68"/>
      <c r="J1396" s="68"/>
      <c r="K1396" s="68"/>
      <c r="L1396" s="56"/>
      <c r="M1396" s="26"/>
      <c r="N1396" s="26"/>
      <c r="O1396" s="68"/>
      <c r="P1396" s="1"/>
      <c r="Q1396" s="8"/>
      <c r="R1396" s="66"/>
      <c r="S1396" s="1"/>
      <c r="T1396" s="66"/>
      <c r="U1396" s="8"/>
      <c r="V1396" s="56"/>
      <c r="W1396" s="1"/>
      <c r="X1396" s="1"/>
      <c r="Y1396" s="1"/>
    </row>
    <row r="1397" spans="1:25">
      <c r="A1397" s="57"/>
      <c r="B1397" s="68"/>
      <c r="C1397" s="68"/>
      <c r="D1397" s="68"/>
      <c r="E1397" s="68"/>
      <c r="F1397" s="68"/>
      <c r="G1397" s="68"/>
      <c r="H1397" s="68"/>
      <c r="I1397" s="68"/>
      <c r="J1397" s="68"/>
      <c r="K1397" s="68"/>
      <c r="L1397" s="56"/>
      <c r="M1397" s="26"/>
      <c r="N1397" s="26"/>
      <c r="O1397" s="68"/>
      <c r="P1397" s="1"/>
      <c r="Q1397" s="8"/>
      <c r="R1397" s="66"/>
      <c r="S1397" s="1"/>
      <c r="T1397" s="66"/>
      <c r="U1397" s="8"/>
      <c r="V1397" s="56"/>
      <c r="W1397" s="1"/>
      <c r="X1397" s="1"/>
      <c r="Y1397" s="1"/>
    </row>
    <row r="1398" spans="1:25">
      <c r="A1398" s="57"/>
      <c r="B1398" s="68"/>
      <c r="C1398" s="68"/>
      <c r="D1398" s="68"/>
      <c r="E1398" s="68"/>
      <c r="F1398" s="68"/>
      <c r="G1398" s="68"/>
      <c r="H1398" s="68"/>
      <c r="I1398" s="68"/>
      <c r="J1398" s="68"/>
      <c r="K1398" s="68"/>
      <c r="L1398" s="56"/>
      <c r="M1398" s="26"/>
      <c r="N1398" s="26"/>
      <c r="O1398" s="68"/>
      <c r="P1398" s="1"/>
      <c r="Q1398" s="8"/>
      <c r="R1398" s="66"/>
      <c r="S1398" s="1"/>
      <c r="T1398" s="66"/>
      <c r="U1398" s="8"/>
      <c r="V1398" s="56"/>
      <c r="W1398" s="1"/>
      <c r="X1398" s="1"/>
      <c r="Y1398" s="1"/>
    </row>
    <row r="1399" spans="1:25">
      <c r="A1399" s="57"/>
      <c r="B1399" s="68"/>
      <c r="C1399" s="68"/>
      <c r="D1399" s="68"/>
      <c r="E1399" s="68"/>
      <c r="F1399" s="68"/>
      <c r="G1399" s="68"/>
      <c r="H1399" s="68"/>
      <c r="I1399" s="68"/>
      <c r="J1399" s="68"/>
      <c r="K1399" s="68"/>
      <c r="L1399" s="56"/>
      <c r="M1399" s="26"/>
      <c r="N1399" s="26"/>
      <c r="O1399" s="68"/>
      <c r="P1399" s="1"/>
      <c r="Q1399" s="8"/>
      <c r="R1399" s="66"/>
      <c r="S1399" s="1"/>
      <c r="T1399" s="66"/>
      <c r="U1399" s="8"/>
      <c r="V1399" s="56"/>
      <c r="W1399" s="1"/>
      <c r="X1399" s="1"/>
      <c r="Y1399" s="1"/>
    </row>
    <row r="1400" spans="1:25">
      <c r="A1400" s="57"/>
      <c r="B1400" s="68"/>
      <c r="C1400" s="68"/>
      <c r="D1400" s="68"/>
      <c r="E1400" s="68"/>
      <c r="F1400" s="68"/>
      <c r="G1400" s="68"/>
      <c r="H1400" s="68"/>
      <c r="I1400" s="68"/>
      <c r="J1400" s="68"/>
      <c r="K1400" s="68"/>
      <c r="L1400" s="56"/>
      <c r="M1400" s="26"/>
      <c r="N1400" s="26"/>
      <c r="O1400" s="68"/>
      <c r="P1400" s="1"/>
      <c r="Q1400" s="8"/>
      <c r="R1400" s="66"/>
      <c r="S1400" s="1"/>
      <c r="T1400" s="66"/>
      <c r="U1400" s="8"/>
      <c r="V1400" s="56"/>
      <c r="W1400" s="1"/>
      <c r="X1400" s="1"/>
      <c r="Y1400" s="1"/>
    </row>
    <row r="1401" spans="1:25">
      <c r="A1401" s="57"/>
      <c r="B1401" s="68"/>
      <c r="C1401" s="68"/>
      <c r="D1401" s="68"/>
      <c r="E1401" s="68"/>
      <c r="F1401" s="68"/>
      <c r="G1401" s="68"/>
      <c r="H1401" s="68"/>
      <c r="I1401" s="68"/>
      <c r="J1401" s="68"/>
      <c r="K1401" s="68"/>
      <c r="L1401" s="56"/>
      <c r="M1401" s="26"/>
      <c r="N1401" s="26"/>
      <c r="O1401" s="68"/>
      <c r="P1401" s="1"/>
      <c r="Q1401" s="8"/>
      <c r="R1401" s="66"/>
      <c r="S1401" s="1"/>
      <c r="T1401" s="66"/>
      <c r="U1401" s="8"/>
      <c r="V1401" s="56"/>
      <c r="W1401" s="1"/>
      <c r="X1401" s="1"/>
      <c r="Y1401" s="1"/>
    </row>
    <row r="1402" spans="1:25">
      <c r="A1402" s="57"/>
      <c r="B1402" s="68"/>
      <c r="C1402" s="68"/>
      <c r="D1402" s="68"/>
      <c r="E1402" s="68"/>
      <c r="F1402" s="68"/>
      <c r="G1402" s="68"/>
      <c r="H1402" s="68"/>
      <c r="I1402" s="68"/>
      <c r="J1402" s="68"/>
      <c r="K1402" s="68"/>
      <c r="L1402" s="56"/>
      <c r="M1402" s="26"/>
      <c r="N1402" s="26"/>
      <c r="O1402" s="68"/>
      <c r="P1402" s="1"/>
      <c r="Q1402" s="8"/>
      <c r="R1402" s="66"/>
      <c r="S1402" s="1"/>
      <c r="T1402" s="66"/>
      <c r="U1402" s="8"/>
      <c r="V1402" s="56"/>
      <c r="W1402" s="1"/>
      <c r="X1402" s="1"/>
      <c r="Y1402" s="1"/>
    </row>
    <row r="1403" spans="1:25">
      <c r="A1403" s="57"/>
      <c r="B1403" s="68"/>
      <c r="C1403" s="68"/>
      <c r="D1403" s="68"/>
      <c r="E1403" s="68"/>
      <c r="F1403" s="68"/>
      <c r="G1403" s="68"/>
      <c r="H1403" s="68"/>
      <c r="I1403" s="68"/>
      <c r="J1403" s="68"/>
      <c r="K1403" s="68"/>
      <c r="L1403" s="56"/>
      <c r="M1403" s="26"/>
      <c r="N1403" s="26"/>
      <c r="O1403" s="68"/>
      <c r="P1403" s="1"/>
      <c r="Q1403" s="8"/>
      <c r="R1403" s="66"/>
      <c r="S1403" s="1"/>
      <c r="T1403" s="66"/>
      <c r="U1403" s="8"/>
      <c r="V1403" s="56"/>
      <c r="W1403" s="1"/>
      <c r="X1403" s="1"/>
      <c r="Y1403" s="1"/>
    </row>
    <row r="1404" spans="1:25">
      <c r="A1404" s="57"/>
      <c r="B1404" s="68"/>
      <c r="C1404" s="68"/>
      <c r="D1404" s="68"/>
      <c r="E1404" s="68"/>
      <c r="F1404" s="68"/>
      <c r="G1404" s="68"/>
      <c r="H1404" s="68"/>
      <c r="I1404" s="68"/>
      <c r="J1404" s="68"/>
      <c r="K1404" s="68"/>
      <c r="L1404" s="56"/>
      <c r="M1404" s="26"/>
      <c r="N1404" s="26"/>
      <c r="O1404" s="68"/>
      <c r="P1404" s="1"/>
      <c r="Q1404" s="8"/>
      <c r="R1404" s="66"/>
      <c r="S1404" s="1"/>
      <c r="T1404" s="66"/>
      <c r="U1404" s="8"/>
      <c r="V1404" s="56"/>
      <c r="W1404" s="1"/>
      <c r="X1404" s="1"/>
      <c r="Y1404" s="1"/>
    </row>
    <row r="1405" spans="1:25">
      <c r="A1405" s="57"/>
      <c r="B1405" s="68"/>
      <c r="C1405" s="68"/>
      <c r="D1405" s="68"/>
      <c r="E1405" s="68"/>
      <c r="F1405" s="68"/>
      <c r="G1405" s="68"/>
      <c r="H1405" s="68"/>
      <c r="I1405" s="68"/>
      <c r="J1405" s="68"/>
      <c r="K1405" s="68"/>
      <c r="L1405" s="56"/>
      <c r="M1405" s="26"/>
      <c r="N1405" s="26"/>
      <c r="O1405" s="68"/>
      <c r="P1405" s="1"/>
      <c r="Q1405" s="8"/>
      <c r="R1405" s="66"/>
      <c r="S1405" s="1"/>
      <c r="T1405" s="66"/>
      <c r="U1405" s="8"/>
      <c r="V1405" s="56"/>
      <c r="W1405" s="1"/>
      <c r="X1405" s="1"/>
      <c r="Y1405" s="1"/>
    </row>
    <row r="1406" spans="1:25">
      <c r="A1406" s="57"/>
      <c r="B1406" s="68"/>
      <c r="C1406" s="68"/>
      <c r="D1406" s="68"/>
      <c r="E1406" s="68"/>
      <c r="F1406" s="68"/>
      <c r="G1406" s="68"/>
      <c r="H1406" s="68"/>
      <c r="I1406" s="68"/>
      <c r="J1406" s="68"/>
      <c r="K1406" s="68"/>
      <c r="L1406" s="56"/>
      <c r="M1406" s="26"/>
      <c r="N1406" s="26"/>
      <c r="O1406" s="68"/>
      <c r="P1406" s="1"/>
      <c r="Q1406" s="8"/>
      <c r="R1406" s="66"/>
      <c r="S1406" s="1"/>
      <c r="T1406" s="66"/>
      <c r="U1406" s="8"/>
      <c r="V1406" s="56"/>
      <c r="W1406" s="1"/>
      <c r="X1406" s="1"/>
      <c r="Y1406" s="1"/>
    </row>
    <row r="1407" spans="1:25">
      <c r="A1407" s="57"/>
      <c r="B1407" s="68"/>
      <c r="C1407" s="68"/>
      <c r="D1407" s="68"/>
      <c r="E1407" s="68"/>
      <c r="F1407" s="68"/>
      <c r="G1407" s="68"/>
      <c r="H1407" s="68"/>
      <c r="I1407" s="68"/>
      <c r="J1407" s="68"/>
      <c r="K1407" s="68"/>
      <c r="L1407" s="56"/>
      <c r="M1407" s="26"/>
      <c r="N1407" s="26"/>
      <c r="O1407" s="68"/>
      <c r="P1407" s="1"/>
      <c r="Q1407" s="8"/>
      <c r="R1407" s="66"/>
      <c r="S1407" s="1"/>
      <c r="T1407" s="66"/>
      <c r="U1407" s="8"/>
      <c r="V1407" s="56"/>
      <c r="W1407" s="1"/>
      <c r="X1407" s="1"/>
      <c r="Y1407" s="1"/>
    </row>
    <row r="1408" spans="1:25">
      <c r="A1408" s="57"/>
      <c r="B1408" s="68"/>
      <c r="C1408" s="68"/>
      <c r="D1408" s="68"/>
      <c r="E1408" s="68"/>
      <c r="F1408" s="68"/>
      <c r="G1408" s="68"/>
      <c r="H1408" s="68"/>
      <c r="I1408" s="68"/>
      <c r="J1408" s="68"/>
      <c r="K1408" s="68"/>
      <c r="L1408" s="56"/>
      <c r="M1408" s="26"/>
      <c r="N1408" s="26"/>
      <c r="O1408" s="68"/>
      <c r="P1408" s="1"/>
      <c r="Q1408" s="8"/>
      <c r="R1408" s="66"/>
      <c r="S1408" s="1"/>
      <c r="T1408" s="66"/>
      <c r="U1408" s="8"/>
      <c r="V1408" s="56"/>
      <c r="W1408" s="1"/>
      <c r="X1408" s="1"/>
      <c r="Y1408" s="1"/>
    </row>
    <row r="1409" spans="1:25">
      <c r="A1409" s="57"/>
      <c r="B1409" s="68"/>
      <c r="C1409" s="68"/>
      <c r="D1409" s="68"/>
      <c r="E1409" s="68"/>
      <c r="F1409" s="68"/>
      <c r="G1409" s="68"/>
      <c r="H1409" s="68"/>
      <c r="I1409" s="68"/>
      <c r="J1409" s="68"/>
      <c r="K1409" s="68"/>
      <c r="L1409" s="56"/>
      <c r="M1409" s="26"/>
      <c r="N1409" s="26"/>
      <c r="O1409" s="68"/>
      <c r="P1409" s="1"/>
      <c r="Q1409" s="8"/>
      <c r="R1409" s="66"/>
      <c r="S1409" s="1"/>
      <c r="T1409" s="66"/>
      <c r="U1409" s="8"/>
      <c r="V1409" s="56"/>
      <c r="W1409" s="1"/>
      <c r="X1409" s="1"/>
      <c r="Y1409" s="1"/>
    </row>
    <row r="1410" spans="1:25">
      <c r="A1410" s="57"/>
      <c r="B1410" s="68"/>
      <c r="C1410" s="68"/>
      <c r="D1410" s="68"/>
      <c r="E1410" s="68"/>
      <c r="F1410" s="68"/>
      <c r="G1410" s="68"/>
      <c r="H1410" s="68"/>
      <c r="I1410" s="68"/>
      <c r="J1410" s="68"/>
      <c r="K1410" s="68"/>
      <c r="L1410" s="56"/>
      <c r="M1410" s="26"/>
      <c r="N1410" s="26"/>
      <c r="O1410" s="68"/>
      <c r="P1410" s="1"/>
      <c r="Q1410" s="8"/>
      <c r="R1410" s="66"/>
      <c r="S1410" s="1"/>
      <c r="T1410" s="66"/>
      <c r="U1410" s="8"/>
      <c r="V1410" s="56"/>
      <c r="W1410" s="1"/>
      <c r="X1410" s="1"/>
      <c r="Y1410" s="1"/>
    </row>
    <row r="1411" spans="1:25">
      <c r="A1411" s="57"/>
      <c r="B1411" s="68"/>
      <c r="C1411" s="68"/>
      <c r="D1411" s="68"/>
      <c r="E1411" s="68"/>
      <c r="F1411" s="68"/>
      <c r="G1411" s="68"/>
      <c r="H1411" s="68"/>
      <c r="I1411" s="68"/>
      <c r="J1411" s="68"/>
      <c r="K1411" s="68"/>
      <c r="L1411" s="56"/>
      <c r="M1411" s="26"/>
      <c r="N1411" s="26"/>
      <c r="O1411" s="68"/>
      <c r="P1411" s="1"/>
      <c r="Q1411" s="8"/>
      <c r="R1411" s="66"/>
      <c r="S1411" s="1"/>
      <c r="T1411" s="66"/>
      <c r="U1411" s="8"/>
      <c r="V1411" s="56"/>
      <c r="W1411" s="1"/>
      <c r="X1411" s="1"/>
      <c r="Y1411" s="1"/>
    </row>
    <row r="1412" spans="1:25">
      <c r="A1412" s="57"/>
      <c r="B1412" s="68"/>
      <c r="C1412" s="68"/>
      <c r="D1412" s="68"/>
      <c r="E1412" s="68"/>
      <c r="F1412" s="68"/>
      <c r="G1412" s="68"/>
      <c r="H1412" s="68"/>
      <c r="I1412" s="68"/>
      <c r="J1412" s="68"/>
      <c r="K1412" s="68"/>
      <c r="L1412" s="56"/>
      <c r="M1412" s="26"/>
      <c r="N1412" s="26"/>
      <c r="O1412" s="68"/>
      <c r="P1412" s="1"/>
      <c r="Q1412" s="8"/>
      <c r="R1412" s="66"/>
      <c r="S1412" s="1"/>
      <c r="T1412" s="66"/>
      <c r="U1412" s="8"/>
      <c r="V1412" s="56"/>
      <c r="W1412" s="1"/>
      <c r="X1412" s="1"/>
      <c r="Y1412" s="1"/>
    </row>
    <row r="1413" spans="1:25">
      <c r="A1413" s="57"/>
      <c r="B1413" s="68"/>
      <c r="C1413" s="68"/>
      <c r="D1413" s="68"/>
      <c r="E1413" s="68"/>
      <c r="F1413" s="68"/>
      <c r="G1413" s="68"/>
      <c r="H1413" s="68"/>
      <c r="I1413" s="68"/>
      <c r="J1413" s="68"/>
      <c r="K1413" s="68"/>
      <c r="L1413" s="56"/>
      <c r="M1413" s="26"/>
      <c r="N1413" s="26"/>
      <c r="O1413" s="68"/>
      <c r="P1413" s="1"/>
      <c r="Q1413" s="8"/>
      <c r="R1413" s="66"/>
      <c r="S1413" s="1"/>
      <c r="T1413" s="66"/>
      <c r="U1413" s="8"/>
      <c r="V1413" s="56"/>
      <c r="W1413" s="1"/>
      <c r="X1413" s="1"/>
      <c r="Y1413" s="1"/>
    </row>
    <row r="1414" spans="1:25">
      <c r="A1414" s="57"/>
      <c r="B1414" s="68"/>
      <c r="C1414" s="68"/>
      <c r="D1414" s="68"/>
      <c r="E1414" s="68"/>
      <c r="F1414" s="68"/>
      <c r="G1414" s="68"/>
      <c r="H1414" s="68"/>
      <c r="I1414" s="68"/>
      <c r="J1414" s="68"/>
      <c r="K1414" s="68"/>
      <c r="L1414" s="56"/>
      <c r="M1414" s="26"/>
      <c r="N1414" s="26"/>
      <c r="O1414" s="68"/>
      <c r="P1414" s="1"/>
      <c r="Q1414" s="8"/>
      <c r="R1414" s="66"/>
      <c r="S1414" s="1"/>
      <c r="T1414" s="66"/>
      <c r="U1414" s="8"/>
      <c r="V1414" s="56"/>
      <c r="W1414" s="1"/>
      <c r="X1414" s="1"/>
      <c r="Y1414" s="1"/>
    </row>
    <row r="1415" spans="1:25">
      <c r="A1415" s="57"/>
      <c r="B1415" s="68"/>
      <c r="C1415" s="68"/>
      <c r="D1415" s="68"/>
      <c r="E1415" s="68"/>
      <c r="F1415" s="68"/>
      <c r="G1415" s="68"/>
      <c r="H1415" s="68"/>
      <c r="I1415" s="68"/>
      <c r="J1415" s="68"/>
      <c r="K1415" s="68"/>
      <c r="L1415" s="56"/>
      <c r="M1415" s="26"/>
      <c r="N1415" s="26"/>
      <c r="O1415" s="68"/>
      <c r="P1415" s="1"/>
      <c r="Q1415" s="8"/>
      <c r="R1415" s="66"/>
      <c r="S1415" s="1"/>
      <c r="T1415" s="66"/>
      <c r="U1415" s="8"/>
      <c r="V1415" s="56"/>
      <c r="W1415" s="1"/>
      <c r="X1415" s="1"/>
      <c r="Y1415" s="1"/>
    </row>
    <row r="1416" spans="1:25">
      <c r="A1416" s="57"/>
      <c r="B1416" s="68"/>
      <c r="C1416" s="68"/>
      <c r="D1416" s="68"/>
      <c r="E1416" s="68"/>
      <c r="F1416" s="68"/>
      <c r="G1416" s="68"/>
      <c r="H1416" s="68"/>
      <c r="I1416" s="68"/>
      <c r="J1416" s="68"/>
      <c r="K1416" s="68"/>
      <c r="L1416" s="56"/>
      <c r="M1416" s="26"/>
      <c r="N1416" s="26"/>
      <c r="O1416" s="68"/>
      <c r="P1416" s="1"/>
      <c r="Q1416" s="8"/>
      <c r="R1416" s="66"/>
      <c r="S1416" s="1"/>
      <c r="T1416" s="66"/>
      <c r="U1416" s="8"/>
      <c r="V1416" s="56"/>
      <c r="W1416" s="1"/>
      <c r="X1416" s="1"/>
      <c r="Y1416" s="1"/>
    </row>
    <row r="1417" spans="1:25">
      <c r="A1417" s="57"/>
      <c r="B1417" s="68"/>
      <c r="C1417" s="68"/>
      <c r="D1417" s="68"/>
      <c r="E1417" s="68"/>
      <c r="F1417" s="68"/>
      <c r="G1417" s="68"/>
      <c r="H1417" s="68"/>
      <c r="I1417" s="68"/>
      <c r="J1417" s="68"/>
      <c r="K1417" s="68"/>
      <c r="L1417" s="56"/>
      <c r="M1417" s="26"/>
      <c r="N1417" s="26"/>
      <c r="O1417" s="68"/>
      <c r="P1417" s="1"/>
      <c r="Q1417" s="8"/>
      <c r="R1417" s="66"/>
      <c r="S1417" s="1"/>
      <c r="T1417" s="66"/>
      <c r="U1417" s="8"/>
      <c r="V1417" s="56"/>
      <c r="W1417" s="1"/>
      <c r="X1417" s="1"/>
      <c r="Y1417" s="1"/>
    </row>
    <row r="1418" spans="1:25">
      <c r="A1418" s="57"/>
      <c r="B1418" s="68"/>
      <c r="C1418" s="68"/>
      <c r="D1418" s="68"/>
      <c r="E1418" s="68"/>
      <c r="F1418" s="68"/>
      <c r="G1418" s="68"/>
      <c r="H1418" s="68"/>
      <c r="I1418" s="68"/>
      <c r="J1418" s="68"/>
      <c r="K1418" s="68"/>
      <c r="L1418" s="56"/>
      <c r="M1418" s="26"/>
      <c r="N1418" s="26"/>
      <c r="O1418" s="68"/>
      <c r="P1418" s="1"/>
      <c r="Q1418" s="8"/>
      <c r="R1418" s="66"/>
      <c r="S1418" s="1"/>
      <c r="T1418" s="66"/>
      <c r="U1418" s="8"/>
      <c r="V1418" s="56"/>
      <c r="W1418" s="1"/>
      <c r="X1418" s="1"/>
      <c r="Y1418" s="1"/>
    </row>
    <row r="1419" spans="1:25">
      <c r="A1419" s="57"/>
      <c r="B1419" s="68"/>
      <c r="C1419" s="68"/>
      <c r="D1419" s="68"/>
      <c r="E1419" s="68"/>
      <c r="F1419" s="68"/>
      <c r="G1419" s="68"/>
      <c r="H1419" s="68"/>
      <c r="I1419" s="68"/>
      <c r="J1419" s="68"/>
      <c r="K1419" s="68"/>
      <c r="L1419" s="56"/>
      <c r="M1419" s="26"/>
      <c r="N1419" s="26"/>
      <c r="O1419" s="68"/>
      <c r="P1419" s="1"/>
      <c r="Q1419" s="8"/>
      <c r="R1419" s="66"/>
      <c r="S1419" s="1"/>
      <c r="T1419" s="66"/>
      <c r="U1419" s="8"/>
      <c r="V1419" s="56"/>
      <c r="W1419" s="1"/>
      <c r="X1419" s="1"/>
      <c r="Y1419" s="1"/>
    </row>
    <row r="1420" spans="1:25">
      <c r="A1420" s="57"/>
      <c r="B1420" s="68"/>
      <c r="C1420" s="68"/>
      <c r="D1420" s="68"/>
      <c r="E1420" s="68"/>
      <c r="F1420" s="68"/>
      <c r="G1420" s="68"/>
      <c r="H1420" s="68"/>
      <c r="I1420" s="68"/>
      <c r="J1420" s="68"/>
      <c r="K1420" s="68"/>
      <c r="L1420" s="56"/>
      <c r="M1420" s="26"/>
      <c r="N1420" s="26"/>
      <c r="O1420" s="68"/>
      <c r="P1420" s="1"/>
      <c r="Q1420" s="8"/>
      <c r="R1420" s="66"/>
      <c r="S1420" s="1"/>
      <c r="T1420" s="66"/>
      <c r="U1420" s="8"/>
      <c r="V1420" s="56"/>
      <c r="W1420" s="1"/>
      <c r="X1420" s="1"/>
      <c r="Y1420" s="1"/>
    </row>
    <row r="1421" spans="1:25">
      <c r="A1421" s="57"/>
      <c r="B1421" s="68"/>
      <c r="C1421" s="68"/>
      <c r="D1421" s="68"/>
      <c r="E1421" s="68"/>
      <c r="F1421" s="68"/>
      <c r="G1421" s="68"/>
      <c r="H1421" s="68"/>
      <c r="I1421" s="68"/>
      <c r="J1421" s="68"/>
      <c r="K1421" s="68"/>
      <c r="L1421" s="56"/>
      <c r="M1421" s="26"/>
      <c r="N1421" s="26"/>
      <c r="O1421" s="68"/>
      <c r="P1421" s="1"/>
      <c r="Q1421" s="8"/>
      <c r="R1421" s="66"/>
      <c r="S1421" s="1"/>
      <c r="T1421" s="66"/>
      <c r="U1421" s="8"/>
      <c r="V1421" s="56"/>
      <c r="W1421" s="1"/>
      <c r="X1421" s="1"/>
      <c r="Y1421" s="1"/>
    </row>
    <row r="1422" spans="1:25">
      <c r="A1422" s="57"/>
      <c r="B1422" s="68"/>
      <c r="C1422" s="68"/>
      <c r="D1422" s="68"/>
      <c r="E1422" s="68"/>
      <c r="F1422" s="68"/>
      <c r="G1422" s="68"/>
      <c r="H1422" s="68"/>
      <c r="I1422" s="68"/>
      <c r="J1422" s="68"/>
      <c r="K1422" s="68"/>
      <c r="L1422" s="56"/>
      <c r="M1422" s="26"/>
      <c r="N1422" s="26"/>
      <c r="O1422" s="68"/>
      <c r="P1422" s="1"/>
      <c r="Q1422" s="8"/>
      <c r="R1422" s="66"/>
      <c r="S1422" s="1"/>
      <c r="T1422" s="66"/>
      <c r="U1422" s="8"/>
      <c r="V1422" s="56"/>
      <c r="W1422" s="1"/>
      <c r="X1422" s="1"/>
      <c r="Y1422" s="1"/>
    </row>
    <row r="1423" spans="1:25">
      <c r="A1423" s="57"/>
      <c r="B1423" s="68"/>
      <c r="C1423" s="68"/>
      <c r="D1423" s="68"/>
      <c r="E1423" s="68"/>
      <c r="F1423" s="68"/>
      <c r="G1423" s="68"/>
      <c r="H1423" s="68"/>
      <c r="I1423" s="68"/>
      <c r="J1423" s="68"/>
      <c r="K1423" s="68"/>
      <c r="L1423" s="56"/>
      <c r="M1423" s="26"/>
      <c r="N1423" s="26"/>
      <c r="O1423" s="68"/>
      <c r="P1423" s="1"/>
      <c r="Q1423" s="8"/>
      <c r="R1423" s="66"/>
      <c r="S1423" s="1"/>
      <c r="T1423" s="66"/>
      <c r="U1423" s="8"/>
      <c r="V1423" s="56"/>
      <c r="W1423" s="1"/>
      <c r="X1423" s="1"/>
      <c r="Y1423" s="1"/>
    </row>
    <row r="1424" spans="1:25">
      <c r="A1424" s="57"/>
      <c r="B1424" s="68"/>
      <c r="C1424" s="68"/>
      <c r="D1424" s="68"/>
      <c r="E1424" s="68"/>
      <c r="F1424" s="68"/>
      <c r="G1424" s="68"/>
      <c r="H1424" s="68"/>
      <c r="I1424" s="68"/>
      <c r="J1424" s="68"/>
      <c r="K1424" s="68"/>
      <c r="L1424" s="56"/>
      <c r="M1424" s="26"/>
      <c r="N1424" s="26"/>
      <c r="O1424" s="68"/>
      <c r="P1424" s="1"/>
      <c r="Q1424" s="8"/>
      <c r="R1424" s="66"/>
      <c r="S1424" s="1"/>
      <c r="T1424" s="66"/>
      <c r="U1424" s="8"/>
      <c r="V1424" s="56"/>
      <c r="W1424" s="1"/>
      <c r="X1424" s="1"/>
      <c r="Y1424" s="1"/>
    </row>
    <row r="1425" spans="1:25">
      <c r="A1425" s="57"/>
      <c r="B1425" s="68"/>
      <c r="C1425" s="68"/>
      <c r="D1425" s="68"/>
      <c r="E1425" s="68"/>
      <c r="F1425" s="68"/>
      <c r="G1425" s="68"/>
      <c r="H1425" s="68"/>
      <c r="I1425" s="68"/>
      <c r="J1425" s="68"/>
      <c r="K1425" s="68"/>
      <c r="L1425" s="56"/>
      <c r="M1425" s="26"/>
      <c r="N1425" s="26"/>
      <c r="O1425" s="68"/>
      <c r="P1425" s="1"/>
      <c r="Q1425" s="8"/>
      <c r="R1425" s="66"/>
      <c r="S1425" s="1"/>
      <c r="T1425" s="66"/>
      <c r="U1425" s="8"/>
      <c r="V1425" s="56"/>
      <c r="W1425" s="1"/>
      <c r="X1425" s="1"/>
      <c r="Y1425" s="1"/>
    </row>
    <row r="1426" spans="1:25">
      <c r="A1426" s="57"/>
      <c r="B1426" s="68"/>
      <c r="C1426" s="68"/>
      <c r="D1426" s="68"/>
      <c r="E1426" s="68"/>
      <c r="F1426" s="68"/>
      <c r="G1426" s="68"/>
      <c r="H1426" s="68"/>
      <c r="I1426" s="68"/>
      <c r="J1426" s="68"/>
      <c r="K1426" s="68"/>
      <c r="L1426" s="56"/>
      <c r="M1426" s="26"/>
      <c r="N1426" s="26"/>
      <c r="O1426" s="68"/>
      <c r="P1426" s="1"/>
      <c r="Q1426" s="8"/>
      <c r="R1426" s="66"/>
      <c r="S1426" s="1"/>
      <c r="T1426" s="66"/>
      <c r="U1426" s="8"/>
      <c r="V1426" s="56"/>
      <c r="W1426" s="1"/>
      <c r="X1426" s="1"/>
      <c r="Y1426" s="1"/>
    </row>
    <row r="1427" spans="1:25">
      <c r="A1427" s="57"/>
      <c r="B1427" s="68"/>
      <c r="C1427" s="68"/>
      <c r="D1427" s="68"/>
      <c r="E1427" s="68"/>
      <c r="F1427" s="68"/>
      <c r="G1427" s="68"/>
      <c r="H1427" s="68"/>
      <c r="I1427" s="68"/>
      <c r="J1427" s="68"/>
      <c r="K1427" s="68"/>
      <c r="L1427" s="56"/>
      <c r="M1427" s="26"/>
      <c r="N1427" s="26"/>
      <c r="O1427" s="68"/>
      <c r="P1427" s="1"/>
      <c r="Q1427" s="8"/>
      <c r="R1427" s="66"/>
      <c r="S1427" s="1"/>
      <c r="T1427" s="66"/>
      <c r="U1427" s="8"/>
      <c r="V1427" s="56"/>
      <c r="W1427" s="1"/>
      <c r="X1427" s="1"/>
      <c r="Y1427" s="1"/>
    </row>
    <row r="1428" spans="1:25">
      <c r="A1428" s="57"/>
      <c r="B1428" s="68"/>
      <c r="C1428" s="68"/>
      <c r="D1428" s="68"/>
      <c r="E1428" s="68"/>
      <c r="F1428" s="68"/>
      <c r="G1428" s="68"/>
      <c r="H1428" s="68"/>
      <c r="I1428" s="68"/>
      <c r="J1428" s="68"/>
      <c r="K1428" s="68"/>
      <c r="L1428" s="56"/>
      <c r="M1428" s="26"/>
      <c r="N1428" s="26"/>
      <c r="O1428" s="68"/>
      <c r="P1428" s="1"/>
      <c r="Q1428" s="8"/>
      <c r="R1428" s="66"/>
      <c r="S1428" s="1"/>
      <c r="T1428" s="66"/>
      <c r="U1428" s="8"/>
      <c r="V1428" s="56"/>
      <c r="W1428" s="1"/>
      <c r="X1428" s="1"/>
      <c r="Y1428" s="1"/>
    </row>
    <row r="1429" spans="1:25">
      <c r="A1429" s="57"/>
      <c r="B1429" s="68"/>
      <c r="C1429" s="68"/>
      <c r="D1429" s="68"/>
      <c r="E1429" s="68"/>
      <c r="F1429" s="68"/>
      <c r="G1429" s="68"/>
      <c r="H1429" s="68"/>
      <c r="I1429" s="68"/>
      <c r="J1429" s="68"/>
      <c r="K1429" s="68"/>
      <c r="L1429" s="56"/>
      <c r="M1429" s="26"/>
      <c r="N1429" s="26"/>
      <c r="O1429" s="68"/>
      <c r="P1429" s="1"/>
      <c r="Q1429" s="8"/>
      <c r="R1429" s="66"/>
      <c r="S1429" s="1"/>
      <c r="T1429" s="66"/>
      <c r="U1429" s="8"/>
      <c r="V1429" s="56"/>
      <c r="W1429" s="1"/>
      <c r="X1429" s="1"/>
      <c r="Y1429" s="1"/>
    </row>
    <row r="1430" spans="1:25">
      <c r="A1430" s="57"/>
      <c r="B1430" s="68"/>
      <c r="C1430" s="68"/>
      <c r="D1430" s="68"/>
      <c r="E1430" s="68"/>
      <c r="F1430" s="68"/>
      <c r="G1430" s="68"/>
      <c r="H1430" s="68"/>
      <c r="I1430" s="68"/>
      <c r="J1430" s="68"/>
      <c r="K1430" s="68"/>
      <c r="L1430" s="56"/>
      <c r="M1430" s="26"/>
      <c r="N1430" s="26"/>
      <c r="O1430" s="68"/>
      <c r="P1430" s="1"/>
      <c r="Q1430" s="8"/>
      <c r="R1430" s="66"/>
      <c r="S1430" s="1"/>
      <c r="T1430" s="66"/>
      <c r="U1430" s="8"/>
      <c r="V1430" s="56"/>
      <c r="W1430" s="1"/>
      <c r="X1430" s="1"/>
      <c r="Y1430" s="1"/>
    </row>
    <row r="1431" spans="1:25">
      <c r="A1431" s="57"/>
      <c r="B1431" s="68"/>
      <c r="C1431" s="68"/>
      <c r="D1431" s="68"/>
      <c r="E1431" s="68"/>
      <c r="F1431" s="68"/>
      <c r="G1431" s="68"/>
      <c r="H1431" s="68"/>
      <c r="I1431" s="68"/>
      <c r="J1431" s="68"/>
      <c r="K1431" s="68"/>
      <c r="L1431" s="56"/>
      <c r="M1431" s="26"/>
      <c r="N1431" s="26"/>
      <c r="O1431" s="68"/>
      <c r="P1431" s="1"/>
      <c r="Q1431" s="8"/>
      <c r="R1431" s="66"/>
      <c r="S1431" s="1"/>
      <c r="T1431" s="66"/>
      <c r="U1431" s="8"/>
      <c r="V1431" s="56"/>
      <c r="W1431" s="1"/>
      <c r="X1431" s="1"/>
      <c r="Y1431" s="1"/>
    </row>
    <row r="1432" spans="1:25">
      <c r="A1432" s="57"/>
      <c r="B1432" s="68"/>
      <c r="C1432" s="68"/>
      <c r="D1432" s="68"/>
      <c r="E1432" s="68"/>
      <c r="F1432" s="68"/>
      <c r="G1432" s="68"/>
      <c r="H1432" s="68"/>
      <c r="I1432" s="68"/>
      <c r="J1432" s="68"/>
      <c r="K1432" s="68"/>
      <c r="L1432" s="56"/>
      <c r="M1432" s="26"/>
      <c r="N1432" s="26"/>
      <c r="O1432" s="68"/>
      <c r="P1432" s="1"/>
      <c r="Q1432" s="8"/>
      <c r="R1432" s="66"/>
      <c r="S1432" s="1"/>
      <c r="T1432" s="66"/>
      <c r="U1432" s="8"/>
      <c r="V1432" s="56"/>
      <c r="W1432" s="1"/>
      <c r="X1432" s="1"/>
      <c r="Y1432" s="1"/>
    </row>
    <row r="1433" spans="1:25">
      <c r="A1433" s="57"/>
      <c r="B1433" s="68"/>
      <c r="C1433" s="68"/>
      <c r="D1433" s="68"/>
      <c r="E1433" s="68"/>
      <c r="F1433" s="68"/>
      <c r="G1433" s="68"/>
      <c r="H1433" s="68"/>
      <c r="I1433" s="68"/>
      <c r="J1433" s="68"/>
      <c r="K1433" s="68"/>
      <c r="L1433" s="56"/>
      <c r="M1433" s="26"/>
      <c r="N1433" s="26"/>
      <c r="O1433" s="68"/>
      <c r="P1433" s="1"/>
      <c r="Q1433" s="8"/>
      <c r="R1433" s="66"/>
      <c r="S1433" s="1"/>
      <c r="T1433" s="66"/>
      <c r="U1433" s="8"/>
      <c r="V1433" s="56"/>
      <c r="W1433" s="1"/>
      <c r="X1433" s="1"/>
      <c r="Y1433" s="1"/>
    </row>
    <row r="1434" spans="1:25">
      <c r="A1434" s="57"/>
      <c r="B1434" s="68"/>
      <c r="C1434" s="68"/>
      <c r="D1434" s="68"/>
      <c r="E1434" s="68"/>
      <c r="F1434" s="68"/>
      <c r="G1434" s="68"/>
      <c r="H1434" s="68"/>
      <c r="I1434" s="68"/>
      <c r="J1434" s="68"/>
      <c r="K1434" s="68"/>
      <c r="L1434" s="56"/>
      <c r="M1434" s="26"/>
      <c r="N1434" s="26"/>
      <c r="O1434" s="68"/>
      <c r="P1434" s="1"/>
      <c r="Q1434" s="8"/>
      <c r="R1434" s="66"/>
      <c r="S1434" s="1"/>
      <c r="T1434" s="66"/>
      <c r="U1434" s="8"/>
      <c r="V1434" s="56"/>
      <c r="W1434" s="1"/>
      <c r="X1434" s="1"/>
      <c r="Y1434" s="1"/>
    </row>
    <row r="1435" spans="1:25">
      <c r="A1435" s="57"/>
      <c r="B1435" s="68"/>
      <c r="C1435" s="68"/>
      <c r="D1435" s="68"/>
      <c r="E1435" s="68"/>
      <c r="F1435" s="68"/>
      <c r="G1435" s="68"/>
      <c r="H1435" s="68"/>
      <c r="I1435" s="68"/>
      <c r="J1435" s="68"/>
      <c r="K1435" s="68"/>
      <c r="L1435" s="56"/>
      <c r="M1435" s="26"/>
      <c r="N1435" s="26"/>
      <c r="O1435" s="68"/>
      <c r="P1435" s="1"/>
      <c r="Q1435" s="8"/>
      <c r="R1435" s="66"/>
      <c r="S1435" s="1"/>
      <c r="T1435" s="66"/>
      <c r="U1435" s="8"/>
      <c r="V1435" s="56"/>
      <c r="W1435" s="1"/>
      <c r="X1435" s="1"/>
      <c r="Y1435" s="1"/>
    </row>
    <row r="1436" spans="1:25">
      <c r="A1436" s="57"/>
      <c r="B1436" s="68"/>
      <c r="C1436" s="68"/>
      <c r="D1436" s="68"/>
      <c r="E1436" s="68"/>
      <c r="F1436" s="68"/>
      <c r="G1436" s="68"/>
      <c r="H1436" s="68"/>
      <c r="I1436" s="68"/>
      <c r="J1436" s="68"/>
      <c r="K1436" s="68"/>
      <c r="L1436" s="56"/>
      <c r="M1436" s="26"/>
      <c r="N1436" s="26"/>
      <c r="O1436" s="68"/>
      <c r="P1436" s="1"/>
      <c r="Q1436" s="8"/>
      <c r="R1436" s="66"/>
      <c r="S1436" s="1"/>
      <c r="T1436" s="66"/>
      <c r="U1436" s="8"/>
      <c r="V1436" s="56"/>
      <c r="W1436" s="1"/>
      <c r="X1436" s="1"/>
      <c r="Y1436" s="1"/>
    </row>
    <row r="1437" spans="1:25">
      <c r="A1437" s="57"/>
      <c r="B1437" s="68"/>
      <c r="C1437" s="68"/>
      <c r="D1437" s="68"/>
      <c r="E1437" s="68"/>
      <c r="F1437" s="68"/>
      <c r="G1437" s="68"/>
      <c r="H1437" s="68"/>
      <c r="I1437" s="68"/>
      <c r="J1437" s="68"/>
      <c r="K1437" s="68"/>
      <c r="L1437" s="56"/>
      <c r="M1437" s="26"/>
      <c r="N1437" s="26"/>
      <c r="O1437" s="68"/>
      <c r="P1437" s="1"/>
      <c r="Q1437" s="8"/>
      <c r="R1437" s="66"/>
      <c r="S1437" s="1"/>
      <c r="T1437" s="66"/>
      <c r="U1437" s="8"/>
      <c r="V1437" s="56"/>
      <c r="W1437" s="1"/>
      <c r="X1437" s="1"/>
      <c r="Y1437" s="1"/>
    </row>
    <row r="1438" spans="1:25">
      <c r="A1438" s="57"/>
      <c r="B1438" s="68"/>
      <c r="C1438" s="68"/>
      <c r="D1438" s="68"/>
      <c r="E1438" s="68"/>
      <c r="F1438" s="68"/>
      <c r="G1438" s="68"/>
      <c r="H1438" s="68"/>
      <c r="I1438" s="68"/>
      <c r="J1438" s="68"/>
      <c r="K1438" s="68"/>
      <c r="L1438" s="56"/>
      <c r="M1438" s="26"/>
      <c r="N1438" s="26"/>
      <c r="O1438" s="68"/>
      <c r="P1438" s="1"/>
      <c r="Q1438" s="8"/>
      <c r="R1438" s="66"/>
      <c r="S1438" s="1"/>
      <c r="T1438" s="66"/>
      <c r="U1438" s="8"/>
      <c r="V1438" s="56"/>
      <c r="W1438" s="1"/>
      <c r="X1438" s="1"/>
      <c r="Y1438" s="1"/>
    </row>
    <row r="1439" spans="1:25">
      <c r="A1439" s="57"/>
      <c r="B1439" s="68"/>
      <c r="C1439" s="68"/>
      <c r="D1439" s="68"/>
      <c r="E1439" s="68"/>
      <c r="F1439" s="68"/>
      <c r="G1439" s="68"/>
      <c r="H1439" s="68"/>
      <c r="I1439" s="68"/>
      <c r="J1439" s="68"/>
      <c r="K1439" s="68"/>
      <c r="L1439" s="56"/>
      <c r="M1439" s="26"/>
      <c r="N1439" s="26"/>
      <c r="O1439" s="68"/>
      <c r="P1439" s="1"/>
      <c r="Q1439" s="8"/>
      <c r="R1439" s="66"/>
      <c r="S1439" s="1"/>
      <c r="T1439" s="66"/>
      <c r="U1439" s="8"/>
      <c r="V1439" s="56"/>
      <c r="W1439" s="1"/>
      <c r="X1439" s="1"/>
      <c r="Y1439" s="1"/>
    </row>
    <row r="1440" spans="1:25">
      <c r="A1440" s="57"/>
      <c r="B1440" s="68"/>
      <c r="C1440" s="68"/>
      <c r="D1440" s="68"/>
      <c r="E1440" s="68"/>
      <c r="F1440" s="68"/>
      <c r="G1440" s="68"/>
      <c r="H1440" s="68"/>
      <c r="I1440" s="68"/>
      <c r="J1440" s="68"/>
      <c r="K1440" s="68"/>
      <c r="L1440" s="56"/>
      <c r="M1440" s="26"/>
      <c r="N1440" s="26"/>
      <c r="O1440" s="68"/>
      <c r="P1440" s="1"/>
      <c r="Q1440" s="8"/>
      <c r="R1440" s="66"/>
      <c r="S1440" s="1"/>
      <c r="T1440" s="66"/>
      <c r="U1440" s="8"/>
      <c r="V1440" s="56"/>
      <c r="W1440" s="1"/>
      <c r="X1440" s="1"/>
      <c r="Y1440" s="1"/>
    </row>
    <row r="1441" spans="1:25">
      <c r="A1441" s="57"/>
      <c r="B1441" s="68"/>
      <c r="C1441" s="68"/>
      <c r="D1441" s="68"/>
      <c r="E1441" s="68"/>
      <c r="F1441" s="68"/>
      <c r="G1441" s="68"/>
      <c r="H1441" s="68"/>
      <c r="I1441" s="68"/>
      <c r="J1441" s="68"/>
      <c r="K1441" s="68"/>
      <c r="L1441" s="56"/>
      <c r="M1441" s="26"/>
      <c r="N1441" s="26"/>
      <c r="O1441" s="68"/>
      <c r="P1441" s="1"/>
      <c r="Q1441" s="8"/>
      <c r="R1441" s="66"/>
      <c r="S1441" s="1"/>
      <c r="T1441" s="66"/>
      <c r="U1441" s="8"/>
      <c r="V1441" s="56"/>
      <c r="W1441" s="1"/>
      <c r="X1441" s="1"/>
      <c r="Y1441" s="1"/>
    </row>
    <row r="1442" spans="1:25">
      <c r="A1442" s="57"/>
      <c r="B1442" s="68"/>
      <c r="C1442" s="68"/>
      <c r="D1442" s="68"/>
      <c r="E1442" s="68"/>
      <c r="F1442" s="68"/>
      <c r="G1442" s="68"/>
      <c r="H1442" s="68"/>
      <c r="I1442" s="68"/>
      <c r="J1442" s="68"/>
      <c r="K1442" s="68"/>
      <c r="L1442" s="56"/>
      <c r="M1442" s="26"/>
      <c r="N1442" s="26"/>
      <c r="O1442" s="68"/>
      <c r="P1442" s="1"/>
      <c r="Q1442" s="8"/>
      <c r="R1442" s="66"/>
      <c r="S1442" s="1"/>
      <c r="T1442" s="66"/>
      <c r="U1442" s="8"/>
      <c r="V1442" s="56"/>
      <c r="W1442" s="1"/>
      <c r="X1442" s="1"/>
      <c r="Y1442" s="1"/>
    </row>
    <row r="1443" spans="1:25">
      <c r="A1443" s="57"/>
      <c r="B1443" s="68"/>
      <c r="C1443" s="68"/>
      <c r="D1443" s="68"/>
      <c r="E1443" s="68"/>
      <c r="F1443" s="68"/>
      <c r="G1443" s="68"/>
      <c r="H1443" s="68"/>
      <c r="I1443" s="68"/>
      <c r="J1443" s="68"/>
      <c r="K1443" s="68"/>
      <c r="L1443" s="56"/>
      <c r="M1443" s="26"/>
      <c r="N1443" s="26"/>
      <c r="O1443" s="68"/>
      <c r="P1443" s="1"/>
      <c r="Q1443" s="8"/>
      <c r="R1443" s="66"/>
      <c r="S1443" s="1"/>
      <c r="T1443" s="66"/>
      <c r="U1443" s="8"/>
      <c r="V1443" s="56"/>
      <c r="W1443" s="1"/>
      <c r="X1443" s="1"/>
      <c r="Y1443" s="1"/>
    </row>
    <row r="1444" spans="1:25">
      <c r="A1444" s="57"/>
      <c r="B1444" s="68"/>
      <c r="C1444" s="68"/>
      <c r="D1444" s="68"/>
      <c r="E1444" s="68"/>
      <c r="F1444" s="68"/>
      <c r="G1444" s="68"/>
      <c r="H1444" s="68"/>
      <c r="I1444" s="68"/>
      <c r="J1444" s="68"/>
      <c r="K1444" s="68"/>
      <c r="L1444" s="56"/>
      <c r="M1444" s="26"/>
      <c r="N1444" s="26"/>
      <c r="O1444" s="68"/>
      <c r="P1444" s="1"/>
      <c r="Q1444" s="8"/>
      <c r="R1444" s="66"/>
      <c r="S1444" s="1"/>
      <c r="T1444" s="66"/>
      <c r="U1444" s="8"/>
      <c r="V1444" s="56"/>
      <c r="W1444" s="1"/>
      <c r="X1444" s="1"/>
      <c r="Y1444" s="1"/>
    </row>
    <row r="1445" spans="1:25">
      <c r="A1445" s="57"/>
      <c r="B1445" s="68"/>
      <c r="C1445" s="68"/>
      <c r="D1445" s="68"/>
      <c r="E1445" s="68"/>
      <c r="F1445" s="68"/>
      <c r="G1445" s="68"/>
      <c r="H1445" s="68"/>
      <c r="I1445" s="68"/>
      <c r="J1445" s="68"/>
      <c r="K1445" s="68"/>
      <c r="L1445" s="56"/>
      <c r="M1445" s="26"/>
      <c r="N1445" s="26"/>
      <c r="O1445" s="68"/>
      <c r="P1445" s="1"/>
      <c r="Q1445" s="8"/>
      <c r="R1445" s="66"/>
      <c r="S1445" s="1"/>
      <c r="T1445" s="66"/>
      <c r="U1445" s="8"/>
      <c r="V1445" s="56"/>
      <c r="W1445" s="1"/>
      <c r="X1445" s="1"/>
      <c r="Y1445" s="1"/>
    </row>
    <row r="1446" spans="1:25">
      <c r="A1446" s="57"/>
      <c r="B1446" s="68"/>
      <c r="C1446" s="68"/>
      <c r="D1446" s="68"/>
      <c r="E1446" s="68"/>
      <c r="F1446" s="68"/>
      <c r="G1446" s="68"/>
      <c r="H1446" s="68"/>
      <c r="I1446" s="68"/>
      <c r="J1446" s="68"/>
      <c r="K1446" s="68"/>
      <c r="L1446" s="56"/>
      <c r="M1446" s="26"/>
      <c r="N1446" s="26"/>
      <c r="O1446" s="68"/>
      <c r="P1446" s="1"/>
      <c r="Q1446" s="8"/>
      <c r="R1446" s="66"/>
      <c r="S1446" s="1"/>
      <c r="T1446" s="66"/>
      <c r="U1446" s="8"/>
      <c r="V1446" s="56"/>
      <c r="W1446" s="1"/>
      <c r="X1446" s="1"/>
      <c r="Y1446" s="1"/>
    </row>
    <row r="1447" spans="1:25">
      <c r="A1447" s="57"/>
      <c r="B1447" s="68"/>
      <c r="C1447" s="68"/>
      <c r="D1447" s="68"/>
      <c r="E1447" s="68"/>
      <c r="F1447" s="68"/>
      <c r="G1447" s="68"/>
      <c r="H1447" s="68"/>
      <c r="I1447" s="68"/>
      <c r="J1447" s="68"/>
      <c r="K1447" s="68"/>
      <c r="L1447" s="56"/>
      <c r="M1447" s="26"/>
      <c r="N1447" s="26"/>
      <c r="O1447" s="68"/>
      <c r="P1447" s="1"/>
      <c r="Q1447" s="8"/>
      <c r="R1447" s="66"/>
      <c r="S1447" s="1"/>
      <c r="T1447" s="66"/>
      <c r="U1447" s="8"/>
      <c r="V1447" s="56"/>
      <c r="W1447" s="1"/>
      <c r="X1447" s="1"/>
      <c r="Y1447" s="1"/>
    </row>
    <row r="1448" spans="1:25">
      <c r="A1448" s="57"/>
      <c r="B1448" s="68"/>
      <c r="C1448" s="68"/>
      <c r="D1448" s="68"/>
      <c r="E1448" s="68"/>
      <c r="F1448" s="68"/>
      <c r="G1448" s="68"/>
      <c r="H1448" s="68"/>
      <c r="I1448" s="68"/>
      <c r="J1448" s="68"/>
      <c r="K1448" s="68"/>
      <c r="L1448" s="56"/>
      <c r="M1448" s="26"/>
      <c r="N1448" s="26"/>
      <c r="O1448" s="68"/>
      <c r="P1448" s="1"/>
      <c r="Q1448" s="8"/>
      <c r="R1448" s="66"/>
      <c r="S1448" s="1"/>
      <c r="T1448" s="66"/>
      <c r="U1448" s="8"/>
      <c r="V1448" s="56"/>
      <c r="W1448" s="1"/>
      <c r="X1448" s="1"/>
      <c r="Y1448" s="1"/>
    </row>
    <row r="1449" spans="1:25">
      <c r="A1449" s="57"/>
      <c r="B1449" s="68"/>
      <c r="C1449" s="68"/>
      <c r="D1449" s="68"/>
      <c r="E1449" s="68"/>
      <c r="F1449" s="68"/>
      <c r="G1449" s="68"/>
      <c r="H1449" s="68"/>
      <c r="I1449" s="68"/>
      <c r="J1449" s="68"/>
      <c r="K1449" s="68"/>
      <c r="L1449" s="56"/>
      <c r="M1449" s="26"/>
      <c r="N1449" s="26"/>
      <c r="O1449" s="68"/>
      <c r="P1449" s="1"/>
      <c r="Q1449" s="8"/>
      <c r="R1449" s="66"/>
      <c r="S1449" s="1"/>
      <c r="T1449" s="66"/>
      <c r="U1449" s="8"/>
      <c r="V1449" s="56"/>
      <c r="W1449" s="1"/>
      <c r="X1449" s="1"/>
      <c r="Y1449" s="1"/>
    </row>
    <row r="1450" spans="1:25">
      <c r="A1450" s="57"/>
      <c r="B1450" s="68"/>
      <c r="C1450" s="68"/>
      <c r="D1450" s="68"/>
      <c r="E1450" s="68"/>
      <c r="F1450" s="68"/>
      <c r="G1450" s="68"/>
      <c r="H1450" s="68"/>
      <c r="I1450" s="68"/>
      <c r="J1450" s="68"/>
      <c r="K1450" s="68"/>
      <c r="L1450" s="56"/>
      <c r="M1450" s="26"/>
      <c r="N1450" s="26"/>
      <c r="O1450" s="68"/>
      <c r="P1450" s="1"/>
      <c r="Q1450" s="8"/>
      <c r="R1450" s="66"/>
      <c r="S1450" s="1"/>
      <c r="T1450" s="66"/>
      <c r="U1450" s="8"/>
      <c r="V1450" s="56"/>
      <c r="W1450" s="1"/>
      <c r="X1450" s="1"/>
      <c r="Y1450" s="1"/>
    </row>
    <row r="1451" spans="1:25">
      <c r="A1451" s="57"/>
      <c r="B1451" s="68"/>
      <c r="C1451" s="68"/>
      <c r="D1451" s="68"/>
      <c r="E1451" s="68"/>
      <c r="F1451" s="68"/>
      <c r="G1451" s="68"/>
      <c r="H1451" s="68"/>
      <c r="I1451" s="68"/>
      <c r="J1451" s="68"/>
      <c r="K1451" s="68"/>
      <c r="L1451" s="56"/>
      <c r="M1451" s="26"/>
      <c r="N1451" s="26"/>
      <c r="O1451" s="68"/>
      <c r="P1451" s="1"/>
      <c r="Q1451" s="8"/>
      <c r="R1451" s="66"/>
      <c r="S1451" s="1"/>
      <c r="T1451" s="66"/>
      <c r="U1451" s="8"/>
      <c r="V1451" s="56"/>
      <c r="W1451" s="1"/>
      <c r="X1451" s="1"/>
      <c r="Y1451" s="1"/>
    </row>
    <row r="1452" spans="1:25">
      <c r="A1452" s="57"/>
      <c r="B1452" s="68"/>
      <c r="C1452" s="68"/>
      <c r="D1452" s="68"/>
      <c r="E1452" s="68"/>
      <c r="F1452" s="68"/>
      <c r="G1452" s="68"/>
      <c r="H1452" s="68"/>
      <c r="I1452" s="68"/>
      <c r="J1452" s="68"/>
      <c r="K1452" s="68"/>
      <c r="L1452" s="56"/>
      <c r="M1452" s="26"/>
      <c r="N1452" s="26"/>
      <c r="O1452" s="68"/>
      <c r="P1452" s="1"/>
      <c r="Q1452" s="8"/>
      <c r="R1452" s="66"/>
      <c r="S1452" s="1"/>
      <c r="T1452" s="66"/>
      <c r="U1452" s="8"/>
      <c r="V1452" s="56"/>
      <c r="W1452" s="1"/>
      <c r="X1452" s="1"/>
      <c r="Y1452" s="1"/>
    </row>
    <row r="1453" spans="1:25">
      <c r="A1453" s="57"/>
      <c r="B1453" s="68"/>
      <c r="C1453" s="68"/>
      <c r="D1453" s="68"/>
      <c r="E1453" s="68"/>
      <c r="F1453" s="68"/>
      <c r="G1453" s="68"/>
      <c r="H1453" s="68"/>
      <c r="I1453" s="68"/>
      <c r="J1453" s="68"/>
      <c r="K1453" s="68"/>
      <c r="L1453" s="56"/>
      <c r="M1453" s="26"/>
      <c r="N1453" s="26"/>
      <c r="O1453" s="68"/>
      <c r="P1453" s="1"/>
      <c r="Q1453" s="8"/>
      <c r="R1453" s="66"/>
      <c r="S1453" s="1"/>
      <c r="T1453" s="66"/>
      <c r="U1453" s="8"/>
      <c r="V1453" s="56"/>
      <c r="W1453" s="1"/>
      <c r="X1453" s="1"/>
      <c r="Y1453" s="1"/>
    </row>
    <row r="1454" spans="1:25">
      <c r="A1454" s="57"/>
      <c r="B1454" s="68"/>
      <c r="C1454" s="68"/>
      <c r="D1454" s="68"/>
      <c r="E1454" s="68"/>
      <c r="F1454" s="68"/>
      <c r="G1454" s="68"/>
      <c r="H1454" s="68"/>
      <c r="I1454" s="68"/>
      <c r="J1454" s="68"/>
      <c r="K1454" s="68"/>
      <c r="L1454" s="56"/>
      <c r="M1454" s="26"/>
      <c r="N1454" s="26"/>
      <c r="O1454" s="68"/>
      <c r="P1454" s="1"/>
      <c r="Q1454" s="8"/>
      <c r="R1454" s="66"/>
      <c r="S1454" s="1"/>
      <c r="T1454" s="66"/>
      <c r="U1454" s="8"/>
      <c r="V1454" s="56"/>
      <c r="W1454" s="1"/>
      <c r="X1454" s="1"/>
      <c r="Y1454" s="1"/>
    </row>
    <row r="1455" spans="1:25">
      <c r="A1455" s="57"/>
      <c r="B1455" s="68"/>
      <c r="C1455" s="68"/>
      <c r="D1455" s="68"/>
      <c r="E1455" s="68"/>
      <c r="F1455" s="68"/>
      <c r="G1455" s="68"/>
      <c r="H1455" s="68"/>
      <c r="I1455" s="68"/>
      <c r="J1455" s="68"/>
      <c r="K1455" s="68"/>
      <c r="L1455" s="56"/>
      <c r="M1455" s="26"/>
      <c r="N1455" s="26"/>
      <c r="O1455" s="68"/>
      <c r="P1455" s="1"/>
      <c r="Q1455" s="8"/>
      <c r="R1455" s="66"/>
      <c r="S1455" s="1"/>
      <c r="T1455" s="66"/>
      <c r="U1455" s="8"/>
      <c r="V1455" s="56"/>
      <c r="W1455" s="1"/>
      <c r="X1455" s="1"/>
      <c r="Y1455" s="1"/>
    </row>
    <row r="1456" spans="1:25">
      <c r="A1456" s="57"/>
      <c r="B1456" s="68"/>
      <c r="C1456" s="68"/>
      <c r="D1456" s="68"/>
      <c r="E1456" s="68"/>
      <c r="F1456" s="68"/>
      <c r="G1456" s="68"/>
      <c r="H1456" s="68"/>
      <c r="I1456" s="68"/>
      <c r="J1456" s="68"/>
      <c r="K1456" s="68"/>
      <c r="L1456" s="56"/>
      <c r="M1456" s="26"/>
      <c r="N1456" s="26"/>
      <c r="O1456" s="68"/>
      <c r="P1456" s="1"/>
      <c r="Q1456" s="8"/>
      <c r="R1456" s="66"/>
      <c r="S1456" s="1"/>
      <c r="T1456" s="66"/>
      <c r="U1456" s="8"/>
      <c r="V1456" s="56"/>
      <c r="W1456" s="1"/>
      <c r="X1456" s="1"/>
      <c r="Y1456" s="1"/>
    </row>
    <row r="1457" spans="1:25">
      <c r="A1457" s="57"/>
      <c r="B1457" s="68"/>
      <c r="C1457" s="68"/>
      <c r="D1457" s="68"/>
      <c r="E1457" s="68"/>
      <c r="F1457" s="68"/>
      <c r="G1457" s="68"/>
      <c r="H1457" s="68"/>
      <c r="I1457" s="68"/>
      <c r="J1457" s="68"/>
      <c r="K1457" s="68"/>
      <c r="L1457" s="56"/>
      <c r="M1457" s="26"/>
      <c r="N1457" s="26"/>
      <c r="O1457" s="68"/>
      <c r="P1457" s="1"/>
      <c r="Q1457" s="8"/>
      <c r="R1457" s="66"/>
      <c r="S1457" s="1"/>
      <c r="T1457" s="66"/>
      <c r="U1457" s="8"/>
      <c r="V1457" s="56"/>
      <c r="W1457" s="1"/>
      <c r="X1457" s="1"/>
      <c r="Y1457" s="1"/>
    </row>
    <row r="1458" spans="1:25">
      <c r="A1458" s="57"/>
      <c r="B1458" s="68"/>
      <c r="C1458" s="68"/>
      <c r="D1458" s="68"/>
      <c r="E1458" s="68"/>
      <c r="F1458" s="68"/>
      <c r="G1458" s="68"/>
      <c r="H1458" s="68"/>
      <c r="I1458" s="68"/>
      <c r="J1458" s="68"/>
      <c r="K1458" s="68"/>
      <c r="L1458" s="56"/>
      <c r="M1458" s="26"/>
      <c r="N1458" s="26"/>
      <c r="O1458" s="68"/>
      <c r="P1458" s="1"/>
      <c r="Q1458" s="8"/>
      <c r="R1458" s="66"/>
      <c r="S1458" s="1"/>
      <c r="T1458" s="66"/>
      <c r="U1458" s="8"/>
      <c r="V1458" s="56"/>
      <c r="W1458" s="1"/>
      <c r="X1458" s="1"/>
      <c r="Y1458" s="1"/>
    </row>
    <row r="1459" spans="1:25">
      <c r="A1459" s="57"/>
      <c r="B1459" s="68"/>
      <c r="C1459" s="68"/>
      <c r="D1459" s="68"/>
      <c r="E1459" s="68"/>
      <c r="F1459" s="68"/>
      <c r="G1459" s="68"/>
      <c r="H1459" s="68"/>
      <c r="I1459" s="68"/>
      <c r="J1459" s="68"/>
      <c r="K1459" s="68"/>
      <c r="L1459" s="56"/>
      <c r="M1459" s="26"/>
      <c r="N1459" s="26"/>
      <c r="O1459" s="68"/>
      <c r="P1459" s="1"/>
      <c r="Q1459" s="8"/>
      <c r="R1459" s="66"/>
      <c r="S1459" s="1"/>
      <c r="T1459" s="66"/>
      <c r="U1459" s="8"/>
      <c r="V1459" s="56"/>
      <c r="W1459" s="1"/>
      <c r="X1459" s="1"/>
      <c r="Y1459" s="1"/>
    </row>
    <row r="1460" spans="1:25">
      <c r="A1460" s="57"/>
      <c r="B1460" s="68"/>
      <c r="C1460" s="68"/>
      <c r="D1460" s="68"/>
      <c r="E1460" s="68"/>
      <c r="F1460" s="68"/>
      <c r="G1460" s="68"/>
      <c r="H1460" s="68"/>
      <c r="I1460" s="68"/>
      <c r="J1460" s="68"/>
      <c r="K1460" s="68"/>
      <c r="L1460" s="56"/>
      <c r="M1460" s="26"/>
      <c r="N1460" s="26"/>
      <c r="O1460" s="68"/>
      <c r="P1460" s="1"/>
      <c r="Q1460" s="8"/>
      <c r="R1460" s="66"/>
      <c r="S1460" s="1"/>
      <c r="T1460" s="66"/>
      <c r="U1460" s="8"/>
      <c r="V1460" s="56"/>
      <c r="W1460" s="1"/>
      <c r="X1460" s="1"/>
      <c r="Y1460" s="1"/>
    </row>
    <row r="1461" spans="1:25">
      <c r="A1461" s="57"/>
      <c r="B1461" s="68"/>
      <c r="C1461" s="68"/>
      <c r="D1461" s="68"/>
      <c r="E1461" s="68"/>
      <c r="F1461" s="68"/>
      <c r="G1461" s="68"/>
      <c r="H1461" s="68"/>
      <c r="I1461" s="68"/>
      <c r="J1461" s="68"/>
      <c r="K1461" s="68"/>
      <c r="L1461" s="56"/>
      <c r="M1461" s="26"/>
      <c r="N1461" s="26"/>
      <c r="O1461" s="68"/>
      <c r="P1461" s="1"/>
      <c r="Q1461" s="8"/>
      <c r="R1461" s="66"/>
      <c r="S1461" s="1"/>
      <c r="T1461" s="66"/>
      <c r="U1461" s="8"/>
      <c r="V1461" s="56"/>
      <c r="W1461" s="1"/>
      <c r="X1461" s="1"/>
      <c r="Y1461" s="1"/>
    </row>
    <row r="1462" spans="1:25">
      <c r="A1462" s="57"/>
      <c r="B1462" s="68"/>
      <c r="C1462" s="68"/>
      <c r="D1462" s="68"/>
      <c r="E1462" s="68"/>
      <c r="F1462" s="68"/>
      <c r="G1462" s="68"/>
      <c r="H1462" s="68"/>
      <c r="I1462" s="68"/>
      <c r="J1462" s="68"/>
      <c r="K1462" s="68"/>
      <c r="L1462" s="56"/>
      <c r="M1462" s="26"/>
      <c r="N1462" s="26"/>
      <c r="O1462" s="68"/>
      <c r="P1462" s="1"/>
      <c r="Q1462" s="8"/>
      <c r="R1462" s="66"/>
      <c r="S1462" s="1"/>
      <c r="T1462" s="66"/>
      <c r="U1462" s="8"/>
      <c r="V1462" s="56"/>
      <c r="W1462" s="1"/>
      <c r="X1462" s="1"/>
      <c r="Y1462" s="1"/>
    </row>
    <row r="1463" spans="1:25">
      <c r="A1463" s="57"/>
      <c r="B1463" s="68"/>
      <c r="C1463" s="68"/>
      <c r="D1463" s="68"/>
      <c r="E1463" s="68"/>
      <c r="F1463" s="68"/>
      <c r="G1463" s="68"/>
      <c r="H1463" s="68"/>
      <c r="I1463" s="68"/>
      <c r="J1463" s="68"/>
      <c r="K1463" s="68"/>
      <c r="L1463" s="56"/>
      <c r="M1463" s="26"/>
      <c r="N1463" s="26"/>
      <c r="O1463" s="68"/>
      <c r="P1463" s="1"/>
      <c r="Q1463" s="8"/>
      <c r="R1463" s="66"/>
      <c r="S1463" s="1"/>
      <c r="T1463" s="66"/>
      <c r="U1463" s="8"/>
      <c r="V1463" s="56"/>
      <c r="W1463" s="1"/>
      <c r="X1463" s="1"/>
      <c r="Y1463" s="1"/>
    </row>
    <row r="1464" spans="1:25">
      <c r="A1464" s="57"/>
      <c r="B1464" s="68"/>
      <c r="C1464" s="68"/>
      <c r="D1464" s="68"/>
      <c r="E1464" s="68"/>
      <c r="F1464" s="68"/>
      <c r="G1464" s="68"/>
      <c r="H1464" s="68"/>
      <c r="I1464" s="68"/>
      <c r="J1464" s="68"/>
      <c r="K1464" s="68"/>
      <c r="L1464" s="56"/>
      <c r="M1464" s="26"/>
      <c r="N1464" s="26"/>
      <c r="O1464" s="68"/>
      <c r="P1464" s="1"/>
      <c r="Q1464" s="8"/>
      <c r="R1464" s="66"/>
      <c r="S1464" s="1"/>
      <c r="T1464" s="66"/>
      <c r="U1464" s="8"/>
      <c r="V1464" s="56"/>
      <c r="W1464" s="1"/>
      <c r="X1464" s="1"/>
      <c r="Y1464" s="1"/>
    </row>
    <row r="1465" spans="1:25">
      <c r="A1465" s="57"/>
      <c r="B1465" s="68"/>
      <c r="C1465" s="68"/>
      <c r="D1465" s="68"/>
      <c r="E1465" s="68"/>
      <c r="F1465" s="68"/>
      <c r="G1465" s="68"/>
      <c r="H1465" s="68"/>
      <c r="I1465" s="68"/>
      <c r="J1465" s="68"/>
      <c r="K1465" s="68"/>
      <c r="L1465" s="56"/>
      <c r="M1465" s="26"/>
      <c r="N1465" s="26"/>
      <c r="O1465" s="68"/>
      <c r="P1465" s="1"/>
      <c r="Q1465" s="8"/>
      <c r="R1465" s="66"/>
      <c r="S1465" s="1"/>
      <c r="T1465" s="66"/>
      <c r="U1465" s="8"/>
      <c r="V1465" s="56"/>
      <c r="W1465" s="1"/>
      <c r="X1465" s="1"/>
      <c r="Y1465" s="1"/>
    </row>
    <row r="1466" spans="1:25">
      <c r="A1466" s="57"/>
      <c r="B1466" s="68"/>
      <c r="C1466" s="68"/>
      <c r="D1466" s="68"/>
      <c r="E1466" s="68"/>
      <c r="F1466" s="68"/>
      <c r="G1466" s="68"/>
      <c r="H1466" s="68"/>
      <c r="I1466" s="68"/>
      <c r="J1466" s="68"/>
      <c r="K1466" s="68"/>
      <c r="L1466" s="56"/>
      <c r="M1466" s="26"/>
      <c r="N1466" s="26"/>
      <c r="O1466" s="68"/>
      <c r="P1466" s="1"/>
      <c r="Q1466" s="8"/>
      <c r="R1466" s="66"/>
      <c r="S1466" s="1"/>
      <c r="T1466" s="66"/>
      <c r="U1466" s="8"/>
      <c r="V1466" s="56"/>
      <c r="W1466" s="1"/>
      <c r="X1466" s="1"/>
      <c r="Y1466" s="1"/>
    </row>
    <row r="1467" spans="1:25">
      <c r="A1467" s="57"/>
      <c r="B1467" s="68"/>
      <c r="C1467" s="68"/>
      <c r="D1467" s="68"/>
      <c r="E1467" s="68"/>
      <c r="F1467" s="68"/>
      <c r="G1467" s="68"/>
      <c r="H1467" s="68"/>
      <c r="I1467" s="68"/>
      <c r="J1467" s="68"/>
      <c r="K1467" s="68"/>
      <c r="L1467" s="56"/>
      <c r="M1467" s="26"/>
      <c r="N1467" s="26"/>
      <c r="O1467" s="68"/>
      <c r="P1467" s="1"/>
      <c r="Q1467" s="8"/>
      <c r="R1467" s="66"/>
      <c r="S1467" s="1"/>
      <c r="T1467" s="66"/>
      <c r="U1467" s="8"/>
      <c r="V1467" s="56"/>
      <c r="W1467" s="1"/>
      <c r="X1467" s="1"/>
      <c r="Y1467" s="1"/>
    </row>
    <row r="1468" spans="1:25">
      <c r="A1468" s="57"/>
      <c r="B1468" s="68"/>
      <c r="C1468" s="68"/>
      <c r="D1468" s="68"/>
      <c r="E1468" s="68"/>
      <c r="F1468" s="68"/>
      <c r="G1468" s="68"/>
      <c r="H1468" s="68"/>
      <c r="I1468" s="68"/>
      <c r="J1468" s="68"/>
      <c r="K1468" s="68"/>
      <c r="L1468" s="56"/>
      <c r="M1468" s="26"/>
      <c r="N1468" s="26"/>
      <c r="O1468" s="68"/>
      <c r="P1468" s="1"/>
      <c r="Q1468" s="8"/>
      <c r="R1468" s="66"/>
      <c r="S1468" s="1"/>
      <c r="T1468" s="66"/>
      <c r="U1468" s="8"/>
      <c r="V1468" s="56"/>
      <c r="W1468" s="1"/>
      <c r="X1468" s="1"/>
      <c r="Y1468" s="1"/>
    </row>
    <row r="1469" spans="1:25">
      <c r="A1469" s="57"/>
      <c r="B1469" s="68"/>
      <c r="C1469" s="68"/>
      <c r="D1469" s="68"/>
      <c r="E1469" s="68"/>
      <c r="F1469" s="68"/>
      <c r="G1469" s="68"/>
      <c r="H1469" s="68"/>
      <c r="I1469" s="68"/>
      <c r="J1469" s="68"/>
      <c r="K1469" s="68"/>
      <c r="L1469" s="56"/>
      <c r="M1469" s="26"/>
      <c r="N1469" s="26"/>
      <c r="O1469" s="68"/>
      <c r="P1469" s="1"/>
      <c r="Q1469" s="8"/>
      <c r="R1469" s="66"/>
      <c r="S1469" s="1"/>
      <c r="T1469" s="66"/>
      <c r="U1469" s="8"/>
      <c r="V1469" s="56"/>
      <c r="W1469" s="1"/>
      <c r="X1469" s="1"/>
      <c r="Y1469" s="1"/>
    </row>
    <row r="1470" spans="1:25">
      <c r="A1470" s="57"/>
      <c r="B1470" s="68"/>
      <c r="C1470" s="68"/>
      <c r="D1470" s="68"/>
      <c r="E1470" s="68"/>
      <c r="F1470" s="68"/>
      <c r="G1470" s="68"/>
      <c r="H1470" s="68"/>
      <c r="I1470" s="68"/>
      <c r="J1470" s="68"/>
      <c r="K1470" s="68"/>
      <c r="L1470" s="56"/>
      <c r="M1470" s="26"/>
      <c r="N1470" s="26"/>
      <c r="O1470" s="68"/>
      <c r="P1470" s="1"/>
      <c r="Q1470" s="8"/>
      <c r="R1470" s="66"/>
      <c r="S1470" s="1"/>
      <c r="T1470" s="66"/>
      <c r="U1470" s="8"/>
      <c r="V1470" s="56"/>
      <c r="W1470" s="1"/>
      <c r="X1470" s="1"/>
      <c r="Y1470" s="1"/>
    </row>
    <row r="1471" spans="1:25">
      <c r="A1471" s="57"/>
      <c r="B1471" s="68"/>
      <c r="C1471" s="68"/>
      <c r="D1471" s="68"/>
      <c r="E1471" s="68"/>
      <c r="F1471" s="68"/>
      <c r="G1471" s="68"/>
      <c r="H1471" s="68"/>
      <c r="I1471" s="68"/>
      <c r="J1471" s="68"/>
      <c r="K1471" s="68"/>
      <c r="L1471" s="56"/>
      <c r="M1471" s="26"/>
      <c r="N1471" s="26"/>
      <c r="O1471" s="68"/>
      <c r="P1471" s="1"/>
      <c r="Q1471" s="8"/>
      <c r="R1471" s="66"/>
      <c r="S1471" s="1"/>
      <c r="T1471" s="66"/>
      <c r="U1471" s="8"/>
      <c r="V1471" s="56"/>
      <c r="W1471" s="1"/>
      <c r="X1471" s="1"/>
      <c r="Y1471" s="1"/>
    </row>
    <row r="1472" spans="1:25">
      <c r="A1472" s="57"/>
      <c r="B1472" s="68"/>
      <c r="C1472" s="68"/>
      <c r="D1472" s="68"/>
      <c r="E1472" s="68"/>
      <c r="F1472" s="68"/>
      <c r="G1472" s="68"/>
      <c r="H1472" s="68"/>
      <c r="I1472" s="68"/>
      <c r="J1472" s="68"/>
      <c r="K1472" s="68"/>
      <c r="L1472" s="56"/>
      <c r="M1472" s="26"/>
      <c r="N1472" s="26"/>
      <c r="O1472" s="68"/>
      <c r="P1472" s="1"/>
      <c r="Q1472" s="8"/>
      <c r="R1472" s="66"/>
      <c r="S1472" s="1"/>
      <c r="T1472" s="66"/>
      <c r="U1472" s="8"/>
      <c r="V1472" s="56"/>
      <c r="W1472" s="1"/>
      <c r="X1472" s="1"/>
      <c r="Y1472" s="1"/>
    </row>
    <row r="1473" spans="1:25">
      <c r="A1473" s="57"/>
      <c r="B1473" s="68"/>
      <c r="C1473" s="68"/>
      <c r="D1473" s="68"/>
      <c r="E1473" s="68"/>
      <c r="F1473" s="68"/>
      <c r="G1473" s="68"/>
      <c r="H1473" s="68"/>
      <c r="I1473" s="68"/>
      <c r="J1473" s="68"/>
      <c r="K1473" s="68"/>
      <c r="L1473" s="56"/>
      <c r="M1473" s="26"/>
      <c r="N1473" s="26"/>
      <c r="O1473" s="68"/>
      <c r="P1473" s="1"/>
      <c r="Q1473" s="8"/>
      <c r="R1473" s="66"/>
      <c r="S1473" s="1"/>
      <c r="T1473" s="66"/>
      <c r="U1473" s="8"/>
      <c r="V1473" s="56"/>
      <c r="W1473" s="1"/>
      <c r="X1473" s="1"/>
      <c r="Y1473" s="1"/>
    </row>
    <row r="1474" spans="1:25">
      <c r="A1474" s="57"/>
      <c r="B1474" s="68"/>
      <c r="C1474" s="68"/>
      <c r="D1474" s="68"/>
      <c r="E1474" s="68"/>
      <c r="F1474" s="68"/>
      <c r="G1474" s="68"/>
      <c r="H1474" s="68"/>
      <c r="I1474" s="68"/>
      <c r="J1474" s="68"/>
      <c r="K1474" s="68"/>
      <c r="L1474" s="56"/>
      <c r="M1474" s="26"/>
      <c r="N1474" s="26"/>
      <c r="O1474" s="68"/>
      <c r="P1474" s="1"/>
      <c r="Q1474" s="8"/>
      <c r="R1474" s="66"/>
      <c r="S1474" s="1"/>
      <c r="T1474" s="66"/>
      <c r="U1474" s="8"/>
      <c r="V1474" s="56"/>
      <c r="W1474" s="1"/>
      <c r="X1474" s="1"/>
      <c r="Y1474" s="1"/>
    </row>
    <row r="1475" spans="1:25">
      <c r="A1475" s="57"/>
      <c r="B1475" s="68"/>
      <c r="C1475" s="68"/>
      <c r="D1475" s="68"/>
      <c r="E1475" s="68"/>
      <c r="F1475" s="68"/>
      <c r="G1475" s="68"/>
      <c r="H1475" s="68"/>
      <c r="I1475" s="68"/>
      <c r="J1475" s="68"/>
      <c r="K1475" s="68"/>
      <c r="L1475" s="56"/>
      <c r="M1475" s="26"/>
      <c r="N1475" s="26"/>
      <c r="O1475" s="68"/>
      <c r="P1475" s="1"/>
      <c r="Q1475" s="8"/>
      <c r="R1475" s="66"/>
      <c r="S1475" s="1"/>
      <c r="T1475" s="66"/>
      <c r="U1475" s="8"/>
      <c r="V1475" s="56"/>
      <c r="W1475" s="1"/>
      <c r="X1475" s="1"/>
      <c r="Y1475" s="1"/>
    </row>
    <row r="1476" spans="1:25">
      <c r="A1476" s="57"/>
      <c r="B1476" s="68"/>
      <c r="C1476" s="68"/>
      <c r="D1476" s="68"/>
      <c r="E1476" s="68"/>
      <c r="F1476" s="68"/>
      <c r="G1476" s="68"/>
      <c r="H1476" s="68"/>
      <c r="I1476" s="68"/>
      <c r="J1476" s="68"/>
      <c r="K1476" s="68"/>
      <c r="L1476" s="56"/>
      <c r="M1476" s="26"/>
      <c r="N1476" s="26"/>
      <c r="O1476" s="68"/>
      <c r="P1476" s="1"/>
      <c r="Q1476" s="8"/>
      <c r="R1476" s="66"/>
      <c r="S1476" s="1"/>
      <c r="T1476" s="66"/>
      <c r="U1476" s="8"/>
      <c r="V1476" s="56"/>
      <c r="W1476" s="1"/>
      <c r="X1476" s="1"/>
      <c r="Y1476" s="1"/>
    </row>
    <row r="1477" spans="1:25">
      <c r="A1477" s="57"/>
      <c r="B1477" s="68"/>
      <c r="C1477" s="68"/>
      <c r="D1477" s="68"/>
      <c r="E1477" s="68"/>
      <c r="F1477" s="68"/>
      <c r="G1477" s="68"/>
      <c r="H1477" s="68"/>
      <c r="I1477" s="68"/>
      <c r="J1477" s="68"/>
      <c r="K1477" s="68"/>
      <c r="L1477" s="56"/>
      <c r="M1477" s="26"/>
      <c r="N1477" s="26"/>
      <c r="O1477" s="68"/>
      <c r="P1477" s="1"/>
      <c r="Q1477" s="8"/>
      <c r="R1477" s="66"/>
      <c r="S1477" s="1"/>
      <c r="T1477" s="66"/>
      <c r="U1477" s="8"/>
      <c r="V1477" s="56"/>
      <c r="W1477" s="1"/>
      <c r="X1477" s="1"/>
      <c r="Y1477" s="1"/>
    </row>
    <row r="1478" spans="1:25">
      <c r="A1478" s="57"/>
      <c r="B1478" s="68"/>
      <c r="C1478" s="68"/>
      <c r="D1478" s="68"/>
      <c r="E1478" s="68"/>
      <c r="F1478" s="68"/>
      <c r="G1478" s="68"/>
      <c r="H1478" s="68"/>
      <c r="I1478" s="68"/>
      <c r="J1478" s="68"/>
      <c r="K1478" s="68"/>
      <c r="L1478" s="56"/>
      <c r="M1478" s="26"/>
      <c r="N1478" s="26"/>
      <c r="O1478" s="68"/>
      <c r="P1478" s="1"/>
      <c r="Q1478" s="8"/>
      <c r="R1478" s="66"/>
      <c r="S1478" s="1"/>
      <c r="T1478" s="66"/>
      <c r="U1478" s="8"/>
      <c r="V1478" s="56"/>
      <c r="W1478" s="1"/>
      <c r="X1478" s="1"/>
      <c r="Y1478" s="1"/>
    </row>
    <row r="1479" spans="1:25">
      <c r="A1479" s="57"/>
      <c r="B1479" s="68"/>
      <c r="C1479" s="68"/>
      <c r="D1479" s="68"/>
      <c r="E1479" s="68"/>
      <c r="F1479" s="68"/>
      <c r="G1479" s="68"/>
      <c r="H1479" s="68"/>
      <c r="I1479" s="68"/>
      <c r="J1479" s="68"/>
      <c r="K1479" s="68"/>
      <c r="L1479" s="56"/>
      <c r="M1479" s="26"/>
      <c r="N1479" s="26"/>
      <c r="O1479" s="68"/>
      <c r="P1479" s="1"/>
      <c r="Q1479" s="8"/>
      <c r="R1479" s="66"/>
      <c r="S1479" s="1"/>
      <c r="T1479" s="66"/>
      <c r="U1479" s="8"/>
      <c r="V1479" s="56"/>
      <c r="W1479" s="1"/>
      <c r="X1479" s="1"/>
      <c r="Y1479" s="1"/>
    </row>
    <row r="1480" spans="1:25">
      <c r="A1480" s="57"/>
      <c r="B1480" s="68"/>
      <c r="C1480" s="68"/>
      <c r="D1480" s="68"/>
      <c r="E1480" s="68"/>
      <c r="F1480" s="68"/>
      <c r="G1480" s="68"/>
      <c r="H1480" s="68"/>
      <c r="I1480" s="68"/>
      <c r="J1480" s="68"/>
      <c r="K1480" s="68"/>
      <c r="L1480" s="56"/>
      <c r="M1480" s="26"/>
      <c r="N1480" s="26"/>
      <c r="O1480" s="68"/>
      <c r="P1480" s="1"/>
      <c r="Q1480" s="8"/>
      <c r="R1480" s="66"/>
      <c r="S1480" s="1"/>
      <c r="T1480" s="66"/>
      <c r="U1480" s="8"/>
      <c r="V1480" s="56"/>
      <c r="W1480" s="1"/>
      <c r="X1480" s="1"/>
      <c r="Y1480" s="1"/>
    </row>
    <row r="1481" spans="1:25">
      <c r="A1481" s="57"/>
      <c r="B1481" s="68"/>
      <c r="C1481" s="68"/>
      <c r="D1481" s="68"/>
      <c r="E1481" s="68"/>
      <c r="F1481" s="68"/>
      <c r="G1481" s="68"/>
      <c r="H1481" s="68"/>
      <c r="I1481" s="68"/>
      <c r="J1481" s="68"/>
      <c r="K1481" s="68"/>
      <c r="L1481" s="56"/>
      <c r="M1481" s="26"/>
      <c r="N1481" s="26"/>
      <c r="O1481" s="68"/>
      <c r="P1481" s="1"/>
      <c r="Q1481" s="8"/>
      <c r="R1481" s="66"/>
      <c r="S1481" s="1"/>
      <c r="T1481" s="66"/>
      <c r="U1481" s="8"/>
      <c r="V1481" s="56"/>
      <c r="W1481" s="1"/>
      <c r="X1481" s="1"/>
      <c r="Y1481" s="1"/>
    </row>
    <row r="1482" spans="1:25">
      <c r="A1482" s="57"/>
      <c r="B1482" s="68"/>
      <c r="C1482" s="68"/>
      <c r="D1482" s="68"/>
      <c r="E1482" s="68"/>
      <c r="F1482" s="68"/>
      <c r="G1482" s="68"/>
      <c r="H1482" s="68"/>
      <c r="I1482" s="68"/>
      <c r="J1482" s="68"/>
      <c r="K1482" s="68"/>
      <c r="L1482" s="56"/>
      <c r="M1482" s="26"/>
      <c r="N1482" s="26"/>
      <c r="O1482" s="68"/>
      <c r="P1482" s="1"/>
      <c r="Q1482" s="8"/>
      <c r="R1482" s="66"/>
      <c r="S1482" s="1"/>
      <c r="T1482" s="66"/>
      <c r="U1482" s="8"/>
      <c r="V1482" s="56"/>
      <c r="W1482" s="1"/>
      <c r="X1482" s="1"/>
      <c r="Y1482" s="1"/>
    </row>
    <row r="1483" spans="1:25">
      <c r="A1483" s="57"/>
      <c r="B1483" s="68"/>
      <c r="C1483" s="68"/>
      <c r="D1483" s="68"/>
      <c r="E1483" s="68"/>
      <c r="F1483" s="68"/>
      <c r="G1483" s="68"/>
      <c r="H1483" s="68"/>
      <c r="I1483" s="68"/>
      <c r="J1483" s="68"/>
      <c r="K1483" s="68"/>
      <c r="L1483" s="56"/>
      <c r="M1483" s="26"/>
      <c r="N1483" s="26"/>
      <c r="O1483" s="68"/>
      <c r="P1483" s="1"/>
      <c r="Q1483" s="8"/>
      <c r="R1483" s="66"/>
      <c r="S1483" s="1"/>
      <c r="T1483" s="66"/>
      <c r="U1483" s="8"/>
      <c r="V1483" s="56"/>
      <c r="W1483" s="1"/>
      <c r="X1483" s="1"/>
      <c r="Y1483" s="1"/>
    </row>
    <row r="1484" spans="1:25">
      <c r="A1484" s="57"/>
      <c r="B1484" s="68"/>
      <c r="C1484" s="68"/>
      <c r="D1484" s="68"/>
      <c r="E1484" s="68"/>
      <c r="F1484" s="68"/>
      <c r="G1484" s="68"/>
      <c r="H1484" s="68"/>
      <c r="I1484" s="68"/>
      <c r="J1484" s="68"/>
      <c r="K1484" s="68"/>
      <c r="L1484" s="56"/>
      <c r="M1484" s="26"/>
      <c r="N1484" s="26"/>
      <c r="O1484" s="68"/>
      <c r="P1484" s="1"/>
      <c r="Q1484" s="8"/>
      <c r="R1484" s="66"/>
      <c r="S1484" s="1"/>
      <c r="T1484" s="66"/>
      <c r="U1484" s="8"/>
      <c r="V1484" s="56"/>
      <c r="W1484" s="1"/>
      <c r="X1484" s="1"/>
      <c r="Y1484" s="1"/>
    </row>
    <row r="1485" spans="1:25">
      <c r="A1485" s="57"/>
      <c r="B1485" s="68"/>
      <c r="C1485" s="68"/>
      <c r="D1485" s="68"/>
      <c r="E1485" s="68"/>
      <c r="F1485" s="68"/>
      <c r="G1485" s="68"/>
      <c r="H1485" s="68"/>
      <c r="I1485" s="68"/>
      <c r="J1485" s="68"/>
      <c r="K1485" s="68"/>
      <c r="L1485" s="56"/>
      <c r="M1485" s="26"/>
      <c r="N1485" s="26"/>
      <c r="O1485" s="68"/>
      <c r="P1485" s="1"/>
      <c r="Q1485" s="8"/>
      <c r="R1485" s="66"/>
      <c r="S1485" s="1"/>
      <c r="T1485" s="66"/>
      <c r="U1485" s="8"/>
      <c r="V1485" s="56"/>
      <c r="W1485" s="1"/>
      <c r="X1485" s="1"/>
      <c r="Y1485" s="1"/>
    </row>
    <row r="1486" spans="1:25">
      <c r="A1486" s="57"/>
      <c r="B1486" s="68"/>
      <c r="C1486" s="68"/>
      <c r="D1486" s="68"/>
      <c r="E1486" s="68"/>
      <c r="F1486" s="68"/>
      <c r="G1486" s="68"/>
      <c r="H1486" s="68"/>
      <c r="I1486" s="68"/>
      <c r="J1486" s="68"/>
      <c r="K1486" s="68"/>
      <c r="L1486" s="56"/>
      <c r="M1486" s="26"/>
      <c r="N1486" s="26"/>
      <c r="O1486" s="68"/>
      <c r="P1486" s="1"/>
      <c r="Q1486" s="8"/>
      <c r="R1486" s="66"/>
      <c r="S1486" s="1"/>
      <c r="T1486" s="66"/>
      <c r="U1486" s="8"/>
      <c r="V1486" s="56"/>
      <c r="W1486" s="1"/>
      <c r="X1486" s="1"/>
      <c r="Y1486" s="1"/>
    </row>
    <row r="1487" spans="1:25">
      <c r="A1487" s="57"/>
      <c r="B1487" s="68"/>
      <c r="C1487" s="68"/>
      <c r="D1487" s="68"/>
      <c r="E1487" s="68"/>
      <c r="F1487" s="68"/>
      <c r="G1487" s="68"/>
      <c r="H1487" s="68"/>
      <c r="I1487" s="68"/>
      <c r="J1487" s="68"/>
      <c r="K1487" s="68"/>
      <c r="L1487" s="56"/>
      <c r="M1487" s="26"/>
      <c r="N1487" s="26"/>
      <c r="O1487" s="68"/>
      <c r="P1487" s="1"/>
      <c r="Q1487" s="8"/>
      <c r="R1487" s="66"/>
      <c r="S1487" s="1"/>
      <c r="T1487" s="66"/>
      <c r="U1487" s="8"/>
      <c r="V1487" s="56"/>
      <c r="W1487" s="1"/>
      <c r="X1487" s="1"/>
      <c r="Y1487" s="1"/>
    </row>
    <row r="1488" spans="1:25">
      <c r="A1488" s="57"/>
      <c r="B1488" s="68"/>
      <c r="C1488" s="68"/>
      <c r="D1488" s="68"/>
      <c r="E1488" s="68"/>
      <c r="F1488" s="68"/>
      <c r="G1488" s="68"/>
      <c r="H1488" s="68"/>
      <c r="I1488" s="68"/>
      <c r="J1488" s="68"/>
      <c r="K1488" s="68"/>
      <c r="L1488" s="56"/>
      <c r="M1488" s="26"/>
      <c r="N1488" s="26"/>
      <c r="O1488" s="68"/>
      <c r="P1488" s="1"/>
      <c r="Q1488" s="8"/>
      <c r="R1488" s="66"/>
      <c r="S1488" s="1"/>
      <c r="T1488" s="66"/>
      <c r="U1488" s="8"/>
      <c r="V1488" s="56"/>
      <c r="W1488" s="1"/>
      <c r="X1488" s="1"/>
      <c r="Y1488" s="1"/>
    </row>
    <row r="1489" spans="1:25">
      <c r="A1489" s="57"/>
      <c r="B1489" s="68"/>
      <c r="C1489" s="68"/>
      <c r="D1489" s="68"/>
      <c r="E1489" s="68"/>
      <c r="F1489" s="68"/>
      <c r="G1489" s="68"/>
      <c r="H1489" s="68"/>
      <c r="I1489" s="68"/>
      <c r="J1489" s="68"/>
      <c r="K1489" s="68"/>
      <c r="L1489" s="56"/>
      <c r="M1489" s="26"/>
      <c r="N1489" s="26"/>
      <c r="O1489" s="68"/>
      <c r="P1489" s="1"/>
      <c r="Q1489" s="8"/>
      <c r="R1489" s="66"/>
      <c r="S1489" s="1"/>
      <c r="T1489" s="66"/>
      <c r="U1489" s="8"/>
      <c r="V1489" s="56"/>
      <c r="W1489" s="1"/>
      <c r="X1489" s="1"/>
      <c r="Y1489" s="1"/>
    </row>
    <row r="1490" spans="1:25">
      <c r="A1490" s="57"/>
      <c r="B1490" s="68"/>
      <c r="C1490" s="68"/>
      <c r="D1490" s="68"/>
      <c r="E1490" s="68"/>
      <c r="F1490" s="68"/>
      <c r="G1490" s="68"/>
      <c r="H1490" s="68"/>
      <c r="I1490" s="68"/>
      <c r="J1490" s="68"/>
      <c r="K1490" s="68"/>
      <c r="L1490" s="56"/>
      <c r="M1490" s="26"/>
      <c r="N1490" s="26"/>
      <c r="O1490" s="68"/>
      <c r="P1490" s="1"/>
      <c r="Q1490" s="8"/>
      <c r="R1490" s="66"/>
      <c r="S1490" s="1"/>
      <c r="T1490" s="66"/>
      <c r="U1490" s="8"/>
      <c r="V1490" s="56"/>
      <c r="W1490" s="1"/>
      <c r="X1490" s="1"/>
      <c r="Y1490" s="1"/>
    </row>
    <row r="1491" spans="1:25">
      <c r="A1491" s="57"/>
      <c r="B1491" s="68"/>
      <c r="C1491" s="68"/>
      <c r="D1491" s="68"/>
      <c r="E1491" s="68"/>
      <c r="F1491" s="68"/>
      <c r="G1491" s="68"/>
      <c r="H1491" s="68"/>
      <c r="I1491" s="68"/>
      <c r="J1491" s="68"/>
      <c r="K1491" s="68"/>
      <c r="L1491" s="56"/>
      <c r="M1491" s="26"/>
      <c r="N1491" s="26"/>
      <c r="O1491" s="68"/>
      <c r="P1491" s="1"/>
      <c r="Q1491" s="8"/>
      <c r="R1491" s="66"/>
      <c r="S1491" s="1"/>
      <c r="T1491" s="66"/>
      <c r="U1491" s="8"/>
      <c r="V1491" s="56"/>
      <c r="W1491" s="1"/>
      <c r="X1491" s="1"/>
      <c r="Y1491" s="1"/>
    </row>
    <row r="1492" spans="1:25">
      <c r="A1492" s="57"/>
      <c r="B1492" s="68"/>
      <c r="C1492" s="68"/>
      <c r="D1492" s="68"/>
      <c r="E1492" s="68"/>
      <c r="F1492" s="68"/>
      <c r="G1492" s="68"/>
      <c r="H1492" s="68"/>
      <c r="I1492" s="68"/>
      <c r="J1492" s="68"/>
      <c r="K1492" s="68"/>
      <c r="L1492" s="56"/>
      <c r="M1492" s="26"/>
      <c r="N1492" s="26"/>
      <c r="O1492" s="68"/>
      <c r="P1492" s="1"/>
      <c r="Q1492" s="8"/>
      <c r="R1492" s="66"/>
      <c r="S1492" s="1"/>
      <c r="T1492" s="66"/>
      <c r="U1492" s="8"/>
      <c r="V1492" s="56"/>
      <c r="W1492" s="1"/>
      <c r="X1492" s="1"/>
      <c r="Y1492" s="1"/>
    </row>
    <row r="1493" spans="1:25">
      <c r="A1493" s="57"/>
      <c r="B1493" s="68"/>
      <c r="C1493" s="68"/>
      <c r="D1493" s="68"/>
      <c r="E1493" s="68"/>
      <c r="F1493" s="68"/>
      <c r="G1493" s="68"/>
      <c r="H1493" s="68"/>
      <c r="I1493" s="68"/>
      <c r="J1493" s="68"/>
      <c r="K1493" s="68"/>
      <c r="L1493" s="56"/>
      <c r="M1493" s="26"/>
      <c r="N1493" s="26"/>
      <c r="O1493" s="68"/>
      <c r="P1493" s="1"/>
      <c r="Q1493" s="8"/>
      <c r="R1493" s="66"/>
      <c r="S1493" s="1"/>
      <c r="T1493" s="66"/>
      <c r="U1493" s="8"/>
      <c r="V1493" s="56"/>
      <c r="W1493" s="1"/>
      <c r="X1493" s="1"/>
      <c r="Y1493" s="1"/>
    </row>
    <row r="1494" spans="1:25">
      <c r="A1494" s="57"/>
      <c r="B1494" s="68"/>
      <c r="C1494" s="68"/>
      <c r="D1494" s="68"/>
      <c r="E1494" s="68"/>
      <c r="F1494" s="68"/>
      <c r="G1494" s="68"/>
      <c r="H1494" s="68"/>
      <c r="I1494" s="68"/>
      <c r="J1494" s="68"/>
      <c r="K1494" s="68"/>
      <c r="L1494" s="56"/>
      <c r="M1494" s="26"/>
      <c r="N1494" s="26"/>
      <c r="O1494" s="68"/>
      <c r="P1494" s="1"/>
      <c r="Q1494" s="8"/>
      <c r="R1494" s="66"/>
      <c r="S1494" s="1"/>
      <c r="T1494" s="66"/>
      <c r="U1494" s="8"/>
      <c r="V1494" s="56"/>
      <c r="W1494" s="1"/>
      <c r="X1494" s="1"/>
      <c r="Y1494" s="1"/>
    </row>
    <row r="1495" spans="1:25">
      <c r="A1495" s="57"/>
      <c r="B1495" s="68"/>
      <c r="C1495" s="68"/>
      <c r="D1495" s="68"/>
      <c r="E1495" s="68"/>
      <c r="F1495" s="68"/>
      <c r="G1495" s="68"/>
      <c r="H1495" s="68"/>
      <c r="I1495" s="68"/>
      <c r="J1495" s="68"/>
      <c r="K1495" s="68"/>
      <c r="L1495" s="56"/>
      <c r="M1495" s="26"/>
      <c r="N1495" s="26"/>
      <c r="O1495" s="68"/>
      <c r="P1495" s="1"/>
      <c r="Q1495" s="8"/>
      <c r="R1495" s="66"/>
      <c r="S1495" s="1"/>
      <c r="T1495" s="66"/>
      <c r="U1495" s="8"/>
      <c r="V1495" s="56"/>
      <c r="W1495" s="1"/>
      <c r="X1495" s="1"/>
      <c r="Y1495" s="1"/>
    </row>
    <row r="1496" spans="1:25">
      <c r="A1496" s="57"/>
      <c r="B1496" s="68"/>
      <c r="C1496" s="68"/>
      <c r="D1496" s="68"/>
      <c r="E1496" s="68"/>
      <c r="F1496" s="68"/>
      <c r="G1496" s="68"/>
      <c r="H1496" s="68"/>
      <c r="I1496" s="68"/>
      <c r="J1496" s="68"/>
      <c r="K1496" s="68"/>
      <c r="L1496" s="56"/>
      <c r="M1496" s="26"/>
      <c r="N1496" s="26"/>
      <c r="O1496" s="68"/>
      <c r="P1496" s="1"/>
      <c r="Q1496" s="8"/>
      <c r="R1496" s="66"/>
      <c r="S1496" s="1"/>
      <c r="T1496" s="66"/>
      <c r="U1496" s="8"/>
      <c r="V1496" s="56"/>
      <c r="W1496" s="1"/>
      <c r="X1496" s="1"/>
      <c r="Y1496" s="1"/>
    </row>
    <row r="1497" spans="1:25">
      <c r="A1497" s="57"/>
      <c r="B1497" s="68"/>
      <c r="C1497" s="68"/>
      <c r="D1497" s="68"/>
      <c r="E1497" s="68"/>
      <c r="F1497" s="68"/>
      <c r="G1497" s="68"/>
      <c r="H1497" s="68"/>
      <c r="I1497" s="68"/>
      <c r="J1497" s="68"/>
      <c r="K1497" s="68"/>
      <c r="L1497" s="56"/>
      <c r="M1497" s="26"/>
      <c r="N1497" s="26"/>
      <c r="O1497" s="68"/>
      <c r="P1497" s="1"/>
      <c r="Q1497" s="8"/>
      <c r="R1497" s="66"/>
      <c r="S1497" s="1"/>
      <c r="T1497" s="66"/>
      <c r="U1497" s="8"/>
      <c r="V1497" s="56"/>
      <c r="W1497" s="1"/>
      <c r="X1497" s="1"/>
      <c r="Y1497" s="1"/>
    </row>
    <row r="1498" spans="1:25">
      <c r="A1498" s="57"/>
      <c r="B1498" s="68"/>
      <c r="C1498" s="68"/>
      <c r="D1498" s="68"/>
      <c r="E1498" s="68"/>
      <c r="F1498" s="68"/>
      <c r="G1498" s="68"/>
      <c r="H1498" s="68"/>
      <c r="I1498" s="68"/>
      <c r="J1498" s="68"/>
      <c r="K1498" s="68"/>
      <c r="L1498" s="56"/>
      <c r="M1498" s="26"/>
      <c r="N1498" s="26"/>
      <c r="O1498" s="68"/>
      <c r="P1498" s="1"/>
      <c r="Q1498" s="8"/>
      <c r="R1498" s="66"/>
      <c r="S1498" s="1"/>
      <c r="T1498" s="66"/>
      <c r="U1498" s="8"/>
      <c r="V1498" s="56"/>
      <c r="W1498" s="1"/>
      <c r="X1498" s="1"/>
      <c r="Y1498" s="1"/>
    </row>
    <row r="1499" spans="1:25">
      <c r="A1499" s="57"/>
      <c r="B1499" s="68"/>
      <c r="C1499" s="68"/>
      <c r="D1499" s="68"/>
      <c r="E1499" s="68"/>
      <c r="F1499" s="68"/>
      <c r="G1499" s="68"/>
      <c r="H1499" s="68"/>
      <c r="I1499" s="68"/>
      <c r="J1499" s="68"/>
      <c r="K1499" s="68"/>
      <c r="L1499" s="56"/>
      <c r="M1499" s="26"/>
      <c r="N1499" s="26"/>
      <c r="O1499" s="68"/>
      <c r="P1499" s="1"/>
      <c r="Q1499" s="8"/>
      <c r="R1499" s="66"/>
      <c r="S1499" s="1"/>
      <c r="T1499" s="66"/>
      <c r="U1499" s="8"/>
      <c r="V1499" s="56"/>
      <c r="W1499" s="1"/>
      <c r="X1499" s="1"/>
      <c r="Y1499" s="1"/>
    </row>
    <row r="1500" spans="1:25">
      <c r="A1500" s="57"/>
      <c r="B1500" s="68"/>
      <c r="C1500" s="68"/>
      <c r="D1500" s="68"/>
      <c r="E1500" s="68"/>
      <c r="F1500" s="68"/>
      <c r="G1500" s="68"/>
      <c r="H1500" s="68"/>
      <c r="I1500" s="68"/>
      <c r="J1500" s="68"/>
      <c r="K1500" s="68"/>
      <c r="L1500" s="56"/>
      <c r="M1500" s="26"/>
      <c r="N1500" s="26"/>
      <c r="O1500" s="68"/>
      <c r="P1500" s="1"/>
      <c r="Q1500" s="8"/>
      <c r="R1500" s="66"/>
      <c r="S1500" s="1"/>
      <c r="T1500" s="66"/>
      <c r="U1500" s="8"/>
      <c r="V1500" s="56"/>
      <c r="W1500" s="1"/>
      <c r="X1500" s="1"/>
      <c r="Y1500" s="1"/>
    </row>
    <row r="1501" spans="1:25">
      <c r="A1501" s="57"/>
      <c r="B1501" s="68"/>
      <c r="C1501" s="68"/>
      <c r="D1501" s="68"/>
      <c r="E1501" s="68"/>
      <c r="F1501" s="68"/>
      <c r="G1501" s="68"/>
      <c r="H1501" s="68"/>
      <c r="I1501" s="68"/>
      <c r="J1501" s="68"/>
      <c r="K1501" s="68"/>
      <c r="L1501" s="56"/>
      <c r="M1501" s="26"/>
      <c r="N1501" s="26"/>
      <c r="O1501" s="68"/>
      <c r="P1501" s="1"/>
      <c r="Q1501" s="8"/>
      <c r="R1501" s="66"/>
      <c r="S1501" s="1"/>
      <c r="T1501" s="66"/>
      <c r="U1501" s="8"/>
      <c r="V1501" s="56"/>
      <c r="W1501" s="1"/>
      <c r="X1501" s="1"/>
      <c r="Y1501" s="1"/>
    </row>
    <row r="1502" spans="1:25">
      <c r="A1502" s="57"/>
      <c r="B1502" s="68"/>
      <c r="C1502" s="68"/>
      <c r="D1502" s="68"/>
      <c r="E1502" s="68"/>
      <c r="F1502" s="68"/>
      <c r="G1502" s="68"/>
      <c r="H1502" s="68"/>
      <c r="I1502" s="68"/>
      <c r="J1502" s="68"/>
      <c r="K1502" s="68"/>
      <c r="L1502" s="56"/>
      <c r="M1502" s="26"/>
      <c r="N1502" s="26"/>
      <c r="O1502" s="68"/>
      <c r="P1502" s="1"/>
      <c r="Q1502" s="8"/>
      <c r="R1502" s="66"/>
      <c r="S1502" s="1"/>
      <c r="T1502" s="66"/>
      <c r="U1502" s="8"/>
      <c r="V1502" s="56"/>
      <c r="W1502" s="1"/>
      <c r="X1502" s="1"/>
      <c r="Y1502" s="1"/>
    </row>
    <row r="1503" spans="1:25">
      <c r="A1503" s="57"/>
      <c r="B1503" s="68"/>
      <c r="C1503" s="68"/>
      <c r="D1503" s="68"/>
      <c r="E1503" s="68"/>
      <c r="F1503" s="68"/>
      <c r="G1503" s="68"/>
      <c r="H1503" s="68"/>
      <c r="I1503" s="68"/>
      <c r="J1503" s="68"/>
      <c r="K1503" s="68"/>
      <c r="L1503" s="56"/>
      <c r="M1503" s="26"/>
      <c r="N1503" s="26"/>
      <c r="O1503" s="68"/>
      <c r="P1503" s="1"/>
      <c r="Q1503" s="8"/>
      <c r="R1503" s="66"/>
      <c r="S1503" s="1"/>
      <c r="T1503" s="66"/>
      <c r="U1503" s="8"/>
      <c r="V1503" s="56"/>
      <c r="W1503" s="1"/>
      <c r="X1503" s="1"/>
      <c r="Y1503" s="1"/>
    </row>
    <row r="1504" spans="1:25">
      <c r="A1504" s="57"/>
      <c r="B1504" s="68"/>
      <c r="C1504" s="68"/>
      <c r="D1504" s="68"/>
      <c r="E1504" s="68"/>
      <c r="F1504" s="68"/>
      <c r="G1504" s="68"/>
      <c r="H1504" s="68"/>
      <c r="I1504" s="68"/>
      <c r="J1504" s="68"/>
      <c r="K1504" s="68"/>
      <c r="L1504" s="56"/>
      <c r="M1504" s="26"/>
      <c r="N1504" s="26"/>
      <c r="O1504" s="68"/>
      <c r="P1504" s="1"/>
      <c r="Q1504" s="8"/>
      <c r="R1504" s="66"/>
      <c r="S1504" s="1"/>
      <c r="T1504" s="66"/>
      <c r="U1504" s="8"/>
      <c r="V1504" s="56"/>
      <c r="W1504" s="1"/>
      <c r="X1504" s="1"/>
      <c r="Y1504" s="1"/>
    </row>
    <row r="1505" spans="1:25">
      <c r="A1505" s="57"/>
      <c r="B1505" s="68"/>
      <c r="C1505" s="68"/>
      <c r="D1505" s="68"/>
      <c r="E1505" s="68"/>
      <c r="F1505" s="68"/>
      <c r="G1505" s="68"/>
      <c r="H1505" s="68"/>
      <c r="I1505" s="68"/>
      <c r="J1505" s="68"/>
      <c r="K1505" s="68"/>
      <c r="L1505" s="56"/>
      <c r="M1505" s="26"/>
      <c r="N1505" s="26"/>
      <c r="O1505" s="68"/>
      <c r="P1505" s="1"/>
      <c r="Q1505" s="8"/>
      <c r="R1505" s="66"/>
      <c r="S1505" s="1"/>
      <c r="T1505" s="66"/>
      <c r="U1505" s="8"/>
      <c r="V1505" s="56"/>
      <c r="W1505" s="1"/>
      <c r="X1505" s="1"/>
      <c r="Y1505" s="1"/>
    </row>
    <row r="1506" spans="1:25">
      <c r="A1506" s="57"/>
      <c r="B1506" s="68"/>
      <c r="C1506" s="68"/>
      <c r="D1506" s="68"/>
      <c r="E1506" s="68"/>
      <c r="F1506" s="68"/>
      <c r="G1506" s="68"/>
      <c r="H1506" s="68"/>
      <c r="I1506" s="68"/>
      <c r="J1506" s="68"/>
      <c r="K1506" s="68"/>
      <c r="L1506" s="56"/>
      <c r="M1506" s="26"/>
      <c r="N1506" s="26"/>
      <c r="O1506" s="68"/>
      <c r="P1506" s="1"/>
      <c r="Q1506" s="8"/>
      <c r="R1506" s="66"/>
      <c r="S1506" s="1"/>
      <c r="T1506" s="66"/>
      <c r="U1506" s="8"/>
      <c r="V1506" s="56"/>
      <c r="W1506" s="1"/>
      <c r="X1506" s="1"/>
      <c r="Y1506" s="1"/>
    </row>
    <row r="1507" spans="1:25">
      <c r="A1507" s="57"/>
      <c r="B1507" s="68"/>
      <c r="C1507" s="68"/>
      <c r="D1507" s="68"/>
      <c r="E1507" s="68"/>
      <c r="F1507" s="68"/>
      <c r="G1507" s="68"/>
      <c r="H1507" s="68"/>
      <c r="I1507" s="68"/>
      <c r="J1507" s="68"/>
      <c r="K1507" s="68"/>
      <c r="L1507" s="56"/>
      <c r="M1507" s="26"/>
      <c r="N1507" s="26"/>
      <c r="O1507" s="68"/>
      <c r="P1507" s="1"/>
      <c r="Q1507" s="8"/>
      <c r="R1507" s="66"/>
      <c r="S1507" s="1"/>
      <c r="T1507" s="66"/>
      <c r="U1507" s="8"/>
      <c r="V1507" s="56"/>
      <c r="W1507" s="1"/>
      <c r="X1507" s="1"/>
      <c r="Y1507" s="1"/>
    </row>
    <row r="1508" spans="1:25">
      <c r="A1508" s="57"/>
      <c r="B1508" s="68"/>
      <c r="C1508" s="68"/>
      <c r="D1508" s="68"/>
      <c r="E1508" s="68"/>
      <c r="F1508" s="68"/>
      <c r="G1508" s="68"/>
      <c r="H1508" s="68"/>
      <c r="I1508" s="68"/>
      <c r="J1508" s="68"/>
      <c r="K1508" s="68"/>
      <c r="L1508" s="56"/>
      <c r="M1508" s="26"/>
      <c r="N1508" s="26"/>
      <c r="O1508" s="68"/>
      <c r="P1508" s="1"/>
      <c r="Q1508" s="8"/>
      <c r="R1508" s="66"/>
      <c r="S1508" s="1"/>
      <c r="T1508" s="66"/>
      <c r="U1508" s="8"/>
      <c r="V1508" s="56"/>
      <c r="W1508" s="1"/>
      <c r="X1508" s="1"/>
      <c r="Y1508" s="1"/>
    </row>
    <row r="1509" spans="1:25">
      <c r="A1509" s="57"/>
      <c r="B1509" s="68"/>
      <c r="C1509" s="68"/>
      <c r="D1509" s="68"/>
      <c r="E1509" s="68"/>
      <c r="F1509" s="68"/>
      <c r="G1509" s="68"/>
      <c r="H1509" s="68"/>
      <c r="I1509" s="68"/>
      <c r="J1509" s="68"/>
      <c r="K1509" s="68"/>
      <c r="L1509" s="56"/>
      <c r="M1509" s="26"/>
      <c r="N1509" s="26"/>
      <c r="O1509" s="68"/>
      <c r="P1509" s="1"/>
      <c r="Q1509" s="8"/>
      <c r="R1509" s="66"/>
      <c r="S1509" s="1"/>
      <c r="T1509" s="66"/>
      <c r="U1509" s="8"/>
      <c r="V1509" s="56"/>
      <c r="W1509" s="1"/>
      <c r="X1509" s="1"/>
      <c r="Y1509" s="1"/>
    </row>
    <row r="1510" spans="1:25">
      <c r="A1510" s="57"/>
      <c r="B1510" s="68"/>
      <c r="C1510" s="68"/>
      <c r="D1510" s="68"/>
      <c r="E1510" s="68"/>
      <c r="F1510" s="68"/>
      <c r="G1510" s="68"/>
      <c r="H1510" s="68"/>
      <c r="I1510" s="68"/>
      <c r="J1510" s="68"/>
      <c r="K1510" s="68"/>
      <c r="L1510" s="56"/>
      <c r="M1510" s="26"/>
      <c r="N1510" s="26"/>
      <c r="O1510" s="68"/>
      <c r="P1510" s="1"/>
      <c r="Q1510" s="8"/>
      <c r="R1510" s="66"/>
      <c r="S1510" s="1"/>
      <c r="T1510" s="66"/>
      <c r="U1510" s="8"/>
      <c r="V1510" s="56"/>
      <c r="W1510" s="1"/>
      <c r="X1510" s="1"/>
      <c r="Y1510" s="1"/>
    </row>
    <row r="1511" spans="1:25">
      <c r="A1511" s="57"/>
      <c r="B1511" s="68"/>
      <c r="C1511" s="68"/>
      <c r="D1511" s="68"/>
      <c r="E1511" s="68"/>
      <c r="F1511" s="68"/>
      <c r="G1511" s="68"/>
      <c r="H1511" s="68"/>
      <c r="I1511" s="68"/>
      <c r="J1511" s="68"/>
      <c r="K1511" s="68"/>
      <c r="L1511" s="56"/>
      <c r="M1511" s="26"/>
      <c r="N1511" s="26"/>
      <c r="O1511" s="68"/>
      <c r="P1511" s="1"/>
      <c r="Q1511" s="8"/>
      <c r="R1511" s="66"/>
      <c r="S1511" s="1"/>
      <c r="T1511" s="66"/>
      <c r="U1511" s="8"/>
      <c r="V1511" s="56"/>
      <c r="W1511" s="1"/>
      <c r="X1511" s="1"/>
      <c r="Y1511" s="1"/>
    </row>
    <row r="1512" spans="1:25">
      <c r="A1512" s="57"/>
      <c r="B1512" s="68"/>
      <c r="C1512" s="68"/>
      <c r="D1512" s="68"/>
      <c r="E1512" s="68"/>
      <c r="F1512" s="68"/>
      <c r="G1512" s="68"/>
      <c r="H1512" s="68"/>
      <c r="I1512" s="68"/>
      <c r="J1512" s="68"/>
      <c r="K1512" s="68"/>
      <c r="L1512" s="56"/>
      <c r="M1512" s="26"/>
      <c r="N1512" s="26"/>
      <c r="O1512" s="68"/>
      <c r="P1512" s="1"/>
      <c r="Q1512" s="8"/>
      <c r="R1512" s="66"/>
      <c r="S1512" s="1"/>
      <c r="T1512" s="66"/>
      <c r="U1512" s="8"/>
      <c r="V1512" s="56"/>
      <c r="W1512" s="1"/>
      <c r="X1512" s="1"/>
      <c r="Y1512" s="1"/>
    </row>
    <row r="1513" spans="1:25">
      <c r="A1513" s="57"/>
      <c r="B1513" s="68"/>
      <c r="C1513" s="68"/>
      <c r="D1513" s="68"/>
      <c r="E1513" s="68"/>
      <c r="F1513" s="68"/>
      <c r="G1513" s="68"/>
      <c r="H1513" s="68"/>
      <c r="I1513" s="68"/>
      <c r="J1513" s="68"/>
      <c r="K1513" s="68"/>
      <c r="L1513" s="56"/>
      <c r="M1513" s="26"/>
      <c r="N1513" s="26"/>
      <c r="O1513" s="68"/>
      <c r="P1513" s="1"/>
      <c r="Q1513" s="8"/>
      <c r="R1513" s="66"/>
      <c r="S1513" s="1"/>
      <c r="T1513" s="66"/>
      <c r="U1513" s="8"/>
      <c r="V1513" s="56"/>
      <c r="W1513" s="1"/>
      <c r="X1513" s="1"/>
      <c r="Y1513" s="1"/>
    </row>
    <row r="1514" spans="1:25">
      <c r="A1514" s="57"/>
      <c r="B1514" s="68"/>
      <c r="C1514" s="68"/>
      <c r="D1514" s="68"/>
      <c r="E1514" s="68"/>
      <c r="F1514" s="68"/>
      <c r="G1514" s="68"/>
      <c r="H1514" s="68"/>
      <c r="I1514" s="68"/>
      <c r="J1514" s="68"/>
      <c r="K1514" s="68"/>
      <c r="L1514" s="56"/>
      <c r="M1514" s="26"/>
      <c r="N1514" s="26"/>
      <c r="O1514" s="68"/>
      <c r="P1514" s="1"/>
      <c r="Q1514" s="8"/>
      <c r="R1514" s="66"/>
      <c r="S1514" s="1"/>
      <c r="T1514" s="66"/>
      <c r="U1514" s="8"/>
      <c r="V1514" s="56"/>
      <c r="W1514" s="1"/>
      <c r="X1514" s="1"/>
      <c r="Y1514" s="1"/>
    </row>
    <row r="1515" spans="1:25">
      <c r="A1515" s="57"/>
      <c r="B1515" s="68"/>
      <c r="C1515" s="68"/>
      <c r="D1515" s="68"/>
      <c r="E1515" s="68"/>
      <c r="F1515" s="68"/>
      <c r="G1515" s="68"/>
      <c r="H1515" s="68"/>
      <c r="I1515" s="68"/>
      <c r="J1515" s="68"/>
      <c r="K1515" s="68"/>
      <c r="L1515" s="56"/>
      <c r="M1515" s="26"/>
      <c r="N1515" s="26"/>
      <c r="O1515" s="68"/>
      <c r="P1515" s="1"/>
      <c r="Q1515" s="8"/>
      <c r="R1515" s="66"/>
      <c r="S1515" s="1"/>
      <c r="T1515" s="66"/>
      <c r="U1515" s="8"/>
      <c r="V1515" s="56"/>
      <c r="W1515" s="1"/>
      <c r="X1515" s="1"/>
      <c r="Y1515" s="1"/>
    </row>
    <row r="1516" spans="1:25">
      <c r="A1516" s="57"/>
      <c r="B1516" s="68"/>
      <c r="C1516" s="68"/>
      <c r="D1516" s="68"/>
      <c r="E1516" s="68"/>
      <c r="F1516" s="68"/>
      <c r="G1516" s="68"/>
      <c r="H1516" s="68"/>
      <c r="I1516" s="68"/>
      <c r="J1516" s="68"/>
      <c r="K1516" s="68"/>
      <c r="L1516" s="56"/>
      <c r="M1516" s="26"/>
      <c r="N1516" s="26"/>
      <c r="O1516" s="68"/>
      <c r="P1516" s="1"/>
      <c r="Q1516" s="8"/>
      <c r="R1516" s="66"/>
      <c r="S1516" s="1"/>
      <c r="T1516" s="66"/>
      <c r="U1516" s="8"/>
      <c r="V1516" s="56"/>
      <c r="W1516" s="1"/>
      <c r="X1516" s="1"/>
      <c r="Y1516" s="1"/>
    </row>
    <row r="1517" spans="1:25">
      <c r="A1517" s="57"/>
      <c r="B1517" s="68"/>
      <c r="C1517" s="68"/>
      <c r="D1517" s="68"/>
      <c r="E1517" s="68"/>
      <c r="F1517" s="68"/>
      <c r="G1517" s="68"/>
      <c r="H1517" s="68"/>
      <c r="I1517" s="68"/>
      <c r="J1517" s="68"/>
      <c r="K1517" s="68"/>
      <c r="L1517" s="56"/>
      <c r="M1517" s="26"/>
      <c r="N1517" s="26"/>
      <c r="O1517" s="68"/>
      <c r="P1517" s="1"/>
      <c r="Q1517" s="8"/>
      <c r="R1517" s="66"/>
      <c r="S1517" s="1"/>
      <c r="T1517" s="66"/>
      <c r="U1517" s="8"/>
      <c r="V1517" s="56"/>
      <c r="W1517" s="1"/>
      <c r="X1517" s="1"/>
      <c r="Y1517" s="1"/>
    </row>
    <row r="1518" spans="1:25">
      <c r="A1518" s="57"/>
      <c r="B1518" s="68"/>
      <c r="C1518" s="68"/>
      <c r="D1518" s="68"/>
      <c r="E1518" s="68"/>
      <c r="F1518" s="68"/>
      <c r="G1518" s="68"/>
      <c r="H1518" s="68"/>
      <c r="I1518" s="68"/>
      <c r="J1518" s="68"/>
      <c r="K1518" s="68"/>
      <c r="L1518" s="56"/>
      <c r="M1518" s="26"/>
      <c r="N1518" s="26"/>
      <c r="O1518" s="68"/>
      <c r="P1518" s="1"/>
      <c r="Q1518" s="8"/>
      <c r="R1518" s="66"/>
      <c r="S1518" s="1"/>
      <c r="T1518" s="66"/>
      <c r="U1518" s="8"/>
      <c r="V1518" s="56"/>
      <c r="W1518" s="1"/>
      <c r="X1518" s="1"/>
      <c r="Y1518" s="1"/>
    </row>
    <row r="1519" spans="1:25">
      <c r="A1519" s="57"/>
      <c r="B1519" s="68"/>
      <c r="C1519" s="68"/>
      <c r="D1519" s="68"/>
      <c r="E1519" s="68"/>
      <c r="F1519" s="68"/>
      <c r="G1519" s="68"/>
      <c r="H1519" s="68"/>
      <c r="I1519" s="68"/>
      <c r="J1519" s="68"/>
      <c r="K1519" s="68"/>
      <c r="L1519" s="56"/>
      <c r="M1519" s="26"/>
      <c r="N1519" s="26"/>
      <c r="O1519" s="68"/>
      <c r="P1519" s="1"/>
      <c r="Q1519" s="8"/>
      <c r="R1519" s="66"/>
      <c r="S1519" s="1"/>
      <c r="T1519" s="66"/>
      <c r="U1519" s="8"/>
      <c r="V1519" s="56"/>
      <c r="W1519" s="1"/>
      <c r="X1519" s="1"/>
      <c r="Y1519" s="1"/>
    </row>
    <row r="1520" spans="1:25">
      <c r="A1520" s="57"/>
      <c r="B1520" s="68"/>
      <c r="C1520" s="68"/>
      <c r="D1520" s="68"/>
      <c r="E1520" s="68"/>
      <c r="F1520" s="68"/>
      <c r="G1520" s="68"/>
      <c r="H1520" s="68"/>
      <c r="I1520" s="68"/>
      <c r="J1520" s="68"/>
      <c r="K1520" s="68"/>
      <c r="L1520" s="56"/>
      <c r="M1520" s="26"/>
      <c r="N1520" s="26"/>
      <c r="O1520" s="68"/>
      <c r="P1520" s="1"/>
      <c r="Q1520" s="8"/>
      <c r="R1520" s="66"/>
      <c r="S1520" s="1"/>
      <c r="T1520" s="66"/>
      <c r="U1520" s="8"/>
      <c r="V1520" s="56"/>
      <c r="W1520" s="1"/>
      <c r="X1520" s="1"/>
      <c r="Y1520" s="1"/>
    </row>
    <row r="1521" spans="1:25">
      <c r="A1521" s="57"/>
      <c r="B1521" s="68"/>
      <c r="C1521" s="68"/>
      <c r="D1521" s="68"/>
      <c r="E1521" s="68"/>
      <c r="F1521" s="68"/>
      <c r="G1521" s="68"/>
      <c r="H1521" s="68"/>
      <c r="I1521" s="68"/>
      <c r="J1521" s="68"/>
      <c r="K1521" s="68"/>
      <c r="L1521" s="56"/>
      <c r="M1521" s="26"/>
      <c r="N1521" s="26"/>
      <c r="O1521" s="68"/>
      <c r="P1521" s="1"/>
      <c r="Q1521" s="8"/>
      <c r="R1521" s="66"/>
      <c r="S1521" s="1"/>
      <c r="T1521" s="66"/>
      <c r="U1521" s="8"/>
      <c r="V1521" s="56"/>
      <c r="W1521" s="1"/>
      <c r="X1521" s="1"/>
      <c r="Y1521" s="1"/>
    </row>
    <row r="1522" spans="1:25">
      <c r="A1522" s="57"/>
      <c r="B1522" s="68"/>
      <c r="C1522" s="68"/>
      <c r="D1522" s="68"/>
      <c r="E1522" s="68"/>
      <c r="F1522" s="68"/>
      <c r="G1522" s="68"/>
      <c r="H1522" s="68"/>
      <c r="I1522" s="68"/>
      <c r="J1522" s="68"/>
      <c r="K1522" s="68"/>
      <c r="L1522" s="56"/>
      <c r="M1522" s="26"/>
      <c r="N1522" s="26"/>
      <c r="O1522" s="68"/>
      <c r="P1522" s="1"/>
      <c r="Q1522" s="8"/>
      <c r="R1522" s="66"/>
      <c r="S1522" s="1"/>
      <c r="T1522" s="66"/>
      <c r="U1522" s="8"/>
      <c r="V1522" s="56"/>
      <c r="W1522" s="1"/>
      <c r="X1522" s="1"/>
      <c r="Y1522" s="1"/>
    </row>
    <row r="1523" spans="1:25">
      <c r="A1523" s="57"/>
      <c r="B1523" s="68"/>
      <c r="C1523" s="68"/>
      <c r="D1523" s="68"/>
      <c r="E1523" s="68"/>
      <c r="F1523" s="68"/>
      <c r="G1523" s="68"/>
      <c r="H1523" s="68"/>
      <c r="I1523" s="68"/>
      <c r="J1523" s="68"/>
      <c r="K1523" s="68"/>
      <c r="L1523" s="56"/>
      <c r="M1523" s="26"/>
      <c r="N1523" s="26"/>
      <c r="O1523" s="68"/>
      <c r="P1523" s="1"/>
      <c r="Q1523" s="8"/>
      <c r="R1523" s="66"/>
      <c r="S1523" s="1"/>
      <c r="T1523" s="66"/>
      <c r="U1523" s="8"/>
      <c r="V1523" s="56"/>
      <c r="W1523" s="1"/>
      <c r="X1523" s="1"/>
      <c r="Y1523" s="1"/>
    </row>
    <row r="1524" spans="1:25">
      <c r="A1524" s="57"/>
      <c r="B1524" s="68"/>
      <c r="C1524" s="68"/>
      <c r="D1524" s="68"/>
      <c r="E1524" s="68"/>
      <c r="F1524" s="68"/>
      <c r="G1524" s="68"/>
      <c r="H1524" s="68"/>
      <c r="I1524" s="68"/>
      <c r="J1524" s="68"/>
      <c r="K1524" s="68"/>
      <c r="L1524" s="56"/>
      <c r="M1524" s="26"/>
      <c r="N1524" s="26"/>
      <c r="O1524" s="68"/>
      <c r="P1524" s="1"/>
      <c r="Q1524" s="8"/>
      <c r="R1524" s="66"/>
      <c r="S1524" s="1"/>
      <c r="T1524" s="66"/>
      <c r="U1524" s="8"/>
      <c r="V1524" s="56"/>
      <c r="W1524" s="1"/>
      <c r="X1524" s="1"/>
      <c r="Y1524" s="1"/>
    </row>
    <row r="1525" spans="1:25">
      <c r="A1525" s="57"/>
      <c r="B1525" s="68"/>
      <c r="C1525" s="68"/>
      <c r="D1525" s="68"/>
      <c r="E1525" s="68"/>
      <c r="F1525" s="68"/>
      <c r="G1525" s="68"/>
      <c r="H1525" s="68"/>
      <c r="I1525" s="68"/>
      <c r="J1525" s="68"/>
      <c r="K1525" s="68"/>
      <c r="L1525" s="56"/>
      <c r="M1525" s="26"/>
      <c r="N1525" s="26"/>
      <c r="O1525" s="68"/>
      <c r="P1525" s="1"/>
      <c r="Q1525" s="8"/>
      <c r="R1525" s="66"/>
      <c r="S1525" s="1"/>
      <c r="T1525" s="66"/>
      <c r="U1525" s="8"/>
      <c r="V1525" s="56"/>
      <c r="W1525" s="1"/>
      <c r="X1525" s="1"/>
      <c r="Y1525" s="1"/>
    </row>
    <row r="1526" spans="1:25">
      <c r="A1526" s="57"/>
      <c r="B1526" s="68"/>
      <c r="C1526" s="68"/>
      <c r="D1526" s="68"/>
      <c r="E1526" s="68"/>
      <c r="F1526" s="68"/>
      <c r="G1526" s="68"/>
      <c r="H1526" s="68"/>
      <c r="I1526" s="68"/>
      <c r="J1526" s="68"/>
      <c r="K1526" s="68"/>
      <c r="L1526" s="56"/>
      <c r="M1526" s="26"/>
      <c r="N1526" s="26"/>
      <c r="O1526" s="68"/>
      <c r="P1526" s="1"/>
      <c r="Q1526" s="8"/>
      <c r="R1526" s="66"/>
      <c r="S1526" s="1"/>
      <c r="T1526" s="66"/>
      <c r="U1526" s="8"/>
      <c r="V1526" s="56"/>
      <c r="W1526" s="1"/>
      <c r="X1526" s="1"/>
      <c r="Y1526" s="1"/>
    </row>
    <row r="1527" spans="1:25">
      <c r="A1527" s="57"/>
      <c r="B1527" s="68"/>
      <c r="C1527" s="68"/>
      <c r="D1527" s="68"/>
      <c r="E1527" s="68"/>
      <c r="F1527" s="68"/>
      <c r="G1527" s="68"/>
      <c r="H1527" s="68"/>
      <c r="I1527" s="68"/>
      <c r="J1527" s="68"/>
      <c r="K1527" s="68"/>
      <c r="L1527" s="56"/>
      <c r="M1527" s="26"/>
      <c r="N1527" s="26"/>
      <c r="O1527" s="68"/>
      <c r="P1527" s="1"/>
      <c r="Q1527" s="8"/>
      <c r="R1527" s="66"/>
      <c r="S1527" s="1"/>
      <c r="T1527" s="66"/>
      <c r="U1527" s="8"/>
      <c r="V1527" s="56"/>
      <c r="W1527" s="1"/>
      <c r="X1527" s="1"/>
      <c r="Y1527" s="1"/>
    </row>
    <row r="1528" spans="1:25">
      <c r="A1528" s="57"/>
      <c r="B1528" s="68"/>
      <c r="C1528" s="68"/>
      <c r="D1528" s="68"/>
      <c r="E1528" s="68"/>
      <c r="F1528" s="68"/>
      <c r="G1528" s="68"/>
      <c r="H1528" s="68"/>
      <c r="I1528" s="68"/>
      <c r="J1528" s="68"/>
      <c r="K1528" s="68"/>
      <c r="L1528" s="56"/>
      <c r="M1528" s="26"/>
      <c r="N1528" s="26"/>
      <c r="O1528" s="68"/>
      <c r="P1528" s="1"/>
      <c r="Q1528" s="8"/>
      <c r="R1528" s="66"/>
      <c r="S1528" s="1"/>
      <c r="T1528" s="66"/>
      <c r="U1528" s="8"/>
      <c r="V1528" s="56"/>
      <c r="W1528" s="1"/>
      <c r="X1528" s="1"/>
      <c r="Y1528" s="1"/>
    </row>
    <row r="1529" spans="1:25">
      <c r="A1529" s="57"/>
      <c r="B1529" s="68"/>
      <c r="C1529" s="68"/>
      <c r="D1529" s="68"/>
      <c r="E1529" s="68"/>
      <c r="F1529" s="68"/>
      <c r="G1529" s="68"/>
      <c r="H1529" s="68"/>
      <c r="I1529" s="68"/>
      <c r="J1529" s="68"/>
      <c r="K1529" s="68"/>
      <c r="L1529" s="56"/>
      <c r="M1529" s="26"/>
      <c r="N1529" s="26"/>
      <c r="O1529" s="68"/>
      <c r="P1529" s="1"/>
      <c r="Q1529" s="8"/>
      <c r="R1529" s="66"/>
      <c r="S1529" s="1"/>
      <c r="T1529" s="66"/>
      <c r="U1529" s="8"/>
      <c r="V1529" s="56"/>
      <c r="W1529" s="1"/>
      <c r="X1529" s="1"/>
      <c r="Y1529" s="1"/>
    </row>
    <row r="1530" spans="1:25">
      <c r="A1530" s="57"/>
      <c r="B1530" s="68"/>
      <c r="C1530" s="68"/>
      <c r="D1530" s="68"/>
      <c r="E1530" s="68"/>
      <c r="F1530" s="68"/>
      <c r="G1530" s="68"/>
      <c r="H1530" s="68"/>
      <c r="I1530" s="68"/>
      <c r="J1530" s="68"/>
      <c r="K1530" s="68"/>
      <c r="L1530" s="56"/>
      <c r="M1530" s="26"/>
      <c r="N1530" s="26"/>
      <c r="O1530" s="68"/>
      <c r="P1530" s="1"/>
      <c r="Q1530" s="8"/>
      <c r="R1530" s="66"/>
      <c r="S1530" s="1"/>
      <c r="T1530" s="66"/>
      <c r="U1530" s="8"/>
      <c r="V1530" s="56"/>
      <c r="W1530" s="1"/>
      <c r="X1530" s="1"/>
      <c r="Y1530" s="1"/>
    </row>
    <row r="1531" spans="1:25">
      <c r="A1531" s="57"/>
      <c r="B1531" s="68"/>
      <c r="C1531" s="68"/>
      <c r="D1531" s="68"/>
      <c r="E1531" s="68"/>
      <c r="F1531" s="68"/>
      <c r="G1531" s="68"/>
      <c r="H1531" s="68"/>
      <c r="I1531" s="68"/>
      <c r="J1531" s="68"/>
      <c r="K1531" s="68"/>
      <c r="L1531" s="56"/>
      <c r="M1531" s="26"/>
      <c r="N1531" s="26"/>
      <c r="O1531" s="68"/>
      <c r="P1531" s="1"/>
      <c r="Q1531" s="8"/>
      <c r="R1531" s="66"/>
      <c r="S1531" s="1"/>
      <c r="T1531" s="66"/>
      <c r="U1531" s="8"/>
      <c r="V1531" s="56"/>
      <c r="W1531" s="1"/>
      <c r="X1531" s="1"/>
      <c r="Y1531" s="1"/>
    </row>
    <row r="1532" spans="1:25">
      <c r="A1532" s="57"/>
      <c r="B1532" s="68"/>
      <c r="C1532" s="68"/>
      <c r="D1532" s="68"/>
      <c r="E1532" s="68"/>
      <c r="F1532" s="68"/>
      <c r="G1532" s="68"/>
      <c r="H1532" s="68"/>
      <c r="I1532" s="68"/>
      <c r="J1532" s="68"/>
      <c r="K1532" s="68"/>
      <c r="L1532" s="56"/>
      <c r="M1532" s="26"/>
      <c r="N1532" s="26"/>
      <c r="O1532" s="68"/>
      <c r="P1532" s="1"/>
      <c r="Q1532" s="8"/>
      <c r="R1532" s="66"/>
      <c r="S1532" s="1"/>
      <c r="T1532" s="66"/>
      <c r="U1532" s="8"/>
      <c r="V1532" s="56"/>
      <c r="W1532" s="1"/>
      <c r="X1532" s="1"/>
      <c r="Y1532" s="1"/>
    </row>
    <row r="1533" spans="1:25">
      <c r="A1533" s="57"/>
      <c r="B1533" s="68"/>
      <c r="C1533" s="68"/>
      <c r="D1533" s="68"/>
      <c r="E1533" s="68"/>
      <c r="F1533" s="68"/>
      <c r="G1533" s="68"/>
      <c r="H1533" s="68"/>
      <c r="I1533" s="68"/>
      <c r="J1533" s="68"/>
      <c r="K1533" s="68"/>
      <c r="L1533" s="56"/>
      <c r="M1533" s="26"/>
      <c r="N1533" s="26"/>
      <c r="O1533" s="68"/>
      <c r="P1533" s="1"/>
      <c r="Q1533" s="8"/>
      <c r="R1533" s="66"/>
      <c r="S1533" s="1"/>
      <c r="T1533" s="66"/>
      <c r="U1533" s="8"/>
      <c r="V1533" s="56"/>
      <c r="W1533" s="1"/>
      <c r="X1533" s="1"/>
      <c r="Y1533" s="1"/>
    </row>
    <row r="1534" spans="1:25">
      <c r="A1534" s="57"/>
      <c r="B1534" s="68"/>
      <c r="C1534" s="68"/>
      <c r="D1534" s="68"/>
      <c r="E1534" s="68"/>
      <c r="F1534" s="68"/>
      <c r="G1534" s="68"/>
      <c r="H1534" s="68"/>
      <c r="I1534" s="68"/>
      <c r="J1534" s="68"/>
      <c r="K1534" s="68"/>
      <c r="L1534" s="56"/>
      <c r="M1534" s="26"/>
      <c r="N1534" s="26"/>
      <c r="O1534" s="68"/>
      <c r="P1534" s="1"/>
      <c r="Q1534" s="8"/>
      <c r="R1534" s="66"/>
      <c r="S1534" s="1"/>
      <c r="T1534" s="66"/>
      <c r="U1534" s="8"/>
      <c r="V1534" s="56"/>
      <c r="W1534" s="1"/>
      <c r="X1534" s="1"/>
      <c r="Y1534" s="1"/>
    </row>
    <row r="1535" spans="1:25">
      <c r="A1535" s="57"/>
      <c r="B1535" s="68"/>
      <c r="C1535" s="68"/>
      <c r="D1535" s="68"/>
      <c r="E1535" s="68"/>
      <c r="F1535" s="68"/>
      <c r="G1535" s="68"/>
      <c r="H1535" s="68"/>
      <c r="I1535" s="68"/>
      <c r="J1535" s="68"/>
      <c r="K1535" s="68"/>
      <c r="L1535" s="56"/>
      <c r="M1535" s="26"/>
      <c r="N1535" s="26"/>
      <c r="O1535" s="68"/>
      <c r="P1535" s="1"/>
      <c r="Q1535" s="8"/>
      <c r="R1535" s="66"/>
      <c r="S1535" s="1"/>
      <c r="T1535" s="66"/>
      <c r="U1535" s="8"/>
      <c r="V1535" s="56"/>
      <c r="W1535" s="1"/>
      <c r="X1535" s="1"/>
      <c r="Y1535" s="1"/>
    </row>
    <row r="1536" spans="1:25">
      <c r="A1536" s="57"/>
      <c r="B1536" s="68"/>
      <c r="C1536" s="68"/>
      <c r="D1536" s="68"/>
      <c r="E1536" s="68"/>
      <c r="F1536" s="68"/>
      <c r="G1536" s="68"/>
      <c r="H1536" s="68"/>
      <c r="I1536" s="68"/>
      <c r="J1536" s="68"/>
      <c r="K1536" s="68"/>
      <c r="L1536" s="56"/>
      <c r="M1536" s="26"/>
      <c r="N1536" s="26"/>
      <c r="O1536" s="68"/>
      <c r="P1536" s="1"/>
      <c r="Q1536" s="8"/>
      <c r="R1536" s="66"/>
      <c r="S1536" s="1"/>
      <c r="T1536" s="66"/>
      <c r="U1536" s="8"/>
      <c r="V1536" s="56"/>
      <c r="W1536" s="1"/>
      <c r="X1536" s="1"/>
      <c r="Y1536" s="1"/>
    </row>
    <row r="1537" spans="1:25">
      <c r="A1537" s="57"/>
      <c r="B1537" s="68"/>
      <c r="C1537" s="68"/>
      <c r="D1537" s="68"/>
      <c r="E1537" s="68"/>
      <c r="F1537" s="68"/>
      <c r="G1537" s="68"/>
      <c r="H1537" s="68"/>
      <c r="I1537" s="68"/>
      <c r="J1537" s="68"/>
      <c r="K1537" s="68"/>
      <c r="L1537" s="56"/>
      <c r="M1537" s="26"/>
      <c r="N1537" s="26"/>
      <c r="O1537" s="68"/>
      <c r="P1537" s="1"/>
      <c r="Q1537" s="8"/>
      <c r="R1537" s="66"/>
      <c r="S1537" s="1"/>
      <c r="T1537" s="66"/>
      <c r="U1537" s="8"/>
      <c r="V1537" s="56"/>
      <c r="W1537" s="1"/>
      <c r="X1537" s="1"/>
      <c r="Y1537" s="1"/>
    </row>
    <row r="1538" spans="1:25">
      <c r="A1538" s="57"/>
      <c r="B1538" s="68"/>
      <c r="C1538" s="68"/>
      <c r="D1538" s="68"/>
      <c r="E1538" s="68"/>
      <c r="F1538" s="68"/>
      <c r="G1538" s="68"/>
      <c r="H1538" s="68"/>
      <c r="I1538" s="68"/>
      <c r="J1538" s="68"/>
      <c r="K1538" s="68"/>
      <c r="L1538" s="56"/>
      <c r="M1538" s="26"/>
      <c r="N1538" s="26"/>
      <c r="O1538" s="68"/>
      <c r="P1538" s="1"/>
      <c r="Q1538" s="8"/>
      <c r="R1538" s="66"/>
      <c r="S1538" s="1"/>
      <c r="T1538" s="66"/>
      <c r="U1538" s="8"/>
      <c r="V1538" s="56"/>
      <c r="W1538" s="1"/>
      <c r="X1538" s="1"/>
      <c r="Y1538" s="1"/>
    </row>
    <row r="1539" spans="1:25">
      <c r="A1539" s="57"/>
      <c r="B1539" s="68"/>
      <c r="C1539" s="68"/>
      <c r="D1539" s="68"/>
      <c r="E1539" s="68"/>
      <c r="F1539" s="68"/>
      <c r="G1539" s="68"/>
      <c r="H1539" s="68"/>
      <c r="I1539" s="68"/>
      <c r="J1539" s="68"/>
      <c r="K1539" s="68"/>
      <c r="L1539" s="56"/>
      <c r="M1539" s="26"/>
      <c r="N1539" s="26"/>
      <c r="O1539" s="68"/>
      <c r="P1539" s="1"/>
      <c r="Q1539" s="8"/>
      <c r="R1539" s="66"/>
      <c r="S1539" s="1"/>
      <c r="T1539" s="66"/>
      <c r="U1539" s="8"/>
      <c r="V1539" s="56"/>
      <c r="W1539" s="1"/>
      <c r="X1539" s="1"/>
      <c r="Y1539" s="1"/>
    </row>
    <row r="1540" spans="1:25">
      <c r="A1540" s="57"/>
      <c r="B1540" s="68"/>
      <c r="C1540" s="68"/>
      <c r="D1540" s="68"/>
      <c r="E1540" s="68"/>
      <c r="F1540" s="68"/>
      <c r="G1540" s="68"/>
      <c r="H1540" s="68"/>
      <c r="I1540" s="68"/>
      <c r="J1540" s="68"/>
      <c r="K1540" s="68"/>
      <c r="L1540" s="56"/>
      <c r="M1540" s="26"/>
      <c r="N1540" s="26"/>
      <c r="O1540" s="68"/>
      <c r="P1540" s="1"/>
      <c r="Q1540" s="8"/>
      <c r="R1540" s="66"/>
      <c r="S1540" s="1"/>
      <c r="T1540" s="66"/>
      <c r="U1540" s="8"/>
      <c r="V1540" s="56"/>
      <c r="W1540" s="1"/>
      <c r="X1540" s="1"/>
      <c r="Y1540" s="1"/>
    </row>
    <row r="1541" spans="1:25">
      <c r="A1541" s="57"/>
      <c r="B1541" s="68"/>
      <c r="C1541" s="68"/>
      <c r="D1541" s="68"/>
      <c r="E1541" s="68"/>
      <c r="F1541" s="68"/>
      <c r="G1541" s="68"/>
      <c r="H1541" s="68"/>
      <c r="I1541" s="68"/>
      <c r="J1541" s="68"/>
      <c r="K1541" s="68"/>
      <c r="L1541" s="56"/>
      <c r="M1541" s="26"/>
      <c r="N1541" s="26"/>
      <c r="O1541" s="68"/>
      <c r="P1541" s="1"/>
      <c r="Q1541" s="8"/>
      <c r="R1541" s="66"/>
      <c r="S1541" s="1"/>
      <c r="T1541" s="66"/>
      <c r="U1541" s="8"/>
      <c r="V1541" s="56"/>
      <c r="W1541" s="1"/>
      <c r="X1541" s="1"/>
      <c r="Y1541" s="1"/>
    </row>
    <row r="1542" spans="1:25">
      <c r="A1542" s="57"/>
      <c r="B1542" s="68"/>
      <c r="C1542" s="68"/>
      <c r="D1542" s="68"/>
      <c r="E1542" s="68"/>
      <c r="F1542" s="68"/>
      <c r="G1542" s="68"/>
      <c r="H1542" s="68"/>
      <c r="I1542" s="68"/>
      <c r="J1542" s="68"/>
      <c r="K1542" s="68"/>
      <c r="L1542" s="56"/>
      <c r="M1542" s="26"/>
      <c r="N1542" s="26"/>
      <c r="O1542" s="68"/>
      <c r="P1542" s="1"/>
      <c r="Q1542" s="8"/>
      <c r="R1542" s="66"/>
      <c r="S1542" s="1"/>
      <c r="T1542" s="66"/>
      <c r="U1542" s="8"/>
      <c r="V1542" s="56"/>
      <c r="W1542" s="1"/>
      <c r="X1542" s="1"/>
      <c r="Y1542" s="1"/>
    </row>
    <row r="1543" spans="1:25">
      <c r="A1543" s="57"/>
      <c r="B1543" s="68"/>
      <c r="C1543" s="68"/>
      <c r="D1543" s="68"/>
      <c r="E1543" s="68"/>
      <c r="F1543" s="68"/>
      <c r="G1543" s="68"/>
      <c r="H1543" s="68"/>
      <c r="I1543" s="68"/>
      <c r="J1543" s="68"/>
      <c r="K1543" s="68"/>
      <c r="L1543" s="56"/>
      <c r="M1543" s="26"/>
      <c r="N1543" s="26"/>
      <c r="O1543" s="68"/>
      <c r="P1543" s="1"/>
      <c r="Q1543" s="8"/>
      <c r="R1543" s="66"/>
      <c r="S1543" s="1"/>
      <c r="T1543" s="66"/>
      <c r="U1543" s="8"/>
      <c r="V1543" s="56"/>
      <c r="W1543" s="1"/>
      <c r="X1543" s="1"/>
      <c r="Y1543" s="1"/>
    </row>
    <row r="1544" spans="1:25">
      <c r="A1544" s="57"/>
      <c r="B1544" s="68"/>
      <c r="C1544" s="68"/>
      <c r="D1544" s="68"/>
      <c r="E1544" s="68"/>
      <c r="F1544" s="68"/>
      <c r="G1544" s="68"/>
      <c r="H1544" s="68"/>
      <c r="I1544" s="68"/>
      <c r="J1544" s="68"/>
      <c r="K1544" s="68"/>
      <c r="L1544" s="56"/>
      <c r="M1544" s="26"/>
      <c r="N1544" s="26"/>
      <c r="O1544" s="68"/>
      <c r="P1544" s="1"/>
      <c r="Q1544" s="8"/>
      <c r="R1544" s="66"/>
      <c r="S1544" s="1"/>
      <c r="T1544" s="66"/>
      <c r="U1544" s="8"/>
      <c r="V1544" s="56"/>
      <c r="W1544" s="1"/>
      <c r="X1544" s="1"/>
      <c r="Y1544" s="1"/>
    </row>
    <row r="1545" spans="1:25">
      <c r="A1545" s="57"/>
      <c r="B1545" s="68"/>
      <c r="C1545" s="68"/>
      <c r="D1545" s="68"/>
      <c r="E1545" s="68"/>
      <c r="F1545" s="68"/>
      <c r="G1545" s="68"/>
      <c r="H1545" s="68"/>
      <c r="I1545" s="68"/>
      <c r="J1545" s="68"/>
      <c r="K1545" s="68"/>
      <c r="L1545" s="56"/>
      <c r="M1545" s="26"/>
      <c r="N1545" s="26"/>
      <c r="O1545" s="68"/>
      <c r="P1545" s="1"/>
      <c r="Q1545" s="8"/>
      <c r="R1545" s="66"/>
      <c r="S1545" s="1"/>
      <c r="T1545" s="66"/>
      <c r="U1545" s="8"/>
      <c r="V1545" s="56"/>
      <c r="W1545" s="1"/>
      <c r="X1545" s="1"/>
      <c r="Y1545" s="1"/>
    </row>
    <row r="1546" spans="1:25">
      <c r="A1546" s="57"/>
      <c r="B1546" s="68"/>
      <c r="C1546" s="68"/>
      <c r="D1546" s="68"/>
      <c r="E1546" s="68"/>
      <c r="F1546" s="68"/>
      <c r="G1546" s="68"/>
      <c r="H1546" s="68"/>
      <c r="I1546" s="68"/>
      <c r="J1546" s="68"/>
      <c r="K1546" s="68"/>
      <c r="L1546" s="56"/>
      <c r="M1546" s="26"/>
      <c r="N1546" s="26"/>
      <c r="O1546" s="68"/>
      <c r="P1546" s="1"/>
      <c r="Q1546" s="8"/>
      <c r="R1546" s="66"/>
      <c r="S1546" s="1"/>
      <c r="T1546" s="66"/>
      <c r="U1546" s="8"/>
      <c r="V1546" s="56"/>
      <c r="W1546" s="1"/>
      <c r="X1546" s="1"/>
      <c r="Y1546" s="1"/>
    </row>
    <row r="1547" spans="1:25">
      <c r="A1547" s="57"/>
      <c r="B1547" s="68"/>
      <c r="C1547" s="68"/>
      <c r="D1547" s="68"/>
      <c r="E1547" s="68"/>
      <c r="F1547" s="68"/>
      <c r="G1547" s="68"/>
      <c r="H1547" s="68"/>
      <c r="I1547" s="68"/>
      <c r="J1547" s="68"/>
      <c r="K1547" s="68"/>
      <c r="L1547" s="56"/>
      <c r="M1547" s="26"/>
      <c r="N1547" s="26"/>
      <c r="O1547" s="68"/>
      <c r="P1547" s="1"/>
      <c r="Q1547" s="8"/>
      <c r="R1547" s="66"/>
      <c r="S1547" s="1"/>
      <c r="T1547" s="66"/>
      <c r="U1547" s="8"/>
      <c r="V1547" s="56"/>
      <c r="W1547" s="1"/>
      <c r="X1547" s="1"/>
      <c r="Y1547" s="1"/>
    </row>
    <row r="1548" spans="1:25">
      <c r="A1548" s="57"/>
      <c r="B1548" s="68"/>
      <c r="C1548" s="68"/>
      <c r="D1548" s="68"/>
      <c r="E1548" s="68"/>
      <c r="F1548" s="68"/>
      <c r="G1548" s="68"/>
      <c r="H1548" s="68"/>
      <c r="I1548" s="68"/>
      <c r="J1548" s="68"/>
      <c r="K1548" s="68"/>
      <c r="L1548" s="56"/>
      <c r="M1548" s="26"/>
      <c r="N1548" s="26"/>
      <c r="O1548" s="68"/>
      <c r="P1548" s="1"/>
      <c r="Q1548" s="8"/>
      <c r="R1548" s="66"/>
      <c r="S1548" s="1"/>
      <c r="T1548" s="66"/>
      <c r="U1548" s="8"/>
      <c r="V1548" s="56"/>
      <c r="W1548" s="1"/>
      <c r="X1548" s="1"/>
      <c r="Y1548" s="1"/>
    </row>
    <row r="1549" spans="1:25">
      <c r="A1549" s="57"/>
      <c r="B1549" s="68"/>
      <c r="C1549" s="68"/>
      <c r="D1549" s="68"/>
      <c r="E1549" s="68"/>
      <c r="F1549" s="68"/>
      <c r="G1549" s="68"/>
      <c r="H1549" s="68"/>
      <c r="I1549" s="68"/>
      <c r="J1549" s="68"/>
      <c r="K1549" s="68"/>
      <c r="L1549" s="56"/>
      <c r="M1549" s="26"/>
      <c r="N1549" s="26"/>
      <c r="O1549" s="68"/>
      <c r="P1549" s="1"/>
      <c r="Q1549" s="8"/>
      <c r="R1549" s="66"/>
      <c r="S1549" s="1"/>
      <c r="T1549" s="66"/>
      <c r="U1549" s="8"/>
      <c r="V1549" s="56"/>
      <c r="W1549" s="1"/>
      <c r="X1549" s="1"/>
      <c r="Y1549" s="1"/>
    </row>
    <row r="1550" spans="1:25">
      <c r="A1550" s="57"/>
      <c r="B1550" s="68"/>
      <c r="C1550" s="68"/>
      <c r="D1550" s="68"/>
      <c r="E1550" s="68"/>
      <c r="F1550" s="68"/>
      <c r="G1550" s="68"/>
      <c r="H1550" s="68"/>
      <c r="I1550" s="68"/>
      <c r="J1550" s="68"/>
      <c r="K1550" s="68"/>
      <c r="L1550" s="56"/>
      <c r="M1550" s="26"/>
      <c r="N1550" s="26"/>
      <c r="O1550" s="68"/>
      <c r="P1550" s="1"/>
      <c r="Q1550" s="8"/>
      <c r="R1550" s="66"/>
      <c r="S1550" s="1"/>
      <c r="T1550" s="66"/>
      <c r="U1550" s="8"/>
      <c r="V1550" s="56"/>
      <c r="W1550" s="1"/>
      <c r="X1550" s="1"/>
      <c r="Y1550" s="1"/>
    </row>
    <row r="1551" spans="1:25">
      <c r="A1551" s="57"/>
      <c r="B1551" s="68"/>
      <c r="C1551" s="68"/>
      <c r="D1551" s="68"/>
      <c r="E1551" s="68"/>
      <c r="F1551" s="68"/>
      <c r="G1551" s="68"/>
      <c r="H1551" s="68"/>
      <c r="I1551" s="68"/>
      <c r="J1551" s="68"/>
      <c r="K1551" s="68"/>
      <c r="L1551" s="56"/>
      <c r="M1551" s="26"/>
      <c r="N1551" s="26"/>
      <c r="O1551" s="68"/>
      <c r="P1551" s="1"/>
      <c r="Q1551" s="8"/>
      <c r="R1551" s="66"/>
      <c r="S1551" s="1"/>
      <c r="T1551" s="66"/>
      <c r="U1551" s="8"/>
      <c r="V1551" s="56"/>
      <c r="W1551" s="1"/>
      <c r="X1551" s="1"/>
      <c r="Y1551" s="1"/>
    </row>
    <row r="1552" spans="1:25">
      <c r="A1552" s="57"/>
      <c r="B1552" s="68"/>
      <c r="C1552" s="68"/>
      <c r="D1552" s="68"/>
      <c r="E1552" s="68"/>
      <c r="F1552" s="68"/>
      <c r="G1552" s="68"/>
      <c r="H1552" s="68"/>
      <c r="I1552" s="68"/>
      <c r="J1552" s="68"/>
      <c r="K1552" s="68"/>
      <c r="L1552" s="56"/>
      <c r="M1552" s="26"/>
      <c r="N1552" s="26"/>
      <c r="O1552" s="68"/>
      <c r="P1552" s="1"/>
      <c r="Q1552" s="8"/>
      <c r="R1552" s="66"/>
      <c r="S1552" s="1"/>
      <c r="T1552" s="66"/>
      <c r="U1552" s="8"/>
      <c r="V1552" s="56"/>
      <c r="W1552" s="1"/>
      <c r="X1552" s="1"/>
      <c r="Y1552" s="1"/>
    </row>
    <row r="1553" spans="1:25">
      <c r="A1553" s="57"/>
      <c r="B1553" s="68"/>
      <c r="C1553" s="68"/>
      <c r="D1553" s="68"/>
      <c r="E1553" s="68"/>
      <c r="F1553" s="68"/>
      <c r="G1553" s="68"/>
      <c r="H1553" s="68"/>
      <c r="I1553" s="68"/>
      <c r="J1553" s="68"/>
      <c r="K1553" s="68"/>
      <c r="L1553" s="56"/>
      <c r="M1553" s="26"/>
      <c r="N1553" s="26"/>
      <c r="O1553" s="68"/>
      <c r="P1553" s="1"/>
      <c r="Q1553" s="8"/>
      <c r="R1553" s="66"/>
      <c r="S1553" s="1"/>
      <c r="T1553" s="66"/>
      <c r="U1553" s="8"/>
      <c r="V1553" s="56"/>
      <c r="W1553" s="1"/>
      <c r="X1553" s="1"/>
      <c r="Y1553" s="1"/>
    </row>
    <row r="1554" spans="1:25">
      <c r="A1554" s="57"/>
      <c r="B1554" s="68"/>
      <c r="C1554" s="68"/>
      <c r="D1554" s="68"/>
      <c r="E1554" s="68"/>
      <c r="F1554" s="68"/>
      <c r="G1554" s="68"/>
      <c r="H1554" s="68"/>
      <c r="I1554" s="68"/>
      <c r="J1554" s="68"/>
      <c r="K1554" s="68"/>
      <c r="L1554" s="56"/>
      <c r="M1554" s="26"/>
      <c r="N1554" s="26"/>
      <c r="O1554" s="68"/>
      <c r="P1554" s="1"/>
      <c r="Q1554" s="8"/>
      <c r="R1554" s="66"/>
      <c r="S1554" s="1"/>
      <c r="T1554" s="66"/>
      <c r="U1554" s="8"/>
      <c r="V1554" s="56"/>
      <c r="W1554" s="1"/>
      <c r="X1554" s="1"/>
      <c r="Y1554" s="1"/>
    </row>
    <row r="1555" spans="1:25">
      <c r="A1555" s="57"/>
      <c r="B1555" s="68"/>
      <c r="C1555" s="68"/>
      <c r="D1555" s="68"/>
      <c r="E1555" s="68"/>
      <c r="F1555" s="68"/>
      <c r="G1555" s="68"/>
      <c r="H1555" s="68"/>
      <c r="I1555" s="68"/>
      <c r="J1555" s="68"/>
      <c r="K1555" s="68"/>
      <c r="L1555" s="56"/>
      <c r="M1555" s="26"/>
      <c r="N1555" s="26"/>
      <c r="O1555" s="68"/>
      <c r="P1555" s="1"/>
      <c r="Q1555" s="8"/>
      <c r="R1555" s="66"/>
      <c r="S1555" s="1"/>
      <c r="T1555" s="66"/>
      <c r="U1555" s="8"/>
      <c r="V1555" s="56"/>
      <c r="W1555" s="1"/>
      <c r="X1555" s="1"/>
      <c r="Y1555" s="1"/>
    </row>
    <row r="1556" spans="1:25">
      <c r="A1556" s="57"/>
      <c r="B1556" s="68"/>
      <c r="C1556" s="68"/>
      <c r="D1556" s="68"/>
      <c r="E1556" s="68"/>
      <c r="F1556" s="68"/>
      <c r="G1556" s="68"/>
      <c r="H1556" s="68"/>
      <c r="I1556" s="68"/>
      <c r="J1556" s="68"/>
      <c r="K1556" s="68"/>
      <c r="L1556" s="56"/>
      <c r="M1556" s="26"/>
      <c r="N1556" s="26"/>
      <c r="O1556" s="68"/>
      <c r="P1556" s="1"/>
      <c r="Q1556" s="8"/>
      <c r="R1556" s="66"/>
      <c r="S1556" s="1"/>
      <c r="T1556" s="66"/>
      <c r="U1556" s="8"/>
      <c r="V1556" s="56"/>
      <c r="W1556" s="1"/>
      <c r="X1556" s="1"/>
      <c r="Y1556" s="1"/>
    </row>
    <row r="1557" spans="1:25">
      <c r="A1557" s="57"/>
      <c r="B1557" s="68"/>
      <c r="C1557" s="68"/>
      <c r="D1557" s="68"/>
      <c r="E1557" s="68"/>
      <c r="F1557" s="68"/>
      <c r="G1557" s="68"/>
      <c r="H1557" s="68"/>
      <c r="I1557" s="68"/>
      <c r="J1557" s="68"/>
      <c r="K1557" s="68"/>
      <c r="L1557" s="56"/>
      <c r="M1557" s="26"/>
      <c r="N1557" s="26"/>
      <c r="O1557" s="68"/>
      <c r="P1557" s="1"/>
      <c r="Q1557" s="8"/>
      <c r="R1557" s="66"/>
      <c r="S1557" s="1"/>
      <c r="T1557" s="66"/>
      <c r="U1557" s="8"/>
      <c r="V1557" s="56"/>
      <c r="W1557" s="1"/>
      <c r="X1557" s="1"/>
      <c r="Y1557" s="1"/>
    </row>
    <row r="1558" spans="1:25">
      <c r="A1558" s="57"/>
      <c r="B1558" s="68"/>
      <c r="C1558" s="68"/>
      <c r="D1558" s="68"/>
      <c r="E1558" s="68"/>
      <c r="F1558" s="68"/>
      <c r="G1558" s="68"/>
      <c r="H1558" s="68"/>
      <c r="I1558" s="68"/>
      <c r="J1558" s="68"/>
      <c r="K1558" s="68"/>
      <c r="L1558" s="56"/>
      <c r="M1558" s="26"/>
      <c r="N1558" s="26"/>
      <c r="O1558" s="68"/>
      <c r="P1558" s="1"/>
      <c r="Q1558" s="8"/>
      <c r="R1558" s="66"/>
      <c r="S1558" s="1"/>
      <c r="T1558" s="66"/>
      <c r="U1558" s="8"/>
      <c r="V1558" s="56"/>
      <c r="W1558" s="1"/>
      <c r="X1558" s="1"/>
      <c r="Y1558" s="1"/>
    </row>
    <row r="1559" spans="1:25">
      <c r="A1559" s="57"/>
      <c r="B1559" s="68"/>
      <c r="C1559" s="68"/>
      <c r="D1559" s="68"/>
      <c r="E1559" s="68"/>
      <c r="F1559" s="68"/>
      <c r="G1559" s="68"/>
      <c r="H1559" s="68"/>
      <c r="I1559" s="68"/>
      <c r="J1559" s="68"/>
      <c r="K1559" s="68"/>
      <c r="L1559" s="56"/>
      <c r="M1559" s="26"/>
      <c r="N1559" s="26"/>
      <c r="O1559" s="68"/>
      <c r="P1559" s="1"/>
      <c r="Q1559" s="8"/>
      <c r="R1559" s="66"/>
      <c r="S1559" s="1"/>
      <c r="T1559" s="66"/>
      <c r="U1559" s="8"/>
      <c r="V1559" s="56"/>
      <c r="W1559" s="1"/>
      <c r="X1559" s="1"/>
      <c r="Y1559" s="1"/>
    </row>
    <row r="1560" spans="1:25">
      <c r="A1560" s="57"/>
      <c r="B1560" s="68"/>
      <c r="C1560" s="68"/>
      <c r="D1560" s="68"/>
      <c r="E1560" s="68"/>
      <c r="F1560" s="68"/>
      <c r="G1560" s="68"/>
      <c r="H1560" s="68"/>
      <c r="I1560" s="68"/>
      <c r="J1560" s="68"/>
      <c r="K1560" s="68"/>
      <c r="L1560" s="56"/>
      <c r="M1560" s="26"/>
      <c r="N1560" s="26"/>
      <c r="O1560" s="68"/>
      <c r="P1560" s="1"/>
      <c r="Q1560" s="8"/>
      <c r="R1560" s="66"/>
      <c r="S1560" s="1"/>
      <c r="T1560" s="66"/>
      <c r="U1560" s="8"/>
      <c r="V1560" s="56"/>
      <c r="W1560" s="1"/>
      <c r="X1560" s="1"/>
      <c r="Y1560" s="1"/>
    </row>
    <row r="1561" spans="1:25">
      <c r="A1561" s="57"/>
      <c r="B1561" s="68"/>
      <c r="C1561" s="68"/>
      <c r="D1561" s="68"/>
      <c r="E1561" s="68"/>
      <c r="F1561" s="68"/>
      <c r="G1561" s="68"/>
      <c r="H1561" s="68"/>
      <c r="I1561" s="68"/>
      <c r="J1561" s="68"/>
      <c r="K1561" s="68"/>
      <c r="L1561" s="56"/>
      <c r="M1561" s="26"/>
      <c r="N1561" s="26"/>
      <c r="O1561" s="68"/>
      <c r="P1561" s="1"/>
      <c r="Q1561" s="8"/>
      <c r="R1561" s="66"/>
      <c r="S1561" s="1"/>
      <c r="T1561" s="66"/>
      <c r="U1561" s="8"/>
      <c r="V1561" s="56"/>
      <c r="W1561" s="1"/>
      <c r="X1561" s="1"/>
      <c r="Y1561" s="1"/>
    </row>
    <row r="1562" spans="1:25">
      <c r="A1562" s="57"/>
      <c r="B1562" s="68"/>
      <c r="C1562" s="68"/>
      <c r="D1562" s="68"/>
      <c r="E1562" s="68"/>
      <c r="F1562" s="68"/>
      <c r="G1562" s="68"/>
      <c r="H1562" s="68"/>
      <c r="I1562" s="68"/>
      <c r="J1562" s="68"/>
      <c r="K1562" s="68"/>
      <c r="L1562" s="56"/>
      <c r="M1562" s="26"/>
      <c r="N1562" s="26"/>
      <c r="O1562" s="68"/>
      <c r="P1562" s="1"/>
      <c r="Q1562" s="8"/>
      <c r="R1562" s="66"/>
      <c r="S1562" s="1"/>
      <c r="T1562" s="66"/>
      <c r="U1562" s="8"/>
      <c r="V1562" s="56"/>
      <c r="W1562" s="1"/>
      <c r="X1562" s="1"/>
      <c r="Y1562" s="1"/>
    </row>
    <row r="1563" spans="1:25">
      <c r="A1563" s="57"/>
      <c r="B1563" s="68"/>
      <c r="C1563" s="68"/>
      <c r="D1563" s="68"/>
      <c r="E1563" s="68"/>
      <c r="F1563" s="68"/>
      <c r="G1563" s="68"/>
      <c r="H1563" s="68"/>
      <c r="I1563" s="68"/>
      <c r="J1563" s="68"/>
      <c r="K1563" s="68"/>
      <c r="L1563" s="56"/>
      <c r="M1563" s="26"/>
      <c r="N1563" s="26"/>
      <c r="O1563" s="68"/>
      <c r="P1563" s="1"/>
      <c r="Q1563" s="8"/>
      <c r="R1563" s="66"/>
      <c r="S1563" s="1"/>
      <c r="T1563" s="66"/>
      <c r="U1563" s="8"/>
      <c r="V1563" s="56"/>
      <c r="W1563" s="1"/>
      <c r="X1563" s="1"/>
      <c r="Y1563" s="1"/>
    </row>
    <row r="1564" spans="1:25">
      <c r="A1564" s="57"/>
      <c r="B1564" s="68"/>
      <c r="C1564" s="68"/>
      <c r="D1564" s="68"/>
      <c r="E1564" s="68"/>
      <c r="F1564" s="68"/>
      <c r="G1564" s="68"/>
      <c r="H1564" s="68"/>
      <c r="I1564" s="68"/>
      <c r="J1564" s="68"/>
      <c r="K1564" s="68"/>
      <c r="L1564" s="56"/>
      <c r="M1564" s="26"/>
      <c r="N1564" s="26"/>
      <c r="O1564" s="68"/>
      <c r="P1564" s="1"/>
      <c r="Q1564" s="8"/>
      <c r="R1564" s="66"/>
      <c r="S1564" s="1"/>
      <c r="T1564" s="66"/>
      <c r="U1564" s="8"/>
      <c r="V1564" s="56"/>
      <c r="W1564" s="1"/>
      <c r="X1564" s="1"/>
      <c r="Y1564" s="1"/>
    </row>
    <row r="1565" spans="1:25">
      <c r="A1565" s="57"/>
      <c r="B1565" s="68"/>
      <c r="C1565" s="68"/>
      <c r="D1565" s="68"/>
      <c r="E1565" s="68"/>
      <c r="F1565" s="68"/>
      <c r="G1565" s="68"/>
      <c r="H1565" s="68"/>
      <c r="I1565" s="68"/>
      <c r="J1565" s="68"/>
      <c r="K1565" s="68"/>
      <c r="L1565" s="56"/>
      <c r="M1565" s="26"/>
      <c r="N1565" s="26"/>
      <c r="O1565" s="68"/>
      <c r="P1565" s="1"/>
      <c r="Q1565" s="8"/>
      <c r="R1565" s="66"/>
      <c r="S1565" s="1"/>
      <c r="T1565" s="66"/>
      <c r="U1565" s="8"/>
      <c r="V1565" s="56"/>
      <c r="W1565" s="1"/>
      <c r="X1565" s="1"/>
      <c r="Y1565" s="1"/>
    </row>
    <row r="1566" spans="1:25">
      <c r="A1566" s="57"/>
      <c r="B1566" s="68"/>
      <c r="C1566" s="68"/>
      <c r="D1566" s="68"/>
      <c r="E1566" s="68"/>
      <c r="F1566" s="68"/>
      <c r="G1566" s="68"/>
      <c r="H1566" s="68"/>
      <c r="I1566" s="68"/>
      <c r="J1566" s="68"/>
      <c r="K1566" s="68"/>
      <c r="L1566" s="56"/>
      <c r="M1566" s="26"/>
      <c r="N1566" s="26"/>
      <c r="O1566" s="68"/>
      <c r="P1566" s="1"/>
      <c r="Q1566" s="8"/>
      <c r="R1566" s="66"/>
      <c r="S1566" s="1"/>
      <c r="T1566" s="66"/>
      <c r="U1566" s="8"/>
      <c r="V1566" s="56"/>
      <c r="W1566" s="1"/>
      <c r="X1566" s="1"/>
      <c r="Y1566" s="1"/>
    </row>
    <row r="1567" spans="1:25">
      <c r="A1567" s="57"/>
      <c r="B1567" s="68"/>
      <c r="C1567" s="68"/>
      <c r="D1567" s="68"/>
      <c r="E1567" s="68"/>
      <c r="F1567" s="68"/>
      <c r="G1567" s="68"/>
      <c r="H1567" s="68"/>
      <c r="I1567" s="68"/>
      <c r="J1567" s="68"/>
      <c r="K1567" s="68"/>
      <c r="L1567" s="56"/>
      <c r="M1567" s="26"/>
      <c r="N1567" s="26"/>
      <c r="O1567" s="68"/>
      <c r="P1567" s="1"/>
      <c r="Q1567" s="8"/>
      <c r="R1567" s="66"/>
      <c r="S1567" s="1"/>
      <c r="T1567" s="66"/>
      <c r="U1567" s="8"/>
      <c r="V1567" s="56"/>
      <c r="W1567" s="1"/>
      <c r="X1567" s="1"/>
      <c r="Y1567" s="1"/>
    </row>
    <row r="1568" spans="1:25">
      <c r="A1568" s="57"/>
      <c r="B1568" s="68"/>
      <c r="C1568" s="68"/>
      <c r="D1568" s="68"/>
      <c r="E1568" s="68"/>
      <c r="F1568" s="68"/>
      <c r="G1568" s="68"/>
      <c r="H1568" s="68"/>
      <c r="I1568" s="68"/>
      <c r="J1568" s="68"/>
      <c r="K1568" s="68"/>
      <c r="L1568" s="56"/>
      <c r="M1568" s="26"/>
      <c r="N1568" s="26"/>
      <c r="O1568" s="68"/>
      <c r="P1568" s="1"/>
      <c r="Q1568" s="8"/>
      <c r="R1568" s="66"/>
      <c r="S1568" s="1"/>
      <c r="T1568" s="66"/>
      <c r="U1568" s="8"/>
      <c r="V1568" s="56"/>
      <c r="W1568" s="1"/>
      <c r="X1568" s="1"/>
      <c r="Y1568" s="1"/>
    </row>
    <row r="1569" spans="1:25">
      <c r="A1569" s="57"/>
      <c r="B1569" s="68"/>
      <c r="C1569" s="68"/>
      <c r="D1569" s="68"/>
      <c r="E1569" s="68"/>
      <c r="F1569" s="68"/>
      <c r="G1569" s="68"/>
      <c r="H1569" s="68"/>
      <c r="I1569" s="68"/>
      <c r="J1569" s="68"/>
      <c r="K1569" s="68"/>
      <c r="L1569" s="56"/>
      <c r="M1569" s="26"/>
      <c r="N1569" s="26"/>
      <c r="O1569" s="68"/>
      <c r="P1569" s="1"/>
      <c r="Q1569" s="8"/>
      <c r="R1569" s="66"/>
      <c r="S1569" s="1"/>
      <c r="T1569" s="66"/>
      <c r="U1569" s="8"/>
      <c r="V1569" s="56"/>
      <c r="W1569" s="1"/>
      <c r="X1569" s="1"/>
      <c r="Y1569" s="1"/>
    </row>
    <row r="1570" spans="1:25">
      <c r="A1570" s="57"/>
      <c r="B1570" s="68"/>
      <c r="C1570" s="68"/>
      <c r="D1570" s="68"/>
      <c r="E1570" s="68"/>
      <c r="F1570" s="68"/>
      <c r="G1570" s="68"/>
      <c r="H1570" s="68"/>
      <c r="I1570" s="68"/>
      <c r="J1570" s="68"/>
      <c r="K1570" s="68"/>
      <c r="L1570" s="56"/>
      <c r="M1570" s="26"/>
      <c r="N1570" s="26"/>
      <c r="O1570" s="68"/>
      <c r="P1570" s="1"/>
      <c r="Q1570" s="8"/>
      <c r="R1570" s="66"/>
      <c r="S1570" s="1"/>
      <c r="T1570" s="66"/>
      <c r="U1570" s="8"/>
      <c r="V1570" s="56"/>
      <c r="W1570" s="1"/>
      <c r="X1570" s="1"/>
      <c r="Y1570" s="1"/>
    </row>
    <row r="1571" spans="1:25">
      <c r="A1571" s="57"/>
      <c r="B1571" s="68"/>
      <c r="C1571" s="68"/>
      <c r="D1571" s="68"/>
      <c r="E1571" s="68"/>
      <c r="F1571" s="68"/>
      <c r="G1571" s="68"/>
      <c r="H1571" s="68"/>
      <c r="I1571" s="68"/>
      <c r="J1571" s="68"/>
      <c r="K1571" s="68"/>
      <c r="L1571" s="56"/>
      <c r="M1571" s="26"/>
      <c r="N1571" s="26"/>
      <c r="O1571" s="68"/>
      <c r="P1571" s="1"/>
      <c r="Q1571" s="8"/>
      <c r="R1571" s="66"/>
      <c r="S1571" s="1"/>
      <c r="T1571" s="66"/>
      <c r="U1571" s="8"/>
      <c r="V1571" s="56"/>
      <c r="W1571" s="1"/>
      <c r="X1571" s="1"/>
      <c r="Y1571" s="1"/>
    </row>
    <row r="1572" spans="1:25">
      <c r="A1572" s="57"/>
      <c r="B1572" s="68"/>
      <c r="C1572" s="68"/>
      <c r="D1572" s="68"/>
      <c r="E1572" s="68"/>
      <c r="F1572" s="68"/>
      <c r="G1572" s="68"/>
      <c r="H1572" s="68"/>
      <c r="I1572" s="68"/>
      <c r="J1572" s="68"/>
      <c r="K1572" s="68"/>
      <c r="L1572" s="56"/>
      <c r="M1572" s="26"/>
      <c r="N1572" s="26"/>
      <c r="O1572" s="68"/>
      <c r="P1572" s="1"/>
      <c r="Q1572" s="8"/>
      <c r="R1572" s="66"/>
      <c r="S1572" s="1"/>
      <c r="T1572" s="66"/>
      <c r="U1572" s="8"/>
      <c r="V1572" s="56"/>
      <c r="W1572" s="1"/>
      <c r="X1572" s="1"/>
      <c r="Y1572" s="1"/>
    </row>
    <row r="1573" spans="1:25">
      <c r="A1573" s="57"/>
      <c r="B1573" s="68"/>
      <c r="C1573" s="68"/>
      <c r="D1573" s="68"/>
      <c r="E1573" s="68"/>
      <c r="F1573" s="68"/>
      <c r="G1573" s="68"/>
      <c r="H1573" s="68"/>
      <c r="I1573" s="68"/>
      <c r="J1573" s="68"/>
      <c r="K1573" s="68"/>
      <c r="L1573" s="56"/>
      <c r="M1573" s="26"/>
      <c r="N1573" s="26"/>
      <c r="O1573" s="68"/>
      <c r="P1573" s="1"/>
      <c r="Q1573" s="8"/>
      <c r="R1573" s="66"/>
      <c r="S1573" s="1"/>
      <c r="T1573" s="66"/>
      <c r="U1573" s="8"/>
      <c r="V1573" s="56"/>
      <c r="W1573" s="1"/>
      <c r="X1573" s="1"/>
      <c r="Y1573" s="1"/>
    </row>
    <row r="1574" spans="1:25">
      <c r="A1574" s="57"/>
      <c r="B1574" s="68"/>
      <c r="C1574" s="68"/>
      <c r="D1574" s="68"/>
      <c r="E1574" s="68"/>
      <c r="F1574" s="68"/>
      <c r="G1574" s="68"/>
      <c r="H1574" s="68"/>
      <c r="I1574" s="68"/>
      <c r="J1574" s="68"/>
      <c r="K1574" s="68"/>
      <c r="L1574" s="56"/>
      <c r="M1574" s="26"/>
      <c r="N1574" s="26"/>
      <c r="O1574" s="68"/>
      <c r="P1574" s="1"/>
      <c r="Q1574" s="8"/>
      <c r="R1574" s="66"/>
      <c r="S1574" s="1"/>
      <c r="T1574" s="66"/>
      <c r="U1574" s="8"/>
      <c r="V1574" s="56"/>
      <c r="W1574" s="1"/>
      <c r="X1574" s="1"/>
      <c r="Y1574" s="1"/>
    </row>
    <row r="1575" spans="1:25">
      <c r="A1575" s="57"/>
      <c r="B1575" s="68"/>
      <c r="C1575" s="68"/>
      <c r="D1575" s="68"/>
      <c r="E1575" s="68"/>
      <c r="F1575" s="68"/>
      <c r="G1575" s="68"/>
      <c r="H1575" s="68"/>
      <c r="I1575" s="68"/>
      <c r="J1575" s="68"/>
      <c r="K1575" s="68"/>
      <c r="L1575" s="56"/>
      <c r="M1575" s="26"/>
      <c r="N1575" s="26"/>
      <c r="O1575" s="68"/>
      <c r="P1575" s="1"/>
      <c r="Q1575" s="8"/>
      <c r="R1575" s="66"/>
      <c r="S1575" s="1"/>
      <c r="T1575" s="66"/>
      <c r="U1575" s="8"/>
      <c r="V1575" s="56"/>
      <c r="W1575" s="1"/>
      <c r="X1575" s="1"/>
      <c r="Y1575" s="1"/>
    </row>
    <row r="1576" spans="1:25">
      <c r="A1576" s="57"/>
      <c r="B1576" s="68"/>
      <c r="C1576" s="68"/>
      <c r="D1576" s="68"/>
      <c r="E1576" s="68"/>
      <c r="F1576" s="68"/>
      <c r="G1576" s="68"/>
      <c r="H1576" s="68"/>
      <c r="I1576" s="68"/>
      <c r="J1576" s="68"/>
      <c r="K1576" s="68"/>
      <c r="L1576" s="56"/>
      <c r="M1576" s="26"/>
      <c r="N1576" s="26"/>
      <c r="O1576" s="68"/>
      <c r="P1576" s="1"/>
      <c r="Q1576" s="8"/>
      <c r="R1576" s="66"/>
      <c r="S1576" s="1"/>
      <c r="T1576" s="66"/>
      <c r="U1576" s="8"/>
      <c r="V1576" s="56"/>
      <c r="W1576" s="1"/>
      <c r="X1576" s="1"/>
      <c r="Y1576" s="1"/>
    </row>
    <row r="1577" spans="1:25">
      <c r="A1577" s="57"/>
      <c r="B1577" s="68"/>
      <c r="C1577" s="68"/>
      <c r="D1577" s="68"/>
      <c r="E1577" s="68"/>
      <c r="F1577" s="68"/>
      <c r="G1577" s="68"/>
      <c r="H1577" s="68"/>
      <c r="I1577" s="68"/>
      <c r="J1577" s="68"/>
      <c r="K1577" s="68"/>
      <c r="L1577" s="56"/>
      <c r="M1577" s="26"/>
      <c r="N1577" s="26"/>
      <c r="O1577" s="68"/>
      <c r="P1577" s="1"/>
      <c r="Q1577" s="8"/>
      <c r="R1577" s="66"/>
      <c r="S1577" s="1"/>
      <c r="T1577" s="66"/>
      <c r="U1577" s="8"/>
      <c r="V1577" s="56"/>
      <c r="W1577" s="1"/>
      <c r="X1577" s="1"/>
      <c r="Y1577" s="1"/>
    </row>
    <row r="1578" spans="1:25">
      <c r="A1578" s="57"/>
      <c r="B1578" s="68"/>
      <c r="C1578" s="68"/>
      <c r="D1578" s="68"/>
      <c r="E1578" s="68"/>
      <c r="F1578" s="68"/>
      <c r="G1578" s="68"/>
      <c r="H1578" s="68"/>
      <c r="I1578" s="68"/>
      <c r="J1578" s="68"/>
      <c r="K1578" s="68"/>
      <c r="L1578" s="56"/>
      <c r="M1578" s="26"/>
      <c r="N1578" s="26"/>
      <c r="O1578" s="68"/>
      <c r="P1578" s="1"/>
      <c r="Q1578" s="8"/>
      <c r="R1578" s="66"/>
      <c r="S1578" s="1"/>
      <c r="T1578" s="66"/>
      <c r="U1578" s="8"/>
      <c r="V1578" s="56"/>
      <c r="W1578" s="1"/>
      <c r="X1578" s="1"/>
      <c r="Y1578" s="1"/>
    </row>
    <row r="1579" spans="1:25">
      <c r="A1579" s="57"/>
      <c r="B1579" s="68"/>
      <c r="C1579" s="68"/>
      <c r="D1579" s="68"/>
      <c r="E1579" s="68"/>
      <c r="F1579" s="68"/>
      <c r="G1579" s="68"/>
      <c r="H1579" s="68"/>
      <c r="I1579" s="68"/>
      <c r="J1579" s="68"/>
      <c r="K1579" s="68"/>
      <c r="L1579" s="56"/>
      <c r="M1579" s="26"/>
      <c r="N1579" s="26"/>
      <c r="O1579" s="68"/>
      <c r="P1579" s="1"/>
      <c r="Q1579" s="8"/>
      <c r="R1579" s="66"/>
      <c r="S1579" s="1"/>
      <c r="T1579" s="66"/>
      <c r="U1579" s="8"/>
      <c r="V1579" s="56"/>
      <c r="W1579" s="1"/>
      <c r="X1579" s="1"/>
      <c r="Y1579" s="1"/>
    </row>
    <row r="1580" spans="1:25">
      <c r="A1580" s="57"/>
      <c r="B1580" s="68"/>
      <c r="C1580" s="68"/>
      <c r="D1580" s="68"/>
      <c r="E1580" s="68"/>
      <c r="F1580" s="68"/>
      <c r="G1580" s="68"/>
      <c r="H1580" s="68"/>
      <c r="I1580" s="68"/>
      <c r="J1580" s="68"/>
      <c r="K1580" s="68"/>
      <c r="L1580" s="56"/>
      <c r="M1580" s="26"/>
      <c r="N1580" s="26"/>
      <c r="O1580" s="68"/>
      <c r="P1580" s="1"/>
      <c r="Q1580" s="8"/>
      <c r="R1580" s="66"/>
      <c r="S1580" s="1"/>
      <c r="T1580" s="66"/>
      <c r="U1580" s="8"/>
      <c r="V1580" s="56"/>
      <c r="W1580" s="1"/>
      <c r="X1580" s="1"/>
      <c r="Y1580" s="1"/>
    </row>
    <row r="1581" spans="1:25">
      <c r="A1581" s="57"/>
      <c r="B1581" s="68"/>
      <c r="C1581" s="68"/>
      <c r="D1581" s="68"/>
      <c r="E1581" s="68"/>
      <c r="F1581" s="68"/>
      <c r="G1581" s="68"/>
      <c r="H1581" s="68"/>
      <c r="I1581" s="68"/>
      <c r="J1581" s="68"/>
      <c r="K1581" s="68"/>
      <c r="L1581" s="56"/>
      <c r="M1581" s="26"/>
      <c r="N1581" s="26"/>
      <c r="O1581" s="68"/>
      <c r="P1581" s="1"/>
      <c r="Q1581" s="8"/>
      <c r="R1581" s="66"/>
      <c r="S1581" s="1"/>
      <c r="T1581" s="66"/>
      <c r="U1581" s="8"/>
      <c r="V1581" s="56"/>
      <c r="W1581" s="1"/>
      <c r="X1581" s="1"/>
      <c r="Y1581" s="1"/>
    </row>
    <row r="1582" spans="1:25">
      <c r="A1582" s="57"/>
      <c r="B1582" s="68"/>
      <c r="C1582" s="68"/>
      <c r="D1582" s="68"/>
      <c r="E1582" s="68"/>
      <c r="F1582" s="68"/>
      <c r="G1582" s="68"/>
      <c r="H1582" s="68"/>
      <c r="I1582" s="68"/>
      <c r="J1582" s="68"/>
      <c r="K1582" s="68"/>
      <c r="L1582" s="56"/>
      <c r="M1582" s="26"/>
      <c r="N1582" s="26"/>
      <c r="O1582" s="68"/>
      <c r="P1582" s="1"/>
      <c r="Q1582" s="8"/>
      <c r="R1582" s="66"/>
      <c r="S1582" s="1"/>
      <c r="T1582" s="66"/>
      <c r="U1582" s="8"/>
      <c r="V1582" s="56"/>
      <c r="W1582" s="1"/>
      <c r="X1582" s="1"/>
      <c r="Y1582" s="1"/>
    </row>
    <row r="1583" spans="1:25">
      <c r="A1583" s="57"/>
      <c r="B1583" s="68"/>
      <c r="C1583" s="68"/>
      <c r="D1583" s="68"/>
      <c r="E1583" s="68"/>
      <c r="F1583" s="68"/>
      <c r="G1583" s="68"/>
      <c r="H1583" s="68"/>
      <c r="I1583" s="68"/>
      <c r="J1583" s="68"/>
      <c r="K1583" s="68"/>
      <c r="L1583" s="56"/>
      <c r="M1583" s="26"/>
      <c r="N1583" s="26"/>
      <c r="O1583" s="68"/>
      <c r="P1583" s="1"/>
      <c r="Q1583" s="8"/>
      <c r="R1583" s="66"/>
      <c r="S1583" s="1"/>
      <c r="T1583" s="66"/>
      <c r="U1583" s="8"/>
      <c r="V1583" s="56"/>
      <c r="W1583" s="1"/>
      <c r="X1583" s="1"/>
      <c r="Y1583" s="1"/>
    </row>
    <row r="1584" spans="1:25">
      <c r="A1584" s="57"/>
      <c r="B1584" s="68"/>
      <c r="C1584" s="68"/>
      <c r="D1584" s="68"/>
      <c r="E1584" s="68"/>
      <c r="F1584" s="68"/>
      <c r="G1584" s="68"/>
      <c r="H1584" s="68"/>
      <c r="I1584" s="68"/>
      <c r="J1584" s="68"/>
      <c r="K1584" s="68"/>
      <c r="L1584" s="56"/>
      <c r="M1584" s="26"/>
      <c r="N1584" s="26"/>
      <c r="O1584" s="68"/>
      <c r="P1584" s="1"/>
      <c r="Q1584" s="8"/>
      <c r="R1584" s="66"/>
      <c r="S1584" s="1"/>
      <c r="T1584" s="66"/>
      <c r="U1584" s="8"/>
      <c r="V1584" s="56"/>
      <c r="W1584" s="1"/>
      <c r="X1584" s="1"/>
      <c r="Y1584" s="1"/>
    </row>
    <row r="1585" spans="1:25">
      <c r="A1585" s="57"/>
      <c r="B1585" s="68"/>
      <c r="C1585" s="68"/>
      <c r="D1585" s="68"/>
      <c r="E1585" s="68"/>
      <c r="F1585" s="68"/>
      <c r="G1585" s="68"/>
      <c r="H1585" s="68"/>
      <c r="I1585" s="68"/>
      <c r="J1585" s="68"/>
      <c r="K1585" s="68"/>
      <c r="L1585" s="56"/>
      <c r="M1585" s="26"/>
      <c r="N1585" s="26"/>
      <c r="O1585" s="68"/>
      <c r="P1585" s="1"/>
      <c r="Q1585" s="8"/>
      <c r="R1585" s="66"/>
      <c r="S1585" s="1"/>
      <c r="T1585" s="66"/>
      <c r="U1585" s="8"/>
      <c r="V1585" s="56"/>
      <c r="W1585" s="1"/>
      <c r="X1585" s="1"/>
      <c r="Y1585" s="1"/>
    </row>
    <row r="1586" spans="1:25">
      <c r="A1586" s="57"/>
      <c r="B1586" s="68"/>
      <c r="C1586" s="68"/>
      <c r="D1586" s="68"/>
      <c r="E1586" s="68"/>
      <c r="F1586" s="68"/>
      <c r="G1586" s="68"/>
      <c r="H1586" s="68"/>
      <c r="I1586" s="68"/>
      <c r="J1586" s="68"/>
      <c r="K1586" s="68"/>
      <c r="L1586" s="56"/>
      <c r="M1586" s="26"/>
      <c r="N1586" s="26"/>
      <c r="O1586" s="68"/>
      <c r="P1586" s="1"/>
      <c r="Q1586" s="8"/>
      <c r="R1586" s="66"/>
      <c r="S1586" s="1"/>
      <c r="T1586" s="66"/>
      <c r="U1586" s="8"/>
      <c r="V1586" s="56"/>
      <c r="W1586" s="1"/>
      <c r="X1586" s="1"/>
      <c r="Y1586" s="1"/>
    </row>
    <row r="1587" spans="1:25">
      <c r="A1587" s="57"/>
      <c r="B1587" s="68"/>
      <c r="C1587" s="68"/>
      <c r="D1587" s="68"/>
      <c r="E1587" s="68"/>
      <c r="F1587" s="68"/>
      <c r="G1587" s="68"/>
      <c r="H1587" s="68"/>
      <c r="I1587" s="68"/>
      <c r="J1587" s="68"/>
      <c r="K1587" s="68"/>
      <c r="L1587" s="56"/>
      <c r="M1587" s="26"/>
      <c r="N1587" s="26"/>
      <c r="O1587" s="68"/>
      <c r="P1587" s="1"/>
      <c r="Q1587" s="8"/>
      <c r="R1587" s="66"/>
      <c r="S1587" s="1"/>
      <c r="T1587" s="66"/>
      <c r="U1587" s="8"/>
      <c r="V1587" s="56"/>
      <c r="W1587" s="1"/>
      <c r="X1587" s="1"/>
      <c r="Y1587" s="1"/>
    </row>
    <row r="1588" spans="1:25">
      <c r="A1588" s="57"/>
      <c r="B1588" s="68"/>
      <c r="C1588" s="68"/>
      <c r="D1588" s="68"/>
      <c r="E1588" s="68"/>
      <c r="F1588" s="68"/>
      <c r="G1588" s="68"/>
      <c r="H1588" s="68"/>
      <c r="I1588" s="68"/>
      <c r="J1588" s="68"/>
      <c r="K1588" s="68"/>
      <c r="L1588" s="56"/>
      <c r="M1588" s="26"/>
      <c r="N1588" s="26"/>
      <c r="O1588" s="68"/>
      <c r="P1588" s="1"/>
      <c r="Q1588" s="8"/>
      <c r="R1588" s="66"/>
      <c r="S1588" s="1"/>
      <c r="T1588" s="66"/>
      <c r="U1588" s="8"/>
      <c r="V1588" s="56"/>
      <c r="W1588" s="1"/>
      <c r="X1588" s="1"/>
      <c r="Y1588" s="1"/>
    </row>
    <row r="1589" spans="1:25">
      <c r="A1589" s="57"/>
      <c r="B1589" s="68"/>
      <c r="C1589" s="68"/>
      <c r="D1589" s="68"/>
      <c r="E1589" s="68"/>
      <c r="F1589" s="68"/>
      <c r="G1589" s="68"/>
      <c r="H1589" s="68"/>
      <c r="I1589" s="68"/>
      <c r="J1589" s="68"/>
      <c r="K1589" s="68"/>
      <c r="L1589" s="56"/>
      <c r="M1589" s="26"/>
      <c r="N1589" s="26"/>
      <c r="O1589" s="68"/>
      <c r="P1589" s="1"/>
      <c r="Q1589" s="8"/>
      <c r="R1589" s="66"/>
      <c r="S1589" s="1"/>
      <c r="T1589" s="66"/>
      <c r="U1589" s="8"/>
      <c r="V1589" s="56"/>
      <c r="W1589" s="1"/>
      <c r="X1589" s="1"/>
      <c r="Y1589" s="1"/>
    </row>
    <row r="1590" spans="1:25">
      <c r="A1590" s="57"/>
      <c r="B1590" s="68"/>
      <c r="C1590" s="68"/>
      <c r="D1590" s="68"/>
      <c r="E1590" s="68"/>
      <c r="F1590" s="68"/>
      <c r="G1590" s="68"/>
      <c r="H1590" s="68"/>
      <c r="I1590" s="68"/>
      <c r="J1590" s="68"/>
      <c r="K1590" s="68"/>
      <c r="L1590" s="56"/>
      <c r="M1590" s="26"/>
      <c r="N1590" s="26"/>
      <c r="O1590" s="68"/>
      <c r="P1590" s="1"/>
      <c r="Q1590" s="8"/>
      <c r="R1590" s="66"/>
      <c r="S1590" s="1"/>
      <c r="T1590" s="66"/>
      <c r="U1590" s="8"/>
      <c r="V1590" s="56"/>
      <c r="W1590" s="1"/>
      <c r="X1590" s="1"/>
      <c r="Y1590" s="1"/>
    </row>
    <row r="1591" spans="1:25">
      <c r="A1591" s="57"/>
      <c r="B1591" s="68"/>
      <c r="C1591" s="68"/>
      <c r="D1591" s="68"/>
      <c r="E1591" s="68"/>
      <c r="F1591" s="68"/>
      <c r="G1591" s="68"/>
      <c r="H1591" s="68"/>
      <c r="I1591" s="68"/>
      <c r="J1591" s="68"/>
      <c r="K1591" s="68"/>
      <c r="L1591" s="56"/>
      <c r="M1591" s="26"/>
      <c r="N1591" s="26"/>
      <c r="O1591" s="68"/>
      <c r="P1591" s="1"/>
      <c r="Q1591" s="8"/>
      <c r="R1591" s="66"/>
      <c r="S1591" s="1"/>
      <c r="T1591" s="66"/>
      <c r="U1591" s="8"/>
      <c r="V1591" s="56"/>
      <c r="W1591" s="1"/>
      <c r="X1591" s="1"/>
      <c r="Y1591" s="1"/>
    </row>
    <row r="1592" spans="1:25">
      <c r="A1592" s="57"/>
      <c r="B1592" s="68"/>
      <c r="C1592" s="68"/>
      <c r="D1592" s="68"/>
      <c r="E1592" s="68"/>
      <c r="F1592" s="68"/>
      <c r="G1592" s="68"/>
      <c r="H1592" s="68"/>
      <c r="I1592" s="68"/>
      <c r="J1592" s="68"/>
      <c r="K1592" s="68"/>
      <c r="L1592" s="56"/>
      <c r="M1592" s="26"/>
      <c r="N1592" s="26"/>
      <c r="O1592" s="68"/>
      <c r="P1592" s="1"/>
      <c r="Q1592" s="8"/>
      <c r="R1592" s="66"/>
      <c r="S1592" s="1"/>
      <c r="T1592" s="66"/>
      <c r="U1592" s="8"/>
      <c r="V1592" s="56"/>
      <c r="W1592" s="1"/>
      <c r="X1592" s="1"/>
      <c r="Y1592" s="1"/>
    </row>
    <row r="1593" spans="1:25">
      <c r="A1593" s="57"/>
      <c r="B1593" s="68"/>
      <c r="C1593" s="68"/>
      <c r="D1593" s="68"/>
      <c r="E1593" s="68"/>
      <c r="F1593" s="68"/>
      <c r="G1593" s="68"/>
      <c r="H1593" s="68"/>
      <c r="I1593" s="68"/>
      <c r="J1593" s="68"/>
      <c r="K1593" s="68"/>
      <c r="L1593" s="56"/>
      <c r="M1593" s="26"/>
      <c r="N1593" s="26"/>
      <c r="O1593" s="68"/>
      <c r="P1593" s="1"/>
      <c r="Q1593" s="8"/>
      <c r="R1593" s="66"/>
      <c r="S1593" s="1"/>
      <c r="T1593" s="66"/>
      <c r="U1593" s="8"/>
      <c r="V1593" s="56"/>
      <c r="W1593" s="1"/>
      <c r="X1593" s="1"/>
      <c r="Y1593" s="1"/>
    </row>
    <row r="1594" spans="1:25">
      <c r="A1594" s="57"/>
      <c r="B1594" s="68"/>
      <c r="C1594" s="68"/>
      <c r="D1594" s="68"/>
      <c r="E1594" s="68"/>
      <c r="F1594" s="68"/>
      <c r="G1594" s="68"/>
      <c r="H1594" s="68"/>
      <c r="I1594" s="68"/>
      <c r="J1594" s="68"/>
      <c r="K1594" s="68"/>
      <c r="L1594" s="56"/>
      <c r="M1594" s="26"/>
      <c r="N1594" s="26"/>
      <c r="O1594" s="68"/>
      <c r="P1594" s="1"/>
      <c r="Q1594" s="8"/>
      <c r="R1594" s="66"/>
      <c r="S1594" s="1"/>
      <c r="T1594" s="66"/>
      <c r="U1594" s="8"/>
      <c r="V1594" s="56"/>
      <c r="W1594" s="1"/>
      <c r="X1594" s="1"/>
      <c r="Y1594" s="1"/>
    </row>
    <row r="1595" spans="1:25">
      <c r="A1595" s="57"/>
      <c r="B1595" s="68"/>
      <c r="C1595" s="68"/>
      <c r="D1595" s="68"/>
      <c r="E1595" s="68"/>
      <c r="F1595" s="68"/>
      <c r="G1595" s="68"/>
      <c r="H1595" s="68"/>
      <c r="I1595" s="68"/>
      <c r="J1595" s="68"/>
      <c r="K1595" s="68"/>
      <c r="L1595" s="56"/>
      <c r="M1595" s="26"/>
      <c r="N1595" s="26"/>
      <c r="O1595" s="68"/>
      <c r="P1595" s="1"/>
      <c r="Q1595" s="8"/>
      <c r="R1595" s="66"/>
      <c r="S1595" s="1"/>
      <c r="T1595" s="66"/>
      <c r="U1595" s="8"/>
      <c r="V1595" s="56"/>
      <c r="W1595" s="1"/>
      <c r="X1595" s="1"/>
      <c r="Y1595" s="1"/>
    </row>
    <row r="1596" spans="1:25">
      <c r="A1596" s="57"/>
      <c r="B1596" s="68"/>
      <c r="C1596" s="68"/>
      <c r="D1596" s="68"/>
      <c r="E1596" s="68"/>
      <c r="F1596" s="68"/>
      <c r="G1596" s="68"/>
      <c r="H1596" s="68"/>
      <c r="I1596" s="68"/>
      <c r="J1596" s="68"/>
      <c r="K1596" s="68"/>
      <c r="L1596" s="56"/>
      <c r="M1596" s="26"/>
      <c r="N1596" s="26"/>
      <c r="O1596" s="68"/>
      <c r="P1596" s="1"/>
      <c r="Q1596" s="8"/>
      <c r="R1596" s="66"/>
      <c r="S1596" s="1"/>
      <c r="T1596" s="66"/>
      <c r="U1596" s="8"/>
      <c r="V1596" s="56"/>
      <c r="W1596" s="1"/>
      <c r="X1596" s="1"/>
      <c r="Y1596" s="1"/>
    </row>
    <row r="1597" spans="1:25">
      <c r="A1597" s="57"/>
      <c r="B1597" s="68"/>
      <c r="C1597" s="68"/>
      <c r="D1597" s="68"/>
      <c r="E1597" s="68"/>
      <c r="F1597" s="68"/>
      <c r="G1597" s="68"/>
      <c r="H1597" s="68"/>
      <c r="I1597" s="68"/>
      <c r="J1597" s="68"/>
      <c r="K1597" s="68"/>
      <c r="L1597" s="56"/>
      <c r="M1597" s="26"/>
      <c r="N1597" s="26"/>
      <c r="O1597" s="68"/>
      <c r="P1597" s="1"/>
      <c r="Q1597" s="8"/>
      <c r="R1597" s="66"/>
      <c r="S1597" s="1"/>
      <c r="T1597" s="66"/>
      <c r="U1597" s="8"/>
      <c r="V1597" s="56"/>
      <c r="W1597" s="1"/>
      <c r="X1597" s="1"/>
      <c r="Y1597" s="1"/>
    </row>
    <row r="1598" spans="1:25">
      <c r="A1598" s="57"/>
      <c r="B1598" s="68"/>
      <c r="C1598" s="68"/>
      <c r="D1598" s="68"/>
      <c r="E1598" s="68"/>
      <c r="F1598" s="68"/>
      <c r="G1598" s="68"/>
      <c r="H1598" s="68"/>
      <c r="I1598" s="68"/>
      <c r="J1598" s="68"/>
      <c r="K1598" s="68"/>
      <c r="L1598" s="56"/>
      <c r="M1598" s="26"/>
      <c r="N1598" s="26"/>
      <c r="O1598" s="68"/>
      <c r="P1598" s="1"/>
      <c r="Q1598" s="8"/>
      <c r="R1598" s="66"/>
      <c r="S1598" s="1"/>
      <c r="T1598" s="66"/>
      <c r="U1598" s="8"/>
      <c r="V1598" s="56"/>
      <c r="W1598" s="1"/>
      <c r="X1598" s="1"/>
      <c r="Y1598" s="1"/>
    </row>
    <row r="1599" spans="1:25">
      <c r="A1599" s="57"/>
      <c r="B1599" s="68"/>
      <c r="C1599" s="68"/>
      <c r="D1599" s="68"/>
      <c r="E1599" s="68"/>
      <c r="F1599" s="68"/>
      <c r="G1599" s="68"/>
      <c r="H1599" s="68"/>
      <c r="I1599" s="68"/>
      <c r="J1599" s="68"/>
      <c r="K1599" s="68"/>
      <c r="L1599" s="56"/>
      <c r="M1599" s="26"/>
      <c r="N1599" s="26"/>
      <c r="O1599" s="68"/>
      <c r="P1599" s="1"/>
      <c r="Q1599" s="8"/>
      <c r="R1599" s="66"/>
      <c r="S1599" s="1"/>
      <c r="T1599" s="66"/>
      <c r="U1599" s="8"/>
      <c r="V1599" s="56"/>
      <c r="W1599" s="1"/>
      <c r="X1599" s="1"/>
      <c r="Y1599" s="1"/>
    </row>
    <row r="1600" spans="1:25">
      <c r="A1600" s="57"/>
      <c r="B1600" s="68"/>
      <c r="C1600" s="68"/>
      <c r="D1600" s="68"/>
      <c r="E1600" s="68"/>
      <c r="F1600" s="68"/>
      <c r="G1600" s="68"/>
      <c r="H1600" s="68"/>
      <c r="I1600" s="68"/>
      <c r="J1600" s="68"/>
      <c r="K1600" s="68"/>
      <c r="L1600" s="56"/>
      <c r="M1600" s="26"/>
      <c r="N1600" s="26"/>
      <c r="O1600" s="68"/>
      <c r="P1600" s="1"/>
      <c r="Q1600" s="8"/>
      <c r="R1600" s="66"/>
      <c r="S1600" s="1"/>
      <c r="T1600" s="66"/>
      <c r="U1600" s="8"/>
      <c r="V1600" s="56"/>
      <c r="W1600" s="1"/>
      <c r="X1600" s="1"/>
      <c r="Y1600" s="1"/>
    </row>
    <row r="1601" spans="1:25">
      <c r="A1601" s="57"/>
      <c r="B1601" s="68"/>
      <c r="C1601" s="68"/>
      <c r="D1601" s="68"/>
      <c r="E1601" s="68"/>
      <c r="F1601" s="68"/>
      <c r="G1601" s="68"/>
      <c r="H1601" s="68"/>
      <c r="I1601" s="68"/>
      <c r="J1601" s="68"/>
      <c r="K1601" s="68"/>
      <c r="L1601" s="56"/>
      <c r="M1601" s="26"/>
      <c r="N1601" s="26"/>
      <c r="O1601" s="68"/>
      <c r="P1601" s="1"/>
      <c r="Q1601" s="8"/>
      <c r="R1601" s="66"/>
      <c r="S1601" s="1"/>
      <c r="T1601" s="66"/>
      <c r="U1601" s="8"/>
      <c r="V1601" s="56"/>
      <c r="W1601" s="1"/>
      <c r="X1601" s="1"/>
      <c r="Y1601" s="1"/>
    </row>
    <row r="1602" spans="1:25">
      <c r="A1602" s="57"/>
      <c r="B1602" s="68"/>
      <c r="C1602" s="68"/>
      <c r="D1602" s="68"/>
      <c r="E1602" s="68"/>
      <c r="F1602" s="68"/>
      <c r="G1602" s="68"/>
      <c r="H1602" s="68"/>
      <c r="I1602" s="68"/>
      <c r="J1602" s="68"/>
      <c r="K1602" s="68"/>
      <c r="L1602" s="56"/>
      <c r="M1602" s="26"/>
      <c r="N1602" s="26"/>
      <c r="O1602" s="68"/>
      <c r="P1602" s="1"/>
      <c r="Q1602" s="8"/>
      <c r="R1602" s="66"/>
      <c r="S1602" s="1"/>
      <c r="T1602" s="66"/>
      <c r="U1602" s="8"/>
      <c r="V1602" s="56"/>
      <c r="W1602" s="1"/>
      <c r="X1602" s="1"/>
      <c r="Y1602" s="1"/>
    </row>
    <row r="1603" spans="1:25">
      <c r="A1603" s="57"/>
      <c r="B1603" s="68"/>
      <c r="C1603" s="68"/>
      <c r="D1603" s="68"/>
      <c r="E1603" s="68"/>
      <c r="F1603" s="68"/>
      <c r="G1603" s="68"/>
      <c r="H1603" s="68"/>
      <c r="I1603" s="68"/>
      <c r="J1603" s="68"/>
      <c r="K1603" s="68"/>
      <c r="L1603" s="56"/>
      <c r="M1603" s="26"/>
      <c r="N1603" s="26"/>
      <c r="O1603" s="68"/>
      <c r="P1603" s="1"/>
      <c r="Q1603" s="8"/>
      <c r="R1603" s="66"/>
      <c r="S1603" s="1"/>
      <c r="T1603" s="66"/>
      <c r="U1603" s="8"/>
      <c r="V1603" s="56"/>
      <c r="W1603" s="1"/>
      <c r="X1603" s="1"/>
      <c r="Y1603" s="1"/>
    </row>
    <row r="1604" spans="1:25">
      <c r="A1604" s="57"/>
      <c r="B1604" s="68"/>
      <c r="C1604" s="68"/>
      <c r="D1604" s="68"/>
      <c r="E1604" s="68"/>
      <c r="F1604" s="68"/>
      <c r="G1604" s="68"/>
      <c r="H1604" s="68"/>
      <c r="I1604" s="68"/>
      <c r="J1604" s="68"/>
      <c r="K1604" s="68"/>
      <c r="L1604" s="56"/>
      <c r="M1604" s="26"/>
      <c r="N1604" s="26"/>
      <c r="O1604" s="68"/>
      <c r="P1604" s="1"/>
      <c r="Q1604" s="8"/>
      <c r="R1604" s="66"/>
      <c r="S1604" s="1"/>
      <c r="T1604" s="66"/>
      <c r="U1604" s="8"/>
      <c r="V1604" s="56"/>
      <c r="W1604" s="1"/>
      <c r="X1604" s="1"/>
      <c r="Y1604" s="1"/>
    </row>
    <row r="1605" spans="1:25">
      <c r="A1605" s="57"/>
      <c r="B1605" s="68"/>
      <c r="C1605" s="68"/>
      <c r="D1605" s="68"/>
      <c r="E1605" s="68"/>
      <c r="F1605" s="68"/>
      <c r="G1605" s="68"/>
      <c r="H1605" s="68"/>
      <c r="I1605" s="68"/>
      <c r="J1605" s="68"/>
      <c r="K1605" s="68"/>
      <c r="L1605" s="56"/>
      <c r="M1605" s="26"/>
      <c r="N1605" s="26"/>
      <c r="O1605" s="68"/>
      <c r="P1605" s="1"/>
      <c r="Q1605" s="8"/>
      <c r="R1605" s="66"/>
      <c r="S1605" s="1"/>
      <c r="T1605" s="66"/>
      <c r="U1605" s="8"/>
      <c r="V1605" s="56"/>
      <c r="W1605" s="1"/>
      <c r="X1605" s="1"/>
      <c r="Y1605" s="1"/>
    </row>
    <row r="1606" spans="1:25">
      <c r="A1606" s="57"/>
      <c r="B1606" s="68"/>
      <c r="C1606" s="68"/>
      <c r="D1606" s="68"/>
      <c r="E1606" s="68"/>
      <c r="F1606" s="68"/>
      <c r="G1606" s="68"/>
      <c r="H1606" s="68"/>
      <c r="I1606" s="68"/>
      <c r="J1606" s="68"/>
      <c r="K1606" s="68"/>
      <c r="L1606" s="56"/>
      <c r="M1606" s="26"/>
      <c r="N1606" s="26"/>
      <c r="O1606" s="68"/>
      <c r="P1606" s="1"/>
      <c r="Q1606" s="8"/>
      <c r="R1606" s="66"/>
      <c r="S1606" s="1"/>
      <c r="T1606" s="66"/>
      <c r="U1606" s="8"/>
      <c r="V1606" s="56"/>
      <c r="W1606" s="1"/>
      <c r="X1606" s="1"/>
      <c r="Y1606" s="1"/>
    </row>
    <row r="1607" spans="1:25">
      <c r="A1607" s="57"/>
      <c r="B1607" s="68"/>
      <c r="C1607" s="68"/>
      <c r="D1607" s="68"/>
      <c r="E1607" s="68"/>
      <c r="F1607" s="68"/>
      <c r="G1607" s="68"/>
      <c r="H1607" s="68"/>
      <c r="I1607" s="68"/>
      <c r="J1607" s="68"/>
      <c r="K1607" s="68"/>
      <c r="L1607" s="56"/>
      <c r="M1607" s="26"/>
      <c r="N1607" s="26"/>
      <c r="O1607" s="68"/>
      <c r="P1607" s="1"/>
      <c r="Q1607" s="8"/>
      <c r="R1607" s="66"/>
      <c r="S1607" s="1"/>
      <c r="T1607" s="66"/>
      <c r="U1607" s="8"/>
      <c r="V1607" s="56"/>
      <c r="W1607" s="1"/>
      <c r="X1607" s="1"/>
      <c r="Y1607" s="1"/>
    </row>
    <row r="1608" spans="1:25">
      <c r="A1608" s="57"/>
      <c r="B1608" s="68"/>
      <c r="C1608" s="68"/>
      <c r="D1608" s="68"/>
      <c r="E1608" s="68"/>
      <c r="F1608" s="68"/>
      <c r="G1608" s="68"/>
      <c r="H1608" s="68"/>
      <c r="I1608" s="68"/>
      <c r="J1608" s="68"/>
      <c r="K1608" s="68"/>
      <c r="L1608" s="56"/>
      <c r="M1608" s="26"/>
      <c r="N1608" s="26"/>
      <c r="O1608" s="68"/>
      <c r="P1608" s="1"/>
      <c r="Q1608" s="8"/>
      <c r="R1608" s="66"/>
      <c r="S1608" s="1"/>
      <c r="T1608" s="66"/>
      <c r="U1608" s="8"/>
      <c r="V1608" s="56"/>
      <c r="W1608" s="1"/>
      <c r="X1608" s="1"/>
      <c r="Y1608" s="1"/>
    </row>
    <row r="1609" spans="1:25">
      <c r="A1609" s="57"/>
      <c r="B1609" s="68"/>
      <c r="C1609" s="68"/>
      <c r="D1609" s="68"/>
      <c r="E1609" s="68"/>
      <c r="F1609" s="68"/>
      <c r="G1609" s="68"/>
      <c r="H1609" s="68"/>
      <c r="I1609" s="68"/>
      <c r="J1609" s="68"/>
      <c r="K1609" s="68"/>
      <c r="L1609" s="56"/>
      <c r="M1609" s="26"/>
      <c r="N1609" s="26"/>
      <c r="O1609" s="68"/>
      <c r="P1609" s="1"/>
      <c r="Q1609" s="8"/>
      <c r="R1609" s="66"/>
      <c r="S1609" s="1"/>
      <c r="T1609" s="66"/>
      <c r="U1609" s="8"/>
      <c r="V1609" s="56"/>
      <c r="W1609" s="1"/>
      <c r="X1609" s="1"/>
      <c r="Y1609" s="1"/>
    </row>
    <row r="1610" spans="1:25">
      <c r="A1610" s="57"/>
      <c r="B1610" s="68"/>
      <c r="C1610" s="68"/>
      <c r="D1610" s="68"/>
      <c r="E1610" s="68"/>
      <c r="F1610" s="68"/>
      <c r="G1610" s="68"/>
      <c r="H1610" s="68"/>
      <c r="I1610" s="68"/>
      <c r="J1610" s="68"/>
      <c r="K1610" s="68"/>
      <c r="L1610" s="56"/>
      <c r="M1610" s="26"/>
      <c r="N1610" s="26"/>
      <c r="O1610" s="68"/>
      <c r="P1610" s="1"/>
      <c r="Q1610" s="8"/>
      <c r="R1610" s="66"/>
      <c r="S1610" s="1"/>
      <c r="T1610" s="66"/>
      <c r="U1610" s="8"/>
      <c r="V1610" s="56"/>
      <c r="W1610" s="1"/>
      <c r="X1610" s="1"/>
      <c r="Y1610" s="1"/>
    </row>
    <row r="1611" spans="1:25">
      <c r="A1611" s="57"/>
      <c r="B1611" s="68"/>
      <c r="C1611" s="68"/>
      <c r="D1611" s="68"/>
      <c r="E1611" s="68"/>
      <c r="F1611" s="68"/>
      <c r="G1611" s="68"/>
      <c r="H1611" s="68"/>
      <c r="I1611" s="68"/>
      <c r="J1611" s="68"/>
      <c r="K1611" s="68"/>
      <c r="L1611" s="56"/>
      <c r="M1611" s="26"/>
      <c r="N1611" s="26"/>
      <c r="O1611" s="68"/>
      <c r="P1611" s="1"/>
      <c r="Q1611" s="8"/>
      <c r="R1611" s="66"/>
      <c r="S1611" s="1"/>
      <c r="T1611" s="66"/>
      <c r="U1611" s="8"/>
      <c r="V1611" s="56"/>
      <c r="W1611" s="1"/>
      <c r="X1611" s="1"/>
      <c r="Y1611" s="1"/>
    </row>
    <row r="1612" spans="1:25">
      <c r="A1612" s="57"/>
      <c r="B1612" s="68"/>
      <c r="C1612" s="68"/>
      <c r="D1612" s="68"/>
      <c r="E1612" s="68"/>
      <c r="F1612" s="68"/>
      <c r="G1612" s="68"/>
      <c r="H1612" s="68"/>
      <c r="I1612" s="68"/>
      <c r="J1612" s="68"/>
      <c r="K1612" s="68"/>
      <c r="L1612" s="56"/>
      <c r="M1612" s="26"/>
      <c r="N1612" s="26"/>
      <c r="O1612" s="68"/>
      <c r="P1612" s="1"/>
      <c r="Q1612" s="8"/>
      <c r="R1612" s="66"/>
      <c r="S1612" s="1"/>
      <c r="T1612" s="66"/>
      <c r="U1612" s="8"/>
      <c r="V1612" s="56"/>
      <c r="W1612" s="1"/>
      <c r="X1612" s="1"/>
      <c r="Y1612" s="1"/>
    </row>
    <row r="1613" spans="1:25">
      <c r="A1613" s="57"/>
      <c r="B1613" s="68"/>
      <c r="C1613" s="68"/>
      <c r="D1613" s="68"/>
      <c r="E1613" s="68"/>
      <c r="F1613" s="68"/>
      <c r="G1613" s="68"/>
      <c r="H1613" s="68"/>
      <c r="I1613" s="68"/>
      <c r="J1613" s="68"/>
      <c r="K1613" s="68"/>
      <c r="L1613" s="56"/>
      <c r="M1613" s="26"/>
      <c r="N1613" s="26"/>
      <c r="O1613" s="68"/>
      <c r="P1613" s="1"/>
      <c r="Q1613" s="8"/>
      <c r="R1613" s="66"/>
      <c r="S1613" s="1"/>
      <c r="T1613" s="66"/>
      <c r="U1613" s="8"/>
      <c r="V1613" s="56"/>
      <c r="W1613" s="1"/>
      <c r="X1613" s="1"/>
      <c r="Y1613" s="1"/>
    </row>
    <row r="1614" spans="1:25">
      <c r="A1614" s="57"/>
      <c r="B1614" s="68"/>
      <c r="C1614" s="68"/>
      <c r="D1614" s="68"/>
      <c r="E1614" s="68"/>
      <c r="F1614" s="68"/>
      <c r="G1614" s="68"/>
      <c r="H1614" s="68"/>
      <c r="I1614" s="68"/>
      <c r="J1614" s="68"/>
      <c r="K1614" s="68"/>
      <c r="L1614" s="56"/>
      <c r="M1614" s="26"/>
      <c r="N1614" s="26"/>
      <c r="O1614" s="68"/>
      <c r="P1614" s="1"/>
      <c r="Q1614" s="8"/>
      <c r="R1614" s="66"/>
      <c r="S1614" s="1"/>
      <c r="T1614" s="66"/>
      <c r="U1614" s="8"/>
      <c r="V1614" s="56"/>
      <c r="W1614" s="1"/>
      <c r="X1614" s="1"/>
      <c r="Y1614" s="1"/>
    </row>
    <row r="1615" spans="1:25">
      <c r="A1615" s="57"/>
      <c r="B1615" s="68"/>
      <c r="C1615" s="68"/>
      <c r="D1615" s="68"/>
      <c r="E1615" s="68"/>
      <c r="F1615" s="68"/>
      <c r="G1615" s="68"/>
      <c r="H1615" s="68"/>
      <c r="I1615" s="68"/>
      <c r="J1615" s="68"/>
      <c r="K1615" s="68"/>
      <c r="L1615" s="56"/>
      <c r="M1615" s="26"/>
      <c r="N1615" s="26"/>
      <c r="O1615" s="68"/>
      <c r="P1615" s="1"/>
      <c r="Q1615" s="8"/>
      <c r="R1615" s="66"/>
      <c r="S1615" s="1"/>
      <c r="T1615" s="66"/>
      <c r="U1615" s="8"/>
      <c r="V1615" s="56"/>
      <c r="W1615" s="1"/>
      <c r="X1615" s="1"/>
      <c r="Y1615" s="1"/>
    </row>
    <row r="1616" spans="1:25">
      <c r="A1616" s="57"/>
      <c r="B1616" s="68"/>
      <c r="C1616" s="68"/>
      <c r="D1616" s="68"/>
      <c r="E1616" s="68"/>
      <c r="F1616" s="68"/>
      <c r="G1616" s="68"/>
      <c r="H1616" s="68"/>
      <c r="I1616" s="68"/>
      <c r="J1616" s="68"/>
      <c r="K1616" s="68"/>
      <c r="L1616" s="56"/>
      <c r="M1616" s="26"/>
      <c r="N1616" s="26"/>
      <c r="O1616" s="68"/>
      <c r="P1616" s="1"/>
      <c r="Q1616" s="8"/>
      <c r="R1616" s="66"/>
      <c r="S1616" s="1"/>
      <c r="T1616" s="66"/>
      <c r="U1616" s="8"/>
      <c r="V1616" s="56"/>
      <c r="W1616" s="1"/>
      <c r="X1616" s="1"/>
      <c r="Y1616" s="1"/>
    </row>
    <row r="1617" spans="1:25">
      <c r="A1617" s="57"/>
      <c r="B1617" s="68"/>
      <c r="C1617" s="68"/>
      <c r="D1617" s="68"/>
      <c r="E1617" s="68"/>
      <c r="F1617" s="68"/>
      <c r="G1617" s="68"/>
      <c r="H1617" s="68"/>
      <c r="I1617" s="68"/>
      <c r="J1617" s="68"/>
      <c r="K1617" s="68"/>
      <c r="L1617" s="56"/>
      <c r="M1617" s="26"/>
      <c r="N1617" s="26"/>
      <c r="O1617" s="68"/>
      <c r="P1617" s="1"/>
      <c r="Q1617" s="8"/>
      <c r="R1617" s="66"/>
      <c r="S1617" s="1"/>
      <c r="T1617" s="66"/>
      <c r="U1617" s="8"/>
      <c r="V1617" s="56"/>
      <c r="W1617" s="1"/>
      <c r="X1617" s="1"/>
      <c r="Y1617" s="1"/>
    </row>
    <row r="1618" spans="1:25">
      <c r="A1618" s="57"/>
      <c r="B1618" s="68"/>
      <c r="C1618" s="68"/>
      <c r="D1618" s="68"/>
      <c r="E1618" s="68"/>
      <c r="F1618" s="68"/>
      <c r="G1618" s="68"/>
      <c r="H1618" s="68"/>
      <c r="I1618" s="68"/>
      <c r="J1618" s="68"/>
      <c r="K1618" s="68"/>
      <c r="L1618" s="56"/>
      <c r="M1618" s="26"/>
      <c r="N1618" s="26"/>
      <c r="O1618" s="68"/>
      <c r="P1618" s="1"/>
      <c r="Q1618" s="8"/>
      <c r="R1618" s="66"/>
      <c r="S1618" s="1"/>
      <c r="T1618" s="66"/>
      <c r="U1618" s="8"/>
      <c r="V1618" s="56"/>
      <c r="W1618" s="1"/>
      <c r="X1618" s="1"/>
      <c r="Y1618" s="1"/>
    </row>
    <row r="1619" spans="1:25">
      <c r="A1619" s="57"/>
      <c r="B1619" s="68"/>
      <c r="C1619" s="68"/>
      <c r="D1619" s="68"/>
      <c r="E1619" s="68"/>
      <c r="F1619" s="68"/>
      <c r="G1619" s="68"/>
      <c r="H1619" s="68"/>
      <c r="I1619" s="68"/>
      <c r="J1619" s="68"/>
      <c r="K1619" s="68"/>
      <c r="L1619" s="56"/>
      <c r="M1619" s="26"/>
      <c r="N1619" s="26"/>
      <c r="O1619" s="68"/>
      <c r="P1619" s="1"/>
      <c r="Q1619" s="8"/>
      <c r="R1619" s="66"/>
      <c r="S1619" s="1"/>
      <c r="T1619" s="66"/>
      <c r="U1619" s="8"/>
      <c r="V1619" s="56"/>
      <c r="W1619" s="1"/>
      <c r="X1619" s="1"/>
      <c r="Y1619" s="1"/>
    </row>
    <row r="1620" spans="1:25">
      <c r="A1620" s="57"/>
      <c r="B1620" s="68"/>
      <c r="C1620" s="68"/>
      <c r="D1620" s="68"/>
      <c r="E1620" s="68"/>
      <c r="F1620" s="68"/>
      <c r="G1620" s="68"/>
      <c r="H1620" s="68"/>
      <c r="I1620" s="68"/>
      <c r="J1620" s="68"/>
      <c r="K1620" s="68"/>
      <c r="L1620" s="56"/>
      <c r="M1620" s="26"/>
      <c r="N1620" s="26"/>
      <c r="O1620" s="68"/>
      <c r="P1620" s="1"/>
      <c r="Q1620" s="8"/>
      <c r="R1620" s="66"/>
      <c r="S1620" s="1"/>
      <c r="T1620" s="66"/>
      <c r="U1620" s="8"/>
      <c r="V1620" s="56"/>
      <c r="W1620" s="1"/>
      <c r="X1620" s="1"/>
      <c r="Y1620" s="1"/>
    </row>
    <row r="1621" spans="1:25">
      <c r="A1621" s="57"/>
      <c r="B1621" s="68"/>
      <c r="C1621" s="68"/>
      <c r="D1621" s="68"/>
      <c r="E1621" s="68"/>
      <c r="F1621" s="68"/>
      <c r="G1621" s="68"/>
      <c r="H1621" s="68"/>
      <c r="I1621" s="68"/>
      <c r="J1621" s="68"/>
      <c r="K1621" s="68"/>
      <c r="L1621" s="56"/>
      <c r="M1621" s="26"/>
      <c r="N1621" s="26"/>
      <c r="O1621" s="68"/>
      <c r="P1621" s="1"/>
      <c r="Q1621" s="8"/>
      <c r="R1621" s="66"/>
      <c r="S1621" s="1"/>
      <c r="T1621" s="66"/>
      <c r="U1621" s="8"/>
      <c r="V1621" s="56"/>
      <c r="W1621" s="1"/>
      <c r="X1621" s="1"/>
      <c r="Y1621" s="1"/>
    </row>
    <row r="1622" spans="1:25">
      <c r="A1622" s="57"/>
      <c r="B1622" s="68"/>
      <c r="C1622" s="68"/>
      <c r="D1622" s="68"/>
      <c r="E1622" s="68"/>
      <c r="F1622" s="68"/>
      <c r="G1622" s="68"/>
      <c r="H1622" s="68"/>
      <c r="I1622" s="68"/>
      <c r="J1622" s="68"/>
      <c r="K1622" s="68"/>
      <c r="L1622" s="56"/>
      <c r="M1622" s="26"/>
      <c r="N1622" s="26"/>
      <c r="O1622" s="68"/>
      <c r="P1622" s="1"/>
      <c r="Q1622" s="8"/>
      <c r="R1622" s="66"/>
      <c r="S1622" s="1"/>
      <c r="T1622" s="66"/>
      <c r="U1622" s="8"/>
      <c r="V1622" s="56"/>
      <c r="W1622" s="1"/>
      <c r="X1622" s="1"/>
      <c r="Y1622" s="1"/>
    </row>
    <row r="1623" spans="1:25">
      <c r="A1623" s="57"/>
      <c r="B1623" s="68"/>
      <c r="C1623" s="68"/>
      <c r="D1623" s="68"/>
      <c r="E1623" s="68"/>
      <c r="F1623" s="68"/>
      <c r="G1623" s="68"/>
      <c r="H1623" s="68"/>
      <c r="I1623" s="68"/>
      <c r="J1623" s="68"/>
      <c r="K1623" s="68"/>
      <c r="L1623" s="56"/>
      <c r="M1623" s="26"/>
      <c r="N1623" s="26"/>
      <c r="O1623" s="68"/>
      <c r="P1623" s="1"/>
      <c r="Q1623" s="8"/>
      <c r="R1623" s="66"/>
      <c r="S1623" s="1"/>
      <c r="T1623" s="66"/>
      <c r="U1623" s="8"/>
      <c r="V1623" s="56"/>
      <c r="W1623" s="1"/>
      <c r="X1623" s="1"/>
      <c r="Y1623" s="1"/>
    </row>
    <row r="1624" spans="1:25">
      <c r="A1624" s="57"/>
      <c r="B1624" s="68"/>
      <c r="C1624" s="68"/>
      <c r="D1624" s="68"/>
      <c r="E1624" s="68"/>
      <c r="F1624" s="68"/>
      <c r="G1624" s="68"/>
      <c r="H1624" s="68"/>
      <c r="I1624" s="68"/>
      <c r="J1624" s="68"/>
      <c r="K1624" s="68"/>
      <c r="L1624" s="56"/>
      <c r="M1624" s="26"/>
      <c r="N1624" s="26"/>
      <c r="O1624" s="68"/>
      <c r="P1624" s="1"/>
      <c r="Q1624" s="8"/>
      <c r="R1624" s="66"/>
      <c r="S1624" s="1"/>
      <c r="T1624" s="66"/>
      <c r="U1624" s="8"/>
      <c r="V1624" s="56"/>
      <c r="W1624" s="1"/>
      <c r="X1624" s="1"/>
      <c r="Y1624" s="1"/>
    </row>
    <row r="1625" spans="1:25">
      <c r="A1625" s="57"/>
      <c r="B1625" s="68"/>
      <c r="C1625" s="68"/>
      <c r="D1625" s="68"/>
      <c r="E1625" s="68"/>
      <c r="F1625" s="68"/>
      <c r="G1625" s="68"/>
      <c r="H1625" s="68"/>
      <c r="I1625" s="68"/>
      <c r="J1625" s="68"/>
      <c r="K1625" s="68"/>
      <c r="L1625" s="56"/>
      <c r="M1625" s="26"/>
      <c r="N1625" s="26"/>
      <c r="O1625" s="68"/>
      <c r="P1625" s="1"/>
      <c r="Q1625" s="8"/>
      <c r="R1625" s="66"/>
      <c r="S1625" s="1"/>
      <c r="T1625" s="66"/>
      <c r="U1625" s="8"/>
      <c r="V1625" s="56"/>
      <c r="W1625" s="1"/>
      <c r="X1625" s="1"/>
      <c r="Y1625" s="1"/>
    </row>
    <row r="1626" spans="1:25">
      <c r="A1626" s="57"/>
      <c r="B1626" s="68"/>
      <c r="C1626" s="68"/>
      <c r="D1626" s="68"/>
      <c r="E1626" s="68"/>
      <c r="F1626" s="68"/>
      <c r="G1626" s="68"/>
      <c r="H1626" s="68"/>
      <c r="I1626" s="68"/>
      <c r="J1626" s="68"/>
      <c r="K1626" s="68"/>
      <c r="L1626" s="56"/>
      <c r="M1626" s="26"/>
      <c r="N1626" s="26"/>
      <c r="O1626" s="68"/>
      <c r="P1626" s="1"/>
      <c r="Q1626" s="8"/>
      <c r="R1626" s="66"/>
      <c r="S1626" s="1"/>
      <c r="T1626" s="66"/>
      <c r="U1626" s="8"/>
      <c r="V1626" s="56"/>
      <c r="W1626" s="1"/>
      <c r="X1626" s="1"/>
      <c r="Y1626" s="1"/>
    </row>
    <row r="1627" spans="1:25">
      <c r="A1627" s="57"/>
      <c r="B1627" s="68"/>
      <c r="C1627" s="68"/>
      <c r="D1627" s="68"/>
      <c r="E1627" s="68"/>
      <c r="F1627" s="68"/>
      <c r="G1627" s="68"/>
      <c r="H1627" s="68"/>
      <c r="I1627" s="68"/>
      <c r="J1627" s="68"/>
      <c r="K1627" s="68"/>
      <c r="L1627" s="56"/>
      <c r="M1627" s="26"/>
      <c r="N1627" s="26"/>
      <c r="O1627" s="68"/>
      <c r="P1627" s="1"/>
      <c r="Q1627" s="8"/>
      <c r="R1627" s="66"/>
      <c r="S1627" s="1"/>
      <c r="T1627" s="66"/>
      <c r="U1627" s="8"/>
      <c r="V1627" s="56"/>
      <c r="W1627" s="1"/>
      <c r="X1627" s="1"/>
      <c r="Y1627" s="1"/>
    </row>
    <row r="1628" spans="1:25">
      <c r="A1628" s="57"/>
      <c r="B1628" s="68"/>
      <c r="C1628" s="68"/>
      <c r="D1628" s="68"/>
      <c r="E1628" s="68"/>
      <c r="F1628" s="68"/>
      <c r="G1628" s="68"/>
      <c r="H1628" s="68"/>
      <c r="I1628" s="68"/>
      <c r="J1628" s="68"/>
      <c r="K1628" s="68"/>
      <c r="L1628" s="56"/>
      <c r="M1628" s="26"/>
      <c r="N1628" s="26"/>
      <c r="O1628" s="68"/>
      <c r="P1628" s="1"/>
      <c r="Q1628" s="8"/>
      <c r="R1628" s="66"/>
      <c r="S1628" s="1"/>
      <c r="T1628" s="66"/>
      <c r="U1628" s="8"/>
      <c r="V1628" s="56"/>
      <c r="W1628" s="1"/>
      <c r="X1628" s="1"/>
      <c r="Y1628" s="1"/>
    </row>
    <row r="1629" spans="1:25">
      <c r="A1629" s="57"/>
      <c r="B1629" s="68"/>
      <c r="C1629" s="68"/>
      <c r="D1629" s="68"/>
      <c r="E1629" s="68"/>
      <c r="F1629" s="68"/>
      <c r="G1629" s="68"/>
      <c r="H1629" s="68"/>
      <c r="I1629" s="68"/>
      <c r="J1629" s="68"/>
      <c r="K1629" s="68"/>
      <c r="L1629" s="56"/>
      <c r="M1629" s="26"/>
      <c r="N1629" s="26"/>
      <c r="O1629" s="68"/>
      <c r="P1629" s="1"/>
      <c r="Q1629" s="8"/>
      <c r="R1629" s="66"/>
      <c r="S1629" s="1"/>
      <c r="T1629" s="66"/>
      <c r="U1629" s="8"/>
      <c r="V1629" s="56"/>
      <c r="W1629" s="1"/>
      <c r="X1629" s="1"/>
      <c r="Y1629" s="1"/>
    </row>
    <row r="1630" spans="1:25">
      <c r="A1630" s="57"/>
      <c r="B1630" s="68"/>
      <c r="C1630" s="68"/>
      <c r="D1630" s="68"/>
      <c r="E1630" s="68"/>
      <c r="F1630" s="68"/>
      <c r="G1630" s="68"/>
      <c r="H1630" s="68"/>
      <c r="I1630" s="68"/>
      <c r="J1630" s="68"/>
      <c r="K1630" s="68"/>
      <c r="L1630" s="56"/>
      <c r="M1630" s="26"/>
      <c r="N1630" s="26"/>
      <c r="O1630" s="68"/>
      <c r="P1630" s="1"/>
      <c r="Q1630" s="8"/>
      <c r="R1630" s="66"/>
      <c r="S1630" s="1"/>
      <c r="T1630" s="66"/>
      <c r="U1630" s="8"/>
      <c r="V1630" s="56"/>
      <c r="W1630" s="1"/>
      <c r="X1630" s="1"/>
      <c r="Y1630" s="1"/>
    </row>
    <row r="1631" spans="1:25">
      <c r="A1631" s="57"/>
      <c r="B1631" s="68"/>
      <c r="C1631" s="68"/>
      <c r="D1631" s="68"/>
      <c r="E1631" s="68"/>
      <c r="F1631" s="68"/>
      <c r="G1631" s="68"/>
      <c r="H1631" s="68"/>
      <c r="I1631" s="68"/>
      <c r="J1631" s="68"/>
      <c r="K1631" s="68"/>
      <c r="L1631" s="56"/>
      <c r="M1631" s="26"/>
      <c r="N1631" s="26"/>
      <c r="O1631" s="68"/>
      <c r="P1631" s="1"/>
      <c r="Q1631" s="8"/>
      <c r="R1631" s="66"/>
      <c r="S1631" s="1"/>
      <c r="T1631" s="66"/>
      <c r="U1631" s="8"/>
      <c r="V1631" s="56"/>
      <c r="W1631" s="1"/>
      <c r="X1631" s="1"/>
      <c r="Y1631" s="1"/>
    </row>
    <row r="1632" spans="1:25">
      <c r="A1632" s="57"/>
      <c r="B1632" s="68"/>
      <c r="C1632" s="68"/>
      <c r="D1632" s="68"/>
      <c r="E1632" s="68"/>
      <c r="F1632" s="68"/>
      <c r="G1632" s="68"/>
      <c r="H1632" s="68"/>
      <c r="I1632" s="68"/>
      <c r="J1632" s="68"/>
      <c r="K1632" s="68"/>
      <c r="L1632" s="56"/>
      <c r="M1632" s="26"/>
      <c r="N1632" s="26"/>
      <c r="O1632" s="68"/>
      <c r="P1632" s="1"/>
      <c r="Q1632" s="8"/>
      <c r="R1632" s="66"/>
      <c r="S1632" s="1"/>
      <c r="T1632" s="66"/>
      <c r="U1632" s="8"/>
      <c r="V1632" s="56"/>
      <c r="W1632" s="1"/>
      <c r="X1632" s="1"/>
      <c r="Y1632" s="1"/>
    </row>
    <row r="1633" spans="1:25">
      <c r="A1633" s="57"/>
      <c r="B1633" s="68"/>
      <c r="C1633" s="68"/>
      <c r="D1633" s="68"/>
      <c r="E1633" s="68"/>
      <c r="F1633" s="68"/>
      <c r="G1633" s="68"/>
      <c r="H1633" s="68"/>
      <c r="I1633" s="68"/>
      <c r="J1633" s="68"/>
      <c r="K1633" s="68"/>
      <c r="L1633" s="56"/>
      <c r="M1633" s="26"/>
      <c r="N1633" s="26"/>
      <c r="O1633" s="68"/>
      <c r="P1633" s="1"/>
      <c r="Q1633" s="8"/>
      <c r="R1633" s="66"/>
      <c r="S1633" s="1"/>
      <c r="T1633" s="66"/>
      <c r="U1633" s="8"/>
      <c r="V1633" s="56"/>
      <c r="W1633" s="1"/>
      <c r="X1633" s="1"/>
      <c r="Y1633" s="1"/>
    </row>
    <row r="1634" spans="1:25">
      <c r="A1634" s="57"/>
      <c r="B1634" s="68"/>
      <c r="C1634" s="68"/>
      <c r="D1634" s="68"/>
      <c r="E1634" s="68"/>
      <c r="F1634" s="68"/>
      <c r="G1634" s="68"/>
      <c r="H1634" s="68"/>
      <c r="I1634" s="68"/>
      <c r="J1634" s="68"/>
      <c r="K1634" s="68"/>
      <c r="L1634" s="56"/>
      <c r="M1634" s="26"/>
      <c r="N1634" s="26"/>
      <c r="O1634" s="68"/>
      <c r="P1634" s="1"/>
      <c r="Q1634" s="8"/>
      <c r="R1634" s="66"/>
      <c r="S1634" s="1"/>
      <c r="T1634" s="66"/>
      <c r="U1634" s="8"/>
      <c r="V1634" s="56"/>
      <c r="W1634" s="1"/>
      <c r="X1634" s="1"/>
      <c r="Y1634" s="1"/>
    </row>
    <row r="1635" spans="1:25">
      <c r="A1635" s="57"/>
      <c r="B1635" s="68"/>
      <c r="C1635" s="68"/>
      <c r="D1635" s="68"/>
      <c r="E1635" s="68"/>
      <c r="F1635" s="68"/>
      <c r="G1635" s="68"/>
      <c r="H1635" s="68"/>
      <c r="I1635" s="68"/>
      <c r="J1635" s="68"/>
      <c r="K1635" s="68"/>
      <c r="L1635" s="56"/>
      <c r="M1635" s="26"/>
      <c r="N1635" s="26"/>
      <c r="O1635" s="68"/>
      <c r="P1635" s="1"/>
      <c r="Q1635" s="8"/>
      <c r="R1635" s="66"/>
      <c r="S1635" s="1"/>
      <c r="T1635" s="66"/>
      <c r="U1635" s="8"/>
      <c r="V1635" s="56"/>
      <c r="W1635" s="1"/>
      <c r="X1635" s="1"/>
      <c r="Y1635" s="1"/>
    </row>
    <row r="1636" spans="1:25">
      <c r="A1636" s="57"/>
      <c r="B1636" s="68"/>
      <c r="C1636" s="68"/>
      <c r="D1636" s="68"/>
      <c r="E1636" s="68"/>
      <c r="F1636" s="68"/>
      <c r="G1636" s="68"/>
      <c r="H1636" s="68"/>
      <c r="I1636" s="68"/>
      <c r="J1636" s="68"/>
      <c r="K1636" s="68"/>
      <c r="L1636" s="56"/>
      <c r="M1636" s="26"/>
      <c r="N1636" s="26"/>
      <c r="O1636" s="68"/>
      <c r="P1636" s="1"/>
      <c r="Q1636" s="8"/>
      <c r="R1636" s="66"/>
      <c r="S1636" s="1"/>
      <c r="T1636" s="66"/>
      <c r="U1636" s="8"/>
      <c r="V1636" s="56"/>
      <c r="W1636" s="1"/>
      <c r="X1636" s="1"/>
      <c r="Y1636" s="1"/>
    </row>
    <row r="1637" spans="1:25">
      <c r="A1637" s="57"/>
      <c r="B1637" s="68"/>
      <c r="C1637" s="68"/>
      <c r="D1637" s="68"/>
      <c r="E1637" s="68"/>
      <c r="F1637" s="68"/>
      <c r="G1637" s="68"/>
      <c r="H1637" s="68"/>
      <c r="I1637" s="68"/>
      <c r="J1637" s="68"/>
      <c r="K1637" s="68"/>
      <c r="L1637" s="56"/>
      <c r="M1637" s="26"/>
      <c r="N1637" s="26"/>
      <c r="O1637" s="68"/>
      <c r="P1637" s="1"/>
      <c r="Q1637" s="8"/>
      <c r="R1637" s="66"/>
      <c r="S1637" s="1"/>
      <c r="T1637" s="66"/>
      <c r="U1637" s="8"/>
      <c r="V1637" s="56"/>
      <c r="W1637" s="1"/>
      <c r="X1637" s="1"/>
      <c r="Y1637" s="1"/>
    </row>
    <row r="1638" spans="1:25">
      <c r="A1638" s="57"/>
      <c r="B1638" s="68"/>
      <c r="C1638" s="68"/>
      <c r="D1638" s="68"/>
      <c r="E1638" s="68"/>
      <c r="F1638" s="68"/>
      <c r="G1638" s="68"/>
      <c r="H1638" s="68"/>
      <c r="I1638" s="68"/>
      <c r="J1638" s="68"/>
      <c r="K1638" s="68"/>
      <c r="L1638" s="56"/>
      <c r="M1638" s="26"/>
      <c r="N1638" s="26"/>
      <c r="O1638" s="68"/>
      <c r="P1638" s="1"/>
      <c r="Q1638" s="8"/>
      <c r="R1638" s="66"/>
      <c r="S1638" s="1"/>
      <c r="T1638" s="66"/>
      <c r="U1638" s="8"/>
      <c r="V1638" s="56"/>
      <c r="W1638" s="1"/>
      <c r="X1638" s="1"/>
      <c r="Y1638" s="1"/>
    </row>
    <row r="1639" spans="1:25">
      <c r="A1639" s="57"/>
      <c r="B1639" s="68"/>
      <c r="C1639" s="68"/>
      <c r="D1639" s="68"/>
      <c r="E1639" s="68"/>
      <c r="F1639" s="68"/>
      <c r="G1639" s="68"/>
      <c r="H1639" s="68"/>
      <c r="I1639" s="68"/>
      <c r="J1639" s="68"/>
      <c r="K1639" s="68"/>
      <c r="L1639" s="56"/>
      <c r="M1639" s="26"/>
      <c r="N1639" s="26"/>
      <c r="O1639" s="68"/>
      <c r="P1639" s="1"/>
      <c r="Q1639" s="8"/>
      <c r="R1639" s="66"/>
      <c r="S1639" s="1"/>
      <c r="T1639" s="66"/>
      <c r="U1639" s="8"/>
      <c r="V1639" s="56"/>
      <c r="W1639" s="1"/>
      <c r="X1639" s="1"/>
      <c r="Y1639" s="1"/>
    </row>
    <row r="1640" spans="1:25">
      <c r="A1640" s="57"/>
      <c r="B1640" s="68"/>
      <c r="C1640" s="68"/>
      <c r="D1640" s="68"/>
      <c r="E1640" s="68"/>
      <c r="F1640" s="68"/>
      <c r="G1640" s="68"/>
      <c r="H1640" s="68"/>
      <c r="I1640" s="68"/>
      <c r="J1640" s="68"/>
      <c r="K1640" s="68"/>
      <c r="L1640" s="56"/>
      <c r="M1640" s="26"/>
      <c r="N1640" s="26"/>
      <c r="O1640" s="68"/>
      <c r="P1640" s="1"/>
      <c r="Q1640" s="8"/>
      <c r="R1640" s="66"/>
      <c r="S1640" s="1"/>
      <c r="T1640" s="66"/>
      <c r="U1640" s="8"/>
      <c r="V1640" s="56"/>
      <c r="W1640" s="1"/>
      <c r="X1640" s="1"/>
      <c r="Y1640" s="1"/>
    </row>
    <row r="1641" spans="1:25">
      <c r="A1641" s="57"/>
      <c r="B1641" s="68"/>
      <c r="C1641" s="68"/>
      <c r="D1641" s="68"/>
      <c r="E1641" s="68"/>
      <c r="F1641" s="68"/>
      <c r="G1641" s="68"/>
      <c r="H1641" s="68"/>
      <c r="I1641" s="68"/>
      <c r="J1641" s="68"/>
      <c r="K1641" s="68"/>
      <c r="L1641" s="56"/>
      <c r="M1641" s="26"/>
      <c r="N1641" s="26"/>
      <c r="O1641" s="68"/>
      <c r="P1641" s="1"/>
      <c r="Q1641" s="8"/>
      <c r="R1641" s="66"/>
      <c r="S1641" s="1"/>
      <c r="T1641" s="66"/>
      <c r="U1641" s="8"/>
      <c r="V1641" s="56"/>
      <c r="W1641" s="1"/>
      <c r="X1641" s="1"/>
      <c r="Y1641" s="1"/>
    </row>
    <row r="1642" spans="1:25">
      <c r="A1642" s="57"/>
      <c r="B1642" s="68"/>
      <c r="C1642" s="68"/>
      <c r="D1642" s="68"/>
      <c r="E1642" s="68"/>
      <c r="F1642" s="68"/>
      <c r="G1642" s="68"/>
      <c r="H1642" s="68"/>
      <c r="I1642" s="68"/>
      <c r="J1642" s="68"/>
      <c r="K1642" s="68"/>
      <c r="L1642" s="56"/>
      <c r="M1642" s="26"/>
      <c r="N1642" s="26"/>
      <c r="O1642" s="68"/>
      <c r="P1642" s="1"/>
      <c r="Q1642" s="8"/>
      <c r="R1642" s="66"/>
      <c r="S1642" s="1"/>
      <c r="T1642" s="66"/>
      <c r="U1642" s="8"/>
      <c r="V1642" s="56"/>
      <c r="W1642" s="1"/>
      <c r="X1642" s="1"/>
      <c r="Y1642" s="1"/>
    </row>
    <row r="1643" spans="1:25">
      <c r="A1643" s="57"/>
      <c r="B1643" s="68"/>
      <c r="C1643" s="68"/>
      <c r="D1643" s="68"/>
      <c r="E1643" s="68"/>
      <c r="F1643" s="68"/>
      <c r="G1643" s="68"/>
      <c r="H1643" s="68"/>
      <c r="I1643" s="68"/>
      <c r="J1643" s="68"/>
      <c r="K1643" s="68"/>
      <c r="L1643" s="56"/>
      <c r="M1643" s="26"/>
      <c r="N1643" s="26"/>
      <c r="O1643" s="68"/>
      <c r="P1643" s="1"/>
      <c r="Q1643" s="8"/>
      <c r="R1643" s="66"/>
      <c r="S1643" s="1"/>
      <c r="T1643" s="66"/>
      <c r="U1643" s="8"/>
      <c r="V1643" s="56"/>
      <c r="W1643" s="1"/>
      <c r="X1643" s="1"/>
      <c r="Y1643" s="1"/>
    </row>
    <row r="1644" spans="1:25">
      <c r="A1644" s="57"/>
      <c r="B1644" s="68"/>
      <c r="C1644" s="68"/>
      <c r="D1644" s="68"/>
      <c r="E1644" s="68"/>
      <c r="F1644" s="68"/>
      <c r="G1644" s="68"/>
      <c r="H1644" s="68"/>
      <c r="I1644" s="68"/>
      <c r="J1644" s="68"/>
      <c r="K1644" s="68"/>
      <c r="L1644" s="56"/>
      <c r="M1644" s="26"/>
      <c r="N1644" s="26"/>
      <c r="O1644" s="68"/>
      <c r="P1644" s="1"/>
      <c r="Q1644" s="8"/>
      <c r="R1644" s="66"/>
      <c r="S1644" s="1"/>
      <c r="T1644" s="66"/>
      <c r="U1644" s="8"/>
      <c r="V1644" s="56"/>
      <c r="W1644" s="1"/>
      <c r="X1644" s="1"/>
      <c r="Y1644" s="1"/>
    </row>
    <row r="1645" spans="1:25">
      <c r="A1645" s="57"/>
      <c r="B1645" s="68"/>
      <c r="C1645" s="68"/>
      <c r="D1645" s="68"/>
      <c r="E1645" s="68"/>
      <c r="F1645" s="68"/>
      <c r="G1645" s="68"/>
      <c r="H1645" s="68"/>
      <c r="I1645" s="68"/>
      <c r="J1645" s="68"/>
      <c r="K1645" s="68"/>
      <c r="L1645" s="56"/>
      <c r="M1645" s="26"/>
      <c r="N1645" s="26"/>
      <c r="O1645" s="68"/>
      <c r="P1645" s="1"/>
      <c r="Q1645" s="8"/>
      <c r="R1645" s="66"/>
      <c r="S1645" s="1"/>
      <c r="T1645" s="66"/>
      <c r="U1645" s="8"/>
      <c r="V1645" s="56"/>
      <c r="W1645" s="1"/>
      <c r="X1645" s="1"/>
      <c r="Y1645" s="1"/>
    </row>
    <row r="1646" spans="1:25">
      <c r="A1646" s="57"/>
      <c r="B1646" s="68"/>
      <c r="C1646" s="68"/>
      <c r="D1646" s="68"/>
      <c r="E1646" s="68"/>
      <c r="F1646" s="68"/>
      <c r="G1646" s="68"/>
      <c r="H1646" s="68"/>
      <c r="I1646" s="68"/>
      <c r="J1646" s="68"/>
      <c r="K1646" s="68"/>
      <c r="L1646" s="56"/>
      <c r="M1646" s="26"/>
      <c r="N1646" s="26"/>
      <c r="O1646" s="68"/>
      <c r="P1646" s="1"/>
      <c r="Q1646" s="8"/>
      <c r="R1646" s="66"/>
      <c r="S1646" s="1"/>
      <c r="T1646" s="66"/>
      <c r="U1646" s="8"/>
      <c r="V1646" s="56"/>
      <c r="W1646" s="1"/>
      <c r="X1646" s="1"/>
      <c r="Y1646" s="1"/>
    </row>
    <row r="1647" spans="1:25">
      <c r="A1647" s="57"/>
      <c r="B1647" s="68"/>
      <c r="C1647" s="68"/>
      <c r="D1647" s="68"/>
      <c r="E1647" s="68"/>
      <c r="F1647" s="68"/>
      <c r="G1647" s="68"/>
      <c r="H1647" s="68"/>
      <c r="I1647" s="68"/>
      <c r="J1647" s="68"/>
      <c r="K1647" s="68"/>
      <c r="L1647" s="56"/>
      <c r="M1647" s="26"/>
      <c r="N1647" s="26"/>
      <c r="O1647" s="68"/>
      <c r="P1647" s="1"/>
      <c r="Q1647" s="8"/>
      <c r="R1647" s="66"/>
      <c r="S1647" s="1"/>
      <c r="T1647" s="66"/>
      <c r="U1647" s="8"/>
      <c r="V1647" s="56"/>
      <c r="W1647" s="1"/>
      <c r="X1647" s="1"/>
      <c r="Y1647" s="1"/>
    </row>
    <row r="1648" spans="1:25">
      <c r="A1648" s="57"/>
      <c r="B1648" s="68"/>
      <c r="C1648" s="68"/>
      <c r="D1648" s="68"/>
      <c r="E1648" s="68"/>
      <c r="F1648" s="68"/>
      <c r="G1648" s="68"/>
      <c r="H1648" s="68"/>
      <c r="I1648" s="68"/>
      <c r="J1648" s="68"/>
      <c r="K1648" s="68"/>
      <c r="L1648" s="56"/>
      <c r="M1648" s="26"/>
      <c r="N1648" s="26"/>
      <c r="O1648" s="68"/>
      <c r="P1648" s="1"/>
      <c r="Q1648" s="8"/>
      <c r="R1648" s="66"/>
      <c r="S1648" s="1"/>
      <c r="T1648" s="66"/>
      <c r="U1648" s="8"/>
      <c r="V1648" s="56"/>
      <c r="W1648" s="1"/>
      <c r="X1648" s="1"/>
      <c r="Y1648" s="1"/>
    </row>
    <row r="1649" spans="1:25">
      <c r="A1649" s="57"/>
      <c r="B1649" s="68"/>
      <c r="C1649" s="68"/>
      <c r="D1649" s="68"/>
      <c r="E1649" s="68"/>
      <c r="F1649" s="68"/>
      <c r="G1649" s="68"/>
      <c r="H1649" s="68"/>
      <c r="I1649" s="68"/>
      <c r="J1649" s="68"/>
      <c r="K1649" s="68"/>
      <c r="L1649" s="56"/>
      <c r="M1649" s="26"/>
      <c r="N1649" s="26"/>
      <c r="O1649" s="68"/>
      <c r="P1649" s="1"/>
      <c r="Q1649" s="8"/>
      <c r="R1649" s="66"/>
      <c r="S1649" s="1"/>
      <c r="T1649" s="66"/>
      <c r="U1649" s="8"/>
      <c r="V1649" s="56"/>
      <c r="W1649" s="1"/>
      <c r="X1649" s="1"/>
      <c r="Y1649" s="1"/>
    </row>
    <row r="1650" spans="1:25">
      <c r="A1650" s="57"/>
      <c r="B1650" s="68"/>
      <c r="C1650" s="68"/>
      <c r="D1650" s="68"/>
      <c r="E1650" s="68"/>
      <c r="F1650" s="68"/>
      <c r="G1650" s="68"/>
      <c r="H1650" s="68"/>
      <c r="I1650" s="68"/>
      <c r="J1650" s="68"/>
      <c r="K1650" s="68"/>
      <c r="L1650" s="56"/>
      <c r="M1650" s="26"/>
      <c r="N1650" s="26"/>
      <c r="O1650" s="68"/>
      <c r="P1650" s="1"/>
      <c r="Q1650" s="8"/>
      <c r="R1650" s="66"/>
      <c r="S1650" s="1"/>
      <c r="T1650" s="66"/>
      <c r="U1650" s="8"/>
      <c r="V1650" s="56"/>
      <c r="W1650" s="1"/>
      <c r="X1650" s="1"/>
      <c r="Y1650" s="1"/>
    </row>
    <row r="1651" spans="1:25">
      <c r="A1651" s="57"/>
      <c r="B1651" s="68"/>
      <c r="C1651" s="68"/>
      <c r="D1651" s="68"/>
      <c r="E1651" s="68"/>
      <c r="F1651" s="68"/>
      <c r="G1651" s="68"/>
      <c r="H1651" s="68"/>
      <c r="I1651" s="68"/>
      <c r="J1651" s="68"/>
      <c r="K1651" s="68"/>
      <c r="L1651" s="56"/>
      <c r="M1651" s="26"/>
      <c r="N1651" s="26"/>
      <c r="O1651" s="68"/>
      <c r="P1651" s="1"/>
      <c r="Q1651" s="8"/>
      <c r="R1651" s="66"/>
      <c r="S1651" s="1"/>
      <c r="T1651" s="66"/>
      <c r="U1651" s="8"/>
      <c r="V1651" s="56"/>
      <c r="W1651" s="1"/>
      <c r="X1651" s="1"/>
      <c r="Y1651" s="1"/>
    </row>
    <row r="1652" spans="1:25">
      <c r="A1652" s="57"/>
      <c r="B1652" s="68"/>
      <c r="C1652" s="68"/>
      <c r="D1652" s="68"/>
      <c r="E1652" s="68"/>
      <c r="F1652" s="68"/>
      <c r="G1652" s="68"/>
      <c r="H1652" s="68"/>
      <c r="I1652" s="68"/>
      <c r="J1652" s="68"/>
      <c r="K1652" s="68"/>
      <c r="L1652" s="56"/>
      <c r="M1652" s="26"/>
      <c r="N1652" s="26"/>
      <c r="O1652" s="68"/>
      <c r="P1652" s="1"/>
      <c r="Q1652" s="8"/>
      <c r="R1652" s="66"/>
      <c r="S1652" s="1"/>
      <c r="T1652" s="66"/>
      <c r="U1652" s="8"/>
      <c r="V1652" s="56"/>
      <c r="W1652" s="1"/>
      <c r="X1652" s="1"/>
      <c r="Y1652" s="1"/>
    </row>
    <row r="1653" spans="1:25">
      <c r="A1653" s="57"/>
      <c r="B1653" s="68"/>
      <c r="C1653" s="68"/>
      <c r="D1653" s="68"/>
      <c r="E1653" s="68"/>
      <c r="F1653" s="68"/>
      <c r="G1653" s="68"/>
      <c r="H1653" s="68"/>
      <c r="I1653" s="68"/>
      <c r="J1653" s="68"/>
      <c r="K1653" s="68"/>
      <c r="L1653" s="56"/>
      <c r="M1653" s="26"/>
      <c r="N1653" s="26"/>
      <c r="O1653" s="68"/>
      <c r="P1653" s="1"/>
      <c r="Q1653" s="8"/>
      <c r="R1653" s="66"/>
      <c r="S1653" s="1"/>
      <c r="T1653" s="66"/>
      <c r="U1653" s="8"/>
      <c r="V1653" s="56"/>
      <c r="W1653" s="1"/>
      <c r="X1653" s="1"/>
      <c r="Y1653" s="1"/>
    </row>
    <row r="1654" spans="1:25">
      <c r="A1654" s="57"/>
      <c r="B1654" s="68"/>
      <c r="C1654" s="68"/>
      <c r="D1654" s="68"/>
      <c r="E1654" s="68"/>
      <c r="F1654" s="68"/>
      <c r="G1654" s="68"/>
      <c r="H1654" s="68"/>
      <c r="I1654" s="68"/>
      <c r="J1654" s="68"/>
      <c r="K1654" s="68"/>
      <c r="L1654" s="56"/>
      <c r="M1654" s="26"/>
      <c r="N1654" s="26"/>
      <c r="O1654" s="68"/>
      <c r="P1654" s="1"/>
      <c r="Q1654" s="8"/>
      <c r="R1654" s="66"/>
      <c r="S1654" s="1"/>
      <c r="T1654" s="66"/>
      <c r="U1654" s="8"/>
      <c r="V1654" s="56"/>
      <c r="W1654" s="1"/>
      <c r="X1654" s="1"/>
      <c r="Y1654" s="1"/>
    </row>
    <row r="1655" spans="1:25">
      <c r="A1655" s="57"/>
      <c r="B1655" s="68"/>
      <c r="C1655" s="68"/>
      <c r="D1655" s="68"/>
      <c r="E1655" s="68"/>
      <c r="F1655" s="68"/>
      <c r="G1655" s="68"/>
      <c r="H1655" s="68"/>
      <c r="I1655" s="68"/>
      <c r="J1655" s="68"/>
      <c r="K1655" s="68"/>
      <c r="L1655" s="56"/>
      <c r="M1655" s="26"/>
      <c r="N1655" s="26"/>
      <c r="O1655" s="68"/>
      <c r="P1655" s="1"/>
      <c r="Q1655" s="8"/>
      <c r="R1655" s="66"/>
      <c r="S1655" s="1"/>
      <c r="T1655" s="66"/>
      <c r="U1655" s="8"/>
      <c r="V1655" s="56"/>
      <c r="W1655" s="1"/>
      <c r="X1655" s="1"/>
      <c r="Y1655" s="1"/>
    </row>
    <row r="1656" spans="1:25">
      <c r="A1656" s="57"/>
      <c r="B1656" s="68"/>
      <c r="C1656" s="68"/>
      <c r="D1656" s="68"/>
      <c r="E1656" s="68"/>
      <c r="F1656" s="68"/>
      <c r="G1656" s="68"/>
      <c r="H1656" s="68"/>
      <c r="I1656" s="68"/>
      <c r="J1656" s="68"/>
      <c r="K1656" s="68"/>
      <c r="L1656" s="56"/>
      <c r="M1656" s="26"/>
      <c r="N1656" s="26"/>
      <c r="O1656" s="68"/>
      <c r="P1656" s="1"/>
      <c r="Q1656" s="8"/>
      <c r="R1656" s="66"/>
      <c r="S1656" s="1"/>
      <c r="T1656" s="66"/>
      <c r="U1656" s="8"/>
      <c r="V1656" s="56"/>
      <c r="W1656" s="1"/>
      <c r="X1656" s="1"/>
      <c r="Y1656" s="1"/>
    </row>
    <row r="1657" spans="1:25">
      <c r="A1657" s="57"/>
      <c r="B1657" s="68"/>
      <c r="C1657" s="68"/>
      <c r="D1657" s="68"/>
      <c r="E1657" s="68"/>
      <c r="F1657" s="68"/>
      <c r="G1657" s="68"/>
      <c r="H1657" s="68"/>
      <c r="I1657" s="68"/>
      <c r="J1657" s="68"/>
      <c r="K1657" s="68"/>
      <c r="L1657" s="56"/>
      <c r="M1657" s="26"/>
      <c r="N1657" s="26"/>
      <c r="O1657" s="68"/>
      <c r="P1657" s="1"/>
      <c r="Q1657" s="8"/>
      <c r="R1657" s="66"/>
      <c r="S1657" s="1"/>
      <c r="T1657" s="66"/>
      <c r="U1657" s="8"/>
      <c r="V1657" s="56"/>
      <c r="W1657" s="1"/>
      <c r="X1657" s="1"/>
      <c r="Y1657" s="1"/>
    </row>
    <row r="1658" spans="1:25">
      <c r="A1658" s="57"/>
      <c r="B1658" s="68"/>
      <c r="C1658" s="68"/>
      <c r="D1658" s="68"/>
      <c r="E1658" s="68"/>
      <c r="F1658" s="68"/>
      <c r="G1658" s="68"/>
      <c r="H1658" s="68"/>
      <c r="I1658" s="68"/>
      <c r="J1658" s="68"/>
      <c r="K1658" s="68"/>
      <c r="L1658" s="56"/>
      <c r="M1658" s="26"/>
      <c r="N1658" s="26"/>
      <c r="O1658" s="68"/>
      <c r="P1658" s="1"/>
      <c r="Q1658" s="8"/>
      <c r="R1658" s="66"/>
      <c r="S1658" s="1"/>
      <c r="T1658" s="66"/>
      <c r="U1658" s="8"/>
      <c r="V1658" s="56"/>
      <c r="W1658" s="1"/>
      <c r="X1658" s="1"/>
      <c r="Y1658" s="1"/>
    </row>
    <row r="1659" spans="1:25">
      <c r="A1659" s="57"/>
      <c r="B1659" s="68"/>
      <c r="C1659" s="68"/>
      <c r="D1659" s="68"/>
      <c r="E1659" s="68"/>
      <c r="F1659" s="68"/>
      <c r="G1659" s="68"/>
      <c r="H1659" s="68"/>
      <c r="I1659" s="68"/>
      <c r="J1659" s="68"/>
      <c r="K1659" s="68"/>
      <c r="L1659" s="56"/>
      <c r="M1659" s="26"/>
      <c r="N1659" s="26"/>
      <c r="O1659" s="68"/>
      <c r="P1659" s="1"/>
      <c r="Q1659" s="8"/>
      <c r="R1659" s="66"/>
      <c r="S1659" s="1"/>
      <c r="T1659" s="66"/>
      <c r="U1659" s="8"/>
      <c r="V1659" s="56"/>
      <c r="W1659" s="1"/>
      <c r="X1659" s="1"/>
      <c r="Y1659" s="1"/>
    </row>
    <row r="1660" spans="1:25">
      <c r="A1660" s="57"/>
      <c r="B1660" s="68"/>
      <c r="C1660" s="68"/>
      <c r="D1660" s="68"/>
      <c r="E1660" s="68"/>
      <c r="F1660" s="68"/>
      <c r="G1660" s="68"/>
      <c r="H1660" s="68"/>
      <c r="I1660" s="68"/>
      <c r="J1660" s="68"/>
      <c r="K1660" s="68"/>
      <c r="L1660" s="56"/>
      <c r="M1660" s="26"/>
      <c r="N1660" s="26"/>
      <c r="O1660" s="68"/>
      <c r="P1660" s="1"/>
      <c r="Q1660" s="8"/>
      <c r="R1660" s="66"/>
      <c r="S1660" s="1"/>
      <c r="T1660" s="66"/>
      <c r="U1660" s="8"/>
      <c r="V1660" s="56"/>
      <c r="W1660" s="1"/>
      <c r="X1660" s="1"/>
      <c r="Y1660" s="1"/>
    </row>
    <row r="1661" spans="1:25">
      <c r="A1661" s="57"/>
      <c r="B1661" s="68"/>
      <c r="C1661" s="68"/>
      <c r="D1661" s="68"/>
      <c r="E1661" s="68"/>
      <c r="F1661" s="68"/>
      <c r="G1661" s="68"/>
      <c r="H1661" s="68"/>
      <c r="I1661" s="68"/>
      <c r="J1661" s="68"/>
      <c r="K1661" s="68"/>
      <c r="L1661" s="56"/>
      <c r="M1661" s="26"/>
      <c r="N1661" s="26"/>
      <c r="O1661" s="68"/>
      <c r="P1661" s="1"/>
      <c r="Q1661" s="8"/>
      <c r="R1661" s="66"/>
      <c r="S1661" s="1"/>
      <c r="T1661" s="66"/>
      <c r="U1661" s="8"/>
      <c r="V1661" s="56"/>
      <c r="W1661" s="1"/>
      <c r="X1661" s="1"/>
      <c r="Y1661" s="1"/>
    </row>
    <row r="1662" spans="1:25">
      <c r="A1662" s="57"/>
      <c r="B1662" s="68"/>
      <c r="C1662" s="68"/>
      <c r="D1662" s="68"/>
      <c r="E1662" s="68"/>
      <c r="F1662" s="68"/>
      <c r="G1662" s="68"/>
      <c r="H1662" s="68"/>
      <c r="I1662" s="68"/>
      <c r="J1662" s="68"/>
      <c r="K1662" s="68"/>
      <c r="L1662" s="56"/>
      <c r="M1662" s="26"/>
      <c r="N1662" s="26"/>
      <c r="O1662" s="68"/>
      <c r="P1662" s="1"/>
      <c r="Q1662" s="8"/>
      <c r="R1662" s="66"/>
      <c r="S1662" s="1"/>
      <c r="T1662" s="66"/>
      <c r="U1662" s="8"/>
      <c r="V1662" s="56"/>
      <c r="W1662" s="1"/>
      <c r="X1662" s="1"/>
      <c r="Y1662" s="1"/>
    </row>
    <row r="1663" spans="1:25">
      <c r="A1663" s="57"/>
      <c r="B1663" s="68"/>
      <c r="C1663" s="68"/>
      <c r="D1663" s="68"/>
      <c r="E1663" s="68"/>
      <c r="F1663" s="68"/>
      <c r="G1663" s="68"/>
      <c r="H1663" s="68"/>
      <c r="I1663" s="68"/>
      <c r="J1663" s="68"/>
      <c r="K1663" s="68"/>
      <c r="L1663" s="56"/>
      <c r="M1663" s="26"/>
      <c r="N1663" s="26"/>
      <c r="O1663" s="68"/>
      <c r="P1663" s="1"/>
      <c r="Q1663" s="8"/>
      <c r="R1663" s="66"/>
      <c r="S1663" s="1"/>
      <c r="T1663" s="66"/>
      <c r="U1663" s="8"/>
      <c r="V1663" s="56"/>
      <c r="W1663" s="1"/>
      <c r="X1663" s="1"/>
      <c r="Y1663" s="1"/>
    </row>
    <row r="1664" spans="1:25">
      <c r="A1664" s="57"/>
      <c r="B1664" s="68"/>
      <c r="C1664" s="68"/>
      <c r="D1664" s="68"/>
      <c r="E1664" s="68"/>
      <c r="F1664" s="68"/>
      <c r="G1664" s="68"/>
      <c r="H1664" s="68"/>
      <c r="I1664" s="68"/>
      <c r="J1664" s="68"/>
      <c r="K1664" s="68"/>
      <c r="L1664" s="56"/>
      <c r="M1664" s="26"/>
      <c r="N1664" s="26"/>
      <c r="O1664" s="68"/>
      <c r="P1664" s="1"/>
      <c r="Q1664" s="8"/>
      <c r="R1664" s="66"/>
      <c r="S1664" s="1"/>
      <c r="T1664" s="66"/>
      <c r="U1664" s="8"/>
      <c r="V1664" s="56"/>
      <c r="W1664" s="1"/>
      <c r="X1664" s="1"/>
      <c r="Y1664" s="1"/>
    </row>
    <row r="1665" spans="1:25">
      <c r="A1665" s="57"/>
      <c r="B1665" s="68"/>
      <c r="C1665" s="68"/>
      <c r="D1665" s="68"/>
      <c r="E1665" s="68"/>
      <c r="F1665" s="68"/>
      <c r="G1665" s="68"/>
      <c r="H1665" s="68"/>
      <c r="I1665" s="68"/>
      <c r="J1665" s="68"/>
      <c r="K1665" s="68"/>
      <c r="L1665" s="56"/>
      <c r="M1665" s="26"/>
      <c r="N1665" s="26"/>
      <c r="O1665" s="68"/>
      <c r="P1665" s="1"/>
      <c r="Q1665" s="8"/>
      <c r="R1665" s="66"/>
      <c r="S1665" s="1"/>
      <c r="T1665" s="66"/>
      <c r="U1665" s="8"/>
      <c r="V1665" s="56"/>
      <c r="W1665" s="1"/>
      <c r="X1665" s="1"/>
      <c r="Y1665" s="1"/>
    </row>
    <row r="1666" spans="1:25">
      <c r="A1666" s="57"/>
      <c r="B1666" s="68"/>
      <c r="C1666" s="68"/>
      <c r="D1666" s="68"/>
      <c r="E1666" s="68"/>
      <c r="F1666" s="68"/>
      <c r="G1666" s="68"/>
      <c r="H1666" s="68"/>
      <c r="I1666" s="68"/>
      <c r="J1666" s="68"/>
      <c r="K1666" s="68"/>
      <c r="L1666" s="56"/>
      <c r="M1666" s="26"/>
      <c r="N1666" s="26"/>
      <c r="O1666" s="68"/>
      <c r="P1666" s="1"/>
      <c r="Q1666" s="8"/>
      <c r="R1666" s="66"/>
      <c r="S1666" s="1"/>
      <c r="T1666" s="66"/>
      <c r="U1666" s="8"/>
      <c r="V1666" s="56"/>
      <c r="W1666" s="1"/>
      <c r="X1666" s="1"/>
      <c r="Y1666" s="1"/>
    </row>
    <row r="1667" spans="1:25">
      <c r="A1667" s="57"/>
      <c r="B1667" s="68"/>
      <c r="C1667" s="68"/>
      <c r="D1667" s="68"/>
      <c r="E1667" s="68"/>
      <c r="F1667" s="68"/>
      <c r="G1667" s="68"/>
      <c r="H1667" s="68"/>
      <c r="I1667" s="68"/>
      <c r="J1667" s="68"/>
      <c r="K1667" s="68"/>
      <c r="L1667" s="56"/>
      <c r="M1667" s="26"/>
      <c r="N1667" s="26"/>
      <c r="O1667" s="68"/>
      <c r="P1667" s="1"/>
      <c r="Q1667" s="8"/>
      <c r="R1667" s="66"/>
      <c r="S1667" s="1"/>
      <c r="T1667" s="66"/>
      <c r="U1667" s="8"/>
      <c r="V1667" s="56"/>
      <c r="W1667" s="1"/>
      <c r="X1667" s="1"/>
      <c r="Y1667" s="1"/>
    </row>
    <row r="1668" spans="1:25">
      <c r="A1668" s="57"/>
      <c r="B1668" s="68"/>
      <c r="C1668" s="68"/>
      <c r="D1668" s="68"/>
      <c r="E1668" s="68"/>
      <c r="F1668" s="68"/>
      <c r="G1668" s="68"/>
      <c r="H1668" s="68"/>
      <c r="I1668" s="68"/>
      <c r="J1668" s="68"/>
      <c r="K1668" s="68"/>
      <c r="L1668" s="56"/>
      <c r="M1668" s="26"/>
      <c r="N1668" s="26"/>
      <c r="O1668" s="68"/>
      <c r="P1668" s="1"/>
      <c r="Q1668" s="8"/>
      <c r="R1668" s="66"/>
      <c r="S1668" s="1"/>
      <c r="T1668" s="66"/>
      <c r="U1668" s="8"/>
      <c r="V1668" s="56"/>
      <c r="W1668" s="1"/>
      <c r="X1668" s="1"/>
      <c r="Y1668" s="1"/>
    </row>
    <row r="1669" spans="1:25">
      <c r="A1669" s="57"/>
      <c r="B1669" s="68"/>
      <c r="C1669" s="68"/>
      <c r="D1669" s="68"/>
      <c r="E1669" s="68"/>
      <c r="F1669" s="68"/>
      <c r="G1669" s="68"/>
      <c r="H1669" s="68"/>
      <c r="I1669" s="68"/>
      <c r="J1669" s="68"/>
      <c r="K1669" s="68"/>
      <c r="L1669" s="56"/>
      <c r="M1669" s="26"/>
      <c r="N1669" s="26"/>
      <c r="O1669" s="68"/>
      <c r="P1669" s="1"/>
      <c r="Q1669" s="8"/>
      <c r="R1669" s="66"/>
      <c r="S1669" s="1"/>
      <c r="T1669" s="66"/>
      <c r="U1669" s="8"/>
      <c r="V1669" s="56"/>
      <c r="W1669" s="1"/>
      <c r="X1669" s="1"/>
      <c r="Y1669" s="1"/>
    </row>
    <row r="1670" spans="1:25">
      <c r="A1670" s="57"/>
      <c r="B1670" s="68"/>
      <c r="C1670" s="68"/>
      <c r="D1670" s="68"/>
      <c r="E1670" s="68"/>
      <c r="F1670" s="68"/>
      <c r="G1670" s="68"/>
      <c r="H1670" s="68"/>
      <c r="I1670" s="68"/>
      <c r="J1670" s="68"/>
      <c r="K1670" s="68"/>
      <c r="L1670" s="56"/>
      <c r="M1670" s="26"/>
      <c r="N1670" s="26"/>
      <c r="O1670" s="68"/>
      <c r="P1670" s="1"/>
      <c r="Q1670" s="8"/>
      <c r="R1670" s="66"/>
      <c r="S1670" s="1"/>
      <c r="T1670" s="66"/>
      <c r="U1670" s="8"/>
      <c r="V1670" s="56"/>
      <c r="W1670" s="1"/>
      <c r="X1670" s="1"/>
      <c r="Y1670" s="1"/>
    </row>
    <row r="1671" spans="1:25">
      <c r="A1671" s="57"/>
      <c r="B1671" s="68"/>
      <c r="C1671" s="68"/>
      <c r="D1671" s="68"/>
      <c r="E1671" s="68"/>
      <c r="F1671" s="68"/>
      <c r="G1671" s="68"/>
      <c r="H1671" s="68"/>
      <c r="I1671" s="68"/>
      <c r="J1671" s="68"/>
      <c r="K1671" s="68"/>
      <c r="L1671" s="56"/>
      <c r="M1671" s="26"/>
      <c r="N1671" s="26"/>
      <c r="O1671" s="68"/>
      <c r="P1671" s="1"/>
      <c r="Q1671" s="8"/>
      <c r="R1671" s="66"/>
      <c r="S1671" s="1"/>
      <c r="T1671" s="66"/>
      <c r="U1671" s="8"/>
      <c r="V1671" s="56"/>
      <c r="W1671" s="1"/>
      <c r="X1671" s="1"/>
      <c r="Y1671" s="1"/>
    </row>
    <row r="1672" spans="1:25">
      <c r="A1672" s="57"/>
      <c r="B1672" s="68"/>
      <c r="C1672" s="68"/>
      <c r="D1672" s="68"/>
      <c r="E1672" s="68"/>
      <c r="F1672" s="68"/>
      <c r="G1672" s="68"/>
      <c r="H1672" s="68"/>
      <c r="I1672" s="68"/>
      <c r="J1672" s="68"/>
      <c r="K1672" s="68"/>
      <c r="L1672" s="56"/>
      <c r="M1672" s="26"/>
      <c r="N1672" s="26"/>
      <c r="O1672" s="68"/>
      <c r="P1672" s="1"/>
      <c r="Q1672" s="8"/>
      <c r="R1672" s="66"/>
      <c r="S1672" s="1"/>
      <c r="T1672" s="66"/>
      <c r="U1672" s="8"/>
      <c r="V1672" s="56"/>
      <c r="W1672" s="1"/>
      <c r="X1672" s="1"/>
      <c r="Y1672" s="1"/>
    </row>
    <row r="1673" spans="1:25">
      <c r="A1673" s="57"/>
      <c r="B1673" s="68"/>
      <c r="C1673" s="68"/>
      <c r="D1673" s="68"/>
      <c r="E1673" s="68"/>
      <c r="F1673" s="68"/>
      <c r="G1673" s="68"/>
      <c r="H1673" s="68"/>
      <c r="I1673" s="68"/>
      <c r="J1673" s="68"/>
      <c r="K1673" s="68"/>
      <c r="L1673" s="56"/>
      <c r="M1673" s="26"/>
      <c r="N1673" s="26"/>
      <c r="O1673" s="68"/>
      <c r="P1673" s="1"/>
      <c r="Q1673" s="8"/>
      <c r="R1673" s="66"/>
      <c r="S1673" s="1"/>
      <c r="T1673" s="66"/>
      <c r="U1673" s="8"/>
      <c r="V1673" s="56"/>
      <c r="W1673" s="1"/>
      <c r="X1673" s="1"/>
      <c r="Y1673" s="1"/>
    </row>
    <row r="1674" spans="1:25">
      <c r="A1674" s="57"/>
      <c r="B1674" s="68"/>
      <c r="C1674" s="68"/>
      <c r="D1674" s="68"/>
      <c r="E1674" s="68"/>
      <c r="F1674" s="68"/>
      <c r="G1674" s="68"/>
      <c r="H1674" s="68"/>
      <c r="I1674" s="68"/>
      <c r="J1674" s="68"/>
      <c r="K1674" s="68"/>
      <c r="L1674" s="56"/>
      <c r="M1674" s="26"/>
      <c r="N1674" s="26"/>
      <c r="O1674" s="68"/>
      <c r="P1674" s="1"/>
      <c r="Q1674" s="8"/>
      <c r="R1674" s="66"/>
      <c r="S1674" s="1"/>
      <c r="T1674" s="66"/>
      <c r="U1674" s="8"/>
      <c r="V1674" s="56"/>
      <c r="W1674" s="1"/>
      <c r="X1674" s="1"/>
      <c r="Y1674" s="1"/>
    </row>
    <row r="1675" spans="1:25">
      <c r="A1675" s="57"/>
      <c r="B1675" s="68"/>
      <c r="C1675" s="68"/>
      <c r="D1675" s="68"/>
      <c r="E1675" s="68"/>
      <c r="F1675" s="68"/>
      <c r="G1675" s="68"/>
      <c r="H1675" s="68"/>
      <c r="I1675" s="68"/>
      <c r="J1675" s="68"/>
      <c r="K1675" s="68"/>
      <c r="L1675" s="56"/>
      <c r="M1675" s="26"/>
      <c r="N1675" s="26"/>
      <c r="O1675" s="68"/>
      <c r="P1675" s="1"/>
      <c r="Q1675" s="8"/>
      <c r="R1675" s="66"/>
      <c r="S1675" s="1"/>
      <c r="T1675" s="66"/>
      <c r="U1675" s="8"/>
      <c r="V1675" s="56"/>
      <c r="W1675" s="1"/>
      <c r="X1675" s="1"/>
      <c r="Y1675" s="1"/>
    </row>
    <row r="1676" spans="1:25">
      <c r="A1676" s="57"/>
      <c r="B1676" s="68"/>
      <c r="C1676" s="68"/>
      <c r="D1676" s="68"/>
      <c r="E1676" s="68"/>
      <c r="F1676" s="68"/>
      <c r="G1676" s="68"/>
      <c r="H1676" s="68"/>
      <c r="I1676" s="68"/>
      <c r="J1676" s="68"/>
      <c r="K1676" s="68"/>
      <c r="L1676" s="56"/>
      <c r="M1676" s="26"/>
      <c r="N1676" s="26"/>
      <c r="O1676" s="68"/>
      <c r="P1676" s="1"/>
      <c r="Q1676" s="8"/>
      <c r="R1676" s="66"/>
      <c r="S1676" s="1"/>
      <c r="T1676" s="66"/>
      <c r="U1676" s="8"/>
      <c r="V1676" s="56"/>
      <c r="W1676" s="1"/>
      <c r="X1676" s="1"/>
      <c r="Y1676" s="1"/>
    </row>
    <row r="1677" spans="1:25">
      <c r="A1677" s="57"/>
      <c r="B1677" s="68"/>
      <c r="C1677" s="68"/>
      <c r="D1677" s="68"/>
      <c r="E1677" s="68"/>
      <c r="F1677" s="68"/>
      <c r="G1677" s="68"/>
      <c r="H1677" s="68"/>
      <c r="I1677" s="68"/>
      <c r="J1677" s="68"/>
      <c r="K1677" s="68"/>
      <c r="L1677" s="56"/>
      <c r="M1677" s="26"/>
      <c r="N1677" s="26"/>
      <c r="O1677" s="68"/>
      <c r="P1677" s="1"/>
      <c r="Q1677" s="8"/>
      <c r="R1677" s="66"/>
      <c r="S1677" s="1"/>
      <c r="T1677" s="66"/>
      <c r="U1677" s="8"/>
      <c r="V1677" s="56"/>
      <c r="W1677" s="1"/>
      <c r="X1677" s="1"/>
      <c r="Y1677" s="1"/>
    </row>
    <row r="1678" spans="1:25">
      <c r="A1678" s="57"/>
      <c r="B1678" s="68"/>
      <c r="C1678" s="68"/>
      <c r="D1678" s="68"/>
      <c r="E1678" s="68"/>
      <c r="F1678" s="68"/>
      <c r="G1678" s="68"/>
      <c r="H1678" s="68"/>
      <c r="I1678" s="68"/>
      <c r="J1678" s="68"/>
      <c r="K1678" s="68"/>
      <c r="L1678" s="56"/>
      <c r="M1678" s="26"/>
      <c r="N1678" s="26"/>
      <c r="O1678" s="68"/>
      <c r="P1678" s="1"/>
      <c r="Q1678" s="8"/>
      <c r="R1678" s="66"/>
      <c r="S1678" s="1"/>
      <c r="T1678" s="66"/>
      <c r="U1678" s="8"/>
      <c r="V1678" s="56"/>
      <c r="W1678" s="1"/>
      <c r="X1678" s="1"/>
      <c r="Y1678" s="1"/>
    </row>
    <row r="1679" spans="1:25">
      <c r="A1679" s="57"/>
      <c r="B1679" s="68"/>
      <c r="C1679" s="68"/>
      <c r="D1679" s="68"/>
      <c r="E1679" s="68"/>
      <c r="F1679" s="68"/>
      <c r="G1679" s="68"/>
      <c r="H1679" s="68"/>
      <c r="I1679" s="68"/>
      <c r="J1679" s="68"/>
      <c r="K1679" s="68"/>
      <c r="L1679" s="56"/>
      <c r="M1679" s="26"/>
      <c r="N1679" s="26"/>
      <c r="O1679" s="68"/>
      <c r="P1679" s="1"/>
      <c r="Q1679" s="8"/>
      <c r="R1679" s="66"/>
      <c r="S1679" s="1"/>
      <c r="T1679" s="66"/>
      <c r="U1679" s="8"/>
      <c r="V1679" s="56"/>
      <c r="W1679" s="1"/>
      <c r="X1679" s="1"/>
      <c r="Y1679" s="1"/>
    </row>
    <row r="1680" spans="1:25">
      <c r="A1680" s="57"/>
      <c r="B1680" s="68"/>
      <c r="C1680" s="68"/>
      <c r="D1680" s="68"/>
      <c r="E1680" s="68"/>
      <c r="F1680" s="68"/>
      <c r="G1680" s="68"/>
      <c r="H1680" s="68"/>
      <c r="I1680" s="68"/>
      <c r="J1680" s="68"/>
      <c r="K1680" s="68"/>
      <c r="L1680" s="56"/>
      <c r="M1680" s="26"/>
      <c r="N1680" s="26"/>
      <c r="O1680" s="68"/>
      <c r="P1680" s="1"/>
      <c r="Q1680" s="8"/>
      <c r="R1680" s="66"/>
      <c r="S1680" s="1"/>
      <c r="T1680" s="66"/>
      <c r="U1680" s="8"/>
      <c r="V1680" s="56"/>
      <c r="W1680" s="1"/>
      <c r="X1680" s="1"/>
      <c r="Y1680" s="1"/>
    </row>
    <row r="1681" spans="1:25">
      <c r="A1681" s="57"/>
      <c r="B1681" s="68"/>
      <c r="C1681" s="68"/>
      <c r="D1681" s="68"/>
      <c r="E1681" s="68"/>
      <c r="F1681" s="68"/>
      <c r="G1681" s="68"/>
      <c r="H1681" s="68"/>
      <c r="I1681" s="68"/>
      <c r="J1681" s="68"/>
      <c r="K1681" s="68"/>
      <c r="L1681" s="56"/>
      <c r="M1681" s="26"/>
      <c r="N1681" s="26"/>
      <c r="O1681" s="68"/>
      <c r="P1681" s="1"/>
      <c r="Q1681" s="8"/>
      <c r="R1681" s="66"/>
      <c r="S1681" s="1"/>
      <c r="T1681" s="66"/>
      <c r="U1681" s="8"/>
      <c r="V1681" s="56"/>
      <c r="W1681" s="1"/>
      <c r="X1681" s="1"/>
      <c r="Y1681" s="1"/>
    </row>
    <row r="1682" spans="1:25">
      <c r="A1682" s="57"/>
      <c r="B1682" s="68"/>
      <c r="C1682" s="68"/>
      <c r="D1682" s="68"/>
      <c r="E1682" s="68"/>
      <c r="F1682" s="68"/>
      <c r="G1682" s="68"/>
      <c r="H1682" s="68"/>
      <c r="I1682" s="68"/>
      <c r="J1682" s="68"/>
      <c r="K1682" s="68"/>
      <c r="L1682" s="56"/>
      <c r="M1682" s="26"/>
      <c r="N1682" s="26"/>
      <c r="O1682" s="68"/>
      <c r="P1682" s="1"/>
      <c r="Q1682" s="8"/>
      <c r="R1682" s="66"/>
      <c r="S1682" s="1"/>
      <c r="T1682" s="66"/>
      <c r="U1682" s="8"/>
      <c r="V1682" s="56"/>
      <c r="W1682" s="1"/>
      <c r="X1682" s="1"/>
      <c r="Y1682" s="1"/>
    </row>
    <row r="1683" spans="1:25">
      <c r="A1683" s="57"/>
      <c r="B1683" s="68"/>
      <c r="C1683" s="68"/>
      <c r="D1683" s="68"/>
      <c r="E1683" s="68"/>
      <c r="F1683" s="68"/>
      <c r="G1683" s="68"/>
      <c r="H1683" s="68"/>
      <c r="I1683" s="68"/>
      <c r="J1683" s="68"/>
      <c r="K1683" s="68"/>
      <c r="L1683" s="56"/>
      <c r="M1683" s="26"/>
      <c r="N1683" s="26"/>
      <c r="O1683" s="68"/>
      <c r="P1683" s="1"/>
      <c r="Q1683" s="8"/>
      <c r="R1683" s="66"/>
      <c r="S1683" s="1"/>
      <c r="T1683" s="66"/>
      <c r="U1683" s="8"/>
      <c r="V1683" s="56"/>
      <c r="W1683" s="1"/>
      <c r="X1683" s="1"/>
      <c r="Y1683" s="1"/>
    </row>
    <row r="1684" spans="1:25">
      <c r="A1684" s="57"/>
      <c r="B1684" s="68"/>
      <c r="C1684" s="68"/>
      <c r="D1684" s="68"/>
      <c r="E1684" s="68"/>
      <c r="F1684" s="68"/>
      <c r="G1684" s="68"/>
      <c r="H1684" s="68"/>
      <c r="I1684" s="68"/>
      <c r="J1684" s="68"/>
      <c r="K1684" s="68"/>
      <c r="L1684" s="56"/>
      <c r="M1684" s="26"/>
      <c r="N1684" s="26"/>
      <c r="O1684" s="68"/>
      <c r="P1684" s="1"/>
      <c r="Q1684" s="8"/>
      <c r="R1684" s="66"/>
      <c r="S1684" s="1"/>
      <c r="T1684" s="66"/>
      <c r="U1684" s="8"/>
      <c r="V1684" s="56"/>
      <c r="W1684" s="1"/>
      <c r="X1684" s="1"/>
      <c r="Y1684" s="1"/>
    </row>
    <row r="1685" spans="1:25">
      <c r="A1685" s="57"/>
      <c r="B1685" s="68"/>
      <c r="C1685" s="68"/>
      <c r="D1685" s="68"/>
      <c r="E1685" s="68"/>
      <c r="F1685" s="68"/>
      <c r="G1685" s="68"/>
      <c r="H1685" s="68"/>
      <c r="I1685" s="68"/>
      <c r="J1685" s="68"/>
      <c r="K1685" s="68"/>
      <c r="L1685" s="56"/>
      <c r="M1685" s="26"/>
      <c r="N1685" s="26"/>
      <c r="O1685" s="68"/>
      <c r="P1685" s="1"/>
      <c r="Q1685" s="8"/>
      <c r="R1685" s="66"/>
      <c r="S1685" s="1"/>
      <c r="T1685" s="66"/>
      <c r="U1685" s="8"/>
      <c r="V1685" s="56"/>
      <c r="W1685" s="1"/>
      <c r="X1685" s="1"/>
      <c r="Y1685" s="1"/>
    </row>
    <row r="1686" spans="1:25">
      <c r="A1686" s="57"/>
      <c r="B1686" s="68"/>
      <c r="C1686" s="68"/>
      <c r="D1686" s="68"/>
      <c r="E1686" s="68"/>
      <c r="F1686" s="68"/>
      <c r="G1686" s="68"/>
      <c r="H1686" s="68"/>
      <c r="I1686" s="68"/>
      <c r="J1686" s="68"/>
      <c r="K1686" s="68"/>
      <c r="L1686" s="56"/>
      <c r="M1686" s="26"/>
      <c r="N1686" s="26"/>
      <c r="O1686" s="68"/>
      <c r="P1686" s="1"/>
      <c r="Q1686" s="8"/>
      <c r="R1686" s="66"/>
      <c r="S1686" s="1"/>
      <c r="T1686" s="66"/>
      <c r="U1686" s="8"/>
      <c r="V1686" s="56"/>
      <c r="W1686" s="1"/>
      <c r="X1686" s="1"/>
      <c r="Y1686" s="1"/>
    </row>
    <row r="1687" spans="1:25">
      <c r="A1687" s="57"/>
      <c r="B1687" s="68"/>
      <c r="C1687" s="68"/>
      <c r="D1687" s="68"/>
      <c r="E1687" s="68"/>
      <c r="F1687" s="68"/>
      <c r="G1687" s="68"/>
      <c r="H1687" s="68"/>
      <c r="I1687" s="68"/>
      <c r="J1687" s="68"/>
      <c r="K1687" s="68"/>
      <c r="L1687" s="56"/>
      <c r="M1687" s="26"/>
      <c r="N1687" s="26"/>
      <c r="O1687" s="68"/>
      <c r="P1687" s="1"/>
      <c r="Q1687" s="8"/>
      <c r="R1687" s="66"/>
      <c r="S1687" s="1"/>
      <c r="T1687" s="66"/>
      <c r="U1687" s="8"/>
      <c r="V1687" s="56"/>
      <c r="W1687" s="1"/>
      <c r="X1687" s="1"/>
      <c r="Y1687" s="1"/>
    </row>
    <row r="1688" spans="1:25">
      <c r="A1688" s="57"/>
      <c r="B1688" s="68"/>
      <c r="C1688" s="68"/>
      <c r="D1688" s="68"/>
      <c r="E1688" s="68"/>
      <c r="F1688" s="68"/>
      <c r="G1688" s="68"/>
      <c r="H1688" s="68"/>
      <c r="I1688" s="68"/>
      <c r="J1688" s="68"/>
      <c r="K1688" s="68"/>
      <c r="L1688" s="56"/>
      <c r="M1688" s="26"/>
      <c r="N1688" s="26"/>
      <c r="O1688" s="68"/>
      <c r="P1688" s="1"/>
      <c r="Q1688" s="8"/>
      <c r="R1688" s="66"/>
      <c r="S1688" s="1"/>
      <c r="T1688" s="66"/>
      <c r="U1688" s="8"/>
      <c r="V1688" s="56"/>
      <c r="W1688" s="1"/>
      <c r="X1688" s="1"/>
      <c r="Y1688" s="1"/>
    </row>
    <row r="1689" spans="1:25">
      <c r="A1689" s="57"/>
      <c r="B1689" s="68"/>
      <c r="C1689" s="68"/>
      <c r="D1689" s="68"/>
      <c r="E1689" s="68"/>
      <c r="F1689" s="68"/>
      <c r="G1689" s="68"/>
      <c r="H1689" s="68"/>
      <c r="I1689" s="68"/>
      <c r="J1689" s="68"/>
      <c r="K1689" s="68"/>
      <c r="L1689" s="56"/>
      <c r="M1689" s="26"/>
      <c r="N1689" s="26"/>
      <c r="O1689" s="68"/>
      <c r="P1689" s="1"/>
      <c r="Q1689" s="8"/>
      <c r="R1689" s="66"/>
      <c r="S1689" s="1"/>
      <c r="T1689" s="66"/>
      <c r="U1689" s="8"/>
      <c r="V1689" s="56"/>
      <c r="W1689" s="1"/>
      <c r="X1689" s="1"/>
      <c r="Y1689" s="1"/>
    </row>
    <row r="1690" spans="1:25">
      <c r="A1690" s="57"/>
      <c r="B1690" s="68"/>
      <c r="C1690" s="68"/>
      <c r="D1690" s="68"/>
      <c r="E1690" s="68"/>
      <c r="F1690" s="68"/>
      <c r="G1690" s="68"/>
      <c r="H1690" s="68"/>
      <c r="I1690" s="68"/>
      <c r="J1690" s="68"/>
      <c r="K1690" s="68"/>
      <c r="L1690" s="56"/>
      <c r="M1690" s="26"/>
      <c r="N1690" s="26"/>
      <c r="O1690" s="68"/>
      <c r="P1690" s="1"/>
      <c r="Q1690" s="8"/>
      <c r="R1690" s="66"/>
      <c r="S1690" s="1"/>
      <c r="T1690" s="66"/>
      <c r="U1690" s="8"/>
      <c r="V1690" s="56"/>
      <c r="W1690" s="1"/>
      <c r="X1690" s="1"/>
      <c r="Y1690" s="1"/>
    </row>
    <row r="1691" spans="1:25">
      <c r="A1691" s="57"/>
      <c r="B1691" s="68"/>
      <c r="C1691" s="68"/>
      <c r="D1691" s="68"/>
      <c r="E1691" s="68"/>
      <c r="F1691" s="68"/>
      <c r="G1691" s="68"/>
      <c r="H1691" s="68"/>
      <c r="I1691" s="68"/>
      <c r="J1691" s="68"/>
      <c r="K1691" s="68"/>
      <c r="L1691" s="56"/>
      <c r="M1691" s="26"/>
      <c r="N1691" s="26"/>
      <c r="O1691" s="68"/>
      <c r="P1691" s="1"/>
      <c r="Q1691" s="8"/>
      <c r="R1691" s="66"/>
      <c r="S1691" s="1"/>
      <c r="T1691" s="66"/>
      <c r="U1691" s="8"/>
      <c r="V1691" s="56"/>
      <c r="W1691" s="1"/>
      <c r="X1691" s="1"/>
      <c r="Y1691" s="1"/>
    </row>
    <row r="1692" spans="1:25">
      <c r="A1692" s="57"/>
      <c r="B1692" s="68"/>
      <c r="C1692" s="68"/>
      <c r="D1692" s="68"/>
      <c r="E1692" s="68"/>
      <c r="F1692" s="68"/>
      <c r="G1692" s="68"/>
      <c r="H1692" s="68"/>
      <c r="I1692" s="68"/>
      <c r="J1692" s="68"/>
      <c r="K1692" s="68"/>
      <c r="L1692" s="56"/>
      <c r="M1692" s="26"/>
      <c r="N1692" s="26"/>
      <c r="O1692" s="68"/>
      <c r="P1692" s="1"/>
      <c r="Q1692" s="8"/>
      <c r="R1692" s="66"/>
      <c r="S1692" s="1"/>
      <c r="T1692" s="66"/>
      <c r="U1692" s="8"/>
      <c r="V1692" s="56"/>
      <c r="W1692" s="1"/>
      <c r="X1692" s="1"/>
      <c r="Y1692" s="1"/>
    </row>
    <row r="1693" spans="1:25">
      <c r="A1693" s="57"/>
      <c r="B1693" s="68"/>
      <c r="C1693" s="68"/>
      <c r="D1693" s="68"/>
      <c r="E1693" s="68"/>
      <c r="F1693" s="68"/>
      <c r="G1693" s="68"/>
      <c r="H1693" s="68"/>
      <c r="I1693" s="68"/>
      <c r="J1693" s="68"/>
      <c r="K1693" s="68"/>
      <c r="L1693" s="56"/>
      <c r="M1693" s="26"/>
      <c r="N1693" s="26"/>
      <c r="O1693" s="68"/>
      <c r="P1693" s="1"/>
      <c r="Q1693" s="8"/>
      <c r="R1693" s="66"/>
      <c r="S1693" s="1"/>
      <c r="T1693" s="66"/>
      <c r="U1693" s="8"/>
      <c r="V1693" s="56"/>
      <c r="W1693" s="1"/>
      <c r="X1693" s="1"/>
      <c r="Y1693" s="1"/>
    </row>
    <row r="1694" spans="1:25">
      <c r="A1694" s="57"/>
      <c r="B1694" s="68"/>
      <c r="C1694" s="68"/>
      <c r="D1694" s="68"/>
      <c r="E1694" s="68"/>
      <c r="F1694" s="68"/>
      <c r="G1694" s="68"/>
      <c r="H1694" s="68"/>
      <c r="I1694" s="68"/>
      <c r="J1694" s="68"/>
      <c r="K1694" s="68"/>
      <c r="L1694" s="56"/>
      <c r="M1694" s="26"/>
      <c r="N1694" s="26"/>
      <c r="O1694" s="68"/>
      <c r="P1694" s="1"/>
      <c r="Q1694" s="8"/>
      <c r="R1694" s="66"/>
      <c r="S1694" s="1"/>
      <c r="T1694" s="66"/>
      <c r="U1694" s="8"/>
      <c r="V1694" s="56"/>
      <c r="W1694" s="1"/>
      <c r="X1694" s="1"/>
      <c r="Y1694" s="1"/>
    </row>
    <row r="1695" spans="1:25">
      <c r="A1695" s="57"/>
      <c r="B1695" s="68"/>
      <c r="C1695" s="68"/>
      <c r="D1695" s="68"/>
      <c r="E1695" s="68"/>
      <c r="F1695" s="68"/>
      <c r="G1695" s="68"/>
      <c r="H1695" s="68"/>
      <c r="I1695" s="68"/>
      <c r="J1695" s="68"/>
      <c r="K1695" s="68"/>
      <c r="L1695" s="56"/>
      <c r="M1695" s="26"/>
      <c r="N1695" s="26"/>
      <c r="O1695" s="68"/>
      <c r="P1695" s="1"/>
      <c r="Q1695" s="8"/>
      <c r="R1695" s="66"/>
      <c r="S1695" s="1"/>
      <c r="T1695" s="66"/>
      <c r="U1695" s="8"/>
      <c r="V1695" s="56"/>
      <c r="W1695" s="1"/>
      <c r="X1695" s="1"/>
      <c r="Y1695" s="1"/>
    </row>
    <row r="1696" spans="1:25">
      <c r="A1696" s="57"/>
      <c r="B1696" s="68"/>
      <c r="C1696" s="68"/>
      <c r="D1696" s="68"/>
      <c r="E1696" s="68"/>
      <c r="F1696" s="68"/>
      <c r="G1696" s="68"/>
      <c r="H1696" s="68"/>
      <c r="I1696" s="68"/>
      <c r="J1696" s="68"/>
      <c r="K1696" s="68"/>
      <c r="L1696" s="56"/>
      <c r="M1696" s="26"/>
      <c r="N1696" s="26"/>
      <c r="O1696" s="68"/>
      <c r="P1696" s="1"/>
      <c r="Q1696" s="8"/>
      <c r="R1696" s="66"/>
      <c r="S1696" s="1"/>
      <c r="T1696" s="66"/>
      <c r="U1696" s="8"/>
      <c r="V1696" s="56"/>
      <c r="W1696" s="1"/>
      <c r="X1696" s="1"/>
      <c r="Y1696" s="1"/>
    </row>
    <row r="1697" spans="1:25">
      <c r="A1697" s="57"/>
      <c r="B1697" s="68"/>
      <c r="C1697" s="68"/>
      <c r="D1697" s="68"/>
      <c r="E1697" s="68"/>
      <c r="F1697" s="68"/>
      <c r="G1697" s="68"/>
      <c r="H1697" s="68"/>
      <c r="I1697" s="68"/>
      <c r="J1697" s="68"/>
      <c r="K1697" s="68"/>
      <c r="L1697" s="56"/>
      <c r="M1697" s="26"/>
      <c r="N1697" s="26"/>
      <c r="O1697" s="68"/>
      <c r="P1697" s="1"/>
      <c r="Q1697" s="8"/>
      <c r="R1697" s="66"/>
      <c r="S1697" s="1"/>
      <c r="T1697" s="66"/>
      <c r="U1697" s="8"/>
      <c r="V1697" s="56"/>
      <c r="W1697" s="1"/>
      <c r="X1697" s="1"/>
      <c r="Y1697" s="1"/>
    </row>
    <row r="1698" spans="1:25">
      <c r="A1698" s="57"/>
      <c r="B1698" s="68"/>
      <c r="C1698" s="68"/>
      <c r="D1698" s="68"/>
      <c r="E1698" s="68"/>
      <c r="F1698" s="68"/>
      <c r="G1698" s="68"/>
      <c r="H1698" s="68"/>
      <c r="I1698" s="68"/>
      <c r="J1698" s="68"/>
      <c r="K1698" s="68"/>
      <c r="L1698" s="56"/>
      <c r="M1698" s="26"/>
      <c r="N1698" s="26"/>
      <c r="O1698" s="68"/>
      <c r="P1698" s="1"/>
      <c r="Q1698" s="8"/>
      <c r="R1698" s="66"/>
      <c r="S1698" s="1"/>
      <c r="T1698" s="66"/>
      <c r="U1698" s="8"/>
      <c r="V1698" s="56"/>
      <c r="W1698" s="1"/>
      <c r="X1698" s="1"/>
      <c r="Y1698" s="1"/>
    </row>
    <row r="1699" spans="1:25">
      <c r="A1699" s="57"/>
      <c r="B1699" s="68"/>
      <c r="C1699" s="68"/>
      <c r="D1699" s="68"/>
      <c r="E1699" s="68"/>
      <c r="F1699" s="68"/>
      <c r="G1699" s="68"/>
      <c r="H1699" s="68"/>
      <c r="I1699" s="68"/>
      <c r="J1699" s="68"/>
      <c r="K1699" s="68"/>
      <c r="L1699" s="56"/>
      <c r="M1699" s="26"/>
      <c r="N1699" s="26"/>
      <c r="O1699" s="68"/>
      <c r="P1699" s="1"/>
      <c r="Q1699" s="8"/>
      <c r="R1699" s="66"/>
      <c r="S1699" s="1"/>
      <c r="T1699" s="66"/>
      <c r="U1699" s="8"/>
      <c r="V1699" s="56"/>
      <c r="W1699" s="1"/>
      <c r="X1699" s="1"/>
      <c r="Y1699" s="1"/>
    </row>
    <row r="1700" spans="1:25">
      <c r="A1700" s="57"/>
      <c r="B1700" s="68"/>
      <c r="C1700" s="68"/>
      <c r="D1700" s="68"/>
      <c r="E1700" s="68"/>
      <c r="F1700" s="68"/>
      <c r="G1700" s="68"/>
      <c r="H1700" s="68"/>
      <c r="I1700" s="68"/>
      <c r="J1700" s="68"/>
      <c r="K1700" s="68"/>
      <c r="L1700" s="56"/>
      <c r="M1700" s="26"/>
      <c r="N1700" s="26"/>
      <c r="O1700" s="68"/>
      <c r="P1700" s="1"/>
      <c r="Q1700" s="8"/>
      <c r="R1700" s="66"/>
      <c r="S1700" s="1"/>
      <c r="T1700" s="66"/>
      <c r="U1700" s="8"/>
      <c r="V1700" s="56"/>
      <c r="W1700" s="1"/>
      <c r="X1700" s="1"/>
      <c r="Y1700" s="1"/>
    </row>
    <row r="1701" spans="1:25">
      <c r="A1701" s="57"/>
      <c r="B1701" s="68"/>
      <c r="C1701" s="68"/>
      <c r="D1701" s="68"/>
      <c r="E1701" s="68"/>
      <c r="F1701" s="68"/>
      <c r="G1701" s="68"/>
      <c r="H1701" s="68"/>
      <c r="I1701" s="68"/>
      <c r="J1701" s="68"/>
      <c r="K1701" s="68"/>
      <c r="L1701" s="56"/>
      <c r="M1701" s="26"/>
      <c r="N1701" s="26"/>
      <c r="O1701" s="68"/>
      <c r="P1701" s="1"/>
      <c r="Q1701" s="8"/>
      <c r="R1701" s="66"/>
      <c r="S1701" s="1"/>
      <c r="T1701" s="66"/>
      <c r="U1701" s="8"/>
      <c r="V1701" s="56"/>
      <c r="W1701" s="1"/>
      <c r="X1701" s="1"/>
      <c r="Y1701" s="1"/>
    </row>
    <row r="1702" spans="1:25">
      <c r="A1702" s="57"/>
      <c r="B1702" s="68"/>
      <c r="C1702" s="68"/>
      <c r="D1702" s="68"/>
      <c r="E1702" s="68"/>
      <c r="F1702" s="68"/>
      <c r="G1702" s="68"/>
      <c r="H1702" s="68"/>
      <c r="I1702" s="68"/>
      <c r="J1702" s="68"/>
      <c r="K1702" s="68"/>
      <c r="L1702" s="56"/>
      <c r="M1702" s="26"/>
      <c r="N1702" s="26"/>
      <c r="O1702" s="68"/>
      <c r="P1702" s="1"/>
      <c r="Q1702" s="8"/>
      <c r="R1702" s="66"/>
      <c r="S1702" s="1"/>
      <c r="T1702" s="66"/>
      <c r="U1702" s="8"/>
      <c r="V1702" s="56"/>
      <c r="W1702" s="1"/>
      <c r="X1702" s="1"/>
      <c r="Y1702" s="1"/>
    </row>
    <row r="1703" spans="1:25">
      <c r="A1703" s="57"/>
      <c r="B1703" s="68"/>
      <c r="C1703" s="68"/>
      <c r="D1703" s="68"/>
      <c r="E1703" s="68"/>
      <c r="F1703" s="68"/>
      <c r="G1703" s="68"/>
      <c r="H1703" s="68"/>
      <c r="I1703" s="68"/>
      <c r="J1703" s="68"/>
      <c r="K1703" s="68"/>
      <c r="L1703" s="56"/>
      <c r="M1703" s="26"/>
      <c r="N1703" s="26"/>
      <c r="O1703" s="68"/>
      <c r="P1703" s="1"/>
      <c r="Q1703" s="8"/>
      <c r="R1703" s="66"/>
      <c r="S1703" s="1"/>
      <c r="T1703" s="66"/>
      <c r="U1703" s="8"/>
      <c r="V1703" s="56"/>
      <c r="W1703" s="1"/>
      <c r="X1703" s="1"/>
      <c r="Y1703" s="1"/>
    </row>
    <row r="1704" spans="1:25">
      <c r="A1704" s="57"/>
      <c r="B1704" s="68"/>
      <c r="C1704" s="68"/>
      <c r="D1704" s="68"/>
      <c r="E1704" s="68"/>
      <c r="F1704" s="68"/>
      <c r="G1704" s="68"/>
      <c r="H1704" s="68"/>
      <c r="I1704" s="68"/>
      <c r="J1704" s="68"/>
      <c r="K1704" s="68"/>
      <c r="L1704" s="56"/>
      <c r="M1704" s="26"/>
      <c r="N1704" s="26"/>
      <c r="O1704" s="68"/>
      <c r="P1704" s="1"/>
      <c r="Q1704" s="8"/>
      <c r="R1704" s="66"/>
      <c r="S1704" s="1"/>
      <c r="T1704" s="66"/>
      <c r="U1704" s="8"/>
      <c r="V1704" s="56"/>
      <c r="W1704" s="1"/>
      <c r="X1704" s="1"/>
      <c r="Y1704" s="1"/>
    </row>
    <row r="1705" spans="1:25">
      <c r="A1705" s="57"/>
      <c r="B1705" s="68"/>
      <c r="C1705" s="68"/>
      <c r="D1705" s="68"/>
      <c r="E1705" s="68"/>
      <c r="F1705" s="68"/>
      <c r="G1705" s="68"/>
      <c r="H1705" s="68"/>
      <c r="I1705" s="68"/>
      <c r="J1705" s="68"/>
      <c r="K1705" s="68"/>
      <c r="L1705" s="56"/>
      <c r="M1705" s="26"/>
      <c r="N1705" s="26"/>
      <c r="O1705" s="68"/>
      <c r="P1705" s="1"/>
      <c r="Q1705" s="8"/>
      <c r="R1705" s="66"/>
      <c r="S1705" s="1"/>
      <c r="T1705" s="66"/>
      <c r="U1705" s="8"/>
      <c r="V1705" s="56"/>
      <c r="W1705" s="1"/>
      <c r="X1705" s="1"/>
      <c r="Y1705" s="1"/>
    </row>
    <row r="1706" spans="1:25">
      <c r="A1706" s="57"/>
      <c r="B1706" s="68"/>
      <c r="C1706" s="68"/>
      <c r="D1706" s="68"/>
      <c r="E1706" s="68"/>
      <c r="F1706" s="68"/>
      <c r="G1706" s="68"/>
      <c r="H1706" s="68"/>
      <c r="I1706" s="68"/>
      <c r="J1706" s="68"/>
      <c r="K1706" s="68"/>
      <c r="L1706" s="56"/>
      <c r="M1706" s="26"/>
      <c r="N1706" s="26"/>
      <c r="O1706" s="68"/>
      <c r="P1706" s="1"/>
      <c r="Q1706" s="8"/>
      <c r="R1706" s="66"/>
      <c r="S1706" s="1"/>
      <c r="T1706" s="66"/>
      <c r="U1706" s="8"/>
      <c r="V1706" s="56"/>
      <c r="W1706" s="1"/>
      <c r="X1706" s="1"/>
      <c r="Y1706" s="1"/>
    </row>
    <row r="1707" spans="1:25">
      <c r="A1707" s="57"/>
      <c r="B1707" s="68"/>
      <c r="C1707" s="68"/>
      <c r="D1707" s="68"/>
      <c r="E1707" s="68"/>
      <c r="F1707" s="68"/>
      <c r="G1707" s="68"/>
      <c r="H1707" s="68"/>
      <c r="I1707" s="68"/>
      <c r="J1707" s="68"/>
      <c r="K1707" s="68"/>
      <c r="L1707" s="56"/>
      <c r="M1707" s="26"/>
      <c r="N1707" s="26"/>
      <c r="O1707" s="68"/>
      <c r="P1707" s="1"/>
      <c r="Q1707" s="8"/>
      <c r="R1707" s="66"/>
      <c r="S1707" s="1"/>
      <c r="T1707" s="66"/>
      <c r="U1707" s="8"/>
      <c r="V1707" s="56"/>
      <c r="W1707" s="1"/>
      <c r="X1707" s="1"/>
      <c r="Y1707" s="1"/>
    </row>
    <row r="1708" spans="1:25">
      <c r="A1708" s="57"/>
      <c r="B1708" s="68"/>
      <c r="C1708" s="68"/>
      <c r="D1708" s="68"/>
      <c r="E1708" s="68"/>
      <c r="F1708" s="68"/>
      <c r="G1708" s="68"/>
      <c r="H1708" s="68"/>
      <c r="I1708" s="68"/>
      <c r="J1708" s="68"/>
      <c r="K1708" s="68"/>
      <c r="L1708" s="56"/>
      <c r="M1708" s="26"/>
      <c r="N1708" s="26"/>
      <c r="O1708" s="68"/>
      <c r="P1708" s="1"/>
      <c r="Q1708" s="8"/>
      <c r="R1708" s="66"/>
      <c r="S1708" s="1"/>
      <c r="T1708" s="66"/>
      <c r="U1708" s="8"/>
      <c r="V1708" s="56"/>
      <c r="W1708" s="1"/>
      <c r="X1708" s="1"/>
      <c r="Y1708" s="1"/>
    </row>
    <row r="1709" spans="1:25">
      <c r="A1709" s="57"/>
      <c r="B1709" s="68"/>
      <c r="C1709" s="68"/>
      <c r="D1709" s="68"/>
      <c r="E1709" s="68"/>
      <c r="F1709" s="68"/>
      <c r="G1709" s="68"/>
      <c r="H1709" s="68"/>
      <c r="I1709" s="68"/>
      <c r="J1709" s="68"/>
      <c r="K1709" s="68"/>
      <c r="L1709" s="56"/>
      <c r="M1709" s="26"/>
      <c r="N1709" s="26"/>
      <c r="O1709" s="68"/>
      <c r="P1709" s="1"/>
      <c r="Q1709" s="8"/>
      <c r="R1709" s="66"/>
      <c r="S1709" s="1"/>
      <c r="T1709" s="66"/>
      <c r="U1709" s="8"/>
      <c r="V1709" s="56"/>
      <c r="W1709" s="1"/>
      <c r="X1709" s="1"/>
      <c r="Y1709" s="1"/>
    </row>
    <row r="1710" spans="1:25">
      <c r="A1710" s="57"/>
      <c r="B1710" s="68"/>
      <c r="C1710" s="68"/>
      <c r="D1710" s="68"/>
      <c r="E1710" s="68"/>
      <c r="F1710" s="68"/>
      <c r="G1710" s="68"/>
      <c r="H1710" s="68"/>
      <c r="I1710" s="68"/>
      <c r="J1710" s="68"/>
      <c r="K1710" s="68"/>
      <c r="L1710" s="56"/>
      <c r="M1710" s="26"/>
      <c r="N1710" s="26"/>
      <c r="O1710" s="68"/>
      <c r="P1710" s="1"/>
      <c r="Q1710" s="8"/>
      <c r="R1710" s="66"/>
      <c r="S1710" s="1"/>
      <c r="T1710" s="66"/>
      <c r="U1710" s="8"/>
      <c r="V1710" s="56"/>
      <c r="W1710" s="1"/>
      <c r="X1710" s="1"/>
      <c r="Y1710" s="1"/>
    </row>
    <row r="1711" spans="1:25">
      <c r="A1711" s="57"/>
      <c r="B1711" s="68"/>
      <c r="C1711" s="68"/>
      <c r="D1711" s="68"/>
      <c r="E1711" s="68"/>
      <c r="F1711" s="68"/>
      <c r="G1711" s="68"/>
      <c r="H1711" s="68"/>
      <c r="I1711" s="68"/>
      <c r="J1711" s="68"/>
      <c r="K1711" s="68"/>
      <c r="L1711" s="56"/>
      <c r="M1711" s="26"/>
      <c r="N1711" s="26"/>
      <c r="O1711" s="68"/>
      <c r="P1711" s="1"/>
      <c r="Q1711" s="8"/>
      <c r="R1711" s="66"/>
      <c r="S1711" s="1"/>
      <c r="T1711" s="66"/>
      <c r="U1711" s="8"/>
      <c r="V1711" s="56"/>
      <c r="W1711" s="1"/>
      <c r="X1711" s="1"/>
      <c r="Y1711" s="1"/>
    </row>
    <row r="1712" spans="1:25">
      <c r="A1712" s="57"/>
      <c r="B1712" s="68"/>
      <c r="C1712" s="68"/>
      <c r="D1712" s="68"/>
      <c r="E1712" s="68"/>
      <c r="F1712" s="68"/>
      <c r="G1712" s="68"/>
      <c r="H1712" s="68"/>
      <c r="I1712" s="68"/>
      <c r="J1712" s="68"/>
      <c r="K1712" s="68"/>
      <c r="L1712" s="56"/>
      <c r="M1712" s="26"/>
      <c r="N1712" s="26"/>
      <c r="O1712" s="68"/>
      <c r="P1712" s="1"/>
      <c r="Q1712" s="8"/>
      <c r="R1712" s="66"/>
      <c r="S1712" s="1"/>
      <c r="T1712" s="66"/>
      <c r="U1712" s="8"/>
      <c r="V1712" s="56"/>
      <c r="W1712" s="1"/>
      <c r="X1712" s="1"/>
      <c r="Y1712" s="1"/>
    </row>
    <row r="1713" spans="1:25">
      <c r="A1713" s="57"/>
      <c r="B1713" s="68"/>
      <c r="C1713" s="68"/>
      <c r="D1713" s="68"/>
      <c r="E1713" s="68"/>
      <c r="F1713" s="68"/>
      <c r="G1713" s="68"/>
      <c r="H1713" s="68"/>
      <c r="I1713" s="68"/>
      <c r="J1713" s="68"/>
      <c r="K1713" s="68"/>
      <c r="L1713" s="56"/>
      <c r="M1713" s="26"/>
      <c r="N1713" s="26"/>
      <c r="O1713" s="68"/>
      <c r="P1713" s="1"/>
      <c r="Q1713" s="8"/>
      <c r="R1713" s="66"/>
      <c r="S1713" s="1"/>
      <c r="T1713" s="66"/>
      <c r="U1713" s="8"/>
      <c r="V1713" s="56"/>
      <c r="W1713" s="1"/>
      <c r="X1713" s="1"/>
      <c r="Y1713" s="1"/>
    </row>
    <row r="1714" spans="1:25">
      <c r="A1714" s="57"/>
      <c r="B1714" s="68"/>
      <c r="C1714" s="68"/>
      <c r="D1714" s="68"/>
      <c r="E1714" s="68"/>
      <c r="F1714" s="68"/>
      <c r="G1714" s="68"/>
      <c r="H1714" s="68"/>
      <c r="I1714" s="68"/>
      <c r="J1714" s="68"/>
      <c r="K1714" s="68"/>
      <c r="L1714" s="56"/>
      <c r="M1714" s="26"/>
      <c r="N1714" s="26"/>
      <c r="O1714" s="68"/>
      <c r="P1714" s="1"/>
      <c r="Q1714" s="8"/>
      <c r="R1714" s="66"/>
      <c r="S1714" s="1"/>
      <c r="T1714" s="66"/>
      <c r="U1714" s="8"/>
      <c r="V1714" s="56"/>
      <c r="W1714" s="1"/>
      <c r="X1714" s="1"/>
      <c r="Y1714" s="1"/>
    </row>
    <row r="1715" spans="1:25">
      <c r="A1715" s="57"/>
      <c r="B1715" s="68"/>
      <c r="C1715" s="68"/>
      <c r="D1715" s="68"/>
      <c r="E1715" s="68"/>
      <c r="F1715" s="68"/>
      <c r="G1715" s="68"/>
      <c r="H1715" s="68"/>
      <c r="I1715" s="68"/>
      <c r="J1715" s="68"/>
      <c r="K1715" s="68"/>
      <c r="L1715" s="56"/>
      <c r="M1715" s="26"/>
      <c r="N1715" s="26"/>
      <c r="O1715" s="68"/>
      <c r="P1715" s="1"/>
      <c r="Q1715" s="8"/>
      <c r="R1715" s="66"/>
      <c r="S1715" s="1"/>
      <c r="T1715" s="66"/>
      <c r="U1715" s="8"/>
      <c r="V1715" s="56"/>
      <c r="W1715" s="1"/>
      <c r="X1715" s="1"/>
      <c r="Y1715" s="1"/>
    </row>
    <row r="1716" spans="1:25">
      <c r="A1716" s="57"/>
      <c r="B1716" s="68"/>
      <c r="C1716" s="68"/>
      <c r="D1716" s="68"/>
      <c r="E1716" s="68"/>
      <c r="F1716" s="68"/>
      <c r="G1716" s="68"/>
      <c r="H1716" s="68"/>
      <c r="I1716" s="68"/>
      <c r="J1716" s="68"/>
      <c r="K1716" s="68"/>
      <c r="L1716" s="56"/>
      <c r="M1716" s="26"/>
      <c r="N1716" s="26"/>
      <c r="O1716" s="68"/>
      <c r="P1716" s="1"/>
      <c r="Q1716" s="8"/>
      <c r="R1716" s="66"/>
      <c r="S1716" s="1"/>
      <c r="T1716" s="66"/>
      <c r="U1716" s="8"/>
      <c r="V1716" s="56"/>
      <c r="W1716" s="1"/>
      <c r="X1716" s="1"/>
      <c r="Y1716" s="1"/>
    </row>
    <row r="1717" spans="1:25">
      <c r="A1717" s="57"/>
      <c r="B1717" s="68"/>
      <c r="C1717" s="68"/>
      <c r="D1717" s="68"/>
      <c r="E1717" s="68"/>
      <c r="F1717" s="68"/>
      <c r="G1717" s="68"/>
      <c r="H1717" s="68"/>
      <c r="I1717" s="68"/>
      <c r="J1717" s="68"/>
      <c r="K1717" s="68"/>
      <c r="L1717" s="56"/>
      <c r="M1717" s="26"/>
      <c r="N1717" s="26"/>
      <c r="O1717" s="68"/>
      <c r="P1717" s="1"/>
      <c r="Q1717" s="8"/>
      <c r="R1717" s="66"/>
      <c r="S1717" s="1"/>
      <c r="T1717" s="66"/>
      <c r="U1717" s="8"/>
      <c r="V1717" s="56"/>
      <c r="W1717" s="1"/>
      <c r="X1717" s="1"/>
      <c r="Y1717" s="1"/>
    </row>
    <row r="1718" spans="1:25">
      <c r="A1718" s="57"/>
      <c r="B1718" s="68"/>
      <c r="C1718" s="68"/>
      <c r="D1718" s="68"/>
      <c r="E1718" s="68"/>
      <c r="F1718" s="68"/>
      <c r="G1718" s="68"/>
      <c r="H1718" s="68"/>
      <c r="I1718" s="68"/>
      <c r="J1718" s="68"/>
      <c r="K1718" s="68"/>
      <c r="L1718" s="56"/>
      <c r="M1718" s="26"/>
      <c r="N1718" s="26"/>
      <c r="O1718" s="68"/>
      <c r="P1718" s="1"/>
      <c r="Q1718" s="8"/>
      <c r="R1718" s="66"/>
      <c r="S1718" s="1"/>
      <c r="T1718" s="66"/>
      <c r="U1718" s="8"/>
      <c r="V1718" s="56"/>
      <c r="W1718" s="1"/>
      <c r="X1718" s="1"/>
      <c r="Y1718" s="1"/>
    </row>
    <row r="1719" spans="1:25">
      <c r="A1719" s="57"/>
      <c r="B1719" s="68"/>
      <c r="C1719" s="68"/>
      <c r="D1719" s="68"/>
      <c r="E1719" s="68"/>
      <c r="F1719" s="68"/>
      <c r="G1719" s="68"/>
      <c r="H1719" s="68"/>
      <c r="I1719" s="68"/>
      <c r="J1719" s="68"/>
      <c r="K1719" s="68"/>
      <c r="L1719" s="56"/>
      <c r="M1719" s="26"/>
      <c r="N1719" s="26"/>
      <c r="O1719" s="68"/>
      <c r="P1719" s="1"/>
      <c r="Q1719" s="8"/>
      <c r="R1719" s="66"/>
      <c r="S1719" s="1"/>
      <c r="T1719" s="66"/>
      <c r="U1719" s="8"/>
      <c r="V1719" s="56"/>
      <c r="W1719" s="1"/>
      <c r="X1719" s="1"/>
      <c r="Y1719" s="1"/>
    </row>
    <row r="1720" spans="1:25">
      <c r="A1720" s="57"/>
      <c r="B1720" s="68"/>
      <c r="C1720" s="68"/>
      <c r="D1720" s="68"/>
      <c r="E1720" s="68"/>
      <c r="F1720" s="68"/>
      <c r="G1720" s="68"/>
      <c r="H1720" s="68"/>
      <c r="I1720" s="68"/>
      <c r="J1720" s="68"/>
      <c r="K1720" s="68"/>
      <c r="L1720" s="56"/>
      <c r="M1720" s="26"/>
      <c r="N1720" s="26"/>
      <c r="O1720" s="68"/>
      <c r="P1720" s="1"/>
      <c r="Q1720" s="8"/>
      <c r="R1720" s="66"/>
      <c r="S1720" s="1"/>
      <c r="T1720" s="66"/>
      <c r="U1720" s="8"/>
      <c r="V1720" s="56"/>
      <c r="W1720" s="1"/>
      <c r="X1720" s="1"/>
      <c r="Y1720" s="1"/>
    </row>
    <row r="1721" spans="1:25">
      <c r="A1721" s="57"/>
      <c r="B1721" s="68"/>
      <c r="C1721" s="68"/>
      <c r="D1721" s="68"/>
      <c r="E1721" s="68"/>
      <c r="F1721" s="68"/>
      <c r="G1721" s="68"/>
      <c r="H1721" s="68"/>
      <c r="I1721" s="68"/>
      <c r="J1721" s="68"/>
      <c r="K1721" s="68"/>
      <c r="L1721" s="56"/>
      <c r="M1721" s="26"/>
      <c r="N1721" s="26"/>
      <c r="O1721" s="68"/>
      <c r="P1721" s="1"/>
      <c r="Q1721" s="8"/>
      <c r="R1721" s="66"/>
      <c r="S1721" s="1"/>
      <c r="T1721" s="66"/>
      <c r="U1721" s="8"/>
      <c r="V1721" s="56"/>
      <c r="W1721" s="1"/>
      <c r="X1721" s="1"/>
      <c r="Y1721" s="1"/>
    </row>
    <row r="1722" spans="1:25">
      <c r="A1722" s="57"/>
      <c r="B1722" s="68"/>
      <c r="C1722" s="68"/>
      <c r="D1722" s="68"/>
      <c r="E1722" s="68"/>
      <c r="F1722" s="68"/>
      <c r="G1722" s="68"/>
      <c r="H1722" s="68"/>
      <c r="I1722" s="68"/>
      <c r="J1722" s="68"/>
      <c r="K1722" s="68"/>
      <c r="L1722" s="56"/>
      <c r="M1722" s="26"/>
      <c r="N1722" s="26"/>
      <c r="O1722" s="68"/>
      <c r="P1722" s="1"/>
      <c r="Q1722" s="8"/>
      <c r="R1722" s="66"/>
      <c r="S1722" s="1"/>
      <c r="T1722" s="66"/>
      <c r="U1722" s="8"/>
      <c r="V1722" s="56"/>
      <c r="W1722" s="1"/>
      <c r="X1722" s="1"/>
      <c r="Y1722" s="1"/>
    </row>
    <row r="1723" spans="1:25">
      <c r="A1723" s="57"/>
      <c r="B1723" s="68"/>
      <c r="C1723" s="68"/>
      <c r="D1723" s="68"/>
      <c r="E1723" s="68"/>
      <c r="F1723" s="68"/>
      <c r="G1723" s="68"/>
      <c r="H1723" s="68"/>
      <c r="I1723" s="68"/>
      <c r="J1723" s="68"/>
      <c r="K1723" s="68"/>
      <c r="L1723" s="56"/>
      <c r="M1723" s="26"/>
      <c r="N1723" s="26"/>
      <c r="O1723" s="68"/>
      <c r="P1723" s="1"/>
      <c r="Q1723" s="8"/>
      <c r="R1723" s="66"/>
      <c r="S1723" s="1"/>
      <c r="T1723" s="66"/>
      <c r="U1723" s="8"/>
      <c r="V1723" s="56"/>
      <c r="W1723" s="1"/>
      <c r="X1723" s="1"/>
      <c r="Y1723" s="1"/>
    </row>
    <row r="1724" spans="1:25">
      <c r="A1724" s="57"/>
      <c r="B1724" s="68"/>
      <c r="C1724" s="68"/>
      <c r="D1724" s="68"/>
      <c r="E1724" s="68"/>
      <c r="F1724" s="68"/>
      <c r="G1724" s="68"/>
      <c r="H1724" s="68"/>
      <c r="I1724" s="68"/>
      <c r="J1724" s="68"/>
      <c r="K1724" s="68"/>
      <c r="L1724" s="56"/>
      <c r="M1724" s="26"/>
      <c r="N1724" s="26"/>
      <c r="O1724" s="68"/>
      <c r="P1724" s="1"/>
      <c r="Q1724" s="8"/>
      <c r="R1724" s="66"/>
      <c r="S1724" s="1"/>
      <c r="T1724" s="66"/>
      <c r="U1724" s="8"/>
      <c r="V1724" s="56"/>
      <c r="W1724" s="1"/>
      <c r="X1724" s="1"/>
      <c r="Y1724" s="1"/>
    </row>
    <row r="1725" spans="1:25">
      <c r="A1725" s="57"/>
      <c r="B1725" s="68"/>
      <c r="C1725" s="68"/>
      <c r="D1725" s="68"/>
      <c r="E1725" s="68"/>
      <c r="F1725" s="68"/>
      <c r="G1725" s="68"/>
      <c r="H1725" s="68"/>
      <c r="I1725" s="68"/>
      <c r="J1725" s="68"/>
      <c r="K1725" s="68"/>
      <c r="L1725" s="56"/>
      <c r="M1725" s="26"/>
      <c r="N1725" s="26"/>
      <c r="O1725" s="68"/>
      <c r="P1725" s="1"/>
      <c r="Q1725" s="8"/>
      <c r="R1725" s="66"/>
      <c r="S1725" s="1"/>
      <c r="T1725" s="66"/>
      <c r="U1725" s="8"/>
      <c r="V1725" s="56"/>
      <c r="W1725" s="1"/>
      <c r="X1725" s="1"/>
      <c r="Y1725" s="1"/>
    </row>
    <row r="1726" spans="1:25">
      <c r="A1726" s="57"/>
      <c r="B1726" s="68"/>
      <c r="C1726" s="68"/>
      <c r="D1726" s="68"/>
      <c r="E1726" s="68"/>
      <c r="F1726" s="68"/>
      <c r="G1726" s="68"/>
      <c r="H1726" s="68"/>
      <c r="I1726" s="68"/>
      <c r="J1726" s="68"/>
      <c r="K1726" s="68"/>
      <c r="L1726" s="56"/>
      <c r="M1726" s="26"/>
      <c r="N1726" s="26"/>
      <c r="O1726" s="68"/>
      <c r="P1726" s="1"/>
      <c r="Q1726" s="8"/>
      <c r="R1726" s="66"/>
      <c r="S1726" s="1"/>
      <c r="T1726" s="66"/>
      <c r="U1726" s="8"/>
      <c r="V1726" s="56"/>
      <c r="W1726" s="1"/>
      <c r="X1726" s="1"/>
      <c r="Y1726" s="1"/>
    </row>
    <row r="1727" spans="1:25">
      <c r="A1727" s="57"/>
      <c r="B1727" s="68"/>
      <c r="C1727" s="68"/>
      <c r="D1727" s="68"/>
      <c r="E1727" s="68"/>
      <c r="F1727" s="68"/>
      <c r="G1727" s="68"/>
      <c r="H1727" s="68"/>
      <c r="I1727" s="68"/>
      <c r="J1727" s="68"/>
      <c r="K1727" s="68"/>
      <c r="L1727" s="56"/>
      <c r="M1727" s="26"/>
      <c r="N1727" s="26"/>
      <c r="O1727" s="68"/>
      <c r="P1727" s="1"/>
      <c r="Q1727" s="8"/>
      <c r="R1727" s="66"/>
      <c r="S1727" s="1"/>
      <c r="T1727" s="66"/>
      <c r="U1727" s="8"/>
      <c r="V1727" s="56"/>
      <c r="W1727" s="1"/>
      <c r="X1727" s="1"/>
      <c r="Y1727" s="1"/>
    </row>
    <row r="1728" spans="1:25">
      <c r="A1728" s="57"/>
      <c r="B1728" s="68"/>
      <c r="C1728" s="68"/>
      <c r="D1728" s="68"/>
      <c r="E1728" s="68"/>
      <c r="F1728" s="68"/>
      <c r="G1728" s="68"/>
      <c r="H1728" s="68"/>
      <c r="I1728" s="68"/>
      <c r="J1728" s="68"/>
      <c r="K1728" s="68"/>
      <c r="L1728" s="56"/>
      <c r="M1728" s="26"/>
      <c r="N1728" s="26"/>
      <c r="O1728" s="68"/>
      <c r="P1728" s="1"/>
      <c r="Q1728" s="8"/>
      <c r="R1728" s="66"/>
      <c r="S1728" s="1"/>
      <c r="T1728" s="66"/>
      <c r="U1728" s="8"/>
      <c r="V1728" s="56"/>
      <c r="W1728" s="1"/>
      <c r="X1728" s="1"/>
      <c r="Y1728" s="1"/>
    </row>
    <row r="1729" spans="1:25">
      <c r="A1729" s="57"/>
      <c r="B1729" s="68"/>
      <c r="C1729" s="68"/>
      <c r="D1729" s="68"/>
      <c r="E1729" s="68"/>
      <c r="F1729" s="68"/>
      <c r="G1729" s="68"/>
      <c r="H1729" s="68"/>
      <c r="I1729" s="68"/>
      <c r="J1729" s="68"/>
      <c r="K1729" s="68"/>
      <c r="L1729" s="56"/>
      <c r="M1729" s="26"/>
      <c r="N1729" s="26"/>
      <c r="O1729" s="68"/>
      <c r="P1729" s="1"/>
      <c r="Q1729" s="8"/>
      <c r="R1729" s="66"/>
      <c r="S1729" s="1"/>
      <c r="T1729" s="66"/>
      <c r="U1729" s="8"/>
      <c r="V1729" s="56"/>
      <c r="W1729" s="1"/>
      <c r="X1729" s="1"/>
      <c r="Y1729" s="1"/>
    </row>
    <row r="1730" spans="1:25">
      <c r="A1730" s="57"/>
      <c r="B1730" s="68"/>
      <c r="C1730" s="68"/>
      <c r="D1730" s="68"/>
      <c r="E1730" s="68"/>
      <c r="F1730" s="68"/>
      <c r="G1730" s="68"/>
      <c r="H1730" s="68"/>
      <c r="I1730" s="68"/>
      <c r="J1730" s="68"/>
      <c r="K1730" s="68"/>
      <c r="L1730" s="56"/>
      <c r="M1730" s="26"/>
      <c r="N1730" s="26"/>
      <c r="O1730" s="68"/>
      <c r="P1730" s="1"/>
      <c r="Q1730" s="8"/>
      <c r="R1730" s="66"/>
      <c r="S1730" s="1"/>
      <c r="T1730" s="66"/>
      <c r="U1730" s="8"/>
      <c r="V1730" s="56"/>
      <c r="W1730" s="1"/>
      <c r="X1730" s="1"/>
      <c r="Y1730" s="1"/>
    </row>
    <row r="1731" spans="1:25">
      <c r="A1731" s="57"/>
      <c r="B1731" s="68"/>
      <c r="C1731" s="68"/>
      <c r="D1731" s="68"/>
      <c r="E1731" s="68"/>
      <c r="F1731" s="68"/>
      <c r="G1731" s="68"/>
      <c r="H1731" s="68"/>
      <c r="I1731" s="68"/>
      <c r="J1731" s="68"/>
      <c r="K1731" s="68"/>
      <c r="L1731" s="56"/>
      <c r="M1731" s="26"/>
      <c r="N1731" s="26"/>
      <c r="O1731" s="68"/>
      <c r="P1731" s="1"/>
      <c r="Q1731" s="8"/>
      <c r="R1731" s="66"/>
      <c r="S1731" s="1"/>
      <c r="T1731" s="66"/>
      <c r="U1731" s="8"/>
      <c r="V1731" s="56"/>
      <c r="W1731" s="1"/>
      <c r="X1731" s="1"/>
      <c r="Y1731" s="1"/>
    </row>
    <row r="1732" spans="1:25">
      <c r="A1732" s="57"/>
      <c r="B1732" s="68"/>
      <c r="C1732" s="68"/>
      <c r="D1732" s="68"/>
      <c r="E1732" s="68"/>
      <c r="F1732" s="68"/>
      <c r="G1732" s="68"/>
      <c r="H1732" s="68"/>
      <c r="I1732" s="68"/>
      <c r="J1732" s="68"/>
      <c r="K1732" s="68"/>
      <c r="L1732" s="56"/>
      <c r="M1732" s="26"/>
      <c r="N1732" s="26"/>
      <c r="O1732" s="68"/>
      <c r="P1732" s="1"/>
      <c r="Q1732" s="8"/>
      <c r="R1732" s="66"/>
      <c r="S1732" s="1"/>
      <c r="T1732" s="66"/>
      <c r="U1732" s="8"/>
      <c r="V1732" s="56"/>
      <c r="W1732" s="1"/>
      <c r="X1732" s="1"/>
      <c r="Y1732" s="1"/>
    </row>
    <row r="1733" spans="1:25">
      <c r="A1733" s="57"/>
      <c r="B1733" s="68"/>
      <c r="C1733" s="68"/>
      <c r="D1733" s="68"/>
      <c r="E1733" s="68"/>
      <c r="F1733" s="68"/>
      <c r="G1733" s="68"/>
      <c r="H1733" s="68"/>
      <c r="I1733" s="68"/>
      <c r="J1733" s="68"/>
      <c r="K1733" s="68"/>
      <c r="L1733" s="56"/>
      <c r="M1733" s="26"/>
      <c r="N1733" s="26"/>
      <c r="O1733" s="68"/>
      <c r="P1733" s="1"/>
      <c r="Q1733" s="8"/>
      <c r="R1733" s="66"/>
      <c r="S1733" s="1"/>
      <c r="T1733" s="66"/>
      <c r="U1733" s="8"/>
      <c r="V1733" s="56"/>
      <c r="W1733" s="1"/>
      <c r="X1733" s="1"/>
      <c r="Y1733" s="1"/>
    </row>
    <row r="1734" spans="1:25">
      <c r="A1734" s="57"/>
      <c r="B1734" s="68"/>
      <c r="C1734" s="68"/>
      <c r="D1734" s="68"/>
      <c r="E1734" s="68"/>
      <c r="F1734" s="68"/>
      <c r="G1734" s="68"/>
      <c r="H1734" s="68"/>
      <c r="I1734" s="68"/>
      <c r="J1734" s="68"/>
      <c r="K1734" s="68"/>
      <c r="L1734" s="56"/>
      <c r="M1734" s="26"/>
      <c r="N1734" s="26"/>
      <c r="O1734" s="68"/>
      <c r="P1734" s="1"/>
      <c r="Q1734" s="8"/>
      <c r="R1734" s="66"/>
      <c r="S1734" s="1"/>
      <c r="T1734" s="66"/>
      <c r="U1734" s="8"/>
      <c r="V1734" s="56"/>
      <c r="W1734" s="1"/>
      <c r="X1734" s="1"/>
      <c r="Y1734" s="1"/>
    </row>
    <row r="1735" spans="1:25">
      <c r="A1735" s="57"/>
      <c r="B1735" s="68"/>
      <c r="C1735" s="68"/>
      <c r="D1735" s="68"/>
      <c r="E1735" s="68"/>
      <c r="F1735" s="68"/>
      <c r="G1735" s="68"/>
      <c r="H1735" s="68"/>
      <c r="I1735" s="68"/>
      <c r="J1735" s="68"/>
      <c r="K1735" s="68"/>
      <c r="L1735" s="56"/>
      <c r="M1735" s="26"/>
      <c r="N1735" s="26"/>
      <c r="O1735" s="68"/>
      <c r="P1735" s="1"/>
      <c r="Q1735" s="8"/>
      <c r="R1735" s="66"/>
      <c r="S1735" s="1"/>
      <c r="T1735" s="66"/>
      <c r="U1735" s="8"/>
      <c r="V1735" s="56"/>
      <c r="W1735" s="1"/>
      <c r="X1735" s="1"/>
      <c r="Y1735" s="1"/>
    </row>
    <row r="1736" spans="1:25">
      <c r="A1736" s="57"/>
      <c r="B1736" s="68"/>
      <c r="C1736" s="68"/>
      <c r="D1736" s="68"/>
      <c r="E1736" s="68"/>
      <c r="F1736" s="68"/>
      <c r="G1736" s="68"/>
      <c r="H1736" s="68"/>
      <c r="I1736" s="68"/>
      <c r="J1736" s="68"/>
      <c r="K1736" s="68"/>
      <c r="L1736" s="56"/>
      <c r="M1736" s="26"/>
      <c r="N1736" s="26"/>
      <c r="O1736" s="68"/>
      <c r="P1736" s="1"/>
      <c r="Q1736" s="8"/>
      <c r="R1736" s="66"/>
      <c r="S1736" s="1"/>
      <c r="T1736" s="66"/>
      <c r="U1736" s="8"/>
      <c r="V1736" s="56"/>
      <c r="W1736" s="1"/>
      <c r="X1736" s="1"/>
      <c r="Y1736" s="1"/>
    </row>
    <row r="1737" spans="1:25">
      <c r="A1737" s="57"/>
      <c r="B1737" s="68"/>
      <c r="C1737" s="68"/>
      <c r="D1737" s="68"/>
      <c r="E1737" s="68"/>
      <c r="F1737" s="68"/>
      <c r="G1737" s="68"/>
      <c r="H1737" s="68"/>
      <c r="I1737" s="68"/>
      <c r="J1737" s="68"/>
      <c r="K1737" s="68"/>
      <c r="L1737" s="56"/>
      <c r="M1737" s="26"/>
      <c r="N1737" s="26"/>
      <c r="O1737" s="68"/>
      <c r="P1737" s="1"/>
      <c r="Q1737" s="8"/>
      <c r="R1737" s="66"/>
      <c r="S1737" s="1"/>
      <c r="T1737" s="66"/>
      <c r="U1737" s="8"/>
      <c r="V1737" s="56"/>
      <c r="W1737" s="1"/>
      <c r="X1737" s="1"/>
      <c r="Y1737" s="1"/>
    </row>
    <row r="1738" spans="1:25">
      <c r="A1738" s="57"/>
      <c r="B1738" s="68"/>
      <c r="C1738" s="68"/>
      <c r="D1738" s="68"/>
      <c r="E1738" s="68"/>
      <c r="F1738" s="68"/>
      <c r="G1738" s="68"/>
      <c r="H1738" s="68"/>
      <c r="I1738" s="68"/>
      <c r="J1738" s="68"/>
      <c r="K1738" s="68"/>
      <c r="L1738" s="56"/>
      <c r="M1738" s="26"/>
      <c r="N1738" s="26"/>
      <c r="O1738" s="68"/>
      <c r="P1738" s="1"/>
      <c r="Q1738" s="8"/>
      <c r="R1738" s="66"/>
      <c r="S1738" s="1"/>
      <c r="T1738" s="66"/>
      <c r="U1738" s="8"/>
      <c r="V1738" s="56"/>
      <c r="W1738" s="1"/>
      <c r="X1738" s="1"/>
      <c r="Y1738" s="1"/>
    </row>
    <row r="1739" spans="1:25">
      <c r="A1739" s="57"/>
      <c r="B1739" s="68"/>
      <c r="C1739" s="68"/>
      <c r="D1739" s="68"/>
      <c r="E1739" s="68"/>
      <c r="F1739" s="68"/>
      <c r="G1739" s="68"/>
      <c r="H1739" s="68"/>
      <c r="I1739" s="68"/>
      <c r="J1739" s="68"/>
      <c r="K1739" s="68"/>
      <c r="L1739" s="56"/>
      <c r="M1739" s="26"/>
      <c r="N1739" s="26"/>
      <c r="O1739" s="68"/>
      <c r="P1739" s="1"/>
      <c r="Q1739" s="8"/>
      <c r="R1739" s="66"/>
      <c r="S1739" s="1"/>
      <c r="T1739" s="66"/>
      <c r="U1739" s="8"/>
      <c r="V1739" s="56"/>
      <c r="W1739" s="1"/>
      <c r="X1739" s="1"/>
      <c r="Y1739" s="1"/>
    </row>
    <row r="1740" spans="1:25">
      <c r="A1740" s="57"/>
      <c r="B1740" s="68"/>
      <c r="C1740" s="68"/>
      <c r="D1740" s="68"/>
      <c r="E1740" s="68"/>
      <c r="F1740" s="68"/>
      <c r="G1740" s="68"/>
      <c r="H1740" s="68"/>
      <c r="I1740" s="68"/>
      <c r="J1740" s="68"/>
      <c r="K1740" s="68"/>
      <c r="L1740" s="56"/>
      <c r="M1740" s="26"/>
      <c r="N1740" s="26"/>
      <c r="O1740" s="68"/>
      <c r="P1740" s="1"/>
      <c r="Q1740" s="8"/>
      <c r="R1740" s="66"/>
      <c r="S1740" s="1"/>
      <c r="T1740" s="66"/>
      <c r="U1740" s="8"/>
      <c r="V1740" s="56"/>
      <c r="W1740" s="1"/>
      <c r="X1740" s="1"/>
      <c r="Y1740" s="1"/>
    </row>
    <row r="1741" spans="1:25">
      <c r="A1741" s="57"/>
      <c r="B1741" s="68"/>
      <c r="C1741" s="68"/>
      <c r="D1741" s="68"/>
      <c r="E1741" s="68"/>
      <c r="F1741" s="68"/>
      <c r="G1741" s="68"/>
      <c r="H1741" s="68"/>
      <c r="I1741" s="68"/>
      <c r="J1741" s="68"/>
      <c r="K1741" s="68"/>
      <c r="L1741" s="56"/>
      <c r="M1741" s="26"/>
      <c r="N1741" s="26"/>
      <c r="O1741" s="68"/>
      <c r="P1741" s="1"/>
      <c r="Q1741" s="8"/>
      <c r="R1741" s="66"/>
      <c r="S1741" s="1"/>
      <c r="T1741" s="66"/>
      <c r="U1741" s="8"/>
      <c r="V1741" s="56"/>
      <c r="W1741" s="1"/>
      <c r="X1741" s="1"/>
      <c r="Y1741" s="1"/>
    </row>
    <row r="1742" spans="1:25">
      <c r="A1742" s="57"/>
      <c r="B1742" s="68"/>
      <c r="C1742" s="68"/>
      <c r="D1742" s="68"/>
      <c r="E1742" s="68"/>
      <c r="F1742" s="68"/>
      <c r="G1742" s="68"/>
      <c r="H1742" s="68"/>
      <c r="I1742" s="68"/>
      <c r="J1742" s="68"/>
      <c r="K1742" s="68"/>
      <c r="L1742" s="56"/>
      <c r="M1742" s="26"/>
      <c r="N1742" s="26"/>
      <c r="O1742" s="68"/>
      <c r="P1742" s="1"/>
      <c r="Q1742" s="8"/>
      <c r="R1742" s="66"/>
      <c r="S1742" s="1"/>
      <c r="T1742" s="66"/>
      <c r="U1742" s="8"/>
      <c r="V1742" s="56"/>
      <c r="W1742" s="1"/>
      <c r="X1742" s="1"/>
      <c r="Y1742" s="1"/>
    </row>
    <row r="1743" spans="1:25">
      <c r="A1743" s="57"/>
      <c r="B1743" s="68"/>
      <c r="C1743" s="68"/>
      <c r="D1743" s="68"/>
      <c r="E1743" s="68"/>
      <c r="F1743" s="68"/>
      <c r="G1743" s="68"/>
      <c r="H1743" s="68"/>
      <c r="I1743" s="68"/>
      <c r="J1743" s="68"/>
      <c r="K1743" s="68"/>
      <c r="L1743" s="56"/>
      <c r="M1743" s="26"/>
      <c r="N1743" s="26"/>
      <c r="O1743" s="68"/>
      <c r="P1743" s="1"/>
      <c r="Q1743" s="8"/>
      <c r="R1743" s="66"/>
      <c r="S1743" s="1"/>
      <c r="T1743" s="66"/>
      <c r="U1743" s="8"/>
      <c r="V1743" s="56"/>
      <c r="W1743" s="1"/>
      <c r="X1743" s="1"/>
      <c r="Y1743" s="1"/>
    </row>
    <row r="1744" spans="1:25">
      <c r="A1744" s="57"/>
      <c r="B1744" s="68"/>
      <c r="C1744" s="68"/>
      <c r="D1744" s="68"/>
      <c r="E1744" s="68"/>
      <c r="F1744" s="68"/>
      <c r="G1744" s="68"/>
      <c r="H1744" s="68"/>
      <c r="I1744" s="68"/>
      <c r="J1744" s="68"/>
      <c r="K1744" s="68"/>
      <c r="L1744" s="56"/>
      <c r="M1744" s="26"/>
      <c r="N1744" s="26"/>
      <c r="O1744" s="68"/>
      <c r="P1744" s="1"/>
      <c r="Q1744" s="8"/>
      <c r="R1744" s="66"/>
      <c r="S1744" s="1"/>
      <c r="T1744" s="66"/>
      <c r="U1744" s="8"/>
      <c r="V1744" s="56"/>
      <c r="W1744" s="1"/>
      <c r="X1744" s="1"/>
      <c r="Y1744" s="1"/>
    </row>
    <row r="1745" spans="1:25">
      <c r="A1745" s="57"/>
      <c r="B1745" s="68"/>
      <c r="C1745" s="68"/>
      <c r="D1745" s="68"/>
      <c r="E1745" s="68"/>
      <c r="F1745" s="68"/>
      <c r="G1745" s="68"/>
      <c r="H1745" s="68"/>
      <c r="I1745" s="68"/>
      <c r="J1745" s="68"/>
      <c r="K1745" s="68"/>
      <c r="L1745" s="56"/>
      <c r="M1745" s="26"/>
      <c r="N1745" s="26"/>
      <c r="O1745" s="68"/>
      <c r="P1745" s="1"/>
      <c r="Q1745" s="8"/>
      <c r="R1745" s="66"/>
      <c r="S1745" s="1"/>
      <c r="T1745" s="66"/>
      <c r="U1745" s="8"/>
      <c r="V1745" s="56"/>
      <c r="W1745" s="1"/>
      <c r="X1745" s="1"/>
      <c r="Y1745" s="1"/>
    </row>
    <row r="1746" spans="1:25">
      <c r="A1746" s="57"/>
      <c r="B1746" s="68"/>
      <c r="C1746" s="68"/>
      <c r="D1746" s="68"/>
      <c r="E1746" s="68"/>
      <c r="F1746" s="68"/>
      <c r="G1746" s="68"/>
      <c r="H1746" s="68"/>
      <c r="I1746" s="68"/>
      <c r="J1746" s="68"/>
      <c r="K1746" s="68"/>
      <c r="L1746" s="56"/>
      <c r="M1746" s="26"/>
      <c r="N1746" s="26"/>
      <c r="O1746" s="68"/>
      <c r="P1746" s="1"/>
      <c r="Q1746" s="8"/>
      <c r="R1746" s="66"/>
      <c r="S1746" s="1"/>
      <c r="T1746" s="66"/>
      <c r="U1746" s="8"/>
      <c r="V1746" s="56"/>
      <c r="W1746" s="1"/>
      <c r="X1746" s="1"/>
      <c r="Y1746" s="1"/>
    </row>
    <row r="1747" spans="1:25">
      <c r="A1747" s="57"/>
      <c r="B1747" s="68"/>
      <c r="C1747" s="68"/>
      <c r="D1747" s="68"/>
      <c r="E1747" s="68"/>
      <c r="F1747" s="68"/>
      <c r="G1747" s="68"/>
      <c r="H1747" s="68"/>
      <c r="I1747" s="68"/>
      <c r="J1747" s="68"/>
      <c r="K1747" s="68"/>
      <c r="L1747" s="56"/>
      <c r="M1747" s="26"/>
      <c r="N1747" s="26"/>
      <c r="O1747" s="68"/>
      <c r="P1747" s="1"/>
      <c r="Q1747" s="8"/>
      <c r="R1747" s="66"/>
      <c r="S1747" s="1"/>
      <c r="T1747" s="66"/>
      <c r="U1747" s="8"/>
      <c r="V1747" s="56"/>
      <c r="W1747" s="1"/>
      <c r="X1747" s="1"/>
      <c r="Y1747" s="1"/>
    </row>
    <row r="1748" spans="1:25">
      <c r="A1748" s="57"/>
      <c r="B1748" s="68"/>
      <c r="C1748" s="68"/>
      <c r="D1748" s="68"/>
      <c r="E1748" s="68"/>
      <c r="F1748" s="68"/>
      <c r="G1748" s="68"/>
      <c r="H1748" s="68"/>
      <c r="I1748" s="68"/>
      <c r="J1748" s="68"/>
      <c r="K1748" s="68"/>
      <c r="L1748" s="56"/>
      <c r="M1748" s="26"/>
      <c r="N1748" s="26"/>
      <c r="O1748" s="68"/>
      <c r="P1748" s="1"/>
      <c r="Q1748" s="8"/>
      <c r="R1748" s="66"/>
      <c r="S1748" s="1"/>
      <c r="T1748" s="66"/>
      <c r="U1748" s="8"/>
      <c r="V1748" s="56"/>
      <c r="W1748" s="1"/>
      <c r="X1748" s="1"/>
      <c r="Y1748" s="1"/>
    </row>
    <row r="1749" spans="1:25">
      <c r="A1749" s="57"/>
      <c r="B1749" s="68"/>
      <c r="C1749" s="68"/>
      <c r="D1749" s="68"/>
      <c r="E1749" s="68"/>
      <c r="F1749" s="68"/>
      <c r="G1749" s="68"/>
      <c r="H1749" s="68"/>
      <c r="I1749" s="68"/>
      <c r="J1749" s="68"/>
      <c r="K1749" s="68"/>
      <c r="L1749" s="56"/>
      <c r="M1749" s="26"/>
      <c r="N1749" s="26"/>
      <c r="O1749" s="68"/>
      <c r="P1749" s="1"/>
      <c r="Q1749" s="8"/>
      <c r="R1749" s="66"/>
      <c r="S1749" s="1"/>
      <c r="T1749" s="66"/>
      <c r="U1749" s="8"/>
      <c r="V1749" s="56"/>
      <c r="W1749" s="1"/>
      <c r="X1749" s="1"/>
      <c r="Y1749" s="1"/>
    </row>
    <row r="1750" spans="1:25">
      <c r="A1750" s="57"/>
      <c r="B1750" s="68"/>
      <c r="C1750" s="68"/>
      <c r="D1750" s="68"/>
      <c r="E1750" s="68"/>
      <c r="F1750" s="68"/>
      <c r="G1750" s="68"/>
      <c r="H1750" s="68"/>
      <c r="I1750" s="68"/>
      <c r="J1750" s="68"/>
      <c r="K1750" s="68"/>
      <c r="L1750" s="56"/>
      <c r="M1750" s="26"/>
      <c r="N1750" s="26"/>
      <c r="O1750" s="68"/>
      <c r="P1750" s="1"/>
      <c r="Q1750" s="8"/>
      <c r="R1750" s="66"/>
      <c r="S1750" s="1"/>
      <c r="T1750" s="66"/>
      <c r="U1750" s="8"/>
      <c r="V1750" s="56"/>
      <c r="W1750" s="1"/>
      <c r="X1750" s="1"/>
      <c r="Y1750" s="1"/>
    </row>
    <row r="1751" spans="1:25">
      <c r="A1751" s="57"/>
      <c r="B1751" s="68"/>
      <c r="C1751" s="68"/>
      <c r="D1751" s="68"/>
      <c r="E1751" s="68"/>
      <c r="F1751" s="68"/>
      <c r="G1751" s="68"/>
      <c r="H1751" s="68"/>
      <c r="I1751" s="68"/>
      <c r="J1751" s="68"/>
      <c r="K1751" s="68"/>
      <c r="L1751" s="56"/>
      <c r="M1751" s="26"/>
      <c r="N1751" s="26"/>
      <c r="O1751" s="68"/>
      <c r="P1751" s="1"/>
      <c r="Q1751" s="8"/>
      <c r="R1751" s="66"/>
      <c r="S1751" s="1"/>
      <c r="T1751" s="66"/>
      <c r="U1751" s="8"/>
      <c r="V1751" s="56"/>
      <c r="W1751" s="1"/>
      <c r="X1751" s="1"/>
      <c r="Y1751" s="1"/>
    </row>
    <row r="1752" spans="1:25">
      <c r="A1752" s="57"/>
      <c r="B1752" s="68"/>
      <c r="C1752" s="68"/>
      <c r="D1752" s="68"/>
      <c r="E1752" s="68"/>
      <c r="F1752" s="68"/>
      <c r="G1752" s="68"/>
      <c r="H1752" s="68"/>
      <c r="I1752" s="68"/>
      <c r="J1752" s="68"/>
      <c r="K1752" s="68"/>
      <c r="L1752" s="56"/>
      <c r="M1752" s="26"/>
      <c r="N1752" s="26"/>
      <c r="O1752" s="68"/>
      <c r="P1752" s="1"/>
      <c r="Q1752" s="8"/>
      <c r="R1752" s="66"/>
      <c r="S1752" s="1"/>
      <c r="T1752" s="66"/>
      <c r="U1752" s="8"/>
      <c r="V1752" s="56"/>
      <c r="W1752" s="1"/>
      <c r="X1752" s="1"/>
      <c r="Y1752" s="1"/>
    </row>
    <row r="1753" spans="1:25">
      <c r="A1753" s="57"/>
      <c r="B1753" s="68"/>
      <c r="C1753" s="68"/>
      <c r="D1753" s="68"/>
      <c r="E1753" s="68"/>
      <c r="F1753" s="68"/>
      <c r="G1753" s="68"/>
      <c r="H1753" s="68"/>
      <c r="I1753" s="68"/>
      <c r="J1753" s="68"/>
      <c r="K1753" s="68"/>
      <c r="L1753" s="56"/>
      <c r="M1753" s="26"/>
      <c r="N1753" s="26"/>
      <c r="O1753" s="68"/>
      <c r="P1753" s="1"/>
      <c r="Q1753" s="8"/>
      <c r="R1753" s="66"/>
      <c r="S1753" s="1"/>
      <c r="T1753" s="66"/>
      <c r="U1753" s="8"/>
      <c r="V1753" s="56"/>
      <c r="W1753" s="1"/>
      <c r="X1753" s="1"/>
      <c r="Y1753" s="1"/>
    </row>
    <row r="1754" spans="1:25">
      <c r="A1754" s="57"/>
      <c r="B1754" s="68"/>
      <c r="C1754" s="68"/>
      <c r="D1754" s="68"/>
      <c r="E1754" s="68"/>
      <c r="F1754" s="68"/>
      <c r="G1754" s="68"/>
      <c r="H1754" s="68"/>
      <c r="I1754" s="68"/>
      <c r="J1754" s="68"/>
      <c r="K1754" s="68"/>
      <c r="L1754" s="56"/>
      <c r="M1754" s="26"/>
      <c r="N1754" s="26"/>
      <c r="O1754" s="68"/>
      <c r="P1754" s="1"/>
      <c r="Q1754" s="8"/>
      <c r="R1754" s="66"/>
      <c r="S1754" s="1"/>
      <c r="T1754" s="66"/>
      <c r="U1754" s="8"/>
      <c r="V1754" s="56"/>
      <c r="W1754" s="1"/>
      <c r="X1754" s="1"/>
      <c r="Y1754" s="1"/>
    </row>
    <row r="1755" spans="1:25">
      <c r="A1755" s="57"/>
      <c r="B1755" s="68"/>
      <c r="C1755" s="68"/>
      <c r="D1755" s="68"/>
      <c r="E1755" s="68"/>
      <c r="F1755" s="68"/>
      <c r="G1755" s="68"/>
      <c r="H1755" s="68"/>
      <c r="I1755" s="68"/>
      <c r="J1755" s="68"/>
      <c r="K1755" s="68"/>
      <c r="L1755" s="56"/>
      <c r="M1755" s="26"/>
      <c r="N1755" s="26"/>
      <c r="O1755" s="68"/>
      <c r="P1755" s="1"/>
      <c r="Q1755" s="8"/>
      <c r="R1755" s="66"/>
      <c r="S1755" s="1"/>
      <c r="T1755" s="66"/>
      <c r="U1755" s="8"/>
      <c r="V1755" s="56"/>
      <c r="W1755" s="1"/>
      <c r="X1755" s="1"/>
      <c r="Y1755" s="1"/>
    </row>
    <row r="1756" spans="1:25">
      <c r="A1756" s="57"/>
      <c r="B1756" s="68"/>
      <c r="C1756" s="68"/>
      <c r="D1756" s="68"/>
      <c r="E1756" s="68"/>
      <c r="F1756" s="68"/>
      <c r="G1756" s="68"/>
      <c r="H1756" s="68"/>
      <c r="I1756" s="68"/>
      <c r="J1756" s="68"/>
      <c r="K1756" s="68"/>
      <c r="L1756" s="56"/>
      <c r="M1756" s="26"/>
      <c r="N1756" s="26"/>
      <c r="O1756" s="68"/>
      <c r="P1756" s="1"/>
      <c r="Q1756" s="8"/>
      <c r="R1756" s="66"/>
      <c r="S1756" s="1"/>
      <c r="T1756" s="66"/>
      <c r="U1756" s="8"/>
      <c r="V1756" s="56"/>
      <c r="W1756" s="1"/>
      <c r="X1756" s="1"/>
      <c r="Y1756" s="1"/>
    </row>
    <row r="1757" spans="1:25">
      <c r="A1757" s="57"/>
      <c r="B1757" s="68"/>
      <c r="C1757" s="68"/>
      <c r="D1757" s="68"/>
      <c r="E1757" s="68"/>
      <c r="F1757" s="68"/>
      <c r="G1757" s="68"/>
      <c r="H1757" s="68"/>
      <c r="I1757" s="68"/>
      <c r="J1757" s="68"/>
      <c r="K1757" s="68"/>
      <c r="L1757" s="56"/>
      <c r="M1757" s="26"/>
      <c r="N1757" s="26"/>
      <c r="O1757" s="68"/>
      <c r="P1757" s="1"/>
      <c r="Q1757" s="8"/>
      <c r="R1757" s="66"/>
      <c r="S1757" s="1"/>
      <c r="T1757" s="66"/>
      <c r="U1757" s="8"/>
      <c r="V1757" s="56"/>
      <c r="W1757" s="1"/>
      <c r="X1757" s="1"/>
      <c r="Y1757" s="1"/>
    </row>
    <row r="1758" spans="1:25">
      <c r="A1758" s="57"/>
      <c r="B1758" s="68"/>
      <c r="C1758" s="68"/>
      <c r="D1758" s="68"/>
      <c r="E1758" s="68"/>
      <c r="F1758" s="68"/>
      <c r="G1758" s="68"/>
      <c r="H1758" s="68"/>
      <c r="I1758" s="68"/>
      <c r="J1758" s="68"/>
      <c r="K1758" s="68"/>
      <c r="L1758" s="56"/>
      <c r="M1758" s="26"/>
      <c r="N1758" s="26"/>
      <c r="O1758" s="68"/>
      <c r="P1758" s="1"/>
      <c r="Q1758" s="8"/>
      <c r="R1758" s="66"/>
      <c r="S1758" s="1"/>
      <c r="T1758" s="66"/>
      <c r="U1758" s="8"/>
      <c r="V1758" s="56"/>
      <c r="W1758" s="1"/>
      <c r="X1758" s="1"/>
      <c r="Y1758" s="1"/>
    </row>
    <row r="1759" spans="1:25">
      <c r="A1759" s="57"/>
      <c r="B1759" s="68"/>
      <c r="C1759" s="68"/>
      <c r="D1759" s="68"/>
      <c r="E1759" s="68"/>
      <c r="F1759" s="68"/>
      <c r="G1759" s="68"/>
      <c r="H1759" s="68"/>
      <c r="I1759" s="68"/>
      <c r="J1759" s="68"/>
      <c r="K1759" s="68"/>
      <c r="L1759" s="56"/>
      <c r="M1759" s="26"/>
      <c r="N1759" s="26"/>
      <c r="O1759" s="68"/>
      <c r="P1759" s="1"/>
      <c r="Q1759" s="8"/>
      <c r="R1759" s="66"/>
      <c r="S1759" s="1"/>
      <c r="T1759" s="66"/>
      <c r="U1759" s="8"/>
      <c r="V1759" s="56"/>
      <c r="W1759" s="1"/>
      <c r="X1759" s="1"/>
      <c r="Y1759" s="1"/>
    </row>
    <row r="1760" spans="1:25">
      <c r="A1760" s="57"/>
      <c r="B1760" s="68"/>
      <c r="C1760" s="68"/>
      <c r="D1760" s="68"/>
      <c r="E1760" s="68"/>
      <c r="F1760" s="68"/>
      <c r="G1760" s="68"/>
      <c r="H1760" s="68"/>
      <c r="I1760" s="68"/>
      <c r="J1760" s="68"/>
      <c r="K1760" s="68"/>
      <c r="L1760" s="56"/>
      <c r="M1760" s="26"/>
      <c r="N1760" s="26"/>
      <c r="O1760" s="68"/>
      <c r="P1760" s="1"/>
      <c r="Q1760" s="8"/>
      <c r="R1760" s="66"/>
      <c r="S1760" s="1"/>
      <c r="T1760" s="66"/>
      <c r="U1760" s="8"/>
      <c r="V1760" s="56"/>
      <c r="W1760" s="1"/>
      <c r="X1760" s="1"/>
      <c r="Y1760" s="1"/>
    </row>
    <row r="1761" spans="1:25">
      <c r="A1761" s="57"/>
      <c r="B1761" s="68"/>
      <c r="C1761" s="68"/>
      <c r="D1761" s="68"/>
      <c r="E1761" s="68"/>
      <c r="F1761" s="68"/>
      <c r="G1761" s="68"/>
      <c r="H1761" s="68"/>
      <c r="I1761" s="68"/>
      <c r="J1761" s="68"/>
      <c r="K1761" s="68"/>
      <c r="L1761" s="56"/>
      <c r="M1761" s="26"/>
      <c r="N1761" s="26"/>
      <c r="O1761" s="68"/>
      <c r="P1761" s="1"/>
      <c r="Q1761" s="8"/>
      <c r="R1761" s="66"/>
      <c r="S1761" s="1"/>
      <c r="T1761" s="66"/>
      <c r="U1761" s="8"/>
      <c r="V1761" s="56"/>
      <c r="W1761" s="1"/>
      <c r="X1761" s="1"/>
      <c r="Y1761" s="1"/>
    </row>
    <row r="1762" spans="1:25">
      <c r="A1762" s="57"/>
      <c r="B1762" s="68"/>
      <c r="C1762" s="68"/>
      <c r="D1762" s="68"/>
      <c r="E1762" s="68"/>
      <c r="F1762" s="68"/>
      <c r="G1762" s="68"/>
      <c r="H1762" s="68"/>
      <c r="I1762" s="68"/>
      <c r="J1762" s="68"/>
      <c r="K1762" s="68"/>
      <c r="L1762" s="56"/>
      <c r="M1762" s="26"/>
      <c r="N1762" s="26"/>
      <c r="O1762" s="68"/>
      <c r="P1762" s="1"/>
      <c r="Q1762" s="8"/>
      <c r="R1762" s="66"/>
      <c r="S1762" s="1"/>
      <c r="T1762" s="66"/>
      <c r="U1762" s="8"/>
      <c r="V1762" s="56"/>
      <c r="W1762" s="1"/>
      <c r="X1762" s="1"/>
      <c r="Y1762" s="1"/>
    </row>
    <row r="1763" spans="1:25">
      <c r="A1763" s="57"/>
      <c r="B1763" s="68"/>
      <c r="C1763" s="68"/>
      <c r="D1763" s="68"/>
      <c r="E1763" s="68"/>
      <c r="F1763" s="68"/>
      <c r="G1763" s="68"/>
      <c r="H1763" s="68"/>
      <c r="I1763" s="68"/>
      <c r="J1763" s="68"/>
      <c r="K1763" s="68"/>
      <c r="L1763" s="56"/>
      <c r="M1763" s="26"/>
      <c r="N1763" s="26"/>
      <c r="O1763" s="68"/>
      <c r="P1763" s="1"/>
      <c r="Q1763" s="8"/>
      <c r="R1763" s="66"/>
      <c r="S1763" s="1"/>
      <c r="T1763" s="66"/>
      <c r="U1763" s="8"/>
      <c r="V1763" s="56"/>
      <c r="W1763" s="1"/>
      <c r="X1763" s="1"/>
      <c r="Y1763" s="1"/>
    </row>
    <row r="1764" spans="1:25">
      <c r="A1764" s="57"/>
      <c r="B1764" s="68"/>
      <c r="C1764" s="68"/>
      <c r="D1764" s="68"/>
      <c r="E1764" s="68"/>
      <c r="F1764" s="68"/>
      <c r="G1764" s="68"/>
      <c r="H1764" s="68"/>
      <c r="I1764" s="68"/>
      <c r="J1764" s="68"/>
      <c r="K1764" s="68"/>
      <c r="L1764" s="56"/>
      <c r="M1764" s="26"/>
      <c r="N1764" s="26"/>
      <c r="O1764" s="68"/>
      <c r="P1764" s="1"/>
      <c r="Q1764" s="8"/>
      <c r="R1764" s="66"/>
      <c r="S1764" s="1"/>
      <c r="T1764" s="66"/>
      <c r="U1764" s="8"/>
      <c r="V1764" s="56"/>
      <c r="W1764" s="1"/>
      <c r="X1764" s="1"/>
      <c r="Y1764" s="1"/>
    </row>
    <row r="1765" spans="1:25">
      <c r="A1765" s="57"/>
      <c r="B1765" s="68"/>
      <c r="C1765" s="68"/>
      <c r="D1765" s="68"/>
      <c r="E1765" s="68"/>
      <c r="F1765" s="68"/>
      <c r="G1765" s="68"/>
      <c r="H1765" s="68"/>
      <c r="I1765" s="68"/>
      <c r="J1765" s="68"/>
      <c r="K1765" s="68"/>
      <c r="L1765" s="56"/>
      <c r="M1765" s="26"/>
      <c r="N1765" s="26"/>
      <c r="O1765" s="68"/>
      <c r="P1765" s="1"/>
      <c r="Q1765" s="8"/>
      <c r="R1765" s="66"/>
      <c r="S1765" s="1"/>
      <c r="T1765" s="66"/>
      <c r="U1765" s="8"/>
      <c r="V1765" s="56"/>
      <c r="W1765" s="1"/>
      <c r="X1765" s="1"/>
      <c r="Y1765" s="1"/>
    </row>
    <row r="1766" spans="1:25">
      <c r="A1766" s="57"/>
      <c r="B1766" s="68"/>
      <c r="C1766" s="68"/>
      <c r="D1766" s="68"/>
      <c r="E1766" s="68"/>
      <c r="F1766" s="68"/>
      <c r="G1766" s="68"/>
      <c r="H1766" s="68"/>
      <c r="I1766" s="68"/>
      <c r="J1766" s="68"/>
      <c r="K1766" s="68"/>
      <c r="L1766" s="56"/>
      <c r="M1766" s="26"/>
      <c r="N1766" s="26"/>
      <c r="O1766" s="68"/>
      <c r="P1766" s="1"/>
      <c r="Q1766" s="8"/>
      <c r="R1766" s="66"/>
      <c r="S1766" s="1"/>
      <c r="T1766" s="66"/>
      <c r="U1766" s="8"/>
      <c r="V1766" s="56"/>
      <c r="W1766" s="1"/>
      <c r="X1766" s="1"/>
      <c r="Y1766" s="1"/>
    </row>
    <row r="1767" spans="1:25">
      <c r="A1767" s="57"/>
      <c r="B1767" s="68"/>
      <c r="C1767" s="68"/>
      <c r="D1767" s="68"/>
      <c r="E1767" s="68"/>
      <c r="F1767" s="68"/>
      <c r="G1767" s="68"/>
      <c r="H1767" s="68"/>
      <c r="I1767" s="68"/>
      <c r="J1767" s="68"/>
      <c r="K1767" s="68"/>
      <c r="L1767" s="56"/>
      <c r="M1767" s="26"/>
      <c r="N1767" s="26"/>
      <c r="O1767" s="68"/>
      <c r="P1767" s="1"/>
      <c r="Q1767" s="8"/>
      <c r="R1767" s="66"/>
      <c r="S1767" s="1"/>
      <c r="T1767" s="66"/>
      <c r="U1767" s="8"/>
      <c r="V1767" s="56"/>
      <c r="W1767" s="1"/>
      <c r="X1767" s="1"/>
      <c r="Y1767" s="1"/>
    </row>
    <row r="1768" spans="1:25">
      <c r="A1768" s="57"/>
      <c r="B1768" s="68"/>
      <c r="C1768" s="68"/>
      <c r="D1768" s="68"/>
      <c r="E1768" s="68"/>
      <c r="F1768" s="68"/>
      <c r="G1768" s="68"/>
      <c r="H1768" s="68"/>
      <c r="I1768" s="68"/>
      <c r="J1768" s="68"/>
      <c r="K1768" s="68"/>
      <c r="L1768" s="56"/>
      <c r="M1768" s="26"/>
      <c r="N1768" s="26"/>
      <c r="O1768" s="68"/>
      <c r="P1768" s="1"/>
      <c r="Q1768" s="8"/>
      <c r="R1768" s="66"/>
      <c r="S1768" s="1"/>
      <c r="T1768" s="66"/>
      <c r="U1768" s="8"/>
      <c r="V1768" s="56"/>
      <c r="W1768" s="1"/>
      <c r="X1768" s="1"/>
      <c r="Y1768" s="1"/>
    </row>
    <row r="1769" spans="1:25">
      <c r="A1769" s="57"/>
      <c r="B1769" s="68"/>
      <c r="C1769" s="68"/>
      <c r="D1769" s="68"/>
      <c r="E1769" s="68"/>
      <c r="F1769" s="68"/>
      <c r="G1769" s="68"/>
      <c r="H1769" s="68"/>
      <c r="I1769" s="68"/>
      <c r="J1769" s="68"/>
      <c r="K1769" s="68"/>
      <c r="L1769" s="56"/>
      <c r="M1769" s="26"/>
      <c r="N1769" s="26"/>
      <c r="O1769" s="68"/>
      <c r="P1769" s="1"/>
      <c r="Q1769" s="8"/>
      <c r="R1769" s="66"/>
      <c r="S1769" s="1"/>
      <c r="T1769" s="66"/>
      <c r="U1769" s="8"/>
      <c r="V1769" s="56"/>
      <c r="W1769" s="1"/>
      <c r="X1769" s="1"/>
      <c r="Y1769" s="1"/>
    </row>
    <row r="1770" spans="1:25">
      <c r="A1770" s="57"/>
      <c r="B1770" s="68"/>
      <c r="C1770" s="68"/>
      <c r="D1770" s="68"/>
      <c r="E1770" s="68"/>
      <c r="F1770" s="68"/>
      <c r="G1770" s="68"/>
      <c r="H1770" s="68"/>
      <c r="I1770" s="68"/>
      <c r="J1770" s="68"/>
      <c r="K1770" s="68"/>
      <c r="L1770" s="56"/>
      <c r="M1770" s="26"/>
      <c r="N1770" s="26"/>
      <c r="O1770" s="68"/>
      <c r="P1770" s="1"/>
      <c r="Q1770" s="8"/>
      <c r="R1770" s="66"/>
      <c r="S1770" s="1"/>
      <c r="T1770" s="66"/>
      <c r="U1770" s="8"/>
      <c r="V1770" s="56"/>
      <c r="W1770" s="1"/>
      <c r="X1770" s="1"/>
      <c r="Y1770" s="1"/>
    </row>
    <row r="1771" spans="1:25">
      <c r="A1771" s="57"/>
      <c r="B1771" s="68"/>
      <c r="C1771" s="68"/>
      <c r="D1771" s="68"/>
      <c r="E1771" s="68"/>
      <c r="F1771" s="68"/>
      <c r="G1771" s="68"/>
      <c r="H1771" s="68"/>
      <c r="I1771" s="68"/>
      <c r="J1771" s="68"/>
      <c r="K1771" s="68"/>
      <c r="L1771" s="56"/>
      <c r="M1771" s="26"/>
      <c r="N1771" s="26"/>
      <c r="O1771" s="68"/>
      <c r="P1771" s="1"/>
      <c r="Q1771" s="8"/>
      <c r="R1771" s="66"/>
      <c r="S1771" s="1"/>
      <c r="T1771" s="66"/>
      <c r="U1771" s="8"/>
      <c r="V1771" s="56"/>
      <c r="W1771" s="1"/>
      <c r="X1771" s="1"/>
      <c r="Y1771" s="1"/>
    </row>
    <row r="1772" spans="1:25">
      <c r="A1772" s="57"/>
      <c r="B1772" s="68"/>
      <c r="C1772" s="68"/>
      <c r="D1772" s="68"/>
      <c r="E1772" s="68"/>
      <c r="F1772" s="68"/>
      <c r="G1772" s="68"/>
      <c r="H1772" s="68"/>
      <c r="I1772" s="68"/>
      <c r="J1772" s="68"/>
      <c r="K1772" s="68"/>
      <c r="L1772" s="56"/>
      <c r="M1772" s="26"/>
      <c r="N1772" s="26"/>
      <c r="O1772" s="68"/>
      <c r="P1772" s="1"/>
      <c r="Q1772" s="8"/>
      <c r="R1772" s="66"/>
      <c r="S1772" s="1"/>
      <c r="T1772" s="66"/>
      <c r="U1772" s="8"/>
      <c r="V1772" s="56"/>
      <c r="W1772" s="1"/>
      <c r="X1772" s="1"/>
      <c r="Y1772" s="1"/>
    </row>
    <row r="1773" spans="1:25">
      <c r="A1773" s="57"/>
      <c r="B1773" s="68"/>
      <c r="C1773" s="68"/>
      <c r="D1773" s="68"/>
      <c r="E1773" s="68"/>
      <c r="F1773" s="68"/>
      <c r="G1773" s="68"/>
      <c r="H1773" s="68"/>
      <c r="I1773" s="68"/>
      <c r="J1773" s="68"/>
      <c r="K1773" s="68"/>
      <c r="L1773" s="56"/>
      <c r="M1773" s="26"/>
      <c r="N1773" s="26"/>
      <c r="O1773" s="68"/>
      <c r="P1773" s="1"/>
      <c r="Q1773" s="8"/>
      <c r="R1773" s="66"/>
      <c r="S1773" s="1"/>
      <c r="T1773" s="66"/>
      <c r="U1773" s="8"/>
      <c r="V1773" s="56"/>
      <c r="W1773" s="1"/>
      <c r="X1773" s="1"/>
      <c r="Y1773" s="1"/>
    </row>
    <row r="1774" spans="1:25">
      <c r="A1774" s="57"/>
      <c r="B1774" s="68"/>
      <c r="C1774" s="68"/>
      <c r="D1774" s="68"/>
      <c r="E1774" s="68"/>
      <c r="F1774" s="68"/>
      <c r="G1774" s="68"/>
      <c r="H1774" s="68"/>
      <c r="I1774" s="68"/>
      <c r="J1774" s="68"/>
      <c r="K1774" s="68"/>
      <c r="L1774" s="56"/>
      <c r="M1774" s="26"/>
      <c r="N1774" s="26"/>
      <c r="O1774" s="68"/>
      <c r="P1774" s="1"/>
      <c r="Q1774" s="8"/>
      <c r="R1774" s="66"/>
      <c r="S1774" s="1"/>
      <c r="T1774" s="66"/>
      <c r="U1774" s="8"/>
      <c r="V1774" s="56"/>
      <c r="W1774" s="1"/>
      <c r="X1774" s="1"/>
      <c r="Y1774" s="1"/>
    </row>
    <row r="1775" spans="1:25">
      <c r="A1775" s="57"/>
      <c r="B1775" s="68"/>
      <c r="C1775" s="68"/>
      <c r="D1775" s="68"/>
      <c r="E1775" s="68"/>
      <c r="F1775" s="68"/>
      <c r="G1775" s="68"/>
      <c r="H1775" s="68"/>
      <c r="I1775" s="68"/>
      <c r="J1775" s="68"/>
      <c r="K1775" s="68"/>
      <c r="L1775" s="56"/>
      <c r="M1775" s="26"/>
      <c r="N1775" s="26"/>
      <c r="O1775" s="68"/>
      <c r="P1775" s="1"/>
      <c r="Q1775" s="8"/>
      <c r="R1775" s="66"/>
      <c r="S1775" s="1"/>
      <c r="T1775" s="66"/>
      <c r="U1775" s="8"/>
      <c r="V1775" s="56"/>
      <c r="W1775" s="1"/>
      <c r="X1775" s="1"/>
      <c r="Y1775" s="1"/>
    </row>
    <row r="1776" spans="1:25">
      <c r="A1776" s="57"/>
      <c r="B1776" s="68"/>
      <c r="C1776" s="68"/>
      <c r="D1776" s="68"/>
      <c r="E1776" s="68"/>
      <c r="F1776" s="68"/>
      <c r="G1776" s="68"/>
      <c r="H1776" s="68"/>
      <c r="I1776" s="68"/>
      <c r="J1776" s="68"/>
      <c r="K1776" s="68"/>
      <c r="L1776" s="56"/>
      <c r="M1776" s="26"/>
      <c r="N1776" s="26"/>
      <c r="O1776" s="68"/>
      <c r="P1776" s="1"/>
      <c r="Q1776" s="8"/>
      <c r="R1776" s="66"/>
      <c r="S1776" s="1"/>
      <c r="T1776" s="66"/>
      <c r="U1776" s="8"/>
      <c r="V1776" s="56"/>
      <c r="W1776" s="1"/>
      <c r="X1776" s="1"/>
      <c r="Y1776" s="1"/>
    </row>
    <row r="1777" spans="1:25">
      <c r="A1777" s="57"/>
      <c r="B1777" s="68"/>
      <c r="C1777" s="68"/>
      <c r="D1777" s="68"/>
      <c r="E1777" s="68"/>
      <c r="F1777" s="68"/>
      <c r="G1777" s="68"/>
      <c r="H1777" s="68"/>
      <c r="I1777" s="68"/>
      <c r="J1777" s="68"/>
      <c r="K1777" s="68"/>
      <c r="L1777" s="56"/>
      <c r="M1777" s="26"/>
      <c r="N1777" s="26"/>
      <c r="O1777" s="68"/>
      <c r="P1777" s="1"/>
      <c r="Q1777" s="8"/>
      <c r="R1777" s="66"/>
      <c r="S1777" s="1"/>
      <c r="T1777" s="66"/>
      <c r="U1777" s="8"/>
      <c r="V1777" s="56"/>
      <c r="W1777" s="1"/>
      <c r="X1777" s="1"/>
      <c r="Y1777" s="1"/>
    </row>
    <row r="1778" spans="1:25">
      <c r="A1778" s="57"/>
      <c r="B1778" s="68"/>
      <c r="C1778" s="68"/>
      <c r="D1778" s="68"/>
      <c r="E1778" s="68"/>
      <c r="F1778" s="68"/>
      <c r="G1778" s="68"/>
      <c r="H1778" s="68"/>
      <c r="I1778" s="68"/>
      <c r="J1778" s="68"/>
      <c r="K1778" s="68"/>
      <c r="L1778" s="56"/>
      <c r="M1778" s="26"/>
      <c r="N1778" s="26"/>
      <c r="O1778" s="68"/>
      <c r="P1778" s="1"/>
      <c r="Q1778" s="8"/>
      <c r="R1778" s="66"/>
      <c r="S1778" s="1"/>
      <c r="T1778" s="66"/>
      <c r="U1778" s="8"/>
      <c r="V1778" s="56"/>
      <c r="W1778" s="1"/>
      <c r="X1778" s="1"/>
      <c r="Y1778" s="1"/>
    </row>
    <row r="1779" spans="1:25">
      <c r="A1779" s="57"/>
      <c r="B1779" s="68"/>
      <c r="C1779" s="68"/>
      <c r="D1779" s="68"/>
      <c r="E1779" s="68"/>
      <c r="F1779" s="68"/>
      <c r="G1779" s="68"/>
      <c r="H1779" s="68"/>
      <c r="I1779" s="68"/>
      <c r="J1779" s="68"/>
      <c r="K1779" s="68"/>
      <c r="L1779" s="56"/>
      <c r="M1779" s="26"/>
      <c r="N1779" s="26"/>
      <c r="O1779" s="68"/>
      <c r="P1779" s="1"/>
      <c r="Q1779" s="8"/>
      <c r="R1779" s="66"/>
      <c r="S1779" s="1"/>
      <c r="T1779" s="66"/>
      <c r="U1779" s="8"/>
      <c r="V1779" s="56"/>
      <c r="W1779" s="1"/>
      <c r="X1779" s="1"/>
      <c r="Y1779" s="1"/>
    </row>
    <row r="1780" spans="1:25">
      <c r="A1780" s="57"/>
      <c r="B1780" s="68"/>
      <c r="C1780" s="68"/>
      <c r="D1780" s="68"/>
      <c r="E1780" s="68"/>
      <c r="F1780" s="68"/>
      <c r="G1780" s="68"/>
      <c r="H1780" s="68"/>
      <c r="I1780" s="68"/>
      <c r="J1780" s="68"/>
      <c r="K1780" s="68"/>
      <c r="L1780" s="56"/>
      <c r="M1780" s="26"/>
      <c r="N1780" s="26"/>
      <c r="O1780" s="68"/>
      <c r="P1780" s="1"/>
      <c r="Q1780" s="8"/>
      <c r="R1780" s="66"/>
      <c r="S1780" s="1"/>
      <c r="T1780" s="66"/>
      <c r="U1780" s="8"/>
      <c r="V1780" s="56"/>
      <c r="W1780" s="1"/>
      <c r="X1780" s="1"/>
      <c r="Y1780" s="1"/>
    </row>
    <row r="1781" spans="1:25">
      <c r="A1781" s="57"/>
      <c r="B1781" s="68"/>
      <c r="C1781" s="68"/>
      <c r="D1781" s="68"/>
      <c r="E1781" s="68"/>
      <c r="F1781" s="68"/>
      <c r="G1781" s="68"/>
      <c r="H1781" s="68"/>
      <c r="I1781" s="68"/>
      <c r="J1781" s="68"/>
      <c r="K1781" s="68"/>
      <c r="L1781" s="56"/>
      <c r="M1781" s="26"/>
      <c r="N1781" s="26"/>
      <c r="O1781" s="68"/>
      <c r="P1781" s="1"/>
      <c r="Q1781" s="8"/>
      <c r="R1781" s="66"/>
      <c r="S1781" s="1"/>
      <c r="T1781" s="66"/>
      <c r="U1781" s="8"/>
      <c r="V1781" s="56"/>
      <c r="W1781" s="1"/>
      <c r="X1781" s="1"/>
      <c r="Y1781" s="1"/>
    </row>
    <row r="1782" spans="1:25">
      <c r="A1782" s="57"/>
      <c r="B1782" s="68"/>
      <c r="C1782" s="68"/>
      <c r="D1782" s="68"/>
      <c r="E1782" s="68"/>
      <c r="F1782" s="68"/>
      <c r="G1782" s="68"/>
      <c r="H1782" s="68"/>
      <c r="I1782" s="68"/>
      <c r="J1782" s="68"/>
      <c r="K1782" s="68"/>
      <c r="L1782" s="56"/>
      <c r="M1782" s="26"/>
      <c r="N1782" s="26"/>
      <c r="O1782" s="68"/>
      <c r="P1782" s="1"/>
      <c r="Q1782" s="8"/>
      <c r="R1782" s="66"/>
      <c r="S1782" s="1"/>
      <c r="T1782" s="66"/>
      <c r="U1782" s="8"/>
      <c r="V1782" s="56"/>
      <c r="W1782" s="1"/>
      <c r="X1782" s="1"/>
      <c r="Y1782" s="1"/>
    </row>
    <row r="1783" spans="1:25">
      <c r="A1783" s="57"/>
      <c r="B1783" s="68"/>
      <c r="C1783" s="68"/>
      <c r="D1783" s="68"/>
      <c r="E1783" s="68"/>
      <c r="F1783" s="68"/>
      <c r="G1783" s="68"/>
      <c r="H1783" s="68"/>
      <c r="I1783" s="68"/>
      <c r="J1783" s="68"/>
      <c r="K1783" s="68"/>
      <c r="L1783" s="56"/>
      <c r="M1783" s="26"/>
      <c r="N1783" s="26"/>
      <c r="O1783" s="68"/>
      <c r="P1783" s="1"/>
      <c r="Q1783" s="8"/>
      <c r="R1783" s="66"/>
      <c r="S1783" s="1"/>
      <c r="T1783" s="66"/>
      <c r="U1783" s="8"/>
      <c r="V1783" s="56"/>
      <c r="W1783" s="1"/>
      <c r="X1783" s="1"/>
      <c r="Y1783" s="1"/>
    </row>
    <row r="1784" spans="1:25">
      <c r="A1784" s="57"/>
      <c r="B1784" s="68"/>
      <c r="C1784" s="68"/>
      <c r="D1784" s="68"/>
      <c r="E1784" s="68"/>
      <c r="F1784" s="68"/>
      <c r="G1784" s="68"/>
      <c r="H1784" s="68"/>
      <c r="I1784" s="68"/>
      <c r="J1784" s="68"/>
      <c r="K1784" s="68"/>
      <c r="L1784" s="56"/>
      <c r="M1784" s="26"/>
      <c r="N1784" s="26"/>
      <c r="O1784" s="68"/>
      <c r="P1784" s="1"/>
      <c r="Q1784" s="8"/>
      <c r="R1784" s="66"/>
      <c r="S1784" s="1"/>
      <c r="T1784" s="66"/>
      <c r="U1784" s="8"/>
      <c r="V1784" s="56"/>
      <c r="W1784" s="1"/>
      <c r="X1784" s="1"/>
      <c r="Y1784" s="1"/>
    </row>
    <row r="1785" spans="1:25">
      <c r="A1785" s="57"/>
      <c r="B1785" s="68"/>
      <c r="C1785" s="68"/>
      <c r="D1785" s="68"/>
      <c r="E1785" s="68"/>
      <c r="F1785" s="68"/>
      <c r="G1785" s="68"/>
      <c r="H1785" s="68"/>
      <c r="I1785" s="68"/>
      <c r="J1785" s="68"/>
      <c r="K1785" s="68"/>
      <c r="L1785" s="56"/>
      <c r="M1785" s="26"/>
      <c r="N1785" s="26"/>
      <c r="O1785" s="68"/>
      <c r="P1785" s="1"/>
      <c r="Q1785" s="8"/>
      <c r="R1785" s="66"/>
      <c r="S1785" s="1"/>
      <c r="T1785" s="66"/>
      <c r="U1785" s="8"/>
      <c r="V1785" s="56"/>
      <c r="W1785" s="1"/>
      <c r="X1785" s="1"/>
      <c r="Y1785" s="1"/>
    </row>
    <row r="1786" spans="1:25">
      <c r="A1786" s="57"/>
      <c r="B1786" s="68"/>
      <c r="C1786" s="68"/>
      <c r="D1786" s="68"/>
      <c r="E1786" s="68"/>
      <c r="F1786" s="68"/>
      <c r="G1786" s="68"/>
      <c r="H1786" s="68"/>
      <c r="I1786" s="68"/>
      <c r="J1786" s="68"/>
      <c r="K1786" s="68"/>
      <c r="L1786" s="56"/>
      <c r="M1786" s="56"/>
      <c r="N1786" s="56"/>
      <c r="O1786" s="68"/>
      <c r="P1786" s="1"/>
      <c r="Q1786" s="8"/>
      <c r="R1786" s="66"/>
      <c r="S1786" s="1"/>
      <c r="T1786" s="66"/>
      <c r="U1786" s="8"/>
      <c r="V1786" s="56"/>
      <c r="W1786" s="1"/>
      <c r="X1786" s="1"/>
      <c r="Y1786" s="1"/>
    </row>
    <row r="1787" spans="1:25">
      <c r="A1787" s="57"/>
      <c r="B1787" s="68"/>
      <c r="C1787" s="68"/>
      <c r="D1787" s="68"/>
      <c r="E1787" s="68"/>
      <c r="F1787" s="68"/>
      <c r="G1787" s="68"/>
      <c r="H1787" s="68"/>
      <c r="I1787" s="68"/>
      <c r="J1787" s="68"/>
      <c r="K1787" s="68"/>
      <c r="L1787" s="56"/>
      <c r="M1787" s="56"/>
      <c r="N1787" s="56"/>
      <c r="O1787" s="68"/>
      <c r="P1787" s="1"/>
      <c r="Q1787" s="8"/>
      <c r="R1787" s="66"/>
      <c r="S1787" s="8"/>
      <c r="T1787" s="66"/>
      <c r="U1787" s="8"/>
      <c r="V1787" s="56"/>
      <c r="W1787" s="1"/>
      <c r="X1787" s="1"/>
      <c r="Y1787" s="1"/>
    </row>
  </sheetData>
  <mergeCells count="377">
    <mergeCell ref="F383:F387"/>
    <mergeCell ref="G383:G387"/>
    <mergeCell ref="H383:H387"/>
    <mergeCell ref="I383:I387"/>
    <mergeCell ref="J383:J387"/>
    <mergeCell ref="K383:K387"/>
    <mergeCell ref="L383:L387"/>
    <mergeCell ref="F388:F392"/>
    <mergeCell ref="G388:G392"/>
    <mergeCell ref="H388:H392"/>
    <mergeCell ref="I388:I392"/>
    <mergeCell ref="J388:J392"/>
    <mergeCell ref="K388:K392"/>
    <mergeCell ref="L388:L392"/>
    <mergeCell ref="H408:H412"/>
    <mergeCell ref="I408:I412"/>
    <mergeCell ref="J408:J412"/>
    <mergeCell ref="K408:K412"/>
    <mergeCell ref="L408:L412"/>
    <mergeCell ref="F393:F397"/>
    <mergeCell ref="G393:G397"/>
    <mergeCell ref="H393:H397"/>
    <mergeCell ref="I393:I397"/>
    <mergeCell ref="J393:J397"/>
    <mergeCell ref="K393:K397"/>
    <mergeCell ref="L393:L397"/>
    <mergeCell ref="F398:F402"/>
    <mergeCell ref="G398:G402"/>
    <mergeCell ref="H398:H402"/>
    <mergeCell ref="I398:I402"/>
    <mergeCell ref="J398:J402"/>
    <mergeCell ref="K398:K402"/>
    <mergeCell ref="L398:L402"/>
    <mergeCell ref="H1:H2"/>
    <mergeCell ref="I1:I2"/>
    <mergeCell ref="J1:J2"/>
    <mergeCell ref="K1:K2"/>
    <mergeCell ref="L1:L2"/>
    <mergeCell ref="M1:M2"/>
    <mergeCell ref="N1:N2"/>
    <mergeCell ref="V1:V2"/>
    <mergeCell ref="W1:W2"/>
    <mergeCell ref="X1:X2"/>
    <mergeCell ref="Y1:Y2"/>
    <mergeCell ref="O1:O2"/>
    <mergeCell ref="P1:P2"/>
    <mergeCell ref="Q1:Q2"/>
    <mergeCell ref="R1:R2"/>
    <mergeCell ref="S1:S2"/>
    <mergeCell ref="T1:T2"/>
    <mergeCell ref="U1:U2"/>
    <mergeCell ref="A1:A2"/>
    <mergeCell ref="B1:B2"/>
    <mergeCell ref="C1:C2"/>
    <mergeCell ref="D1:D2"/>
    <mergeCell ref="E1:E2"/>
    <mergeCell ref="F1:F2"/>
    <mergeCell ref="G1:G2"/>
    <mergeCell ref="F378:F382"/>
    <mergeCell ref="G378:G382"/>
    <mergeCell ref="H378:H382"/>
    <mergeCell ref="I378:I382"/>
    <mergeCell ref="J378:J382"/>
    <mergeCell ref="K378:K382"/>
    <mergeCell ref="L378:L382"/>
    <mergeCell ref="B413:B417"/>
    <mergeCell ref="B418:B422"/>
    <mergeCell ref="B378:B382"/>
    <mergeCell ref="B383:B387"/>
    <mergeCell ref="B388:B392"/>
    <mergeCell ref="B393:B397"/>
    <mergeCell ref="B398:B402"/>
    <mergeCell ref="B403:B407"/>
    <mergeCell ref="B408:B412"/>
    <mergeCell ref="F418:F422"/>
    <mergeCell ref="F403:F407"/>
    <mergeCell ref="G403:G407"/>
    <mergeCell ref="H403:H407"/>
    <mergeCell ref="I403:I407"/>
    <mergeCell ref="J403:J407"/>
    <mergeCell ref="K403:K407"/>
    <mergeCell ref="L403:L407"/>
    <mergeCell ref="F408:F412"/>
    <mergeCell ref="G408:G412"/>
    <mergeCell ref="K443:K447"/>
    <mergeCell ref="L443:L447"/>
    <mergeCell ref="J438:J442"/>
    <mergeCell ref="K438:K442"/>
    <mergeCell ref="F443:F447"/>
    <mergeCell ref="G443:G447"/>
    <mergeCell ref="H443:H447"/>
    <mergeCell ref="I443:I447"/>
    <mergeCell ref="J443:J447"/>
    <mergeCell ref="F448:F452"/>
    <mergeCell ref="G448:G452"/>
    <mergeCell ref="H448:H452"/>
    <mergeCell ref="I448:I452"/>
    <mergeCell ref="J448:J452"/>
    <mergeCell ref="K448:K452"/>
    <mergeCell ref="L448:L452"/>
    <mergeCell ref="F468:F472"/>
    <mergeCell ref="G468:G472"/>
    <mergeCell ref="H468:H472"/>
    <mergeCell ref="I468:I472"/>
    <mergeCell ref="J468:J472"/>
    <mergeCell ref="K468:K472"/>
    <mergeCell ref="L468:L472"/>
    <mergeCell ref="F453:F457"/>
    <mergeCell ref="G453:G457"/>
    <mergeCell ref="H453:H457"/>
    <mergeCell ref="I453:I457"/>
    <mergeCell ref="J453:J457"/>
    <mergeCell ref="K453:K457"/>
    <mergeCell ref="L453:L457"/>
    <mergeCell ref="F463:F467"/>
    <mergeCell ref="G463:G467"/>
    <mergeCell ref="H463:H467"/>
    <mergeCell ref="B463:B467"/>
    <mergeCell ref="B468:B472"/>
    <mergeCell ref="B428:B432"/>
    <mergeCell ref="B433:B437"/>
    <mergeCell ref="B438:B442"/>
    <mergeCell ref="B443:B447"/>
    <mergeCell ref="B448:B452"/>
    <mergeCell ref="B453:B457"/>
    <mergeCell ref="B458:B462"/>
    <mergeCell ref="B478:B482"/>
    <mergeCell ref="G478:G482"/>
    <mergeCell ref="H478:H482"/>
    <mergeCell ref="I478:I482"/>
    <mergeCell ref="I483:I487"/>
    <mergeCell ref="F473:F477"/>
    <mergeCell ref="I473:I477"/>
    <mergeCell ref="J473:J477"/>
    <mergeCell ref="K473:K477"/>
    <mergeCell ref="F493:F497"/>
    <mergeCell ref="G493:G497"/>
    <mergeCell ref="H493:H497"/>
    <mergeCell ref="I493:I497"/>
    <mergeCell ref="J493:J497"/>
    <mergeCell ref="K493:K497"/>
    <mergeCell ref="L493:L497"/>
    <mergeCell ref="B483:B487"/>
    <mergeCell ref="B488:B492"/>
    <mergeCell ref="B493:B497"/>
    <mergeCell ref="K488:K492"/>
    <mergeCell ref="L488:L492"/>
    <mergeCell ref="F483:F487"/>
    <mergeCell ref="F488:F492"/>
    <mergeCell ref="G488:G492"/>
    <mergeCell ref="H488:H492"/>
    <mergeCell ref="I488:I492"/>
    <mergeCell ref="J488:J492"/>
    <mergeCell ref="G483:G487"/>
    <mergeCell ref="H483:H487"/>
    <mergeCell ref="J483:J487"/>
    <mergeCell ref="K483:K487"/>
    <mergeCell ref="L483:L487"/>
    <mergeCell ref="J543:J547"/>
    <mergeCell ref="K543:K547"/>
    <mergeCell ref="L543:L547"/>
    <mergeCell ref="B498:B502"/>
    <mergeCell ref="B503:B507"/>
    <mergeCell ref="B508:B512"/>
    <mergeCell ref="B513:B517"/>
    <mergeCell ref="B533:B537"/>
    <mergeCell ref="J528:J532"/>
    <mergeCell ref="K528:K532"/>
    <mergeCell ref="L528:L532"/>
    <mergeCell ref="J533:J537"/>
    <mergeCell ref="K533:K537"/>
    <mergeCell ref="L533:L537"/>
    <mergeCell ref="B518:B522"/>
    <mergeCell ref="B523:B527"/>
    <mergeCell ref="B528:B532"/>
    <mergeCell ref="F528:F532"/>
    <mergeCell ref="G528:G532"/>
    <mergeCell ref="H528:H532"/>
    <mergeCell ref="I528:I532"/>
    <mergeCell ref="F498:F502"/>
    <mergeCell ref="G498:G502"/>
    <mergeCell ref="H498:H502"/>
    <mergeCell ref="B543:B547"/>
    <mergeCell ref="B548:B552"/>
    <mergeCell ref="B553:B557"/>
    <mergeCell ref="B558:B562"/>
    <mergeCell ref="F533:F537"/>
    <mergeCell ref="G533:G537"/>
    <mergeCell ref="H533:H537"/>
    <mergeCell ref="I533:I537"/>
    <mergeCell ref="B538:B542"/>
    <mergeCell ref="G538:G542"/>
    <mergeCell ref="I543:I547"/>
    <mergeCell ref="H538:H542"/>
    <mergeCell ref="I538:I542"/>
    <mergeCell ref="G543:G547"/>
    <mergeCell ref="H543:H547"/>
    <mergeCell ref="K548:K552"/>
    <mergeCell ref="L548:L552"/>
    <mergeCell ref="H558:H562"/>
    <mergeCell ref="I558:I562"/>
    <mergeCell ref="J558:J562"/>
    <mergeCell ref="K558:K562"/>
    <mergeCell ref="L558:L562"/>
    <mergeCell ref="F538:F542"/>
    <mergeCell ref="F543:F547"/>
    <mergeCell ref="F548:F552"/>
    <mergeCell ref="G548:G552"/>
    <mergeCell ref="H548:H552"/>
    <mergeCell ref="I548:I552"/>
    <mergeCell ref="J548:J552"/>
    <mergeCell ref="F553:F557"/>
    <mergeCell ref="G553:G557"/>
    <mergeCell ref="H553:H557"/>
    <mergeCell ref="I553:I557"/>
    <mergeCell ref="J553:J557"/>
    <mergeCell ref="K553:K557"/>
    <mergeCell ref="L553:L557"/>
    <mergeCell ref="J538:J542"/>
    <mergeCell ref="K538:K542"/>
    <mergeCell ref="L538:L542"/>
    <mergeCell ref="H593:H597"/>
    <mergeCell ref="I593:I597"/>
    <mergeCell ref="J593:J597"/>
    <mergeCell ref="K593:K597"/>
    <mergeCell ref="L593:L597"/>
    <mergeCell ref="F588:F592"/>
    <mergeCell ref="G588:G592"/>
    <mergeCell ref="H588:H592"/>
    <mergeCell ref="I588:I592"/>
    <mergeCell ref="J588:J592"/>
    <mergeCell ref="K588:K592"/>
    <mergeCell ref="L588:L592"/>
    <mergeCell ref="B573:B577"/>
    <mergeCell ref="B578:B582"/>
    <mergeCell ref="B583:B587"/>
    <mergeCell ref="B588:B592"/>
    <mergeCell ref="B593:B597"/>
    <mergeCell ref="F558:F562"/>
    <mergeCell ref="G558:G562"/>
    <mergeCell ref="B563:B567"/>
    <mergeCell ref="G563:G567"/>
    <mergeCell ref="F583:F587"/>
    <mergeCell ref="G583:G587"/>
    <mergeCell ref="G568:G572"/>
    <mergeCell ref="B568:B572"/>
    <mergeCell ref="F593:F597"/>
    <mergeCell ref="G593:G597"/>
    <mergeCell ref="K573:K577"/>
    <mergeCell ref="L573:L577"/>
    <mergeCell ref="F563:F567"/>
    <mergeCell ref="F568:F572"/>
    <mergeCell ref="F573:F577"/>
    <mergeCell ref="G573:G577"/>
    <mergeCell ref="H573:H577"/>
    <mergeCell ref="I573:I577"/>
    <mergeCell ref="J573:J577"/>
    <mergeCell ref="J563:J567"/>
    <mergeCell ref="K563:K567"/>
    <mergeCell ref="L563:L567"/>
    <mergeCell ref="H568:H572"/>
    <mergeCell ref="J568:J572"/>
    <mergeCell ref="K568:K572"/>
    <mergeCell ref="L568:L572"/>
    <mergeCell ref="H563:H567"/>
    <mergeCell ref="I563:I567"/>
    <mergeCell ref="I568:I572"/>
    <mergeCell ref="H438:H442"/>
    <mergeCell ref="I438:I442"/>
    <mergeCell ref="L433:L437"/>
    <mergeCell ref="L438:L442"/>
    <mergeCell ref="G423:G427"/>
    <mergeCell ref="H423:H427"/>
    <mergeCell ref="G433:G437"/>
    <mergeCell ref="H433:H437"/>
    <mergeCell ref="I433:I437"/>
    <mergeCell ref="J433:J437"/>
    <mergeCell ref="K433:K437"/>
    <mergeCell ref="G428:G432"/>
    <mergeCell ref="H428:H432"/>
    <mergeCell ref="I428:I432"/>
    <mergeCell ref="J428:J432"/>
    <mergeCell ref="K428:K432"/>
    <mergeCell ref="L428:L432"/>
    <mergeCell ref="B473:B477"/>
    <mergeCell ref="F413:F417"/>
    <mergeCell ref="G413:G417"/>
    <mergeCell ref="H413:H417"/>
    <mergeCell ref="I413:I417"/>
    <mergeCell ref="J413:J417"/>
    <mergeCell ref="K413:K417"/>
    <mergeCell ref="L413:L417"/>
    <mergeCell ref="I423:I427"/>
    <mergeCell ref="J423:J427"/>
    <mergeCell ref="K423:K427"/>
    <mergeCell ref="L423:L427"/>
    <mergeCell ref="G418:G422"/>
    <mergeCell ref="H418:H422"/>
    <mergeCell ref="I418:I422"/>
    <mergeCell ref="J418:J422"/>
    <mergeCell ref="K418:K422"/>
    <mergeCell ref="L418:L422"/>
    <mergeCell ref="B423:B427"/>
    <mergeCell ref="F428:F432"/>
    <mergeCell ref="F423:F427"/>
    <mergeCell ref="F433:F437"/>
    <mergeCell ref="F438:F442"/>
    <mergeCell ref="G438:G442"/>
    <mergeCell ref="F458:F462"/>
    <mergeCell ref="G458:G462"/>
    <mergeCell ref="H458:H462"/>
    <mergeCell ref="I458:I462"/>
    <mergeCell ref="J458:J462"/>
    <mergeCell ref="K458:K462"/>
    <mergeCell ref="L458:L462"/>
    <mergeCell ref="J478:J482"/>
    <mergeCell ref="K478:K482"/>
    <mergeCell ref="L478:L482"/>
    <mergeCell ref="I463:I467"/>
    <mergeCell ref="J463:J467"/>
    <mergeCell ref="K463:K467"/>
    <mergeCell ref="L463:L467"/>
    <mergeCell ref="F478:F482"/>
    <mergeCell ref="G473:G477"/>
    <mergeCell ref="H473:H477"/>
    <mergeCell ref="L473:L477"/>
    <mergeCell ref="L498:L502"/>
    <mergeCell ref="F503:F507"/>
    <mergeCell ref="G503:G507"/>
    <mergeCell ref="H503:H507"/>
    <mergeCell ref="I503:I507"/>
    <mergeCell ref="J503:J507"/>
    <mergeCell ref="K503:K507"/>
    <mergeCell ref="L503:L507"/>
    <mergeCell ref="F508:F512"/>
    <mergeCell ref="G508:G512"/>
    <mergeCell ref="H508:H512"/>
    <mergeCell ref="I508:I512"/>
    <mergeCell ref="J508:J512"/>
    <mergeCell ref="K508:K512"/>
    <mergeCell ref="L508:L512"/>
    <mergeCell ref="I498:I502"/>
    <mergeCell ref="J498:J502"/>
    <mergeCell ref="K498:K502"/>
    <mergeCell ref="F513:F517"/>
    <mergeCell ref="G513:G517"/>
    <mergeCell ref="H513:H517"/>
    <mergeCell ref="I513:I517"/>
    <mergeCell ref="J513:J517"/>
    <mergeCell ref="K513:K517"/>
    <mergeCell ref="L513:L517"/>
    <mergeCell ref="F523:F527"/>
    <mergeCell ref="G523:G527"/>
    <mergeCell ref="H523:H527"/>
    <mergeCell ref="I523:I527"/>
    <mergeCell ref="J523:J527"/>
    <mergeCell ref="K523:K527"/>
    <mergeCell ref="L523:L527"/>
    <mergeCell ref="F518:F522"/>
    <mergeCell ref="G518:G522"/>
    <mergeCell ref="H518:H522"/>
    <mergeCell ref="I518:I522"/>
    <mergeCell ref="J518:J522"/>
    <mergeCell ref="K518:K522"/>
    <mergeCell ref="L518:L522"/>
    <mergeCell ref="H583:H587"/>
    <mergeCell ref="I583:I587"/>
    <mergeCell ref="J583:J587"/>
    <mergeCell ref="K583:K587"/>
    <mergeCell ref="L583:L587"/>
    <mergeCell ref="F578:F582"/>
    <mergeCell ref="G578:G582"/>
    <mergeCell ref="H578:H582"/>
    <mergeCell ref="I578:I582"/>
    <mergeCell ref="J578:J582"/>
    <mergeCell ref="K578:K582"/>
    <mergeCell ref="L578:L582"/>
  </mergeCells>
  <conditionalFormatting sqref="U1:U33 P3:Q33">
    <cfRule type="containsBlanks" dxfId="1" priority="1">
      <formula>LEN(TRIM(U1))=0</formula>
    </cfRule>
  </conditionalFormatting>
  <pageMargins left="0" right="0" top="0" bottom="0" header="0" footer="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X1787"/>
  <sheetViews>
    <sheetView workbookViewId="0">
      <pane xSplit="3" topLeftCell="D1" activePane="topRight" state="frozen"/>
      <selection pane="topRight" activeCell="E2" sqref="E2"/>
    </sheetView>
  </sheetViews>
  <sheetFormatPr defaultColWidth="14.44140625" defaultRowHeight="15" customHeight="1"/>
  <cols>
    <col min="1" max="1" width="5.44140625" customWidth="1"/>
    <col min="4" max="4" width="17.88671875" customWidth="1"/>
    <col min="6" max="6" width="43.88671875" customWidth="1"/>
    <col min="11" max="11" width="27" customWidth="1"/>
    <col min="13" max="14" width="17.44140625" customWidth="1"/>
    <col min="15" max="15" width="33.33203125" hidden="1" customWidth="1"/>
    <col min="18" max="18" width="15.44140625" customWidth="1"/>
    <col min="19" max="19" width="69.6640625" customWidth="1"/>
    <col min="20" max="20" width="15.44140625" hidden="1" customWidth="1"/>
    <col min="21" max="21" width="28.33203125" customWidth="1"/>
    <col min="22" max="22" width="29.6640625" customWidth="1"/>
    <col min="23" max="24" width="15.44140625" customWidth="1"/>
  </cols>
  <sheetData>
    <row r="1" spans="1:24">
      <c r="A1" s="98" t="s">
        <v>893</v>
      </c>
      <c r="B1" s="96" t="s">
        <v>841</v>
      </c>
      <c r="C1" s="96" t="s">
        <v>842</v>
      </c>
      <c r="D1" s="96" t="s">
        <v>843</v>
      </c>
      <c r="E1" s="96" t="s">
        <v>844</v>
      </c>
      <c r="F1" s="96" t="s">
        <v>845</v>
      </c>
      <c r="G1" s="96" t="s">
        <v>846</v>
      </c>
      <c r="H1" s="96" t="s">
        <v>847</v>
      </c>
      <c r="I1" s="96" t="s">
        <v>848</v>
      </c>
      <c r="J1" s="96" t="s">
        <v>849</v>
      </c>
      <c r="K1" s="96" t="s">
        <v>850</v>
      </c>
      <c r="L1" s="96" t="s">
        <v>851</v>
      </c>
      <c r="M1" s="96" t="s">
        <v>852</v>
      </c>
      <c r="N1" s="96" t="s">
        <v>853</v>
      </c>
      <c r="O1" s="96" t="s">
        <v>854</v>
      </c>
      <c r="P1" s="95" t="s">
        <v>855</v>
      </c>
      <c r="Q1" s="95" t="s">
        <v>856</v>
      </c>
      <c r="R1" s="108" t="s">
        <v>857</v>
      </c>
      <c r="S1" s="95" t="s">
        <v>858</v>
      </c>
      <c r="T1" s="108" t="s">
        <v>859</v>
      </c>
      <c r="U1" s="95" t="s">
        <v>860</v>
      </c>
      <c r="V1" s="96" t="s">
        <v>861</v>
      </c>
      <c r="W1" s="96" t="s">
        <v>862</v>
      </c>
      <c r="X1" s="95" t="s">
        <v>863</v>
      </c>
    </row>
    <row r="2" spans="1:24">
      <c r="A2" s="97"/>
      <c r="B2" s="97"/>
      <c r="C2" s="97"/>
      <c r="D2" s="97"/>
      <c r="E2" s="97"/>
      <c r="F2" s="97"/>
      <c r="G2" s="97"/>
      <c r="H2" s="97"/>
      <c r="I2" s="97"/>
      <c r="J2" s="97"/>
      <c r="K2" s="97"/>
      <c r="L2" s="97"/>
      <c r="M2" s="97"/>
      <c r="N2" s="97"/>
      <c r="O2" s="97"/>
      <c r="P2" s="94"/>
      <c r="Q2" s="94"/>
      <c r="R2" s="94"/>
      <c r="S2" s="94"/>
      <c r="T2" s="94"/>
      <c r="U2" s="94"/>
      <c r="V2" s="97"/>
      <c r="W2" s="97"/>
      <c r="X2" s="94"/>
    </row>
    <row r="3" spans="1:24">
      <c r="A3" s="15">
        <v>1</v>
      </c>
      <c r="B3" s="15">
        <f ca="1">IFERROR(__xludf.DUMMYFUNCTION("query(Rekap!A2:AD1787,""Select B,E,F,G,D,H,U,V,W where C='PKM Karsa Cipta'"")"),2935)</f>
        <v>2935</v>
      </c>
      <c r="C3" s="16" t="str">
        <f ca="1">IFERROR(__xludf.DUMMYFUNCTION("""COMPUTED_VALUE"""),"QOIS AL HAQQI")</f>
        <v>QOIS AL HAQQI</v>
      </c>
      <c r="D3" s="16" t="str">
        <f ca="1">IFERROR(__xludf.DUMMYFUNCTION("""COMPUTED_VALUE"""),"5012201018")</f>
        <v>5012201018</v>
      </c>
      <c r="E3" s="16" t="str">
        <f ca="1">IFERROR(__xludf.DUMMYFUNCTION("""COMPUTED_VALUE"""),"Departemen Teknik Sipil")</f>
        <v>Departemen Teknik Sipil</v>
      </c>
      <c r="F3" s="16" t="str">
        <f ca="1">IFERROR(__xludf.DUMMYFUNCTION("""COMPUTED_VALUE"""),"Disaster Management (DIS-Ma) : Aplikasi Manajemen Kebencanaan yang Terintregasi dengan Data Akurat Secara Real-time untuk Pemetaan Bantuan Logistik dan Relawan")</f>
        <v>Disaster Management (DIS-Ma) : Aplikasi Manajemen Kebencanaan yang Terintregasi dengan Data Akurat Secara Real-time untuk Pemetaan Bantuan Logistik dan Relawan</v>
      </c>
      <c r="G3" s="16" t="str">
        <f ca="1">IFERROR(__xludf.DUMMYFUNCTION("""COMPUTED_VALUE"""),"Dr. Rarasmaya Indraswari, S.Kom.")</f>
        <v>Dr. Rarasmaya Indraswari, S.Kom.</v>
      </c>
      <c r="H3" s="16" t="str">
        <f ca="1">IFERROR(__xludf.DUMMYFUNCTION("""COMPUTED_VALUE"""),"Eko Agus Suprayitno, S.Si., M.T.")</f>
        <v>Eko Agus Suprayitno, S.Si., M.T.</v>
      </c>
      <c r="I3" s="16" t="str">
        <f ca="1">IFERROR(__xludf.DUMMYFUNCTION("""COMPUTED_VALUE"""),"Dr. Eng. Hosta Ardhyananta, S.T., M.Sc.")</f>
        <v>Dr. Eng. Hosta Ardhyananta, S.T., M.Sc.</v>
      </c>
      <c r="J3" s="16"/>
      <c r="K3" s="17" t="s">
        <v>1226</v>
      </c>
      <c r="L3" s="23" t="s">
        <v>1227</v>
      </c>
      <c r="M3" s="19" t="b">
        <v>0</v>
      </c>
      <c r="N3" s="19" t="b">
        <v>0</v>
      </c>
      <c r="O3" s="1" t="s">
        <v>1228</v>
      </c>
      <c r="P3" s="7" t="str">
        <f ca="1">IFERROR(__xludf.DUMMYFUNCTION("iferror(vlookup(B3,importrange(""https://docs.google.com/spreadsheets/d/1boHyJQ4e2FU0QG8MHwEi6qjX4hvZWVCHcFfXjq7bbMc/edit?resourcekey#gid=923248883"",""Prop!$C$1:$M""),12,0),IFERROR(vlookup(B3,importrange(""https://docs.google.com/spreadsheets/d/1boHyJQ4e"&amp;"2FU0QG8MHwEi6qjX4hvZWVCHcFfXjq7bbMc/edit?resourcekey#gid=923248883"",""Prop!$N$1:$X""),11,0),iferror(vlookup(B3,importrange(""https://docs.google.com/spreadsheets/d/1boHyJQ4e2FU0QG8MHwEi6qjX4hvZWVCHcFfXjq7bbMc/edit?resourcekey#gid=923248883"",""Prop!$Y$1:"&amp;"$AI""),11,0),iferror(vlookup(B3,importrange(""https://docs.google.com/spreadsheets/d/1boHyJQ4e2FU0QG8MHwEi6qjX4hvZWVCHcFfXjq7bbMc/edit?resourcekey#gid=923248883"",""Prop!$AJ$1:$AT""),11,0),iferror(vlookup(B3,importrange(""https://docs.google.com/spreadshe"&amp;"ets/d/1boHyJQ4e2FU0QG8MHwEi6qjX4hvZWVCHcFfXjq7bbMc/edit?resourcekey#gid=923248883"",""Prop!$AU$1:$BE""),11,0),iferror(vlookup(B3,importrange(""https://docs.google.com/spreadsheets/d/1boHyJQ4e2FU0QG8MHwEi6qjX4hvZWVCHcFfXjq7bbMc/edit?resourcekey#gid=9232488"&amp;"83"",""Prop!$BF$1:$BP""),11,0),iferror(vlookup(B3,importrange(""https://docs.google.com/spreadsheets/d/1boHyJQ4e2FU0QG8MHwEi6qjX4hvZWVCHcFfXjq7bbMc/edit?resourcekey#gid=923248883"",""Prop!$BQ$1:$CA""),11,0),iferror(vlookup(B3,importrange(""https://docs.go"&amp;"ogle.com/spreadsheets/d/1boHyJQ4e2FU0QG8MHwEi6qjX4hvZWVCHcFfXjq7bbMc/edit?resourcekey#gid=923248883"",""Prop!$CB$1:$CL""),11,0),iferror(vlookup(B3,importrange(""https://docs.google.com/spreadsheets/d/1boHyJQ4e2FU0QG8MHwEi6qjX4hvZWVCHcFfXjq7bbMc/edit?resou"&amp;"rcekey#gid=923248883"",""Prop!$CM$1:$CX""),12,0),iferror(vlookup(B3,importrange(""https://docs.google.com/spreadsheets/d/1boHyJQ4e2FU0QG8MHwEi6qjX4hvZWVCHcFfXjq7bbMc/edit?resourcekey#gid=923248883"",""Prop!$CV$1:$DI""),11,0)))))))))))"),"https://drive.google.com/open?id=1H5UEfAUR6_Qhh6cX-i3yTCXQDOGGoFgK")</f>
        <v>https://drive.google.com/open?id=1H5UEfAUR6_Qhh6cX-i3yTCXQDOGGoFgK</v>
      </c>
      <c r="Q3" s="7" t="str">
        <f ca="1">IFERROR(__xludf.DUMMYFUNCTION("iferror(vlookup(B3,importrange(""https://docs.google.com/spreadsheets/d/1p53T2AuvvIqhP7Nf-bo3Uhj8cbKYRPpZdsrBv3x3bAQ/edit?resourcekey#gid=1321652304"",""Prop!$C$1:$M""),11,0),IFERROR(vlookup(B3,importrange(""https://docs.google.com/spreadsheets/d/1p53T2Au"&amp;"vvIqhP7Nf-bo3Uhj8cbKYRPpZdsrBv3x3bAQ/edit?resourcekey#gid=1321652304"",""Prop!$N$1:$X""),11,0),iferror(vlookup(B3,importrange(""https://docs.google.com/spreadsheets/d/1p53T2AuvvIqhP7Nf-bo3Uhj8cbKYRPpZdsrBv3x3bAQ/edit?resourcekey#gid=1321652304"",""Prop!$Y"&amp;"$1:$AI""),11,0),iferror(vlookup(B3,importrange(""https://docs.google.com/spreadsheets/d/1p53T2AuvvIqhP7Nf-bo3Uhj8cbKYRPpZdsrBv3x3bAQ/edit?resourcekey#gid=1321652304"",""Prop!$AJ$1:$AT""),11,0),iferror(vlookup(B3,importrange(""https://docs.google.com/sprea"&amp;"dsheets/d/1p53T2AuvvIqhP7Nf-bo3Uhj8cbKYRPpZdsrBv3x3bAQ/edit?resourcekey#gid=1321652304"",""Prop!$AU$1:$BE""),11,0),iferror(vlookup(B3,importrange(""https://docs.google.com/spreadsheets/d/1p53T2AuvvIqhP7Nf-bo3Uhj8cbKYRPpZdsrBv3x3bAQ/edit?resourcekey#gid=13"&amp;"21652304"",""Prop!$BF$1:$BP""),11,0),iferror(vlookup(B3,importrange(""https://docs.google.com/spreadsheets/d/1p53T2AuvvIqhP7Nf-bo3Uhj8cbKYRPpZdsrBv3x3bAQ/edit?resourcekey#gid=1321652304"",""Prop!$BQ$1:$CA""),11,0),iferror(vlookup(B3,importrange(""https://"&amp;"docs.google.com/spreadsheets/d/1p53T2AuvvIqhP7Nf-bo3Uhj8cbKYRPpZdsrBv3x3bAQ/edit?resourcekey#gid=1321652304"",""Prop!$CB$1:$CL""),11,0),iferror(vlookup(B3,importrange(""https://docs.google.com/spreadsheets/d/1p53T2AuvvIqhP7Nf-bo3Uhj8cbKYRPpZdsrBv3x3bAQ/ed"&amp;"it?resourcekey#gid=1321652304"",""Prop!$CM$1:$CX""),12,0),iferror(vlookup(B3,importrange(""https://docs.google.com/spreadsheets/d/1p53T2AuvvIqhP7Nf-bo3Uhj8cbKYRPpZdsrBv3x3bAQ/edit?resourcekey#gid=1321652304"",""Prop!$CY$1:$DI""),11,0)))))))))))"),"https://drive.google.com/open?id=1Y3woNd8cb7SNY594l5Hjuj8HrhAcKWY5")</f>
        <v>https://drive.google.com/open?id=1Y3woNd8cb7SNY594l5Hjuj8HrhAcKWY5</v>
      </c>
      <c r="R3" s="88" t="s">
        <v>1229</v>
      </c>
      <c r="S3" s="20" t="str">
        <f ca="1">IFERROR(__xludf.DUMMYFUNCTION("IFERROR(vlookup(B3,IMPORTRANGE(""https://docs.google.com/spreadsheets/d/1g_jfYYK_KeipEDNDUgqgrsxK94XiocfNQIcP-v1QVhI/edit?resourcekey#gid=233272945"",""Nilai!B:CT""),30,0),"" "")"),"1. Latar belakang kurang tajam
2. BAB 3 kurang terlihat aspek kecanggihan teknologinya
3. Desain Sistem nya perlu digambarkan lebih detail, 
4. Lampiran 5.2 lebih baik dimasukkan dalam BAB 3 saja")</f>
        <v>1. Latar belakang kurang tajam
2. BAB 3 kurang terlihat aspek kecanggihan teknologinya
3. Desain Sistem nya perlu digambarkan lebih detail, 
4. Lampiran 5.2 lebih baik dimasukkan dalam BAB 3 saja</v>
      </c>
      <c r="T3" s="20" t="str">
        <f ca="1">IFERROR(__xludf.DUMMYFUNCTION("IFERROR(vlookup(B3,IMPORTRANGE(""https://docs.google.com/spreadsheets/d/1g_jfYYK_KeipEDNDUgqgrsxK94XiocfNQIcP-v1QVhI/edit?resourcekey#gid=233272945"",""Nilai!B:CT""),97,0),"" "")"),"")</f>
        <v/>
      </c>
      <c r="U3" s="10" t="s">
        <v>601</v>
      </c>
      <c r="V3" s="16" t="s">
        <v>1230</v>
      </c>
      <c r="W3" s="23" t="s">
        <v>1231</v>
      </c>
      <c r="X3" s="19" t="b">
        <v>0</v>
      </c>
    </row>
    <row r="4" spans="1:24">
      <c r="A4" s="15">
        <v>2</v>
      </c>
      <c r="B4" s="15">
        <f ca="1">IFERROR(__xludf.DUMMYFUNCTION("""COMPUTED_VALUE"""),3749)</f>
        <v>3749</v>
      </c>
      <c r="C4" s="16" t="str">
        <f ca="1">IFERROR(__xludf.DUMMYFUNCTION("""COMPUTED_VALUE"""),"DIAN PERMANA")</f>
        <v>DIAN PERMANA</v>
      </c>
      <c r="D4" s="16" t="str">
        <f ca="1">IFERROR(__xludf.DUMMYFUNCTION("""COMPUTED_VALUE"""),"02311840000076")</f>
        <v>02311840000076</v>
      </c>
      <c r="E4" s="16" t="str">
        <f ca="1">IFERROR(__xludf.DUMMYFUNCTION("""COMPUTED_VALUE"""),"Departemen Teknik Fisika")</f>
        <v>Departemen Teknik Fisika</v>
      </c>
      <c r="F4" s="16" t="str">
        <f ca="1">IFERROR(__xludf.DUMMYFUNCTION("""COMPUTED_VALUE"""),"Alat Penyaring Air Tercemar Mikroplastik Berbasis Acoustophoretic Force Menggunakan BAW (Bulk Acoustic Wave) Dengan Saluran Cascade")</f>
        <v>Alat Penyaring Air Tercemar Mikroplastik Berbasis Acoustophoretic Force Menggunakan BAW (Bulk Acoustic Wave) Dengan Saluran Cascade</v>
      </c>
      <c r="G4" s="16" t="str">
        <f ca="1">IFERROR(__xludf.DUMMYFUNCTION("""COMPUTED_VALUE"""),"Dr. Dhany Arifianto, S.T., M.Eng.")</f>
        <v>Dr. Dhany Arifianto, S.T., M.Eng.</v>
      </c>
      <c r="H4" s="16" t="str">
        <f ca="1">IFERROR(__xludf.DUMMYFUNCTION("""COMPUTED_VALUE"""),"Detak Yan Pratama, S.T., M.Sc.")</f>
        <v>Detak Yan Pratama, S.T., M.Sc.</v>
      </c>
      <c r="I4" s="16" t="str">
        <f ca="1">IFERROR(__xludf.DUMMYFUNCTION("""COMPUTED_VALUE"""),"Mahardika F. Rois, S.T, M.T")</f>
        <v>Mahardika F. Rois, S.T, M.T</v>
      </c>
      <c r="J4" s="16"/>
      <c r="K4" s="17" t="s">
        <v>1226</v>
      </c>
      <c r="L4" s="23" t="s">
        <v>1227</v>
      </c>
      <c r="M4" s="19" t="b">
        <v>1</v>
      </c>
      <c r="N4" s="19" t="b">
        <v>1</v>
      </c>
      <c r="O4" s="1" t="s">
        <v>1228</v>
      </c>
      <c r="P4" s="7" t="str">
        <f ca="1">IFERROR(__xludf.DUMMYFUNCTION("iferror(vlookup(B4,importrange(""https://docs.google.com/spreadsheets/d/1boHyJQ4e2FU0QG8MHwEi6qjX4hvZWVCHcFfXjq7bbMc/edit?resourcekey#gid=923248883"",""Prop!$C$1:$M""),12,0),IFERROR(vlookup(B4,importrange(""https://docs.google.com/spreadsheets/d/1boHyJQ4e"&amp;"2FU0QG8MHwEi6qjX4hvZWVCHcFfXjq7bbMc/edit?resourcekey#gid=923248883"",""Prop!$N$1:$X""),11,0),iferror(vlookup(B4,importrange(""https://docs.google.com/spreadsheets/d/1boHyJQ4e2FU0QG8MHwEi6qjX4hvZWVCHcFfXjq7bbMc/edit?resourcekey#gid=923248883"",""Prop!$Y$1:"&amp;"$AI""),11,0),iferror(vlookup(B4,importrange(""https://docs.google.com/spreadsheets/d/1boHyJQ4e2FU0QG8MHwEi6qjX4hvZWVCHcFfXjq7bbMc/edit?resourcekey#gid=923248883"",""Prop!$AJ$1:$AT""),11,0),iferror(vlookup(B4,importrange(""https://docs.google.com/spreadshe"&amp;"ets/d/1boHyJQ4e2FU0QG8MHwEi6qjX4hvZWVCHcFfXjq7bbMc/edit?resourcekey#gid=923248883"",""Prop!$AU$1:$BE""),11,0),iferror(vlookup(B4,importrange(""https://docs.google.com/spreadsheets/d/1boHyJQ4e2FU0QG8MHwEi6qjX4hvZWVCHcFfXjq7bbMc/edit?resourcekey#gid=9232488"&amp;"83"",""Prop!$BF$1:$BP""),11,0),iferror(vlookup(B4,importrange(""https://docs.google.com/spreadsheets/d/1boHyJQ4e2FU0QG8MHwEi6qjX4hvZWVCHcFfXjq7bbMc/edit?resourcekey#gid=923248883"",""Prop!$BQ$1:$CA""),11,0),iferror(vlookup(B4,importrange(""https://docs.go"&amp;"ogle.com/spreadsheets/d/1boHyJQ4e2FU0QG8MHwEi6qjX4hvZWVCHcFfXjq7bbMc/edit?resourcekey#gid=923248883"",""Prop!$CB$1:$CL""),11,0),iferror(vlookup(B4,importrange(""https://docs.google.com/spreadsheets/d/1boHyJQ4e2FU0QG8MHwEi6qjX4hvZWVCHcFfXjq7bbMc/edit?resou"&amp;"rcekey#gid=923248883"",""Prop!$CM$1:$CX""),12,0),iferror(vlookup(B4,importrange(""https://docs.google.com/spreadsheets/d/1boHyJQ4e2FU0QG8MHwEi6qjX4hvZWVCHcFfXjq7bbMc/edit?resourcekey#gid=923248883"",""Prop!$CV$1:$DI""),11,0)))))))))))"),"https://drive.google.com/open?id=1_iWaWRh01w2Vt4BXkLfvZhjAJs9V76RT")</f>
        <v>https://drive.google.com/open?id=1_iWaWRh01w2Vt4BXkLfvZhjAJs9V76RT</v>
      </c>
      <c r="Q4" s="7" t="str">
        <f ca="1">IFERROR(__xludf.DUMMYFUNCTION("iferror(vlookup(B4,importrange(""https://docs.google.com/spreadsheets/d/1p53T2AuvvIqhP7Nf-bo3Uhj8cbKYRPpZdsrBv3x3bAQ/edit?resourcekey#gid=1321652304"",""Prop!$C$1:$M""),11,0),IFERROR(vlookup(B4,importrange(""https://docs.google.com/spreadsheets/d/1p53T2Au"&amp;"vvIqhP7Nf-bo3Uhj8cbKYRPpZdsrBv3x3bAQ/edit?resourcekey#gid=1321652304"",""Prop!$N$1:$X""),11,0),iferror(vlookup(B4,importrange(""https://docs.google.com/spreadsheets/d/1p53T2AuvvIqhP7Nf-bo3Uhj8cbKYRPpZdsrBv3x3bAQ/edit?resourcekey#gid=1321652304"",""Prop!$Y"&amp;"$1:$AI""),11,0),iferror(vlookup(B4,importrange(""https://docs.google.com/spreadsheets/d/1p53T2AuvvIqhP7Nf-bo3Uhj8cbKYRPpZdsrBv3x3bAQ/edit?resourcekey#gid=1321652304"",""Prop!$AJ$1:$AT""),11,0),iferror(vlookup(B4,importrange(""https://docs.google.com/sprea"&amp;"dsheets/d/1p53T2AuvvIqhP7Nf-bo3Uhj8cbKYRPpZdsrBv3x3bAQ/edit?resourcekey#gid=1321652304"",""Prop!$AU$1:$BE""),11,0),iferror(vlookup(B4,importrange(""https://docs.google.com/spreadsheets/d/1p53T2AuvvIqhP7Nf-bo3Uhj8cbKYRPpZdsrBv3x3bAQ/edit?resourcekey#gid=13"&amp;"21652304"",""Prop!$BF$1:$BP""),11,0),iferror(vlookup(B4,importrange(""https://docs.google.com/spreadsheets/d/1p53T2AuvvIqhP7Nf-bo3Uhj8cbKYRPpZdsrBv3x3bAQ/edit?resourcekey#gid=1321652304"",""Prop!$BQ$1:$CA""),11,0),iferror(vlookup(B4,importrange(""https://"&amp;"docs.google.com/spreadsheets/d/1p53T2AuvvIqhP7Nf-bo3Uhj8cbKYRPpZdsrBv3x3bAQ/edit?resourcekey#gid=1321652304"",""Prop!$CB$1:$CL""),11,0),iferror(vlookup(B4,importrange(""https://docs.google.com/spreadsheets/d/1p53T2AuvvIqhP7Nf-bo3Uhj8cbKYRPpZdsrBv3x3bAQ/ed"&amp;"it?resourcekey#gid=1321652304"",""Prop!$CM$1:$CX""),12,0),iferror(vlookup(B4,importrange(""https://docs.google.com/spreadsheets/d/1p53T2AuvvIqhP7Nf-bo3Uhj8cbKYRPpZdsrBv3x3bAQ/edit?resourcekey#gid=1321652304"",""Prop!$CY$1:$DI""),11,0)))))))))))"),"https://drive.google.com/open?id=1vctw7euF2PYY4efMJTfRBXzRP9wfqzjc")</f>
        <v>https://drive.google.com/open?id=1vctw7euF2PYY4efMJTfRBXzRP9wfqzjc</v>
      </c>
      <c r="R4" s="88" t="s">
        <v>1229</v>
      </c>
      <c r="S4" s="20" t="str">
        <f ca="1">IFERROR(__xludf.DUMMYFUNCTION("IFERROR(vlookup(B4,IMPORTRANGE(""https://docs.google.com/spreadsheets/d/1g_jfYYK_KeipEDNDUgqgrsxK94XiocfNQIcP-v1QVhI/edit?resourcekey#gid=233272945"",""Nilai!B:CT""),30,0),"" "")"),"1. Gambar 3.1 a resolusinya lebih baik diperbesar, gambar 3.1 b lebih baik dipisah menjadi gambar 3.2
2. Gambaran kecanggihan sistem perlu dibuat lebih terperinci,")</f>
        <v>1. Gambar 3.1 a resolusinya lebih baik diperbesar, gambar 3.1 b lebih baik dipisah menjadi gambar 3.2
2. Gambaran kecanggihan sistem perlu dibuat lebih terperinci,</v>
      </c>
      <c r="T4" s="20" t="str">
        <f ca="1">IFERROR(__xludf.DUMMYFUNCTION("IFERROR(vlookup(B4,IMPORTRANGE(""https://docs.google.com/spreadsheets/d/1g_jfYYK_KeipEDNDUgqgrsxK94XiocfNQIcP-v1QVhI/edit?resourcekey#gid=233272945"",""Nilai!B:CT""),97,0),"" "")"),"")</f>
        <v/>
      </c>
      <c r="U4" s="10" t="s">
        <v>601</v>
      </c>
      <c r="V4" s="16" t="s">
        <v>1230</v>
      </c>
      <c r="W4" s="23" t="s">
        <v>1231</v>
      </c>
      <c r="X4" s="19" t="b">
        <v>1</v>
      </c>
    </row>
    <row r="5" spans="1:24">
      <c r="A5" s="15">
        <v>3</v>
      </c>
      <c r="B5" s="15">
        <f ca="1">IFERROR(__xludf.DUMMYFUNCTION("""COMPUTED_VALUE"""),2254)</f>
        <v>2254</v>
      </c>
      <c r="C5" s="16" t="str">
        <f ca="1">IFERROR(__xludf.DUMMYFUNCTION("""COMPUTED_VALUE"""),"Muhammad Ikhsan Suryadarma")</f>
        <v>Muhammad Ikhsan Suryadarma</v>
      </c>
      <c r="D5" s="16" t="str">
        <f ca="1">IFERROR(__xludf.DUMMYFUNCTION("""COMPUTED_VALUE"""),"04111940000010")</f>
        <v>04111940000010</v>
      </c>
      <c r="E5" s="16" t="str">
        <f ca="1">IFERROR(__xludf.DUMMYFUNCTION("""COMPUTED_VALUE"""),"Departemen Teknik Perkapalan")</f>
        <v>Departemen Teknik Perkapalan</v>
      </c>
      <c r="F5" s="16" t="str">
        <f ca="1">IFERROR(__xludf.DUMMYFUNCTION("""COMPUTED_VALUE"""),"AUV Pendeteksi Fouling pada Lambung Kapal Berbasis Computer Vision Guna Mengurangi Risiko Kecelakaan Pada Pembersihan Kapal")</f>
        <v>AUV Pendeteksi Fouling pada Lambung Kapal Berbasis Computer Vision Guna Mengurangi Risiko Kecelakaan Pada Pembersihan Kapal</v>
      </c>
      <c r="G5" s="16" t="str">
        <f ca="1">IFERROR(__xludf.DUMMYFUNCTION("""COMPUTED_VALUE"""),"Rudy Dikairono, ST., M.T.")</f>
        <v>Rudy Dikairono, ST., M.T.</v>
      </c>
      <c r="H5" s="16" t="str">
        <f ca="1">IFERROR(__xludf.DUMMYFUNCTION("""COMPUTED_VALUE"""),"Sefi Novendra Patrialova, S.Si., M.T")</f>
        <v>Sefi Novendra Patrialova, S.Si., M.T</v>
      </c>
      <c r="I5" s="16" t="str">
        <f ca="1">IFERROR(__xludf.DUMMYFUNCTION("""COMPUTED_VALUE"""),"Yasmin Zainul Mochtar, S.T., M.A.")</f>
        <v>Yasmin Zainul Mochtar, S.T., M.A.</v>
      </c>
      <c r="J5" s="16"/>
      <c r="K5" s="17" t="s">
        <v>1226</v>
      </c>
      <c r="L5" s="23" t="s">
        <v>1227</v>
      </c>
      <c r="M5" s="19" t="b">
        <v>1</v>
      </c>
      <c r="N5" s="19" t="b">
        <v>1</v>
      </c>
      <c r="O5" s="1" t="s">
        <v>1228</v>
      </c>
      <c r="P5" s="7" t="str">
        <f ca="1">IFERROR(__xludf.DUMMYFUNCTION("iferror(vlookup(B5,importrange(""https://docs.google.com/spreadsheets/d/1boHyJQ4e2FU0QG8MHwEi6qjX4hvZWVCHcFfXjq7bbMc/edit?resourcekey#gid=923248883"",""Prop!$C$1:$M""),12,0),IFERROR(vlookup(B5,importrange(""https://docs.google.com/spreadsheets/d/1boHyJQ4e"&amp;"2FU0QG8MHwEi6qjX4hvZWVCHcFfXjq7bbMc/edit?resourcekey#gid=923248883"",""Prop!$N$1:$X""),11,0),iferror(vlookup(B5,importrange(""https://docs.google.com/spreadsheets/d/1boHyJQ4e2FU0QG8MHwEi6qjX4hvZWVCHcFfXjq7bbMc/edit?resourcekey#gid=923248883"",""Prop!$Y$1:"&amp;"$AI""),11,0),iferror(vlookup(B5,importrange(""https://docs.google.com/spreadsheets/d/1boHyJQ4e2FU0QG8MHwEi6qjX4hvZWVCHcFfXjq7bbMc/edit?resourcekey#gid=923248883"",""Prop!$AJ$1:$AT""),11,0),iferror(vlookup(B5,importrange(""https://docs.google.com/spreadshe"&amp;"ets/d/1boHyJQ4e2FU0QG8MHwEi6qjX4hvZWVCHcFfXjq7bbMc/edit?resourcekey#gid=923248883"",""Prop!$AU$1:$BE""),11,0),iferror(vlookup(B5,importrange(""https://docs.google.com/spreadsheets/d/1boHyJQ4e2FU0QG8MHwEi6qjX4hvZWVCHcFfXjq7bbMc/edit?resourcekey#gid=9232488"&amp;"83"",""Prop!$BF$1:$BP""),11,0),iferror(vlookup(B5,importrange(""https://docs.google.com/spreadsheets/d/1boHyJQ4e2FU0QG8MHwEi6qjX4hvZWVCHcFfXjq7bbMc/edit?resourcekey#gid=923248883"",""Prop!$BQ$1:$CA""),11,0),iferror(vlookup(B5,importrange(""https://docs.go"&amp;"ogle.com/spreadsheets/d/1boHyJQ4e2FU0QG8MHwEi6qjX4hvZWVCHcFfXjq7bbMc/edit?resourcekey#gid=923248883"",""Prop!$CB$1:$CL""),11,0),iferror(vlookup(B5,importrange(""https://docs.google.com/spreadsheets/d/1boHyJQ4e2FU0QG8MHwEi6qjX4hvZWVCHcFfXjq7bbMc/edit?resou"&amp;"rcekey#gid=923248883"",""Prop!$CM$1:$CX""),12,0),iferror(vlookup(B5,importrange(""https://docs.google.com/spreadsheets/d/1boHyJQ4e2FU0QG8MHwEi6qjX4hvZWVCHcFfXjq7bbMc/edit?resourcekey#gid=923248883"",""Prop!$CV$1:$DI""),11,0)))))))))))"),"https://drive.google.com/open?id=1lt-N6hXfvXo-BBzg8IL9A3yhBLWtkCSd")</f>
        <v>https://drive.google.com/open?id=1lt-N6hXfvXo-BBzg8IL9A3yhBLWtkCSd</v>
      </c>
      <c r="Q5" s="7" t="str">
        <f ca="1">IFERROR(__xludf.DUMMYFUNCTION("iferror(vlookup(B5,importrange(""https://docs.google.com/spreadsheets/d/1p53T2AuvvIqhP7Nf-bo3Uhj8cbKYRPpZdsrBv3x3bAQ/edit?resourcekey#gid=1321652304"",""Prop!$C$1:$M""),11,0),IFERROR(vlookup(B5,importrange(""https://docs.google.com/spreadsheets/d/1p53T2Au"&amp;"vvIqhP7Nf-bo3Uhj8cbKYRPpZdsrBv3x3bAQ/edit?resourcekey#gid=1321652304"",""Prop!$N$1:$X""),11,0),iferror(vlookup(B5,importrange(""https://docs.google.com/spreadsheets/d/1p53T2AuvvIqhP7Nf-bo3Uhj8cbKYRPpZdsrBv3x3bAQ/edit?resourcekey#gid=1321652304"",""Prop!$Y"&amp;"$1:$AI""),11,0),iferror(vlookup(B5,importrange(""https://docs.google.com/spreadsheets/d/1p53T2AuvvIqhP7Nf-bo3Uhj8cbKYRPpZdsrBv3x3bAQ/edit?resourcekey#gid=1321652304"",""Prop!$AJ$1:$AT""),11,0),iferror(vlookup(B5,importrange(""https://docs.google.com/sprea"&amp;"dsheets/d/1p53T2AuvvIqhP7Nf-bo3Uhj8cbKYRPpZdsrBv3x3bAQ/edit?resourcekey#gid=1321652304"",""Prop!$AU$1:$BE""),11,0),iferror(vlookup(B5,importrange(""https://docs.google.com/spreadsheets/d/1p53T2AuvvIqhP7Nf-bo3Uhj8cbKYRPpZdsrBv3x3bAQ/edit?resourcekey#gid=13"&amp;"21652304"",""Prop!$BF$1:$BP""),11,0),iferror(vlookup(B5,importrange(""https://docs.google.com/spreadsheets/d/1p53T2AuvvIqhP7Nf-bo3Uhj8cbKYRPpZdsrBv3x3bAQ/edit?resourcekey#gid=1321652304"",""Prop!$BQ$1:$CA""),11,0),iferror(vlookup(B5,importrange(""https://"&amp;"docs.google.com/spreadsheets/d/1p53T2AuvvIqhP7Nf-bo3Uhj8cbKYRPpZdsrBv3x3bAQ/edit?resourcekey#gid=1321652304"",""Prop!$CB$1:$CL""),11,0),iferror(vlookup(B5,importrange(""https://docs.google.com/spreadsheets/d/1p53T2AuvvIqhP7Nf-bo3Uhj8cbKYRPpZdsrBv3x3bAQ/ed"&amp;"it?resourcekey#gid=1321652304"",""Prop!$CM$1:$CX""),12,0),iferror(vlookup(B5,importrange(""https://docs.google.com/spreadsheets/d/1p53T2AuvvIqhP7Nf-bo3Uhj8cbKYRPpZdsrBv3x3bAQ/edit?resourcekey#gid=1321652304"",""Prop!$CY$1:$DI""),11,0)))))))))))"),"https://drive.google.com/open?id=1b-gUvc8Oip55uhxR0xK_Y0lFtHBdG_Bh")</f>
        <v>https://drive.google.com/open?id=1b-gUvc8Oip55uhxR0xK_Y0lFtHBdG_Bh</v>
      </c>
      <c r="R5" s="88" t="s">
        <v>1229</v>
      </c>
      <c r="S5" s="20" t="str">
        <f ca="1">IFERROR(__xludf.DUMMYFUNCTION("IFERROR(vlookup(B5,IMPORTRANGE(""https://docs.google.com/spreadsheets/d/1g_jfYYK_KeipEDNDUgqgrsxK94XiocfNQIcP-v1QVhI/edit?resourcekey#gid=233272945"",""Nilai!B:CT""),30,0),"" "")"),"1. daftar isi perlu diperbaiki
2,. judul AUV tapi pembahasan UUV ?
3. Gambar 2.4 Resolusi bisa dinaikkan
4. Mekanisme roda bermagnet untuk memastikan Robot menempel pada Body Kapal perlu dijelaskan lebih terperinci (bagian ini menarik), juga perhitungan a"&amp;"gar Robot dipastikan tidak mengapung dan terombang ambing arus air harus dijelaskan.")</f>
        <v>1. daftar isi perlu diperbaiki
2,. judul AUV tapi pembahasan UUV ?
3. Gambar 2.4 Resolusi bisa dinaikkan
4. Mekanisme roda bermagnet untuk memastikan Robot menempel pada Body Kapal perlu dijelaskan lebih terperinci (bagian ini menarik), juga perhitungan agar Robot dipastikan tidak mengapung dan terombang ambing arus air harus dijelaskan.</v>
      </c>
      <c r="T5" s="20" t="str">
        <f ca="1">IFERROR(__xludf.DUMMYFUNCTION("IFERROR(vlookup(B5,IMPORTRANGE(""https://docs.google.com/spreadsheets/d/1g_jfYYK_KeipEDNDUgqgrsxK94XiocfNQIcP-v1QVhI/edit?resourcekey#gid=233272945"",""Nilai!B:CT""),97,0),"" "")"),"")</f>
        <v/>
      </c>
      <c r="U5" s="10" t="s">
        <v>601</v>
      </c>
      <c r="V5" s="16" t="s">
        <v>1230</v>
      </c>
      <c r="W5" s="23" t="s">
        <v>1231</v>
      </c>
      <c r="X5" s="19" t="b">
        <v>1</v>
      </c>
    </row>
    <row r="6" spans="1:24">
      <c r="A6" s="15">
        <v>4</v>
      </c>
      <c r="B6" s="15">
        <f ca="1">IFERROR(__xludf.DUMMYFUNCTION("""COMPUTED_VALUE"""),2483)</f>
        <v>2483</v>
      </c>
      <c r="C6" s="16" t="str">
        <f ca="1">IFERROR(__xludf.DUMMYFUNCTION("""COMPUTED_VALUE"""),"Charisa Virga Muliyono")</f>
        <v>Charisa Virga Muliyono</v>
      </c>
      <c r="D6" s="16" t="str">
        <f ca="1">IFERROR(__xludf.DUMMYFUNCTION("""COMPUTED_VALUE"""),"02311840000008")</f>
        <v>02311840000008</v>
      </c>
      <c r="E6" s="16" t="str">
        <f ca="1">IFERROR(__xludf.DUMMYFUNCTION("""COMPUTED_VALUE"""),"Departemen Teknik Fisika")</f>
        <v>Departemen Teknik Fisika</v>
      </c>
      <c r="F6" s="16" t="str">
        <f ca="1">IFERROR(__xludf.DUMMYFUNCTION("""COMPUTED_VALUE"""),"Spektrometer Pentakromatik dengan Jaringan Syaraf Tiruan untuk Identifikasi Polutan Organik dan Anorganik dalam Air Limbah Industri")</f>
        <v>Spektrometer Pentakromatik dengan Jaringan Syaraf Tiruan untuk Identifikasi Polutan Organik dan Anorganik dalam Air Limbah Industri</v>
      </c>
      <c r="G6" s="16" t="str">
        <f ca="1">IFERROR(__xludf.DUMMYFUNCTION("""COMPUTED_VALUE"""),"Dr.rer.nat Ruri Agung Wahyuono, S.T., M.T.")</f>
        <v>Dr.rer.nat Ruri Agung Wahyuono, S.T., M.T.</v>
      </c>
      <c r="H6" s="16" t="str">
        <f ca="1">IFERROR(__xludf.DUMMYFUNCTION("""COMPUTED_VALUE"""),"Sefi Novendra Patrialova, S.Si., M.T")</f>
        <v>Sefi Novendra Patrialova, S.Si., M.T</v>
      </c>
      <c r="I6" s="16" t="str">
        <f ca="1">IFERROR(__xludf.DUMMYFUNCTION("""COMPUTED_VALUE"""),"Yasmin Zainul Mochtar, S.T., M.A.")</f>
        <v>Yasmin Zainul Mochtar, S.T., M.A.</v>
      </c>
      <c r="J6" s="16"/>
      <c r="K6" s="17" t="s">
        <v>1226</v>
      </c>
      <c r="L6" s="23" t="s">
        <v>1227</v>
      </c>
      <c r="M6" s="19" t="b">
        <v>0</v>
      </c>
      <c r="N6" s="19" t="b">
        <v>0</v>
      </c>
      <c r="O6" s="1" t="s">
        <v>1228</v>
      </c>
      <c r="P6" s="7" t="str">
        <f ca="1">IFERROR(__xludf.DUMMYFUNCTION("iferror(vlookup(B6,importrange(""https://docs.google.com/spreadsheets/d/1boHyJQ4e2FU0QG8MHwEi6qjX4hvZWVCHcFfXjq7bbMc/edit?resourcekey#gid=923248883"",""Prop!$C$1:$M""),12,0),IFERROR(vlookup(B6,importrange(""https://docs.google.com/spreadsheets/d/1boHyJQ4e"&amp;"2FU0QG8MHwEi6qjX4hvZWVCHcFfXjq7bbMc/edit?resourcekey#gid=923248883"",""Prop!$N$1:$X""),11,0),iferror(vlookup(B6,importrange(""https://docs.google.com/spreadsheets/d/1boHyJQ4e2FU0QG8MHwEi6qjX4hvZWVCHcFfXjq7bbMc/edit?resourcekey#gid=923248883"",""Prop!$Y$1:"&amp;"$AI""),11,0),iferror(vlookup(B6,importrange(""https://docs.google.com/spreadsheets/d/1boHyJQ4e2FU0QG8MHwEi6qjX4hvZWVCHcFfXjq7bbMc/edit?resourcekey#gid=923248883"",""Prop!$AJ$1:$AT""),11,0),iferror(vlookup(B6,importrange(""https://docs.google.com/spreadshe"&amp;"ets/d/1boHyJQ4e2FU0QG8MHwEi6qjX4hvZWVCHcFfXjq7bbMc/edit?resourcekey#gid=923248883"",""Prop!$AU$1:$BE""),11,0),iferror(vlookup(B6,importrange(""https://docs.google.com/spreadsheets/d/1boHyJQ4e2FU0QG8MHwEi6qjX4hvZWVCHcFfXjq7bbMc/edit?resourcekey#gid=9232488"&amp;"83"",""Prop!$BF$1:$BP""),11,0),iferror(vlookup(B6,importrange(""https://docs.google.com/spreadsheets/d/1boHyJQ4e2FU0QG8MHwEi6qjX4hvZWVCHcFfXjq7bbMc/edit?resourcekey#gid=923248883"",""Prop!$BQ$1:$CA""),11,0),iferror(vlookup(B6,importrange(""https://docs.go"&amp;"ogle.com/spreadsheets/d/1boHyJQ4e2FU0QG8MHwEi6qjX4hvZWVCHcFfXjq7bbMc/edit?resourcekey#gid=923248883"",""Prop!$CB$1:$CL""),11,0),iferror(vlookup(B6,importrange(""https://docs.google.com/spreadsheets/d/1boHyJQ4e2FU0QG8MHwEi6qjX4hvZWVCHcFfXjq7bbMc/edit?resou"&amp;"rcekey#gid=923248883"",""Prop!$CM$1:$CX""),12,0),iferror(vlookup(B6,importrange(""https://docs.google.com/spreadsheets/d/1boHyJQ4e2FU0QG8MHwEi6qjX4hvZWVCHcFfXjq7bbMc/edit?resourcekey#gid=923248883"",""Prop!$CV$1:$DI""),11,0)))))))))))"),"https://drive.google.com/open?id=1Z8nK2uJ4Qr4eei17DKjGmjuPO_HMd6ea")</f>
        <v>https://drive.google.com/open?id=1Z8nK2uJ4Qr4eei17DKjGmjuPO_HMd6ea</v>
      </c>
      <c r="Q6" s="7" t="str">
        <f ca="1">IFERROR(__xludf.DUMMYFUNCTION("iferror(vlookup(B6,importrange(""https://docs.google.com/spreadsheets/d/1p53T2AuvvIqhP7Nf-bo3Uhj8cbKYRPpZdsrBv3x3bAQ/edit?resourcekey#gid=1321652304"",""Prop!$C$1:$M""),11,0),IFERROR(vlookup(B6,importrange(""https://docs.google.com/spreadsheets/d/1p53T2Au"&amp;"vvIqhP7Nf-bo3Uhj8cbKYRPpZdsrBv3x3bAQ/edit?resourcekey#gid=1321652304"",""Prop!$N$1:$X""),11,0),iferror(vlookup(B6,importrange(""https://docs.google.com/spreadsheets/d/1p53T2AuvvIqhP7Nf-bo3Uhj8cbKYRPpZdsrBv3x3bAQ/edit?resourcekey#gid=1321652304"",""Prop!$Y"&amp;"$1:$AI""),11,0),iferror(vlookup(B6,importrange(""https://docs.google.com/spreadsheets/d/1p53T2AuvvIqhP7Nf-bo3Uhj8cbKYRPpZdsrBv3x3bAQ/edit?resourcekey#gid=1321652304"",""Prop!$AJ$1:$AT""),11,0),iferror(vlookup(B6,importrange(""https://docs.google.com/sprea"&amp;"dsheets/d/1p53T2AuvvIqhP7Nf-bo3Uhj8cbKYRPpZdsrBv3x3bAQ/edit?resourcekey#gid=1321652304"",""Prop!$AU$1:$BE""),11,0),iferror(vlookup(B6,importrange(""https://docs.google.com/spreadsheets/d/1p53T2AuvvIqhP7Nf-bo3Uhj8cbKYRPpZdsrBv3x3bAQ/edit?resourcekey#gid=13"&amp;"21652304"",""Prop!$BF$1:$BP""),11,0),iferror(vlookup(B6,importrange(""https://docs.google.com/spreadsheets/d/1p53T2AuvvIqhP7Nf-bo3Uhj8cbKYRPpZdsrBv3x3bAQ/edit?resourcekey#gid=1321652304"",""Prop!$BQ$1:$CA""),11,0),iferror(vlookup(B6,importrange(""https://"&amp;"docs.google.com/spreadsheets/d/1p53T2AuvvIqhP7Nf-bo3Uhj8cbKYRPpZdsrBv3x3bAQ/edit?resourcekey#gid=1321652304"",""Prop!$CB$1:$CL""),11,0),iferror(vlookup(B6,importrange(""https://docs.google.com/spreadsheets/d/1p53T2AuvvIqhP7Nf-bo3Uhj8cbKYRPpZdsrBv3x3bAQ/ed"&amp;"it?resourcekey#gid=1321652304"",""Prop!$CM$1:$CX""),12,0),iferror(vlookup(B6,importrange(""https://docs.google.com/spreadsheets/d/1p53T2AuvvIqhP7Nf-bo3Uhj8cbKYRPpZdsrBv3x3bAQ/edit?resourcekey#gid=1321652304"",""Prop!$CY$1:$DI""),11,0)))))))))))"),"https://drive.google.com/open?id=1e7n2QBVe-OcxZCmsb0_3GVJAZtTn90kx")</f>
        <v>https://drive.google.com/open?id=1e7n2QBVe-OcxZCmsb0_3GVJAZtTn90kx</v>
      </c>
      <c r="R6" s="88" t="s">
        <v>1229</v>
      </c>
      <c r="S6" s="20" t="str">
        <f ca="1">IFERROR(__xludf.DUMMYFUNCTION("IFERROR(vlookup(B6,IMPORTRANGE(""https://docs.google.com/spreadsheets/d/1g_jfYYK_KeipEDNDUgqgrsxK94XiocfNQIcP-v1QVhI/edit?resourcekey#gid=233272945"",""Nilai!B:CT""),30,0),"" "")"),"1. Semua gambar bisa ditingkatkan resolusinya (juga dicheck kesalahan penulisan)
2. Lebih baik ditambahkan gambar blok diagram arsitektur teknologinya (bisa menggantikan gambar 3.2 atau membantu menjelaskan gambar 3.2)
3. lebih baik ditambahkan gambar alg"&amp;"oritma pemrosesan sinyal dari sensor sampai dengan hasil kesimpulan sistem 
4. Kecanggihan dari sistem yang akan dibangun kurang ditampilkan")</f>
        <v>1. Semua gambar bisa ditingkatkan resolusinya (juga dicheck kesalahan penulisan)
2. Lebih baik ditambahkan gambar blok diagram arsitektur teknologinya (bisa menggantikan gambar 3.2 atau membantu menjelaskan gambar 3.2)
3. lebih baik ditambahkan gambar algoritma pemrosesan sinyal dari sensor sampai dengan hasil kesimpulan sistem 
4. Kecanggihan dari sistem yang akan dibangun kurang ditampilkan</v>
      </c>
      <c r="T6" s="20" t="str">
        <f ca="1">IFERROR(__xludf.DUMMYFUNCTION("IFERROR(vlookup(B6,IMPORTRANGE(""https://docs.google.com/spreadsheets/d/1g_jfYYK_KeipEDNDUgqgrsxK94XiocfNQIcP-v1QVhI/edit?resourcekey#gid=233272945"",""Nilai!B:CT""),97,0),"" "")"),"")</f>
        <v/>
      </c>
      <c r="U6" s="10" t="s">
        <v>601</v>
      </c>
      <c r="V6" s="16" t="s">
        <v>1230</v>
      </c>
      <c r="W6" s="23" t="s">
        <v>1231</v>
      </c>
      <c r="X6" s="19" t="b">
        <v>0</v>
      </c>
    </row>
    <row r="7" spans="1:24">
      <c r="A7" s="15">
        <v>5</v>
      </c>
      <c r="B7" s="15">
        <f ca="1">IFERROR(__xludf.DUMMYFUNCTION("""COMPUTED_VALUE"""),2255)</f>
        <v>2255</v>
      </c>
      <c r="C7" s="16" t="str">
        <f ca="1">IFERROR(__xludf.DUMMYFUNCTION("""COMPUTED_VALUE"""),"Fadhilah Syifa Harnadi Putri")</f>
        <v>Fadhilah Syifa Harnadi Putri</v>
      </c>
      <c r="D7" s="16" t="str">
        <f ca="1">IFERROR(__xludf.DUMMYFUNCTION("""COMPUTED_VALUE"""),"01111940000010")</f>
        <v>01111940000010</v>
      </c>
      <c r="E7" s="16" t="str">
        <f ca="1">IFERROR(__xludf.DUMMYFUNCTION("""COMPUTED_VALUE"""),"Departemen Fisika")</f>
        <v>Departemen Fisika</v>
      </c>
      <c r="F7" s="16" t="str">
        <f ca="1">IFERROR(__xludf.DUMMYFUNCTION("""COMPUTED_VALUE"""),"Inovasi Alat Terapi dan Diagnosis Penderita Peripheral Artery Disease Menggunakan Metode Resonant Frequency Berbasis IoT")</f>
        <v>Inovasi Alat Terapi dan Diagnosis Penderita Peripheral Artery Disease Menggunakan Metode Resonant Frequency Berbasis IoT</v>
      </c>
      <c r="G7" s="16" t="str">
        <f ca="1">IFERROR(__xludf.DUMMYFUNCTION("""COMPUTED_VALUE"""),"Endarko, M.Si., Ph.D.")</f>
        <v>Endarko, M.Si., Ph.D.</v>
      </c>
      <c r="H7" s="16" t="str">
        <f ca="1">IFERROR(__xludf.DUMMYFUNCTION("""COMPUTED_VALUE"""),"Sefi Novendra Patrialova, S.Si., M.T")</f>
        <v>Sefi Novendra Patrialova, S.Si., M.T</v>
      </c>
      <c r="I7" s="16" t="str">
        <f ca="1">IFERROR(__xludf.DUMMYFUNCTION("""COMPUTED_VALUE"""),"Yasmin Zainul Mochtar, S.T., M.A.")</f>
        <v>Yasmin Zainul Mochtar, S.T., M.A.</v>
      </c>
      <c r="J7" s="16"/>
      <c r="K7" s="17" t="s">
        <v>1226</v>
      </c>
      <c r="L7" s="23" t="s">
        <v>1227</v>
      </c>
      <c r="M7" s="19" t="b">
        <v>1</v>
      </c>
      <c r="N7" s="19" t="b">
        <v>1</v>
      </c>
      <c r="O7" s="1" t="s">
        <v>1228</v>
      </c>
      <c r="P7" s="7" t="str">
        <f ca="1">IFERROR(__xludf.DUMMYFUNCTION("iferror(vlookup(B7,importrange(""https://docs.google.com/spreadsheets/d/1boHyJQ4e2FU0QG8MHwEi6qjX4hvZWVCHcFfXjq7bbMc/edit?resourcekey#gid=923248883"",""Prop!$C$1:$M""),12,0),IFERROR(vlookup(B7,importrange(""https://docs.google.com/spreadsheets/d/1boHyJQ4e"&amp;"2FU0QG8MHwEi6qjX4hvZWVCHcFfXjq7bbMc/edit?resourcekey#gid=923248883"",""Prop!$N$1:$X""),11,0),iferror(vlookup(B7,importrange(""https://docs.google.com/spreadsheets/d/1boHyJQ4e2FU0QG8MHwEi6qjX4hvZWVCHcFfXjq7bbMc/edit?resourcekey#gid=923248883"",""Prop!$Y$1:"&amp;"$AI""),11,0),iferror(vlookup(B7,importrange(""https://docs.google.com/spreadsheets/d/1boHyJQ4e2FU0QG8MHwEi6qjX4hvZWVCHcFfXjq7bbMc/edit?resourcekey#gid=923248883"",""Prop!$AJ$1:$AT""),11,0),iferror(vlookup(B7,importrange(""https://docs.google.com/spreadshe"&amp;"ets/d/1boHyJQ4e2FU0QG8MHwEi6qjX4hvZWVCHcFfXjq7bbMc/edit?resourcekey#gid=923248883"",""Prop!$AU$1:$BE""),11,0),iferror(vlookup(B7,importrange(""https://docs.google.com/spreadsheets/d/1boHyJQ4e2FU0QG8MHwEi6qjX4hvZWVCHcFfXjq7bbMc/edit?resourcekey#gid=9232488"&amp;"83"",""Prop!$BF$1:$BP""),11,0),iferror(vlookup(B7,importrange(""https://docs.google.com/spreadsheets/d/1boHyJQ4e2FU0QG8MHwEi6qjX4hvZWVCHcFfXjq7bbMc/edit?resourcekey#gid=923248883"",""Prop!$BQ$1:$CA""),11,0),iferror(vlookup(B7,importrange(""https://docs.go"&amp;"ogle.com/spreadsheets/d/1boHyJQ4e2FU0QG8MHwEi6qjX4hvZWVCHcFfXjq7bbMc/edit?resourcekey#gid=923248883"",""Prop!$CB$1:$CL""),11,0),iferror(vlookup(B7,importrange(""https://docs.google.com/spreadsheets/d/1boHyJQ4e2FU0QG8MHwEi6qjX4hvZWVCHcFfXjq7bbMc/edit?resou"&amp;"rcekey#gid=923248883"",""Prop!$CM$1:$CX""),12,0),iferror(vlookup(B7,importrange(""https://docs.google.com/spreadsheets/d/1boHyJQ4e2FU0QG8MHwEi6qjX4hvZWVCHcFfXjq7bbMc/edit?resourcekey#gid=923248883"",""Prop!$CV$1:$DI""),11,0)))))))))))"),"https://drive.google.com/open?id=1Veqn-3CZttt4135sbVh40V0iHdi-nLD9")</f>
        <v>https://drive.google.com/open?id=1Veqn-3CZttt4135sbVh40V0iHdi-nLD9</v>
      </c>
      <c r="Q7" s="7" t="str">
        <f ca="1">IFERROR(__xludf.DUMMYFUNCTION("iferror(vlookup(B7,importrange(""https://docs.google.com/spreadsheets/d/1p53T2AuvvIqhP7Nf-bo3Uhj8cbKYRPpZdsrBv3x3bAQ/edit?resourcekey#gid=1321652304"",""Prop!$C$1:$M""),11,0),IFERROR(vlookup(B7,importrange(""https://docs.google.com/spreadsheets/d/1p53T2Au"&amp;"vvIqhP7Nf-bo3Uhj8cbKYRPpZdsrBv3x3bAQ/edit?resourcekey#gid=1321652304"",""Prop!$N$1:$X""),11,0),iferror(vlookup(B7,importrange(""https://docs.google.com/spreadsheets/d/1p53T2AuvvIqhP7Nf-bo3Uhj8cbKYRPpZdsrBv3x3bAQ/edit?resourcekey#gid=1321652304"",""Prop!$Y"&amp;"$1:$AI""),11,0),iferror(vlookup(B7,importrange(""https://docs.google.com/spreadsheets/d/1p53T2AuvvIqhP7Nf-bo3Uhj8cbKYRPpZdsrBv3x3bAQ/edit?resourcekey#gid=1321652304"",""Prop!$AJ$1:$AT""),11,0),iferror(vlookup(B7,importrange(""https://docs.google.com/sprea"&amp;"dsheets/d/1p53T2AuvvIqhP7Nf-bo3Uhj8cbKYRPpZdsrBv3x3bAQ/edit?resourcekey#gid=1321652304"",""Prop!$AU$1:$BE""),11,0),iferror(vlookup(B7,importrange(""https://docs.google.com/spreadsheets/d/1p53T2AuvvIqhP7Nf-bo3Uhj8cbKYRPpZdsrBv3x3bAQ/edit?resourcekey#gid=13"&amp;"21652304"",""Prop!$BF$1:$BP""),11,0),iferror(vlookup(B7,importrange(""https://docs.google.com/spreadsheets/d/1p53T2AuvvIqhP7Nf-bo3Uhj8cbKYRPpZdsrBv3x3bAQ/edit?resourcekey#gid=1321652304"",""Prop!$BQ$1:$CA""),11,0),iferror(vlookup(B7,importrange(""https://"&amp;"docs.google.com/spreadsheets/d/1p53T2AuvvIqhP7Nf-bo3Uhj8cbKYRPpZdsrBv3x3bAQ/edit?resourcekey#gid=1321652304"",""Prop!$CB$1:$CL""),11,0),iferror(vlookup(B7,importrange(""https://docs.google.com/spreadsheets/d/1p53T2AuvvIqhP7Nf-bo3Uhj8cbKYRPpZdsrBv3x3bAQ/ed"&amp;"it?resourcekey#gid=1321652304"",""Prop!$CM$1:$CX""),12,0),iferror(vlookup(B7,importrange(""https://docs.google.com/spreadsheets/d/1p53T2AuvvIqhP7Nf-bo3Uhj8cbKYRPpZdsrBv3x3bAQ/edit?resourcekey#gid=1321652304"",""Prop!$CY$1:$DI""),11,0)))))))))))"),"https://drive.google.com/open?id=1HgFb97hzZA3bjJRG2nEwooeGxj-KJP_l")</f>
        <v>https://drive.google.com/open?id=1HgFb97hzZA3bjJRG2nEwooeGxj-KJP_l</v>
      </c>
      <c r="R7" s="88" t="s">
        <v>1229</v>
      </c>
      <c r="S7" s="20" t="str">
        <f ca="1">IFERROR(__xludf.DUMMYFUNCTION("IFERROR(vlookup(B7,IMPORTRANGE(""https://docs.google.com/spreadsheets/d/1g_jfYYK_KeipEDNDUgqgrsxK94XiocfNQIcP-v1QVhI/edit?resourcekey#gid=233272945"",""Nilai!B:CT""),30,0),"" "")"),"1. Judul ""berbasis IoT"", akan tetapi terkesan IoT bukan menjadi basis lebih pada fitur pelengkap saja. (maknai ulang apa yang dimaksud sebagai ""berbasis"")
2. Arsitektur kecanggihan teknologi belum tampak jelas pada Bab 3, silahkan dirombak kembali
3. "&amp;"Cara Kerja dari Alat yang akan dirancang juga belum cukup detail dijelaskan! ")</f>
        <v xml:space="preserve">1. Judul "berbasis IoT", akan tetapi terkesan IoT bukan menjadi basis lebih pada fitur pelengkap saja. (maknai ulang apa yang dimaksud sebagai "berbasis")
2. Arsitektur kecanggihan teknologi belum tampak jelas pada Bab 3, silahkan dirombak kembali
3. Cara Kerja dari Alat yang akan dirancang juga belum cukup detail dijelaskan! </v>
      </c>
      <c r="T7" s="20" t="str">
        <f ca="1">IFERROR(__xludf.DUMMYFUNCTION("IFERROR(vlookup(B7,IMPORTRANGE(""https://docs.google.com/spreadsheets/d/1g_jfYYK_KeipEDNDUgqgrsxK94XiocfNQIcP-v1QVhI/edit?resourcekey#gid=233272945"",""Nilai!B:CT""),97,0),"" "")"),"")</f>
        <v/>
      </c>
      <c r="U7" s="10" t="s">
        <v>601</v>
      </c>
      <c r="V7" s="16" t="s">
        <v>1230</v>
      </c>
      <c r="W7" s="23" t="s">
        <v>1232</v>
      </c>
      <c r="X7" s="19" t="b">
        <v>1</v>
      </c>
    </row>
    <row r="8" spans="1:24">
      <c r="A8" s="15">
        <v>6</v>
      </c>
      <c r="B8" s="15">
        <f ca="1">IFERROR(__xludf.DUMMYFUNCTION("""COMPUTED_VALUE"""),2474)</f>
        <v>2474</v>
      </c>
      <c r="C8" s="16" t="str">
        <f ca="1">IFERROR(__xludf.DUMMYFUNCTION("""COMPUTED_VALUE"""),"DEWI SUGIHARTI NINGRUM")</f>
        <v>DEWI SUGIHARTI NINGRUM</v>
      </c>
      <c r="D8" s="16" t="str">
        <f ca="1">IFERROR(__xludf.DUMMYFUNCTION("""COMPUTED_VALUE"""),"10511810000085")</f>
        <v>10511810000085</v>
      </c>
      <c r="E8" s="16" t="str">
        <f ca="1">IFERROR(__xludf.DUMMYFUNCTION("""COMPUTED_VALUE"""),"Departemen Teknik Instrumentasi")</f>
        <v>Departemen Teknik Instrumentasi</v>
      </c>
      <c r="F8" s="16" t="str">
        <f ca="1">IFERROR(__xludf.DUMMYFUNCTION("""COMPUTED_VALUE"""),"MINI REAKTOR BIOGAS BERBASIS INTERNET OF THINGS DENGAN SISTEM PEMURNIAN UNTUK MENINGKATKAN KUALITAS BAHAN BAKAR PENGGANTI LPG")</f>
        <v>MINI REAKTOR BIOGAS BERBASIS INTERNET OF THINGS DENGAN SISTEM PEMURNIAN UNTUK MENINGKATKAN KUALITAS BAHAN BAKAR PENGGANTI LPG</v>
      </c>
      <c r="G8" s="16" t="str">
        <f ca="1">IFERROR(__xludf.DUMMYFUNCTION("""COMPUTED_VALUE"""),"Ahmad Fauzan Adziimaa, S.T., M.Sc.")</f>
        <v>Ahmad Fauzan Adziimaa, S.T., M.Sc.</v>
      </c>
      <c r="H8" s="16" t="str">
        <f ca="1">IFERROR(__xludf.DUMMYFUNCTION("""COMPUTED_VALUE"""),"Yudha Prasetyawan, S.T., M.Eng.")</f>
        <v>Yudha Prasetyawan, S.T., M.Eng.</v>
      </c>
      <c r="I8" s="16" t="str">
        <f ca="1">IFERROR(__xludf.DUMMYFUNCTION("""COMPUTED_VALUE"""),"Yasmin Zainul Mochtar, S.T., M.A.")</f>
        <v>Yasmin Zainul Mochtar, S.T., M.A.</v>
      </c>
      <c r="J8" s="16"/>
      <c r="K8" s="17" t="s">
        <v>1226</v>
      </c>
      <c r="L8" s="23" t="s">
        <v>1227</v>
      </c>
      <c r="M8" s="19" t="b">
        <v>0</v>
      </c>
      <c r="N8" s="19" t="b">
        <v>0</v>
      </c>
      <c r="O8" s="1" t="s">
        <v>1228</v>
      </c>
      <c r="P8" s="7" t="str">
        <f ca="1">IFERROR(__xludf.DUMMYFUNCTION("iferror(vlookup(B8,importrange(""https://docs.google.com/spreadsheets/d/1boHyJQ4e2FU0QG8MHwEi6qjX4hvZWVCHcFfXjq7bbMc/edit?resourcekey#gid=923248883"",""Prop!$C$1:$M""),12,0),IFERROR(vlookup(B8,importrange(""https://docs.google.com/spreadsheets/d/1boHyJQ4e"&amp;"2FU0QG8MHwEi6qjX4hvZWVCHcFfXjq7bbMc/edit?resourcekey#gid=923248883"",""Prop!$N$1:$X""),11,0),iferror(vlookup(B8,importrange(""https://docs.google.com/spreadsheets/d/1boHyJQ4e2FU0QG8MHwEi6qjX4hvZWVCHcFfXjq7bbMc/edit?resourcekey#gid=923248883"",""Prop!$Y$1:"&amp;"$AI""),11,0),iferror(vlookup(B8,importrange(""https://docs.google.com/spreadsheets/d/1boHyJQ4e2FU0QG8MHwEi6qjX4hvZWVCHcFfXjq7bbMc/edit?resourcekey#gid=923248883"",""Prop!$AJ$1:$AT""),11,0),iferror(vlookup(B8,importrange(""https://docs.google.com/spreadshe"&amp;"ets/d/1boHyJQ4e2FU0QG8MHwEi6qjX4hvZWVCHcFfXjq7bbMc/edit?resourcekey#gid=923248883"",""Prop!$AU$1:$BE""),11,0),iferror(vlookup(B8,importrange(""https://docs.google.com/spreadsheets/d/1boHyJQ4e2FU0QG8MHwEi6qjX4hvZWVCHcFfXjq7bbMc/edit?resourcekey#gid=9232488"&amp;"83"",""Prop!$BF$1:$BP""),11,0),iferror(vlookup(B8,importrange(""https://docs.google.com/spreadsheets/d/1boHyJQ4e2FU0QG8MHwEi6qjX4hvZWVCHcFfXjq7bbMc/edit?resourcekey#gid=923248883"",""Prop!$BQ$1:$CA""),11,0),iferror(vlookup(B8,importrange(""https://docs.go"&amp;"ogle.com/spreadsheets/d/1boHyJQ4e2FU0QG8MHwEi6qjX4hvZWVCHcFfXjq7bbMc/edit?resourcekey#gid=923248883"",""Prop!$CB$1:$CL""),11,0),iferror(vlookup(B8,importrange(""https://docs.google.com/spreadsheets/d/1boHyJQ4e2FU0QG8MHwEi6qjX4hvZWVCHcFfXjq7bbMc/edit?resou"&amp;"rcekey#gid=923248883"",""Prop!$CM$1:$CX""),12,0),iferror(vlookup(B8,importrange(""https://docs.google.com/spreadsheets/d/1boHyJQ4e2FU0QG8MHwEi6qjX4hvZWVCHcFfXjq7bbMc/edit?resourcekey#gid=923248883"",""Prop!$CV$1:$DI""),11,0)))))))))))"),"https://drive.google.com/open?id=16oEgGcBW5ZGtroI329EkmNhisC7ws817")</f>
        <v>https://drive.google.com/open?id=16oEgGcBW5ZGtroI329EkmNhisC7ws817</v>
      </c>
      <c r="Q8" s="7" t="str">
        <f ca="1">IFERROR(__xludf.DUMMYFUNCTION("iferror(vlookup(B8,importrange(""https://docs.google.com/spreadsheets/d/1p53T2AuvvIqhP7Nf-bo3Uhj8cbKYRPpZdsrBv3x3bAQ/edit?resourcekey#gid=1321652304"",""Prop!$C$1:$M""),11,0),IFERROR(vlookup(B8,importrange(""https://docs.google.com/spreadsheets/d/1p53T2Au"&amp;"vvIqhP7Nf-bo3Uhj8cbKYRPpZdsrBv3x3bAQ/edit?resourcekey#gid=1321652304"",""Prop!$N$1:$X""),11,0),iferror(vlookup(B8,importrange(""https://docs.google.com/spreadsheets/d/1p53T2AuvvIqhP7Nf-bo3Uhj8cbKYRPpZdsrBv3x3bAQ/edit?resourcekey#gid=1321652304"",""Prop!$Y"&amp;"$1:$AI""),11,0),iferror(vlookup(B8,importrange(""https://docs.google.com/spreadsheets/d/1p53T2AuvvIqhP7Nf-bo3Uhj8cbKYRPpZdsrBv3x3bAQ/edit?resourcekey#gid=1321652304"",""Prop!$AJ$1:$AT""),11,0),iferror(vlookup(B8,importrange(""https://docs.google.com/sprea"&amp;"dsheets/d/1p53T2AuvvIqhP7Nf-bo3Uhj8cbKYRPpZdsrBv3x3bAQ/edit?resourcekey#gid=1321652304"",""Prop!$AU$1:$BE""),11,0),iferror(vlookup(B8,importrange(""https://docs.google.com/spreadsheets/d/1p53T2AuvvIqhP7Nf-bo3Uhj8cbKYRPpZdsrBv3x3bAQ/edit?resourcekey#gid=13"&amp;"21652304"",""Prop!$BF$1:$BP""),11,0),iferror(vlookup(B8,importrange(""https://docs.google.com/spreadsheets/d/1p53T2AuvvIqhP7Nf-bo3Uhj8cbKYRPpZdsrBv3x3bAQ/edit?resourcekey#gid=1321652304"",""Prop!$BQ$1:$CA""),11,0),iferror(vlookup(B8,importrange(""https://"&amp;"docs.google.com/spreadsheets/d/1p53T2AuvvIqhP7Nf-bo3Uhj8cbKYRPpZdsrBv3x3bAQ/edit?resourcekey#gid=1321652304"",""Prop!$CB$1:$CL""),11,0),iferror(vlookup(B8,importrange(""https://docs.google.com/spreadsheets/d/1p53T2AuvvIqhP7Nf-bo3Uhj8cbKYRPpZdsrBv3x3bAQ/ed"&amp;"it?resourcekey#gid=1321652304"",""Prop!$CM$1:$CX""),12,0),iferror(vlookup(B8,importrange(""https://docs.google.com/spreadsheets/d/1p53T2AuvvIqhP7Nf-bo3Uhj8cbKYRPpZdsrBv3x3bAQ/edit?resourcekey#gid=1321652304"",""Prop!$CY$1:$DI""),11,0)))))))))))"),"https://drive.google.com/open?id=1DMyTynJygDQwi0vT8p62-vkNKCcX2EtW")</f>
        <v>https://drive.google.com/open?id=1DMyTynJygDQwi0vT8p62-vkNKCcX2EtW</v>
      </c>
      <c r="R8" s="88" t="s">
        <v>1229</v>
      </c>
      <c r="S8" s="20" t="str">
        <f ca="1">IFERROR(__xludf.DUMMYFUNCTION("IFERROR(vlookup(B8,IMPORTRANGE(""https://docs.google.com/spreadsheets/d/1g_jfYYK_KeipEDNDUgqgrsxK94XiocfNQIcP-v1QVhI/edit?resourcekey#gid=233272945"",""Nilai!B:CT""),30,0),"" "")"),"1. Judul berbasis IoT, namun kesan yang didapatkan IoT hanyalah fitur tambahan untuk memonitor saja. (perlu dimaknai ulang pemilihan kata ""berbasis"")
2. Arsitektur Teknologi tidak terlihat pada Bab 3, adanya ilustrasi gambar mekanik bagus tapi tidak cuk"&amp;"up mengesankan kecanggihan teknologi yang akan digunakan!")</f>
        <v>1. Judul berbasis IoT, namun kesan yang didapatkan IoT hanyalah fitur tambahan untuk memonitor saja. (perlu dimaknai ulang pemilihan kata "berbasis")
2. Arsitektur Teknologi tidak terlihat pada Bab 3, adanya ilustrasi gambar mekanik bagus tapi tidak cukup mengesankan kecanggihan teknologi yang akan digunakan!</v>
      </c>
      <c r="T8" s="20" t="str">
        <f ca="1">IFERROR(__xludf.DUMMYFUNCTION("IFERROR(vlookup(B8,IMPORTRANGE(""https://docs.google.com/spreadsheets/d/1g_jfYYK_KeipEDNDUgqgrsxK94XiocfNQIcP-v1QVhI/edit?resourcekey#gid=233272945"",""Nilai!B:CT""),97,0),"" "")"),"")</f>
        <v/>
      </c>
      <c r="U8" s="10" t="s">
        <v>601</v>
      </c>
      <c r="V8" s="16" t="s">
        <v>1230</v>
      </c>
      <c r="W8" s="23" t="s">
        <v>1232</v>
      </c>
      <c r="X8" s="19" t="b">
        <v>0</v>
      </c>
    </row>
    <row r="9" spans="1:24">
      <c r="A9" s="15">
        <v>7</v>
      </c>
      <c r="B9" s="15">
        <f ca="1">IFERROR(__xludf.DUMMYFUNCTION("""COMPUTED_VALUE"""),2465)</f>
        <v>2465</v>
      </c>
      <c r="C9" s="16" t="str">
        <f ca="1">IFERROR(__xludf.DUMMYFUNCTION("""COMPUTED_VALUE"""),"MEILYSA KURNIA SARI")</f>
        <v>MEILYSA KURNIA SARI</v>
      </c>
      <c r="D9" s="16" t="str">
        <f ca="1">IFERROR(__xludf.DUMMYFUNCTION("""COMPUTED_VALUE"""),"5001201006")</f>
        <v>5001201006</v>
      </c>
      <c r="E9" s="16" t="str">
        <f ca="1">IFERROR(__xludf.DUMMYFUNCTION("""COMPUTED_VALUE"""),"Departemen Fisika")</f>
        <v>Departemen Fisika</v>
      </c>
      <c r="F9" s="16" t="str">
        <f ca="1">IFERROR(__xludf.DUMMYFUNCTION("""COMPUTED_VALUE"""),"Inovasi Pencegahan serta Penanganan Stress Berdasarkan Fisiologis dan Psikologis Menggunakan fuzzy logic Terintegrasi Internet of Things Guna Meningkatkan Produktivitas Pekerja")</f>
        <v>Inovasi Pencegahan serta Penanganan Stress Berdasarkan Fisiologis dan Psikologis Menggunakan fuzzy logic Terintegrasi Internet of Things Guna Meningkatkan Produktivitas Pekerja</v>
      </c>
      <c r="G9" s="16" t="str">
        <f ca="1">IFERROR(__xludf.DUMMYFUNCTION("""COMPUTED_VALUE"""),"Muhammad Arief Bustomi, S.Si., M.Si")</f>
        <v>Muhammad Arief Bustomi, S.Si., M.Si</v>
      </c>
      <c r="H9" s="16" t="str">
        <f ca="1">IFERROR(__xludf.DUMMYFUNCTION("""COMPUTED_VALUE"""),"Sefi Novendra Patrialova, S.Si., M.T")</f>
        <v>Sefi Novendra Patrialova, S.Si., M.T</v>
      </c>
      <c r="I9" s="16" t="str">
        <f ca="1">IFERROR(__xludf.DUMMYFUNCTION("""COMPUTED_VALUE"""),"Yasmin Zainul Mochtar, S.T., M.A.")</f>
        <v>Yasmin Zainul Mochtar, S.T., M.A.</v>
      </c>
      <c r="J9" s="16"/>
      <c r="K9" s="17" t="s">
        <v>1226</v>
      </c>
      <c r="L9" s="23" t="s">
        <v>1233</v>
      </c>
      <c r="M9" s="19" t="b">
        <v>0</v>
      </c>
      <c r="N9" s="19" t="b">
        <v>0</v>
      </c>
      <c r="O9" s="1" t="s">
        <v>1234</v>
      </c>
      <c r="P9" s="1" t="str">
        <f ca="1">IFERROR(__xludf.DUMMYFUNCTION("iferror(vlookup(B9,importrange(""https://docs.google.com/spreadsheets/d/1boHyJQ4e2FU0QG8MHwEi6qjX4hvZWVCHcFfXjq7bbMc/edit?resourcekey#gid=923248883"",""Prop!$C$1:$M""),12,0),IFERROR(vlookup(B9,importrange(""https://docs.google.com/spreadsheets/d/1boHyJQ4e"&amp;"2FU0QG8MHwEi6qjX4hvZWVCHcFfXjq7bbMc/edit?resourcekey#gid=923248883"",""Prop!$N$1:$X""),11,0),iferror(vlookup(B9,importrange(""https://docs.google.com/spreadsheets/d/1boHyJQ4e2FU0QG8MHwEi6qjX4hvZWVCHcFfXjq7bbMc/edit?resourcekey#gid=923248883"",""Prop!$Y$1:"&amp;"$AI""),11,0),iferror(vlookup(B9,importrange(""https://docs.google.com/spreadsheets/d/1boHyJQ4e2FU0QG8MHwEi6qjX4hvZWVCHcFfXjq7bbMc/edit?resourcekey#gid=923248883"",""Prop!$AJ$1:$AT""),11,0),iferror(vlookup(B9,importrange(""https://docs.google.com/spreadshe"&amp;"ets/d/1boHyJQ4e2FU0QG8MHwEi6qjX4hvZWVCHcFfXjq7bbMc/edit?resourcekey#gid=923248883"",""Prop!$AU$1:$BE""),11,0),iferror(vlookup(B9,importrange(""https://docs.google.com/spreadsheets/d/1boHyJQ4e2FU0QG8MHwEi6qjX4hvZWVCHcFfXjq7bbMc/edit?resourcekey#gid=9232488"&amp;"83"",""Prop!$BF$1:$BP""),11,0),iferror(vlookup(B9,importrange(""https://docs.google.com/spreadsheets/d/1boHyJQ4e2FU0QG8MHwEi6qjX4hvZWVCHcFfXjq7bbMc/edit?resourcekey#gid=923248883"",""Prop!$BQ$1:$CA""),11,0),iferror(vlookup(B9,importrange(""https://docs.go"&amp;"ogle.com/spreadsheets/d/1boHyJQ4e2FU0QG8MHwEi6qjX4hvZWVCHcFfXjq7bbMc/edit?resourcekey#gid=923248883"",""Prop!$CB$1:$CL""),11,0),iferror(vlookup(B9,importrange(""https://docs.google.com/spreadsheets/d/1boHyJQ4e2FU0QG8MHwEi6qjX4hvZWVCHcFfXjq7bbMc/edit?resou"&amp;"rcekey#gid=923248883"",""Prop!$CM$1:$CX""),12,0),iferror(vlookup(B9,importrange(""https://docs.google.com/spreadsheets/d/1boHyJQ4e2FU0QG8MHwEi6qjX4hvZWVCHcFfXjq7bbMc/edit?resourcekey#gid=923248883"",""Prop!$CV$1:$DI""),11,0)))))))))))"),"")</f>
        <v/>
      </c>
      <c r="Q9" s="7" t="str">
        <f ca="1">IFERROR(__xludf.DUMMYFUNCTION("iferror(vlookup(B9,importrange(""https://docs.google.com/spreadsheets/d/1p53T2AuvvIqhP7Nf-bo3Uhj8cbKYRPpZdsrBv3x3bAQ/edit?resourcekey#gid=1321652304"",""Prop!$C$1:$M""),11,0),IFERROR(vlookup(B9,importrange(""https://docs.google.com/spreadsheets/d/1p53T2Au"&amp;"vvIqhP7Nf-bo3Uhj8cbKYRPpZdsrBv3x3bAQ/edit?resourcekey#gid=1321652304"",""Prop!$N$1:$X""),11,0),iferror(vlookup(B9,importrange(""https://docs.google.com/spreadsheets/d/1p53T2AuvvIqhP7Nf-bo3Uhj8cbKYRPpZdsrBv3x3bAQ/edit?resourcekey#gid=1321652304"",""Prop!$Y"&amp;"$1:$AI""),11,0),iferror(vlookup(B9,importrange(""https://docs.google.com/spreadsheets/d/1p53T2AuvvIqhP7Nf-bo3Uhj8cbKYRPpZdsrBv3x3bAQ/edit?resourcekey#gid=1321652304"",""Prop!$AJ$1:$AT""),11,0),iferror(vlookup(B9,importrange(""https://docs.google.com/sprea"&amp;"dsheets/d/1p53T2AuvvIqhP7Nf-bo3Uhj8cbKYRPpZdsrBv3x3bAQ/edit?resourcekey#gid=1321652304"",""Prop!$AU$1:$BE""),11,0),iferror(vlookup(B9,importrange(""https://docs.google.com/spreadsheets/d/1p53T2AuvvIqhP7Nf-bo3Uhj8cbKYRPpZdsrBv3x3bAQ/edit?resourcekey#gid=13"&amp;"21652304"",""Prop!$BF$1:$BP""),11,0),iferror(vlookup(B9,importrange(""https://docs.google.com/spreadsheets/d/1p53T2AuvvIqhP7Nf-bo3Uhj8cbKYRPpZdsrBv3x3bAQ/edit?resourcekey#gid=1321652304"",""Prop!$BQ$1:$CA""),11,0),iferror(vlookup(B9,importrange(""https://"&amp;"docs.google.com/spreadsheets/d/1p53T2AuvvIqhP7Nf-bo3Uhj8cbKYRPpZdsrBv3x3bAQ/edit?resourcekey#gid=1321652304"",""Prop!$CB$1:$CL""),11,0),iferror(vlookup(B9,importrange(""https://docs.google.com/spreadsheets/d/1p53T2AuvvIqhP7Nf-bo3Uhj8cbKYRPpZdsrBv3x3bAQ/ed"&amp;"it?resourcekey#gid=1321652304"",""Prop!$CM$1:$CX""),12,0),iferror(vlookup(B9,importrange(""https://docs.google.com/spreadsheets/d/1p53T2AuvvIqhP7Nf-bo3Uhj8cbKYRPpZdsrBv3x3bAQ/edit?resourcekey#gid=1321652304"",""Prop!$CY$1:$DI""),11,0)))))))))))"),"https://drive.google.com/open?id=1kKJR4omphmf4vvpVnuzhMkfhRgwFPvZc")</f>
        <v>https://drive.google.com/open?id=1kKJR4omphmf4vvpVnuzhMkfhRgwFPvZc</v>
      </c>
      <c r="R9" s="88" t="s">
        <v>1229</v>
      </c>
      <c r="S9" s="20" t="str">
        <f ca="1">IFERROR(__xludf.DUMMYFUNCTION("IFERROR(vlookup(B9,IMPORTRANGE(""https://docs.google.com/spreadsheets/d/1g_jfYYK_KeipEDNDUgqgrsxK94XiocfNQIcP-v1QVhI/edit?resourcekey#gid=233272945"",""Nilai!B:CT""),30,0),"" "")"),"1. Daftar isi silahkan diperbaiki lagi
2. Perancangan Sistem perlu diperbaiki, terutama penjelasan algoritma Fuzzy untuk klasifikasi Stress dan bagaimana alur pemrosesannya dari mikrokontroller s.d. masuk ke mobile App
3. Kecanggihan inovasi untuk produk "&amp;"wearable devices masih banyak yang bisa diimprove")</f>
        <v>1. Daftar isi silahkan diperbaiki lagi
2. Perancangan Sistem perlu diperbaiki, terutama penjelasan algoritma Fuzzy untuk klasifikasi Stress dan bagaimana alur pemrosesannya dari mikrokontroller s.d. masuk ke mobile App
3. Kecanggihan inovasi untuk produk wearable devices masih banyak yang bisa diimprove</v>
      </c>
      <c r="T9" s="20" t="str">
        <f ca="1">IFERROR(__xludf.DUMMYFUNCTION("IFERROR(vlookup(B9,IMPORTRANGE(""https://docs.google.com/spreadsheets/d/1g_jfYYK_KeipEDNDUgqgrsxK94XiocfNQIcP-v1QVhI/edit?resourcekey#gid=233272945"",""Nilai!B:CT""),97,0),"" "")"),"")</f>
        <v/>
      </c>
      <c r="U9" s="10" t="s">
        <v>601</v>
      </c>
      <c r="V9" s="16" t="s">
        <v>1230</v>
      </c>
      <c r="W9" s="23" t="s">
        <v>1232</v>
      </c>
      <c r="X9" s="19" t="b">
        <v>1</v>
      </c>
    </row>
    <row r="10" spans="1:24">
      <c r="A10" s="15">
        <v>8</v>
      </c>
      <c r="B10" s="15">
        <f ca="1">IFERROR(__xludf.DUMMYFUNCTION("""COMPUTED_VALUE"""),2690)</f>
        <v>2690</v>
      </c>
      <c r="C10" s="16" t="str">
        <f ca="1">IFERROR(__xludf.DUMMYFUNCTION("""COMPUTED_VALUE"""),"ANDIKA MANDALA PUTRA")</f>
        <v>ANDIKA MANDALA PUTRA</v>
      </c>
      <c r="D10" s="16" t="str">
        <f ca="1">IFERROR(__xludf.DUMMYFUNCTION("""COMPUTED_VALUE"""),"02111940000093")</f>
        <v>02111940000093</v>
      </c>
      <c r="E10" s="16" t="str">
        <f ca="1">IFERROR(__xludf.DUMMYFUNCTION("""COMPUTED_VALUE"""),"Departemen Teknik Mesin")</f>
        <v>Departemen Teknik Mesin</v>
      </c>
      <c r="F10" s="16" t="str">
        <f ca="1">IFERROR(__xludf.DUMMYFUNCTION("""COMPUTED_VALUE"""),"Smart Used Cooking Oil Vending Machine Untuk Meningkatkan Antusiasme Masyarakat Dalam Menabung Minyak Jelantah")</f>
        <v>Smart Used Cooking Oil Vending Machine Untuk Meningkatkan Antusiasme Masyarakat Dalam Menabung Minyak Jelantah</v>
      </c>
      <c r="G10" s="16" t="str">
        <f ca="1">IFERROR(__xludf.DUMMYFUNCTION("""COMPUTED_VALUE"""),"Dr.Eng. Unggul Wasiwitono, S.T., M.Eng.Sc.")</f>
        <v>Dr.Eng. Unggul Wasiwitono, S.T., M.Eng.Sc.</v>
      </c>
      <c r="H10" s="16" t="str">
        <f ca="1">IFERROR(__xludf.DUMMYFUNCTION("""COMPUTED_VALUE"""),"Eko Agus Suprayitno, S.Si., M.T.")</f>
        <v>Eko Agus Suprayitno, S.Si., M.T.</v>
      </c>
      <c r="I10" s="16" t="str">
        <f ca="1">IFERROR(__xludf.DUMMYFUNCTION("""COMPUTED_VALUE"""),"Dr. Eng. Hosta Ardhyananta, S.T., M.Sc.")</f>
        <v>Dr. Eng. Hosta Ardhyananta, S.T., M.Sc.</v>
      </c>
      <c r="J10" s="16"/>
      <c r="K10" s="17" t="s">
        <v>1226</v>
      </c>
      <c r="L10" s="23" t="s">
        <v>1233</v>
      </c>
      <c r="M10" s="19" t="b">
        <v>0</v>
      </c>
      <c r="N10" s="19" t="b">
        <v>0</v>
      </c>
      <c r="O10" s="1" t="s">
        <v>1234</v>
      </c>
      <c r="P10" s="7" t="str">
        <f ca="1">IFERROR(__xludf.DUMMYFUNCTION("iferror(vlookup(B10,importrange(""https://docs.google.com/spreadsheets/d/1boHyJQ4e2FU0QG8MHwEi6qjX4hvZWVCHcFfXjq7bbMc/edit?resourcekey#gid=923248883"",""Prop!$C$1:$M""),12,0),IFERROR(vlookup(B10,importrange(""https://docs.google.com/spreadsheets/d/1boHyJQ"&amp;"4e2FU0QG8MHwEi6qjX4hvZWVCHcFfXjq7bbMc/edit?resourcekey#gid=923248883"",""Prop!$N$1:$X""),11,0),iferror(vlookup(B10,importrange(""https://docs.google.com/spreadsheets/d/1boHyJQ4e2FU0QG8MHwEi6qjX4hvZWVCHcFfXjq7bbMc/edit?resourcekey#gid=923248883"",""Prop!$Y"&amp;"$1:$AI""),11,0),iferror(vlookup(B10,importrange(""https://docs.google.com/spreadsheets/d/1boHyJQ4e2FU0QG8MHwEi6qjX4hvZWVCHcFfXjq7bbMc/edit?resourcekey#gid=923248883"",""Prop!$AJ$1:$AT""),11,0),iferror(vlookup(B10,importrange(""https://docs.google.com/spre"&amp;"adsheets/d/1boHyJQ4e2FU0QG8MHwEi6qjX4hvZWVCHcFfXjq7bbMc/edit?resourcekey#gid=923248883"",""Prop!$AU$1:$BE""),11,0),iferror(vlookup(B10,importrange(""https://docs.google.com/spreadsheets/d/1boHyJQ4e2FU0QG8MHwEi6qjX4hvZWVCHcFfXjq7bbMc/edit?resourcekey#gid=9"&amp;"23248883"",""Prop!$BF$1:$BP""),11,0),iferror(vlookup(B10,importrange(""https://docs.google.com/spreadsheets/d/1boHyJQ4e2FU0QG8MHwEi6qjX4hvZWVCHcFfXjq7bbMc/edit?resourcekey#gid=923248883"",""Prop!$BQ$1:$CA""),11,0),iferror(vlookup(B10,importrange(""https:/"&amp;"/docs.google.com/spreadsheets/d/1boHyJQ4e2FU0QG8MHwEi6qjX4hvZWVCHcFfXjq7bbMc/edit?resourcekey#gid=923248883"",""Prop!$CB$1:$CL""),11,0),iferror(vlookup(B10,importrange(""https://docs.google.com/spreadsheets/d/1boHyJQ4e2FU0QG8MHwEi6qjX4hvZWVCHcFfXjq7bbMc/e"&amp;"dit?resourcekey#gid=923248883"",""Prop!$CM$1:$CX""),12,0),iferror(vlookup(B10,importrange(""https://docs.google.com/spreadsheets/d/1boHyJQ4e2FU0QG8MHwEi6qjX4hvZWVCHcFfXjq7bbMc/edit?resourcekey#gid=923248883"",""Prop!$CV$1:$DI""),11,0)))))))))))"),"https://drive.google.com/open?id=1G-Hl6289WAfNzAvnZLMghjNdEY8dfAHX")</f>
        <v>https://drive.google.com/open?id=1G-Hl6289WAfNzAvnZLMghjNdEY8dfAHX</v>
      </c>
      <c r="Q10" s="1" t="str">
        <f ca="1">IFERROR(__xludf.DUMMYFUNCTION("iferror(vlookup(B10,importrange(""https://docs.google.com/spreadsheets/d/1p53T2AuvvIqhP7Nf-bo3Uhj8cbKYRPpZdsrBv3x3bAQ/edit?resourcekey#gid=1321652304"",""Prop!$C$1:$M""),11,0),IFERROR(vlookup(B10,importrange(""https://docs.google.com/spreadsheets/d/1p53T2"&amp;"AuvvIqhP7Nf-bo3Uhj8cbKYRPpZdsrBv3x3bAQ/edit?resourcekey#gid=1321652304"",""Prop!$N$1:$X""),11,0),iferror(vlookup(B10,importrange(""https://docs.google.com/spreadsheets/d/1p53T2AuvvIqhP7Nf-bo3Uhj8cbKYRPpZdsrBv3x3bAQ/edit?resourcekey#gid=1321652304"",""Prop"&amp;"!$Y$1:$AI""),11,0),iferror(vlookup(B10,importrange(""https://docs.google.com/spreadsheets/d/1p53T2AuvvIqhP7Nf-bo3Uhj8cbKYRPpZdsrBv3x3bAQ/edit?resourcekey#gid=1321652304"",""Prop!$AJ$1:$AT""),11,0),iferror(vlookup(B10,importrange(""https://docs.google.com/"&amp;"spreadsheets/d/1p53T2AuvvIqhP7Nf-bo3Uhj8cbKYRPpZdsrBv3x3bAQ/edit?resourcekey#gid=1321652304"",""Prop!$AU$1:$BE""),11,0),iferror(vlookup(B10,importrange(""https://docs.google.com/spreadsheets/d/1p53T2AuvvIqhP7Nf-bo3Uhj8cbKYRPpZdsrBv3x3bAQ/edit?resourcekey#"&amp;"gid=1321652304"",""Prop!$BF$1:$BP""),11,0),iferror(vlookup(B10,importrange(""https://docs.google.com/spreadsheets/d/1p53T2AuvvIqhP7Nf-bo3Uhj8cbKYRPpZdsrBv3x3bAQ/edit?resourcekey#gid=1321652304"",""Prop!$BQ$1:$CA""),11,0),iferror(vlookup(B10,importrange("""&amp;"https://docs.google.com/spreadsheets/d/1p53T2AuvvIqhP7Nf-bo3Uhj8cbKYRPpZdsrBv3x3bAQ/edit?resourcekey#gid=1321652304"",""Prop!$CB$1:$CL""),11,0),iferror(vlookup(B10,importrange(""https://docs.google.com/spreadsheets/d/1p53T2AuvvIqhP7Nf-bo3Uhj8cbKYRPpZdsrBv"&amp;"3x3bAQ/edit?resourcekey#gid=1321652304"",""Prop!$CM$1:$CX""),12,0),iferror(vlookup(B10,importrange(""https://docs.google.com/spreadsheets/d/1p53T2AuvvIqhP7Nf-bo3Uhj8cbKYRPpZdsrBv3x3bAQ/edit?resourcekey#gid=1321652304"",""Prop!$CY$1:$DI""),11,0)))))))))))"),"")</f>
        <v/>
      </c>
      <c r="R10" s="88" t="s">
        <v>1229</v>
      </c>
      <c r="S10" s="20" t="str">
        <f ca="1">IFERROR(__xludf.DUMMYFUNCTION("IFERROR(vlookup(B10,IMPORTRANGE(""https://docs.google.com/spreadsheets/d/1g_jfYYK_KeipEDNDUgqgrsxK94XiocfNQIcP-v1QVhI/edit?resourcekey#gid=233272945"",""Nilai!B:CT""),30,0),"" "")"),"1. Proposal masih terkesan mentah, perlu banyak perbaikan
2. Gambar mekanik cukup menarik, namun tidak cukup mengesankan bahwa teknologi yang digunakan canggih, diperlukan gambar arsitektur teknologi atau blok diagram sistem 
3. Tinjauan Pustaka Terlalu T"&amp;"eknis")</f>
        <v>1. Proposal masih terkesan mentah, perlu banyak perbaikan
2. Gambar mekanik cukup menarik, namun tidak cukup mengesankan bahwa teknologi yang digunakan canggih, diperlukan gambar arsitektur teknologi atau blok diagram sistem 
3. Tinjauan Pustaka Terlalu Teknis</v>
      </c>
      <c r="T10" s="20" t="str">
        <f ca="1">IFERROR(__xludf.DUMMYFUNCTION("IFERROR(vlookup(B10,IMPORTRANGE(""https://docs.google.com/spreadsheets/d/1g_jfYYK_KeipEDNDUgqgrsxK94XiocfNQIcP-v1QVhI/edit?resourcekey#gid=233272945"",""Nilai!B:CT""),97,0),"" "")"),"")</f>
        <v/>
      </c>
      <c r="U10" s="10" t="s">
        <v>601</v>
      </c>
      <c r="V10" s="16" t="s">
        <v>1230</v>
      </c>
      <c r="W10" s="23" t="s">
        <v>1232</v>
      </c>
      <c r="X10" s="19" t="b">
        <v>0</v>
      </c>
    </row>
    <row r="11" spans="1:24">
      <c r="A11" s="15">
        <v>9</v>
      </c>
      <c r="B11" s="15">
        <f ca="1">IFERROR(__xludf.DUMMYFUNCTION("""COMPUTED_VALUE"""),2219)</f>
        <v>2219</v>
      </c>
      <c r="C11" s="16" t="str">
        <f ca="1">IFERROR(__xludf.DUMMYFUNCTION("""COMPUTED_VALUE"""),"M. Taufiqul Huda")</f>
        <v>M. Taufiqul Huda</v>
      </c>
      <c r="D11" s="16" t="str">
        <f ca="1">IFERROR(__xludf.DUMMYFUNCTION("""COMPUTED_VALUE"""),"5022211007")</f>
        <v>5022211007</v>
      </c>
      <c r="E11" s="16" t="str">
        <f ca="1">IFERROR(__xludf.DUMMYFUNCTION("""COMPUTED_VALUE"""),"Departemen Teknik Elektro")</f>
        <v>Departemen Teknik Elektro</v>
      </c>
      <c r="F11" s="16" t="str">
        <f ca="1">IFERROR(__xludf.DUMMYFUNCTION("""COMPUTED_VALUE"""),"Detektor Hemoglobin Non-Invasif Berbasis IoT dan Machine Learning Untuk Memprediksi Waktu Tranfusi Darah Bagi Penderita Systemic Lupus Erythematosus")</f>
        <v>Detektor Hemoglobin Non-Invasif Berbasis IoT dan Machine Learning Untuk Memprediksi Waktu Tranfusi Darah Bagi Penderita Systemic Lupus Erythematosus</v>
      </c>
      <c r="G11" s="16" t="str">
        <f ca="1">IFERROR(__xludf.DUMMYFUNCTION("""COMPUTED_VALUE"""),"Eko Agus Suprayitno, S.Si., M.T.")</f>
        <v>Eko Agus Suprayitno, S.Si., M.T.</v>
      </c>
      <c r="H11" s="16" t="str">
        <f ca="1">IFERROR(__xludf.DUMMYFUNCTION("""COMPUTED_VALUE"""),"Sefi Novendra Patrialova, S.Si., M.T")</f>
        <v>Sefi Novendra Patrialova, S.Si., M.T</v>
      </c>
      <c r="I11" s="16" t="str">
        <f ca="1">IFERROR(__xludf.DUMMYFUNCTION("""COMPUTED_VALUE"""),"Dr. Ir. Purwadi Agus Darwito, M.Sc.")</f>
        <v>Dr. Ir. Purwadi Agus Darwito, M.Sc.</v>
      </c>
      <c r="J11" s="16"/>
      <c r="K11" s="17" t="s">
        <v>1226</v>
      </c>
      <c r="L11" s="23" t="s">
        <v>1233</v>
      </c>
      <c r="M11" s="19" t="b">
        <v>1</v>
      </c>
      <c r="N11" s="19" t="b">
        <v>1</v>
      </c>
      <c r="O11" s="1" t="s">
        <v>1234</v>
      </c>
      <c r="P11" s="7" t="str">
        <f ca="1">IFERROR(__xludf.DUMMYFUNCTION("iferror(vlookup(B11,importrange(""https://docs.google.com/spreadsheets/d/1boHyJQ4e2FU0QG8MHwEi6qjX4hvZWVCHcFfXjq7bbMc/edit?resourcekey#gid=923248883"",""Prop!$C$1:$M""),12,0),IFERROR(vlookup(B11,importrange(""https://docs.google.com/spreadsheets/d/1boHyJQ"&amp;"4e2FU0QG8MHwEi6qjX4hvZWVCHcFfXjq7bbMc/edit?resourcekey#gid=923248883"",""Prop!$N$1:$X""),11,0),iferror(vlookup(B11,importrange(""https://docs.google.com/spreadsheets/d/1boHyJQ4e2FU0QG8MHwEi6qjX4hvZWVCHcFfXjq7bbMc/edit?resourcekey#gid=923248883"",""Prop!$Y"&amp;"$1:$AI""),11,0),iferror(vlookup(B11,importrange(""https://docs.google.com/spreadsheets/d/1boHyJQ4e2FU0QG8MHwEi6qjX4hvZWVCHcFfXjq7bbMc/edit?resourcekey#gid=923248883"",""Prop!$AJ$1:$AT""),11,0),iferror(vlookup(B11,importrange(""https://docs.google.com/spre"&amp;"adsheets/d/1boHyJQ4e2FU0QG8MHwEi6qjX4hvZWVCHcFfXjq7bbMc/edit?resourcekey#gid=923248883"",""Prop!$AU$1:$BE""),11,0),iferror(vlookup(B11,importrange(""https://docs.google.com/spreadsheets/d/1boHyJQ4e2FU0QG8MHwEi6qjX4hvZWVCHcFfXjq7bbMc/edit?resourcekey#gid=9"&amp;"23248883"",""Prop!$BF$1:$BP""),11,0),iferror(vlookup(B11,importrange(""https://docs.google.com/spreadsheets/d/1boHyJQ4e2FU0QG8MHwEi6qjX4hvZWVCHcFfXjq7bbMc/edit?resourcekey#gid=923248883"",""Prop!$BQ$1:$CA""),11,0),iferror(vlookup(B11,importrange(""https:/"&amp;"/docs.google.com/spreadsheets/d/1boHyJQ4e2FU0QG8MHwEi6qjX4hvZWVCHcFfXjq7bbMc/edit?resourcekey#gid=923248883"",""Prop!$CB$1:$CL""),11,0),iferror(vlookup(B11,importrange(""https://docs.google.com/spreadsheets/d/1boHyJQ4e2FU0QG8MHwEi6qjX4hvZWVCHcFfXjq7bbMc/e"&amp;"dit?resourcekey#gid=923248883"",""Prop!$CM$1:$CX""),12,0),iferror(vlookup(B11,importrange(""https://docs.google.com/spreadsheets/d/1boHyJQ4e2FU0QG8MHwEi6qjX4hvZWVCHcFfXjq7bbMc/edit?resourcekey#gid=923248883"",""Prop!$CV$1:$DI""),11,0)))))))))))"),"https://drive.google.com/open?id=1NyivpiVPZUBMyNqpwUFUDTCfS7OIeTsP")</f>
        <v>https://drive.google.com/open?id=1NyivpiVPZUBMyNqpwUFUDTCfS7OIeTsP</v>
      </c>
      <c r="Q11" s="7" t="str">
        <f ca="1">IFERROR(__xludf.DUMMYFUNCTION("iferror(vlookup(B11,importrange(""https://docs.google.com/spreadsheets/d/1p53T2AuvvIqhP7Nf-bo3Uhj8cbKYRPpZdsrBv3x3bAQ/edit?resourcekey#gid=1321652304"",""Prop!$C$1:$M""),11,0),IFERROR(vlookup(B11,importrange(""https://docs.google.com/spreadsheets/d/1p53T2"&amp;"AuvvIqhP7Nf-bo3Uhj8cbKYRPpZdsrBv3x3bAQ/edit?resourcekey#gid=1321652304"",""Prop!$N$1:$X""),11,0),iferror(vlookup(B11,importrange(""https://docs.google.com/spreadsheets/d/1p53T2AuvvIqhP7Nf-bo3Uhj8cbKYRPpZdsrBv3x3bAQ/edit?resourcekey#gid=1321652304"",""Prop"&amp;"!$Y$1:$AI""),11,0),iferror(vlookup(B11,importrange(""https://docs.google.com/spreadsheets/d/1p53T2AuvvIqhP7Nf-bo3Uhj8cbKYRPpZdsrBv3x3bAQ/edit?resourcekey#gid=1321652304"",""Prop!$AJ$1:$AT""),11,0),iferror(vlookup(B11,importrange(""https://docs.google.com/"&amp;"spreadsheets/d/1p53T2AuvvIqhP7Nf-bo3Uhj8cbKYRPpZdsrBv3x3bAQ/edit?resourcekey#gid=1321652304"",""Prop!$AU$1:$BE""),11,0),iferror(vlookup(B11,importrange(""https://docs.google.com/spreadsheets/d/1p53T2AuvvIqhP7Nf-bo3Uhj8cbKYRPpZdsrBv3x3bAQ/edit?resourcekey#"&amp;"gid=1321652304"",""Prop!$BF$1:$BP""),11,0),iferror(vlookup(B11,importrange(""https://docs.google.com/spreadsheets/d/1p53T2AuvvIqhP7Nf-bo3Uhj8cbKYRPpZdsrBv3x3bAQ/edit?resourcekey#gid=1321652304"",""Prop!$BQ$1:$CA""),11,0),iferror(vlookup(B11,importrange("""&amp;"https://docs.google.com/spreadsheets/d/1p53T2AuvvIqhP7Nf-bo3Uhj8cbKYRPpZdsrBv3x3bAQ/edit?resourcekey#gid=1321652304"",""Prop!$CB$1:$CL""),11,0),iferror(vlookup(B11,importrange(""https://docs.google.com/spreadsheets/d/1p53T2AuvvIqhP7Nf-bo3Uhj8cbKYRPpZdsrBv"&amp;"3x3bAQ/edit?resourcekey#gid=1321652304"",""Prop!$CM$1:$CX""),12,0),iferror(vlookup(B11,importrange(""https://docs.google.com/spreadsheets/d/1p53T2AuvvIqhP7Nf-bo3Uhj8cbKYRPpZdsrBv3x3bAQ/edit?resourcekey#gid=1321652304"",""Prop!$CY$1:$DI""),11,0)))))))))))"),"https://drive.google.com/open?id=1nVGXke7xeBPfvFBnirxdxObSGCTA1Aol")</f>
        <v>https://drive.google.com/open?id=1nVGXke7xeBPfvFBnirxdxObSGCTA1Aol</v>
      </c>
      <c r="R11" s="88" t="s">
        <v>1229</v>
      </c>
      <c r="S11" s="20" t="str">
        <f ca="1">IFERROR(__xludf.DUMMYFUNCTION("IFERROR(vlookup(B11,IMPORTRANGE(""https://docs.google.com/spreadsheets/d/1g_jfYYK_KeipEDNDUgqgrsxK94XiocfNQIcP-v1QVhI/edit?resourcekey#gid=233272945"",""Nilai!B:CT""),30,0),"" "")"),"1. Topik ini menarik namun kurang dikemas dalam proposal yang berkesan
2. Blok diagram arsitektur sistem perlu dimasukkan dalam bab 3, termasuk algoritma Machine Learning untuk mendeteksi anemia bisa dimasukkan dalam bab 3
3. kecanggihan teknologi harus t"&amp;"erkesan kuat pada proposalmu, revisi dulu dan konsultasi dengan pembimbing")</f>
        <v>1. Topik ini menarik namun kurang dikemas dalam proposal yang berkesan
2. Blok diagram arsitektur sistem perlu dimasukkan dalam bab 3, termasuk algoritma Machine Learning untuk mendeteksi anemia bisa dimasukkan dalam bab 3
3. kecanggihan teknologi harus terkesan kuat pada proposalmu, revisi dulu dan konsultasi dengan pembimbing</v>
      </c>
      <c r="T11" s="20" t="str">
        <f ca="1">IFERROR(__xludf.DUMMYFUNCTION("IFERROR(vlookup(B11,IMPORTRANGE(""https://docs.google.com/spreadsheets/d/1g_jfYYK_KeipEDNDUgqgrsxK94XiocfNQIcP-v1QVhI/edit?resourcekey#gid=233272945"",""Nilai!B:CT""),97,0),"" "")"),"")</f>
        <v/>
      </c>
      <c r="U11" s="10" t="s">
        <v>601</v>
      </c>
      <c r="V11" s="16" t="s">
        <v>1230</v>
      </c>
      <c r="W11" s="23" t="s">
        <v>1235</v>
      </c>
      <c r="X11" s="19" t="b">
        <v>1</v>
      </c>
    </row>
    <row r="12" spans="1:24">
      <c r="A12" s="15">
        <v>10</v>
      </c>
      <c r="B12" s="15">
        <f ca="1">IFERROR(__xludf.DUMMYFUNCTION("""COMPUTED_VALUE"""),2160)</f>
        <v>2160</v>
      </c>
      <c r="C12" s="16" t="str">
        <f ca="1">IFERROR(__xludf.DUMMYFUNCTION("""COMPUTED_VALUE"""),"MUHAMMAD FADLAN AKBAR")</f>
        <v>MUHAMMAD FADLAN AKBAR</v>
      </c>
      <c r="D12" s="16" t="str">
        <f ca="1">IFERROR(__xludf.DUMMYFUNCTION("""COMPUTED_VALUE"""),"5022201171")</f>
        <v>5022201171</v>
      </c>
      <c r="E12" s="16" t="str">
        <f ca="1">IFERROR(__xludf.DUMMYFUNCTION("""COMPUTED_VALUE"""),"Departemen Teknik Elektro")</f>
        <v>Departemen Teknik Elektro</v>
      </c>
      <c r="F12" s="16" t="str">
        <f ca="1">IFERROR(__xludf.DUMMYFUNCTION("""COMPUTED_VALUE"""),"Sistem Pendeteksi Kesalahan Servis Bulutangkis (Service Fault) pada Aspek Ketinggian Servis Berbasis Visi Komputer
")</f>
        <v xml:space="preserve">Sistem Pendeteksi Kesalahan Servis Bulutangkis (Service Fault) pada Aspek Ketinggian Servis Berbasis Visi Komputer
</v>
      </c>
      <c r="G12" s="16" t="str">
        <f ca="1">IFERROR(__xludf.DUMMYFUNCTION("""COMPUTED_VALUE"""),"Dr. Ir. Hendra Kusuma, M.Eng.Sc.")</f>
        <v>Dr. Ir. Hendra Kusuma, M.Eng.Sc.</v>
      </c>
      <c r="H12" s="16" t="str">
        <f ca="1">IFERROR(__xludf.DUMMYFUNCTION("""COMPUTED_VALUE"""),"Sefi Novendra Patrialova, S.Si., M.T")</f>
        <v>Sefi Novendra Patrialova, S.Si., M.T</v>
      </c>
      <c r="I12" s="16" t="str">
        <f ca="1">IFERROR(__xludf.DUMMYFUNCTION("""COMPUTED_VALUE"""),"Dr. Ir. Purwadi Agus Darwito, M.Sc.")</f>
        <v>Dr. Ir. Purwadi Agus Darwito, M.Sc.</v>
      </c>
      <c r="J12" s="16"/>
      <c r="K12" s="17" t="s">
        <v>1226</v>
      </c>
      <c r="L12" s="23" t="s">
        <v>1233</v>
      </c>
      <c r="M12" s="19" t="b">
        <v>1</v>
      </c>
      <c r="N12" s="19" t="b">
        <v>1</v>
      </c>
      <c r="O12" s="1" t="s">
        <v>1234</v>
      </c>
      <c r="P12" s="7" t="str">
        <f ca="1">IFERROR(__xludf.DUMMYFUNCTION("iferror(vlookup(B12,importrange(""https://docs.google.com/spreadsheets/d/1boHyJQ4e2FU0QG8MHwEi6qjX4hvZWVCHcFfXjq7bbMc/edit?resourcekey#gid=923248883"",""Prop!$C$1:$M""),12,0),IFERROR(vlookup(B12,importrange(""https://docs.google.com/spreadsheets/d/1boHyJQ"&amp;"4e2FU0QG8MHwEi6qjX4hvZWVCHcFfXjq7bbMc/edit?resourcekey#gid=923248883"",""Prop!$N$1:$X""),11,0),iferror(vlookup(B12,importrange(""https://docs.google.com/spreadsheets/d/1boHyJQ4e2FU0QG8MHwEi6qjX4hvZWVCHcFfXjq7bbMc/edit?resourcekey#gid=923248883"",""Prop!$Y"&amp;"$1:$AI""),11,0),iferror(vlookup(B12,importrange(""https://docs.google.com/spreadsheets/d/1boHyJQ4e2FU0QG8MHwEi6qjX4hvZWVCHcFfXjq7bbMc/edit?resourcekey#gid=923248883"",""Prop!$AJ$1:$AT""),11,0),iferror(vlookup(B12,importrange(""https://docs.google.com/spre"&amp;"adsheets/d/1boHyJQ4e2FU0QG8MHwEi6qjX4hvZWVCHcFfXjq7bbMc/edit?resourcekey#gid=923248883"",""Prop!$AU$1:$BE""),11,0),iferror(vlookup(B12,importrange(""https://docs.google.com/spreadsheets/d/1boHyJQ4e2FU0QG8MHwEi6qjX4hvZWVCHcFfXjq7bbMc/edit?resourcekey#gid=9"&amp;"23248883"",""Prop!$BF$1:$BP""),11,0),iferror(vlookup(B12,importrange(""https://docs.google.com/spreadsheets/d/1boHyJQ4e2FU0QG8MHwEi6qjX4hvZWVCHcFfXjq7bbMc/edit?resourcekey#gid=923248883"",""Prop!$BQ$1:$CA""),11,0),iferror(vlookup(B12,importrange(""https:/"&amp;"/docs.google.com/spreadsheets/d/1boHyJQ4e2FU0QG8MHwEi6qjX4hvZWVCHcFfXjq7bbMc/edit?resourcekey#gid=923248883"",""Prop!$CB$1:$CL""),11,0),iferror(vlookup(B12,importrange(""https://docs.google.com/spreadsheets/d/1boHyJQ4e2FU0QG8MHwEi6qjX4hvZWVCHcFfXjq7bbMc/e"&amp;"dit?resourcekey#gid=923248883"",""Prop!$CM$1:$CX""),12,0),iferror(vlookup(B12,importrange(""https://docs.google.com/spreadsheets/d/1boHyJQ4e2FU0QG8MHwEi6qjX4hvZWVCHcFfXjq7bbMc/edit?resourcekey#gid=923248883"",""Prop!$CV$1:$DI""),11,0)))))))))))"),"https://drive.google.com/open?id=1z0nbznQsEk2YP5NTDGtCJ8i-3m8Cgq46")</f>
        <v>https://drive.google.com/open?id=1z0nbznQsEk2YP5NTDGtCJ8i-3m8Cgq46</v>
      </c>
      <c r="Q12" s="7" t="str">
        <f ca="1">IFERROR(__xludf.DUMMYFUNCTION("iferror(vlookup(B12,importrange(""https://docs.google.com/spreadsheets/d/1p53T2AuvvIqhP7Nf-bo3Uhj8cbKYRPpZdsrBv3x3bAQ/edit?resourcekey#gid=1321652304"",""Prop!$C$1:$M""),11,0),IFERROR(vlookup(B12,importrange(""https://docs.google.com/spreadsheets/d/1p53T2"&amp;"AuvvIqhP7Nf-bo3Uhj8cbKYRPpZdsrBv3x3bAQ/edit?resourcekey#gid=1321652304"",""Prop!$N$1:$X""),11,0),iferror(vlookup(B12,importrange(""https://docs.google.com/spreadsheets/d/1p53T2AuvvIqhP7Nf-bo3Uhj8cbKYRPpZdsrBv3x3bAQ/edit?resourcekey#gid=1321652304"",""Prop"&amp;"!$Y$1:$AI""),11,0),iferror(vlookup(B12,importrange(""https://docs.google.com/spreadsheets/d/1p53T2AuvvIqhP7Nf-bo3Uhj8cbKYRPpZdsrBv3x3bAQ/edit?resourcekey#gid=1321652304"",""Prop!$AJ$1:$AT""),11,0),iferror(vlookup(B12,importrange(""https://docs.google.com/"&amp;"spreadsheets/d/1p53T2AuvvIqhP7Nf-bo3Uhj8cbKYRPpZdsrBv3x3bAQ/edit?resourcekey#gid=1321652304"",""Prop!$AU$1:$BE""),11,0),iferror(vlookup(B12,importrange(""https://docs.google.com/spreadsheets/d/1p53T2AuvvIqhP7Nf-bo3Uhj8cbKYRPpZdsrBv3x3bAQ/edit?resourcekey#"&amp;"gid=1321652304"",""Prop!$BF$1:$BP""),11,0),iferror(vlookup(B12,importrange(""https://docs.google.com/spreadsheets/d/1p53T2AuvvIqhP7Nf-bo3Uhj8cbKYRPpZdsrBv3x3bAQ/edit?resourcekey#gid=1321652304"",""Prop!$BQ$1:$CA""),11,0),iferror(vlookup(B12,importrange("""&amp;"https://docs.google.com/spreadsheets/d/1p53T2AuvvIqhP7Nf-bo3Uhj8cbKYRPpZdsrBv3x3bAQ/edit?resourcekey#gid=1321652304"",""Prop!$CB$1:$CL""),11,0),iferror(vlookup(B12,importrange(""https://docs.google.com/spreadsheets/d/1p53T2AuvvIqhP7Nf-bo3Uhj8cbKYRPpZdsrBv"&amp;"3x3bAQ/edit?resourcekey#gid=1321652304"",""Prop!$CM$1:$CX""),12,0),iferror(vlookup(B12,importrange(""https://docs.google.com/spreadsheets/d/1p53T2AuvvIqhP7Nf-bo3Uhj8cbKYRPpZdsrBv3x3bAQ/edit?resourcekey#gid=1321652304"",""Prop!$CY$1:$DI""),11,0)))))))))))"),"https://drive.google.com/open?id=1wla5ZNfk-F98tl-7zJHbv5PS-hrt_X8D")</f>
        <v>https://drive.google.com/open?id=1wla5ZNfk-F98tl-7zJHbv5PS-hrt_X8D</v>
      </c>
      <c r="R12" s="88" t="s">
        <v>1229</v>
      </c>
      <c r="S12" s="20" t="str">
        <f ca="1">IFERROR(__xludf.DUMMYFUNCTION("IFERROR(vlookup(B12,IMPORTRANGE(""https://docs.google.com/spreadsheets/d/1g_jfYYK_KeipEDNDUgqgrsxK94XiocfNQIcP-v1QVhI/edit?resourcekey#gid=233272945"",""Nilai!B:CT""),30,0),"" "")"),"Ide pengusul menarik, namun desain prototipe nya mana kurang jelas, Gambar 3.2 pun seakan kehilangan makna jika disandingkan dengan judul (terkesan hanya tripod tanpa ada teknologi canggih)
silahkan dirombak kembali proposal terutama bab 3, diskusikan de"&amp;"ngan pembimbing!")</f>
        <v>Ide pengusul menarik, namun desain prototipe nya mana kurang jelas, Gambar 3.2 pun seakan kehilangan makna jika disandingkan dengan judul (terkesan hanya tripod tanpa ada teknologi canggih)
silahkan dirombak kembali proposal terutama bab 3, diskusikan dengan pembimbing!</v>
      </c>
      <c r="T12" s="20" t="str">
        <f ca="1">IFERROR(__xludf.DUMMYFUNCTION("IFERROR(vlookup(B12,IMPORTRANGE(""https://docs.google.com/spreadsheets/d/1g_jfYYK_KeipEDNDUgqgrsxK94XiocfNQIcP-v1QVhI/edit?resourcekey#gid=233272945"",""Nilai!B:CT""),97,0),"" "")"),"")</f>
        <v/>
      </c>
      <c r="U12" s="10" t="s">
        <v>601</v>
      </c>
      <c r="V12" s="16" t="s">
        <v>1230</v>
      </c>
      <c r="W12" s="23" t="s">
        <v>1235</v>
      </c>
      <c r="X12" s="19" t="b">
        <v>0</v>
      </c>
    </row>
    <row r="13" spans="1:24">
      <c r="A13" s="15">
        <v>11</v>
      </c>
      <c r="B13" s="15">
        <f ca="1">IFERROR(__xludf.DUMMYFUNCTION("""COMPUTED_VALUE"""),3208)</f>
        <v>3208</v>
      </c>
      <c r="C13" s="16" t="str">
        <f ca="1">IFERROR(__xludf.DUMMYFUNCTION("""COMPUTED_VALUE"""),"ANDREW EGBERT WIRYAWAN")</f>
        <v>ANDREW EGBERT WIRYAWAN</v>
      </c>
      <c r="D13" s="16" t="str">
        <f ca="1">IFERROR(__xludf.DUMMYFUNCTION("""COMPUTED_VALUE"""),"03311942000003")</f>
        <v>03311942000003</v>
      </c>
      <c r="E13" s="16" t="str">
        <f ca="1">IFERROR(__xludf.DUMMYFUNCTION("""COMPUTED_VALUE"""),"Departemen Teknik Geomatika")</f>
        <v>Departemen Teknik Geomatika</v>
      </c>
      <c r="F13" s="16" t="str">
        <f ca="1">IFERROR(__xludf.DUMMYFUNCTION("""COMPUTED_VALUE"""),"EscapeAR: Pemanfaatan Teknologi Location-Based Augmented Reality dan Artificial Intelligence dalam Evakuasi Bencana Kebakaran")</f>
        <v>EscapeAR: Pemanfaatan Teknologi Location-Based Augmented Reality dan Artificial Intelligence dalam Evakuasi Bencana Kebakaran</v>
      </c>
      <c r="G13" s="16" t="str">
        <f ca="1">IFERROR(__xludf.DUMMYFUNCTION("""COMPUTED_VALUE"""),"Dr. Filsa Bioresita, S.T., M.T.")</f>
        <v>Dr. Filsa Bioresita, S.T., M.T.</v>
      </c>
      <c r="H13" s="16" t="str">
        <f ca="1">IFERROR(__xludf.DUMMYFUNCTION("""COMPUTED_VALUE"""),"Sefi Novendra Patrialova, S.Si., M.T")</f>
        <v>Sefi Novendra Patrialova, S.Si., M.T</v>
      </c>
      <c r="I13" s="16" t="str">
        <f ca="1">IFERROR(__xludf.DUMMYFUNCTION("""COMPUTED_VALUE"""),"Dr.-Ing. Doty Dewi Risanti, S.T., M.T.")</f>
        <v>Dr.-Ing. Doty Dewi Risanti, S.T., M.T.</v>
      </c>
      <c r="J13" s="16"/>
      <c r="K13" s="17" t="s">
        <v>1236</v>
      </c>
      <c r="L13" s="23" t="s">
        <v>1233</v>
      </c>
      <c r="M13" s="19" t="b">
        <v>1</v>
      </c>
      <c r="N13" s="19" t="b">
        <v>1</v>
      </c>
      <c r="O13" s="1" t="s">
        <v>1234</v>
      </c>
      <c r="P13" s="7" t="str">
        <f ca="1">IFERROR(__xludf.DUMMYFUNCTION("iferror(vlookup(B13,importrange(""https://docs.google.com/spreadsheets/d/1boHyJQ4e2FU0QG8MHwEi6qjX4hvZWVCHcFfXjq7bbMc/edit?resourcekey#gid=923248883"",""Prop!$C$1:$M""),12,0),IFERROR(vlookup(B13,importrange(""https://docs.google.com/spreadsheets/d/1boHyJQ"&amp;"4e2FU0QG8MHwEi6qjX4hvZWVCHcFfXjq7bbMc/edit?resourcekey#gid=923248883"",""Prop!$N$1:$X""),11,0),iferror(vlookup(B13,importrange(""https://docs.google.com/spreadsheets/d/1boHyJQ4e2FU0QG8MHwEi6qjX4hvZWVCHcFfXjq7bbMc/edit?resourcekey#gid=923248883"",""Prop!$Y"&amp;"$1:$AI""),11,0),iferror(vlookup(B13,importrange(""https://docs.google.com/spreadsheets/d/1boHyJQ4e2FU0QG8MHwEi6qjX4hvZWVCHcFfXjq7bbMc/edit?resourcekey#gid=923248883"",""Prop!$AJ$1:$AT""),11,0),iferror(vlookup(B13,importrange(""https://docs.google.com/spre"&amp;"adsheets/d/1boHyJQ4e2FU0QG8MHwEi6qjX4hvZWVCHcFfXjq7bbMc/edit?resourcekey#gid=923248883"",""Prop!$AU$1:$BE""),11,0),iferror(vlookup(B13,importrange(""https://docs.google.com/spreadsheets/d/1boHyJQ4e2FU0QG8MHwEi6qjX4hvZWVCHcFfXjq7bbMc/edit?resourcekey#gid=9"&amp;"23248883"",""Prop!$BF$1:$BP""),11,0),iferror(vlookup(B13,importrange(""https://docs.google.com/spreadsheets/d/1boHyJQ4e2FU0QG8MHwEi6qjX4hvZWVCHcFfXjq7bbMc/edit?resourcekey#gid=923248883"",""Prop!$BQ$1:$CA""),11,0),iferror(vlookup(B13,importrange(""https:/"&amp;"/docs.google.com/spreadsheets/d/1boHyJQ4e2FU0QG8MHwEi6qjX4hvZWVCHcFfXjq7bbMc/edit?resourcekey#gid=923248883"",""Prop!$CB$1:$CL""),11,0),iferror(vlookup(B13,importrange(""https://docs.google.com/spreadsheets/d/1boHyJQ4e2FU0QG8MHwEi6qjX4hvZWVCHcFfXjq7bbMc/e"&amp;"dit?resourcekey#gid=923248883"",""Prop!$CM$1:$CX""),12,0),iferror(vlookup(B13,importrange(""https://docs.google.com/spreadsheets/d/1boHyJQ4e2FU0QG8MHwEi6qjX4hvZWVCHcFfXjq7bbMc/edit?resourcekey#gid=923248883"",""Prop!$CV$1:$DI""),11,0)))))))))))"),"https://drive.google.com/open?id=1lKoWvpcNNkBZ6Wkg5RmOXjI5A1z-9YV0")</f>
        <v>https://drive.google.com/open?id=1lKoWvpcNNkBZ6Wkg5RmOXjI5A1z-9YV0</v>
      </c>
      <c r="Q13" s="7" t="str">
        <f ca="1">IFERROR(__xludf.DUMMYFUNCTION("iferror(vlookup(B13,importrange(""https://docs.google.com/spreadsheets/d/1p53T2AuvvIqhP7Nf-bo3Uhj8cbKYRPpZdsrBv3x3bAQ/edit?resourcekey#gid=1321652304"",""Prop!$C$1:$M""),11,0),IFERROR(vlookup(B13,importrange(""https://docs.google.com/spreadsheets/d/1p53T2"&amp;"AuvvIqhP7Nf-bo3Uhj8cbKYRPpZdsrBv3x3bAQ/edit?resourcekey#gid=1321652304"",""Prop!$N$1:$X""),11,0),iferror(vlookup(B13,importrange(""https://docs.google.com/spreadsheets/d/1p53T2AuvvIqhP7Nf-bo3Uhj8cbKYRPpZdsrBv3x3bAQ/edit?resourcekey#gid=1321652304"",""Prop"&amp;"!$Y$1:$AI""),11,0),iferror(vlookup(B13,importrange(""https://docs.google.com/spreadsheets/d/1p53T2AuvvIqhP7Nf-bo3Uhj8cbKYRPpZdsrBv3x3bAQ/edit?resourcekey#gid=1321652304"",""Prop!$AJ$1:$AT""),11,0),iferror(vlookup(B13,importrange(""https://docs.google.com/"&amp;"spreadsheets/d/1p53T2AuvvIqhP7Nf-bo3Uhj8cbKYRPpZdsrBv3x3bAQ/edit?resourcekey#gid=1321652304"",""Prop!$AU$1:$BE""),11,0),iferror(vlookup(B13,importrange(""https://docs.google.com/spreadsheets/d/1p53T2AuvvIqhP7Nf-bo3Uhj8cbKYRPpZdsrBv3x3bAQ/edit?resourcekey#"&amp;"gid=1321652304"",""Prop!$BF$1:$BP""),11,0),iferror(vlookup(B13,importrange(""https://docs.google.com/spreadsheets/d/1p53T2AuvvIqhP7Nf-bo3Uhj8cbKYRPpZdsrBv3x3bAQ/edit?resourcekey#gid=1321652304"",""Prop!$BQ$1:$CA""),11,0),iferror(vlookup(B13,importrange("""&amp;"https://docs.google.com/spreadsheets/d/1p53T2AuvvIqhP7Nf-bo3Uhj8cbKYRPpZdsrBv3x3bAQ/edit?resourcekey#gid=1321652304"",""Prop!$CB$1:$CL""),11,0),iferror(vlookup(B13,importrange(""https://docs.google.com/spreadsheets/d/1p53T2AuvvIqhP7Nf-bo3Uhj8cbKYRPpZdsrBv"&amp;"3x3bAQ/edit?resourcekey#gid=1321652304"",""Prop!$CM$1:$CX""),12,0),iferror(vlookup(B13,importrange(""https://docs.google.com/spreadsheets/d/1p53T2AuvvIqhP7Nf-bo3Uhj8cbKYRPpZdsrBv3x3bAQ/edit?resourcekey#gid=1321652304"",""Prop!$CY$1:$DI""),11,0)))))))))))"),"https://drive.google.com/open?id=1QW7thUdg-axtc4BGcCiaSSRgu1Gj9-Sw")</f>
        <v>https://drive.google.com/open?id=1QW7thUdg-axtc4BGcCiaSSRgu1Gj9-Sw</v>
      </c>
      <c r="R13" s="88" t="s">
        <v>1229</v>
      </c>
      <c r="S13" s="20" t="str">
        <f ca="1">IFERROR(__xludf.DUMMYFUNCTION("IFERROR(vlookup(B13,IMPORTRANGE(""https://docs.google.com/spreadsheets/d/1g_jfYYK_KeipEDNDUgqgrsxK94XiocfNQIcP-v1QVhI/edit?resourcekey#gid=233272945"",""Nilai!B:CT""),30,0),"" "")"),"1. Gambar arsitektur Sistem pada Lampiran 5 bisa dipertimbangkan untuk masuk pada BAB 3
2. Topik yang diangkat menarik, namun perlu dipertimbangkan juga pada situasi bencana kebakaran apakah orang masih sempat memegang HP dan mengakses aplikasi ketika dal"&amp;"am kepanikan.
3. pemilihan marker juga menjadi pertimbangan apakah akan ikut terbakar atau visibilitasnya terganggu karena asap. ")</f>
        <v xml:space="preserve">1. Gambar arsitektur Sistem pada Lampiran 5 bisa dipertimbangkan untuk masuk pada BAB 3
2. Topik yang diangkat menarik, namun perlu dipertimbangkan juga pada situasi bencana kebakaran apakah orang masih sempat memegang HP dan mengakses aplikasi ketika dalam kepanikan.
3. pemilihan marker juga menjadi pertimbangan apakah akan ikut terbakar atau visibilitasnya terganggu karena asap. </v>
      </c>
      <c r="T13" s="20" t="str">
        <f ca="1">IFERROR(__xludf.DUMMYFUNCTION("IFERROR(vlookup(B13,IMPORTRANGE(""https://docs.google.com/spreadsheets/d/1g_jfYYK_KeipEDNDUgqgrsxK94XiocfNQIcP-v1QVhI/edit?resourcekey#gid=233272945"",""Nilai!B:CT""),97,0),"" "")"),"")</f>
        <v/>
      </c>
      <c r="U13" s="10" t="s">
        <v>601</v>
      </c>
      <c r="V13" s="16" t="s">
        <v>1230</v>
      </c>
      <c r="W13" s="23" t="s">
        <v>1235</v>
      </c>
      <c r="X13" s="19" t="b">
        <v>1</v>
      </c>
    </row>
    <row r="14" spans="1:24">
      <c r="A14" s="15">
        <v>12</v>
      </c>
      <c r="B14" s="15">
        <f ca="1">IFERROR(__xludf.DUMMYFUNCTION("""COMPUTED_VALUE"""),2909)</f>
        <v>2909</v>
      </c>
      <c r="C14" s="16" t="str">
        <f ca="1">IFERROR(__xludf.DUMMYFUNCTION("""COMPUTED_VALUE"""),"MUHAMMAD RAYHAN RAFY")</f>
        <v>MUHAMMAD RAYHAN RAFY</v>
      </c>
      <c r="D14" s="16" t="str">
        <f ca="1">IFERROR(__xludf.DUMMYFUNCTION("""COMPUTED_VALUE"""),"5022201179")</f>
        <v>5022201179</v>
      </c>
      <c r="E14" s="16" t="str">
        <f ca="1">IFERROR(__xludf.DUMMYFUNCTION("""COMPUTED_VALUE"""),"Departemen Teknik Elektro")</f>
        <v>Departemen Teknik Elektro</v>
      </c>
      <c r="F14" s="16" t="str">
        <f ca="1">IFERROR(__xludf.DUMMYFUNCTION("""COMPUTED_VALUE"""),"Prediksi Pelarian Termal pada Battery Pack Mobil Listrik dengan Sistem Akuisisi Data Berbasis Machine Learning sebagai Upaya Peningkatan Keamanan Berkendara")</f>
        <v>Prediksi Pelarian Termal pada Battery Pack Mobil Listrik dengan Sistem Akuisisi Data Berbasis Machine Learning sebagai Upaya Peningkatan Keamanan Berkendara</v>
      </c>
      <c r="G14" s="16" t="str">
        <f ca="1">IFERROR(__xludf.DUMMYFUNCTION("""COMPUTED_VALUE"""),"Dr. Ir. Purwadi Agus Darwito, M.Sc.")</f>
        <v>Dr. Ir. Purwadi Agus Darwito, M.Sc.</v>
      </c>
      <c r="H14" s="16" t="str">
        <f ca="1">IFERROR(__xludf.DUMMYFUNCTION("""COMPUTED_VALUE"""),"Eko Agus Suprayitno, S.Si., M.T.")</f>
        <v>Eko Agus Suprayitno, S.Si., M.T.</v>
      </c>
      <c r="I14" s="16" t="str">
        <f ca="1">IFERROR(__xludf.DUMMYFUNCTION("""COMPUTED_VALUE"""),"Mahardika F. Rois, S.T, M.T")</f>
        <v>Mahardika F. Rois, S.T, M.T</v>
      </c>
      <c r="J14" s="16"/>
      <c r="K14" s="17" t="s">
        <v>1236</v>
      </c>
      <c r="L14" s="23" t="s">
        <v>1233</v>
      </c>
      <c r="M14" s="19" t="b">
        <v>1</v>
      </c>
      <c r="N14" s="19" t="b">
        <v>1</v>
      </c>
      <c r="O14" s="1" t="s">
        <v>1234</v>
      </c>
      <c r="P14" s="1" t="str">
        <f ca="1">IFERROR(__xludf.DUMMYFUNCTION("iferror(vlookup(B14,importrange(""https://docs.google.com/spreadsheets/d/1boHyJQ4e2FU0QG8MHwEi6qjX4hvZWVCHcFfXjq7bbMc/edit?resourcekey#gid=923248883"",""Prop!$C$1:$M""),12,0),IFERROR(vlookup(B14,importrange(""https://docs.google.com/spreadsheets/d/1boHyJQ"&amp;"4e2FU0QG8MHwEi6qjX4hvZWVCHcFfXjq7bbMc/edit?resourcekey#gid=923248883"",""Prop!$N$1:$X""),11,0),iferror(vlookup(B14,importrange(""https://docs.google.com/spreadsheets/d/1boHyJQ4e2FU0QG8MHwEi6qjX4hvZWVCHcFfXjq7bbMc/edit?resourcekey#gid=923248883"",""Prop!$Y"&amp;"$1:$AI""),11,0),iferror(vlookup(B14,importrange(""https://docs.google.com/spreadsheets/d/1boHyJQ4e2FU0QG8MHwEi6qjX4hvZWVCHcFfXjq7bbMc/edit?resourcekey#gid=923248883"",""Prop!$AJ$1:$AT""),11,0),iferror(vlookup(B14,importrange(""https://docs.google.com/spre"&amp;"adsheets/d/1boHyJQ4e2FU0QG8MHwEi6qjX4hvZWVCHcFfXjq7bbMc/edit?resourcekey#gid=923248883"",""Prop!$AU$1:$BE""),11,0),iferror(vlookup(B14,importrange(""https://docs.google.com/spreadsheets/d/1boHyJQ4e2FU0QG8MHwEi6qjX4hvZWVCHcFfXjq7bbMc/edit?resourcekey#gid=9"&amp;"23248883"",""Prop!$BF$1:$BP""),11,0),iferror(vlookup(B14,importrange(""https://docs.google.com/spreadsheets/d/1boHyJQ4e2FU0QG8MHwEi6qjX4hvZWVCHcFfXjq7bbMc/edit?resourcekey#gid=923248883"",""Prop!$BQ$1:$CA""),11,0),iferror(vlookup(B14,importrange(""https:/"&amp;"/docs.google.com/spreadsheets/d/1boHyJQ4e2FU0QG8MHwEi6qjX4hvZWVCHcFfXjq7bbMc/edit?resourcekey#gid=923248883"",""Prop!$CB$1:$CL""),11,0),iferror(vlookup(B14,importrange(""https://docs.google.com/spreadsheets/d/1boHyJQ4e2FU0QG8MHwEi6qjX4hvZWVCHcFfXjq7bbMc/e"&amp;"dit?resourcekey#gid=923248883"",""Prop!$CM$1:$CX""),12,0),iferror(vlookup(B14,importrange(""https://docs.google.com/spreadsheets/d/1boHyJQ4e2FU0QG8MHwEi6qjX4hvZWVCHcFfXjq7bbMc/edit?resourcekey#gid=923248883"",""Prop!$CV$1:$DI""),11,0)))))))))))"),"")</f>
        <v/>
      </c>
      <c r="Q14" s="7" t="str">
        <f ca="1">IFERROR(__xludf.DUMMYFUNCTION("iferror(vlookup(B14,importrange(""https://docs.google.com/spreadsheets/d/1p53T2AuvvIqhP7Nf-bo3Uhj8cbKYRPpZdsrBv3x3bAQ/edit?resourcekey#gid=1321652304"",""Prop!$C$1:$M""),11,0),IFERROR(vlookup(B14,importrange(""https://docs.google.com/spreadsheets/d/1p53T2"&amp;"AuvvIqhP7Nf-bo3Uhj8cbKYRPpZdsrBv3x3bAQ/edit?resourcekey#gid=1321652304"",""Prop!$N$1:$X""),11,0),iferror(vlookup(B14,importrange(""https://docs.google.com/spreadsheets/d/1p53T2AuvvIqhP7Nf-bo3Uhj8cbKYRPpZdsrBv3x3bAQ/edit?resourcekey#gid=1321652304"",""Prop"&amp;"!$Y$1:$AI""),11,0),iferror(vlookup(B14,importrange(""https://docs.google.com/spreadsheets/d/1p53T2AuvvIqhP7Nf-bo3Uhj8cbKYRPpZdsrBv3x3bAQ/edit?resourcekey#gid=1321652304"",""Prop!$AJ$1:$AT""),11,0),iferror(vlookup(B14,importrange(""https://docs.google.com/"&amp;"spreadsheets/d/1p53T2AuvvIqhP7Nf-bo3Uhj8cbKYRPpZdsrBv3x3bAQ/edit?resourcekey#gid=1321652304"",""Prop!$AU$1:$BE""),11,0),iferror(vlookup(B14,importrange(""https://docs.google.com/spreadsheets/d/1p53T2AuvvIqhP7Nf-bo3Uhj8cbKYRPpZdsrBv3x3bAQ/edit?resourcekey#"&amp;"gid=1321652304"",""Prop!$BF$1:$BP""),11,0),iferror(vlookup(B14,importrange(""https://docs.google.com/spreadsheets/d/1p53T2AuvvIqhP7Nf-bo3Uhj8cbKYRPpZdsrBv3x3bAQ/edit?resourcekey#gid=1321652304"",""Prop!$BQ$1:$CA""),11,0),iferror(vlookup(B14,importrange("""&amp;"https://docs.google.com/spreadsheets/d/1p53T2AuvvIqhP7Nf-bo3Uhj8cbKYRPpZdsrBv3x3bAQ/edit?resourcekey#gid=1321652304"",""Prop!$CB$1:$CL""),11,0),iferror(vlookup(B14,importrange(""https://docs.google.com/spreadsheets/d/1p53T2AuvvIqhP7Nf-bo3Uhj8cbKYRPpZdsrBv"&amp;"3x3bAQ/edit?resourcekey#gid=1321652304"",""Prop!$CM$1:$CX""),12,0),iferror(vlookup(B14,importrange(""https://docs.google.com/spreadsheets/d/1p53T2AuvvIqhP7Nf-bo3Uhj8cbKYRPpZdsrBv3x3bAQ/edit?resourcekey#gid=1321652304"",""Prop!$CY$1:$DI""),11,0)))))))))))"),"https://drive.google.com/open?id=1PbmxFRa_twtzlxv7fvNxogPtDrk5HmvQ")</f>
        <v>https://drive.google.com/open?id=1PbmxFRa_twtzlxv7fvNxogPtDrk5HmvQ</v>
      </c>
      <c r="R14" s="88" t="s">
        <v>1229</v>
      </c>
      <c r="S14" s="20" t="str">
        <f ca="1">IFERROR(__xludf.DUMMYFUNCTION("IFERROR(vlookup(B14,IMPORTRANGE(""https://docs.google.com/spreadsheets/d/1g_jfYYK_KeipEDNDUgqgrsxK94XiocfNQIcP-v1QVhI/edit?resourcekey#gid=233272945"",""Nilai!B:CT""),30,0),"" "")"),"1. Gambar bisa ditingkatkan resolusinya
2. Format dirapikan kembali
3. Penggunaan Raspberry Pi untuk memproses sedikit sensor dan task yang tidak kompleks perlu dipertimbangkan ulang, (bisa gunakan system on chip yang lebih ringan) atau fitur dan kompleks"&amp;"itasnya ditambah 
4. Kecanggihan teknologi belum cukup terlihat pada BAB 3")</f>
        <v>1. Gambar bisa ditingkatkan resolusinya
2. Format dirapikan kembali
3. Penggunaan Raspberry Pi untuk memproses sedikit sensor dan task yang tidak kompleks perlu dipertimbangkan ulang, (bisa gunakan system on chip yang lebih ringan) atau fitur dan kompleksitasnya ditambah 
4. Kecanggihan teknologi belum cukup terlihat pada BAB 3</v>
      </c>
      <c r="T14" s="20" t="str">
        <f ca="1">IFERROR(__xludf.DUMMYFUNCTION("IFERROR(vlookup(B14,IMPORTRANGE(""https://docs.google.com/spreadsheets/d/1g_jfYYK_KeipEDNDUgqgrsxK94XiocfNQIcP-v1QVhI/edit?resourcekey#gid=233272945"",""Nilai!B:CT""),97,0),"" "")"),"")</f>
        <v/>
      </c>
      <c r="U14" s="10" t="s">
        <v>601</v>
      </c>
      <c r="V14" s="16" t="s">
        <v>1230</v>
      </c>
      <c r="W14" s="23" t="s">
        <v>1235</v>
      </c>
      <c r="X14" s="19" t="b">
        <v>1</v>
      </c>
    </row>
    <row r="15" spans="1:24">
      <c r="A15" s="15">
        <v>13</v>
      </c>
      <c r="B15" s="15">
        <f ca="1">IFERROR(__xludf.DUMMYFUNCTION("""COMPUTED_VALUE"""),2585)</f>
        <v>2585</v>
      </c>
      <c r="C15" s="16" t="str">
        <f ca="1">IFERROR(__xludf.DUMMYFUNCTION("""COMPUTED_VALUE"""),"KAFKA KORDOVA LUQMAN")</f>
        <v>KAFKA KORDOVA LUQMAN</v>
      </c>
      <c r="D15" s="16" t="str">
        <f ca="1">IFERROR(__xludf.DUMMYFUNCTION("""COMPUTED_VALUE"""),"02111940000098")</f>
        <v>02111940000098</v>
      </c>
      <c r="E15" s="16" t="str">
        <f ca="1">IFERROR(__xludf.DUMMYFUNCTION("""COMPUTED_VALUE"""),"Departemen Teknik Mesin")</f>
        <v>Departemen Teknik Mesin</v>
      </c>
      <c r="F15" s="16" t="str">
        <f ca="1">IFERROR(__xludf.DUMMYFUNCTION("""COMPUTED_VALUE"""),"Penggunaan Unmanned Ground Vehicle dengan Double-Sided Fertilizer Sprayer untuk Meningkatkan Efektivitas Pemupukan Pada Perkebunan")</f>
        <v>Penggunaan Unmanned Ground Vehicle dengan Double-Sided Fertilizer Sprayer untuk Meningkatkan Efektivitas Pemupukan Pada Perkebunan</v>
      </c>
      <c r="G15" s="16" t="str">
        <f ca="1">IFERROR(__xludf.DUMMYFUNCTION("""COMPUTED_VALUE"""),"Dr.Eng. Unggul Wasiwitono, S.T., M.Eng.Sc.")</f>
        <v>Dr.Eng. Unggul Wasiwitono, S.T., M.Eng.Sc.</v>
      </c>
      <c r="H15" s="16" t="str">
        <f ca="1">IFERROR(__xludf.DUMMYFUNCTION("""COMPUTED_VALUE"""),"Sefi Novendra Patrialova, S.Si., M.T")</f>
        <v>Sefi Novendra Patrialova, S.Si., M.T</v>
      </c>
      <c r="I15" s="16" t="str">
        <f ca="1">IFERROR(__xludf.DUMMYFUNCTION("""COMPUTED_VALUE"""),"Safira Firdaus Mujiyanti, S.T., M.T.")</f>
        <v>Safira Firdaus Mujiyanti, S.T., M.T.</v>
      </c>
      <c r="J15" s="16"/>
      <c r="K15" s="17" t="s">
        <v>1236</v>
      </c>
      <c r="L15" s="23" t="s">
        <v>1237</v>
      </c>
      <c r="M15" s="19" t="b">
        <v>1</v>
      </c>
      <c r="N15" s="19" t="b">
        <v>1</v>
      </c>
      <c r="O15" s="1" t="s">
        <v>1234</v>
      </c>
      <c r="P15" s="7" t="str">
        <f ca="1">IFERROR(__xludf.DUMMYFUNCTION("iferror(vlookup(B15,importrange(""https://docs.google.com/spreadsheets/d/1boHyJQ4e2FU0QG8MHwEi6qjX4hvZWVCHcFfXjq7bbMc/edit?resourcekey#gid=923248883"",""Prop!$C$1:$M""),12,0),IFERROR(vlookup(B15,importrange(""https://docs.google.com/spreadsheets/d/1boHyJQ"&amp;"4e2FU0QG8MHwEi6qjX4hvZWVCHcFfXjq7bbMc/edit?resourcekey#gid=923248883"",""Prop!$N$1:$X""),11,0),iferror(vlookup(B15,importrange(""https://docs.google.com/spreadsheets/d/1boHyJQ4e2FU0QG8MHwEi6qjX4hvZWVCHcFfXjq7bbMc/edit?resourcekey#gid=923248883"",""Prop!$Y"&amp;"$1:$AI""),11,0),iferror(vlookup(B15,importrange(""https://docs.google.com/spreadsheets/d/1boHyJQ4e2FU0QG8MHwEi6qjX4hvZWVCHcFfXjq7bbMc/edit?resourcekey#gid=923248883"",""Prop!$AJ$1:$AT""),11,0),iferror(vlookup(B15,importrange(""https://docs.google.com/spre"&amp;"adsheets/d/1boHyJQ4e2FU0QG8MHwEi6qjX4hvZWVCHcFfXjq7bbMc/edit?resourcekey#gid=923248883"",""Prop!$AU$1:$BE""),11,0),iferror(vlookup(B15,importrange(""https://docs.google.com/spreadsheets/d/1boHyJQ4e2FU0QG8MHwEi6qjX4hvZWVCHcFfXjq7bbMc/edit?resourcekey#gid=9"&amp;"23248883"",""Prop!$BF$1:$BP""),11,0),iferror(vlookup(B15,importrange(""https://docs.google.com/spreadsheets/d/1boHyJQ4e2FU0QG8MHwEi6qjX4hvZWVCHcFfXjq7bbMc/edit?resourcekey#gid=923248883"",""Prop!$BQ$1:$CA""),11,0),iferror(vlookup(B15,importrange(""https:/"&amp;"/docs.google.com/spreadsheets/d/1boHyJQ4e2FU0QG8MHwEi6qjX4hvZWVCHcFfXjq7bbMc/edit?resourcekey#gid=923248883"",""Prop!$CB$1:$CL""),11,0),iferror(vlookup(B15,importrange(""https://docs.google.com/spreadsheets/d/1boHyJQ4e2FU0QG8MHwEi6qjX4hvZWVCHcFfXjq7bbMc/e"&amp;"dit?resourcekey#gid=923248883"",""Prop!$CM$1:$CX""),12,0),iferror(vlookup(B15,importrange(""https://docs.google.com/spreadsheets/d/1boHyJQ4e2FU0QG8MHwEi6qjX4hvZWVCHcFfXjq7bbMc/edit?resourcekey#gid=923248883"",""Prop!$CV$1:$DI""),11,0)))))))))))"),"https://drive.google.com/open?id=1rYFOutczZdTR7V_r2ESPJoJZSatmTMsR")</f>
        <v>https://drive.google.com/open?id=1rYFOutczZdTR7V_r2ESPJoJZSatmTMsR</v>
      </c>
      <c r="Q15" s="7" t="str">
        <f ca="1">IFERROR(__xludf.DUMMYFUNCTION("iferror(vlookup(B15,importrange(""https://docs.google.com/spreadsheets/d/1p53T2AuvvIqhP7Nf-bo3Uhj8cbKYRPpZdsrBv3x3bAQ/edit?resourcekey#gid=1321652304"",""Prop!$C$1:$M""),11,0),IFERROR(vlookup(B15,importrange(""https://docs.google.com/spreadsheets/d/1p53T2"&amp;"AuvvIqhP7Nf-bo3Uhj8cbKYRPpZdsrBv3x3bAQ/edit?resourcekey#gid=1321652304"",""Prop!$N$1:$X""),11,0),iferror(vlookup(B15,importrange(""https://docs.google.com/spreadsheets/d/1p53T2AuvvIqhP7Nf-bo3Uhj8cbKYRPpZdsrBv3x3bAQ/edit?resourcekey#gid=1321652304"",""Prop"&amp;"!$Y$1:$AI""),11,0),iferror(vlookup(B15,importrange(""https://docs.google.com/spreadsheets/d/1p53T2AuvvIqhP7Nf-bo3Uhj8cbKYRPpZdsrBv3x3bAQ/edit?resourcekey#gid=1321652304"",""Prop!$AJ$1:$AT""),11,0),iferror(vlookup(B15,importrange(""https://docs.google.com/"&amp;"spreadsheets/d/1p53T2AuvvIqhP7Nf-bo3Uhj8cbKYRPpZdsrBv3x3bAQ/edit?resourcekey#gid=1321652304"",""Prop!$AU$1:$BE""),11,0),iferror(vlookup(B15,importrange(""https://docs.google.com/spreadsheets/d/1p53T2AuvvIqhP7Nf-bo3Uhj8cbKYRPpZdsrBv3x3bAQ/edit?resourcekey#"&amp;"gid=1321652304"",""Prop!$BF$1:$BP""),11,0),iferror(vlookup(B15,importrange(""https://docs.google.com/spreadsheets/d/1p53T2AuvvIqhP7Nf-bo3Uhj8cbKYRPpZdsrBv3x3bAQ/edit?resourcekey#gid=1321652304"",""Prop!$BQ$1:$CA""),11,0),iferror(vlookup(B15,importrange("""&amp;"https://docs.google.com/spreadsheets/d/1p53T2AuvvIqhP7Nf-bo3Uhj8cbKYRPpZdsrBv3x3bAQ/edit?resourcekey#gid=1321652304"",""Prop!$CB$1:$CL""),11,0),iferror(vlookup(B15,importrange(""https://docs.google.com/spreadsheets/d/1p53T2AuvvIqhP7Nf-bo3Uhj8cbKYRPpZdsrBv"&amp;"3x3bAQ/edit?resourcekey#gid=1321652304"",""Prop!$CM$1:$CX""),12,0),iferror(vlookup(B15,importrange(""https://docs.google.com/spreadsheets/d/1p53T2AuvvIqhP7Nf-bo3Uhj8cbKYRPpZdsrBv3x3bAQ/edit?resourcekey#gid=1321652304"",""Prop!$CY$1:$DI""),11,0)))))))))))"),"https://drive.google.com/open?id=1rKtGDs7f6l92QEo8OBKnmVHCO8Uriliw")</f>
        <v>https://drive.google.com/open?id=1rKtGDs7f6l92QEo8OBKnmVHCO8Uriliw</v>
      </c>
      <c r="R15" s="88" t="s">
        <v>1229</v>
      </c>
      <c r="S15" s="20" t="str">
        <f ca="1">IFERROR(__xludf.DUMMYFUNCTION("IFERROR(vlookup(B15,IMPORTRANGE(""https://docs.google.com/spreadsheets/d/1g_jfYYK_KeipEDNDUgqgrsxK94XiocfNQIcP-v1QVhI/edit?resourcekey#gid=233272945"",""Nilai!B:CT""),30,0),"" "")"),"1. Perbaiki daftar isi
2. Arsitektur Sistem pada Bab 3 perlu dijelaskan lebih baik (tidak cukup hanya menampilkan desain mekanik)
3. pernyataan tidak Efisien dengan penggunaan sprayer oleh manusia diganti dengan adanya remote kontrol yang juga dikendalika"&amp;"n juga oleh manusia sepertinya perlu dijelaskan lebih baik, kecuali jika UGV nya memiliki kemapuan autonomous navigation (bisa dipertimbangkan)")</f>
        <v>1. Perbaiki daftar isi
2. Arsitektur Sistem pada Bab 3 perlu dijelaskan lebih baik (tidak cukup hanya menampilkan desain mekanik)
3. pernyataan tidak Efisien dengan penggunaan sprayer oleh manusia diganti dengan adanya remote kontrol yang juga dikendalikan juga oleh manusia sepertinya perlu dijelaskan lebih baik, kecuali jika UGV nya memiliki kemapuan autonomous navigation (bisa dipertimbangkan)</v>
      </c>
      <c r="T15" s="20" t="str">
        <f ca="1">IFERROR(__xludf.DUMMYFUNCTION("IFERROR(vlookup(B15,IMPORTRANGE(""https://docs.google.com/spreadsheets/d/1g_jfYYK_KeipEDNDUgqgrsxK94XiocfNQIcP-v1QVhI/edit?resourcekey#gid=233272945"",""Nilai!B:CT""),97,0),"" "")"),"")</f>
        <v/>
      </c>
      <c r="U15" s="10" t="s">
        <v>601</v>
      </c>
      <c r="V15" s="16" t="s">
        <v>1230</v>
      </c>
      <c r="W15" s="23" t="s">
        <v>1238</v>
      </c>
      <c r="X15" s="19" t="b">
        <v>1</v>
      </c>
    </row>
    <row r="16" spans="1:24">
      <c r="A16" s="15">
        <v>14</v>
      </c>
      <c r="B16" s="15">
        <f ca="1">IFERROR(__xludf.DUMMYFUNCTION("""COMPUTED_VALUE"""),3375)</f>
        <v>3375</v>
      </c>
      <c r="C16" s="16" t="str">
        <f ca="1">IFERROR(__xludf.DUMMYFUNCTION("""COMPUTED_VALUE"""),"LINTANG NUR AZZIZAH")</f>
        <v>LINTANG NUR AZZIZAH</v>
      </c>
      <c r="D16" s="16" t="str">
        <f ca="1">IFERROR(__xludf.DUMMYFUNCTION("""COMPUTED_VALUE"""),"5029211024")</f>
        <v>5029211024</v>
      </c>
      <c r="E16" s="16" t="str">
        <f ca="1">IFERROR(__xludf.DUMMYFUNCTION("""COMPUTED_VALUE"""),"Departemen Desain Interior")</f>
        <v>Departemen Desain Interior</v>
      </c>
      <c r="F16" s="16" t="str">
        <f ca="1">IFERROR(__xludf.DUMMYFUNCTION("""COMPUTED_VALUE"""),"MEDICAL BED CASE BERBASIS IoT UNTUK PENANGANAN PENDERITA AEROSOL-TRANSMISSIBLE DISEASES PASCA PANDEMI
")</f>
        <v xml:space="preserve">MEDICAL BED CASE BERBASIS IoT UNTUK PENANGANAN PENDERITA AEROSOL-TRANSMISSIBLE DISEASES PASCA PANDEMI
</v>
      </c>
      <c r="G16" s="16" t="str">
        <f ca="1">IFERROR(__xludf.DUMMYFUNCTION("""COMPUTED_VALUE"""),"Okta Putra Setio Ardianto, S.T., M.T.")</f>
        <v>Okta Putra Setio Ardianto, S.T., M.T.</v>
      </c>
      <c r="H16" s="16" t="str">
        <f ca="1">IFERROR(__xludf.DUMMYFUNCTION("""COMPUTED_VALUE"""),"Sefi Novendra Patrialova, S.Si., M.T")</f>
        <v>Sefi Novendra Patrialova, S.Si., M.T</v>
      </c>
      <c r="I16" s="16" t="str">
        <f ca="1">IFERROR(__xludf.DUMMYFUNCTION("""COMPUTED_VALUE"""),"Indra Ranu Kusuma, S.T., M.Sc.")</f>
        <v>Indra Ranu Kusuma, S.T., M.Sc.</v>
      </c>
      <c r="J16" s="16"/>
      <c r="K16" s="17" t="s">
        <v>1236</v>
      </c>
      <c r="L16" s="23" t="s">
        <v>1237</v>
      </c>
      <c r="M16" s="19" t="b">
        <v>1</v>
      </c>
      <c r="N16" s="19" t="b">
        <v>1</v>
      </c>
      <c r="O16" s="1" t="s">
        <v>1234</v>
      </c>
      <c r="P16" s="7" t="str">
        <f ca="1">IFERROR(__xludf.DUMMYFUNCTION("iferror(vlookup(B16,importrange(""https://docs.google.com/spreadsheets/d/1boHyJQ4e2FU0QG8MHwEi6qjX4hvZWVCHcFfXjq7bbMc/edit?resourcekey#gid=923248883"",""Prop!$C$1:$M""),12,0),IFERROR(vlookup(B16,importrange(""https://docs.google.com/spreadsheets/d/1boHyJQ"&amp;"4e2FU0QG8MHwEi6qjX4hvZWVCHcFfXjq7bbMc/edit?resourcekey#gid=923248883"",""Prop!$N$1:$X""),11,0),iferror(vlookup(B16,importrange(""https://docs.google.com/spreadsheets/d/1boHyJQ4e2FU0QG8MHwEi6qjX4hvZWVCHcFfXjq7bbMc/edit?resourcekey#gid=923248883"",""Prop!$Y"&amp;"$1:$AI""),11,0),iferror(vlookup(B16,importrange(""https://docs.google.com/spreadsheets/d/1boHyJQ4e2FU0QG8MHwEi6qjX4hvZWVCHcFfXjq7bbMc/edit?resourcekey#gid=923248883"",""Prop!$AJ$1:$AT""),11,0),iferror(vlookup(B16,importrange(""https://docs.google.com/spre"&amp;"adsheets/d/1boHyJQ4e2FU0QG8MHwEi6qjX4hvZWVCHcFfXjq7bbMc/edit?resourcekey#gid=923248883"",""Prop!$AU$1:$BE""),11,0),iferror(vlookup(B16,importrange(""https://docs.google.com/spreadsheets/d/1boHyJQ4e2FU0QG8MHwEi6qjX4hvZWVCHcFfXjq7bbMc/edit?resourcekey#gid=9"&amp;"23248883"",""Prop!$BF$1:$BP""),11,0),iferror(vlookup(B16,importrange(""https://docs.google.com/spreadsheets/d/1boHyJQ4e2FU0QG8MHwEi6qjX4hvZWVCHcFfXjq7bbMc/edit?resourcekey#gid=923248883"",""Prop!$BQ$1:$CA""),11,0),iferror(vlookup(B16,importrange(""https:/"&amp;"/docs.google.com/spreadsheets/d/1boHyJQ4e2FU0QG8MHwEi6qjX4hvZWVCHcFfXjq7bbMc/edit?resourcekey#gid=923248883"",""Prop!$CB$1:$CL""),11,0),iferror(vlookup(B16,importrange(""https://docs.google.com/spreadsheets/d/1boHyJQ4e2FU0QG8MHwEi6qjX4hvZWVCHcFfXjq7bbMc/e"&amp;"dit?resourcekey#gid=923248883"",""Prop!$CM$1:$CX""),12,0),iferror(vlookup(B16,importrange(""https://docs.google.com/spreadsheets/d/1boHyJQ4e2FU0QG8MHwEi6qjX4hvZWVCHcFfXjq7bbMc/edit?resourcekey#gid=923248883"",""Prop!$CV$1:$DI""),11,0)))))))))))"),"https://drive.google.com/open?id=1IHVM4D91w2kpeT90xnKByd7UK_1TUe58")</f>
        <v>https://drive.google.com/open?id=1IHVM4D91w2kpeT90xnKByd7UK_1TUe58</v>
      </c>
      <c r="Q16" s="7" t="str">
        <f ca="1">IFERROR(__xludf.DUMMYFUNCTION("iferror(vlookup(B16,importrange(""https://docs.google.com/spreadsheets/d/1p53T2AuvvIqhP7Nf-bo3Uhj8cbKYRPpZdsrBv3x3bAQ/edit?resourcekey#gid=1321652304"",""Prop!$C$1:$M""),11,0),IFERROR(vlookup(B16,importrange(""https://docs.google.com/spreadsheets/d/1p53T2"&amp;"AuvvIqhP7Nf-bo3Uhj8cbKYRPpZdsrBv3x3bAQ/edit?resourcekey#gid=1321652304"",""Prop!$N$1:$X""),11,0),iferror(vlookup(B16,importrange(""https://docs.google.com/spreadsheets/d/1p53T2AuvvIqhP7Nf-bo3Uhj8cbKYRPpZdsrBv3x3bAQ/edit?resourcekey#gid=1321652304"",""Prop"&amp;"!$Y$1:$AI""),11,0),iferror(vlookup(B16,importrange(""https://docs.google.com/spreadsheets/d/1p53T2AuvvIqhP7Nf-bo3Uhj8cbKYRPpZdsrBv3x3bAQ/edit?resourcekey#gid=1321652304"",""Prop!$AJ$1:$AT""),11,0),iferror(vlookup(B16,importrange(""https://docs.google.com/"&amp;"spreadsheets/d/1p53T2AuvvIqhP7Nf-bo3Uhj8cbKYRPpZdsrBv3x3bAQ/edit?resourcekey#gid=1321652304"",""Prop!$AU$1:$BE""),11,0),iferror(vlookup(B16,importrange(""https://docs.google.com/spreadsheets/d/1p53T2AuvvIqhP7Nf-bo3Uhj8cbKYRPpZdsrBv3x3bAQ/edit?resourcekey#"&amp;"gid=1321652304"",""Prop!$BF$1:$BP""),11,0),iferror(vlookup(B16,importrange(""https://docs.google.com/spreadsheets/d/1p53T2AuvvIqhP7Nf-bo3Uhj8cbKYRPpZdsrBv3x3bAQ/edit?resourcekey#gid=1321652304"",""Prop!$BQ$1:$CA""),11,0),iferror(vlookup(B16,importrange("""&amp;"https://docs.google.com/spreadsheets/d/1p53T2AuvvIqhP7Nf-bo3Uhj8cbKYRPpZdsrBv3x3bAQ/edit?resourcekey#gid=1321652304"",""Prop!$CB$1:$CL""),11,0),iferror(vlookup(B16,importrange(""https://docs.google.com/spreadsheets/d/1p53T2AuvvIqhP7Nf-bo3Uhj8cbKYRPpZdsrBv"&amp;"3x3bAQ/edit?resourcekey#gid=1321652304"",""Prop!$CM$1:$CX""),12,0),iferror(vlookup(B16,importrange(""https://docs.google.com/spreadsheets/d/1p53T2AuvvIqhP7Nf-bo3Uhj8cbKYRPpZdsrBv3x3bAQ/edit?resourcekey#gid=1321652304"",""Prop!$CY$1:$DI""),11,0)))))))))))"),"https://drive.google.com/open?id=1GdO6DIOPk5mAjXeI_e91-Vehf0yXpXrc")</f>
        <v>https://drive.google.com/open?id=1GdO6DIOPk5mAjXeI_e91-Vehf0yXpXrc</v>
      </c>
      <c r="R16" s="88" t="s">
        <v>1229</v>
      </c>
      <c r="S16" s="20" t="str">
        <f ca="1">IFERROR(__xludf.DUMMYFUNCTION("IFERROR(vlookup(B16,IMPORTRANGE(""https://docs.google.com/spreadsheets/d/1g_jfYYK_KeipEDNDUgqgrsxK94XiocfNQIcP-v1QVhI/edit?resourcekey#gid=233272945"",""Nilai!B:CT""),30,0),"" "")"),"bab 3 belum menyesuaikan konsep luring penuh dengan protokol kesehatan, bab 2 masih menuliskan definisi2 komponen, harusnya tdk usah. anggaran biaya habis pakai blm ada institusi lain meski nol (font jg diperbaiki). detail anggaran yg 1jt, dibuat 990rb sa"&amp;"ja. paket data maks 100rb")</f>
        <v>bab 3 belum menyesuaikan konsep luring penuh dengan protokol kesehatan, bab 2 masih menuliskan definisi2 komponen, harusnya tdk usah. anggaran biaya habis pakai blm ada institusi lain meski nol (font jg diperbaiki). detail anggaran yg 1jt, dibuat 990rb saja. paket data maks 100rb</v>
      </c>
      <c r="T16" s="20" t="str">
        <f ca="1">IFERROR(__xludf.DUMMYFUNCTION("IFERROR(vlookup(B16,IMPORTRANGE(""https://docs.google.com/spreadsheets/d/1g_jfYYK_KeipEDNDUgqgrsxK94XiocfNQIcP-v1QVhI/edit?resourcekey#gid=233272945"",""Nilai!B:CT""),97,0),"" "")"),"LAYAK UPLOAD KE SIMBELMAWA DENGAN REVISI")</f>
        <v>LAYAK UPLOAD KE SIMBELMAWA DENGAN REVISI</v>
      </c>
      <c r="U16" s="21" t="s">
        <v>804</v>
      </c>
      <c r="V16" s="16" t="s">
        <v>1230</v>
      </c>
      <c r="W16" s="23" t="s">
        <v>1238</v>
      </c>
      <c r="X16" s="19" t="b">
        <v>1</v>
      </c>
    </row>
    <row r="17" spans="1:24">
      <c r="A17" s="15">
        <v>15</v>
      </c>
      <c r="B17" s="15">
        <f ca="1">IFERROR(__xludf.DUMMYFUNCTION("""COMPUTED_VALUE"""),2577)</f>
        <v>2577</v>
      </c>
      <c r="C17" s="16" t="str">
        <f ca="1">IFERROR(__xludf.DUMMYFUNCTION("""COMPUTED_VALUE"""),"Mohamad Angga Faurahmansyah")</f>
        <v>Mohamad Angga Faurahmansyah</v>
      </c>
      <c r="D17" s="16" t="str">
        <f ca="1">IFERROR(__xludf.DUMMYFUNCTION("""COMPUTED_VALUE"""),"07111940000058")</f>
        <v>07111940000058</v>
      </c>
      <c r="E17" s="16" t="str">
        <f ca="1">IFERROR(__xludf.DUMMYFUNCTION("""COMPUTED_VALUE"""),"Departemen Teknik Elektro")</f>
        <v>Departemen Teknik Elektro</v>
      </c>
      <c r="F17" s="16" t="str">
        <f ca="1">IFERROR(__xludf.DUMMYFUNCTION("""COMPUTED_VALUE"""),"Alat Pemantau dan Pengendali Listrik untuk Konsumen Tegangan Rendah Berbasis Interner of Things")</f>
        <v>Alat Pemantau dan Pengendali Listrik untuk Konsumen Tegangan Rendah Berbasis Interner of Things</v>
      </c>
      <c r="G17" s="16" t="str">
        <f ca="1">IFERROR(__xludf.DUMMYFUNCTION("""COMPUTED_VALUE"""),"Feby Agung Pamuji, S.T., M.T., Ph.D.")</f>
        <v>Feby Agung Pamuji, S.T., M.T., Ph.D.</v>
      </c>
      <c r="H17" s="16" t="str">
        <f ca="1">IFERROR(__xludf.DUMMYFUNCTION("""COMPUTED_VALUE"""),"Sefi Novendra Patrialova, S.Si., M.T")</f>
        <v>Sefi Novendra Patrialova, S.Si., M.T</v>
      </c>
      <c r="I17" s="16" t="str">
        <f ca="1">IFERROR(__xludf.DUMMYFUNCTION("""COMPUTED_VALUE"""),"Safira Firdaus Mujiyanti, S.T., M.T.")</f>
        <v>Safira Firdaus Mujiyanti, S.T., M.T.</v>
      </c>
      <c r="J17" s="16"/>
      <c r="K17" s="17" t="s">
        <v>1236</v>
      </c>
      <c r="L17" s="23" t="s">
        <v>1237</v>
      </c>
      <c r="M17" s="19" t="b">
        <v>1</v>
      </c>
      <c r="N17" s="19" t="b">
        <v>1</v>
      </c>
      <c r="O17" s="1" t="s">
        <v>1239</v>
      </c>
      <c r="P17" s="7" t="str">
        <f ca="1">IFERROR(__xludf.DUMMYFUNCTION("iferror(vlookup(B17,importrange(""https://docs.google.com/spreadsheets/d/1boHyJQ4e2FU0QG8MHwEi6qjX4hvZWVCHcFfXjq7bbMc/edit?resourcekey#gid=923248883"",""Prop!$C$1:$M""),12,0),IFERROR(vlookup(B17,importrange(""https://docs.google.com/spreadsheets/d/1boHyJQ"&amp;"4e2FU0QG8MHwEi6qjX4hvZWVCHcFfXjq7bbMc/edit?resourcekey#gid=923248883"",""Prop!$N$1:$X""),11,0),iferror(vlookup(B17,importrange(""https://docs.google.com/spreadsheets/d/1boHyJQ4e2FU0QG8MHwEi6qjX4hvZWVCHcFfXjq7bbMc/edit?resourcekey#gid=923248883"",""Prop!$Y"&amp;"$1:$AI""),11,0),iferror(vlookup(B17,importrange(""https://docs.google.com/spreadsheets/d/1boHyJQ4e2FU0QG8MHwEi6qjX4hvZWVCHcFfXjq7bbMc/edit?resourcekey#gid=923248883"",""Prop!$AJ$1:$AT""),11,0),iferror(vlookup(B17,importrange(""https://docs.google.com/spre"&amp;"adsheets/d/1boHyJQ4e2FU0QG8MHwEi6qjX4hvZWVCHcFfXjq7bbMc/edit?resourcekey#gid=923248883"",""Prop!$AU$1:$BE""),11,0),iferror(vlookup(B17,importrange(""https://docs.google.com/spreadsheets/d/1boHyJQ4e2FU0QG8MHwEi6qjX4hvZWVCHcFfXjq7bbMc/edit?resourcekey#gid=9"&amp;"23248883"",""Prop!$BF$1:$BP""),11,0),iferror(vlookup(B17,importrange(""https://docs.google.com/spreadsheets/d/1boHyJQ4e2FU0QG8MHwEi6qjX4hvZWVCHcFfXjq7bbMc/edit?resourcekey#gid=923248883"",""Prop!$BQ$1:$CA""),11,0),iferror(vlookup(B17,importrange(""https:/"&amp;"/docs.google.com/spreadsheets/d/1boHyJQ4e2FU0QG8MHwEi6qjX4hvZWVCHcFfXjq7bbMc/edit?resourcekey#gid=923248883"",""Prop!$CB$1:$CL""),11,0),iferror(vlookup(B17,importrange(""https://docs.google.com/spreadsheets/d/1boHyJQ4e2FU0QG8MHwEi6qjX4hvZWVCHcFfXjq7bbMc/e"&amp;"dit?resourcekey#gid=923248883"",""Prop!$CM$1:$CX""),12,0),iferror(vlookup(B17,importrange(""https://docs.google.com/spreadsheets/d/1boHyJQ4e2FU0QG8MHwEi6qjX4hvZWVCHcFfXjq7bbMc/edit?resourcekey#gid=923248883"",""Prop!$CV$1:$DI""),11,0)))))))))))"),"https://drive.google.com/open?id=1tc1y0o2xjrmlEXnv46iY8OKKyGD7D4s3")</f>
        <v>https://drive.google.com/open?id=1tc1y0o2xjrmlEXnv46iY8OKKyGD7D4s3</v>
      </c>
      <c r="Q17" s="7" t="str">
        <f ca="1">IFERROR(__xludf.DUMMYFUNCTION("iferror(vlookup(B17,importrange(""https://docs.google.com/spreadsheets/d/1p53T2AuvvIqhP7Nf-bo3Uhj8cbKYRPpZdsrBv3x3bAQ/edit?resourcekey#gid=1321652304"",""Prop!$C$1:$M""),11,0),IFERROR(vlookup(B17,importrange(""https://docs.google.com/spreadsheets/d/1p53T2"&amp;"AuvvIqhP7Nf-bo3Uhj8cbKYRPpZdsrBv3x3bAQ/edit?resourcekey#gid=1321652304"",""Prop!$N$1:$X""),11,0),iferror(vlookup(B17,importrange(""https://docs.google.com/spreadsheets/d/1p53T2AuvvIqhP7Nf-bo3Uhj8cbKYRPpZdsrBv3x3bAQ/edit?resourcekey#gid=1321652304"",""Prop"&amp;"!$Y$1:$AI""),11,0),iferror(vlookup(B17,importrange(""https://docs.google.com/spreadsheets/d/1p53T2AuvvIqhP7Nf-bo3Uhj8cbKYRPpZdsrBv3x3bAQ/edit?resourcekey#gid=1321652304"",""Prop!$AJ$1:$AT""),11,0),iferror(vlookup(B17,importrange(""https://docs.google.com/"&amp;"spreadsheets/d/1p53T2AuvvIqhP7Nf-bo3Uhj8cbKYRPpZdsrBv3x3bAQ/edit?resourcekey#gid=1321652304"",""Prop!$AU$1:$BE""),11,0),iferror(vlookup(B17,importrange(""https://docs.google.com/spreadsheets/d/1p53T2AuvvIqhP7Nf-bo3Uhj8cbKYRPpZdsrBv3x3bAQ/edit?resourcekey#"&amp;"gid=1321652304"",""Prop!$BF$1:$BP""),11,0),iferror(vlookup(B17,importrange(""https://docs.google.com/spreadsheets/d/1p53T2AuvvIqhP7Nf-bo3Uhj8cbKYRPpZdsrBv3x3bAQ/edit?resourcekey#gid=1321652304"",""Prop!$BQ$1:$CA""),11,0),iferror(vlookup(B17,importrange("""&amp;"https://docs.google.com/spreadsheets/d/1p53T2AuvvIqhP7Nf-bo3Uhj8cbKYRPpZdsrBv3x3bAQ/edit?resourcekey#gid=1321652304"",""Prop!$CB$1:$CL""),11,0),iferror(vlookup(B17,importrange(""https://docs.google.com/spreadsheets/d/1p53T2AuvvIqhP7Nf-bo3Uhj8cbKYRPpZdsrBv"&amp;"3x3bAQ/edit?resourcekey#gid=1321652304"",""Prop!$CM$1:$CX""),12,0),iferror(vlookup(B17,importrange(""https://docs.google.com/spreadsheets/d/1p53T2AuvvIqhP7Nf-bo3Uhj8cbKYRPpZdsrBv3x3bAQ/edit?resourcekey#gid=1321652304"",""Prop!$CY$1:$DI""),11,0)))))))))))"),"https://drive.google.com/open?id=1joI1xkhluTQnxrEm4ri6WS93bi4OOmJf")</f>
        <v>https://drive.google.com/open?id=1joI1xkhluTQnxrEm4ri6WS93bi4OOmJf</v>
      </c>
      <c r="R17" s="88" t="s">
        <v>1229</v>
      </c>
      <c r="S17" s="20" t="str">
        <f ca="1">IFERROR(__xludf.DUMMYFUNCTION("IFERROR(vlookup(B17,IMPORTRANGE(""https://docs.google.com/spreadsheets/d/1g_jfYYK_KeipEDNDUgqgrsxK94XiocfNQIcP-v1QVhI/edit?resourcekey#gid=233272945"",""Nilai!B:CT""),30,0),"" "")"),"bab 2 masih menjelaskan ttg definis komponen2, harusnya ga usah. bab 3 belum sesuai pedoman (luring penuh dan protokol kesehatan). prosentase pembagian anggaran dana tdk tepat sesuai dengan pedoman. buat apa solar panelnya ya?")</f>
        <v>bab 2 masih menjelaskan ttg definis komponen2, harusnya ga usah. bab 3 belum sesuai pedoman (luring penuh dan protokol kesehatan). prosentase pembagian anggaran dana tdk tepat sesuai dengan pedoman. buat apa solar panelnya ya?</v>
      </c>
      <c r="T17" s="20" t="str">
        <f ca="1">IFERROR(__xludf.DUMMYFUNCTION("IFERROR(vlookup(B17,IMPORTRANGE(""https://docs.google.com/spreadsheets/d/1g_jfYYK_KeipEDNDUgqgrsxK94XiocfNQIcP-v1QVhI/edit?resourcekey#gid=233272945"",""Nilai!B:CT""),97,0),"" "")"),"TIDAK LAYAK UPLOAD KE SIMBELMAWA")</f>
        <v>TIDAK LAYAK UPLOAD KE SIMBELMAWA</v>
      </c>
      <c r="U17" s="21" t="s">
        <v>804</v>
      </c>
      <c r="V17" s="16" t="s">
        <v>1230</v>
      </c>
      <c r="W17" s="23" t="s">
        <v>1238</v>
      </c>
      <c r="X17" s="19" t="b">
        <v>1</v>
      </c>
    </row>
    <row r="18" spans="1:24">
      <c r="A18" s="15">
        <v>16</v>
      </c>
      <c r="B18" s="15">
        <f ca="1">IFERROR(__xludf.DUMMYFUNCTION("""COMPUTED_VALUE"""),3428)</f>
        <v>3428</v>
      </c>
      <c r="C18" s="16" t="str">
        <f ca="1">IFERROR(__xludf.DUMMYFUNCTION("""COMPUTED_VALUE"""),"FARHAN FIRMANSYAH")</f>
        <v>FARHAN FIRMANSYAH</v>
      </c>
      <c r="D18" s="16" t="str">
        <f ca="1">IFERROR(__xludf.DUMMYFUNCTION("""COMPUTED_VALUE"""),"10411810000076")</f>
        <v>10411810000076</v>
      </c>
      <c r="E18" s="16" t="str">
        <f ca="1">IFERROR(__xludf.DUMMYFUNCTION("""COMPUTED_VALUE"""),"Departemen Teknik Kimia Industri")</f>
        <v>Departemen Teknik Kimia Industri</v>
      </c>
      <c r="F18" s="16" t="str">
        <f ca="1">IFERROR(__xludf.DUMMYFUNCTION("""COMPUTED_VALUE"""),"Pembuatan Prototype Alat Spray Dryer Dengan Menggunakan Electrostatic Precipitator Sebagai Penangkap Partikel")</f>
        <v>Pembuatan Prototype Alat Spray Dryer Dengan Menggunakan Electrostatic Precipitator Sebagai Penangkap Partikel</v>
      </c>
      <c r="G18" s="16" t="str">
        <f ca="1">IFERROR(__xludf.DUMMYFUNCTION("""COMPUTED_VALUE"""),"Dr. Lailatul Qomariyah, S.T.")</f>
        <v>Dr. Lailatul Qomariyah, S.T.</v>
      </c>
      <c r="H18" s="16" t="str">
        <f ca="1">IFERROR(__xludf.DUMMYFUNCTION("""COMPUTED_VALUE"""),"Yudha Prasetyawan, S.T., M.Eng.")</f>
        <v>Yudha Prasetyawan, S.T., M.Eng.</v>
      </c>
      <c r="I18" s="16" t="str">
        <f ca="1">IFERROR(__xludf.DUMMYFUNCTION("""COMPUTED_VALUE"""),"Detak Yan Pratama, S.T., M.Sc.")</f>
        <v>Detak Yan Pratama, S.T., M.Sc.</v>
      </c>
      <c r="J18" s="16"/>
      <c r="K18" s="17" t="s">
        <v>1236</v>
      </c>
      <c r="L18" s="23" t="s">
        <v>1237</v>
      </c>
      <c r="M18" s="19" t="b">
        <v>1</v>
      </c>
      <c r="N18" s="19" t="b">
        <v>1</v>
      </c>
      <c r="O18" s="1" t="s">
        <v>1239</v>
      </c>
      <c r="P18" s="7" t="str">
        <f ca="1">IFERROR(__xludf.DUMMYFUNCTION("iferror(vlookup(B18,importrange(""https://docs.google.com/spreadsheets/d/1boHyJQ4e2FU0QG8MHwEi6qjX4hvZWVCHcFfXjq7bbMc/edit?resourcekey#gid=923248883"",""Prop!$C$1:$M""),12,0),IFERROR(vlookup(B18,importrange(""https://docs.google.com/spreadsheets/d/1boHyJQ"&amp;"4e2FU0QG8MHwEi6qjX4hvZWVCHcFfXjq7bbMc/edit?resourcekey#gid=923248883"",""Prop!$N$1:$X""),11,0),iferror(vlookup(B18,importrange(""https://docs.google.com/spreadsheets/d/1boHyJQ4e2FU0QG8MHwEi6qjX4hvZWVCHcFfXjq7bbMc/edit?resourcekey#gid=923248883"",""Prop!$Y"&amp;"$1:$AI""),11,0),iferror(vlookup(B18,importrange(""https://docs.google.com/spreadsheets/d/1boHyJQ4e2FU0QG8MHwEi6qjX4hvZWVCHcFfXjq7bbMc/edit?resourcekey#gid=923248883"",""Prop!$AJ$1:$AT""),11,0),iferror(vlookup(B18,importrange(""https://docs.google.com/spre"&amp;"adsheets/d/1boHyJQ4e2FU0QG8MHwEi6qjX4hvZWVCHcFfXjq7bbMc/edit?resourcekey#gid=923248883"",""Prop!$AU$1:$BE""),11,0),iferror(vlookup(B18,importrange(""https://docs.google.com/spreadsheets/d/1boHyJQ4e2FU0QG8MHwEi6qjX4hvZWVCHcFfXjq7bbMc/edit?resourcekey#gid=9"&amp;"23248883"",""Prop!$BF$1:$BP""),11,0),iferror(vlookup(B18,importrange(""https://docs.google.com/spreadsheets/d/1boHyJQ4e2FU0QG8MHwEi6qjX4hvZWVCHcFfXjq7bbMc/edit?resourcekey#gid=923248883"",""Prop!$BQ$1:$CA""),11,0),iferror(vlookup(B18,importrange(""https:/"&amp;"/docs.google.com/spreadsheets/d/1boHyJQ4e2FU0QG8MHwEi6qjX4hvZWVCHcFfXjq7bbMc/edit?resourcekey#gid=923248883"",""Prop!$CB$1:$CL""),11,0),iferror(vlookup(B18,importrange(""https://docs.google.com/spreadsheets/d/1boHyJQ4e2FU0QG8MHwEi6qjX4hvZWVCHcFfXjq7bbMc/e"&amp;"dit?resourcekey#gid=923248883"",""Prop!$CM$1:$CX""),12,0),iferror(vlookup(B18,importrange(""https://docs.google.com/spreadsheets/d/1boHyJQ4e2FU0QG8MHwEi6qjX4hvZWVCHcFfXjq7bbMc/edit?resourcekey#gid=923248883"",""Prop!$CV$1:$DI""),11,0)))))))))))"),"https://drive.google.com/open?id=11W6ZSN3uLrUbBQscNmI-Tak6JZu11kWl")</f>
        <v>https://drive.google.com/open?id=11W6ZSN3uLrUbBQscNmI-Tak6JZu11kWl</v>
      </c>
      <c r="Q18" s="7" t="str">
        <f ca="1">IFERROR(__xludf.DUMMYFUNCTION("iferror(vlookup(B18,importrange(""https://docs.google.com/spreadsheets/d/1p53T2AuvvIqhP7Nf-bo3Uhj8cbKYRPpZdsrBv3x3bAQ/edit?resourcekey#gid=1321652304"",""Prop!$C$1:$M""),11,0),IFERROR(vlookup(B18,importrange(""https://docs.google.com/spreadsheets/d/1p53T2"&amp;"AuvvIqhP7Nf-bo3Uhj8cbKYRPpZdsrBv3x3bAQ/edit?resourcekey#gid=1321652304"",""Prop!$N$1:$X""),11,0),iferror(vlookup(B18,importrange(""https://docs.google.com/spreadsheets/d/1p53T2AuvvIqhP7Nf-bo3Uhj8cbKYRPpZdsrBv3x3bAQ/edit?resourcekey#gid=1321652304"",""Prop"&amp;"!$Y$1:$AI""),11,0),iferror(vlookup(B18,importrange(""https://docs.google.com/spreadsheets/d/1p53T2AuvvIqhP7Nf-bo3Uhj8cbKYRPpZdsrBv3x3bAQ/edit?resourcekey#gid=1321652304"",""Prop!$AJ$1:$AT""),11,0),iferror(vlookup(B18,importrange(""https://docs.google.com/"&amp;"spreadsheets/d/1p53T2AuvvIqhP7Nf-bo3Uhj8cbKYRPpZdsrBv3x3bAQ/edit?resourcekey#gid=1321652304"",""Prop!$AU$1:$BE""),11,0),iferror(vlookup(B18,importrange(""https://docs.google.com/spreadsheets/d/1p53T2AuvvIqhP7Nf-bo3Uhj8cbKYRPpZdsrBv3x3bAQ/edit?resourcekey#"&amp;"gid=1321652304"",""Prop!$BF$1:$BP""),11,0),iferror(vlookup(B18,importrange(""https://docs.google.com/spreadsheets/d/1p53T2AuvvIqhP7Nf-bo3Uhj8cbKYRPpZdsrBv3x3bAQ/edit?resourcekey#gid=1321652304"",""Prop!$BQ$1:$CA""),11,0),iferror(vlookup(B18,importrange("""&amp;"https://docs.google.com/spreadsheets/d/1p53T2AuvvIqhP7Nf-bo3Uhj8cbKYRPpZdsrBv3x3bAQ/edit?resourcekey#gid=1321652304"",""Prop!$CB$1:$CL""),11,0),iferror(vlookup(B18,importrange(""https://docs.google.com/spreadsheets/d/1p53T2AuvvIqhP7Nf-bo3Uhj8cbKYRPpZdsrBv"&amp;"3x3bAQ/edit?resourcekey#gid=1321652304"",""Prop!$CM$1:$CX""),12,0),iferror(vlookup(B18,importrange(""https://docs.google.com/spreadsheets/d/1p53T2AuvvIqhP7Nf-bo3Uhj8cbKYRPpZdsrBv3x3bAQ/edit?resourcekey#gid=1321652304"",""Prop!$CY$1:$DI""),11,0)))))))))))"),"https://drive.google.com/open?id=16Or9cvFJNpbZbkexUiT6xU6Tsf4zECP1")</f>
        <v>https://drive.google.com/open?id=16Or9cvFJNpbZbkexUiT6xU6Tsf4zECP1</v>
      </c>
      <c r="R18" s="88" t="s">
        <v>1229</v>
      </c>
      <c r="S18" s="20" t="str">
        <f ca="1">IFERROR(__xludf.DUMMYFUNCTION("IFERROR(vlookup(B18,IMPORTRANGE(""https://docs.google.com/spreadsheets/d/1g_jfYYK_KeipEDNDUgqgrsxK94XiocfNQIcP-v1QVhI/edit?resourcekey#gid=233272945"",""Nilai!B:CT""),30,0),"" "")"),"anggaran dana di bab 4 blm ditambahkan institusi lain meski nilai nol. di rincian anggaran harga yg 1 jt dijadikan 990rb saja. cek spasi di rincian anggaran belanja, sepetinya terlalu besar. gambar 3d ga ada")</f>
        <v>anggaran dana di bab 4 blm ditambahkan institusi lain meski nilai nol. di rincian anggaran harga yg 1 jt dijadikan 990rb saja. cek spasi di rincian anggaran belanja, sepetinya terlalu besar. gambar 3d ga ada</v>
      </c>
      <c r="T18" s="20" t="str">
        <f ca="1">IFERROR(__xludf.DUMMYFUNCTION("IFERROR(vlookup(B18,IMPORTRANGE(""https://docs.google.com/spreadsheets/d/1g_jfYYK_KeipEDNDUgqgrsxK94XiocfNQIcP-v1QVhI/edit?resourcekey#gid=233272945"",""Nilai!B:CT""),97,0),"" "")"),"LAYAK UPLOAD KE SIMBELMAWA DENGAN REVISI")</f>
        <v>LAYAK UPLOAD KE SIMBELMAWA DENGAN REVISI</v>
      </c>
      <c r="U18" s="21" t="s">
        <v>804</v>
      </c>
      <c r="V18" s="16" t="s">
        <v>1230</v>
      </c>
      <c r="W18" s="23" t="s">
        <v>1238</v>
      </c>
      <c r="X18" s="19" t="b">
        <v>1</v>
      </c>
    </row>
    <row r="19" spans="1:24">
      <c r="A19" s="15">
        <v>17</v>
      </c>
      <c r="B19" s="15">
        <f ca="1">IFERROR(__xludf.DUMMYFUNCTION("""COMPUTED_VALUE"""),2367)</f>
        <v>2367</v>
      </c>
      <c r="C19" s="16" t="str">
        <f ca="1">IFERROR(__xludf.DUMMYFUNCTION("""COMPUTED_VALUE"""),"BASKORO DAVID BERLIAN")</f>
        <v>BASKORO DAVID BERLIAN</v>
      </c>
      <c r="D19" s="16" t="str">
        <f ca="1">IFERROR(__xludf.DUMMYFUNCTION("""COMPUTED_VALUE"""),"10411910000013")</f>
        <v>10411910000013</v>
      </c>
      <c r="E19" s="16" t="str">
        <f ca="1">IFERROR(__xludf.DUMMYFUNCTION("""COMPUTED_VALUE"""),"Departemen Teknik Kimia Industri")</f>
        <v>Departemen Teknik Kimia Industri</v>
      </c>
      <c r="F19" s="16" t="str">
        <f ca="1">IFERROR(__xludf.DUMMYFUNCTION("""COMPUTED_VALUE"""),"Pembuatan Suture Anchor dari Biokompatibel HAp Berbahan Dasar Keong Sawah (P.Ampullacea) Sebagai Solusi Cedera Robekan Otot Supraspinatus Pada Rotator Cuff")</f>
        <v>Pembuatan Suture Anchor dari Biokompatibel HAp Berbahan Dasar Keong Sawah (P.Ampullacea) Sebagai Solusi Cedera Robekan Otot Supraspinatus Pada Rotator Cuff</v>
      </c>
      <c r="G19" s="16" t="str">
        <f ca="1">IFERROR(__xludf.DUMMYFUNCTION("""COMPUTED_VALUE"""),"Dr. Eng. Achmad Dwitama Karisma, S.T., M.T.")</f>
        <v>Dr. Eng. Achmad Dwitama Karisma, S.T., M.T.</v>
      </c>
      <c r="H19" s="16" t="str">
        <f ca="1">IFERROR(__xludf.DUMMYFUNCTION("""COMPUTED_VALUE"""),"Yudha Prasetyawan, S.T., M.Eng.")</f>
        <v>Yudha Prasetyawan, S.T., M.Eng.</v>
      </c>
      <c r="I19" s="16" t="str">
        <f ca="1">IFERROR(__xludf.DUMMYFUNCTION("""COMPUTED_VALUE"""),"Putu Gde Ariastita, S.T., M.T.")</f>
        <v>Putu Gde Ariastita, S.T., M.T.</v>
      </c>
      <c r="J19" s="16"/>
      <c r="K19" s="17" t="s">
        <v>1236</v>
      </c>
      <c r="L19" s="23" t="s">
        <v>1237</v>
      </c>
      <c r="M19" s="19" t="b">
        <v>1</v>
      </c>
      <c r="N19" s="19" t="b">
        <v>1</v>
      </c>
      <c r="O19" s="1" t="s">
        <v>1239</v>
      </c>
      <c r="P19" s="7" t="str">
        <f ca="1">IFERROR(__xludf.DUMMYFUNCTION("iferror(vlookup(B19,importrange(""https://docs.google.com/spreadsheets/d/1boHyJQ4e2FU0QG8MHwEi6qjX4hvZWVCHcFfXjq7bbMc/edit?resourcekey#gid=923248883"",""Prop!$C$1:$M""),12,0),IFERROR(vlookup(B19,importrange(""https://docs.google.com/spreadsheets/d/1boHyJQ"&amp;"4e2FU0QG8MHwEi6qjX4hvZWVCHcFfXjq7bbMc/edit?resourcekey#gid=923248883"",""Prop!$N$1:$X""),11,0),iferror(vlookup(B19,importrange(""https://docs.google.com/spreadsheets/d/1boHyJQ4e2FU0QG8MHwEi6qjX4hvZWVCHcFfXjq7bbMc/edit?resourcekey#gid=923248883"",""Prop!$Y"&amp;"$1:$AI""),11,0),iferror(vlookup(B19,importrange(""https://docs.google.com/spreadsheets/d/1boHyJQ4e2FU0QG8MHwEi6qjX4hvZWVCHcFfXjq7bbMc/edit?resourcekey#gid=923248883"",""Prop!$AJ$1:$AT""),11,0),iferror(vlookup(B19,importrange(""https://docs.google.com/spre"&amp;"adsheets/d/1boHyJQ4e2FU0QG8MHwEi6qjX4hvZWVCHcFfXjq7bbMc/edit?resourcekey#gid=923248883"",""Prop!$AU$1:$BE""),11,0),iferror(vlookup(B19,importrange(""https://docs.google.com/spreadsheets/d/1boHyJQ4e2FU0QG8MHwEi6qjX4hvZWVCHcFfXjq7bbMc/edit?resourcekey#gid=9"&amp;"23248883"",""Prop!$BF$1:$BP""),11,0),iferror(vlookup(B19,importrange(""https://docs.google.com/spreadsheets/d/1boHyJQ4e2FU0QG8MHwEi6qjX4hvZWVCHcFfXjq7bbMc/edit?resourcekey#gid=923248883"",""Prop!$BQ$1:$CA""),11,0),iferror(vlookup(B19,importrange(""https:/"&amp;"/docs.google.com/spreadsheets/d/1boHyJQ4e2FU0QG8MHwEi6qjX4hvZWVCHcFfXjq7bbMc/edit?resourcekey#gid=923248883"",""Prop!$CB$1:$CL""),11,0),iferror(vlookup(B19,importrange(""https://docs.google.com/spreadsheets/d/1boHyJQ4e2FU0QG8MHwEi6qjX4hvZWVCHcFfXjq7bbMc/e"&amp;"dit?resourcekey#gid=923248883"",""Prop!$CM$1:$CX""),12,0),iferror(vlookup(B19,importrange(""https://docs.google.com/spreadsheets/d/1boHyJQ4e2FU0QG8MHwEi6qjX4hvZWVCHcFfXjq7bbMc/edit?resourcekey#gid=923248883"",""Prop!$CV$1:$DI""),11,0)))))))))))"),"https://drive.google.com/open?id=1CS9aJaev_pmAv0Jdpj1WVqC5ovKqP3aC")</f>
        <v>https://drive.google.com/open?id=1CS9aJaev_pmAv0Jdpj1WVqC5ovKqP3aC</v>
      </c>
      <c r="Q19" s="7" t="str">
        <f ca="1">IFERROR(__xludf.DUMMYFUNCTION("iferror(vlookup(B19,importrange(""https://docs.google.com/spreadsheets/d/1p53T2AuvvIqhP7Nf-bo3Uhj8cbKYRPpZdsrBv3x3bAQ/edit?resourcekey#gid=1321652304"",""Prop!$C$1:$M""),11,0),IFERROR(vlookup(B19,importrange(""https://docs.google.com/spreadsheets/d/1p53T2"&amp;"AuvvIqhP7Nf-bo3Uhj8cbKYRPpZdsrBv3x3bAQ/edit?resourcekey#gid=1321652304"",""Prop!$N$1:$X""),11,0),iferror(vlookup(B19,importrange(""https://docs.google.com/spreadsheets/d/1p53T2AuvvIqhP7Nf-bo3Uhj8cbKYRPpZdsrBv3x3bAQ/edit?resourcekey#gid=1321652304"",""Prop"&amp;"!$Y$1:$AI""),11,0),iferror(vlookup(B19,importrange(""https://docs.google.com/spreadsheets/d/1p53T2AuvvIqhP7Nf-bo3Uhj8cbKYRPpZdsrBv3x3bAQ/edit?resourcekey#gid=1321652304"",""Prop!$AJ$1:$AT""),11,0),iferror(vlookup(B19,importrange(""https://docs.google.com/"&amp;"spreadsheets/d/1p53T2AuvvIqhP7Nf-bo3Uhj8cbKYRPpZdsrBv3x3bAQ/edit?resourcekey#gid=1321652304"",""Prop!$AU$1:$BE""),11,0),iferror(vlookup(B19,importrange(""https://docs.google.com/spreadsheets/d/1p53T2AuvvIqhP7Nf-bo3Uhj8cbKYRPpZdsrBv3x3bAQ/edit?resourcekey#"&amp;"gid=1321652304"",""Prop!$BF$1:$BP""),11,0),iferror(vlookup(B19,importrange(""https://docs.google.com/spreadsheets/d/1p53T2AuvvIqhP7Nf-bo3Uhj8cbKYRPpZdsrBv3x3bAQ/edit?resourcekey#gid=1321652304"",""Prop!$BQ$1:$CA""),11,0),iferror(vlookup(B19,importrange("""&amp;"https://docs.google.com/spreadsheets/d/1p53T2AuvvIqhP7Nf-bo3Uhj8cbKYRPpZdsrBv3x3bAQ/edit?resourcekey#gid=1321652304"",""Prop!$CB$1:$CL""),11,0),iferror(vlookup(B19,importrange(""https://docs.google.com/spreadsheets/d/1p53T2AuvvIqhP7Nf-bo3Uhj8cbKYRPpZdsrBv"&amp;"3x3bAQ/edit?resourcekey#gid=1321652304"",""Prop!$CM$1:$CX""),12,0),iferror(vlookup(B19,importrange(""https://docs.google.com/spreadsheets/d/1p53T2AuvvIqhP7Nf-bo3Uhj8cbKYRPpZdsrBv3x3bAQ/edit?resourcekey#gid=1321652304"",""Prop!$CY$1:$DI""),11,0)))))))))))"),"https://drive.google.com/open?id=1Tqq9sxhMSxrQc-xq87NLX_wIKo-TN-5B")</f>
        <v>https://drive.google.com/open?id=1Tqq9sxhMSxrQc-xq87NLX_wIKo-TN-5B</v>
      </c>
      <c r="R19" s="88" t="s">
        <v>1229</v>
      </c>
      <c r="S19" s="20" t="str">
        <f ca="1">IFERROR(__xludf.DUMMYFUNCTION("IFERROR(vlookup(B19,IMPORTRANGE(""https://docs.google.com/spreadsheets/d/1g_jfYYK_KeipEDNDUgqgrsxK94XiocfNQIcP-v1QVhI/edit?resourcekey#gid=233272945"",""Nilai!B:CT""),30,0),"" "")"),"berat ini. kyknya tidak ikut bikom atau son sebelumnya karena kesalahannya banyak banget. rumusan masalah tdk jelas. tanggal di biodata tdk diganti. anggaran dana tdk sesuai pedoman. biodata dosen masih PKM-RE. ")</f>
        <v xml:space="preserve">berat ini. kyknya tidak ikut bikom atau son sebelumnya karena kesalahannya banyak banget. rumusan masalah tdk jelas. tanggal di biodata tdk diganti. anggaran dana tdk sesuai pedoman. biodata dosen masih PKM-RE. </v>
      </c>
      <c r="T19" s="20" t="str">
        <f ca="1">IFERROR(__xludf.DUMMYFUNCTION("IFERROR(vlookup(B19,IMPORTRANGE(""https://docs.google.com/spreadsheets/d/1g_jfYYK_KeipEDNDUgqgrsxK94XiocfNQIcP-v1QVhI/edit?resourcekey#gid=233272945"",""Nilai!B:CT""),97,0),"" "")"),"TIDAK LAYAK UPLOAD KE SIMBELMAWA")</f>
        <v>TIDAK LAYAK UPLOAD KE SIMBELMAWA</v>
      </c>
      <c r="U19" s="21" t="s">
        <v>804</v>
      </c>
      <c r="V19" s="16" t="s">
        <v>1230</v>
      </c>
      <c r="W19" s="23" t="s">
        <v>1240</v>
      </c>
      <c r="X19" s="19" t="b">
        <v>1</v>
      </c>
    </row>
    <row r="20" spans="1:24">
      <c r="A20" s="15">
        <v>18</v>
      </c>
      <c r="B20" s="15">
        <f ca="1">IFERROR(__xludf.DUMMYFUNCTION("""COMPUTED_VALUE"""),3167)</f>
        <v>3167</v>
      </c>
      <c r="C20" s="16" t="str">
        <f ca="1">IFERROR(__xludf.DUMMYFUNCTION("""COMPUTED_VALUE"""),"MUHAMMAD AQSHAL PUTRA PRATAMA")</f>
        <v>MUHAMMAD AQSHAL PUTRA PRATAMA</v>
      </c>
      <c r="D20" s="16" t="str">
        <f ca="1">IFERROR(__xludf.DUMMYFUNCTION("""COMPUTED_VALUE"""),"5018201088")</f>
        <v>5018201088</v>
      </c>
      <c r="E20" s="16" t="str">
        <f ca="1">IFERROR(__xludf.DUMMYFUNCTION("""COMPUTED_VALUE"""),"Departemen Teknik Perkapalan")</f>
        <v>Departemen Teknik Perkapalan</v>
      </c>
      <c r="F20" s="16" t="str">
        <f ca="1">IFERROR(__xludf.DUMMYFUNCTION("""COMPUTED_VALUE"""),"Optimalisasi Pertumbuhan Kepiting Bakau Skala Budidaya di Lahan Perkotaan dengan Metode Vertical Crab House Berbasis Internet of Things")</f>
        <v>Optimalisasi Pertumbuhan Kepiting Bakau Skala Budidaya di Lahan Perkotaan dengan Metode Vertical Crab House Berbasis Internet of Things</v>
      </c>
      <c r="G20" s="16" t="str">
        <f ca="1">IFERROR(__xludf.DUMMYFUNCTION("""COMPUTED_VALUE"""),"Safira Firdaus Mujiyanti, S.T., M.T.")</f>
        <v>Safira Firdaus Mujiyanti, S.T., M.T.</v>
      </c>
      <c r="H20" s="16" t="str">
        <f ca="1">IFERROR(__xludf.DUMMYFUNCTION("""COMPUTED_VALUE"""),"Eko Agus Suprayitno, S.Si., M.T.")</f>
        <v>Eko Agus Suprayitno, S.Si., M.T.</v>
      </c>
      <c r="I20" s="16" t="str">
        <f ca="1">IFERROR(__xludf.DUMMYFUNCTION("""COMPUTED_VALUE"""),"Arief Abdurrakhman, S.T., M.T.")</f>
        <v>Arief Abdurrakhman, S.T., M.T.</v>
      </c>
      <c r="J20" s="16"/>
      <c r="K20" s="17" t="s">
        <v>1236</v>
      </c>
      <c r="L20" s="23" t="s">
        <v>1241</v>
      </c>
      <c r="M20" s="19" t="b">
        <v>0</v>
      </c>
      <c r="N20" s="19" t="b">
        <v>0</v>
      </c>
      <c r="O20" s="1" t="s">
        <v>1239</v>
      </c>
      <c r="P20" s="7" t="str">
        <f ca="1">IFERROR(__xludf.DUMMYFUNCTION("iferror(vlookup(B20,importrange(""https://docs.google.com/spreadsheets/d/1boHyJQ4e2FU0QG8MHwEi6qjX4hvZWVCHcFfXjq7bbMc/edit?resourcekey#gid=923248883"",""Prop!$C$1:$M""),12,0),IFERROR(vlookup(B20,importrange(""https://docs.google.com/spreadsheets/d/1boHyJQ"&amp;"4e2FU0QG8MHwEi6qjX4hvZWVCHcFfXjq7bbMc/edit?resourcekey#gid=923248883"",""Prop!$N$1:$X""),11,0),iferror(vlookup(B20,importrange(""https://docs.google.com/spreadsheets/d/1boHyJQ4e2FU0QG8MHwEi6qjX4hvZWVCHcFfXjq7bbMc/edit?resourcekey#gid=923248883"",""Prop!$Y"&amp;"$1:$AI""),11,0),iferror(vlookup(B20,importrange(""https://docs.google.com/spreadsheets/d/1boHyJQ4e2FU0QG8MHwEi6qjX4hvZWVCHcFfXjq7bbMc/edit?resourcekey#gid=923248883"",""Prop!$AJ$1:$AT""),11,0),iferror(vlookup(B20,importrange(""https://docs.google.com/spre"&amp;"adsheets/d/1boHyJQ4e2FU0QG8MHwEi6qjX4hvZWVCHcFfXjq7bbMc/edit?resourcekey#gid=923248883"",""Prop!$AU$1:$BE""),11,0),iferror(vlookup(B20,importrange(""https://docs.google.com/spreadsheets/d/1boHyJQ4e2FU0QG8MHwEi6qjX4hvZWVCHcFfXjq7bbMc/edit?resourcekey#gid=9"&amp;"23248883"",""Prop!$BF$1:$BP""),11,0),iferror(vlookup(B20,importrange(""https://docs.google.com/spreadsheets/d/1boHyJQ4e2FU0QG8MHwEi6qjX4hvZWVCHcFfXjq7bbMc/edit?resourcekey#gid=923248883"",""Prop!$BQ$1:$CA""),11,0),iferror(vlookup(B20,importrange(""https:/"&amp;"/docs.google.com/spreadsheets/d/1boHyJQ4e2FU0QG8MHwEi6qjX4hvZWVCHcFfXjq7bbMc/edit?resourcekey#gid=923248883"",""Prop!$CB$1:$CL""),11,0),iferror(vlookup(B20,importrange(""https://docs.google.com/spreadsheets/d/1boHyJQ4e2FU0QG8MHwEi6qjX4hvZWVCHcFfXjq7bbMc/e"&amp;"dit?resourcekey#gid=923248883"",""Prop!$CM$1:$CX""),12,0),iferror(vlookup(B20,importrange(""https://docs.google.com/spreadsheets/d/1boHyJQ4e2FU0QG8MHwEi6qjX4hvZWVCHcFfXjq7bbMc/edit?resourcekey#gid=923248883"",""Prop!$CV$1:$DI""),11,0)))))))))))"),"https://drive.google.com/open?id=1El6B11x4PDH9WvGt2CJPgK3JZZiK32Rz")</f>
        <v>https://drive.google.com/open?id=1El6B11x4PDH9WvGt2CJPgK3JZZiK32Rz</v>
      </c>
      <c r="Q20" s="7" t="str">
        <f ca="1">IFERROR(__xludf.DUMMYFUNCTION("iferror(vlookup(B20,importrange(""https://docs.google.com/spreadsheets/d/1p53T2AuvvIqhP7Nf-bo3Uhj8cbKYRPpZdsrBv3x3bAQ/edit?resourcekey#gid=1321652304"",""Prop!$C$1:$M""),11,0),IFERROR(vlookup(B20,importrange(""https://docs.google.com/spreadsheets/d/1p53T2"&amp;"AuvvIqhP7Nf-bo3Uhj8cbKYRPpZdsrBv3x3bAQ/edit?resourcekey#gid=1321652304"",""Prop!$N$1:$X""),11,0),iferror(vlookup(B20,importrange(""https://docs.google.com/spreadsheets/d/1p53T2AuvvIqhP7Nf-bo3Uhj8cbKYRPpZdsrBv3x3bAQ/edit?resourcekey#gid=1321652304"",""Prop"&amp;"!$Y$1:$AI""),11,0),iferror(vlookup(B20,importrange(""https://docs.google.com/spreadsheets/d/1p53T2AuvvIqhP7Nf-bo3Uhj8cbKYRPpZdsrBv3x3bAQ/edit?resourcekey#gid=1321652304"",""Prop!$AJ$1:$AT""),11,0),iferror(vlookup(B20,importrange(""https://docs.google.com/"&amp;"spreadsheets/d/1p53T2AuvvIqhP7Nf-bo3Uhj8cbKYRPpZdsrBv3x3bAQ/edit?resourcekey#gid=1321652304"",""Prop!$AU$1:$BE""),11,0),iferror(vlookup(B20,importrange(""https://docs.google.com/spreadsheets/d/1p53T2AuvvIqhP7Nf-bo3Uhj8cbKYRPpZdsrBv3x3bAQ/edit?resourcekey#"&amp;"gid=1321652304"",""Prop!$BF$1:$BP""),11,0),iferror(vlookup(B20,importrange(""https://docs.google.com/spreadsheets/d/1p53T2AuvvIqhP7Nf-bo3Uhj8cbKYRPpZdsrBv3x3bAQ/edit?resourcekey#gid=1321652304"",""Prop!$BQ$1:$CA""),11,0),iferror(vlookup(B20,importrange("""&amp;"https://docs.google.com/spreadsheets/d/1p53T2AuvvIqhP7Nf-bo3Uhj8cbKYRPpZdsrBv3x3bAQ/edit?resourcekey#gid=1321652304"",""Prop!$CB$1:$CL""),11,0),iferror(vlookup(B20,importrange(""https://docs.google.com/spreadsheets/d/1p53T2AuvvIqhP7Nf-bo3Uhj8cbKYRPpZdsrBv"&amp;"3x3bAQ/edit?resourcekey#gid=1321652304"",""Prop!$CM$1:$CX""),12,0),iferror(vlookup(B20,importrange(""https://docs.google.com/spreadsheets/d/1p53T2AuvvIqhP7Nf-bo3Uhj8cbKYRPpZdsrBv3x3bAQ/edit?resourcekey#gid=1321652304"",""Prop!$CY$1:$DI""),11,0)))))))))))"),"https://drive.google.com/open?id=1XhT-69O_DZ6BQyxvEX1tRvb6un-jp3WD")</f>
        <v>https://drive.google.com/open?id=1XhT-69O_DZ6BQyxvEX1tRvb6un-jp3WD</v>
      </c>
      <c r="R20" s="88" t="s">
        <v>1229</v>
      </c>
      <c r="S20" s="20" t="str">
        <f ca="1">IFERROR(__xludf.DUMMYFUNCTION("IFERROR(vlookup(B20,IMPORTRANGE(""https://docs.google.com/spreadsheets/d/1g_jfYYK_KeipEDNDUgqgrsxK94XiocfNQIcP-v1QVhI/edit?resourcekey#gid=233272945"",""Nilai!B:CT""),30,0),"" "")"),"biodata dosen utk PKM-KI. latar belakang minim sitasi dan data pendukung. anggaran dana belum sesuai pedoman, institusi lain blm ditulis. di rincian anggaran dana utk skimmer jumlahnya salah. biaya langganan internet 5 bulan, pelaksanaan di timeline 4 bul"&amp;"an")</f>
        <v>biodata dosen utk PKM-KI. latar belakang minim sitasi dan data pendukung. anggaran dana belum sesuai pedoman, institusi lain blm ditulis. di rincian anggaran dana utk skimmer jumlahnya salah. biaya langganan internet 5 bulan, pelaksanaan di timeline 4 bulan</v>
      </c>
      <c r="T20" s="20" t="str">
        <f ca="1">IFERROR(__xludf.DUMMYFUNCTION("IFERROR(vlookup(B20,IMPORTRANGE(""https://docs.google.com/spreadsheets/d/1g_jfYYK_KeipEDNDUgqgrsxK94XiocfNQIcP-v1QVhI/edit?resourcekey#gid=233272945"",""Nilai!B:CT""),97,0),"" "")"),"LAYAK UPLOAD KE SIMBELMAWA DENGAN REVISI")</f>
        <v>LAYAK UPLOAD KE SIMBELMAWA DENGAN REVISI</v>
      </c>
      <c r="U20" s="21" t="s">
        <v>804</v>
      </c>
      <c r="V20" s="16" t="s">
        <v>1230</v>
      </c>
      <c r="W20" s="23" t="s">
        <v>1240</v>
      </c>
      <c r="X20" s="19" t="b">
        <v>0</v>
      </c>
    </row>
    <row r="21" spans="1:24">
      <c r="A21" s="15">
        <v>19</v>
      </c>
      <c r="B21" s="15">
        <f ca="1">IFERROR(__xludf.DUMMYFUNCTION("""COMPUTED_VALUE"""),2461)</f>
        <v>2461</v>
      </c>
      <c r="C21" s="16" t="str">
        <f ca="1">IFERROR(__xludf.DUMMYFUNCTION("""COMPUTED_VALUE"""),"Ahmad Dzikrullah Akbar")</f>
        <v>Ahmad Dzikrullah Akbar</v>
      </c>
      <c r="D21" s="16" t="str">
        <f ca="1">IFERROR(__xludf.DUMMYFUNCTION("""COMPUTED_VALUE"""),"03111940000005")</f>
        <v>03111940000005</v>
      </c>
      <c r="E21" s="16" t="str">
        <f ca="1">IFERROR(__xludf.DUMMYFUNCTION("""COMPUTED_VALUE"""),"Departemen Teknik Sipil")</f>
        <v>Departemen Teknik Sipil</v>
      </c>
      <c r="F21" s="16" t="str">
        <f ca="1">IFERROR(__xludf.DUMMYFUNCTION("""COMPUTED_VALUE"""),"Sistem Akusisi Data Berbasis Wireless Untuk Evaluasi Efek Panas Hidrasi Beton Pada Umur Awal")</f>
        <v>Sistem Akusisi Data Berbasis Wireless Untuk Evaluasi Efek Panas Hidrasi Beton Pada Umur Awal</v>
      </c>
      <c r="G21" s="16" t="str">
        <f ca="1">IFERROR(__xludf.DUMMYFUNCTION("""COMPUTED_VALUE"""),"Ir. Faimun, M.Sc.,Ph.D")</f>
        <v>Ir. Faimun, M.Sc.,Ph.D</v>
      </c>
      <c r="H21" s="16" t="str">
        <f ca="1">IFERROR(__xludf.DUMMYFUNCTION("""COMPUTED_VALUE"""),"Sefi Novendra Patrialova, S.Si., M.T")</f>
        <v>Sefi Novendra Patrialova, S.Si., M.T</v>
      </c>
      <c r="I21" s="16" t="str">
        <f ca="1">IFERROR(__xludf.DUMMYFUNCTION("""COMPUTED_VALUE"""),"Yasmin Zainul Mochtar, S.T., M.A.")</f>
        <v>Yasmin Zainul Mochtar, S.T., M.A.</v>
      </c>
      <c r="J21" s="16"/>
      <c r="K21" s="17" t="s">
        <v>1236</v>
      </c>
      <c r="L21" s="23" t="s">
        <v>1241</v>
      </c>
      <c r="M21" s="19" t="b">
        <v>1</v>
      </c>
      <c r="N21" s="19" t="b">
        <v>1</v>
      </c>
      <c r="O21" s="1" t="s">
        <v>1239</v>
      </c>
      <c r="P21" s="7" t="str">
        <f ca="1">IFERROR(__xludf.DUMMYFUNCTION("iferror(vlookup(B21,importrange(""https://docs.google.com/spreadsheets/d/1boHyJQ4e2FU0QG8MHwEi6qjX4hvZWVCHcFfXjq7bbMc/edit?resourcekey#gid=923248883"",""Prop!$C$1:$M""),12,0),IFERROR(vlookup(B21,importrange(""https://docs.google.com/spreadsheets/d/1boHyJQ"&amp;"4e2FU0QG8MHwEi6qjX4hvZWVCHcFfXjq7bbMc/edit?resourcekey#gid=923248883"",""Prop!$N$1:$X""),11,0),iferror(vlookup(B21,importrange(""https://docs.google.com/spreadsheets/d/1boHyJQ4e2FU0QG8MHwEi6qjX4hvZWVCHcFfXjq7bbMc/edit?resourcekey#gid=923248883"",""Prop!$Y"&amp;"$1:$AI""),11,0),iferror(vlookup(B21,importrange(""https://docs.google.com/spreadsheets/d/1boHyJQ4e2FU0QG8MHwEi6qjX4hvZWVCHcFfXjq7bbMc/edit?resourcekey#gid=923248883"",""Prop!$AJ$1:$AT""),11,0),iferror(vlookup(B21,importrange(""https://docs.google.com/spre"&amp;"adsheets/d/1boHyJQ4e2FU0QG8MHwEi6qjX4hvZWVCHcFfXjq7bbMc/edit?resourcekey#gid=923248883"",""Prop!$AU$1:$BE""),11,0),iferror(vlookup(B21,importrange(""https://docs.google.com/spreadsheets/d/1boHyJQ4e2FU0QG8MHwEi6qjX4hvZWVCHcFfXjq7bbMc/edit?resourcekey#gid=9"&amp;"23248883"",""Prop!$BF$1:$BP""),11,0),iferror(vlookup(B21,importrange(""https://docs.google.com/spreadsheets/d/1boHyJQ4e2FU0QG8MHwEi6qjX4hvZWVCHcFfXjq7bbMc/edit?resourcekey#gid=923248883"",""Prop!$BQ$1:$CA""),11,0),iferror(vlookup(B21,importrange(""https:/"&amp;"/docs.google.com/spreadsheets/d/1boHyJQ4e2FU0QG8MHwEi6qjX4hvZWVCHcFfXjq7bbMc/edit?resourcekey#gid=923248883"",""Prop!$CB$1:$CL""),11,0),iferror(vlookup(B21,importrange(""https://docs.google.com/spreadsheets/d/1boHyJQ4e2FU0QG8MHwEi6qjX4hvZWVCHcFfXjq7bbMc/e"&amp;"dit?resourcekey#gid=923248883"",""Prop!$CM$1:$CX""),12,0),iferror(vlookup(B21,importrange(""https://docs.google.com/spreadsheets/d/1boHyJQ4e2FU0QG8MHwEi6qjX4hvZWVCHcFfXjq7bbMc/edit?resourcekey#gid=923248883"",""Prop!$CV$1:$DI""),11,0)))))))))))"),"https://drive.google.com/open?id=1Lswib0gLUsob2J5SMFfO_3nL6DlJQDKM")</f>
        <v>https://drive.google.com/open?id=1Lswib0gLUsob2J5SMFfO_3nL6DlJQDKM</v>
      </c>
      <c r="Q21" s="7" t="str">
        <f ca="1">IFERROR(__xludf.DUMMYFUNCTION("iferror(vlookup(B21,importrange(""https://docs.google.com/spreadsheets/d/1p53T2AuvvIqhP7Nf-bo3Uhj8cbKYRPpZdsrBv3x3bAQ/edit?resourcekey#gid=1321652304"",""Prop!$C$1:$M""),11,0),IFERROR(vlookup(B21,importrange(""https://docs.google.com/spreadsheets/d/1p53T2"&amp;"AuvvIqhP7Nf-bo3Uhj8cbKYRPpZdsrBv3x3bAQ/edit?resourcekey#gid=1321652304"",""Prop!$N$1:$X""),11,0),iferror(vlookup(B21,importrange(""https://docs.google.com/spreadsheets/d/1p53T2AuvvIqhP7Nf-bo3Uhj8cbKYRPpZdsrBv3x3bAQ/edit?resourcekey#gid=1321652304"",""Prop"&amp;"!$Y$1:$AI""),11,0),iferror(vlookup(B21,importrange(""https://docs.google.com/spreadsheets/d/1p53T2AuvvIqhP7Nf-bo3Uhj8cbKYRPpZdsrBv3x3bAQ/edit?resourcekey#gid=1321652304"",""Prop!$AJ$1:$AT""),11,0),iferror(vlookup(B21,importrange(""https://docs.google.com/"&amp;"spreadsheets/d/1p53T2AuvvIqhP7Nf-bo3Uhj8cbKYRPpZdsrBv3x3bAQ/edit?resourcekey#gid=1321652304"",""Prop!$AU$1:$BE""),11,0),iferror(vlookup(B21,importrange(""https://docs.google.com/spreadsheets/d/1p53T2AuvvIqhP7Nf-bo3Uhj8cbKYRPpZdsrBv3x3bAQ/edit?resourcekey#"&amp;"gid=1321652304"",""Prop!$BF$1:$BP""),11,0),iferror(vlookup(B21,importrange(""https://docs.google.com/spreadsheets/d/1p53T2AuvvIqhP7Nf-bo3Uhj8cbKYRPpZdsrBv3x3bAQ/edit?resourcekey#gid=1321652304"",""Prop!$BQ$1:$CA""),11,0),iferror(vlookup(B21,importrange("""&amp;"https://docs.google.com/spreadsheets/d/1p53T2AuvvIqhP7Nf-bo3Uhj8cbKYRPpZdsrBv3x3bAQ/edit?resourcekey#gid=1321652304"",""Prop!$CB$1:$CL""),11,0),iferror(vlookup(B21,importrange(""https://docs.google.com/spreadsheets/d/1p53T2AuvvIqhP7Nf-bo3Uhj8cbKYRPpZdsrBv"&amp;"3x3bAQ/edit?resourcekey#gid=1321652304"",""Prop!$CM$1:$CX""),12,0),iferror(vlookup(B21,importrange(""https://docs.google.com/spreadsheets/d/1p53T2AuvvIqhP7Nf-bo3Uhj8cbKYRPpZdsrBv3x3bAQ/edit?resourcekey#gid=1321652304"",""Prop!$CY$1:$DI""),11,0)))))))))))"),"https://drive.google.com/open?id=1xGSxCOxo2RS7PsuLI2Ly8bDjOUNwVWua")</f>
        <v>https://drive.google.com/open?id=1xGSxCOxo2RS7PsuLI2Ly8bDjOUNwVWua</v>
      </c>
      <c r="R21" s="88" t="s">
        <v>1229</v>
      </c>
      <c r="S21" s="20" t="str">
        <f ca="1">IFERROR(__xludf.DUMMYFUNCTION("IFERROR(vlookup(B21,IMPORTRANGE(""https://docs.google.com/spreadsheets/d/1g_jfYYK_KeipEDNDUgqgrsxK94XiocfNQIcP-v1QVhI/edit?resourcekey#gid=233272945"",""Nilai!B:CT""),30,0),"" "")"),"sudah bagus. ")</f>
        <v xml:space="preserve">sudah bagus. </v>
      </c>
      <c r="T21" s="20" t="str">
        <f ca="1">IFERROR(__xludf.DUMMYFUNCTION("IFERROR(vlookup(B21,IMPORTRANGE(""https://docs.google.com/spreadsheets/d/1g_jfYYK_KeipEDNDUgqgrsxK94XiocfNQIcP-v1QVhI/edit?resourcekey#gid=233272945"",""Nilai!B:CT""),97,0),"" "")"),"LAYAK UPLOAD KE SIMBELMAWA")</f>
        <v>LAYAK UPLOAD KE SIMBELMAWA</v>
      </c>
      <c r="U21" s="21" t="s">
        <v>804</v>
      </c>
      <c r="V21" s="16" t="s">
        <v>1230</v>
      </c>
      <c r="W21" s="23" t="s">
        <v>1240</v>
      </c>
      <c r="X21" s="19" t="b">
        <v>1</v>
      </c>
    </row>
    <row r="22" spans="1:24">
      <c r="A22" s="15">
        <v>20</v>
      </c>
      <c r="B22" s="15">
        <f ca="1">IFERROR(__xludf.DUMMYFUNCTION("""COMPUTED_VALUE"""),3127)</f>
        <v>3127</v>
      </c>
      <c r="C22" s="16" t="str">
        <f ca="1">IFERROR(__xludf.DUMMYFUNCTION("""COMPUTED_VALUE"""),"MADE ARVIN SIDDHAYANATRA")</f>
        <v>MADE ARVIN SIDDHAYANATRA</v>
      </c>
      <c r="D22" s="16" t="str">
        <f ca="1">IFERROR(__xludf.DUMMYFUNCTION("""COMPUTED_VALUE"""),"5010201044")</f>
        <v>5010201044</v>
      </c>
      <c r="E22" s="16" t="str">
        <f ca="1">IFERROR(__xludf.DUMMYFUNCTION("""COMPUTED_VALUE"""),"Departemen Teknik Sistem dan Industri")</f>
        <v>Departemen Teknik Sistem dan Industri</v>
      </c>
      <c r="F22" s="16" t="str">
        <f ca="1">IFERROR(__xludf.DUMMYFUNCTION("""COMPUTED_VALUE"""),"i-Greenfizer: Mesin Pengolah Sampah Organik dan Penyemprotan Pupuk Organik Cair Otomatis Terintegrasi dengan IoT Berbasis Aplikasi")</f>
        <v>i-Greenfizer: Mesin Pengolah Sampah Organik dan Penyemprotan Pupuk Organik Cair Otomatis Terintegrasi dengan IoT Berbasis Aplikasi</v>
      </c>
      <c r="G22" s="16" t="str">
        <f ca="1">IFERROR(__xludf.DUMMYFUNCTION("""COMPUTED_VALUE"""),"Prof. Ir. Moses Laksono Singgih, M.Sc., Ph.D.")</f>
        <v>Prof. Ir. Moses Laksono Singgih, M.Sc., Ph.D.</v>
      </c>
      <c r="H22" s="16" t="str">
        <f ca="1">IFERROR(__xludf.DUMMYFUNCTION("""COMPUTED_VALUE"""),"Sefi Novendra Patrialova, S.Si., M.T")</f>
        <v>Sefi Novendra Patrialova, S.Si., M.T</v>
      </c>
      <c r="I22" s="16" t="str">
        <f ca="1">IFERROR(__xludf.DUMMYFUNCTION("""COMPUTED_VALUE"""),"Safira Firdaus Mujiyanti, S.T., M.T.")</f>
        <v>Safira Firdaus Mujiyanti, S.T., M.T.</v>
      </c>
      <c r="J22" s="16"/>
      <c r="K22" s="17" t="s">
        <v>1236</v>
      </c>
      <c r="L22" s="23" t="s">
        <v>1241</v>
      </c>
      <c r="M22" s="19" t="b">
        <v>1</v>
      </c>
      <c r="N22" s="19" t="b">
        <v>1</v>
      </c>
      <c r="O22" s="1" t="s">
        <v>1239</v>
      </c>
      <c r="P22" s="7" t="str">
        <f ca="1">IFERROR(__xludf.DUMMYFUNCTION("iferror(vlookup(B22,importrange(""https://docs.google.com/spreadsheets/d/1boHyJQ4e2FU0QG8MHwEi6qjX4hvZWVCHcFfXjq7bbMc/edit?resourcekey#gid=923248883"",""Prop!$C$1:$M""),12,0),IFERROR(vlookup(B22,importrange(""https://docs.google.com/spreadsheets/d/1boHyJQ"&amp;"4e2FU0QG8MHwEi6qjX4hvZWVCHcFfXjq7bbMc/edit?resourcekey#gid=923248883"",""Prop!$N$1:$X""),11,0),iferror(vlookup(B22,importrange(""https://docs.google.com/spreadsheets/d/1boHyJQ4e2FU0QG8MHwEi6qjX4hvZWVCHcFfXjq7bbMc/edit?resourcekey#gid=923248883"",""Prop!$Y"&amp;"$1:$AI""),11,0),iferror(vlookup(B22,importrange(""https://docs.google.com/spreadsheets/d/1boHyJQ4e2FU0QG8MHwEi6qjX4hvZWVCHcFfXjq7bbMc/edit?resourcekey#gid=923248883"",""Prop!$AJ$1:$AT""),11,0),iferror(vlookup(B22,importrange(""https://docs.google.com/spre"&amp;"adsheets/d/1boHyJQ4e2FU0QG8MHwEi6qjX4hvZWVCHcFfXjq7bbMc/edit?resourcekey#gid=923248883"",""Prop!$AU$1:$BE""),11,0),iferror(vlookup(B22,importrange(""https://docs.google.com/spreadsheets/d/1boHyJQ4e2FU0QG8MHwEi6qjX4hvZWVCHcFfXjq7bbMc/edit?resourcekey#gid=9"&amp;"23248883"",""Prop!$BF$1:$BP""),11,0),iferror(vlookup(B22,importrange(""https://docs.google.com/spreadsheets/d/1boHyJQ4e2FU0QG8MHwEi6qjX4hvZWVCHcFfXjq7bbMc/edit?resourcekey#gid=923248883"",""Prop!$BQ$1:$CA""),11,0),iferror(vlookup(B22,importrange(""https:/"&amp;"/docs.google.com/spreadsheets/d/1boHyJQ4e2FU0QG8MHwEi6qjX4hvZWVCHcFfXjq7bbMc/edit?resourcekey#gid=923248883"",""Prop!$CB$1:$CL""),11,0),iferror(vlookup(B22,importrange(""https://docs.google.com/spreadsheets/d/1boHyJQ4e2FU0QG8MHwEi6qjX4hvZWVCHcFfXjq7bbMc/e"&amp;"dit?resourcekey#gid=923248883"",""Prop!$CM$1:$CX""),12,0),iferror(vlookup(B22,importrange(""https://docs.google.com/spreadsheets/d/1boHyJQ4e2FU0QG8MHwEi6qjX4hvZWVCHcFfXjq7bbMc/edit?resourcekey#gid=923248883"",""Prop!$CV$1:$DI""),11,0)))))))))))"),"https://drive.google.com/open?id=1H3T1HKR6lBfU8fXtR8S-IjxRVsVe9PdA")</f>
        <v>https://drive.google.com/open?id=1H3T1HKR6lBfU8fXtR8S-IjxRVsVe9PdA</v>
      </c>
      <c r="Q22" s="7" t="str">
        <f ca="1">IFERROR(__xludf.DUMMYFUNCTION("iferror(vlookup(B22,importrange(""https://docs.google.com/spreadsheets/d/1p53T2AuvvIqhP7Nf-bo3Uhj8cbKYRPpZdsrBv3x3bAQ/edit?resourcekey#gid=1321652304"",""Prop!$C$1:$M""),11,0),IFERROR(vlookup(B22,importrange(""https://docs.google.com/spreadsheets/d/1p53T2"&amp;"AuvvIqhP7Nf-bo3Uhj8cbKYRPpZdsrBv3x3bAQ/edit?resourcekey#gid=1321652304"",""Prop!$N$1:$X""),11,0),iferror(vlookup(B22,importrange(""https://docs.google.com/spreadsheets/d/1p53T2AuvvIqhP7Nf-bo3Uhj8cbKYRPpZdsrBv3x3bAQ/edit?resourcekey#gid=1321652304"",""Prop"&amp;"!$Y$1:$AI""),11,0),iferror(vlookup(B22,importrange(""https://docs.google.com/spreadsheets/d/1p53T2AuvvIqhP7Nf-bo3Uhj8cbKYRPpZdsrBv3x3bAQ/edit?resourcekey#gid=1321652304"",""Prop!$AJ$1:$AT""),11,0),iferror(vlookup(B22,importrange(""https://docs.google.com/"&amp;"spreadsheets/d/1p53T2AuvvIqhP7Nf-bo3Uhj8cbKYRPpZdsrBv3x3bAQ/edit?resourcekey#gid=1321652304"",""Prop!$AU$1:$BE""),11,0),iferror(vlookup(B22,importrange(""https://docs.google.com/spreadsheets/d/1p53T2AuvvIqhP7Nf-bo3Uhj8cbKYRPpZdsrBv3x3bAQ/edit?resourcekey#"&amp;"gid=1321652304"",""Prop!$BF$1:$BP""),11,0),iferror(vlookup(B22,importrange(""https://docs.google.com/spreadsheets/d/1p53T2AuvvIqhP7Nf-bo3Uhj8cbKYRPpZdsrBv3x3bAQ/edit?resourcekey#gid=1321652304"",""Prop!$BQ$1:$CA""),11,0),iferror(vlookup(B22,importrange("""&amp;"https://docs.google.com/spreadsheets/d/1p53T2AuvvIqhP7Nf-bo3Uhj8cbKYRPpZdsrBv3x3bAQ/edit?resourcekey#gid=1321652304"",""Prop!$CB$1:$CL""),11,0),iferror(vlookup(B22,importrange(""https://docs.google.com/spreadsheets/d/1p53T2AuvvIqhP7Nf-bo3Uhj8cbKYRPpZdsrBv"&amp;"3x3bAQ/edit?resourcekey#gid=1321652304"",""Prop!$CM$1:$CX""),12,0),iferror(vlookup(B22,importrange(""https://docs.google.com/spreadsheets/d/1p53T2AuvvIqhP7Nf-bo3Uhj8cbKYRPpZdsrBv3x3bAQ/edit?resourcekey#gid=1321652304"",""Prop!$CY$1:$DI""),11,0)))))))))))"),"https://drive.google.com/open?id=1RI_t6o_xLsfhSEGE6CDSDJY0EKL-eBTq")</f>
        <v>https://drive.google.com/open?id=1RI_t6o_xLsfhSEGE6CDSDJY0EKL-eBTq</v>
      </c>
      <c r="R22" s="88" t="s">
        <v>1229</v>
      </c>
      <c r="S22" s="20" t="str">
        <f ca="1">IFERROR(__xludf.DUMMYFUNCTION("IFERROR(vlookup(B22,IMPORTRANGE(""https://docs.google.com/spreadsheets/d/1g_jfYYK_KeipEDNDUgqgrsxK94XiocfNQIcP-v1QVhI/edit?resourcekey#gid=233272945"",""Nilai!B:CT""),30,0),"" "")"),"di latar belakang tidak dijelaskan bagaimana proses pengolahan sampah menjadi pupuknya dan otomatisasinya gimana. identifikasi kebutuhan pengguna di flowchart dan penjelasan bab 3 sebaiknya dihapus. tanggal di biodata masih februari, harusnya maret.  lamp"&amp;"iran biodata berantakan. ")</f>
        <v xml:space="preserve">di latar belakang tidak dijelaskan bagaimana proses pengolahan sampah menjadi pupuknya dan otomatisasinya gimana. identifikasi kebutuhan pengguna di flowchart dan penjelasan bab 3 sebaiknya dihapus. tanggal di biodata masih februari, harusnya maret.  lampiran biodata berantakan. </v>
      </c>
      <c r="T22" s="20" t="str">
        <f ca="1">IFERROR(__xludf.DUMMYFUNCTION("IFERROR(vlookup(B22,IMPORTRANGE(""https://docs.google.com/spreadsheets/d/1g_jfYYK_KeipEDNDUgqgrsxK94XiocfNQIcP-v1QVhI/edit?resourcekey#gid=233272945"",""Nilai!B:CT""),97,0),"" "")"),"LAYAK UPLOAD KE SIMBELMAWA DENGAN REVISI")</f>
        <v>LAYAK UPLOAD KE SIMBELMAWA DENGAN REVISI</v>
      </c>
      <c r="U22" s="21" t="s">
        <v>804</v>
      </c>
      <c r="V22" s="16" t="s">
        <v>1230</v>
      </c>
      <c r="W22" s="23" t="s">
        <v>1240</v>
      </c>
      <c r="X22" s="19" t="b">
        <v>1</v>
      </c>
    </row>
    <row r="23" spans="1:24">
      <c r="A23" s="15">
        <v>21</v>
      </c>
      <c r="B23" s="15">
        <f ca="1">IFERROR(__xludf.DUMMYFUNCTION("""COMPUTED_VALUE"""),3248)</f>
        <v>3248</v>
      </c>
      <c r="C23" s="16" t="str">
        <f ca="1">IFERROR(__xludf.DUMMYFUNCTION("""COMPUTED_VALUE"""),"EVALDO YUDHISTIRA PRAYOGA")</f>
        <v>EVALDO YUDHISTIRA PRAYOGA</v>
      </c>
      <c r="D23" s="16" t="str">
        <f ca="1">IFERROR(__xludf.DUMMYFUNCTION("""COMPUTED_VALUE"""),"5007201095")</f>
        <v>5007201095</v>
      </c>
      <c r="E23" s="16" t="str">
        <f ca="1">IFERROR(__xludf.DUMMYFUNCTION("""COMPUTED_VALUE"""),"Departemen Teknik Mesin")</f>
        <v>Departemen Teknik Mesin</v>
      </c>
      <c r="F23" s="16" t="str">
        <f ca="1">IFERROR(__xludf.DUMMYFUNCTION("""COMPUTED_VALUE"""),"UVMASK SEBAGAI PEMBASMI AMPUH VIRUS COVID - 19 BERBAHAN COPPER")</f>
        <v>UVMASK SEBAGAI PEMBASMI AMPUH VIRUS COVID - 19 BERBAHAN COPPER</v>
      </c>
      <c r="G23" s="16" t="str">
        <f ca="1">IFERROR(__xludf.DUMMYFUNCTION("""COMPUTED_VALUE"""),"Fahmi Mubarok, S.T., M.Sc., Ph.D.")</f>
        <v>Fahmi Mubarok, S.T., M.Sc., Ph.D.</v>
      </c>
      <c r="H23" s="16" t="str">
        <f ca="1">IFERROR(__xludf.DUMMYFUNCTION("""COMPUTED_VALUE"""),"Mohammad Khoirul Effendi, S.T., M.Sc.Eng., Ph.D.")</f>
        <v>Mohammad Khoirul Effendi, S.T., M.Sc.Eng., Ph.D.</v>
      </c>
      <c r="I23" s="16" t="str">
        <f ca="1">IFERROR(__xludf.DUMMYFUNCTION("""COMPUTED_VALUE"""),"Dr. Dendy Satrio, S.ST.")</f>
        <v>Dr. Dendy Satrio, S.ST.</v>
      </c>
      <c r="J23" s="16"/>
      <c r="K23" s="17" t="s">
        <v>1242</v>
      </c>
      <c r="L23" s="23" t="s">
        <v>1241</v>
      </c>
      <c r="M23" s="19" t="b">
        <v>0</v>
      </c>
      <c r="N23" s="19" t="b">
        <v>0</v>
      </c>
      <c r="O23" s="1" t="s">
        <v>1239</v>
      </c>
      <c r="P23" s="1" t="str">
        <f ca="1">IFERROR(__xludf.DUMMYFUNCTION("iferror(vlookup(B23,importrange(""https://docs.google.com/spreadsheets/d/1boHyJQ4e2FU0QG8MHwEi6qjX4hvZWVCHcFfXjq7bbMc/edit?resourcekey#gid=923248883"",""Prop!$C$1:$M""),12,0),IFERROR(vlookup(B23,importrange(""https://docs.google.com/spreadsheets/d/1boHyJQ"&amp;"4e2FU0QG8MHwEi6qjX4hvZWVCHcFfXjq7bbMc/edit?resourcekey#gid=923248883"",""Prop!$N$1:$X""),11,0),iferror(vlookup(B23,importrange(""https://docs.google.com/spreadsheets/d/1boHyJQ4e2FU0QG8MHwEi6qjX4hvZWVCHcFfXjq7bbMc/edit?resourcekey#gid=923248883"",""Prop!$Y"&amp;"$1:$AI""),11,0),iferror(vlookup(B23,importrange(""https://docs.google.com/spreadsheets/d/1boHyJQ4e2FU0QG8MHwEi6qjX4hvZWVCHcFfXjq7bbMc/edit?resourcekey#gid=923248883"",""Prop!$AJ$1:$AT""),11,0),iferror(vlookup(B23,importrange(""https://docs.google.com/spre"&amp;"adsheets/d/1boHyJQ4e2FU0QG8MHwEi6qjX4hvZWVCHcFfXjq7bbMc/edit?resourcekey#gid=923248883"",""Prop!$AU$1:$BE""),11,0),iferror(vlookup(B23,importrange(""https://docs.google.com/spreadsheets/d/1boHyJQ4e2FU0QG8MHwEi6qjX4hvZWVCHcFfXjq7bbMc/edit?resourcekey#gid=9"&amp;"23248883"",""Prop!$BF$1:$BP""),11,0),iferror(vlookup(B23,importrange(""https://docs.google.com/spreadsheets/d/1boHyJQ4e2FU0QG8MHwEi6qjX4hvZWVCHcFfXjq7bbMc/edit?resourcekey#gid=923248883"",""Prop!$BQ$1:$CA""),11,0),iferror(vlookup(B23,importrange(""https:/"&amp;"/docs.google.com/spreadsheets/d/1boHyJQ4e2FU0QG8MHwEi6qjX4hvZWVCHcFfXjq7bbMc/edit?resourcekey#gid=923248883"",""Prop!$CB$1:$CL""),11,0),iferror(vlookup(B23,importrange(""https://docs.google.com/spreadsheets/d/1boHyJQ4e2FU0QG8MHwEi6qjX4hvZWVCHcFfXjq7bbMc/e"&amp;"dit?resourcekey#gid=923248883"",""Prop!$CM$1:$CX""),12,0),iferror(vlookup(B23,importrange(""https://docs.google.com/spreadsheets/d/1boHyJQ4e2FU0QG8MHwEi6qjX4hvZWVCHcFfXjq7bbMc/edit?resourcekey#gid=923248883"",""Prop!$CV$1:$DI""),11,0)))))))))))"),"")</f>
        <v/>
      </c>
      <c r="Q23" s="1" t="str">
        <f ca="1">IFERROR(__xludf.DUMMYFUNCTION("iferror(vlookup(B23,importrange(""https://docs.google.com/spreadsheets/d/1p53T2AuvvIqhP7Nf-bo3Uhj8cbKYRPpZdsrBv3x3bAQ/edit?resourcekey#gid=1321652304"",""Prop!$C$1:$M""),11,0),IFERROR(vlookup(B23,importrange(""https://docs.google.com/spreadsheets/d/1p53T2"&amp;"AuvvIqhP7Nf-bo3Uhj8cbKYRPpZdsrBv3x3bAQ/edit?resourcekey#gid=1321652304"",""Prop!$N$1:$X""),11,0),iferror(vlookup(B23,importrange(""https://docs.google.com/spreadsheets/d/1p53T2AuvvIqhP7Nf-bo3Uhj8cbKYRPpZdsrBv3x3bAQ/edit?resourcekey#gid=1321652304"",""Prop"&amp;"!$Y$1:$AI""),11,0),iferror(vlookup(B23,importrange(""https://docs.google.com/spreadsheets/d/1p53T2AuvvIqhP7Nf-bo3Uhj8cbKYRPpZdsrBv3x3bAQ/edit?resourcekey#gid=1321652304"",""Prop!$AJ$1:$AT""),11,0),iferror(vlookup(B23,importrange(""https://docs.google.com/"&amp;"spreadsheets/d/1p53T2AuvvIqhP7Nf-bo3Uhj8cbKYRPpZdsrBv3x3bAQ/edit?resourcekey#gid=1321652304"",""Prop!$AU$1:$BE""),11,0),iferror(vlookup(B23,importrange(""https://docs.google.com/spreadsheets/d/1p53T2AuvvIqhP7Nf-bo3Uhj8cbKYRPpZdsrBv3x3bAQ/edit?resourcekey#"&amp;"gid=1321652304"",""Prop!$BF$1:$BP""),11,0),iferror(vlookup(B23,importrange(""https://docs.google.com/spreadsheets/d/1p53T2AuvvIqhP7Nf-bo3Uhj8cbKYRPpZdsrBv3x3bAQ/edit?resourcekey#gid=1321652304"",""Prop!$BQ$1:$CA""),11,0),iferror(vlookup(B23,importrange("""&amp;"https://docs.google.com/spreadsheets/d/1p53T2AuvvIqhP7Nf-bo3Uhj8cbKYRPpZdsrBv3x3bAQ/edit?resourcekey#gid=1321652304"",""Prop!$CB$1:$CL""),11,0),iferror(vlookup(B23,importrange(""https://docs.google.com/spreadsheets/d/1p53T2AuvvIqhP7Nf-bo3Uhj8cbKYRPpZdsrBv"&amp;"3x3bAQ/edit?resourcekey#gid=1321652304"",""Prop!$CM$1:$CX""),12,0),iferror(vlookup(B23,importrange(""https://docs.google.com/spreadsheets/d/1p53T2AuvvIqhP7Nf-bo3Uhj8cbKYRPpZdsrBv3x3bAQ/edit?resourcekey#gid=1321652304"",""Prop!$CY$1:$DI""),11,0)))))))))))"),"")</f>
        <v/>
      </c>
      <c r="R23" s="88" t="s">
        <v>1229</v>
      </c>
      <c r="S23" s="20" t="str">
        <f ca="1">IFERROR(__xludf.DUMMYFUNCTION("IFERROR(vlookup(B23,IMPORTRANGE(""https://docs.google.com/spreadsheets/d/1g_jfYYK_KeipEDNDUgqgrsxK94XiocfNQIcP-v1QVhI/edit?resourcekey#gid=233272945"",""Nilai!B:CT""),30,0),"" "")")," ")</f>
        <v xml:space="preserve"> </v>
      </c>
      <c r="T23" s="20" t="str">
        <f ca="1">IFERROR(__xludf.DUMMYFUNCTION("IFERROR(vlookup(B23,IMPORTRANGE(""https://docs.google.com/spreadsheets/d/1g_jfYYK_KeipEDNDUgqgrsxK94XiocfNQIcP-v1QVhI/edit?resourcekey#gid=233272945"",""Nilai!B:CT""),97,0),"" "")")," ")</f>
        <v xml:space="preserve"> </v>
      </c>
      <c r="U23" s="21" t="s">
        <v>804</v>
      </c>
      <c r="V23" s="16" t="s">
        <v>1230</v>
      </c>
      <c r="W23" s="23" t="s">
        <v>1022</v>
      </c>
      <c r="X23" s="19" t="b">
        <v>0</v>
      </c>
    </row>
    <row r="24" spans="1:24">
      <c r="A24" s="15">
        <v>22</v>
      </c>
      <c r="B24" s="15">
        <f ca="1">IFERROR(__xludf.DUMMYFUNCTION("""COMPUTED_VALUE"""),2519)</f>
        <v>2519</v>
      </c>
      <c r="C24" s="16" t="str">
        <f ca="1">IFERROR(__xludf.DUMMYFUNCTION("""COMPUTED_VALUE"""),"ELSHE ERVIANA ANGELY")</f>
        <v>ELSHE ERVIANA ANGELY</v>
      </c>
      <c r="D24" s="16" t="str">
        <f ca="1">IFERROR(__xludf.DUMMYFUNCTION("""COMPUTED_VALUE"""),"5025201050")</f>
        <v>5025201050</v>
      </c>
      <c r="E24" s="16" t="str">
        <f ca="1">IFERROR(__xludf.DUMMYFUNCTION("""COMPUTED_VALUE"""),"Departemen Teknik Informatika")</f>
        <v>Departemen Teknik Informatika</v>
      </c>
      <c r="F24" s="16" t="str">
        <f ca="1">IFERROR(__xludf.DUMMYFUNCTION("""COMPUTED_VALUE"""),"Sistem Pemungutan Digital Berbasis Internet of Things dengan Visi Komputer sebagai Pembaca Surat Suara untuk Percepatan Informasi Hasil Penghitungan Pemilu")</f>
        <v>Sistem Pemungutan Digital Berbasis Internet of Things dengan Visi Komputer sebagai Pembaca Surat Suara untuk Percepatan Informasi Hasil Penghitungan Pemilu</v>
      </c>
      <c r="G24" s="16" t="str">
        <f ca="1">IFERROR(__xludf.DUMMYFUNCTION("""COMPUTED_VALUE"""),"Dr. Ir. Hendra Kusuma, M.Eng.Sc.")</f>
        <v>Dr. Ir. Hendra Kusuma, M.Eng.Sc.</v>
      </c>
      <c r="H24" s="16" t="str">
        <f ca="1">IFERROR(__xludf.DUMMYFUNCTION("""COMPUTED_VALUE"""),"Ika Nurkasanah, S.Kom., M.Sc.")</f>
        <v>Ika Nurkasanah, S.Kom., M.Sc.</v>
      </c>
      <c r="I24" s="16" t="str">
        <f ca="1">IFERROR(__xludf.DUMMYFUNCTION("""COMPUTED_VALUE"""),"Rudy Dikairono, ST., M.T.")</f>
        <v>Rudy Dikairono, ST., M.T.</v>
      </c>
      <c r="J24" s="16"/>
      <c r="K24" s="17" t="s">
        <v>1242</v>
      </c>
      <c r="L24" s="23" t="s">
        <v>1241</v>
      </c>
      <c r="M24" s="19" t="b">
        <v>0</v>
      </c>
      <c r="N24" s="19" t="b">
        <v>0</v>
      </c>
      <c r="O24" s="1" t="s">
        <v>1243</v>
      </c>
      <c r="P24" s="7" t="str">
        <f ca="1">IFERROR(__xludf.DUMMYFUNCTION("iferror(vlookup(B24,importrange(""https://docs.google.com/spreadsheets/d/1boHyJQ4e2FU0QG8MHwEi6qjX4hvZWVCHcFfXjq7bbMc/edit?resourcekey#gid=923248883"",""Prop!$C$1:$M""),12,0),IFERROR(vlookup(B24,importrange(""https://docs.google.com/spreadsheets/d/1boHyJQ"&amp;"4e2FU0QG8MHwEi6qjX4hvZWVCHcFfXjq7bbMc/edit?resourcekey#gid=923248883"",""Prop!$N$1:$X""),11,0),iferror(vlookup(B24,importrange(""https://docs.google.com/spreadsheets/d/1boHyJQ4e2FU0QG8MHwEi6qjX4hvZWVCHcFfXjq7bbMc/edit?resourcekey#gid=923248883"",""Prop!$Y"&amp;"$1:$AI""),11,0),iferror(vlookup(B24,importrange(""https://docs.google.com/spreadsheets/d/1boHyJQ4e2FU0QG8MHwEi6qjX4hvZWVCHcFfXjq7bbMc/edit?resourcekey#gid=923248883"",""Prop!$AJ$1:$AT""),11,0),iferror(vlookup(B24,importrange(""https://docs.google.com/spre"&amp;"adsheets/d/1boHyJQ4e2FU0QG8MHwEi6qjX4hvZWVCHcFfXjq7bbMc/edit?resourcekey#gid=923248883"",""Prop!$AU$1:$BE""),11,0),iferror(vlookup(B24,importrange(""https://docs.google.com/spreadsheets/d/1boHyJQ4e2FU0QG8MHwEi6qjX4hvZWVCHcFfXjq7bbMc/edit?resourcekey#gid=9"&amp;"23248883"",""Prop!$BF$1:$BP""),11,0),iferror(vlookup(B24,importrange(""https://docs.google.com/spreadsheets/d/1boHyJQ4e2FU0QG8MHwEi6qjX4hvZWVCHcFfXjq7bbMc/edit?resourcekey#gid=923248883"",""Prop!$BQ$1:$CA""),11,0),iferror(vlookup(B24,importrange(""https:/"&amp;"/docs.google.com/spreadsheets/d/1boHyJQ4e2FU0QG8MHwEi6qjX4hvZWVCHcFfXjq7bbMc/edit?resourcekey#gid=923248883"",""Prop!$CB$1:$CL""),11,0),iferror(vlookup(B24,importrange(""https://docs.google.com/spreadsheets/d/1boHyJQ4e2FU0QG8MHwEi6qjX4hvZWVCHcFfXjq7bbMc/e"&amp;"dit?resourcekey#gid=923248883"",""Prop!$CM$1:$CX""),12,0),iferror(vlookup(B24,importrange(""https://docs.google.com/spreadsheets/d/1boHyJQ4e2FU0QG8MHwEi6qjX4hvZWVCHcFfXjq7bbMc/edit?resourcekey#gid=923248883"",""Prop!$CV$1:$DI""),11,0)))))))))))"),"https://drive.google.com/open?id=1iPBo5uAYPhJmLqtt5izlf9R-8BXXgHcy")</f>
        <v>https://drive.google.com/open?id=1iPBo5uAYPhJmLqtt5izlf9R-8BXXgHcy</v>
      </c>
      <c r="Q24" s="7" t="str">
        <f ca="1">IFERROR(__xludf.DUMMYFUNCTION("iferror(vlookup(B24,importrange(""https://docs.google.com/spreadsheets/d/1p53T2AuvvIqhP7Nf-bo3Uhj8cbKYRPpZdsrBv3x3bAQ/edit?resourcekey#gid=1321652304"",""Prop!$C$1:$M""),11,0),IFERROR(vlookup(B24,importrange(""https://docs.google.com/spreadsheets/d/1p53T2"&amp;"AuvvIqhP7Nf-bo3Uhj8cbKYRPpZdsrBv3x3bAQ/edit?resourcekey#gid=1321652304"",""Prop!$N$1:$X""),11,0),iferror(vlookup(B24,importrange(""https://docs.google.com/spreadsheets/d/1p53T2AuvvIqhP7Nf-bo3Uhj8cbKYRPpZdsrBv3x3bAQ/edit?resourcekey#gid=1321652304"",""Prop"&amp;"!$Y$1:$AI""),11,0),iferror(vlookup(B24,importrange(""https://docs.google.com/spreadsheets/d/1p53T2AuvvIqhP7Nf-bo3Uhj8cbKYRPpZdsrBv3x3bAQ/edit?resourcekey#gid=1321652304"",""Prop!$AJ$1:$AT""),11,0),iferror(vlookup(B24,importrange(""https://docs.google.com/"&amp;"spreadsheets/d/1p53T2AuvvIqhP7Nf-bo3Uhj8cbKYRPpZdsrBv3x3bAQ/edit?resourcekey#gid=1321652304"",""Prop!$AU$1:$BE""),11,0),iferror(vlookup(B24,importrange(""https://docs.google.com/spreadsheets/d/1p53T2AuvvIqhP7Nf-bo3Uhj8cbKYRPpZdsrBv3x3bAQ/edit?resourcekey#"&amp;"gid=1321652304"",""Prop!$BF$1:$BP""),11,0),iferror(vlookup(B24,importrange(""https://docs.google.com/spreadsheets/d/1p53T2AuvvIqhP7Nf-bo3Uhj8cbKYRPpZdsrBv3x3bAQ/edit?resourcekey#gid=1321652304"",""Prop!$BQ$1:$CA""),11,0),iferror(vlookup(B24,importrange("""&amp;"https://docs.google.com/spreadsheets/d/1p53T2AuvvIqhP7Nf-bo3Uhj8cbKYRPpZdsrBv3x3bAQ/edit?resourcekey#gid=1321652304"",""Prop!$CB$1:$CL""),11,0),iferror(vlookup(B24,importrange(""https://docs.google.com/spreadsheets/d/1p53T2AuvvIqhP7Nf-bo3Uhj8cbKYRPpZdsrBv"&amp;"3x3bAQ/edit?resourcekey#gid=1321652304"",""Prop!$CM$1:$CX""),12,0),iferror(vlookup(B24,importrange(""https://docs.google.com/spreadsheets/d/1p53T2AuvvIqhP7Nf-bo3Uhj8cbKYRPpZdsrBv3x3bAQ/edit?resourcekey#gid=1321652304"",""Prop!$CY$1:$DI""),11,0)))))))))))"),"https://drive.google.com/open?id=1PBuo1Al4DODAizr1WrIivpc9pBDz3OB_")</f>
        <v>https://drive.google.com/open?id=1PBuo1Al4DODAizr1WrIivpc9pBDz3OB_</v>
      </c>
      <c r="R24" s="88" t="s">
        <v>1229</v>
      </c>
      <c r="S24" s="20" t="str">
        <f ca="1">IFERROR(__xludf.DUMMYFUNCTION("IFERROR(vlookup(B24,IMPORTRANGE(""https://docs.google.com/spreadsheets/d/1g_jfYYK_KeipEDNDUgqgrsxK94XiocfNQIcP-v1QVhI/edit?resourcekey#gid=233272945"",""Nilai!B:CT""),30,0),"" "")"),"masih banyak kuning2 di proposalnya, belum direvisi ini sepertinya. anggaran dana masih 9 jt blm sesuai pedoman baru. rincian anggaran dana jg masih kacau. menurut saya ide bagus tp kok sayangnya tim agak ga niat. ")</f>
        <v xml:space="preserve">masih banyak kuning2 di proposalnya, belum direvisi ini sepertinya. anggaran dana masih 9 jt blm sesuai pedoman baru. rincian anggaran dana jg masih kacau. menurut saya ide bagus tp kok sayangnya tim agak ga niat. </v>
      </c>
      <c r="T24" s="20" t="str">
        <f ca="1">IFERROR(__xludf.DUMMYFUNCTION("IFERROR(vlookup(B24,IMPORTRANGE(""https://docs.google.com/spreadsheets/d/1g_jfYYK_KeipEDNDUgqgrsxK94XiocfNQIcP-v1QVhI/edit?resourcekey#gid=233272945"",""Nilai!B:CT""),97,0),"" "")"),"TIDAK LAYAK UPLOAD KE SIMBELMAWA")</f>
        <v>TIDAK LAYAK UPLOAD KE SIMBELMAWA</v>
      </c>
      <c r="U24" s="21" t="s">
        <v>804</v>
      </c>
      <c r="V24" s="16" t="s">
        <v>1230</v>
      </c>
      <c r="W24" s="23" t="s">
        <v>1022</v>
      </c>
      <c r="X24" s="19" t="b">
        <v>0</v>
      </c>
    </row>
    <row r="25" spans="1:24">
      <c r="A25" s="15">
        <v>23</v>
      </c>
      <c r="B25" s="15">
        <f ca="1">IFERROR(__xludf.DUMMYFUNCTION("""COMPUTED_VALUE"""),2119)</f>
        <v>2119</v>
      </c>
      <c r="C25" s="16" t="str">
        <f ca="1">IFERROR(__xludf.DUMMYFUNCTION("""COMPUTED_VALUE"""),"Nur Azizah")</f>
        <v>Nur Azizah</v>
      </c>
      <c r="D25" s="16" t="str">
        <f ca="1">IFERROR(__xludf.DUMMYFUNCTION("""COMPUTED_VALUE"""),"07311940000022")</f>
        <v>07311940000022</v>
      </c>
      <c r="E25" s="16" t="str">
        <f ca="1">IFERROR(__xludf.DUMMYFUNCTION("""COMPUTED_VALUE"""),"Departemen Teknik Biomedik")</f>
        <v>Departemen Teknik Biomedik</v>
      </c>
      <c r="F25" s="16" t="str">
        <f ca="1">IFERROR(__xludf.DUMMYFUNCTION("""COMPUTED_VALUE"""),"Hand Exoskeleton Glove dengan Voice Control untuk Rehabilitasi Pasien Spinal Cord Injury")</f>
        <v>Hand Exoskeleton Glove dengan Voice Control untuk Rehabilitasi Pasien Spinal Cord Injury</v>
      </c>
      <c r="G25" s="16" t="str">
        <f ca="1">IFERROR(__xludf.DUMMYFUNCTION("""COMPUTED_VALUE"""),"Eko Agus Suprayitno, S.Si., M.T.")</f>
        <v>Eko Agus Suprayitno, S.Si., M.T.</v>
      </c>
      <c r="H25" s="16" t="str">
        <f ca="1">IFERROR(__xludf.DUMMYFUNCTION("""COMPUTED_VALUE"""),"Sefi Novendra Patrialova, S.Si., M.T")</f>
        <v>Sefi Novendra Patrialova, S.Si., M.T</v>
      </c>
      <c r="I25" s="16" t="str">
        <f ca="1">IFERROR(__xludf.DUMMYFUNCTION("""COMPUTED_VALUE"""),"Mahardika F. Rois, S.T, M.T")</f>
        <v>Mahardika F. Rois, S.T, M.T</v>
      </c>
      <c r="J25" s="16"/>
      <c r="K25" s="17" t="s">
        <v>1242</v>
      </c>
      <c r="L25" s="23" t="s">
        <v>1244</v>
      </c>
      <c r="M25" s="19" t="b">
        <v>0</v>
      </c>
      <c r="N25" s="19" t="b">
        <v>0</v>
      </c>
      <c r="O25" s="1" t="s">
        <v>1245</v>
      </c>
      <c r="P25" s="1" t="str">
        <f ca="1">IFERROR(__xludf.DUMMYFUNCTION("iferror(vlookup(B25,importrange(""https://docs.google.com/spreadsheets/d/1boHyJQ4e2FU0QG8MHwEi6qjX4hvZWVCHcFfXjq7bbMc/edit?resourcekey#gid=923248883"",""Prop!$C$1:$M""),12,0),IFERROR(vlookup(B25,importrange(""https://docs.google.com/spreadsheets/d/1boHyJQ"&amp;"4e2FU0QG8MHwEi6qjX4hvZWVCHcFfXjq7bbMc/edit?resourcekey#gid=923248883"",""Prop!$N$1:$X""),11,0),iferror(vlookup(B25,importrange(""https://docs.google.com/spreadsheets/d/1boHyJQ4e2FU0QG8MHwEi6qjX4hvZWVCHcFfXjq7bbMc/edit?resourcekey#gid=923248883"",""Prop!$Y"&amp;"$1:$AI""),11,0),iferror(vlookup(B25,importrange(""https://docs.google.com/spreadsheets/d/1boHyJQ4e2FU0QG8MHwEi6qjX4hvZWVCHcFfXjq7bbMc/edit?resourcekey#gid=923248883"",""Prop!$AJ$1:$AT""),11,0),iferror(vlookup(B25,importrange(""https://docs.google.com/spre"&amp;"adsheets/d/1boHyJQ4e2FU0QG8MHwEi6qjX4hvZWVCHcFfXjq7bbMc/edit?resourcekey#gid=923248883"",""Prop!$AU$1:$BE""),11,0),iferror(vlookup(B25,importrange(""https://docs.google.com/spreadsheets/d/1boHyJQ4e2FU0QG8MHwEi6qjX4hvZWVCHcFfXjq7bbMc/edit?resourcekey#gid=9"&amp;"23248883"",""Prop!$BF$1:$BP""),11,0),iferror(vlookup(B25,importrange(""https://docs.google.com/spreadsheets/d/1boHyJQ4e2FU0QG8MHwEi6qjX4hvZWVCHcFfXjq7bbMc/edit?resourcekey#gid=923248883"",""Prop!$BQ$1:$CA""),11,0),iferror(vlookup(B25,importrange(""https:/"&amp;"/docs.google.com/spreadsheets/d/1boHyJQ4e2FU0QG8MHwEi6qjX4hvZWVCHcFfXjq7bbMc/edit?resourcekey#gid=923248883"",""Prop!$CB$1:$CL""),11,0),iferror(vlookup(B25,importrange(""https://docs.google.com/spreadsheets/d/1boHyJQ4e2FU0QG8MHwEi6qjX4hvZWVCHcFfXjq7bbMc/e"&amp;"dit?resourcekey#gid=923248883"",""Prop!$CM$1:$CX""),12,0),iferror(vlookup(B25,importrange(""https://docs.google.com/spreadsheets/d/1boHyJQ4e2FU0QG8MHwEi6qjX4hvZWVCHcFfXjq7bbMc/edit?resourcekey#gid=923248883"",""Prop!$CV$1:$DI""),11,0)))))))))))"),"")</f>
        <v/>
      </c>
      <c r="Q25" s="1" t="str">
        <f ca="1">IFERROR(__xludf.DUMMYFUNCTION("iferror(vlookup(B25,importrange(""https://docs.google.com/spreadsheets/d/1p53T2AuvvIqhP7Nf-bo3Uhj8cbKYRPpZdsrBv3x3bAQ/edit?resourcekey#gid=1321652304"",""Prop!$C$1:$M""),11,0),IFERROR(vlookup(B25,importrange(""https://docs.google.com/spreadsheets/d/1p53T2"&amp;"AuvvIqhP7Nf-bo3Uhj8cbKYRPpZdsrBv3x3bAQ/edit?resourcekey#gid=1321652304"",""Prop!$N$1:$X""),11,0),iferror(vlookup(B25,importrange(""https://docs.google.com/spreadsheets/d/1p53T2AuvvIqhP7Nf-bo3Uhj8cbKYRPpZdsrBv3x3bAQ/edit?resourcekey#gid=1321652304"",""Prop"&amp;"!$Y$1:$AI""),11,0),iferror(vlookup(B25,importrange(""https://docs.google.com/spreadsheets/d/1p53T2AuvvIqhP7Nf-bo3Uhj8cbKYRPpZdsrBv3x3bAQ/edit?resourcekey#gid=1321652304"",""Prop!$AJ$1:$AT""),11,0),iferror(vlookup(B25,importrange(""https://docs.google.com/"&amp;"spreadsheets/d/1p53T2AuvvIqhP7Nf-bo3Uhj8cbKYRPpZdsrBv3x3bAQ/edit?resourcekey#gid=1321652304"",""Prop!$AU$1:$BE""),11,0),iferror(vlookup(B25,importrange(""https://docs.google.com/spreadsheets/d/1p53T2AuvvIqhP7Nf-bo3Uhj8cbKYRPpZdsrBv3x3bAQ/edit?resourcekey#"&amp;"gid=1321652304"",""Prop!$BF$1:$BP""),11,0),iferror(vlookup(B25,importrange(""https://docs.google.com/spreadsheets/d/1p53T2AuvvIqhP7Nf-bo3Uhj8cbKYRPpZdsrBv3x3bAQ/edit?resourcekey#gid=1321652304"",""Prop!$BQ$1:$CA""),11,0),iferror(vlookup(B25,importrange("""&amp;"https://docs.google.com/spreadsheets/d/1p53T2AuvvIqhP7Nf-bo3Uhj8cbKYRPpZdsrBv3x3bAQ/edit?resourcekey#gid=1321652304"",""Prop!$CB$1:$CL""),11,0),iferror(vlookup(B25,importrange(""https://docs.google.com/spreadsheets/d/1p53T2AuvvIqhP7Nf-bo3Uhj8cbKYRPpZdsrBv"&amp;"3x3bAQ/edit?resourcekey#gid=1321652304"",""Prop!$CM$1:$CX""),12,0),iferror(vlookup(B25,importrange(""https://docs.google.com/spreadsheets/d/1p53T2AuvvIqhP7Nf-bo3Uhj8cbKYRPpZdsrBv3x3bAQ/edit?resourcekey#gid=1321652304"",""Prop!$CY$1:$DI""),11,0)))))))))))"),"")</f>
        <v/>
      </c>
      <c r="R25" s="88" t="s">
        <v>1229</v>
      </c>
      <c r="S25" s="20" t="str">
        <f ca="1">IFERROR(__xludf.DUMMYFUNCTION("IFERROR(vlookup(B25,IMPORTRANGE(""https://docs.google.com/spreadsheets/d/1g_jfYYK_KeipEDNDUgqgrsxK94XiocfNQIcP-v1QVhI/edit?resourcekey#gid=233272945"",""Nilai!B:CT""),30,0),"" "")")," ")</f>
        <v xml:space="preserve"> </v>
      </c>
      <c r="T25" s="20" t="str">
        <f ca="1">IFERROR(__xludf.DUMMYFUNCTION("IFERROR(vlookup(B25,IMPORTRANGE(""https://docs.google.com/spreadsheets/d/1g_jfYYK_KeipEDNDUgqgrsxK94XiocfNQIcP-v1QVhI/edit?resourcekey#gid=233272945"",""Nilai!B:CT""),97,0),"" "")")," ")</f>
        <v xml:space="preserve"> </v>
      </c>
      <c r="U25" s="21" t="s">
        <v>804</v>
      </c>
      <c r="V25" s="16" t="s">
        <v>1230</v>
      </c>
      <c r="W25" s="23" t="s">
        <v>1246</v>
      </c>
      <c r="X25" s="19" t="b">
        <v>0</v>
      </c>
    </row>
    <row r="26" spans="1:24">
      <c r="A26" s="15">
        <v>24</v>
      </c>
      <c r="B26" s="15">
        <f ca="1">IFERROR(__xludf.DUMMYFUNCTION("""COMPUTED_VALUE"""),3936)</f>
        <v>3936</v>
      </c>
      <c r="C26" s="16" t="str">
        <f ca="1">IFERROR(__xludf.DUMMYFUNCTION("""COMPUTED_VALUE"""),"AHMAD AHLUL HIKAM")</f>
        <v>AHMAD AHLUL HIKAM</v>
      </c>
      <c r="D26" s="16" t="str">
        <f ca="1">IFERROR(__xludf.DUMMYFUNCTION("""COMPUTED_VALUE"""),"5022211104")</f>
        <v>5022211104</v>
      </c>
      <c r="E26" s="16" t="str">
        <f ca="1">IFERROR(__xludf.DUMMYFUNCTION("""COMPUTED_VALUE"""),"Departemen Teknik Elektro")</f>
        <v>Departemen Teknik Elektro</v>
      </c>
      <c r="F26" s="16" t="str">
        <f ca="1">IFERROR(__xludf.DUMMYFUNCTION("""COMPUTED_VALUE"""),"Shape Of Voice Aplikasi Penerjemah Bahasa Isyarat Berbasis Deep Learning untuk Mempermudah Komunikasi Penyandang Bisu Tuli dengan Masyarakat Umum")</f>
        <v>Shape Of Voice Aplikasi Penerjemah Bahasa Isyarat Berbasis Deep Learning untuk Mempermudah Komunikasi Penyandang Bisu Tuli dengan Masyarakat Umum</v>
      </c>
      <c r="G26" s="16" t="str">
        <f ca="1">IFERROR(__xludf.DUMMYFUNCTION("""COMPUTED_VALUE"""),"Dr. Dra. Kartika Fithriasari, M.Si.")</f>
        <v>Dr. Dra. Kartika Fithriasari, M.Si.</v>
      </c>
      <c r="H26" s="16" t="str">
        <f ca="1">IFERROR(__xludf.DUMMYFUNCTION("""COMPUTED_VALUE"""),"Sefi Novendra Patrialova, S.Si., M.T")</f>
        <v>Sefi Novendra Patrialova, S.Si., M.T</v>
      </c>
      <c r="I26" s="16" t="str">
        <f ca="1">IFERROR(__xludf.DUMMYFUNCTION("""COMPUTED_VALUE"""),"Putu Gde Ariastita, S.T., M.T.")</f>
        <v>Putu Gde Ariastita, S.T., M.T.</v>
      </c>
      <c r="J26" s="16"/>
      <c r="K26" s="17" t="s">
        <v>1242</v>
      </c>
      <c r="L26" s="23" t="s">
        <v>1244</v>
      </c>
      <c r="M26" s="19" t="b">
        <v>0</v>
      </c>
      <c r="N26" s="19" t="b">
        <v>0</v>
      </c>
      <c r="O26" s="1" t="s">
        <v>1245</v>
      </c>
      <c r="P26" s="7" t="str">
        <f ca="1">IFERROR(__xludf.DUMMYFUNCTION("iferror(vlookup(B26,importrange(""https://docs.google.com/spreadsheets/d/1boHyJQ4e2FU0QG8MHwEi6qjX4hvZWVCHcFfXjq7bbMc/edit?resourcekey#gid=923248883"",""Prop!$C$1:$M""),12,0),IFERROR(vlookup(B26,importrange(""https://docs.google.com/spreadsheets/d/1boHyJQ"&amp;"4e2FU0QG8MHwEi6qjX4hvZWVCHcFfXjq7bbMc/edit?resourcekey#gid=923248883"",""Prop!$N$1:$X""),11,0),iferror(vlookup(B26,importrange(""https://docs.google.com/spreadsheets/d/1boHyJQ4e2FU0QG8MHwEi6qjX4hvZWVCHcFfXjq7bbMc/edit?resourcekey#gid=923248883"",""Prop!$Y"&amp;"$1:$AI""),11,0),iferror(vlookup(B26,importrange(""https://docs.google.com/spreadsheets/d/1boHyJQ4e2FU0QG8MHwEi6qjX4hvZWVCHcFfXjq7bbMc/edit?resourcekey#gid=923248883"",""Prop!$AJ$1:$AT""),11,0),iferror(vlookup(B26,importrange(""https://docs.google.com/spre"&amp;"adsheets/d/1boHyJQ4e2FU0QG8MHwEi6qjX4hvZWVCHcFfXjq7bbMc/edit?resourcekey#gid=923248883"",""Prop!$AU$1:$BE""),11,0),iferror(vlookup(B26,importrange(""https://docs.google.com/spreadsheets/d/1boHyJQ4e2FU0QG8MHwEi6qjX4hvZWVCHcFfXjq7bbMc/edit?resourcekey#gid=9"&amp;"23248883"",""Prop!$BF$1:$BP""),11,0),iferror(vlookup(B26,importrange(""https://docs.google.com/spreadsheets/d/1boHyJQ4e2FU0QG8MHwEi6qjX4hvZWVCHcFfXjq7bbMc/edit?resourcekey#gid=923248883"",""Prop!$BQ$1:$CA""),11,0),iferror(vlookup(B26,importrange(""https:/"&amp;"/docs.google.com/spreadsheets/d/1boHyJQ4e2FU0QG8MHwEi6qjX4hvZWVCHcFfXjq7bbMc/edit?resourcekey#gid=923248883"",""Prop!$CB$1:$CL""),11,0),iferror(vlookup(B26,importrange(""https://docs.google.com/spreadsheets/d/1boHyJQ4e2FU0QG8MHwEi6qjX4hvZWVCHcFfXjq7bbMc/e"&amp;"dit?resourcekey#gid=923248883"",""Prop!$CM$1:$CX""),12,0),iferror(vlookup(B26,importrange(""https://docs.google.com/spreadsheets/d/1boHyJQ4e2FU0QG8MHwEi6qjX4hvZWVCHcFfXjq7bbMc/edit?resourcekey#gid=923248883"",""Prop!$CV$1:$DI""),11,0)))))))))))"),"https://drive.google.com/open?id=1p0HJTLUY-JlPhbnZSrD4tmnA9BuT10Le")</f>
        <v>https://drive.google.com/open?id=1p0HJTLUY-JlPhbnZSrD4tmnA9BuT10Le</v>
      </c>
      <c r="Q26" s="7" t="str">
        <f ca="1">IFERROR(__xludf.DUMMYFUNCTION("iferror(vlookup(B26,importrange(""https://docs.google.com/spreadsheets/d/1p53T2AuvvIqhP7Nf-bo3Uhj8cbKYRPpZdsrBv3x3bAQ/edit?resourcekey#gid=1321652304"",""Prop!$C$1:$M""),11,0),IFERROR(vlookup(B26,importrange(""https://docs.google.com/spreadsheets/d/1p53T2"&amp;"AuvvIqhP7Nf-bo3Uhj8cbKYRPpZdsrBv3x3bAQ/edit?resourcekey#gid=1321652304"",""Prop!$N$1:$X""),11,0),iferror(vlookup(B26,importrange(""https://docs.google.com/spreadsheets/d/1p53T2AuvvIqhP7Nf-bo3Uhj8cbKYRPpZdsrBv3x3bAQ/edit?resourcekey#gid=1321652304"",""Prop"&amp;"!$Y$1:$AI""),11,0),iferror(vlookup(B26,importrange(""https://docs.google.com/spreadsheets/d/1p53T2AuvvIqhP7Nf-bo3Uhj8cbKYRPpZdsrBv3x3bAQ/edit?resourcekey#gid=1321652304"",""Prop!$AJ$1:$AT""),11,0),iferror(vlookup(B26,importrange(""https://docs.google.com/"&amp;"spreadsheets/d/1p53T2AuvvIqhP7Nf-bo3Uhj8cbKYRPpZdsrBv3x3bAQ/edit?resourcekey#gid=1321652304"",""Prop!$AU$1:$BE""),11,0),iferror(vlookup(B26,importrange(""https://docs.google.com/spreadsheets/d/1p53T2AuvvIqhP7Nf-bo3Uhj8cbKYRPpZdsrBv3x3bAQ/edit?resourcekey#"&amp;"gid=1321652304"",""Prop!$BF$1:$BP""),11,0),iferror(vlookup(B26,importrange(""https://docs.google.com/spreadsheets/d/1p53T2AuvvIqhP7Nf-bo3Uhj8cbKYRPpZdsrBv3x3bAQ/edit?resourcekey#gid=1321652304"",""Prop!$BQ$1:$CA""),11,0),iferror(vlookup(B26,importrange("""&amp;"https://docs.google.com/spreadsheets/d/1p53T2AuvvIqhP7Nf-bo3Uhj8cbKYRPpZdsrBv3x3bAQ/edit?resourcekey#gid=1321652304"",""Prop!$CB$1:$CL""),11,0),iferror(vlookup(B26,importrange(""https://docs.google.com/spreadsheets/d/1p53T2AuvvIqhP7Nf-bo3Uhj8cbKYRPpZdsrBv"&amp;"3x3bAQ/edit?resourcekey#gid=1321652304"",""Prop!$CM$1:$CX""),12,0),iferror(vlookup(B26,importrange(""https://docs.google.com/spreadsheets/d/1p53T2AuvvIqhP7Nf-bo3Uhj8cbKYRPpZdsrBv3x3bAQ/edit?resourcekey#gid=1321652304"",""Prop!$CY$1:$DI""),11,0)))))))))))"),"https://drive.google.com/open?id=1p9ij_v8RHuVEyNlGt17w0jiNQP6yR_wD")</f>
        <v>https://drive.google.com/open?id=1p9ij_v8RHuVEyNlGt17w0jiNQP6yR_wD</v>
      </c>
      <c r="R26" s="88" t="s">
        <v>1229</v>
      </c>
      <c r="S26" s="20" t="str">
        <f ca="1">IFERROR(__xludf.DUMMYFUNCTION("IFERROR(vlookup(B26,IMPORTRANGE(""https://docs.google.com/spreadsheets/d/1g_jfYYK_KeipEDNDUgqgrsxK94XiocfNQIcP-v1QVhI/edit?resourcekey#gid=233272945"",""Nilai!B:CT""),30,0),"" "")"),"anggaran dana blm dituliskan dari institusi lain meski nol. di bab 2 perbandingan dengan teknologi yg sudah ada mestinya SOV ga usah dimasukkan krn dia blm dibuat. margin dan tata letak mulai 3.3.1 diperbaiki, mepet kiri. tabel 2.1 masih kuning2, dicek ke"&amp;"mbali. justifikasi anggaran blm sesuai larangan2 yg ada di pedoman")</f>
        <v>anggaran dana blm dituliskan dari institusi lain meski nol. di bab 2 perbandingan dengan teknologi yg sudah ada mestinya SOV ga usah dimasukkan krn dia blm dibuat. margin dan tata letak mulai 3.3.1 diperbaiki, mepet kiri. tabel 2.1 masih kuning2, dicek kembali. justifikasi anggaran blm sesuai larangan2 yg ada di pedoman</v>
      </c>
      <c r="T26" s="20" t="str">
        <f ca="1">IFERROR(__xludf.DUMMYFUNCTION("IFERROR(vlookup(B26,IMPORTRANGE(""https://docs.google.com/spreadsheets/d/1g_jfYYK_KeipEDNDUgqgrsxK94XiocfNQIcP-v1QVhI/edit?resourcekey#gid=233272945"",""Nilai!B:CT""),97,0),"" "")"),"LAYAK UPLOAD KE SIMBELMAWA DENGAN REVISI")</f>
        <v>LAYAK UPLOAD KE SIMBELMAWA DENGAN REVISI</v>
      </c>
      <c r="U26" s="21" t="s">
        <v>804</v>
      </c>
      <c r="V26" s="16" t="s">
        <v>1230</v>
      </c>
      <c r="W26" s="23" t="s">
        <v>1246</v>
      </c>
      <c r="X26" s="19" t="b">
        <v>1</v>
      </c>
    </row>
    <row r="27" spans="1:24">
      <c r="A27" s="15">
        <v>25</v>
      </c>
      <c r="B27" s="15">
        <f ca="1">IFERROR(__xludf.DUMMYFUNCTION("""COMPUTED_VALUE"""),2986)</f>
        <v>2986</v>
      </c>
      <c r="C27" s="16" t="str">
        <f ca="1">IFERROR(__xludf.DUMMYFUNCTION("""COMPUTED_VALUE"""),"ALTHOF AKHMADI")</f>
        <v>ALTHOF AKHMADI</v>
      </c>
      <c r="D27" s="16" t="str">
        <f ca="1">IFERROR(__xludf.DUMMYFUNCTION("""COMPUTED_VALUE"""),"5010201110")</f>
        <v>5010201110</v>
      </c>
      <c r="E27" s="16" t="str">
        <f ca="1">IFERROR(__xludf.DUMMYFUNCTION("""COMPUTED_VALUE"""),"Departemen Teknik Sistem dan Industri")</f>
        <v>Departemen Teknik Sistem dan Industri</v>
      </c>
      <c r="F27" s="16" t="str">
        <f ca="1">IFERROR(__xludf.DUMMYFUNCTION("""COMPUTED_VALUE"""),"A-MPLANG MAKER: ALAT PEMBUAT DAN PEMOTONG ADONAN KERUPUK AMPLANG OTOMATIS GUNA MENINGKATKAN EFEKTIVITAS PROSES PRODUKSI ")</f>
        <v xml:space="preserve">A-MPLANG MAKER: ALAT PEMBUAT DAN PEMOTONG ADONAN KERUPUK AMPLANG OTOMATIS GUNA MENINGKATKAN EFEKTIVITAS PROSES PRODUKSI </v>
      </c>
      <c r="G27" s="16" t="str">
        <f ca="1">IFERROR(__xludf.DUMMYFUNCTION("""COMPUTED_VALUE"""),"Nani Kurniati, S.T., M.T., Ph.D.")</f>
        <v>Nani Kurniati, S.T., M.T., Ph.D.</v>
      </c>
      <c r="H27" s="16" t="str">
        <f ca="1">IFERROR(__xludf.DUMMYFUNCTION("""COMPUTED_VALUE"""),"Eko Agus Suprayitno, S.Si., M.T.")</f>
        <v>Eko Agus Suprayitno, S.Si., M.T.</v>
      </c>
      <c r="I27" s="16" t="str">
        <f ca="1">IFERROR(__xludf.DUMMYFUNCTION("""COMPUTED_VALUE"""),"Dr. Eng. Hosta Ardhyananta, S.T., M.Sc.")</f>
        <v>Dr. Eng. Hosta Ardhyananta, S.T., M.Sc.</v>
      </c>
      <c r="J27" s="16"/>
      <c r="K27" s="17" t="s">
        <v>1242</v>
      </c>
      <c r="L27" s="23" t="s">
        <v>1244</v>
      </c>
      <c r="M27" s="19" t="b">
        <v>0</v>
      </c>
      <c r="N27" s="19" t="b">
        <v>0</v>
      </c>
      <c r="O27" s="1" t="s">
        <v>1245</v>
      </c>
      <c r="P27" s="7" t="str">
        <f ca="1">IFERROR(__xludf.DUMMYFUNCTION("iferror(vlookup(B27,importrange(""https://docs.google.com/spreadsheets/d/1boHyJQ4e2FU0QG8MHwEi6qjX4hvZWVCHcFfXjq7bbMc/edit?resourcekey#gid=923248883"",""Prop!$C$1:$M""),12,0),IFERROR(vlookup(B27,importrange(""https://docs.google.com/spreadsheets/d/1boHyJQ"&amp;"4e2FU0QG8MHwEi6qjX4hvZWVCHcFfXjq7bbMc/edit?resourcekey#gid=923248883"",""Prop!$N$1:$X""),11,0),iferror(vlookup(B27,importrange(""https://docs.google.com/spreadsheets/d/1boHyJQ4e2FU0QG8MHwEi6qjX4hvZWVCHcFfXjq7bbMc/edit?resourcekey#gid=923248883"",""Prop!$Y"&amp;"$1:$AI""),11,0),iferror(vlookup(B27,importrange(""https://docs.google.com/spreadsheets/d/1boHyJQ4e2FU0QG8MHwEi6qjX4hvZWVCHcFfXjq7bbMc/edit?resourcekey#gid=923248883"",""Prop!$AJ$1:$AT""),11,0),iferror(vlookup(B27,importrange(""https://docs.google.com/spre"&amp;"adsheets/d/1boHyJQ4e2FU0QG8MHwEi6qjX4hvZWVCHcFfXjq7bbMc/edit?resourcekey#gid=923248883"",""Prop!$AU$1:$BE""),11,0),iferror(vlookup(B27,importrange(""https://docs.google.com/spreadsheets/d/1boHyJQ4e2FU0QG8MHwEi6qjX4hvZWVCHcFfXjq7bbMc/edit?resourcekey#gid=9"&amp;"23248883"",""Prop!$BF$1:$BP""),11,0),iferror(vlookup(B27,importrange(""https://docs.google.com/spreadsheets/d/1boHyJQ4e2FU0QG8MHwEi6qjX4hvZWVCHcFfXjq7bbMc/edit?resourcekey#gid=923248883"",""Prop!$BQ$1:$CA""),11,0),iferror(vlookup(B27,importrange(""https:/"&amp;"/docs.google.com/spreadsheets/d/1boHyJQ4e2FU0QG8MHwEi6qjX4hvZWVCHcFfXjq7bbMc/edit?resourcekey#gid=923248883"",""Prop!$CB$1:$CL""),11,0),iferror(vlookup(B27,importrange(""https://docs.google.com/spreadsheets/d/1boHyJQ4e2FU0QG8MHwEi6qjX4hvZWVCHcFfXjq7bbMc/e"&amp;"dit?resourcekey#gid=923248883"",""Prop!$CM$1:$CX""),12,0),iferror(vlookup(B27,importrange(""https://docs.google.com/spreadsheets/d/1boHyJQ4e2FU0QG8MHwEi6qjX4hvZWVCHcFfXjq7bbMc/edit?resourcekey#gid=923248883"",""Prop!$CV$1:$DI""),11,0)))))))))))"),"https://drive.google.com/open?id=1w9A5yoCfxp5gyMz3yb_vPMGrCZqyn9bW")</f>
        <v>https://drive.google.com/open?id=1w9A5yoCfxp5gyMz3yb_vPMGrCZqyn9bW</v>
      </c>
      <c r="Q27" s="7" t="str">
        <f ca="1">IFERROR(__xludf.DUMMYFUNCTION("iferror(vlookup(B27,importrange(""https://docs.google.com/spreadsheets/d/1p53T2AuvvIqhP7Nf-bo3Uhj8cbKYRPpZdsrBv3x3bAQ/edit?resourcekey#gid=1321652304"",""Prop!$C$1:$M""),11,0),IFERROR(vlookup(B27,importrange(""https://docs.google.com/spreadsheets/d/1p53T2"&amp;"AuvvIqhP7Nf-bo3Uhj8cbKYRPpZdsrBv3x3bAQ/edit?resourcekey#gid=1321652304"",""Prop!$N$1:$X""),11,0),iferror(vlookup(B27,importrange(""https://docs.google.com/spreadsheets/d/1p53T2AuvvIqhP7Nf-bo3Uhj8cbKYRPpZdsrBv3x3bAQ/edit?resourcekey#gid=1321652304"",""Prop"&amp;"!$Y$1:$AI""),11,0),iferror(vlookup(B27,importrange(""https://docs.google.com/spreadsheets/d/1p53T2AuvvIqhP7Nf-bo3Uhj8cbKYRPpZdsrBv3x3bAQ/edit?resourcekey#gid=1321652304"",""Prop!$AJ$1:$AT""),11,0),iferror(vlookup(B27,importrange(""https://docs.google.com/"&amp;"spreadsheets/d/1p53T2AuvvIqhP7Nf-bo3Uhj8cbKYRPpZdsrBv3x3bAQ/edit?resourcekey#gid=1321652304"",""Prop!$AU$1:$BE""),11,0),iferror(vlookup(B27,importrange(""https://docs.google.com/spreadsheets/d/1p53T2AuvvIqhP7Nf-bo3Uhj8cbKYRPpZdsrBv3x3bAQ/edit?resourcekey#"&amp;"gid=1321652304"",""Prop!$BF$1:$BP""),11,0),iferror(vlookup(B27,importrange(""https://docs.google.com/spreadsheets/d/1p53T2AuvvIqhP7Nf-bo3Uhj8cbKYRPpZdsrBv3x3bAQ/edit?resourcekey#gid=1321652304"",""Prop!$BQ$1:$CA""),11,0),iferror(vlookup(B27,importrange("""&amp;"https://docs.google.com/spreadsheets/d/1p53T2AuvvIqhP7Nf-bo3Uhj8cbKYRPpZdsrBv3x3bAQ/edit?resourcekey#gid=1321652304"",""Prop!$CB$1:$CL""),11,0),iferror(vlookup(B27,importrange(""https://docs.google.com/spreadsheets/d/1p53T2AuvvIqhP7Nf-bo3Uhj8cbKYRPpZdsrBv"&amp;"3x3bAQ/edit?resourcekey#gid=1321652304"",""Prop!$CM$1:$CX""),12,0),iferror(vlookup(B27,importrange(""https://docs.google.com/spreadsheets/d/1p53T2AuvvIqhP7Nf-bo3Uhj8cbKYRPpZdsrBv3x3bAQ/edit?resourcekey#gid=1321652304"",""Prop!$CY$1:$DI""),11,0)))))))))))"),"https://drive.google.com/open?id=1QYbQlgyRigvnHaBDUIDx_bpQlhq-rpGf")</f>
        <v>https://drive.google.com/open?id=1QYbQlgyRigvnHaBDUIDx_bpQlhq-rpGf</v>
      </c>
      <c r="R27" s="88" t="s">
        <v>1229</v>
      </c>
      <c r="S27" s="20" t="str">
        <f ca="1">IFERROR(__xludf.DUMMYFUNCTION("IFERROR(vlookup(B27,IMPORTRANGE(""https://docs.google.com/spreadsheets/d/1g_jfYYK_KeipEDNDUgqgrsxK94XiocfNQIcP-v1QVhI/edit?resourcekey#gid=233272945"",""Nilai!B:CT""),30,0),"" "")"),"tidak direvisi, sepetinya tdk ikut bikom atau son. ")</f>
        <v xml:space="preserve">tidak direvisi, sepetinya tdk ikut bikom atau son. </v>
      </c>
      <c r="T27" s="20" t="str">
        <f ca="1">IFERROR(__xludf.DUMMYFUNCTION("IFERROR(vlookup(B27,IMPORTRANGE(""https://docs.google.com/spreadsheets/d/1g_jfYYK_KeipEDNDUgqgrsxK94XiocfNQIcP-v1QVhI/edit?resourcekey#gid=233272945"",""Nilai!B:CT""),97,0),"" "")"),"TIDAK LAYAK UPLOAD KE SIMBELMAWA")</f>
        <v>TIDAK LAYAK UPLOAD KE SIMBELMAWA</v>
      </c>
      <c r="U27" s="21" t="s">
        <v>804</v>
      </c>
      <c r="V27" s="16" t="s">
        <v>1230</v>
      </c>
      <c r="W27" s="23" t="s">
        <v>1246</v>
      </c>
      <c r="X27" s="19" t="b">
        <v>0</v>
      </c>
    </row>
    <row r="28" spans="1:24">
      <c r="A28" s="15">
        <v>26</v>
      </c>
      <c r="B28" s="15">
        <f ca="1">IFERROR(__xludf.DUMMYFUNCTION("""COMPUTED_VALUE"""),4156)</f>
        <v>4156</v>
      </c>
      <c r="C28" s="16" t="str">
        <f ca="1">IFERROR(__xludf.DUMMYFUNCTION("""COMPUTED_VALUE"""),"ROGANDA DIMAS ARIZA SIHOMBING")</f>
        <v>ROGANDA DIMAS ARIZA SIHOMBING</v>
      </c>
      <c r="D28" s="16" t="str">
        <f ca="1">IFERROR(__xludf.DUMMYFUNCTION("""COMPUTED_VALUE"""),"04211840000093")</f>
        <v>04211840000093</v>
      </c>
      <c r="E28" s="16" t="str">
        <f ca="1">IFERROR(__xludf.DUMMYFUNCTION("""COMPUTED_VALUE"""),"Departemen Teknik Sistem Perkapalan")</f>
        <v>Departemen Teknik Sistem Perkapalan</v>
      </c>
      <c r="F28" s="16" t="str">
        <f ca="1">IFERROR(__xludf.DUMMYFUNCTION("""COMPUTED_VALUE"""),"Modifikasi dan Implementasi Algoritma A star dalam Penentuan Rute Pelayaran Berbasis Aplikasi untuk Kemajuan Teknologi Kapal Otonom di Indonesia")</f>
        <v>Modifikasi dan Implementasi Algoritma A star dalam Penentuan Rute Pelayaran Berbasis Aplikasi untuk Kemajuan Teknologi Kapal Otonom di Indonesia</v>
      </c>
      <c r="G28" s="16" t="str">
        <f ca="1">IFERROR(__xludf.DUMMYFUNCTION("""COMPUTED_VALUE"""),"Indra Ranu Kusuma, S.T., M.Sc.")</f>
        <v>Indra Ranu Kusuma, S.T., M.Sc.</v>
      </c>
      <c r="H28" s="16" t="str">
        <f ca="1">IFERROR(__xludf.DUMMYFUNCTION("""COMPUTED_VALUE"""),"Mohammad Khoirul Effendi, S.T., M.Sc.Eng., Ph.D.")</f>
        <v>Mohammad Khoirul Effendi, S.T., M.Sc.Eng., Ph.D.</v>
      </c>
      <c r="I28" s="16" t="str">
        <f ca="1">IFERROR(__xludf.DUMMYFUNCTION("""COMPUTED_VALUE"""),"Azzah Dyah Pramata, S.T., M.T., M.Eng., Ph.D.")</f>
        <v>Azzah Dyah Pramata, S.T., M.T., M.Eng., Ph.D.</v>
      </c>
      <c r="J28" s="16"/>
      <c r="K28" s="17" t="s">
        <v>1247</v>
      </c>
      <c r="L28" s="23" t="s">
        <v>1244</v>
      </c>
      <c r="M28" s="19" t="b">
        <v>0</v>
      </c>
      <c r="N28" s="19" t="b">
        <v>0</v>
      </c>
      <c r="O28" s="1" t="s">
        <v>1245</v>
      </c>
      <c r="P28" s="7" t="str">
        <f ca="1">IFERROR(__xludf.DUMMYFUNCTION("iferror(vlookup(B28,importrange(""https://docs.google.com/spreadsheets/d/1boHyJQ4e2FU0QG8MHwEi6qjX4hvZWVCHcFfXjq7bbMc/edit?resourcekey#gid=923248883"",""Prop!$C$1:$M""),12,0),IFERROR(vlookup(B28,importrange(""https://docs.google.com/spreadsheets/d/1boHyJQ"&amp;"4e2FU0QG8MHwEi6qjX4hvZWVCHcFfXjq7bbMc/edit?resourcekey#gid=923248883"",""Prop!$N$1:$X""),11,0),iferror(vlookup(B28,importrange(""https://docs.google.com/spreadsheets/d/1boHyJQ4e2FU0QG8MHwEi6qjX4hvZWVCHcFfXjq7bbMc/edit?resourcekey#gid=923248883"",""Prop!$Y"&amp;"$1:$AI""),11,0),iferror(vlookup(B28,importrange(""https://docs.google.com/spreadsheets/d/1boHyJQ4e2FU0QG8MHwEi6qjX4hvZWVCHcFfXjq7bbMc/edit?resourcekey#gid=923248883"",""Prop!$AJ$1:$AT""),11,0),iferror(vlookup(B28,importrange(""https://docs.google.com/spre"&amp;"adsheets/d/1boHyJQ4e2FU0QG8MHwEi6qjX4hvZWVCHcFfXjq7bbMc/edit?resourcekey#gid=923248883"",""Prop!$AU$1:$BE""),11,0),iferror(vlookup(B28,importrange(""https://docs.google.com/spreadsheets/d/1boHyJQ4e2FU0QG8MHwEi6qjX4hvZWVCHcFfXjq7bbMc/edit?resourcekey#gid=9"&amp;"23248883"",""Prop!$BF$1:$BP""),11,0),iferror(vlookup(B28,importrange(""https://docs.google.com/spreadsheets/d/1boHyJQ4e2FU0QG8MHwEi6qjX4hvZWVCHcFfXjq7bbMc/edit?resourcekey#gid=923248883"",""Prop!$BQ$1:$CA""),11,0),iferror(vlookup(B28,importrange(""https:/"&amp;"/docs.google.com/spreadsheets/d/1boHyJQ4e2FU0QG8MHwEi6qjX4hvZWVCHcFfXjq7bbMc/edit?resourcekey#gid=923248883"",""Prop!$CB$1:$CL""),11,0),iferror(vlookup(B28,importrange(""https://docs.google.com/spreadsheets/d/1boHyJQ4e2FU0QG8MHwEi6qjX4hvZWVCHcFfXjq7bbMc/e"&amp;"dit?resourcekey#gid=923248883"",""Prop!$CM$1:$CX""),12,0),iferror(vlookup(B28,importrange(""https://docs.google.com/spreadsheets/d/1boHyJQ4e2FU0QG8MHwEi6qjX4hvZWVCHcFfXjq7bbMc/edit?resourcekey#gid=923248883"",""Prop!$CV$1:$DI""),11,0)))))))))))"),"https://drive.google.com/open?id=1DTN1UF-9cj4WB5yWDVpxKC6STpRzcAPb")</f>
        <v>https://drive.google.com/open?id=1DTN1UF-9cj4WB5yWDVpxKC6STpRzcAPb</v>
      </c>
      <c r="Q28" s="7" t="str">
        <f ca="1">IFERROR(__xludf.DUMMYFUNCTION("iferror(vlookup(B28,importrange(""https://docs.google.com/spreadsheets/d/1p53T2AuvvIqhP7Nf-bo3Uhj8cbKYRPpZdsrBv3x3bAQ/edit?resourcekey#gid=1321652304"",""Prop!$C$1:$M""),11,0),IFERROR(vlookup(B28,importrange(""https://docs.google.com/spreadsheets/d/1p53T2"&amp;"AuvvIqhP7Nf-bo3Uhj8cbKYRPpZdsrBv3x3bAQ/edit?resourcekey#gid=1321652304"",""Prop!$N$1:$X""),11,0),iferror(vlookup(B28,importrange(""https://docs.google.com/spreadsheets/d/1p53T2AuvvIqhP7Nf-bo3Uhj8cbKYRPpZdsrBv3x3bAQ/edit?resourcekey#gid=1321652304"",""Prop"&amp;"!$Y$1:$AI""),11,0),iferror(vlookup(B28,importrange(""https://docs.google.com/spreadsheets/d/1p53T2AuvvIqhP7Nf-bo3Uhj8cbKYRPpZdsrBv3x3bAQ/edit?resourcekey#gid=1321652304"",""Prop!$AJ$1:$AT""),11,0),iferror(vlookup(B28,importrange(""https://docs.google.com/"&amp;"spreadsheets/d/1p53T2AuvvIqhP7Nf-bo3Uhj8cbKYRPpZdsrBv3x3bAQ/edit?resourcekey#gid=1321652304"",""Prop!$AU$1:$BE""),11,0),iferror(vlookup(B28,importrange(""https://docs.google.com/spreadsheets/d/1p53T2AuvvIqhP7Nf-bo3Uhj8cbKYRPpZdsrBv3x3bAQ/edit?resourcekey#"&amp;"gid=1321652304"",""Prop!$BF$1:$BP""),11,0),iferror(vlookup(B28,importrange(""https://docs.google.com/spreadsheets/d/1p53T2AuvvIqhP7Nf-bo3Uhj8cbKYRPpZdsrBv3x3bAQ/edit?resourcekey#gid=1321652304"",""Prop!$BQ$1:$CA""),11,0),iferror(vlookup(B28,importrange("""&amp;"https://docs.google.com/spreadsheets/d/1p53T2AuvvIqhP7Nf-bo3Uhj8cbKYRPpZdsrBv3x3bAQ/edit?resourcekey#gid=1321652304"",""Prop!$CB$1:$CL""),11,0),iferror(vlookup(B28,importrange(""https://docs.google.com/spreadsheets/d/1p53T2AuvvIqhP7Nf-bo3Uhj8cbKYRPpZdsrBv"&amp;"3x3bAQ/edit?resourcekey#gid=1321652304"",""Prop!$CM$1:$CX""),12,0),iferror(vlookup(B28,importrange(""https://docs.google.com/spreadsheets/d/1p53T2AuvvIqhP7Nf-bo3Uhj8cbKYRPpZdsrBv3x3bAQ/edit?resourcekey#gid=1321652304"",""Prop!$CY$1:$DI""),11,0)))))))))))"),"https://drive.google.com/open?id=1gEq1dyQ2LmWjPLuQ2JuhcMiPqCqkcSFw")</f>
        <v>https://drive.google.com/open?id=1gEq1dyQ2LmWjPLuQ2JuhcMiPqCqkcSFw</v>
      </c>
      <c r="R28" s="88" t="s">
        <v>1229</v>
      </c>
      <c r="S28" s="20" t="str">
        <f ca="1">IFERROR(__xludf.DUMMYFUNCTION("IFERROR(vlookup(B28,IMPORTRANGE(""https://docs.google.com/spreadsheets/d/1g_jfYYK_KeipEDNDUgqgrsxK94XiocfNQIcP-v1QVhI/edit?resourcekey#gid=233272945"",""Nilai!B:CT""),30,0),"" "")"),"REVISI MAJOR - Deskripsi tentang produk serta keunggulannya tidak nampak jelas, proposal ini lebih seperti tugas akhir dan memang berasal dari tugas akhir, serta penggunaan kutipan masih kurang ")</f>
        <v xml:space="preserve">REVISI MAJOR - Deskripsi tentang produk serta keunggulannya tidak nampak jelas, proposal ini lebih seperti tugas akhir dan memang berasal dari tugas akhir, serta penggunaan kutipan masih kurang </v>
      </c>
      <c r="T28" s="20" t="str">
        <f ca="1">IFERROR(__xludf.DUMMYFUNCTION("IFERROR(vlookup(B28,IMPORTRANGE(""https://docs.google.com/spreadsheets/d/1g_jfYYK_KeipEDNDUgqgrsxK94XiocfNQIcP-v1QVhI/edit?resourcekey#gid=233272945"",""Nilai!B:CT""),97,0),"" "")"),"LAYAK UPLOAD KE SIMBELMAWA DENGAN REVISI")</f>
        <v>LAYAK UPLOAD KE SIMBELMAWA DENGAN REVISI</v>
      </c>
      <c r="U28" s="21" t="s">
        <v>804</v>
      </c>
      <c r="V28" s="16" t="s">
        <v>1230</v>
      </c>
      <c r="W28" s="23" t="s">
        <v>1246</v>
      </c>
      <c r="X28" s="19" t="b">
        <v>0</v>
      </c>
    </row>
    <row r="29" spans="1:24">
      <c r="A29" s="15">
        <v>27</v>
      </c>
      <c r="B29" s="15">
        <f ca="1">IFERROR(__xludf.DUMMYFUNCTION("""COMPUTED_VALUE"""),3271)</f>
        <v>3271</v>
      </c>
      <c r="C29" s="16" t="str">
        <f ca="1">IFERROR(__xludf.DUMMYFUNCTION("""COMPUTED_VALUE"""),"NAUFAL JODY MANRA")</f>
        <v>NAUFAL JODY MANRA</v>
      </c>
      <c r="D29" s="16" t="str">
        <f ca="1">IFERROR(__xludf.DUMMYFUNCTION("""COMPUTED_VALUE"""),"07311940000028")</f>
        <v>07311940000028</v>
      </c>
      <c r="E29" s="16" t="str">
        <f ca="1">IFERROR(__xludf.DUMMYFUNCTION("""COMPUTED_VALUE"""),"Departemen Teknik Biomedik")</f>
        <v>Departemen Teknik Biomedik</v>
      </c>
      <c r="F29" s="16" t="str">
        <f ca="1">IFERROR(__xludf.DUMMYFUNCTION("""COMPUTED_VALUE"""),"EyesMap: Navigation System with Augmented Reality and IoT Technology")</f>
        <v>EyesMap: Navigation System with Augmented Reality and IoT Technology</v>
      </c>
      <c r="G29" s="16" t="str">
        <f ca="1">IFERROR(__xludf.DUMMYFUNCTION("""COMPUTED_VALUE"""),"Muhammad Hilman Fatoni, S.T., M.T.")</f>
        <v>Muhammad Hilman Fatoni, S.T., M.T.</v>
      </c>
      <c r="H29" s="16" t="str">
        <f ca="1">IFERROR(__xludf.DUMMYFUNCTION("""COMPUTED_VALUE"""),"Mohammad Khoirul Effendi, S.T., M.Sc.Eng., Ph.D.")</f>
        <v>Mohammad Khoirul Effendi, S.T., M.Sc.Eng., Ph.D.</v>
      </c>
      <c r="I29" s="16" t="str">
        <f ca="1">IFERROR(__xludf.DUMMYFUNCTION("""COMPUTED_VALUE"""),"Dr. Dendy Satrio, S.ST.")</f>
        <v>Dr. Dendy Satrio, S.ST.</v>
      </c>
      <c r="J29" s="16"/>
      <c r="K29" s="17" t="s">
        <v>1247</v>
      </c>
      <c r="L29" s="23" t="s">
        <v>1248</v>
      </c>
      <c r="M29" s="19" t="b">
        <v>0</v>
      </c>
      <c r="N29" s="19" t="b">
        <v>0</v>
      </c>
      <c r="O29" s="1" t="s">
        <v>1245</v>
      </c>
      <c r="P29" s="7" t="str">
        <f ca="1">IFERROR(__xludf.DUMMYFUNCTION("iferror(vlookup(B29,importrange(""https://docs.google.com/spreadsheets/d/1boHyJQ4e2FU0QG8MHwEi6qjX4hvZWVCHcFfXjq7bbMc/edit?resourcekey#gid=923248883"",""Prop!$C$1:$M""),12,0),IFERROR(vlookup(B29,importrange(""https://docs.google.com/spreadsheets/d/1boHyJQ"&amp;"4e2FU0QG8MHwEi6qjX4hvZWVCHcFfXjq7bbMc/edit?resourcekey#gid=923248883"",""Prop!$N$1:$X""),11,0),iferror(vlookup(B29,importrange(""https://docs.google.com/spreadsheets/d/1boHyJQ4e2FU0QG8MHwEi6qjX4hvZWVCHcFfXjq7bbMc/edit?resourcekey#gid=923248883"",""Prop!$Y"&amp;"$1:$AI""),11,0),iferror(vlookup(B29,importrange(""https://docs.google.com/spreadsheets/d/1boHyJQ4e2FU0QG8MHwEi6qjX4hvZWVCHcFfXjq7bbMc/edit?resourcekey#gid=923248883"",""Prop!$AJ$1:$AT""),11,0),iferror(vlookup(B29,importrange(""https://docs.google.com/spre"&amp;"adsheets/d/1boHyJQ4e2FU0QG8MHwEi6qjX4hvZWVCHcFfXjq7bbMc/edit?resourcekey#gid=923248883"",""Prop!$AU$1:$BE""),11,0),iferror(vlookup(B29,importrange(""https://docs.google.com/spreadsheets/d/1boHyJQ4e2FU0QG8MHwEi6qjX4hvZWVCHcFfXjq7bbMc/edit?resourcekey#gid=9"&amp;"23248883"",""Prop!$BF$1:$BP""),11,0),iferror(vlookup(B29,importrange(""https://docs.google.com/spreadsheets/d/1boHyJQ4e2FU0QG8MHwEi6qjX4hvZWVCHcFfXjq7bbMc/edit?resourcekey#gid=923248883"",""Prop!$BQ$1:$CA""),11,0),iferror(vlookup(B29,importrange(""https:/"&amp;"/docs.google.com/spreadsheets/d/1boHyJQ4e2FU0QG8MHwEi6qjX4hvZWVCHcFfXjq7bbMc/edit?resourcekey#gid=923248883"",""Prop!$CB$1:$CL""),11,0),iferror(vlookup(B29,importrange(""https://docs.google.com/spreadsheets/d/1boHyJQ4e2FU0QG8MHwEi6qjX4hvZWVCHcFfXjq7bbMc/e"&amp;"dit?resourcekey#gid=923248883"",""Prop!$CM$1:$CX""),12,0),iferror(vlookup(B29,importrange(""https://docs.google.com/spreadsheets/d/1boHyJQ4e2FU0QG8MHwEi6qjX4hvZWVCHcFfXjq7bbMc/edit?resourcekey#gid=923248883"",""Prop!$CV$1:$DI""),11,0)))))))))))"),"https://drive.google.com/open?id=1kj3XQ-iTO5kYSYfL0Db40pb-NBvPWwkz")</f>
        <v>https://drive.google.com/open?id=1kj3XQ-iTO5kYSYfL0Db40pb-NBvPWwkz</v>
      </c>
      <c r="Q29" s="7" t="str">
        <f ca="1">IFERROR(__xludf.DUMMYFUNCTION("iferror(vlookup(B29,importrange(""https://docs.google.com/spreadsheets/d/1p53T2AuvvIqhP7Nf-bo3Uhj8cbKYRPpZdsrBv3x3bAQ/edit?resourcekey#gid=1321652304"",""Prop!$C$1:$M""),11,0),IFERROR(vlookup(B29,importrange(""https://docs.google.com/spreadsheets/d/1p53T2"&amp;"AuvvIqhP7Nf-bo3Uhj8cbKYRPpZdsrBv3x3bAQ/edit?resourcekey#gid=1321652304"",""Prop!$N$1:$X""),11,0),iferror(vlookup(B29,importrange(""https://docs.google.com/spreadsheets/d/1p53T2AuvvIqhP7Nf-bo3Uhj8cbKYRPpZdsrBv3x3bAQ/edit?resourcekey#gid=1321652304"",""Prop"&amp;"!$Y$1:$AI""),11,0),iferror(vlookup(B29,importrange(""https://docs.google.com/spreadsheets/d/1p53T2AuvvIqhP7Nf-bo3Uhj8cbKYRPpZdsrBv3x3bAQ/edit?resourcekey#gid=1321652304"",""Prop!$AJ$1:$AT""),11,0),iferror(vlookup(B29,importrange(""https://docs.google.com/"&amp;"spreadsheets/d/1p53T2AuvvIqhP7Nf-bo3Uhj8cbKYRPpZdsrBv3x3bAQ/edit?resourcekey#gid=1321652304"",""Prop!$AU$1:$BE""),11,0),iferror(vlookup(B29,importrange(""https://docs.google.com/spreadsheets/d/1p53T2AuvvIqhP7Nf-bo3Uhj8cbKYRPpZdsrBv3x3bAQ/edit?resourcekey#"&amp;"gid=1321652304"",""Prop!$BF$1:$BP""),11,0),iferror(vlookup(B29,importrange(""https://docs.google.com/spreadsheets/d/1p53T2AuvvIqhP7Nf-bo3Uhj8cbKYRPpZdsrBv3x3bAQ/edit?resourcekey#gid=1321652304"",""Prop!$BQ$1:$CA""),11,0),iferror(vlookup(B29,importrange("""&amp;"https://docs.google.com/spreadsheets/d/1p53T2AuvvIqhP7Nf-bo3Uhj8cbKYRPpZdsrBv3x3bAQ/edit?resourcekey#gid=1321652304"",""Prop!$CB$1:$CL""),11,0),iferror(vlookup(B29,importrange(""https://docs.google.com/spreadsheets/d/1p53T2AuvvIqhP7Nf-bo3Uhj8cbKYRPpZdsrBv"&amp;"3x3bAQ/edit?resourcekey#gid=1321652304"",""Prop!$CM$1:$CX""),12,0),iferror(vlookup(B29,importrange(""https://docs.google.com/spreadsheets/d/1p53T2AuvvIqhP7Nf-bo3Uhj8cbKYRPpZdsrBv3x3bAQ/edit?resourcekey#gid=1321652304"",""Prop!$CY$1:$DI""),11,0)))))))))))"),"https://drive.google.com/open?id=1OUEq45b75uUshB8wP9ORddwAwHFcw3-K")</f>
        <v>https://drive.google.com/open?id=1OUEq45b75uUshB8wP9ORddwAwHFcw3-K</v>
      </c>
      <c r="R29" s="88" t="s">
        <v>1229</v>
      </c>
      <c r="S29" s="20" t="str">
        <f ca="1">IFERROR(__xludf.DUMMYFUNCTION("IFERROR(vlookup(B29,IMPORTRANGE(""https://docs.google.com/spreadsheets/d/1g_jfYYK_KeipEDNDUgqgrsxK94XiocfNQIcP-v1QVhI/edit?resourcekey#gid=233272945"",""Nilai!B:CT""),30,0),"" "")"),"REVISI - Judul berbahasa inggris, penjelasan keunggulan produk kurang nampak di bab 1")</f>
        <v>REVISI - Judul berbahasa inggris, penjelasan keunggulan produk kurang nampak di bab 1</v>
      </c>
      <c r="T29" s="20" t="str">
        <f ca="1">IFERROR(__xludf.DUMMYFUNCTION("IFERROR(vlookup(B29,IMPORTRANGE(""https://docs.google.com/spreadsheets/d/1g_jfYYK_KeipEDNDUgqgrsxK94XiocfNQIcP-v1QVhI/edit?resourcekey#gid=233272945"",""Nilai!B:CT""),97,0),"" "")"),"LAYAK UPLOAD KE SIMBELMAWA DENGAN REVISI")</f>
        <v>LAYAK UPLOAD KE SIMBELMAWA DENGAN REVISI</v>
      </c>
      <c r="U29" s="21" t="s">
        <v>804</v>
      </c>
      <c r="V29" s="16" t="s">
        <v>1230</v>
      </c>
      <c r="W29" s="23" t="s">
        <v>1249</v>
      </c>
      <c r="X29" s="19" t="b">
        <v>1</v>
      </c>
    </row>
    <row r="30" spans="1:24">
      <c r="A30" s="15">
        <v>28</v>
      </c>
      <c r="B30" s="15">
        <f ca="1">IFERROR(__xludf.DUMMYFUNCTION("""COMPUTED_VALUE"""),2030)</f>
        <v>2030</v>
      </c>
      <c r="C30" s="16" t="str">
        <f ca="1">IFERROR(__xludf.DUMMYFUNCTION("""COMPUTED_VALUE"""),"Rafiarian")</f>
        <v>Rafiarian</v>
      </c>
      <c r="D30" s="16" t="str">
        <f ca="1">IFERROR(__xludf.DUMMYFUNCTION("""COMPUTED_VALUE"""),"5026211177")</f>
        <v>5026211177</v>
      </c>
      <c r="E30" s="16" t="str">
        <f ca="1">IFERROR(__xludf.DUMMYFUNCTION("""COMPUTED_VALUE"""),"Departemen Sistem Informasi")</f>
        <v>Departemen Sistem Informasi</v>
      </c>
      <c r="F30" s="16" t="str">
        <f ca="1">IFERROR(__xludf.DUMMYFUNCTION("""COMPUTED_VALUE"""),"SandBox : Inovasi Pengolah Limbah Kaca Menjadi Pasir Layak Guna Sebagai Solusi Permasalahan Abrasi Pantai
")</f>
        <v xml:space="preserve">SandBox : Inovasi Pengolah Limbah Kaca Menjadi Pasir Layak Guna Sebagai Solusi Permasalahan Abrasi Pantai
</v>
      </c>
      <c r="G30" s="16" t="str">
        <f ca="1">IFERROR(__xludf.DUMMYFUNCTION("""COMPUTED_VALUE"""),"Dr. Rarasmaya Indraswari, S.Kom.")</f>
        <v>Dr. Rarasmaya Indraswari, S.Kom.</v>
      </c>
      <c r="H30" s="16" t="str">
        <f ca="1">IFERROR(__xludf.DUMMYFUNCTION("""COMPUTED_VALUE"""),"Dr.Eng. Chastine Fatichah, S.Kom., M.Kom.")</f>
        <v>Dr.Eng. Chastine Fatichah, S.Kom., M.Kom.</v>
      </c>
      <c r="I30" s="16" t="str">
        <f ca="1">IFERROR(__xludf.DUMMYFUNCTION("""COMPUTED_VALUE"""),"Rudy Dikairono, ST., M.T.")</f>
        <v>Rudy Dikairono, ST., M.T.</v>
      </c>
      <c r="J30" s="16"/>
      <c r="K30" s="17" t="s">
        <v>1247</v>
      </c>
      <c r="L30" s="23" t="s">
        <v>1248</v>
      </c>
      <c r="M30" s="19" t="b">
        <v>0</v>
      </c>
      <c r="N30" s="19" t="b">
        <v>0</v>
      </c>
      <c r="O30" s="1" t="s">
        <v>1245</v>
      </c>
      <c r="P30" s="7" t="str">
        <f ca="1">IFERROR(__xludf.DUMMYFUNCTION("iferror(vlookup(B30,importrange(""https://docs.google.com/spreadsheets/d/1boHyJQ4e2FU0QG8MHwEi6qjX4hvZWVCHcFfXjq7bbMc/edit?resourcekey#gid=923248883"",""Prop!$C$1:$M""),12,0),IFERROR(vlookup(B30,importrange(""https://docs.google.com/spreadsheets/d/1boHyJQ"&amp;"4e2FU0QG8MHwEi6qjX4hvZWVCHcFfXjq7bbMc/edit?resourcekey#gid=923248883"",""Prop!$N$1:$X""),11,0),iferror(vlookup(B30,importrange(""https://docs.google.com/spreadsheets/d/1boHyJQ4e2FU0QG8MHwEi6qjX4hvZWVCHcFfXjq7bbMc/edit?resourcekey#gid=923248883"",""Prop!$Y"&amp;"$1:$AI""),11,0),iferror(vlookup(B30,importrange(""https://docs.google.com/spreadsheets/d/1boHyJQ4e2FU0QG8MHwEi6qjX4hvZWVCHcFfXjq7bbMc/edit?resourcekey#gid=923248883"",""Prop!$AJ$1:$AT""),11,0),iferror(vlookup(B30,importrange(""https://docs.google.com/spre"&amp;"adsheets/d/1boHyJQ4e2FU0QG8MHwEi6qjX4hvZWVCHcFfXjq7bbMc/edit?resourcekey#gid=923248883"",""Prop!$AU$1:$BE""),11,0),iferror(vlookup(B30,importrange(""https://docs.google.com/spreadsheets/d/1boHyJQ4e2FU0QG8MHwEi6qjX4hvZWVCHcFfXjq7bbMc/edit?resourcekey#gid=9"&amp;"23248883"",""Prop!$BF$1:$BP""),11,0),iferror(vlookup(B30,importrange(""https://docs.google.com/spreadsheets/d/1boHyJQ4e2FU0QG8MHwEi6qjX4hvZWVCHcFfXjq7bbMc/edit?resourcekey#gid=923248883"",""Prop!$BQ$1:$CA""),11,0),iferror(vlookup(B30,importrange(""https:/"&amp;"/docs.google.com/spreadsheets/d/1boHyJQ4e2FU0QG8MHwEi6qjX4hvZWVCHcFfXjq7bbMc/edit?resourcekey#gid=923248883"",""Prop!$CB$1:$CL""),11,0),iferror(vlookup(B30,importrange(""https://docs.google.com/spreadsheets/d/1boHyJQ4e2FU0QG8MHwEi6qjX4hvZWVCHcFfXjq7bbMc/e"&amp;"dit?resourcekey#gid=923248883"",""Prop!$CM$1:$CX""),12,0),iferror(vlookup(B30,importrange(""https://docs.google.com/spreadsheets/d/1boHyJQ4e2FU0QG8MHwEi6qjX4hvZWVCHcFfXjq7bbMc/edit?resourcekey#gid=923248883"",""Prop!$CV$1:$DI""),11,0)))))))))))"),"https://drive.google.com/open?id=1OoHZf6A1l5N7ju0eJYg_g9gZDKequKQ8")</f>
        <v>https://drive.google.com/open?id=1OoHZf6A1l5N7ju0eJYg_g9gZDKequKQ8</v>
      </c>
      <c r="Q30" s="7" t="str">
        <f ca="1">IFERROR(__xludf.DUMMYFUNCTION("iferror(vlookup(B30,importrange(""https://docs.google.com/spreadsheets/d/1p53T2AuvvIqhP7Nf-bo3Uhj8cbKYRPpZdsrBv3x3bAQ/edit?resourcekey#gid=1321652304"",""Prop!$C$1:$M""),11,0),IFERROR(vlookup(B30,importrange(""https://docs.google.com/spreadsheets/d/1p53T2"&amp;"AuvvIqhP7Nf-bo3Uhj8cbKYRPpZdsrBv3x3bAQ/edit?resourcekey#gid=1321652304"",""Prop!$N$1:$X""),11,0),iferror(vlookup(B30,importrange(""https://docs.google.com/spreadsheets/d/1p53T2AuvvIqhP7Nf-bo3Uhj8cbKYRPpZdsrBv3x3bAQ/edit?resourcekey#gid=1321652304"",""Prop"&amp;"!$Y$1:$AI""),11,0),iferror(vlookup(B30,importrange(""https://docs.google.com/spreadsheets/d/1p53T2AuvvIqhP7Nf-bo3Uhj8cbKYRPpZdsrBv3x3bAQ/edit?resourcekey#gid=1321652304"",""Prop!$AJ$1:$AT""),11,0),iferror(vlookup(B30,importrange(""https://docs.google.com/"&amp;"spreadsheets/d/1p53T2AuvvIqhP7Nf-bo3Uhj8cbKYRPpZdsrBv3x3bAQ/edit?resourcekey#gid=1321652304"",""Prop!$AU$1:$BE""),11,0),iferror(vlookup(B30,importrange(""https://docs.google.com/spreadsheets/d/1p53T2AuvvIqhP7Nf-bo3Uhj8cbKYRPpZdsrBv3x3bAQ/edit?resourcekey#"&amp;"gid=1321652304"",""Prop!$BF$1:$BP""),11,0),iferror(vlookup(B30,importrange(""https://docs.google.com/spreadsheets/d/1p53T2AuvvIqhP7Nf-bo3Uhj8cbKYRPpZdsrBv3x3bAQ/edit?resourcekey#gid=1321652304"",""Prop!$BQ$1:$CA""),11,0),iferror(vlookup(B30,importrange("""&amp;"https://docs.google.com/spreadsheets/d/1p53T2AuvvIqhP7Nf-bo3Uhj8cbKYRPpZdsrBv3x3bAQ/edit?resourcekey#gid=1321652304"",""Prop!$CB$1:$CL""),11,0),iferror(vlookup(B30,importrange(""https://docs.google.com/spreadsheets/d/1p53T2AuvvIqhP7Nf-bo3Uhj8cbKYRPpZdsrBv"&amp;"3x3bAQ/edit?resourcekey#gid=1321652304"",""Prop!$CM$1:$CX""),12,0),iferror(vlookup(B30,importrange(""https://docs.google.com/spreadsheets/d/1p53T2AuvvIqhP7Nf-bo3Uhj8cbKYRPpZdsrBv3x3bAQ/edit?resourcekey#gid=1321652304"",""Prop!$CY$1:$DI""),11,0)))))))))))"),"https://drive.google.com/open?id=1ScyEZ5Mzs28OPLvNNtqKLrcKr1fgt4tU")</f>
        <v>https://drive.google.com/open?id=1ScyEZ5Mzs28OPLvNNtqKLrcKr1fgt4tU</v>
      </c>
      <c r="R30" s="88" t="s">
        <v>1229</v>
      </c>
      <c r="S30" s="20" t="str">
        <f ca="1">IFERROR(__xludf.DUMMYFUNCTION("IFERROR(vlookup(B30,IMPORTRANGE(""https://docs.google.com/spreadsheets/d/1g_jfYYK_KeipEDNDUgqgrsxK94XiocfNQIcP-v1QVhI/edit?resourcekey#gid=233272945"",""Nilai!B:CT""),30,0),"" "")"),"MABA semua")</f>
        <v>MABA semua</v>
      </c>
      <c r="T30" s="20" t="str">
        <f ca="1">IFERROR(__xludf.DUMMYFUNCTION("IFERROR(vlookup(B30,IMPORTRANGE(""https://docs.google.com/spreadsheets/d/1g_jfYYK_KeipEDNDUgqgrsxK94XiocfNQIcP-v1QVhI/edit?resourcekey#gid=233272945"",""Nilai!B:CT""),97,0),"" "")"),"TIDAK LAYAK UPLOAD KE SIMBELMAWA")</f>
        <v>TIDAK LAYAK UPLOAD KE SIMBELMAWA</v>
      </c>
      <c r="U30" s="21" t="s">
        <v>577</v>
      </c>
      <c r="V30" s="16" t="s">
        <v>1230</v>
      </c>
      <c r="W30" s="23" t="s">
        <v>1249</v>
      </c>
      <c r="X30" s="19" t="b">
        <v>0</v>
      </c>
    </row>
    <row r="31" spans="1:24">
      <c r="A31" s="15">
        <v>29</v>
      </c>
      <c r="B31" s="15">
        <f ca="1">IFERROR(__xludf.DUMMYFUNCTION("""COMPUTED_VALUE"""),4002)</f>
        <v>4002</v>
      </c>
      <c r="C31" s="16" t="str">
        <f ca="1">IFERROR(__xludf.DUMMYFUNCTION("""COMPUTED_VALUE"""),"ZUFAR IRVING HARIS")</f>
        <v>ZUFAR IRVING HARIS</v>
      </c>
      <c r="D31" s="16" t="str">
        <f ca="1">IFERROR(__xludf.DUMMYFUNCTION("""COMPUTED_VALUE"""),"04111940000061")</f>
        <v>04111940000061</v>
      </c>
      <c r="E31" s="16" t="str">
        <f ca="1">IFERROR(__xludf.DUMMYFUNCTION("""COMPUTED_VALUE"""),"Departemen Teknik Perkapalan")</f>
        <v>Departemen Teknik Perkapalan</v>
      </c>
      <c r="F31" s="16" t="str">
        <f ca="1">IFERROR(__xludf.DUMMYFUNCTION("""COMPUTED_VALUE"""),"Omnidirectional Propulsion System for Smart Lifebuoys")</f>
        <v>Omnidirectional Propulsion System for Smart Lifebuoys</v>
      </c>
      <c r="G31" s="16" t="str">
        <f ca="1">IFERROR(__xludf.DUMMYFUNCTION("""COMPUTED_VALUE"""),"Danu Utama, S.T., M.T.")</f>
        <v>Danu Utama, S.T., M.T.</v>
      </c>
      <c r="H31" s="16" t="str">
        <f ca="1">IFERROR(__xludf.DUMMYFUNCTION("""COMPUTED_VALUE"""),"Sefi Novendra Patrialova, S.Si., M.T")</f>
        <v>Sefi Novendra Patrialova, S.Si., M.T</v>
      </c>
      <c r="I31" s="16" t="str">
        <f ca="1">IFERROR(__xludf.DUMMYFUNCTION("""COMPUTED_VALUE"""),"Safira Firdaus Mujiyanti, S.T., M.T.")</f>
        <v>Safira Firdaus Mujiyanti, S.T., M.T.</v>
      </c>
      <c r="J31" s="16"/>
      <c r="K31" s="17" t="s">
        <v>1247</v>
      </c>
      <c r="L31" s="23" t="s">
        <v>1248</v>
      </c>
      <c r="M31" s="19" t="b">
        <v>1</v>
      </c>
      <c r="N31" s="19" t="b">
        <v>1</v>
      </c>
      <c r="O31" s="1" t="s">
        <v>1245</v>
      </c>
      <c r="P31" s="7" t="str">
        <f ca="1">IFERROR(__xludf.DUMMYFUNCTION("iferror(vlookup(B31,importrange(""https://docs.google.com/spreadsheets/d/1boHyJQ4e2FU0QG8MHwEi6qjX4hvZWVCHcFfXjq7bbMc/edit?resourcekey#gid=923248883"",""Prop!$C$1:$M""),12,0),IFERROR(vlookup(B31,importrange(""https://docs.google.com/spreadsheets/d/1boHyJQ"&amp;"4e2FU0QG8MHwEi6qjX4hvZWVCHcFfXjq7bbMc/edit?resourcekey#gid=923248883"",""Prop!$N$1:$X""),11,0),iferror(vlookup(B31,importrange(""https://docs.google.com/spreadsheets/d/1boHyJQ4e2FU0QG8MHwEi6qjX4hvZWVCHcFfXjq7bbMc/edit?resourcekey#gid=923248883"",""Prop!$Y"&amp;"$1:$AI""),11,0),iferror(vlookup(B31,importrange(""https://docs.google.com/spreadsheets/d/1boHyJQ4e2FU0QG8MHwEi6qjX4hvZWVCHcFfXjq7bbMc/edit?resourcekey#gid=923248883"",""Prop!$AJ$1:$AT""),11,0),iferror(vlookup(B31,importrange(""https://docs.google.com/spre"&amp;"adsheets/d/1boHyJQ4e2FU0QG8MHwEi6qjX4hvZWVCHcFfXjq7bbMc/edit?resourcekey#gid=923248883"",""Prop!$AU$1:$BE""),11,0),iferror(vlookup(B31,importrange(""https://docs.google.com/spreadsheets/d/1boHyJQ4e2FU0QG8MHwEi6qjX4hvZWVCHcFfXjq7bbMc/edit?resourcekey#gid=9"&amp;"23248883"",""Prop!$BF$1:$BP""),11,0),iferror(vlookup(B31,importrange(""https://docs.google.com/spreadsheets/d/1boHyJQ4e2FU0QG8MHwEi6qjX4hvZWVCHcFfXjq7bbMc/edit?resourcekey#gid=923248883"",""Prop!$BQ$1:$CA""),11,0),iferror(vlookup(B31,importrange(""https:/"&amp;"/docs.google.com/spreadsheets/d/1boHyJQ4e2FU0QG8MHwEi6qjX4hvZWVCHcFfXjq7bbMc/edit?resourcekey#gid=923248883"",""Prop!$CB$1:$CL""),11,0),iferror(vlookup(B31,importrange(""https://docs.google.com/spreadsheets/d/1boHyJQ4e2FU0QG8MHwEi6qjX4hvZWVCHcFfXjq7bbMc/e"&amp;"dit?resourcekey#gid=923248883"",""Prop!$CM$1:$CX""),12,0),iferror(vlookup(B31,importrange(""https://docs.google.com/spreadsheets/d/1boHyJQ4e2FU0QG8MHwEi6qjX4hvZWVCHcFfXjq7bbMc/edit?resourcekey#gid=923248883"",""Prop!$CV$1:$DI""),11,0)))))))))))"),"https://drive.google.com/open?id=1UHNCimO8HxJ4lVtEe13XxuTg0QYKxchG")</f>
        <v>https://drive.google.com/open?id=1UHNCimO8HxJ4lVtEe13XxuTg0QYKxchG</v>
      </c>
      <c r="Q31" s="7" t="str">
        <f ca="1">IFERROR(__xludf.DUMMYFUNCTION("iferror(vlookup(B31,importrange(""https://docs.google.com/spreadsheets/d/1p53T2AuvvIqhP7Nf-bo3Uhj8cbKYRPpZdsrBv3x3bAQ/edit?resourcekey#gid=1321652304"",""Prop!$C$1:$M""),11,0),IFERROR(vlookup(B31,importrange(""https://docs.google.com/spreadsheets/d/1p53T2"&amp;"AuvvIqhP7Nf-bo3Uhj8cbKYRPpZdsrBv3x3bAQ/edit?resourcekey#gid=1321652304"",""Prop!$N$1:$X""),11,0),iferror(vlookup(B31,importrange(""https://docs.google.com/spreadsheets/d/1p53T2AuvvIqhP7Nf-bo3Uhj8cbKYRPpZdsrBv3x3bAQ/edit?resourcekey#gid=1321652304"",""Prop"&amp;"!$Y$1:$AI""),11,0),iferror(vlookup(B31,importrange(""https://docs.google.com/spreadsheets/d/1p53T2AuvvIqhP7Nf-bo3Uhj8cbKYRPpZdsrBv3x3bAQ/edit?resourcekey#gid=1321652304"",""Prop!$AJ$1:$AT""),11,0),iferror(vlookup(B31,importrange(""https://docs.google.com/"&amp;"spreadsheets/d/1p53T2AuvvIqhP7Nf-bo3Uhj8cbKYRPpZdsrBv3x3bAQ/edit?resourcekey#gid=1321652304"",""Prop!$AU$1:$BE""),11,0),iferror(vlookup(B31,importrange(""https://docs.google.com/spreadsheets/d/1p53T2AuvvIqhP7Nf-bo3Uhj8cbKYRPpZdsrBv3x3bAQ/edit?resourcekey#"&amp;"gid=1321652304"",""Prop!$BF$1:$BP""),11,0),iferror(vlookup(B31,importrange(""https://docs.google.com/spreadsheets/d/1p53T2AuvvIqhP7Nf-bo3Uhj8cbKYRPpZdsrBv3x3bAQ/edit?resourcekey#gid=1321652304"",""Prop!$BQ$1:$CA""),11,0),iferror(vlookup(B31,importrange("""&amp;"https://docs.google.com/spreadsheets/d/1p53T2AuvvIqhP7Nf-bo3Uhj8cbKYRPpZdsrBv3x3bAQ/edit?resourcekey#gid=1321652304"",""Prop!$CB$1:$CL""),11,0),iferror(vlookup(B31,importrange(""https://docs.google.com/spreadsheets/d/1p53T2AuvvIqhP7Nf-bo3Uhj8cbKYRPpZdsrBv"&amp;"3x3bAQ/edit?resourcekey#gid=1321652304"",""Prop!$CM$1:$CX""),12,0),iferror(vlookup(B31,importrange(""https://docs.google.com/spreadsheets/d/1p53T2AuvvIqhP7Nf-bo3Uhj8cbKYRPpZdsrBv3x3bAQ/edit?resourcekey#gid=1321652304"",""Prop!$CY$1:$DI""),11,0)))))))))))"),"https://drive.google.com/open?id=1MuNSB7HQYuQ8zSitkYvokKDmr_NxJacc")</f>
        <v>https://drive.google.com/open?id=1MuNSB7HQYuQ8zSitkYvokKDmr_NxJacc</v>
      </c>
      <c r="R31" s="88" t="s">
        <v>1229</v>
      </c>
      <c r="S31" s="20" t="str">
        <f ca="1">IFERROR(__xludf.DUMMYFUNCTION("IFERROR(vlookup(B31,IMPORTRANGE(""https://docs.google.com/spreadsheets/d/1g_jfYYK_KeipEDNDUgqgrsxK94XiocfNQIcP-v1QVhI/edit?resourcekey#gid=233272945"",""Nilai!B:CT""),30,0),"" "")"),"lihat pdf")</f>
        <v>lihat pdf</v>
      </c>
      <c r="T31" s="20" t="str">
        <f ca="1">IFERROR(__xludf.DUMMYFUNCTION("IFERROR(vlookup(B31,IMPORTRANGE(""https://docs.google.com/spreadsheets/d/1g_jfYYK_KeipEDNDUgqgrsxK94XiocfNQIcP-v1QVhI/edit?resourcekey#gid=233272945"",""Nilai!B:CT""),97,0),"" "")"),"LAYAK UPLOAD KE SIMBELMAWA DENGAN REVISI")</f>
        <v>LAYAK UPLOAD KE SIMBELMAWA DENGAN REVISI</v>
      </c>
      <c r="U31" s="21" t="s">
        <v>577</v>
      </c>
      <c r="V31" s="16" t="s">
        <v>1230</v>
      </c>
      <c r="W31" s="23" t="s">
        <v>1249</v>
      </c>
      <c r="X31" s="19" t="b">
        <v>1</v>
      </c>
    </row>
    <row r="32" spans="1:24">
      <c r="A32" s="15">
        <v>30</v>
      </c>
      <c r="B32" s="15">
        <f ca="1">IFERROR(__xludf.DUMMYFUNCTION("""COMPUTED_VALUE"""),2178)</f>
        <v>2178</v>
      </c>
      <c r="C32" s="16" t="str">
        <f ca="1">IFERROR(__xludf.DUMMYFUNCTION("""COMPUTED_VALUE"""),"JOVIN")</f>
        <v>JOVIN</v>
      </c>
      <c r="D32" s="16" t="str">
        <f ca="1">IFERROR(__xludf.DUMMYFUNCTION("""COMPUTED_VALUE"""),"02311840000091")</f>
        <v>02311840000091</v>
      </c>
      <c r="E32" s="16" t="str">
        <f ca="1">IFERROR(__xludf.DUMMYFUNCTION("""COMPUTED_VALUE"""),"Departemen Teknik Fisika")</f>
        <v>Departemen Teknik Fisika</v>
      </c>
      <c r="F32" s="16" t="str">
        <f ca="1">IFERROR(__xludf.DUMMYFUNCTION("""COMPUTED_VALUE"""),"Sistem Pengukuran Neurotransmitter dengan Kertas Mikrofluida Multipleks untuk Deteksi Dini Gangguan Neurologis")</f>
        <v>Sistem Pengukuran Neurotransmitter dengan Kertas Mikrofluida Multipleks untuk Deteksi Dini Gangguan Neurologis</v>
      </c>
      <c r="G32" s="16" t="str">
        <f ca="1">IFERROR(__xludf.DUMMYFUNCTION("""COMPUTED_VALUE"""),"Dr.rer.nat Ruri Agung Wahyuono, S.T., M.T.")</f>
        <v>Dr.rer.nat Ruri Agung Wahyuono, S.T., M.T.</v>
      </c>
      <c r="H32" s="16" t="str">
        <f ca="1">IFERROR(__xludf.DUMMYFUNCTION("""COMPUTED_VALUE"""),"Ir. Josaphat Pramudijanto, M.Eng.")</f>
        <v>Ir. Josaphat Pramudijanto, M.Eng.</v>
      </c>
      <c r="I32" s="16" t="str">
        <f ca="1">IFERROR(__xludf.DUMMYFUNCTION("""COMPUTED_VALUE"""),"Dr. Ir. Purwadi Agus Darwito, M.Sc.")</f>
        <v>Dr. Ir. Purwadi Agus Darwito, M.Sc.</v>
      </c>
      <c r="J32" s="16"/>
      <c r="K32" s="17" t="s">
        <v>1247</v>
      </c>
      <c r="L32" s="23" t="s">
        <v>1248</v>
      </c>
      <c r="M32" s="19" t="b">
        <v>0</v>
      </c>
      <c r="N32" s="19" t="b">
        <v>0</v>
      </c>
      <c r="O32" s="1" t="s">
        <v>1245</v>
      </c>
      <c r="P32" s="7" t="str">
        <f ca="1">IFERROR(__xludf.DUMMYFUNCTION("iferror(vlookup(B32,importrange(""https://docs.google.com/spreadsheets/d/1boHyJQ4e2FU0QG8MHwEi6qjX4hvZWVCHcFfXjq7bbMc/edit?resourcekey#gid=923248883"",""Prop!$C$1:$M""),12,0),IFERROR(vlookup(B32,importrange(""https://docs.google.com/spreadsheets/d/1boHyJQ"&amp;"4e2FU0QG8MHwEi6qjX4hvZWVCHcFfXjq7bbMc/edit?resourcekey#gid=923248883"",""Prop!$N$1:$X""),11,0),iferror(vlookup(B32,importrange(""https://docs.google.com/spreadsheets/d/1boHyJQ4e2FU0QG8MHwEi6qjX4hvZWVCHcFfXjq7bbMc/edit?resourcekey#gid=923248883"",""Prop!$Y"&amp;"$1:$AI""),11,0),iferror(vlookup(B32,importrange(""https://docs.google.com/spreadsheets/d/1boHyJQ4e2FU0QG8MHwEi6qjX4hvZWVCHcFfXjq7bbMc/edit?resourcekey#gid=923248883"",""Prop!$AJ$1:$AT""),11,0),iferror(vlookup(B32,importrange(""https://docs.google.com/spre"&amp;"adsheets/d/1boHyJQ4e2FU0QG8MHwEi6qjX4hvZWVCHcFfXjq7bbMc/edit?resourcekey#gid=923248883"",""Prop!$AU$1:$BE""),11,0),iferror(vlookup(B32,importrange(""https://docs.google.com/spreadsheets/d/1boHyJQ4e2FU0QG8MHwEi6qjX4hvZWVCHcFfXjq7bbMc/edit?resourcekey#gid=9"&amp;"23248883"",""Prop!$BF$1:$BP""),11,0),iferror(vlookup(B32,importrange(""https://docs.google.com/spreadsheets/d/1boHyJQ4e2FU0QG8MHwEi6qjX4hvZWVCHcFfXjq7bbMc/edit?resourcekey#gid=923248883"",""Prop!$BQ$1:$CA""),11,0),iferror(vlookup(B32,importrange(""https:/"&amp;"/docs.google.com/spreadsheets/d/1boHyJQ4e2FU0QG8MHwEi6qjX4hvZWVCHcFfXjq7bbMc/edit?resourcekey#gid=923248883"",""Prop!$CB$1:$CL""),11,0),iferror(vlookup(B32,importrange(""https://docs.google.com/spreadsheets/d/1boHyJQ4e2FU0QG8MHwEi6qjX4hvZWVCHcFfXjq7bbMc/e"&amp;"dit?resourcekey#gid=923248883"",""Prop!$CM$1:$CX""),12,0),iferror(vlookup(B32,importrange(""https://docs.google.com/spreadsheets/d/1boHyJQ4e2FU0QG8MHwEi6qjX4hvZWVCHcFfXjq7bbMc/edit?resourcekey#gid=923248883"",""Prop!$CV$1:$DI""),11,0)))))))))))"),"https://drive.google.com/open?id=1mPmWubLVH_Ryg5PdGR8_fmrM_ymDz71K")</f>
        <v>https://drive.google.com/open?id=1mPmWubLVH_Ryg5PdGR8_fmrM_ymDz71K</v>
      </c>
      <c r="Q32" s="7" t="str">
        <f ca="1">IFERROR(__xludf.DUMMYFUNCTION("iferror(vlookup(B32,importrange(""https://docs.google.com/spreadsheets/d/1p53T2AuvvIqhP7Nf-bo3Uhj8cbKYRPpZdsrBv3x3bAQ/edit?resourcekey#gid=1321652304"",""Prop!$C$1:$M""),11,0),IFERROR(vlookup(B32,importrange(""https://docs.google.com/spreadsheets/d/1p53T2"&amp;"AuvvIqhP7Nf-bo3Uhj8cbKYRPpZdsrBv3x3bAQ/edit?resourcekey#gid=1321652304"",""Prop!$N$1:$X""),11,0),iferror(vlookup(B32,importrange(""https://docs.google.com/spreadsheets/d/1p53T2AuvvIqhP7Nf-bo3Uhj8cbKYRPpZdsrBv3x3bAQ/edit?resourcekey#gid=1321652304"",""Prop"&amp;"!$Y$1:$AI""),11,0),iferror(vlookup(B32,importrange(""https://docs.google.com/spreadsheets/d/1p53T2AuvvIqhP7Nf-bo3Uhj8cbKYRPpZdsrBv3x3bAQ/edit?resourcekey#gid=1321652304"",""Prop!$AJ$1:$AT""),11,0),iferror(vlookup(B32,importrange(""https://docs.google.com/"&amp;"spreadsheets/d/1p53T2AuvvIqhP7Nf-bo3Uhj8cbKYRPpZdsrBv3x3bAQ/edit?resourcekey#gid=1321652304"",""Prop!$AU$1:$BE""),11,0),iferror(vlookup(B32,importrange(""https://docs.google.com/spreadsheets/d/1p53T2AuvvIqhP7Nf-bo3Uhj8cbKYRPpZdsrBv3x3bAQ/edit?resourcekey#"&amp;"gid=1321652304"",""Prop!$BF$1:$BP""),11,0),iferror(vlookup(B32,importrange(""https://docs.google.com/spreadsheets/d/1p53T2AuvvIqhP7Nf-bo3Uhj8cbKYRPpZdsrBv3x3bAQ/edit?resourcekey#gid=1321652304"",""Prop!$BQ$1:$CA""),11,0),iferror(vlookup(B32,importrange("""&amp;"https://docs.google.com/spreadsheets/d/1p53T2AuvvIqhP7Nf-bo3Uhj8cbKYRPpZdsrBv3x3bAQ/edit?resourcekey#gid=1321652304"",""Prop!$CB$1:$CL""),11,0),iferror(vlookup(B32,importrange(""https://docs.google.com/spreadsheets/d/1p53T2AuvvIqhP7Nf-bo3Uhj8cbKYRPpZdsrBv"&amp;"3x3bAQ/edit?resourcekey#gid=1321652304"",""Prop!$CM$1:$CX""),12,0),iferror(vlookup(B32,importrange(""https://docs.google.com/spreadsheets/d/1p53T2AuvvIqhP7Nf-bo3Uhj8cbKYRPpZdsrBv3x3bAQ/edit?resourcekey#gid=1321652304"",""Prop!$CY$1:$DI""),11,0)))))))))))"),"https://drive.google.com/open?id=1T7LBk0g2MitC2bRWdpuSejlXieFkny-r")</f>
        <v>https://drive.google.com/open?id=1T7LBk0g2MitC2bRWdpuSejlXieFkny-r</v>
      </c>
      <c r="R32" s="88" t="s">
        <v>1229</v>
      </c>
      <c r="S32" s="20" t="str">
        <f ca="1">IFERROR(__xludf.DUMMYFUNCTION("IFERROR(vlookup(B32,IMPORTRANGE(""https://docs.google.com/spreadsheets/d/1g_jfYYK_KeipEDNDUgqgrsxK94XiocfNQIcP-v1QVhI/edit?resourcekey#gid=233272945"",""Nilai!B:CT""),30,0),"" "")"),"sesuai WA ke pendamping")</f>
        <v>sesuai WA ke pendamping</v>
      </c>
      <c r="T32" s="20" t="str">
        <f ca="1">IFERROR(__xludf.DUMMYFUNCTION("IFERROR(vlookup(B32,IMPORTRANGE(""https://docs.google.com/spreadsheets/d/1g_jfYYK_KeipEDNDUgqgrsxK94XiocfNQIcP-v1QVhI/edit?resourcekey#gid=233272945"",""Nilai!B:CT""),97,0),"" "")"),"LAYAK UPLOAD KE SIMBELMAWA DENGAN REVISI")</f>
        <v>LAYAK UPLOAD KE SIMBELMAWA DENGAN REVISI</v>
      </c>
      <c r="U32" s="21" t="s">
        <v>577</v>
      </c>
      <c r="V32" s="16" t="s">
        <v>1230</v>
      </c>
      <c r="W32" s="23" t="s">
        <v>1249</v>
      </c>
      <c r="X32" s="19" t="b">
        <v>1</v>
      </c>
    </row>
    <row r="33" spans="1:24">
      <c r="A33" s="15">
        <v>31</v>
      </c>
      <c r="B33" s="15">
        <f ca="1">IFERROR(__xludf.DUMMYFUNCTION("""COMPUTED_VALUE"""),3882)</f>
        <v>3882</v>
      </c>
      <c r="C33" s="16" t="str">
        <f ca="1">IFERROR(__xludf.DUMMYFUNCTION("""COMPUTED_VALUE"""),"EKO BAGUS YANUAR")</f>
        <v>EKO BAGUS YANUAR</v>
      </c>
      <c r="D33" s="16" t="str">
        <f ca="1">IFERROR(__xludf.DUMMYFUNCTION("""COMPUTED_VALUE"""),"07111940000074")</f>
        <v>07111940000074</v>
      </c>
      <c r="E33" s="16" t="str">
        <f ca="1">IFERROR(__xludf.DUMMYFUNCTION("""COMPUTED_VALUE"""),"Departemen Teknik Elektro")</f>
        <v>Departemen Teknik Elektro</v>
      </c>
      <c r="F33" s="16" t="str">
        <f ca="1">IFERROR(__xludf.DUMMYFUNCTION("""COMPUTED_VALUE"""),"Sepatu Penghasil Listrik Berbasis Piezoelektrik Guna Memenuhi Kebutuhan Energi Listrik Saat Pendakian dan Membantu Proses Pencarian Pendaki yang Hilang")</f>
        <v>Sepatu Penghasil Listrik Berbasis Piezoelektrik Guna Memenuhi Kebutuhan Energi Listrik Saat Pendakian dan Membantu Proses Pencarian Pendaki yang Hilang</v>
      </c>
      <c r="G33" s="16" t="str">
        <f ca="1">IFERROR(__xludf.DUMMYFUNCTION("""COMPUTED_VALUE"""),"Vita Lystianingrum Budiharto Putri, S.T., M.Sc., Ph.D.")</f>
        <v>Vita Lystianingrum Budiharto Putri, S.T., M.Sc., Ph.D.</v>
      </c>
      <c r="H33" s="16" t="str">
        <f ca="1">IFERROR(__xludf.DUMMYFUNCTION("""COMPUTED_VALUE"""),"Sefi Novendra Patrialova, S.Si., M.T")</f>
        <v>Sefi Novendra Patrialova, S.Si., M.T</v>
      </c>
      <c r="I33" s="16" t="str">
        <f ca="1">IFERROR(__xludf.DUMMYFUNCTION("""COMPUTED_VALUE"""),"Yasmin Zainul Mochtar, S.T., M.A.")</f>
        <v>Yasmin Zainul Mochtar, S.T., M.A.</v>
      </c>
      <c r="J33" s="16"/>
      <c r="K33" s="17" t="s">
        <v>1247</v>
      </c>
      <c r="L33" s="23" t="s">
        <v>1250</v>
      </c>
      <c r="M33" s="19" t="b">
        <v>0</v>
      </c>
      <c r="N33" s="19" t="b">
        <v>0</v>
      </c>
      <c r="O33" s="1" t="s">
        <v>1243</v>
      </c>
      <c r="P33" s="7" t="str">
        <f ca="1">IFERROR(__xludf.DUMMYFUNCTION("iferror(vlookup(B33,importrange(""https://docs.google.com/spreadsheets/d/1boHyJQ4e2FU0QG8MHwEi6qjX4hvZWVCHcFfXjq7bbMc/edit?resourcekey#gid=923248883"",""Prop!$C$1:$M""),12,0),IFERROR(vlookup(B33,importrange(""https://docs.google.com/spreadsheets/d/1boHyJQ"&amp;"4e2FU0QG8MHwEi6qjX4hvZWVCHcFfXjq7bbMc/edit?resourcekey#gid=923248883"",""Prop!$N$1:$X""),11,0),iferror(vlookup(B33,importrange(""https://docs.google.com/spreadsheets/d/1boHyJQ4e2FU0QG8MHwEi6qjX4hvZWVCHcFfXjq7bbMc/edit?resourcekey#gid=923248883"",""Prop!$Y"&amp;"$1:$AI""),11,0),iferror(vlookup(B33,importrange(""https://docs.google.com/spreadsheets/d/1boHyJQ4e2FU0QG8MHwEi6qjX4hvZWVCHcFfXjq7bbMc/edit?resourcekey#gid=923248883"",""Prop!$AJ$1:$AT""),11,0),iferror(vlookup(B33,importrange(""https://docs.google.com/spre"&amp;"adsheets/d/1boHyJQ4e2FU0QG8MHwEi6qjX4hvZWVCHcFfXjq7bbMc/edit?resourcekey#gid=923248883"",""Prop!$AU$1:$BE""),11,0),iferror(vlookup(B33,importrange(""https://docs.google.com/spreadsheets/d/1boHyJQ4e2FU0QG8MHwEi6qjX4hvZWVCHcFfXjq7bbMc/edit?resourcekey#gid=9"&amp;"23248883"",""Prop!$BF$1:$BP""),11,0),iferror(vlookup(B33,importrange(""https://docs.google.com/spreadsheets/d/1boHyJQ4e2FU0QG8MHwEi6qjX4hvZWVCHcFfXjq7bbMc/edit?resourcekey#gid=923248883"",""Prop!$BQ$1:$CA""),11,0),iferror(vlookup(B33,importrange(""https:/"&amp;"/docs.google.com/spreadsheets/d/1boHyJQ4e2FU0QG8MHwEi6qjX4hvZWVCHcFfXjq7bbMc/edit?resourcekey#gid=923248883"",""Prop!$CB$1:$CL""),11,0),iferror(vlookup(B33,importrange(""https://docs.google.com/spreadsheets/d/1boHyJQ4e2FU0QG8MHwEi6qjX4hvZWVCHcFfXjq7bbMc/e"&amp;"dit?resourcekey#gid=923248883"",""Prop!$CM$1:$CX""),12,0),iferror(vlookup(B33,importrange(""https://docs.google.com/spreadsheets/d/1boHyJQ4e2FU0QG8MHwEi6qjX4hvZWVCHcFfXjq7bbMc/edit?resourcekey#gid=923248883"",""Prop!$CV$1:$DI""),11,0)))))))))))"),"https://drive.google.com/open?id=1STU9AA-zOWK248X2yMDri3CsiWujqszo")</f>
        <v>https://drive.google.com/open?id=1STU9AA-zOWK248X2yMDri3CsiWujqszo</v>
      </c>
      <c r="Q33" s="7" t="str">
        <f ca="1">IFERROR(__xludf.DUMMYFUNCTION("iferror(vlookup(B33,importrange(""https://docs.google.com/spreadsheets/d/1p53T2AuvvIqhP7Nf-bo3Uhj8cbKYRPpZdsrBv3x3bAQ/edit?resourcekey#gid=1321652304"",""Prop!$C$1:$M""),11,0),IFERROR(vlookup(B33,importrange(""https://docs.google.com/spreadsheets/d/1p53T2"&amp;"AuvvIqhP7Nf-bo3Uhj8cbKYRPpZdsrBv3x3bAQ/edit?resourcekey#gid=1321652304"",""Prop!$N$1:$X""),11,0),iferror(vlookup(B33,importrange(""https://docs.google.com/spreadsheets/d/1p53T2AuvvIqhP7Nf-bo3Uhj8cbKYRPpZdsrBv3x3bAQ/edit?resourcekey#gid=1321652304"",""Prop"&amp;"!$Y$1:$AI""),11,0),iferror(vlookup(B33,importrange(""https://docs.google.com/spreadsheets/d/1p53T2AuvvIqhP7Nf-bo3Uhj8cbKYRPpZdsrBv3x3bAQ/edit?resourcekey#gid=1321652304"",""Prop!$AJ$1:$AT""),11,0),iferror(vlookup(B33,importrange(""https://docs.google.com/"&amp;"spreadsheets/d/1p53T2AuvvIqhP7Nf-bo3Uhj8cbKYRPpZdsrBv3x3bAQ/edit?resourcekey#gid=1321652304"",""Prop!$AU$1:$BE""),11,0),iferror(vlookup(B33,importrange(""https://docs.google.com/spreadsheets/d/1p53T2AuvvIqhP7Nf-bo3Uhj8cbKYRPpZdsrBv3x3bAQ/edit?resourcekey#"&amp;"gid=1321652304"",""Prop!$BF$1:$BP""),11,0),iferror(vlookup(B33,importrange(""https://docs.google.com/spreadsheets/d/1p53T2AuvvIqhP7Nf-bo3Uhj8cbKYRPpZdsrBv3x3bAQ/edit?resourcekey#gid=1321652304"",""Prop!$BQ$1:$CA""),11,0),iferror(vlookup(B33,importrange("""&amp;"https://docs.google.com/spreadsheets/d/1p53T2AuvvIqhP7Nf-bo3Uhj8cbKYRPpZdsrBv3x3bAQ/edit?resourcekey#gid=1321652304"",""Prop!$CB$1:$CL""),11,0),iferror(vlookup(B33,importrange(""https://docs.google.com/spreadsheets/d/1p53T2AuvvIqhP7Nf-bo3Uhj8cbKYRPpZdsrBv"&amp;"3x3bAQ/edit?resourcekey#gid=1321652304"",""Prop!$CM$1:$CX""),12,0),iferror(vlookup(B33,importrange(""https://docs.google.com/spreadsheets/d/1p53T2AuvvIqhP7Nf-bo3Uhj8cbKYRPpZdsrBv3x3bAQ/edit?resourcekey#gid=1321652304"",""Prop!$CY$1:$DI""),11,0)))))))))))"),"https://drive.google.com/open?id=1DjhhN_dV61kPPMb44mTr6849Hi7Sbm4k")</f>
        <v>https://drive.google.com/open?id=1DjhhN_dV61kPPMb44mTr6849Hi7Sbm4k</v>
      </c>
      <c r="R33" s="88" t="s">
        <v>1229</v>
      </c>
      <c r="S33" s="20" t="str">
        <f ca="1">IFERROR(__xludf.DUMMYFUNCTION("IFERROR(vlookup(B33,IMPORTRANGE(""https://docs.google.com/spreadsheets/d/1g_jfYYK_KeipEDNDUgqgrsxK94XiocfNQIcP-v1QVhI/edit?resourcekey#gid=233272945"",""Nilai!B:CT""),30,0),"" "")"),"lihat file pdf")</f>
        <v>lihat file pdf</v>
      </c>
      <c r="T33" s="20" t="str">
        <f ca="1">IFERROR(__xludf.DUMMYFUNCTION("IFERROR(vlookup(B33,IMPORTRANGE(""https://docs.google.com/spreadsheets/d/1g_jfYYK_KeipEDNDUgqgrsxK94XiocfNQIcP-v1QVhI/edit?resourcekey#gid=233272945"",""Nilai!B:CT""),97,0),"" "")"),"LAYAK UPLOAD KE SIMBELMAWA DENGAN REVISI")</f>
        <v>LAYAK UPLOAD KE SIMBELMAWA DENGAN REVISI</v>
      </c>
      <c r="U33" s="21" t="s">
        <v>577</v>
      </c>
      <c r="V33" s="16" t="s">
        <v>1230</v>
      </c>
      <c r="W33" s="23" t="s">
        <v>1251</v>
      </c>
      <c r="X33" s="19" t="b">
        <v>1</v>
      </c>
    </row>
    <row r="34" spans="1:24">
      <c r="A34" s="15">
        <v>32</v>
      </c>
      <c r="B34" s="15">
        <f ca="1">IFERROR(__xludf.DUMMYFUNCTION("""COMPUTED_VALUE"""),3294)</f>
        <v>3294</v>
      </c>
      <c r="C34" s="16" t="str">
        <f ca="1">IFERROR(__xludf.DUMMYFUNCTION("""COMPUTED_VALUE"""),"MEILAILLATUL ROHMAH")</f>
        <v>MEILAILLATUL ROHMAH</v>
      </c>
      <c r="D34" s="16" t="str">
        <f ca="1">IFERROR(__xludf.DUMMYFUNCTION("""COMPUTED_VALUE"""),"10511810000001")</f>
        <v>10511810000001</v>
      </c>
      <c r="E34" s="16" t="str">
        <f ca="1">IFERROR(__xludf.DUMMYFUNCTION("""COMPUTED_VALUE"""),"Departemen Teknik Instrumentasi")</f>
        <v>Departemen Teknik Instrumentasi</v>
      </c>
      <c r="F34" s="16" t="str">
        <f ca="1">IFERROR(__xludf.DUMMYFUNCTION("""COMPUTED_VALUE"""),"RANCANG BANGUN SISTEMMONITORING DAN KONTROL TEMPERATUR MAGGOT BSF BERBASIS THERMAL CAMERA DENGAN METODEKONTROL PID")</f>
        <v>RANCANG BANGUN SISTEMMONITORING DAN KONTROL TEMPERATUR MAGGOT BSF BERBASIS THERMAL CAMERA DENGAN METODEKONTROL PID</v>
      </c>
      <c r="G34" s="16" t="str">
        <f ca="1">IFERROR(__xludf.DUMMYFUNCTION("""COMPUTED_VALUE"""),"Arief Abdurrakhman, S.T., M.T.")</f>
        <v>Arief Abdurrakhman, S.T., M.T.</v>
      </c>
      <c r="H34" s="16" t="str">
        <f ca="1">IFERROR(__xludf.DUMMYFUNCTION("""COMPUTED_VALUE"""),"Mohammad Khoirul Effendi, S.T., M.Sc.Eng., Ph.D.")</f>
        <v>Mohammad Khoirul Effendi, S.T., M.Sc.Eng., Ph.D.</v>
      </c>
      <c r="I34" s="16" t="str">
        <f ca="1">IFERROR(__xludf.DUMMYFUNCTION("""COMPUTED_VALUE"""),"Dr. Dendy Satrio, S.ST.")</f>
        <v>Dr. Dendy Satrio, S.ST.</v>
      </c>
      <c r="J34" s="16"/>
      <c r="K34" s="17" t="s">
        <v>1247</v>
      </c>
      <c r="L34" s="23" t="s">
        <v>1250</v>
      </c>
      <c r="M34" s="19" t="b">
        <v>0</v>
      </c>
      <c r="N34" s="19" t="b">
        <v>0</v>
      </c>
      <c r="O34" s="1" t="s">
        <v>1243</v>
      </c>
      <c r="P34" s="7" t="str">
        <f ca="1">IFERROR(__xludf.DUMMYFUNCTION("iferror(vlookup(B34,importrange(""https://docs.google.com/spreadsheets/d/1boHyJQ4e2FU0QG8MHwEi6qjX4hvZWVCHcFfXjq7bbMc/edit?resourcekey#gid=923248883"",""Prop!$C$1:$M""),12,0),IFERROR(vlookup(B34,importrange(""https://docs.google.com/spreadsheets/d/1boHyJQ"&amp;"4e2FU0QG8MHwEi6qjX4hvZWVCHcFfXjq7bbMc/edit?resourcekey#gid=923248883"",""Prop!$N$1:$X""),11,0),iferror(vlookup(B34,importrange(""https://docs.google.com/spreadsheets/d/1boHyJQ4e2FU0QG8MHwEi6qjX4hvZWVCHcFfXjq7bbMc/edit?resourcekey#gid=923248883"",""Prop!$Y"&amp;"$1:$AI""),11,0),iferror(vlookup(B34,importrange(""https://docs.google.com/spreadsheets/d/1boHyJQ4e2FU0QG8MHwEi6qjX4hvZWVCHcFfXjq7bbMc/edit?resourcekey#gid=923248883"",""Prop!$AJ$1:$AT""),11,0),iferror(vlookup(B34,importrange(""https://docs.google.com/spre"&amp;"adsheets/d/1boHyJQ4e2FU0QG8MHwEi6qjX4hvZWVCHcFfXjq7bbMc/edit?resourcekey#gid=923248883"",""Prop!$AU$1:$BE""),11,0),iferror(vlookup(B34,importrange(""https://docs.google.com/spreadsheets/d/1boHyJQ4e2FU0QG8MHwEi6qjX4hvZWVCHcFfXjq7bbMc/edit?resourcekey#gid=9"&amp;"23248883"",""Prop!$BF$1:$BP""),11,0),iferror(vlookup(B34,importrange(""https://docs.google.com/spreadsheets/d/1boHyJQ4e2FU0QG8MHwEi6qjX4hvZWVCHcFfXjq7bbMc/edit?resourcekey#gid=923248883"",""Prop!$BQ$1:$CA""),11,0),iferror(vlookup(B34,importrange(""https:/"&amp;"/docs.google.com/spreadsheets/d/1boHyJQ4e2FU0QG8MHwEi6qjX4hvZWVCHcFfXjq7bbMc/edit?resourcekey#gid=923248883"",""Prop!$CB$1:$CL""),11,0),iferror(vlookup(B34,importrange(""https://docs.google.com/spreadsheets/d/1boHyJQ4e2FU0QG8MHwEi6qjX4hvZWVCHcFfXjq7bbMc/e"&amp;"dit?resourcekey#gid=923248883"",""Prop!$CM$1:$CX""),12,0),iferror(vlookup(B34,importrange(""https://docs.google.com/spreadsheets/d/1boHyJQ4e2FU0QG8MHwEi6qjX4hvZWVCHcFfXjq7bbMc/edit?resourcekey#gid=923248883"",""Prop!$CV$1:$DI""),11,0)))))))))))"),"https://drive.google.com/open?id=1LeWo800ygBT2hhB6wfLoefX3SB_8jZA0")</f>
        <v>https://drive.google.com/open?id=1LeWo800ygBT2hhB6wfLoefX3SB_8jZA0</v>
      </c>
      <c r="Q34" s="7" t="str">
        <f ca="1">IFERROR(__xludf.DUMMYFUNCTION("iferror(vlookup(B34,importrange(""https://docs.google.com/spreadsheets/d/1p53T2AuvvIqhP7Nf-bo3Uhj8cbKYRPpZdsrBv3x3bAQ/edit?resourcekey#gid=1321652304"",""Prop!$C$1:$M""),11,0),IFERROR(vlookup(B34,importrange(""https://docs.google.com/spreadsheets/d/1p53T2"&amp;"AuvvIqhP7Nf-bo3Uhj8cbKYRPpZdsrBv3x3bAQ/edit?resourcekey#gid=1321652304"",""Prop!$N$1:$X""),11,0),iferror(vlookup(B34,importrange(""https://docs.google.com/spreadsheets/d/1p53T2AuvvIqhP7Nf-bo3Uhj8cbKYRPpZdsrBv3x3bAQ/edit?resourcekey#gid=1321652304"",""Prop"&amp;"!$Y$1:$AI""),11,0),iferror(vlookup(B34,importrange(""https://docs.google.com/spreadsheets/d/1p53T2AuvvIqhP7Nf-bo3Uhj8cbKYRPpZdsrBv3x3bAQ/edit?resourcekey#gid=1321652304"",""Prop!$AJ$1:$AT""),11,0),iferror(vlookup(B34,importrange(""https://docs.google.com/"&amp;"spreadsheets/d/1p53T2AuvvIqhP7Nf-bo3Uhj8cbKYRPpZdsrBv3x3bAQ/edit?resourcekey#gid=1321652304"",""Prop!$AU$1:$BE""),11,0),iferror(vlookup(B34,importrange(""https://docs.google.com/spreadsheets/d/1p53T2AuvvIqhP7Nf-bo3Uhj8cbKYRPpZdsrBv3x3bAQ/edit?resourcekey#"&amp;"gid=1321652304"",""Prop!$BF$1:$BP""),11,0),iferror(vlookup(B34,importrange(""https://docs.google.com/spreadsheets/d/1p53T2AuvvIqhP7Nf-bo3Uhj8cbKYRPpZdsrBv3x3bAQ/edit?resourcekey#gid=1321652304"",""Prop!$BQ$1:$CA""),11,0),iferror(vlookup(B34,importrange("""&amp;"https://docs.google.com/spreadsheets/d/1p53T2AuvvIqhP7Nf-bo3Uhj8cbKYRPpZdsrBv3x3bAQ/edit?resourcekey#gid=1321652304"",""Prop!$CB$1:$CL""),11,0),iferror(vlookup(B34,importrange(""https://docs.google.com/spreadsheets/d/1p53T2AuvvIqhP7Nf-bo3Uhj8cbKYRPpZdsrBv"&amp;"3x3bAQ/edit?resourcekey#gid=1321652304"",""Prop!$CM$1:$CX""),12,0),iferror(vlookup(B34,importrange(""https://docs.google.com/spreadsheets/d/1p53T2AuvvIqhP7Nf-bo3Uhj8cbKYRPpZdsrBv3x3bAQ/edit?resourcekey#gid=1321652304"",""Prop!$CY$1:$DI""),11,0)))))))))))"),"https://drive.google.com/open?id=1hktNgZJLQtsa1FhcDtpwYW8laRUdd4AZ")</f>
        <v>https://drive.google.com/open?id=1hktNgZJLQtsa1FhcDtpwYW8laRUdd4AZ</v>
      </c>
      <c r="R34" s="88" t="s">
        <v>1229</v>
      </c>
      <c r="S34" s="20" t="str">
        <f ca="1">IFERROR(__xludf.DUMMYFUNCTION("IFERROR(vlookup(B34,IMPORTRANGE(""https://docs.google.com/spreadsheets/d/1g_jfYYK_KeipEDNDUgqgrsxK94XiocfNQIcP-v1QVhI/edit?resourcekey#gid=233272945"",""Nilai!B:CT""),30,0),"" "")"),"lihat file pdf")</f>
        <v>lihat file pdf</v>
      </c>
      <c r="T34" s="20" t="str">
        <f ca="1">IFERROR(__xludf.DUMMYFUNCTION("IFERROR(vlookup(B34,IMPORTRANGE(""https://docs.google.com/spreadsheets/d/1g_jfYYK_KeipEDNDUgqgrsxK94XiocfNQIcP-v1QVhI/edit?resourcekey#gid=233272945"",""Nilai!B:CT""),97,0),"" "")"),"LAYAK UPLOAD KE SIMBELMAWA DENGAN REVISI")</f>
        <v>LAYAK UPLOAD KE SIMBELMAWA DENGAN REVISI</v>
      </c>
      <c r="U34" s="21" t="s">
        <v>577</v>
      </c>
      <c r="V34" s="16" t="s">
        <v>1230</v>
      </c>
      <c r="W34" s="23" t="s">
        <v>1251</v>
      </c>
      <c r="X34" s="19" t="b">
        <v>0</v>
      </c>
    </row>
    <row r="35" spans="1:24">
      <c r="A35" s="15">
        <v>33</v>
      </c>
      <c r="B35" s="15">
        <f ca="1">IFERROR(__xludf.DUMMYFUNCTION("""COMPUTED_VALUE"""),2395)</f>
        <v>2395</v>
      </c>
      <c r="C35" s="16" t="str">
        <f ca="1">IFERROR(__xludf.DUMMYFUNCTION("""COMPUTED_VALUE"""),"MUHAMMAD ALVIN ALI FIKRI")</f>
        <v>MUHAMMAD ALVIN ALI FIKRI</v>
      </c>
      <c r="D35" s="16" t="str">
        <f ca="1">IFERROR(__xludf.DUMMYFUNCTION("""COMPUTED_VALUE"""),"03311940000060")</f>
        <v>03311940000060</v>
      </c>
      <c r="E35" s="16" t="str">
        <f ca="1">IFERROR(__xludf.DUMMYFUNCTION("""COMPUTED_VALUE"""),"Departemen Teknik Geomatika")</f>
        <v>Departemen Teknik Geomatika</v>
      </c>
      <c r="F35" s="16" t="str">
        <f ca="1">IFERROR(__xludf.DUMMYFUNCTION("""COMPUTED_VALUE"""),"Platform WebGIS untuk Optimalisasi Pemanfaatan EBT di Indonesia")</f>
        <v>Platform WebGIS untuk Optimalisasi Pemanfaatan EBT di Indonesia</v>
      </c>
      <c r="G35" s="16" t="str">
        <f ca="1">IFERROR(__xludf.DUMMYFUNCTION("""COMPUTED_VALUE"""),"Nurwatik, S.T., M.Sc.")</f>
        <v>Nurwatik, S.T., M.Sc.</v>
      </c>
      <c r="H35" s="16" t="str">
        <f ca="1">IFERROR(__xludf.DUMMYFUNCTION("""COMPUTED_VALUE"""),"Mohammad Khoirul Effendi, S.T., M.Sc.Eng., Ph.D.")</f>
        <v>Mohammad Khoirul Effendi, S.T., M.Sc.Eng., Ph.D.</v>
      </c>
      <c r="I35" s="16" t="str">
        <f ca="1">IFERROR(__xludf.DUMMYFUNCTION("""COMPUTED_VALUE"""),"Azzah Dyah Pramata, S.T., M.T., M.Eng., Ph.D.")</f>
        <v>Azzah Dyah Pramata, S.T., M.T., M.Eng., Ph.D.</v>
      </c>
      <c r="J35" s="16"/>
      <c r="K35" s="17" t="s">
        <v>1247</v>
      </c>
      <c r="L35" s="23" t="s">
        <v>1250</v>
      </c>
      <c r="M35" s="19" t="b">
        <v>0</v>
      </c>
      <c r="N35" s="19" t="b">
        <v>0</v>
      </c>
      <c r="O35" s="1" t="s">
        <v>1243</v>
      </c>
      <c r="P35" s="7" t="str">
        <f ca="1">IFERROR(__xludf.DUMMYFUNCTION("iferror(vlookup(B35,importrange(""https://docs.google.com/spreadsheets/d/1boHyJQ4e2FU0QG8MHwEi6qjX4hvZWVCHcFfXjq7bbMc/edit?resourcekey#gid=923248883"",""Prop!$C$1:$M""),12,0),IFERROR(vlookup(B35,importrange(""https://docs.google.com/spreadsheets/d/1boHyJQ"&amp;"4e2FU0QG8MHwEi6qjX4hvZWVCHcFfXjq7bbMc/edit?resourcekey#gid=923248883"",""Prop!$N$1:$X""),11,0),iferror(vlookup(B35,importrange(""https://docs.google.com/spreadsheets/d/1boHyJQ4e2FU0QG8MHwEi6qjX4hvZWVCHcFfXjq7bbMc/edit?resourcekey#gid=923248883"",""Prop!$Y"&amp;"$1:$AI""),11,0),iferror(vlookup(B35,importrange(""https://docs.google.com/spreadsheets/d/1boHyJQ4e2FU0QG8MHwEi6qjX4hvZWVCHcFfXjq7bbMc/edit?resourcekey#gid=923248883"",""Prop!$AJ$1:$AT""),11,0),iferror(vlookup(B35,importrange(""https://docs.google.com/spre"&amp;"adsheets/d/1boHyJQ4e2FU0QG8MHwEi6qjX4hvZWVCHcFfXjq7bbMc/edit?resourcekey#gid=923248883"",""Prop!$AU$1:$BE""),11,0),iferror(vlookup(B35,importrange(""https://docs.google.com/spreadsheets/d/1boHyJQ4e2FU0QG8MHwEi6qjX4hvZWVCHcFfXjq7bbMc/edit?resourcekey#gid=9"&amp;"23248883"",""Prop!$BF$1:$BP""),11,0),iferror(vlookup(B35,importrange(""https://docs.google.com/spreadsheets/d/1boHyJQ4e2FU0QG8MHwEi6qjX4hvZWVCHcFfXjq7bbMc/edit?resourcekey#gid=923248883"",""Prop!$BQ$1:$CA""),11,0),iferror(vlookup(B35,importrange(""https:/"&amp;"/docs.google.com/spreadsheets/d/1boHyJQ4e2FU0QG8MHwEi6qjX4hvZWVCHcFfXjq7bbMc/edit?resourcekey#gid=923248883"",""Prop!$CB$1:$CL""),11,0),iferror(vlookup(B35,importrange(""https://docs.google.com/spreadsheets/d/1boHyJQ4e2FU0QG8MHwEi6qjX4hvZWVCHcFfXjq7bbMc/e"&amp;"dit?resourcekey#gid=923248883"",""Prop!$CM$1:$CX""),12,0),iferror(vlookup(B35,importrange(""https://docs.google.com/spreadsheets/d/1boHyJQ4e2FU0QG8MHwEi6qjX4hvZWVCHcFfXjq7bbMc/edit?resourcekey#gid=923248883"",""Prop!$CV$1:$DI""),11,0)))))))))))"),"https://drive.google.com/open?id=12CfrnSmvoZlNWkaL6G07kwRNOUWyr2Ei")</f>
        <v>https://drive.google.com/open?id=12CfrnSmvoZlNWkaL6G07kwRNOUWyr2Ei</v>
      </c>
      <c r="Q35" s="7" t="str">
        <f ca="1">IFERROR(__xludf.DUMMYFUNCTION("iferror(vlookup(B35,importrange(""https://docs.google.com/spreadsheets/d/1p53T2AuvvIqhP7Nf-bo3Uhj8cbKYRPpZdsrBv3x3bAQ/edit?resourcekey#gid=1321652304"",""Prop!$C$1:$M""),11,0),IFERROR(vlookup(B35,importrange(""https://docs.google.com/spreadsheets/d/1p53T2"&amp;"AuvvIqhP7Nf-bo3Uhj8cbKYRPpZdsrBv3x3bAQ/edit?resourcekey#gid=1321652304"",""Prop!$N$1:$X""),11,0),iferror(vlookup(B35,importrange(""https://docs.google.com/spreadsheets/d/1p53T2AuvvIqhP7Nf-bo3Uhj8cbKYRPpZdsrBv3x3bAQ/edit?resourcekey#gid=1321652304"",""Prop"&amp;"!$Y$1:$AI""),11,0),iferror(vlookup(B35,importrange(""https://docs.google.com/spreadsheets/d/1p53T2AuvvIqhP7Nf-bo3Uhj8cbKYRPpZdsrBv3x3bAQ/edit?resourcekey#gid=1321652304"",""Prop!$AJ$1:$AT""),11,0),iferror(vlookup(B35,importrange(""https://docs.google.com/"&amp;"spreadsheets/d/1p53T2AuvvIqhP7Nf-bo3Uhj8cbKYRPpZdsrBv3x3bAQ/edit?resourcekey#gid=1321652304"",""Prop!$AU$1:$BE""),11,0),iferror(vlookup(B35,importrange(""https://docs.google.com/spreadsheets/d/1p53T2AuvvIqhP7Nf-bo3Uhj8cbKYRPpZdsrBv3x3bAQ/edit?resourcekey#"&amp;"gid=1321652304"",""Prop!$BF$1:$BP""),11,0),iferror(vlookup(B35,importrange(""https://docs.google.com/spreadsheets/d/1p53T2AuvvIqhP7Nf-bo3Uhj8cbKYRPpZdsrBv3x3bAQ/edit?resourcekey#gid=1321652304"",""Prop!$BQ$1:$CA""),11,0),iferror(vlookup(B35,importrange("""&amp;"https://docs.google.com/spreadsheets/d/1p53T2AuvvIqhP7Nf-bo3Uhj8cbKYRPpZdsrBv3x3bAQ/edit?resourcekey#gid=1321652304"",""Prop!$CB$1:$CL""),11,0),iferror(vlookup(B35,importrange(""https://docs.google.com/spreadsheets/d/1p53T2AuvvIqhP7Nf-bo3Uhj8cbKYRPpZdsrBv"&amp;"3x3bAQ/edit?resourcekey#gid=1321652304"",""Prop!$CM$1:$CX""),12,0),iferror(vlookup(B35,importrange(""https://docs.google.com/spreadsheets/d/1p53T2AuvvIqhP7Nf-bo3Uhj8cbKYRPpZdsrBv3x3bAQ/edit?resourcekey#gid=1321652304"",""Prop!$CY$1:$DI""),11,0)))))))))))"),"https://drive.google.com/open?id=1ZBa_2bf3tBR1JduQ_ururCFL6DwbBIKV")</f>
        <v>https://drive.google.com/open?id=1ZBa_2bf3tBR1JduQ_ururCFL6DwbBIKV</v>
      </c>
      <c r="R35" s="88" t="s">
        <v>1229</v>
      </c>
      <c r="S35" s="20" t="str">
        <f ca="1">IFERROR(__xludf.DUMMYFUNCTION("IFERROR(vlookup(B35,IMPORTRANGE(""https://docs.google.com/spreadsheets/d/1g_jfYYK_KeipEDNDUgqgrsxK94XiocfNQIcP-v1QVhI/edit?resourcekey#gid=233272945"",""Nilai!B:CT""),30,0),"" "")"),"tidak ada karsanya")</f>
        <v>tidak ada karsanya</v>
      </c>
      <c r="T35" s="20" t="str">
        <f ca="1">IFERROR(__xludf.DUMMYFUNCTION("IFERROR(vlookup(B35,IMPORTRANGE(""https://docs.google.com/spreadsheets/d/1g_jfYYK_KeipEDNDUgqgrsxK94XiocfNQIcP-v1QVhI/edit?resourcekey#gid=233272945"",""Nilai!B:CT""),97,0),"" "")"),"TIDAK LAYAK UPLOAD KE SIMBELMAWA")</f>
        <v>TIDAK LAYAK UPLOAD KE SIMBELMAWA</v>
      </c>
      <c r="U35" s="21" t="s">
        <v>577</v>
      </c>
      <c r="V35" s="16" t="s">
        <v>1230</v>
      </c>
      <c r="W35" s="23" t="s">
        <v>1251</v>
      </c>
      <c r="X35" s="19" t="b">
        <v>0</v>
      </c>
    </row>
    <row r="36" spans="1:24">
      <c r="A36" s="15">
        <v>34</v>
      </c>
      <c r="B36" s="15">
        <f ca="1">IFERROR(__xludf.DUMMYFUNCTION("""COMPUTED_VALUE"""),2346)</f>
        <v>2346</v>
      </c>
      <c r="C36" s="16" t="str">
        <f ca="1">IFERROR(__xludf.DUMMYFUNCTION("""COMPUTED_VALUE"""),"BAGAS ABIYU PUTRA")</f>
        <v>BAGAS ABIYU PUTRA</v>
      </c>
      <c r="D36" s="16" t="str">
        <f ca="1">IFERROR(__xludf.DUMMYFUNCTION("""COMPUTED_VALUE"""),"10311910000039")</f>
        <v>10311910000039</v>
      </c>
      <c r="E36" s="16" t="str">
        <f ca="1">IFERROR(__xludf.DUMMYFUNCTION("""COMPUTED_VALUE"""),"Departemen Teknik Elektro Otomasi")</f>
        <v>Departemen Teknik Elektro Otomasi</v>
      </c>
      <c r="F36" s="16" t="str">
        <f ca="1">IFERROR(__xludf.DUMMYFUNCTION("""COMPUTED_VALUE"""),"Remotely Operated Vehicle Untuk Inspeksi Budidaya Ikan Lepas Pantai")</f>
        <v>Remotely Operated Vehicle Untuk Inspeksi Budidaya Ikan Lepas Pantai</v>
      </c>
      <c r="G36" s="16" t="str">
        <f ca="1">IFERROR(__xludf.DUMMYFUNCTION("""COMPUTED_VALUE"""),"Rudy Dikairono, ST., M.T.")</f>
        <v>Rudy Dikairono, ST., M.T.</v>
      </c>
      <c r="H36" s="16" t="str">
        <f ca="1">IFERROR(__xludf.DUMMYFUNCTION("""COMPUTED_VALUE"""),"Yudha Prasetyawan, S.T., M.Eng.")</f>
        <v>Yudha Prasetyawan, S.T., M.Eng.</v>
      </c>
      <c r="I36" s="16" t="str">
        <f ca="1">IFERROR(__xludf.DUMMYFUNCTION("""COMPUTED_VALUE"""),"Putu Gde Ariastita, S.T., M.T.")</f>
        <v>Putu Gde Ariastita, S.T., M.T.</v>
      </c>
      <c r="J36" s="16"/>
      <c r="K36" s="17" t="s">
        <v>1247</v>
      </c>
      <c r="L36" s="23" t="s">
        <v>1250</v>
      </c>
      <c r="M36" s="19" t="b">
        <v>0</v>
      </c>
      <c r="N36" s="19" t="b">
        <v>0</v>
      </c>
      <c r="O36" s="1" t="s">
        <v>1243</v>
      </c>
      <c r="P36" s="7" t="str">
        <f ca="1">IFERROR(__xludf.DUMMYFUNCTION("iferror(vlookup(B36,importrange(""https://docs.google.com/spreadsheets/d/1boHyJQ4e2FU0QG8MHwEi6qjX4hvZWVCHcFfXjq7bbMc/edit?resourcekey#gid=923248883"",""Prop!$C$1:$M""),12,0),IFERROR(vlookup(B36,importrange(""https://docs.google.com/spreadsheets/d/1boHyJQ"&amp;"4e2FU0QG8MHwEi6qjX4hvZWVCHcFfXjq7bbMc/edit?resourcekey#gid=923248883"",""Prop!$N$1:$X""),11,0),iferror(vlookup(B36,importrange(""https://docs.google.com/spreadsheets/d/1boHyJQ4e2FU0QG8MHwEi6qjX4hvZWVCHcFfXjq7bbMc/edit?resourcekey#gid=923248883"",""Prop!$Y"&amp;"$1:$AI""),11,0),iferror(vlookup(B36,importrange(""https://docs.google.com/spreadsheets/d/1boHyJQ4e2FU0QG8MHwEi6qjX4hvZWVCHcFfXjq7bbMc/edit?resourcekey#gid=923248883"",""Prop!$AJ$1:$AT""),11,0),iferror(vlookup(B36,importrange(""https://docs.google.com/spre"&amp;"adsheets/d/1boHyJQ4e2FU0QG8MHwEi6qjX4hvZWVCHcFfXjq7bbMc/edit?resourcekey#gid=923248883"",""Prop!$AU$1:$BE""),11,0),iferror(vlookup(B36,importrange(""https://docs.google.com/spreadsheets/d/1boHyJQ4e2FU0QG8MHwEi6qjX4hvZWVCHcFfXjq7bbMc/edit?resourcekey#gid=9"&amp;"23248883"",""Prop!$BF$1:$BP""),11,0),iferror(vlookup(B36,importrange(""https://docs.google.com/spreadsheets/d/1boHyJQ4e2FU0QG8MHwEi6qjX4hvZWVCHcFfXjq7bbMc/edit?resourcekey#gid=923248883"",""Prop!$BQ$1:$CA""),11,0),iferror(vlookup(B36,importrange(""https:/"&amp;"/docs.google.com/spreadsheets/d/1boHyJQ4e2FU0QG8MHwEi6qjX4hvZWVCHcFfXjq7bbMc/edit?resourcekey#gid=923248883"",""Prop!$CB$1:$CL""),11,0),iferror(vlookup(B36,importrange(""https://docs.google.com/spreadsheets/d/1boHyJQ4e2FU0QG8MHwEi6qjX4hvZWVCHcFfXjq7bbMc/e"&amp;"dit?resourcekey#gid=923248883"",""Prop!$CM$1:$CX""),12,0),iferror(vlookup(B36,importrange(""https://docs.google.com/spreadsheets/d/1boHyJQ4e2FU0QG8MHwEi6qjX4hvZWVCHcFfXjq7bbMc/edit?resourcekey#gid=923248883"",""Prop!$CV$1:$DI""),11,0)))))))))))"),"https://drive.google.com/open?id=1MYBoyKTWE9lvqULIKlNqzk5OHwTkCwh2")</f>
        <v>https://drive.google.com/open?id=1MYBoyKTWE9lvqULIKlNqzk5OHwTkCwh2</v>
      </c>
      <c r="Q36" s="7" t="str">
        <f ca="1">IFERROR(__xludf.DUMMYFUNCTION("iferror(vlookup(B36,importrange(""https://docs.google.com/spreadsheets/d/1p53T2AuvvIqhP7Nf-bo3Uhj8cbKYRPpZdsrBv3x3bAQ/edit?resourcekey#gid=1321652304"",""Prop!$C$1:$M""),11,0),IFERROR(vlookup(B36,importrange(""https://docs.google.com/spreadsheets/d/1p53T2"&amp;"AuvvIqhP7Nf-bo3Uhj8cbKYRPpZdsrBv3x3bAQ/edit?resourcekey#gid=1321652304"",""Prop!$N$1:$X""),11,0),iferror(vlookup(B36,importrange(""https://docs.google.com/spreadsheets/d/1p53T2AuvvIqhP7Nf-bo3Uhj8cbKYRPpZdsrBv3x3bAQ/edit?resourcekey#gid=1321652304"",""Prop"&amp;"!$Y$1:$AI""),11,0),iferror(vlookup(B36,importrange(""https://docs.google.com/spreadsheets/d/1p53T2AuvvIqhP7Nf-bo3Uhj8cbKYRPpZdsrBv3x3bAQ/edit?resourcekey#gid=1321652304"",""Prop!$AJ$1:$AT""),11,0),iferror(vlookup(B36,importrange(""https://docs.google.com/"&amp;"spreadsheets/d/1p53T2AuvvIqhP7Nf-bo3Uhj8cbKYRPpZdsrBv3x3bAQ/edit?resourcekey#gid=1321652304"",""Prop!$AU$1:$BE""),11,0),iferror(vlookup(B36,importrange(""https://docs.google.com/spreadsheets/d/1p53T2AuvvIqhP7Nf-bo3Uhj8cbKYRPpZdsrBv3x3bAQ/edit?resourcekey#"&amp;"gid=1321652304"",""Prop!$BF$1:$BP""),11,0),iferror(vlookup(B36,importrange(""https://docs.google.com/spreadsheets/d/1p53T2AuvvIqhP7Nf-bo3Uhj8cbKYRPpZdsrBv3x3bAQ/edit?resourcekey#gid=1321652304"",""Prop!$BQ$1:$CA""),11,0),iferror(vlookup(B36,importrange("""&amp;"https://docs.google.com/spreadsheets/d/1p53T2AuvvIqhP7Nf-bo3Uhj8cbKYRPpZdsrBv3x3bAQ/edit?resourcekey#gid=1321652304"",""Prop!$CB$1:$CL""),11,0),iferror(vlookup(B36,importrange(""https://docs.google.com/spreadsheets/d/1p53T2AuvvIqhP7Nf-bo3Uhj8cbKYRPpZdsrBv"&amp;"3x3bAQ/edit?resourcekey#gid=1321652304"",""Prop!$CM$1:$CX""),12,0),iferror(vlookup(B36,importrange(""https://docs.google.com/spreadsheets/d/1p53T2AuvvIqhP7Nf-bo3Uhj8cbKYRPpZdsrBv3x3bAQ/edit?resourcekey#gid=1321652304"",""Prop!$CY$1:$DI""),11,0)))))))))))"),"https://drive.google.com/open?id=1ZNbtDbfpPZq0pWyDjwHflc2zL4MxPRKU")</f>
        <v>https://drive.google.com/open?id=1ZNbtDbfpPZq0pWyDjwHflc2zL4MxPRKU</v>
      </c>
      <c r="R36" s="88" t="s">
        <v>1229</v>
      </c>
      <c r="S36" s="20" t="str">
        <f ca="1">IFERROR(__xludf.DUMMYFUNCTION("IFERROR(vlookup(B36,IMPORTRANGE(""https://docs.google.com/spreadsheets/d/1g_jfYYK_KeipEDNDUgqgrsxK94XiocfNQIcP-v1QVhI/edit?resourcekey#gid=233272945"",""Nilai!B:CT""),30,0),"" "")"),"lihat file pdf")</f>
        <v>lihat file pdf</v>
      </c>
      <c r="T36" s="20" t="str">
        <f ca="1">IFERROR(__xludf.DUMMYFUNCTION("IFERROR(vlookup(B36,IMPORTRANGE(""https://docs.google.com/spreadsheets/d/1g_jfYYK_KeipEDNDUgqgrsxK94XiocfNQIcP-v1QVhI/edit?resourcekey#gid=233272945"",""Nilai!B:CT""),97,0),"" "")"),"LAYAK UPLOAD KE SIMBELMAWA DENGAN REVISI")</f>
        <v>LAYAK UPLOAD KE SIMBELMAWA DENGAN REVISI</v>
      </c>
      <c r="U36" s="21" t="s">
        <v>577</v>
      </c>
      <c r="V36" s="16" t="s">
        <v>1230</v>
      </c>
      <c r="W36" s="23" t="s">
        <v>1251</v>
      </c>
      <c r="X36" s="19" t="b">
        <v>1</v>
      </c>
    </row>
    <row r="37" spans="1:24">
      <c r="A37" s="15">
        <v>35</v>
      </c>
      <c r="B37" s="15">
        <f ca="1">IFERROR(__xludf.DUMMYFUNCTION("""COMPUTED_VALUE"""),4107)</f>
        <v>4107</v>
      </c>
      <c r="C37" s="16" t="str">
        <f ca="1">IFERROR(__xludf.DUMMYFUNCTION("""COMPUTED_VALUE"""),"RACHMAD SULISTYO ADI")</f>
        <v>RACHMAD SULISTYO ADI</v>
      </c>
      <c r="D37" s="16" t="str">
        <f ca="1">IFERROR(__xludf.DUMMYFUNCTION("""COMPUTED_VALUE"""),"10511810000009")</f>
        <v>10511810000009</v>
      </c>
      <c r="E37" s="16" t="str">
        <f ca="1">IFERROR(__xludf.DUMMYFUNCTION("""COMPUTED_VALUE"""),"Departemen Teknik Instrumentasi")</f>
        <v>Departemen Teknik Instrumentasi</v>
      </c>
      <c r="F37" s="16" t="str">
        <f ca="1">IFERROR(__xludf.DUMMYFUNCTION("""COMPUTED_VALUE"""),"Rancang bangun Virtual Lab :(SIPENING) Simulator Pengukuran dan Warning System Berbasis Suara dan Getaran dengan Antar Muka Web")</f>
        <v>Rancang bangun Virtual Lab :(SIPENING) Simulator Pengukuran dan Warning System Berbasis Suara dan Getaran dengan Antar Muka Web</v>
      </c>
      <c r="G37" s="16" t="str">
        <f ca="1">IFERROR(__xludf.DUMMYFUNCTION("""COMPUTED_VALUE"""),"Ahmad Fauzan Adziimaa, S.T., M.Sc.")</f>
        <v>Ahmad Fauzan Adziimaa, S.T., M.Sc.</v>
      </c>
      <c r="H37" s="16" t="str">
        <f ca="1">IFERROR(__xludf.DUMMYFUNCTION("""COMPUTED_VALUE"""),"Yudha Prasetyawan, S.T., M.Eng.")</f>
        <v>Yudha Prasetyawan, S.T., M.Eng.</v>
      </c>
      <c r="I37" s="16" t="str">
        <f ca="1">IFERROR(__xludf.DUMMYFUNCTION("""COMPUTED_VALUE"""),"Detak Yan Pratama, S.T., M.Sc.")</f>
        <v>Detak Yan Pratama, S.T., M.Sc.</v>
      </c>
      <c r="J37" s="16"/>
      <c r="K37" s="17" t="s">
        <v>1247</v>
      </c>
      <c r="L37" s="23" t="s">
        <v>1250</v>
      </c>
      <c r="M37" s="19" t="b">
        <v>0</v>
      </c>
      <c r="N37" s="19" t="b">
        <v>0</v>
      </c>
      <c r="O37" s="1" t="s">
        <v>1243</v>
      </c>
      <c r="P37" s="1" t="str">
        <f ca="1">IFERROR(__xludf.DUMMYFUNCTION("iferror(vlookup(B37,importrange(""https://docs.google.com/spreadsheets/d/1boHyJQ4e2FU0QG8MHwEi6qjX4hvZWVCHcFfXjq7bbMc/edit?resourcekey#gid=923248883"",""Prop!$C$1:$M""),12,0),IFERROR(vlookup(B37,importrange(""https://docs.google.com/spreadsheets/d/1boHyJQ"&amp;"4e2FU0QG8MHwEi6qjX4hvZWVCHcFfXjq7bbMc/edit?resourcekey#gid=923248883"",""Prop!$N$1:$X""),11,0),iferror(vlookup(B37,importrange(""https://docs.google.com/spreadsheets/d/1boHyJQ4e2FU0QG8MHwEi6qjX4hvZWVCHcFfXjq7bbMc/edit?resourcekey#gid=923248883"",""Prop!$Y"&amp;"$1:$AI""),11,0),iferror(vlookup(B37,importrange(""https://docs.google.com/spreadsheets/d/1boHyJQ4e2FU0QG8MHwEi6qjX4hvZWVCHcFfXjq7bbMc/edit?resourcekey#gid=923248883"",""Prop!$AJ$1:$AT""),11,0),iferror(vlookup(B37,importrange(""https://docs.google.com/spre"&amp;"adsheets/d/1boHyJQ4e2FU0QG8MHwEi6qjX4hvZWVCHcFfXjq7bbMc/edit?resourcekey#gid=923248883"",""Prop!$AU$1:$BE""),11,0),iferror(vlookup(B37,importrange(""https://docs.google.com/spreadsheets/d/1boHyJQ4e2FU0QG8MHwEi6qjX4hvZWVCHcFfXjq7bbMc/edit?resourcekey#gid=9"&amp;"23248883"",""Prop!$BF$1:$BP""),11,0),iferror(vlookup(B37,importrange(""https://docs.google.com/spreadsheets/d/1boHyJQ4e2FU0QG8MHwEi6qjX4hvZWVCHcFfXjq7bbMc/edit?resourcekey#gid=923248883"",""Prop!$BQ$1:$CA""),11,0),iferror(vlookup(B37,importrange(""https:/"&amp;"/docs.google.com/spreadsheets/d/1boHyJQ4e2FU0QG8MHwEi6qjX4hvZWVCHcFfXjq7bbMc/edit?resourcekey#gid=923248883"",""Prop!$CB$1:$CL""),11,0),iferror(vlookup(B37,importrange(""https://docs.google.com/spreadsheets/d/1boHyJQ4e2FU0QG8MHwEi6qjX4hvZWVCHcFfXjq7bbMc/e"&amp;"dit?resourcekey#gid=923248883"",""Prop!$CM$1:$CX""),12,0),iferror(vlookup(B37,importrange(""https://docs.google.com/spreadsheets/d/1boHyJQ4e2FU0QG8MHwEi6qjX4hvZWVCHcFfXjq7bbMc/edit?resourcekey#gid=923248883"",""Prop!$CV$1:$DI""),11,0)))))))))))"),"")</f>
        <v/>
      </c>
      <c r="Q37" s="7" t="str">
        <f ca="1">IFERROR(__xludf.DUMMYFUNCTION("iferror(vlookup(B37,importrange(""https://docs.google.com/spreadsheets/d/1p53T2AuvvIqhP7Nf-bo3Uhj8cbKYRPpZdsrBv3x3bAQ/edit?resourcekey#gid=1321652304"",""Prop!$C$1:$M""),11,0),IFERROR(vlookup(B37,importrange(""https://docs.google.com/spreadsheets/d/1p53T2"&amp;"AuvvIqhP7Nf-bo3Uhj8cbKYRPpZdsrBv3x3bAQ/edit?resourcekey#gid=1321652304"",""Prop!$N$1:$X""),11,0),iferror(vlookup(B37,importrange(""https://docs.google.com/spreadsheets/d/1p53T2AuvvIqhP7Nf-bo3Uhj8cbKYRPpZdsrBv3x3bAQ/edit?resourcekey#gid=1321652304"",""Prop"&amp;"!$Y$1:$AI""),11,0),iferror(vlookup(B37,importrange(""https://docs.google.com/spreadsheets/d/1p53T2AuvvIqhP7Nf-bo3Uhj8cbKYRPpZdsrBv3x3bAQ/edit?resourcekey#gid=1321652304"",""Prop!$AJ$1:$AT""),11,0),iferror(vlookup(B37,importrange(""https://docs.google.com/"&amp;"spreadsheets/d/1p53T2AuvvIqhP7Nf-bo3Uhj8cbKYRPpZdsrBv3x3bAQ/edit?resourcekey#gid=1321652304"",""Prop!$AU$1:$BE""),11,0),iferror(vlookup(B37,importrange(""https://docs.google.com/spreadsheets/d/1p53T2AuvvIqhP7Nf-bo3Uhj8cbKYRPpZdsrBv3x3bAQ/edit?resourcekey#"&amp;"gid=1321652304"",""Prop!$BF$1:$BP""),11,0),iferror(vlookup(B37,importrange(""https://docs.google.com/spreadsheets/d/1p53T2AuvvIqhP7Nf-bo3Uhj8cbKYRPpZdsrBv3x3bAQ/edit?resourcekey#gid=1321652304"",""Prop!$BQ$1:$CA""),11,0),iferror(vlookup(B37,importrange("""&amp;"https://docs.google.com/spreadsheets/d/1p53T2AuvvIqhP7Nf-bo3Uhj8cbKYRPpZdsrBv3x3bAQ/edit?resourcekey#gid=1321652304"",""Prop!$CB$1:$CL""),11,0),iferror(vlookup(B37,importrange(""https://docs.google.com/spreadsheets/d/1p53T2AuvvIqhP7Nf-bo3Uhj8cbKYRPpZdsrBv"&amp;"3x3bAQ/edit?resourcekey#gid=1321652304"",""Prop!$CM$1:$CX""),12,0),iferror(vlookup(B37,importrange(""https://docs.google.com/spreadsheets/d/1p53T2AuvvIqhP7Nf-bo3Uhj8cbKYRPpZdsrBv3x3bAQ/edit?resourcekey#gid=1321652304"",""Prop!$CY$1:$DI""),11,0)))))))))))"),"https://drive.google.com/open?id=13fPMAw7vedBKpLMaULEteB_bp0fK4TGR")</f>
        <v>https://drive.google.com/open?id=13fPMAw7vedBKpLMaULEteB_bp0fK4TGR</v>
      </c>
      <c r="R37" s="88" t="s">
        <v>1229</v>
      </c>
      <c r="S37" s="20" t="str">
        <f ca="1">IFERROR(__xludf.DUMMYFUNCTION("IFERROR(vlookup(B37,IMPORTRANGE(""https://docs.google.com/spreadsheets/d/1g_jfYYK_KeipEDNDUgqgrsxK94XiocfNQIcP-v1QVhI/edit?resourcekey#gid=233272945"",""Nilai!B:CT""),30,0),"" "")"),"lihat pdf")</f>
        <v>lihat pdf</v>
      </c>
      <c r="T37" s="20" t="str">
        <f ca="1">IFERROR(__xludf.DUMMYFUNCTION("IFERROR(vlookup(B37,IMPORTRANGE(""https://docs.google.com/spreadsheets/d/1g_jfYYK_KeipEDNDUgqgrsxK94XiocfNQIcP-v1QVhI/edit?resourcekey#gid=233272945"",""Nilai!B:CT""),97,0),"" "")"),"LAYAK UPLOAD KE SIMBELMAWA DENGAN REVISI")</f>
        <v>LAYAK UPLOAD KE SIMBELMAWA DENGAN REVISI</v>
      </c>
      <c r="U37" s="21" t="s">
        <v>577</v>
      </c>
      <c r="V37" s="16" t="s">
        <v>1230</v>
      </c>
      <c r="W37" s="23" t="s">
        <v>1252</v>
      </c>
      <c r="X37" s="19" t="b">
        <v>0</v>
      </c>
    </row>
    <row r="38" spans="1:24">
      <c r="A38" s="15">
        <v>36</v>
      </c>
      <c r="B38" s="15">
        <f ca="1">IFERROR(__xludf.DUMMYFUNCTION("""COMPUTED_VALUE"""),4092)</f>
        <v>4092</v>
      </c>
      <c r="C38" s="16" t="str">
        <f ca="1">IFERROR(__xludf.DUMMYFUNCTION("""COMPUTED_VALUE"""),"DHAFIN ZHARFAN")</f>
        <v>DHAFIN ZHARFAN</v>
      </c>
      <c r="D38" s="16" t="str">
        <f ca="1">IFERROR(__xludf.DUMMYFUNCTION("""COMPUTED_VALUE"""),"5012201075")</f>
        <v>5012201075</v>
      </c>
      <c r="E38" s="16" t="str">
        <f ca="1">IFERROR(__xludf.DUMMYFUNCTION("""COMPUTED_VALUE"""),"Departemen Teknik Sipil")</f>
        <v>Departemen Teknik Sipil</v>
      </c>
      <c r="F38" s="16" t="str">
        <f ca="1">IFERROR(__xludf.DUMMYFUNCTION("""COMPUTED_VALUE"""),"Penerangan jembatan dari Energi Getaran dan Solar Cell")</f>
        <v>Penerangan jembatan dari Energi Getaran dan Solar Cell</v>
      </c>
      <c r="G38" s="16" t="str">
        <f ca="1">IFERROR(__xludf.DUMMYFUNCTION("""COMPUTED_VALUE"""),"Ir. Faimun, M.Sc.,Ph.D")</f>
        <v>Ir. Faimun, M.Sc.,Ph.D</v>
      </c>
      <c r="H38" s="16" t="str">
        <f ca="1">IFERROR(__xludf.DUMMYFUNCTION("""COMPUTED_VALUE"""),"Dr. Dhany Arifianto, S.T., M.Eng.")</f>
        <v>Dr. Dhany Arifianto, S.T., M.Eng.</v>
      </c>
      <c r="I38" s="16" t="str">
        <f ca="1">IFERROR(__xludf.DUMMYFUNCTION("""COMPUTED_VALUE"""),"Detak Yan Pratama, S.T., M.Sc.")</f>
        <v>Detak Yan Pratama, S.T., M.Sc.</v>
      </c>
      <c r="J38" s="16"/>
      <c r="K38" s="17" t="s">
        <v>1253</v>
      </c>
      <c r="L38" s="23" t="s">
        <v>1254</v>
      </c>
      <c r="M38" s="19" t="b">
        <v>0</v>
      </c>
      <c r="N38" s="19" t="b">
        <v>0</v>
      </c>
      <c r="O38" s="1" t="s">
        <v>1243</v>
      </c>
      <c r="P38" s="1" t="str">
        <f ca="1">IFERROR(__xludf.DUMMYFUNCTION("iferror(vlookup(B38,importrange(""https://docs.google.com/spreadsheets/d/1boHyJQ4e2FU0QG8MHwEi6qjX4hvZWVCHcFfXjq7bbMc/edit?resourcekey#gid=923248883"",""Prop!$C$1:$M""),12,0),IFERROR(vlookup(B38,importrange(""https://docs.google.com/spreadsheets/d/1boHyJQ"&amp;"4e2FU0QG8MHwEi6qjX4hvZWVCHcFfXjq7bbMc/edit?resourcekey#gid=923248883"",""Prop!$N$1:$X""),11,0),iferror(vlookup(B38,importrange(""https://docs.google.com/spreadsheets/d/1boHyJQ4e2FU0QG8MHwEi6qjX4hvZWVCHcFfXjq7bbMc/edit?resourcekey#gid=923248883"",""Prop!$Y"&amp;"$1:$AI""),11,0),iferror(vlookup(B38,importrange(""https://docs.google.com/spreadsheets/d/1boHyJQ4e2FU0QG8MHwEi6qjX4hvZWVCHcFfXjq7bbMc/edit?resourcekey#gid=923248883"",""Prop!$AJ$1:$AT""),11,0),iferror(vlookup(B38,importrange(""https://docs.google.com/spre"&amp;"adsheets/d/1boHyJQ4e2FU0QG8MHwEi6qjX4hvZWVCHcFfXjq7bbMc/edit?resourcekey#gid=923248883"",""Prop!$AU$1:$BE""),11,0),iferror(vlookup(B38,importrange(""https://docs.google.com/spreadsheets/d/1boHyJQ4e2FU0QG8MHwEi6qjX4hvZWVCHcFfXjq7bbMc/edit?resourcekey#gid=9"&amp;"23248883"",""Prop!$BF$1:$BP""),11,0),iferror(vlookup(B38,importrange(""https://docs.google.com/spreadsheets/d/1boHyJQ4e2FU0QG8MHwEi6qjX4hvZWVCHcFfXjq7bbMc/edit?resourcekey#gid=923248883"",""Prop!$BQ$1:$CA""),11,0),iferror(vlookup(B38,importrange(""https:/"&amp;"/docs.google.com/spreadsheets/d/1boHyJQ4e2FU0QG8MHwEi6qjX4hvZWVCHcFfXjq7bbMc/edit?resourcekey#gid=923248883"",""Prop!$CB$1:$CL""),11,0),iferror(vlookup(B38,importrange(""https://docs.google.com/spreadsheets/d/1boHyJQ4e2FU0QG8MHwEi6qjX4hvZWVCHcFfXjq7bbMc/e"&amp;"dit?resourcekey#gid=923248883"",""Prop!$CM$1:$CX""),12,0),iferror(vlookup(B38,importrange(""https://docs.google.com/spreadsheets/d/1boHyJQ4e2FU0QG8MHwEi6qjX4hvZWVCHcFfXjq7bbMc/edit?resourcekey#gid=923248883"",""Prop!$CV$1:$DI""),11,0)))))))))))"),"")</f>
        <v/>
      </c>
      <c r="Q38" s="1" t="str">
        <f ca="1">IFERROR(__xludf.DUMMYFUNCTION("iferror(vlookup(B38,importrange(""https://docs.google.com/spreadsheets/d/1p53T2AuvvIqhP7Nf-bo3Uhj8cbKYRPpZdsrBv3x3bAQ/edit?resourcekey#gid=1321652304"",""Prop!$C$1:$M""),11,0),IFERROR(vlookup(B38,importrange(""https://docs.google.com/spreadsheets/d/1p53T2"&amp;"AuvvIqhP7Nf-bo3Uhj8cbKYRPpZdsrBv3x3bAQ/edit?resourcekey#gid=1321652304"",""Prop!$N$1:$X""),11,0),iferror(vlookup(B38,importrange(""https://docs.google.com/spreadsheets/d/1p53T2AuvvIqhP7Nf-bo3Uhj8cbKYRPpZdsrBv3x3bAQ/edit?resourcekey#gid=1321652304"",""Prop"&amp;"!$Y$1:$AI""),11,0),iferror(vlookup(B38,importrange(""https://docs.google.com/spreadsheets/d/1p53T2AuvvIqhP7Nf-bo3Uhj8cbKYRPpZdsrBv3x3bAQ/edit?resourcekey#gid=1321652304"",""Prop!$AJ$1:$AT""),11,0),iferror(vlookup(B38,importrange(""https://docs.google.com/"&amp;"spreadsheets/d/1p53T2AuvvIqhP7Nf-bo3Uhj8cbKYRPpZdsrBv3x3bAQ/edit?resourcekey#gid=1321652304"",""Prop!$AU$1:$BE""),11,0),iferror(vlookup(B38,importrange(""https://docs.google.com/spreadsheets/d/1p53T2AuvvIqhP7Nf-bo3Uhj8cbKYRPpZdsrBv3x3bAQ/edit?resourcekey#"&amp;"gid=1321652304"",""Prop!$BF$1:$BP""),11,0),iferror(vlookup(B38,importrange(""https://docs.google.com/spreadsheets/d/1p53T2AuvvIqhP7Nf-bo3Uhj8cbKYRPpZdsrBv3x3bAQ/edit?resourcekey#gid=1321652304"",""Prop!$BQ$1:$CA""),11,0),iferror(vlookup(B38,importrange("""&amp;"https://docs.google.com/spreadsheets/d/1p53T2AuvvIqhP7Nf-bo3Uhj8cbKYRPpZdsrBv3x3bAQ/edit?resourcekey#gid=1321652304"",""Prop!$CB$1:$CL""),11,0),iferror(vlookup(B38,importrange(""https://docs.google.com/spreadsheets/d/1p53T2AuvvIqhP7Nf-bo3Uhj8cbKYRPpZdsrBv"&amp;"3x3bAQ/edit?resourcekey#gid=1321652304"",""Prop!$CM$1:$CX""),12,0),iferror(vlookup(B38,importrange(""https://docs.google.com/spreadsheets/d/1p53T2AuvvIqhP7Nf-bo3Uhj8cbKYRPpZdsrBv3x3bAQ/edit?resourcekey#gid=1321652304"",""Prop!$CY$1:$DI""),11,0)))))))))))"),"")</f>
        <v/>
      </c>
      <c r="R38" s="88" t="s">
        <v>1229</v>
      </c>
      <c r="S38" s="20" t="str">
        <f ca="1">IFERROR(__xludf.DUMMYFUNCTION("IFERROR(vlookup(B38,IMPORTRANGE(""https://docs.google.com/spreadsheets/d/1g_jfYYK_KeipEDNDUgqgrsxK94XiocfNQIcP-v1QVhI/edit?resourcekey#gid=233272945"",""Nilai!B:CT""),30,0),"" "")")," ")</f>
        <v xml:space="preserve"> </v>
      </c>
      <c r="T38" s="20" t="str">
        <f ca="1">IFERROR(__xludf.DUMMYFUNCTION("IFERROR(vlookup(B38,IMPORTRANGE(""https://docs.google.com/spreadsheets/d/1g_jfYYK_KeipEDNDUgqgrsxK94XiocfNQIcP-v1QVhI/edit?resourcekey#gid=233272945"",""Nilai!B:CT""),97,0),"" "")")," ")</f>
        <v xml:space="preserve"> </v>
      </c>
      <c r="U38" s="21" t="s">
        <v>577</v>
      </c>
      <c r="V38" s="16" t="s">
        <v>1230</v>
      </c>
      <c r="W38" s="23" t="s">
        <v>1252</v>
      </c>
      <c r="X38" s="19" t="b">
        <v>0</v>
      </c>
    </row>
    <row r="39" spans="1:24">
      <c r="A39" s="15">
        <v>37</v>
      </c>
      <c r="B39" s="15">
        <f ca="1">IFERROR(__xludf.DUMMYFUNCTION("""COMPUTED_VALUE"""),3769)</f>
        <v>3769</v>
      </c>
      <c r="C39" s="16" t="str">
        <f ca="1">IFERROR(__xludf.DUMMYFUNCTION("""COMPUTED_VALUE"""),"AFRIZAL ROZI AFANDY")</f>
        <v>AFRIZAL ROZI AFANDY</v>
      </c>
      <c r="D39" s="16" t="str">
        <f ca="1">IFERROR(__xludf.DUMMYFUNCTION("""COMPUTED_VALUE"""),"10411810000059")</f>
        <v>10411810000059</v>
      </c>
      <c r="E39" s="16" t="str">
        <f ca="1">IFERROR(__xludf.DUMMYFUNCTION("""COMPUTED_VALUE"""),"Departemen Teknik Kimia Industri")</f>
        <v>Departemen Teknik Kimia Industri</v>
      </c>
      <c r="F39" s="16" t="str">
        <f ca="1">IFERROR(__xludf.DUMMYFUNCTION("""COMPUTED_VALUE"""),"Pembuatan Jaring ikan biodegredable berbasis pati (starch)")</f>
        <v>Pembuatan Jaring ikan biodegredable berbasis pati (starch)</v>
      </c>
      <c r="G39" s="16" t="str">
        <f ca="1">IFERROR(__xludf.DUMMYFUNCTION("""COMPUTED_VALUE"""),"Warlinda Eka Triastuti, S.Si., M.T.")</f>
        <v>Warlinda Eka Triastuti, S.Si., M.T.</v>
      </c>
      <c r="H39" s="16" t="str">
        <f ca="1">IFERROR(__xludf.DUMMYFUNCTION("""COMPUTED_VALUE"""),"Mohammad Khoirul Effendi, S.T., M.Sc.Eng., Ph.D.")</f>
        <v>Mohammad Khoirul Effendi, S.T., M.Sc.Eng., Ph.D.</v>
      </c>
      <c r="I39" s="16" t="str">
        <f ca="1">IFERROR(__xludf.DUMMYFUNCTION("""COMPUTED_VALUE"""),"Azzah Dyah Pramata, S.T., M.T., M.Eng., Ph.D.")</f>
        <v>Azzah Dyah Pramata, S.T., M.T., M.Eng., Ph.D.</v>
      </c>
      <c r="J39" s="16"/>
      <c r="K39" s="17" t="s">
        <v>1253</v>
      </c>
      <c r="L39" s="23" t="s">
        <v>1254</v>
      </c>
      <c r="M39" s="19" t="b">
        <v>0</v>
      </c>
      <c r="N39" s="19" t="b">
        <v>0</v>
      </c>
      <c r="O39" s="1" t="s">
        <v>1243</v>
      </c>
      <c r="P39" s="7" t="str">
        <f ca="1">IFERROR(__xludf.DUMMYFUNCTION("iferror(vlookup(B39,importrange(""https://docs.google.com/spreadsheets/d/1boHyJQ4e2FU0QG8MHwEi6qjX4hvZWVCHcFfXjq7bbMc/edit?resourcekey#gid=923248883"",""Prop!$C$1:$M""),12,0),IFERROR(vlookup(B39,importrange(""https://docs.google.com/spreadsheets/d/1boHyJQ"&amp;"4e2FU0QG8MHwEi6qjX4hvZWVCHcFfXjq7bbMc/edit?resourcekey#gid=923248883"",""Prop!$N$1:$X""),11,0),iferror(vlookup(B39,importrange(""https://docs.google.com/spreadsheets/d/1boHyJQ4e2FU0QG8MHwEi6qjX4hvZWVCHcFfXjq7bbMc/edit?resourcekey#gid=923248883"",""Prop!$Y"&amp;"$1:$AI""),11,0),iferror(vlookup(B39,importrange(""https://docs.google.com/spreadsheets/d/1boHyJQ4e2FU0QG8MHwEi6qjX4hvZWVCHcFfXjq7bbMc/edit?resourcekey#gid=923248883"",""Prop!$AJ$1:$AT""),11,0),iferror(vlookup(B39,importrange(""https://docs.google.com/spre"&amp;"adsheets/d/1boHyJQ4e2FU0QG8MHwEi6qjX4hvZWVCHcFfXjq7bbMc/edit?resourcekey#gid=923248883"",""Prop!$AU$1:$BE""),11,0),iferror(vlookup(B39,importrange(""https://docs.google.com/spreadsheets/d/1boHyJQ4e2FU0QG8MHwEi6qjX4hvZWVCHcFfXjq7bbMc/edit?resourcekey#gid=9"&amp;"23248883"",""Prop!$BF$1:$BP""),11,0),iferror(vlookup(B39,importrange(""https://docs.google.com/spreadsheets/d/1boHyJQ4e2FU0QG8MHwEi6qjX4hvZWVCHcFfXjq7bbMc/edit?resourcekey#gid=923248883"",""Prop!$BQ$1:$CA""),11,0),iferror(vlookup(B39,importrange(""https:/"&amp;"/docs.google.com/spreadsheets/d/1boHyJQ4e2FU0QG8MHwEi6qjX4hvZWVCHcFfXjq7bbMc/edit?resourcekey#gid=923248883"",""Prop!$CB$1:$CL""),11,0),iferror(vlookup(B39,importrange(""https://docs.google.com/spreadsheets/d/1boHyJQ4e2FU0QG8MHwEi6qjX4hvZWVCHcFfXjq7bbMc/e"&amp;"dit?resourcekey#gid=923248883"",""Prop!$CM$1:$CX""),12,0),iferror(vlookup(B39,importrange(""https://docs.google.com/spreadsheets/d/1boHyJQ4e2FU0QG8MHwEi6qjX4hvZWVCHcFfXjq7bbMc/edit?resourcekey#gid=923248883"",""Prop!$CV$1:$DI""),11,0)))))))))))"),"https://drive.google.com/open?id=1FOrlgQsHYG9dlY7hMeimp0XL2Vdg752q")</f>
        <v>https://drive.google.com/open?id=1FOrlgQsHYG9dlY7hMeimp0XL2Vdg752q</v>
      </c>
      <c r="Q39" s="7" t="str">
        <f ca="1">IFERROR(__xludf.DUMMYFUNCTION("iferror(vlookup(B39,importrange(""https://docs.google.com/spreadsheets/d/1p53T2AuvvIqhP7Nf-bo3Uhj8cbKYRPpZdsrBv3x3bAQ/edit?resourcekey#gid=1321652304"",""Prop!$C$1:$M""),11,0),IFERROR(vlookup(B39,importrange(""https://docs.google.com/spreadsheets/d/1p53T2"&amp;"AuvvIqhP7Nf-bo3Uhj8cbKYRPpZdsrBv3x3bAQ/edit?resourcekey#gid=1321652304"",""Prop!$N$1:$X""),11,0),iferror(vlookup(B39,importrange(""https://docs.google.com/spreadsheets/d/1p53T2AuvvIqhP7Nf-bo3Uhj8cbKYRPpZdsrBv3x3bAQ/edit?resourcekey#gid=1321652304"",""Prop"&amp;"!$Y$1:$AI""),11,0),iferror(vlookup(B39,importrange(""https://docs.google.com/spreadsheets/d/1p53T2AuvvIqhP7Nf-bo3Uhj8cbKYRPpZdsrBv3x3bAQ/edit?resourcekey#gid=1321652304"",""Prop!$AJ$1:$AT""),11,0),iferror(vlookup(B39,importrange(""https://docs.google.com/"&amp;"spreadsheets/d/1p53T2AuvvIqhP7Nf-bo3Uhj8cbKYRPpZdsrBv3x3bAQ/edit?resourcekey#gid=1321652304"",""Prop!$AU$1:$BE""),11,0),iferror(vlookup(B39,importrange(""https://docs.google.com/spreadsheets/d/1p53T2AuvvIqhP7Nf-bo3Uhj8cbKYRPpZdsrBv3x3bAQ/edit?resourcekey#"&amp;"gid=1321652304"",""Prop!$BF$1:$BP""),11,0),iferror(vlookup(B39,importrange(""https://docs.google.com/spreadsheets/d/1p53T2AuvvIqhP7Nf-bo3Uhj8cbKYRPpZdsrBv3x3bAQ/edit?resourcekey#gid=1321652304"",""Prop!$BQ$1:$CA""),11,0),iferror(vlookup(B39,importrange("""&amp;"https://docs.google.com/spreadsheets/d/1p53T2AuvvIqhP7Nf-bo3Uhj8cbKYRPpZdsrBv3x3bAQ/edit?resourcekey#gid=1321652304"",""Prop!$CB$1:$CL""),11,0),iferror(vlookup(B39,importrange(""https://docs.google.com/spreadsheets/d/1p53T2AuvvIqhP7Nf-bo3Uhj8cbKYRPpZdsrBv"&amp;"3x3bAQ/edit?resourcekey#gid=1321652304"",""Prop!$CM$1:$CX""),12,0),iferror(vlookup(B39,importrange(""https://docs.google.com/spreadsheets/d/1p53T2AuvvIqhP7Nf-bo3Uhj8cbKYRPpZdsrBv3x3bAQ/edit?resourcekey#gid=1321652304"",""Prop!$CY$1:$DI""),11,0)))))))))))"),"https://drive.google.com/open?id=1_8MbSvzbaawu0ADL-2tI9Bfybr1ChrWt")</f>
        <v>https://drive.google.com/open?id=1_8MbSvzbaawu0ADL-2tI9Bfybr1ChrWt</v>
      </c>
      <c r="R39" s="88" t="s">
        <v>1229</v>
      </c>
      <c r="S39" s="20" t="str">
        <f ca="1">IFERROR(__xludf.DUMMYFUNCTION("IFERROR(vlookup(B39,IMPORTRANGE(""https://docs.google.com/spreadsheets/d/1g_jfYYK_KeipEDNDUgqgrsxK94XiocfNQIcP-v1QVhI/edit?resourcekey#gid=233272945"",""Nilai!B:CT""),30,0),"" "")"),"idenya lebih cocok ke RE ")</f>
        <v xml:space="preserve">idenya lebih cocok ke RE </v>
      </c>
      <c r="T39" s="20" t="str">
        <f ca="1">IFERROR(__xludf.DUMMYFUNCTION("IFERROR(vlookup(B39,IMPORTRANGE(""https://docs.google.com/spreadsheets/d/1g_jfYYK_KeipEDNDUgqgrsxK94XiocfNQIcP-v1QVhI/edit?resourcekey#gid=233272945"",""Nilai!B:CT""),97,0),"" "")"),"TIDAK LAYAK UPLOAD KE SIMBELMAWA")</f>
        <v>TIDAK LAYAK UPLOAD KE SIMBELMAWA</v>
      </c>
      <c r="U39" s="21" t="s">
        <v>577</v>
      </c>
      <c r="V39" s="16" t="s">
        <v>1230</v>
      </c>
      <c r="W39" s="23" t="s">
        <v>1252</v>
      </c>
      <c r="X39" s="19" t="b">
        <v>1</v>
      </c>
    </row>
    <row r="40" spans="1:24">
      <c r="A40" s="15">
        <v>38</v>
      </c>
      <c r="B40" s="15">
        <f ca="1">IFERROR(__xludf.DUMMYFUNCTION("""COMPUTED_VALUE"""),3385)</f>
        <v>3385</v>
      </c>
      <c r="C40" s="16" t="str">
        <f ca="1">IFERROR(__xludf.DUMMYFUNCTION("""COMPUTED_VALUE"""),"INGGITA NIRMALA PUTRI WARDHANA")</f>
        <v>INGGITA NIRMALA PUTRI WARDHANA</v>
      </c>
      <c r="D40" s="16" t="str">
        <f ca="1">IFERROR(__xludf.DUMMYFUNCTION("""COMPUTED_VALUE"""),"5010201010")</f>
        <v>5010201010</v>
      </c>
      <c r="E40" s="16" t="str">
        <f ca="1">IFERROR(__xludf.DUMMYFUNCTION("""COMPUTED_VALUE"""),"Departemen Teknik Sistem dan Industri")</f>
        <v>Departemen Teknik Sistem dan Industri</v>
      </c>
      <c r="F40" s="16" t="str">
        <f ca="1">IFERROR(__xludf.DUMMYFUNCTION("""COMPUTED_VALUE"""),"IoT-Integrated Waste Gathering Aquadrone (ITERATION)")</f>
        <v>IoT-Integrated Waste Gathering Aquadrone (ITERATION)</v>
      </c>
      <c r="G40" s="16" t="str">
        <f ca="1">IFERROR(__xludf.DUMMYFUNCTION("""COMPUTED_VALUE"""),"Rindi Kusumawardani, S.Si., M.Sc.")</f>
        <v>Rindi Kusumawardani, S.Si., M.Sc.</v>
      </c>
      <c r="H40" s="16" t="str">
        <f ca="1">IFERROR(__xludf.DUMMYFUNCTION("""COMPUTED_VALUE"""),"Sefi Novendra Patrialova, S.Si., M.T")</f>
        <v>Sefi Novendra Patrialova, S.Si., M.T</v>
      </c>
      <c r="I40" s="16" t="str">
        <f ca="1">IFERROR(__xludf.DUMMYFUNCTION("""COMPUTED_VALUE"""),"Indra Ranu Kusuma, S.T., M.Sc.")</f>
        <v>Indra Ranu Kusuma, S.T., M.Sc.</v>
      </c>
      <c r="J40" s="16"/>
      <c r="K40" s="17" t="s">
        <v>1253</v>
      </c>
      <c r="L40" s="23" t="s">
        <v>1254</v>
      </c>
      <c r="M40" s="19" t="b">
        <v>0</v>
      </c>
      <c r="N40" s="19" t="b">
        <v>0</v>
      </c>
      <c r="O40" s="1" t="s">
        <v>1243</v>
      </c>
      <c r="P40" s="7" t="str">
        <f ca="1">IFERROR(__xludf.DUMMYFUNCTION("iferror(vlookup(B40,importrange(""https://docs.google.com/spreadsheets/d/1boHyJQ4e2FU0QG8MHwEi6qjX4hvZWVCHcFfXjq7bbMc/edit?resourcekey#gid=923248883"",""Prop!$C$1:$M""),12,0),IFERROR(vlookup(B40,importrange(""https://docs.google.com/spreadsheets/d/1boHyJQ"&amp;"4e2FU0QG8MHwEi6qjX4hvZWVCHcFfXjq7bbMc/edit?resourcekey#gid=923248883"",""Prop!$N$1:$X""),11,0),iferror(vlookup(B40,importrange(""https://docs.google.com/spreadsheets/d/1boHyJQ4e2FU0QG8MHwEi6qjX4hvZWVCHcFfXjq7bbMc/edit?resourcekey#gid=923248883"",""Prop!$Y"&amp;"$1:$AI""),11,0),iferror(vlookup(B40,importrange(""https://docs.google.com/spreadsheets/d/1boHyJQ4e2FU0QG8MHwEi6qjX4hvZWVCHcFfXjq7bbMc/edit?resourcekey#gid=923248883"",""Prop!$AJ$1:$AT""),11,0),iferror(vlookup(B40,importrange(""https://docs.google.com/spre"&amp;"adsheets/d/1boHyJQ4e2FU0QG8MHwEi6qjX4hvZWVCHcFfXjq7bbMc/edit?resourcekey#gid=923248883"",""Prop!$AU$1:$BE""),11,0),iferror(vlookup(B40,importrange(""https://docs.google.com/spreadsheets/d/1boHyJQ4e2FU0QG8MHwEi6qjX4hvZWVCHcFfXjq7bbMc/edit?resourcekey#gid=9"&amp;"23248883"",""Prop!$BF$1:$BP""),11,0),iferror(vlookup(B40,importrange(""https://docs.google.com/spreadsheets/d/1boHyJQ4e2FU0QG8MHwEi6qjX4hvZWVCHcFfXjq7bbMc/edit?resourcekey#gid=923248883"",""Prop!$BQ$1:$CA""),11,0),iferror(vlookup(B40,importrange(""https:/"&amp;"/docs.google.com/spreadsheets/d/1boHyJQ4e2FU0QG8MHwEi6qjX4hvZWVCHcFfXjq7bbMc/edit?resourcekey#gid=923248883"",""Prop!$CB$1:$CL""),11,0),iferror(vlookup(B40,importrange(""https://docs.google.com/spreadsheets/d/1boHyJQ4e2FU0QG8MHwEi6qjX4hvZWVCHcFfXjq7bbMc/e"&amp;"dit?resourcekey#gid=923248883"",""Prop!$CM$1:$CX""),12,0),iferror(vlookup(B40,importrange(""https://docs.google.com/spreadsheets/d/1boHyJQ4e2FU0QG8MHwEi6qjX4hvZWVCHcFfXjq7bbMc/edit?resourcekey#gid=923248883"",""Prop!$CV$1:$DI""),11,0)))))))))))"),"https://drive.google.com/open?id=19qRX15Sk3PjFQ3-H4X13P7ZVRqb9NA6W")</f>
        <v>https://drive.google.com/open?id=19qRX15Sk3PjFQ3-H4X13P7ZVRqb9NA6W</v>
      </c>
      <c r="Q40" s="7" t="str">
        <f ca="1">IFERROR(__xludf.DUMMYFUNCTION("iferror(vlookup(B40,importrange(""https://docs.google.com/spreadsheets/d/1p53T2AuvvIqhP7Nf-bo3Uhj8cbKYRPpZdsrBv3x3bAQ/edit?resourcekey#gid=1321652304"",""Prop!$C$1:$M""),11,0),IFERROR(vlookup(B40,importrange(""https://docs.google.com/spreadsheets/d/1p53T2"&amp;"AuvvIqhP7Nf-bo3Uhj8cbKYRPpZdsrBv3x3bAQ/edit?resourcekey#gid=1321652304"",""Prop!$N$1:$X""),11,0),iferror(vlookup(B40,importrange(""https://docs.google.com/spreadsheets/d/1p53T2AuvvIqhP7Nf-bo3Uhj8cbKYRPpZdsrBv3x3bAQ/edit?resourcekey#gid=1321652304"",""Prop"&amp;"!$Y$1:$AI""),11,0),iferror(vlookup(B40,importrange(""https://docs.google.com/spreadsheets/d/1p53T2AuvvIqhP7Nf-bo3Uhj8cbKYRPpZdsrBv3x3bAQ/edit?resourcekey#gid=1321652304"",""Prop!$AJ$1:$AT""),11,0),iferror(vlookup(B40,importrange(""https://docs.google.com/"&amp;"spreadsheets/d/1p53T2AuvvIqhP7Nf-bo3Uhj8cbKYRPpZdsrBv3x3bAQ/edit?resourcekey#gid=1321652304"",""Prop!$AU$1:$BE""),11,0),iferror(vlookup(B40,importrange(""https://docs.google.com/spreadsheets/d/1p53T2AuvvIqhP7Nf-bo3Uhj8cbKYRPpZdsrBv3x3bAQ/edit?resourcekey#"&amp;"gid=1321652304"",""Prop!$BF$1:$BP""),11,0),iferror(vlookup(B40,importrange(""https://docs.google.com/spreadsheets/d/1p53T2AuvvIqhP7Nf-bo3Uhj8cbKYRPpZdsrBv3x3bAQ/edit?resourcekey#gid=1321652304"",""Prop!$BQ$1:$CA""),11,0),iferror(vlookup(B40,importrange("""&amp;"https://docs.google.com/spreadsheets/d/1p53T2AuvvIqhP7Nf-bo3Uhj8cbKYRPpZdsrBv3x3bAQ/edit?resourcekey#gid=1321652304"",""Prop!$CB$1:$CL""),11,0),iferror(vlookup(B40,importrange(""https://docs.google.com/spreadsheets/d/1p53T2AuvvIqhP7Nf-bo3Uhj8cbKYRPpZdsrBv"&amp;"3x3bAQ/edit?resourcekey#gid=1321652304"",""Prop!$CM$1:$CX""),12,0),iferror(vlookup(B40,importrange(""https://docs.google.com/spreadsheets/d/1p53T2AuvvIqhP7Nf-bo3Uhj8cbKYRPpZdsrBv3x3bAQ/edit?resourcekey#gid=1321652304"",""Prop!$CY$1:$DI""),11,0)))))))))))"),"https://drive.google.com/open?id=1eQMiLyxZBI6X_vzBshbJlm4nvheUvhdC")</f>
        <v>https://drive.google.com/open?id=1eQMiLyxZBI6X_vzBshbJlm4nvheUvhdC</v>
      </c>
      <c r="R40" s="88" t="s">
        <v>1229</v>
      </c>
      <c r="S40" s="20" t="str">
        <f ca="1">IFERROR(__xludf.DUMMYFUNCTION("IFERROR(vlookup(B40,IMPORTRANGE(""https://docs.google.com/spreadsheets/d/1g_jfYYK_KeipEDNDUgqgrsxK94XiocfNQIcP-v1QVhI/edit?resourcekey#gid=233272945"",""Nilai!B:CT""),30,0),"" "")"),"REVISI MAJOR - Konten menarik, keunggulan produk belum nampak di bab 1. Di bab 2 masih menjelaskan komponen. Anggaran belum menunjukkan mana belmawa mana perguruan tinggi")</f>
        <v>REVISI MAJOR - Konten menarik, keunggulan produk belum nampak di bab 1. Di bab 2 masih menjelaskan komponen. Anggaran belum menunjukkan mana belmawa mana perguruan tinggi</v>
      </c>
      <c r="T40" s="20" t="str">
        <f ca="1">IFERROR(__xludf.DUMMYFUNCTION("IFERROR(vlookup(B40,IMPORTRANGE(""https://docs.google.com/spreadsheets/d/1g_jfYYK_KeipEDNDUgqgrsxK94XiocfNQIcP-v1QVhI/edit?resourcekey#gid=233272945"",""Nilai!B:CT""),97,0),"" "")"),"LAYAK UPLOAD KE SIMBELMAWA DENGAN REVISI")</f>
        <v>LAYAK UPLOAD KE SIMBELMAWA DENGAN REVISI</v>
      </c>
      <c r="U40" s="21" t="s">
        <v>577</v>
      </c>
      <c r="V40" s="16" t="s">
        <v>1230</v>
      </c>
      <c r="W40" s="23" t="s">
        <v>1252</v>
      </c>
      <c r="X40" s="19" t="b">
        <v>1</v>
      </c>
    </row>
    <row r="41" spans="1:24">
      <c r="A41" s="15">
        <v>39</v>
      </c>
      <c r="B41" s="15">
        <f ca="1">IFERROR(__xludf.DUMMYFUNCTION("""COMPUTED_VALUE"""),2872)</f>
        <v>2872</v>
      </c>
      <c r="C41" s="16" t="str">
        <f ca="1">IFERROR(__xludf.DUMMYFUNCTION("""COMPUTED_VALUE"""),"DAULIKA SARASVATI")</f>
        <v>DAULIKA SARASVATI</v>
      </c>
      <c r="D41" s="16" t="str">
        <f ca="1">IFERROR(__xludf.DUMMYFUNCTION("""COMPUTED_VALUE"""),"5007201001")</f>
        <v>5007201001</v>
      </c>
      <c r="E41" s="16" t="str">
        <f ca="1">IFERROR(__xludf.DUMMYFUNCTION("""COMPUTED_VALUE"""),"Departemen Teknik Mesin")</f>
        <v>Departemen Teknik Mesin</v>
      </c>
      <c r="F41" s="16" t="str">
        <f ca="1">IFERROR(__xludf.DUMMYFUNCTION("""COMPUTED_VALUE"""),"Inovasi Pemanen Energi Listrik Portabel Berbasis Hybrid System Savonius Wind Turbine dan Solar Panel Sebagai Solusi Listrik di Gili Raja")</f>
        <v>Inovasi Pemanen Energi Listrik Portabel Berbasis Hybrid System Savonius Wind Turbine dan Solar Panel Sebagai Solusi Listrik di Gili Raja</v>
      </c>
      <c r="G41" s="16" t="str">
        <f ca="1">IFERROR(__xludf.DUMMYFUNCTION("""COMPUTED_VALUE"""),"Prof. Dr. Ir. Tri Yogi Yuwono, DEA.")</f>
        <v>Prof. Dr. Ir. Tri Yogi Yuwono, DEA.</v>
      </c>
      <c r="H41" s="16" t="str">
        <f ca="1">IFERROR(__xludf.DUMMYFUNCTION("""COMPUTED_VALUE"""),"Ir. Josaphat Pramudijanto, M.Eng.")</f>
        <v>Ir. Josaphat Pramudijanto, M.Eng.</v>
      </c>
      <c r="I41" s="16" t="str">
        <f ca="1">IFERROR(__xludf.DUMMYFUNCTION("""COMPUTED_VALUE"""),"Dr. Suyatno, S.Si., M.Si.")</f>
        <v>Dr. Suyatno, S.Si., M.Si.</v>
      </c>
      <c r="J41" s="16"/>
      <c r="K41" s="17" t="s">
        <v>1253</v>
      </c>
      <c r="L41" s="23" t="s">
        <v>1254</v>
      </c>
      <c r="M41" s="19" t="b">
        <v>0</v>
      </c>
      <c r="N41" s="19" t="b">
        <v>0</v>
      </c>
      <c r="O41" s="1" t="s">
        <v>1255</v>
      </c>
      <c r="P41" s="7" t="str">
        <f ca="1">IFERROR(__xludf.DUMMYFUNCTION("iferror(vlookup(B41,importrange(""https://docs.google.com/spreadsheets/d/1boHyJQ4e2FU0QG8MHwEi6qjX4hvZWVCHcFfXjq7bbMc/edit?resourcekey#gid=923248883"",""Prop!$C$1:$M""),12,0),IFERROR(vlookup(B41,importrange(""https://docs.google.com/spreadsheets/d/1boHyJQ"&amp;"4e2FU0QG8MHwEi6qjX4hvZWVCHcFfXjq7bbMc/edit?resourcekey#gid=923248883"",""Prop!$N$1:$X""),11,0),iferror(vlookup(B41,importrange(""https://docs.google.com/spreadsheets/d/1boHyJQ4e2FU0QG8MHwEi6qjX4hvZWVCHcFfXjq7bbMc/edit?resourcekey#gid=923248883"",""Prop!$Y"&amp;"$1:$AI""),11,0),iferror(vlookup(B41,importrange(""https://docs.google.com/spreadsheets/d/1boHyJQ4e2FU0QG8MHwEi6qjX4hvZWVCHcFfXjq7bbMc/edit?resourcekey#gid=923248883"",""Prop!$AJ$1:$AT""),11,0),iferror(vlookup(B41,importrange(""https://docs.google.com/spre"&amp;"adsheets/d/1boHyJQ4e2FU0QG8MHwEi6qjX4hvZWVCHcFfXjq7bbMc/edit?resourcekey#gid=923248883"",""Prop!$AU$1:$BE""),11,0),iferror(vlookup(B41,importrange(""https://docs.google.com/spreadsheets/d/1boHyJQ4e2FU0QG8MHwEi6qjX4hvZWVCHcFfXjq7bbMc/edit?resourcekey#gid=9"&amp;"23248883"",""Prop!$BF$1:$BP""),11,0),iferror(vlookup(B41,importrange(""https://docs.google.com/spreadsheets/d/1boHyJQ4e2FU0QG8MHwEi6qjX4hvZWVCHcFfXjq7bbMc/edit?resourcekey#gid=923248883"",""Prop!$BQ$1:$CA""),11,0),iferror(vlookup(B41,importrange(""https:/"&amp;"/docs.google.com/spreadsheets/d/1boHyJQ4e2FU0QG8MHwEi6qjX4hvZWVCHcFfXjq7bbMc/edit?resourcekey#gid=923248883"",""Prop!$CB$1:$CL""),11,0),iferror(vlookup(B41,importrange(""https://docs.google.com/spreadsheets/d/1boHyJQ4e2FU0QG8MHwEi6qjX4hvZWVCHcFfXjq7bbMc/e"&amp;"dit?resourcekey#gid=923248883"",""Prop!$CM$1:$CX""),12,0),iferror(vlookup(B41,importrange(""https://docs.google.com/spreadsheets/d/1boHyJQ4e2FU0QG8MHwEi6qjX4hvZWVCHcFfXjq7bbMc/edit?resourcekey#gid=923248883"",""Prop!$CV$1:$DI""),11,0)))))))))))"),"https://drive.google.com/open?id=1proB9fV_8YyRbC40GU6UgD_CUgxpfL7u")</f>
        <v>https://drive.google.com/open?id=1proB9fV_8YyRbC40GU6UgD_CUgxpfL7u</v>
      </c>
      <c r="Q41" s="7" t="str">
        <f ca="1">IFERROR(__xludf.DUMMYFUNCTION("iferror(vlookup(B41,importrange(""https://docs.google.com/spreadsheets/d/1p53T2AuvvIqhP7Nf-bo3Uhj8cbKYRPpZdsrBv3x3bAQ/edit?resourcekey#gid=1321652304"",""Prop!$C$1:$M""),11,0),IFERROR(vlookup(B41,importrange(""https://docs.google.com/spreadsheets/d/1p53T2"&amp;"AuvvIqhP7Nf-bo3Uhj8cbKYRPpZdsrBv3x3bAQ/edit?resourcekey#gid=1321652304"",""Prop!$N$1:$X""),11,0),iferror(vlookup(B41,importrange(""https://docs.google.com/spreadsheets/d/1p53T2AuvvIqhP7Nf-bo3Uhj8cbKYRPpZdsrBv3x3bAQ/edit?resourcekey#gid=1321652304"",""Prop"&amp;"!$Y$1:$AI""),11,0),iferror(vlookup(B41,importrange(""https://docs.google.com/spreadsheets/d/1p53T2AuvvIqhP7Nf-bo3Uhj8cbKYRPpZdsrBv3x3bAQ/edit?resourcekey#gid=1321652304"",""Prop!$AJ$1:$AT""),11,0),iferror(vlookup(B41,importrange(""https://docs.google.com/"&amp;"spreadsheets/d/1p53T2AuvvIqhP7Nf-bo3Uhj8cbKYRPpZdsrBv3x3bAQ/edit?resourcekey#gid=1321652304"",""Prop!$AU$1:$BE""),11,0),iferror(vlookup(B41,importrange(""https://docs.google.com/spreadsheets/d/1p53T2AuvvIqhP7Nf-bo3Uhj8cbKYRPpZdsrBv3x3bAQ/edit?resourcekey#"&amp;"gid=1321652304"",""Prop!$BF$1:$BP""),11,0),iferror(vlookup(B41,importrange(""https://docs.google.com/spreadsheets/d/1p53T2AuvvIqhP7Nf-bo3Uhj8cbKYRPpZdsrBv3x3bAQ/edit?resourcekey#gid=1321652304"",""Prop!$BQ$1:$CA""),11,0),iferror(vlookup(B41,importrange("""&amp;"https://docs.google.com/spreadsheets/d/1p53T2AuvvIqhP7Nf-bo3Uhj8cbKYRPpZdsrBv3x3bAQ/edit?resourcekey#gid=1321652304"",""Prop!$CB$1:$CL""),11,0),iferror(vlookup(B41,importrange(""https://docs.google.com/spreadsheets/d/1p53T2AuvvIqhP7Nf-bo3Uhj8cbKYRPpZdsrBv"&amp;"3x3bAQ/edit?resourcekey#gid=1321652304"",""Prop!$CM$1:$CX""),12,0),iferror(vlookup(B41,importrange(""https://docs.google.com/spreadsheets/d/1p53T2AuvvIqhP7Nf-bo3Uhj8cbKYRPpZdsrBv3x3bAQ/edit?resourcekey#gid=1321652304"",""Prop!$CY$1:$DI""),11,0)))))))))))"),"https://drive.google.com/open?id=1vSHxNbkBlKKFuE6xOl1w-Xp1_z2A5tOD")</f>
        <v>https://drive.google.com/open?id=1vSHxNbkBlKKFuE6xOl1w-Xp1_z2A5tOD</v>
      </c>
      <c r="R41" s="88" t="s">
        <v>1229</v>
      </c>
      <c r="S41" s="20" t="str">
        <f ca="1">IFERROR(__xludf.DUMMYFUNCTION("IFERROR(vlookup(B41,IMPORTRANGE(""https://docs.google.com/spreadsheets/d/1g_jfYYK_KeipEDNDUgqgrsxK94XiocfNQIcP-v1QVhI/edit?resourcekey#gid=233272945"",""Nilai!B:CT""),30,0),"" "")"),"lihat pdf")</f>
        <v>lihat pdf</v>
      </c>
      <c r="T41" s="20" t="str">
        <f ca="1">IFERROR(__xludf.DUMMYFUNCTION("IFERROR(vlookup(B41,IMPORTRANGE(""https://docs.google.com/spreadsheets/d/1g_jfYYK_KeipEDNDUgqgrsxK94XiocfNQIcP-v1QVhI/edit?resourcekey#gid=233272945"",""Nilai!B:CT""),97,0),"" "")"),"LAYAK UPLOAD KE SIMBELMAWA DENGAN REVISI")</f>
        <v>LAYAK UPLOAD KE SIMBELMAWA DENGAN REVISI</v>
      </c>
      <c r="U41" s="21" t="s">
        <v>577</v>
      </c>
      <c r="V41" s="16" t="s">
        <v>1230</v>
      </c>
      <c r="W41" s="23" t="s">
        <v>1256</v>
      </c>
      <c r="X41" s="19" t="b">
        <v>0</v>
      </c>
    </row>
    <row r="42" spans="1:24">
      <c r="A42" s="15">
        <v>40</v>
      </c>
      <c r="B42" s="15">
        <f ca="1">IFERROR(__xludf.DUMMYFUNCTION("""COMPUTED_VALUE"""),2382)</f>
        <v>2382</v>
      </c>
      <c r="C42" s="16" t="str">
        <f ca="1">IFERROR(__xludf.DUMMYFUNCTION("""COMPUTED_VALUE"""),"GITA MARCELLA KHOIRUN NISSA")</f>
        <v>GITA MARCELLA KHOIRUN NISSA</v>
      </c>
      <c r="D42" s="16" t="str">
        <f ca="1">IFERROR(__xludf.DUMMYFUNCTION("""COMPUTED_VALUE"""),"10511810000038")</f>
        <v>10511810000038</v>
      </c>
      <c r="E42" s="16" t="str">
        <f ca="1">IFERROR(__xludf.DUMMYFUNCTION("""COMPUTED_VALUE"""),"Departemen Teknik Instrumentasi")</f>
        <v>Departemen Teknik Instrumentasi</v>
      </c>
      <c r="F42" s="16" t="str">
        <f ca="1">IFERROR(__xludf.DUMMYFUNCTION("""COMPUTED_VALUE"""),"SISTEM KONTROL DAN MONITORING INTENSITAS CAHAYA DALAM PHOTOSYNTHETICALLY ACTIVE RADIATION PADA SMART FARMING BERBASIS IOT GUNA MEMBANTU PERTUMBUHAN TANAMAN")</f>
        <v>SISTEM KONTROL DAN MONITORING INTENSITAS CAHAYA DALAM PHOTOSYNTHETICALLY ACTIVE RADIATION PADA SMART FARMING BERBASIS IOT GUNA MEMBANTU PERTUMBUHAN TANAMAN</v>
      </c>
      <c r="G42" s="16" t="str">
        <f ca="1">IFERROR(__xludf.DUMMYFUNCTION("""COMPUTED_VALUE"""),"Sefi Novendra Patrialova, S.Si., M.T")</f>
        <v>Sefi Novendra Patrialova, S.Si., M.T</v>
      </c>
      <c r="H42" s="16" t="str">
        <f ca="1">IFERROR(__xludf.DUMMYFUNCTION("""COMPUTED_VALUE"""),"Yudha Prasetyawan, S.T., M.Eng.")</f>
        <v>Yudha Prasetyawan, S.T., M.Eng.</v>
      </c>
      <c r="I42" s="16" t="str">
        <f ca="1">IFERROR(__xludf.DUMMYFUNCTION("""COMPUTED_VALUE"""),"Putu Gde Ariastita, S.T., M.T.")</f>
        <v>Putu Gde Ariastita, S.T., M.T.</v>
      </c>
      <c r="J42" s="16"/>
      <c r="K42" s="17" t="s">
        <v>1253</v>
      </c>
      <c r="L42" s="23" t="s">
        <v>1254</v>
      </c>
      <c r="M42" s="19" t="b">
        <v>0</v>
      </c>
      <c r="N42" s="19" t="b">
        <v>0</v>
      </c>
      <c r="O42" s="1" t="s">
        <v>1255</v>
      </c>
      <c r="P42" s="7" t="str">
        <f ca="1">IFERROR(__xludf.DUMMYFUNCTION("iferror(vlookup(B42,importrange(""https://docs.google.com/spreadsheets/d/1boHyJQ4e2FU0QG8MHwEi6qjX4hvZWVCHcFfXjq7bbMc/edit?resourcekey#gid=923248883"",""Prop!$C$1:$M""),12,0),IFERROR(vlookup(B42,importrange(""https://docs.google.com/spreadsheets/d/1boHyJQ"&amp;"4e2FU0QG8MHwEi6qjX4hvZWVCHcFfXjq7bbMc/edit?resourcekey#gid=923248883"",""Prop!$N$1:$X""),11,0),iferror(vlookup(B42,importrange(""https://docs.google.com/spreadsheets/d/1boHyJQ4e2FU0QG8MHwEi6qjX4hvZWVCHcFfXjq7bbMc/edit?resourcekey#gid=923248883"",""Prop!$Y"&amp;"$1:$AI""),11,0),iferror(vlookup(B42,importrange(""https://docs.google.com/spreadsheets/d/1boHyJQ4e2FU0QG8MHwEi6qjX4hvZWVCHcFfXjq7bbMc/edit?resourcekey#gid=923248883"",""Prop!$AJ$1:$AT""),11,0),iferror(vlookup(B42,importrange(""https://docs.google.com/spre"&amp;"adsheets/d/1boHyJQ4e2FU0QG8MHwEi6qjX4hvZWVCHcFfXjq7bbMc/edit?resourcekey#gid=923248883"",""Prop!$AU$1:$BE""),11,0),iferror(vlookup(B42,importrange(""https://docs.google.com/spreadsheets/d/1boHyJQ4e2FU0QG8MHwEi6qjX4hvZWVCHcFfXjq7bbMc/edit?resourcekey#gid=9"&amp;"23248883"",""Prop!$BF$1:$BP""),11,0),iferror(vlookup(B42,importrange(""https://docs.google.com/spreadsheets/d/1boHyJQ4e2FU0QG8MHwEi6qjX4hvZWVCHcFfXjq7bbMc/edit?resourcekey#gid=923248883"",""Prop!$BQ$1:$CA""),11,0),iferror(vlookup(B42,importrange(""https:/"&amp;"/docs.google.com/spreadsheets/d/1boHyJQ4e2FU0QG8MHwEi6qjX4hvZWVCHcFfXjq7bbMc/edit?resourcekey#gid=923248883"",""Prop!$CB$1:$CL""),11,0),iferror(vlookup(B42,importrange(""https://docs.google.com/spreadsheets/d/1boHyJQ4e2FU0QG8MHwEi6qjX4hvZWVCHcFfXjq7bbMc/e"&amp;"dit?resourcekey#gid=923248883"",""Prop!$CM$1:$CX""),12,0),iferror(vlookup(B42,importrange(""https://docs.google.com/spreadsheets/d/1boHyJQ4e2FU0QG8MHwEi6qjX4hvZWVCHcFfXjq7bbMc/edit?resourcekey#gid=923248883"",""Prop!$CV$1:$DI""),11,0)))))))))))"),"https://drive.google.com/open?id=1dNBd_QGcqs2qh2ITLnKiu3VPWSwcBdm8")</f>
        <v>https://drive.google.com/open?id=1dNBd_QGcqs2qh2ITLnKiu3VPWSwcBdm8</v>
      </c>
      <c r="Q42" s="7" t="str">
        <f ca="1">IFERROR(__xludf.DUMMYFUNCTION("iferror(vlookup(B42,importrange(""https://docs.google.com/spreadsheets/d/1p53T2AuvvIqhP7Nf-bo3Uhj8cbKYRPpZdsrBv3x3bAQ/edit?resourcekey#gid=1321652304"",""Prop!$C$1:$M""),11,0),IFERROR(vlookup(B42,importrange(""https://docs.google.com/spreadsheets/d/1p53T2"&amp;"AuvvIqhP7Nf-bo3Uhj8cbKYRPpZdsrBv3x3bAQ/edit?resourcekey#gid=1321652304"",""Prop!$N$1:$X""),11,0),iferror(vlookup(B42,importrange(""https://docs.google.com/spreadsheets/d/1p53T2AuvvIqhP7Nf-bo3Uhj8cbKYRPpZdsrBv3x3bAQ/edit?resourcekey#gid=1321652304"",""Prop"&amp;"!$Y$1:$AI""),11,0),iferror(vlookup(B42,importrange(""https://docs.google.com/spreadsheets/d/1p53T2AuvvIqhP7Nf-bo3Uhj8cbKYRPpZdsrBv3x3bAQ/edit?resourcekey#gid=1321652304"",""Prop!$AJ$1:$AT""),11,0),iferror(vlookup(B42,importrange(""https://docs.google.com/"&amp;"spreadsheets/d/1p53T2AuvvIqhP7Nf-bo3Uhj8cbKYRPpZdsrBv3x3bAQ/edit?resourcekey#gid=1321652304"",""Prop!$AU$1:$BE""),11,0),iferror(vlookup(B42,importrange(""https://docs.google.com/spreadsheets/d/1p53T2AuvvIqhP7Nf-bo3Uhj8cbKYRPpZdsrBv3x3bAQ/edit?resourcekey#"&amp;"gid=1321652304"",""Prop!$BF$1:$BP""),11,0),iferror(vlookup(B42,importrange(""https://docs.google.com/spreadsheets/d/1p53T2AuvvIqhP7Nf-bo3Uhj8cbKYRPpZdsrBv3x3bAQ/edit?resourcekey#gid=1321652304"",""Prop!$BQ$1:$CA""),11,0),iferror(vlookup(B42,importrange("""&amp;"https://docs.google.com/spreadsheets/d/1p53T2AuvvIqhP7Nf-bo3Uhj8cbKYRPpZdsrBv3x3bAQ/edit?resourcekey#gid=1321652304"",""Prop!$CB$1:$CL""),11,0),iferror(vlookup(B42,importrange(""https://docs.google.com/spreadsheets/d/1p53T2AuvvIqhP7Nf-bo3Uhj8cbKYRPpZdsrBv"&amp;"3x3bAQ/edit?resourcekey#gid=1321652304"",""Prop!$CM$1:$CX""),12,0),iferror(vlookup(B42,importrange(""https://docs.google.com/spreadsheets/d/1p53T2AuvvIqhP7Nf-bo3Uhj8cbKYRPpZdsrBv3x3bAQ/edit?resourcekey#gid=1321652304"",""Prop!$CY$1:$DI""),11,0)))))))))))"),"https://drive.google.com/open?id=1PU6pJQhfTYng2wJVWEFRz_Bw84MH3XTx")</f>
        <v>https://drive.google.com/open?id=1PU6pJQhfTYng2wJVWEFRz_Bw84MH3XTx</v>
      </c>
      <c r="R42" s="88" t="s">
        <v>1229</v>
      </c>
      <c r="S42" s="20" t="str">
        <f ca="1">IFERROR(__xludf.DUMMYFUNCTION("IFERROR(vlookup(B42,IMPORTRANGE(""https://docs.google.com/spreadsheets/d/1g_jfYYK_KeipEDNDUgqgrsxK94XiocfNQIcP-v1QVhI/edit?resourcekey#gid=233272945"",""Nilai!B:CT""),30,0),"" "")"),"ganti gambarnya")</f>
        <v>ganti gambarnya</v>
      </c>
      <c r="T42" s="20" t="str">
        <f ca="1">IFERROR(__xludf.DUMMYFUNCTION("IFERROR(vlookup(B42,IMPORTRANGE(""https://docs.google.com/spreadsheets/d/1g_jfYYK_KeipEDNDUgqgrsxK94XiocfNQIcP-v1QVhI/edit?resourcekey#gid=233272945"",""Nilai!B:CT""),97,0),"" "")"),"LAYAK UPLOAD KE SIMBELMAWA DENGAN REVISI")</f>
        <v>LAYAK UPLOAD KE SIMBELMAWA DENGAN REVISI</v>
      </c>
      <c r="U42" s="21" t="s">
        <v>577</v>
      </c>
      <c r="V42" s="16" t="s">
        <v>1230</v>
      </c>
      <c r="W42" s="23" t="s">
        <v>1256</v>
      </c>
      <c r="X42" s="19" t="b">
        <v>0</v>
      </c>
    </row>
    <row r="43" spans="1:24">
      <c r="A43" s="15">
        <v>41</v>
      </c>
      <c r="B43" s="15">
        <f ca="1">IFERROR(__xludf.DUMMYFUNCTION("""COMPUTED_VALUE"""),3124)</f>
        <v>3124</v>
      </c>
      <c r="C43" s="16" t="str">
        <f ca="1">IFERROR(__xludf.DUMMYFUNCTION("""COMPUTED_VALUE"""),"PRAYOGO BUDIMAN")</f>
        <v>PRAYOGO BUDIMAN</v>
      </c>
      <c r="D43" s="16" t="str">
        <f ca="1">IFERROR(__xludf.DUMMYFUNCTION("""COMPUTED_VALUE"""),"10511910000035")</f>
        <v>10511910000035</v>
      </c>
      <c r="E43" s="16" t="str">
        <f ca="1">IFERROR(__xludf.DUMMYFUNCTION("""COMPUTED_VALUE"""),"Departemen Teknik Instrumentasi")</f>
        <v>Departemen Teknik Instrumentasi</v>
      </c>
      <c r="F43" s="16" t="str">
        <f ca="1">IFERROR(__xludf.DUMMYFUNCTION("""COMPUTED_VALUE"""),"Robot Penyelamat Pemadam Kebakaran Tanpa Air sebagai Solusi Penyelamatan Cepat di Pemukiman Padat Penduduk")</f>
        <v>Robot Penyelamat Pemadam Kebakaran Tanpa Air sebagai Solusi Penyelamatan Cepat di Pemukiman Padat Penduduk</v>
      </c>
      <c r="G43" s="16" t="str">
        <f ca="1">IFERROR(__xludf.DUMMYFUNCTION("""COMPUTED_VALUE"""),"Sefi Novendra Patrialova, S.Si., M.T")</f>
        <v>Sefi Novendra Patrialova, S.Si., M.T</v>
      </c>
      <c r="H43" s="16" t="str">
        <f ca="1">IFERROR(__xludf.DUMMYFUNCTION("""COMPUTED_VALUE"""),"Yudha Prasetyawan, S.T., M.Eng.")</f>
        <v>Yudha Prasetyawan, S.T., M.Eng.</v>
      </c>
      <c r="I43" s="16" t="str">
        <f ca="1">IFERROR(__xludf.DUMMYFUNCTION("""COMPUTED_VALUE"""),"Ciptian Weried Priananda, S.ST., M.T.")</f>
        <v>Ciptian Weried Priananda, S.ST., M.T.</v>
      </c>
      <c r="J43" s="16"/>
      <c r="K43" s="17" t="s">
        <v>1257</v>
      </c>
      <c r="L43" s="23" t="s">
        <v>1258</v>
      </c>
      <c r="M43" s="19" t="b">
        <v>0</v>
      </c>
      <c r="N43" s="19" t="b">
        <v>0</v>
      </c>
      <c r="O43" s="1" t="s">
        <v>1255</v>
      </c>
      <c r="P43" s="7" t="str">
        <f ca="1">IFERROR(__xludf.DUMMYFUNCTION("iferror(vlookup(B43,importrange(""https://docs.google.com/spreadsheets/d/1boHyJQ4e2FU0QG8MHwEi6qjX4hvZWVCHcFfXjq7bbMc/edit?resourcekey#gid=923248883"",""Prop!$C$1:$M""),12,0),IFERROR(vlookup(B43,importrange(""https://docs.google.com/spreadsheets/d/1boHyJQ"&amp;"4e2FU0QG8MHwEi6qjX4hvZWVCHcFfXjq7bbMc/edit?resourcekey#gid=923248883"",""Prop!$N$1:$X""),11,0),iferror(vlookup(B43,importrange(""https://docs.google.com/spreadsheets/d/1boHyJQ4e2FU0QG8MHwEi6qjX4hvZWVCHcFfXjq7bbMc/edit?resourcekey#gid=923248883"",""Prop!$Y"&amp;"$1:$AI""),11,0),iferror(vlookup(B43,importrange(""https://docs.google.com/spreadsheets/d/1boHyJQ4e2FU0QG8MHwEi6qjX4hvZWVCHcFfXjq7bbMc/edit?resourcekey#gid=923248883"",""Prop!$AJ$1:$AT""),11,0),iferror(vlookup(B43,importrange(""https://docs.google.com/spre"&amp;"adsheets/d/1boHyJQ4e2FU0QG8MHwEi6qjX4hvZWVCHcFfXjq7bbMc/edit?resourcekey#gid=923248883"",""Prop!$AU$1:$BE""),11,0),iferror(vlookup(B43,importrange(""https://docs.google.com/spreadsheets/d/1boHyJQ4e2FU0QG8MHwEi6qjX4hvZWVCHcFfXjq7bbMc/edit?resourcekey#gid=9"&amp;"23248883"",""Prop!$BF$1:$BP""),11,0),iferror(vlookup(B43,importrange(""https://docs.google.com/spreadsheets/d/1boHyJQ4e2FU0QG8MHwEi6qjX4hvZWVCHcFfXjq7bbMc/edit?resourcekey#gid=923248883"",""Prop!$BQ$1:$CA""),11,0),iferror(vlookup(B43,importrange(""https:/"&amp;"/docs.google.com/spreadsheets/d/1boHyJQ4e2FU0QG8MHwEi6qjX4hvZWVCHcFfXjq7bbMc/edit?resourcekey#gid=923248883"",""Prop!$CB$1:$CL""),11,0),iferror(vlookup(B43,importrange(""https://docs.google.com/spreadsheets/d/1boHyJQ4e2FU0QG8MHwEi6qjX4hvZWVCHcFfXjq7bbMc/e"&amp;"dit?resourcekey#gid=923248883"",""Prop!$CM$1:$CX""),12,0),iferror(vlookup(B43,importrange(""https://docs.google.com/spreadsheets/d/1boHyJQ4e2FU0QG8MHwEi6qjX4hvZWVCHcFfXjq7bbMc/edit?resourcekey#gid=923248883"",""Prop!$CV$1:$DI""),11,0)))))))))))"),"https://drive.google.com/open?id=1OtXgFEPg3fN9xVJuib-DL_Bl-RdVGvqx")</f>
        <v>https://drive.google.com/open?id=1OtXgFEPg3fN9xVJuib-DL_Bl-RdVGvqx</v>
      </c>
      <c r="Q43" s="7" t="str">
        <f ca="1">IFERROR(__xludf.DUMMYFUNCTION("iferror(vlookup(B43,importrange(""https://docs.google.com/spreadsheets/d/1p53T2AuvvIqhP7Nf-bo3Uhj8cbKYRPpZdsrBv3x3bAQ/edit?resourcekey#gid=1321652304"",""Prop!$C$1:$M""),11,0),IFERROR(vlookup(B43,importrange(""https://docs.google.com/spreadsheets/d/1p53T2"&amp;"AuvvIqhP7Nf-bo3Uhj8cbKYRPpZdsrBv3x3bAQ/edit?resourcekey#gid=1321652304"",""Prop!$N$1:$X""),11,0),iferror(vlookup(B43,importrange(""https://docs.google.com/spreadsheets/d/1p53T2AuvvIqhP7Nf-bo3Uhj8cbKYRPpZdsrBv3x3bAQ/edit?resourcekey#gid=1321652304"",""Prop"&amp;"!$Y$1:$AI""),11,0),iferror(vlookup(B43,importrange(""https://docs.google.com/spreadsheets/d/1p53T2AuvvIqhP7Nf-bo3Uhj8cbKYRPpZdsrBv3x3bAQ/edit?resourcekey#gid=1321652304"",""Prop!$AJ$1:$AT""),11,0),iferror(vlookup(B43,importrange(""https://docs.google.com/"&amp;"spreadsheets/d/1p53T2AuvvIqhP7Nf-bo3Uhj8cbKYRPpZdsrBv3x3bAQ/edit?resourcekey#gid=1321652304"",""Prop!$AU$1:$BE""),11,0),iferror(vlookup(B43,importrange(""https://docs.google.com/spreadsheets/d/1p53T2AuvvIqhP7Nf-bo3Uhj8cbKYRPpZdsrBv3x3bAQ/edit?resourcekey#"&amp;"gid=1321652304"",""Prop!$BF$1:$BP""),11,0),iferror(vlookup(B43,importrange(""https://docs.google.com/spreadsheets/d/1p53T2AuvvIqhP7Nf-bo3Uhj8cbKYRPpZdsrBv3x3bAQ/edit?resourcekey#gid=1321652304"",""Prop!$BQ$1:$CA""),11,0),iferror(vlookup(B43,importrange("""&amp;"https://docs.google.com/spreadsheets/d/1p53T2AuvvIqhP7Nf-bo3Uhj8cbKYRPpZdsrBv3x3bAQ/edit?resourcekey#gid=1321652304"",""Prop!$CB$1:$CL""),11,0),iferror(vlookup(B43,importrange(""https://docs.google.com/spreadsheets/d/1p53T2AuvvIqhP7Nf-bo3Uhj8cbKYRPpZdsrBv"&amp;"3x3bAQ/edit?resourcekey#gid=1321652304"",""Prop!$CM$1:$CX""),12,0),iferror(vlookup(B43,importrange(""https://docs.google.com/spreadsheets/d/1p53T2AuvvIqhP7Nf-bo3Uhj8cbKYRPpZdsrBv3x3bAQ/edit?resourcekey#gid=1321652304"",""Prop!$CY$1:$DI""),11,0)))))))))))"),"https://drive.google.com/open?id=1gp5Xols33X3gldDn4aYCuNGc_0ZpopuN")</f>
        <v>https://drive.google.com/open?id=1gp5Xols33X3gldDn4aYCuNGc_0ZpopuN</v>
      </c>
      <c r="R43" s="88" t="s">
        <v>1229</v>
      </c>
      <c r="S43" s="20" t="str">
        <f ca="1">IFERROR(__xludf.DUMMYFUNCTION("IFERROR(vlookup(B43,IMPORTRANGE(""https://docs.google.com/spreadsheets/d/1g_jfYYK_KeipEDNDUgqgrsxK94XiocfNQIcP-v1QVhI/edit?resourcekey#gid=233272945"",""Nilai!B:CT""),30,0),"" "")"),"Perbaiki visibiltas sistem mekanik untuk pelontar bola")</f>
        <v>Perbaiki visibiltas sistem mekanik untuk pelontar bola</v>
      </c>
      <c r="T43" s="20" t="str">
        <f ca="1">IFERROR(__xludf.DUMMYFUNCTION("IFERROR(vlookup(B43,IMPORTRANGE(""https://docs.google.com/spreadsheets/d/1g_jfYYK_KeipEDNDUgqgrsxK94XiocfNQIcP-v1QVhI/edit?resourcekey#gid=233272945"",""Nilai!B:CT""),97,0),"" "")"),"")</f>
        <v/>
      </c>
      <c r="U43" s="21" t="s">
        <v>576</v>
      </c>
      <c r="V43" s="16" t="s">
        <v>1230</v>
      </c>
      <c r="W43" s="23" t="s">
        <v>1256</v>
      </c>
      <c r="X43" s="19" t="b">
        <v>0</v>
      </c>
    </row>
    <row r="44" spans="1:24">
      <c r="A44" s="15">
        <v>42</v>
      </c>
      <c r="B44" s="15">
        <f ca="1">IFERROR(__xludf.DUMMYFUNCTION("""COMPUTED_VALUE"""),2792)</f>
        <v>2792</v>
      </c>
      <c r="C44" s="16" t="str">
        <f ca="1">IFERROR(__xludf.DUMMYFUNCTION("""COMPUTED_VALUE"""),"EKA YOFA PRASETYO")</f>
        <v>EKA YOFA PRASETYO</v>
      </c>
      <c r="D44" s="16" t="str">
        <f ca="1">IFERROR(__xludf.DUMMYFUNCTION("""COMPUTED_VALUE"""),"5009211041")</f>
        <v>5009211041</v>
      </c>
      <c r="E44" s="16" t="str">
        <f ca="1">IFERROR(__xludf.DUMMYFUNCTION("""COMPUTED_VALUE"""),"Departemen Teknik Fisika")</f>
        <v>Departemen Teknik Fisika</v>
      </c>
      <c r="F44" s="16" t="str">
        <f ca="1">IFERROR(__xludf.DUMMYFUNCTION("""COMPUTED_VALUE"""),"Aplikasi Virtual Assistant Pemeriksaan MMSE dalam Mengukur Tingkat Kognitif pada Penyandang Demensia Alzheimer ")</f>
        <v xml:space="preserve">Aplikasi Virtual Assistant Pemeriksaan MMSE dalam Mengukur Tingkat Kognitif pada Penyandang Demensia Alzheimer </v>
      </c>
      <c r="G44" s="16" t="str">
        <f ca="1">IFERROR(__xludf.DUMMYFUNCTION("""COMPUTED_VALUE"""),"Dyah Sawitri, S.T., M.T.")</f>
        <v>Dyah Sawitri, S.T., M.T.</v>
      </c>
      <c r="H44" s="16" t="str">
        <f ca="1">IFERROR(__xludf.DUMMYFUNCTION("""COMPUTED_VALUE"""),"Ir. Josaphat Pramudijanto, M.Eng.")</f>
        <v>Ir. Josaphat Pramudijanto, M.Eng.</v>
      </c>
      <c r="I44" s="16" t="str">
        <f ca="1">IFERROR(__xludf.DUMMYFUNCTION("""COMPUTED_VALUE"""),"Dr. Suyatno, S.Si., M.Si.")</f>
        <v>Dr. Suyatno, S.Si., M.Si.</v>
      </c>
      <c r="J44" s="16"/>
      <c r="K44" s="17" t="s">
        <v>1257</v>
      </c>
      <c r="L44" s="23" t="s">
        <v>1258</v>
      </c>
      <c r="M44" s="19" t="b">
        <v>0</v>
      </c>
      <c r="N44" s="19" t="b">
        <v>0</v>
      </c>
      <c r="O44" s="1" t="s">
        <v>1255</v>
      </c>
      <c r="P44" s="7" t="str">
        <f ca="1">IFERROR(__xludf.DUMMYFUNCTION("iferror(vlookup(B44,importrange(""https://docs.google.com/spreadsheets/d/1boHyJQ4e2FU0QG8MHwEi6qjX4hvZWVCHcFfXjq7bbMc/edit?resourcekey#gid=923248883"",""Prop!$C$1:$M""),12,0),IFERROR(vlookup(B44,importrange(""https://docs.google.com/spreadsheets/d/1boHyJQ"&amp;"4e2FU0QG8MHwEi6qjX4hvZWVCHcFfXjq7bbMc/edit?resourcekey#gid=923248883"",""Prop!$N$1:$X""),11,0),iferror(vlookup(B44,importrange(""https://docs.google.com/spreadsheets/d/1boHyJQ4e2FU0QG8MHwEi6qjX4hvZWVCHcFfXjq7bbMc/edit?resourcekey#gid=923248883"",""Prop!$Y"&amp;"$1:$AI""),11,0),iferror(vlookup(B44,importrange(""https://docs.google.com/spreadsheets/d/1boHyJQ4e2FU0QG8MHwEi6qjX4hvZWVCHcFfXjq7bbMc/edit?resourcekey#gid=923248883"",""Prop!$AJ$1:$AT""),11,0),iferror(vlookup(B44,importrange(""https://docs.google.com/spre"&amp;"adsheets/d/1boHyJQ4e2FU0QG8MHwEi6qjX4hvZWVCHcFfXjq7bbMc/edit?resourcekey#gid=923248883"",""Prop!$AU$1:$BE""),11,0),iferror(vlookup(B44,importrange(""https://docs.google.com/spreadsheets/d/1boHyJQ4e2FU0QG8MHwEi6qjX4hvZWVCHcFfXjq7bbMc/edit?resourcekey#gid=9"&amp;"23248883"",""Prop!$BF$1:$BP""),11,0),iferror(vlookup(B44,importrange(""https://docs.google.com/spreadsheets/d/1boHyJQ4e2FU0QG8MHwEi6qjX4hvZWVCHcFfXjq7bbMc/edit?resourcekey#gid=923248883"",""Prop!$BQ$1:$CA""),11,0),iferror(vlookup(B44,importrange(""https:/"&amp;"/docs.google.com/spreadsheets/d/1boHyJQ4e2FU0QG8MHwEi6qjX4hvZWVCHcFfXjq7bbMc/edit?resourcekey#gid=923248883"",""Prop!$CB$1:$CL""),11,0),iferror(vlookup(B44,importrange(""https://docs.google.com/spreadsheets/d/1boHyJQ4e2FU0QG8MHwEi6qjX4hvZWVCHcFfXjq7bbMc/e"&amp;"dit?resourcekey#gid=923248883"",""Prop!$CM$1:$CX""),12,0),iferror(vlookup(B44,importrange(""https://docs.google.com/spreadsheets/d/1boHyJQ4e2FU0QG8MHwEi6qjX4hvZWVCHcFfXjq7bbMc/edit?resourcekey#gid=923248883"",""Prop!$CV$1:$DI""),11,0)))))))))))"),"https://drive.google.com/open?id=1Kflorl0rwQCYcps0ZVQod9U6UzAiWLC1")</f>
        <v>https://drive.google.com/open?id=1Kflorl0rwQCYcps0ZVQod9U6UzAiWLC1</v>
      </c>
      <c r="Q44" s="7" t="str">
        <f ca="1">IFERROR(__xludf.DUMMYFUNCTION("iferror(vlookup(B44,importrange(""https://docs.google.com/spreadsheets/d/1p53T2AuvvIqhP7Nf-bo3Uhj8cbKYRPpZdsrBv3x3bAQ/edit?resourcekey#gid=1321652304"",""Prop!$C$1:$M""),11,0),IFERROR(vlookup(B44,importrange(""https://docs.google.com/spreadsheets/d/1p53T2"&amp;"AuvvIqhP7Nf-bo3Uhj8cbKYRPpZdsrBv3x3bAQ/edit?resourcekey#gid=1321652304"",""Prop!$N$1:$X""),11,0),iferror(vlookup(B44,importrange(""https://docs.google.com/spreadsheets/d/1p53T2AuvvIqhP7Nf-bo3Uhj8cbKYRPpZdsrBv3x3bAQ/edit?resourcekey#gid=1321652304"",""Prop"&amp;"!$Y$1:$AI""),11,0),iferror(vlookup(B44,importrange(""https://docs.google.com/spreadsheets/d/1p53T2AuvvIqhP7Nf-bo3Uhj8cbKYRPpZdsrBv3x3bAQ/edit?resourcekey#gid=1321652304"",""Prop!$AJ$1:$AT""),11,0),iferror(vlookup(B44,importrange(""https://docs.google.com/"&amp;"spreadsheets/d/1p53T2AuvvIqhP7Nf-bo3Uhj8cbKYRPpZdsrBv3x3bAQ/edit?resourcekey#gid=1321652304"",""Prop!$AU$1:$BE""),11,0),iferror(vlookup(B44,importrange(""https://docs.google.com/spreadsheets/d/1p53T2AuvvIqhP7Nf-bo3Uhj8cbKYRPpZdsrBv3x3bAQ/edit?resourcekey#"&amp;"gid=1321652304"",""Prop!$BF$1:$BP""),11,0),iferror(vlookup(B44,importrange(""https://docs.google.com/spreadsheets/d/1p53T2AuvvIqhP7Nf-bo3Uhj8cbKYRPpZdsrBv3x3bAQ/edit?resourcekey#gid=1321652304"",""Prop!$BQ$1:$CA""),11,0),iferror(vlookup(B44,importrange("""&amp;"https://docs.google.com/spreadsheets/d/1p53T2AuvvIqhP7Nf-bo3Uhj8cbKYRPpZdsrBv3x3bAQ/edit?resourcekey#gid=1321652304"",""Prop!$CB$1:$CL""),11,0),iferror(vlookup(B44,importrange(""https://docs.google.com/spreadsheets/d/1p53T2AuvvIqhP7Nf-bo3Uhj8cbKYRPpZdsrBv"&amp;"3x3bAQ/edit?resourcekey#gid=1321652304"",""Prop!$CM$1:$CX""),12,0),iferror(vlookup(B44,importrange(""https://docs.google.com/spreadsheets/d/1p53T2AuvvIqhP7Nf-bo3Uhj8cbKYRPpZdsrBv3x3bAQ/edit?resourcekey#gid=1321652304"",""Prop!$CY$1:$DI""),11,0)))))))))))"),"https://drive.google.com/open?id=1NJlwpvntbxbyed-xf_vPgS3t2g0gC3nw")</f>
        <v>https://drive.google.com/open?id=1NJlwpvntbxbyed-xf_vPgS3t2g0gC3nw</v>
      </c>
      <c r="R44" s="88" t="s">
        <v>1229</v>
      </c>
      <c r="S44" s="20" t="str">
        <f ca="1">IFERROR(__xludf.DUMMYFUNCTION("IFERROR(vlookup(B44,IMPORTRANGE(""https://docs.google.com/spreadsheets/d/1g_jfYYK_KeipEDNDUgqgrsxK94XiocfNQIcP-v1QVhI/edit?resourcekey#gid=233272945"",""Nilai!B:CT""),30,0),"" "")"),"Tambahkan visualisasi prototipe")</f>
        <v>Tambahkan visualisasi prototipe</v>
      </c>
      <c r="T44" s="20" t="str">
        <f ca="1">IFERROR(__xludf.DUMMYFUNCTION("IFERROR(vlookup(B44,IMPORTRANGE(""https://docs.google.com/spreadsheets/d/1g_jfYYK_KeipEDNDUgqgrsxK94XiocfNQIcP-v1QVhI/edit?resourcekey#gid=233272945"",""Nilai!B:CT""),97,0),"" "")"),"")</f>
        <v/>
      </c>
      <c r="U44" s="21" t="s">
        <v>576</v>
      </c>
      <c r="V44" s="16" t="s">
        <v>1230</v>
      </c>
      <c r="W44" s="23" t="s">
        <v>1256</v>
      </c>
      <c r="X44" s="19" t="b">
        <v>1</v>
      </c>
    </row>
    <row r="45" spans="1:24">
      <c r="A45" s="15">
        <v>43</v>
      </c>
      <c r="B45" s="15">
        <f ca="1">IFERROR(__xludf.DUMMYFUNCTION("""COMPUTED_VALUE"""),2134)</f>
        <v>2134</v>
      </c>
      <c r="C45" s="16" t="str">
        <f ca="1">IFERROR(__xludf.DUMMYFUNCTION("""COMPUTED_VALUE"""),"IMROATUS SHOLIHAH")</f>
        <v>IMROATUS SHOLIHAH</v>
      </c>
      <c r="D45" s="16" t="str">
        <f ca="1">IFERROR(__xludf.DUMMYFUNCTION("""COMPUTED_VALUE"""),"06111940000075")</f>
        <v>06111940000075</v>
      </c>
      <c r="E45" s="16" t="str">
        <f ca="1">IFERROR(__xludf.DUMMYFUNCTION("""COMPUTED_VALUE"""),"Departemen Matematika")</f>
        <v>Departemen Matematika</v>
      </c>
      <c r="F45" s="16" t="str">
        <f ca="1">IFERROR(__xludf.DUMMYFUNCTION("""COMPUTED_VALUE"""),"Sistem Rekomendasi Aman Perjalanan di Era New Normal berdasarkan Reproduction Number of SIR Model dan Rute Terpendek Algoritma Dijkstra")</f>
        <v>Sistem Rekomendasi Aman Perjalanan di Era New Normal berdasarkan Reproduction Number of SIR Model dan Rute Terpendek Algoritma Dijkstra</v>
      </c>
      <c r="G45" s="16" t="str">
        <f ca="1">IFERROR(__xludf.DUMMYFUNCTION("""COMPUTED_VALUE"""),"Dr. Dieky Adzkiya, S.Si., M.Si.")</f>
        <v>Dr. Dieky Adzkiya, S.Si., M.Si.</v>
      </c>
      <c r="H45" s="16" t="str">
        <f ca="1">IFERROR(__xludf.DUMMYFUNCTION("""COMPUTED_VALUE"""),"Ika Nurkasanah, S.Kom., M.Sc.")</f>
        <v>Ika Nurkasanah, S.Kom., M.Sc.</v>
      </c>
      <c r="I45" s="16" t="str">
        <f ca="1">IFERROR(__xludf.DUMMYFUNCTION("""COMPUTED_VALUE"""),"Dr. Ir. Purwadi Agus Darwito, M.Sc.")</f>
        <v>Dr. Ir. Purwadi Agus Darwito, M.Sc.</v>
      </c>
      <c r="J45" s="16"/>
      <c r="K45" s="17" t="s">
        <v>1257</v>
      </c>
      <c r="L45" s="23" t="s">
        <v>1258</v>
      </c>
      <c r="M45" s="19" t="b">
        <v>0</v>
      </c>
      <c r="N45" s="19" t="b">
        <v>0</v>
      </c>
      <c r="O45" s="1" t="s">
        <v>1255</v>
      </c>
      <c r="P45" s="7" t="str">
        <f ca="1">IFERROR(__xludf.DUMMYFUNCTION("iferror(vlookup(B45,importrange(""https://docs.google.com/spreadsheets/d/1boHyJQ4e2FU0QG8MHwEi6qjX4hvZWVCHcFfXjq7bbMc/edit?resourcekey#gid=923248883"",""Prop!$C$1:$M""),12,0),IFERROR(vlookup(B45,importrange(""https://docs.google.com/spreadsheets/d/1boHyJQ"&amp;"4e2FU0QG8MHwEi6qjX4hvZWVCHcFfXjq7bbMc/edit?resourcekey#gid=923248883"",""Prop!$N$1:$X""),11,0),iferror(vlookup(B45,importrange(""https://docs.google.com/spreadsheets/d/1boHyJQ4e2FU0QG8MHwEi6qjX4hvZWVCHcFfXjq7bbMc/edit?resourcekey#gid=923248883"",""Prop!$Y"&amp;"$1:$AI""),11,0),iferror(vlookup(B45,importrange(""https://docs.google.com/spreadsheets/d/1boHyJQ4e2FU0QG8MHwEi6qjX4hvZWVCHcFfXjq7bbMc/edit?resourcekey#gid=923248883"",""Prop!$AJ$1:$AT""),11,0),iferror(vlookup(B45,importrange(""https://docs.google.com/spre"&amp;"adsheets/d/1boHyJQ4e2FU0QG8MHwEi6qjX4hvZWVCHcFfXjq7bbMc/edit?resourcekey#gid=923248883"",""Prop!$AU$1:$BE""),11,0),iferror(vlookup(B45,importrange(""https://docs.google.com/spreadsheets/d/1boHyJQ4e2FU0QG8MHwEi6qjX4hvZWVCHcFfXjq7bbMc/edit?resourcekey#gid=9"&amp;"23248883"",""Prop!$BF$1:$BP""),11,0),iferror(vlookup(B45,importrange(""https://docs.google.com/spreadsheets/d/1boHyJQ4e2FU0QG8MHwEi6qjX4hvZWVCHcFfXjq7bbMc/edit?resourcekey#gid=923248883"",""Prop!$BQ$1:$CA""),11,0),iferror(vlookup(B45,importrange(""https:/"&amp;"/docs.google.com/spreadsheets/d/1boHyJQ4e2FU0QG8MHwEi6qjX4hvZWVCHcFfXjq7bbMc/edit?resourcekey#gid=923248883"",""Prop!$CB$1:$CL""),11,0),iferror(vlookup(B45,importrange(""https://docs.google.com/spreadsheets/d/1boHyJQ4e2FU0QG8MHwEi6qjX4hvZWVCHcFfXjq7bbMc/e"&amp;"dit?resourcekey#gid=923248883"",""Prop!$CM$1:$CX""),12,0),iferror(vlookup(B45,importrange(""https://docs.google.com/spreadsheets/d/1boHyJQ4e2FU0QG8MHwEi6qjX4hvZWVCHcFfXjq7bbMc/edit?resourcekey#gid=923248883"",""Prop!$CV$1:$DI""),11,0)))))))))))"),"https://drive.google.com/open?id=1rxCxKHa9LfEkMR6t8KRmTSwzBdjjg5Cp")</f>
        <v>https://drive.google.com/open?id=1rxCxKHa9LfEkMR6t8KRmTSwzBdjjg5Cp</v>
      </c>
      <c r="Q45" s="7" t="str">
        <f ca="1">IFERROR(__xludf.DUMMYFUNCTION("iferror(vlookup(B45,importrange(""https://docs.google.com/spreadsheets/d/1p53T2AuvvIqhP7Nf-bo3Uhj8cbKYRPpZdsrBv3x3bAQ/edit?resourcekey#gid=1321652304"",""Prop!$C$1:$M""),11,0),IFERROR(vlookup(B45,importrange(""https://docs.google.com/spreadsheets/d/1p53T2"&amp;"AuvvIqhP7Nf-bo3Uhj8cbKYRPpZdsrBv3x3bAQ/edit?resourcekey#gid=1321652304"",""Prop!$N$1:$X""),11,0),iferror(vlookup(B45,importrange(""https://docs.google.com/spreadsheets/d/1p53T2AuvvIqhP7Nf-bo3Uhj8cbKYRPpZdsrBv3x3bAQ/edit?resourcekey#gid=1321652304"",""Prop"&amp;"!$Y$1:$AI""),11,0),iferror(vlookup(B45,importrange(""https://docs.google.com/spreadsheets/d/1p53T2AuvvIqhP7Nf-bo3Uhj8cbKYRPpZdsrBv3x3bAQ/edit?resourcekey#gid=1321652304"",""Prop!$AJ$1:$AT""),11,0),iferror(vlookup(B45,importrange(""https://docs.google.com/"&amp;"spreadsheets/d/1p53T2AuvvIqhP7Nf-bo3Uhj8cbKYRPpZdsrBv3x3bAQ/edit?resourcekey#gid=1321652304"",""Prop!$AU$1:$BE""),11,0),iferror(vlookup(B45,importrange(""https://docs.google.com/spreadsheets/d/1p53T2AuvvIqhP7Nf-bo3Uhj8cbKYRPpZdsrBv3x3bAQ/edit?resourcekey#"&amp;"gid=1321652304"",""Prop!$BF$1:$BP""),11,0),iferror(vlookup(B45,importrange(""https://docs.google.com/spreadsheets/d/1p53T2AuvvIqhP7Nf-bo3Uhj8cbKYRPpZdsrBv3x3bAQ/edit?resourcekey#gid=1321652304"",""Prop!$BQ$1:$CA""),11,0),iferror(vlookup(B45,importrange("""&amp;"https://docs.google.com/spreadsheets/d/1p53T2AuvvIqhP7Nf-bo3Uhj8cbKYRPpZdsrBv3x3bAQ/edit?resourcekey#gid=1321652304"",""Prop!$CB$1:$CL""),11,0),iferror(vlookup(B45,importrange(""https://docs.google.com/spreadsheets/d/1p53T2AuvvIqhP7Nf-bo3Uhj8cbKYRPpZdsrBv"&amp;"3x3bAQ/edit?resourcekey#gid=1321652304"",""Prop!$CM$1:$CX""),12,0),iferror(vlookup(B45,importrange(""https://docs.google.com/spreadsheets/d/1p53T2AuvvIqhP7Nf-bo3Uhj8cbKYRPpZdsrBv3x3bAQ/edit?resourcekey#gid=1321652304"",""Prop!$CY$1:$DI""),11,0)))))))))))"),"https://drive.google.com/open?id=1tMVU3Hs1WdIZVf8SIahjQtTQr6_pf6g1")</f>
        <v>https://drive.google.com/open?id=1tMVU3Hs1WdIZVf8SIahjQtTQr6_pf6g1</v>
      </c>
      <c r="R45" s="88" t="s">
        <v>1229</v>
      </c>
      <c r="S45" s="20" t="str">
        <f ca="1">IFERROR(__xludf.DUMMYFUNCTION("IFERROR(vlookup(B45,IMPORTRANGE(""https://docs.google.com/spreadsheets/d/1g_jfYYK_KeipEDNDUgqgrsxK94XiocfNQIcP-v1QVhI/edit?resourcekey#gid=233272945"",""Nilai!B:CT""),30,0),"" "")"),"Visualisasi produk belum jelas, masih terlihat sangat teoritis")</f>
        <v>Visualisasi produk belum jelas, masih terlihat sangat teoritis</v>
      </c>
      <c r="T45" s="20" t="str">
        <f ca="1">IFERROR(__xludf.DUMMYFUNCTION("IFERROR(vlookup(B45,IMPORTRANGE(""https://docs.google.com/spreadsheets/d/1g_jfYYK_KeipEDNDUgqgrsxK94XiocfNQIcP-v1QVhI/edit?resourcekey#gid=233272945"",""Nilai!B:CT""),97,0),"" "")"),"")</f>
        <v/>
      </c>
      <c r="U45" s="21" t="s">
        <v>576</v>
      </c>
      <c r="V45" s="16" t="s">
        <v>1230</v>
      </c>
      <c r="W45" s="23" t="s">
        <v>1259</v>
      </c>
      <c r="X45" s="19" t="b">
        <v>1</v>
      </c>
    </row>
    <row r="46" spans="1:24">
      <c r="A46" s="15">
        <v>44</v>
      </c>
      <c r="B46" s="15">
        <f ca="1">IFERROR(__xludf.DUMMYFUNCTION("""COMPUTED_VALUE"""),3190)</f>
        <v>3190</v>
      </c>
      <c r="C46" s="16" t="str">
        <f ca="1">IFERROR(__xludf.DUMMYFUNCTION("""COMPUTED_VALUE"""),"M. MIFTAKHUL FIRDAUS")</f>
        <v>M. MIFTAKHUL FIRDAUS</v>
      </c>
      <c r="D46" s="16" t="str">
        <f ca="1">IFERROR(__xludf.DUMMYFUNCTION("""COMPUTED_VALUE"""),"5012211108")</f>
        <v>5012211108</v>
      </c>
      <c r="E46" s="16" t="str">
        <f ca="1">IFERROR(__xludf.DUMMYFUNCTION("""COMPUTED_VALUE"""),"Departemen Teknik Sipil")</f>
        <v>Departemen Teknik Sipil</v>
      </c>
      <c r="F46" s="16" t="str">
        <f ca="1">IFERROR(__xludf.DUMMYFUNCTION("""COMPUTED_VALUE"""),"PETROB (PET hasil Recycle sebagai cOncrete Binder) : Perekat Beton Polimer Berbahan Recycled PET Hasil Daur Ulang Botol Plastik")</f>
        <v>PETROB (PET hasil Recycle sebagai cOncrete Binder) : Perekat Beton Polimer Berbahan Recycled PET Hasil Daur Ulang Botol Plastik</v>
      </c>
      <c r="G46" s="16" t="str">
        <f ca="1">IFERROR(__xludf.DUMMYFUNCTION("""COMPUTED_VALUE"""),"Dr.Eng. Januarti Jaya Ekaputri, S.T., M.T.")</f>
        <v>Dr.Eng. Januarti Jaya Ekaputri, S.T., M.T.</v>
      </c>
      <c r="H46" s="16" t="str">
        <f ca="1">IFERROR(__xludf.DUMMYFUNCTION("""COMPUTED_VALUE"""),"Eko Agus Suprayitno, S.Si., M.T.")</f>
        <v>Eko Agus Suprayitno, S.Si., M.T.</v>
      </c>
      <c r="I46" s="16" t="str">
        <f ca="1">IFERROR(__xludf.DUMMYFUNCTION("""COMPUTED_VALUE"""),"Arief Abdurrakhman, S.T., M.T.")</f>
        <v>Arief Abdurrakhman, S.T., M.T.</v>
      </c>
      <c r="J46" s="16"/>
      <c r="K46" s="17" t="s">
        <v>1257</v>
      </c>
      <c r="L46" s="23" t="s">
        <v>1258</v>
      </c>
      <c r="M46" s="19" t="b">
        <v>0</v>
      </c>
      <c r="N46" s="19" t="b">
        <v>0</v>
      </c>
      <c r="O46" s="1" t="s">
        <v>1255</v>
      </c>
      <c r="P46" s="1" t="str">
        <f ca="1">IFERROR(__xludf.DUMMYFUNCTION("iferror(vlookup(B46,importrange(""https://docs.google.com/spreadsheets/d/1boHyJQ4e2FU0QG8MHwEi6qjX4hvZWVCHcFfXjq7bbMc/edit?resourcekey#gid=923248883"",""Prop!$C$1:$M""),12,0),IFERROR(vlookup(B46,importrange(""https://docs.google.com/spreadsheets/d/1boHyJQ"&amp;"4e2FU0QG8MHwEi6qjX4hvZWVCHcFfXjq7bbMc/edit?resourcekey#gid=923248883"",""Prop!$N$1:$X""),11,0),iferror(vlookup(B46,importrange(""https://docs.google.com/spreadsheets/d/1boHyJQ4e2FU0QG8MHwEi6qjX4hvZWVCHcFfXjq7bbMc/edit?resourcekey#gid=923248883"",""Prop!$Y"&amp;"$1:$AI""),11,0),iferror(vlookup(B46,importrange(""https://docs.google.com/spreadsheets/d/1boHyJQ4e2FU0QG8MHwEi6qjX4hvZWVCHcFfXjq7bbMc/edit?resourcekey#gid=923248883"",""Prop!$AJ$1:$AT""),11,0),iferror(vlookup(B46,importrange(""https://docs.google.com/spre"&amp;"adsheets/d/1boHyJQ4e2FU0QG8MHwEi6qjX4hvZWVCHcFfXjq7bbMc/edit?resourcekey#gid=923248883"",""Prop!$AU$1:$BE""),11,0),iferror(vlookup(B46,importrange(""https://docs.google.com/spreadsheets/d/1boHyJQ4e2FU0QG8MHwEi6qjX4hvZWVCHcFfXjq7bbMc/edit?resourcekey#gid=9"&amp;"23248883"",""Prop!$BF$1:$BP""),11,0),iferror(vlookup(B46,importrange(""https://docs.google.com/spreadsheets/d/1boHyJQ4e2FU0QG8MHwEi6qjX4hvZWVCHcFfXjq7bbMc/edit?resourcekey#gid=923248883"",""Prop!$BQ$1:$CA""),11,0),iferror(vlookup(B46,importrange(""https:/"&amp;"/docs.google.com/spreadsheets/d/1boHyJQ4e2FU0QG8MHwEi6qjX4hvZWVCHcFfXjq7bbMc/edit?resourcekey#gid=923248883"",""Prop!$CB$1:$CL""),11,0),iferror(vlookup(B46,importrange(""https://docs.google.com/spreadsheets/d/1boHyJQ4e2FU0QG8MHwEi6qjX4hvZWVCHcFfXjq7bbMc/e"&amp;"dit?resourcekey#gid=923248883"",""Prop!$CM$1:$CX""),12,0),iferror(vlookup(B46,importrange(""https://docs.google.com/spreadsheets/d/1boHyJQ4e2FU0QG8MHwEi6qjX4hvZWVCHcFfXjq7bbMc/edit?resourcekey#gid=923248883"",""Prop!$CV$1:$DI""),11,0)))))))))))"),"")</f>
        <v/>
      </c>
      <c r="Q46" s="1" t="str">
        <f ca="1">IFERROR(__xludf.DUMMYFUNCTION("iferror(vlookup(B46,importrange(""https://docs.google.com/spreadsheets/d/1p53T2AuvvIqhP7Nf-bo3Uhj8cbKYRPpZdsrBv3x3bAQ/edit?resourcekey#gid=1321652304"",""Prop!$C$1:$M""),11,0),IFERROR(vlookup(B46,importrange(""https://docs.google.com/spreadsheets/d/1p53T2"&amp;"AuvvIqhP7Nf-bo3Uhj8cbKYRPpZdsrBv3x3bAQ/edit?resourcekey#gid=1321652304"",""Prop!$N$1:$X""),11,0),iferror(vlookup(B46,importrange(""https://docs.google.com/spreadsheets/d/1p53T2AuvvIqhP7Nf-bo3Uhj8cbKYRPpZdsrBv3x3bAQ/edit?resourcekey#gid=1321652304"",""Prop"&amp;"!$Y$1:$AI""),11,0),iferror(vlookup(B46,importrange(""https://docs.google.com/spreadsheets/d/1p53T2AuvvIqhP7Nf-bo3Uhj8cbKYRPpZdsrBv3x3bAQ/edit?resourcekey#gid=1321652304"",""Prop!$AJ$1:$AT""),11,0),iferror(vlookup(B46,importrange(""https://docs.google.com/"&amp;"spreadsheets/d/1p53T2AuvvIqhP7Nf-bo3Uhj8cbKYRPpZdsrBv3x3bAQ/edit?resourcekey#gid=1321652304"",""Prop!$AU$1:$BE""),11,0),iferror(vlookup(B46,importrange(""https://docs.google.com/spreadsheets/d/1p53T2AuvvIqhP7Nf-bo3Uhj8cbKYRPpZdsrBv3x3bAQ/edit?resourcekey#"&amp;"gid=1321652304"",""Prop!$BF$1:$BP""),11,0),iferror(vlookup(B46,importrange(""https://docs.google.com/spreadsheets/d/1p53T2AuvvIqhP7Nf-bo3Uhj8cbKYRPpZdsrBv3x3bAQ/edit?resourcekey#gid=1321652304"",""Prop!$BQ$1:$CA""),11,0),iferror(vlookup(B46,importrange("""&amp;"https://docs.google.com/spreadsheets/d/1p53T2AuvvIqhP7Nf-bo3Uhj8cbKYRPpZdsrBv3x3bAQ/edit?resourcekey#gid=1321652304"",""Prop!$CB$1:$CL""),11,0),iferror(vlookup(B46,importrange(""https://docs.google.com/spreadsheets/d/1p53T2AuvvIqhP7Nf-bo3Uhj8cbKYRPpZdsrBv"&amp;"3x3bAQ/edit?resourcekey#gid=1321652304"",""Prop!$CM$1:$CX""),12,0),iferror(vlookup(B46,importrange(""https://docs.google.com/spreadsheets/d/1p53T2AuvvIqhP7Nf-bo3Uhj8cbKYRPpZdsrBv3x3bAQ/edit?resourcekey#gid=1321652304"",""Prop!$CY$1:$DI""),11,0)))))))))))"),"")</f>
        <v/>
      </c>
      <c r="R46" s="88" t="s">
        <v>1229</v>
      </c>
      <c r="S46" s="20" t="str">
        <f ca="1">IFERROR(__xludf.DUMMYFUNCTION("IFERROR(vlookup(B46,IMPORTRANGE(""https://docs.google.com/spreadsheets/d/1g_jfYYK_KeipEDNDUgqgrsxK94XiocfNQIcP-v1QVhI/edit?resourcekey#gid=233272945"",""Nilai!B:CT""),30,0),"" "")")," ")</f>
        <v xml:space="preserve"> </v>
      </c>
      <c r="T46" s="20" t="str">
        <f ca="1">IFERROR(__xludf.DUMMYFUNCTION("IFERROR(vlookup(B46,IMPORTRANGE(""https://docs.google.com/spreadsheets/d/1g_jfYYK_KeipEDNDUgqgrsxK94XiocfNQIcP-v1QVhI/edit?resourcekey#gid=233272945"",""Nilai!B:CT""),97,0),"" "")")," ")</f>
        <v xml:space="preserve"> </v>
      </c>
      <c r="U46" s="21" t="s">
        <v>576</v>
      </c>
      <c r="V46" s="16" t="s">
        <v>1230</v>
      </c>
      <c r="W46" s="23" t="s">
        <v>1259</v>
      </c>
      <c r="X46" s="19" t="b">
        <v>0</v>
      </c>
    </row>
    <row r="47" spans="1:24">
      <c r="A47" s="15">
        <v>45</v>
      </c>
      <c r="B47" s="15">
        <f ca="1">IFERROR(__xludf.DUMMYFUNCTION("""COMPUTED_VALUE"""),2811)</f>
        <v>2811</v>
      </c>
      <c r="C47" s="41" t="str">
        <f ca="1">IFERROR(__xludf.DUMMYFUNCTION("""COMPUTED_VALUE"""),"HAFIZ SALAM")</f>
        <v>HAFIZ SALAM</v>
      </c>
      <c r="D47" s="16" t="str">
        <f ca="1">IFERROR(__xludf.DUMMYFUNCTION("""COMPUTED_VALUE"""),"02311840000080")</f>
        <v>02311840000080</v>
      </c>
      <c r="E47" s="16" t="str">
        <f ca="1">IFERROR(__xludf.DUMMYFUNCTION("""COMPUTED_VALUE"""),"Departemen Teknik Fisika")</f>
        <v>Departemen Teknik Fisika</v>
      </c>
      <c r="F47" s="16" t="str">
        <f ca="1">IFERROR(__xludf.DUMMYFUNCTION("""COMPUTED_VALUE"""),"Deteksi Penyakit Blight Pada Tanaman Jagung Dengan Mengunakan Image Processing dan Convolutional Neural Network (CNN)")</f>
        <v>Deteksi Penyakit Blight Pada Tanaman Jagung Dengan Mengunakan Image Processing dan Convolutional Neural Network (CNN)</v>
      </c>
      <c r="G47" s="16" t="str">
        <f ca="1">IFERROR(__xludf.DUMMYFUNCTION("""COMPUTED_VALUE"""),"Detak Yan Pratama, S.T., M.Sc.")</f>
        <v>Detak Yan Pratama, S.T., M.Sc.</v>
      </c>
      <c r="H47" s="16" t="str">
        <f ca="1">IFERROR(__xludf.DUMMYFUNCTION("""COMPUTED_VALUE"""),"Sefi Novendra Patrialova, S.Si., M.T")</f>
        <v>Sefi Novendra Patrialova, S.Si., M.T</v>
      </c>
      <c r="I47" s="16" t="str">
        <f ca="1">IFERROR(__xludf.DUMMYFUNCTION("""COMPUTED_VALUE"""),"Dr. Suyatno, S.Si., M.Si.")</f>
        <v>Dr. Suyatno, S.Si., M.Si.</v>
      </c>
      <c r="J47" s="16"/>
      <c r="K47" s="17" t="s">
        <v>1257</v>
      </c>
      <c r="L47" s="23" t="s">
        <v>1258</v>
      </c>
      <c r="M47" s="19" t="b">
        <v>0</v>
      </c>
      <c r="N47" s="19" t="b">
        <v>0</v>
      </c>
      <c r="O47" s="1" t="s">
        <v>1255</v>
      </c>
      <c r="P47" s="1" t="str">
        <f ca="1">IFERROR(__xludf.DUMMYFUNCTION("iferror(vlookup(B47,importrange(""https://docs.google.com/spreadsheets/d/1boHyJQ4e2FU0QG8MHwEi6qjX4hvZWVCHcFfXjq7bbMc/edit?resourcekey#gid=923248883"",""Prop!$C$1:$M""),12,0),IFERROR(vlookup(B47,importrange(""https://docs.google.com/spreadsheets/d/1boHyJQ"&amp;"4e2FU0QG8MHwEi6qjX4hvZWVCHcFfXjq7bbMc/edit?resourcekey#gid=923248883"",""Prop!$N$1:$X""),11,0),iferror(vlookup(B47,importrange(""https://docs.google.com/spreadsheets/d/1boHyJQ4e2FU0QG8MHwEi6qjX4hvZWVCHcFfXjq7bbMc/edit?resourcekey#gid=923248883"",""Prop!$Y"&amp;"$1:$AI""),11,0),iferror(vlookup(B47,importrange(""https://docs.google.com/spreadsheets/d/1boHyJQ4e2FU0QG8MHwEi6qjX4hvZWVCHcFfXjq7bbMc/edit?resourcekey#gid=923248883"",""Prop!$AJ$1:$AT""),11,0),iferror(vlookup(B47,importrange(""https://docs.google.com/spre"&amp;"adsheets/d/1boHyJQ4e2FU0QG8MHwEi6qjX4hvZWVCHcFfXjq7bbMc/edit?resourcekey#gid=923248883"",""Prop!$AU$1:$BE""),11,0),iferror(vlookup(B47,importrange(""https://docs.google.com/spreadsheets/d/1boHyJQ4e2FU0QG8MHwEi6qjX4hvZWVCHcFfXjq7bbMc/edit?resourcekey#gid=9"&amp;"23248883"",""Prop!$BF$1:$BP""),11,0),iferror(vlookup(B47,importrange(""https://docs.google.com/spreadsheets/d/1boHyJQ4e2FU0QG8MHwEi6qjX4hvZWVCHcFfXjq7bbMc/edit?resourcekey#gid=923248883"",""Prop!$BQ$1:$CA""),11,0),iferror(vlookup(B47,importrange(""https:/"&amp;"/docs.google.com/spreadsheets/d/1boHyJQ4e2FU0QG8MHwEi6qjX4hvZWVCHcFfXjq7bbMc/edit?resourcekey#gid=923248883"",""Prop!$CB$1:$CL""),11,0),iferror(vlookup(B47,importrange(""https://docs.google.com/spreadsheets/d/1boHyJQ4e2FU0QG8MHwEi6qjX4hvZWVCHcFfXjq7bbMc/e"&amp;"dit?resourcekey#gid=923248883"",""Prop!$CM$1:$CX""),12,0),iferror(vlookup(B47,importrange(""https://docs.google.com/spreadsheets/d/1boHyJQ4e2FU0QG8MHwEi6qjX4hvZWVCHcFfXjq7bbMc/edit?resourcekey#gid=923248883"",""Prop!$CV$1:$DI""),11,0)))))))))))"),"")</f>
        <v/>
      </c>
      <c r="Q47" s="7" t="str">
        <f ca="1">IFERROR(__xludf.DUMMYFUNCTION("iferror(vlookup(B47,importrange(""https://docs.google.com/spreadsheets/d/1p53T2AuvvIqhP7Nf-bo3Uhj8cbKYRPpZdsrBv3x3bAQ/edit?resourcekey#gid=1321652304"",""Prop!$C$1:$M""),11,0),IFERROR(vlookup(B47,importrange(""https://docs.google.com/spreadsheets/d/1p53T2"&amp;"AuvvIqhP7Nf-bo3Uhj8cbKYRPpZdsrBv3x3bAQ/edit?resourcekey#gid=1321652304"",""Prop!$N$1:$X""),11,0),iferror(vlookup(B47,importrange(""https://docs.google.com/spreadsheets/d/1p53T2AuvvIqhP7Nf-bo3Uhj8cbKYRPpZdsrBv3x3bAQ/edit?resourcekey#gid=1321652304"",""Prop"&amp;"!$Y$1:$AI""),11,0),iferror(vlookup(B47,importrange(""https://docs.google.com/spreadsheets/d/1p53T2AuvvIqhP7Nf-bo3Uhj8cbKYRPpZdsrBv3x3bAQ/edit?resourcekey#gid=1321652304"",""Prop!$AJ$1:$AT""),11,0),iferror(vlookup(B47,importrange(""https://docs.google.com/"&amp;"spreadsheets/d/1p53T2AuvvIqhP7Nf-bo3Uhj8cbKYRPpZdsrBv3x3bAQ/edit?resourcekey#gid=1321652304"",""Prop!$AU$1:$BE""),11,0),iferror(vlookup(B47,importrange(""https://docs.google.com/spreadsheets/d/1p53T2AuvvIqhP7Nf-bo3Uhj8cbKYRPpZdsrBv3x3bAQ/edit?resourcekey#"&amp;"gid=1321652304"",""Prop!$BF$1:$BP""),11,0),iferror(vlookup(B47,importrange(""https://docs.google.com/spreadsheets/d/1p53T2AuvvIqhP7Nf-bo3Uhj8cbKYRPpZdsrBv3x3bAQ/edit?resourcekey#gid=1321652304"",""Prop!$BQ$1:$CA""),11,0),iferror(vlookup(B47,importrange("""&amp;"https://docs.google.com/spreadsheets/d/1p53T2AuvvIqhP7Nf-bo3Uhj8cbKYRPpZdsrBv3x3bAQ/edit?resourcekey#gid=1321652304"",""Prop!$CB$1:$CL""),11,0),iferror(vlookup(B47,importrange(""https://docs.google.com/spreadsheets/d/1p53T2AuvvIqhP7Nf-bo3Uhj8cbKYRPpZdsrBv"&amp;"3x3bAQ/edit?resourcekey#gid=1321652304"",""Prop!$CM$1:$CX""),12,0),iferror(vlookup(B47,importrange(""https://docs.google.com/spreadsheets/d/1p53T2AuvvIqhP7Nf-bo3Uhj8cbKYRPpZdsrBv3x3bAQ/edit?resourcekey#gid=1321652304"",""Prop!$CY$1:$DI""),11,0)))))))))))"),"https://drive.google.com/open?id=1tMUWcAjwLfMqHKBzOOjtOhnvbmO3B_gg")</f>
        <v>https://drive.google.com/open?id=1tMUWcAjwLfMqHKBzOOjtOhnvbmO3B_gg</v>
      </c>
      <c r="R47" s="88" t="s">
        <v>1229</v>
      </c>
      <c r="S47" s="20" t="str">
        <f ca="1">IFERROR(__xludf.DUMMYFUNCTION("IFERROR(vlookup(B47,IMPORTRANGE(""https://docs.google.com/spreadsheets/d/1g_jfYYK_KeipEDNDUgqgrsxK94XiocfNQIcP-v1QVhI/edit?resourcekey#gid=233272945"",""Nilai!B:CT""),30,0),"" "")"),"Jelaskan mekanisme alat dalam memilah warna kuning penyakit dengan kuning non penyakit")</f>
        <v>Jelaskan mekanisme alat dalam memilah warna kuning penyakit dengan kuning non penyakit</v>
      </c>
      <c r="T47" s="20" t="str">
        <f ca="1">IFERROR(__xludf.DUMMYFUNCTION("IFERROR(vlookup(B47,IMPORTRANGE(""https://docs.google.com/spreadsheets/d/1g_jfYYK_KeipEDNDUgqgrsxK94XiocfNQIcP-v1QVhI/edit?resourcekey#gid=233272945"",""Nilai!B:CT""),97,0),"" "")"),"")</f>
        <v/>
      </c>
      <c r="U47" s="21" t="s">
        <v>576</v>
      </c>
      <c r="V47" s="16" t="s">
        <v>1230</v>
      </c>
      <c r="W47" s="23" t="s">
        <v>1259</v>
      </c>
      <c r="X47" s="19" t="b">
        <v>1</v>
      </c>
    </row>
    <row r="48" spans="1:24">
      <c r="A48" s="15">
        <v>46</v>
      </c>
      <c r="B48" s="15">
        <f ca="1">IFERROR(__xludf.DUMMYFUNCTION("""COMPUTED_VALUE"""),3616)</f>
        <v>3616</v>
      </c>
      <c r="C48" s="16" t="str">
        <f ca="1">IFERROR(__xludf.DUMMYFUNCTION("""COMPUTED_VALUE"""),"Radix Kautsar Ramadhan")</f>
        <v>Radix Kautsar Ramadhan</v>
      </c>
      <c r="D48" s="16" t="str">
        <f ca="1">IFERROR(__xludf.DUMMYFUNCTION("""COMPUTED_VALUE"""),"02111940000050")</f>
        <v>02111940000050</v>
      </c>
      <c r="E48" s="16" t="str">
        <f ca="1">IFERROR(__xludf.DUMMYFUNCTION("""COMPUTED_VALUE"""),"Departemen Teknik Mesin")</f>
        <v>Departemen Teknik Mesin</v>
      </c>
      <c r="F48" s="16" t="str">
        <f ca="1">IFERROR(__xludf.DUMMYFUNCTION("""COMPUTED_VALUE"""),"Sistem Deteksi Rem Blong dengan Smart-Sensor Multifungsi pada Kendaraan Berat")</f>
        <v>Sistem Deteksi Rem Blong dengan Smart-Sensor Multifungsi pada Kendaraan Berat</v>
      </c>
      <c r="G48" s="16" t="str">
        <f ca="1">IFERROR(__xludf.DUMMYFUNCTION("""COMPUTED_VALUE"""),"Achmad Syaifudin, S.T., M.Eng., Ph.D.")</f>
        <v>Achmad Syaifudin, S.T., M.Eng., Ph.D.</v>
      </c>
      <c r="H48" s="16" t="str">
        <f ca="1">IFERROR(__xludf.DUMMYFUNCTION("""COMPUTED_VALUE"""),"Dr.Eng. Chastine Fatichah, S.Kom., M.Kom.")</f>
        <v>Dr.Eng. Chastine Fatichah, S.Kom., M.Kom.</v>
      </c>
      <c r="I48" s="16" t="str">
        <f ca="1">IFERROR(__xludf.DUMMYFUNCTION("""COMPUTED_VALUE"""),"Rudy Dikairono, ST., M.T.")</f>
        <v>Rudy Dikairono, ST., M.T.</v>
      </c>
      <c r="J48" s="16"/>
      <c r="K48" s="17" t="s">
        <v>1257</v>
      </c>
      <c r="L48" s="23" t="s">
        <v>1260</v>
      </c>
      <c r="M48" s="19" t="b">
        <v>0</v>
      </c>
      <c r="N48" s="19" t="b">
        <v>0</v>
      </c>
      <c r="O48" s="1" t="s">
        <v>1255</v>
      </c>
      <c r="P48" s="7" t="str">
        <f ca="1">IFERROR(__xludf.DUMMYFUNCTION("iferror(vlookup(B48,importrange(""https://docs.google.com/spreadsheets/d/1boHyJQ4e2FU0QG8MHwEi6qjX4hvZWVCHcFfXjq7bbMc/edit?resourcekey#gid=923248883"",""Prop!$C$1:$M""),12,0),IFERROR(vlookup(B48,importrange(""https://docs.google.com/spreadsheets/d/1boHyJQ"&amp;"4e2FU0QG8MHwEi6qjX4hvZWVCHcFfXjq7bbMc/edit?resourcekey#gid=923248883"",""Prop!$N$1:$X""),11,0),iferror(vlookup(B48,importrange(""https://docs.google.com/spreadsheets/d/1boHyJQ4e2FU0QG8MHwEi6qjX4hvZWVCHcFfXjq7bbMc/edit?resourcekey#gid=923248883"",""Prop!$Y"&amp;"$1:$AI""),11,0),iferror(vlookup(B48,importrange(""https://docs.google.com/spreadsheets/d/1boHyJQ4e2FU0QG8MHwEi6qjX4hvZWVCHcFfXjq7bbMc/edit?resourcekey#gid=923248883"",""Prop!$AJ$1:$AT""),11,0),iferror(vlookup(B48,importrange(""https://docs.google.com/spre"&amp;"adsheets/d/1boHyJQ4e2FU0QG8MHwEi6qjX4hvZWVCHcFfXjq7bbMc/edit?resourcekey#gid=923248883"",""Prop!$AU$1:$BE""),11,0),iferror(vlookup(B48,importrange(""https://docs.google.com/spreadsheets/d/1boHyJQ4e2FU0QG8MHwEi6qjX4hvZWVCHcFfXjq7bbMc/edit?resourcekey#gid=9"&amp;"23248883"",""Prop!$BF$1:$BP""),11,0),iferror(vlookup(B48,importrange(""https://docs.google.com/spreadsheets/d/1boHyJQ4e2FU0QG8MHwEi6qjX4hvZWVCHcFfXjq7bbMc/edit?resourcekey#gid=923248883"",""Prop!$BQ$1:$CA""),11,0),iferror(vlookup(B48,importrange(""https:/"&amp;"/docs.google.com/spreadsheets/d/1boHyJQ4e2FU0QG8MHwEi6qjX4hvZWVCHcFfXjq7bbMc/edit?resourcekey#gid=923248883"",""Prop!$CB$1:$CL""),11,0),iferror(vlookup(B48,importrange(""https://docs.google.com/spreadsheets/d/1boHyJQ4e2FU0QG8MHwEi6qjX4hvZWVCHcFfXjq7bbMc/e"&amp;"dit?resourcekey#gid=923248883"",""Prop!$CM$1:$CX""),12,0),iferror(vlookup(B48,importrange(""https://docs.google.com/spreadsheets/d/1boHyJQ4e2FU0QG8MHwEi6qjX4hvZWVCHcFfXjq7bbMc/edit?resourcekey#gid=923248883"",""Prop!$CV$1:$DI""),11,0)))))))))))"),"https://drive.google.com/open?id=1bLA0wdsIVKHmfv1CS9YxKrXCGpCtoFBC")</f>
        <v>https://drive.google.com/open?id=1bLA0wdsIVKHmfv1CS9YxKrXCGpCtoFBC</v>
      </c>
      <c r="Q48" s="7" t="str">
        <f ca="1">IFERROR(__xludf.DUMMYFUNCTION("iferror(vlookup(B48,importrange(""https://docs.google.com/spreadsheets/d/1p53T2AuvvIqhP7Nf-bo3Uhj8cbKYRPpZdsrBv3x3bAQ/edit?resourcekey#gid=1321652304"",""Prop!$C$1:$M""),11,0),IFERROR(vlookup(B48,importrange(""https://docs.google.com/spreadsheets/d/1p53T2"&amp;"AuvvIqhP7Nf-bo3Uhj8cbKYRPpZdsrBv3x3bAQ/edit?resourcekey#gid=1321652304"",""Prop!$N$1:$X""),11,0),iferror(vlookup(B48,importrange(""https://docs.google.com/spreadsheets/d/1p53T2AuvvIqhP7Nf-bo3Uhj8cbKYRPpZdsrBv3x3bAQ/edit?resourcekey#gid=1321652304"",""Prop"&amp;"!$Y$1:$AI""),11,0),iferror(vlookup(B48,importrange(""https://docs.google.com/spreadsheets/d/1p53T2AuvvIqhP7Nf-bo3Uhj8cbKYRPpZdsrBv3x3bAQ/edit?resourcekey#gid=1321652304"",""Prop!$AJ$1:$AT""),11,0),iferror(vlookup(B48,importrange(""https://docs.google.com/"&amp;"spreadsheets/d/1p53T2AuvvIqhP7Nf-bo3Uhj8cbKYRPpZdsrBv3x3bAQ/edit?resourcekey#gid=1321652304"",""Prop!$AU$1:$BE""),11,0),iferror(vlookup(B48,importrange(""https://docs.google.com/spreadsheets/d/1p53T2AuvvIqhP7Nf-bo3Uhj8cbKYRPpZdsrBv3x3bAQ/edit?resourcekey#"&amp;"gid=1321652304"",""Prop!$BF$1:$BP""),11,0),iferror(vlookup(B48,importrange(""https://docs.google.com/spreadsheets/d/1p53T2AuvvIqhP7Nf-bo3Uhj8cbKYRPpZdsrBv3x3bAQ/edit?resourcekey#gid=1321652304"",""Prop!$BQ$1:$CA""),11,0),iferror(vlookup(B48,importrange("""&amp;"https://docs.google.com/spreadsheets/d/1p53T2AuvvIqhP7Nf-bo3Uhj8cbKYRPpZdsrBv3x3bAQ/edit?resourcekey#gid=1321652304"",""Prop!$CB$1:$CL""),11,0),iferror(vlookup(B48,importrange(""https://docs.google.com/spreadsheets/d/1p53T2AuvvIqhP7Nf-bo3Uhj8cbKYRPpZdsrBv"&amp;"3x3bAQ/edit?resourcekey#gid=1321652304"",""Prop!$CM$1:$CX""),12,0),iferror(vlookup(B48,importrange(""https://docs.google.com/spreadsheets/d/1p53T2AuvvIqhP7Nf-bo3Uhj8cbKYRPpZdsrBv3x3bAQ/edit?resourcekey#gid=1321652304"",""Prop!$CY$1:$DI""),11,0)))))))))))"),"https://drive.google.com/open?id=1YlSHJBMmLXUiPE1Rwy51r4-FpRP4XbNQ")</f>
        <v>https://drive.google.com/open?id=1YlSHJBMmLXUiPE1Rwy51r4-FpRP4XbNQ</v>
      </c>
      <c r="R48" s="88" t="s">
        <v>1229</v>
      </c>
      <c r="S48" s="20" t="str">
        <f ca="1">IFERROR(__xludf.DUMMYFUNCTION("IFERROR(vlookup(B48,IMPORTRANGE(""https://docs.google.com/spreadsheets/d/1g_jfYYK_KeipEDNDUgqgrsxK94XiocfNQIcP-v1QVhI/edit?resourcekey#gid=233272945"",""Nilai!B:CT""),30,0),"" "")"),"apa benar gambar 3.2 tentang solar tracker?")</f>
        <v>apa benar gambar 3.2 tentang solar tracker?</v>
      </c>
      <c r="T48" s="20" t="str">
        <f ca="1">IFERROR(__xludf.DUMMYFUNCTION("IFERROR(vlookup(B48,IMPORTRANGE(""https://docs.google.com/spreadsheets/d/1g_jfYYK_KeipEDNDUgqgrsxK94XiocfNQIcP-v1QVhI/edit?resourcekey#gid=233272945"",""Nilai!B:CT""),97,0),"" "")"),"")</f>
        <v/>
      </c>
      <c r="U48" s="21" t="s">
        <v>576</v>
      </c>
      <c r="V48" s="16" t="s">
        <v>1230</v>
      </c>
      <c r="W48" s="23" t="s">
        <v>1259</v>
      </c>
      <c r="X48" s="19" t="b">
        <v>0</v>
      </c>
    </row>
    <row r="49" spans="1:24">
      <c r="A49" s="15">
        <v>47</v>
      </c>
      <c r="B49" s="15">
        <f ca="1">IFERROR(__xludf.DUMMYFUNCTION("""COMPUTED_VALUE"""),2999)</f>
        <v>2999</v>
      </c>
      <c r="C49" s="16" t="str">
        <f ca="1">IFERROR(__xludf.DUMMYFUNCTION("""COMPUTED_VALUE"""),"ALDO APRINO")</f>
        <v>ALDO APRINO</v>
      </c>
      <c r="D49" s="16" t="str">
        <f ca="1">IFERROR(__xludf.DUMMYFUNCTION("""COMPUTED_VALUE"""),"5010201118")</f>
        <v>5010201118</v>
      </c>
      <c r="E49" s="16" t="str">
        <f ca="1">IFERROR(__xludf.DUMMYFUNCTION("""COMPUTED_VALUE"""),"Departemen Teknik Sistem dan Industri")</f>
        <v>Departemen Teknik Sistem dan Industri</v>
      </c>
      <c r="F49" s="16" t="str">
        <f ca="1">IFERROR(__xludf.DUMMYFUNCTION("""COMPUTED_VALUE"""),"Optimalisasi Pengendalian Kualitas Produk Tempe Melalui Inspeksi Berat Guna Meningkatkan Konsistensi dengan Sistem Karakuri 
")</f>
        <v xml:space="preserve">Optimalisasi Pengendalian Kualitas Produk Tempe Melalui Inspeksi Berat Guna Meningkatkan Konsistensi dengan Sistem Karakuri 
</v>
      </c>
      <c r="G49" s="16" t="str">
        <f ca="1">IFERROR(__xludf.DUMMYFUNCTION("""COMPUTED_VALUE"""),"H.Ir. Hari Supriyanto, MSIE.")</f>
        <v>H.Ir. Hari Supriyanto, MSIE.</v>
      </c>
      <c r="H49" s="16" t="str">
        <f ca="1">IFERROR(__xludf.DUMMYFUNCTION("""COMPUTED_VALUE"""),"Eko Agus Suprayitno, S.Si., M.T.")</f>
        <v>Eko Agus Suprayitno, S.Si., M.T.</v>
      </c>
      <c r="I49" s="16" t="str">
        <f ca="1">IFERROR(__xludf.DUMMYFUNCTION("""COMPUTED_VALUE"""),"Dr. Eng. Hosta Ardhyananta, S.T., M.Sc.")</f>
        <v>Dr. Eng. Hosta Ardhyananta, S.T., M.Sc.</v>
      </c>
      <c r="J49" s="16"/>
      <c r="K49" s="17" t="s">
        <v>1257</v>
      </c>
      <c r="L49" s="23" t="s">
        <v>1260</v>
      </c>
      <c r="M49" s="19" t="b">
        <v>0</v>
      </c>
      <c r="N49" s="19" t="b">
        <v>0</v>
      </c>
      <c r="O49" s="1" t="s">
        <v>1261</v>
      </c>
      <c r="P49" s="7" t="str">
        <f ca="1">IFERROR(__xludf.DUMMYFUNCTION("iferror(vlookup(B49,importrange(""https://docs.google.com/spreadsheets/d/1boHyJQ4e2FU0QG8MHwEi6qjX4hvZWVCHcFfXjq7bbMc/edit?resourcekey#gid=923248883"",""Prop!$C$1:$M""),12,0),IFERROR(vlookup(B49,importrange(""https://docs.google.com/spreadsheets/d/1boHyJQ"&amp;"4e2FU0QG8MHwEi6qjX4hvZWVCHcFfXjq7bbMc/edit?resourcekey#gid=923248883"",""Prop!$N$1:$X""),11,0),iferror(vlookup(B49,importrange(""https://docs.google.com/spreadsheets/d/1boHyJQ4e2FU0QG8MHwEi6qjX4hvZWVCHcFfXjq7bbMc/edit?resourcekey#gid=923248883"",""Prop!$Y"&amp;"$1:$AI""),11,0),iferror(vlookup(B49,importrange(""https://docs.google.com/spreadsheets/d/1boHyJQ4e2FU0QG8MHwEi6qjX4hvZWVCHcFfXjq7bbMc/edit?resourcekey#gid=923248883"",""Prop!$AJ$1:$AT""),11,0),iferror(vlookup(B49,importrange(""https://docs.google.com/spre"&amp;"adsheets/d/1boHyJQ4e2FU0QG8MHwEi6qjX4hvZWVCHcFfXjq7bbMc/edit?resourcekey#gid=923248883"",""Prop!$AU$1:$BE""),11,0),iferror(vlookup(B49,importrange(""https://docs.google.com/spreadsheets/d/1boHyJQ4e2FU0QG8MHwEi6qjX4hvZWVCHcFfXjq7bbMc/edit?resourcekey#gid=9"&amp;"23248883"",""Prop!$BF$1:$BP""),11,0),iferror(vlookup(B49,importrange(""https://docs.google.com/spreadsheets/d/1boHyJQ4e2FU0QG8MHwEi6qjX4hvZWVCHcFfXjq7bbMc/edit?resourcekey#gid=923248883"",""Prop!$BQ$1:$CA""),11,0),iferror(vlookup(B49,importrange(""https:/"&amp;"/docs.google.com/spreadsheets/d/1boHyJQ4e2FU0QG8MHwEi6qjX4hvZWVCHcFfXjq7bbMc/edit?resourcekey#gid=923248883"",""Prop!$CB$1:$CL""),11,0),iferror(vlookup(B49,importrange(""https://docs.google.com/spreadsheets/d/1boHyJQ4e2FU0QG8MHwEi6qjX4hvZWVCHcFfXjq7bbMc/e"&amp;"dit?resourcekey#gid=923248883"",""Prop!$CM$1:$CX""),12,0),iferror(vlookup(B49,importrange(""https://docs.google.com/spreadsheets/d/1boHyJQ4e2FU0QG8MHwEi6qjX4hvZWVCHcFfXjq7bbMc/edit?resourcekey#gid=923248883"",""Prop!$CV$1:$DI""),11,0)))))))))))"),"https://drive.google.com/open?id=161bmqzs5iE-vsWoSMPWVptSF9oIeUVbG")</f>
        <v>https://drive.google.com/open?id=161bmqzs5iE-vsWoSMPWVptSF9oIeUVbG</v>
      </c>
      <c r="Q49" s="7" t="str">
        <f ca="1">IFERROR(__xludf.DUMMYFUNCTION("iferror(vlookup(B49,importrange(""https://docs.google.com/spreadsheets/d/1p53T2AuvvIqhP7Nf-bo3Uhj8cbKYRPpZdsrBv3x3bAQ/edit?resourcekey#gid=1321652304"",""Prop!$C$1:$M""),11,0),IFERROR(vlookup(B49,importrange(""https://docs.google.com/spreadsheets/d/1p53T2"&amp;"AuvvIqhP7Nf-bo3Uhj8cbKYRPpZdsrBv3x3bAQ/edit?resourcekey#gid=1321652304"",""Prop!$N$1:$X""),11,0),iferror(vlookup(B49,importrange(""https://docs.google.com/spreadsheets/d/1p53T2AuvvIqhP7Nf-bo3Uhj8cbKYRPpZdsrBv3x3bAQ/edit?resourcekey#gid=1321652304"",""Prop"&amp;"!$Y$1:$AI""),11,0),iferror(vlookup(B49,importrange(""https://docs.google.com/spreadsheets/d/1p53T2AuvvIqhP7Nf-bo3Uhj8cbKYRPpZdsrBv3x3bAQ/edit?resourcekey#gid=1321652304"",""Prop!$AJ$1:$AT""),11,0),iferror(vlookup(B49,importrange(""https://docs.google.com/"&amp;"spreadsheets/d/1p53T2AuvvIqhP7Nf-bo3Uhj8cbKYRPpZdsrBv3x3bAQ/edit?resourcekey#gid=1321652304"",""Prop!$AU$1:$BE""),11,0),iferror(vlookup(B49,importrange(""https://docs.google.com/spreadsheets/d/1p53T2AuvvIqhP7Nf-bo3Uhj8cbKYRPpZdsrBv3x3bAQ/edit?resourcekey#"&amp;"gid=1321652304"",""Prop!$BF$1:$BP""),11,0),iferror(vlookup(B49,importrange(""https://docs.google.com/spreadsheets/d/1p53T2AuvvIqhP7Nf-bo3Uhj8cbKYRPpZdsrBv3x3bAQ/edit?resourcekey#gid=1321652304"",""Prop!$BQ$1:$CA""),11,0),iferror(vlookup(B49,importrange("""&amp;"https://docs.google.com/spreadsheets/d/1p53T2AuvvIqhP7Nf-bo3Uhj8cbKYRPpZdsrBv3x3bAQ/edit?resourcekey#gid=1321652304"",""Prop!$CB$1:$CL""),11,0),iferror(vlookup(B49,importrange(""https://docs.google.com/spreadsheets/d/1p53T2AuvvIqhP7Nf-bo3Uhj8cbKYRPpZdsrBv"&amp;"3x3bAQ/edit?resourcekey#gid=1321652304"",""Prop!$CM$1:$CX""),12,0),iferror(vlookup(B49,importrange(""https://docs.google.com/spreadsheets/d/1p53T2AuvvIqhP7Nf-bo3Uhj8cbKYRPpZdsrBv3x3bAQ/edit?resourcekey#gid=1321652304"",""Prop!$CY$1:$DI""),11,0)))))))))))"),"https://drive.google.com/open?id=1w46nEyMSfhC4z9QKYOHfCit1ZdABattN")</f>
        <v>https://drive.google.com/open?id=1w46nEyMSfhC4z9QKYOHfCit1ZdABattN</v>
      </c>
      <c r="R49" s="88" t="s">
        <v>1229</v>
      </c>
      <c r="S49" s="20" t="str">
        <f ca="1">IFERROR(__xludf.DUMMYFUNCTION("IFERROR(vlookup(B49,IMPORTRANGE(""https://docs.google.com/spreadsheets/d/1g_jfYYK_KeipEDNDUgqgrsxK94XiocfNQIcP-v1QVhI/edit?resourcekey#gid=233272945"",""Nilai!B:CT""),30,0),"" "")"),"ide dan prototype terlalu sederhana")</f>
        <v>ide dan prototype terlalu sederhana</v>
      </c>
      <c r="T49" s="20" t="str">
        <f ca="1">IFERROR(__xludf.DUMMYFUNCTION("IFERROR(vlookup(B49,IMPORTRANGE(""https://docs.google.com/spreadsheets/d/1g_jfYYK_KeipEDNDUgqgrsxK94XiocfNQIcP-v1QVhI/edit?resourcekey#gid=233272945"",""Nilai!B:CT""),97,0),"" "")"),"")</f>
        <v/>
      </c>
      <c r="U49" s="21" t="s">
        <v>576</v>
      </c>
      <c r="V49" s="16" t="s">
        <v>1230</v>
      </c>
      <c r="W49" s="23" t="s">
        <v>1262</v>
      </c>
      <c r="X49" s="19" t="b">
        <v>1</v>
      </c>
    </row>
    <row r="50" spans="1:24">
      <c r="A50" s="15">
        <v>48</v>
      </c>
      <c r="B50" s="15">
        <f ca="1">IFERROR(__xludf.DUMMYFUNCTION("""COMPUTED_VALUE"""),3261)</f>
        <v>3261</v>
      </c>
      <c r="C50" s="69" t="str">
        <f ca="1">IFERROR(__xludf.DUMMYFUNCTION("""COMPUTED_VALUE"""),"Edgar R Pradipta")</f>
        <v>Edgar R Pradipta</v>
      </c>
      <c r="D50" s="16" t="str">
        <f ca="1">IFERROR(__xludf.DUMMYFUNCTION("""COMPUTED_VALUE"""),"02111940000044")</f>
        <v>02111940000044</v>
      </c>
      <c r="E50" s="16" t="str">
        <f ca="1">IFERROR(__xludf.DUMMYFUNCTION("""COMPUTED_VALUE"""),"Departemen Teknik Mesin")</f>
        <v>Departemen Teknik Mesin</v>
      </c>
      <c r="F50" s="16" t="str">
        <f ca="1">IFERROR(__xludf.DUMMYFUNCTION("""COMPUTED_VALUE"""),"Automatic Planter (ATER): Solusi Penanaman Padi Efektif")</f>
        <v>Automatic Planter (ATER): Solusi Penanaman Padi Efektif</v>
      </c>
      <c r="G50" s="16" t="str">
        <f ca="1">IFERROR(__xludf.DUMMYFUNCTION("""COMPUTED_VALUE"""),"Ir. Sampurno, M.T.")</f>
        <v>Ir. Sampurno, M.T.</v>
      </c>
      <c r="H50" s="16" t="str">
        <f ca="1">IFERROR(__xludf.DUMMYFUNCTION("""COMPUTED_VALUE"""),"Mohammad Khoirul Effendi, S.T., M.Sc.Eng., Ph.D.")</f>
        <v>Mohammad Khoirul Effendi, S.T., M.Sc.Eng., Ph.D.</v>
      </c>
      <c r="I50" s="16" t="str">
        <f ca="1">IFERROR(__xludf.DUMMYFUNCTION("""COMPUTED_VALUE"""),"Dr. Dendy Satrio, S.ST.")</f>
        <v>Dr. Dendy Satrio, S.ST.</v>
      </c>
      <c r="J50" s="16"/>
      <c r="K50" s="17" t="s">
        <v>1257</v>
      </c>
      <c r="L50" s="23" t="s">
        <v>1260</v>
      </c>
      <c r="M50" s="19" t="b">
        <v>0</v>
      </c>
      <c r="N50" s="19" t="b">
        <v>0</v>
      </c>
      <c r="O50" s="1" t="s">
        <v>1261</v>
      </c>
      <c r="P50" s="7" t="str">
        <f ca="1">IFERROR(__xludf.DUMMYFUNCTION("iferror(vlookup(B50,importrange(""https://docs.google.com/spreadsheets/d/1boHyJQ4e2FU0QG8MHwEi6qjX4hvZWVCHcFfXjq7bbMc/edit?resourcekey#gid=923248883"",""Prop!$C$1:$M""),12,0),IFERROR(vlookup(B50,importrange(""https://docs.google.com/spreadsheets/d/1boHyJQ"&amp;"4e2FU0QG8MHwEi6qjX4hvZWVCHcFfXjq7bbMc/edit?resourcekey#gid=923248883"",""Prop!$N$1:$X""),11,0),iferror(vlookup(B50,importrange(""https://docs.google.com/spreadsheets/d/1boHyJQ4e2FU0QG8MHwEi6qjX4hvZWVCHcFfXjq7bbMc/edit?resourcekey#gid=923248883"",""Prop!$Y"&amp;"$1:$AI""),11,0),iferror(vlookup(B50,importrange(""https://docs.google.com/spreadsheets/d/1boHyJQ4e2FU0QG8MHwEi6qjX4hvZWVCHcFfXjq7bbMc/edit?resourcekey#gid=923248883"",""Prop!$AJ$1:$AT""),11,0),iferror(vlookup(B50,importrange(""https://docs.google.com/spre"&amp;"adsheets/d/1boHyJQ4e2FU0QG8MHwEi6qjX4hvZWVCHcFfXjq7bbMc/edit?resourcekey#gid=923248883"",""Prop!$AU$1:$BE""),11,0),iferror(vlookup(B50,importrange(""https://docs.google.com/spreadsheets/d/1boHyJQ4e2FU0QG8MHwEi6qjX4hvZWVCHcFfXjq7bbMc/edit?resourcekey#gid=9"&amp;"23248883"",""Prop!$BF$1:$BP""),11,0),iferror(vlookup(B50,importrange(""https://docs.google.com/spreadsheets/d/1boHyJQ4e2FU0QG8MHwEi6qjX4hvZWVCHcFfXjq7bbMc/edit?resourcekey#gid=923248883"",""Prop!$BQ$1:$CA""),11,0),iferror(vlookup(B50,importrange(""https:/"&amp;"/docs.google.com/spreadsheets/d/1boHyJQ4e2FU0QG8MHwEi6qjX4hvZWVCHcFfXjq7bbMc/edit?resourcekey#gid=923248883"",""Prop!$CB$1:$CL""),11,0),iferror(vlookup(B50,importrange(""https://docs.google.com/spreadsheets/d/1boHyJQ4e2FU0QG8MHwEi6qjX4hvZWVCHcFfXjq7bbMc/e"&amp;"dit?resourcekey#gid=923248883"",""Prop!$CM$1:$CX""),12,0),iferror(vlookup(B50,importrange(""https://docs.google.com/spreadsheets/d/1boHyJQ4e2FU0QG8MHwEi6qjX4hvZWVCHcFfXjq7bbMc/edit?resourcekey#gid=923248883"",""Prop!$CV$1:$DI""),11,0)))))))))))"),"https://drive.google.com/open?id=1Y5dgupZqXurd_vnh5mOLp2cZqtGa0RrY")</f>
        <v>https://drive.google.com/open?id=1Y5dgupZqXurd_vnh5mOLp2cZqtGa0RrY</v>
      </c>
      <c r="Q50" s="7" t="str">
        <f ca="1">IFERROR(__xludf.DUMMYFUNCTION("iferror(vlookup(B50,importrange(""https://docs.google.com/spreadsheets/d/1p53T2AuvvIqhP7Nf-bo3Uhj8cbKYRPpZdsrBv3x3bAQ/edit?resourcekey#gid=1321652304"",""Prop!$C$1:$M""),11,0),IFERROR(vlookup(B50,importrange(""https://docs.google.com/spreadsheets/d/1p53T2"&amp;"AuvvIqhP7Nf-bo3Uhj8cbKYRPpZdsrBv3x3bAQ/edit?resourcekey#gid=1321652304"",""Prop!$N$1:$X""),11,0),iferror(vlookup(B50,importrange(""https://docs.google.com/spreadsheets/d/1p53T2AuvvIqhP7Nf-bo3Uhj8cbKYRPpZdsrBv3x3bAQ/edit?resourcekey#gid=1321652304"",""Prop"&amp;"!$Y$1:$AI""),11,0),iferror(vlookup(B50,importrange(""https://docs.google.com/spreadsheets/d/1p53T2AuvvIqhP7Nf-bo3Uhj8cbKYRPpZdsrBv3x3bAQ/edit?resourcekey#gid=1321652304"",""Prop!$AJ$1:$AT""),11,0),iferror(vlookup(B50,importrange(""https://docs.google.com/"&amp;"spreadsheets/d/1p53T2AuvvIqhP7Nf-bo3Uhj8cbKYRPpZdsrBv3x3bAQ/edit?resourcekey#gid=1321652304"",""Prop!$AU$1:$BE""),11,0),iferror(vlookup(B50,importrange(""https://docs.google.com/spreadsheets/d/1p53T2AuvvIqhP7Nf-bo3Uhj8cbKYRPpZdsrBv3x3bAQ/edit?resourcekey#"&amp;"gid=1321652304"",""Prop!$BF$1:$BP""),11,0),iferror(vlookup(B50,importrange(""https://docs.google.com/spreadsheets/d/1p53T2AuvvIqhP7Nf-bo3Uhj8cbKYRPpZdsrBv3x3bAQ/edit?resourcekey#gid=1321652304"",""Prop!$BQ$1:$CA""),11,0),iferror(vlookup(B50,importrange("""&amp;"https://docs.google.com/spreadsheets/d/1p53T2AuvvIqhP7Nf-bo3Uhj8cbKYRPpZdsrBv3x3bAQ/edit?resourcekey#gid=1321652304"",""Prop!$CB$1:$CL""),11,0),iferror(vlookup(B50,importrange(""https://docs.google.com/spreadsheets/d/1p53T2AuvvIqhP7Nf-bo3Uhj8cbKYRPpZdsrBv"&amp;"3x3bAQ/edit?resourcekey#gid=1321652304"",""Prop!$CM$1:$CX""),12,0),iferror(vlookup(B50,importrange(""https://docs.google.com/spreadsheets/d/1p53T2AuvvIqhP7Nf-bo3Uhj8cbKYRPpZdsrBv3x3bAQ/edit?resourcekey#gid=1321652304"",""Prop!$CY$1:$DI""),11,0)))))))))))"),"https://drive.google.com/open?id=1HDdMwOlNok15J0_eCqXyUJILzJhgDuo5")</f>
        <v>https://drive.google.com/open?id=1HDdMwOlNok15J0_eCqXyUJILzJhgDuo5</v>
      </c>
      <c r="R50" s="88" t="s">
        <v>1229</v>
      </c>
      <c r="S50" s="20" t="str">
        <f ca="1">IFERROR(__xludf.DUMMYFUNCTION("IFERROR(vlookup(B50,IMPORTRANGE(""https://docs.google.com/spreadsheets/d/1g_jfYYK_KeipEDNDUgqgrsxK94XiocfNQIcP-v1QVhI/edit?resourcekey#gid=233272945"",""Nilai!B:CT""),30,0),"" "")"),"Masukkan design alat pada proposal, ")</f>
        <v xml:space="preserve">Masukkan design alat pada proposal, </v>
      </c>
      <c r="T50" s="20" t="str">
        <f ca="1">IFERROR(__xludf.DUMMYFUNCTION("IFERROR(vlookup(B50,IMPORTRANGE(""https://docs.google.com/spreadsheets/d/1g_jfYYK_KeipEDNDUgqgrsxK94XiocfNQIcP-v1QVhI/edit?resourcekey#gid=233272945"",""Nilai!B:CT""),97,0),"" "")"),"")</f>
        <v/>
      </c>
      <c r="U50" s="21" t="s">
        <v>576</v>
      </c>
      <c r="V50" s="16" t="s">
        <v>1230</v>
      </c>
      <c r="W50" s="23" t="s">
        <v>1262</v>
      </c>
      <c r="X50" s="19" t="b">
        <v>0</v>
      </c>
    </row>
    <row r="51" spans="1:24">
      <c r="A51" s="15">
        <v>49</v>
      </c>
      <c r="B51" s="15">
        <f ca="1">IFERROR(__xludf.DUMMYFUNCTION("""COMPUTED_VALUE"""),2897)</f>
        <v>2897</v>
      </c>
      <c r="C51" s="16" t="str">
        <f ca="1">IFERROR(__xludf.DUMMYFUNCTION("""COMPUTED_VALUE"""),"MUHAMMAD ARIF BILLAH")</f>
        <v>MUHAMMAD ARIF BILLAH</v>
      </c>
      <c r="D51" s="16" t="str">
        <f ca="1">IFERROR(__xludf.DUMMYFUNCTION("""COMPUTED_VALUE"""),"2036201079")</f>
        <v>2036201079</v>
      </c>
      <c r="E51" s="16" t="str">
        <f ca="1">IFERROR(__xludf.DUMMYFUNCTION("""COMPUTED_VALUE"""),"Departemen Teknik Infrastruktur Sipil")</f>
        <v>Departemen Teknik Infrastruktur Sipil</v>
      </c>
      <c r="F51" s="16" t="str">
        <f ca="1">IFERROR(__xludf.DUMMYFUNCTION("""COMPUTED_VALUE"""),"Alat Monitoring Kualitas Udara dan Pengubah Udara Menjadi Air Otomatis Berbasis Arduino Sebagai Solusi Kekurangan Air Bersih saat Musim Kemarau")</f>
        <v>Alat Monitoring Kualitas Udara dan Pengubah Udara Menjadi Air Otomatis Berbasis Arduino Sebagai Solusi Kekurangan Air Bersih saat Musim Kemarau</v>
      </c>
      <c r="G51" s="16" t="str">
        <f ca="1">IFERROR(__xludf.DUMMYFUNCTION("""COMPUTED_VALUE"""),"Aan Fauzi, S.T., M.T.")</f>
        <v>Aan Fauzi, S.T., M.T.</v>
      </c>
      <c r="H51" s="16" t="str">
        <f ca="1">IFERROR(__xludf.DUMMYFUNCTION("""COMPUTED_VALUE"""),"Ir. Josaphat Pramudijanto, M.Eng.")</f>
        <v>Ir. Josaphat Pramudijanto, M.Eng.</v>
      </c>
      <c r="I51" s="16" t="str">
        <f ca="1">IFERROR(__xludf.DUMMYFUNCTION("""COMPUTED_VALUE"""),"Dr. Suyatno, S.Si., M.Si.")</f>
        <v>Dr. Suyatno, S.Si., M.Si.</v>
      </c>
      <c r="J51" s="16"/>
      <c r="K51" s="17" t="s">
        <v>1257</v>
      </c>
      <c r="L51" s="23" t="s">
        <v>1260</v>
      </c>
      <c r="M51" s="19" t="b">
        <v>1</v>
      </c>
      <c r="N51" s="19" t="b">
        <v>1</v>
      </c>
      <c r="O51" s="1" t="s">
        <v>1261</v>
      </c>
      <c r="P51" s="7" t="str">
        <f ca="1">IFERROR(__xludf.DUMMYFUNCTION("iferror(vlookup(B51,importrange(""https://docs.google.com/spreadsheets/d/1boHyJQ4e2FU0QG8MHwEi6qjX4hvZWVCHcFfXjq7bbMc/edit?resourcekey#gid=923248883"",""Prop!$C$1:$M""),12,0),IFERROR(vlookup(B51,importrange(""https://docs.google.com/spreadsheets/d/1boHyJQ"&amp;"4e2FU0QG8MHwEi6qjX4hvZWVCHcFfXjq7bbMc/edit?resourcekey#gid=923248883"",""Prop!$N$1:$X""),11,0),iferror(vlookup(B51,importrange(""https://docs.google.com/spreadsheets/d/1boHyJQ4e2FU0QG8MHwEi6qjX4hvZWVCHcFfXjq7bbMc/edit?resourcekey#gid=923248883"",""Prop!$Y"&amp;"$1:$AI""),11,0),iferror(vlookup(B51,importrange(""https://docs.google.com/spreadsheets/d/1boHyJQ4e2FU0QG8MHwEi6qjX4hvZWVCHcFfXjq7bbMc/edit?resourcekey#gid=923248883"",""Prop!$AJ$1:$AT""),11,0),iferror(vlookup(B51,importrange(""https://docs.google.com/spre"&amp;"adsheets/d/1boHyJQ4e2FU0QG8MHwEi6qjX4hvZWVCHcFfXjq7bbMc/edit?resourcekey#gid=923248883"",""Prop!$AU$1:$BE""),11,0),iferror(vlookup(B51,importrange(""https://docs.google.com/spreadsheets/d/1boHyJQ4e2FU0QG8MHwEi6qjX4hvZWVCHcFfXjq7bbMc/edit?resourcekey#gid=9"&amp;"23248883"",""Prop!$BF$1:$BP""),11,0),iferror(vlookup(B51,importrange(""https://docs.google.com/spreadsheets/d/1boHyJQ4e2FU0QG8MHwEi6qjX4hvZWVCHcFfXjq7bbMc/edit?resourcekey#gid=923248883"",""Prop!$BQ$1:$CA""),11,0),iferror(vlookup(B51,importrange(""https:/"&amp;"/docs.google.com/spreadsheets/d/1boHyJQ4e2FU0QG8MHwEi6qjX4hvZWVCHcFfXjq7bbMc/edit?resourcekey#gid=923248883"",""Prop!$CB$1:$CL""),11,0),iferror(vlookup(B51,importrange(""https://docs.google.com/spreadsheets/d/1boHyJQ4e2FU0QG8MHwEi6qjX4hvZWVCHcFfXjq7bbMc/e"&amp;"dit?resourcekey#gid=923248883"",""Prop!$CM$1:$CX""),12,0),iferror(vlookup(B51,importrange(""https://docs.google.com/spreadsheets/d/1boHyJQ4e2FU0QG8MHwEi6qjX4hvZWVCHcFfXjq7bbMc/edit?resourcekey#gid=923248883"",""Prop!$CV$1:$DI""),11,0)))))))))))"),"https://drive.google.com/open?id=1K6FyZnpVnMzXMi0V0glWOwogPIgvSian")</f>
        <v>https://drive.google.com/open?id=1K6FyZnpVnMzXMi0V0glWOwogPIgvSian</v>
      </c>
      <c r="Q51" s="7" t="str">
        <f ca="1">IFERROR(__xludf.DUMMYFUNCTION("iferror(vlookup(B51,importrange(""https://docs.google.com/spreadsheets/d/1p53T2AuvvIqhP7Nf-bo3Uhj8cbKYRPpZdsrBv3x3bAQ/edit?resourcekey#gid=1321652304"",""Prop!$C$1:$M""),11,0),IFERROR(vlookup(B51,importrange(""https://docs.google.com/spreadsheets/d/1p53T2"&amp;"AuvvIqhP7Nf-bo3Uhj8cbKYRPpZdsrBv3x3bAQ/edit?resourcekey#gid=1321652304"",""Prop!$N$1:$X""),11,0),iferror(vlookup(B51,importrange(""https://docs.google.com/spreadsheets/d/1p53T2AuvvIqhP7Nf-bo3Uhj8cbKYRPpZdsrBv3x3bAQ/edit?resourcekey#gid=1321652304"",""Prop"&amp;"!$Y$1:$AI""),11,0),iferror(vlookup(B51,importrange(""https://docs.google.com/spreadsheets/d/1p53T2AuvvIqhP7Nf-bo3Uhj8cbKYRPpZdsrBv3x3bAQ/edit?resourcekey#gid=1321652304"",""Prop!$AJ$1:$AT""),11,0),iferror(vlookup(B51,importrange(""https://docs.google.com/"&amp;"spreadsheets/d/1p53T2AuvvIqhP7Nf-bo3Uhj8cbKYRPpZdsrBv3x3bAQ/edit?resourcekey#gid=1321652304"",""Prop!$AU$1:$BE""),11,0),iferror(vlookup(B51,importrange(""https://docs.google.com/spreadsheets/d/1p53T2AuvvIqhP7Nf-bo3Uhj8cbKYRPpZdsrBv3x3bAQ/edit?resourcekey#"&amp;"gid=1321652304"",""Prop!$BF$1:$BP""),11,0),iferror(vlookup(B51,importrange(""https://docs.google.com/spreadsheets/d/1p53T2AuvvIqhP7Nf-bo3Uhj8cbKYRPpZdsrBv3x3bAQ/edit?resourcekey#gid=1321652304"",""Prop!$BQ$1:$CA""),11,0),iferror(vlookup(B51,importrange("""&amp;"https://docs.google.com/spreadsheets/d/1p53T2AuvvIqhP7Nf-bo3Uhj8cbKYRPpZdsrBv3x3bAQ/edit?resourcekey#gid=1321652304"",""Prop!$CB$1:$CL""),11,0),iferror(vlookup(B51,importrange(""https://docs.google.com/spreadsheets/d/1p53T2AuvvIqhP7Nf-bo3Uhj8cbKYRPpZdsrBv"&amp;"3x3bAQ/edit?resourcekey#gid=1321652304"",""Prop!$CM$1:$CX""),12,0),iferror(vlookup(B51,importrange(""https://docs.google.com/spreadsheets/d/1p53T2AuvvIqhP7Nf-bo3Uhj8cbKYRPpZdsrBv3x3bAQ/edit?resourcekey#gid=1321652304"",""Prop!$CY$1:$DI""),11,0)))))))))))"),"https://drive.google.com/open?id=13BEdSkJKpWOQ3hv9I5YJ9SNoVruSDL_i")</f>
        <v>https://drive.google.com/open?id=13BEdSkJKpWOQ3hv9I5YJ9SNoVruSDL_i</v>
      </c>
      <c r="R51" s="88" t="s">
        <v>1229</v>
      </c>
      <c r="S51" s="20" t="str">
        <f ca="1">IFERROR(__xludf.DUMMYFUNCTION("IFERROR(vlookup(B51,IMPORTRANGE(""https://docs.google.com/spreadsheets/d/1g_jfYYK_KeipEDNDUgqgrsxK94XiocfNQIcP-v1QVhI/edit?resourcekey#gid=233272945"",""Nilai!B:CT""),30,0),"" "")"),"tampilkan visualisasi alat")</f>
        <v>tampilkan visualisasi alat</v>
      </c>
      <c r="T51" s="20" t="str">
        <f ca="1">IFERROR(__xludf.DUMMYFUNCTION("IFERROR(vlookup(B51,IMPORTRANGE(""https://docs.google.com/spreadsheets/d/1g_jfYYK_KeipEDNDUgqgrsxK94XiocfNQIcP-v1QVhI/edit?resourcekey#gid=233272945"",""Nilai!B:CT""),97,0),"" "")"),"")</f>
        <v/>
      </c>
      <c r="U51" s="21" t="s">
        <v>576</v>
      </c>
      <c r="V51" s="16" t="s">
        <v>1230</v>
      </c>
      <c r="W51" s="23" t="s">
        <v>1262</v>
      </c>
      <c r="X51" s="19" t="b">
        <v>1</v>
      </c>
    </row>
    <row r="52" spans="1:24">
      <c r="A52" s="15">
        <v>50</v>
      </c>
      <c r="B52" s="15">
        <f ca="1">IFERROR(__xludf.DUMMYFUNCTION("""COMPUTED_VALUE"""),2075)</f>
        <v>2075</v>
      </c>
      <c r="C52" s="16" t="str">
        <f ca="1">IFERROR(__xludf.DUMMYFUNCTION("""COMPUTED_VALUE"""),"RIZKY FAUZI")</f>
        <v>RIZKY FAUZI</v>
      </c>
      <c r="D52" s="16" t="str">
        <f ca="1">IFERROR(__xludf.DUMMYFUNCTION("""COMPUTED_VALUE"""),"2042201015")</f>
        <v>2042201015</v>
      </c>
      <c r="E52" s="16" t="str">
        <f ca="1">IFERROR(__xludf.DUMMYFUNCTION("""COMPUTED_VALUE"""),"Departemen Teknik Instrumentasi")</f>
        <v>Departemen Teknik Instrumentasi</v>
      </c>
      <c r="F52" s="16" t="str">
        <f ca="1">IFERROR(__xludf.DUMMYFUNCTION("""COMPUTED_VALUE"""),"SIKABAYAN (SISTEM KEAMANAN BAGI NELAYAN)
SEBAGAI INOVASI TEKNOLOGI BERBASIS INFORMASI GEOGRAFIS GUNA OPTIMALISASI PENYELAMATAN KAPAL
")</f>
        <v xml:space="preserve">SIKABAYAN (SISTEM KEAMANAN BAGI NELAYAN)
SEBAGAI INOVASI TEKNOLOGI BERBASIS INFORMASI GEOGRAFIS GUNA OPTIMALISASI PENYELAMATAN KAPAL
</v>
      </c>
      <c r="G52" s="16" t="str">
        <f ca="1">IFERROR(__xludf.DUMMYFUNCTION("""COMPUTED_VALUE"""),"Sefi Novendra Patrialova, S.Si., M.T")</f>
        <v>Sefi Novendra Patrialova, S.Si., M.T</v>
      </c>
      <c r="H52" s="16" t="str">
        <f ca="1">IFERROR(__xludf.DUMMYFUNCTION("""COMPUTED_VALUE"""),"Mohammad Khoirul Effendi, S.T., M.Sc.Eng., Ph.D.")</f>
        <v>Mohammad Khoirul Effendi, S.T., M.Sc.Eng., Ph.D.</v>
      </c>
      <c r="I52" s="16" t="str">
        <f ca="1">IFERROR(__xludf.DUMMYFUNCTION("""COMPUTED_VALUE"""),"Rudy Dikairono, ST., M.T.")</f>
        <v>Rudy Dikairono, ST., M.T.</v>
      </c>
      <c r="J52" s="16"/>
      <c r="K52" s="17" t="s">
        <v>1257</v>
      </c>
      <c r="L52" s="23" t="s">
        <v>1260</v>
      </c>
      <c r="M52" s="19" t="b">
        <v>0</v>
      </c>
      <c r="N52" s="19" t="b">
        <v>0</v>
      </c>
      <c r="O52" s="1" t="s">
        <v>1261</v>
      </c>
      <c r="P52" s="7" t="str">
        <f ca="1">IFERROR(__xludf.DUMMYFUNCTION("iferror(vlookup(B52,importrange(""https://docs.google.com/spreadsheets/d/1boHyJQ4e2FU0QG8MHwEi6qjX4hvZWVCHcFfXjq7bbMc/edit?resourcekey#gid=923248883"",""Prop!$C$1:$M""),12,0),IFERROR(vlookup(B52,importrange(""https://docs.google.com/spreadsheets/d/1boHyJQ"&amp;"4e2FU0QG8MHwEi6qjX4hvZWVCHcFfXjq7bbMc/edit?resourcekey#gid=923248883"",""Prop!$N$1:$X""),11,0),iferror(vlookup(B52,importrange(""https://docs.google.com/spreadsheets/d/1boHyJQ4e2FU0QG8MHwEi6qjX4hvZWVCHcFfXjq7bbMc/edit?resourcekey#gid=923248883"",""Prop!$Y"&amp;"$1:$AI""),11,0),iferror(vlookup(B52,importrange(""https://docs.google.com/spreadsheets/d/1boHyJQ4e2FU0QG8MHwEi6qjX4hvZWVCHcFfXjq7bbMc/edit?resourcekey#gid=923248883"",""Prop!$AJ$1:$AT""),11,0),iferror(vlookup(B52,importrange(""https://docs.google.com/spre"&amp;"adsheets/d/1boHyJQ4e2FU0QG8MHwEi6qjX4hvZWVCHcFfXjq7bbMc/edit?resourcekey#gid=923248883"",""Prop!$AU$1:$BE""),11,0),iferror(vlookup(B52,importrange(""https://docs.google.com/spreadsheets/d/1boHyJQ4e2FU0QG8MHwEi6qjX4hvZWVCHcFfXjq7bbMc/edit?resourcekey#gid=9"&amp;"23248883"",""Prop!$BF$1:$BP""),11,0),iferror(vlookup(B52,importrange(""https://docs.google.com/spreadsheets/d/1boHyJQ4e2FU0QG8MHwEi6qjX4hvZWVCHcFfXjq7bbMc/edit?resourcekey#gid=923248883"",""Prop!$BQ$1:$CA""),11,0),iferror(vlookup(B52,importrange(""https:/"&amp;"/docs.google.com/spreadsheets/d/1boHyJQ4e2FU0QG8MHwEi6qjX4hvZWVCHcFfXjq7bbMc/edit?resourcekey#gid=923248883"",""Prop!$CB$1:$CL""),11,0),iferror(vlookup(B52,importrange(""https://docs.google.com/spreadsheets/d/1boHyJQ4e2FU0QG8MHwEi6qjX4hvZWVCHcFfXjq7bbMc/e"&amp;"dit?resourcekey#gid=923248883"",""Prop!$CM$1:$CX""),12,0),iferror(vlookup(B52,importrange(""https://docs.google.com/spreadsheets/d/1boHyJQ4e2FU0QG8MHwEi6qjX4hvZWVCHcFfXjq7bbMc/edit?resourcekey#gid=923248883"",""Prop!$CV$1:$DI""),11,0)))))))))))"),"https://drive.google.com/open?id=1wMshk4S_9jCbEay7_FWhVYFFbf0YRwGs")</f>
        <v>https://drive.google.com/open?id=1wMshk4S_9jCbEay7_FWhVYFFbf0YRwGs</v>
      </c>
      <c r="Q52" s="7" t="str">
        <f ca="1">IFERROR(__xludf.DUMMYFUNCTION("iferror(vlookup(B52,importrange(""https://docs.google.com/spreadsheets/d/1p53T2AuvvIqhP7Nf-bo3Uhj8cbKYRPpZdsrBv3x3bAQ/edit?resourcekey#gid=1321652304"",""Prop!$C$1:$M""),11,0),IFERROR(vlookup(B52,importrange(""https://docs.google.com/spreadsheets/d/1p53T2"&amp;"AuvvIqhP7Nf-bo3Uhj8cbKYRPpZdsrBv3x3bAQ/edit?resourcekey#gid=1321652304"",""Prop!$N$1:$X""),11,0),iferror(vlookup(B52,importrange(""https://docs.google.com/spreadsheets/d/1p53T2AuvvIqhP7Nf-bo3Uhj8cbKYRPpZdsrBv3x3bAQ/edit?resourcekey#gid=1321652304"",""Prop"&amp;"!$Y$1:$AI""),11,0),iferror(vlookup(B52,importrange(""https://docs.google.com/spreadsheets/d/1p53T2AuvvIqhP7Nf-bo3Uhj8cbKYRPpZdsrBv3x3bAQ/edit?resourcekey#gid=1321652304"",""Prop!$AJ$1:$AT""),11,0),iferror(vlookup(B52,importrange(""https://docs.google.com/"&amp;"spreadsheets/d/1p53T2AuvvIqhP7Nf-bo3Uhj8cbKYRPpZdsrBv3x3bAQ/edit?resourcekey#gid=1321652304"",""Prop!$AU$1:$BE""),11,0),iferror(vlookup(B52,importrange(""https://docs.google.com/spreadsheets/d/1p53T2AuvvIqhP7Nf-bo3Uhj8cbKYRPpZdsrBv3x3bAQ/edit?resourcekey#"&amp;"gid=1321652304"",""Prop!$BF$1:$BP""),11,0),iferror(vlookup(B52,importrange(""https://docs.google.com/spreadsheets/d/1p53T2AuvvIqhP7Nf-bo3Uhj8cbKYRPpZdsrBv3x3bAQ/edit?resourcekey#gid=1321652304"",""Prop!$BQ$1:$CA""),11,0),iferror(vlookup(B52,importrange("""&amp;"https://docs.google.com/spreadsheets/d/1p53T2AuvvIqhP7Nf-bo3Uhj8cbKYRPpZdsrBv3x3bAQ/edit?resourcekey#gid=1321652304"",""Prop!$CB$1:$CL""),11,0),iferror(vlookup(B52,importrange(""https://docs.google.com/spreadsheets/d/1p53T2AuvvIqhP7Nf-bo3Uhj8cbKYRPpZdsrBv"&amp;"3x3bAQ/edit?resourcekey#gid=1321652304"",""Prop!$CM$1:$CX""),12,0),iferror(vlookup(B52,importrange(""https://docs.google.com/spreadsheets/d/1p53T2AuvvIqhP7Nf-bo3Uhj8cbKYRPpZdsrBv3x3bAQ/edit?resourcekey#gid=1321652304"",""Prop!$CY$1:$DI""),11,0)))))))))))"),"https://drive.google.com/open?id=1T18kCqsGrWqyD0fpqRJdRkq1Hqu_-yG0")</f>
        <v>https://drive.google.com/open?id=1T18kCqsGrWqyD0fpqRJdRkq1Hqu_-yG0</v>
      </c>
      <c r="R52" s="88" t="s">
        <v>1229</v>
      </c>
      <c r="S52" s="20" t="str">
        <f ca="1">IFERROR(__xludf.DUMMYFUNCTION("IFERROR(vlookup(B52,IMPORTRANGE(""https://docs.google.com/spreadsheets/d/1g_jfYYK_KeipEDNDUgqgrsxK94XiocfNQIcP-v1QVhI/edit?resourcekey#gid=233272945"",""Nilai!B:CT""),30,0),"" "")"),"judul tidak boleh ada singkatan, literatur latar belakang kurang kuat, prototype alat tidak jelas  ")</f>
        <v xml:space="preserve">judul tidak boleh ada singkatan, literatur latar belakang kurang kuat, prototype alat tidak jelas  </v>
      </c>
      <c r="T52" s="20" t="str">
        <f ca="1">IFERROR(__xludf.DUMMYFUNCTION("IFERROR(vlookup(B52,IMPORTRANGE(""https://docs.google.com/spreadsheets/d/1g_jfYYK_KeipEDNDUgqgrsxK94XiocfNQIcP-v1QVhI/edit?resourcekey#gid=233272945"",""Nilai!B:CT""),97,0),"" "")"),"")</f>
        <v/>
      </c>
      <c r="U52" s="21" t="s">
        <v>576</v>
      </c>
      <c r="V52" s="16" t="s">
        <v>1230</v>
      </c>
      <c r="W52" s="23" t="s">
        <v>1262</v>
      </c>
      <c r="X52" s="19" t="b">
        <v>0</v>
      </c>
    </row>
    <row r="53" spans="1:24">
      <c r="A53" s="15">
        <v>51</v>
      </c>
      <c r="B53" s="15">
        <f ca="1">IFERROR(__xludf.DUMMYFUNCTION("""COMPUTED_VALUE"""),3946)</f>
        <v>3946</v>
      </c>
      <c r="C53" s="16" t="str">
        <f ca="1">IFERROR(__xludf.DUMMYFUNCTION("""COMPUTED_VALUE"""),"GEDE FAJAR KANANDA A W")</f>
        <v>GEDE FAJAR KANANDA A W</v>
      </c>
      <c r="D53" s="16" t="str">
        <f ca="1">IFERROR(__xludf.DUMMYFUNCTION("""COMPUTED_VALUE"""),"5010201189")</f>
        <v>5010201189</v>
      </c>
      <c r="E53" s="16" t="str">
        <f ca="1">IFERROR(__xludf.DUMMYFUNCTION("""COMPUTED_VALUE"""),"Departemen Teknik Sistem dan Industri")</f>
        <v>Departemen Teknik Sistem dan Industri</v>
      </c>
      <c r="F53" s="16" t="str">
        <f ca="1">IFERROR(__xludf.DUMMYFUNCTION("""COMPUTED_VALUE"""),"WESOR sebagai Alat Pensortir Sampah Plastik Komprehensif Memanfaatkan Sensor TCS230 dan Image Processing")</f>
        <v>WESOR sebagai Alat Pensortir Sampah Plastik Komprehensif Memanfaatkan Sensor TCS230 dan Image Processing</v>
      </c>
      <c r="G53" s="16" t="str">
        <f ca="1">IFERROR(__xludf.DUMMYFUNCTION("""COMPUTED_VALUE"""),"Nani Kurniati, S.T., M.T., Ph.D.")</f>
        <v>Nani Kurniati, S.T., M.T., Ph.D.</v>
      </c>
      <c r="H53" s="16" t="str">
        <f ca="1">IFERROR(__xludf.DUMMYFUNCTION("""COMPUTED_VALUE"""),"Ervin Nurhayati, S.T., M.T., Ph.D.")</f>
        <v>Ervin Nurhayati, S.T., M.T., Ph.D.</v>
      </c>
      <c r="I53" s="16" t="str">
        <f ca="1">IFERROR(__xludf.DUMMYFUNCTION("""COMPUTED_VALUE"""),"Putu Gde Ariastita, S.T., M.T.")</f>
        <v>Putu Gde Ariastita, S.T., M.T.</v>
      </c>
      <c r="J53" s="16"/>
      <c r="K53" s="17" t="s">
        <v>1263</v>
      </c>
      <c r="L53" s="23" t="s">
        <v>1264</v>
      </c>
      <c r="M53" s="19" t="b">
        <v>0</v>
      </c>
      <c r="N53" s="19" t="b">
        <v>0</v>
      </c>
      <c r="O53" s="1" t="s">
        <v>1261</v>
      </c>
      <c r="P53" s="7" t="str">
        <f ca="1">IFERROR(__xludf.DUMMYFUNCTION("iferror(vlookup(B53,importrange(""https://docs.google.com/spreadsheets/d/1boHyJQ4e2FU0QG8MHwEi6qjX4hvZWVCHcFfXjq7bbMc/edit?resourcekey#gid=923248883"",""Prop!$C$1:$M""),12,0),IFERROR(vlookup(B53,importrange(""https://docs.google.com/spreadsheets/d/1boHyJQ"&amp;"4e2FU0QG8MHwEi6qjX4hvZWVCHcFfXjq7bbMc/edit?resourcekey#gid=923248883"",""Prop!$N$1:$X""),11,0),iferror(vlookup(B53,importrange(""https://docs.google.com/spreadsheets/d/1boHyJQ4e2FU0QG8MHwEi6qjX4hvZWVCHcFfXjq7bbMc/edit?resourcekey#gid=923248883"",""Prop!$Y"&amp;"$1:$AI""),11,0),iferror(vlookup(B53,importrange(""https://docs.google.com/spreadsheets/d/1boHyJQ4e2FU0QG8MHwEi6qjX4hvZWVCHcFfXjq7bbMc/edit?resourcekey#gid=923248883"",""Prop!$AJ$1:$AT""),11,0),iferror(vlookup(B53,importrange(""https://docs.google.com/spre"&amp;"adsheets/d/1boHyJQ4e2FU0QG8MHwEi6qjX4hvZWVCHcFfXjq7bbMc/edit?resourcekey#gid=923248883"",""Prop!$AU$1:$BE""),11,0),iferror(vlookup(B53,importrange(""https://docs.google.com/spreadsheets/d/1boHyJQ4e2FU0QG8MHwEi6qjX4hvZWVCHcFfXjq7bbMc/edit?resourcekey#gid=9"&amp;"23248883"",""Prop!$BF$1:$BP""),11,0),iferror(vlookup(B53,importrange(""https://docs.google.com/spreadsheets/d/1boHyJQ4e2FU0QG8MHwEi6qjX4hvZWVCHcFfXjq7bbMc/edit?resourcekey#gid=923248883"",""Prop!$BQ$1:$CA""),11,0),iferror(vlookup(B53,importrange(""https:/"&amp;"/docs.google.com/spreadsheets/d/1boHyJQ4e2FU0QG8MHwEi6qjX4hvZWVCHcFfXjq7bbMc/edit?resourcekey#gid=923248883"",""Prop!$CB$1:$CL""),11,0),iferror(vlookup(B53,importrange(""https://docs.google.com/spreadsheets/d/1boHyJQ4e2FU0QG8MHwEi6qjX4hvZWVCHcFfXjq7bbMc/e"&amp;"dit?resourcekey#gid=923248883"",""Prop!$CM$1:$CX""),12,0),iferror(vlookup(B53,importrange(""https://docs.google.com/spreadsheets/d/1boHyJQ4e2FU0QG8MHwEi6qjX4hvZWVCHcFfXjq7bbMc/edit?resourcekey#gid=923248883"",""Prop!$CV$1:$DI""),11,0)))))))))))"),"https://drive.google.com/open?id=1xHjaBGBbfy6ihuen7PRCHdnlLrULZJoM")</f>
        <v>https://drive.google.com/open?id=1xHjaBGBbfy6ihuen7PRCHdnlLrULZJoM</v>
      </c>
      <c r="Q53" s="7" t="str">
        <f ca="1">IFERROR(__xludf.DUMMYFUNCTION("iferror(vlookup(B53,importrange(""https://docs.google.com/spreadsheets/d/1p53T2AuvvIqhP7Nf-bo3Uhj8cbKYRPpZdsrBv3x3bAQ/edit?resourcekey#gid=1321652304"",""Prop!$C$1:$M""),11,0),IFERROR(vlookup(B53,importrange(""https://docs.google.com/spreadsheets/d/1p53T2"&amp;"AuvvIqhP7Nf-bo3Uhj8cbKYRPpZdsrBv3x3bAQ/edit?resourcekey#gid=1321652304"",""Prop!$N$1:$X""),11,0),iferror(vlookup(B53,importrange(""https://docs.google.com/spreadsheets/d/1p53T2AuvvIqhP7Nf-bo3Uhj8cbKYRPpZdsrBv3x3bAQ/edit?resourcekey#gid=1321652304"",""Prop"&amp;"!$Y$1:$AI""),11,0),iferror(vlookup(B53,importrange(""https://docs.google.com/spreadsheets/d/1p53T2AuvvIqhP7Nf-bo3Uhj8cbKYRPpZdsrBv3x3bAQ/edit?resourcekey#gid=1321652304"",""Prop!$AJ$1:$AT""),11,0),iferror(vlookup(B53,importrange(""https://docs.google.com/"&amp;"spreadsheets/d/1p53T2AuvvIqhP7Nf-bo3Uhj8cbKYRPpZdsrBv3x3bAQ/edit?resourcekey#gid=1321652304"",""Prop!$AU$1:$BE""),11,0),iferror(vlookup(B53,importrange(""https://docs.google.com/spreadsheets/d/1p53T2AuvvIqhP7Nf-bo3Uhj8cbKYRPpZdsrBv3x3bAQ/edit?resourcekey#"&amp;"gid=1321652304"",""Prop!$BF$1:$BP""),11,0),iferror(vlookup(B53,importrange(""https://docs.google.com/spreadsheets/d/1p53T2AuvvIqhP7Nf-bo3Uhj8cbKYRPpZdsrBv3x3bAQ/edit?resourcekey#gid=1321652304"",""Prop!$BQ$1:$CA""),11,0),iferror(vlookup(B53,importrange("""&amp;"https://docs.google.com/spreadsheets/d/1p53T2AuvvIqhP7Nf-bo3Uhj8cbKYRPpZdsrBv3x3bAQ/edit?resourcekey#gid=1321652304"",""Prop!$CB$1:$CL""),11,0),iferror(vlookup(B53,importrange(""https://docs.google.com/spreadsheets/d/1p53T2AuvvIqhP7Nf-bo3Uhj8cbKYRPpZdsrBv"&amp;"3x3bAQ/edit?resourcekey#gid=1321652304"",""Prop!$CM$1:$CX""),12,0),iferror(vlookup(B53,importrange(""https://docs.google.com/spreadsheets/d/1p53T2AuvvIqhP7Nf-bo3Uhj8cbKYRPpZdsrBv3x3bAQ/edit?resourcekey#gid=1321652304"",""Prop!$CY$1:$DI""),11,0)))))))))))"),"https://drive.google.com/open?id=1Y-RzyyLu84s7RmuTfG8VmrJDyN4uEqOj")</f>
        <v>https://drive.google.com/open?id=1Y-RzyyLu84s7RmuTfG8VmrJDyN4uEqOj</v>
      </c>
      <c r="R53" s="88" t="s">
        <v>1229</v>
      </c>
      <c r="S53" s="20" t="str">
        <f ca="1">IFERROR(__xludf.DUMMYFUNCTION("IFERROR(vlookup(B53,IMPORTRANGE(""https://docs.google.com/spreadsheets/d/1g_jfYYK_KeipEDNDUgqgrsxK94XiocfNQIcP-v1QVhI/edit?resourcekey#gid=233272945"",""Nilai!B:CT""),30,0),"" "")"),"tambahkan argumen bahwa sensor dapat akurat dalam mengindera plastik. Cek apakah boleh menggunakan penamaan alat yg unik misal WESOR")</f>
        <v>tambahkan argumen bahwa sensor dapat akurat dalam mengindera plastik. Cek apakah boleh menggunakan penamaan alat yg unik misal WESOR</v>
      </c>
      <c r="T53" s="20" t="str">
        <f ca="1">IFERROR(__xludf.DUMMYFUNCTION("IFERROR(vlookup(B53,IMPORTRANGE(""https://docs.google.com/spreadsheets/d/1g_jfYYK_KeipEDNDUgqgrsxK94XiocfNQIcP-v1QVhI/edit?resourcekey#gid=233272945"",""Nilai!B:CT""),97,0),"" "")"),"")</f>
        <v/>
      </c>
      <c r="U53" s="21" t="s">
        <v>576</v>
      </c>
      <c r="V53" s="70" t="s">
        <v>1265</v>
      </c>
      <c r="W53" s="23" t="s">
        <v>1266</v>
      </c>
      <c r="X53" s="19" t="b">
        <v>0</v>
      </c>
    </row>
    <row r="54" spans="1:24">
      <c r="A54" s="15">
        <v>52</v>
      </c>
      <c r="B54" s="15">
        <f ca="1">IFERROR(__xludf.DUMMYFUNCTION("""COMPUTED_VALUE"""),2454)</f>
        <v>2454</v>
      </c>
      <c r="C54" s="16" t="str">
        <f ca="1">IFERROR(__xludf.DUMMYFUNCTION("""COMPUTED_VALUE"""),"ANNISA DHEA WIDYANTI")</f>
        <v>ANNISA DHEA WIDYANTI</v>
      </c>
      <c r="D54" s="16" t="str">
        <f ca="1">IFERROR(__xludf.DUMMYFUNCTION("""COMPUTED_VALUE"""),"10411810000044")</f>
        <v>10411810000044</v>
      </c>
      <c r="E54" s="16" t="str">
        <f ca="1">IFERROR(__xludf.DUMMYFUNCTION("""COMPUTED_VALUE"""),"Departemen Teknik Kimia Industri")</f>
        <v>Departemen Teknik Kimia Industri</v>
      </c>
      <c r="F54" s="16" t="str">
        <f ca="1">IFERROR(__xludf.DUMMYFUNCTION("""COMPUTED_VALUE"""),"RANCANG BANGUN SISTEM PENGENDALIAN pH PADA TANGKI PENCAMPURAN BERBASIS INTERNET OF THINGS (IOT) UNTUK MENDUKUNG PRAKTIKUM INSTRUMENTASI DAN PENGENDALIAN PROSES")</f>
        <v>RANCANG BANGUN SISTEM PENGENDALIAN pH PADA TANGKI PENCAMPURAN BERBASIS INTERNET OF THINGS (IOT) UNTUK MENDUKUNG PRAKTIKUM INSTRUMENTASI DAN PENGENDALIAN PROSES</v>
      </c>
      <c r="G54" s="16" t="str">
        <f ca="1">IFERROR(__xludf.DUMMYFUNCTION("""COMPUTED_VALUE"""),"Daril Ridho Zuchrillah, S.T., M.T.")</f>
        <v>Daril Ridho Zuchrillah, S.T., M.T.</v>
      </c>
      <c r="H54" s="16" t="str">
        <f ca="1">IFERROR(__xludf.DUMMYFUNCTION("""COMPUTED_VALUE"""),"Sefi Novendra Patrialova, S.Si., M.T")</f>
        <v>Sefi Novendra Patrialova, S.Si., M.T</v>
      </c>
      <c r="I54" s="16" t="str">
        <f ca="1">IFERROR(__xludf.DUMMYFUNCTION("""COMPUTED_VALUE"""),"Yasmin Zainul Mochtar, S.T., M.A.")</f>
        <v>Yasmin Zainul Mochtar, S.T., M.A.</v>
      </c>
      <c r="J54" s="16"/>
      <c r="K54" s="17" t="s">
        <v>1263</v>
      </c>
      <c r="L54" s="23" t="s">
        <v>1264</v>
      </c>
      <c r="M54" s="19" t="b">
        <v>0</v>
      </c>
      <c r="N54" s="19" t="b">
        <v>0</v>
      </c>
      <c r="O54" s="1" t="s">
        <v>1261</v>
      </c>
      <c r="P54" s="7" t="str">
        <f ca="1">IFERROR(__xludf.DUMMYFUNCTION("iferror(vlookup(B54,importrange(""https://docs.google.com/spreadsheets/d/1boHyJQ4e2FU0QG8MHwEi6qjX4hvZWVCHcFfXjq7bbMc/edit?resourcekey#gid=923248883"",""Prop!$C$1:$M""),12,0),IFERROR(vlookup(B54,importrange(""https://docs.google.com/spreadsheets/d/1boHyJQ"&amp;"4e2FU0QG8MHwEi6qjX4hvZWVCHcFfXjq7bbMc/edit?resourcekey#gid=923248883"",""Prop!$N$1:$X""),11,0),iferror(vlookup(B54,importrange(""https://docs.google.com/spreadsheets/d/1boHyJQ4e2FU0QG8MHwEi6qjX4hvZWVCHcFfXjq7bbMc/edit?resourcekey#gid=923248883"",""Prop!$Y"&amp;"$1:$AI""),11,0),iferror(vlookup(B54,importrange(""https://docs.google.com/spreadsheets/d/1boHyJQ4e2FU0QG8MHwEi6qjX4hvZWVCHcFfXjq7bbMc/edit?resourcekey#gid=923248883"",""Prop!$AJ$1:$AT""),11,0),iferror(vlookup(B54,importrange(""https://docs.google.com/spre"&amp;"adsheets/d/1boHyJQ4e2FU0QG8MHwEi6qjX4hvZWVCHcFfXjq7bbMc/edit?resourcekey#gid=923248883"",""Prop!$AU$1:$BE""),11,0),iferror(vlookup(B54,importrange(""https://docs.google.com/spreadsheets/d/1boHyJQ4e2FU0QG8MHwEi6qjX4hvZWVCHcFfXjq7bbMc/edit?resourcekey#gid=9"&amp;"23248883"",""Prop!$BF$1:$BP""),11,0),iferror(vlookup(B54,importrange(""https://docs.google.com/spreadsheets/d/1boHyJQ4e2FU0QG8MHwEi6qjX4hvZWVCHcFfXjq7bbMc/edit?resourcekey#gid=923248883"",""Prop!$BQ$1:$CA""),11,0),iferror(vlookup(B54,importrange(""https:/"&amp;"/docs.google.com/spreadsheets/d/1boHyJQ4e2FU0QG8MHwEi6qjX4hvZWVCHcFfXjq7bbMc/edit?resourcekey#gid=923248883"",""Prop!$CB$1:$CL""),11,0),iferror(vlookup(B54,importrange(""https://docs.google.com/spreadsheets/d/1boHyJQ4e2FU0QG8MHwEi6qjX4hvZWVCHcFfXjq7bbMc/e"&amp;"dit?resourcekey#gid=923248883"",""Prop!$CM$1:$CX""),12,0),iferror(vlookup(B54,importrange(""https://docs.google.com/spreadsheets/d/1boHyJQ4e2FU0QG8MHwEi6qjX4hvZWVCHcFfXjq7bbMc/edit?resourcekey#gid=923248883"",""Prop!$CV$1:$DI""),11,0)))))))))))"),"https://drive.google.com/open?id=1n925kU8WvNv7p92EnZhv_GV8wYI7hXEM")</f>
        <v>https://drive.google.com/open?id=1n925kU8WvNv7p92EnZhv_GV8wYI7hXEM</v>
      </c>
      <c r="Q54" s="7" t="str">
        <f ca="1">IFERROR(__xludf.DUMMYFUNCTION("iferror(vlookup(B54,importrange(""https://docs.google.com/spreadsheets/d/1p53T2AuvvIqhP7Nf-bo3Uhj8cbKYRPpZdsrBv3x3bAQ/edit?resourcekey#gid=1321652304"",""Prop!$C$1:$M""),11,0),IFERROR(vlookup(B54,importrange(""https://docs.google.com/spreadsheets/d/1p53T2"&amp;"AuvvIqhP7Nf-bo3Uhj8cbKYRPpZdsrBv3x3bAQ/edit?resourcekey#gid=1321652304"",""Prop!$N$1:$X""),11,0),iferror(vlookup(B54,importrange(""https://docs.google.com/spreadsheets/d/1p53T2AuvvIqhP7Nf-bo3Uhj8cbKYRPpZdsrBv3x3bAQ/edit?resourcekey#gid=1321652304"",""Prop"&amp;"!$Y$1:$AI""),11,0),iferror(vlookup(B54,importrange(""https://docs.google.com/spreadsheets/d/1p53T2AuvvIqhP7Nf-bo3Uhj8cbKYRPpZdsrBv3x3bAQ/edit?resourcekey#gid=1321652304"",""Prop!$AJ$1:$AT""),11,0),iferror(vlookup(B54,importrange(""https://docs.google.com/"&amp;"spreadsheets/d/1p53T2AuvvIqhP7Nf-bo3Uhj8cbKYRPpZdsrBv3x3bAQ/edit?resourcekey#gid=1321652304"",""Prop!$AU$1:$BE""),11,0),iferror(vlookup(B54,importrange(""https://docs.google.com/spreadsheets/d/1p53T2AuvvIqhP7Nf-bo3Uhj8cbKYRPpZdsrBv3x3bAQ/edit?resourcekey#"&amp;"gid=1321652304"",""Prop!$BF$1:$BP""),11,0),iferror(vlookup(B54,importrange(""https://docs.google.com/spreadsheets/d/1p53T2AuvvIqhP7Nf-bo3Uhj8cbKYRPpZdsrBv3x3bAQ/edit?resourcekey#gid=1321652304"",""Prop!$BQ$1:$CA""),11,0),iferror(vlookup(B54,importrange("""&amp;"https://docs.google.com/spreadsheets/d/1p53T2AuvvIqhP7Nf-bo3Uhj8cbKYRPpZdsrBv3x3bAQ/edit?resourcekey#gid=1321652304"",""Prop!$CB$1:$CL""),11,0),iferror(vlookup(B54,importrange(""https://docs.google.com/spreadsheets/d/1p53T2AuvvIqhP7Nf-bo3Uhj8cbKYRPpZdsrBv"&amp;"3x3bAQ/edit?resourcekey#gid=1321652304"",""Prop!$CM$1:$CX""),12,0),iferror(vlookup(B54,importrange(""https://docs.google.com/spreadsheets/d/1p53T2AuvvIqhP7Nf-bo3Uhj8cbKYRPpZdsrBv3x3bAQ/edit?resourcekey#gid=1321652304"",""Prop!$CY$1:$DI""),11,0)))))))))))"),"https://drive.google.com/open?id=1CsrV4P1E7nZZtVxvUpuvMWh-LYxMfWfO")</f>
        <v>https://drive.google.com/open?id=1CsrV4P1E7nZZtVxvUpuvMWh-LYxMfWfO</v>
      </c>
      <c r="R54" s="88" t="s">
        <v>1229</v>
      </c>
      <c r="S54" s="20" t="str">
        <f ca="1">IFERROR(__xludf.DUMMYFUNCTION("IFERROR(vlookup(B54,IMPORTRANGE(""https://docs.google.com/spreadsheets/d/1g_jfYYK_KeipEDNDUgqgrsxK94XiocfNQIcP-v1QVhI/edit?resourcekey#gid=233272945"",""Nilai!B:CT""),30,0),"" "")"),"teknologi terlalu sederhana dan sudah banyak ada")</f>
        <v>teknologi terlalu sederhana dan sudah banyak ada</v>
      </c>
      <c r="T54" s="20" t="str">
        <f ca="1">IFERROR(__xludf.DUMMYFUNCTION("IFERROR(vlookup(B54,IMPORTRANGE(""https://docs.google.com/spreadsheets/d/1g_jfYYK_KeipEDNDUgqgrsxK94XiocfNQIcP-v1QVhI/edit?resourcekey#gid=233272945"",""Nilai!B:CT""),97,0),"" "")"),"")</f>
        <v/>
      </c>
      <c r="U54" s="21" t="s">
        <v>576</v>
      </c>
      <c r="V54" s="70" t="s">
        <v>1265</v>
      </c>
      <c r="W54" s="23" t="s">
        <v>1266</v>
      </c>
      <c r="X54" s="19" t="b">
        <v>1</v>
      </c>
    </row>
    <row r="55" spans="1:24">
      <c r="A55" s="15">
        <v>53</v>
      </c>
      <c r="B55" s="15">
        <f ca="1">IFERROR(__xludf.DUMMYFUNCTION("""COMPUTED_VALUE"""),2571)</f>
        <v>2571</v>
      </c>
      <c r="C55" s="16" t="str">
        <f ca="1">IFERROR(__xludf.DUMMYFUNCTION("""COMPUTED_VALUE"""),"ARIEL KEVIN SAMUEL HAMONANGAN HUTABARAT")</f>
        <v>ARIEL KEVIN SAMUEL HAMONANGAN HUTABARAT</v>
      </c>
      <c r="D55" s="16" t="str">
        <f ca="1">IFERROR(__xludf.DUMMYFUNCTION("""COMPUTED_VALUE"""),"07111940000101")</f>
        <v>07111940000101</v>
      </c>
      <c r="E55" s="16" t="str">
        <f ca="1">IFERROR(__xludf.DUMMYFUNCTION("""COMPUTED_VALUE"""),"Departemen Teknik Elektro")</f>
        <v>Departemen Teknik Elektro</v>
      </c>
      <c r="F55" s="16" t="str">
        <f ca="1">IFERROR(__xludf.DUMMYFUNCTION("""COMPUTED_VALUE"""),"Pembangkit Listrik portable Bermedia Alat Olahraga dengan Tenaga Manusia untuk Membangkitkan Listrik")</f>
        <v>Pembangkit Listrik portable Bermedia Alat Olahraga dengan Tenaga Manusia untuk Membangkitkan Listrik</v>
      </c>
      <c r="G55" s="16" t="str">
        <f ca="1">IFERROR(__xludf.DUMMYFUNCTION("""COMPUTED_VALUE"""),"Dimas Anton Asfani, S.T., M.T., Ph.D.")</f>
        <v>Dimas Anton Asfani, S.T., M.T., Ph.D.</v>
      </c>
      <c r="H55" s="16" t="str">
        <f ca="1">IFERROR(__xludf.DUMMYFUNCTION("""COMPUTED_VALUE"""),"Sefi Novendra Patrialova, S.Si., M.T")</f>
        <v>Sefi Novendra Patrialova, S.Si., M.T</v>
      </c>
      <c r="I55" s="16" t="str">
        <f ca="1">IFERROR(__xludf.DUMMYFUNCTION("""COMPUTED_VALUE"""),"Safira Firdaus Mujiyanti, S.T., M.T.")</f>
        <v>Safira Firdaus Mujiyanti, S.T., M.T.</v>
      </c>
      <c r="J55" s="16"/>
      <c r="K55" s="17" t="s">
        <v>1263</v>
      </c>
      <c r="L55" s="23" t="s">
        <v>1264</v>
      </c>
      <c r="M55" s="19" t="b">
        <v>0</v>
      </c>
      <c r="N55" s="19" t="b">
        <v>0</v>
      </c>
      <c r="O55" s="1" t="s">
        <v>1261</v>
      </c>
      <c r="P55" s="7" t="str">
        <f ca="1">IFERROR(__xludf.DUMMYFUNCTION("iferror(vlookup(B55,importrange(""https://docs.google.com/spreadsheets/d/1boHyJQ4e2FU0QG8MHwEi6qjX4hvZWVCHcFfXjq7bbMc/edit?resourcekey#gid=923248883"",""Prop!$C$1:$M""),12,0),IFERROR(vlookup(B55,importrange(""https://docs.google.com/spreadsheets/d/1boHyJQ"&amp;"4e2FU0QG8MHwEi6qjX4hvZWVCHcFfXjq7bbMc/edit?resourcekey#gid=923248883"",""Prop!$N$1:$X""),11,0),iferror(vlookup(B55,importrange(""https://docs.google.com/spreadsheets/d/1boHyJQ4e2FU0QG8MHwEi6qjX4hvZWVCHcFfXjq7bbMc/edit?resourcekey#gid=923248883"",""Prop!$Y"&amp;"$1:$AI""),11,0),iferror(vlookup(B55,importrange(""https://docs.google.com/spreadsheets/d/1boHyJQ4e2FU0QG8MHwEi6qjX4hvZWVCHcFfXjq7bbMc/edit?resourcekey#gid=923248883"",""Prop!$AJ$1:$AT""),11,0),iferror(vlookup(B55,importrange(""https://docs.google.com/spre"&amp;"adsheets/d/1boHyJQ4e2FU0QG8MHwEi6qjX4hvZWVCHcFfXjq7bbMc/edit?resourcekey#gid=923248883"",""Prop!$AU$1:$BE""),11,0),iferror(vlookup(B55,importrange(""https://docs.google.com/spreadsheets/d/1boHyJQ4e2FU0QG8MHwEi6qjX4hvZWVCHcFfXjq7bbMc/edit?resourcekey#gid=9"&amp;"23248883"",""Prop!$BF$1:$BP""),11,0),iferror(vlookup(B55,importrange(""https://docs.google.com/spreadsheets/d/1boHyJQ4e2FU0QG8MHwEi6qjX4hvZWVCHcFfXjq7bbMc/edit?resourcekey#gid=923248883"",""Prop!$BQ$1:$CA""),11,0),iferror(vlookup(B55,importrange(""https:/"&amp;"/docs.google.com/spreadsheets/d/1boHyJQ4e2FU0QG8MHwEi6qjX4hvZWVCHcFfXjq7bbMc/edit?resourcekey#gid=923248883"",""Prop!$CB$1:$CL""),11,0),iferror(vlookup(B55,importrange(""https://docs.google.com/spreadsheets/d/1boHyJQ4e2FU0QG8MHwEi6qjX4hvZWVCHcFfXjq7bbMc/e"&amp;"dit?resourcekey#gid=923248883"",""Prop!$CM$1:$CX""),12,0),iferror(vlookup(B55,importrange(""https://docs.google.com/spreadsheets/d/1boHyJQ4e2FU0QG8MHwEi6qjX4hvZWVCHcFfXjq7bbMc/edit?resourcekey#gid=923248883"",""Prop!$CV$1:$DI""),11,0)))))))))))"),"https://drive.google.com/open?id=1PVrIODlB5W7GxbkKA73ut-DF99-l-ETx")</f>
        <v>https://drive.google.com/open?id=1PVrIODlB5W7GxbkKA73ut-DF99-l-ETx</v>
      </c>
      <c r="Q55" s="7" t="str">
        <f ca="1">IFERROR(__xludf.DUMMYFUNCTION("iferror(vlookup(B55,importrange(""https://docs.google.com/spreadsheets/d/1p53T2AuvvIqhP7Nf-bo3Uhj8cbKYRPpZdsrBv3x3bAQ/edit?resourcekey#gid=1321652304"",""Prop!$C$1:$M""),11,0),IFERROR(vlookup(B55,importrange(""https://docs.google.com/spreadsheets/d/1p53T2"&amp;"AuvvIqhP7Nf-bo3Uhj8cbKYRPpZdsrBv3x3bAQ/edit?resourcekey#gid=1321652304"",""Prop!$N$1:$X""),11,0),iferror(vlookup(B55,importrange(""https://docs.google.com/spreadsheets/d/1p53T2AuvvIqhP7Nf-bo3Uhj8cbKYRPpZdsrBv3x3bAQ/edit?resourcekey#gid=1321652304"",""Prop"&amp;"!$Y$1:$AI""),11,0),iferror(vlookup(B55,importrange(""https://docs.google.com/spreadsheets/d/1p53T2AuvvIqhP7Nf-bo3Uhj8cbKYRPpZdsrBv3x3bAQ/edit?resourcekey#gid=1321652304"",""Prop!$AJ$1:$AT""),11,0),iferror(vlookup(B55,importrange(""https://docs.google.com/"&amp;"spreadsheets/d/1p53T2AuvvIqhP7Nf-bo3Uhj8cbKYRPpZdsrBv3x3bAQ/edit?resourcekey#gid=1321652304"",""Prop!$AU$1:$BE""),11,0),iferror(vlookup(B55,importrange(""https://docs.google.com/spreadsheets/d/1p53T2AuvvIqhP7Nf-bo3Uhj8cbKYRPpZdsrBv3x3bAQ/edit?resourcekey#"&amp;"gid=1321652304"",""Prop!$BF$1:$BP""),11,0),iferror(vlookup(B55,importrange(""https://docs.google.com/spreadsheets/d/1p53T2AuvvIqhP7Nf-bo3Uhj8cbKYRPpZdsrBv3x3bAQ/edit?resourcekey#gid=1321652304"",""Prop!$BQ$1:$CA""),11,0),iferror(vlookup(B55,importrange("""&amp;"https://docs.google.com/spreadsheets/d/1p53T2AuvvIqhP7Nf-bo3Uhj8cbKYRPpZdsrBv3x3bAQ/edit?resourcekey#gid=1321652304"",""Prop!$CB$1:$CL""),11,0),iferror(vlookup(B55,importrange(""https://docs.google.com/spreadsheets/d/1p53T2AuvvIqhP7Nf-bo3Uhj8cbKYRPpZdsrBv"&amp;"3x3bAQ/edit?resourcekey#gid=1321652304"",""Prop!$CM$1:$CX""),12,0),iferror(vlookup(B55,importrange(""https://docs.google.com/spreadsheets/d/1p53T2AuvvIqhP7Nf-bo3Uhj8cbKYRPpZdsrBv3x3bAQ/edit?resourcekey#gid=1321652304"",""Prop!$CY$1:$DI""),11,0)))))))))))"),"https://drive.google.com/open?id=1uFMaF0wclEXprAnZ6qG09fwYkBKKcnXj")</f>
        <v>https://drive.google.com/open?id=1uFMaF0wclEXprAnZ6qG09fwYkBKKcnXj</v>
      </c>
      <c r="R55" s="88" t="s">
        <v>1229</v>
      </c>
      <c r="S55" s="20" t="str">
        <f ca="1">IFERROR(__xludf.DUMMYFUNCTION("IFERROR(vlookup(B55,IMPORTRANGE(""https://docs.google.com/spreadsheets/d/1g_jfYYK_KeipEDNDUgqgrsxK94XiocfNQIcP-v1QVhI/edit?resourcekey#gid=233272945"",""Nilai!B:CT""),30,0),"" "")"),"teknologi terlalu sederhana, tambahkan ide yg unik pada alat, buat design alat di isi proposal")</f>
        <v>teknologi terlalu sederhana, tambahkan ide yg unik pada alat, buat design alat di isi proposal</v>
      </c>
      <c r="T55" s="20" t="str">
        <f ca="1">IFERROR(__xludf.DUMMYFUNCTION("IFERROR(vlookup(B55,IMPORTRANGE(""https://docs.google.com/spreadsheets/d/1g_jfYYK_KeipEDNDUgqgrsxK94XiocfNQIcP-v1QVhI/edit?resourcekey#gid=233272945"",""Nilai!B:CT""),97,0),"" "")"),"")</f>
        <v/>
      </c>
      <c r="U55" s="21" t="s">
        <v>576</v>
      </c>
      <c r="V55" s="70" t="s">
        <v>1265</v>
      </c>
      <c r="W55" s="23" t="s">
        <v>1266</v>
      </c>
      <c r="X55" s="19" t="b">
        <v>0</v>
      </c>
    </row>
    <row r="56" spans="1:24">
      <c r="A56" s="15">
        <v>54</v>
      </c>
      <c r="B56" s="15">
        <f ca="1">IFERROR(__xludf.DUMMYFUNCTION("""COMPUTED_VALUE"""),3396)</f>
        <v>3396</v>
      </c>
      <c r="C56" s="16" t="str">
        <f ca="1">IFERROR(__xludf.DUMMYFUNCTION("""COMPUTED_VALUE"""),"ACHMAD  SYAMSURI")</f>
        <v>ACHMAD  SYAMSURI</v>
      </c>
      <c r="D56" s="16" t="str">
        <f ca="1">IFERROR(__xludf.DUMMYFUNCTION("""COMPUTED_VALUE"""),"5010201179")</f>
        <v>5010201179</v>
      </c>
      <c r="E56" s="16" t="str">
        <f ca="1">IFERROR(__xludf.DUMMYFUNCTION("""COMPUTED_VALUE"""),"Departemen Teknik Sistem dan Industri")</f>
        <v>Departemen Teknik Sistem dan Industri</v>
      </c>
      <c r="F56" s="16" t="str">
        <f ca="1">IFERROR(__xludf.DUMMYFUNCTION("""COMPUTED_VALUE"""),"OTOSLICE (Automatic Slicer) : Pemotong Otomatis dengan Prinsip Karakuri Guna Meningkatkan Efisiensi Proses Memasak
")</f>
        <v xml:space="preserve">OTOSLICE (Automatic Slicer) : Pemotong Otomatis dengan Prinsip Karakuri Guna Meningkatkan Efisiensi Proses Memasak
</v>
      </c>
      <c r="G56" s="16" t="str">
        <f ca="1">IFERROR(__xludf.DUMMYFUNCTION("""COMPUTED_VALUE"""),"Putu Dana Karningsih, S.T., M.Eng.Sc., Ph.D.")</f>
        <v>Putu Dana Karningsih, S.T., M.Eng.Sc., Ph.D.</v>
      </c>
      <c r="H56" s="16" t="str">
        <f ca="1">IFERROR(__xludf.DUMMYFUNCTION("""COMPUTED_VALUE"""),"Sefi Novendra Patrialova, S.Si., M.T")</f>
        <v>Sefi Novendra Patrialova, S.Si., M.T</v>
      </c>
      <c r="I56" s="16" t="str">
        <f ca="1">IFERROR(__xludf.DUMMYFUNCTION("""COMPUTED_VALUE"""),"Yasmin Zainul Mochtar, S.T., M.A.")</f>
        <v>Yasmin Zainul Mochtar, S.T., M.A.</v>
      </c>
      <c r="J56" s="16"/>
      <c r="K56" s="17" t="s">
        <v>1263</v>
      </c>
      <c r="L56" s="23" t="s">
        <v>1264</v>
      </c>
      <c r="M56" s="19" t="b">
        <v>0</v>
      </c>
      <c r="N56" s="19" t="b">
        <v>0</v>
      </c>
      <c r="O56" s="1" t="s">
        <v>1261</v>
      </c>
      <c r="P56" s="7" t="str">
        <f ca="1">IFERROR(__xludf.DUMMYFUNCTION("iferror(vlookup(B56,importrange(""https://docs.google.com/spreadsheets/d/1boHyJQ4e2FU0QG8MHwEi6qjX4hvZWVCHcFfXjq7bbMc/edit?resourcekey#gid=923248883"",""Prop!$C$1:$M""),12,0),IFERROR(vlookup(B56,importrange(""https://docs.google.com/spreadsheets/d/1boHyJQ"&amp;"4e2FU0QG8MHwEi6qjX4hvZWVCHcFfXjq7bbMc/edit?resourcekey#gid=923248883"",""Prop!$N$1:$X""),11,0),iferror(vlookup(B56,importrange(""https://docs.google.com/spreadsheets/d/1boHyJQ4e2FU0QG8MHwEi6qjX4hvZWVCHcFfXjq7bbMc/edit?resourcekey#gid=923248883"",""Prop!$Y"&amp;"$1:$AI""),11,0),iferror(vlookup(B56,importrange(""https://docs.google.com/spreadsheets/d/1boHyJQ4e2FU0QG8MHwEi6qjX4hvZWVCHcFfXjq7bbMc/edit?resourcekey#gid=923248883"",""Prop!$AJ$1:$AT""),11,0),iferror(vlookup(B56,importrange(""https://docs.google.com/spre"&amp;"adsheets/d/1boHyJQ4e2FU0QG8MHwEi6qjX4hvZWVCHcFfXjq7bbMc/edit?resourcekey#gid=923248883"",""Prop!$AU$1:$BE""),11,0),iferror(vlookup(B56,importrange(""https://docs.google.com/spreadsheets/d/1boHyJQ4e2FU0QG8MHwEi6qjX4hvZWVCHcFfXjq7bbMc/edit?resourcekey#gid=9"&amp;"23248883"",""Prop!$BF$1:$BP""),11,0),iferror(vlookup(B56,importrange(""https://docs.google.com/spreadsheets/d/1boHyJQ4e2FU0QG8MHwEi6qjX4hvZWVCHcFfXjq7bbMc/edit?resourcekey#gid=923248883"",""Prop!$BQ$1:$CA""),11,0),iferror(vlookup(B56,importrange(""https:/"&amp;"/docs.google.com/spreadsheets/d/1boHyJQ4e2FU0QG8MHwEi6qjX4hvZWVCHcFfXjq7bbMc/edit?resourcekey#gid=923248883"",""Prop!$CB$1:$CL""),11,0),iferror(vlookup(B56,importrange(""https://docs.google.com/spreadsheets/d/1boHyJQ4e2FU0QG8MHwEi6qjX4hvZWVCHcFfXjq7bbMc/e"&amp;"dit?resourcekey#gid=923248883"",""Prop!$CM$1:$CX""),12,0),iferror(vlookup(B56,importrange(""https://docs.google.com/spreadsheets/d/1boHyJQ4e2FU0QG8MHwEi6qjX4hvZWVCHcFfXjq7bbMc/edit?resourcekey#gid=923248883"",""Prop!$CV$1:$DI""),11,0)))))))))))"),"https://drive.google.com/open?id=1ocL9ceZDAu9bYuFwsf5t1iZdRgzzHu4d")</f>
        <v>https://drive.google.com/open?id=1ocL9ceZDAu9bYuFwsf5t1iZdRgzzHu4d</v>
      </c>
      <c r="Q56" s="7" t="str">
        <f ca="1">IFERROR(__xludf.DUMMYFUNCTION("iferror(vlookup(B56,importrange(""https://docs.google.com/spreadsheets/d/1p53T2AuvvIqhP7Nf-bo3Uhj8cbKYRPpZdsrBv3x3bAQ/edit?resourcekey#gid=1321652304"",""Prop!$C$1:$M""),11,0),IFERROR(vlookup(B56,importrange(""https://docs.google.com/spreadsheets/d/1p53T2"&amp;"AuvvIqhP7Nf-bo3Uhj8cbKYRPpZdsrBv3x3bAQ/edit?resourcekey#gid=1321652304"",""Prop!$N$1:$X""),11,0),iferror(vlookup(B56,importrange(""https://docs.google.com/spreadsheets/d/1p53T2AuvvIqhP7Nf-bo3Uhj8cbKYRPpZdsrBv3x3bAQ/edit?resourcekey#gid=1321652304"",""Prop"&amp;"!$Y$1:$AI""),11,0),iferror(vlookup(B56,importrange(""https://docs.google.com/spreadsheets/d/1p53T2AuvvIqhP7Nf-bo3Uhj8cbKYRPpZdsrBv3x3bAQ/edit?resourcekey#gid=1321652304"",""Prop!$AJ$1:$AT""),11,0),iferror(vlookup(B56,importrange(""https://docs.google.com/"&amp;"spreadsheets/d/1p53T2AuvvIqhP7Nf-bo3Uhj8cbKYRPpZdsrBv3x3bAQ/edit?resourcekey#gid=1321652304"",""Prop!$AU$1:$BE""),11,0),iferror(vlookup(B56,importrange(""https://docs.google.com/spreadsheets/d/1p53T2AuvvIqhP7Nf-bo3Uhj8cbKYRPpZdsrBv3x3bAQ/edit?resourcekey#"&amp;"gid=1321652304"",""Prop!$BF$1:$BP""),11,0),iferror(vlookup(B56,importrange(""https://docs.google.com/spreadsheets/d/1p53T2AuvvIqhP7Nf-bo3Uhj8cbKYRPpZdsrBv3x3bAQ/edit?resourcekey#gid=1321652304"",""Prop!$BQ$1:$CA""),11,0),iferror(vlookup(B56,importrange("""&amp;"https://docs.google.com/spreadsheets/d/1p53T2AuvvIqhP7Nf-bo3Uhj8cbKYRPpZdsrBv3x3bAQ/edit?resourcekey#gid=1321652304"",""Prop!$CB$1:$CL""),11,0),iferror(vlookup(B56,importrange(""https://docs.google.com/spreadsheets/d/1p53T2AuvvIqhP7Nf-bo3Uhj8cbKYRPpZdsrBv"&amp;"3x3bAQ/edit?resourcekey#gid=1321652304"",""Prop!$CM$1:$CX""),12,0),iferror(vlookup(B56,importrange(""https://docs.google.com/spreadsheets/d/1p53T2AuvvIqhP7Nf-bo3Uhj8cbKYRPpZdsrBv3x3bAQ/edit?resourcekey#gid=1321652304"",""Prop!$CY$1:$DI""),11,0)))))))))))"),"https://drive.google.com/open?id=1bO18-C9eTHXS4r8_nIef_XglnuB-z4NX")</f>
        <v>https://drive.google.com/open?id=1bO18-C9eTHXS4r8_nIef_XglnuB-z4NX</v>
      </c>
      <c r="R56" s="88" t="s">
        <v>1229</v>
      </c>
      <c r="S56" s="20" t="str">
        <f ca="1">IFERROR(__xludf.DUMMYFUNCTION("IFERROR(vlookup(B56,IMPORTRANGE(""https://docs.google.com/spreadsheets/d/1g_jfYYK_KeipEDNDUgqgrsxK94XiocfNQIcP-v1QVhI/edit?resourcekey#gid=233272945"",""Nilai!B:CT""),30,0),"" "")"),"latar belakang kurang kuat, tambah literasi. urgensi kurang kuat. ")</f>
        <v xml:space="preserve">latar belakang kurang kuat, tambah literasi. urgensi kurang kuat. </v>
      </c>
      <c r="T56" s="20" t="str">
        <f ca="1">IFERROR(__xludf.DUMMYFUNCTION("IFERROR(vlookup(B56,IMPORTRANGE(""https://docs.google.com/spreadsheets/d/1g_jfYYK_KeipEDNDUgqgrsxK94XiocfNQIcP-v1QVhI/edit?resourcekey#gid=233272945"",""Nilai!B:CT""),97,0),"" "")"),"")</f>
        <v/>
      </c>
      <c r="U56" s="21" t="s">
        <v>576</v>
      </c>
      <c r="V56" s="70" t="s">
        <v>1265</v>
      </c>
      <c r="W56" s="23" t="s">
        <v>1266</v>
      </c>
      <c r="X56" s="19" t="b">
        <v>0</v>
      </c>
    </row>
    <row r="57" spans="1:24">
      <c r="A57" s="15">
        <v>55</v>
      </c>
      <c r="B57" s="15">
        <f ca="1">IFERROR(__xludf.DUMMYFUNCTION("""COMPUTED_VALUE"""),2535)</f>
        <v>2535</v>
      </c>
      <c r="C57" s="16" t="str">
        <f ca="1">IFERROR(__xludf.DUMMYFUNCTION("""COMPUTED_VALUE"""),"KAMILA NUR ROSYA")</f>
        <v>KAMILA NUR ROSYA</v>
      </c>
      <c r="D57" s="16" t="str">
        <f ca="1">IFERROR(__xludf.DUMMYFUNCTION("""COMPUTED_VALUE"""),"5010201075")</f>
        <v>5010201075</v>
      </c>
      <c r="E57" s="16" t="str">
        <f ca="1">IFERROR(__xludf.DUMMYFUNCTION("""COMPUTED_VALUE"""),"Departemen Teknik Sistem dan Industri")</f>
        <v>Departemen Teknik Sistem dan Industri</v>
      </c>
      <c r="F57" s="16" t="str">
        <f ca="1">IFERROR(__xludf.DUMMYFUNCTION("""COMPUTED_VALUE"""),"Pemanfaatan Karakuri Pada Proses Plorodan untuk Meningkatkan Efisiensi dan Efektifitas Produksi Kain Batik")</f>
        <v>Pemanfaatan Karakuri Pada Proses Plorodan untuk Meningkatkan Efisiensi dan Efektifitas Produksi Kain Batik</v>
      </c>
      <c r="G57" s="16" t="str">
        <f ca="1">IFERROR(__xludf.DUMMYFUNCTION("""COMPUTED_VALUE"""),"H.Ir. Hari Supriyanto, MSIE.")</f>
        <v>H.Ir. Hari Supriyanto, MSIE.</v>
      </c>
      <c r="H57" s="16" t="str">
        <f ca="1">IFERROR(__xludf.DUMMYFUNCTION("""COMPUTED_VALUE"""),"Sefi Novendra Patrialova, S.Si., M.T")</f>
        <v>Sefi Novendra Patrialova, S.Si., M.T</v>
      </c>
      <c r="I57" s="16" t="str">
        <f ca="1">IFERROR(__xludf.DUMMYFUNCTION("""COMPUTED_VALUE"""),"Yasmin Zainul Mochtar, S.T., M.A.")</f>
        <v>Yasmin Zainul Mochtar, S.T., M.A.</v>
      </c>
      <c r="J57" s="16"/>
      <c r="K57" s="17" t="s">
        <v>1263</v>
      </c>
      <c r="L57" s="23" t="s">
        <v>1267</v>
      </c>
      <c r="M57" s="19" t="b">
        <v>0</v>
      </c>
      <c r="N57" s="19" t="b">
        <v>0</v>
      </c>
      <c r="O57" s="1" t="s">
        <v>1268</v>
      </c>
      <c r="P57" s="7" t="str">
        <f ca="1">IFERROR(__xludf.DUMMYFUNCTION("iferror(vlookup(B57,importrange(""https://docs.google.com/spreadsheets/d/1boHyJQ4e2FU0QG8MHwEi6qjX4hvZWVCHcFfXjq7bbMc/edit?resourcekey#gid=923248883"",""Prop!$C$1:$M""),12,0),IFERROR(vlookup(B57,importrange(""https://docs.google.com/spreadsheets/d/1boHyJQ"&amp;"4e2FU0QG8MHwEi6qjX4hvZWVCHcFfXjq7bbMc/edit?resourcekey#gid=923248883"",""Prop!$N$1:$X""),11,0),iferror(vlookup(B57,importrange(""https://docs.google.com/spreadsheets/d/1boHyJQ4e2FU0QG8MHwEi6qjX4hvZWVCHcFfXjq7bbMc/edit?resourcekey#gid=923248883"",""Prop!$Y"&amp;"$1:$AI""),11,0),iferror(vlookup(B57,importrange(""https://docs.google.com/spreadsheets/d/1boHyJQ4e2FU0QG8MHwEi6qjX4hvZWVCHcFfXjq7bbMc/edit?resourcekey#gid=923248883"",""Prop!$AJ$1:$AT""),11,0),iferror(vlookup(B57,importrange(""https://docs.google.com/spre"&amp;"adsheets/d/1boHyJQ4e2FU0QG8MHwEi6qjX4hvZWVCHcFfXjq7bbMc/edit?resourcekey#gid=923248883"",""Prop!$AU$1:$BE""),11,0),iferror(vlookup(B57,importrange(""https://docs.google.com/spreadsheets/d/1boHyJQ4e2FU0QG8MHwEi6qjX4hvZWVCHcFfXjq7bbMc/edit?resourcekey#gid=9"&amp;"23248883"",""Prop!$BF$1:$BP""),11,0),iferror(vlookup(B57,importrange(""https://docs.google.com/spreadsheets/d/1boHyJQ4e2FU0QG8MHwEi6qjX4hvZWVCHcFfXjq7bbMc/edit?resourcekey#gid=923248883"",""Prop!$BQ$1:$CA""),11,0),iferror(vlookup(B57,importrange(""https:/"&amp;"/docs.google.com/spreadsheets/d/1boHyJQ4e2FU0QG8MHwEi6qjX4hvZWVCHcFfXjq7bbMc/edit?resourcekey#gid=923248883"",""Prop!$CB$1:$CL""),11,0),iferror(vlookup(B57,importrange(""https://docs.google.com/spreadsheets/d/1boHyJQ4e2FU0QG8MHwEi6qjX4hvZWVCHcFfXjq7bbMc/e"&amp;"dit?resourcekey#gid=923248883"",""Prop!$CM$1:$CX""),12,0),iferror(vlookup(B57,importrange(""https://docs.google.com/spreadsheets/d/1boHyJQ4e2FU0QG8MHwEi6qjX4hvZWVCHcFfXjq7bbMc/edit?resourcekey#gid=923248883"",""Prop!$CV$1:$DI""),11,0)))))))))))"),"https://drive.google.com/open?id=1UsiDYqVKAOjJVC4awqi06V9gvOlYZaTM")</f>
        <v>https://drive.google.com/open?id=1UsiDYqVKAOjJVC4awqi06V9gvOlYZaTM</v>
      </c>
      <c r="Q57" s="7" t="str">
        <f ca="1">IFERROR(__xludf.DUMMYFUNCTION("iferror(vlookup(B57,importrange(""https://docs.google.com/spreadsheets/d/1p53T2AuvvIqhP7Nf-bo3Uhj8cbKYRPpZdsrBv3x3bAQ/edit?resourcekey#gid=1321652304"",""Prop!$C$1:$M""),11,0),IFERROR(vlookup(B57,importrange(""https://docs.google.com/spreadsheets/d/1p53T2"&amp;"AuvvIqhP7Nf-bo3Uhj8cbKYRPpZdsrBv3x3bAQ/edit?resourcekey#gid=1321652304"",""Prop!$N$1:$X""),11,0),iferror(vlookup(B57,importrange(""https://docs.google.com/spreadsheets/d/1p53T2AuvvIqhP7Nf-bo3Uhj8cbKYRPpZdsrBv3x3bAQ/edit?resourcekey#gid=1321652304"",""Prop"&amp;"!$Y$1:$AI""),11,0),iferror(vlookup(B57,importrange(""https://docs.google.com/spreadsheets/d/1p53T2AuvvIqhP7Nf-bo3Uhj8cbKYRPpZdsrBv3x3bAQ/edit?resourcekey#gid=1321652304"",""Prop!$AJ$1:$AT""),11,0),iferror(vlookup(B57,importrange(""https://docs.google.com/"&amp;"spreadsheets/d/1p53T2AuvvIqhP7Nf-bo3Uhj8cbKYRPpZdsrBv3x3bAQ/edit?resourcekey#gid=1321652304"",""Prop!$AU$1:$BE""),11,0),iferror(vlookup(B57,importrange(""https://docs.google.com/spreadsheets/d/1p53T2AuvvIqhP7Nf-bo3Uhj8cbKYRPpZdsrBv3x3bAQ/edit?resourcekey#"&amp;"gid=1321652304"",""Prop!$BF$1:$BP""),11,0),iferror(vlookup(B57,importrange(""https://docs.google.com/spreadsheets/d/1p53T2AuvvIqhP7Nf-bo3Uhj8cbKYRPpZdsrBv3x3bAQ/edit?resourcekey#gid=1321652304"",""Prop!$BQ$1:$CA""),11,0),iferror(vlookup(B57,importrange("""&amp;"https://docs.google.com/spreadsheets/d/1p53T2AuvvIqhP7Nf-bo3Uhj8cbKYRPpZdsrBv3x3bAQ/edit?resourcekey#gid=1321652304"",""Prop!$CB$1:$CL""),11,0),iferror(vlookup(B57,importrange(""https://docs.google.com/spreadsheets/d/1p53T2AuvvIqhP7Nf-bo3Uhj8cbKYRPpZdsrBv"&amp;"3x3bAQ/edit?resourcekey#gid=1321652304"",""Prop!$CM$1:$CX""),12,0),iferror(vlookup(B57,importrange(""https://docs.google.com/spreadsheets/d/1p53T2AuvvIqhP7Nf-bo3Uhj8cbKYRPpZdsrBv3x3bAQ/edit?resourcekey#gid=1321652304"",""Prop!$CY$1:$DI""),11,0)))))))))))"),"https://drive.google.com/open?id=1E5lEg7RlgxuvmYodluucWxzaA3DWSKwg")</f>
        <v>https://drive.google.com/open?id=1E5lEg7RlgxuvmYodluucWxzaA3DWSKwg</v>
      </c>
      <c r="R57" s="88" t="s">
        <v>1229</v>
      </c>
      <c r="S57" s="20" t="str">
        <f ca="1">IFERROR(__xludf.DUMMYFUNCTION("IFERROR(vlookup(B57,IMPORTRANGE(""https://docs.google.com/spreadsheets/d/1g_jfYYK_KeipEDNDUgqgrsxK94XiocfNQIcP-v1QVhI/edit?resourcekey#gid=233272945"",""Nilai!B:CT""),30,0),"" "")"),"dimensi alat tidak jelas, anggaran dana terkesan kurang realistis. design Sistem mekanik diperinci ")</f>
        <v xml:space="preserve">dimensi alat tidak jelas, anggaran dana terkesan kurang realistis. design Sistem mekanik diperinci </v>
      </c>
      <c r="T57" s="20" t="str">
        <f ca="1">IFERROR(__xludf.DUMMYFUNCTION("IFERROR(vlookup(B57,IMPORTRANGE(""https://docs.google.com/spreadsheets/d/1g_jfYYK_KeipEDNDUgqgrsxK94XiocfNQIcP-v1QVhI/edit?resourcekey#gid=233272945"",""Nilai!B:CT""),97,0),"" "")"),"")</f>
        <v/>
      </c>
      <c r="U57" s="21" t="s">
        <v>576</v>
      </c>
      <c r="V57" s="70" t="s">
        <v>1265</v>
      </c>
      <c r="W57" s="23" t="s">
        <v>1269</v>
      </c>
      <c r="X57" s="19" t="b">
        <v>1</v>
      </c>
    </row>
    <row r="58" spans="1:24">
      <c r="A58" s="15">
        <v>56</v>
      </c>
      <c r="B58" s="15">
        <f ca="1">IFERROR(__xludf.DUMMYFUNCTION("""COMPUTED_VALUE"""),3699)</f>
        <v>3699</v>
      </c>
      <c r="C58" s="16" t="str">
        <f ca="1">IFERROR(__xludf.DUMMYFUNCTION("""COMPUTED_VALUE"""),"ANDRY PRASETYO")</f>
        <v>ANDRY PRASETYO</v>
      </c>
      <c r="D58" s="16" t="str">
        <f ca="1">IFERROR(__xludf.DUMMYFUNCTION("""COMPUTED_VALUE"""),"5001201036")</f>
        <v>5001201036</v>
      </c>
      <c r="E58" s="16" t="str">
        <f ca="1">IFERROR(__xludf.DUMMYFUNCTION("""COMPUTED_VALUE"""),"Departemen Fisika")</f>
        <v>Departemen Fisika</v>
      </c>
      <c r="F58" s="16" t="str">
        <f ca="1">IFERROR(__xludf.DUMMYFUNCTION("""COMPUTED_VALUE"""),"Sistem Monitoring Lokasi dan Kondisi Berbasis LoRa dan GPS Guna Mengurangi Risiko Kecelakaan pada Pendaki Gunung")</f>
        <v>Sistem Monitoring Lokasi dan Kondisi Berbasis LoRa dan GPS Guna Mengurangi Risiko Kecelakaan pada Pendaki Gunung</v>
      </c>
      <c r="G58" s="16" t="str">
        <f ca="1">IFERROR(__xludf.DUMMYFUNCTION("""COMPUTED_VALUE"""),"Drs. Bachtera Indarto, M.Si.")</f>
        <v>Drs. Bachtera Indarto, M.Si.</v>
      </c>
      <c r="H58" s="16" t="str">
        <f ca="1">IFERROR(__xludf.DUMMYFUNCTION("""COMPUTED_VALUE"""),"Ervin Nurhayati, S.T., M.T., Ph.D.")</f>
        <v>Ervin Nurhayati, S.T., M.T., Ph.D.</v>
      </c>
      <c r="I58" s="16" t="str">
        <f ca="1">IFERROR(__xludf.DUMMYFUNCTION("""COMPUTED_VALUE"""),"Mahardika F. Rois, S.T, M.T")</f>
        <v>Mahardika F. Rois, S.T, M.T</v>
      </c>
      <c r="J58" s="16"/>
      <c r="K58" s="17" t="s">
        <v>1263</v>
      </c>
      <c r="L58" s="23" t="s">
        <v>1267</v>
      </c>
      <c r="M58" s="19" t="b">
        <v>0</v>
      </c>
      <c r="N58" s="19" t="b">
        <v>0</v>
      </c>
      <c r="O58" s="1" t="s">
        <v>1268</v>
      </c>
      <c r="P58" s="7" t="str">
        <f ca="1">IFERROR(__xludf.DUMMYFUNCTION("iferror(vlookup(B58,importrange(""https://docs.google.com/spreadsheets/d/1boHyJQ4e2FU0QG8MHwEi6qjX4hvZWVCHcFfXjq7bbMc/edit?resourcekey#gid=923248883"",""Prop!$C$1:$M""),12,0),IFERROR(vlookup(B58,importrange(""https://docs.google.com/spreadsheets/d/1boHyJQ"&amp;"4e2FU0QG8MHwEi6qjX4hvZWVCHcFfXjq7bbMc/edit?resourcekey#gid=923248883"",""Prop!$N$1:$X""),11,0),iferror(vlookup(B58,importrange(""https://docs.google.com/spreadsheets/d/1boHyJQ4e2FU0QG8MHwEi6qjX4hvZWVCHcFfXjq7bbMc/edit?resourcekey#gid=923248883"",""Prop!$Y"&amp;"$1:$AI""),11,0),iferror(vlookup(B58,importrange(""https://docs.google.com/spreadsheets/d/1boHyJQ4e2FU0QG8MHwEi6qjX4hvZWVCHcFfXjq7bbMc/edit?resourcekey#gid=923248883"",""Prop!$AJ$1:$AT""),11,0),iferror(vlookup(B58,importrange(""https://docs.google.com/spre"&amp;"adsheets/d/1boHyJQ4e2FU0QG8MHwEi6qjX4hvZWVCHcFfXjq7bbMc/edit?resourcekey#gid=923248883"",""Prop!$AU$1:$BE""),11,0),iferror(vlookup(B58,importrange(""https://docs.google.com/spreadsheets/d/1boHyJQ4e2FU0QG8MHwEi6qjX4hvZWVCHcFfXjq7bbMc/edit?resourcekey#gid=9"&amp;"23248883"",""Prop!$BF$1:$BP""),11,0),iferror(vlookup(B58,importrange(""https://docs.google.com/spreadsheets/d/1boHyJQ4e2FU0QG8MHwEi6qjX4hvZWVCHcFfXjq7bbMc/edit?resourcekey#gid=923248883"",""Prop!$BQ$1:$CA""),11,0),iferror(vlookup(B58,importrange(""https:/"&amp;"/docs.google.com/spreadsheets/d/1boHyJQ4e2FU0QG8MHwEi6qjX4hvZWVCHcFfXjq7bbMc/edit?resourcekey#gid=923248883"",""Prop!$CB$1:$CL""),11,0),iferror(vlookup(B58,importrange(""https://docs.google.com/spreadsheets/d/1boHyJQ4e2FU0QG8MHwEi6qjX4hvZWVCHcFfXjq7bbMc/e"&amp;"dit?resourcekey#gid=923248883"",""Prop!$CM$1:$CX""),12,0),iferror(vlookup(B58,importrange(""https://docs.google.com/spreadsheets/d/1boHyJQ4e2FU0QG8MHwEi6qjX4hvZWVCHcFfXjq7bbMc/edit?resourcekey#gid=923248883"",""Prop!$CV$1:$DI""),11,0)))))))))))"),"https://drive.google.com/open?id=1QV3-2joJYS9jdbBG0uOQYKfak330paEH")</f>
        <v>https://drive.google.com/open?id=1QV3-2joJYS9jdbBG0uOQYKfak330paEH</v>
      </c>
      <c r="Q58" s="7" t="str">
        <f ca="1">IFERROR(__xludf.DUMMYFUNCTION("iferror(vlookup(B58,importrange(""https://docs.google.com/spreadsheets/d/1p53T2AuvvIqhP7Nf-bo3Uhj8cbKYRPpZdsrBv3x3bAQ/edit?resourcekey#gid=1321652304"",""Prop!$C$1:$M""),11,0),IFERROR(vlookup(B58,importrange(""https://docs.google.com/spreadsheets/d/1p53T2"&amp;"AuvvIqhP7Nf-bo3Uhj8cbKYRPpZdsrBv3x3bAQ/edit?resourcekey#gid=1321652304"",""Prop!$N$1:$X""),11,0),iferror(vlookup(B58,importrange(""https://docs.google.com/spreadsheets/d/1p53T2AuvvIqhP7Nf-bo3Uhj8cbKYRPpZdsrBv3x3bAQ/edit?resourcekey#gid=1321652304"",""Prop"&amp;"!$Y$1:$AI""),11,0),iferror(vlookup(B58,importrange(""https://docs.google.com/spreadsheets/d/1p53T2AuvvIqhP7Nf-bo3Uhj8cbKYRPpZdsrBv3x3bAQ/edit?resourcekey#gid=1321652304"",""Prop!$AJ$1:$AT""),11,0),iferror(vlookup(B58,importrange(""https://docs.google.com/"&amp;"spreadsheets/d/1p53T2AuvvIqhP7Nf-bo3Uhj8cbKYRPpZdsrBv3x3bAQ/edit?resourcekey#gid=1321652304"",""Prop!$AU$1:$BE""),11,0),iferror(vlookup(B58,importrange(""https://docs.google.com/spreadsheets/d/1p53T2AuvvIqhP7Nf-bo3Uhj8cbKYRPpZdsrBv3x3bAQ/edit?resourcekey#"&amp;"gid=1321652304"",""Prop!$BF$1:$BP""),11,0),iferror(vlookup(B58,importrange(""https://docs.google.com/spreadsheets/d/1p53T2AuvvIqhP7Nf-bo3Uhj8cbKYRPpZdsrBv3x3bAQ/edit?resourcekey#gid=1321652304"",""Prop!$BQ$1:$CA""),11,0),iferror(vlookup(B58,importrange("""&amp;"https://docs.google.com/spreadsheets/d/1p53T2AuvvIqhP7Nf-bo3Uhj8cbKYRPpZdsrBv3x3bAQ/edit?resourcekey#gid=1321652304"",""Prop!$CB$1:$CL""),11,0),iferror(vlookup(B58,importrange(""https://docs.google.com/spreadsheets/d/1p53T2AuvvIqhP7Nf-bo3Uhj8cbKYRPpZdsrBv"&amp;"3x3bAQ/edit?resourcekey#gid=1321652304"",""Prop!$CM$1:$CX""),12,0),iferror(vlookup(B58,importrange(""https://docs.google.com/spreadsheets/d/1p53T2AuvvIqhP7Nf-bo3Uhj8cbKYRPpZdsrBv3x3bAQ/edit?resourcekey#gid=1321652304"",""Prop!$CY$1:$DI""),11,0)))))))))))"),"https://drive.google.com/open?id=1p81Fb0q-n7b0P8XS-PUF4ykXNc4ZA6dP")</f>
        <v>https://drive.google.com/open?id=1p81Fb0q-n7b0P8XS-PUF4ykXNc4ZA6dP</v>
      </c>
      <c r="R58" s="88" t="s">
        <v>1229</v>
      </c>
      <c r="S58" s="20" t="str">
        <f ca="1">IFERROR(__xludf.DUMMYFUNCTION("IFERROR(vlookup(B58,IMPORTRANGE(""https://docs.google.com/spreadsheets/d/1g_jfYYK_KeipEDNDUgqgrsxK94XiocfNQIcP-v1QVhI/edit?resourcekey#gid=233272945"",""Nilai!B:CT""),30,0),"" "")"),"gambar design kurang meyakinkan, detailkan dan perbagus kualitasnya")</f>
        <v>gambar design kurang meyakinkan, detailkan dan perbagus kualitasnya</v>
      </c>
      <c r="T58" s="20" t="str">
        <f ca="1">IFERROR(__xludf.DUMMYFUNCTION("IFERROR(vlookup(B58,IMPORTRANGE(""https://docs.google.com/spreadsheets/d/1g_jfYYK_KeipEDNDUgqgrsxK94XiocfNQIcP-v1QVhI/edit?resourcekey#gid=233272945"",""Nilai!B:CT""),97,0),"" "")"),"")</f>
        <v/>
      </c>
      <c r="U58" s="21" t="s">
        <v>576</v>
      </c>
      <c r="V58" s="70" t="s">
        <v>1265</v>
      </c>
      <c r="W58" s="23" t="s">
        <v>1269</v>
      </c>
      <c r="X58" s="19" t="b">
        <v>1</v>
      </c>
    </row>
    <row r="59" spans="1:24">
      <c r="A59" s="15">
        <v>57</v>
      </c>
      <c r="B59" s="15">
        <f ca="1">IFERROR(__xludf.DUMMYFUNCTION("""COMPUTED_VALUE"""),4067)</f>
        <v>4067</v>
      </c>
      <c r="C59" s="16" t="str">
        <f ca="1">IFERROR(__xludf.DUMMYFUNCTION("""COMPUTED_VALUE"""),"GRACIELLA DEVI A.")</f>
        <v>GRACIELLA DEVI A.</v>
      </c>
      <c r="D59" s="16" t="str">
        <f ca="1">IFERROR(__xludf.DUMMYFUNCTION("""COMPUTED_VALUE"""),"5008211016")</f>
        <v>5008211016</v>
      </c>
      <c r="E59" s="16" t="str">
        <f ca="1">IFERROR(__xludf.DUMMYFUNCTION("""COMPUTED_VALUE"""),"Departemen Teknik Kimia")</f>
        <v>Departemen Teknik Kimia</v>
      </c>
      <c r="F59" s="16" t="str">
        <f ca="1">IFERROR(__xludf.DUMMYFUNCTION("""COMPUTED_VALUE"""),"CLEAN.TECH: Alat Pemisah Microplastics dalam Air Berbasis IoT dengan Metode Ferrofluids Magnetic sebagai Penanggulangan Water Pollution")</f>
        <v>CLEAN.TECH: Alat Pemisah Microplastics dalam Air Berbasis IoT dengan Metode Ferrofluids Magnetic sebagai Penanggulangan Water Pollution</v>
      </c>
      <c r="G59" s="16" t="str">
        <f ca="1">IFERROR(__xludf.DUMMYFUNCTION("""COMPUTED_VALUE"""),"Dr. Yeni Rahmawati, S.T., M.T.")</f>
        <v>Dr. Yeni Rahmawati, S.T., M.T.</v>
      </c>
      <c r="H59" s="16" t="str">
        <f ca="1">IFERROR(__xludf.DUMMYFUNCTION("""COMPUTED_VALUE"""),"Dr.Eng. Chastine Fatichah, S.Kom., M.Kom.")</f>
        <v>Dr.Eng. Chastine Fatichah, S.Kom., M.Kom.</v>
      </c>
      <c r="I59" s="16" t="str">
        <f ca="1">IFERROR(__xludf.DUMMYFUNCTION("""COMPUTED_VALUE"""),"Dr.-Ing. Doty Dewi Risanti, S.T., M.T.")</f>
        <v>Dr.-Ing. Doty Dewi Risanti, S.T., M.T.</v>
      </c>
      <c r="J59" s="16"/>
      <c r="K59" s="17" t="s">
        <v>1263</v>
      </c>
      <c r="L59" s="23" t="s">
        <v>1267</v>
      </c>
      <c r="M59" s="19" t="b">
        <v>0</v>
      </c>
      <c r="N59" s="19" t="b">
        <v>0</v>
      </c>
      <c r="O59" s="1" t="s">
        <v>1268</v>
      </c>
      <c r="P59" s="7" t="str">
        <f ca="1">IFERROR(__xludf.DUMMYFUNCTION("iferror(vlookup(B59,importrange(""https://docs.google.com/spreadsheets/d/1boHyJQ4e2FU0QG8MHwEi6qjX4hvZWVCHcFfXjq7bbMc/edit?resourcekey#gid=923248883"",""Prop!$C$1:$M""),12,0),IFERROR(vlookup(B59,importrange(""https://docs.google.com/spreadsheets/d/1boHyJQ"&amp;"4e2FU0QG8MHwEi6qjX4hvZWVCHcFfXjq7bbMc/edit?resourcekey#gid=923248883"",""Prop!$N$1:$X""),11,0),iferror(vlookup(B59,importrange(""https://docs.google.com/spreadsheets/d/1boHyJQ4e2FU0QG8MHwEi6qjX4hvZWVCHcFfXjq7bbMc/edit?resourcekey#gid=923248883"",""Prop!$Y"&amp;"$1:$AI""),11,0),iferror(vlookup(B59,importrange(""https://docs.google.com/spreadsheets/d/1boHyJQ4e2FU0QG8MHwEi6qjX4hvZWVCHcFfXjq7bbMc/edit?resourcekey#gid=923248883"",""Prop!$AJ$1:$AT""),11,0),iferror(vlookup(B59,importrange(""https://docs.google.com/spre"&amp;"adsheets/d/1boHyJQ4e2FU0QG8MHwEi6qjX4hvZWVCHcFfXjq7bbMc/edit?resourcekey#gid=923248883"",""Prop!$AU$1:$BE""),11,0),iferror(vlookup(B59,importrange(""https://docs.google.com/spreadsheets/d/1boHyJQ4e2FU0QG8MHwEi6qjX4hvZWVCHcFfXjq7bbMc/edit?resourcekey#gid=9"&amp;"23248883"",""Prop!$BF$1:$BP""),11,0),iferror(vlookup(B59,importrange(""https://docs.google.com/spreadsheets/d/1boHyJQ4e2FU0QG8MHwEi6qjX4hvZWVCHcFfXjq7bbMc/edit?resourcekey#gid=923248883"",""Prop!$BQ$1:$CA""),11,0),iferror(vlookup(B59,importrange(""https:/"&amp;"/docs.google.com/spreadsheets/d/1boHyJQ4e2FU0QG8MHwEi6qjX4hvZWVCHcFfXjq7bbMc/edit?resourcekey#gid=923248883"",""Prop!$CB$1:$CL""),11,0),iferror(vlookup(B59,importrange(""https://docs.google.com/spreadsheets/d/1boHyJQ4e2FU0QG8MHwEi6qjX4hvZWVCHcFfXjq7bbMc/e"&amp;"dit?resourcekey#gid=923248883"",""Prop!$CM$1:$CX""),12,0),iferror(vlookup(B59,importrange(""https://docs.google.com/spreadsheets/d/1boHyJQ4e2FU0QG8MHwEi6qjX4hvZWVCHcFfXjq7bbMc/edit?resourcekey#gid=923248883"",""Prop!$CV$1:$DI""),11,0)))))))))))"),"https://drive.google.com/open?id=1ou6wdBTjNNF54fLe_wGQfuKULQEmly54")</f>
        <v>https://drive.google.com/open?id=1ou6wdBTjNNF54fLe_wGQfuKULQEmly54</v>
      </c>
      <c r="Q59" s="7" t="str">
        <f ca="1">IFERROR(__xludf.DUMMYFUNCTION("iferror(vlookup(B59,importrange(""https://docs.google.com/spreadsheets/d/1p53T2AuvvIqhP7Nf-bo3Uhj8cbKYRPpZdsrBv3x3bAQ/edit?resourcekey#gid=1321652304"",""Prop!$C$1:$M""),11,0),IFERROR(vlookup(B59,importrange(""https://docs.google.com/spreadsheets/d/1p53T2"&amp;"AuvvIqhP7Nf-bo3Uhj8cbKYRPpZdsrBv3x3bAQ/edit?resourcekey#gid=1321652304"",""Prop!$N$1:$X""),11,0),iferror(vlookup(B59,importrange(""https://docs.google.com/spreadsheets/d/1p53T2AuvvIqhP7Nf-bo3Uhj8cbKYRPpZdsrBv3x3bAQ/edit?resourcekey#gid=1321652304"",""Prop"&amp;"!$Y$1:$AI""),11,0),iferror(vlookup(B59,importrange(""https://docs.google.com/spreadsheets/d/1p53T2AuvvIqhP7Nf-bo3Uhj8cbKYRPpZdsrBv3x3bAQ/edit?resourcekey#gid=1321652304"",""Prop!$AJ$1:$AT""),11,0),iferror(vlookup(B59,importrange(""https://docs.google.com/"&amp;"spreadsheets/d/1p53T2AuvvIqhP7Nf-bo3Uhj8cbKYRPpZdsrBv3x3bAQ/edit?resourcekey#gid=1321652304"",""Prop!$AU$1:$BE""),11,0),iferror(vlookup(B59,importrange(""https://docs.google.com/spreadsheets/d/1p53T2AuvvIqhP7Nf-bo3Uhj8cbKYRPpZdsrBv3x3bAQ/edit?resourcekey#"&amp;"gid=1321652304"",""Prop!$BF$1:$BP""),11,0),iferror(vlookup(B59,importrange(""https://docs.google.com/spreadsheets/d/1p53T2AuvvIqhP7Nf-bo3Uhj8cbKYRPpZdsrBv3x3bAQ/edit?resourcekey#gid=1321652304"",""Prop!$BQ$1:$CA""),11,0),iferror(vlookup(B59,importrange("""&amp;"https://docs.google.com/spreadsheets/d/1p53T2AuvvIqhP7Nf-bo3Uhj8cbKYRPpZdsrBv3x3bAQ/edit?resourcekey#gid=1321652304"",""Prop!$CB$1:$CL""),11,0),iferror(vlookup(B59,importrange(""https://docs.google.com/spreadsheets/d/1p53T2AuvvIqhP7Nf-bo3Uhj8cbKYRPpZdsrBv"&amp;"3x3bAQ/edit?resourcekey#gid=1321652304"",""Prop!$CM$1:$CX""),12,0),iferror(vlookup(B59,importrange(""https://docs.google.com/spreadsheets/d/1p53T2AuvvIqhP7Nf-bo3Uhj8cbKYRPpZdsrBv3x3bAQ/edit?resourcekey#gid=1321652304"",""Prop!$CY$1:$DI""),11,0)))))))))))"),"https://drive.google.com/open?id=1Kwo7OAdZ8MrsoNfv4gBVFKI-nnsaSgX0")</f>
        <v>https://drive.google.com/open?id=1Kwo7OAdZ8MrsoNfv4gBVFKI-nnsaSgX0</v>
      </c>
      <c r="R59" s="88" t="s">
        <v>1229</v>
      </c>
      <c r="S59" s="20" t="str">
        <f ca="1">IFERROR(__xludf.DUMMYFUNCTION("IFERROR(vlookup(B59,IMPORTRANGE(""https://docs.google.com/spreadsheets/d/1g_jfYYK_KeipEDNDUgqgrsxK94XiocfNQIcP-v1QVhI/edit?resourcekey#gid=233272945"",""Nilai!B:CT""),30,0),"" "")"),"Permasalahan tidak ditulis dengan baik")</f>
        <v>Permasalahan tidak ditulis dengan baik</v>
      </c>
      <c r="T59" s="20" t="str">
        <f ca="1">IFERROR(__xludf.DUMMYFUNCTION("IFERROR(vlookup(B59,IMPORTRANGE(""https://docs.google.com/spreadsheets/d/1g_jfYYK_KeipEDNDUgqgrsxK94XiocfNQIcP-v1QVhI/edit?resourcekey#gid=233272945"",""Nilai!B:CT""),97,0),"" "")"),"LAYAK UPLOAD KE SIMBELMAWA DENGAN REVISI")</f>
        <v>LAYAK UPLOAD KE SIMBELMAWA DENGAN REVISI</v>
      </c>
      <c r="U59" s="21" t="s">
        <v>1270</v>
      </c>
      <c r="V59" s="70" t="s">
        <v>1265</v>
      </c>
      <c r="W59" s="23" t="s">
        <v>1269</v>
      </c>
      <c r="X59" s="19" t="b">
        <v>1</v>
      </c>
    </row>
    <row r="60" spans="1:24">
      <c r="A60" s="15">
        <v>58</v>
      </c>
      <c r="B60" s="15">
        <f ca="1">IFERROR(__xludf.DUMMYFUNCTION("""COMPUTED_VALUE"""),3394)</f>
        <v>3394</v>
      </c>
      <c r="C60" s="16" t="str">
        <f ca="1">IFERROR(__xludf.DUMMYFUNCTION("""COMPUTED_VALUE"""),"BESTIN YAP FORTUNA")</f>
        <v>BESTIN YAP FORTUNA</v>
      </c>
      <c r="D60" s="16" t="str">
        <f ca="1">IFERROR(__xludf.DUMMYFUNCTION("""COMPUTED_VALUE"""),"5010201138")</f>
        <v>5010201138</v>
      </c>
      <c r="E60" s="16" t="str">
        <f ca="1">IFERROR(__xludf.DUMMYFUNCTION("""COMPUTED_VALUE"""),"Departemen Teknik Sistem dan Industri")</f>
        <v>Departemen Teknik Sistem dan Industri</v>
      </c>
      <c r="F60" s="16" t="str">
        <f ca="1">IFERROR(__xludf.DUMMYFUNCTION("""COMPUTED_VALUE"""),"Penerapan THC (Tofu Hidrolic Cutter) sebagai upaya peningkatan efisiensi proses produksi tahu 
")</f>
        <v xml:space="preserve">Penerapan THC (Tofu Hidrolic Cutter) sebagai upaya peningkatan efisiensi proses produksi tahu 
</v>
      </c>
      <c r="G60" s="16" t="str">
        <f ca="1">IFERROR(__xludf.DUMMYFUNCTION("""COMPUTED_VALUE"""),"Nani Kurniati, S.T., M.T., Ph.D.")</f>
        <v>Nani Kurniati, S.T., M.T., Ph.D.</v>
      </c>
      <c r="H60" s="16" t="str">
        <f ca="1">IFERROR(__xludf.DUMMYFUNCTION("""COMPUTED_VALUE"""),"Sefi Novendra Patrialova, S.Si., M.T")</f>
        <v>Sefi Novendra Patrialova, S.Si., M.T</v>
      </c>
      <c r="I60" s="16" t="str">
        <f ca="1">IFERROR(__xludf.DUMMYFUNCTION("""COMPUTED_VALUE"""),"Yasmin Zainul Mochtar, S.T., M.A.")</f>
        <v>Yasmin Zainul Mochtar, S.T., M.A.</v>
      </c>
      <c r="J60" s="16"/>
      <c r="K60" s="17" t="s">
        <v>1263</v>
      </c>
      <c r="L60" s="23" t="s">
        <v>1267</v>
      </c>
      <c r="M60" s="19" t="b">
        <v>0</v>
      </c>
      <c r="N60" s="19" t="b">
        <v>0</v>
      </c>
      <c r="O60" s="1" t="s">
        <v>1268</v>
      </c>
      <c r="P60" s="7" t="str">
        <f ca="1">IFERROR(__xludf.DUMMYFUNCTION("iferror(vlookup(B60,importrange(""https://docs.google.com/spreadsheets/d/1boHyJQ4e2FU0QG8MHwEi6qjX4hvZWVCHcFfXjq7bbMc/edit?resourcekey#gid=923248883"",""Prop!$C$1:$M""),12,0),IFERROR(vlookup(B60,importrange(""https://docs.google.com/spreadsheets/d/1boHyJQ"&amp;"4e2FU0QG8MHwEi6qjX4hvZWVCHcFfXjq7bbMc/edit?resourcekey#gid=923248883"",""Prop!$N$1:$X""),11,0),iferror(vlookup(B60,importrange(""https://docs.google.com/spreadsheets/d/1boHyJQ4e2FU0QG8MHwEi6qjX4hvZWVCHcFfXjq7bbMc/edit?resourcekey#gid=923248883"",""Prop!$Y"&amp;"$1:$AI""),11,0),iferror(vlookup(B60,importrange(""https://docs.google.com/spreadsheets/d/1boHyJQ4e2FU0QG8MHwEi6qjX4hvZWVCHcFfXjq7bbMc/edit?resourcekey#gid=923248883"",""Prop!$AJ$1:$AT""),11,0),iferror(vlookup(B60,importrange(""https://docs.google.com/spre"&amp;"adsheets/d/1boHyJQ4e2FU0QG8MHwEi6qjX4hvZWVCHcFfXjq7bbMc/edit?resourcekey#gid=923248883"",""Prop!$AU$1:$BE""),11,0),iferror(vlookup(B60,importrange(""https://docs.google.com/spreadsheets/d/1boHyJQ4e2FU0QG8MHwEi6qjX4hvZWVCHcFfXjq7bbMc/edit?resourcekey#gid=9"&amp;"23248883"",""Prop!$BF$1:$BP""),11,0),iferror(vlookup(B60,importrange(""https://docs.google.com/spreadsheets/d/1boHyJQ4e2FU0QG8MHwEi6qjX4hvZWVCHcFfXjq7bbMc/edit?resourcekey#gid=923248883"",""Prop!$BQ$1:$CA""),11,0),iferror(vlookup(B60,importrange(""https:/"&amp;"/docs.google.com/spreadsheets/d/1boHyJQ4e2FU0QG8MHwEi6qjX4hvZWVCHcFfXjq7bbMc/edit?resourcekey#gid=923248883"",""Prop!$CB$1:$CL""),11,0),iferror(vlookup(B60,importrange(""https://docs.google.com/spreadsheets/d/1boHyJQ4e2FU0QG8MHwEi6qjX4hvZWVCHcFfXjq7bbMc/e"&amp;"dit?resourcekey#gid=923248883"",""Prop!$CM$1:$CX""),12,0),iferror(vlookup(B60,importrange(""https://docs.google.com/spreadsheets/d/1boHyJQ4e2FU0QG8MHwEi6qjX4hvZWVCHcFfXjq7bbMc/edit?resourcekey#gid=923248883"",""Prop!$CV$1:$DI""),11,0)))))))))))"),"https://drive.google.com/open?id=19mMAs_BrQy_Ipvg7qCUo6XHjvfX7jbxn")</f>
        <v>https://drive.google.com/open?id=19mMAs_BrQy_Ipvg7qCUo6XHjvfX7jbxn</v>
      </c>
      <c r="Q60" s="7" t="str">
        <f ca="1">IFERROR(__xludf.DUMMYFUNCTION("iferror(vlookup(B60,importrange(""https://docs.google.com/spreadsheets/d/1p53T2AuvvIqhP7Nf-bo3Uhj8cbKYRPpZdsrBv3x3bAQ/edit?resourcekey#gid=1321652304"",""Prop!$C$1:$M""),11,0),IFERROR(vlookup(B60,importrange(""https://docs.google.com/spreadsheets/d/1p53T2"&amp;"AuvvIqhP7Nf-bo3Uhj8cbKYRPpZdsrBv3x3bAQ/edit?resourcekey#gid=1321652304"",""Prop!$N$1:$X""),11,0),iferror(vlookup(B60,importrange(""https://docs.google.com/spreadsheets/d/1p53T2AuvvIqhP7Nf-bo3Uhj8cbKYRPpZdsrBv3x3bAQ/edit?resourcekey#gid=1321652304"",""Prop"&amp;"!$Y$1:$AI""),11,0),iferror(vlookup(B60,importrange(""https://docs.google.com/spreadsheets/d/1p53T2AuvvIqhP7Nf-bo3Uhj8cbKYRPpZdsrBv3x3bAQ/edit?resourcekey#gid=1321652304"",""Prop!$AJ$1:$AT""),11,0),iferror(vlookup(B60,importrange(""https://docs.google.com/"&amp;"spreadsheets/d/1p53T2AuvvIqhP7Nf-bo3Uhj8cbKYRPpZdsrBv3x3bAQ/edit?resourcekey#gid=1321652304"",""Prop!$AU$1:$BE""),11,0),iferror(vlookup(B60,importrange(""https://docs.google.com/spreadsheets/d/1p53T2AuvvIqhP7Nf-bo3Uhj8cbKYRPpZdsrBv3x3bAQ/edit?resourcekey#"&amp;"gid=1321652304"",""Prop!$BF$1:$BP""),11,0),iferror(vlookup(B60,importrange(""https://docs.google.com/spreadsheets/d/1p53T2AuvvIqhP7Nf-bo3Uhj8cbKYRPpZdsrBv3x3bAQ/edit?resourcekey#gid=1321652304"",""Prop!$BQ$1:$CA""),11,0),iferror(vlookup(B60,importrange("""&amp;"https://docs.google.com/spreadsheets/d/1p53T2AuvvIqhP7Nf-bo3Uhj8cbKYRPpZdsrBv3x3bAQ/edit?resourcekey#gid=1321652304"",""Prop!$CB$1:$CL""),11,0),iferror(vlookup(B60,importrange(""https://docs.google.com/spreadsheets/d/1p53T2AuvvIqhP7Nf-bo3Uhj8cbKYRPpZdsrBv"&amp;"3x3bAQ/edit?resourcekey#gid=1321652304"",""Prop!$CM$1:$CX""),11,0),iferror(vlookup(B60,importrange(""https://docs.google.com/spreadsheets/d/1p53T2AuvvIqhP7Nf-bo3Uhj8cbKYRPpZdsrBv3x3bAQ/edit?resourcekey#gid=1321652304"",""Prop!$CY$1:$DI""),11,0)))))))))))"),"https://drive.google.com/open?id=1rk46vi4Gh0bNAwwp1Rwt05q-LC-Jxvjs")</f>
        <v>https://drive.google.com/open?id=1rk46vi4Gh0bNAwwp1Rwt05q-LC-Jxvjs</v>
      </c>
      <c r="R60" s="88" t="s">
        <v>1229</v>
      </c>
      <c r="S60" s="20" t="str">
        <f ca="1">IFERROR(__xludf.DUMMYFUNCTION("IFERROR(vlookup(B60,IMPORTRANGE(""https://docs.google.com/spreadsheets/d/1g_jfYYK_KeipEDNDUgqgrsxK94XiocfNQIcP-v1QVhI/edit?resourcekey#gid=233272945"",""Nilai!B:CT""),30,0),"" "")"),"Permasalahan yang ingin diselesaikan tidak disajikan dengan baik.")</f>
        <v>Permasalahan yang ingin diselesaikan tidak disajikan dengan baik.</v>
      </c>
      <c r="T60" s="20" t="str">
        <f ca="1">IFERROR(__xludf.DUMMYFUNCTION("IFERROR(vlookup(B60,IMPORTRANGE(""https://docs.google.com/spreadsheets/d/1g_jfYYK_KeipEDNDUgqgrsxK94XiocfNQIcP-v1QVhI/edit?resourcekey#gid=233272945"",""Nilai!B:CT""),97,0),"" "")"),"TIDAK LAYAK UPLOAD KE SIMBELMAWA")</f>
        <v>TIDAK LAYAK UPLOAD KE SIMBELMAWA</v>
      </c>
      <c r="U60" s="21" t="s">
        <v>1270</v>
      </c>
      <c r="V60" s="70" t="s">
        <v>1265</v>
      </c>
      <c r="W60" s="23" t="s">
        <v>1271</v>
      </c>
      <c r="X60" s="19" t="b">
        <v>0</v>
      </c>
    </row>
    <row r="61" spans="1:24">
      <c r="A61" s="15">
        <v>59</v>
      </c>
      <c r="B61" s="15">
        <f ca="1">IFERROR(__xludf.DUMMYFUNCTION("""COMPUTED_VALUE"""),3107)</f>
        <v>3107</v>
      </c>
      <c r="C61" s="16" t="str">
        <f ca="1">IFERROR(__xludf.DUMMYFUNCTION("""COMPUTED_VALUE"""),"Izzah Awwalin Khoirun Nisa")</f>
        <v>Izzah Awwalin Khoirun Nisa</v>
      </c>
      <c r="D61" s="16" t="str">
        <f ca="1">IFERROR(__xludf.DUMMYFUNCTION("""COMPUTED_VALUE"""),"07311940000023")</f>
        <v>07311940000023</v>
      </c>
      <c r="E61" s="16" t="str">
        <f ca="1">IFERROR(__xludf.DUMMYFUNCTION("""COMPUTED_VALUE"""),"Departemen Teknik Biomedik")</f>
        <v>Departemen Teknik Biomedik</v>
      </c>
      <c r="F61" s="16" t="str">
        <f ca="1">IFERROR(__xludf.DUMMYFUNCTION("""COMPUTED_VALUE"""),"Rancang Bangun Tangan Prostetik Dengan Feedback Suhu Guna Merasakan Sensasi Tangan Asli Bagi Pasien Amputasi Upperlimb Menggunakan Metode Pattern Recognition")</f>
        <v>Rancang Bangun Tangan Prostetik Dengan Feedback Suhu Guna Merasakan Sensasi Tangan Asli Bagi Pasien Amputasi Upperlimb Menggunakan Metode Pattern Recognition</v>
      </c>
      <c r="G61" s="16" t="str">
        <f ca="1">IFERROR(__xludf.DUMMYFUNCTION("""COMPUTED_VALUE"""),"Eko Agus Suprayitno, S.Si., M.T.")</f>
        <v>Eko Agus Suprayitno, S.Si., M.T.</v>
      </c>
      <c r="H61" s="16" t="str">
        <f ca="1">IFERROR(__xludf.DUMMYFUNCTION("""COMPUTED_VALUE"""),"Endarko, M.Si., Ph.D.")</f>
        <v>Endarko, M.Si., Ph.D.</v>
      </c>
      <c r="I61" s="16" t="str">
        <f ca="1">IFERROR(__xludf.DUMMYFUNCTION("""COMPUTED_VALUE"""),"Dr. Dendy Satrio, S.ST.")</f>
        <v>Dr. Dendy Satrio, S.ST.</v>
      </c>
      <c r="J61" s="16"/>
      <c r="K61" s="17" t="s">
        <v>1263</v>
      </c>
      <c r="L61" s="23" t="s">
        <v>1267</v>
      </c>
      <c r="M61" s="19" t="b">
        <v>0</v>
      </c>
      <c r="N61" s="19" t="b">
        <v>0</v>
      </c>
      <c r="O61" s="1" t="s">
        <v>1268</v>
      </c>
      <c r="P61" s="7" t="str">
        <f ca="1">IFERROR(__xludf.DUMMYFUNCTION("iferror(vlookup(B61,importrange(""https://docs.google.com/spreadsheets/d/1boHyJQ4e2FU0QG8MHwEi6qjX4hvZWVCHcFfXjq7bbMc/edit?resourcekey#gid=923248883"",""Prop!$C$1:$M""),12,0),IFERROR(vlookup(B61,importrange(""https://docs.google.com/spreadsheets/d/1boHyJQ"&amp;"4e2FU0QG8MHwEi6qjX4hvZWVCHcFfXjq7bbMc/edit?resourcekey#gid=923248883"",""Prop!$N$1:$X""),11,0),iferror(vlookup(B61,importrange(""https://docs.google.com/spreadsheets/d/1boHyJQ4e2FU0QG8MHwEi6qjX4hvZWVCHcFfXjq7bbMc/edit?resourcekey#gid=923248883"",""Prop!$Y"&amp;"$1:$AI""),11,0),iferror(vlookup(B61,importrange(""https://docs.google.com/spreadsheets/d/1boHyJQ4e2FU0QG8MHwEi6qjX4hvZWVCHcFfXjq7bbMc/edit?resourcekey#gid=923248883"",""Prop!$AJ$1:$AT""),11,0),iferror(vlookup(B61,importrange(""https://docs.google.com/spre"&amp;"adsheets/d/1boHyJQ4e2FU0QG8MHwEi6qjX4hvZWVCHcFfXjq7bbMc/edit?resourcekey#gid=923248883"",""Prop!$AU$1:$BE""),11,0),iferror(vlookup(B61,importrange(""https://docs.google.com/spreadsheets/d/1boHyJQ4e2FU0QG8MHwEi6qjX4hvZWVCHcFfXjq7bbMc/edit?resourcekey#gid=9"&amp;"23248883"",""Prop!$BF$1:$BP""),11,0),iferror(vlookup(B61,importrange(""https://docs.google.com/spreadsheets/d/1boHyJQ4e2FU0QG8MHwEi6qjX4hvZWVCHcFfXjq7bbMc/edit?resourcekey#gid=923248883"",""Prop!$BQ$1:$CA""),11,0),iferror(vlookup(B61,importrange(""https:/"&amp;"/docs.google.com/spreadsheets/d/1boHyJQ4e2FU0QG8MHwEi6qjX4hvZWVCHcFfXjq7bbMc/edit?resourcekey#gid=923248883"",""Prop!$CB$1:$CL""),11,0),iferror(vlookup(B61,importrange(""https://docs.google.com/spreadsheets/d/1boHyJQ4e2FU0QG8MHwEi6qjX4hvZWVCHcFfXjq7bbMc/e"&amp;"dit?resourcekey#gid=923248883"",""Prop!$CM$1:$CX""),12,0),iferror(vlookup(B61,importrange(""https://docs.google.com/spreadsheets/d/1boHyJQ4e2FU0QG8MHwEi6qjX4hvZWVCHcFfXjq7bbMc/edit?resourcekey#gid=923248883"",""Prop!$CV$1:$DI""),11,0)))))))))))"),"https://drive.google.com/open?id=1KTeIPRLcN1NZKLFP3AtMrMCqPYsQhrMb")</f>
        <v>https://drive.google.com/open?id=1KTeIPRLcN1NZKLFP3AtMrMCqPYsQhrMb</v>
      </c>
      <c r="Q61" s="7" t="str">
        <f ca="1">IFERROR(__xludf.DUMMYFUNCTION("iferror(vlookup(B61,importrange(""https://docs.google.com/spreadsheets/d/1p53T2AuvvIqhP7Nf-bo3Uhj8cbKYRPpZdsrBv3x3bAQ/edit?resourcekey#gid=1321652304"",""Prop!$C$1:$M""),11,0),IFERROR(vlookup(B61,importrange(""https://docs.google.com/spreadsheets/d/1p53T2"&amp;"AuvvIqhP7Nf-bo3Uhj8cbKYRPpZdsrBv3x3bAQ/edit?resourcekey#gid=1321652304"",""Prop!$N$1:$X""),11,0),iferror(vlookup(B61,importrange(""https://docs.google.com/spreadsheets/d/1p53T2AuvvIqhP7Nf-bo3Uhj8cbKYRPpZdsrBv3x3bAQ/edit?resourcekey#gid=1321652304"",""Prop"&amp;"!$Y$1:$AI""),11,0),iferror(vlookup(B61,importrange(""https://docs.google.com/spreadsheets/d/1p53T2AuvvIqhP7Nf-bo3Uhj8cbKYRPpZdsrBv3x3bAQ/edit?resourcekey#gid=1321652304"",""Prop!$AJ$1:$AT""),11,0),iferror(vlookup(B61,importrange(""https://docs.google.com/"&amp;"spreadsheets/d/1p53T2AuvvIqhP7Nf-bo3Uhj8cbKYRPpZdsrBv3x3bAQ/edit?resourcekey#gid=1321652304"",""Prop!$AU$1:$BE""),11,0),iferror(vlookup(B61,importrange(""https://docs.google.com/spreadsheets/d/1p53T2AuvvIqhP7Nf-bo3Uhj8cbKYRPpZdsrBv3x3bAQ/edit?resourcekey#"&amp;"gid=1321652304"",""Prop!$BF$1:$BP""),11,0),iferror(vlookup(B61,importrange(""https://docs.google.com/spreadsheets/d/1p53T2AuvvIqhP7Nf-bo3Uhj8cbKYRPpZdsrBv3x3bAQ/edit?resourcekey#gid=1321652304"",""Prop!$BQ$1:$CA""),11,0),iferror(vlookup(B61,importrange("""&amp;"https://docs.google.com/spreadsheets/d/1p53T2AuvvIqhP7Nf-bo3Uhj8cbKYRPpZdsrBv3x3bAQ/edit?resourcekey#gid=1321652304"",""Prop!$CB$1:$CL""),11,0),iferror(vlookup(B61,importrange(""https://docs.google.com/spreadsheets/d/1p53T2AuvvIqhP7Nf-bo3Uhj8cbKYRPpZdsrBv"&amp;"3x3bAQ/edit?resourcekey#gid=1321652304"",""Prop!$CM$1:$CX""),11,0),iferror(vlookup(B61,importrange(""https://docs.google.com/spreadsheets/d/1p53T2AuvvIqhP7Nf-bo3Uhj8cbKYRPpZdsrBv3x3bAQ/edit?resourcekey#gid=1321652304"",""Prop!$CY$1:$DI""),11,0)))))))))))"),"https://drive.google.com/open?id=1yNU05yiJEicItLU3AhY1qnCW1OzhRNw2")</f>
        <v>https://drive.google.com/open?id=1yNU05yiJEicItLU3AhY1qnCW1OzhRNw2</v>
      </c>
      <c r="R61" s="88" t="s">
        <v>1229</v>
      </c>
      <c r="S61" s="20" t="str">
        <f ca="1">IFERROR(__xludf.DUMMYFUNCTION("IFERROR(vlookup(B61,IMPORTRANGE(""https://docs.google.com/spreadsheets/d/1g_jfYYK_KeipEDNDUgqgrsxK94XiocfNQIcP-v1QVhI/edit?resourcekey#gid=233272945"",""Nilai!B:CT""),30,0),"" "")"),"Permasalah dan tujuan mungkin lebih baik ditulis dalam point, karena lebih cepat untuk ditangkap oleh reviewer.")</f>
        <v>Permasalah dan tujuan mungkin lebih baik ditulis dalam point, karena lebih cepat untuk ditangkap oleh reviewer.</v>
      </c>
      <c r="T61" s="20" t="str">
        <f ca="1">IFERROR(__xludf.DUMMYFUNCTION("IFERROR(vlookup(B61,IMPORTRANGE(""https://docs.google.com/spreadsheets/d/1g_jfYYK_KeipEDNDUgqgrsxK94XiocfNQIcP-v1QVhI/edit?resourcekey#gid=233272945"",""Nilai!B:CT""),97,0),"" "")"),"LAYAK UPLOAD KE SIMBELMAWA")</f>
        <v>LAYAK UPLOAD KE SIMBELMAWA</v>
      </c>
      <c r="U61" s="21" t="s">
        <v>1270</v>
      </c>
      <c r="V61" s="70" t="s">
        <v>1265</v>
      </c>
      <c r="W61" s="23" t="s">
        <v>1271</v>
      </c>
      <c r="X61" s="19" t="b">
        <v>1</v>
      </c>
    </row>
    <row r="62" spans="1:24">
      <c r="A62" s="15">
        <v>60</v>
      </c>
      <c r="B62" s="15">
        <f ca="1">IFERROR(__xludf.DUMMYFUNCTION("""COMPUTED_VALUE"""),3760)</f>
        <v>3760</v>
      </c>
      <c r="C62" s="16" t="str">
        <f ca="1">IFERROR(__xludf.DUMMYFUNCTION("""COMPUTED_VALUE"""),"CHERISH GLOBAL ETNIC")</f>
        <v>CHERISH GLOBAL ETNIC</v>
      </c>
      <c r="D62" s="16" t="str">
        <f ca="1">IFERROR(__xludf.DUMMYFUNCTION("""COMPUTED_VALUE"""),"5008211073")</f>
        <v>5008211073</v>
      </c>
      <c r="E62" s="16" t="str">
        <f ca="1">IFERROR(__xludf.DUMMYFUNCTION("""COMPUTED_VALUE"""),"Departemen Teknik Kimia")</f>
        <v>Departemen Teknik Kimia</v>
      </c>
      <c r="F62" s="16" t="str">
        <f ca="1">IFERROR(__xludf.DUMMYFUNCTION("""COMPUTED_VALUE"""),"Smart Jacket Berbasis Mikrokontroler yang Terkoneksi dengan IoT sebagai Piranti Safety Hiking untuk Mengurangi Resiko Pendaki Hilang dan Ancaman Hipotermia")</f>
        <v>Smart Jacket Berbasis Mikrokontroler yang Terkoneksi dengan IoT sebagai Piranti Safety Hiking untuk Mengurangi Resiko Pendaki Hilang dan Ancaman Hipotermia</v>
      </c>
      <c r="G62" s="16" t="str">
        <f ca="1">IFERROR(__xludf.DUMMYFUNCTION("""COMPUTED_VALUE"""),"Dr. Adithya Sudiarno, S.T., M.T.")</f>
        <v>Dr. Adithya Sudiarno, S.T., M.T.</v>
      </c>
      <c r="H62" s="16" t="str">
        <f ca="1">IFERROR(__xludf.DUMMYFUNCTION("""COMPUTED_VALUE"""),"Mohammad Khoirul Effendi, S.T., M.Sc.Eng., Ph.D.")</f>
        <v>Mohammad Khoirul Effendi, S.T., M.Sc.Eng., Ph.D.</v>
      </c>
      <c r="I62" s="16" t="str">
        <f ca="1">IFERROR(__xludf.DUMMYFUNCTION("""COMPUTED_VALUE"""),"Azzah Dyah Pramata, S.T., M.T., M.Eng., Ph.D.")</f>
        <v>Azzah Dyah Pramata, S.T., M.T., M.Eng., Ph.D.</v>
      </c>
      <c r="J62" s="16"/>
      <c r="K62" s="17" t="s">
        <v>1263</v>
      </c>
      <c r="L62" s="23" t="s">
        <v>1272</v>
      </c>
      <c r="M62" s="19" t="b">
        <v>0</v>
      </c>
      <c r="N62" s="19" t="b">
        <v>0</v>
      </c>
      <c r="O62" s="1" t="s">
        <v>1268</v>
      </c>
      <c r="P62" s="1" t="str">
        <f ca="1">IFERROR(__xludf.DUMMYFUNCTION("iferror(vlookup(B62,importrange(""https://docs.google.com/spreadsheets/d/1boHyJQ4e2FU0QG8MHwEi6qjX4hvZWVCHcFfXjq7bbMc/edit?resourcekey#gid=923248883"",""Prop!$C$1:$M""),12,0),IFERROR(vlookup(B62,importrange(""https://docs.google.com/spreadsheets/d/1boHyJQ"&amp;"4e2FU0QG8MHwEi6qjX4hvZWVCHcFfXjq7bbMc/edit?resourcekey#gid=923248883"",""Prop!$N$1:$X""),11,0),iferror(vlookup(B62,importrange(""https://docs.google.com/spreadsheets/d/1boHyJQ4e2FU0QG8MHwEi6qjX4hvZWVCHcFfXjq7bbMc/edit?resourcekey#gid=923248883"",""Prop!$Y"&amp;"$1:$AI""),11,0),iferror(vlookup(B62,importrange(""https://docs.google.com/spreadsheets/d/1boHyJQ4e2FU0QG8MHwEi6qjX4hvZWVCHcFfXjq7bbMc/edit?resourcekey#gid=923248883"",""Prop!$AJ$1:$AT""),11,0),iferror(vlookup(B62,importrange(""https://docs.google.com/spre"&amp;"adsheets/d/1boHyJQ4e2FU0QG8MHwEi6qjX4hvZWVCHcFfXjq7bbMc/edit?resourcekey#gid=923248883"",""Prop!$AU$1:$BE""),11,0),iferror(vlookup(B62,importrange(""https://docs.google.com/spreadsheets/d/1boHyJQ4e2FU0QG8MHwEi6qjX4hvZWVCHcFfXjq7bbMc/edit?resourcekey#gid=9"&amp;"23248883"",""Prop!$BF$1:$BP""),11,0),iferror(vlookup(B62,importrange(""https://docs.google.com/spreadsheets/d/1boHyJQ4e2FU0QG8MHwEi6qjX4hvZWVCHcFfXjq7bbMc/edit?resourcekey#gid=923248883"",""Prop!$BQ$1:$CA""),11,0),iferror(vlookup(B62,importrange(""https:/"&amp;"/docs.google.com/spreadsheets/d/1boHyJQ4e2FU0QG8MHwEi6qjX4hvZWVCHcFfXjq7bbMc/edit?resourcekey#gid=923248883"",""Prop!$CB$1:$CL""),11,0),iferror(vlookup(B62,importrange(""https://docs.google.com/spreadsheets/d/1boHyJQ4e2FU0QG8MHwEi6qjX4hvZWVCHcFfXjq7bbMc/e"&amp;"dit?resourcekey#gid=923248883"",""Prop!$CM$1:$CX""),12,0),iferror(vlookup(B62,importrange(""https://docs.google.com/spreadsheets/d/1boHyJQ4e2FU0QG8MHwEi6qjX4hvZWVCHcFfXjq7bbMc/edit?resourcekey#gid=923248883"",""Prop!$CV$1:$DI""),11,0)))))))))))"),"")</f>
        <v/>
      </c>
      <c r="Q62" s="1" t="str">
        <f ca="1">IFERROR(__xludf.DUMMYFUNCTION("iferror(vlookup(B62,importrange(""https://docs.google.com/spreadsheets/d/1p53T2AuvvIqhP7Nf-bo3Uhj8cbKYRPpZdsrBv3x3bAQ/edit?resourcekey#gid=1321652304"",""Prop!$C$1:$M""),11,0),IFERROR(vlookup(B62,importrange(""https://docs.google.com/spreadsheets/d/1p53T2"&amp;"AuvvIqhP7Nf-bo3Uhj8cbKYRPpZdsrBv3x3bAQ/edit?resourcekey#gid=1321652304"",""Prop!$N$1:$X""),11,0),iferror(vlookup(B62,importrange(""https://docs.google.com/spreadsheets/d/1p53T2AuvvIqhP7Nf-bo3Uhj8cbKYRPpZdsrBv3x3bAQ/edit?resourcekey#gid=1321652304"",""Prop"&amp;"!$Y$1:$AI""),11,0),iferror(vlookup(B62,importrange(""https://docs.google.com/spreadsheets/d/1p53T2AuvvIqhP7Nf-bo3Uhj8cbKYRPpZdsrBv3x3bAQ/edit?resourcekey#gid=1321652304"",""Prop!$AJ$1:$AT""),11,0),iferror(vlookup(B62,importrange(""https://docs.google.com/"&amp;"spreadsheets/d/1p53T2AuvvIqhP7Nf-bo3Uhj8cbKYRPpZdsrBv3x3bAQ/edit?resourcekey#gid=1321652304"",""Prop!$AU$1:$BE""),11,0),iferror(vlookup(B62,importrange(""https://docs.google.com/spreadsheets/d/1p53T2AuvvIqhP7Nf-bo3Uhj8cbKYRPpZdsrBv3x3bAQ/edit?resourcekey#"&amp;"gid=1321652304"",""Prop!$BF$1:$BP""),11,0),iferror(vlookup(B62,importrange(""https://docs.google.com/spreadsheets/d/1p53T2AuvvIqhP7Nf-bo3Uhj8cbKYRPpZdsrBv3x3bAQ/edit?resourcekey#gid=1321652304"",""Prop!$BQ$1:$CA""),11,0),iferror(vlookup(B62,importrange("""&amp;"https://docs.google.com/spreadsheets/d/1p53T2AuvvIqhP7Nf-bo3Uhj8cbKYRPpZdsrBv3x3bAQ/edit?resourcekey#gid=1321652304"",""Prop!$CB$1:$CL""),11,0),iferror(vlookup(B62,importrange(""https://docs.google.com/spreadsheets/d/1p53T2AuvvIqhP7Nf-bo3Uhj8cbKYRPpZdsrBv"&amp;"3x3bAQ/edit?resourcekey#gid=1321652304"",""Prop!$CM$1:$CX""),11,0),iferror(vlookup(B62,importrange(""https://docs.google.com/spreadsheets/d/1p53T2AuvvIqhP7Nf-bo3Uhj8cbKYRPpZdsrBv3x3bAQ/edit?resourcekey#gid=1321652304"",""Prop!$CY$1:$DI""),11,0)))))))))))"),"")</f>
        <v/>
      </c>
      <c r="R62" s="88" t="s">
        <v>1229</v>
      </c>
      <c r="S62" s="20" t="str">
        <f ca="1">IFERROR(__xludf.DUMMYFUNCTION("IFERROR(vlookup(B62,IMPORTRANGE(""https://docs.google.com/spreadsheets/d/1g_jfYYK_KeipEDNDUgqgrsxK94XiocfNQIcP-v1QVhI/edit?resourcekey#gid=233272945"",""Nilai!B:CT""),30,0),"" "")")," ")</f>
        <v xml:space="preserve"> </v>
      </c>
      <c r="T62" s="20" t="str">
        <f ca="1">IFERROR(__xludf.DUMMYFUNCTION("IFERROR(vlookup(B62,IMPORTRANGE(""https://docs.google.com/spreadsheets/d/1g_jfYYK_KeipEDNDUgqgrsxK94XiocfNQIcP-v1QVhI/edit?resourcekey#gid=233272945"",""Nilai!B:CT""),97,0),"" "")")," ")</f>
        <v xml:space="preserve"> </v>
      </c>
      <c r="U62" s="21" t="s">
        <v>1270</v>
      </c>
      <c r="V62" s="70" t="s">
        <v>1265</v>
      </c>
      <c r="W62" s="23" t="s">
        <v>1271</v>
      </c>
      <c r="X62" s="19" t="b">
        <v>0</v>
      </c>
    </row>
    <row r="63" spans="1:24">
      <c r="A63" s="15">
        <v>61</v>
      </c>
      <c r="B63" s="15">
        <f ca="1">IFERROR(__xludf.DUMMYFUNCTION("""COMPUTED_VALUE"""),3289)</f>
        <v>3289</v>
      </c>
      <c r="C63" s="16" t="str">
        <f ca="1">IFERROR(__xludf.DUMMYFUNCTION("""COMPUTED_VALUE"""),"IZZAN WIDAD")</f>
        <v>IZZAN WIDAD</v>
      </c>
      <c r="D63" s="16" t="str">
        <f ca="1">IFERROR(__xludf.DUMMYFUNCTION("""COMPUTED_VALUE"""),"5011201103")</f>
        <v>5011201103</v>
      </c>
      <c r="E63" s="16" t="str">
        <f ca="1">IFERROR(__xludf.DUMMYFUNCTION("""COMPUTED_VALUE"""),"Departemen Teknik Material dan Metalurgi")</f>
        <v>Departemen Teknik Material dan Metalurgi</v>
      </c>
      <c r="F63" s="16" t="str">
        <f ca="1">IFERROR(__xludf.DUMMYFUNCTION("""COMPUTED_VALUE"""),"Pemanfaatan Thermalwaste Menggunakan NiTinol Heat Engine Sebagai Pembangkit Listrik Berkonsep Renewable Energy Pada Kawasan Sumber Air Panas")</f>
        <v>Pemanfaatan Thermalwaste Menggunakan NiTinol Heat Engine Sebagai Pembangkit Listrik Berkonsep Renewable Energy Pada Kawasan Sumber Air Panas</v>
      </c>
      <c r="G63" s="16" t="str">
        <f ca="1">IFERROR(__xludf.DUMMYFUNCTION("""COMPUTED_VALUE"""),"Dr. Widyastuti, S.Si., M.Si.")</f>
        <v>Dr. Widyastuti, S.Si., M.Si.</v>
      </c>
      <c r="H63" s="16" t="str">
        <f ca="1">IFERROR(__xludf.DUMMYFUNCTION("""COMPUTED_VALUE"""),"Mohammad Khoirul Effendi, S.T., M.Sc.Eng., Ph.D.")</f>
        <v>Mohammad Khoirul Effendi, S.T., M.Sc.Eng., Ph.D.</v>
      </c>
      <c r="I63" s="16" t="str">
        <f ca="1">IFERROR(__xludf.DUMMYFUNCTION("""COMPUTED_VALUE"""),"Dr. Dendy Satrio, S.ST.")</f>
        <v>Dr. Dendy Satrio, S.ST.</v>
      </c>
      <c r="J63" s="16"/>
      <c r="K63" s="17" t="s">
        <v>1273</v>
      </c>
      <c r="L63" s="23" t="s">
        <v>1272</v>
      </c>
      <c r="M63" s="19" t="b">
        <v>0</v>
      </c>
      <c r="N63" s="19" t="b">
        <v>0</v>
      </c>
      <c r="O63" s="1" t="s">
        <v>1268</v>
      </c>
      <c r="P63" s="1" t="str">
        <f ca="1">IFERROR(__xludf.DUMMYFUNCTION("iferror(vlookup(B63,importrange(""https://docs.google.com/spreadsheets/d/1boHyJQ4e2FU0QG8MHwEi6qjX4hvZWVCHcFfXjq7bbMc/edit?resourcekey#gid=923248883"",""Prop!$C$1:$M""),12,0),IFERROR(vlookup(B63,importrange(""https://docs.google.com/spreadsheets/d/1boHyJQ"&amp;"4e2FU0QG8MHwEi6qjX4hvZWVCHcFfXjq7bbMc/edit?resourcekey#gid=923248883"",""Prop!$N$1:$X""),11,0),iferror(vlookup(B63,importrange(""https://docs.google.com/spreadsheets/d/1boHyJQ4e2FU0QG8MHwEi6qjX4hvZWVCHcFfXjq7bbMc/edit?resourcekey#gid=923248883"",""Prop!$Y"&amp;"$1:$AI""),11,0),iferror(vlookup(B63,importrange(""https://docs.google.com/spreadsheets/d/1boHyJQ4e2FU0QG8MHwEi6qjX4hvZWVCHcFfXjq7bbMc/edit?resourcekey#gid=923248883"",""Prop!$AJ$1:$AT""),11,0),iferror(vlookup(B63,importrange(""https://docs.google.com/spre"&amp;"adsheets/d/1boHyJQ4e2FU0QG8MHwEi6qjX4hvZWVCHcFfXjq7bbMc/edit?resourcekey#gid=923248883"",""Prop!$AU$1:$BE""),11,0),iferror(vlookup(B63,importrange(""https://docs.google.com/spreadsheets/d/1boHyJQ4e2FU0QG8MHwEi6qjX4hvZWVCHcFfXjq7bbMc/edit?resourcekey#gid=9"&amp;"23248883"",""Prop!$BF$1:$BP""),11,0),iferror(vlookup(B63,importrange(""https://docs.google.com/spreadsheets/d/1boHyJQ4e2FU0QG8MHwEi6qjX4hvZWVCHcFfXjq7bbMc/edit?resourcekey#gid=923248883"",""Prop!$BQ$1:$CA""),11,0),iferror(vlookup(B63,importrange(""https:/"&amp;"/docs.google.com/spreadsheets/d/1boHyJQ4e2FU0QG8MHwEi6qjX4hvZWVCHcFfXjq7bbMc/edit?resourcekey#gid=923248883"",""Prop!$CB$1:$CL""),11,0),iferror(vlookup(B63,importrange(""https://docs.google.com/spreadsheets/d/1boHyJQ4e2FU0QG8MHwEi6qjX4hvZWVCHcFfXjq7bbMc/e"&amp;"dit?resourcekey#gid=923248883"",""Prop!$CM$1:$CX""),12,0),iferror(vlookup(B63,importrange(""https://docs.google.com/spreadsheets/d/1boHyJQ4e2FU0QG8MHwEi6qjX4hvZWVCHcFfXjq7bbMc/edit?resourcekey#gid=923248883"",""Prop!$CV$1:$DI""),11,0)))))))))))"),"")</f>
        <v/>
      </c>
      <c r="Q63" s="7" t="str">
        <f ca="1">IFERROR(__xludf.DUMMYFUNCTION("iferror(vlookup(B63,importrange(""https://docs.google.com/spreadsheets/d/1p53T2AuvvIqhP7Nf-bo3Uhj8cbKYRPpZdsrBv3x3bAQ/edit?resourcekey#gid=1321652304"",""Prop!$C$1:$M""),11,0),IFERROR(vlookup(B63,importrange(""https://docs.google.com/spreadsheets/d/1p53T2"&amp;"AuvvIqhP7Nf-bo3Uhj8cbKYRPpZdsrBv3x3bAQ/edit?resourcekey#gid=1321652304"",""Prop!$N$1:$X""),11,0),iferror(vlookup(B63,importrange(""https://docs.google.com/spreadsheets/d/1p53T2AuvvIqhP7Nf-bo3Uhj8cbKYRPpZdsrBv3x3bAQ/edit?resourcekey#gid=1321652304"",""Prop"&amp;"!$Y$1:$AI""),11,0),iferror(vlookup(B63,importrange(""https://docs.google.com/spreadsheets/d/1p53T2AuvvIqhP7Nf-bo3Uhj8cbKYRPpZdsrBv3x3bAQ/edit?resourcekey#gid=1321652304"",""Prop!$AJ$1:$AT""),11,0),iferror(vlookup(B63,importrange(""https://docs.google.com/"&amp;"spreadsheets/d/1p53T2AuvvIqhP7Nf-bo3Uhj8cbKYRPpZdsrBv3x3bAQ/edit?resourcekey#gid=1321652304"",""Prop!$AU$1:$BE""),11,0),iferror(vlookup(B63,importrange(""https://docs.google.com/spreadsheets/d/1p53T2AuvvIqhP7Nf-bo3Uhj8cbKYRPpZdsrBv3x3bAQ/edit?resourcekey#"&amp;"gid=1321652304"",""Prop!$BF$1:$BP""),11,0),iferror(vlookup(B63,importrange(""https://docs.google.com/spreadsheets/d/1p53T2AuvvIqhP7Nf-bo3Uhj8cbKYRPpZdsrBv3x3bAQ/edit?resourcekey#gid=1321652304"",""Prop!$BQ$1:$CA""),11,0),iferror(vlookup(B63,importrange("""&amp;"https://docs.google.com/spreadsheets/d/1p53T2AuvvIqhP7Nf-bo3Uhj8cbKYRPpZdsrBv3x3bAQ/edit?resourcekey#gid=1321652304"",""Prop!$CB$1:$CL""),11,0),iferror(vlookup(B63,importrange(""https://docs.google.com/spreadsheets/d/1p53T2AuvvIqhP7Nf-bo3Uhj8cbKYRPpZdsrBv"&amp;"3x3bAQ/edit?resourcekey#gid=1321652304"",""Prop!$CM$1:$CX""),11,0),iferror(vlookup(B63,importrange(""https://docs.google.com/spreadsheets/d/1p53T2AuvvIqhP7Nf-bo3Uhj8cbKYRPpZdsrBv3x3bAQ/edit?resourcekey#gid=1321652304"",""Prop!$CY$1:$DI""),11,0)))))))))))"),"https://drive.google.com/open?id=1t12cGMrEZgfT7-Aftg7lO6xdD6B81qUs")</f>
        <v>https://drive.google.com/open?id=1t12cGMrEZgfT7-Aftg7lO6xdD6B81qUs</v>
      </c>
      <c r="R63" s="88" t="s">
        <v>1229</v>
      </c>
      <c r="S63" s="20" t="str">
        <f ca="1">IFERROR(__xludf.DUMMYFUNCTION("IFERROR(vlookup(B63,IMPORTRANGE(""https://docs.google.com/spreadsheets/d/1g_jfYYK_KeipEDNDUgqgrsxK94XiocfNQIcP-v1QVhI/edit?resourcekey#gid=233272945"",""Nilai!B:CT""),30,0),"" "")"),"Komentar sudah disampaikan pada saat bikom")</f>
        <v>Komentar sudah disampaikan pada saat bikom</v>
      </c>
      <c r="T63" s="20" t="str">
        <f ca="1">IFERROR(__xludf.DUMMYFUNCTION("IFERROR(vlookup(B63,IMPORTRANGE(""https://docs.google.com/spreadsheets/d/1g_jfYYK_KeipEDNDUgqgrsxK94XiocfNQIcP-v1QVhI/edit?resourcekey#gid=233272945"",""Nilai!B:CT""),97,0),"" "")"),"LAYAK UPLOAD KE SIMBELMAWA")</f>
        <v>LAYAK UPLOAD KE SIMBELMAWA</v>
      </c>
      <c r="U63" s="21" t="s">
        <v>1270</v>
      </c>
      <c r="V63" s="70" t="s">
        <v>1265</v>
      </c>
      <c r="W63" s="23" t="s">
        <v>1274</v>
      </c>
      <c r="X63" s="19" t="b">
        <v>0</v>
      </c>
    </row>
    <row r="64" spans="1:24">
      <c r="A64" s="15">
        <v>62</v>
      </c>
      <c r="B64" s="15">
        <f ca="1">IFERROR(__xludf.DUMMYFUNCTION("""COMPUTED_VALUE"""),3415)</f>
        <v>3415</v>
      </c>
      <c r="C64" s="16" t="str">
        <f ca="1">IFERROR(__xludf.DUMMYFUNCTION("""COMPUTED_VALUE"""),"Galdino Nugraha")</f>
        <v>Galdino Nugraha</v>
      </c>
      <c r="D64" s="16" t="str">
        <f ca="1">IFERROR(__xludf.DUMMYFUNCTION("""COMPUTED_VALUE"""),"5017211069")</f>
        <v>5017211069</v>
      </c>
      <c r="E64" s="16" t="str">
        <f ca="1">IFERROR(__xludf.DUMMYFUNCTION("""COMPUTED_VALUE"""),"Departemen Teknik Geofisika")</f>
        <v>Departemen Teknik Geofisika</v>
      </c>
      <c r="F64" s="16" t="str">
        <f ca="1">IFERROR(__xludf.DUMMYFUNCTION("""COMPUTED_VALUE"""),"Alat Pendeteksi Kecocokan Lokasi dan Waktu Tanam Menggunakan Metode Geofisika  dengan Memanfaatkan Sensor MEMS dan Modul GPS")</f>
        <v>Alat Pendeteksi Kecocokan Lokasi dan Waktu Tanam Menggunakan Metode Geofisika  dengan Memanfaatkan Sensor MEMS dan Modul GPS</v>
      </c>
      <c r="G64" s="16"/>
      <c r="H64" s="16" t="str">
        <f ca="1">IFERROR(__xludf.DUMMYFUNCTION("""COMPUTED_VALUE"""),"Mohammad Khoirul Effendi, S.T., M.Sc.Eng., Ph.D.")</f>
        <v>Mohammad Khoirul Effendi, S.T., M.Sc.Eng., Ph.D.</v>
      </c>
      <c r="I64" s="16" t="str">
        <f ca="1">IFERROR(__xludf.DUMMYFUNCTION("""COMPUTED_VALUE"""),"Dr. Dendy Satrio, S.ST.")</f>
        <v>Dr. Dendy Satrio, S.ST.</v>
      </c>
      <c r="J64" s="16"/>
      <c r="K64" s="17" t="s">
        <v>1273</v>
      </c>
      <c r="L64" s="23" t="s">
        <v>1272</v>
      </c>
      <c r="M64" s="19" t="b">
        <v>0</v>
      </c>
      <c r="N64" s="19" t="b">
        <v>0</v>
      </c>
      <c r="O64" s="1" t="s">
        <v>1268</v>
      </c>
      <c r="P64" s="1" t="str">
        <f ca="1">IFERROR(__xludf.DUMMYFUNCTION("iferror(vlookup(B64,importrange(""https://docs.google.com/spreadsheets/d/1boHyJQ4e2FU0QG8MHwEi6qjX4hvZWVCHcFfXjq7bbMc/edit?resourcekey#gid=923248883"",""Prop!$C$1:$M""),12,0),IFERROR(vlookup(B64,importrange(""https://docs.google.com/spreadsheets/d/1boHyJQ"&amp;"4e2FU0QG8MHwEi6qjX4hvZWVCHcFfXjq7bbMc/edit?resourcekey#gid=923248883"",""Prop!$N$1:$X""),11,0),iferror(vlookup(B64,importrange(""https://docs.google.com/spreadsheets/d/1boHyJQ4e2FU0QG8MHwEi6qjX4hvZWVCHcFfXjq7bbMc/edit?resourcekey#gid=923248883"",""Prop!$Y"&amp;"$1:$AI""),11,0),iferror(vlookup(B64,importrange(""https://docs.google.com/spreadsheets/d/1boHyJQ4e2FU0QG8MHwEi6qjX4hvZWVCHcFfXjq7bbMc/edit?resourcekey#gid=923248883"",""Prop!$AJ$1:$AT""),11,0),iferror(vlookup(B64,importrange(""https://docs.google.com/spre"&amp;"adsheets/d/1boHyJQ4e2FU0QG8MHwEi6qjX4hvZWVCHcFfXjq7bbMc/edit?resourcekey#gid=923248883"",""Prop!$AU$1:$BE""),11,0),iferror(vlookup(B64,importrange(""https://docs.google.com/spreadsheets/d/1boHyJQ4e2FU0QG8MHwEi6qjX4hvZWVCHcFfXjq7bbMc/edit?resourcekey#gid=9"&amp;"23248883"",""Prop!$BF$1:$BP""),11,0),iferror(vlookup(B64,importrange(""https://docs.google.com/spreadsheets/d/1boHyJQ4e2FU0QG8MHwEi6qjX4hvZWVCHcFfXjq7bbMc/edit?resourcekey#gid=923248883"",""Prop!$BQ$1:$CA""),11,0),iferror(vlookup(B64,importrange(""https:/"&amp;"/docs.google.com/spreadsheets/d/1boHyJQ4e2FU0QG8MHwEi6qjX4hvZWVCHcFfXjq7bbMc/edit?resourcekey#gid=923248883"",""Prop!$CB$1:$CL""),11,0),iferror(vlookup(B64,importrange(""https://docs.google.com/spreadsheets/d/1boHyJQ4e2FU0QG8MHwEi6qjX4hvZWVCHcFfXjq7bbMc/e"&amp;"dit?resourcekey#gid=923248883"",""Prop!$CM$1:$CX""),12,0),iferror(vlookup(B64,importrange(""https://docs.google.com/spreadsheets/d/1boHyJQ4e2FU0QG8MHwEi6qjX4hvZWVCHcFfXjq7bbMc/edit?resourcekey#gid=923248883"",""Prop!$CV$1:$DI""),11,0)))))))))))"),"")</f>
        <v/>
      </c>
      <c r="Q64" s="1" t="str">
        <f ca="1">IFERROR(__xludf.DUMMYFUNCTION("iferror(vlookup(B64,importrange(""https://docs.google.com/spreadsheets/d/1p53T2AuvvIqhP7Nf-bo3Uhj8cbKYRPpZdsrBv3x3bAQ/edit?resourcekey#gid=1321652304"",""Prop!$C$1:$M""),11,0),IFERROR(vlookup(B64,importrange(""https://docs.google.com/spreadsheets/d/1p53T2"&amp;"AuvvIqhP7Nf-bo3Uhj8cbKYRPpZdsrBv3x3bAQ/edit?resourcekey#gid=1321652304"",""Prop!$N$1:$X""),11,0),iferror(vlookup(B64,importrange(""https://docs.google.com/spreadsheets/d/1p53T2AuvvIqhP7Nf-bo3Uhj8cbKYRPpZdsrBv3x3bAQ/edit?resourcekey#gid=1321652304"",""Prop"&amp;"!$Y$1:$AI""),11,0),iferror(vlookup(B64,importrange(""https://docs.google.com/spreadsheets/d/1p53T2AuvvIqhP7Nf-bo3Uhj8cbKYRPpZdsrBv3x3bAQ/edit?resourcekey#gid=1321652304"",""Prop!$AJ$1:$AT""),11,0),iferror(vlookup(B64,importrange(""https://docs.google.com/"&amp;"spreadsheets/d/1p53T2AuvvIqhP7Nf-bo3Uhj8cbKYRPpZdsrBv3x3bAQ/edit?resourcekey#gid=1321652304"",""Prop!$AU$1:$BE""),11,0),iferror(vlookup(B64,importrange(""https://docs.google.com/spreadsheets/d/1p53T2AuvvIqhP7Nf-bo3Uhj8cbKYRPpZdsrBv3x3bAQ/edit?resourcekey#"&amp;"gid=1321652304"",""Prop!$BF$1:$BP""),11,0),iferror(vlookup(B64,importrange(""https://docs.google.com/spreadsheets/d/1p53T2AuvvIqhP7Nf-bo3Uhj8cbKYRPpZdsrBv3x3bAQ/edit?resourcekey#gid=1321652304"",""Prop!$BQ$1:$CA""),11,0),iferror(vlookup(B64,importrange("""&amp;"https://docs.google.com/spreadsheets/d/1p53T2AuvvIqhP7Nf-bo3Uhj8cbKYRPpZdsrBv3x3bAQ/edit?resourcekey#gid=1321652304"",""Prop!$CB$1:$CL""),11,0),iferror(vlookup(B64,importrange(""https://docs.google.com/spreadsheets/d/1p53T2AuvvIqhP7Nf-bo3Uhj8cbKYRPpZdsrBv"&amp;"3x3bAQ/edit?resourcekey#gid=1321652304"",""Prop!$CM$1:$CX""),11,0),iferror(vlookup(B64,importrange(""https://docs.google.com/spreadsheets/d/1p53T2AuvvIqhP7Nf-bo3Uhj8cbKYRPpZdsrBv3x3bAQ/edit?resourcekey#gid=1321652304"",""Prop!$CY$1:$DI""),11,0)))))))))))"),"")</f>
        <v/>
      </c>
      <c r="R64" s="88" t="s">
        <v>1229</v>
      </c>
      <c r="S64" s="20" t="str">
        <f ca="1">IFERROR(__xludf.DUMMYFUNCTION("IFERROR(vlookup(B64,IMPORTRANGE(""https://docs.google.com/spreadsheets/d/1g_jfYYK_KeipEDNDUgqgrsxK94XiocfNQIcP-v1QVhI/edit?resourcekey#gid=233272945"",""Nilai!B:CT""),30,0),"" "")")," ")</f>
        <v xml:space="preserve"> </v>
      </c>
      <c r="T64" s="20" t="str">
        <f ca="1">IFERROR(__xludf.DUMMYFUNCTION("IFERROR(vlookup(B64,IMPORTRANGE(""https://docs.google.com/spreadsheets/d/1g_jfYYK_KeipEDNDUgqgrsxK94XiocfNQIcP-v1QVhI/edit?resourcekey#gid=233272945"",""Nilai!B:CT""),97,0),"" "")")," ")</f>
        <v xml:space="preserve"> </v>
      </c>
      <c r="U64" s="21" t="s">
        <v>1270</v>
      </c>
      <c r="V64" s="70" t="s">
        <v>1265</v>
      </c>
      <c r="W64" s="23" t="s">
        <v>1274</v>
      </c>
      <c r="X64" s="19" t="b">
        <v>0</v>
      </c>
    </row>
    <row r="65" spans="1:24">
      <c r="A65" s="15">
        <v>63</v>
      </c>
      <c r="B65" s="15">
        <f ca="1">IFERROR(__xludf.DUMMYFUNCTION("""COMPUTED_VALUE"""),2426)</f>
        <v>2426</v>
      </c>
      <c r="C65" s="16" t="str">
        <f ca="1">IFERROR(__xludf.DUMMYFUNCTION("""COMPUTED_VALUE"""),"AHMAD HAMAYAN NABIH")</f>
        <v>AHMAD HAMAYAN NABIH</v>
      </c>
      <c r="D65" s="16" t="str">
        <f ca="1">IFERROR(__xludf.DUMMYFUNCTION("""COMPUTED_VALUE"""),"5024201014")</f>
        <v>5024201014</v>
      </c>
      <c r="E65" s="16" t="str">
        <f ca="1">IFERROR(__xludf.DUMMYFUNCTION("""COMPUTED_VALUE"""),"Departemen Teknik Komputer")</f>
        <v>Departemen Teknik Komputer</v>
      </c>
      <c r="F65" s="16" t="str">
        <f ca="1">IFERROR(__xludf.DUMMYFUNCTION("""COMPUTED_VALUE"""),"PEKODOL: Kamera Pendeteksi Kendaraan Over Dimension And Over Loading Menggunakan Artificial Intelligance  ")</f>
        <v xml:space="preserve">PEKODOL: Kamera Pendeteksi Kendaraan Over Dimension And Over Loading Menggunakan Artificial Intelligance  </v>
      </c>
      <c r="G65" s="16" t="str">
        <f ca="1">IFERROR(__xludf.DUMMYFUNCTION("""COMPUTED_VALUE"""),"Reza Fuad Rachmadi, S.T., M.T., Ph.D.")</f>
        <v>Reza Fuad Rachmadi, S.T., M.T., Ph.D.</v>
      </c>
      <c r="H65" s="16" t="str">
        <f ca="1">IFERROR(__xludf.DUMMYFUNCTION("""COMPUTED_VALUE"""),"Mohammad Khoirul Effendi, S.T., M.Sc.Eng., Ph.D.")</f>
        <v>Mohammad Khoirul Effendi, S.T., M.Sc.Eng., Ph.D.</v>
      </c>
      <c r="I65" s="16" t="str">
        <f ca="1">IFERROR(__xludf.DUMMYFUNCTION("""COMPUTED_VALUE"""),"Azzah Dyah Pramata, S.T., M.T., M.Eng., Ph.D.")</f>
        <v>Azzah Dyah Pramata, S.T., M.T., M.Eng., Ph.D.</v>
      </c>
      <c r="J65" s="16"/>
      <c r="K65" s="17" t="s">
        <v>1273</v>
      </c>
      <c r="L65" s="23" t="s">
        <v>1272</v>
      </c>
      <c r="M65" s="19" t="b">
        <v>0</v>
      </c>
      <c r="N65" s="19" t="b">
        <v>0</v>
      </c>
      <c r="O65" s="1" t="s">
        <v>1275</v>
      </c>
      <c r="P65" s="1" t="str">
        <f ca="1">IFERROR(__xludf.DUMMYFUNCTION("iferror(vlookup(B65,importrange(""https://docs.google.com/spreadsheets/d/1boHyJQ4e2FU0QG8MHwEi6qjX4hvZWVCHcFfXjq7bbMc/edit?resourcekey#gid=923248883"",""Prop!$C$1:$M""),12,0),IFERROR(vlookup(B65,importrange(""https://docs.google.com/spreadsheets/d/1boHyJQ"&amp;"4e2FU0QG8MHwEi6qjX4hvZWVCHcFfXjq7bbMc/edit?resourcekey#gid=923248883"",""Prop!$N$1:$X""),11,0),iferror(vlookup(B65,importrange(""https://docs.google.com/spreadsheets/d/1boHyJQ4e2FU0QG8MHwEi6qjX4hvZWVCHcFfXjq7bbMc/edit?resourcekey#gid=923248883"",""Prop!$Y"&amp;"$1:$AI""),11,0),iferror(vlookup(B65,importrange(""https://docs.google.com/spreadsheets/d/1boHyJQ4e2FU0QG8MHwEi6qjX4hvZWVCHcFfXjq7bbMc/edit?resourcekey#gid=923248883"",""Prop!$AJ$1:$AT""),11,0),iferror(vlookup(B65,importrange(""https://docs.google.com/spre"&amp;"adsheets/d/1boHyJQ4e2FU0QG8MHwEi6qjX4hvZWVCHcFfXjq7bbMc/edit?resourcekey#gid=923248883"",""Prop!$AU$1:$BE""),11,0),iferror(vlookup(B65,importrange(""https://docs.google.com/spreadsheets/d/1boHyJQ4e2FU0QG8MHwEi6qjX4hvZWVCHcFfXjq7bbMc/edit?resourcekey#gid=9"&amp;"23248883"",""Prop!$BF$1:$BP""),11,0),iferror(vlookup(B65,importrange(""https://docs.google.com/spreadsheets/d/1boHyJQ4e2FU0QG8MHwEi6qjX4hvZWVCHcFfXjq7bbMc/edit?resourcekey#gid=923248883"",""Prop!$BQ$1:$CA""),11,0),iferror(vlookup(B65,importrange(""https:/"&amp;"/docs.google.com/spreadsheets/d/1boHyJQ4e2FU0QG8MHwEi6qjX4hvZWVCHcFfXjq7bbMc/edit?resourcekey#gid=923248883"",""Prop!$CB$1:$CL""),11,0),iferror(vlookup(B65,importrange(""https://docs.google.com/spreadsheets/d/1boHyJQ4e2FU0QG8MHwEi6qjX4hvZWVCHcFfXjq7bbMc/e"&amp;"dit?resourcekey#gid=923248883"",""Prop!$CM$1:$CX""),12,0),iferror(vlookup(B65,importrange(""https://docs.google.com/spreadsheets/d/1boHyJQ4e2FU0QG8MHwEi6qjX4hvZWVCHcFfXjq7bbMc/edit?resourcekey#gid=923248883"",""Prop!$CV$1:$DI""),11,0)))))))))))"),"")</f>
        <v/>
      </c>
      <c r="Q65" s="7" t="str">
        <f ca="1">IFERROR(__xludf.DUMMYFUNCTION("iferror(vlookup(B65,importrange(""https://docs.google.com/spreadsheets/d/1p53T2AuvvIqhP7Nf-bo3Uhj8cbKYRPpZdsrBv3x3bAQ/edit?resourcekey#gid=1321652304"",""Prop!$C$1:$M""),11,0),IFERROR(vlookup(B65,importrange(""https://docs.google.com/spreadsheets/d/1p53T2"&amp;"AuvvIqhP7Nf-bo3Uhj8cbKYRPpZdsrBv3x3bAQ/edit?resourcekey#gid=1321652304"",""Prop!$N$1:$X""),11,0),iferror(vlookup(B65,importrange(""https://docs.google.com/spreadsheets/d/1p53T2AuvvIqhP7Nf-bo3Uhj8cbKYRPpZdsrBv3x3bAQ/edit?resourcekey#gid=1321652304"",""Prop"&amp;"!$Y$1:$AI""),11,0),iferror(vlookup(B65,importrange(""https://docs.google.com/spreadsheets/d/1p53T2AuvvIqhP7Nf-bo3Uhj8cbKYRPpZdsrBv3x3bAQ/edit?resourcekey#gid=1321652304"",""Prop!$AJ$1:$AT""),11,0),iferror(vlookup(B65,importrange(""https://docs.google.com/"&amp;"spreadsheets/d/1p53T2AuvvIqhP7Nf-bo3Uhj8cbKYRPpZdsrBv3x3bAQ/edit?resourcekey#gid=1321652304"",""Prop!$AU$1:$BE""),11,0),iferror(vlookup(B65,importrange(""https://docs.google.com/spreadsheets/d/1p53T2AuvvIqhP7Nf-bo3Uhj8cbKYRPpZdsrBv3x3bAQ/edit?resourcekey#"&amp;"gid=1321652304"",""Prop!$BF$1:$BP""),11,0),iferror(vlookup(B65,importrange(""https://docs.google.com/spreadsheets/d/1p53T2AuvvIqhP7Nf-bo3Uhj8cbKYRPpZdsrBv3x3bAQ/edit?resourcekey#gid=1321652304"",""Prop!$BQ$1:$CA""),11,0),iferror(vlookup(B65,importrange("""&amp;"https://docs.google.com/spreadsheets/d/1p53T2AuvvIqhP7Nf-bo3Uhj8cbKYRPpZdsrBv3x3bAQ/edit?resourcekey#gid=1321652304"",""Prop!$CB$1:$CL""),11,0),iferror(vlookup(B65,importrange(""https://docs.google.com/spreadsheets/d/1p53T2AuvvIqhP7Nf-bo3Uhj8cbKYRPpZdsrBv"&amp;"3x3bAQ/edit?resourcekey#gid=1321652304"",""Prop!$CM$1:$CX""),11,0),iferror(vlookup(B65,importrange(""https://docs.google.com/spreadsheets/d/1p53T2AuvvIqhP7Nf-bo3Uhj8cbKYRPpZdsrBv3x3bAQ/edit?resourcekey#gid=1321652304"",""Prop!$CY$1:$DI""),11,0)))))))))))"),"https://drive.google.com/open?id=1l9mlKDrGz2LASMvposRbU3VuSMhTax_3")</f>
        <v>https://drive.google.com/open?id=1l9mlKDrGz2LASMvposRbU3VuSMhTax_3</v>
      </c>
      <c r="R65" s="88" t="s">
        <v>1229</v>
      </c>
      <c r="S65" s="20" t="str">
        <f ca="1">IFERROR(__xludf.DUMMYFUNCTION("IFERROR(vlookup(B65,IMPORTRANGE(""https://docs.google.com/spreadsheets/d/1g_jfYYK_KeipEDNDUgqgrsxK94XiocfNQIcP-v1QVhI/edit?resourcekey#gid=233272945"",""Nilai!B:CT""),30,0),"" "")"),"Permasalahan no 2 akan sulit diuji karena tidak dapat diukur secara kuantitatif.")</f>
        <v>Permasalahan no 2 akan sulit diuji karena tidak dapat diukur secara kuantitatif.</v>
      </c>
      <c r="T65" s="20" t="str">
        <f ca="1">IFERROR(__xludf.DUMMYFUNCTION("IFERROR(vlookup(B65,IMPORTRANGE(""https://docs.google.com/spreadsheets/d/1g_jfYYK_KeipEDNDUgqgrsxK94XiocfNQIcP-v1QVhI/edit?resourcekey#gid=233272945"",""Nilai!B:CT""),97,0),"" "")"),"LAYAK UPLOAD KE SIMBELMAWA DENGAN REVISI")</f>
        <v>LAYAK UPLOAD KE SIMBELMAWA DENGAN REVISI</v>
      </c>
      <c r="U65" s="21" t="s">
        <v>1270</v>
      </c>
      <c r="V65" s="70" t="s">
        <v>1265</v>
      </c>
      <c r="W65" s="23" t="s">
        <v>1274</v>
      </c>
      <c r="X65" s="19" t="b">
        <v>1</v>
      </c>
    </row>
    <row r="66" spans="1:24">
      <c r="A66" s="15">
        <v>64</v>
      </c>
      <c r="B66" s="15">
        <f ca="1">IFERROR(__xludf.DUMMYFUNCTION("""COMPUTED_VALUE"""),2263)</f>
        <v>2263</v>
      </c>
      <c r="C66" s="16" t="str">
        <f ca="1">IFERROR(__xludf.DUMMYFUNCTION("""COMPUTED_VALUE"""),"FAIZAL GILANG MARETA")</f>
        <v>FAIZAL GILANG MARETA</v>
      </c>
      <c r="D66" s="16" t="str">
        <f ca="1">IFERROR(__xludf.DUMMYFUNCTION("""COMPUTED_VALUE"""),"2040201098")</f>
        <v>2040201098</v>
      </c>
      <c r="E66" s="16" t="str">
        <f ca="1">IFERROR(__xludf.DUMMYFUNCTION("""COMPUTED_VALUE"""),"Departemen Teknik Elektro Otomasi")</f>
        <v>Departemen Teknik Elektro Otomasi</v>
      </c>
      <c r="F66" s="16" t="str">
        <f ca="1">IFERROR(__xludf.DUMMYFUNCTION("""COMPUTED_VALUE"""),"Petobar-C  : Pedestrian Automatic Barrier Controlled Crossing Dilengkapi Fitur Penghitung Durasi Palang Untuk Pejalan Kaki")</f>
        <v>Petobar-C  : Pedestrian Automatic Barrier Controlled Crossing Dilengkapi Fitur Penghitung Durasi Palang Untuk Pejalan Kaki</v>
      </c>
      <c r="G66" s="16" t="str">
        <f ca="1">IFERROR(__xludf.DUMMYFUNCTION("""COMPUTED_VALUE"""),"Ir. Joko Susila, MT.")</f>
        <v>Ir. Joko Susila, MT.</v>
      </c>
      <c r="H66" s="16" t="str">
        <f ca="1">IFERROR(__xludf.DUMMYFUNCTION("""COMPUTED_VALUE"""),"Sefi Novendra Patrialova, S.Si., M.T")</f>
        <v>Sefi Novendra Patrialova, S.Si., M.T</v>
      </c>
      <c r="I66" s="16" t="str">
        <f ca="1">IFERROR(__xludf.DUMMYFUNCTION("""COMPUTED_VALUE"""),"Yasmin Zainul Mochtar, S.T., M.A.")</f>
        <v>Yasmin Zainul Mochtar, S.T., M.A.</v>
      </c>
      <c r="J66" s="16"/>
      <c r="K66" s="17" t="s">
        <v>1273</v>
      </c>
      <c r="L66" s="23" t="s">
        <v>1272</v>
      </c>
      <c r="M66" s="19" t="b">
        <v>1</v>
      </c>
      <c r="N66" s="19" t="b">
        <v>1</v>
      </c>
      <c r="O66" s="1" t="s">
        <v>1275</v>
      </c>
      <c r="P66" s="7" t="str">
        <f ca="1">IFERROR(__xludf.DUMMYFUNCTION("iferror(vlookup(B66,importrange(""https://docs.google.com/spreadsheets/d/1boHyJQ4e2FU0QG8MHwEi6qjX4hvZWVCHcFfXjq7bbMc/edit?resourcekey#gid=923248883"",""Prop!$C$1:$M""),12,0),IFERROR(vlookup(B66,importrange(""https://docs.google.com/spreadsheets/d/1boHyJQ"&amp;"4e2FU0QG8MHwEi6qjX4hvZWVCHcFfXjq7bbMc/edit?resourcekey#gid=923248883"",""Prop!$N$1:$X""),11,0),iferror(vlookup(B66,importrange(""https://docs.google.com/spreadsheets/d/1boHyJQ4e2FU0QG8MHwEi6qjX4hvZWVCHcFfXjq7bbMc/edit?resourcekey#gid=923248883"",""Prop!$Y"&amp;"$1:$AI""),11,0),iferror(vlookup(B66,importrange(""https://docs.google.com/spreadsheets/d/1boHyJQ4e2FU0QG8MHwEi6qjX4hvZWVCHcFfXjq7bbMc/edit?resourcekey#gid=923248883"",""Prop!$AJ$1:$AT""),11,0),iferror(vlookup(B66,importrange(""https://docs.google.com/spre"&amp;"adsheets/d/1boHyJQ4e2FU0QG8MHwEi6qjX4hvZWVCHcFfXjq7bbMc/edit?resourcekey#gid=923248883"",""Prop!$AU$1:$BE""),11,0),iferror(vlookup(B66,importrange(""https://docs.google.com/spreadsheets/d/1boHyJQ4e2FU0QG8MHwEi6qjX4hvZWVCHcFfXjq7bbMc/edit?resourcekey#gid=9"&amp;"23248883"",""Prop!$BF$1:$BP""),11,0),iferror(vlookup(B66,importrange(""https://docs.google.com/spreadsheets/d/1boHyJQ4e2FU0QG8MHwEi6qjX4hvZWVCHcFfXjq7bbMc/edit?resourcekey#gid=923248883"",""Prop!$BQ$1:$CA""),11,0),iferror(vlookup(B66,importrange(""https:/"&amp;"/docs.google.com/spreadsheets/d/1boHyJQ4e2FU0QG8MHwEi6qjX4hvZWVCHcFfXjq7bbMc/edit?resourcekey#gid=923248883"",""Prop!$CB$1:$CL""),11,0),iferror(vlookup(B66,importrange(""https://docs.google.com/spreadsheets/d/1boHyJQ4e2FU0QG8MHwEi6qjX4hvZWVCHcFfXjq7bbMc/e"&amp;"dit?resourcekey#gid=923248883"",""Prop!$CM$1:$CX""),12,0),iferror(vlookup(B66,importrange(""https://docs.google.com/spreadsheets/d/1boHyJQ4e2FU0QG8MHwEi6qjX4hvZWVCHcFfXjq7bbMc/edit?resourcekey#gid=923248883"",""Prop!$CV$1:$DI""),11,0)))))))))))"),"https://drive.google.com/open?id=10vu0zs4iasCQBSVrXYdiSJgm3RFRgDuJ")</f>
        <v>https://drive.google.com/open?id=10vu0zs4iasCQBSVrXYdiSJgm3RFRgDuJ</v>
      </c>
      <c r="Q66" s="7" t="str">
        <f ca="1">IFERROR(__xludf.DUMMYFUNCTION("iferror(vlookup(B66,importrange(""https://docs.google.com/spreadsheets/d/1p53T2AuvvIqhP7Nf-bo3Uhj8cbKYRPpZdsrBv3x3bAQ/edit?resourcekey#gid=1321652304"",""Prop!$C$1:$M""),11,0),IFERROR(vlookup(B66,importrange(""https://docs.google.com/spreadsheets/d/1p53T2"&amp;"AuvvIqhP7Nf-bo3Uhj8cbKYRPpZdsrBv3x3bAQ/edit?resourcekey#gid=1321652304"",""Prop!$N$1:$X""),11,0),iferror(vlookup(B66,importrange(""https://docs.google.com/spreadsheets/d/1p53T2AuvvIqhP7Nf-bo3Uhj8cbKYRPpZdsrBv3x3bAQ/edit?resourcekey#gid=1321652304"",""Prop"&amp;"!$Y$1:$AI""),11,0),iferror(vlookup(B66,importrange(""https://docs.google.com/spreadsheets/d/1p53T2AuvvIqhP7Nf-bo3Uhj8cbKYRPpZdsrBv3x3bAQ/edit?resourcekey#gid=1321652304"",""Prop!$AJ$1:$AT""),11,0),iferror(vlookup(B66,importrange(""https://docs.google.com/"&amp;"spreadsheets/d/1p53T2AuvvIqhP7Nf-bo3Uhj8cbKYRPpZdsrBv3x3bAQ/edit?resourcekey#gid=1321652304"",""Prop!$AU$1:$BE""),11,0),iferror(vlookup(B66,importrange(""https://docs.google.com/spreadsheets/d/1p53T2AuvvIqhP7Nf-bo3Uhj8cbKYRPpZdsrBv3x3bAQ/edit?resourcekey#"&amp;"gid=1321652304"",""Prop!$BF$1:$BP""),11,0),iferror(vlookup(B66,importrange(""https://docs.google.com/spreadsheets/d/1p53T2AuvvIqhP7Nf-bo3Uhj8cbKYRPpZdsrBv3x3bAQ/edit?resourcekey#gid=1321652304"",""Prop!$BQ$1:$CA""),11,0),iferror(vlookup(B66,importrange("""&amp;"https://docs.google.com/spreadsheets/d/1p53T2AuvvIqhP7Nf-bo3Uhj8cbKYRPpZdsrBv3x3bAQ/edit?resourcekey#gid=1321652304"",""Prop!$CB$1:$CL""),11,0),iferror(vlookup(B66,importrange(""https://docs.google.com/spreadsheets/d/1p53T2AuvvIqhP7Nf-bo3Uhj8cbKYRPpZdsrBv"&amp;"3x3bAQ/edit?resourcekey#gid=1321652304"",""Prop!$CM$1:$CX""),11,0),iferror(vlookup(B66,importrange(""https://docs.google.com/spreadsheets/d/1p53T2AuvvIqhP7Nf-bo3Uhj8cbKYRPpZdsrBv3x3bAQ/edit?resourcekey#gid=1321652304"",""Prop!$CY$1:$DI""),11,0)))))))))))"),"https://drive.google.com/open?id=1cEN5g73cJjkY2T2w6AAhjDb3T2NTovh9")</f>
        <v>https://drive.google.com/open?id=1cEN5g73cJjkY2T2w6AAhjDb3T2NTovh9</v>
      </c>
      <c r="R66" s="88" t="s">
        <v>1229</v>
      </c>
      <c r="S66" s="20" t="str">
        <f ca="1">IFERROR(__xludf.DUMMYFUNCTION("IFERROR(vlookup(B66,IMPORTRANGE(""https://docs.google.com/spreadsheets/d/1g_jfYYK_KeipEDNDUgqgrsxK94XiocfNQIcP-v1QVhI/edit?resourcekey#gid=233272945"",""Nilai!B:CT""),30,0),"" "")"),"Penulisan permasalahan tidak tepat karena semuanya bersifat kualitatif.")</f>
        <v>Penulisan permasalahan tidak tepat karena semuanya bersifat kualitatif.</v>
      </c>
      <c r="T66" s="20" t="str">
        <f ca="1">IFERROR(__xludf.DUMMYFUNCTION("IFERROR(vlookup(B66,IMPORTRANGE(""https://docs.google.com/spreadsheets/d/1g_jfYYK_KeipEDNDUgqgrsxK94XiocfNQIcP-v1QVhI/edit?resourcekey#gid=233272945"",""Nilai!B:CT""),97,0),"" "")"),"TIDAK LAYAK UPLOAD KE SIMBELMAWA")</f>
        <v>TIDAK LAYAK UPLOAD KE SIMBELMAWA</v>
      </c>
      <c r="U66" s="21" t="s">
        <v>1270</v>
      </c>
      <c r="V66" s="70" t="s">
        <v>1265</v>
      </c>
      <c r="W66" s="23" t="s">
        <v>1269</v>
      </c>
      <c r="X66" s="19" t="b">
        <v>1</v>
      </c>
    </row>
    <row r="67" spans="1:24">
      <c r="A67" s="15">
        <v>65</v>
      </c>
      <c r="B67" s="15">
        <f ca="1">IFERROR(__xludf.DUMMYFUNCTION("""COMPUTED_VALUE"""),2045)</f>
        <v>2045</v>
      </c>
      <c r="C67" s="16" t="str">
        <f ca="1">IFERROR(__xludf.DUMMYFUNCTION("""COMPUTED_VALUE"""),"Nafila Cahya Andanis")</f>
        <v>Nafila Cahya Andanis</v>
      </c>
      <c r="D67" s="16" t="str">
        <f ca="1">IFERROR(__xludf.DUMMYFUNCTION("""COMPUTED_VALUE"""),"07311940000020")</f>
        <v>07311940000020</v>
      </c>
      <c r="E67" s="16" t="str">
        <f ca="1">IFERROR(__xludf.DUMMYFUNCTION("""COMPUTED_VALUE"""),"Departemen Teknik Biomedik")</f>
        <v>Departemen Teknik Biomedik</v>
      </c>
      <c r="F67" s="16" t="str">
        <f ca="1">IFERROR(__xludf.DUMMYFUNCTION("""COMPUTED_VALUE"""),"NonCor : Non-Invasive Cholesterol Detector yang Bekerja Secara Real Time dengan Memanfaatkan Serapan Sinar Near Infra Red (NIR)")</f>
        <v>NonCor : Non-Invasive Cholesterol Detector yang Bekerja Secara Real Time dengan Memanfaatkan Serapan Sinar Near Infra Red (NIR)</v>
      </c>
      <c r="G67" s="16" t="str">
        <f ca="1">IFERROR(__xludf.DUMMYFUNCTION("""COMPUTED_VALUE"""),"Eko Agus Suprayitno, S.Si., M.T.")</f>
        <v>Eko Agus Suprayitno, S.Si., M.T.</v>
      </c>
      <c r="H67" s="16" t="str">
        <f ca="1">IFERROR(__xludf.DUMMYFUNCTION("""COMPUTED_VALUE"""),"Dr.Eng. Chastine Fatichah, S.Kom., M.Kom.")</f>
        <v>Dr.Eng. Chastine Fatichah, S.Kom., M.Kom.</v>
      </c>
      <c r="I67" s="16" t="str">
        <f ca="1">IFERROR(__xludf.DUMMYFUNCTION("""COMPUTED_VALUE"""),"Rudy Dikairono, ST., M.T.")</f>
        <v>Rudy Dikairono, ST., M.T.</v>
      </c>
      <c r="J67" s="16"/>
      <c r="K67" s="17" t="s">
        <v>1273</v>
      </c>
      <c r="L67" s="23" t="s">
        <v>1276</v>
      </c>
      <c r="M67" s="19" t="b">
        <v>0</v>
      </c>
      <c r="N67" s="19" t="b">
        <v>0</v>
      </c>
      <c r="O67" s="1" t="s">
        <v>1275</v>
      </c>
      <c r="P67" s="1" t="str">
        <f ca="1">IFERROR(__xludf.DUMMYFUNCTION("iferror(vlookup(B67,importrange(""https://docs.google.com/spreadsheets/d/1boHyJQ4e2FU0QG8MHwEi6qjX4hvZWVCHcFfXjq7bbMc/edit?resourcekey#gid=923248883"",""Prop!$C$1:$M""),12,0),IFERROR(vlookup(B67,importrange(""https://docs.google.com/spreadsheets/d/1boHyJQ"&amp;"4e2FU0QG8MHwEi6qjX4hvZWVCHcFfXjq7bbMc/edit?resourcekey#gid=923248883"",""Prop!$N$1:$X""),11,0),iferror(vlookup(B67,importrange(""https://docs.google.com/spreadsheets/d/1boHyJQ4e2FU0QG8MHwEi6qjX4hvZWVCHcFfXjq7bbMc/edit?resourcekey#gid=923248883"",""Prop!$Y"&amp;"$1:$AI""),11,0),iferror(vlookup(B67,importrange(""https://docs.google.com/spreadsheets/d/1boHyJQ4e2FU0QG8MHwEi6qjX4hvZWVCHcFfXjq7bbMc/edit?resourcekey#gid=923248883"",""Prop!$AJ$1:$AT""),11,0),iferror(vlookup(B67,importrange(""https://docs.google.com/spre"&amp;"adsheets/d/1boHyJQ4e2FU0QG8MHwEi6qjX4hvZWVCHcFfXjq7bbMc/edit?resourcekey#gid=923248883"",""Prop!$AU$1:$BE""),11,0),iferror(vlookup(B67,importrange(""https://docs.google.com/spreadsheets/d/1boHyJQ4e2FU0QG8MHwEi6qjX4hvZWVCHcFfXjq7bbMc/edit?resourcekey#gid=9"&amp;"23248883"",""Prop!$BF$1:$BP""),11,0),iferror(vlookup(B67,importrange(""https://docs.google.com/spreadsheets/d/1boHyJQ4e2FU0QG8MHwEi6qjX4hvZWVCHcFfXjq7bbMc/edit?resourcekey#gid=923248883"",""Prop!$BQ$1:$CA""),11,0),iferror(vlookup(B67,importrange(""https:/"&amp;"/docs.google.com/spreadsheets/d/1boHyJQ4e2FU0QG8MHwEi6qjX4hvZWVCHcFfXjq7bbMc/edit?resourcekey#gid=923248883"",""Prop!$CB$1:$CL""),11,0),iferror(vlookup(B67,importrange(""https://docs.google.com/spreadsheets/d/1boHyJQ4e2FU0QG8MHwEi6qjX4hvZWVCHcFfXjq7bbMc/e"&amp;"dit?resourcekey#gid=923248883"",""Prop!$CM$1:$CX""),12,0),iferror(vlookup(B67,importrange(""https://docs.google.com/spreadsheets/d/1boHyJQ4e2FU0QG8MHwEi6qjX4hvZWVCHcFfXjq7bbMc/edit?resourcekey#gid=923248883"",""Prop!$CV$1:$DI""),11,0)))))))))))"),"")</f>
        <v/>
      </c>
      <c r="Q67" s="1" t="str">
        <f ca="1">IFERROR(__xludf.DUMMYFUNCTION("iferror(vlookup(B67,importrange(""https://docs.google.com/spreadsheets/d/1p53T2AuvvIqhP7Nf-bo3Uhj8cbKYRPpZdsrBv3x3bAQ/edit?resourcekey#gid=1321652304"",""Prop!$C$1:$M""),11,0),IFERROR(vlookup(B67,importrange(""https://docs.google.com/spreadsheets/d/1p53T2"&amp;"AuvvIqhP7Nf-bo3Uhj8cbKYRPpZdsrBv3x3bAQ/edit?resourcekey#gid=1321652304"",""Prop!$N$1:$X""),11,0),iferror(vlookup(B67,importrange(""https://docs.google.com/spreadsheets/d/1p53T2AuvvIqhP7Nf-bo3Uhj8cbKYRPpZdsrBv3x3bAQ/edit?resourcekey#gid=1321652304"",""Prop"&amp;"!$Y$1:$AI""),11,0),iferror(vlookup(B67,importrange(""https://docs.google.com/spreadsheets/d/1p53T2AuvvIqhP7Nf-bo3Uhj8cbKYRPpZdsrBv3x3bAQ/edit?resourcekey#gid=1321652304"",""Prop!$AJ$1:$AT""),11,0),iferror(vlookup(B67,importrange(""https://docs.google.com/"&amp;"spreadsheets/d/1p53T2AuvvIqhP7Nf-bo3Uhj8cbKYRPpZdsrBv3x3bAQ/edit?resourcekey#gid=1321652304"",""Prop!$AU$1:$BE""),11,0),iferror(vlookup(B67,importrange(""https://docs.google.com/spreadsheets/d/1p53T2AuvvIqhP7Nf-bo3Uhj8cbKYRPpZdsrBv3x3bAQ/edit?resourcekey#"&amp;"gid=1321652304"",""Prop!$BF$1:$BP""),11,0),iferror(vlookup(B67,importrange(""https://docs.google.com/spreadsheets/d/1p53T2AuvvIqhP7Nf-bo3Uhj8cbKYRPpZdsrBv3x3bAQ/edit?resourcekey#gid=1321652304"",""Prop!$BQ$1:$CA""),11,0),iferror(vlookup(B67,importrange("""&amp;"https://docs.google.com/spreadsheets/d/1p53T2AuvvIqhP7Nf-bo3Uhj8cbKYRPpZdsrBv3x3bAQ/edit?resourcekey#gid=1321652304"",""Prop!$CB$1:$CL""),11,0),iferror(vlookup(B67,importrange(""https://docs.google.com/spreadsheets/d/1p53T2AuvvIqhP7Nf-bo3Uhj8cbKYRPpZdsrBv"&amp;"3x3bAQ/edit?resourcekey#gid=1321652304"",""Prop!$CM$1:$CX""),11,0),iferror(vlookup(B67,importrange(""https://docs.google.com/spreadsheets/d/1p53T2AuvvIqhP7Nf-bo3Uhj8cbKYRPpZdsrBv3x3bAQ/edit?resourcekey#gid=1321652304"",""Prop!$CY$1:$DI""),11,0)))))))))))"),"")</f>
        <v/>
      </c>
      <c r="R67" s="88" t="s">
        <v>1229</v>
      </c>
      <c r="S67" s="20" t="str">
        <f ca="1">IFERROR(__xludf.DUMMYFUNCTION("IFERROR(vlookup(B67,IMPORTRANGE(""https://docs.google.com/spreadsheets/d/1g_jfYYK_KeipEDNDUgqgrsxK94XiocfNQIcP-v1QVhI/edit?resourcekey#gid=233272945"",""Nilai!B:CT""),30,0),"" "")")," ")</f>
        <v xml:space="preserve"> </v>
      </c>
      <c r="T67" s="20" t="str">
        <f ca="1">IFERROR(__xludf.DUMMYFUNCTION("IFERROR(vlookup(B67,IMPORTRANGE(""https://docs.google.com/spreadsheets/d/1g_jfYYK_KeipEDNDUgqgrsxK94XiocfNQIcP-v1QVhI/edit?resourcekey#gid=233272945"",""Nilai!B:CT""),97,0),"" "")")," ")</f>
        <v xml:space="preserve"> </v>
      </c>
      <c r="U67" s="21" t="s">
        <v>1270</v>
      </c>
      <c r="V67" s="70" t="s">
        <v>1265</v>
      </c>
      <c r="W67" s="23" t="s">
        <v>1269</v>
      </c>
      <c r="X67" s="19" t="b">
        <v>0</v>
      </c>
    </row>
    <row r="68" spans="1:24">
      <c r="A68" s="15">
        <v>66</v>
      </c>
      <c r="B68" s="15">
        <f ca="1">IFERROR(__xludf.DUMMYFUNCTION("""COMPUTED_VALUE"""),3383)</f>
        <v>3383</v>
      </c>
      <c r="C68" s="16" t="str">
        <f ca="1">IFERROR(__xludf.DUMMYFUNCTION("""COMPUTED_VALUE"""),"NUR MUHAMMAD AINUL YAQIN")</f>
        <v>NUR MUHAMMAD AINUL YAQIN</v>
      </c>
      <c r="D68" s="16" t="str">
        <f ca="1">IFERROR(__xludf.DUMMYFUNCTION("""COMPUTED_VALUE"""),"5025201011")</f>
        <v>5025201011</v>
      </c>
      <c r="E68" s="16" t="str">
        <f ca="1">IFERROR(__xludf.DUMMYFUNCTION("""COMPUTED_VALUE"""),"Departemen Teknik Informatika")</f>
        <v>Departemen Teknik Informatika</v>
      </c>
      <c r="F68" s="16" t="str">
        <f ca="1">IFERROR(__xludf.DUMMYFUNCTION("""COMPUTED_VALUE"""),"Eca: Early Career Platform dalam Bentuk Smart e-Learning dan Recruiting sebagai Pijakan Awal Mahasiswa dan Pelajar SMA/sederajat sebagai IT Developer")</f>
        <v>Eca: Early Career Platform dalam Bentuk Smart e-Learning dan Recruiting sebagai Pijakan Awal Mahasiswa dan Pelajar SMA/sederajat sebagai IT Developer</v>
      </c>
      <c r="G68" s="16" t="str">
        <f ca="1">IFERROR(__xludf.DUMMYFUNCTION("""COMPUTED_VALUE"""),"Agus Budi Raharjo, S.Kom., M.Kom., Ph.D.")</f>
        <v>Agus Budi Raharjo, S.Kom., M.Kom., Ph.D.</v>
      </c>
      <c r="H68" s="16" t="str">
        <f ca="1">IFERROR(__xludf.DUMMYFUNCTION("""COMPUTED_VALUE"""),"Sefi Novendra Patrialova, S.Si., M.T")</f>
        <v>Sefi Novendra Patrialova, S.Si., M.T</v>
      </c>
      <c r="I68" s="16" t="str">
        <f ca="1">IFERROR(__xludf.DUMMYFUNCTION("""COMPUTED_VALUE"""),"Indra Ranu Kusuma, S.T., M.Sc.")</f>
        <v>Indra Ranu Kusuma, S.T., M.Sc.</v>
      </c>
      <c r="J68" s="16"/>
      <c r="K68" s="17" t="s">
        <v>1273</v>
      </c>
      <c r="L68" s="23" t="s">
        <v>1276</v>
      </c>
      <c r="M68" s="19" t="b">
        <v>1</v>
      </c>
      <c r="N68" s="19" t="b">
        <v>1</v>
      </c>
      <c r="O68" s="1" t="s">
        <v>1275</v>
      </c>
      <c r="P68" s="7" t="str">
        <f ca="1">IFERROR(__xludf.DUMMYFUNCTION("iferror(vlookup(B68,importrange(""https://docs.google.com/spreadsheets/d/1boHyJQ4e2FU0QG8MHwEi6qjX4hvZWVCHcFfXjq7bbMc/edit?resourcekey#gid=923248883"",""Prop!$C$1:$M""),12,0),IFERROR(vlookup(B68,importrange(""https://docs.google.com/spreadsheets/d/1boHyJQ"&amp;"4e2FU0QG8MHwEi6qjX4hvZWVCHcFfXjq7bbMc/edit?resourcekey#gid=923248883"",""Prop!$N$1:$X""),11,0),iferror(vlookup(B68,importrange(""https://docs.google.com/spreadsheets/d/1boHyJQ4e2FU0QG8MHwEi6qjX4hvZWVCHcFfXjq7bbMc/edit?resourcekey#gid=923248883"",""Prop!$Y"&amp;"$1:$AI""),11,0),iferror(vlookup(B68,importrange(""https://docs.google.com/spreadsheets/d/1boHyJQ4e2FU0QG8MHwEi6qjX4hvZWVCHcFfXjq7bbMc/edit?resourcekey#gid=923248883"",""Prop!$AJ$1:$AT""),11,0),iferror(vlookup(B68,importrange(""https://docs.google.com/spre"&amp;"adsheets/d/1boHyJQ4e2FU0QG8MHwEi6qjX4hvZWVCHcFfXjq7bbMc/edit?resourcekey#gid=923248883"",""Prop!$AU$1:$BE""),11,0),iferror(vlookup(B68,importrange(""https://docs.google.com/spreadsheets/d/1boHyJQ4e2FU0QG8MHwEi6qjX4hvZWVCHcFfXjq7bbMc/edit?resourcekey#gid=9"&amp;"23248883"",""Prop!$BF$1:$BP""),11,0),iferror(vlookup(B68,importrange(""https://docs.google.com/spreadsheets/d/1boHyJQ4e2FU0QG8MHwEi6qjX4hvZWVCHcFfXjq7bbMc/edit?resourcekey#gid=923248883"",""Prop!$BQ$1:$CA""),11,0),iferror(vlookup(B68,importrange(""https:/"&amp;"/docs.google.com/spreadsheets/d/1boHyJQ4e2FU0QG8MHwEi6qjX4hvZWVCHcFfXjq7bbMc/edit?resourcekey#gid=923248883"",""Prop!$CB$1:$CL""),11,0),iferror(vlookup(B68,importrange(""https://docs.google.com/spreadsheets/d/1boHyJQ4e2FU0QG8MHwEi6qjX4hvZWVCHcFfXjq7bbMc/e"&amp;"dit?resourcekey#gid=923248883"",""Prop!$CM$1:$CX""),12,0),iferror(vlookup(B68,importrange(""https://docs.google.com/spreadsheets/d/1boHyJQ4e2FU0QG8MHwEi6qjX4hvZWVCHcFfXjq7bbMc/edit?resourcekey#gid=923248883"",""Prop!$CV$1:$DI""),11,0)))))))))))"),"https://drive.google.com/open?id=1tjXDWZYr-CtglmCHPUpWSucybpMh--1N")</f>
        <v>https://drive.google.com/open?id=1tjXDWZYr-CtglmCHPUpWSucybpMh--1N</v>
      </c>
      <c r="Q68" s="7" t="str">
        <f ca="1">IFERROR(__xludf.DUMMYFUNCTION("iferror(vlookup(B68,importrange(""https://docs.google.com/spreadsheets/d/1p53T2AuvvIqhP7Nf-bo3Uhj8cbKYRPpZdsrBv3x3bAQ/edit?resourcekey#gid=1321652304"",""Prop!$C$1:$M""),11,0),IFERROR(vlookup(B68,importrange(""https://docs.google.com/spreadsheets/d/1p53T2"&amp;"AuvvIqhP7Nf-bo3Uhj8cbKYRPpZdsrBv3x3bAQ/edit?resourcekey#gid=1321652304"",""Prop!$N$1:$X""),11,0),iferror(vlookup(B68,importrange(""https://docs.google.com/spreadsheets/d/1p53T2AuvvIqhP7Nf-bo3Uhj8cbKYRPpZdsrBv3x3bAQ/edit?resourcekey#gid=1321652304"",""Prop"&amp;"!$Y$1:$AI""),11,0),iferror(vlookup(B68,importrange(""https://docs.google.com/spreadsheets/d/1p53T2AuvvIqhP7Nf-bo3Uhj8cbKYRPpZdsrBv3x3bAQ/edit?resourcekey#gid=1321652304"",""Prop!$AJ$1:$AT""),11,0),iferror(vlookup(B68,importrange(""https://docs.google.com/"&amp;"spreadsheets/d/1p53T2AuvvIqhP7Nf-bo3Uhj8cbKYRPpZdsrBv3x3bAQ/edit?resourcekey#gid=1321652304"",""Prop!$AU$1:$BE""),11,0),iferror(vlookup(B68,importrange(""https://docs.google.com/spreadsheets/d/1p53T2AuvvIqhP7Nf-bo3Uhj8cbKYRPpZdsrBv3x3bAQ/edit?resourcekey#"&amp;"gid=1321652304"",""Prop!$BF$1:$BP""),11,0),iferror(vlookup(B68,importrange(""https://docs.google.com/spreadsheets/d/1p53T2AuvvIqhP7Nf-bo3Uhj8cbKYRPpZdsrBv3x3bAQ/edit?resourcekey#gid=1321652304"",""Prop!$BQ$1:$CA""),11,0),iferror(vlookup(B68,importrange("""&amp;"https://docs.google.com/spreadsheets/d/1p53T2AuvvIqhP7Nf-bo3Uhj8cbKYRPpZdsrBv3x3bAQ/edit?resourcekey#gid=1321652304"",""Prop!$CB$1:$CL""),11,0),iferror(vlookup(B68,importrange(""https://docs.google.com/spreadsheets/d/1p53T2AuvvIqhP7Nf-bo3Uhj8cbKYRPpZdsrBv"&amp;"3x3bAQ/edit?resourcekey#gid=1321652304"",""Prop!$CM$1:$CX""),11,0),iferror(vlookup(B68,importrange(""https://docs.google.com/spreadsheets/d/1p53T2AuvvIqhP7Nf-bo3Uhj8cbKYRPpZdsrBv3x3bAQ/edit?resourcekey#gid=1321652304"",""Prop!$CY$1:$DI""),11,0)))))))))))"),"https://drive.google.com/open?id=1kCPvoHTJuJhJZk12gpDDz6Y1B2vKjeR_")</f>
        <v>https://drive.google.com/open?id=1kCPvoHTJuJhJZk12gpDDz6Y1B2vKjeR_</v>
      </c>
      <c r="R68" s="88" t="s">
        <v>1229</v>
      </c>
      <c r="S68" s="20" t="str">
        <f ca="1">IFERROR(__xludf.DUMMYFUNCTION("IFERROR(vlookup(B68,IMPORTRANGE(""https://docs.google.com/spreadsheets/d/1g_jfYYK_KeipEDNDUgqgrsxK94XiocfNQIcP-v1QVhI/edit?resourcekey#gid=233272945"",""Nilai!B:CT""),30,0),"" "")"),"Pembeda antara sistem yang sudah ada dan yang diusulkan perlu disajikan lebih baik lagi.")</f>
        <v>Pembeda antara sistem yang sudah ada dan yang diusulkan perlu disajikan lebih baik lagi.</v>
      </c>
      <c r="T68" s="20" t="str">
        <f ca="1">IFERROR(__xludf.DUMMYFUNCTION("IFERROR(vlookup(B68,IMPORTRANGE(""https://docs.google.com/spreadsheets/d/1g_jfYYK_KeipEDNDUgqgrsxK94XiocfNQIcP-v1QVhI/edit?resourcekey#gid=233272945"",""Nilai!B:CT""),97,0),"" "")"),"LAYAK UPLOAD KE SIMBELMAWA DENGAN REVISI")</f>
        <v>LAYAK UPLOAD KE SIMBELMAWA DENGAN REVISI</v>
      </c>
      <c r="U68" s="21" t="s">
        <v>1270</v>
      </c>
      <c r="V68" s="70" t="s">
        <v>1265</v>
      </c>
      <c r="W68" s="17" t="s">
        <v>1277</v>
      </c>
      <c r="X68" s="19" t="b">
        <v>0</v>
      </c>
    </row>
    <row r="69" spans="1:24">
      <c r="A69" s="15">
        <v>67</v>
      </c>
      <c r="B69" s="15">
        <f ca="1">IFERROR(__xludf.DUMMYFUNCTION("""COMPUTED_VALUE"""),2039)</f>
        <v>2039</v>
      </c>
      <c r="C69" s="16" t="str">
        <f ca="1">IFERROR(__xludf.DUMMYFUNCTION("""COMPUTED_VALUE"""),"AHMAD AZZAM BABGEI")</f>
        <v>AHMAD AZZAM BABGEI</v>
      </c>
      <c r="D69" s="16" t="str">
        <f ca="1">IFERROR(__xludf.DUMMYFUNCTION("""COMPUTED_VALUE"""),"5004211017")</f>
        <v>5004211017</v>
      </c>
      <c r="E69" s="16" t="str">
        <f ca="1">IFERROR(__xludf.DUMMYFUNCTION("""COMPUTED_VALUE"""),"Departemen Kimia")</f>
        <v>Departemen Kimia</v>
      </c>
      <c r="F69" s="16" t="str">
        <f ca="1">IFERROR(__xludf.DUMMYFUNCTION("""COMPUTED_VALUE"""),"PERANCANGAN TONGKAT PUTIH DENGAN TEKNOLOGI SENSOR ULTRASONIK DAN ARTIFICAL INTELLIGENCE UNTUK MEMPERMUDAH AKTIVITAS PENYANDANG TUNA NETRA")</f>
        <v>PERANCANGAN TONGKAT PUTIH DENGAN TEKNOLOGI SENSOR ULTRASONIK DAN ARTIFICAL INTELLIGENCE UNTUK MEMPERMUDAH AKTIVITAS PENYANDANG TUNA NETRA</v>
      </c>
      <c r="G69" s="16" t="str">
        <f ca="1">IFERROR(__xludf.DUMMYFUNCTION("""COMPUTED_VALUE"""),"Atar Fuady Babgei, S.T., M.Sc.")</f>
        <v>Atar Fuady Babgei, S.T., M.Sc.</v>
      </c>
      <c r="H69" s="16" t="str">
        <f ca="1">IFERROR(__xludf.DUMMYFUNCTION("""COMPUTED_VALUE"""),"Dr.Eng. Chastine Fatichah, S.Kom., M.Kom.")</f>
        <v>Dr.Eng. Chastine Fatichah, S.Kom., M.Kom.</v>
      </c>
      <c r="I69" s="16" t="str">
        <f ca="1">IFERROR(__xludf.DUMMYFUNCTION("""COMPUTED_VALUE"""),"Rudy Dikairono, ST., M.T.")</f>
        <v>Rudy Dikairono, ST., M.T.</v>
      </c>
      <c r="J69" s="16"/>
      <c r="K69" s="17" t="s">
        <v>1273</v>
      </c>
      <c r="L69" s="23" t="s">
        <v>1276</v>
      </c>
      <c r="M69" s="19" t="b">
        <v>1</v>
      </c>
      <c r="N69" s="19" t="b">
        <v>1</v>
      </c>
      <c r="O69" s="1" t="s">
        <v>1275</v>
      </c>
      <c r="P69" s="7" t="str">
        <f ca="1">IFERROR(__xludf.DUMMYFUNCTION("iferror(vlookup(B69,importrange(""https://docs.google.com/spreadsheets/d/1boHyJQ4e2FU0QG8MHwEi6qjX4hvZWVCHcFfXjq7bbMc/edit?resourcekey#gid=923248883"",""Prop!$C$1:$M""),12,0),IFERROR(vlookup(B69,importrange(""https://docs.google.com/spreadsheets/d/1boHyJQ"&amp;"4e2FU0QG8MHwEi6qjX4hvZWVCHcFfXjq7bbMc/edit?resourcekey#gid=923248883"",""Prop!$N$1:$X""),11,0),iferror(vlookup(B69,importrange(""https://docs.google.com/spreadsheets/d/1boHyJQ4e2FU0QG8MHwEi6qjX4hvZWVCHcFfXjq7bbMc/edit?resourcekey#gid=923248883"",""Prop!$Y"&amp;"$1:$AI""),11,0),iferror(vlookup(B69,importrange(""https://docs.google.com/spreadsheets/d/1boHyJQ4e2FU0QG8MHwEi6qjX4hvZWVCHcFfXjq7bbMc/edit?resourcekey#gid=923248883"",""Prop!$AJ$1:$AT""),11,0),iferror(vlookup(B69,importrange(""https://docs.google.com/spre"&amp;"adsheets/d/1boHyJQ4e2FU0QG8MHwEi6qjX4hvZWVCHcFfXjq7bbMc/edit?resourcekey#gid=923248883"",""Prop!$AU$1:$BE""),11,0),iferror(vlookup(B69,importrange(""https://docs.google.com/spreadsheets/d/1boHyJQ4e2FU0QG8MHwEi6qjX4hvZWVCHcFfXjq7bbMc/edit?resourcekey#gid=9"&amp;"23248883"",""Prop!$BF$1:$BP""),11,0),iferror(vlookup(B69,importrange(""https://docs.google.com/spreadsheets/d/1boHyJQ4e2FU0QG8MHwEi6qjX4hvZWVCHcFfXjq7bbMc/edit?resourcekey#gid=923248883"",""Prop!$BQ$1:$CA""),11,0),iferror(vlookup(B69,importrange(""https:/"&amp;"/docs.google.com/spreadsheets/d/1boHyJQ4e2FU0QG8MHwEi6qjX4hvZWVCHcFfXjq7bbMc/edit?resourcekey#gid=923248883"",""Prop!$CB$1:$CL""),11,0),iferror(vlookup(B69,importrange(""https://docs.google.com/spreadsheets/d/1boHyJQ4e2FU0QG8MHwEi6qjX4hvZWVCHcFfXjq7bbMc/e"&amp;"dit?resourcekey#gid=923248883"",""Prop!$CM$1:$CX""),12,0),iferror(vlookup(B69,importrange(""https://docs.google.com/spreadsheets/d/1boHyJQ4e2FU0QG8MHwEi6qjX4hvZWVCHcFfXjq7bbMc/edit?resourcekey#gid=923248883"",""Prop!$CV$1:$DI""),11,0)))))))))))"),"https://drive.google.com/open?id=1My5lDTOMNnLUHfbjgsjRMLZJQFFt20ms")</f>
        <v>https://drive.google.com/open?id=1My5lDTOMNnLUHfbjgsjRMLZJQFFt20ms</v>
      </c>
      <c r="Q69" s="7" t="str">
        <f ca="1">IFERROR(__xludf.DUMMYFUNCTION("iferror(vlookup(B69,importrange(""https://docs.google.com/spreadsheets/d/1p53T2AuvvIqhP7Nf-bo3Uhj8cbKYRPpZdsrBv3x3bAQ/edit?resourcekey#gid=1321652304"",""Prop!$C$1:$M""),11,0),IFERROR(vlookup(B69,importrange(""https://docs.google.com/spreadsheets/d/1p53T2"&amp;"AuvvIqhP7Nf-bo3Uhj8cbKYRPpZdsrBv3x3bAQ/edit?resourcekey#gid=1321652304"",""Prop!$N$1:$X""),11,0),iferror(vlookup(B69,importrange(""https://docs.google.com/spreadsheets/d/1p53T2AuvvIqhP7Nf-bo3Uhj8cbKYRPpZdsrBv3x3bAQ/edit?resourcekey#gid=1321652304"",""Prop"&amp;"!$Y$1:$AI""),11,0),iferror(vlookup(B69,importrange(""https://docs.google.com/spreadsheets/d/1p53T2AuvvIqhP7Nf-bo3Uhj8cbKYRPpZdsrBv3x3bAQ/edit?resourcekey#gid=1321652304"",""Prop!$AJ$1:$AT""),11,0),iferror(vlookup(B69,importrange(""https://docs.google.com/"&amp;"spreadsheets/d/1p53T2AuvvIqhP7Nf-bo3Uhj8cbKYRPpZdsrBv3x3bAQ/edit?resourcekey#gid=1321652304"",""Prop!$AU$1:$BE""),11,0),iferror(vlookup(B69,importrange(""https://docs.google.com/spreadsheets/d/1p53T2AuvvIqhP7Nf-bo3Uhj8cbKYRPpZdsrBv3x3bAQ/edit?resourcekey#"&amp;"gid=1321652304"",""Prop!$BF$1:$BP""),11,0),iferror(vlookup(B69,importrange(""https://docs.google.com/spreadsheets/d/1p53T2AuvvIqhP7Nf-bo3Uhj8cbKYRPpZdsrBv3x3bAQ/edit?resourcekey#gid=1321652304"",""Prop!$BQ$1:$CA""),11,0),iferror(vlookup(B69,importrange("""&amp;"https://docs.google.com/spreadsheets/d/1p53T2AuvvIqhP7Nf-bo3Uhj8cbKYRPpZdsrBv3x3bAQ/edit?resourcekey#gid=1321652304"",""Prop!$CB$1:$CL""),11,0),iferror(vlookup(B69,importrange(""https://docs.google.com/spreadsheets/d/1p53T2AuvvIqhP7Nf-bo3Uhj8cbKYRPpZdsrBv"&amp;"3x3bAQ/edit?resourcekey#gid=1321652304"",""Prop!$CM$1:$CX""),11,0),iferror(vlookup(B69,importrange(""https://docs.google.com/spreadsheets/d/1p53T2AuvvIqhP7Nf-bo3Uhj8cbKYRPpZdsrBv3x3bAQ/edit?resourcekey#gid=1321652304"",""Prop!$CY$1:$DI""),11,0)))))))))))"),"https://drive.google.com/open?id=1qJ3dKJdxfnGX2xhEbV1aV8pd3n54PILJ")</f>
        <v>https://drive.google.com/open?id=1qJ3dKJdxfnGX2xhEbV1aV8pd3n54PILJ</v>
      </c>
      <c r="R69" s="88" t="s">
        <v>1229</v>
      </c>
      <c r="S69" s="20" t="str">
        <f ca="1">IFERROR(__xludf.DUMMYFUNCTION("IFERROR(vlookup(B69,IMPORTRANGE(""https://docs.google.com/spreadsheets/d/1g_jfYYK_KeipEDNDUgqgrsxK94XiocfNQIcP-v1QVhI/edit?resourcekey#gid=233272945"",""Nilai!B:CT""),30,0),"" "")"),"Permasalah no 3 tidak dapat diukur secara kuantitatif")</f>
        <v>Permasalah no 3 tidak dapat diukur secara kuantitatif</v>
      </c>
      <c r="T69" s="20" t="str">
        <f ca="1">IFERROR(__xludf.DUMMYFUNCTION("IFERROR(vlookup(B69,IMPORTRANGE(""https://docs.google.com/spreadsheets/d/1g_jfYYK_KeipEDNDUgqgrsxK94XiocfNQIcP-v1QVhI/edit?resourcekey#gid=233272945"",""Nilai!B:CT""),97,0),"" "")"),"LAYAK UPLOAD KE SIMBELMAWA DENGAN REVISI")</f>
        <v>LAYAK UPLOAD KE SIMBELMAWA DENGAN REVISI</v>
      </c>
      <c r="U69" s="21" t="s">
        <v>1270</v>
      </c>
      <c r="V69" s="70" t="s">
        <v>1265</v>
      </c>
      <c r="W69" s="17" t="s">
        <v>1277</v>
      </c>
      <c r="X69" s="19" t="b">
        <v>1</v>
      </c>
    </row>
    <row r="70" spans="1:24">
      <c r="A70" s="15">
        <v>68</v>
      </c>
      <c r="B70" s="15">
        <f ca="1">IFERROR(__xludf.DUMMYFUNCTION("""COMPUTED_VALUE"""),3402)</f>
        <v>3402</v>
      </c>
      <c r="C70" s="16" t="str">
        <f ca="1">IFERROR(__xludf.DUMMYFUNCTION("""COMPUTED_VALUE"""),"ALFIANUDIN ACHMAD FIRDAUS A")</f>
        <v>ALFIANUDIN ACHMAD FIRDAUS A</v>
      </c>
      <c r="D70" s="16" t="str">
        <f ca="1">IFERROR(__xludf.DUMMYFUNCTION("""COMPUTED_VALUE"""),"10511910000063")</f>
        <v>10511910000063</v>
      </c>
      <c r="E70" s="16" t="str">
        <f ca="1">IFERROR(__xludf.DUMMYFUNCTION("""COMPUTED_VALUE"""),"Departemen Teknik Instrumentasi")</f>
        <v>Departemen Teknik Instrumentasi</v>
      </c>
      <c r="F70" s="16" t="str">
        <f ca="1">IFERROR(__xludf.DUMMYFUNCTION("""COMPUTED_VALUE"""),"Rancang Bangun Simulator Pengukur Jarak Berbasis Sensor Ultrasonik dan Infraded Berbasis Iot")</f>
        <v>Rancang Bangun Simulator Pengukur Jarak Berbasis Sensor Ultrasonik dan Infraded Berbasis Iot</v>
      </c>
      <c r="G70" s="16" t="str">
        <f ca="1">IFERROR(__xludf.DUMMYFUNCTION("""COMPUTED_VALUE"""),"Ahmad Fauzan Adziimaa, S.T., M.Sc.")</f>
        <v>Ahmad Fauzan Adziimaa, S.T., M.Sc.</v>
      </c>
      <c r="H70" s="16" t="str">
        <f ca="1">IFERROR(__xludf.DUMMYFUNCTION("""COMPUTED_VALUE"""),"Yudha Prasetyawan, S.T., M.Eng.")</f>
        <v>Yudha Prasetyawan, S.T., M.Eng.</v>
      </c>
      <c r="I70" s="16" t="str">
        <f ca="1">IFERROR(__xludf.DUMMYFUNCTION("""COMPUTED_VALUE"""),"Yasmin Zainul Mochtar, S.T., M.A.")</f>
        <v>Yasmin Zainul Mochtar, S.T., M.A.</v>
      </c>
      <c r="J70" s="16"/>
      <c r="K70" s="17" t="s">
        <v>1273</v>
      </c>
      <c r="L70" s="23" t="s">
        <v>1276</v>
      </c>
      <c r="M70" s="19" t="b">
        <v>1</v>
      </c>
      <c r="N70" s="19" t="b">
        <v>1</v>
      </c>
      <c r="O70" s="1" t="s">
        <v>1275</v>
      </c>
      <c r="P70" s="7" t="str">
        <f ca="1">IFERROR(__xludf.DUMMYFUNCTION("iferror(vlookup(B70,importrange(""https://docs.google.com/spreadsheets/d/1boHyJQ4e2FU0QG8MHwEi6qjX4hvZWVCHcFfXjq7bbMc/edit?resourcekey#gid=923248883"",""Prop!$C$1:$M""),12,0),IFERROR(vlookup(B70,importrange(""https://docs.google.com/spreadsheets/d/1boHyJQ"&amp;"4e2FU0QG8MHwEi6qjX4hvZWVCHcFfXjq7bbMc/edit?resourcekey#gid=923248883"",""Prop!$N$1:$X""),11,0),iferror(vlookup(B70,importrange(""https://docs.google.com/spreadsheets/d/1boHyJQ4e2FU0QG8MHwEi6qjX4hvZWVCHcFfXjq7bbMc/edit?resourcekey#gid=923248883"",""Prop!$Y"&amp;"$1:$AI""),11,0),iferror(vlookup(B70,importrange(""https://docs.google.com/spreadsheets/d/1boHyJQ4e2FU0QG8MHwEi6qjX4hvZWVCHcFfXjq7bbMc/edit?resourcekey#gid=923248883"",""Prop!$AJ$1:$AT""),11,0),iferror(vlookup(B70,importrange(""https://docs.google.com/spre"&amp;"adsheets/d/1boHyJQ4e2FU0QG8MHwEi6qjX4hvZWVCHcFfXjq7bbMc/edit?resourcekey#gid=923248883"",""Prop!$AU$1:$BE""),11,0),iferror(vlookup(B70,importrange(""https://docs.google.com/spreadsheets/d/1boHyJQ4e2FU0QG8MHwEi6qjX4hvZWVCHcFfXjq7bbMc/edit?resourcekey#gid=9"&amp;"23248883"",""Prop!$BF$1:$BP""),11,0),iferror(vlookup(B70,importrange(""https://docs.google.com/spreadsheets/d/1boHyJQ4e2FU0QG8MHwEi6qjX4hvZWVCHcFfXjq7bbMc/edit?resourcekey#gid=923248883"",""Prop!$BQ$1:$CA""),11,0),iferror(vlookup(B70,importrange(""https:/"&amp;"/docs.google.com/spreadsheets/d/1boHyJQ4e2FU0QG8MHwEi6qjX4hvZWVCHcFfXjq7bbMc/edit?resourcekey#gid=923248883"",""Prop!$CB$1:$CL""),11,0),iferror(vlookup(B70,importrange(""https://docs.google.com/spreadsheets/d/1boHyJQ4e2FU0QG8MHwEi6qjX4hvZWVCHcFfXjq7bbMc/e"&amp;"dit?resourcekey#gid=923248883"",""Prop!$CM$1:$CX""),12,0),iferror(vlookup(B70,importrange(""https://docs.google.com/spreadsheets/d/1boHyJQ4e2FU0QG8MHwEi6qjX4hvZWVCHcFfXjq7bbMc/edit?resourcekey#gid=923248883"",""Prop!$CV$1:$DI""),11,0)))))))))))"),"https://drive.google.com/open?id=18heveR-ZkC-AD1g63_rdBqX3kLp6bIFc")</f>
        <v>https://drive.google.com/open?id=18heveR-ZkC-AD1g63_rdBqX3kLp6bIFc</v>
      </c>
      <c r="Q70" s="1" t="str">
        <f ca="1">IFERROR(__xludf.DUMMYFUNCTION("iferror(vlookup(B70,importrange(""https://docs.google.com/spreadsheets/d/1p53T2AuvvIqhP7Nf-bo3Uhj8cbKYRPpZdsrBv3x3bAQ/edit?resourcekey#gid=1321652304"",""Prop!$C$1:$M""),11,0),IFERROR(vlookup(B70,importrange(""https://docs.google.com/spreadsheets/d/1p53T2"&amp;"AuvvIqhP7Nf-bo3Uhj8cbKYRPpZdsrBv3x3bAQ/edit?resourcekey#gid=1321652304"",""Prop!$N$1:$X""),11,0),iferror(vlookup(B70,importrange(""https://docs.google.com/spreadsheets/d/1p53T2AuvvIqhP7Nf-bo3Uhj8cbKYRPpZdsrBv3x3bAQ/edit?resourcekey#gid=1321652304"",""Prop"&amp;"!$Y$1:$AI""),11,0),iferror(vlookup(B70,importrange(""https://docs.google.com/spreadsheets/d/1p53T2AuvvIqhP7Nf-bo3Uhj8cbKYRPpZdsrBv3x3bAQ/edit?resourcekey#gid=1321652304"",""Prop!$AJ$1:$AT""),11,0),iferror(vlookup(B70,importrange(""https://docs.google.com/"&amp;"spreadsheets/d/1p53T2AuvvIqhP7Nf-bo3Uhj8cbKYRPpZdsrBv3x3bAQ/edit?resourcekey#gid=1321652304"",""Prop!$AU$1:$BE""),11,0),iferror(vlookup(B70,importrange(""https://docs.google.com/spreadsheets/d/1p53T2AuvvIqhP7Nf-bo3Uhj8cbKYRPpZdsrBv3x3bAQ/edit?resourcekey#"&amp;"gid=1321652304"",""Prop!$BF$1:$BP""),11,0),iferror(vlookup(B70,importrange(""https://docs.google.com/spreadsheets/d/1p53T2AuvvIqhP7Nf-bo3Uhj8cbKYRPpZdsrBv3x3bAQ/edit?resourcekey#gid=1321652304"",""Prop!$BQ$1:$CA""),11,0),iferror(vlookup(B70,importrange("""&amp;"https://docs.google.com/spreadsheets/d/1p53T2AuvvIqhP7Nf-bo3Uhj8cbKYRPpZdsrBv3x3bAQ/edit?resourcekey#gid=1321652304"",""Prop!$CB$1:$CL""),11,0),iferror(vlookup(B70,importrange(""https://docs.google.com/spreadsheets/d/1p53T2AuvvIqhP7Nf-bo3Uhj8cbKYRPpZdsrBv"&amp;"3x3bAQ/edit?resourcekey#gid=1321652304"",""Prop!$CM$1:$CX""),11,0),iferror(vlookup(B70,importrange(""https://docs.google.com/spreadsheets/d/1p53T2AuvvIqhP7Nf-bo3Uhj8cbKYRPpZdsrBv3x3bAQ/edit?resourcekey#gid=1321652304"",""Prop!$CY$1:$DI""),11,0)))))))))))"),"")</f>
        <v/>
      </c>
      <c r="R70" s="88" t="s">
        <v>1229</v>
      </c>
      <c r="S70" s="20" t="str">
        <f ca="1">IFERROR(__xludf.DUMMYFUNCTION("IFERROR(vlookup(B70,IMPORTRANGE(""https://docs.google.com/spreadsheets/d/1g_jfYYK_KeipEDNDUgqgrsxK94XiocfNQIcP-v1QVhI/edit?resourcekey#gid=233272945"",""Nilai!B:CT""),30,0),"" "")"),"Permasalah tidak ditulis dengan baik.")</f>
        <v>Permasalah tidak ditulis dengan baik.</v>
      </c>
      <c r="T70" s="20" t="str">
        <f ca="1">IFERROR(__xludf.DUMMYFUNCTION("IFERROR(vlookup(B70,IMPORTRANGE(""https://docs.google.com/spreadsheets/d/1g_jfYYK_KeipEDNDUgqgrsxK94XiocfNQIcP-v1QVhI/edit?resourcekey#gid=233272945"",""Nilai!B:CT""),97,0),"" "")"),"TIDAK LAYAK UPLOAD KE SIMBELMAWA")</f>
        <v>TIDAK LAYAK UPLOAD KE SIMBELMAWA</v>
      </c>
      <c r="U70" s="21" t="s">
        <v>1270</v>
      </c>
      <c r="V70" s="70" t="s">
        <v>1265</v>
      </c>
      <c r="W70" s="17" t="s">
        <v>1277</v>
      </c>
      <c r="X70" s="19" t="b">
        <v>0</v>
      </c>
    </row>
    <row r="71" spans="1:24">
      <c r="A71" s="15">
        <v>69</v>
      </c>
      <c r="B71" s="15">
        <f ca="1">IFERROR(__xludf.DUMMYFUNCTION("""COMPUTED_VALUE"""),2149)</f>
        <v>2149</v>
      </c>
      <c r="C71" s="16" t="str">
        <f ca="1">IFERROR(__xludf.DUMMYFUNCTION("""COMPUTED_VALUE"""),"Ambar Retnoningsih")</f>
        <v>Ambar Retnoningsih</v>
      </c>
      <c r="D71" s="16" t="str">
        <f ca="1">IFERROR(__xludf.DUMMYFUNCTION("""COMPUTED_VALUE"""),"07311940000013")</f>
        <v>07311940000013</v>
      </c>
      <c r="E71" s="16" t="str">
        <f ca="1">IFERROR(__xludf.DUMMYFUNCTION("""COMPUTED_VALUE"""),"Departemen Teknik Biomedik")</f>
        <v>Departemen Teknik Biomedik</v>
      </c>
      <c r="F71" s="16" t="str">
        <f ca="1">IFERROR(__xludf.DUMMYFUNCTION("""COMPUTED_VALUE"""),"Sarung Tangan Konversi Gerakan Sistem Isyarat Bahasa Indonesia ke Suara
Berbasis Flex Sensor untuk Penyandang Disabilitas Tunawicara")</f>
        <v>Sarung Tangan Konversi Gerakan Sistem Isyarat Bahasa Indonesia ke Suara
Berbasis Flex Sensor untuk Penyandang Disabilitas Tunawicara</v>
      </c>
      <c r="G71" s="16" t="str">
        <f ca="1">IFERROR(__xludf.DUMMYFUNCTION("""COMPUTED_VALUE"""),"Muhammad Hilman Fatoni, S.T., M.T.")</f>
        <v>Muhammad Hilman Fatoni, S.T., M.T.</v>
      </c>
      <c r="H71" s="16" t="str">
        <f ca="1">IFERROR(__xludf.DUMMYFUNCTION("""COMPUTED_VALUE"""),"Ir. Josaphat Pramudijanto, M.Eng.")</f>
        <v>Ir. Josaphat Pramudijanto, M.Eng.</v>
      </c>
      <c r="I71" s="16" t="str">
        <f ca="1">IFERROR(__xludf.DUMMYFUNCTION("""COMPUTED_VALUE"""),"Dr. Ir. Purwadi Agus Darwito, M.Sc.")</f>
        <v>Dr. Ir. Purwadi Agus Darwito, M.Sc.</v>
      </c>
      <c r="J71" s="16"/>
      <c r="K71" s="17" t="s">
        <v>1273</v>
      </c>
      <c r="L71" s="23" t="s">
        <v>1276</v>
      </c>
      <c r="M71" s="19" t="b">
        <v>0</v>
      </c>
      <c r="N71" s="19" t="b">
        <v>0</v>
      </c>
      <c r="O71" s="1" t="s">
        <v>1275</v>
      </c>
      <c r="P71" s="1" t="str">
        <f ca="1">IFERROR(__xludf.DUMMYFUNCTION("iferror(vlookup(B71,importrange(""https://docs.google.com/spreadsheets/d/1boHyJQ4e2FU0QG8MHwEi6qjX4hvZWVCHcFfXjq7bbMc/edit?resourcekey#gid=923248883"",""Prop!$C$1:$M""),12,0),IFERROR(vlookup(B71,importrange(""https://docs.google.com/spreadsheets/d/1boHyJQ"&amp;"4e2FU0QG8MHwEi6qjX4hvZWVCHcFfXjq7bbMc/edit?resourcekey#gid=923248883"",""Prop!$N$1:$X""),11,0),iferror(vlookup(B71,importrange(""https://docs.google.com/spreadsheets/d/1boHyJQ4e2FU0QG8MHwEi6qjX4hvZWVCHcFfXjq7bbMc/edit?resourcekey#gid=923248883"",""Prop!$Y"&amp;"$1:$AI""),11,0),iferror(vlookup(B71,importrange(""https://docs.google.com/spreadsheets/d/1boHyJQ4e2FU0QG8MHwEi6qjX4hvZWVCHcFfXjq7bbMc/edit?resourcekey#gid=923248883"",""Prop!$AJ$1:$AT""),11,0),iferror(vlookup(B71,importrange(""https://docs.google.com/spre"&amp;"adsheets/d/1boHyJQ4e2FU0QG8MHwEi6qjX4hvZWVCHcFfXjq7bbMc/edit?resourcekey#gid=923248883"",""Prop!$AU$1:$BE""),11,0),iferror(vlookup(B71,importrange(""https://docs.google.com/spreadsheets/d/1boHyJQ4e2FU0QG8MHwEi6qjX4hvZWVCHcFfXjq7bbMc/edit?resourcekey#gid=9"&amp;"23248883"",""Prop!$BF$1:$BP""),11,0),iferror(vlookup(B71,importrange(""https://docs.google.com/spreadsheets/d/1boHyJQ4e2FU0QG8MHwEi6qjX4hvZWVCHcFfXjq7bbMc/edit?resourcekey#gid=923248883"",""Prop!$BQ$1:$CA""),11,0),iferror(vlookup(B71,importrange(""https:/"&amp;"/docs.google.com/spreadsheets/d/1boHyJQ4e2FU0QG8MHwEi6qjX4hvZWVCHcFfXjq7bbMc/edit?resourcekey#gid=923248883"",""Prop!$CB$1:$CL""),11,0),iferror(vlookup(B71,importrange(""https://docs.google.com/spreadsheets/d/1boHyJQ4e2FU0QG8MHwEi6qjX4hvZWVCHcFfXjq7bbMc/e"&amp;"dit?resourcekey#gid=923248883"",""Prop!$CM$1:$CX""),12,0),iferror(vlookup(B71,importrange(""https://docs.google.com/spreadsheets/d/1boHyJQ4e2FU0QG8MHwEi6qjX4hvZWVCHcFfXjq7bbMc/edit?resourcekey#gid=923248883"",""Prop!$CV$1:$DI""),11,0)))))))))))"),"")</f>
        <v/>
      </c>
      <c r="Q71" s="1" t="str">
        <f ca="1">IFERROR(__xludf.DUMMYFUNCTION("iferror(vlookup(B71,importrange(""https://docs.google.com/spreadsheets/d/1p53T2AuvvIqhP7Nf-bo3Uhj8cbKYRPpZdsrBv3x3bAQ/edit?resourcekey#gid=1321652304"",""Prop!$C$1:$M""),11,0),IFERROR(vlookup(B71,importrange(""https://docs.google.com/spreadsheets/d/1p53T2"&amp;"AuvvIqhP7Nf-bo3Uhj8cbKYRPpZdsrBv3x3bAQ/edit?resourcekey#gid=1321652304"",""Prop!$N$1:$X""),11,0),iferror(vlookup(B71,importrange(""https://docs.google.com/spreadsheets/d/1p53T2AuvvIqhP7Nf-bo3Uhj8cbKYRPpZdsrBv3x3bAQ/edit?resourcekey#gid=1321652304"",""Prop"&amp;"!$Y$1:$AI""),11,0),iferror(vlookup(B71,importrange(""https://docs.google.com/spreadsheets/d/1p53T2AuvvIqhP7Nf-bo3Uhj8cbKYRPpZdsrBv3x3bAQ/edit?resourcekey#gid=1321652304"",""Prop!$AJ$1:$AT""),11,0),iferror(vlookup(B71,importrange(""https://docs.google.com/"&amp;"spreadsheets/d/1p53T2AuvvIqhP7Nf-bo3Uhj8cbKYRPpZdsrBv3x3bAQ/edit?resourcekey#gid=1321652304"",""Prop!$AU$1:$BE""),11,0),iferror(vlookup(B71,importrange(""https://docs.google.com/spreadsheets/d/1p53T2AuvvIqhP7Nf-bo3Uhj8cbKYRPpZdsrBv3x3bAQ/edit?resourcekey#"&amp;"gid=1321652304"",""Prop!$BF$1:$BP""),11,0),iferror(vlookup(B71,importrange(""https://docs.google.com/spreadsheets/d/1p53T2AuvvIqhP7Nf-bo3Uhj8cbKYRPpZdsrBv3x3bAQ/edit?resourcekey#gid=1321652304"",""Prop!$BQ$1:$CA""),11,0),iferror(vlookup(B71,importrange("""&amp;"https://docs.google.com/spreadsheets/d/1p53T2AuvvIqhP7Nf-bo3Uhj8cbKYRPpZdsrBv3x3bAQ/edit?resourcekey#gid=1321652304"",""Prop!$CB$1:$CL""),11,0),iferror(vlookup(B71,importrange(""https://docs.google.com/spreadsheets/d/1p53T2AuvvIqhP7Nf-bo3Uhj8cbKYRPpZdsrBv"&amp;"3x3bAQ/edit?resourcekey#gid=1321652304"",""Prop!$CM$1:$CX""),11,0),iferror(vlookup(B71,importrange(""https://docs.google.com/spreadsheets/d/1p53T2AuvvIqhP7Nf-bo3Uhj8cbKYRPpZdsrBv3x3bAQ/edit?resourcekey#gid=1321652304"",""Prop!$CY$1:$DI""),11,0)))))))))))"),"")</f>
        <v/>
      </c>
      <c r="R71" s="88" t="s">
        <v>1229</v>
      </c>
      <c r="S71" s="20" t="str">
        <f ca="1">IFERROR(__xludf.DUMMYFUNCTION("IFERROR(vlookup(B71,IMPORTRANGE(""https://docs.google.com/spreadsheets/d/1g_jfYYK_KeipEDNDUgqgrsxK94XiocfNQIcP-v1QVhI/edit?resourcekey#gid=233272945"",""Nilai!B:CT""),30,0),"" "")")," ")</f>
        <v xml:space="preserve"> </v>
      </c>
      <c r="T71" s="20" t="str">
        <f ca="1">IFERROR(__xludf.DUMMYFUNCTION("IFERROR(vlookup(B71,IMPORTRANGE(""https://docs.google.com/spreadsheets/d/1g_jfYYK_KeipEDNDUgqgrsxK94XiocfNQIcP-v1QVhI/edit?resourcekey#gid=233272945"",""Nilai!B:CT""),97,0),"" "")")," ")</f>
        <v xml:space="preserve"> </v>
      </c>
      <c r="U71" s="21" t="s">
        <v>1270</v>
      </c>
      <c r="V71" s="70" t="s">
        <v>1265</v>
      </c>
      <c r="W71" s="17" t="s">
        <v>1277</v>
      </c>
      <c r="X71" s="19" t="b">
        <v>0</v>
      </c>
    </row>
    <row r="72" spans="1:24">
      <c r="A72" s="15">
        <v>70</v>
      </c>
      <c r="B72" s="15">
        <f ca="1">IFERROR(__xludf.DUMMYFUNCTION("""COMPUTED_VALUE"""),4052)</f>
        <v>4052</v>
      </c>
      <c r="C72" s="16" t="str">
        <f ca="1">IFERROR(__xludf.DUMMYFUNCTION("""COMPUTED_VALUE"""),"DYLAN KAISAR HASYA")</f>
        <v>DYLAN KAISAR HASYA</v>
      </c>
      <c r="D72" s="16" t="str">
        <f ca="1">IFERROR(__xludf.DUMMYFUNCTION("""COMPUTED_VALUE"""),"5026211131")</f>
        <v>5026211131</v>
      </c>
      <c r="E72" s="16" t="str">
        <f ca="1">IFERROR(__xludf.DUMMYFUNCTION("""COMPUTED_VALUE"""),"Departemen Sistem Informasi")</f>
        <v>Departemen Sistem Informasi</v>
      </c>
      <c r="F72" s="16" t="str">
        <f ca="1">IFERROR(__xludf.DUMMYFUNCTION("""COMPUTED_VALUE"""),"LifeSavings Drone")</f>
        <v>LifeSavings Drone</v>
      </c>
      <c r="G72" s="16" t="str">
        <f ca="1">IFERROR(__xludf.DUMMYFUNCTION("""COMPUTED_VALUE"""),"Dr. Rarasmaya Indraswari, S.Kom.")</f>
        <v>Dr. Rarasmaya Indraswari, S.Kom.</v>
      </c>
      <c r="H72" s="16" t="str">
        <f ca="1">IFERROR(__xludf.DUMMYFUNCTION("""COMPUTED_VALUE"""),"Yudha Prasetyawan, S.T., M.Eng.")</f>
        <v>Yudha Prasetyawan, S.T., M.Eng.</v>
      </c>
      <c r="I72" s="16" t="str">
        <f ca="1">IFERROR(__xludf.DUMMYFUNCTION("""COMPUTED_VALUE"""),"Dr. Eng. Hosta Ardhyananta, S.T., M.Sc.")</f>
        <v>Dr. Eng. Hosta Ardhyananta, S.T., M.Sc.</v>
      </c>
      <c r="J72" s="16"/>
      <c r="K72" s="17" t="s">
        <v>1273</v>
      </c>
      <c r="L72" s="23" t="s">
        <v>1278</v>
      </c>
      <c r="M72" s="19" t="b">
        <v>0</v>
      </c>
      <c r="N72" s="19" t="b">
        <v>0</v>
      </c>
      <c r="O72" s="1" t="s">
        <v>1275</v>
      </c>
      <c r="P72" s="1" t="str">
        <f ca="1">IFERROR(__xludf.DUMMYFUNCTION("iferror(vlookup(B72,importrange(""https://docs.google.com/spreadsheets/d/1boHyJQ4e2FU0QG8MHwEi6qjX4hvZWVCHcFfXjq7bbMc/edit?resourcekey#gid=923248883"",""Prop!$C$1:$M""),12,0),IFERROR(vlookup(B72,importrange(""https://docs.google.com/spreadsheets/d/1boHyJQ"&amp;"4e2FU0QG8MHwEi6qjX4hvZWVCHcFfXjq7bbMc/edit?resourcekey#gid=923248883"",""Prop!$N$1:$X""),11,0),iferror(vlookup(B72,importrange(""https://docs.google.com/spreadsheets/d/1boHyJQ4e2FU0QG8MHwEi6qjX4hvZWVCHcFfXjq7bbMc/edit?resourcekey#gid=923248883"",""Prop!$Y"&amp;"$1:$AI""),11,0),iferror(vlookup(B72,importrange(""https://docs.google.com/spreadsheets/d/1boHyJQ4e2FU0QG8MHwEi6qjX4hvZWVCHcFfXjq7bbMc/edit?resourcekey#gid=923248883"",""Prop!$AJ$1:$AT""),11,0),iferror(vlookup(B72,importrange(""https://docs.google.com/spre"&amp;"adsheets/d/1boHyJQ4e2FU0QG8MHwEi6qjX4hvZWVCHcFfXjq7bbMc/edit?resourcekey#gid=923248883"",""Prop!$AU$1:$BE""),11,0),iferror(vlookup(B72,importrange(""https://docs.google.com/spreadsheets/d/1boHyJQ4e2FU0QG8MHwEi6qjX4hvZWVCHcFfXjq7bbMc/edit?resourcekey#gid=9"&amp;"23248883"",""Prop!$BF$1:$BP""),11,0),iferror(vlookup(B72,importrange(""https://docs.google.com/spreadsheets/d/1boHyJQ4e2FU0QG8MHwEi6qjX4hvZWVCHcFfXjq7bbMc/edit?resourcekey#gid=923248883"",""Prop!$BQ$1:$CA""),11,0),iferror(vlookup(B72,importrange(""https:/"&amp;"/docs.google.com/spreadsheets/d/1boHyJQ4e2FU0QG8MHwEi6qjX4hvZWVCHcFfXjq7bbMc/edit?resourcekey#gid=923248883"",""Prop!$CB$1:$CL""),11,0),iferror(vlookup(B72,importrange(""https://docs.google.com/spreadsheets/d/1boHyJQ4e2FU0QG8MHwEi6qjX4hvZWVCHcFfXjq7bbMc/e"&amp;"dit?resourcekey#gid=923248883"",""Prop!$CM$1:$CX""),12,0),iferror(vlookup(B72,importrange(""https://docs.google.com/spreadsheets/d/1boHyJQ4e2FU0QG8MHwEi6qjX4hvZWVCHcFfXjq7bbMc/edit?resourcekey#gid=923248883"",""Prop!$CV$1:$DI""),11,0)))))))))))"),"")</f>
        <v/>
      </c>
      <c r="Q72" s="1" t="str">
        <f ca="1">IFERROR(__xludf.DUMMYFUNCTION("iferror(vlookup(B72,importrange(""https://docs.google.com/spreadsheets/d/1p53T2AuvvIqhP7Nf-bo3Uhj8cbKYRPpZdsrBv3x3bAQ/edit?resourcekey#gid=1321652304"",""Prop!$C$1:$M""),11,0),IFERROR(vlookup(B72,importrange(""https://docs.google.com/spreadsheets/d/1p53T2"&amp;"AuvvIqhP7Nf-bo3Uhj8cbKYRPpZdsrBv3x3bAQ/edit?resourcekey#gid=1321652304"",""Prop!$N$1:$X""),11,0),iferror(vlookup(B72,importrange(""https://docs.google.com/spreadsheets/d/1p53T2AuvvIqhP7Nf-bo3Uhj8cbKYRPpZdsrBv3x3bAQ/edit?resourcekey#gid=1321652304"",""Prop"&amp;"!$Y$1:$AI""),11,0),iferror(vlookup(B72,importrange(""https://docs.google.com/spreadsheets/d/1p53T2AuvvIqhP7Nf-bo3Uhj8cbKYRPpZdsrBv3x3bAQ/edit?resourcekey#gid=1321652304"",""Prop!$AJ$1:$AT""),11,0),iferror(vlookup(B72,importrange(""https://docs.google.com/"&amp;"spreadsheets/d/1p53T2AuvvIqhP7Nf-bo3Uhj8cbKYRPpZdsrBv3x3bAQ/edit?resourcekey#gid=1321652304"",""Prop!$AU$1:$BE""),11,0),iferror(vlookup(B72,importrange(""https://docs.google.com/spreadsheets/d/1p53T2AuvvIqhP7Nf-bo3Uhj8cbKYRPpZdsrBv3x3bAQ/edit?resourcekey#"&amp;"gid=1321652304"",""Prop!$BF$1:$BP""),11,0),iferror(vlookup(B72,importrange(""https://docs.google.com/spreadsheets/d/1p53T2AuvvIqhP7Nf-bo3Uhj8cbKYRPpZdsrBv3x3bAQ/edit?resourcekey#gid=1321652304"",""Prop!$BQ$1:$CA""),11,0),iferror(vlookup(B72,importrange("""&amp;"https://docs.google.com/spreadsheets/d/1p53T2AuvvIqhP7Nf-bo3Uhj8cbKYRPpZdsrBv3x3bAQ/edit?resourcekey#gid=1321652304"",""Prop!$CB$1:$CL""),11,0),iferror(vlookup(B72,importrange(""https://docs.google.com/spreadsheets/d/1p53T2AuvvIqhP7Nf-bo3Uhj8cbKYRPpZdsrBv"&amp;"3x3bAQ/edit?resourcekey#gid=1321652304"",""Prop!$CM$1:$CX""),11,0),iferror(vlookup(B72,importrange(""https://docs.google.com/spreadsheets/d/1p53T2AuvvIqhP7Nf-bo3Uhj8cbKYRPpZdsrBv3x3bAQ/edit?resourcekey#gid=1321652304"",""Prop!$CY$1:$DI""),11,0)))))))))))"),"")</f>
        <v/>
      </c>
      <c r="R72" s="88" t="s">
        <v>1229</v>
      </c>
      <c r="S72" s="20" t="str">
        <f ca="1">IFERROR(__xludf.DUMMYFUNCTION("IFERROR(vlookup(B72,IMPORTRANGE(""https://docs.google.com/spreadsheets/d/1g_jfYYK_KeipEDNDUgqgrsxK94XiocfNQIcP-v1QVhI/edit?resourcekey#gid=233272945"",""Nilai!B:CT""),30,0),"" "")")," ")</f>
        <v xml:space="preserve"> </v>
      </c>
      <c r="T72" s="20" t="str">
        <f ca="1">IFERROR(__xludf.DUMMYFUNCTION("IFERROR(vlookup(B72,IMPORTRANGE(""https://docs.google.com/spreadsheets/d/1g_jfYYK_KeipEDNDUgqgrsxK94XiocfNQIcP-v1QVhI/edit?resourcekey#gid=233272945"",""Nilai!B:CT""),97,0),"" "")")," ")</f>
        <v xml:space="preserve"> </v>
      </c>
      <c r="U72" s="21" t="s">
        <v>1270</v>
      </c>
      <c r="V72" s="70" t="s">
        <v>1265</v>
      </c>
      <c r="W72" s="23" t="s">
        <v>1279</v>
      </c>
      <c r="X72" s="19" t="b">
        <v>0</v>
      </c>
    </row>
    <row r="73" spans="1:24">
      <c r="A73" s="15">
        <v>71</v>
      </c>
      <c r="B73" s="15">
        <f ca="1">IFERROR(__xludf.DUMMYFUNCTION("""COMPUTED_VALUE"""),3935)</f>
        <v>3935</v>
      </c>
      <c r="C73" s="16" t="str">
        <f ca="1">IFERROR(__xludf.DUMMYFUNCTION("""COMPUTED_VALUE"""),"Delfiando Sutiasa")</f>
        <v>Delfiando Sutiasa</v>
      </c>
      <c r="D73" s="16" t="str">
        <f ca="1">IFERROR(__xludf.DUMMYFUNCTION("""COMPUTED_VALUE"""),"02111840000014")</f>
        <v>02111840000014</v>
      </c>
      <c r="E73" s="16" t="str">
        <f ca="1">IFERROR(__xludf.DUMMYFUNCTION("""COMPUTED_VALUE"""),"Departemen Teknik Mesin")</f>
        <v>Departemen Teknik Mesin</v>
      </c>
      <c r="F73" s="16" t="str">
        <f ca="1">IFERROR(__xludf.DUMMYFUNCTION("""COMPUTED_VALUE"""),"Alat Sortir Ikan Automatis Berbasis Computer Vision yang Terintegrasi secara Internet of Things")</f>
        <v>Alat Sortir Ikan Automatis Berbasis Computer Vision yang Terintegrasi secara Internet of Things</v>
      </c>
      <c r="G73" s="16" t="str">
        <f ca="1">IFERROR(__xludf.DUMMYFUNCTION("""COMPUTED_VALUE"""),"Ir. Julendra Bambang Ariatedja, M.T.")</f>
        <v>Ir. Julendra Bambang Ariatedja, M.T.</v>
      </c>
      <c r="H73" s="16" t="str">
        <f ca="1">IFERROR(__xludf.DUMMYFUNCTION("""COMPUTED_VALUE"""),"Sefi Novendra Patrialova, S.Si., M.T")</f>
        <v>Sefi Novendra Patrialova, S.Si., M.T</v>
      </c>
      <c r="I73" s="16" t="str">
        <f ca="1">IFERROR(__xludf.DUMMYFUNCTION("""COMPUTED_VALUE"""),"Mahardika F. Rois, S.T, M.T")</f>
        <v>Mahardika F. Rois, S.T, M.T</v>
      </c>
      <c r="J73" s="16"/>
      <c r="K73" s="17" t="s">
        <v>1280</v>
      </c>
      <c r="L73" s="23" t="s">
        <v>1278</v>
      </c>
      <c r="M73" s="19" t="b">
        <v>0</v>
      </c>
      <c r="N73" s="19" t="b">
        <v>0</v>
      </c>
      <c r="O73" s="1" t="s">
        <v>1281</v>
      </c>
      <c r="P73" s="7" t="str">
        <f ca="1">IFERROR(__xludf.DUMMYFUNCTION("iferror(vlookup(B73,importrange(""https://docs.google.com/spreadsheets/d/1boHyJQ4e2FU0QG8MHwEi6qjX4hvZWVCHcFfXjq7bbMc/edit?resourcekey#gid=923248883"",""Prop!$C$1:$M""),12,0),IFERROR(vlookup(B73,importrange(""https://docs.google.com/spreadsheets/d/1boHyJQ"&amp;"4e2FU0QG8MHwEi6qjX4hvZWVCHcFfXjq7bbMc/edit?resourcekey#gid=923248883"",""Prop!$N$1:$X""),11,0),iferror(vlookup(B73,importrange(""https://docs.google.com/spreadsheets/d/1boHyJQ4e2FU0QG8MHwEi6qjX4hvZWVCHcFfXjq7bbMc/edit?resourcekey#gid=923248883"",""Prop!$Y"&amp;"$1:$AI""),11,0),iferror(vlookup(B73,importrange(""https://docs.google.com/spreadsheets/d/1boHyJQ4e2FU0QG8MHwEi6qjX4hvZWVCHcFfXjq7bbMc/edit?resourcekey#gid=923248883"",""Prop!$AJ$1:$AT""),11,0),iferror(vlookup(B73,importrange(""https://docs.google.com/spre"&amp;"adsheets/d/1boHyJQ4e2FU0QG8MHwEi6qjX4hvZWVCHcFfXjq7bbMc/edit?resourcekey#gid=923248883"",""Prop!$AU$1:$BE""),11,0),iferror(vlookup(B73,importrange(""https://docs.google.com/spreadsheets/d/1boHyJQ4e2FU0QG8MHwEi6qjX4hvZWVCHcFfXjq7bbMc/edit?resourcekey#gid=9"&amp;"23248883"",""Prop!$BF$1:$BP""),11,0),iferror(vlookup(B73,importrange(""https://docs.google.com/spreadsheets/d/1boHyJQ4e2FU0QG8MHwEi6qjX4hvZWVCHcFfXjq7bbMc/edit?resourcekey#gid=923248883"",""Prop!$BQ$1:$CA""),11,0),iferror(vlookup(B73,importrange(""https:/"&amp;"/docs.google.com/spreadsheets/d/1boHyJQ4e2FU0QG8MHwEi6qjX4hvZWVCHcFfXjq7bbMc/edit?resourcekey#gid=923248883"",""Prop!$CB$1:$CL""),11,0),iferror(vlookup(B73,importrange(""https://docs.google.com/spreadsheets/d/1boHyJQ4e2FU0QG8MHwEi6qjX4hvZWVCHcFfXjq7bbMc/e"&amp;"dit?resourcekey#gid=923248883"",""Prop!$CM$1:$CX""),12,0),iferror(vlookup(B73,importrange(""https://docs.google.com/spreadsheets/d/1boHyJQ4e2FU0QG8MHwEi6qjX4hvZWVCHcFfXjq7bbMc/edit?resourcekey#gid=923248883"",""Prop!$CV$1:$DI""),11,0)))))))))))"),"https://drive.google.com/open?id=1aI-pZ0w6STMP-MtllHjPEojIWXRCv2_L")</f>
        <v>https://drive.google.com/open?id=1aI-pZ0w6STMP-MtllHjPEojIWXRCv2_L</v>
      </c>
      <c r="Q73" s="7" t="str">
        <f ca="1">IFERROR(__xludf.DUMMYFUNCTION("iferror(vlookup(B73,importrange(""https://docs.google.com/spreadsheets/d/1p53T2AuvvIqhP7Nf-bo3Uhj8cbKYRPpZdsrBv3x3bAQ/edit?resourcekey#gid=1321652304"",""Prop!$C$1:$M""),11,0),IFERROR(vlookup(B73,importrange(""https://docs.google.com/spreadsheets/d/1p53T2"&amp;"AuvvIqhP7Nf-bo3Uhj8cbKYRPpZdsrBv3x3bAQ/edit?resourcekey#gid=1321652304"",""Prop!$N$1:$X""),11,0),iferror(vlookup(B73,importrange(""https://docs.google.com/spreadsheets/d/1p53T2AuvvIqhP7Nf-bo3Uhj8cbKYRPpZdsrBv3x3bAQ/edit?resourcekey#gid=1321652304"",""Prop"&amp;"!$Y$1:$AI""),11,0),iferror(vlookup(B73,importrange(""https://docs.google.com/spreadsheets/d/1p53T2AuvvIqhP7Nf-bo3Uhj8cbKYRPpZdsrBv3x3bAQ/edit?resourcekey#gid=1321652304"",""Prop!$AJ$1:$AT""),11,0),iferror(vlookup(B73,importrange(""https://docs.google.com/"&amp;"spreadsheets/d/1p53T2AuvvIqhP7Nf-bo3Uhj8cbKYRPpZdsrBv3x3bAQ/edit?resourcekey#gid=1321652304"",""Prop!$AU$1:$BE""),11,0),iferror(vlookup(B73,importrange(""https://docs.google.com/spreadsheets/d/1p53T2AuvvIqhP7Nf-bo3Uhj8cbKYRPpZdsrBv3x3bAQ/edit?resourcekey#"&amp;"gid=1321652304"",""Prop!$BF$1:$BP""),11,0),iferror(vlookup(B73,importrange(""https://docs.google.com/spreadsheets/d/1p53T2AuvvIqhP7Nf-bo3Uhj8cbKYRPpZdsrBv3x3bAQ/edit?resourcekey#gid=1321652304"",""Prop!$BQ$1:$CA""),11,0),iferror(vlookup(B73,importrange("""&amp;"https://docs.google.com/spreadsheets/d/1p53T2AuvvIqhP7Nf-bo3Uhj8cbKYRPpZdsrBv3x3bAQ/edit?resourcekey#gid=1321652304"",""Prop!$CB$1:$CL""),11,0),iferror(vlookup(B73,importrange(""https://docs.google.com/spreadsheets/d/1p53T2AuvvIqhP7Nf-bo3Uhj8cbKYRPpZdsrBv"&amp;"3x3bAQ/edit?resourcekey#gid=1321652304"",""Prop!$CM$1:$CX""),11,0),iferror(vlookup(B73,importrange(""https://docs.google.com/spreadsheets/d/1p53T2AuvvIqhP7Nf-bo3Uhj8cbKYRPpZdsrBv3x3bAQ/edit?resourcekey#gid=1321652304"",""Prop!$CY$1:$DI""),11,0)))))))))))"),"https://drive.google.com/open?id=1JBN5oFyYKsBdQy7g1sp3bS6C86GAHX1z")</f>
        <v>https://drive.google.com/open?id=1JBN5oFyYKsBdQy7g1sp3bS6C86GAHX1z</v>
      </c>
      <c r="R73" s="88" t="s">
        <v>1229</v>
      </c>
      <c r="S73" s="20" t="str">
        <f ca="1">IFERROR(__xludf.DUMMYFUNCTION("IFERROR(vlookup(B73,IMPORTRANGE(""https://docs.google.com/spreadsheets/d/1g_jfYYK_KeipEDNDUgqgrsxK94XiocfNQIcP-v1QVhI/edit?resourcekey#gid=233272945"",""Nilai!B:CT""),30,0),"" "")"),"lihat file pdf")</f>
        <v>lihat file pdf</v>
      </c>
      <c r="T73" s="20" t="str">
        <f ca="1">IFERROR(__xludf.DUMMYFUNCTION("IFERROR(vlookup(B73,IMPORTRANGE(""https://docs.google.com/spreadsheets/d/1g_jfYYK_KeipEDNDUgqgrsxK94XiocfNQIcP-v1QVhI/edit?resourcekey#gid=233272945"",""Nilai!B:CT""),97,0),"" "")"),"LAYAK UPLOAD KE SIMBELMAWA DENGAN REVISI")</f>
        <v>LAYAK UPLOAD KE SIMBELMAWA DENGAN REVISI</v>
      </c>
      <c r="U73" s="35" t="s">
        <v>1057</v>
      </c>
      <c r="V73" s="70" t="s">
        <v>1265</v>
      </c>
      <c r="W73" s="23" t="s">
        <v>1279</v>
      </c>
      <c r="X73" s="19" t="b">
        <v>0</v>
      </c>
    </row>
    <row r="74" spans="1:24">
      <c r="A74" s="15">
        <v>72</v>
      </c>
      <c r="B74" s="15">
        <f ca="1">IFERROR(__xludf.DUMMYFUNCTION("""COMPUTED_VALUE"""),2559)</f>
        <v>2559</v>
      </c>
      <c r="C74" s="16" t="str">
        <f ca="1">IFERROR(__xludf.DUMMYFUNCTION("""COMPUTED_VALUE"""),"MUHAMMAD FARIS ZUHAIRI")</f>
        <v>MUHAMMAD FARIS ZUHAIRI</v>
      </c>
      <c r="D74" s="16" t="str">
        <f ca="1">IFERROR(__xludf.DUMMYFUNCTION("""COMPUTED_VALUE"""),"07111940000164")</f>
        <v>07111940000164</v>
      </c>
      <c r="E74" s="16" t="str">
        <f ca="1">IFERROR(__xludf.DUMMYFUNCTION("""COMPUTED_VALUE"""),"Departemen Teknik Elektro")</f>
        <v>Departemen Teknik Elektro</v>
      </c>
      <c r="F74" s="16" t="str">
        <f ca="1">IFERROR(__xludf.DUMMYFUNCTION("""COMPUTED_VALUE"""),"Automatic Water Treatment sebagai Sistem Monitoring dan Controlling Parameter Air pada Budidaya Udang Vannamei Berbasis IoT dengan Tenaga Surya")</f>
        <v>Automatic Water Treatment sebagai Sistem Monitoring dan Controlling Parameter Air pada Budidaya Udang Vannamei Berbasis IoT dengan Tenaga Surya</v>
      </c>
      <c r="G74" s="16" t="str">
        <f ca="1">IFERROR(__xludf.DUMMYFUNCTION("""COMPUTED_VALUE"""),"Eka Iskandar, S.T., M.T.")</f>
        <v>Eka Iskandar, S.T., M.T.</v>
      </c>
      <c r="H74" s="16" t="str">
        <f ca="1">IFERROR(__xludf.DUMMYFUNCTION("""COMPUTED_VALUE"""),"Sefi Novendra Patrialova, S.Si., M.T")</f>
        <v>Sefi Novendra Patrialova, S.Si., M.T</v>
      </c>
      <c r="I74" s="16" t="str">
        <f ca="1">IFERROR(__xludf.DUMMYFUNCTION("""COMPUTED_VALUE"""),"Safira Firdaus Mujiyanti, S.T., M.T.")</f>
        <v>Safira Firdaus Mujiyanti, S.T., M.T.</v>
      </c>
      <c r="J74" s="16"/>
      <c r="K74" s="17" t="s">
        <v>1280</v>
      </c>
      <c r="L74" s="23" t="s">
        <v>1278</v>
      </c>
      <c r="M74" s="19" t="b">
        <v>1</v>
      </c>
      <c r="N74" s="19" t="b">
        <v>1</v>
      </c>
      <c r="O74" s="1" t="s">
        <v>1281</v>
      </c>
      <c r="P74" s="7" t="str">
        <f ca="1">IFERROR(__xludf.DUMMYFUNCTION("iferror(vlookup(B74,importrange(""https://docs.google.com/spreadsheets/d/1boHyJQ4e2FU0QG8MHwEi6qjX4hvZWVCHcFfXjq7bbMc/edit?resourcekey#gid=923248883"",""Prop!$C$1:$M""),12,0),IFERROR(vlookup(B74,importrange(""https://docs.google.com/spreadsheets/d/1boHyJQ"&amp;"4e2FU0QG8MHwEi6qjX4hvZWVCHcFfXjq7bbMc/edit?resourcekey#gid=923248883"",""Prop!$N$1:$X""),11,0),iferror(vlookup(B74,importrange(""https://docs.google.com/spreadsheets/d/1boHyJQ4e2FU0QG8MHwEi6qjX4hvZWVCHcFfXjq7bbMc/edit?resourcekey#gid=923248883"",""Prop!$Y"&amp;"$1:$AI""),11,0),iferror(vlookup(B74,importrange(""https://docs.google.com/spreadsheets/d/1boHyJQ4e2FU0QG8MHwEi6qjX4hvZWVCHcFfXjq7bbMc/edit?resourcekey#gid=923248883"",""Prop!$AJ$1:$AT""),11,0),iferror(vlookup(B74,importrange(""https://docs.google.com/spre"&amp;"adsheets/d/1boHyJQ4e2FU0QG8MHwEi6qjX4hvZWVCHcFfXjq7bbMc/edit?resourcekey#gid=923248883"",""Prop!$AU$1:$BE""),11,0),iferror(vlookup(B74,importrange(""https://docs.google.com/spreadsheets/d/1boHyJQ4e2FU0QG8MHwEi6qjX4hvZWVCHcFfXjq7bbMc/edit?resourcekey#gid=9"&amp;"23248883"",""Prop!$BF$1:$BP""),11,0),iferror(vlookup(B74,importrange(""https://docs.google.com/spreadsheets/d/1boHyJQ4e2FU0QG8MHwEi6qjX4hvZWVCHcFfXjq7bbMc/edit?resourcekey#gid=923248883"",""Prop!$BQ$1:$CA""),11,0),iferror(vlookup(B74,importrange(""https:/"&amp;"/docs.google.com/spreadsheets/d/1boHyJQ4e2FU0QG8MHwEi6qjX4hvZWVCHcFfXjq7bbMc/edit?resourcekey#gid=923248883"",""Prop!$CB$1:$CL""),11,0),iferror(vlookup(B74,importrange(""https://docs.google.com/spreadsheets/d/1boHyJQ4e2FU0QG8MHwEi6qjX4hvZWVCHcFfXjq7bbMc/e"&amp;"dit?resourcekey#gid=923248883"",""Prop!$CM$1:$CX""),12,0),iferror(vlookup(B74,importrange(""https://docs.google.com/spreadsheets/d/1boHyJQ4e2FU0QG8MHwEi6qjX4hvZWVCHcFfXjq7bbMc/edit?resourcekey#gid=923248883"",""Prop!$CV$1:$DI""),11,0)))))))))))"),"https://drive.google.com/open?id=16mXp98NGBExwLCGSAt_LErAY6Eh4X4ZD")</f>
        <v>https://drive.google.com/open?id=16mXp98NGBExwLCGSAt_LErAY6Eh4X4ZD</v>
      </c>
      <c r="Q74" s="7" t="str">
        <f ca="1">IFERROR(__xludf.DUMMYFUNCTION("iferror(vlookup(B74,importrange(""https://docs.google.com/spreadsheets/d/1p53T2AuvvIqhP7Nf-bo3Uhj8cbKYRPpZdsrBv3x3bAQ/edit?resourcekey#gid=1321652304"",""Prop!$C$1:$M""),11,0),IFERROR(vlookup(B74,importrange(""https://docs.google.com/spreadsheets/d/1p53T2"&amp;"AuvvIqhP7Nf-bo3Uhj8cbKYRPpZdsrBv3x3bAQ/edit?resourcekey#gid=1321652304"",""Prop!$N$1:$X""),11,0),iferror(vlookup(B74,importrange(""https://docs.google.com/spreadsheets/d/1p53T2AuvvIqhP7Nf-bo3Uhj8cbKYRPpZdsrBv3x3bAQ/edit?resourcekey#gid=1321652304"",""Prop"&amp;"!$Y$1:$AI""),11,0),iferror(vlookup(B74,importrange(""https://docs.google.com/spreadsheets/d/1p53T2AuvvIqhP7Nf-bo3Uhj8cbKYRPpZdsrBv3x3bAQ/edit?resourcekey#gid=1321652304"",""Prop!$AJ$1:$AT""),11,0),iferror(vlookup(B74,importrange(""https://docs.google.com/"&amp;"spreadsheets/d/1p53T2AuvvIqhP7Nf-bo3Uhj8cbKYRPpZdsrBv3x3bAQ/edit?resourcekey#gid=1321652304"",""Prop!$AU$1:$BE""),11,0),iferror(vlookup(B74,importrange(""https://docs.google.com/spreadsheets/d/1p53T2AuvvIqhP7Nf-bo3Uhj8cbKYRPpZdsrBv3x3bAQ/edit?resourcekey#"&amp;"gid=1321652304"",""Prop!$BF$1:$BP""),11,0),iferror(vlookup(B74,importrange(""https://docs.google.com/spreadsheets/d/1p53T2AuvvIqhP7Nf-bo3Uhj8cbKYRPpZdsrBv3x3bAQ/edit?resourcekey#gid=1321652304"",""Prop!$BQ$1:$CA""),11,0),iferror(vlookup(B74,importrange("""&amp;"https://docs.google.com/spreadsheets/d/1p53T2AuvvIqhP7Nf-bo3Uhj8cbKYRPpZdsrBv3x3bAQ/edit?resourcekey#gid=1321652304"",""Prop!$CB$1:$CL""),11,0),iferror(vlookup(B74,importrange(""https://docs.google.com/spreadsheets/d/1p53T2AuvvIqhP7Nf-bo3Uhj8cbKYRPpZdsrBv"&amp;"3x3bAQ/edit?resourcekey#gid=1321652304"",""Prop!$CM$1:$CX""),11,0),iferror(vlookup(B74,importrange(""https://docs.google.com/spreadsheets/d/1p53T2AuvvIqhP7Nf-bo3Uhj8cbKYRPpZdsrBv3x3bAQ/edit?resourcekey#gid=1321652304"",""Prop!$CY$1:$DI""),11,0)))))))))))"),"https://drive.google.com/open?id=1kepKRrb8J7xsc7tzC0VxikKE13HZMK8R")</f>
        <v>https://drive.google.com/open?id=1kepKRrb8J7xsc7tzC0VxikKE13HZMK8R</v>
      </c>
      <c r="R74" s="88" t="s">
        <v>1229</v>
      </c>
      <c r="S74" s="20" t="str">
        <f ca="1">IFERROR(__xludf.DUMMYFUNCTION("IFERROR(vlookup(B74,IMPORTRANGE(""https://docs.google.com/spreadsheets/d/1g_jfYYK_KeipEDNDUgqgrsxK94XiocfNQIcP-v1QVhI/edit?resourcekey#gid=233272945"",""Nilai!B:CT""),30,0),"" "")"),"Referensi memilih 3 parameter fisis yg dikontrol perlu dijelaskan di latar belakang. Desain perlu dibuat lebih detail dan lebih menarik ")</f>
        <v xml:space="preserve">Referensi memilih 3 parameter fisis yg dikontrol perlu dijelaskan di latar belakang. Desain perlu dibuat lebih detail dan lebih menarik </v>
      </c>
      <c r="T74" s="20" t="str">
        <f ca="1">IFERROR(__xludf.DUMMYFUNCTION("IFERROR(vlookup(B74,IMPORTRANGE(""https://docs.google.com/spreadsheets/d/1g_jfYYK_KeipEDNDUgqgrsxK94XiocfNQIcP-v1QVhI/edit?resourcekey#gid=233272945"",""Nilai!B:CT""),97,0),"" "")"),"")</f>
        <v/>
      </c>
      <c r="U74" s="35" t="s">
        <v>1057</v>
      </c>
      <c r="V74" s="70" t="s">
        <v>1265</v>
      </c>
      <c r="W74" s="23" t="s">
        <v>1279</v>
      </c>
      <c r="X74" s="19" t="b">
        <v>1</v>
      </c>
    </row>
    <row r="75" spans="1:24">
      <c r="A75" s="15">
        <v>73</v>
      </c>
      <c r="B75" s="15">
        <f ca="1">IFERROR(__xludf.DUMMYFUNCTION("""COMPUTED_VALUE"""),3291)</f>
        <v>3291</v>
      </c>
      <c r="C75" s="16" t="str">
        <f ca="1">IFERROR(__xludf.DUMMYFUNCTION("""COMPUTED_VALUE"""),"ALI ADAM AMBURASI")</f>
        <v>ALI ADAM AMBURASI</v>
      </c>
      <c r="D75" s="16" t="str">
        <f ca="1">IFERROR(__xludf.DUMMYFUNCTION("""COMPUTED_VALUE"""),"5006201014")</f>
        <v>5006201014</v>
      </c>
      <c r="E75" s="16" t="str">
        <f ca="1">IFERROR(__xludf.DUMMYFUNCTION("""COMPUTED_VALUE"""),"Departemen Aktuaria")</f>
        <v>Departemen Aktuaria</v>
      </c>
      <c r="F75" s="16" t="str">
        <f ca="1">IFERROR(__xludf.DUMMYFUNCTION("""COMPUTED_VALUE"""),"PROSPER.IN: ASURANSI RASIO KERENTANAN BURUH BERBASIS MACHINE LEARNING DATA ANALYZE SEBAGAI AKSELERATOR PEMULIHAN EKONOMI PASCA COVID-19 SEGMEN INDUSTRI PADAT KARYA")</f>
        <v>PROSPER.IN: ASURANSI RASIO KERENTANAN BURUH BERBASIS MACHINE LEARNING DATA ANALYZE SEBAGAI AKSELERATOR PEMULIHAN EKONOMI PASCA COVID-19 SEGMEN INDUSTRI PADAT KARYA</v>
      </c>
      <c r="G75" s="16" t="str">
        <f ca="1">IFERROR(__xludf.DUMMYFUNCTION("""COMPUTED_VALUE"""),"Galuh Oktavia Siswono, S.Si., M.Si., M.Act,Sc.")</f>
        <v>Galuh Oktavia Siswono, S.Si., M.Si., M.Act,Sc.</v>
      </c>
      <c r="H75" s="16" t="str">
        <f ca="1">IFERROR(__xludf.DUMMYFUNCTION("""COMPUTED_VALUE"""),"Mohammad Khoirul Effendi, S.T., M.Sc.Eng., Ph.D.")</f>
        <v>Mohammad Khoirul Effendi, S.T., M.Sc.Eng., Ph.D.</v>
      </c>
      <c r="I75" s="16" t="str">
        <f ca="1">IFERROR(__xludf.DUMMYFUNCTION("""COMPUTED_VALUE"""),"Dr. Dendy Satrio, S.ST.")</f>
        <v>Dr. Dendy Satrio, S.ST.</v>
      </c>
      <c r="J75" s="16"/>
      <c r="K75" s="17" t="s">
        <v>1280</v>
      </c>
      <c r="L75" s="23" t="s">
        <v>1278</v>
      </c>
      <c r="M75" s="19" t="b">
        <v>1</v>
      </c>
      <c r="N75" s="19" t="b">
        <v>1</v>
      </c>
      <c r="O75" s="1" t="s">
        <v>1281</v>
      </c>
      <c r="P75" s="7" t="str">
        <f ca="1">IFERROR(__xludf.DUMMYFUNCTION("iferror(vlookup(B75,importrange(""https://docs.google.com/spreadsheets/d/1boHyJQ4e2FU0QG8MHwEi6qjX4hvZWVCHcFfXjq7bbMc/edit?resourcekey#gid=923248883"",""Prop!$C$1:$M""),12,0),IFERROR(vlookup(B75,importrange(""https://docs.google.com/spreadsheets/d/1boHyJQ"&amp;"4e2FU0QG8MHwEi6qjX4hvZWVCHcFfXjq7bbMc/edit?resourcekey#gid=923248883"",""Prop!$N$1:$X""),11,0),iferror(vlookup(B75,importrange(""https://docs.google.com/spreadsheets/d/1boHyJQ4e2FU0QG8MHwEi6qjX4hvZWVCHcFfXjq7bbMc/edit?resourcekey#gid=923248883"",""Prop!$Y"&amp;"$1:$AI""),11,0),iferror(vlookup(B75,importrange(""https://docs.google.com/spreadsheets/d/1boHyJQ4e2FU0QG8MHwEi6qjX4hvZWVCHcFfXjq7bbMc/edit?resourcekey#gid=923248883"",""Prop!$AJ$1:$AT""),11,0),iferror(vlookup(B75,importrange(""https://docs.google.com/spre"&amp;"adsheets/d/1boHyJQ4e2FU0QG8MHwEi6qjX4hvZWVCHcFfXjq7bbMc/edit?resourcekey#gid=923248883"",""Prop!$AU$1:$BE""),11,0),iferror(vlookup(B75,importrange(""https://docs.google.com/spreadsheets/d/1boHyJQ4e2FU0QG8MHwEi6qjX4hvZWVCHcFfXjq7bbMc/edit?resourcekey#gid=9"&amp;"23248883"",""Prop!$BF$1:$BP""),11,0),iferror(vlookup(B75,importrange(""https://docs.google.com/spreadsheets/d/1boHyJQ4e2FU0QG8MHwEi6qjX4hvZWVCHcFfXjq7bbMc/edit?resourcekey#gid=923248883"",""Prop!$BQ$1:$CA""),11,0),iferror(vlookup(B75,importrange(""https:/"&amp;"/docs.google.com/spreadsheets/d/1boHyJQ4e2FU0QG8MHwEi6qjX4hvZWVCHcFfXjq7bbMc/edit?resourcekey#gid=923248883"",""Prop!$CB$1:$CL""),11,0),iferror(vlookup(B75,importrange(""https://docs.google.com/spreadsheets/d/1boHyJQ4e2FU0QG8MHwEi6qjX4hvZWVCHcFfXjq7bbMc/e"&amp;"dit?resourcekey#gid=923248883"",""Prop!$CM$1:$CX""),12,0),iferror(vlookup(B75,importrange(""https://docs.google.com/spreadsheets/d/1boHyJQ4e2FU0QG8MHwEi6qjX4hvZWVCHcFfXjq7bbMc/edit?resourcekey#gid=923248883"",""Prop!$CV$1:$DI""),11,0)))))))))))"),"https://drive.google.com/open?id=1Uvzp9Ip5vV3balWPUcznvol5_ppFJq78")</f>
        <v>https://drive.google.com/open?id=1Uvzp9Ip5vV3balWPUcznvol5_ppFJq78</v>
      </c>
      <c r="Q75" s="7" t="str">
        <f ca="1">IFERROR(__xludf.DUMMYFUNCTION("iferror(vlookup(B75,importrange(""https://docs.google.com/spreadsheets/d/1p53T2AuvvIqhP7Nf-bo3Uhj8cbKYRPpZdsrBv3x3bAQ/edit?resourcekey#gid=1321652304"",""Prop!$C$1:$M""),11,0),IFERROR(vlookup(B75,importrange(""https://docs.google.com/spreadsheets/d/1p53T2"&amp;"AuvvIqhP7Nf-bo3Uhj8cbKYRPpZdsrBv3x3bAQ/edit?resourcekey#gid=1321652304"",""Prop!$N$1:$X""),11,0),iferror(vlookup(B75,importrange(""https://docs.google.com/spreadsheets/d/1p53T2AuvvIqhP7Nf-bo3Uhj8cbKYRPpZdsrBv3x3bAQ/edit?resourcekey#gid=1321652304"",""Prop"&amp;"!$Y$1:$AI""),11,0),iferror(vlookup(B75,importrange(""https://docs.google.com/spreadsheets/d/1p53T2AuvvIqhP7Nf-bo3Uhj8cbKYRPpZdsrBv3x3bAQ/edit?resourcekey#gid=1321652304"",""Prop!$AJ$1:$AT""),11,0),iferror(vlookup(B75,importrange(""https://docs.google.com/"&amp;"spreadsheets/d/1p53T2AuvvIqhP7Nf-bo3Uhj8cbKYRPpZdsrBv3x3bAQ/edit?resourcekey#gid=1321652304"",""Prop!$AU$1:$BE""),11,0),iferror(vlookup(B75,importrange(""https://docs.google.com/spreadsheets/d/1p53T2AuvvIqhP7Nf-bo3Uhj8cbKYRPpZdsrBv3x3bAQ/edit?resourcekey#"&amp;"gid=1321652304"",""Prop!$BF$1:$BP""),11,0),iferror(vlookup(B75,importrange(""https://docs.google.com/spreadsheets/d/1p53T2AuvvIqhP7Nf-bo3Uhj8cbKYRPpZdsrBv3x3bAQ/edit?resourcekey#gid=1321652304"",""Prop!$BQ$1:$CA""),11,0),iferror(vlookup(B75,importrange("""&amp;"https://docs.google.com/spreadsheets/d/1p53T2AuvvIqhP7Nf-bo3Uhj8cbKYRPpZdsrBv3x3bAQ/edit?resourcekey#gid=1321652304"",""Prop!$CB$1:$CL""),11,0),iferror(vlookup(B75,importrange(""https://docs.google.com/spreadsheets/d/1p53T2AuvvIqhP7Nf-bo3Uhj8cbKYRPpZdsrBv"&amp;"3x3bAQ/edit?resourcekey#gid=1321652304"",""Prop!$CM$1:$CX""),11,0),iferror(vlookup(B75,importrange(""https://docs.google.com/spreadsheets/d/1p53T2AuvvIqhP7Nf-bo3Uhj8cbKYRPpZdsrBv3x3bAQ/edit?resourcekey#gid=1321652304"",""Prop!$CY$1:$DI""),11,0)))))))))))"),"https://drive.google.com/open?id=1s8tasA0vHiJA-2Xu6-ZiLKakAjqs2e4m")</f>
        <v>https://drive.google.com/open?id=1s8tasA0vHiJA-2Xu6-ZiLKakAjqs2e4m</v>
      </c>
      <c r="R75" s="88" t="s">
        <v>1229</v>
      </c>
      <c r="S75" s="20" t="str">
        <f ca="1">IFERROR(__xludf.DUMMYFUNCTION("IFERROR(vlookup(B75,IMPORTRANGE(""https://docs.google.com/spreadsheets/d/1g_jfYYK_KeipEDNDUgqgrsxK94XiocfNQIcP-v1QVhI/edit?resourcekey#gid=233272945"",""Nilai!B:CT""),30,0),"" "")"),"lihat file pdf")</f>
        <v>lihat file pdf</v>
      </c>
      <c r="T75" s="20" t="str">
        <f ca="1">IFERROR(__xludf.DUMMYFUNCTION("IFERROR(vlookup(B75,IMPORTRANGE(""https://docs.google.com/spreadsheets/d/1g_jfYYK_KeipEDNDUgqgrsxK94XiocfNQIcP-v1QVhI/edit?resourcekey#gid=233272945"",""Nilai!B:CT""),97,0),"" "")"),"LAYAK UPLOAD KE SIMBELMAWA DENGAN REVISI")</f>
        <v>LAYAK UPLOAD KE SIMBELMAWA DENGAN REVISI</v>
      </c>
      <c r="U75" s="35" t="s">
        <v>1057</v>
      </c>
      <c r="V75" s="70" t="s">
        <v>1265</v>
      </c>
      <c r="W75" s="23" t="s">
        <v>1279</v>
      </c>
      <c r="X75" s="19" t="b">
        <v>0</v>
      </c>
    </row>
    <row r="76" spans="1:24">
      <c r="A76" s="15">
        <v>74</v>
      </c>
      <c r="B76" s="15">
        <f ca="1">IFERROR(__xludf.DUMMYFUNCTION("""COMPUTED_VALUE"""),2422)</f>
        <v>2422</v>
      </c>
      <c r="C76" s="16" t="str">
        <f ca="1">IFERROR(__xludf.DUMMYFUNCTION("""COMPUTED_VALUE"""),"VASYA MAHARANI PUTRI")</f>
        <v>VASYA MAHARANI PUTRI</v>
      </c>
      <c r="D76" s="16" t="str">
        <f ca="1">IFERROR(__xludf.DUMMYFUNCTION("""COMPUTED_VALUE"""),"5023211033")</f>
        <v>5023211033</v>
      </c>
      <c r="E76" s="16" t="str">
        <f ca="1">IFERROR(__xludf.DUMMYFUNCTION("""COMPUTED_VALUE"""),"Departemen Teknik Biomedik")</f>
        <v>Departemen Teknik Biomedik</v>
      </c>
      <c r="F76" s="16" t="str">
        <f ca="1">IFERROR(__xludf.DUMMYFUNCTION("""COMPUTED_VALUE"""),"HearMe: Aplikasi Mobile sebagai Media Pembelajaran Anak dengan Gangguan Bicara Berbasis Voice Recognition
")</f>
        <v xml:space="preserve">HearMe: Aplikasi Mobile sebagai Media Pembelajaran Anak dengan Gangguan Bicara Berbasis Voice Recognition
</v>
      </c>
      <c r="G76" s="16" t="str">
        <f ca="1">IFERROR(__xludf.DUMMYFUNCTION("""COMPUTED_VALUE"""),"Ir. Josaphat Pramudijanto, M.Eng.")</f>
        <v>Ir. Josaphat Pramudijanto, M.Eng.</v>
      </c>
      <c r="H76" s="16" t="str">
        <f ca="1">IFERROR(__xludf.DUMMYFUNCTION("""COMPUTED_VALUE"""),"Mohammad Khoirul Effendi, S.T., M.Sc.Eng., Ph.D.")</f>
        <v>Mohammad Khoirul Effendi, S.T., M.Sc.Eng., Ph.D.</v>
      </c>
      <c r="I76" s="16" t="str">
        <f ca="1">IFERROR(__xludf.DUMMYFUNCTION("""COMPUTED_VALUE"""),"Azzah Dyah Pramata, S.T., M.T., M.Eng., Ph.D.")</f>
        <v>Azzah Dyah Pramata, S.T., M.T., M.Eng., Ph.D.</v>
      </c>
      <c r="J76" s="16"/>
      <c r="K76" s="17" t="s">
        <v>1280</v>
      </c>
      <c r="L76" s="23" t="s">
        <v>1278</v>
      </c>
      <c r="M76" s="19" t="b">
        <v>0</v>
      </c>
      <c r="N76" s="19" t="b">
        <v>0</v>
      </c>
      <c r="O76" s="1" t="s">
        <v>1281</v>
      </c>
      <c r="P76" s="1" t="str">
        <f ca="1">IFERROR(__xludf.DUMMYFUNCTION("iferror(vlookup(B76,importrange(""https://docs.google.com/spreadsheets/d/1boHyJQ4e2FU0QG8MHwEi6qjX4hvZWVCHcFfXjq7bbMc/edit?resourcekey#gid=923248883"",""Prop!$C$1:$M""),12,0),IFERROR(vlookup(B76,importrange(""https://docs.google.com/spreadsheets/d/1boHyJQ"&amp;"4e2FU0QG8MHwEi6qjX4hvZWVCHcFfXjq7bbMc/edit?resourcekey#gid=923248883"",""Prop!$N$1:$X""),11,0),iferror(vlookup(B76,importrange(""https://docs.google.com/spreadsheets/d/1boHyJQ4e2FU0QG8MHwEi6qjX4hvZWVCHcFfXjq7bbMc/edit?resourcekey#gid=923248883"",""Prop!$Y"&amp;"$1:$AI""),11,0),iferror(vlookup(B76,importrange(""https://docs.google.com/spreadsheets/d/1boHyJQ4e2FU0QG8MHwEi6qjX4hvZWVCHcFfXjq7bbMc/edit?resourcekey#gid=923248883"",""Prop!$AJ$1:$AT""),11,0),iferror(vlookup(B76,importrange(""https://docs.google.com/spre"&amp;"adsheets/d/1boHyJQ4e2FU0QG8MHwEi6qjX4hvZWVCHcFfXjq7bbMc/edit?resourcekey#gid=923248883"",""Prop!$AU$1:$BE""),11,0),iferror(vlookup(B76,importrange(""https://docs.google.com/spreadsheets/d/1boHyJQ4e2FU0QG8MHwEi6qjX4hvZWVCHcFfXjq7bbMc/edit?resourcekey#gid=9"&amp;"23248883"",""Prop!$BF$1:$BP""),11,0),iferror(vlookup(B76,importrange(""https://docs.google.com/spreadsheets/d/1boHyJQ4e2FU0QG8MHwEi6qjX4hvZWVCHcFfXjq7bbMc/edit?resourcekey#gid=923248883"",""Prop!$BQ$1:$CA""),11,0),iferror(vlookup(B76,importrange(""https:/"&amp;"/docs.google.com/spreadsheets/d/1boHyJQ4e2FU0QG8MHwEi6qjX4hvZWVCHcFfXjq7bbMc/edit?resourcekey#gid=923248883"",""Prop!$CB$1:$CL""),11,0),iferror(vlookup(B76,importrange(""https://docs.google.com/spreadsheets/d/1boHyJQ4e2FU0QG8MHwEi6qjX4hvZWVCHcFfXjq7bbMc/e"&amp;"dit?resourcekey#gid=923248883"",""Prop!$CM$1:$CX""),12,0),iferror(vlookup(B76,importrange(""https://docs.google.com/spreadsheets/d/1boHyJQ4e2FU0QG8MHwEi6qjX4hvZWVCHcFfXjq7bbMc/edit?resourcekey#gid=923248883"",""Prop!$CV$1:$DI""),11,0)))))))))))"),"")</f>
        <v/>
      </c>
      <c r="Q76" s="1" t="str">
        <f ca="1">IFERROR(__xludf.DUMMYFUNCTION("iferror(vlookup(B76,importrange(""https://docs.google.com/spreadsheets/d/1p53T2AuvvIqhP7Nf-bo3Uhj8cbKYRPpZdsrBv3x3bAQ/edit?resourcekey#gid=1321652304"",""Prop!$C$1:$M""),11,0),IFERROR(vlookup(B76,importrange(""https://docs.google.com/spreadsheets/d/1p53T2"&amp;"AuvvIqhP7Nf-bo3Uhj8cbKYRPpZdsrBv3x3bAQ/edit?resourcekey#gid=1321652304"",""Prop!$N$1:$X""),11,0),iferror(vlookup(B76,importrange(""https://docs.google.com/spreadsheets/d/1p53T2AuvvIqhP7Nf-bo3Uhj8cbKYRPpZdsrBv3x3bAQ/edit?resourcekey#gid=1321652304"",""Prop"&amp;"!$Y$1:$AI""),11,0),iferror(vlookup(B76,importrange(""https://docs.google.com/spreadsheets/d/1p53T2AuvvIqhP7Nf-bo3Uhj8cbKYRPpZdsrBv3x3bAQ/edit?resourcekey#gid=1321652304"",""Prop!$AJ$1:$AT""),11,0),iferror(vlookup(B76,importrange(""https://docs.google.com/"&amp;"spreadsheets/d/1p53T2AuvvIqhP7Nf-bo3Uhj8cbKYRPpZdsrBv3x3bAQ/edit?resourcekey#gid=1321652304"",""Prop!$AU$1:$BE""),11,0),iferror(vlookup(B76,importrange(""https://docs.google.com/spreadsheets/d/1p53T2AuvvIqhP7Nf-bo3Uhj8cbKYRPpZdsrBv3x3bAQ/edit?resourcekey#"&amp;"gid=1321652304"",""Prop!$BF$1:$BP""),11,0),iferror(vlookup(B76,importrange(""https://docs.google.com/spreadsheets/d/1p53T2AuvvIqhP7Nf-bo3Uhj8cbKYRPpZdsrBv3x3bAQ/edit?resourcekey#gid=1321652304"",""Prop!$BQ$1:$CA""),11,0),iferror(vlookup(B76,importrange("""&amp;"https://docs.google.com/spreadsheets/d/1p53T2AuvvIqhP7Nf-bo3Uhj8cbKYRPpZdsrBv3x3bAQ/edit?resourcekey#gid=1321652304"",""Prop!$CB$1:$CL""),11,0),iferror(vlookup(B76,importrange(""https://docs.google.com/spreadsheets/d/1p53T2AuvvIqhP7Nf-bo3Uhj8cbKYRPpZdsrBv"&amp;"3x3bAQ/edit?resourcekey#gid=1321652304"",""Prop!$CM$1:$CX""),11,0),iferror(vlookup(B76,importrange(""https://docs.google.com/spreadsheets/d/1p53T2AuvvIqhP7Nf-bo3Uhj8cbKYRPpZdsrBv3x3bAQ/edit?resourcekey#gid=1321652304"",""Prop!$CY$1:$DI""),11,0)))))))))))"),"")</f>
        <v/>
      </c>
      <c r="R76" s="88" t="s">
        <v>1229</v>
      </c>
      <c r="S76" s="20" t="str">
        <f ca="1">IFERROR(__xludf.DUMMYFUNCTION("IFERROR(vlookup(B76,IMPORTRANGE(""https://docs.google.com/spreadsheets/d/1g_jfYYK_KeipEDNDUgqgrsxK94XiocfNQIcP-v1QVhI/edit?resourcekey#gid=233272945"",""Nilai!B:CT""),30,0),"" "")")," ")</f>
        <v xml:space="preserve"> </v>
      </c>
      <c r="T76" s="20" t="str">
        <f ca="1">IFERROR(__xludf.DUMMYFUNCTION("IFERROR(vlookup(B76,IMPORTRANGE(""https://docs.google.com/spreadsheets/d/1g_jfYYK_KeipEDNDUgqgrsxK94XiocfNQIcP-v1QVhI/edit?resourcekey#gid=233272945"",""Nilai!B:CT""),97,0),"" "")")," ")</f>
        <v xml:space="preserve"> </v>
      </c>
      <c r="U76" s="35" t="s">
        <v>1057</v>
      </c>
      <c r="V76" s="70" t="s">
        <v>1265</v>
      </c>
      <c r="W76" s="23" t="s">
        <v>1279</v>
      </c>
      <c r="X76" s="19" t="b">
        <v>0</v>
      </c>
    </row>
    <row r="77" spans="1:24">
      <c r="A77" s="15">
        <v>75</v>
      </c>
      <c r="B77" s="15">
        <f ca="1">IFERROR(__xludf.DUMMYFUNCTION("""COMPUTED_VALUE"""),2089)</f>
        <v>2089</v>
      </c>
      <c r="C77" s="16" t="str">
        <f ca="1">IFERROR(__xludf.DUMMYFUNCTION("""COMPUTED_VALUE"""),"DANENDRA CLEVERO ANANDA")</f>
        <v>DANENDRA CLEVERO ANANDA</v>
      </c>
      <c r="D77" s="16" t="str">
        <f ca="1">IFERROR(__xludf.DUMMYFUNCTION("""COMPUTED_VALUE"""),"5022201123")</f>
        <v>5022201123</v>
      </c>
      <c r="E77" s="16" t="str">
        <f ca="1">IFERROR(__xludf.DUMMYFUNCTION("""COMPUTED_VALUE"""),"Departemen Teknik Elektro")</f>
        <v>Departemen Teknik Elektro</v>
      </c>
      <c r="F77" s="16" t="str">
        <f ca="1">IFERROR(__xludf.DUMMYFUNCTION("""COMPUTED_VALUE"""),"SISTEM PENDETEKSI KECURANGAN PESERTA UJIAN ONLINE BERBASIS KECERDASAN BUATAN ")</f>
        <v xml:space="preserve">SISTEM PENDETEKSI KECURANGAN PESERTA UJIAN ONLINE BERBASIS KECERDASAN BUATAN </v>
      </c>
      <c r="G77" s="16" t="str">
        <f ca="1">IFERROR(__xludf.DUMMYFUNCTION("""COMPUTED_VALUE"""),"Dr. Ir. Hendra Kusuma, M.Eng.Sc.")</f>
        <v>Dr. Ir. Hendra Kusuma, M.Eng.Sc.</v>
      </c>
      <c r="H77" s="16" t="str">
        <f ca="1">IFERROR(__xludf.DUMMYFUNCTION("""COMPUTED_VALUE"""),"Mohammad Khoirul Effendi, S.T., M.Sc.Eng., Ph.D.")</f>
        <v>Mohammad Khoirul Effendi, S.T., M.Sc.Eng., Ph.D.</v>
      </c>
      <c r="I77" s="16" t="str">
        <f ca="1">IFERROR(__xludf.DUMMYFUNCTION("""COMPUTED_VALUE"""),"Rudy Dikairono, ST., M.T.")</f>
        <v>Rudy Dikairono, ST., M.T.</v>
      </c>
      <c r="J77" s="16"/>
      <c r="K77" s="17" t="s">
        <v>1280</v>
      </c>
      <c r="L77" s="23" t="s">
        <v>1278</v>
      </c>
      <c r="M77" s="19" t="b">
        <v>0</v>
      </c>
      <c r="N77" s="19" t="b">
        <v>0</v>
      </c>
      <c r="O77" s="1" t="s">
        <v>1281</v>
      </c>
      <c r="P77" s="7" t="str">
        <f ca="1">IFERROR(__xludf.DUMMYFUNCTION("iferror(vlookup(B77,importrange(""https://docs.google.com/spreadsheets/d/1boHyJQ4e2FU0QG8MHwEi6qjX4hvZWVCHcFfXjq7bbMc/edit?resourcekey#gid=923248883"",""Prop!$C$1:$M""),12,0),IFERROR(vlookup(B77,importrange(""https://docs.google.com/spreadsheets/d/1boHyJQ"&amp;"4e2FU0QG8MHwEi6qjX4hvZWVCHcFfXjq7bbMc/edit?resourcekey#gid=923248883"",""Prop!$N$1:$X""),11,0),iferror(vlookup(B77,importrange(""https://docs.google.com/spreadsheets/d/1boHyJQ4e2FU0QG8MHwEi6qjX4hvZWVCHcFfXjq7bbMc/edit?resourcekey#gid=923248883"",""Prop!$Y"&amp;"$1:$AI""),11,0),iferror(vlookup(B77,importrange(""https://docs.google.com/spreadsheets/d/1boHyJQ4e2FU0QG8MHwEi6qjX4hvZWVCHcFfXjq7bbMc/edit?resourcekey#gid=923248883"",""Prop!$AJ$1:$AT""),11,0),iferror(vlookup(B77,importrange(""https://docs.google.com/spre"&amp;"adsheets/d/1boHyJQ4e2FU0QG8MHwEi6qjX4hvZWVCHcFfXjq7bbMc/edit?resourcekey#gid=923248883"",""Prop!$AU$1:$BE""),11,0),iferror(vlookup(B77,importrange(""https://docs.google.com/spreadsheets/d/1boHyJQ4e2FU0QG8MHwEi6qjX4hvZWVCHcFfXjq7bbMc/edit?resourcekey#gid=9"&amp;"23248883"",""Prop!$BF$1:$BP""),11,0),iferror(vlookup(B77,importrange(""https://docs.google.com/spreadsheets/d/1boHyJQ4e2FU0QG8MHwEi6qjX4hvZWVCHcFfXjq7bbMc/edit?resourcekey#gid=923248883"",""Prop!$BQ$1:$CA""),11,0),iferror(vlookup(B77,importrange(""https:/"&amp;"/docs.google.com/spreadsheets/d/1boHyJQ4e2FU0QG8MHwEi6qjX4hvZWVCHcFfXjq7bbMc/edit?resourcekey#gid=923248883"",""Prop!$CB$1:$CL""),11,0),iferror(vlookup(B77,importrange(""https://docs.google.com/spreadsheets/d/1boHyJQ4e2FU0QG8MHwEi6qjX4hvZWVCHcFfXjq7bbMc/e"&amp;"dit?resourcekey#gid=923248883"",""Prop!$CM$1:$CX""),12,0),iferror(vlookup(B77,importrange(""https://docs.google.com/spreadsheets/d/1boHyJQ4e2FU0QG8MHwEi6qjX4hvZWVCHcFfXjq7bbMc/edit?resourcekey#gid=923248883"",""Prop!$CV$1:$DI""),11,0)))))))))))"),"https://drive.google.com/open?id=1k4mW4jV-XdgeJOnMrF-oUfesLiYspv-p")</f>
        <v>https://drive.google.com/open?id=1k4mW4jV-XdgeJOnMrF-oUfesLiYspv-p</v>
      </c>
      <c r="Q77" s="1" t="str">
        <f ca="1">IFERROR(__xludf.DUMMYFUNCTION("iferror(vlookup(B77,importrange(""https://docs.google.com/spreadsheets/d/1p53T2AuvvIqhP7Nf-bo3Uhj8cbKYRPpZdsrBv3x3bAQ/edit?resourcekey#gid=1321652304"",""Prop!$C$1:$M""),11,0),IFERROR(vlookup(B77,importrange(""https://docs.google.com/spreadsheets/d/1p53T2"&amp;"AuvvIqhP7Nf-bo3Uhj8cbKYRPpZdsrBv3x3bAQ/edit?resourcekey#gid=1321652304"",""Prop!$N$1:$X""),11,0),iferror(vlookup(B77,importrange(""https://docs.google.com/spreadsheets/d/1p53T2AuvvIqhP7Nf-bo3Uhj8cbKYRPpZdsrBv3x3bAQ/edit?resourcekey#gid=1321652304"",""Prop"&amp;"!$Y$1:$AI""),11,0),iferror(vlookup(B77,importrange(""https://docs.google.com/spreadsheets/d/1p53T2AuvvIqhP7Nf-bo3Uhj8cbKYRPpZdsrBv3x3bAQ/edit?resourcekey#gid=1321652304"",""Prop!$AJ$1:$AT""),11,0),iferror(vlookup(B77,importrange(""https://docs.google.com/"&amp;"spreadsheets/d/1p53T2AuvvIqhP7Nf-bo3Uhj8cbKYRPpZdsrBv3x3bAQ/edit?resourcekey#gid=1321652304"",""Prop!$AU$1:$BE""),11,0),iferror(vlookup(B77,importrange(""https://docs.google.com/spreadsheets/d/1p53T2AuvvIqhP7Nf-bo3Uhj8cbKYRPpZdsrBv3x3bAQ/edit?resourcekey#"&amp;"gid=1321652304"",""Prop!$BF$1:$BP""),11,0),iferror(vlookup(B77,importrange(""https://docs.google.com/spreadsheets/d/1p53T2AuvvIqhP7Nf-bo3Uhj8cbKYRPpZdsrBv3x3bAQ/edit?resourcekey#gid=1321652304"",""Prop!$BQ$1:$CA""),11,0),iferror(vlookup(B77,importrange("""&amp;"https://docs.google.com/spreadsheets/d/1p53T2AuvvIqhP7Nf-bo3Uhj8cbKYRPpZdsrBv3x3bAQ/edit?resourcekey#gid=1321652304"",""Prop!$CB$1:$CL""),11,0),iferror(vlookup(B77,importrange(""https://docs.google.com/spreadsheets/d/1p53T2AuvvIqhP7Nf-bo3Uhj8cbKYRPpZdsrBv"&amp;"3x3bAQ/edit?resourcekey#gid=1321652304"",""Prop!$CM$1:$CX""),11,0),iferror(vlookup(B77,importrange(""https://docs.google.com/spreadsheets/d/1p53T2AuvvIqhP7Nf-bo3Uhj8cbKYRPpZdsrBv3x3bAQ/edit?resourcekey#gid=1321652304"",""Prop!$CY$1:$DI""),11,0)))))))))))"),"")</f>
        <v/>
      </c>
      <c r="R77" s="88" t="s">
        <v>1229</v>
      </c>
      <c r="S77" s="20" t="str">
        <f ca="1">IFERROR(__xludf.DUMMYFUNCTION("IFERROR(vlookup(B77,IMPORTRANGE(""https://docs.google.com/spreadsheets/d/1g_jfYYK_KeipEDNDUgqgrsxK94XiocfNQIcP-v1QVhI/edit?resourcekey#gid=233272945"",""Nilai!B:CT""),30,0),"" "")"),"lihat file pdf")</f>
        <v>lihat file pdf</v>
      </c>
      <c r="T77" s="20" t="str">
        <f ca="1">IFERROR(__xludf.DUMMYFUNCTION("IFERROR(vlookup(B77,IMPORTRANGE(""https://docs.google.com/spreadsheets/d/1g_jfYYK_KeipEDNDUgqgrsxK94XiocfNQIcP-v1QVhI/edit?resourcekey#gid=233272945"",""Nilai!B:CT""),97,0),"" "")"),"LAYAK UPLOAD KE SIMBELMAWA DENGAN REVISI")</f>
        <v>LAYAK UPLOAD KE SIMBELMAWA DENGAN REVISI</v>
      </c>
      <c r="U77" s="35" t="s">
        <v>1057</v>
      </c>
      <c r="V77" s="70" t="s">
        <v>1265</v>
      </c>
      <c r="W77" s="23" t="s">
        <v>1282</v>
      </c>
      <c r="X77" s="19" t="b">
        <v>0</v>
      </c>
    </row>
    <row r="78" spans="1:24">
      <c r="A78" s="15">
        <v>76</v>
      </c>
      <c r="B78" s="15">
        <f ca="1">IFERROR(__xludf.DUMMYFUNCTION("""COMPUTED_VALUE"""),3010)</f>
        <v>3010</v>
      </c>
      <c r="C78" s="16" t="str">
        <f ca="1">IFERROR(__xludf.DUMMYFUNCTION("""COMPUTED_VALUE"""),"IDA BAGUS KADE RAINATA PUTRA WIBAWA")</f>
        <v>IDA BAGUS KADE RAINATA PUTRA WIBAWA</v>
      </c>
      <c r="D78" s="16" t="str">
        <f ca="1">IFERROR(__xludf.DUMMYFUNCTION("""COMPUTED_VALUE"""),"5025201235")</f>
        <v>5025201235</v>
      </c>
      <c r="E78" s="16" t="str">
        <f ca="1">IFERROR(__xludf.DUMMYFUNCTION("""COMPUTED_VALUE"""),"Departemen Teknik Informatika")</f>
        <v>Departemen Teknik Informatika</v>
      </c>
      <c r="F78" s="16" t="str">
        <f ca="1">IFERROR(__xludf.DUMMYFUNCTION("""COMPUTED_VALUE"""),"Platform Wajib Literasi Sebagai Smart Presence di Sekolah Guna Meningkatkan Minat Baca di Indonesia")</f>
        <v>Platform Wajib Literasi Sebagai Smart Presence di Sekolah Guna Meningkatkan Minat Baca di Indonesia</v>
      </c>
      <c r="G78" s="16" t="str">
        <f ca="1">IFERROR(__xludf.DUMMYFUNCTION("""COMPUTED_VALUE"""),"Dini Adni Navastara, S.Kom., M.Sc.")</f>
        <v>Dini Adni Navastara, S.Kom., M.Sc.</v>
      </c>
      <c r="H78" s="16" t="str">
        <f ca="1">IFERROR(__xludf.DUMMYFUNCTION("""COMPUTED_VALUE"""),"Eko Agus Suprayitno, S.Si., M.T.")</f>
        <v>Eko Agus Suprayitno, S.Si., M.T.</v>
      </c>
      <c r="I78" s="16" t="str">
        <f ca="1">IFERROR(__xludf.DUMMYFUNCTION("""COMPUTED_VALUE"""),"Dr. Eng. Hosta Ardhyananta, S.T., M.Sc.")</f>
        <v>Dr. Eng. Hosta Ardhyananta, S.T., M.Sc.</v>
      </c>
      <c r="J78" s="16"/>
      <c r="K78" s="17" t="s">
        <v>1280</v>
      </c>
      <c r="L78" s="23" t="s">
        <v>1278</v>
      </c>
      <c r="M78" s="19" t="b">
        <v>1</v>
      </c>
      <c r="N78" s="19" t="b">
        <v>1</v>
      </c>
      <c r="O78" s="1" t="s">
        <v>1281</v>
      </c>
      <c r="P78" s="7" t="str">
        <f ca="1">IFERROR(__xludf.DUMMYFUNCTION("iferror(vlookup(B78,importrange(""https://docs.google.com/spreadsheets/d/1boHyJQ4e2FU0QG8MHwEi6qjX4hvZWVCHcFfXjq7bbMc/edit?resourcekey#gid=923248883"",""Prop!$C$1:$M""),12,0),IFERROR(vlookup(B78,importrange(""https://docs.google.com/spreadsheets/d/1boHyJQ"&amp;"4e2FU0QG8MHwEi6qjX4hvZWVCHcFfXjq7bbMc/edit?resourcekey#gid=923248883"",""Prop!$N$1:$X""),11,0),iferror(vlookup(B78,importrange(""https://docs.google.com/spreadsheets/d/1boHyJQ4e2FU0QG8MHwEi6qjX4hvZWVCHcFfXjq7bbMc/edit?resourcekey#gid=923248883"",""Prop!$Y"&amp;"$1:$AI""),11,0),iferror(vlookup(B78,importrange(""https://docs.google.com/spreadsheets/d/1boHyJQ4e2FU0QG8MHwEi6qjX4hvZWVCHcFfXjq7bbMc/edit?resourcekey#gid=923248883"",""Prop!$AJ$1:$AT""),11,0),iferror(vlookup(B78,importrange(""https://docs.google.com/spre"&amp;"adsheets/d/1boHyJQ4e2FU0QG8MHwEi6qjX4hvZWVCHcFfXjq7bbMc/edit?resourcekey#gid=923248883"",""Prop!$AU$1:$BE""),11,0),iferror(vlookup(B78,importrange(""https://docs.google.com/spreadsheets/d/1boHyJQ4e2FU0QG8MHwEi6qjX4hvZWVCHcFfXjq7bbMc/edit?resourcekey#gid=9"&amp;"23248883"",""Prop!$BF$1:$BP""),11,0),iferror(vlookup(B78,importrange(""https://docs.google.com/spreadsheets/d/1boHyJQ4e2FU0QG8MHwEi6qjX4hvZWVCHcFfXjq7bbMc/edit?resourcekey#gid=923248883"",""Prop!$BQ$1:$CA""),11,0),iferror(vlookup(B78,importrange(""https:/"&amp;"/docs.google.com/spreadsheets/d/1boHyJQ4e2FU0QG8MHwEi6qjX4hvZWVCHcFfXjq7bbMc/edit?resourcekey#gid=923248883"",""Prop!$CB$1:$CL""),11,0),iferror(vlookup(B78,importrange(""https://docs.google.com/spreadsheets/d/1boHyJQ4e2FU0QG8MHwEi6qjX4hvZWVCHcFfXjq7bbMc/e"&amp;"dit?resourcekey#gid=923248883"",""Prop!$CM$1:$CX""),12,0),iferror(vlookup(B78,importrange(""https://docs.google.com/spreadsheets/d/1boHyJQ4e2FU0QG8MHwEi6qjX4hvZWVCHcFfXjq7bbMc/edit?resourcekey#gid=923248883"",""Prop!$CV$1:$DI""),11,0)))))))))))"),"https://drive.google.com/open?id=19qbkdoAR-gNmxgfooH9XVYx4hBCQmM5k")</f>
        <v>https://drive.google.com/open?id=19qbkdoAR-gNmxgfooH9XVYx4hBCQmM5k</v>
      </c>
      <c r="Q78" s="7" t="str">
        <f ca="1">IFERROR(__xludf.DUMMYFUNCTION("iferror(vlookup(B78,importrange(""https://docs.google.com/spreadsheets/d/1p53T2AuvvIqhP7Nf-bo3Uhj8cbKYRPpZdsrBv3x3bAQ/edit?resourcekey#gid=1321652304"",""Prop!$C$1:$M""),11,0),IFERROR(vlookup(B78,importrange(""https://docs.google.com/spreadsheets/d/1p53T2"&amp;"AuvvIqhP7Nf-bo3Uhj8cbKYRPpZdsrBv3x3bAQ/edit?resourcekey#gid=1321652304"",""Prop!$N$1:$X""),11,0),iferror(vlookup(B78,importrange(""https://docs.google.com/spreadsheets/d/1p53T2AuvvIqhP7Nf-bo3Uhj8cbKYRPpZdsrBv3x3bAQ/edit?resourcekey#gid=1321652304"",""Prop"&amp;"!$Y$1:$AI""),11,0),iferror(vlookup(B78,importrange(""https://docs.google.com/spreadsheets/d/1p53T2AuvvIqhP7Nf-bo3Uhj8cbKYRPpZdsrBv3x3bAQ/edit?resourcekey#gid=1321652304"",""Prop!$AJ$1:$AT""),11,0),iferror(vlookup(B78,importrange(""https://docs.google.com/"&amp;"spreadsheets/d/1p53T2AuvvIqhP7Nf-bo3Uhj8cbKYRPpZdsrBv3x3bAQ/edit?resourcekey#gid=1321652304"",""Prop!$AU$1:$BE""),11,0),iferror(vlookup(B78,importrange(""https://docs.google.com/spreadsheets/d/1p53T2AuvvIqhP7Nf-bo3Uhj8cbKYRPpZdsrBv3x3bAQ/edit?resourcekey#"&amp;"gid=1321652304"",""Prop!$BF$1:$BP""),11,0),iferror(vlookup(B78,importrange(""https://docs.google.com/spreadsheets/d/1p53T2AuvvIqhP7Nf-bo3Uhj8cbKYRPpZdsrBv3x3bAQ/edit?resourcekey#gid=1321652304"",""Prop!$BQ$1:$CA""),11,0),iferror(vlookup(B78,importrange("""&amp;"https://docs.google.com/spreadsheets/d/1p53T2AuvvIqhP7Nf-bo3Uhj8cbKYRPpZdsrBv3x3bAQ/edit?resourcekey#gid=1321652304"",""Prop!$CB$1:$CL""),11,0),iferror(vlookup(B78,importrange(""https://docs.google.com/spreadsheets/d/1p53T2AuvvIqhP7Nf-bo3Uhj8cbKYRPpZdsrBv"&amp;"3x3bAQ/edit?resourcekey#gid=1321652304"",""Prop!$CM$1:$CX""),11,0),iferror(vlookup(B78,importrange(""https://docs.google.com/spreadsheets/d/1p53T2AuvvIqhP7Nf-bo3Uhj8cbKYRPpZdsrBv3x3bAQ/edit?resourcekey#gid=1321652304"",""Prop!$CY$1:$DI""),11,0)))))))))))"),"https://drive.google.com/open?id=1SpJlX7tJf1KhM29RRpLrpa4zyaL5L3Zn")</f>
        <v>https://drive.google.com/open?id=1SpJlX7tJf1KhM29RRpLrpa4zyaL5L3Zn</v>
      </c>
      <c r="R78" s="88" t="s">
        <v>1229</v>
      </c>
      <c r="S78" s="20" t="str">
        <f ca="1">IFERROR(__xludf.DUMMYFUNCTION("IFERROR(vlookup(B78,IMPORTRANGE(""https://docs.google.com/spreadsheets/d/1g_jfYYK_KeipEDNDUgqgrsxK94XiocfNQIcP-v1QVhI/edit?resourcekey#gid=233272945"",""Nilai!B:CT""),30,0),"" "")"),"lihat file pdf")</f>
        <v>lihat file pdf</v>
      </c>
      <c r="T78" s="20" t="str">
        <f ca="1">IFERROR(__xludf.DUMMYFUNCTION("IFERROR(vlookup(B78,IMPORTRANGE(""https://docs.google.com/spreadsheets/d/1g_jfYYK_KeipEDNDUgqgrsxK94XiocfNQIcP-v1QVhI/edit?resourcekey#gid=233272945"",""Nilai!B:CT""),97,0),"" "")"),"LAYAK UPLOAD KE SIMBELMAWA DENGAN REVISI")</f>
        <v>LAYAK UPLOAD KE SIMBELMAWA DENGAN REVISI</v>
      </c>
      <c r="U78" s="35" t="s">
        <v>1057</v>
      </c>
      <c r="V78" s="70" t="s">
        <v>1265</v>
      </c>
      <c r="W78" s="23" t="s">
        <v>1282</v>
      </c>
      <c r="X78" s="19" t="b">
        <v>1</v>
      </c>
    </row>
    <row r="79" spans="1:24">
      <c r="A79" s="15">
        <v>77</v>
      </c>
      <c r="B79" s="15">
        <f ca="1">IFERROR(__xludf.DUMMYFUNCTION("""COMPUTED_VALUE"""),2379)</f>
        <v>2379</v>
      </c>
      <c r="C79" s="16" t="str">
        <f ca="1">IFERROR(__xludf.DUMMYFUNCTION("""COMPUTED_VALUE"""),"NISMAT HAJJIM APB")</f>
        <v>NISMAT HAJJIM APB</v>
      </c>
      <c r="D79" s="16" t="str">
        <f ca="1">IFERROR(__xludf.DUMMYFUNCTION("""COMPUTED_VALUE"""),"5023211001")</f>
        <v>5023211001</v>
      </c>
      <c r="E79" s="16" t="str">
        <f ca="1">IFERROR(__xludf.DUMMYFUNCTION("""COMPUTED_VALUE"""),"Departemen Teknik Biomedik")</f>
        <v>Departemen Teknik Biomedik</v>
      </c>
      <c r="F79" s="16" t="str">
        <f ca="1">IFERROR(__xludf.DUMMYFUNCTION("""COMPUTED_VALUE"""),"Emergency Alarm for Cardiovascular Disease")</f>
        <v>Emergency Alarm for Cardiovascular Disease</v>
      </c>
      <c r="G79" s="16" t="str">
        <f ca="1">IFERROR(__xludf.DUMMYFUNCTION("""COMPUTED_VALUE"""),"Ir. Josaphat Pramudijanto, M.Eng.")</f>
        <v>Ir. Josaphat Pramudijanto, M.Eng.</v>
      </c>
      <c r="H79" s="16" t="str">
        <f ca="1">IFERROR(__xludf.DUMMYFUNCTION("""COMPUTED_VALUE"""),"Yudha Prasetyawan, S.T., M.Eng.")</f>
        <v>Yudha Prasetyawan, S.T., M.Eng.</v>
      </c>
      <c r="I79" s="16" t="str">
        <f ca="1">IFERROR(__xludf.DUMMYFUNCTION("""COMPUTED_VALUE"""),"Putu Gde Ariastita, S.T., M.T.")</f>
        <v>Putu Gde Ariastita, S.T., M.T.</v>
      </c>
      <c r="J79" s="16"/>
      <c r="K79" s="17" t="s">
        <v>1280</v>
      </c>
      <c r="L79" s="23" t="s">
        <v>1278</v>
      </c>
      <c r="M79" s="19" t="b">
        <v>1</v>
      </c>
      <c r="N79" s="19" t="b">
        <v>1</v>
      </c>
      <c r="O79" s="1" t="s">
        <v>1281</v>
      </c>
      <c r="P79" s="7" t="str">
        <f ca="1">IFERROR(__xludf.DUMMYFUNCTION("iferror(vlookup(B79,importrange(""https://docs.google.com/spreadsheets/d/1boHyJQ4e2FU0QG8MHwEi6qjX4hvZWVCHcFfXjq7bbMc/edit?resourcekey#gid=923248883"",""Prop!$C$1:$M""),12,0),IFERROR(vlookup(B79,importrange(""https://docs.google.com/spreadsheets/d/1boHyJQ"&amp;"4e2FU0QG8MHwEi6qjX4hvZWVCHcFfXjq7bbMc/edit?resourcekey#gid=923248883"",""Prop!$N$1:$X""),11,0),iferror(vlookup(B79,importrange(""https://docs.google.com/spreadsheets/d/1boHyJQ4e2FU0QG8MHwEi6qjX4hvZWVCHcFfXjq7bbMc/edit?resourcekey#gid=923248883"",""Prop!$Y"&amp;"$1:$AI""),11,0),iferror(vlookup(B79,importrange(""https://docs.google.com/spreadsheets/d/1boHyJQ4e2FU0QG8MHwEi6qjX4hvZWVCHcFfXjq7bbMc/edit?resourcekey#gid=923248883"",""Prop!$AJ$1:$AT""),11,0),iferror(vlookup(B79,importrange(""https://docs.google.com/spre"&amp;"adsheets/d/1boHyJQ4e2FU0QG8MHwEi6qjX4hvZWVCHcFfXjq7bbMc/edit?resourcekey#gid=923248883"",""Prop!$AU$1:$BE""),11,0),iferror(vlookup(B79,importrange(""https://docs.google.com/spreadsheets/d/1boHyJQ4e2FU0QG8MHwEi6qjX4hvZWVCHcFfXjq7bbMc/edit?resourcekey#gid=9"&amp;"23248883"",""Prop!$BF$1:$BP""),11,0),iferror(vlookup(B79,importrange(""https://docs.google.com/spreadsheets/d/1boHyJQ4e2FU0QG8MHwEi6qjX4hvZWVCHcFfXjq7bbMc/edit?resourcekey#gid=923248883"",""Prop!$BQ$1:$CA""),11,0),iferror(vlookup(B79,importrange(""https:/"&amp;"/docs.google.com/spreadsheets/d/1boHyJQ4e2FU0QG8MHwEi6qjX4hvZWVCHcFfXjq7bbMc/edit?resourcekey#gid=923248883"",""Prop!$CB$1:$CL""),11,0),iferror(vlookup(B79,importrange(""https://docs.google.com/spreadsheets/d/1boHyJQ4e2FU0QG8MHwEi6qjX4hvZWVCHcFfXjq7bbMc/e"&amp;"dit?resourcekey#gid=923248883"",""Prop!$CM$1:$CX""),12,0),iferror(vlookup(B79,importrange(""https://docs.google.com/spreadsheets/d/1boHyJQ4e2FU0QG8MHwEi6qjX4hvZWVCHcFfXjq7bbMc/edit?resourcekey#gid=923248883"",""Prop!$CV$1:$DI""),11,0)))))))))))"),"https://drive.google.com/open?id=1LF3Da5aQhDMTFrXXp712QDQtuws00iF7")</f>
        <v>https://drive.google.com/open?id=1LF3Da5aQhDMTFrXXp712QDQtuws00iF7</v>
      </c>
      <c r="Q79" s="7" t="str">
        <f ca="1">IFERROR(__xludf.DUMMYFUNCTION("iferror(vlookup(B79,importrange(""https://docs.google.com/spreadsheets/d/1p53T2AuvvIqhP7Nf-bo3Uhj8cbKYRPpZdsrBv3x3bAQ/edit?resourcekey#gid=1321652304"",""Prop!$C$1:$M""),11,0),IFERROR(vlookup(B79,importrange(""https://docs.google.com/spreadsheets/d/1p53T2"&amp;"AuvvIqhP7Nf-bo3Uhj8cbKYRPpZdsrBv3x3bAQ/edit?resourcekey#gid=1321652304"",""Prop!$N$1:$X""),11,0),iferror(vlookup(B79,importrange(""https://docs.google.com/spreadsheets/d/1p53T2AuvvIqhP7Nf-bo3Uhj8cbKYRPpZdsrBv3x3bAQ/edit?resourcekey#gid=1321652304"",""Prop"&amp;"!$Y$1:$AI""),11,0),iferror(vlookup(B79,importrange(""https://docs.google.com/spreadsheets/d/1p53T2AuvvIqhP7Nf-bo3Uhj8cbKYRPpZdsrBv3x3bAQ/edit?resourcekey#gid=1321652304"",""Prop!$AJ$1:$AT""),11,0),iferror(vlookup(B79,importrange(""https://docs.google.com/"&amp;"spreadsheets/d/1p53T2AuvvIqhP7Nf-bo3Uhj8cbKYRPpZdsrBv3x3bAQ/edit?resourcekey#gid=1321652304"",""Prop!$AU$1:$BE""),11,0),iferror(vlookup(B79,importrange(""https://docs.google.com/spreadsheets/d/1p53T2AuvvIqhP7Nf-bo3Uhj8cbKYRPpZdsrBv3x3bAQ/edit?resourcekey#"&amp;"gid=1321652304"",""Prop!$BF$1:$BP""),11,0),iferror(vlookup(B79,importrange(""https://docs.google.com/spreadsheets/d/1p53T2AuvvIqhP7Nf-bo3Uhj8cbKYRPpZdsrBv3x3bAQ/edit?resourcekey#gid=1321652304"",""Prop!$BQ$1:$CA""),11,0),iferror(vlookup(B79,importrange("""&amp;"https://docs.google.com/spreadsheets/d/1p53T2AuvvIqhP7Nf-bo3Uhj8cbKYRPpZdsrBv3x3bAQ/edit?resourcekey#gid=1321652304"",""Prop!$CB$1:$CL""),11,0),iferror(vlookup(B79,importrange(""https://docs.google.com/spreadsheets/d/1p53T2AuvvIqhP7Nf-bo3Uhj8cbKYRPpZdsrBv"&amp;"3x3bAQ/edit?resourcekey#gid=1321652304"",""Prop!$CM$1:$CX""),11,0),iferror(vlookup(B79,importrange(""https://docs.google.com/spreadsheets/d/1p53T2AuvvIqhP7Nf-bo3Uhj8cbKYRPpZdsrBv3x3bAQ/edit?resourcekey#gid=1321652304"",""Prop!$CY$1:$DI""),11,0)))))))))))"),"https://drive.google.com/open?id=1jWbd7ALp8j7J629YnkF8eRjIi6cXr-h1")</f>
        <v>https://drive.google.com/open?id=1jWbd7ALp8j7J629YnkF8eRjIi6cXr-h1</v>
      </c>
      <c r="R79" s="88" t="s">
        <v>1229</v>
      </c>
      <c r="S79" s="20" t="str">
        <f ca="1">IFERROR(__xludf.DUMMYFUNCTION("IFERROR(vlookup(B79,IMPORTRANGE(""https://docs.google.com/spreadsheets/d/1g_jfYYK_KeipEDNDUgqgrsxK94XiocfNQIcP-v1QVhI/edit?resourcekey#gid=233272945"",""Nilai!B:CT""),30,0),"" "")"),"MABA")</f>
        <v>MABA</v>
      </c>
      <c r="T79" s="20" t="str">
        <f ca="1">IFERROR(__xludf.DUMMYFUNCTION("IFERROR(vlookup(B79,IMPORTRANGE(""https://docs.google.com/spreadsheets/d/1g_jfYYK_KeipEDNDUgqgrsxK94XiocfNQIcP-v1QVhI/edit?resourcekey#gid=233272945"",""Nilai!B:CT""),97,0),"" "")"),"TIDAK LAYAK UPLOAD KE SIMBELMAWA")</f>
        <v>TIDAK LAYAK UPLOAD KE SIMBELMAWA</v>
      </c>
      <c r="U79" s="35" t="s">
        <v>1057</v>
      </c>
      <c r="V79" s="70" t="s">
        <v>1265</v>
      </c>
      <c r="W79" s="23" t="s">
        <v>1282</v>
      </c>
      <c r="X79" s="19" t="b">
        <v>0</v>
      </c>
    </row>
    <row r="80" spans="1:24">
      <c r="A80" s="15">
        <v>78</v>
      </c>
      <c r="B80" s="15">
        <f ca="1">IFERROR(__xludf.DUMMYFUNCTION("""COMPUTED_VALUE"""),2136)</f>
        <v>2136</v>
      </c>
      <c r="C80" s="16" t="str">
        <f ca="1">IFERROR(__xludf.DUMMYFUNCTION("""COMPUTED_VALUE"""),"Huda Hafizah")</f>
        <v>Huda Hafizah</v>
      </c>
      <c r="D80" s="16" t="str">
        <f ca="1">IFERROR(__xludf.DUMMYFUNCTION("""COMPUTED_VALUE"""),"07311940000005")</f>
        <v>07311940000005</v>
      </c>
      <c r="E80" s="16" t="str">
        <f ca="1">IFERROR(__xludf.DUMMYFUNCTION("""COMPUTED_VALUE"""),"Departemen Teknik Biomedik")</f>
        <v>Departemen Teknik Biomedik</v>
      </c>
      <c r="F80" s="16" t="str">
        <f ca="1">IFERROR(__xludf.DUMMYFUNCTION("""COMPUTED_VALUE"""),"Functional Electrical Stimulation Cycling Treatment Berbasis Game NonImmersive Virtual Reality untuk Meningkatkan Fungsi Motorik Kaki Pada Anak dengan Cerebral Palsy")</f>
        <v>Functional Electrical Stimulation Cycling Treatment Berbasis Game NonImmersive Virtual Reality untuk Meningkatkan Fungsi Motorik Kaki Pada Anak dengan Cerebral Palsy</v>
      </c>
      <c r="G80" s="16" t="str">
        <f ca="1">IFERROR(__xludf.DUMMYFUNCTION("""COMPUTED_VALUE"""),"Achmad Arifin, S.T., M.Eng., Ph.D.")</f>
        <v>Achmad Arifin, S.T., M.Eng., Ph.D.</v>
      </c>
      <c r="H80" s="16" t="str">
        <f ca="1">IFERROR(__xludf.DUMMYFUNCTION("""COMPUTED_VALUE"""),"Ika Nurkasanah, S.Kom., M.Sc.")</f>
        <v>Ika Nurkasanah, S.Kom., M.Sc.</v>
      </c>
      <c r="I80" s="16" t="str">
        <f ca="1">IFERROR(__xludf.DUMMYFUNCTION("""COMPUTED_VALUE"""),"Dr. Ir. Purwadi Agus Darwito, M.Sc.")</f>
        <v>Dr. Ir. Purwadi Agus Darwito, M.Sc.</v>
      </c>
      <c r="J80" s="16"/>
      <c r="K80" s="17" t="s">
        <v>1280</v>
      </c>
      <c r="L80" s="23" t="s">
        <v>1278</v>
      </c>
      <c r="M80" s="19" t="b">
        <v>0</v>
      </c>
      <c r="N80" s="19" t="b">
        <v>0</v>
      </c>
      <c r="O80" s="1" t="s">
        <v>1281</v>
      </c>
      <c r="P80" s="1" t="str">
        <f ca="1">IFERROR(__xludf.DUMMYFUNCTION("iferror(vlookup(B80,importrange(""https://docs.google.com/spreadsheets/d/1boHyJQ4e2FU0QG8MHwEi6qjX4hvZWVCHcFfXjq7bbMc/edit?resourcekey#gid=923248883"",""Prop!$C$1:$M""),12,0),IFERROR(vlookup(B80,importrange(""https://docs.google.com/spreadsheets/d/1boHyJQ"&amp;"4e2FU0QG8MHwEi6qjX4hvZWVCHcFfXjq7bbMc/edit?resourcekey#gid=923248883"",""Prop!$N$1:$X""),11,0),iferror(vlookup(B80,importrange(""https://docs.google.com/spreadsheets/d/1boHyJQ4e2FU0QG8MHwEi6qjX4hvZWVCHcFfXjq7bbMc/edit?resourcekey#gid=923248883"",""Prop!$Y"&amp;"$1:$AI""),11,0),iferror(vlookup(B80,importrange(""https://docs.google.com/spreadsheets/d/1boHyJQ4e2FU0QG8MHwEi6qjX4hvZWVCHcFfXjq7bbMc/edit?resourcekey#gid=923248883"",""Prop!$AJ$1:$AT""),11,0),iferror(vlookup(B80,importrange(""https://docs.google.com/spre"&amp;"adsheets/d/1boHyJQ4e2FU0QG8MHwEi6qjX4hvZWVCHcFfXjq7bbMc/edit?resourcekey#gid=923248883"",""Prop!$AU$1:$BE""),11,0),iferror(vlookup(B80,importrange(""https://docs.google.com/spreadsheets/d/1boHyJQ4e2FU0QG8MHwEi6qjX4hvZWVCHcFfXjq7bbMc/edit?resourcekey#gid=9"&amp;"23248883"",""Prop!$BF$1:$BP""),11,0),iferror(vlookup(B80,importrange(""https://docs.google.com/spreadsheets/d/1boHyJQ4e2FU0QG8MHwEi6qjX4hvZWVCHcFfXjq7bbMc/edit?resourcekey#gid=923248883"",""Prop!$BQ$1:$CA""),11,0),iferror(vlookup(B80,importrange(""https:/"&amp;"/docs.google.com/spreadsheets/d/1boHyJQ4e2FU0QG8MHwEi6qjX4hvZWVCHcFfXjq7bbMc/edit?resourcekey#gid=923248883"",""Prop!$CB$1:$CL""),11,0),iferror(vlookup(B80,importrange(""https://docs.google.com/spreadsheets/d/1boHyJQ4e2FU0QG8MHwEi6qjX4hvZWVCHcFfXjq7bbMc/e"&amp;"dit?resourcekey#gid=923248883"",""Prop!$CM$1:$CX""),12,0),iferror(vlookup(B80,importrange(""https://docs.google.com/spreadsheets/d/1boHyJQ4e2FU0QG8MHwEi6qjX4hvZWVCHcFfXjq7bbMc/edit?resourcekey#gid=923248883"",""Prop!$CV$1:$DI""),11,0)))))))))))"),"")</f>
        <v/>
      </c>
      <c r="Q80" s="1" t="str">
        <f ca="1">IFERROR(__xludf.DUMMYFUNCTION("iferror(vlookup(B80,importrange(""https://docs.google.com/spreadsheets/d/1p53T2AuvvIqhP7Nf-bo3Uhj8cbKYRPpZdsrBv3x3bAQ/edit?resourcekey#gid=1321652304"",""Prop!$C$1:$M""),11,0),IFERROR(vlookup(B80,importrange(""https://docs.google.com/spreadsheets/d/1p53T2"&amp;"AuvvIqhP7Nf-bo3Uhj8cbKYRPpZdsrBv3x3bAQ/edit?resourcekey#gid=1321652304"",""Prop!$N$1:$X""),11,0),iferror(vlookup(B80,importrange(""https://docs.google.com/spreadsheets/d/1p53T2AuvvIqhP7Nf-bo3Uhj8cbKYRPpZdsrBv3x3bAQ/edit?resourcekey#gid=1321652304"",""Prop"&amp;"!$Y$1:$AI""),11,0),iferror(vlookup(B80,importrange(""https://docs.google.com/spreadsheets/d/1p53T2AuvvIqhP7Nf-bo3Uhj8cbKYRPpZdsrBv3x3bAQ/edit?resourcekey#gid=1321652304"",""Prop!$AJ$1:$AT""),11,0),iferror(vlookup(B80,importrange(""https://docs.google.com/"&amp;"spreadsheets/d/1p53T2AuvvIqhP7Nf-bo3Uhj8cbKYRPpZdsrBv3x3bAQ/edit?resourcekey#gid=1321652304"",""Prop!$AU$1:$BE""),11,0),iferror(vlookup(B80,importrange(""https://docs.google.com/spreadsheets/d/1p53T2AuvvIqhP7Nf-bo3Uhj8cbKYRPpZdsrBv3x3bAQ/edit?resourcekey#"&amp;"gid=1321652304"",""Prop!$BF$1:$BP""),11,0),iferror(vlookup(B80,importrange(""https://docs.google.com/spreadsheets/d/1p53T2AuvvIqhP7Nf-bo3Uhj8cbKYRPpZdsrBv3x3bAQ/edit?resourcekey#gid=1321652304"",""Prop!$BQ$1:$CA""),11,0),iferror(vlookup(B80,importrange("""&amp;"https://docs.google.com/spreadsheets/d/1p53T2AuvvIqhP7Nf-bo3Uhj8cbKYRPpZdsrBv3x3bAQ/edit?resourcekey#gid=1321652304"",""Prop!$CB$1:$CL""),11,0),iferror(vlookup(B80,importrange(""https://docs.google.com/spreadsheets/d/1p53T2AuvvIqhP7Nf-bo3Uhj8cbKYRPpZdsrBv"&amp;"3x3bAQ/edit?resourcekey#gid=1321652304"",""Prop!$CM$1:$CX""),11,0),iferror(vlookup(B80,importrange(""https://docs.google.com/spreadsheets/d/1p53T2AuvvIqhP7Nf-bo3Uhj8cbKYRPpZdsrBv3x3bAQ/edit?resourcekey#gid=1321652304"",""Prop!$CY$1:$DI""),11,0)))))))))))"),"")</f>
        <v/>
      </c>
      <c r="R80" s="88" t="s">
        <v>1229</v>
      </c>
      <c r="S80" s="20" t="str">
        <f ca="1">IFERROR(__xludf.DUMMYFUNCTION("IFERROR(vlookup(B80,IMPORTRANGE(""https://docs.google.com/spreadsheets/d/1g_jfYYK_KeipEDNDUgqgrsxK94XiocfNQIcP-v1QVhI/edit?resourcekey#gid=233272945"",""Nilai!B:CT""),30,0),"" "")")," ")</f>
        <v xml:space="preserve"> </v>
      </c>
      <c r="T80" s="20" t="str">
        <f ca="1">IFERROR(__xludf.DUMMYFUNCTION("IFERROR(vlookup(B80,IMPORTRANGE(""https://docs.google.com/spreadsheets/d/1g_jfYYK_KeipEDNDUgqgrsxK94XiocfNQIcP-v1QVhI/edit?resourcekey#gid=233272945"",""Nilai!B:CT""),97,0),"" "")")," ")</f>
        <v xml:space="preserve"> </v>
      </c>
      <c r="U80" s="35" t="s">
        <v>1057</v>
      </c>
      <c r="V80" s="70" t="s">
        <v>1265</v>
      </c>
      <c r="W80" s="23" t="s">
        <v>1282</v>
      </c>
      <c r="X80" s="19" t="b">
        <v>0</v>
      </c>
    </row>
    <row r="81" spans="1:24">
      <c r="A81" s="15">
        <v>79</v>
      </c>
      <c r="B81" s="15">
        <f ca="1">IFERROR(__xludf.DUMMYFUNCTION("""COMPUTED_VALUE"""),2602)</f>
        <v>2602</v>
      </c>
      <c r="C81" s="16" t="str">
        <f ca="1">IFERROR(__xludf.DUMMYFUNCTION("""COMPUTED_VALUE"""),"MOCHAMMAD FADHEL FIRNANDA")</f>
        <v>MOCHAMMAD FADHEL FIRNANDA</v>
      </c>
      <c r="D81" s="16" t="str">
        <f ca="1">IFERROR(__xludf.DUMMYFUNCTION("""COMPUTED_VALUE"""),"02111940000143")</f>
        <v>02111940000143</v>
      </c>
      <c r="E81" s="16" t="str">
        <f ca="1">IFERROR(__xludf.DUMMYFUNCTION("""COMPUTED_VALUE"""),"Departemen Teknik Mesin")</f>
        <v>Departemen Teknik Mesin</v>
      </c>
      <c r="F81" s="16" t="str">
        <f ca="1">IFERROR(__xludf.DUMMYFUNCTION("""COMPUTED_VALUE"""),"Smart Life Jacket dengan Pemanas dan Global Positioning System di Perairan")</f>
        <v>Smart Life Jacket dengan Pemanas dan Global Positioning System di Perairan</v>
      </c>
      <c r="G81" s="16" t="str">
        <f ca="1">IFERROR(__xludf.DUMMYFUNCTION("""COMPUTED_VALUE"""),"Alief Wikarta, ST., MSc.Eng. Ph.D")</f>
        <v>Alief Wikarta, ST., MSc.Eng. Ph.D</v>
      </c>
      <c r="H81" s="16" t="str">
        <f ca="1">IFERROR(__xludf.DUMMYFUNCTION("""COMPUTED_VALUE"""),"Ika Nurkasanah, S.Kom., M.Sc.")</f>
        <v>Ika Nurkasanah, S.Kom., M.Sc.</v>
      </c>
      <c r="I81" s="16" t="str">
        <f ca="1">IFERROR(__xludf.DUMMYFUNCTION("""COMPUTED_VALUE"""),"Dr. Ir. Purwadi Agus Darwito, M.Sc.")</f>
        <v>Dr. Ir. Purwadi Agus Darwito, M.Sc.</v>
      </c>
      <c r="J81" s="16"/>
      <c r="K81" s="17" t="s">
        <v>1280</v>
      </c>
      <c r="L81" s="23" t="s">
        <v>1283</v>
      </c>
      <c r="M81" s="19" t="b">
        <v>1</v>
      </c>
      <c r="N81" s="19" t="b">
        <v>1</v>
      </c>
      <c r="O81" s="1" t="s">
        <v>1284</v>
      </c>
      <c r="P81" s="7" t="str">
        <f ca="1">IFERROR(__xludf.DUMMYFUNCTION("iferror(vlookup(B81,importrange(""https://docs.google.com/spreadsheets/d/1boHyJQ4e2FU0QG8MHwEi6qjX4hvZWVCHcFfXjq7bbMc/edit?resourcekey#gid=923248883"",""Prop!$C$1:$M""),12,0),IFERROR(vlookup(B81,importrange(""https://docs.google.com/spreadsheets/d/1boHyJQ"&amp;"4e2FU0QG8MHwEi6qjX4hvZWVCHcFfXjq7bbMc/edit?resourcekey#gid=923248883"",""Prop!$N$1:$X""),11,0),iferror(vlookup(B81,importrange(""https://docs.google.com/spreadsheets/d/1boHyJQ4e2FU0QG8MHwEi6qjX4hvZWVCHcFfXjq7bbMc/edit?resourcekey#gid=923248883"",""Prop!$Y"&amp;"$1:$AI""),11,0),iferror(vlookup(B81,importrange(""https://docs.google.com/spreadsheets/d/1boHyJQ4e2FU0QG8MHwEi6qjX4hvZWVCHcFfXjq7bbMc/edit?resourcekey#gid=923248883"",""Prop!$AJ$1:$AT""),11,0),iferror(vlookup(B81,importrange(""https://docs.google.com/spre"&amp;"adsheets/d/1boHyJQ4e2FU0QG8MHwEi6qjX4hvZWVCHcFfXjq7bbMc/edit?resourcekey#gid=923248883"",""Prop!$AU$1:$BE""),11,0),iferror(vlookup(B81,importrange(""https://docs.google.com/spreadsheets/d/1boHyJQ4e2FU0QG8MHwEi6qjX4hvZWVCHcFfXjq7bbMc/edit?resourcekey#gid=9"&amp;"23248883"",""Prop!$BF$1:$BP""),11,0),iferror(vlookup(B81,importrange(""https://docs.google.com/spreadsheets/d/1boHyJQ4e2FU0QG8MHwEi6qjX4hvZWVCHcFfXjq7bbMc/edit?resourcekey#gid=923248883"",""Prop!$BQ$1:$CA""),11,0),iferror(vlookup(B81,importrange(""https:/"&amp;"/docs.google.com/spreadsheets/d/1boHyJQ4e2FU0QG8MHwEi6qjX4hvZWVCHcFfXjq7bbMc/edit?resourcekey#gid=923248883"",""Prop!$CB$1:$CL""),11,0),iferror(vlookup(B81,importrange(""https://docs.google.com/spreadsheets/d/1boHyJQ4e2FU0QG8MHwEi6qjX4hvZWVCHcFfXjq7bbMc/e"&amp;"dit?resourcekey#gid=923248883"",""Prop!$CM$1:$CX""),12,0),iferror(vlookup(B81,importrange(""https://docs.google.com/spreadsheets/d/1boHyJQ4e2FU0QG8MHwEi6qjX4hvZWVCHcFfXjq7bbMc/edit?resourcekey#gid=923248883"",""Prop!$CV$1:$DI""),11,0)))))))))))"),"https://drive.google.com/open?id=1W_hY5GnWsX81k3F4MigfhA1-o57OifEp")</f>
        <v>https://drive.google.com/open?id=1W_hY5GnWsX81k3F4MigfhA1-o57OifEp</v>
      </c>
      <c r="Q81" s="7" t="str">
        <f ca="1">IFERROR(__xludf.DUMMYFUNCTION("iferror(vlookup(B81,importrange(""https://docs.google.com/spreadsheets/d/1p53T2AuvvIqhP7Nf-bo3Uhj8cbKYRPpZdsrBv3x3bAQ/edit?resourcekey#gid=1321652304"",""Prop!$C$1:$M""),11,0),IFERROR(vlookup(B81,importrange(""https://docs.google.com/spreadsheets/d/1p53T2"&amp;"AuvvIqhP7Nf-bo3Uhj8cbKYRPpZdsrBv3x3bAQ/edit?resourcekey#gid=1321652304"",""Prop!$N$1:$X""),11,0),iferror(vlookup(B81,importrange(""https://docs.google.com/spreadsheets/d/1p53T2AuvvIqhP7Nf-bo3Uhj8cbKYRPpZdsrBv3x3bAQ/edit?resourcekey#gid=1321652304"",""Prop"&amp;"!$Y$1:$AI""),11,0),iferror(vlookup(B81,importrange(""https://docs.google.com/spreadsheets/d/1p53T2AuvvIqhP7Nf-bo3Uhj8cbKYRPpZdsrBv3x3bAQ/edit?resourcekey#gid=1321652304"",""Prop!$AJ$1:$AT""),11,0),iferror(vlookup(B81,importrange(""https://docs.google.com/"&amp;"spreadsheets/d/1p53T2AuvvIqhP7Nf-bo3Uhj8cbKYRPpZdsrBv3x3bAQ/edit?resourcekey#gid=1321652304"",""Prop!$AU$1:$BE""),11,0),iferror(vlookup(B81,importrange(""https://docs.google.com/spreadsheets/d/1p53T2AuvvIqhP7Nf-bo3Uhj8cbKYRPpZdsrBv3x3bAQ/edit?resourcekey#"&amp;"gid=1321652304"",""Prop!$BF$1:$BP""),11,0),iferror(vlookup(B81,importrange(""https://docs.google.com/spreadsheets/d/1p53T2AuvvIqhP7Nf-bo3Uhj8cbKYRPpZdsrBv3x3bAQ/edit?resourcekey#gid=1321652304"",""Prop!$BQ$1:$CA""),11,0),iferror(vlookup(B81,importrange("""&amp;"https://docs.google.com/spreadsheets/d/1p53T2AuvvIqhP7Nf-bo3Uhj8cbKYRPpZdsrBv3x3bAQ/edit?resourcekey#gid=1321652304"",""Prop!$CB$1:$CL""),11,0),iferror(vlookup(B81,importrange(""https://docs.google.com/spreadsheets/d/1p53T2AuvvIqhP7Nf-bo3Uhj8cbKYRPpZdsrBv"&amp;"3x3bAQ/edit?resourcekey#gid=1321652304"",""Prop!$CM$1:$CX""),11,0),iferror(vlookup(B81,importrange(""https://docs.google.com/spreadsheets/d/1p53T2AuvvIqhP7Nf-bo3Uhj8cbKYRPpZdsrBv3x3bAQ/edit?resourcekey#gid=1321652304"",""Prop!$CY$1:$DI""),11,0)))))))))))"),"https://drive.google.com/open?id=1C-NaHVHZ9mUEmQLBStWD8ASJOt-Gm8GZ")</f>
        <v>https://drive.google.com/open?id=1C-NaHVHZ9mUEmQLBStWD8ASJOt-Gm8GZ</v>
      </c>
      <c r="R81" s="88" t="s">
        <v>1229</v>
      </c>
      <c r="S81" s="20" t="str">
        <f ca="1">IFERROR(__xludf.DUMMYFUNCTION("IFERROR(vlookup(B81,IMPORTRANGE(""https://docs.google.com/spreadsheets/d/1g_jfYYK_KeipEDNDUgqgrsxK94XiocfNQIcP-v1QVhI/edit?resourcekey#gid=233272945"",""Nilai!B:CT""),30,0),"" "")"),"lihat file pdf")</f>
        <v>lihat file pdf</v>
      </c>
      <c r="T81" s="20" t="str">
        <f ca="1">IFERROR(__xludf.DUMMYFUNCTION("IFERROR(vlookup(B81,IMPORTRANGE(""https://docs.google.com/spreadsheets/d/1g_jfYYK_KeipEDNDUgqgrsxK94XiocfNQIcP-v1QVhI/edit?resourcekey#gid=233272945"",""Nilai!B:CT""),97,0),"" "")"),"LAYAK UPLOAD KE SIMBELMAWA DENGAN REVISI")</f>
        <v>LAYAK UPLOAD KE SIMBELMAWA DENGAN REVISI</v>
      </c>
      <c r="U81" s="35" t="s">
        <v>1057</v>
      </c>
      <c r="V81" s="70" t="s">
        <v>1265</v>
      </c>
      <c r="W81" s="17" t="s">
        <v>1285</v>
      </c>
      <c r="X81" s="19" t="b">
        <v>1</v>
      </c>
    </row>
    <row r="82" spans="1:24">
      <c r="A82" s="15">
        <v>80</v>
      </c>
      <c r="B82" s="15">
        <f ca="1">IFERROR(__xludf.DUMMYFUNCTION("""COMPUTED_VALUE"""),2212)</f>
        <v>2212</v>
      </c>
      <c r="C82" s="16" t="str">
        <f ca="1">IFERROR(__xludf.DUMMYFUNCTION("""COMPUTED_VALUE"""),"Aditya Wardianto")</f>
        <v>Aditya Wardianto</v>
      </c>
      <c r="D82" s="16" t="str">
        <f ca="1">IFERROR(__xludf.DUMMYFUNCTION("""COMPUTED_VALUE"""),"07311940000001")</f>
        <v>07311940000001</v>
      </c>
      <c r="E82" s="16" t="str">
        <f ca="1">IFERROR(__xludf.DUMMYFUNCTION("""COMPUTED_VALUE"""),"Departemen Teknik Biomedik")</f>
        <v>Departemen Teknik Biomedik</v>
      </c>
      <c r="F82" s="16" t="str">
        <f ca="1">IFERROR(__xludf.DUMMYFUNCTION("""COMPUTED_VALUE"""),"Otomatisasi Skoring Kalsium Arteri Koroner Berbasis CNN untuk Deteksi Dini Penyakit Arteri Koroner")</f>
        <v>Otomatisasi Skoring Kalsium Arteri Koroner Berbasis CNN untuk Deteksi Dini Penyakit Arteri Koroner</v>
      </c>
      <c r="G82" s="16" t="str">
        <f ca="1">IFERROR(__xludf.DUMMYFUNCTION("""COMPUTED_VALUE"""),"Nada Fitrieyatul Hikmah, S.T., M.T.")</f>
        <v>Nada Fitrieyatul Hikmah, S.T., M.T.</v>
      </c>
      <c r="H82" s="16" t="str">
        <f ca="1">IFERROR(__xludf.DUMMYFUNCTION("""COMPUTED_VALUE"""),"Ika Nurkasanah, S.Kom., M.Sc.")</f>
        <v>Ika Nurkasanah, S.Kom., M.Sc.</v>
      </c>
      <c r="I82" s="16" t="str">
        <f ca="1">IFERROR(__xludf.DUMMYFUNCTION("""COMPUTED_VALUE"""),"Dr. Ir. Purwadi Agus Darwito, M.Sc.")</f>
        <v>Dr. Ir. Purwadi Agus Darwito, M.Sc.</v>
      </c>
      <c r="J82" s="16"/>
      <c r="K82" s="17" t="s">
        <v>1280</v>
      </c>
      <c r="L82" s="23" t="s">
        <v>1283</v>
      </c>
      <c r="M82" s="19" t="b">
        <v>0</v>
      </c>
      <c r="N82" s="19" t="b">
        <v>0</v>
      </c>
      <c r="O82" s="1" t="s">
        <v>1284</v>
      </c>
      <c r="P82" s="1" t="str">
        <f ca="1">IFERROR(__xludf.DUMMYFUNCTION("iferror(vlookup(B82,importrange(""https://docs.google.com/spreadsheets/d/1boHyJQ4e2FU0QG8MHwEi6qjX4hvZWVCHcFfXjq7bbMc/edit?resourcekey#gid=923248883"",""Prop!$C$1:$M""),12,0),IFERROR(vlookup(B82,importrange(""https://docs.google.com/spreadsheets/d/1boHyJQ"&amp;"4e2FU0QG8MHwEi6qjX4hvZWVCHcFfXjq7bbMc/edit?resourcekey#gid=923248883"",""Prop!$N$1:$X""),11,0),iferror(vlookup(B82,importrange(""https://docs.google.com/spreadsheets/d/1boHyJQ4e2FU0QG8MHwEi6qjX4hvZWVCHcFfXjq7bbMc/edit?resourcekey#gid=923248883"",""Prop!$Y"&amp;"$1:$AI""),11,0),iferror(vlookup(B82,importrange(""https://docs.google.com/spreadsheets/d/1boHyJQ4e2FU0QG8MHwEi6qjX4hvZWVCHcFfXjq7bbMc/edit?resourcekey#gid=923248883"",""Prop!$AJ$1:$AT""),11,0),iferror(vlookup(B82,importrange(""https://docs.google.com/spre"&amp;"adsheets/d/1boHyJQ4e2FU0QG8MHwEi6qjX4hvZWVCHcFfXjq7bbMc/edit?resourcekey#gid=923248883"",""Prop!$AU$1:$BE""),11,0),iferror(vlookup(B82,importrange(""https://docs.google.com/spreadsheets/d/1boHyJQ4e2FU0QG8MHwEi6qjX4hvZWVCHcFfXjq7bbMc/edit?resourcekey#gid=9"&amp;"23248883"",""Prop!$BF$1:$BP""),11,0),iferror(vlookup(B82,importrange(""https://docs.google.com/spreadsheets/d/1boHyJQ4e2FU0QG8MHwEi6qjX4hvZWVCHcFfXjq7bbMc/edit?resourcekey#gid=923248883"",""Prop!$BQ$1:$CA""),11,0),iferror(vlookup(B82,importrange(""https:/"&amp;"/docs.google.com/spreadsheets/d/1boHyJQ4e2FU0QG8MHwEi6qjX4hvZWVCHcFfXjq7bbMc/edit?resourcekey#gid=923248883"",""Prop!$CB$1:$CL""),11,0),iferror(vlookup(B82,importrange(""https://docs.google.com/spreadsheets/d/1boHyJQ4e2FU0QG8MHwEi6qjX4hvZWVCHcFfXjq7bbMc/e"&amp;"dit?resourcekey#gid=923248883"",""Prop!$CM$1:$CX""),12,0),iferror(vlookup(B82,importrange(""https://docs.google.com/spreadsheets/d/1boHyJQ4e2FU0QG8MHwEi6qjX4hvZWVCHcFfXjq7bbMc/edit?resourcekey#gid=923248883"",""Prop!$CV$1:$DI""),11,0)))))))))))"),"")</f>
        <v/>
      </c>
      <c r="Q82" s="1" t="str">
        <f ca="1">IFERROR(__xludf.DUMMYFUNCTION("iferror(vlookup(B82,importrange(""https://docs.google.com/spreadsheets/d/1p53T2AuvvIqhP7Nf-bo3Uhj8cbKYRPpZdsrBv3x3bAQ/edit?resourcekey#gid=1321652304"",""Prop!$C$1:$M""),11,0),IFERROR(vlookup(B82,importrange(""https://docs.google.com/spreadsheets/d/1p53T2"&amp;"AuvvIqhP7Nf-bo3Uhj8cbKYRPpZdsrBv3x3bAQ/edit?resourcekey#gid=1321652304"",""Prop!$N$1:$X""),11,0),iferror(vlookup(B82,importrange(""https://docs.google.com/spreadsheets/d/1p53T2AuvvIqhP7Nf-bo3Uhj8cbKYRPpZdsrBv3x3bAQ/edit?resourcekey#gid=1321652304"",""Prop"&amp;"!$Y$1:$AI""),11,0),iferror(vlookup(B82,importrange(""https://docs.google.com/spreadsheets/d/1p53T2AuvvIqhP7Nf-bo3Uhj8cbKYRPpZdsrBv3x3bAQ/edit?resourcekey#gid=1321652304"",""Prop!$AJ$1:$AT""),11,0),iferror(vlookup(B82,importrange(""https://docs.google.com/"&amp;"spreadsheets/d/1p53T2AuvvIqhP7Nf-bo3Uhj8cbKYRPpZdsrBv3x3bAQ/edit?resourcekey#gid=1321652304"",""Prop!$AU$1:$BE""),11,0),iferror(vlookup(B82,importrange(""https://docs.google.com/spreadsheets/d/1p53T2AuvvIqhP7Nf-bo3Uhj8cbKYRPpZdsrBv3x3bAQ/edit?resourcekey#"&amp;"gid=1321652304"",""Prop!$BF$1:$BP""),11,0),iferror(vlookup(B82,importrange(""https://docs.google.com/spreadsheets/d/1p53T2AuvvIqhP7Nf-bo3Uhj8cbKYRPpZdsrBv3x3bAQ/edit?resourcekey#gid=1321652304"",""Prop!$BQ$1:$CA""),11,0),iferror(vlookup(B82,importrange("""&amp;"https://docs.google.com/spreadsheets/d/1p53T2AuvvIqhP7Nf-bo3Uhj8cbKYRPpZdsrBv3x3bAQ/edit?resourcekey#gid=1321652304"",""Prop!$CB$1:$CL""),11,0),iferror(vlookup(B82,importrange(""https://docs.google.com/spreadsheets/d/1p53T2AuvvIqhP7Nf-bo3Uhj8cbKYRPpZdsrBv"&amp;"3x3bAQ/edit?resourcekey#gid=1321652304"",""Prop!$CM$1:$CX""),11,0),iferror(vlookup(B82,importrange(""https://docs.google.com/spreadsheets/d/1p53T2AuvvIqhP7Nf-bo3Uhj8cbKYRPpZdsrBv3x3bAQ/edit?resourcekey#gid=1321652304"",""Prop!$CY$1:$DI""),11,0)))))))))))"),"")</f>
        <v/>
      </c>
      <c r="R82" s="88" t="s">
        <v>1229</v>
      </c>
      <c r="S82" s="20" t="str">
        <f ca="1">IFERROR(__xludf.DUMMYFUNCTION("IFERROR(vlookup(B82,IMPORTRANGE(""https://docs.google.com/spreadsheets/d/1g_jfYYK_KeipEDNDUgqgrsxK94XiocfNQIcP-v1QVhI/edit?resourcekey#gid=233272945"",""Nilai!B:CT""),30,0),"" "")")," ")</f>
        <v xml:space="preserve"> </v>
      </c>
      <c r="T82" s="20" t="str">
        <f ca="1">IFERROR(__xludf.DUMMYFUNCTION("IFERROR(vlookup(B82,IMPORTRANGE(""https://docs.google.com/spreadsheets/d/1g_jfYYK_KeipEDNDUgqgrsxK94XiocfNQIcP-v1QVhI/edit?resourcekey#gid=233272945"",""Nilai!B:CT""),97,0),"" "")")," ")</f>
        <v xml:space="preserve"> </v>
      </c>
      <c r="U82" s="35" t="s">
        <v>1057</v>
      </c>
      <c r="V82" s="70" t="s">
        <v>1265</v>
      </c>
      <c r="W82" s="17" t="s">
        <v>1285</v>
      </c>
      <c r="X82" s="19" t="b">
        <v>0</v>
      </c>
    </row>
    <row r="83" spans="1:24">
      <c r="A83" s="15">
        <v>81</v>
      </c>
      <c r="B83" s="15">
        <f ca="1">IFERROR(__xludf.DUMMYFUNCTION("""COMPUTED_VALUE"""),2132)</f>
        <v>2132</v>
      </c>
      <c r="C83" s="16" t="str">
        <f ca="1">IFERROR(__xludf.DUMMYFUNCTION("""COMPUTED_VALUE"""),"HAFIZ ZAIN FAHRIZAL")</f>
        <v>HAFIZ ZAIN FAHRIZAL</v>
      </c>
      <c r="D83" s="16" t="str">
        <f ca="1">IFERROR(__xludf.DUMMYFUNCTION("""COMPUTED_VALUE"""),"5022201040")</f>
        <v>5022201040</v>
      </c>
      <c r="E83" s="16" t="str">
        <f ca="1">IFERROR(__xludf.DUMMYFUNCTION("""COMPUTED_VALUE"""),"Departemen Teknik Elektro")</f>
        <v>Departemen Teknik Elektro</v>
      </c>
      <c r="F83" s="16" t="str">
        <f ca="1">IFERROR(__xludf.DUMMYFUNCTION("""COMPUTED_VALUE"""),"ASCO : Inovasi Teknologi Analisis Performa Pemain Futsal Berbasis Kecerdasan Buatan")</f>
        <v>ASCO : Inovasi Teknologi Analisis Performa Pemain Futsal Berbasis Kecerdasan Buatan</v>
      </c>
      <c r="G83" s="16" t="str">
        <f ca="1">IFERROR(__xludf.DUMMYFUNCTION("""COMPUTED_VALUE"""),"Rudy Dikairono, ST., M.T.")</f>
        <v>Rudy Dikairono, ST., M.T.</v>
      </c>
      <c r="H83" s="16" t="str">
        <f ca="1">IFERROR(__xludf.DUMMYFUNCTION("""COMPUTED_VALUE"""),"Ika Nurkasanah, S.Kom., M.Sc.")</f>
        <v>Ika Nurkasanah, S.Kom., M.Sc.</v>
      </c>
      <c r="I83" s="16" t="str">
        <f ca="1">IFERROR(__xludf.DUMMYFUNCTION("""COMPUTED_VALUE"""),"Dr. Ir. Purwadi Agus Darwito, M.Sc.")</f>
        <v>Dr. Ir. Purwadi Agus Darwito, M.Sc.</v>
      </c>
      <c r="J83" s="16"/>
      <c r="K83" s="17" t="s">
        <v>1280</v>
      </c>
      <c r="L83" s="23" t="s">
        <v>1283</v>
      </c>
      <c r="M83" s="19" t="b">
        <v>1</v>
      </c>
      <c r="N83" s="19" t="b">
        <v>1</v>
      </c>
      <c r="O83" s="1" t="s">
        <v>1284</v>
      </c>
      <c r="P83" s="7" t="str">
        <f ca="1">IFERROR(__xludf.DUMMYFUNCTION("iferror(vlookup(B83,importrange(""https://docs.google.com/spreadsheets/d/1boHyJQ4e2FU0QG8MHwEi6qjX4hvZWVCHcFfXjq7bbMc/edit?resourcekey#gid=923248883"",""Prop!$C$1:$M""),12,0),IFERROR(vlookup(B83,importrange(""https://docs.google.com/spreadsheets/d/1boHyJQ"&amp;"4e2FU0QG8MHwEi6qjX4hvZWVCHcFfXjq7bbMc/edit?resourcekey#gid=923248883"",""Prop!$N$1:$X""),11,0),iferror(vlookup(B83,importrange(""https://docs.google.com/spreadsheets/d/1boHyJQ4e2FU0QG8MHwEi6qjX4hvZWVCHcFfXjq7bbMc/edit?resourcekey#gid=923248883"",""Prop!$Y"&amp;"$1:$AI""),11,0),iferror(vlookup(B83,importrange(""https://docs.google.com/spreadsheets/d/1boHyJQ4e2FU0QG8MHwEi6qjX4hvZWVCHcFfXjq7bbMc/edit?resourcekey#gid=923248883"",""Prop!$AJ$1:$AT""),11,0),iferror(vlookup(B83,importrange(""https://docs.google.com/spre"&amp;"adsheets/d/1boHyJQ4e2FU0QG8MHwEi6qjX4hvZWVCHcFfXjq7bbMc/edit?resourcekey#gid=923248883"",""Prop!$AU$1:$BE""),11,0),iferror(vlookup(B83,importrange(""https://docs.google.com/spreadsheets/d/1boHyJQ4e2FU0QG8MHwEi6qjX4hvZWVCHcFfXjq7bbMc/edit?resourcekey#gid=9"&amp;"23248883"",""Prop!$BF$1:$BP""),11,0),iferror(vlookup(B83,importrange(""https://docs.google.com/spreadsheets/d/1boHyJQ4e2FU0QG8MHwEi6qjX4hvZWVCHcFfXjq7bbMc/edit?resourcekey#gid=923248883"",""Prop!$BQ$1:$CA""),11,0),iferror(vlookup(B83,importrange(""https:/"&amp;"/docs.google.com/spreadsheets/d/1boHyJQ4e2FU0QG8MHwEi6qjX4hvZWVCHcFfXjq7bbMc/edit?resourcekey#gid=923248883"",""Prop!$CB$1:$CL""),11,0),iferror(vlookup(B83,importrange(""https://docs.google.com/spreadsheets/d/1boHyJQ4e2FU0QG8MHwEi6qjX4hvZWVCHcFfXjq7bbMc/e"&amp;"dit?resourcekey#gid=923248883"",""Prop!$CM$1:$CX""),12,0),iferror(vlookup(B83,importrange(""https://docs.google.com/spreadsheets/d/1boHyJQ4e2FU0QG8MHwEi6qjX4hvZWVCHcFfXjq7bbMc/edit?resourcekey#gid=923248883"",""Prop!$CV$1:$DI""),11,0)))))))))))"),"https://drive.google.com/open?id=1LxSeCr19oqmZfLKx6jyuz2NmRttUob5T")</f>
        <v>https://drive.google.com/open?id=1LxSeCr19oqmZfLKx6jyuz2NmRttUob5T</v>
      </c>
      <c r="Q83" s="7" t="str">
        <f ca="1">IFERROR(__xludf.DUMMYFUNCTION("iferror(vlookup(B83,importrange(""https://docs.google.com/spreadsheets/d/1p53T2AuvvIqhP7Nf-bo3Uhj8cbKYRPpZdsrBv3x3bAQ/edit?resourcekey#gid=1321652304"",""Prop!$C$1:$M""),11,0),IFERROR(vlookup(B83,importrange(""https://docs.google.com/spreadsheets/d/1p53T2"&amp;"AuvvIqhP7Nf-bo3Uhj8cbKYRPpZdsrBv3x3bAQ/edit?resourcekey#gid=1321652304"",""Prop!$N$1:$X""),11,0),iferror(vlookup(B83,importrange(""https://docs.google.com/spreadsheets/d/1p53T2AuvvIqhP7Nf-bo3Uhj8cbKYRPpZdsrBv3x3bAQ/edit?resourcekey#gid=1321652304"",""Prop"&amp;"!$Y$1:$AI""),11,0),iferror(vlookup(B83,importrange(""https://docs.google.com/spreadsheets/d/1p53T2AuvvIqhP7Nf-bo3Uhj8cbKYRPpZdsrBv3x3bAQ/edit?resourcekey#gid=1321652304"",""Prop!$AJ$1:$AT""),11,0),iferror(vlookup(B83,importrange(""https://docs.google.com/"&amp;"spreadsheets/d/1p53T2AuvvIqhP7Nf-bo3Uhj8cbKYRPpZdsrBv3x3bAQ/edit?resourcekey#gid=1321652304"",""Prop!$AU$1:$BE""),11,0),iferror(vlookup(B83,importrange(""https://docs.google.com/spreadsheets/d/1p53T2AuvvIqhP7Nf-bo3Uhj8cbKYRPpZdsrBv3x3bAQ/edit?resourcekey#"&amp;"gid=1321652304"",""Prop!$BF$1:$BP""),11,0),iferror(vlookup(B83,importrange(""https://docs.google.com/spreadsheets/d/1p53T2AuvvIqhP7Nf-bo3Uhj8cbKYRPpZdsrBv3x3bAQ/edit?resourcekey#gid=1321652304"",""Prop!$BQ$1:$CA""),11,0),iferror(vlookup(B83,importrange("""&amp;"https://docs.google.com/spreadsheets/d/1p53T2AuvvIqhP7Nf-bo3Uhj8cbKYRPpZdsrBv3x3bAQ/edit?resourcekey#gid=1321652304"",""Prop!$CB$1:$CL""),11,0),iferror(vlookup(B83,importrange(""https://docs.google.com/spreadsheets/d/1p53T2AuvvIqhP7Nf-bo3Uhj8cbKYRPpZdsrBv"&amp;"3x3bAQ/edit?resourcekey#gid=1321652304"",""Prop!$CM$1:$CX""),11,0),iferror(vlookup(B83,importrange(""https://docs.google.com/spreadsheets/d/1p53T2AuvvIqhP7Nf-bo3Uhj8cbKYRPpZdsrBv3x3bAQ/edit?resourcekey#gid=1321652304"",""Prop!$CY$1:$DI""),11,0)))))))))))"),"https://drive.google.com/open?id=1ScElP5aQdF5wbW2EblnfOJBst9JDcs8x")</f>
        <v>https://drive.google.com/open?id=1ScElP5aQdF5wbW2EblnfOJBst9JDcs8x</v>
      </c>
      <c r="R83" s="88" t="s">
        <v>1229</v>
      </c>
      <c r="S83" s="20" t="str">
        <f ca="1">IFERROR(__xludf.DUMMYFUNCTION("IFERROR(vlookup(B83,IMPORTRANGE(""https://docs.google.com/spreadsheets/d/1g_jfYYK_KeipEDNDUgqgrsxK94XiocfNQIcP-v1QVhI/edit?resourcekey#gid=233272945"",""Nilai!B:CT""),30,0),"" "")"),"-")</f>
        <v>-</v>
      </c>
      <c r="T83" s="20" t="str">
        <f ca="1">IFERROR(__xludf.DUMMYFUNCTION("IFERROR(vlookup(B83,IMPORTRANGE(""https://docs.google.com/spreadsheets/d/1g_jfYYK_KeipEDNDUgqgrsxK94XiocfNQIcP-v1QVhI/edit?resourcekey#gid=233272945"",""Nilai!B:CT""),97,0),"" "")"),"LAYAK UPLOAD KE SIMBELMAWA")</f>
        <v>LAYAK UPLOAD KE SIMBELMAWA</v>
      </c>
      <c r="U83" s="35" t="s">
        <v>1057</v>
      </c>
      <c r="V83" s="70" t="s">
        <v>1265</v>
      </c>
      <c r="W83" s="17" t="s">
        <v>1285</v>
      </c>
      <c r="X83" s="19" t="b">
        <v>1</v>
      </c>
    </row>
    <row r="84" spans="1:24">
      <c r="A84" s="15">
        <v>82</v>
      </c>
      <c r="B84" s="15">
        <f ca="1">IFERROR(__xludf.DUMMYFUNCTION("""COMPUTED_VALUE"""),2947)</f>
        <v>2947</v>
      </c>
      <c r="C84" s="16" t="str">
        <f ca="1">IFERROR(__xludf.DUMMYFUNCTION("""COMPUTED_VALUE"""),"Dinda Apriliyani F.")</f>
        <v>Dinda Apriliyani F.</v>
      </c>
      <c r="D84" s="16" t="str">
        <f ca="1">IFERROR(__xludf.DUMMYFUNCTION("""COMPUTED_VALUE"""),"2043211056")</f>
        <v>2043211056</v>
      </c>
      <c r="E84" s="16" t="str">
        <f ca="1">IFERROR(__xludf.DUMMYFUNCTION("""COMPUTED_VALUE"""),"Departemen Statistika Bisnis")</f>
        <v>Departemen Statistika Bisnis</v>
      </c>
      <c r="F84" s="16" t="str">
        <f ca="1">IFERROR(__xludf.DUMMYFUNCTION("""COMPUTED_VALUE"""),"Smart Tracker-Stick sebagai pelacak barang dan aplikasi serbaguna untuk Traveller")</f>
        <v>Smart Tracker-Stick sebagai pelacak barang dan aplikasi serbaguna untuk Traveller</v>
      </c>
      <c r="G84" s="16" t="str">
        <f ca="1">IFERROR(__xludf.DUMMYFUNCTION("""COMPUTED_VALUE"""),"Dr.Eng. Chastine Fatichah, S.Kom., M.Kom.")</f>
        <v>Dr.Eng. Chastine Fatichah, S.Kom., M.Kom.</v>
      </c>
      <c r="H84" s="16" t="str">
        <f ca="1">IFERROR(__xludf.DUMMYFUNCTION("""COMPUTED_VALUE"""),"Eko Agus Suprayitno, S.Si., M.T.")</f>
        <v>Eko Agus Suprayitno, S.Si., M.T.</v>
      </c>
      <c r="I84" s="16" t="str">
        <f ca="1">IFERROR(__xludf.DUMMYFUNCTION("""COMPUTED_VALUE"""),"Dr. Eng. Hosta Ardhyananta, S.T., M.Sc.")</f>
        <v>Dr. Eng. Hosta Ardhyananta, S.T., M.Sc.</v>
      </c>
      <c r="J84" s="16"/>
      <c r="K84" s="17" t="s">
        <v>1286</v>
      </c>
      <c r="L84" s="23" t="s">
        <v>1283</v>
      </c>
      <c r="M84" s="19" t="b">
        <v>1</v>
      </c>
      <c r="N84" s="19" t="b">
        <v>0</v>
      </c>
      <c r="O84" s="1" t="s">
        <v>1284</v>
      </c>
      <c r="P84" s="7" t="str">
        <f ca="1">IFERROR(__xludf.DUMMYFUNCTION("iferror(vlookup(B84,importrange(""https://docs.google.com/spreadsheets/d/1boHyJQ4e2FU0QG8MHwEi6qjX4hvZWVCHcFfXjq7bbMc/edit?resourcekey#gid=923248883"",""Prop!$C$1:$M""),12,0),IFERROR(vlookup(B84,importrange(""https://docs.google.com/spreadsheets/d/1boHyJQ"&amp;"4e2FU0QG8MHwEi6qjX4hvZWVCHcFfXjq7bbMc/edit?resourcekey#gid=923248883"",""Prop!$N$1:$X""),11,0),iferror(vlookup(B84,importrange(""https://docs.google.com/spreadsheets/d/1boHyJQ4e2FU0QG8MHwEi6qjX4hvZWVCHcFfXjq7bbMc/edit?resourcekey#gid=923248883"",""Prop!$Y"&amp;"$1:$AI""),11,0),iferror(vlookup(B84,importrange(""https://docs.google.com/spreadsheets/d/1boHyJQ4e2FU0QG8MHwEi6qjX4hvZWVCHcFfXjq7bbMc/edit?resourcekey#gid=923248883"",""Prop!$AJ$1:$AT""),11,0),iferror(vlookup(B84,importrange(""https://docs.google.com/spre"&amp;"adsheets/d/1boHyJQ4e2FU0QG8MHwEi6qjX4hvZWVCHcFfXjq7bbMc/edit?resourcekey#gid=923248883"",""Prop!$AU$1:$BE""),11,0),iferror(vlookup(B84,importrange(""https://docs.google.com/spreadsheets/d/1boHyJQ4e2FU0QG8MHwEi6qjX4hvZWVCHcFfXjq7bbMc/edit?resourcekey#gid=9"&amp;"23248883"",""Prop!$BF$1:$BP""),11,0),iferror(vlookup(B84,importrange(""https://docs.google.com/spreadsheets/d/1boHyJQ4e2FU0QG8MHwEi6qjX4hvZWVCHcFfXjq7bbMc/edit?resourcekey#gid=923248883"",""Prop!$BQ$1:$CA""),11,0),iferror(vlookup(B84,importrange(""https:/"&amp;"/docs.google.com/spreadsheets/d/1boHyJQ4e2FU0QG8MHwEi6qjX4hvZWVCHcFfXjq7bbMc/edit?resourcekey#gid=923248883"",""Prop!$CB$1:$CL""),11,0),iferror(vlookup(B84,importrange(""https://docs.google.com/spreadsheets/d/1boHyJQ4e2FU0QG8MHwEi6qjX4hvZWVCHcFfXjq7bbMc/e"&amp;"dit?resourcekey#gid=923248883"",""Prop!$CM$1:$CX""),12,0),iferror(vlookup(B84,importrange(""https://docs.google.com/spreadsheets/d/1boHyJQ4e2FU0QG8MHwEi6qjX4hvZWVCHcFfXjq7bbMc/edit?resourcekey#gid=923248883"",""Prop!$CV$1:$DI""),11,0)))))))))))"),"https://drive.google.com/open?id=1IziWSaV2UU4D2q854Ps6DH7XwT-hPeLR")</f>
        <v>https://drive.google.com/open?id=1IziWSaV2UU4D2q854Ps6DH7XwT-hPeLR</v>
      </c>
      <c r="Q84" s="1" t="str">
        <f ca="1">IFERROR(__xludf.DUMMYFUNCTION("iferror(vlookup(B84,importrange(""https://docs.google.com/spreadsheets/d/1p53T2AuvvIqhP7Nf-bo3Uhj8cbKYRPpZdsrBv3x3bAQ/edit?resourcekey#gid=1321652304"",""Prop!$C$1:$M""),11,0),IFERROR(vlookup(B84,importrange(""https://docs.google.com/spreadsheets/d/1p53T2"&amp;"AuvvIqhP7Nf-bo3Uhj8cbKYRPpZdsrBv3x3bAQ/edit?resourcekey#gid=1321652304"",""Prop!$N$1:$X""),11,0),iferror(vlookup(B84,importrange(""https://docs.google.com/spreadsheets/d/1p53T2AuvvIqhP7Nf-bo3Uhj8cbKYRPpZdsrBv3x3bAQ/edit?resourcekey#gid=1321652304"",""Prop"&amp;"!$Y$1:$AI""),11,0),iferror(vlookup(B84,importrange(""https://docs.google.com/spreadsheets/d/1p53T2AuvvIqhP7Nf-bo3Uhj8cbKYRPpZdsrBv3x3bAQ/edit?resourcekey#gid=1321652304"",""Prop!$AJ$1:$AT""),11,0),iferror(vlookup(B84,importrange(""https://docs.google.com/"&amp;"spreadsheets/d/1p53T2AuvvIqhP7Nf-bo3Uhj8cbKYRPpZdsrBv3x3bAQ/edit?resourcekey#gid=1321652304"",""Prop!$AU$1:$BE""),11,0),iferror(vlookup(B84,importrange(""https://docs.google.com/spreadsheets/d/1p53T2AuvvIqhP7Nf-bo3Uhj8cbKYRPpZdsrBv3x3bAQ/edit?resourcekey#"&amp;"gid=1321652304"",""Prop!$BF$1:$BP""),11,0),iferror(vlookup(B84,importrange(""https://docs.google.com/spreadsheets/d/1p53T2AuvvIqhP7Nf-bo3Uhj8cbKYRPpZdsrBv3x3bAQ/edit?resourcekey#gid=1321652304"",""Prop!$BQ$1:$CA""),11,0),iferror(vlookup(B84,importrange("""&amp;"https://docs.google.com/spreadsheets/d/1p53T2AuvvIqhP7Nf-bo3Uhj8cbKYRPpZdsrBv3x3bAQ/edit?resourcekey#gid=1321652304"",""Prop!$CB$1:$CL""),11,0),iferror(vlookup(B84,importrange(""https://docs.google.com/spreadsheets/d/1p53T2AuvvIqhP7Nf-bo3Uhj8cbKYRPpZdsrBv"&amp;"3x3bAQ/edit?resourcekey#gid=1321652304"",""Prop!$CM$1:$CX""),11,0),iferror(vlookup(B84,importrange(""https://docs.google.com/spreadsheets/d/1p53T2AuvvIqhP7Nf-bo3Uhj8cbKYRPpZdsrBv3x3bAQ/edit?resourcekey#gid=1321652304"",""Prop!$CY$1:$DI""),11,0)))))))))))"),"")</f>
        <v/>
      </c>
      <c r="R84" s="88" t="s">
        <v>1229</v>
      </c>
      <c r="S84" s="20" t="str">
        <f ca="1">IFERROR(__xludf.DUMMYFUNCTION("IFERROR(vlookup(B84,IMPORTRANGE(""https://docs.google.com/spreadsheets/d/1g_jfYYK_KeipEDNDUgqgrsxK94XiocfNQIcP-v1QVhI/edit?resourcekey#gid=233272945"",""Nilai!B:CT""),30,0),"" "")"),"bukan karsa")</f>
        <v>bukan karsa</v>
      </c>
      <c r="T84" s="20" t="str">
        <f ca="1">IFERROR(__xludf.DUMMYFUNCTION("IFERROR(vlookup(B84,IMPORTRANGE(""https://docs.google.com/spreadsheets/d/1g_jfYYK_KeipEDNDUgqgrsxK94XiocfNQIcP-v1QVhI/edit?resourcekey#gid=233272945"",""Nilai!B:CT""),97,0),"" "")"),"TIDAK LAYAK UPLOAD KE SIMBELMAWA")</f>
        <v>TIDAK LAYAK UPLOAD KE SIMBELMAWA</v>
      </c>
      <c r="U84" s="35" t="s">
        <v>1057</v>
      </c>
      <c r="V84" s="70" t="s">
        <v>1265</v>
      </c>
      <c r="W84" s="17" t="s">
        <v>1285</v>
      </c>
      <c r="X84" s="19" t="b">
        <v>0</v>
      </c>
    </row>
    <row r="85" spans="1:24">
      <c r="A85" s="15">
        <v>83</v>
      </c>
      <c r="B85" s="15">
        <f ca="1">IFERROR(__xludf.DUMMYFUNCTION("""COMPUTED_VALUE"""),2619)</f>
        <v>2619</v>
      </c>
      <c r="C85" s="16" t="str">
        <f ca="1">IFERROR(__xludf.DUMMYFUNCTION("""COMPUTED_VALUE"""),"CHINDY PRILYA FERMANSYAH")</f>
        <v>CHINDY PRILYA FERMANSYAH</v>
      </c>
      <c r="D85" s="16" t="str">
        <f ca="1">IFERROR(__xludf.DUMMYFUNCTION("""COMPUTED_VALUE"""),"07111940000177")</f>
        <v>07111940000177</v>
      </c>
      <c r="E85" s="16" t="str">
        <f ca="1">IFERROR(__xludf.DUMMYFUNCTION("""COMPUTED_VALUE"""),"Departemen Teknik Elektro")</f>
        <v>Departemen Teknik Elektro</v>
      </c>
      <c r="F85" s="16" t="str">
        <f ca="1">IFERROR(__xludf.DUMMYFUNCTION("""COMPUTED_VALUE"""),"Sistem Pembangkit Hybrid PV dan Turbin Savonius Terintergrasi IoT di Ibu Kota Baru Sebagai Solusi Mewujudkan Indonesia Mandiri Energi.")</f>
        <v>Sistem Pembangkit Hybrid PV dan Turbin Savonius Terintergrasi IoT di Ibu Kota Baru Sebagai Solusi Mewujudkan Indonesia Mandiri Energi.</v>
      </c>
      <c r="G85" s="16" t="str">
        <f ca="1">IFERROR(__xludf.DUMMYFUNCTION("""COMPUTED_VALUE"""),"Dr.Eng. Ardyono Priyadi, S.T., M.Eng.")</f>
        <v>Dr.Eng. Ardyono Priyadi, S.T., M.Eng.</v>
      </c>
      <c r="H85" s="16" t="str">
        <f ca="1">IFERROR(__xludf.DUMMYFUNCTION("""COMPUTED_VALUE"""),"Ika Nurkasanah, S.Kom., M.Sc.")</f>
        <v>Ika Nurkasanah, S.Kom., M.Sc.</v>
      </c>
      <c r="I85" s="16" t="str">
        <f ca="1">IFERROR(__xludf.DUMMYFUNCTION("""COMPUTED_VALUE"""),"Dr. Ir. Purwadi Agus Darwito, M.Sc.")</f>
        <v>Dr. Ir. Purwadi Agus Darwito, M.Sc.</v>
      </c>
      <c r="J85" s="16"/>
      <c r="K85" s="17" t="s">
        <v>1286</v>
      </c>
      <c r="L85" s="23" t="s">
        <v>1283</v>
      </c>
      <c r="M85" s="19" t="b">
        <v>1</v>
      </c>
      <c r="N85" s="19" t="b">
        <v>1</v>
      </c>
      <c r="O85" s="1" t="s">
        <v>1284</v>
      </c>
      <c r="P85" s="7" t="str">
        <f ca="1">IFERROR(__xludf.DUMMYFUNCTION("iferror(vlookup(B85,importrange(""https://docs.google.com/spreadsheets/d/1boHyJQ4e2FU0QG8MHwEi6qjX4hvZWVCHcFfXjq7bbMc/edit?resourcekey#gid=923248883"",""Prop!$C$1:$M""),12,0),IFERROR(vlookup(B85,importrange(""https://docs.google.com/spreadsheets/d/1boHyJQ"&amp;"4e2FU0QG8MHwEi6qjX4hvZWVCHcFfXjq7bbMc/edit?resourcekey#gid=923248883"",""Prop!$N$1:$X""),11,0),iferror(vlookup(B85,importrange(""https://docs.google.com/spreadsheets/d/1boHyJQ4e2FU0QG8MHwEi6qjX4hvZWVCHcFfXjq7bbMc/edit?resourcekey#gid=923248883"",""Prop!$Y"&amp;"$1:$AI""),11,0),iferror(vlookup(B85,importrange(""https://docs.google.com/spreadsheets/d/1boHyJQ4e2FU0QG8MHwEi6qjX4hvZWVCHcFfXjq7bbMc/edit?resourcekey#gid=923248883"",""Prop!$AJ$1:$AT""),11,0),iferror(vlookup(B85,importrange(""https://docs.google.com/spre"&amp;"adsheets/d/1boHyJQ4e2FU0QG8MHwEi6qjX4hvZWVCHcFfXjq7bbMc/edit?resourcekey#gid=923248883"",""Prop!$AU$1:$BE""),11,0),iferror(vlookup(B85,importrange(""https://docs.google.com/spreadsheets/d/1boHyJQ4e2FU0QG8MHwEi6qjX4hvZWVCHcFfXjq7bbMc/edit?resourcekey#gid=9"&amp;"23248883"",""Prop!$BF$1:$BP""),11,0),iferror(vlookup(B85,importrange(""https://docs.google.com/spreadsheets/d/1boHyJQ4e2FU0QG8MHwEi6qjX4hvZWVCHcFfXjq7bbMc/edit?resourcekey#gid=923248883"",""Prop!$BQ$1:$CA""),11,0),iferror(vlookup(B85,importrange(""https:/"&amp;"/docs.google.com/spreadsheets/d/1boHyJQ4e2FU0QG8MHwEi6qjX4hvZWVCHcFfXjq7bbMc/edit?resourcekey#gid=923248883"",""Prop!$CB$1:$CL""),11,0),iferror(vlookup(B85,importrange(""https://docs.google.com/spreadsheets/d/1boHyJQ4e2FU0QG8MHwEi6qjX4hvZWVCHcFfXjq7bbMc/e"&amp;"dit?resourcekey#gid=923248883"",""Prop!$CM$1:$CX""),12,0),iferror(vlookup(B85,importrange(""https://docs.google.com/spreadsheets/d/1boHyJQ4e2FU0QG8MHwEi6qjX4hvZWVCHcFfXjq7bbMc/edit?resourcekey#gid=923248883"",""Prop!$CV$1:$DI""),11,0)))))))))))"),"https://drive.google.com/open?id=1fjEISUJs6hOxIOoFygLog35Fw3kv_UCG")</f>
        <v>https://drive.google.com/open?id=1fjEISUJs6hOxIOoFygLog35Fw3kv_UCG</v>
      </c>
      <c r="Q85" s="7" t="str">
        <f ca="1">IFERROR(__xludf.DUMMYFUNCTION("iferror(vlookup(B85,importrange(""https://docs.google.com/spreadsheets/d/1p53T2AuvvIqhP7Nf-bo3Uhj8cbKYRPpZdsrBv3x3bAQ/edit?resourcekey#gid=1321652304"",""Prop!$C$1:$M""),11,0),IFERROR(vlookup(B85,importrange(""https://docs.google.com/spreadsheets/d/1p53T2"&amp;"AuvvIqhP7Nf-bo3Uhj8cbKYRPpZdsrBv3x3bAQ/edit?resourcekey#gid=1321652304"",""Prop!$N$1:$X""),11,0),iferror(vlookup(B85,importrange(""https://docs.google.com/spreadsheets/d/1p53T2AuvvIqhP7Nf-bo3Uhj8cbKYRPpZdsrBv3x3bAQ/edit?resourcekey#gid=1321652304"",""Prop"&amp;"!$Y$1:$AI""),11,0),iferror(vlookup(B85,importrange(""https://docs.google.com/spreadsheets/d/1p53T2AuvvIqhP7Nf-bo3Uhj8cbKYRPpZdsrBv3x3bAQ/edit?resourcekey#gid=1321652304"",""Prop!$AJ$1:$AT""),11,0),iferror(vlookup(B85,importrange(""https://docs.google.com/"&amp;"spreadsheets/d/1p53T2AuvvIqhP7Nf-bo3Uhj8cbKYRPpZdsrBv3x3bAQ/edit?resourcekey#gid=1321652304"",""Prop!$AU$1:$BE""),11,0),iferror(vlookup(B85,importrange(""https://docs.google.com/spreadsheets/d/1p53T2AuvvIqhP7Nf-bo3Uhj8cbKYRPpZdsrBv3x3bAQ/edit?resourcekey#"&amp;"gid=1321652304"",""Prop!$BF$1:$BP""),11,0),iferror(vlookup(B85,importrange(""https://docs.google.com/spreadsheets/d/1p53T2AuvvIqhP7Nf-bo3Uhj8cbKYRPpZdsrBv3x3bAQ/edit?resourcekey#gid=1321652304"",""Prop!$BQ$1:$CA""),11,0),iferror(vlookup(B85,importrange("""&amp;"https://docs.google.com/spreadsheets/d/1p53T2AuvvIqhP7Nf-bo3Uhj8cbKYRPpZdsrBv3x3bAQ/edit?resourcekey#gid=1321652304"",""Prop!$CB$1:$CL""),11,0),iferror(vlookup(B85,importrange(""https://docs.google.com/spreadsheets/d/1p53T2AuvvIqhP7Nf-bo3Uhj8cbKYRPpZdsrBv"&amp;"3x3bAQ/edit?resourcekey#gid=1321652304"",""Prop!$CM$1:$CX""),11,0),iferror(vlookup(B85,importrange(""https://docs.google.com/spreadsheets/d/1p53T2AuvvIqhP7Nf-bo3Uhj8cbKYRPpZdsrBv3x3bAQ/edit?resourcekey#gid=1321652304"",""Prop!$CY$1:$DI""),11,0)))))))))))"),"https://drive.google.com/open?id=1NX3uOrQ__ULO1wov3DDsNdNxf4en1H81")</f>
        <v>https://drive.google.com/open?id=1NX3uOrQ__ULO1wov3DDsNdNxf4en1H81</v>
      </c>
      <c r="R85" s="88" t="s">
        <v>1229</v>
      </c>
      <c r="S85" s="20" t="str">
        <f ca="1">IFERROR(__xludf.DUMMYFUNCTION("IFERROR(vlookup(B85,IMPORTRANGE(""https://docs.google.com/spreadsheets/d/1g_jfYYK_KeipEDNDUgqgrsxK94XiocfNQIcP-v1QVhI/edit?resourcekey#gid=233272945"",""Nilai!B:CT""),30,0),"" "")"),"lihat file pdf")</f>
        <v>lihat file pdf</v>
      </c>
      <c r="T85" s="20" t="str">
        <f ca="1">IFERROR(__xludf.DUMMYFUNCTION("IFERROR(vlookup(B85,IMPORTRANGE(""https://docs.google.com/spreadsheets/d/1g_jfYYK_KeipEDNDUgqgrsxK94XiocfNQIcP-v1QVhI/edit?resourcekey#gid=233272945"",""Nilai!B:CT""),97,0),"" "")"),"LAYAK UPLOAD KE SIMBELMAWA DENGAN REVISI")</f>
        <v>LAYAK UPLOAD KE SIMBELMAWA DENGAN REVISI</v>
      </c>
      <c r="U85" s="35" t="s">
        <v>1057</v>
      </c>
      <c r="V85" s="70" t="s">
        <v>1265</v>
      </c>
      <c r="W85" s="17" t="s">
        <v>1285</v>
      </c>
      <c r="X85" s="19" t="b">
        <v>1</v>
      </c>
    </row>
    <row r="86" spans="1:24">
      <c r="A86" s="15">
        <v>84</v>
      </c>
      <c r="B86" s="15">
        <f ca="1">IFERROR(__xludf.DUMMYFUNCTION("""COMPUTED_VALUE"""),2609)</f>
        <v>2609</v>
      </c>
      <c r="C86" s="16" t="str">
        <f ca="1">IFERROR(__xludf.DUMMYFUNCTION("""COMPUTED_VALUE"""),"SYACHRILO AMAR MA`RUF")</f>
        <v>SYACHRILO AMAR MA`RUF</v>
      </c>
      <c r="D86" s="16" t="str">
        <f ca="1">IFERROR(__xludf.DUMMYFUNCTION("""COMPUTED_VALUE"""),"2042201046")</f>
        <v>2042201046</v>
      </c>
      <c r="E86" s="16" t="str">
        <f ca="1">IFERROR(__xludf.DUMMYFUNCTION("""COMPUTED_VALUE"""),"Departemen Teknik Instrumentasi")</f>
        <v>Departemen Teknik Instrumentasi</v>
      </c>
      <c r="F86" s="16" t="str">
        <f ca="1">IFERROR(__xludf.DUMMYFUNCTION("""COMPUTED_VALUE"""),"Automatic Vertical Farming Berbasis IoT Guna Menanggulangi Permasalahan Kurangnya Lahan Berkebun pada Wilayah Perkotaan")</f>
        <v>Automatic Vertical Farming Berbasis IoT Guna Menanggulangi Permasalahan Kurangnya Lahan Berkebun pada Wilayah Perkotaan</v>
      </c>
      <c r="G86" s="16" t="str">
        <f ca="1">IFERROR(__xludf.DUMMYFUNCTION("""COMPUTED_VALUE"""),"I Putu Eka Widya Pratama, S.Si., M.Sc.RWTH.")</f>
        <v>I Putu Eka Widya Pratama, S.Si., M.Sc.RWTH.</v>
      </c>
      <c r="H86" s="16" t="str">
        <f ca="1">IFERROR(__xludf.DUMMYFUNCTION("""COMPUTED_VALUE"""),"Ika Nurkasanah, S.Kom., M.Sc.")</f>
        <v>Ika Nurkasanah, S.Kom., M.Sc.</v>
      </c>
      <c r="I86" s="16" t="str">
        <f ca="1">IFERROR(__xludf.DUMMYFUNCTION("""COMPUTED_VALUE"""),"Dr. Ir. Purwadi Agus Darwito, M.Sc.")</f>
        <v>Dr. Ir. Purwadi Agus Darwito, M.Sc.</v>
      </c>
      <c r="J86" s="16"/>
      <c r="K86" s="17" t="s">
        <v>1286</v>
      </c>
      <c r="L86" s="23" t="s">
        <v>1283</v>
      </c>
      <c r="M86" s="19" t="b">
        <v>1</v>
      </c>
      <c r="N86" s="19" t="b">
        <v>0</v>
      </c>
      <c r="O86" s="1" t="s">
        <v>1284</v>
      </c>
      <c r="P86" s="7" t="str">
        <f ca="1">IFERROR(__xludf.DUMMYFUNCTION("iferror(vlookup(B86,importrange(""https://docs.google.com/spreadsheets/d/1boHyJQ4e2FU0QG8MHwEi6qjX4hvZWVCHcFfXjq7bbMc/edit?resourcekey#gid=923248883"",""Prop!$C$1:$M""),12,0),IFERROR(vlookup(B86,importrange(""https://docs.google.com/spreadsheets/d/1boHyJQ"&amp;"4e2FU0QG8MHwEi6qjX4hvZWVCHcFfXjq7bbMc/edit?resourcekey#gid=923248883"",""Prop!$N$1:$X""),11,0),iferror(vlookup(B86,importrange(""https://docs.google.com/spreadsheets/d/1boHyJQ4e2FU0QG8MHwEi6qjX4hvZWVCHcFfXjq7bbMc/edit?resourcekey#gid=923248883"",""Prop!$Y"&amp;"$1:$AI""),11,0),iferror(vlookup(B86,importrange(""https://docs.google.com/spreadsheets/d/1boHyJQ4e2FU0QG8MHwEi6qjX4hvZWVCHcFfXjq7bbMc/edit?resourcekey#gid=923248883"",""Prop!$AJ$1:$AT""),11,0),iferror(vlookup(B86,importrange(""https://docs.google.com/spre"&amp;"adsheets/d/1boHyJQ4e2FU0QG8MHwEi6qjX4hvZWVCHcFfXjq7bbMc/edit?resourcekey#gid=923248883"",""Prop!$AU$1:$BE""),11,0),iferror(vlookup(B86,importrange(""https://docs.google.com/spreadsheets/d/1boHyJQ4e2FU0QG8MHwEi6qjX4hvZWVCHcFfXjq7bbMc/edit?resourcekey#gid=9"&amp;"23248883"",""Prop!$BF$1:$BP""),11,0),iferror(vlookup(B86,importrange(""https://docs.google.com/spreadsheets/d/1boHyJQ4e2FU0QG8MHwEi6qjX4hvZWVCHcFfXjq7bbMc/edit?resourcekey#gid=923248883"",""Prop!$BQ$1:$CA""),11,0),iferror(vlookup(B86,importrange(""https:/"&amp;"/docs.google.com/spreadsheets/d/1boHyJQ4e2FU0QG8MHwEi6qjX4hvZWVCHcFfXjq7bbMc/edit?resourcekey#gid=923248883"",""Prop!$CB$1:$CL""),11,0),iferror(vlookup(B86,importrange(""https://docs.google.com/spreadsheets/d/1boHyJQ4e2FU0QG8MHwEi6qjX4hvZWVCHcFfXjq7bbMc/e"&amp;"dit?resourcekey#gid=923248883"",""Prop!$CM$1:$CX""),12,0),iferror(vlookup(B86,importrange(""https://docs.google.com/spreadsheets/d/1boHyJQ4e2FU0QG8MHwEi6qjX4hvZWVCHcFfXjq7bbMc/edit?resourcekey#gid=923248883"",""Prop!$CV$1:$DI""),11,0)))))))))))"),"https://drive.google.com/open?id=1BMppy3vSkT4mO4B3Q5CXT2PpfZpj_sg3")</f>
        <v>https://drive.google.com/open?id=1BMppy3vSkT4mO4B3Q5CXT2PpfZpj_sg3</v>
      </c>
      <c r="Q86" s="7" t="str">
        <f ca="1">IFERROR(__xludf.DUMMYFUNCTION("iferror(vlookup(B86,importrange(""https://docs.google.com/spreadsheets/d/1p53T2AuvvIqhP7Nf-bo3Uhj8cbKYRPpZdsrBv3x3bAQ/edit?resourcekey#gid=1321652304"",""Prop!$C$1:$M""),11,0),IFERROR(vlookup(B86,importrange(""https://docs.google.com/spreadsheets/d/1p53T2"&amp;"AuvvIqhP7Nf-bo3Uhj8cbKYRPpZdsrBv3x3bAQ/edit?resourcekey#gid=1321652304"",""Prop!$N$1:$X""),11,0),iferror(vlookup(B86,importrange(""https://docs.google.com/spreadsheets/d/1p53T2AuvvIqhP7Nf-bo3Uhj8cbKYRPpZdsrBv3x3bAQ/edit?resourcekey#gid=1321652304"",""Prop"&amp;"!$Y$1:$AI""),11,0),iferror(vlookup(B86,importrange(""https://docs.google.com/spreadsheets/d/1p53T2AuvvIqhP7Nf-bo3Uhj8cbKYRPpZdsrBv3x3bAQ/edit?resourcekey#gid=1321652304"",""Prop!$AJ$1:$AT""),11,0),iferror(vlookup(B86,importrange(""https://docs.google.com/"&amp;"spreadsheets/d/1p53T2AuvvIqhP7Nf-bo3Uhj8cbKYRPpZdsrBv3x3bAQ/edit?resourcekey#gid=1321652304"",""Prop!$AU$1:$BE""),11,0),iferror(vlookup(B86,importrange(""https://docs.google.com/spreadsheets/d/1p53T2AuvvIqhP7Nf-bo3Uhj8cbKYRPpZdsrBv3x3bAQ/edit?resourcekey#"&amp;"gid=1321652304"",""Prop!$BF$1:$BP""),11,0),iferror(vlookup(B86,importrange(""https://docs.google.com/spreadsheets/d/1p53T2AuvvIqhP7Nf-bo3Uhj8cbKYRPpZdsrBv3x3bAQ/edit?resourcekey#gid=1321652304"",""Prop!$BQ$1:$CA""),11,0),iferror(vlookup(B86,importrange("""&amp;"https://docs.google.com/spreadsheets/d/1p53T2AuvvIqhP7Nf-bo3Uhj8cbKYRPpZdsrBv3x3bAQ/edit?resourcekey#gid=1321652304"",""Prop!$CB$1:$CL""),11,0),iferror(vlookup(B86,importrange(""https://docs.google.com/spreadsheets/d/1p53T2AuvvIqhP7Nf-bo3Uhj8cbKYRPpZdsrBv"&amp;"3x3bAQ/edit?resourcekey#gid=1321652304"",""Prop!$CM$1:$CX""),11,0),iferror(vlookup(B86,importrange(""https://docs.google.com/spreadsheets/d/1p53T2AuvvIqhP7Nf-bo3Uhj8cbKYRPpZdsrBv3x3bAQ/edit?resourcekey#gid=1321652304"",""Prop!$CY$1:$DI""),11,0)))))))))))"),"https://drive.google.com/open?id=1BGUHwcNWcF9B_cZDR2sywoYP7QKBeHGL")</f>
        <v>https://drive.google.com/open?id=1BGUHwcNWcF9B_cZDR2sywoYP7QKBeHGL</v>
      </c>
      <c r="R86" s="88" t="s">
        <v>1229</v>
      </c>
      <c r="S86" s="20" t="str">
        <f ca="1">IFERROR(__xludf.DUMMYFUNCTION("IFERROR(vlookup(B86,IMPORTRANGE(""https://docs.google.com/spreadsheets/d/1g_jfYYK_KeipEDNDUgqgrsxK94XiocfNQIcP-v1QVhI/edit?resourcekey#gid=233272945"",""Nilai!B:CT""),30,0),"" "")"),"lihat file pdf")</f>
        <v>lihat file pdf</v>
      </c>
      <c r="T86" s="20" t="str">
        <f ca="1">IFERROR(__xludf.DUMMYFUNCTION("IFERROR(vlookup(B86,IMPORTRANGE(""https://docs.google.com/spreadsheets/d/1g_jfYYK_KeipEDNDUgqgrsxK94XiocfNQIcP-v1QVhI/edit?resourcekey#gid=233272945"",""Nilai!B:CT""),97,0),"" "")"),"LAYAK UPLOAD KE SIMBELMAWA DENGAN REVISI")</f>
        <v>LAYAK UPLOAD KE SIMBELMAWA DENGAN REVISI</v>
      </c>
      <c r="U86" s="35" t="s">
        <v>1057</v>
      </c>
      <c r="V86" s="70" t="s">
        <v>1265</v>
      </c>
      <c r="W86" s="17" t="s">
        <v>1287</v>
      </c>
      <c r="X86" s="19" t="b">
        <v>0</v>
      </c>
    </row>
    <row r="87" spans="1:24">
      <c r="A87" s="15">
        <v>85</v>
      </c>
      <c r="B87" s="15">
        <f ca="1">IFERROR(__xludf.DUMMYFUNCTION("""COMPUTED_VALUE"""),2603)</f>
        <v>2603</v>
      </c>
      <c r="C87" s="16" t="str">
        <f ca="1">IFERROR(__xludf.DUMMYFUNCTION("""COMPUTED_VALUE"""),"FARIZA HASNA MAHDIYAH")</f>
        <v>FARIZA HASNA MAHDIYAH</v>
      </c>
      <c r="D87" s="16" t="str">
        <f ca="1">IFERROR(__xludf.DUMMYFUNCTION("""COMPUTED_VALUE"""),"2042201030")</f>
        <v>2042201030</v>
      </c>
      <c r="E87" s="16" t="str">
        <f ca="1">IFERROR(__xludf.DUMMYFUNCTION("""COMPUTED_VALUE"""),"Departemen Teknik Instrumentasi")</f>
        <v>Departemen Teknik Instrumentasi</v>
      </c>
      <c r="F87" s="16" t="str">
        <f ca="1">IFERROR(__xludf.DUMMYFUNCTION("""COMPUTED_VALUE"""),"RANCANG BANGUN HONEY EXTRACTOR YANG LEBIH ERGONOMI DENGAN MEMPERHATIKAN WAKTU DAN RESIKO DALAM PROSES PEMERASAN MADU")</f>
        <v>RANCANG BANGUN HONEY EXTRACTOR YANG LEBIH ERGONOMI DENGAN MEMPERHATIKAN WAKTU DAN RESIKO DALAM PROSES PEMERASAN MADU</v>
      </c>
      <c r="G87" s="16" t="str">
        <f ca="1">IFERROR(__xludf.DUMMYFUNCTION("""COMPUTED_VALUE"""),"Dwi Nur Fitriyanah, S.ST., M.T.")</f>
        <v>Dwi Nur Fitriyanah, S.ST., M.T.</v>
      </c>
      <c r="H87" s="16" t="str">
        <f ca="1">IFERROR(__xludf.DUMMYFUNCTION("""COMPUTED_VALUE"""),"Ika Nurkasanah, S.Kom., M.Sc.")</f>
        <v>Ika Nurkasanah, S.Kom., M.Sc.</v>
      </c>
      <c r="I87" s="16" t="str">
        <f ca="1">IFERROR(__xludf.DUMMYFUNCTION("""COMPUTED_VALUE"""),"Dr. Ir. Purwadi Agus Darwito, M.Sc.")</f>
        <v>Dr. Ir. Purwadi Agus Darwito, M.Sc.</v>
      </c>
      <c r="J87" s="16"/>
      <c r="K87" s="17" t="s">
        <v>1286</v>
      </c>
      <c r="L87" s="23" t="s">
        <v>1283</v>
      </c>
      <c r="M87" s="19" t="b">
        <v>0</v>
      </c>
      <c r="N87" s="19" t="b">
        <v>0</v>
      </c>
      <c r="O87" s="1" t="s">
        <v>1284</v>
      </c>
      <c r="P87" s="1" t="str">
        <f ca="1">IFERROR(__xludf.DUMMYFUNCTION("iferror(vlookup(B87,importrange(""https://docs.google.com/spreadsheets/d/1boHyJQ4e2FU0QG8MHwEi6qjX4hvZWVCHcFfXjq7bbMc/edit?resourcekey#gid=923248883"",""Prop!$C$1:$M""),12,0),IFERROR(vlookup(B87,importrange(""https://docs.google.com/spreadsheets/d/1boHyJQ"&amp;"4e2FU0QG8MHwEi6qjX4hvZWVCHcFfXjq7bbMc/edit?resourcekey#gid=923248883"",""Prop!$N$1:$X""),11,0),iferror(vlookup(B87,importrange(""https://docs.google.com/spreadsheets/d/1boHyJQ4e2FU0QG8MHwEi6qjX4hvZWVCHcFfXjq7bbMc/edit?resourcekey#gid=923248883"",""Prop!$Y"&amp;"$1:$AI""),11,0),iferror(vlookup(B87,importrange(""https://docs.google.com/spreadsheets/d/1boHyJQ4e2FU0QG8MHwEi6qjX4hvZWVCHcFfXjq7bbMc/edit?resourcekey#gid=923248883"",""Prop!$AJ$1:$AT""),11,0),iferror(vlookup(B87,importrange(""https://docs.google.com/spre"&amp;"adsheets/d/1boHyJQ4e2FU0QG8MHwEi6qjX4hvZWVCHcFfXjq7bbMc/edit?resourcekey#gid=923248883"",""Prop!$AU$1:$BE""),11,0),iferror(vlookup(B87,importrange(""https://docs.google.com/spreadsheets/d/1boHyJQ4e2FU0QG8MHwEi6qjX4hvZWVCHcFfXjq7bbMc/edit?resourcekey#gid=9"&amp;"23248883"",""Prop!$BF$1:$BP""),11,0),iferror(vlookup(B87,importrange(""https://docs.google.com/spreadsheets/d/1boHyJQ4e2FU0QG8MHwEi6qjX4hvZWVCHcFfXjq7bbMc/edit?resourcekey#gid=923248883"",""Prop!$BQ$1:$CA""),11,0),iferror(vlookup(B87,importrange(""https:/"&amp;"/docs.google.com/spreadsheets/d/1boHyJQ4e2FU0QG8MHwEi6qjX4hvZWVCHcFfXjq7bbMc/edit?resourcekey#gid=923248883"",""Prop!$CB$1:$CL""),11,0),iferror(vlookup(B87,importrange(""https://docs.google.com/spreadsheets/d/1boHyJQ4e2FU0QG8MHwEi6qjX4hvZWVCHcFfXjq7bbMc/e"&amp;"dit?resourcekey#gid=923248883"",""Prop!$CM$1:$CX""),12,0),iferror(vlookup(B87,importrange(""https://docs.google.com/spreadsheets/d/1boHyJQ4e2FU0QG8MHwEi6qjX4hvZWVCHcFfXjq7bbMc/edit?resourcekey#gid=923248883"",""Prop!$CV$1:$DI""),11,0)))))))))))"),"")</f>
        <v/>
      </c>
      <c r="Q87" s="7" t="str">
        <f ca="1">IFERROR(__xludf.DUMMYFUNCTION("iferror(vlookup(B87,importrange(""https://docs.google.com/spreadsheets/d/1p53T2AuvvIqhP7Nf-bo3Uhj8cbKYRPpZdsrBv3x3bAQ/edit?resourcekey#gid=1321652304"",""Prop!$C$1:$M""),11,0),IFERROR(vlookup(B87,importrange(""https://docs.google.com/spreadsheets/d/1p53T2"&amp;"AuvvIqhP7Nf-bo3Uhj8cbKYRPpZdsrBv3x3bAQ/edit?resourcekey#gid=1321652304"",""Prop!$N$1:$X""),11,0),iferror(vlookup(B87,importrange(""https://docs.google.com/spreadsheets/d/1p53T2AuvvIqhP7Nf-bo3Uhj8cbKYRPpZdsrBv3x3bAQ/edit?resourcekey#gid=1321652304"",""Prop"&amp;"!$Y$1:$AI""),11,0),iferror(vlookup(B87,importrange(""https://docs.google.com/spreadsheets/d/1p53T2AuvvIqhP7Nf-bo3Uhj8cbKYRPpZdsrBv3x3bAQ/edit?resourcekey#gid=1321652304"",""Prop!$AJ$1:$AT""),11,0),iferror(vlookup(B87,importrange(""https://docs.google.com/"&amp;"spreadsheets/d/1p53T2AuvvIqhP7Nf-bo3Uhj8cbKYRPpZdsrBv3x3bAQ/edit?resourcekey#gid=1321652304"",""Prop!$AU$1:$BE""),11,0),iferror(vlookup(B87,importrange(""https://docs.google.com/spreadsheets/d/1p53T2AuvvIqhP7Nf-bo3Uhj8cbKYRPpZdsrBv3x3bAQ/edit?resourcekey#"&amp;"gid=1321652304"",""Prop!$BF$1:$BP""),11,0),iferror(vlookup(B87,importrange(""https://docs.google.com/spreadsheets/d/1p53T2AuvvIqhP7Nf-bo3Uhj8cbKYRPpZdsrBv3x3bAQ/edit?resourcekey#gid=1321652304"",""Prop!$BQ$1:$CA""),11,0),iferror(vlookup(B87,importrange("""&amp;"https://docs.google.com/spreadsheets/d/1p53T2AuvvIqhP7Nf-bo3Uhj8cbKYRPpZdsrBv3x3bAQ/edit?resourcekey#gid=1321652304"",""Prop!$CB$1:$CL""),11,0),iferror(vlookup(B87,importrange(""https://docs.google.com/spreadsheets/d/1p53T2AuvvIqhP7Nf-bo3Uhj8cbKYRPpZdsrBv"&amp;"3x3bAQ/edit?resourcekey#gid=1321652304"",""Prop!$CM$1:$CX""),11,0),iferror(vlookup(B87,importrange(""https://docs.google.com/spreadsheets/d/1p53T2AuvvIqhP7Nf-bo3Uhj8cbKYRPpZdsrBv3x3bAQ/edit?resourcekey#gid=1321652304"",""Prop!$CY$1:$DI""),11,0)))))))))))"),"https://drive.google.com/open?id=145-OfY_IWT_XY4k3kVnBO6DZv0V1W8gk")</f>
        <v>https://drive.google.com/open?id=145-OfY_IWT_XY4k3kVnBO6DZv0V1W8gk</v>
      </c>
      <c r="R87" s="88" t="s">
        <v>1229</v>
      </c>
      <c r="S87" s="20" t="str">
        <f ca="1">IFERROR(__xludf.DUMMYFUNCTION("IFERROR(vlookup(B87,IMPORTRANGE(""https://docs.google.com/spreadsheets/d/1g_jfYYK_KeipEDNDUgqgrsxK94XiocfNQIcP-v1QVhI/edit?resourcekey#gid=233272945"",""Nilai!B:CT""),30,0),"" "")"),"-")</f>
        <v>-</v>
      </c>
      <c r="T87" s="20" t="str">
        <f ca="1">IFERROR(__xludf.DUMMYFUNCTION("IFERROR(vlookup(B87,IMPORTRANGE(""https://docs.google.com/spreadsheets/d/1g_jfYYK_KeipEDNDUgqgrsxK94XiocfNQIcP-v1QVhI/edit?resourcekey#gid=233272945"",""Nilai!B:CT""),97,0),"" "")"),"TIDAK LAYAK UPLOAD KE SIMBELMAWA")</f>
        <v>TIDAK LAYAK UPLOAD KE SIMBELMAWA</v>
      </c>
      <c r="U87" s="35" t="s">
        <v>1057</v>
      </c>
      <c r="V87" s="70" t="s">
        <v>1265</v>
      </c>
      <c r="W87" s="17" t="s">
        <v>1287</v>
      </c>
      <c r="X87" s="19" t="b">
        <v>0</v>
      </c>
    </row>
    <row r="88" spans="1:24">
      <c r="A88" s="15">
        <v>86</v>
      </c>
      <c r="B88" s="15">
        <f ca="1">IFERROR(__xludf.DUMMYFUNCTION("""COMPUTED_VALUE"""),2625)</f>
        <v>2625</v>
      </c>
      <c r="C88" s="16" t="str">
        <f ca="1">IFERROR(__xludf.DUMMYFUNCTION("""COMPUTED_VALUE"""),"SHIDDIQAH FATIMAH SHALEH")</f>
        <v>SHIDDIQAH FATIMAH SHALEH</v>
      </c>
      <c r="D88" s="16" t="str">
        <f ca="1">IFERROR(__xludf.DUMMYFUNCTION("""COMPUTED_VALUE"""),"10411810000082")</f>
        <v>10411810000082</v>
      </c>
      <c r="E88" s="16" t="str">
        <f ca="1">IFERROR(__xludf.DUMMYFUNCTION("""COMPUTED_VALUE"""),"Departemen Teknik Kimia Industri")</f>
        <v>Departemen Teknik Kimia Industri</v>
      </c>
      <c r="F88" s="16" t="str">
        <f ca="1">IFERROR(__xludf.DUMMYFUNCTION("""COMPUTED_VALUE"""),"Pengolahan Limbah Cair Rumah Potong Ayam  dengan Sistem Biofilter Aerob Menggunakan Media Polyethylene Terephthalate ")</f>
        <v xml:space="preserve">Pengolahan Limbah Cair Rumah Potong Ayam  dengan Sistem Biofilter Aerob Menggunakan Media Polyethylene Terephthalate </v>
      </c>
      <c r="G88" s="16" t="str">
        <f ca="1">IFERROR(__xludf.DUMMYFUNCTION("""COMPUTED_VALUE"""),"Ir. Agus Surono, M.T.")</f>
        <v>Ir. Agus Surono, M.T.</v>
      </c>
      <c r="H88" s="16" t="str">
        <f ca="1">IFERROR(__xludf.DUMMYFUNCTION("""COMPUTED_VALUE"""),"Ika Nurkasanah, S.Kom., M.Sc.")</f>
        <v>Ika Nurkasanah, S.Kom., M.Sc.</v>
      </c>
      <c r="I88" s="16" t="str">
        <f ca="1">IFERROR(__xludf.DUMMYFUNCTION("""COMPUTED_VALUE"""),"Dr. Ir. Purwadi Agus Darwito, M.Sc.")</f>
        <v>Dr. Ir. Purwadi Agus Darwito, M.Sc.</v>
      </c>
      <c r="J88" s="16"/>
      <c r="K88" s="17" t="s">
        <v>1286</v>
      </c>
      <c r="L88" s="23" t="s">
        <v>1283</v>
      </c>
      <c r="M88" s="19" t="b">
        <v>1</v>
      </c>
      <c r="N88" s="19" t="b">
        <v>1</v>
      </c>
      <c r="O88" s="1" t="s">
        <v>1284</v>
      </c>
      <c r="P88" s="7" t="str">
        <f ca="1">IFERROR(__xludf.DUMMYFUNCTION("iferror(vlookup(B88,importrange(""https://docs.google.com/spreadsheets/d/1boHyJQ4e2FU0QG8MHwEi6qjX4hvZWVCHcFfXjq7bbMc/edit?resourcekey#gid=923248883"",""Prop!$C$1:$M""),12,0),IFERROR(vlookup(B88,importrange(""https://docs.google.com/spreadsheets/d/1boHyJQ"&amp;"4e2FU0QG8MHwEi6qjX4hvZWVCHcFfXjq7bbMc/edit?resourcekey#gid=923248883"",""Prop!$N$1:$X""),11,0),iferror(vlookup(B88,importrange(""https://docs.google.com/spreadsheets/d/1boHyJQ4e2FU0QG8MHwEi6qjX4hvZWVCHcFfXjq7bbMc/edit?resourcekey#gid=923248883"",""Prop!$Y"&amp;"$1:$AI""),11,0),iferror(vlookup(B88,importrange(""https://docs.google.com/spreadsheets/d/1boHyJQ4e2FU0QG8MHwEi6qjX4hvZWVCHcFfXjq7bbMc/edit?resourcekey#gid=923248883"",""Prop!$AJ$1:$AT""),11,0),iferror(vlookup(B88,importrange(""https://docs.google.com/spre"&amp;"adsheets/d/1boHyJQ4e2FU0QG8MHwEi6qjX4hvZWVCHcFfXjq7bbMc/edit?resourcekey#gid=923248883"",""Prop!$AU$1:$BE""),11,0),iferror(vlookup(B88,importrange(""https://docs.google.com/spreadsheets/d/1boHyJQ4e2FU0QG8MHwEi6qjX4hvZWVCHcFfXjq7bbMc/edit?resourcekey#gid=9"&amp;"23248883"",""Prop!$BF$1:$BP""),11,0),iferror(vlookup(B88,importrange(""https://docs.google.com/spreadsheets/d/1boHyJQ4e2FU0QG8MHwEi6qjX4hvZWVCHcFfXjq7bbMc/edit?resourcekey#gid=923248883"",""Prop!$BQ$1:$CA""),11,0),iferror(vlookup(B88,importrange(""https:/"&amp;"/docs.google.com/spreadsheets/d/1boHyJQ4e2FU0QG8MHwEi6qjX4hvZWVCHcFfXjq7bbMc/edit?resourcekey#gid=923248883"",""Prop!$CB$1:$CL""),11,0),iferror(vlookup(B88,importrange(""https://docs.google.com/spreadsheets/d/1boHyJQ4e2FU0QG8MHwEi6qjX4hvZWVCHcFfXjq7bbMc/e"&amp;"dit?resourcekey#gid=923248883"",""Prop!$CM$1:$CX""),12,0),iferror(vlookup(B88,importrange(""https://docs.google.com/spreadsheets/d/1boHyJQ4e2FU0QG8MHwEi6qjX4hvZWVCHcFfXjq7bbMc/edit?resourcekey#gid=923248883"",""Prop!$CV$1:$DI""),11,0)))))))))))"),"https://drive.google.com/open?id=1faWKQrbAf_5xMzAwSgivR4EnhzYGSIbL")</f>
        <v>https://drive.google.com/open?id=1faWKQrbAf_5xMzAwSgivR4EnhzYGSIbL</v>
      </c>
      <c r="Q88" s="7" t="str">
        <f ca="1">IFERROR(__xludf.DUMMYFUNCTION("iferror(vlookup(B88,importrange(""https://docs.google.com/spreadsheets/d/1p53T2AuvvIqhP7Nf-bo3Uhj8cbKYRPpZdsrBv3x3bAQ/edit?resourcekey#gid=1321652304"",""Prop!$C$1:$M""),11,0),IFERROR(vlookup(B88,importrange(""https://docs.google.com/spreadsheets/d/1p53T2"&amp;"AuvvIqhP7Nf-bo3Uhj8cbKYRPpZdsrBv3x3bAQ/edit?resourcekey#gid=1321652304"",""Prop!$N$1:$X""),11,0),iferror(vlookup(B88,importrange(""https://docs.google.com/spreadsheets/d/1p53T2AuvvIqhP7Nf-bo3Uhj8cbKYRPpZdsrBv3x3bAQ/edit?resourcekey#gid=1321652304"",""Prop"&amp;"!$Y$1:$AI""),11,0),iferror(vlookup(B88,importrange(""https://docs.google.com/spreadsheets/d/1p53T2AuvvIqhP7Nf-bo3Uhj8cbKYRPpZdsrBv3x3bAQ/edit?resourcekey#gid=1321652304"",""Prop!$AJ$1:$AT""),11,0),iferror(vlookup(B88,importrange(""https://docs.google.com/"&amp;"spreadsheets/d/1p53T2AuvvIqhP7Nf-bo3Uhj8cbKYRPpZdsrBv3x3bAQ/edit?resourcekey#gid=1321652304"",""Prop!$AU$1:$BE""),11,0),iferror(vlookup(B88,importrange(""https://docs.google.com/spreadsheets/d/1p53T2AuvvIqhP7Nf-bo3Uhj8cbKYRPpZdsrBv3x3bAQ/edit?resourcekey#"&amp;"gid=1321652304"",""Prop!$BF$1:$BP""),11,0),iferror(vlookup(B88,importrange(""https://docs.google.com/spreadsheets/d/1p53T2AuvvIqhP7Nf-bo3Uhj8cbKYRPpZdsrBv3x3bAQ/edit?resourcekey#gid=1321652304"",""Prop!$BQ$1:$CA""),11,0),iferror(vlookup(B88,importrange("""&amp;"https://docs.google.com/spreadsheets/d/1p53T2AuvvIqhP7Nf-bo3Uhj8cbKYRPpZdsrBv3x3bAQ/edit?resourcekey#gid=1321652304"",""Prop!$CB$1:$CL""),11,0),iferror(vlookup(B88,importrange(""https://docs.google.com/spreadsheets/d/1p53T2AuvvIqhP7Nf-bo3Uhj8cbKYRPpZdsrBv"&amp;"3x3bAQ/edit?resourcekey#gid=1321652304"",""Prop!$CM$1:$CX""),11,0),iferror(vlookup(B88,importrange(""https://docs.google.com/spreadsheets/d/1p53T2AuvvIqhP7Nf-bo3Uhj8cbKYRPpZdsrBv3x3bAQ/edit?resourcekey#gid=1321652304"",""Prop!$CY$1:$DI""),11,0)))))))))))"),"https://drive.google.com/open?id=1-gsHnREW7u8eTTJWok3yiY-YwNlcioe8")</f>
        <v>https://drive.google.com/open?id=1-gsHnREW7u8eTTJWok3yiY-YwNlcioe8</v>
      </c>
      <c r="R88" s="88" t="s">
        <v>1229</v>
      </c>
      <c r="S88" s="20" t="str">
        <f ca="1">IFERROR(__xludf.DUMMYFUNCTION("IFERROR(vlookup(B88,IMPORTRANGE(""https://docs.google.com/spreadsheets/d/1g_jfYYK_KeipEDNDUgqgrsxK94XiocfNQIcP-v1QVhI/edit?resourcekey#gid=233272945"",""Nilai!B:CT""),30,0),"" "")"),"tabel RAB mohon mengikuti pedoman PKM: 1 bahan, 2 sewa, 3 transpor, 4 lain-lain
daftar pustaka masih ada yg belum urut alfabet")</f>
        <v>tabel RAB mohon mengikuti pedoman PKM: 1 bahan, 2 sewa, 3 transpor, 4 lain-lain
daftar pustaka masih ada yg belum urut alfabet</v>
      </c>
      <c r="T88" s="20" t="str">
        <f ca="1">IFERROR(__xludf.DUMMYFUNCTION("IFERROR(vlookup(B88,IMPORTRANGE(""https://docs.google.com/spreadsheets/d/1g_jfYYK_KeipEDNDUgqgrsxK94XiocfNQIcP-v1QVhI/edit?resourcekey#gid=233272945"",""Nilai!B:CT""),97,0),"" "")"),"LAYAK UPLOAD KE SIMBELMAWA DENGAN REVISI")</f>
        <v>LAYAK UPLOAD KE SIMBELMAWA DENGAN REVISI</v>
      </c>
      <c r="U88" s="21" t="s">
        <v>1288</v>
      </c>
      <c r="V88" s="70" t="s">
        <v>1265</v>
      </c>
      <c r="W88" s="17" t="s">
        <v>1287</v>
      </c>
      <c r="X88" s="19" t="b">
        <v>1</v>
      </c>
    </row>
    <row r="89" spans="1:24">
      <c r="A89" s="15">
        <v>87</v>
      </c>
      <c r="B89" s="15">
        <f ca="1">IFERROR(__xludf.DUMMYFUNCTION("""COMPUTED_VALUE"""),2978)</f>
        <v>2978</v>
      </c>
      <c r="C89" s="16" t="str">
        <f ca="1">IFERROR(__xludf.DUMMYFUNCTION("""COMPUTED_VALUE"""),"Agus Darmawan")</f>
        <v>Agus Darmawan</v>
      </c>
      <c r="D89" s="16" t="str">
        <f ca="1">IFERROR(__xludf.DUMMYFUNCTION("""COMPUTED_VALUE"""),"5024211070")</f>
        <v>5024211070</v>
      </c>
      <c r="E89" s="16" t="str">
        <f ca="1">IFERROR(__xludf.DUMMYFUNCTION("""COMPUTED_VALUE"""),"Departemen Teknik Komputer")</f>
        <v>Departemen Teknik Komputer</v>
      </c>
      <c r="F89" s="16" t="str">
        <f ca="1">IFERROR(__xludf.DUMMYFUNCTION("""COMPUTED_VALUE"""),"Smart Rescue System berbasis transmisi radio 433 mhz guna mempercepat upaya penyelamatan korban kecelakaan laut")</f>
        <v>Smart Rescue System berbasis transmisi radio 433 mhz guna mempercepat upaya penyelamatan korban kecelakaan laut</v>
      </c>
      <c r="G89" s="16"/>
      <c r="H89" s="16" t="str">
        <f ca="1">IFERROR(__xludf.DUMMYFUNCTION("""COMPUTED_VALUE"""),"Eko Agus Suprayitno, S.Si., M.T.")</f>
        <v>Eko Agus Suprayitno, S.Si., M.T.</v>
      </c>
      <c r="I89" s="16" t="str">
        <f ca="1">IFERROR(__xludf.DUMMYFUNCTION("""COMPUTED_VALUE"""),"Dr. Eng. Hosta Ardhyananta, S.T., M.Sc.")</f>
        <v>Dr. Eng. Hosta Ardhyananta, S.T., M.Sc.</v>
      </c>
      <c r="J89" s="16"/>
      <c r="K89" s="17" t="s">
        <v>1286</v>
      </c>
      <c r="L89" s="23" t="s">
        <v>1283</v>
      </c>
      <c r="M89" s="19" t="b">
        <v>0</v>
      </c>
      <c r="N89" s="19" t="b">
        <v>0</v>
      </c>
      <c r="O89" s="1" t="s">
        <v>1289</v>
      </c>
      <c r="P89" s="1" t="str">
        <f ca="1">IFERROR(__xludf.DUMMYFUNCTION("iferror(vlookup(B89,importrange(""https://docs.google.com/spreadsheets/d/1boHyJQ4e2FU0QG8MHwEi6qjX4hvZWVCHcFfXjq7bbMc/edit?resourcekey#gid=923248883"",""Prop!$C$1:$M""),12,0),IFERROR(vlookup(B89,importrange(""https://docs.google.com/spreadsheets/d/1boHyJQ"&amp;"4e2FU0QG8MHwEi6qjX4hvZWVCHcFfXjq7bbMc/edit?resourcekey#gid=923248883"",""Prop!$N$1:$X""),11,0),iferror(vlookup(B89,importrange(""https://docs.google.com/spreadsheets/d/1boHyJQ4e2FU0QG8MHwEi6qjX4hvZWVCHcFfXjq7bbMc/edit?resourcekey#gid=923248883"",""Prop!$Y"&amp;"$1:$AI""),11,0),iferror(vlookup(B89,importrange(""https://docs.google.com/spreadsheets/d/1boHyJQ4e2FU0QG8MHwEi6qjX4hvZWVCHcFfXjq7bbMc/edit?resourcekey#gid=923248883"",""Prop!$AJ$1:$AT""),11,0),iferror(vlookup(B89,importrange(""https://docs.google.com/spre"&amp;"adsheets/d/1boHyJQ4e2FU0QG8MHwEi6qjX4hvZWVCHcFfXjq7bbMc/edit?resourcekey#gid=923248883"",""Prop!$AU$1:$BE""),11,0),iferror(vlookup(B89,importrange(""https://docs.google.com/spreadsheets/d/1boHyJQ4e2FU0QG8MHwEi6qjX4hvZWVCHcFfXjq7bbMc/edit?resourcekey#gid=9"&amp;"23248883"",""Prop!$BF$1:$BP""),11,0),iferror(vlookup(B89,importrange(""https://docs.google.com/spreadsheets/d/1boHyJQ4e2FU0QG8MHwEi6qjX4hvZWVCHcFfXjq7bbMc/edit?resourcekey#gid=923248883"",""Prop!$BQ$1:$CA""),11,0),iferror(vlookup(B89,importrange(""https:/"&amp;"/docs.google.com/spreadsheets/d/1boHyJQ4e2FU0QG8MHwEi6qjX4hvZWVCHcFfXjq7bbMc/edit?resourcekey#gid=923248883"",""Prop!$CB$1:$CL""),11,0),iferror(vlookup(B89,importrange(""https://docs.google.com/spreadsheets/d/1boHyJQ4e2FU0QG8MHwEi6qjX4hvZWVCHcFfXjq7bbMc/e"&amp;"dit?resourcekey#gid=923248883"",""Prop!$CM$1:$CX""),12,0),iferror(vlookup(B89,importrange(""https://docs.google.com/spreadsheets/d/1boHyJQ4e2FU0QG8MHwEi6qjX4hvZWVCHcFfXjq7bbMc/edit?resourcekey#gid=923248883"",""Prop!$CV$1:$DI""),11,0)))))))))))"),"")</f>
        <v/>
      </c>
      <c r="Q89" s="1" t="str">
        <f ca="1">IFERROR(__xludf.DUMMYFUNCTION("iferror(vlookup(B89,importrange(""https://docs.google.com/spreadsheets/d/1p53T2AuvvIqhP7Nf-bo3Uhj8cbKYRPpZdsrBv3x3bAQ/edit?resourcekey#gid=1321652304"",""Prop!$C$1:$M""),11,0),IFERROR(vlookup(B89,importrange(""https://docs.google.com/spreadsheets/d/1p53T2"&amp;"AuvvIqhP7Nf-bo3Uhj8cbKYRPpZdsrBv3x3bAQ/edit?resourcekey#gid=1321652304"",""Prop!$N$1:$X""),11,0),iferror(vlookup(B89,importrange(""https://docs.google.com/spreadsheets/d/1p53T2AuvvIqhP7Nf-bo3Uhj8cbKYRPpZdsrBv3x3bAQ/edit?resourcekey#gid=1321652304"",""Prop"&amp;"!$Y$1:$AI""),11,0),iferror(vlookup(B89,importrange(""https://docs.google.com/spreadsheets/d/1p53T2AuvvIqhP7Nf-bo3Uhj8cbKYRPpZdsrBv3x3bAQ/edit?resourcekey#gid=1321652304"",""Prop!$AJ$1:$AT""),11,0),iferror(vlookup(B89,importrange(""https://docs.google.com/"&amp;"spreadsheets/d/1p53T2AuvvIqhP7Nf-bo3Uhj8cbKYRPpZdsrBv3x3bAQ/edit?resourcekey#gid=1321652304"",""Prop!$AU$1:$BE""),11,0),iferror(vlookup(B89,importrange(""https://docs.google.com/spreadsheets/d/1p53T2AuvvIqhP7Nf-bo3Uhj8cbKYRPpZdsrBv3x3bAQ/edit?resourcekey#"&amp;"gid=1321652304"",""Prop!$BF$1:$BP""),11,0),iferror(vlookup(B89,importrange(""https://docs.google.com/spreadsheets/d/1p53T2AuvvIqhP7Nf-bo3Uhj8cbKYRPpZdsrBv3x3bAQ/edit?resourcekey#gid=1321652304"",""Prop!$BQ$1:$CA""),11,0),iferror(vlookup(B89,importrange("""&amp;"https://docs.google.com/spreadsheets/d/1p53T2AuvvIqhP7Nf-bo3Uhj8cbKYRPpZdsrBv3x3bAQ/edit?resourcekey#gid=1321652304"",""Prop!$CB$1:$CL""),11,0),iferror(vlookup(B89,importrange(""https://docs.google.com/spreadsheets/d/1p53T2AuvvIqhP7Nf-bo3Uhj8cbKYRPpZdsrBv"&amp;"3x3bAQ/edit?resourcekey#gid=1321652304"",""Prop!$CM$1:$CX""),11,0),iferror(vlookup(B89,importrange(""https://docs.google.com/spreadsheets/d/1p53T2AuvvIqhP7Nf-bo3Uhj8cbKYRPpZdsrBv3x3bAQ/edit?resourcekey#gid=1321652304"",""Prop!$CY$1:$DI""),11,0)))))))))))"),"")</f>
        <v/>
      </c>
      <c r="R89" s="88" t="s">
        <v>1229</v>
      </c>
      <c r="S89" s="20" t="str">
        <f ca="1">IFERROR(__xludf.DUMMYFUNCTION("IFERROR(vlookup(B89,IMPORTRANGE(""https://docs.google.com/spreadsheets/d/1g_jfYYK_KeipEDNDUgqgrsxK94XiocfNQIcP-v1QVhI/edit?resourcekey#gid=233272945"",""Nilai!B:CT""),30,0),"" "")")," ")</f>
        <v xml:space="preserve"> </v>
      </c>
      <c r="T89" s="20" t="str">
        <f ca="1">IFERROR(__xludf.DUMMYFUNCTION("IFERROR(vlookup(B89,IMPORTRANGE(""https://docs.google.com/spreadsheets/d/1g_jfYYK_KeipEDNDUgqgrsxK94XiocfNQIcP-v1QVhI/edit?resourcekey#gid=233272945"",""Nilai!B:CT""),97,0),"" "")")," ")</f>
        <v xml:space="preserve"> </v>
      </c>
      <c r="U89" s="21" t="s">
        <v>1288</v>
      </c>
      <c r="V89" s="70" t="s">
        <v>1265</v>
      </c>
      <c r="W89" s="17" t="s">
        <v>1287</v>
      </c>
      <c r="X89" s="19" t="b">
        <v>0</v>
      </c>
    </row>
    <row r="90" spans="1:24">
      <c r="A90" s="15">
        <v>88</v>
      </c>
      <c r="B90" s="15">
        <f ca="1">IFERROR(__xludf.DUMMYFUNCTION("""COMPUTED_VALUE"""),2979)</f>
        <v>2979</v>
      </c>
      <c r="C90" s="16" t="str">
        <f ca="1">IFERROR(__xludf.DUMMYFUNCTION("""COMPUTED_VALUE"""),"JALU VEDA")</f>
        <v>JALU VEDA</v>
      </c>
      <c r="D90" s="16" t="str">
        <f ca="1">IFERROR(__xludf.DUMMYFUNCTION("""COMPUTED_VALUE"""),"07111840000134")</f>
        <v>07111840000134</v>
      </c>
      <c r="E90" s="16" t="str">
        <f ca="1">IFERROR(__xludf.DUMMYFUNCTION("""COMPUTED_VALUE"""),"Departemen Teknik Elektro")</f>
        <v>Departemen Teknik Elektro</v>
      </c>
      <c r="F90" s="16" t="str">
        <f ca="1">IFERROR(__xludf.DUMMYFUNCTION("""COMPUTED_VALUE"""),"Sistem Kontrol dan Monitoring Pemupukan Tanaman Berbasis IoT")</f>
        <v>Sistem Kontrol dan Monitoring Pemupukan Tanaman Berbasis IoT</v>
      </c>
      <c r="G90" s="16" t="str">
        <f ca="1">IFERROR(__xludf.DUMMYFUNCTION("""COMPUTED_VALUE"""),"Dr. Muhammad Rivai, ST.,MT.")</f>
        <v>Dr. Muhammad Rivai, ST.,MT.</v>
      </c>
      <c r="H90" s="16" t="str">
        <f ca="1">IFERROR(__xludf.DUMMYFUNCTION("""COMPUTED_VALUE"""),"Eko Agus Suprayitno, S.Si., M.T.")</f>
        <v>Eko Agus Suprayitno, S.Si., M.T.</v>
      </c>
      <c r="I90" s="16" t="str">
        <f ca="1">IFERROR(__xludf.DUMMYFUNCTION("""COMPUTED_VALUE"""),"Dr. Eng. Hosta Ardhyananta, S.T., M.Sc.")</f>
        <v>Dr. Eng. Hosta Ardhyananta, S.T., M.Sc.</v>
      </c>
      <c r="J90" s="16"/>
      <c r="K90" s="17" t="s">
        <v>1290</v>
      </c>
      <c r="L90" s="23" t="s">
        <v>1283</v>
      </c>
      <c r="M90" s="19" t="b">
        <v>1</v>
      </c>
      <c r="N90" s="19" t="b">
        <v>1</v>
      </c>
      <c r="O90" s="1" t="s">
        <v>1289</v>
      </c>
      <c r="P90" s="7" t="str">
        <f ca="1">IFERROR(__xludf.DUMMYFUNCTION("iferror(vlookup(B90,importrange(""https://docs.google.com/spreadsheets/d/1boHyJQ4e2FU0QG8MHwEi6qjX4hvZWVCHcFfXjq7bbMc/edit?resourcekey#gid=923248883"",""Prop!$C$1:$M""),12,0),IFERROR(vlookup(B90,importrange(""https://docs.google.com/spreadsheets/d/1boHyJQ"&amp;"4e2FU0QG8MHwEi6qjX4hvZWVCHcFfXjq7bbMc/edit?resourcekey#gid=923248883"",""Prop!$N$1:$X""),11,0),iferror(vlookup(B90,importrange(""https://docs.google.com/spreadsheets/d/1boHyJQ4e2FU0QG8MHwEi6qjX4hvZWVCHcFfXjq7bbMc/edit?resourcekey#gid=923248883"",""Prop!$Y"&amp;"$1:$AI""),11,0),iferror(vlookup(B90,importrange(""https://docs.google.com/spreadsheets/d/1boHyJQ4e2FU0QG8MHwEi6qjX4hvZWVCHcFfXjq7bbMc/edit?resourcekey#gid=923248883"",""Prop!$AJ$1:$AT""),11,0),iferror(vlookup(B90,importrange(""https://docs.google.com/spre"&amp;"adsheets/d/1boHyJQ4e2FU0QG8MHwEi6qjX4hvZWVCHcFfXjq7bbMc/edit?resourcekey#gid=923248883"",""Prop!$AU$1:$BE""),11,0),iferror(vlookup(B90,importrange(""https://docs.google.com/spreadsheets/d/1boHyJQ4e2FU0QG8MHwEi6qjX4hvZWVCHcFfXjq7bbMc/edit?resourcekey#gid=9"&amp;"23248883"",""Prop!$BF$1:$BP""),11,0),iferror(vlookup(B90,importrange(""https://docs.google.com/spreadsheets/d/1boHyJQ4e2FU0QG8MHwEi6qjX4hvZWVCHcFfXjq7bbMc/edit?resourcekey#gid=923248883"",""Prop!$BQ$1:$CA""),11,0),iferror(vlookup(B90,importrange(""https:/"&amp;"/docs.google.com/spreadsheets/d/1boHyJQ4e2FU0QG8MHwEi6qjX4hvZWVCHcFfXjq7bbMc/edit?resourcekey#gid=923248883"",""Prop!$CB$1:$CL""),11,0),iferror(vlookup(B90,importrange(""https://docs.google.com/spreadsheets/d/1boHyJQ4e2FU0QG8MHwEi6qjX4hvZWVCHcFfXjq7bbMc/e"&amp;"dit?resourcekey#gid=923248883"",""Prop!$CM$1:$CX""),12,0),iferror(vlookup(B90,importrange(""https://docs.google.com/spreadsheets/d/1boHyJQ4e2FU0QG8MHwEi6qjX4hvZWVCHcFfXjq7bbMc/edit?resourcekey#gid=923248883"",""Prop!$CV$1:$DI""),11,0)))))))))))"),"https://drive.google.com/open?id=1-J0KptMrdtGutcCqh_MlXoJScyLQ298a")</f>
        <v>https://drive.google.com/open?id=1-J0KptMrdtGutcCqh_MlXoJScyLQ298a</v>
      </c>
      <c r="Q90" s="7" t="str">
        <f ca="1">IFERROR(__xludf.DUMMYFUNCTION("iferror(vlookup(B90,importrange(""https://docs.google.com/spreadsheets/d/1p53T2AuvvIqhP7Nf-bo3Uhj8cbKYRPpZdsrBv3x3bAQ/edit?resourcekey#gid=1321652304"",""Prop!$C$1:$M""),11,0),IFERROR(vlookup(B90,importrange(""https://docs.google.com/spreadsheets/d/1p53T2"&amp;"AuvvIqhP7Nf-bo3Uhj8cbKYRPpZdsrBv3x3bAQ/edit?resourcekey#gid=1321652304"",""Prop!$N$1:$X""),11,0),iferror(vlookup(B90,importrange(""https://docs.google.com/spreadsheets/d/1p53T2AuvvIqhP7Nf-bo3Uhj8cbKYRPpZdsrBv3x3bAQ/edit?resourcekey#gid=1321652304"",""Prop"&amp;"!$Y$1:$AI""),11,0),iferror(vlookup(B90,importrange(""https://docs.google.com/spreadsheets/d/1p53T2AuvvIqhP7Nf-bo3Uhj8cbKYRPpZdsrBv3x3bAQ/edit?resourcekey#gid=1321652304"",""Prop!$AJ$1:$AT""),11,0),iferror(vlookup(B90,importrange(""https://docs.google.com/"&amp;"spreadsheets/d/1p53T2AuvvIqhP7Nf-bo3Uhj8cbKYRPpZdsrBv3x3bAQ/edit?resourcekey#gid=1321652304"",""Prop!$AU$1:$BE""),11,0),iferror(vlookup(B90,importrange(""https://docs.google.com/spreadsheets/d/1p53T2AuvvIqhP7Nf-bo3Uhj8cbKYRPpZdsrBv3x3bAQ/edit?resourcekey#"&amp;"gid=1321652304"",""Prop!$BF$1:$BP""),11,0),iferror(vlookup(B90,importrange(""https://docs.google.com/spreadsheets/d/1p53T2AuvvIqhP7Nf-bo3Uhj8cbKYRPpZdsrBv3x3bAQ/edit?resourcekey#gid=1321652304"",""Prop!$BQ$1:$CA""),11,0),iferror(vlookup(B90,importrange("""&amp;"https://docs.google.com/spreadsheets/d/1p53T2AuvvIqhP7Nf-bo3Uhj8cbKYRPpZdsrBv3x3bAQ/edit?resourcekey#gid=1321652304"",""Prop!$CB$1:$CL""),11,0),iferror(vlookup(B90,importrange(""https://docs.google.com/spreadsheets/d/1p53T2AuvvIqhP7Nf-bo3Uhj8cbKYRPpZdsrBv"&amp;"3x3bAQ/edit?resourcekey#gid=1321652304"",""Prop!$CM$1:$CX""),11,0),iferror(vlookup(B90,importrange(""https://docs.google.com/spreadsheets/d/1p53T2AuvvIqhP7Nf-bo3Uhj8cbKYRPpZdsrBv3x3bAQ/edit?resourcekey#gid=1321652304"",""Prop!$CY$1:$DI""),11,0)))))))))))"),"https://drive.google.com/open?id=1_44itxRksE3TSCuHoBVJSTSXEW6PHroq")</f>
        <v>https://drive.google.com/open?id=1_44itxRksE3TSCuHoBVJSTSXEW6PHroq</v>
      </c>
      <c r="R90" s="88" t="s">
        <v>1229</v>
      </c>
      <c r="S90" s="20" t="str">
        <f ca="1">IFERROR(__xludf.DUMMYFUNCTION("IFERROR(vlookup(B90,IMPORTRANGE(""https://docs.google.com/spreadsheets/d/1g_jfYYK_KeipEDNDUgqgrsxK94XiocfNQIcP-v1QVhI/edit?resourcekey#gid=233272945"",""Nilai!B:CT""),30,0),"" "")"),"tanaman dalam judul apakah bisa lebih spesifik ke jenis tanaman apa? atau jenis lahannya?
jenis pupuk (NPK) sebaiknya juga muncul dalam judul karena jenis pupuk sangat beragam 
sub bab 1.5 manfaat, dapat fokus saja pada harapan manfaat produk apabila diap"&amp;"likasikan tidak perlu dipecah menjadi bagi masyarakat, pemerintah dan mahasiswa ")</f>
        <v xml:space="preserve">tanaman dalam judul apakah bisa lebih spesifik ke jenis tanaman apa? atau jenis lahannya?
jenis pupuk (NPK) sebaiknya juga muncul dalam judul karena jenis pupuk sangat beragam 
sub bab 1.5 manfaat, dapat fokus saja pada harapan manfaat produk apabila diaplikasikan tidak perlu dipecah menjadi bagi masyarakat, pemerintah dan mahasiswa </v>
      </c>
      <c r="T90" s="20" t="str">
        <f ca="1">IFERROR(__xludf.DUMMYFUNCTION("IFERROR(vlookup(B90,IMPORTRANGE(""https://docs.google.com/spreadsheets/d/1g_jfYYK_KeipEDNDUgqgrsxK94XiocfNQIcP-v1QVhI/edit?resourcekey#gid=233272945"",""Nilai!B:CT""),97,0),"" "")"),"LAYAK UPLOAD KE SIMBELMAWA DENGAN REVISI")</f>
        <v>LAYAK UPLOAD KE SIMBELMAWA DENGAN REVISI</v>
      </c>
      <c r="U90" s="21" t="s">
        <v>1288</v>
      </c>
      <c r="V90" s="70" t="s">
        <v>1265</v>
      </c>
      <c r="W90" s="17" t="s">
        <v>1287</v>
      </c>
      <c r="X90" s="19" t="b">
        <v>1</v>
      </c>
    </row>
    <row r="91" spans="1:24">
      <c r="A91" s="15">
        <v>89</v>
      </c>
      <c r="B91" s="15">
        <f ca="1">IFERROR(__xludf.DUMMYFUNCTION("""COMPUTED_VALUE"""),2129)</f>
        <v>2129</v>
      </c>
      <c r="C91" s="16" t="str">
        <f ca="1">IFERROR(__xludf.DUMMYFUNCTION("""COMPUTED_VALUE"""),"LIEYANTO SIM")</f>
        <v>LIEYANTO SIM</v>
      </c>
      <c r="D91" s="16" t="str">
        <f ca="1">IFERROR(__xludf.DUMMYFUNCTION("""COMPUTED_VALUE"""),"07311940000029")</f>
        <v>07311940000029</v>
      </c>
      <c r="E91" s="16" t="str">
        <f ca="1">IFERROR(__xludf.DUMMYFUNCTION("""COMPUTED_VALUE"""),"Departemen Teknik Biomedik")</f>
        <v>Departemen Teknik Biomedik</v>
      </c>
      <c r="F91" s="16" t="str">
        <f ca="1">IFERROR(__xludf.DUMMYFUNCTION("""COMPUTED_VALUE"""),"Deteksi Kantuk pada Pengemudi Menggunakan Image Processing berdasarkan Kedipan Mata, Ukuran Pupil, dan Detak Jantung")</f>
        <v>Deteksi Kantuk pada Pengemudi Menggunakan Image Processing berdasarkan Kedipan Mata, Ukuran Pupil, dan Detak Jantung</v>
      </c>
      <c r="G91" s="16" t="str">
        <f ca="1">IFERROR(__xludf.DUMMYFUNCTION("""COMPUTED_VALUE"""),"Nada Fitrieyatul Hikmah, S.T., M.T.")</f>
        <v>Nada Fitrieyatul Hikmah, S.T., M.T.</v>
      </c>
      <c r="H91" s="16" t="str">
        <f ca="1">IFERROR(__xludf.DUMMYFUNCTION("""COMPUTED_VALUE"""),"Ika Nurkasanah, S.Kom., M.Sc.")</f>
        <v>Ika Nurkasanah, S.Kom., M.Sc.</v>
      </c>
      <c r="I91" s="16" t="str">
        <f ca="1">IFERROR(__xludf.DUMMYFUNCTION("""COMPUTED_VALUE"""),"Dr. Ir. Purwadi Agus Darwito, M.Sc.")</f>
        <v>Dr. Ir. Purwadi Agus Darwito, M.Sc.</v>
      </c>
      <c r="J91" s="16"/>
      <c r="K91" s="17" t="s">
        <v>1290</v>
      </c>
      <c r="L91" s="58" t="s">
        <v>1291</v>
      </c>
      <c r="M91" s="19" t="b">
        <v>0</v>
      </c>
      <c r="N91" s="19" t="b">
        <v>0</v>
      </c>
      <c r="O91" s="1" t="s">
        <v>1289</v>
      </c>
      <c r="P91" s="1" t="str">
        <f ca="1">IFERROR(__xludf.DUMMYFUNCTION("iferror(vlookup(B91,importrange(""https://docs.google.com/spreadsheets/d/1boHyJQ4e2FU0QG8MHwEi6qjX4hvZWVCHcFfXjq7bbMc/edit?resourcekey#gid=923248883"",""Prop!$C$1:$M""),12,0),IFERROR(vlookup(B91,importrange(""https://docs.google.com/spreadsheets/d/1boHyJQ"&amp;"4e2FU0QG8MHwEi6qjX4hvZWVCHcFfXjq7bbMc/edit?resourcekey#gid=923248883"",""Prop!$N$1:$X""),11,0),iferror(vlookup(B91,importrange(""https://docs.google.com/spreadsheets/d/1boHyJQ4e2FU0QG8MHwEi6qjX4hvZWVCHcFfXjq7bbMc/edit?resourcekey#gid=923248883"",""Prop!$Y"&amp;"$1:$AI""),11,0),iferror(vlookup(B91,importrange(""https://docs.google.com/spreadsheets/d/1boHyJQ4e2FU0QG8MHwEi6qjX4hvZWVCHcFfXjq7bbMc/edit?resourcekey#gid=923248883"",""Prop!$AJ$1:$AT""),11,0),iferror(vlookup(B91,importrange(""https://docs.google.com/spre"&amp;"adsheets/d/1boHyJQ4e2FU0QG8MHwEi6qjX4hvZWVCHcFfXjq7bbMc/edit?resourcekey#gid=923248883"",""Prop!$AU$1:$BE""),11,0),iferror(vlookup(B91,importrange(""https://docs.google.com/spreadsheets/d/1boHyJQ4e2FU0QG8MHwEi6qjX4hvZWVCHcFfXjq7bbMc/edit?resourcekey#gid=9"&amp;"23248883"",""Prop!$BF$1:$BP""),11,0),iferror(vlookup(B91,importrange(""https://docs.google.com/spreadsheets/d/1boHyJQ4e2FU0QG8MHwEi6qjX4hvZWVCHcFfXjq7bbMc/edit?resourcekey#gid=923248883"",""Prop!$BQ$1:$CA""),11,0),iferror(vlookup(B91,importrange(""https:/"&amp;"/docs.google.com/spreadsheets/d/1boHyJQ4e2FU0QG8MHwEi6qjX4hvZWVCHcFfXjq7bbMc/edit?resourcekey#gid=923248883"",""Prop!$CB$1:$CL""),11,0),iferror(vlookup(B91,importrange(""https://docs.google.com/spreadsheets/d/1boHyJQ4e2FU0QG8MHwEi6qjX4hvZWVCHcFfXjq7bbMc/e"&amp;"dit?resourcekey#gid=923248883"",""Prop!$CM$1:$CX""),12,0),iferror(vlookup(B91,importrange(""https://docs.google.com/spreadsheets/d/1boHyJQ4e2FU0QG8MHwEi6qjX4hvZWVCHcFfXjq7bbMc/edit?resourcekey#gid=923248883"",""Prop!$CV$1:$DI""),11,0)))))))))))"),"")</f>
        <v/>
      </c>
      <c r="Q91" s="1" t="str">
        <f ca="1">IFERROR(__xludf.DUMMYFUNCTION("iferror(vlookup(B91,importrange(""https://docs.google.com/spreadsheets/d/1p53T2AuvvIqhP7Nf-bo3Uhj8cbKYRPpZdsrBv3x3bAQ/edit?resourcekey#gid=1321652304"",""Prop!$C$1:$M""),11,0),IFERROR(vlookup(B91,importrange(""https://docs.google.com/spreadsheets/d/1p53T2"&amp;"AuvvIqhP7Nf-bo3Uhj8cbKYRPpZdsrBv3x3bAQ/edit?resourcekey#gid=1321652304"",""Prop!$N$1:$X""),11,0),iferror(vlookup(B91,importrange(""https://docs.google.com/spreadsheets/d/1p53T2AuvvIqhP7Nf-bo3Uhj8cbKYRPpZdsrBv3x3bAQ/edit?resourcekey#gid=1321652304"",""Prop"&amp;"!$Y$1:$AI""),11,0),iferror(vlookup(B91,importrange(""https://docs.google.com/spreadsheets/d/1p53T2AuvvIqhP7Nf-bo3Uhj8cbKYRPpZdsrBv3x3bAQ/edit?resourcekey#gid=1321652304"",""Prop!$AJ$1:$AT""),11,0),iferror(vlookup(B91,importrange(""https://docs.google.com/"&amp;"spreadsheets/d/1p53T2AuvvIqhP7Nf-bo3Uhj8cbKYRPpZdsrBv3x3bAQ/edit?resourcekey#gid=1321652304"",""Prop!$AU$1:$BE""),11,0),iferror(vlookup(B91,importrange(""https://docs.google.com/spreadsheets/d/1p53T2AuvvIqhP7Nf-bo3Uhj8cbKYRPpZdsrBv3x3bAQ/edit?resourcekey#"&amp;"gid=1321652304"",""Prop!$BF$1:$BP""),11,0),iferror(vlookup(B91,importrange(""https://docs.google.com/spreadsheets/d/1p53T2AuvvIqhP7Nf-bo3Uhj8cbKYRPpZdsrBv3x3bAQ/edit?resourcekey#gid=1321652304"",""Prop!$BQ$1:$CA""),11,0),iferror(vlookup(B91,importrange("""&amp;"https://docs.google.com/spreadsheets/d/1p53T2AuvvIqhP7Nf-bo3Uhj8cbKYRPpZdsrBv3x3bAQ/edit?resourcekey#gid=1321652304"",""Prop!$CB$1:$CL""),11,0),iferror(vlookup(B91,importrange(""https://docs.google.com/spreadsheets/d/1p53T2AuvvIqhP7Nf-bo3Uhj8cbKYRPpZdsrBv"&amp;"3x3bAQ/edit?resourcekey#gid=1321652304"",""Prop!$CM$1:$CX""),11,0),iferror(vlookup(B91,importrange(""https://docs.google.com/spreadsheets/d/1p53T2AuvvIqhP7Nf-bo3Uhj8cbKYRPpZdsrBv3x3bAQ/edit?resourcekey#gid=1321652304"",""Prop!$CY$1:$DI""),11,0)))))))))))"),"")</f>
        <v/>
      </c>
      <c r="R91" s="88" t="s">
        <v>1229</v>
      </c>
      <c r="S91" s="20" t="str">
        <f ca="1">IFERROR(__xludf.DUMMYFUNCTION("IFERROR(vlookup(B91,IMPORTRANGE(""https://docs.google.com/spreadsheets/d/1g_jfYYK_KeipEDNDUgqgrsxK94XiocfNQIcP-v1QVhI/edit?resourcekey#gid=233272945"",""Nilai!B:CT""),30,0),"" "")")," ")</f>
        <v xml:space="preserve"> </v>
      </c>
      <c r="T91" s="20" t="str">
        <f ca="1">IFERROR(__xludf.DUMMYFUNCTION("IFERROR(vlookup(B91,IMPORTRANGE(""https://docs.google.com/spreadsheets/d/1g_jfYYK_KeipEDNDUgqgrsxK94XiocfNQIcP-v1QVhI/edit?resourcekey#gid=233272945"",""Nilai!B:CT""),97,0),"" "")")," ")</f>
        <v xml:space="preserve"> </v>
      </c>
      <c r="U91" s="21" t="s">
        <v>1288</v>
      </c>
      <c r="V91" s="70" t="s">
        <v>1265</v>
      </c>
      <c r="W91" s="58" t="s">
        <v>1292</v>
      </c>
      <c r="X91" s="19" t="b">
        <v>0</v>
      </c>
    </row>
    <row r="92" spans="1:24">
      <c r="A92" s="15">
        <v>90</v>
      </c>
      <c r="B92" s="15">
        <f ca="1">IFERROR(__xludf.DUMMYFUNCTION("""COMPUTED_VALUE"""),2192)</f>
        <v>2192</v>
      </c>
      <c r="C92" s="16" t="str">
        <f ca="1">IFERROR(__xludf.DUMMYFUNCTION("""COMPUTED_VALUE"""),"Isnuansa Maharani ")</f>
        <v xml:space="preserve">Isnuansa Maharani </v>
      </c>
      <c r="D92" s="16" t="str">
        <f ca="1">IFERROR(__xludf.DUMMYFUNCTION("""COMPUTED_VALUE"""),"5022211030")</f>
        <v>5022211030</v>
      </c>
      <c r="E92" s="16" t="str">
        <f ca="1">IFERROR(__xludf.DUMMYFUNCTION("""COMPUTED_VALUE"""),"Departemen Teknik Elektro")</f>
        <v>Departemen Teknik Elektro</v>
      </c>
      <c r="F92" s="16" t="str">
        <f ca="1">IFERROR(__xludf.DUMMYFUNCTION("""COMPUTED_VALUE"""),"GoDonor: Aplikasi Tautan untuk Mempermudah Koneksi Antara Pendonor dengan Pencari Donor Agar Memperoleh Donor Organ yang Kompatibel")</f>
        <v>GoDonor: Aplikasi Tautan untuk Mempermudah Koneksi Antara Pendonor dengan Pencari Donor Agar Memperoleh Donor Organ yang Kompatibel</v>
      </c>
      <c r="G92" s="16" t="str">
        <f ca="1">IFERROR(__xludf.DUMMYFUNCTION("""COMPUTED_VALUE"""),"Dr. I Gusti Ngurah Satriyadi Hernanda, S.T., M.T.")</f>
        <v>Dr. I Gusti Ngurah Satriyadi Hernanda, S.T., M.T.</v>
      </c>
      <c r="H92" s="16" t="str">
        <f ca="1">IFERROR(__xludf.DUMMYFUNCTION("""COMPUTED_VALUE"""),"Sefi Novendra Patrialova, S.Si., M.T")</f>
        <v>Sefi Novendra Patrialova, S.Si., M.T</v>
      </c>
      <c r="I92" s="16" t="str">
        <f ca="1">IFERROR(__xludf.DUMMYFUNCTION("""COMPUTED_VALUE"""),"Dr. Suyatno, S.Si., M.Si.")</f>
        <v>Dr. Suyatno, S.Si., M.Si.</v>
      </c>
      <c r="J92" s="16"/>
      <c r="K92" s="17" t="s">
        <v>1290</v>
      </c>
      <c r="L92" s="58" t="s">
        <v>1291</v>
      </c>
      <c r="M92" s="19" t="b">
        <v>1</v>
      </c>
      <c r="N92" s="19" t="b">
        <v>0</v>
      </c>
      <c r="O92" s="1" t="s">
        <v>1289</v>
      </c>
      <c r="P92" s="7" t="str">
        <f ca="1">IFERROR(__xludf.DUMMYFUNCTION("iferror(vlookup(B92,importrange(""https://docs.google.com/spreadsheets/d/1boHyJQ4e2FU0QG8MHwEi6qjX4hvZWVCHcFfXjq7bbMc/edit?resourcekey#gid=923248883"",""Prop!$C$1:$M""),12,0),IFERROR(vlookup(B92,importrange(""https://docs.google.com/spreadsheets/d/1boHyJQ"&amp;"4e2FU0QG8MHwEi6qjX4hvZWVCHcFfXjq7bbMc/edit?resourcekey#gid=923248883"",""Prop!$N$1:$X""),11,0),iferror(vlookup(B92,importrange(""https://docs.google.com/spreadsheets/d/1boHyJQ4e2FU0QG8MHwEi6qjX4hvZWVCHcFfXjq7bbMc/edit?resourcekey#gid=923248883"",""Prop!$Y"&amp;"$1:$AI""),11,0),iferror(vlookup(B92,importrange(""https://docs.google.com/spreadsheets/d/1boHyJQ4e2FU0QG8MHwEi6qjX4hvZWVCHcFfXjq7bbMc/edit?resourcekey#gid=923248883"",""Prop!$AJ$1:$AT""),11,0),iferror(vlookup(B92,importrange(""https://docs.google.com/spre"&amp;"adsheets/d/1boHyJQ4e2FU0QG8MHwEi6qjX4hvZWVCHcFfXjq7bbMc/edit?resourcekey#gid=923248883"",""Prop!$AU$1:$BE""),11,0),iferror(vlookup(B92,importrange(""https://docs.google.com/spreadsheets/d/1boHyJQ4e2FU0QG8MHwEi6qjX4hvZWVCHcFfXjq7bbMc/edit?resourcekey#gid=9"&amp;"23248883"",""Prop!$BF$1:$BP""),11,0),iferror(vlookup(B92,importrange(""https://docs.google.com/spreadsheets/d/1boHyJQ4e2FU0QG8MHwEi6qjX4hvZWVCHcFfXjq7bbMc/edit?resourcekey#gid=923248883"",""Prop!$BQ$1:$CA""),11,0),iferror(vlookup(B92,importrange(""https:/"&amp;"/docs.google.com/spreadsheets/d/1boHyJQ4e2FU0QG8MHwEi6qjX4hvZWVCHcFfXjq7bbMc/edit?resourcekey#gid=923248883"",""Prop!$CB$1:$CL""),11,0),iferror(vlookup(B92,importrange(""https://docs.google.com/spreadsheets/d/1boHyJQ4e2FU0QG8MHwEi6qjX4hvZWVCHcFfXjq7bbMc/e"&amp;"dit?resourcekey#gid=923248883"",""Prop!$CM$1:$CX""),12,0),iferror(vlookup(B92,importrange(""https://docs.google.com/spreadsheets/d/1boHyJQ4e2FU0QG8MHwEi6qjX4hvZWVCHcFfXjq7bbMc/edit?resourcekey#gid=923248883"",""Prop!$CV$1:$DI""),11,0)))))))))))"),"https://drive.google.com/open?id=1FTmhSpqPOqTvXuDnf2GTJDSEH4aNN1Db")</f>
        <v>https://drive.google.com/open?id=1FTmhSpqPOqTvXuDnf2GTJDSEH4aNN1Db</v>
      </c>
      <c r="Q92" s="7" t="str">
        <f ca="1">IFERROR(__xludf.DUMMYFUNCTION("iferror(vlookup(B92,importrange(""https://docs.google.com/spreadsheets/d/1p53T2AuvvIqhP7Nf-bo3Uhj8cbKYRPpZdsrBv3x3bAQ/edit?resourcekey#gid=1321652304"",""Prop!$C$1:$M""),11,0),IFERROR(vlookup(B92,importrange(""https://docs.google.com/spreadsheets/d/1p53T2"&amp;"AuvvIqhP7Nf-bo3Uhj8cbKYRPpZdsrBv3x3bAQ/edit?resourcekey#gid=1321652304"",""Prop!$N$1:$X""),11,0),iferror(vlookup(B92,importrange(""https://docs.google.com/spreadsheets/d/1p53T2AuvvIqhP7Nf-bo3Uhj8cbKYRPpZdsrBv3x3bAQ/edit?resourcekey#gid=1321652304"",""Prop"&amp;"!$Y$1:$AI""),11,0),iferror(vlookup(B92,importrange(""https://docs.google.com/spreadsheets/d/1p53T2AuvvIqhP7Nf-bo3Uhj8cbKYRPpZdsrBv3x3bAQ/edit?resourcekey#gid=1321652304"",""Prop!$AJ$1:$AT""),11,0),iferror(vlookup(B92,importrange(""https://docs.google.com/"&amp;"spreadsheets/d/1p53T2AuvvIqhP7Nf-bo3Uhj8cbKYRPpZdsrBv3x3bAQ/edit?resourcekey#gid=1321652304"",""Prop!$AU$1:$BE""),11,0),iferror(vlookup(B92,importrange(""https://docs.google.com/spreadsheets/d/1p53T2AuvvIqhP7Nf-bo3Uhj8cbKYRPpZdsrBv3x3bAQ/edit?resourcekey#"&amp;"gid=1321652304"",""Prop!$BF$1:$BP""),11,0),iferror(vlookup(B92,importrange(""https://docs.google.com/spreadsheets/d/1p53T2AuvvIqhP7Nf-bo3Uhj8cbKYRPpZdsrBv3x3bAQ/edit?resourcekey#gid=1321652304"",""Prop!$BQ$1:$CA""),11,0),iferror(vlookup(B92,importrange("""&amp;"https://docs.google.com/spreadsheets/d/1p53T2AuvvIqhP7Nf-bo3Uhj8cbKYRPpZdsrBv3x3bAQ/edit?resourcekey#gid=1321652304"",""Prop!$CB$1:$CL""),11,0),iferror(vlookup(B92,importrange(""https://docs.google.com/spreadsheets/d/1p53T2AuvvIqhP7Nf-bo3Uhj8cbKYRPpZdsrBv"&amp;"3x3bAQ/edit?resourcekey#gid=1321652304"",""Prop!$CM$1:$CX""),11,0),iferror(vlookup(B92,importrange(""https://docs.google.com/spreadsheets/d/1p53T2AuvvIqhP7Nf-bo3Uhj8cbKYRPpZdsrBv3x3bAQ/edit?resourcekey#gid=1321652304"",""Prop!$CY$1:$DI""),11,0)))))))))))"),"https://drive.google.com/open?id=1lGpsQyazxQRSREoC3pPL0SqEBVBDO0_Z")</f>
        <v>https://drive.google.com/open?id=1lGpsQyazxQRSREoC3pPL0SqEBVBDO0_Z</v>
      </c>
      <c r="R92" s="88" t="s">
        <v>1229</v>
      </c>
      <c r="S92" s="20" t="str">
        <f ca="1">IFERROR(__xludf.DUMMYFUNCTION("IFERROR(vlookup(B92,IMPORTRANGE(""https://docs.google.com/spreadsheets/d/1g_jfYYK_KeipEDNDUgqgrsxK94XiocfNQIcP-v1QVhI/edit?resourcekey#gid=233272945"",""Nilai!B:CT""),30,0),"" "")"),"bab 4, daftar pustaka, dan lampiran belum masuk daftar isi
kutipan referensi kurang banyak dalam tulisan
tabel 2.1 mestinya tidak menampilkan 'kekurangan' produk yang akan dibuat
RAB pada bab 4 tidak layak
daftar pustaka kurang
surat pernyataan belum ada "&amp;"meterai")</f>
        <v>bab 4, daftar pustaka, dan lampiran belum masuk daftar isi
kutipan referensi kurang banyak dalam tulisan
tabel 2.1 mestinya tidak menampilkan 'kekurangan' produk yang akan dibuat
RAB pada bab 4 tidak layak
daftar pustaka kurang
surat pernyataan belum ada meterai</v>
      </c>
      <c r="T92" s="20" t="str">
        <f ca="1">IFERROR(__xludf.DUMMYFUNCTION("IFERROR(vlookup(B92,IMPORTRANGE(""https://docs.google.com/spreadsheets/d/1g_jfYYK_KeipEDNDUgqgrsxK94XiocfNQIcP-v1QVhI/edit?resourcekey#gid=233272945"",""Nilai!B:CT""),97,0),"" "")"),"TIDAK LAYAK UPLOAD KE SIMBELMAWA")</f>
        <v>TIDAK LAYAK UPLOAD KE SIMBELMAWA</v>
      </c>
      <c r="U92" s="21" t="s">
        <v>1288</v>
      </c>
      <c r="V92" s="70" t="s">
        <v>1265</v>
      </c>
      <c r="W92" s="58" t="s">
        <v>1292</v>
      </c>
      <c r="X92" s="19" t="b">
        <v>0</v>
      </c>
    </row>
    <row r="93" spans="1:24">
      <c r="A93" s="15">
        <v>91</v>
      </c>
      <c r="B93" s="15">
        <f ca="1">IFERROR(__xludf.DUMMYFUNCTION("""COMPUTED_VALUE"""),3698)</f>
        <v>3698</v>
      </c>
      <c r="C93" s="16" t="str">
        <f ca="1">IFERROR(__xludf.DUMMYFUNCTION("""COMPUTED_VALUE"""),"SITI ALICIA ANARA")</f>
        <v>SITI ALICIA ANARA</v>
      </c>
      <c r="D93" s="16" t="str">
        <f ca="1">IFERROR(__xludf.DUMMYFUNCTION("""COMPUTED_VALUE"""),"10411910000033")</f>
        <v>10411910000033</v>
      </c>
      <c r="E93" s="16" t="str">
        <f ca="1">IFERROR(__xludf.DUMMYFUNCTION("""COMPUTED_VALUE"""),"Departemen Teknik Kimia Industri")</f>
        <v>Departemen Teknik Kimia Industri</v>
      </c>
      <c r="F93" s="16" t="str">
        <f ca="1">IFERROR(__xludf.DUMMYFUNCTION("""COMPUTED_VALUE"""),"Perancangan Hybrid Constructed Wetland sebagai Prototipe Instalasi Pengolahan Air Limbah Industri Batik di Kabupaten Sidoarjo")</f>
        <v>Perancangan Hybrid Constructed Wetland sebagai Prototipe Instalasi Pengolahan Air Limbah Industri Batik di Kabupaten Sidoarjo</v>
      </c>
      <c r="G93" s="16" t="str">
        <f ca="1">IFERROR(__xludf.DUMMYFUNCTION("""COMPUTED_VALUE"""),"Prof. Dr. Ir. Soeprijanto, M.Sc.")</f>
        <v>Prof. Dr. Ir. Soeprijanto, M.Sc.</v>
      </c>
      <c r="H93" s="16" t="str">
        <f ca="1">IFERROR(__xludf.DUMMYFUNCTION("""COMPUTED_VALUE"""),"Ervin Nurhayati, S.T., M.T., Ph.D.")</f>
        <v>Ervin Nurhayati, S.T., M.T., Ph.D.</v>
      </c>
      <c r="I93" s="16" t="str">
        <f ca="1">IFERROR(__xludf.DUMMYFUNCTION("""COMPUTED_VALUE"""),"Mahardika F. Rois, S.T, M.T")</f>
        <v>Mahardika F. Rois, S.T, M.T</v>
      </c>
      <c r="J93" s="16"/>
      <c r="K93" s="17" t="s">
        <v>1290</v>
      </c>
      <c r="L93" s="58" t="s">
        <v>1291</v>
      </c>
      <c r="M93" s="19" t="b">
        <v>1</v>
      </c>
      <c r="N93" s="19" t="b">
        <v>0</v>
      </c>
      <c r="O93" s="1" t="s">
        <v>1289</v>
      </c>
      <c r="P93" s="7" t="str">
        <f ca="1">IFERROR(__xludf.DUMMYFUNCTION("iferror(vlookup(B93,importrange(""https://docs.google.com/spreadsheets/d/1boHyJQ4e2FU0QG8MHwEi6qjX4hvZWVCHcFfXjq7bbMc/edit?resourcekey#gid=923248883"",""Prop!$C$1:$M""),12,0),IFERROR(vlookup(B93,importrange(""https://docs.google.com/spreadsheets/d/1boHyJQ"&amp;"4e2FU0QG8MHwEi6qjX4hvZWVCHcFfXjq7bbMc/edit?resourcekey#gid=923248883"",""Prop!$N$1:$X""),11,0),iferror(vlookup(B93,importrange(""https://docs.google.com/spreadsheets/d/1boHyJQ4e2FU0QG8MHwEi6qjX4hvZWVCHcFfXjq7bbMc/edit?resourcekey#gid=923248883"",""Prop!$Y"&amp;"$1:$AI""),11,0),iferror(vlookup(B93,importrange(""https://docs.google.com/spreadsheets/d/1boHyJQ4e2FU0QG8MHwEi6qjX4hvZWVCHcFfXjq7bbMc/edit?resourcekey#gid=923248883"",""Prop!$AJ$1:$AT""),11,0),iferror(vlookup(B93,importrange(""https://docs.google.com/spre"&amp;"adsheets/d/1boHyJQ4e2FU0QG8MHwEi6qjX4hvZWVCHcFfXjq7bbMc/edit?resourcekey#gid=923248883"",""Prop!$AU$1:$BE""),11,0),iferror(vlookup(B93,importrange(""https://docs.google.com/spreadsheets/d/1boHyJQ4e2FU0QG8MHwEi6qjX4hvZWVCHcFfXjq7bbMc/edit?resourcekey#gid=9"&amp;"23248883"",""Prop!$BF$1:$BP""),11,0),iferror(vlookup(B93,importrange(""https://docs.google.com/spreadsheets/d/1boHyJQ4e2FU0QG8MHwEi6qjX4hvZWVCHcFfXjq7bbMc/edit?resourcekey#gid=923248883"",""Prop!$BQ$1:$CA""),11,0),iferror(vlookup(B93,importrange(""https:/"&amp;"/docs.google.com/spreadsheets/d/1boHyJQ4e2FU0QG8MHwEi6qjX4hvZWVCHcFfXjq7bbMc/edit?resourcekey#gid=923248883"",""Prop!$CB$1:$CL""),11,0),iferror(vlookup(B93,importrange(""https://docs.google.com/spreadsheets/d/1boHyJQ4e2FU0QG8MHwEi6qjX4hvZWVCHcFfXjq7bbMc/e"&amp;"dit?resourcekey#gid=923248883"",""Prop!$CM$1:$CX""),12,0),iferror(vlookup(B93,importrange(""https://docs.google.com/spreadsheets/d/1boHyJQ4e2FU0QG8MHwEi6qjX4hvZWVCHcFfXjq7bbMc/edit?resourcekey#gid=923248883"",""Prop!$CV$1:$DI""),11,0)))))))))))"),"https://drive.google.com/open?id=1yT_Cw2i17Vtd_duE29fjYna9xDpK85_m")</f>
        <v>https://drive.google.com/open?id=1yT_Cw2i17Vtd_duE29fjYna9xDpK85_m</v>
      </c>
      <c r="Q93" s="7" t="str">
        <f ca="1">IFERROR(__xludf.DUMMYFUNCTION("iferror(vlookup(B93,importrange(""https://docs.google.com/spreadsheets/d/1p53T2AuvvIqhP7Nf-bo3Uhj8cbKYRPpZdsrBv3x3bAQ/edit?resourcekey#gid=1321652304"",""Prop!$C$1:$M""),11,0),IFERROR(vlookup(B93,importrange(""https://docs.google.com/spreadsheets/d/1p53T2"&amp;"AuvvIqhP7Nf-bo3Uhj8cbKYRPpZdsrBv3x3bAQ/edit?resourcekey#gid=1321652304"",""Prop!$N$1:$X""),11,0),iferror(vlookup(B93,importrange(""https://docs.google.com/spreadsheets/d/1p53T2AuvvIqhP7Nf-bo3Uhj8cbKYRPpZdsrBv3x3bAQ/edit?resourcekey#gid=1321652304"",""Prop"&amp;"!$Y$1:$AI""),11,0),iferror(vlookup(B93,importrange(""https://docs.google.com/spreadsheets/d/1p53T2AuvvIqhP7Nf-bo3Uhj8cbKYRPpZdsrBv3x3bAQ/edit?resourcekey#gid=1321652304"",""Prop!$AJ$1:$AT""),11,0),iferror(vlookup(B93,importrange(""https://docs.google.com/"&amp;"spreadsheets/d/1p53T2AuvvIqhP7Nf-bo3Uhj8cbKYRPpZdsrBv3x3bAQ/edit?resourcekey#gid=1321652304"",""Prop!$AU$1:$BE""),11,0),iferror(vlookup(B93,importrange(""https://docs.google.com/spreadsheets/d/1p53T2AuvvIqhP7Nf-bo3Uhj8cbKYRPpZdsrBv3x3bAQ/edit?resourcekey#"&amp;"gid=1321652304"",""Prop!$BF$1:$BP""),11,0),iferror(vlookup(B93,importrange(""https://docs.google.com/spreadsheets/d/1p53T2AuvvIqhP7Nf-bo3Uhj8cbKYRPpZdsrBv3x3bAQ/edit?resourcekey#gid=1321652304"",""Prop!$BQ$1:$CA""),11,0),iferror(vlookup(B93,importrange("""&amp;"https://docs.google.com/spreadsheets/d/1p53T2AuvvIqhP7Nf-bo3Uhj8cbKYRPpZdsrBv3x3bAQ/edit?resourcekey#gid=1321652304"",""Prop!$CB$1:$CL""),11,0),iferror(vlookup(B93,importrange(""https://docs.google.com/spreadsheets/d/1p53T2AuvvIqhP7Nf-bo3Uhj8cbKYRPpZdsrBv"&amp;"3x3bAQ/edit?resourcekey#gid=1321652304"",""Prop!$CM$1:$CX""),11,0),iferror(vlookup(B93,importrange(""https://docs.google.com/spreadsheets/d/1p53T2AuvvIqhP7Nf-bo3Uhj8cbKYRPpZdsrBv3x3bAQ/edit?resourcekey#gid=1321652304"",""Prop!$CY$1:$DI""),11,0)))))))))))"),"https://drive.google.com/open?id=1um2qRplHjIsLasUgZHdSf7tVinseEFa3")</f>
        <v>https://drive.google.com/open?id=1um2qRplHjIsLasUgZHdSf7tVinseEFa3</v>
      </c>
      <c r="R93" s="88" t="s">
        <v>1229</v>
      </c>
      <c r="S93" s="20" t="str">
        <f ca="1">IFERROR(__xludf.DUMMYFUNCTION("IFERROR(vlookup(B93,IMPORTRANGE(""https://docs.google.com/spreadsheets/d/1g_jfYYK_KeipEDNDUgqgrsxK94XiocfNQIcP-v1QVhI/edit?resourcekey#gid=233272945"",""Nilai!B:CT""),30,0),"" "")"),"di daftar tabel, ada 2 tabel bernomor sama 4.1
tabel di subbab 2.5 belum ada judul, dan perhatikan pemotongan huruf dalam kata nampak masih kurang baik
tanda tangan nampak tempelan
belum ada meterai di surat pernyataan")</f>
        <v>di daftar tabel, ada 2 tabel bernomor sama 4.1
tabel di subbab 2.5 belum ada judul, dan perhatikan pemotongan huruf dalam kata nampak masih kurang baik
tanda tangan nampak tempelan
belum ada meterai di surat pernyataan</v>
      </c>
      <c r="T93" s="20" t="str">
        <f ca="1">IFERROR(__xludf.DUMMYFUNCTION("IFERROR(vlookup(B93,IMPORTRANGE(""https://docs.google.com/spreadsheets/d/1g_jfYYK_KeipEDNDUgqgrsxK94XiocfNQIcP-v1QVhI/edit?resourcekey#gid=233272945"",""Nilai!B:CT""),97,0),"" "")"),"LAYAK UPLOAD KE SIMBELMAWA DENGAN REVISI")</f>
        <v>LAYAK UPLOAD KE SIMBELMAWA DENGAN REVISI</v>
      </c>
      <c r="U93" s="21" t="s">
        <v>1288</v>
      </c>
      <c r="V93" s="70" t="s">
        <v>1265</v>
      </c>
      <c r="W93" s="58" t="s">
        <v>1292</v>
      </c>
      <c r="X93" s="19" t="b">
        <v>1</v>
      </c>
    </row>
    <row r="94" spans="1:24">
      <c r="A94" s="15">
        <v>92</v>
      </c>
      <c r="B94" s="15">
        <f ca="1">IFERROR(__xludf.DUMMYFUNCTION("""COMPUTED_VALUE"""),2799)</f>
        <v>2799</v>
      </c>
      <c r="C94" s="16" t="str">
        <f ca="1">IFERROR(__xludf.DUMMYFUNCTION("""COMPUTED_VALUE"""),"AYU NUR LESTARI")</f>
        <v>AYU NUR LESTARI</v>
      </c>
      <c r="D94" s="16" t="str">
        <f ca="1">IFERROR(__xludf.DUMMYFUNCTION("""COMPUTED_VALUE"""),"10511910000034")</f>
        <v>10511910000034</v>
      </c>
      <c r="E94" s="16" t="str">
        <f ca="1">IFERROR(__xludf.DUMMYFUNCTION("""COMPUTED_VALUE"""),"Departemen Teknik Instrumentasi")</f>
        <v>Departemen Teknik Instrumentasi</v>
      </c>
      <c r="F94" s="16" t="str">
        <f ca="1">IFERROR(__xludf.DUMMYFUNCTION("""COMPUTED_VALUE"""),"Alat Pemantau dan Perencana Penggunaan Energi PLTS On-Grid Berbasis IoT")</f>
        <v>Alat Pemantau dan Perencana Penggunaan Energi PLTS On-Grid Berbasis IoT</v>
      </c>
      <c r="G94" s="16" t="str">
        <f ca="1">IFERROR(__xludf.DUMMYFUNCTION("""COMPUTED_VALUE"""),"Brian Raafi'u, S.ST., M.T.")</f>
        <v>Brian Raafi'u, S.ST., M.T.</v>
      </c>
      <c r="H94" s="16" t="str">
        <f ca="1">IFERROR(__xludf.DUMMYFUNCTION("""COMPUTED_VALUE"""),"Ir. Josaphat Pramudijanto, M.Eng.")</f>
        <v>Ir. Josaphat Pramudijanto, M.Eng.</v>
      </c>
      <c r="I94" s="16" t="str">
        <f ca="1">IFERROR(__xludf.DUMMYFUNCTION("""COMPUTED_VALUE"""),"Dr. Suyatno, S.Si., M.Si.")</f>
        <v>Dr. Suyatno, S.Si., M.Si.</v>
      </c>
      <c r="J94" s="16"/>
      <c r="K94" s="17" t="s">
        <v>1290</v>
      </c>
      <c r="L94" s="58" t="s">
        <v>1291</v>
      </c>
      <c r="M94" s="19" t="b">
        <v>1</v>
      </c>
      <c r="N94" s="19" t="b">
        <v>0</v>
      </c>
      <c r="O94" s="1" t="s">
        <v>1289</v>
      </c>
      <c r="P94" s="7" t="str">
        <f ca="1">IFERROR(__xludf.DUMMYFUNCTION("iferror(vlookup(B94,importrange(""https://docs.google.com/spreadsheets/d/1boHyJQ4e2FU0QG8MHwEi6qjX4hvZWVCHcFfXjq7bbMc/edit?resourcekey#gid=923248883"",""Prop!$C$1:$M""),12,0),IFERROR(vlookup(B94,importrange(""https://docs.google.com/spreadsheets/d/1boHyJQ"&amp;"4e2FU0QG8MHwEi6qjX4hvZWVCHcFfXjq7bbMc/edit?resourcekey#gid=923248883"",""Prop!$N$1:$X""),11,0),iferror(vlookup(B94,importrange(""https://docs.google.com/spreadsheets/d/1boHyJQ4e2FU0QG8MHwEi6qjX4hvZWVCHcFfXjq7bbMc/edit?resourcekey#gid=923248883"",""Prop!$Y"&amp;"$1:$AI""),11,0),iferror(vlookup(B94,importrange(""https://docs.google.com/spreadsheets/d/1boHyJQ4e2FU0QG8MHwEi6qjX4hvZWVCHcFfXjq7bbMc/edit?resourcekey#gid=923248883"",""Prop!$AJ$1:$AT""),11,0),iferror(vlookup(B94,importrange(""https://docs.google.com/spre"&amp;"adsheets/d/1boHyJQ4e2FU0QG8MHwEi6qjX4hvZWVCHcFfXjq7bbMc/edit?resourcekey#gid=923248883"",""Prop!$AU$1:$BE""),11,0),iferror(vlookup(B94,importrange(""https://docs.google.com/spreadsheets/d/1boHyJQ4e2FU0QG8MHwEi6qjX4hvZWVCHcFfXjq7bbMc/edit?resourcekey#gid=9"&amp;"23248883"",""Prop!$BF$1:$BP""),11,0),iferror(vlookup(B94,importrange(""https://docs.google.com/spreadsheets/d/1boHyJQ4e2FU0QG8MHwEi6qjX4hvZWVCHcFfXjq7bbMc/edit?resourcekey#gid=923248883"",""Prop!$BQ$1:$CA""),11,0),iferror(vlookup(B94,importrange(""https:/"&amp;"/docs.google.com/spreadsheets/d/1boHyJQ4e2FU0QG8MHwEi6qjX4hvZWVCHcFfXjq7bbMc/edit?resourcekey#gid=923248883"",""Prop!$CB$1:$CL""),11,0),iferror(vlookup(B94,importrange(""https://docs.google.com/spreadsheets/d/1boHyJQ4e2FU0QG8MHwEi6qjX4hvZWVCHcFfXjq7bbMc/e"&amp;"dit?resourcekey#gid=923248883"",""Prop!$CM$1:$CX""),12,0),iferror(vlookup(B94,importrange(""https://docs.google.com/spreadsheets/d/1boHyJQ4e2FU0QG8MHwEi6qjX4hvZWVCHcFfXjq7bbMc/edit?resourcekey#gid=923248883"",""Prop!$CV$1:$DI""),11,0)))))))))))"),"https://drive.google.com/open?id=1DjrDqsJsKGIOcX8nzc54KxoU-fB4ygq5")</f>
        <v>https://drive.google.com/open?id=1DjrDqsJsKGIOcX8nzc54KxoU-fB4ygq5</v>
      </c>
      <c r="Q94" s="7" t="str">
        <f ca="1">IFERROR(__xludf.DUMMYFUNCTION("iferror(vlookup(B94,importrange(""https://docs.google.com/spreadsheets/d/1p53T2AuvvIqhP7Nf-bo3Uhj8cbKYRPpZdsrBv3x3bAQ/edit?resourcekey#gid=1321652304"",""Prop!$C$1:$M""),11,0),IFERROR(vlookup(B94,importrange(""https://docs.google.com/spreadsheets/d/1p53T2"&amp;"AuvvIqhP7Nf-bo3Uhj8cbKYRPpZdsrBv3x3bAQ/edit?resourcekey#gid=1321652304"",""Prop!$N$1:$X""),11,0),iferror(vlookup(B94,importrange(""https://docs.google.com/spreadsheets/d/1p53T2AuvvIqhP7Nf-bo3Uhj8cbKYRPpZdsrBv3x3bAQ/edit?resourcekey#gid=1321652304"",""Prop"&amp;"!$Y$1:$AI""),11,0),iferror(vlookup(B94,importrange(""https://docs.google.com/spreadsheets/d/1p53T2AuvvIqhP7Nf-bo3Uhj8cbKYRPpZdsrBv3x3bAQ/edit?resourcekey#gid=1321652304"",""Prop!$AJ$1:$AT""),11,0),iferror(vlookup(B94,importrange(""https://docs.google.com/"&amp;"spreadsheets/d/1p53T2AuvvIqhP7Nf-bo3Uhj8cbKYRPpZdsrBv3x3bAQ/edit?resourcekey#gid=1321652304"",""Prop!$AU$1:$BE""),11,0),iferror(vlookup(B94,importrange(""https://docs.google.com/spreadsheets/d/1p53T2AuvvIqhP7Nf-bo3Uhj8cbKYRPpZdsrBv3x3bAQ/edit?resourcekey#"&amp;"gid=1321652304"",""Prop!$BF$1:$BP""),11,0),iferror(vlookup(B94,importrange(""https://docs.google.com/spreadsheets/d/1p53T2AuvvIqhP7Nf-bo3Uhj8cbKYRPpZdsrBv3x3bAQ/edit?resourcekey#gid=1321652304"",""Prop!$BQ$1:$CA""),11,0),iferror(vlookup(B94,importrange("""&amp;"https://docs.google.com/spreadsheets/d/1p53T2AuvvIqhP7Nf-bo3Uhj8cbKYRPpZdsrBv3x3bAQ/edit?resourcekey#gid=1321652304"",""Prop!$CB$1:$CL""),11,0),iferror(vlookup(B94,importrange(""https://docs.google.com/spreadsheets/d/1p53T2AuvvIqhP7Nf-bo3Uhj8cbKYRPpZdsrBv"&amp;"3x3bAQ/edit?resourcekey#gid=1321652304"",""Prop!$CM$1:$CX""),11,0),iferror(vlookup(B94,importrange(""https://docs.google.com/spreadsheets/d/1p53T2AuvvIqhP7Nf-bo3Uhj8cbKYRPpZdsrBv3x3bAQ/edit?resourcekey#gid=1321652304"",""Prop!$CY$1:$DI""),11,0)))))))))))"),"https://drive.google.com/open?id=1qcg5KL8Vs_7V8BhG1N9d2oaHEVqmVYNN")</f>
        <v>https://drive.google.com/open?id=1qcg5KL8Vs_7V8BhG1N9d2oaHEVqmVYNN</v>
      </c>
      <c r="R94" s="88" t="s">
        <v>1229</v>
      </c>
      <c r="S94" s="20" t="str">
        <f ca="1">IFERROR(__xludf.DUMMYFUNCTION("IFERROR(vlookup(B94,IMPORTRANGE(""https://docs.google.com/spreadsheets/d/1g_jfYYK_KeipEDNDUgqgrsxK94XiocfNQIcP-v1QVhI/edit?resourcekey#gid=233272945"",""Nilai!B:CT""),30,0),"" "")"),"subbab 1.5 manfaat supaya berfokus pada manfaat produk apabila diterapkan dan prospek ke depannya, bagian yg bagi mahasiswa dapat dihilangkan
sumber gambar (penulis, 2021) dihilangkan
RAB perjalanan lokal terlalu besar
produk serupa saat ini telah ada di "&amp;"pasaran, seandainya ada komparasi dengan produk dengan menampilkan kelebihan dari produk yang akan dibuat dapat dipertimbangkan untuk layak upload ")</f>
        <v xml:space="preserve">subbab 1.5 manfaat supaya berfokus pada manfaat produk apabila diterapkan dan prospek ke depannya, bagian yg bagi mahasiswa dapat dihilangkan
sumber gambar (penulis, 2021) dihilangkan
RAB perjalanan lokal terlalu besar
produk serupa saat ini telah ada di pasaran, seandainya ada komparasi dengan produk dengan menampilkan kelebihan dari produk yang akan dibuat dapat dipertimbangkan untuk layak upload </v>
      </c>
      <c r="T94" s="20" t="str">
        <f ca="1">IFERROR(__xludf.DUMMYFUNCTION("IFERROR(vlookup(B94,IMPORTRANGE(""https://docs.google.com/spreadsheets/d/1g_jfYYK_KeipEDNDUgqgrsxK94XiocfNQIcP-v1QVhI/edit?resourcekey#gid=233272945"",""Nilai!B:CT""),97,0),"" "")"),"TIDAK LAYAK UPLOAD KE SIMBELMAWA")</f>
        <v>TIDAK LAYAK UPLOAD KE SIMBELMAWA</v>
      </c>
      <c r="U94" s="21" t="s">
        <v>1288</v>
      </c>
      <c r="V94" s="70" t="s">
        <v>1265</v>
      </c>
      <c r="W94" s="58" t="s">
        <v>1292</v>
      </c>
      <c r="X94" s="19" t="b">
        <v>0</v>
      </c>
    </row>
    <row r="95" spans="1:24">
      <c r="A95" s="15">
        <v>93</v>
      </c>
      <c r="B95" s="15">
        <f ca="1">IFERROR(__xludf.DUMMYFUNCTION("""COMPUTED_VALUE"""),2664)</f>
        <v>2664</v>
      </c>
      <c r="C95" s="16" t="str">
        <f ca="1">IFERROR(__xludf.DUMMYFUNCTION("""COMPUTED_VALUE"""),"BAGUS DWI CAHYO NUGROHO")</f>
        <v>BAGUS DWI CAHYO NUGROHO</v>
      </c>
      <c r="D95" s="16" t="str">
        <f ca="1">IFERROR(__xludf.DUMMYFUNCTION("""COMPUTED_VALUE"""),"2042201095")</f>
        <v>2042201095</v>
      </c>
      <c r="E95" s="16" t="str">
        <f ca="1">IFERROR(__xludf.DUMMYFUNCTION("""COMPUTED_VALUE"""),"Departemen Teknik Instrumentasi")</f>
        <v>Departemen Teknik Instrumentasi</v>
      </c>
      <c r="F95" s="16" t="str">
        <f ca="1">IFERROR(__xludf.DUMMYFUNCTION("""COMPUTED_VALUE"""),"TURBIDITY AND SEA WATER PH MONITORING SYSTEM BASED ON INTERNET OF THINGS (IOT)")</f>
        <v>TURBIDITY AND SEA WATER PH MONITORING SYSTEM BASED ON INTERNET OF THINGS (IOT)</v>
      </c>
      <c r="G95" s="16" t="str">
        <f ca="1">IFERROR(__xludf.DUMMYFUNCTION("""COMPUTED_VALUE"""),"Dwi Nur Fitriyanah, S.ST., M.T.")</f>
        <v>Dwi Nur Fitriyanah, S.ST., M.T.</v>
      </c>
      <c r="H95" s="16" t="str">
        <f ca="1">IFERROR(__xludf.DUMMYFUNCTION("""COMPUTED_VALUE"""),"Dr.Eng. Chastine Fatichah, S.Kom., M.Kom.")</f>
        <v>Dr.Eng. Chastine Fatichah, S.Kom., M.Kom.</v>
      </c>
      <c r="I95" s="16" t="str">
        <f ca="1">IFERROR(__xludf.DUMMYFUNCTION("""COMPUTED_VALUE"""),"Rudy Dikairono, ST., M.T.")</f>
        <v>Rudy Dikairono, ST., M.T.</v>
      </c>
      <c r="J95" s="16"/>
      <c r="K95" s="17" t="s">
        <v>1290</v>
      </c>
      <c r="L95" s="58" t="s">
        <v>1291</v>
      </c>
      <c r="M95" s="19" t="b">
        <v>0</v>
      </c>
      <c r="N95" s="19" t="b">
        <v>0</v>
      </c>
      <c r="O95" s="1" t="s">
        <v>1289</v>
      </c>
      <c r="P95" s="7" t="str">
        <f ca="1">IFERROR(__xludf.DUMMYFUNCTION("iferror(vlookup(B95,importrange(""https://docs.google.com/spreadsheets/d/1boHyJQ4e2FU0QG8MHwEi6qjX4hvZWVCHcFfXjq7bbMc/edit?resourcekey#gid=923248883"",""Prop!$C$1:$M""),12,0),IFERROR(vlookup(B95,importrange(""https://docs.google.com/spreadsheets/d/1boHyJQ"&amp;"4e2FU0QG8MHwEi6qjX4hvZWVCHcFfXjq7bbMc/edit?resourcekey#gid=923248883"",""Prop!$N$1:$X""),11,0),iferror(vlookup(B95,importrange(""https://docs.google.com/spreadsheets/d/1boHyJQ4e2FU0QG8MHwEi6qjX4hvZWVCHcFfXjq7bbMc/edit?resourcekey#gid=923248883"",""Prop!$Y"&amp;"$1:$AI""),11,0),iferror(vlookup(B95,importrange(""https://docs.google.com/spreadsheets/d/1boHyJQ4e2FU0QG8MHwEi6qjX4hvZWVCHcFfXjq7bbMc/edit?resourcekey#gid=923248883"",""Prop!$AJ$1:$AT""),11,0),iferror(vlookup(B95,importrange(""https://docs.google.com/spre"&amp;"adsheets/d/1boHyJQ4e2FU0QG8MHwEi6qjX4hvZWVCHcFfXjq7bbMc/edit?resourcekey#gid=923248883"",""Prop!$AU$1:$BE""),11,0),iferror(vlookup(B95,importrange(""https://docs.google.com/spreadsheets/d/1boHyJQ4e2FU0QG8MHwEi6qjX4hvZWVCHcFfXjq7bbMc/edit?resourcekey#gid=9"&amp;"23248883"",""Prop!$BF$1:$BP""),11,0),iferror(vlookup(B95,importrange(""https://docs.google.com/spreadsheets/d/1boHyJQ4e2FU0QG8MHwEi6qjX4hvZWVCHcFfXjq7bbMc/edit?resourcekey#gid=923248883"",""Prop!$BQ$1:$CA""),11,0),iferror(vlookup(B95,importrange(""https:/"&amp;"/docs.google.com/spreadsheets/d/1boHyJQ4e2FU0QG8MHwEi6qjX4hvZWVCHcFfXjq7bbMc/edit?resourcekey#gid=923248883"",""Prop!$CB$1:$CL""),11,0),iferror(vlookup(B95,importrange(""https://docs.google.com/spreadsheets/d/1boHyJQ4e2FU0QG8MHwEi6qjX4hvZWVCHcFfXjq7bbMc/e"&amp;"dit?resourcekey#gid=923248883"",""Prop!$CM$1:$CX""),12,0),iferror(vlookup(B95,importrange(""https://docs.google.com/spreadsheets/d/1boHyJQ4e2FU0QG8MHwEi6qjX4hvZWVCHcFfXjq7bbMc/edit?resourcekey#gid=923248883"",""Prop!$CV$1:$DI""),11,0)))))))))))"),"https://drive.google.com/open?id=11D2wXF5FYt9GFSB_pmCG8B0R6um4JRB4")</f>
        <v>https://drive.google.com/open?id=11D2wXF5FYt9GFSB_pmCG8B0R6um4JRB4</v>
      </c>
      <c r="Q95" s="7" t="str">
        <f ca="1">IFERROR(__xludf.DUMMYFUNCTION("iferror(vlookup(B95,importrange(""https://docs.google.com/spreadsheets/d/1p53T2AuvvIqhP7Nf-bo3Uhj8cbKYRPpZdsrBv3x3bAQ/edit?resourcekey#gid=1321652304"",""Prop!$C$1:$M""),11,0),IFERROR(vlookup(B95,importrange(""https://docs.google.com/spreadsheets/d/1p53T2"&amp;"AuvvIqhP7Nf-bo3Uhj8cbKYRPpZdsrBv3x3bAQ/edit?resourcekey#gid=1321652304"",""Prop!$N$1:$X""),11,0),iferror(vlookup(B95,importrange(""https://docs.google.com/spreadsheets/d/1p53T2AuvvIqhP7Nf-bo3Uhj8cbKYRPpZdsrBv3x3bAQ/edit?resourcekey#gid=1321652304"",""Prop"&amp;"!$Y$1:$AI""),11,0),iferror(vlookup(B95,importrange(""https://docs.google.com/spreadsheets/d/1p53T2AuvvIqhP7Nf-bo3Uhj8cbKYRPpZdsrBv3x3bAQ/edit?resourcekey#gid=1321652304"",""Prop!$AJ$1:$AT""),11,0),iferror(vlookup(B95,importrange(""https://docs.google.com/"&amp;"spreadsheets/d/1p53T2AuvvIqhP7Nf-bo3Uhj8cbKYRPpZdsrBv3x3bAQ/edit?resourcekey#gid=1321652304"",""Prop!$AU$1:$BE""),11,0),iferror(vlookup(B95,importrange(""https://docs.google.com/spreadsheets/d/1p53T2AuvvIqhP7Nf-bo3Uhj8cbKYRPpZdsrBv3x3bAQ/edit?resourcekey#"&amp;"gid=1321652304"",""Prop!$BF$1:$BP""),11,0),iferror(vlookup(B95,importrange(""https://docs.google.com/spreadsheets/d/1p53T2AuvvIqhP7Nf-bo3Uhj8cbKYRPpZdsrBv3x3bAQ/edit?resourcekey#gid=1321652304"",""Prop!$BQ$1:$CA""),11,0),iferror(vlookup(B95,importrange("""&amp;"https://docs.google.com/spreadsheets/d/1p53T2AuvvIqhP7Nf-bo3Uhj8cbKYRPpZdsrBv3x3bAQ/edit?resourcekey#gid=1321652304"",""Prop!$CB$1:$CL""),11,0),iferror(vlookup(B95,importrange(""https://docs.google.com/spreadsheets/d/1p53T2AuvvIqhP7Nf-bo3Uhj8cbKYRPpZdsrBv"&amp;"3x3bAQ/edit?resourcekey#gid=1321652304"",""Prop!$CM$1:$CX""),11,0),iferror(vlookup(B95,importrange(""https://docs.google.com/spreadsheets/d/1p53T2AuvvIqhP7Nf-bo3Uhj8cbKYRPpZdsrBv3x3bAQ/edit?resourcekey#gid=1321652304"",""Prop!$CY$1:$DI""),11,0)))))))))))"),"https://drive.google.com/open?id=1JAeeP6lkNtZw2QbbM6nm4muSassfE8_B")</f>
        <v>https://drive.google.com/open?id=1JAeeP6lkNtZw2QbbM6nm4muSassfE8_B</v>
      </c>
      <c r="R95" s="88" t="s">
        <v>1229</v>
      </c>
      <c r="S95" s="20" t="str">
        <f ca="1">IFERROR(__xludf.DUMMYFUNCTION("IFERROR(vlookup(B95,IMPORTRANGE(""https://docs.google.com/spreadsheets/d/1g_jfYYK_KeipEDNDUgqgrsxK94XiocfNQIcP-v1QVhI/edit?resourcekey#gid=233272945"",""Nilai!B:CT""),30,0),"" "")"),"judul jika memungkinkan menggunakan bahasa indonesia jangan berbahasa inggris
subbab 1.4 luaran, terlalu banyak menampilkan judul ""turbidity and sea...""
penomoran subbab mulai 1.4 kacau (tidak ada 1.5 dst.)
sub bab 1.6 manfaat, tulislah manfaat produk y"&amp;"ang dirancang bila telah diterapkan tidak dipecah menjadi bagi pemerintah, bagi masyarakat..
kata (sumber : dokumen pribadi) dihapus saja
menggambar flowchart kurang tepat untuk decision box, seperti di gambar 3.1-3.4
tanda tangan salah tanggal semua febr"&amp;"uari 2021, seharusnya sekitar maret 2022 !!
produk ini hanya kumpulan sensor dengan decision sederhana, sebaiknya ditambahkan untuk analisis yang lebih kompleks supaya dapat dipertimbangkan untuk lolos upload.")</f>
        <v>judul jika memungkinkan menggunakan bahasa indonesia jangan berbahasa inggris
subbab 1.4 luaran, terlalu banyak menampilkan judul "turbidity and sea..."
penomoran subbab mulai 1.4 kacau (tidak ada 1.5 dst.)
sub bab 1.6 manfaat, tulislah manfaat produk yang dirancang bila telah diterapkan tidak dipecah menjadi bagi pemerintah, bagi masyarakat..
kata (sumber : dokumen pribadi) dihapus saja
menggambar flowchart kurang tepat untuk decision box, seperti di gambar 3.1-3.4
tanda tangan salah tanggal semua februari 2021, seharusnya sekitar maret 2022 !!
produk ini hanya kumpulan sensor dengan decision sederhana, sebaiknya ditambahkan untuk analisis yang lebih kompleks supaya dapat dipertimbangkan untuk lolos upload.</v>
      </c>
      <c r="T95" s="20" t="str">
        <f ca="1">IFERROR(__xludf.DUMMYFUNCTION("IFERROR(vlookup(B95,IMPORTRANGE(""https://docs.google.com/spreadsheets/d/1g_jfYYK_KeipEDNDUgqgrsxK94XiocfNQIcP-v1QVhI/edit?resourcekey#gid=233272945"",""Nilai!B:CT""),97,0),"" "")"),"TIDAK LAYAK UPLOAD KE SIMBELMAWA")</f>
        <v>TIDAK LAYAK UPLOAD KE SIMBELMAWA</v>
      </c>
      <c r="U95" s="21" t="s">
        <v>1288</v>
      </c>
      <c r="V95" s="70" t="s">
        <v>1265</v>
      </c>
      <c r="W95" s="58" t="s">
        <v>1293</v>
      </c>
      <c r="X95" s="19" t="b">
        <v>0</v>
      </c>
    </row>
    <row r="96" spans="1:24">
      <c r="A96" s="15">
        <v>94</v>
      </c>
      <c r="B96" s="15">
        <f ca="1">IFERROR(__xludf.DUMMYFUNCTION("""COMPUTED_VALUE"""),2873)</f>
        <v>2873</v>
      </c>
      <c r="C96" s="16" t="str">
        <f ca="1">IFERROR(__xludf.DUMMYFUNCTION("""COMPUTED_VALUE"""),"Fadiya Nurazizah")</f>
        <v>Fadiya Nurazizah</v>
      </c>
      <c r="D96" s="16" t="str">
        <f ca="1">IFERROR(__xludf.DUMMYFUNCTION("""COMPUTED_VALUE"""),"5010211100")</f>
        <v>5010211100</v>
      </c>
      <c r="E96" s="16" t="str">
        <f ca="1">IFERROR(__xludf.DUMMYFUNCTION("""COMPUTED_VALUE"""),"Departemen Teknik Sistem dan Industri")</f>
        <v>Departemen Teknik Sistem dan Industri</v>
      </c>
      <c r="F96" s="16" t="str">
        <f ca="1">IFERROR(__xludf.DUMMYFUNCTION("""COMPUTED_VALUE"""),"BRAFER (Brake Failure Detector Combined with Thermal Resistor Sensor): Detektor Kegagalan Rem Berbasis IoT Terintegrasi dengan Sensor Thermal Resistor")</f>
        <v>BRAFER (Brake Failure Detector Combined with Thermal Resistor Sensor): Detektor Kegagalan Rem Berbasis IoT Terintegrasi dengan Sensor Thermal Resistor</v>
      </c>
      <c r="G96" s="16" t="str">
        <f ca="1">IFERROR(__xludf.DUMMYFUNCTION("""COMPUTED_VALUE"""),"Rindi Kusumawardani, S.Si., M.Sc.")</f>
        <v>Rindi Kusumawardani, S.Si., M.Sc.</v>
      </c>
      <c r="H96" s="16" t="str">
        <f ca="1">IFERROR(__xludf.DUMMYFUNCTION("""COMPUTED_VALUE"""),"Ir. Josaphat Pramudijanto, M.Eng.")</f>
        <v>Ir. Josaphat Pramudijanto, M.Eng.</v>
      </c>
      <c r="I96" s="16" t="str">
        <f ca="1">IFERROR(__xludf.DUMMYFUNCTION("""COMPUTED_VALUE"""),"Dr. Suyatno, S.Si., M.Si.")</f>
        <v>Dr. Suyatno, S.Si., M.Si.</v>
      </c>
      <c r="J96" s="16"/>
      <c r="K96" s="17" t="s">
        <v>1290</v>
      </c>
      <c r="L96" s="58" t="s">
        <v>1294</v>
      </c>
      <c r="M96" s="19" t="b">
        <v>1</v>
      </c>
      <c r="N96" s="19" t="b">
        <v>0</v>
      </c>
      <c r="O96" s="1" t="s">
        <v>1289</v>
      </c>
      <c r="P96" s="7" t="str">
        <f ca="1">IFERROR(__xludf.DUMMYFUNCTION("iferror(vlookup(B96,importrange(""https://docs.google.com/spreadsheets/d/1boHyJQ4e2FU0QG8MHwEi6qjX4hvZWVCHcFfXjq7bbMc/edit?resourcekey#gid=923248883"",""Prop!$C$1:$M""),12,0),IFERROR(vlookup(B96,importrange(""https://docs.google.com/spreadsheets/d/1boHyJQ"&amp;"4e2FU0QG8MHwEi6qjX4hvZWVCHcFfXjq7bbMc/edit?resourcekey#gid=923248883"",""Prop!$N$1:$X""),11,0),iferror(vlookup(B96,importrange(""https://docs.google.com/spreadsheets/d/1boHyJQ4e2FU0QG8MHwEi6qjX4hvZWVCHcFfXjq7bbMc/edit?resourcekey#gid=923248883"",""Prop!$Y"&amp;"$1:$AI""),11,0),iferror(vlookup(B96,importrange(""https://docs.google.com/spreadsheets/d/1boHyJQ4e2FU0QG8MHwEi6qjX4hvZWVCHcFfXjq7bbMc/edit?resourcekey#gid=923248883"",""Prop!$AJ$1:$AT""),11,0),iferror(vlookup(B96,importrange(""https://docs.google.com/spre"&amp;"adsheets/d/1boHyJQ4e2FU0QG8MHwEi6qjX4hvZWVCHcFfXjq7bbMc/edit?resourcekey#gid=923248883"",""Prop!$AU$1:$BE""),11,0),iferror(vlookup(B96,importrange(""https://docs.google.com/spreadsheets/d/1boHyJQ4e2FU0QG8MHwEi6qjX4hvZWVCHcFfXjq7bbMc/edit?resourcekey#gid=9"&amp;"23248883"",""Prop!$BF$1:$BP""),11,0),iferror(vlookup(B96,importrange(""https://docs.google.com/spreadsheets/d/1boHyJQ4e2FU0QG8MHwEi6qjX4hvZWVCHcFfXjq7bbMc/edit?resourcekey#gid=923248883"",""Prop!$BQ$1:$CA""),11,0),iferror(vlookup(B96,importrange(""https:/"&amp;"/docs.google.com/spreadsheets/d/1boHyJQ4e2FU0QG8MHwEi6qjX4hvZWVCHcFfXjq7bbMc/edit?resourcekey#gid=923248883"",""Prop!$CB$1:$CL""),11,0),iferror(vlookup(B96,importrange(""https://docs.google.com/spreadsheets/d/1boHyJQ4e2FU0QG8MHwEi6qjX4hvZWVCHcFfXjq7bbMc/e"&amp;"dit?resourcekey#gid=923248883"",""Prop!$CM$1:$CX""),12,0),iferror(vlookup(B96,importrange(""https://docs.google.com/spreadsheets/d/1boHyJQ4e2FU0QG8MHwEi6qjX4hvZWVCHcFfXjq7bbMc/edit?resourcekey#gid=923248883"",""Prop!$CV$1:$DI""),11,0)))))))))))"),"https://drive.google.com/open?id=1tGU5Sx5XZWgRmHASa_oVjRf3ADLGFYHW")</f>
        <v>https://drive.google.com/open?id=1tGU5Sx5XZWgRmHASa_oVjRf3ADLGFYHW</v>
      </c>
      <c r="Q96" s="7" t="str">
        <f ca="1">IFERROR(__xludf.DUMMYFUNCTION("iferror(vlookup(B96,importrange(""https://docs.google.com/spreadsheets/d/1p53T2AuvvIqhP7Nf-bo3Uhj8cbKYRPpZdsrBv3x3bAQ/edit?resourcekey#gid=1321652304"",""Prop!$C$1:$M""),11,0),IFERROR(vlookup(B96,importrange(""https://docs.google.com/spreadsheets/d/1p53T2"&amp;"AuvvIqhP7Nf-bo3Uhj8cbKYRPpZdsrBv3x3bAQ/edit?resourcekey#gid=1321652304"",""Prop!$N$1:$X""),11,0),iferror(vlookup(B96,importrange(""https://docs.google.com/spreadsheets/d/1p53T2AuvvIqhP7Nf-bo3Uhj8cbKYRPpZdsrBv3x3bAQ/edit?resourcekey#gid=1321652304"",""Prop"&amp;"!$Y$1:$AI""),11,0),iferror(vlookup(B96,importrange(""https://docs.google.com/spreadsheets/d/1p53T2AuvvIqhP7Nf-bo3Uhj8cbKYRPpZdsrBv3x3bAQ/edit?resourcekey#gid=1321652304"",""Prop!$AJ$1:$AT""),11,0),iferror(vlookup(B96,importrange(""https://docs.google.com/"&amp;"spreadsheets/d/1p53T2AuvvIqhP7Nf-bo3Uhj8cbKYRPpZdsrBv3x3bAQ/edit?resourcekey#gid=1321652304"",""Prop!$AU$1:$BE""),11,0),iferror(vlookup(B96,importrange(""https://docs.google.com/spreadsheets/d/1p53T2AuvvIqhP7Nf-bo3Uhj8cbKYRPpZdsrBv3x3bAQ/edit?resourcekey#"&amp;"gid=1321652304"",""Prop!$BF$1:$BP""),11,0),iferror(vlookup(B96,importrange(""https://docs.google.com/spreadsheets/d/1p53T2AuvvIqhP7Nf-bo3Uhj8cbKYRPpZdsrBv3x3bAQ/edit?resourcekey#gid=1321652304"",""Prop!$BQ$1:$CA""),11,0),iferror(vlookup(B96,importrange("""&amp;"https://docs.google.com/spreadsheets/d/1p53T2AuvvIqhP7Nf-bo3Uhj8cbKYRPpZdsrBv3x3bAQ/edit?resourcekey#gid=1321652304"",""Prop!$CB$1:$CL""),11,0),iferror(vlookup(B96,importrange(""https://docs.google.com/spreadsheets/d/1p53T2AuvvIqhP7Nf-bo3Uhj8cbKYRPpZdsrBv"&amp;"3x3bAQ/edit?resourcekey#gid=1321652304"",""Prop!$CM$1:$CX""),11,0),iferror(vlookup(B96,importrange(""https://docs.google.com/spreadsheets/d/1p53T2AuvvIqhP7Nf-bo3Uhj8cbKYRPpZdsrBv3x3bAQ/edit?resourcekey#gid=1321652304"",""Prop!$CY$1:$DI""),11,0)))))))))))"),"https://drive.google.com/open?id=1yE-xC8ffF1aB7a973l2nWI4x7ogyRUU4")</f>
        <v>https://drive.google.com/open?id=1yE-xC8ffF1aB7a973l2nWI4x7ogyRUU4</v>
      </c>
      <c r="R96" s="88" t="s">
        <v>1229</v>
      </c>
      <c r="S96" s="20" t="str">
        <f ca="1">IFERROR(__xludf.DUMMYFUNCTION("IFERROR(vlookup(B96,IMPORTRANGE(""https://docs.google.com/spreadsheets/d/1g_jfYYK_KeipEDNDUgqgrsxK94XiocfNQIcP-v1QVhI/edit?resourcekey#gid=233272945"",""Nilai!B:CT""),30,0),"" "")"),"REVISI MAJOR 
-pertanyaan besarnya adalah : apa kaitannya/apa fungsi IoT dalam pengereman kendaraan? pengereman merupakan tindakan spontan mengapa di IoT kan? jika maksudnya adalah untuk evaluasi dengan mengumpulkan data di semua kendaraan maka hal terseb"&amp;"ut belum nampak dalam uraian produk yang akan dibuat serta tampilan apa yang diharapkan
-nomor halaman salah semua
-sub bab 1.5 manfaat merupakan penjelasan manfaat produk apabila diterapkan beserta prospek di masa mendatang, tidak jadi tidak dijabarkan b"&amp;"agi peneliti, pemerintah dsb.
-penjelasan 2.3 dst tentang thermal resistor dan komponen2 yang digunakan terlalu panjang, dan tidak terlihat ada keterkaitan dengan pengereman, sebaiknya gambarkan dengan jelas langkah yang akan dilakukan serta output yang d"&amp;"iharapkan
-bab 4, RAB tidak terlihat porsi belmawa dan perguruan tinggi
- tanggal tanda tangan dibuat setelah 10 maret, karena pedoman PKM baru keluar setelah tanggal 5 maret
- tanda tangan dosen pendamping jadikan maret 2022")</f>
        <v>REVISI MAJOR 
-pertanyaan besarnya adalah : apa kaitannya/apa fungsi IoT dalam pengereman kendaraan? pengereman merupakan tindakan spontan mengapa di IoT kan? jika maksudnya adalah untuk evaluasi dengan mengumpulkan data di semua kendaraan maka hal tersebut belum nampak dalam uraian produk yang akan dibuat serta tampilan apa yang diharapkan
-nomor halaman salah semua
-sub bab 1.5 manfaat merupakan penjelasan manfaat produk apabila diterapkan beserta prospek di masa mendatang, tidak jadi tidak dijabarkan bagi peneliti, pemerintah dsb.
-penjelasan 2.3 dst tentang thermal resistor dan komponen2 yang digunakan terlalu panjang, dan tidak terlihat ada keterkaitan dengan pengereman, sebaiknya gambarkan dengan jelas langkah yang akan dilakukan serta output yang diharapkan
-bab 4, RAB tidak terlihat porsi belmawa dan perguruan tinggi
- tanggal tanda tangan dibuat setelah 10 maret, karena pedoman PKM baru keluar setelah tanggal 5 maret
- tanda tangan dosen pendamping jadikan maret 2022</v>
      </c>
      <c r="T96" s="20" t="str">
        <f ca="1">IFERROR(__xludf.DUMMYFUNCTION("IFERROR(vlookup(B96,IMPORTRANGE(""https://docs.google.com/spreadsheets/d/1g_jfYYK_KeipEDNDUgqgrsxK94XiocfNQIcP-v1QVhI/edit?resourcekey#gid=233272945"",""Nilai!B:CT""),97,0),"" "")"),"LAYAK UPLOAD KE SIMBELMAWA DENGAN REVISI")</f>
        <v>LAYAK UPLOAD KE SIMBELMAWA DENGAN REVISI</v>
      </c>
      <c r="U96" s="21" t="s">
        <v>1288</v>
      </c>
      <c r="V96" s="70" t="s">
        <v>1265</v>
      </c>
      <c r="W96" s="58" t="s">
        <v>1293</v>
      </c>
      <c r="X96" s="19" t="b">
        <v>0</v>
      </c>
    </row>
    <row r="97" spans="1:24">
      <c r="A97" s="15">
        <v>95</v>
      </c>
      <c r="B97" s="15">
        <f ca="1">IFERROR(__xludf.DUMMYFUNCTION("""COMPUTED_VALUE"""),2023)</f>
        <v>2023</v>
      </c>
      <c r="C97" s="16" t="str">
        <f ca="1">IFERROR(__xludf.DUMMYFUNCTION("""COMPUTED_VALUE"""),"ARYADUTA PUTRA PERKASA")</f>
        <v>ARYADUTA PUTRA PERKASA</v>
      </c>
      <c r="D97" s="16" t="str">
        <f ca="1">IFERROR(__xludf.DUMMYFUNCTION("""COMPUTED_VALUE"""),"5024201077")</f>
        <v>5024201077</v>
      </c>
      <c r="E97" s="16" t="str">
        <f ca="1">IFERROR(__xludf.DUMMYFUNCTION("""COMPUTED_VALUE"""),"Departemen Teknik Komputer")</f>
        <v>Departemen Teknik Komputer</v>
      </c>
      <c r="F97" s="16" t="str">
        <f ca="1">IFERROR(__xludf.DUMMYFUNCTION("""COMPUTED_VALUE"""),"GotBills : Aplikasi Pencatat Keuangan Masa Kini")</f>
        <v>GotBills : Aplikasi Pencatat Keuangan Masa Kini</v>
      </c>
      <c r="G97" s="16" t="str">
        <f ca="1">IFERROR(__xludf.DUMMYFUNCTION("""COMPUTED_VALUE"""),"Dion Hayu Fandiantoro, S.T., M.Eng.")</f>
        <v>Dion Hayu Fandiantoro, S.T., M.Eng.</v>
      </c>
      <c r="H97" s="16" t="str">
        <f ca="1">IFERROR(__xludf.DUMMYFUNCTION("""COMPUTED_VALUE"""),"Dr.Eng. Chastine Fatichah, S.Kom., M.Kom.")</f>
        <v>Dr.Eng. Chastine Fatichah, S.Kom., M.Kom.</v>
      </c>
      <c r="I97" s="16" t="str">
        <f ca="1">IFERROR(__xludf.DUMMYFUNCTION("""COMPUTED_VALUE"""),"Rudy Dikairono, ST., M.T.")</f>
        <v>Rudy Dikairono, ST., M.T.</v>
      </c>
      <c r="J97" s="16"/>
      <c r="K97" s="17" t="s">
        <v>1290</v>
      </c>
      <c r="L97" s="58" t="s">
        <v>1294</v>
      </c>
      <c r="M97" s="19" t="b">
        <v>1</v>
      </c>
      <c r="N97" s="19" t="b">
        <v>0</v>
      </c>
      <c r="O97" s="1" t="s">
        <v>1295</v>
      </c>
      <c r="P97" s="7" t="str">
        <f ca="1">IFERROR(__xludf.DUMMYFUNCTION("iferror(vlookup(B97,importrange(""https://docs.google.com/spreadsheets/d/1boHyJQ4e2FU0QG8MHwEi6qjX4hvZWVCHcFfXjq7bbMc/edit?resourcekey#gid=923248883"",""Prop!$C$1:$M""),12,0),IFERROR(vlookup(B97,importrange(""https://docs.google.com/spreadsheets/d/1boHyJQ"&amp;"4e2FU0QG8MHwEi6qjX4hvZWVCHcFfXjq7bbMc/edit?resourcekey#gid=923248883"",""Prop!$N$1:$X""),11,0),iferror(vlookup(B97,importrange(""https://docs.google.com/spreadsheets/d/1boHyJQ4e2FU0QG8MHwEi6qjX4hvZWVCHcFfXjq7bbMc/edit?resourcekey#gid=923248883"",""Prop!$Y"&amp;"$1:$AI""),11,0),iferror(vlookup(B97,importrange(""https://docs.google.com/spreadsheets/d/1boHyJQ4e2FU0QG8MHwEi6qjX4hvZWVCHcFfXjq7bbMc/edit?resourcekey#gid=923248883"",""Prop!$AJ$1:$AT""),11,0),iferror(vlookup(B97,importrange(""https://docs.google.com/spre"&amp;"adsheets/d/1boHyJQ4e2FU0QG8MHwEi6qjX4hvZWVCHcFfXjq7bbMc/edit?resourcekey#gid=923248883"",""Prop!$AU$1:$BE""),11,0),iferror(vlookup(B97,importrange(""https://docs.google.com/spreadsheets/d/1boHyJQ4e2FU0QG8MHwEi6qjX4hvZWVCHcFfXjq7bbMc/edit?resourcekey#gid=9"&amp;"23248883"",""Prop!$BF$1:$BP""),11,0),iferror(vlookup(B97,importrange(""https://docs.google.com/spreadsheets/d/1boHyJQ4e2FU0QG8MHwEi6qjX4hvZWVCHcFfXjq7bbMc/edit?resourcekey#gid=923248883"",""Prop!$BQ$1:$CA""),11,0),iferror(vlookup(B97,importrange(""https:/"&amp;"/docs.google.com/spreadsheets/d/1boHyJQ4e2FU0QG8MHwEi6qjX4hvZWVCHcFfXjq7bbMc/edit?resourcekey#gid=923248883"",""Prop!$CB$1:$CL""),11,0),iferror(vlookup(B97,importrange(""https://docs.google.com/spreadsheets/d/1boHyJQ4e2FU0QG8MHwEi6qjX4hvZWVCHcFfXjq7bbMc/e"&amp;"dit?resourcekey#gid=923248883"",""Prop!$CM$1:$CX""),12,0),iferror(vlookup(B97,importrange(""https://docs.google.com/spreadsheets/d/1boHyJQ4e2FU0QG8MHwEi6qjX4hvZWVCHcFfXjq7bbMc/edit?resourcekey#gid=923248883"",""Prop!$CV$1:$DI""),11,0)))))))))))"),"https://drive.google.com/open?id=1ZFPJcSCAzWW1D6zITRsHBchTVJU2GDFe")</f>
        <v>https://drive.google.com/open?id=1ZFPJcSCAzWW1D6zITRsHBchTVJU2GDFe</v>
      </c>
      <c r="Q97" s="7" t="str">
        <f ca="1">IFERROR(__xludf.DUMMYFUNCTION("iferror(vlookup(B97,importrange(""https://docs.google.com/spreadsheets/d/1p53T2AuvvIqhP7Nf-bo3Uhj8cbKYRPpZdsrBv3x3bAQ/edit?resourcekey#gid=1321652304"",""Prop!$C$1:$M""),11,0),IFERROR(vlookup(B97,importrange(""https://docs.google.com/spreadsheets/d/1p53T2"&amp;"AuvvIqhP7Nf-bo3Uhj8cbKYRPpZdsrBv3x3bAQ/edit?resourcekey#gid=1321652304"",""Prop!$N$1:$X""),11,0),iferror(vlookup(B97,importrange(""https://docs.google.com/spreadsheets/d/1p53T2AuvvIqhP7Nf-bo3Uhj8cbKYRPpZdsrBv3x3bAQ/edit?resourcekey#gid=1321652304"",""Prop"&amp;"!$Y$1:$AI""),11,0),iferror(vlookup(B97,importrange(""https://docs.google.com/spreadsheets/d/1p53T2AuvvIqhP7Nf-bo3Uhj8cbKYRPpZdsrBv3x3bAQ/edit?resourcekey#gid=1321652304"",""Prop!$AJ$1:$AT""),11,0),iferror(vlookup(B97,importrange(""https://docs.google.com/"&amp;"spreadsheets/d/1p53T2AuvvIqhP7Nf-bo3Uhj8cbKYRPpZdsrBv3x3bAQ/edit?resourcekey#gid=1321652304"",""Prop!$AU$1:$BE""),11,0),iferror(vlookup(B97,importrange(""https://docs.google.com/spreadsheets/d/1p53T2AuvvIqhP7Nf-bo3Uhj8cbKYRPpZdsrBv3x3bAQ/edit?resourcekey#"&amp;"gid=1321652304"",""Prop!$BF$1:$BP""),11,0),iferror(vlookup(B97,importrange(""https://docs.google.com/spreadsheets/d/1p53T2AuvvIqhP7Nf-bo3Uhj8cbKYRPpZdsrBv3x3bAQ/edit?resourcekey#gid=1321652304"",""Prop!$BQ$1:$CA""),11,0),iferror(vlookup(B97,importrange("""&amp;"https://docs.google.com/spreadsheets/d/1p53T2AuvvIqhP7Nf-bo3Uhj8cbKYRPpZdsrBv3x3bAQ/edit?resourcekey#gid=1321652304"",""Prop!$CB$1:$CL""),11,0),iferror(vlookup(B97,importrange(""https://docs.google.com/spreadsheets/d/1p53T2AuvvIqhP7Nf-bo3Uhj8cbKYRPpZdsrBv"&amp;"3x3bAQ/edit?resourcekey#gid=1321652304"",""Prop!$CM$1:$CX""),11,0),iferror(vlookup(B97,importrange(""https://docs.google.com/spreadsheets/d/1p53T2AuvvIqhP7Nf-bo3Uhj8cbKYRPpZdsrBv3x3bAQ/edit?resourcekey#gid=1321652304"",""Prop!$CY$1:$DI""),11,0)))))))))))"),"https://drive.google.com/open?id=1UXsq6Rwmd6tb9tGv3xy4wTfQjjK_ClYg")</f>
        <v>https://drive.google.com/open?id=1UXsq6Rwmd6tb9tGv3xy4wTfQjjK_ClYg</v>
      </c>
      <c r="R97" s="88" t="s">
        <v>1229</v>
      </c>
      <c r="S97" s="20" t="str">
        <f ca="1">IFERROR(__xludf.DUMMYFUNCTION("IFERROR(vlookup(B97,IMPORTRANGE(""https://docs.google.com/spreadsheets/d/1g_jfYYK_KeipEDNDUgqgrsxK94XiocfNQIcP-v1QVhI/edit?resourcekey#gid=233272945"",""Nilai!B:CT""),30,0),"" "")"),"REVISI MAJOR khususnya perincian dana/RAB !!
tanggal tanda tangan salah tertulis tahun 2020 !! ganti semua menjadi maret 2022
fitur produk belum terlihat jelas dalam proposal, coba jelaskan detil mengapa orang perlu memakai produk ini. penjelasan ini leta"&amp;"kkan di bab 1, akan memudahkan juri untuk memahami tujuan produk ini
RAB tidak sesuai, persentase bahan habis terlalu kecil dibanding sewa, cek kembali pedoman PKM !!")</f>
        <v>REVISI MAJOR khususnya perincian dana/RAB !!
tanggal tanda tangan salah tertulis tahun 2020 !! ganti semua menjadi maret 2022
fitur produk belum terlihat jelas dalam proposal, coba jelaskan detil mengapa orang perlu memakai produk ini. penjelasan ini letakkan di bab 1, akan memudahkan juri untuk memahami tujuan produk ini
RAB tidak sesuai, persentase bahan habis terlalu kecil dibanding sewa, cek kembali pedoman PKM !!</v>
      </c>
      <c r="T97" s="20" t="str">
        <f ca="1">IFERROR(__xludf.DUMMYFUNCTION("IFERROR(vlookup(B97,IMPORTRANGE(""https://docs.google.com/spreadsheets/d/1g_jfYYK_KeipEDNDUgqgrsxK94XiocfNQIcP-v1QVhI/edit?resourcekey#gid=233272945"",""Nilai!B:CT""),97,0),"" "")"),"LAYAK UPLOAD KE SIMBELMAWA DENGAN REVISI")</f>
        <v>LAYAK UPLOAD KE SIMBELMAWA DENGAN REVISI</v>
      </c>
      <c r="U97" s="21" t="s">
        <v>1288</v>
      </c>
      <c r="V97" s="70" t="s">
        <v>1265</v>
      </c>
      <c r="W97" s="58" t="s">
        <v>1293</v>
      </c>
      <c r="X97" s="19" t="b">
        <v>1</v>
      </c>
    </row>
    <row r="98" spans="1:24">
      <c r="A98" s="15">
        <v>96</v>
      </c>
      <c r="B98" s="15">
        <f ca="1">IFERROR(__xludf.DUMMYFUNCTION("""COMPUTED_VALUE"""),4115)</f>
        <v>4115</v>
      </c>
      <c r="C98" s="16" t="str">
        <f ca="1">IFERROR(__xludf.DUMMYFUNCTION("""COMPUTED_VALUE"""),"TRISYA NAURA BAHARUDDIN")</f>
        <v>TRISYA NAURA BAHARUDDIN</v>
      </c>
      <c r="D98" s="16" t="str">
        <f ca="1">IFERROR(__xludf.DUMMYFUNCTION("""COMPUTED_VALUE"""),"2042201045")</f>
        <v>2042201045</v>
      </c>
      <c r="E98" s="16" t="str">
        <f ca="1">IFERROR(__xludf.DUMMYFUNCTION("""COMPUTED_VALUE"""),"Departemen Teknik Instrumentasi")</f>
        <v>Departemen Teknik Instrumentasi</v>
      </c>
      <c r="F98" s="16" t="str">
        <f ca="1">IFERROR(__xludf.DUMMYFUNCTION("""COMPUTED_VALUE"""),"Pemadam Otomatis Untuk Kebakaran Lahan Gambut Dengan Memanfaatkan Sistem Monitoring")</f>
        <v>Pemadam Otomatis Untuk Kebakaran Lahan Gambut Dengan Memanfaatkan Sistem Monitoring</v>
      </c>
      <c r="G98" s="16" t="str">
        <f ca="1">IFERROR(__xludf.DUMMYFUNCTION("""COMPUTED_VALUE"""),"Arief Abdurrakhman, S.T., M.T.")</f>
        <v>Arief Abdurrakhman, S.T., M.T.</v>
      </c>
      <c r="H98" s="16" t="str">
        <f ca="1">IFERROR(__xludf.DUMMYFUNCTION("""COMPUTED_VALUE"""),"Yudha Prasetyawan, S.T., M.Eng.")</f>
        <v>Yudha Prasetyawan, S.T., M.Eng.</v>
      </c>
      <c r="I98" s="16" t="str">
        <f ca="1">IFERROR(__xludf.DUMMYFUNCTION("""COMPUTED_VALUE"""),"Detak Yan Pratama, S.T., M.Sc.")</f>
        <v>Detak Yan Pratama, S.T., M.Sc.</v>
      </c>
      <c r="J98" s="16"/>
      <c r="K98" s="17" t="s">
        <v>1290</v>
      </c>
      <c r="L98" s="58" t="s">
        <v>1294</v>
      </c>
      <c r="M98" s="19" t="b">
        <v>1</v>
      </c>
      <c r="N98" s="19" t="b">
        <v>0</v>
      </c>
      <c r="O98" s="1" t="s">
        <v>1295</v>
      </c>
      <c r="P98" s="7" t="str">
        <f ca="1">IFERROR(__xludf.DUMMYFUNCTION("iferror(vlookup(B98,importrange(""https://docs.google.com/spreadsheets/d/1boHyJQ4e2FU0QG8MHwEi6qjX4hvZWVCHcFfXjq7bbMc/edit?resourcekey#gid=923248883"",""Prop!$C$1:$M""),12,0),IFERROR(vlookup(B98,importrange(""https://docs.google.com/spreadsheets/d/1boHyJQ"&amp;"4e2FU0QG8MHwEi6qjX4hvZWVCHcFfXjq7bbMc/edit?resourcekey#gid=923248883"",""Prop!$N$1:$X""),11,0),iferror(vlookup(B98,importrange(""https://docs.google.com/spreadsheets/d/1boHyJQ4e2FU0QG8MHwEi6qjX4hvZWVCHcFfXjq7bbMc/edit?resourcekey#gid=923248883"",""Prop!$Y"&amp;"$1:$AI""),11,0),iferror(vlookup(B98,importrange(""https://docs.google.com/spreadsheets/d/1boHyJQ4e2FU0QG8MHwEi6qjX4hvZWVCHcFfXjq7bbMc/edit?resourcekey#gid=923248883"",""Prop!$AJ$1:$AT""),11,0),iferror(vlookup(B98,importrange(""https://docs.google.com/spre"&amp;"adsheets/d/1boHyJQ4e2FU0QG8MHwEi6qjX4hvZWVCHcFfXjq7bbMc/edit?resourcekey#gid=923248883"",""Prop!$AU$1:$BE""),11,0),iferror(vlookup(B98,importrange(""https://docs.google.com/spreadsheets/d/1boHyJQ4e2FU0QG8MHwEi6qjX4hvZWVCHcFfXjq7bbMc/edit?resourcekey#gid=9"&amp;"23248883"",""Prop!$BF$1:$BP""),11,0),iferror(vlookup(B98,importrange(""https://docs.google.com/spreadsheets/d/1boHyJQ4e2FU0QG8MHwEi6qjX4hvZWVCHcFfXjq7bbMc/edit?resourcekey#gid=923248883"",""Prop!$BQ$1:$CA""),11,0),iferror(vlookup(B98,importrange(""https:/"&amp;"/docs.google.com/spreadsheets/d/1boHyJQ4e2FU0QG8MHwEi6qjX4hvZWVCHcFfXjq7bbMc/edit?resourcekey#gid=923248883"",""Prop!$CB$1:$CL""),11,0),iferror(vlookup(B98,importrange(""https://docs.google.com/spreadsheets/d/1boHyJQ4e2FU0QG8MHwEi6qjX4hvZWVCHcFfXjq7bbMc/e"&amp;"dit?resourcekey#gid=923248883"",""Prop!$CM$1:$CX""),12,0),iferror(vlookup(B98,importrange(""https://docs.google.com/spreadsheets/d/1boHyJQ4e2FU0QG8MHwEi6qjX4hvZWVCHcFfXjq7bbMc/edit?resourcekey#gid=923248883"",""Prop!$CV$1:$DI""),11,0)))))))))))"),"https://drive.google.com/open?id=1pO8gcxB0h7-Ki1hY4hEWoJtArBhA9zkK")</f>
        <v>https://drive.google.com/open?id=1pO8gcxB0h7-Ki1hY4hEWoJtArBhA9zkK</v>
      </c>
      <c r="Q98" s="7" t="str">
        <f ca="1">IFERROR(__xludf.DUMMYFUNCTION("iferror(vlookup(B98,importrange(""https://docs.google.com/spreadsheets/d/1p53T2AuvvIqhP7Nf-bo3Uhj8cbKYRPpZdsrBv3x3bAQ/edit?resourcekey#gid=1321652304"",""Prop!$C$1:$M""),11,0),IFERROR(vlookup(B98,importrange(""https://docs.google.com/spreadsheets/d/1p53T2"&amp;"AuvvIqhP7Nf-bo3Uhj8cbKYRPpZdsrBv3x3bAQ/edit?resourcekey#gid=1321652304"",""Prop!$N$1:$X""),11,0),iferror(vlookup(B98,importrange(""https://docs.google.com/spreadsheets/d/1p53T2AuvvIqhP7Nf-bo3Uhj8cbKYRPpZdsrBv3x3bAQ/edit?resourcekey#gid=1321652304"",""Prop"&amp;"!$Y$1:$AI""),11,0),iferror(vlookup(B98,importrange(""https://docs.google.com/spreadsheets/d/1p53T2AuvvIqhP7Nf-bo3Uhj8cbKYRPpZdsrBv3x3bAQ/edit?resourcekey#gid=1321652304"",""Prop!$AJ$1:$AT""),11,0),iferror(vlookup(B98,importrange(""https://docs.google.com/"&amp;"spreadsheets/d/1p53T2AuvvIqhP7Nf-bo3Uhj8cbKYRPpZdsrBv3x3bAQ/edit?resourcekey#gid=1321652304"",""Prop!$AU$1:$BE""),11,0),iferror(vlookup(B98,importrange(""https://docs.google.com/spreadsheets/d/1p53T2AuvvIqhP7Nf-bo3Uhj8cbKYRPpZdsrBv3x3bAQ/edit?resourcekey#"&amp;"gid=1321652304"",""Prop!$BF$1:$BP""),11,0),iferror(vlookup(B98,importrange(""https://docs.google.com/spreadsheets/d/1p53T2AuvvIqhP7Nf-bo3Uhj8cbKYRPpZdsrBv3x3bAQ/edit?resourcekey#gid=1321652304"",""Prop!$BQ$1:$CA""),11,0),iferror(vlookup(B98,importrange("""&amp;"https://docs.google.com/spreadsheets/d/1p53T2AuvvIqhP7Nf-bo3Uhj8cbKYRPpZdsrBv3x3bAQ/edit?resourcekey#gid=1321652304"",""Prop!$CB$1:$CL""),11,0),iferror(vlookup(B98,importrange(""https://docs.google.com/spreadsheets/d/1p53T2AuvvIqhP7Nf-bo3Uhj8cbKYRPpZdsrBv"&amp;"3x3bAQ/edit?resourcekey#gid=1321652304"",""Prop!$CM$1:$CX""),11,0),iferror(vlookup(B98,importrange(""https://docs.google.com/spreadsheets/d/1p53T2AuvvIqhP7Nf-bo3Uhj8cbKYRPpZdsrBv3x3bAQ/edit?resourcekey#gid=1321652304"",""Prop!$CY$1:$DI""),11,0)))))))))))"),"https://drive.google.com/open?id=1SbfYwNAKjXvTmmiK93C69pnyXrhKD05h")</f>
        <v>https://drive.google.com/open?id=1SbfYwNAKjXvTmmiK93C69pnyXrhKD05h</v>
      </c>
      <c r="R98" s="88" t="s">
        <v>1229</v>
      </c>
      <c r="S98" s="20" t="str">
        <f ca="1">IFERROR(__xludf.DUMMYFUNCTION("IFERROR(vlookup(B98,IMPORTRANGE(""https://docs.google.com/spreadsheets/d/1g_jfYYK_KeipEDNDUgqgrsxK94XiocfNQIcP-v1QVhI/edit?resourcekey#gid=233272945"",""Nilai!B:CT""),30,0),"" "")"),"bab 2 jangan merinci komponen, coba jelaskan produk anda dengan merangkai teknologi yang digunakan secara sistem.
penggunaan kutipan pustaka masih kurang banyak, gunakan literatur terbaru 10 tahun terakhir
gambar flowchart dirapikan lagi, hilangkan kata ("&amp;"penulis, 2022)
pada subbab 3.7 masih menjelaskan daring, padahal pkm tahun ini adalah luring, harap disesuaikan/dihapus
tanda tangan surat pernyataan ganti bulan maret 2022
justifikasi anggaran di lampiran belum menunjukkan mana yang didanai belmawa dan m"&amp;"ana yg perguruan tinggi")</f>
        <v>bab 2 jangan merinci komponen, coba jelaskan produk anda dengan merangkai teknologi yang digunakan secara sistem.
penggunaan kutipan pustaka masih kurang banyak, gunakan literatur terbaru 10 tahun terakhir
gambar flowchart dirapikan lagi, hilangkan kata (penulis, 2022)
pada subbab 3.7 masih menjelaskan daring, padahal pkm tahun ini adalah luring, harap disesuaikan/dihapus
tanda tangan surat pernyataan ganti bulan maret 2022
justifikasi anggaran di lampiran belum menunjukkan mana yang didanai belmawa dan mana yg perguruan tinggi</v>
      </c>
      <c r="T98" s="20" t="str">
        <f ca="1">IFERROR(__xludf.DUMMYFUNCTION("IFERROR(vlookup(B98,IMPORTRANGE(""https://docs.google.com/spreadsheets/d/1g_jfYYK_KeipEDNDUgqgrsxK94XiocfNQIcP-v1QVhI/edit?resourcekey#gid=233272945"",""Nilai!B:CT""),97,0),"" "")"),"LAYAK UPLOAD KE SIMBELMAWA DENGAN REVISI")</f>
        <v>LAYAK UPLOAD KE SIMBELMAWA DENGAN REVISI</v>
      </c>
      <c r="U98" s="21" t="s">
        <v>1288</v>
      </c>
      <c r="V98" s="70" t="s">
        <v>1265</v>
      </c>
      <c r="W98" s="58" t="s">
        <v>1293</v>
      </c>
      <c r="X98" s="19" t="b">
        <v>1</v>
      </c>
    </row>
    <row r="99" spans="1:24">
      <c r="A99" s="15">
        <v>97</v>
      </c>
      <c r="B99" s="15">
        <f ca="1">IFERROR(__xludf.DUMMYFUNCTION("""COMPUTED_VALUE"""),3731)</f>
        <v>3731</v>
      </c>
      <c r="C99" s="16" t="str">
        <f ca="1">IFERROR(__xludf.DUMMYFUNCTION("""COMPUTED_VALUE"""),"HAMZAH NUR AZZAM")</f>
        <v>HAMZAH NUR AZZAM</v>
      </c>
      <c r="D99" s="16" t="str">
        <f ca="1">IFERROR(__xludf.DUMMYFUNCTION("""COMPUTED_VALUE"""),"07111942000012")</f>
        <v>07111942000012</v>
      </c>
      <c r="E99" s="16" t="str">
        <f ca="1">IFERROR(__xludf.DUMMYFUNCTION("""COMPUTED_VALUE"""),"Departemen Teknik Elektro")</f>
        <v>Departemen Teknik Elektro</v>
      </c>
      <c r="F99" s="16" t="str">
        <f ca="1">IFERROR(__xludf.DUMMYFUNCTION("""COMPUTED_VALUE"""),"Alat Ukur Desibel Suara Berbasis Internet of Thing Guna Mempermudah Proses Audit Kebisingan")</f>
        <v>Alat Ukur Desibel Suara Berbasis Internet of Thing Guna Mempermudah Proses Audit Kebisingan</v>
      </c>
      <c r="G99" s="16" t="str">
        <f ca="1">IFERROR(__xludf.DUMMYFUNCTION("""COMPUTED_VALUE"""),"Eka Iskandar, S.T., M.T.")</f>
        <v>Eka Iskandar, S.T., M.T.</v>
      </c>
      <c r="H99" s="16" t="str">
        <f ca="1">IFERROR(__xludf.DUMMYFUNCTION("""COMPUTED_VALUE"""),"Detak Yan Pratama, S.T., M.Sc.")</f>
        <v>Detak Yan Pratama, S.T., M.Sc.</v>
      </c>
      <c r="I99" s="16" t="str">
        <f ca="1">IFERROR(__xludf.DUMMYFUNCTION("""COMPUTED_VALUE"""),"Mahardika F. Rois, S.T, M.T")</f>
        <v>Mahardika F. Rois, S.T, M.T</v>
      </c>
      <c r="J99" s="16"/>
      <c r="K99" s="17" t="s">
        <v>1290</v>
      </c>
      <c r="L99" s="58" t="s">
        <v>1294</v>
      </c>
      <c r="M99" s="19" t="b">
        <v>1</v>
      </c>
      <c r="N99" s="19" t="b">
        <v>0</v>
      </c>
      <c r="O99" s="1" t="s">
        <v>1295</v>
      </c>
      <c r="P99" s="7" t="str">
        <f ca="1">IFERROR(__xludf.DUMMYFUNCTION("iferror(vlookup(B99,importrange(""https://docs.google.com/spreadsheets/d/1boHyJQ4e2FU0QG8MHwEi6qjX4hvZWVCHcFfXjq7bbMc/edit?resourcekey#gid=923248883"",""Prop!$C$1:$M""),12,0),IFERROR(vlookup(B99,importrange(""https://docs.google.com/spreadsheets/d/1boHyJQ"&amp;"4e2FU0QG8MHwEi6qjX4hvZWVCHcFfXjq7bbMc/edit?resourcekey#gid=923248883"",""Prop!$N$1:$X""),11,0),iferror(vlookup(B99,importrange(""https://docs.google.com/spreadsheets/d/1boHyJQ4e2FU0QG8MHwEi6qjX4hvZWVCHcFfXjq7bbMc/edit?resourcekey#gid=923248883"",""Prop!$Y"&amp;"$1:$AI""),11,0),iferror(vlookup(B99,importrange(""https://docs.google.com/spreadsheets/d/1boHyJQ4e2FU0QG8MHwEi6qjX4hvZWVCHcFfXjq7bbMc/edit?resourcekey#gid=923248883"",""Prop!$AJ$1:$AT""),11,0),iferror(vlookup(B99,importrange(""https://docs.google.com/spre"&amp;"adsheets/d/1boHyJQ4e2FU0QG8MHwEi6qjX4hvZWVCHcFfXjq7bbMc/edit?resourcekey#gid=923248883"",""Prop!$AU$1:$BE""),11,0),iferror(vlookup(B99,importrange(""https://docs.google.com/spreadsheets/d/1boHyJQ4e2FU0QG8MHwEi6qjX4hvZWVCHcFfXjq7bbMc/edit?resourcekey#gid=9"&amp;"23248883"",""Prop!$BF$1:$BP""),11,0),iferror(vlookup(B99,importrange(""https://docs.google.com/spreadsheets/d/1boHyJQ4e2FU0QG8MHwEi6qjX4hvZWVCHcFfXjq7bbMc/edit?resourcekey#gid=923248883"",""Prop!$BQ$1:$CA""),11,0),iferror(vlookup(B99,importrange(""https:/"&amp;"/docs.google.com/spreadsheets/d/1boHyJQ4e2FU0QG8MHwEi6qjX4hvZWVCHcFfXjq7bbMc/edit?resourcekey#gid=923248883"",""Prop!$CB$1:$CL""),11,0),iferror(vlookup(B99,importrange(""https://docs.google.com/spreadsheets/d/1boHyJQ4e2FU0QG8MHwEi6qjX4hvZWVCHcFfXjq7bbMc/e"&amp;"dit?resourcekey#gid=923248883"",""Prop!$CM$1:$CX""),12,0),iferror(vlookup(B99,importrange(""https://docs.google.com/spreadsheets/d/1boHyJQ4e2FU0QG8MHwEi6qjX4hvZWVCHcFfXjq7bbMc/edit?resourcekey#gid=923248883"",""Prop!$CV$1:$DI""),11,0)))))))))))"),"https://drive.google.com/open?id=1UguBNOcgkLitdx440OhhRk3VPKznI2pn")</f>
        <v>https://drive.google.com/open?id=1UguBNOcgkLitdx440OhhRk3VPKznI2pn</v>
      </c>
      <c r="Q99" s="7" t="str">
        <f ca="1">IFERROR(__xludf.DUMMYFUNCTION("iferror(vlookup(B99,importrange(""https://docs.google.com/spreadsheets/d/1p53T2AuvvIqhP7Nf-bo3Uhj8cbKYRPpZdsrBv3x3bAQ/edit?resourcekey#gid=1321652304"",""Prop!$C$1:$M""),11,0),IFERROR(vlookup(B99,importrange(""https://docs.google.com/spreadsheets/d/1p53T2"&amp;"AuvvIqhP7Nf-bo3Uhj8cbKYRPpZdsrBv3x3bAQ/edit?resourcekey#gid=1321652304"",""Prop!$N$1:$X""),11,0),iferror(vlookup(B99,importrange(""https://docs.google.com/spreadsheets/d/1p53T2AuvvIqhP7Nf-bo3Uhj8cbKYRPpZdsrBv3x3bAQ/edit?resourcekey#gid=1321652304"",""Prop"&amp;"!$Y$1:$AI""),11,0),iferror(vlookup(B99,importrange(""https://docs.google.com/spreadsheets/d/1p53T2AuvvIqhP7Nf-bo3Uhj8cbKYRPpZdsrBv3x3bAQ/edit?resourcekey#gid=1321652304"",""Prop!$AJ$1:$AT""),11,0),iferror(vlookup(B99,importrange(""https://docs.google.com/"&amp;"spreadsheets/d/1p53T2AuvvIqhP7Nf-bo3Uhj8cbKYRPpZdsrBv3x3bAQ/edit?resourcekey#gid=1321652304"",""Prop!$AU$1:$BE""),11,0),iferror(vlookup(B99,importrange(""https://docs.google.com/spreadsheets/d/1p53T2AuvvIqhP7Nf-bo3Uhj8cbKYRPpZdsrBv3x3bAQ/edit?resourcekey#"&amp;"gid=1321652304"",""Prop!$BF$1:$BP""),11,0),iferror(vlookup(B99,importrange(""https://docs.google.com/spreadsheets/d/1p53T2AuvvIqhP7Nf-bo3Uhj8cbKYRPpZdsrBv3x3bAQ/edit?resourcekey#gid=1321652304"",""Prop!$BQ$1:$CA""),11,0),iferror(vlookup(B99,importrange("""&amp;"https://docs.google.com/spreadsheets/d/1p53T2AuvvIqhP7Nf-bo3Uhj8cbKYRPpZdsrBv3x3bAQ/edit?resourcekey#gid=1321652304"",""Prop!$CB$1:$CL""),11,0),iferror(vlookup(B99,importrange(""https://docs.google.com/spreadsheets/d/1p53T2AuvvIqhP7Nf-bo3Uhj8cbKYRPpZdsrBv"&amp;"3x3bAQ/edit?resourcekey#gid=1321652304"",""Prop!$CM$1:$CX""),11,0),iferror(vlookup(B99,importrange(""https://docs.google.com/spreadsheets/d/1p53T2AuvvIqhP7Nf-bo3Uhj8cbKYRPpZdsrBv3x3bAQ/edit?resourcekey#gid=1321652304"",""Prop!$CY$1:$DI""),11,0)))))))))))"),"https://drive.google.com/open?id=1VZ9Hy79PxIdC0VZ4DLIgrgRY179krgTA")</f>
        <v>https://drive.google.com/open?id=1VZ9Hy79PxIdC0VZ4DLIgrgRY179krgTA</v>
      </c>
      <c r="R99" s="88" t="s">
        <v>1229</v>
      </c>
      <c r="S99" s="20" t="str">
        <f ca="1">IFERROR(__xludf.DUMMYFUNCTION("IFERROR(vlookup(B99,IMPORTRANGE(""https://docs.google.com/spreadsheets/d/1g_jfYYK_KeipEDNDUgqgrsxK94XiocfNQIcP-v1QVhI/edit?resourcekey#gid=233272945"",""Nilai!B:CT""),30,0),"" "")"),"REVISI MAJOR - topik ini kurang memberikan karsa cipta yang menarik, namun masih ada waktu untuk memoles supaya topik ini menjadi menarik, misalnya dengan membuat sistem penilaian kualitas audio dengan artificial intelligence atau yang lain. 
bab 1 kurang"&amp;" menggambarkan kegunaan dari produk yang akan dibuat, jika hanya sekedar sensor dan mengumpulkan data-data saja maka tidak ada yang menarik dari produk ini. 
subbab 1.5 jelaskan manfaat produk ini apabila telah diterapkan dan kemungkinan pengembangannya, "&amp;"jangan dipecah manfaat bagi mahasiswa, masyarakat, dsb.. jadi jelaskan jika produk ini diterapkan maka... bukan manfaat program PKM nya 
bab 2 jangan menjelaskan fungsi-fungsi komponen, tapi coba lebih fokus ke sistem/produk yang telah dikembangkan orang")</f>
        <v>REVISI MAJOR - topik ini kurang memberikan karsa cipta yang menarik, namun masih ada waktu untuk memoles supaya topik ini menjadi menarik, misalnya dengan membuat sistem penilaian kualitas audio dengan artificial intelligence atau yang lain. 
bab 1 kurang menggambarkan kegunaan dari produk yang akan dibuat, jika hanya sekedar sensor dan mengumpulkan data-data saja maka tidak ada yang menarik dari produk ini. 
subbab 1.5 jelaskan manfaat produk ini apabila telah diterapkan dan kemungkinan pengembangannya, jangan dipecah manfaat bagi mahasiswa, masyarakat, dsb.. jadi jelaskan jika produk ini diterapkan maka... bukan manfaat program PKM nya 
bab 2 jangan menjelaskan fungsi-fungsi komponen, tapi coba lebih fokus ke sistem/produk yang telah dikembangkan orang</v>
      </c>
      <c r="T99" s="20" t="str">
        <f ca="1">IFERROR(__xludf.DUMMYFUNCTION("IFERROR(vlookup(B99,IMPORTRANGE(""https://docs.google.com/spreadsheets/d/1g_jfYYK_KeipEDNDUgqgrsxK94XiocfNQIcP-v1QVhI/edit?resourcekey#gid=233272945"",""Nilai!B:CT""),97,0),"" "")"),"LAYAK UPLOAD KE SIMBELMAWA DENGAN REVISI")</f>
        <v>LAYAK UPLOAD KE SIMBELMAWA DENGAN REVISI</v>
      </c>
      <c r="U99" s="21" t="s">
        <v>1288</v>
      </c>
      <c r="V99" s="70" t="s">
        <v>1265</v>
      </c>
      <c r="W99" s="58" t="s">
        <v>1293</v>
      </c>
      <c r="X99" s="19" t="b">
        <v>1</v>
      </c>
    </row>
    <row r="100" spans="1:24">
      <c r="A100" s="15">
        <v>98</v>
      </c>
      <c r="B100" s="15">
        <f ca="1">IFERROR(__xludf.DUMMYFUNCTION("""COMPUTED_VALUE"""),3355)</f>
        <v>3355</v>
      </c>
      <c r="C100" s="16" t="str">
        <f ca="1">IFERROR(__xludf.DUMMYFUNCTION("""COMPUTED_VALUE"""),"AHMAD RIFA`I FADHILA")</f>
        <v>AHMAD RIFA`I FADHILA</v>
      </c>
      <c r="D100" s="16" t="str">
        <f ca="1">IFERROR(__xludf.DUMMYFUNCTION("""COMPUTED_VALUE"""),"5010201184")</f>
        <v>5010201184</v>
      </c>
      <c r="E100" s="16" t="str">
        <f ca="1">IFERROR(__xludf.DUMMYFUNCTION("""COMPUTED_VALUE"""),"Departemen Teknik Sistem dan Industri")</f>
        <v>Departemen Teknik Sistem dan Industri</v>
      </c>
      <c r="F100" s="16" t="str">
        <f ca="1">IFERROR(__xludf.DUMMYFUNCTION("""COMPUTED_VALUE"""),"Perancangan Alat Sterilisasi Makanan FOODER: Anti Pathogen Food Heater")</f>
        <v>Perancangan Alat Sterilisasi Makanan FOODER: Anti Pathogen Food Heater</v>
      </c>
      <c r="G100" s="16" t="str">
        <f ca="1">IFERROR(__xludf.DUMMYFUNCTION("""COMPUTED_VALUE"""),"Dr. Ir. Mokh Suef, M.Sc (Eng)")</f>
        <v>Dr. Ir. Mokh Suef, M.Sc (Eng)</v>
      </c>
      <c r="H100" s="16" t="str">
        <f ca="1">IFERROR(__xludf.DUMMYFUNCTION("""COMPUTED_VALUE"""),"Ir. Josaphat Pramudijanto, M.Eng.")</f>
        <v>Ir. Josaphat Pramudijanto, M.Eng.</v>
      </c>
      <c r="I100" s="16" t="str">
        <f ca="1">IFERROR(__xludf.DUMMYFUNCTION("""COMPUTED_VALUE"""),"Indra Ranu Kusuma, S.T., M.Sc.")</f>
        <v>Indra Ranu Kusuma, S.T., M.Sc.</v>
      </c>
      <c r="J100" s="16"/>
      <c r="K100" s="17" t="s">
        <v>1290</v>
      </c>
      <c r="L100" s="58" t="s">
        <v>1294</v>
      </c>
      <c r="M100" s="19" t="b">
        <v>1</v>
      </c>
      <c r="N100" s="19" t="b">
        <v>0</v>
      </c>
      <c r="O100" s="1" t="s">
        <v>1295</v>
      </c>
      <c r="P100" s="7" t="str">
        <f ca="1">IFERROR(__xludf.DUMMYFUNCTION("iferror(vlookup(B100,importrange(""https://docs.google.com/spreadsheets/d/1boHyJQ4e2FU0QG8MHwEi6qjX4hvZWVCHcFfXjq7bbMc/edit?resourcekey#gid=923248883"",""Prop!$C$1:$M""),12,0),IFERROR(vlookup(B100,importrange(""https://docs.google.com/spreadsheets/d/1boHy"&amp;"JQ4e2FU0QG8MHwEi6qjX4hvZWVCHcFfXjq7bbMc/edit?resourcekey#gid=923248883"",""Prop!$N$1:$X""),11,0),iferror(vlookup(B100,importrange(""https://docs.google.com/spreadsheets/d/1boHyJQ4e2FU0QG8MHwEi6qjX4hvZWVCHcFfXjq7bbMc/edit?resourcekey#gid=923248883"",""Prop"&amp;"!$Y$1:$AI""),11,0),iferror(vlookup(B100,importrange(""https://docs.google.com/spreadsheets/d/1boHyJQ4e2FU0QG8MHwEi6qjX4hvZWVCHcFfXjq7bbMc/edit?resourcekey#gid=923248883"",""Prop!$AJ$1:$AT""),11,0),iferror(vlookup(B100,importrange(""https://docs.google.com"&amp;"/spreadsheets/d/1boHyJQ4e2FU0QG8MHwEi6qjX4hvZWVCHcFfXjq7bbMc/edit?resourcekey#gid=923248883"",""Prop!$AU$1:$BE""),11,0),iferror(vlookup(B100,importrange(""https://docs.google.com/spreadsheets/d/1boHyJQ4e2FU0QG8MHwEi6qjX4hvZWVCHcFfXjq7bbMc/edit?resourcekey"&amp;"#gid=923248883"",""Prop!$BF$1:$BP""),11,0),iferror(vlookup(B100,importrange(""https://docs.google.com/spreadsheets/d/1boHyJQ4e2FU0QG8MHwEi6qjX4hvZWVCHcFfXjq7bbMc/edit?resourcekey#gid=923248883"",""Prop!$BQ$1:$CA""),11,0),iferror(vlookup(B100,importrange("&amp;"""https://docs.google.com/spreadsheets/d/1boHyJQ4e2FU0QG8MHwEi6qjX4hvZWVCHcFfXjq7bbMc/edit?resourcekey#gid=923248883"",""Prop!$CB$1:$CL""),11,0),iferror(vlookup(B100,importrange(""https://docs.google.com/spreadsheets/d/1boHyJQ4e2FU0QG8MHwEi6qjX4hvZWVCHcFf"&amp;"Xjq7bbMc/edit?resourcekey#gid=923248883"",""Prop!$CM$1:$CX""),12,0),iferror(vlookup(B100,importrange(""https://docs.google.com/spreadsheets/d/1boHyJQ4e2FU0QG8MHwEi6qjX4hvZWVCHcFfXjq7bbMc/edit?resourcekey#gid=923248883"",""Prop!$CV$1:$DI""),11,0)))))))))))"),"https://drive.google.com/open?id=1d88HHKFIy1m2zAD1Z0nswUdZc5xH8tL-")</f>
        <v>https://drive.google.com/open?id=1d88HHKFIy1m2zAD1Z0nswUdZc5xH8tL-</v>
      </c>
      <c r="Q100" s="7" t="str">
        <f ca="1">IFERROR(__xludf.DUMMYFUNCTION("iferror(vlookup(B100,importrange(""https://docs.google.com/spreadsheets/d/1p53T2AuvvIqhP7Nf-bo3Uhj8cbKYRPpZdsrBv3x3bAQ/edit?resourcekey#gid=1321652304"",""Prop!$C$1:$M""),11,0),IFERROR(vlookup(B100,importrange(""https://docs.google.com/spreadsheets/d/1p53"&amp;"T2AuvvIqhP7Nf-bo3Uhj8cbKYRPpZdsrBv3x3bAQ/edit?resourcekey#gid=1321652304"",""Prop!$N$1:$X""),11,0),iferror(vlookup(B100,importrange(""https://docs.google.com/spreadsheets/d/1p53T2AuvvIqhP7Nf-bo3Uhj8cbKYRPpZdsrBv3x3bAQ/edit?resourcekey#gid=1321652304"",""P"&amp;"rop!$Y$1:$AI""),11,0),iferror(vlookup(B100,importrange(""https://docs.google.com/spreadsheets/d/1p53T2AuvvIqhP7Nf-bo3Uhj8cbKYRPpZdsrBv3x3bAQ/edit?resourcekey#gid=1321652304"",""Prop!$AJ$1:$AT""),11,0),iferror(vlookup(B100,importrange(""https://docs.google"&amp;".com/spreadsheets/d/1p53T2AuvvIqhP7Nf-bo3Uhj8cbKYRPpZdsrBv3x3bAQ/edit?resourcekey#gid=1321652304"",""Prop!$AU$1:$BE""),11,0),iferror(vlookup(B100,importrange(""https://docs.google.com/spreadsheets/d/1p53T2AuvvIqhP7Nf-bo3Uhj8cbKYRPpZdsrBv3x3bAQ/edit?resour"&amp;"cekey#gid=1321652304"",""Prop!$BF$1:$BP""),11,0),iferror(vlookup(B100,importrange(""https://docs.google.com/spreadsheets/d/1p53T2AuvvIqhP7Nf-bo3Uhj8cbKYRPpZdsrBv3x3bAQ/edit?resourcekey#gid=1321652304"",""Prop!$BQ$1:$CA""),11,0),iferror(vlookup(B100,import"&amp;"range(""https://docs.google.com/spreadsheets/d/1p53T2AuvvIqhP7Nf-bo3Uhj8cbKYRPpZdsrBv3x3bAQ/edit?resourcekey#gid=1321652304"",""Prop!$CB$1:$CL""),11,0),iferror(vlookup(B100,importrange(""https://docs.google.com/spreadsheets/d/1p53T2AuvvIqhP7Nf-bo3Uhj8cbKY"&amp;"RPpZdsrBv3x3bAQ/edit?resourcekey#gid=1321652304"",""Prop!$CM$1:$CX""),11,0),iferror(vlookup(B100,importrange(""https://docs.google.com/spreadsheets/d/1p53T2AuvvIqhP7Nf-bo3Uhj8cbKYRPpZdsrBv3x3bAQ/edit?resourcekey#gid=1321652304"",""Prop!$CY$1:$DI""),11,0))"&amp;")))))))))"),"https://drive.google.com/open?id=1dH3dEnKTaXLK27LNAKnEcOQKHTcqJLPx")</f>
        <v>https://drive.google.com/open?id=1dH3dEnKTaXLK27LNAKnEcOQKHTcqJLPx</v>
      </c>
      <c r="R100" s="88" t="s">
        <v>1229</v>
      </c>
      <c r="S100" s="20" t="str">
        <f ca="1">IFERROR(__xludf.DUMMYFUNCTION("IFERROR(vlookup(B100,IMPORTRANGE(""https://docs.google.com/spreadsheets/d/1g_jfYYK_KeipEDNDUgqgrsxK94XiocfNQIcP-v1QVhI/edit?resourcekey#gid=233272945"",""Nilai!B:CT""),30,0),"" "")"),"tambahkan desain/gambar alat, macam metode sterilisasi dapat dibuat bentuk tabel, anggaran dana maksimalkan")</f>
        <v>tambahkan desain/gambar alat, macam metode sterilisasi dapat dibuat bentuk tabel, anggaran dana maksimalkan</v>
      </c>
      <c r="T100" s="20" t="str">
        <f ca="1">IFERROR(__xludf.DUMMYFUNCTION("IFERROR(vlookup(B100,IMPORTRANGE(""https://docs.google.com/spreadsheets/d/1g_jfYYK_KeipEDNDUgqgrsxK94XiocfNQIcP-v1QVhI/edit?resourcekey#gid=233272945"",""Nilai!B:CT""),97,0),"" "")"),"")</f>
        <v/>
      </c>
      <c r="U100" s="21" t="s">
        <v>1288</v>
      </c>
      <c r="V100" s="70" t="s">
        <v>1265</v>
      </c>
      <c r="W100" s="58" t="s">
        <v>1296</v>
      </c>
      <c r="X100" s="19" t="b">
        <v>0</v>
      </c>
    </row>
    <row r="101" spans="1:24">
      <c r="A101" s="15">
        <v>99</v>
      </c>
      <c r="B101" s="15">
        <f ca="1">IFERROR(__xludf.DUMMYFUNCTION("""COMPUTED_VALUE"""),3801)</f>
        <v>3801</v>
      </c>
      <c r="C101" s="16" t="str">
        <f ca="1">IFERROR(__xludf.DUMMYFUNCTION("""COMPUTED_VALUE"""),"JUNDI ABDILLAH MUNDZIR")</f>
        <v>JUNDI ABDILLAH MUNDZIR</v>
      </c>
      <c r="D101" s="16" t="str">
        <f ca="1">IFERROR(__xludf.DUMMYFUNCTION("""COMPUTED_VALUE"""),"5022201207")</f>
        <v>5022201207</v>
      </c>
      <c r="E101" s="16" t="str">
        <f ca="1">IFERROR(__xludf.DUMMYFUNCTION("""COMPUTED_VALUE"""),"Departemen Teknik Elektro")</f>
        <v>Departemen Teknik Elektro</v>
      </c>
      <c r="F101" s="16" t="str">
        <f ca="1">IFERROR(__xludf.DUMMYFUNCTION("""COMPUTED_VALUE"""),"Sistem Berbasis Audio Detector dan Computer Vision pada Autonomous Unmanned Aerial Vehicle untuk Respon Cepat Pencarian Pendaki yang Hilang
")</f>
        <v xml:space="preserve">Sistem Berbasis Audio Detector dan Computer Vision pada Autonomous Unmanned Aerial Vehicle untuk Respon Cepat Pencarian Pendaki yang Hilang
</v>
      </c>
      <c r="G101" s="16" t="str">
        <f ca="1">IFERROR(__xludf.DUMMYFUNCTION("""COMPUTED_VALUE"""),"Dr. Ir. Wirawan, DEA.")</f>
        <v>Dr. Ir. Wirawan, DEA.</v>
      </c>
      <c r="H101" s="16" t="str">
        <f ca="1">IFERROR(__xludf.DUMMYFUNCTION("""COMPUTED_VALUE"""),"Mohammad Khoirul Effendi, S.T., M.Sc.Eng., Ph.D.")</f>
        <v>Mohammad Khoirul Effendi, S.T., M.Sc.Eng., Ph.D.</v>
      </c>
      <c r="I101" s="16" t="str">
        <f ca="1">IFERROR(__xludf.DUMMYFUNCTION("""COMPUTED_VALUE"""),"Azzah Dyah Pramata, S.T., M.T., M.Eng., Ph.D.")</f>
        <v>Azzah Dyah Pramata, S.T., M.T., M.Eng., Ph.D.</v>
      </c>
      <c r="J101" s="16"/>
      <c r="K101" s="17" t="s">
        <v>1290</v>
      </c>
      <c r="L101" s="58" t="s">
        <v>1297</v>
      </c>
      <c r="M101" s="19" t="b">
        <v>1</v>
      </c>
      <c r="N101" s="19" t="b">
        <v>0</v>
      </c>
      <c r="O101" s="1" t="s">
        <v>1295</v>
      </c>
      <c r="P101" s="7" t="str">
        <f ca="1">IFERROR(__xludf.DUMMYFUNCTION("iferror(vlookup(B101,importrange(""https://docs.google.com/spreadsheets/d/1boHyJQ4e2FU0QG8MHwEi6qjX4hvZWVCHcFfXjq7bbMc/edit?resourcekey#gid=923248883"",""Prop!$C$1:$M""),12,0),IFERROR(vlookup(B101,importrange(""https://docs.google.com/spreadsheets/d/1boHy"&amp;"JQ4e2FU0QG8MHwEi6qjX4hvZWVCHcFfXjq7bbMc/edit?resourcekey#gid=923248883"",""Prop!$N$1:$X""),11,0),iferror(vlookup(B101,importrange(""https://docs.google.com/spreadsheets/d/1boHyJQ4e2FU0QG8MHwEi6qjX4hvZWVCHcFfXjq7bbMc/edit?resourcekey#gid=923248883"",""Prop"&amp;"!$Y$1:$AI""),11,0),iferror(vlookup(B101,importrange(""https://docs.google.com/spreadsheets/d/1boHyJQ4e2FU0QG8MHwEi6qjX4hvZWVCHcFfXjq7bbMc/edit?resourcekey#gid=923248883"",""Prop!$AJ$1:$AT""),11,0),iferror(vlookup(B101,importrange(""https://docs.google.com"&amp;"/spreadsheets/d/1boHyJQ4e2FU0QG8MHwEi6qjX4hvZWVCHcFfXjq7bbMc/edit?resourcekey#gid=923248883"",""Prop!$AU$1:$BE""),11,0),iferror(vlookup(B101,importrange(""https://docs.google.com/spreadsheets/d/1boHyJQ4e2FU0QG8MHwEi6qjX4hvZWVCHcFfXjq7bbMc/edit?resourcekey"&amp;"#gid=923248883"",""Prop!$BF$1:$BP""),11,0),iferror(vlookup(B101,importrange(""https://docs.google.com/spreadsheets/d/1boHyJQ4e2FU0QG8MHwEi6qjX4hvZWVCHcFfXjq7bbMc/edit?resourcekey#gid=923248883"",""Prop!$BQ$1:$CA""),11,0),iferror(vlookup(B101,importrange("&amp;"""https://docs.google.com/spreadsheets/d/1boHyJQ4e2FU0QG8MHwEi6qjX4hvZWVCHcFfXjq7bbMc/edit?resourcekey#gid=923248883"",""Prop!$CB$1:$CL""),11,0),iferror(vlookup(B101,importrange(""https://docs.google.com/spreadsheets/d/1boHyJQ4e2FU0QG8MHwEi6qjX4hvZWVCHcFf"&amp;"Xjq7bbMc/edit?resourcekey#gid=923248883"",""Prop!$CM$1:$CX""),12,0),iferror(vlookup(B101,importrange(""https://docs.google.com/spreadsheets/d/1boHyJQ4e2FU0QG8MHwEi6qjX4hvZWVCHcFfXjq7bbMc/edit?resourcekey#gid=923248883"",""Prop!$CV$1:$DI""),11,0)))))))))))"),"https://drive.google.com/open?id=1GeID8fld8eyWtynoQUqIJ26-G-VHsXRA")</f>
        <v>https://drive.google.com/open?id=1GeID8fld8eyWtynoQUqIJ26-G-VHsXRA</v>
      </c>
      <c r="Q101" s="7" t="str">
        <f ca="1">IFERROR(__xludf.DUMMYFUNCTION("iferror(vlookup(B101,importrange(""https://docs.google.com/spreadsheets/d/1p53T2AuvvIqhP7Nf-bo3Uhj8cbKYRPpZdsrBv3x3bAQ/edit?resourcekey#gid=1321652304"",""Prop!$C$1:$M""),11,0),IFERROR(vlookup(B101,importrange(""https://docs.google.com/spreadsheets/d/1p53"&amp;"T2AuvvIqhP7Nf-bo3Uhj8cbKYRPpZdsrBv3x3bAQ/edit?resourcekey#gid=1321652304"",""Prop!$N$1:$X""),11,0),iferror(vlookup(B101,importrange(""https://docs.google.com/spreadsheets/d/1p53T2AuvvIqhP7Nf-bo3Uhj8cbKYRPpZdsrBv3x3bAQ/edit?resourcekey#gid=1321652304"",""P"&amp;"rop!$Y$1:$AI""),11,0),iferror(vlookup(B101,importrange(""https://docs.google.com/spreadsheets/d/1p53T2AuvvIqhP7Nf-bo3Uhj8cbKYRPpZdsrBv3x3bAQ/edit?resourcekey#gid=1321652304"",""Prop!$AJ$1:$AT""),11,0),iferror(vlookup(B101,importrange(""https://docs.google"&amp;".com/spreadsheets/d/1p53T2AuvvIqhP7Nf-bo3Uhj8cbKYRPpZdsrBv3x3bAQ/edit?resourcekey#gid=1321652304"",""Prop!$AU$1:$BE""),11,0),iferror(vlookup(B101,importrange(""https://docs.google.com/spreadsheets/d/1p53T2AuvvIqhP7Nf-bo3Uhj8cbKYRPpZdsrBv3x3bAQ/edit?resour"&amp;"cekey#gid=1321652304"",""Prop!$BF$1:$BP""),11,0),iferror(vlookup(B101,importrange(""https://docs.google.com/spreadsheets/d/1p53T2AuvvIqhP7Nf-bo3Uhj8cbKYRPpZdsrBv3x3bAQ/edit?resourcekey#gid=1321652304"",""Prop!$BQ$1:$CA""),11,0),iferror(vlookup(B101,import"&amp;"range(""https://docs.google.com/spreadsheets/d/1p53T2AuvvIqhP7Nf-bo3Uhj8cbKYRPpZdsrBv3x3bAQ/edit?resourcekey#gid=1321652304"",""Prop!$CB$1:$CL""),11,0),iferror(vlookup(B101,importrange(""https://docs.google.com/spreadsheets/d/1p53T2AuvvIqhP7Nf-bo3Uhj8cbKY"&amp;"RPpZdsrBv3x3bAQ/edit?resourcekey#gid=1321652304"",""Prop!$CM$1:$CX""),11,0),iferror(vlookup(B101,importrange(""https://docs.google.com/spreadsheets/d/1p53T2AuvvIqhP7Nf-bo3Uhj8cbKYRPpZdsrBv3x3bAQ/edit?resourcekey#gid=1321652304"",""Prop!$CY$1:$DI""),11,0))"&amp;")))))))))"),"https://drive.google.com/open?id=1Bii9uTmabXpaY3K4sbsG7EDx3iHlXmsY")</f>
        <v>https://drive.google.com/open?id=1Bii9uTmabXpaY3K4sbsG7EDx3iHlXmsY</v>
      </c>
      <c r="R101" s="88" t="s">
        <v>1229</v>
      </c>
      <c r="S101" s="20" t="str">
        <f ca="1">IFERROR(__xludf.DUMMYFUNCTION("IFERROR(vlookup(B101,IMPORTRANGE(""https://docs.google.com/spreadsheets/d/1g_jfYYK_KeipEDNDUgqgrsxK94XiocfNQIcP-v1QVhI/edit?resourcekey#gid=233272945"",""Nilai!B:CT""),30,0),"" "")"),"perbaiki panah flowchart, bila memungkinkan tampilkan visualisasi UAV, jelaskan secara keilmuan terkait metode mekanisme respon cepat")</f>
        <v>perbaiki panah flowchart, bila memungkinkan tampilkan visualisasi UAV, jelaskan secara keilmuan terkait metode mekanisme respon cepat</v>
      </c>
      <c r="T101" s="20" t="str">
        <f ca="1">IFERROR(__xludf.DUMMYFUNCTION("IFERROR(vlookup(B101,IMPORTRANGE(""https://docs.google.com/spreadsheets/d/1g_jfYYK_KeipEDNDUgqgrsxK94XiocfNQIcP-v1QVhI/edit?resourcekey#gid=233272945"",""Nilai!B:CT""),97,0),"" "")"),"")</f>
        <v/>
      </c>
      <c r="U101" s="21" t="s">
        <v>1288</v>
      </c>
      <c r="V101" s="70" t="s">
        <v>1265</v>
      </c>
      <c r="W101" s="58" t="s">
        <v>1296</v>
      </c>
      <c r="X101" s="19" t="b">
        <v>0</v>
      </c>
    </row>
    <row r="102" spans="1:24">
      <c r="A102" s="15">
        <v>100</v>
      </c>
      <c r="B102" s="15">
        <f ca="1">IFERROR(__xludf.DUMMYFUNCTION("""COMPUTED_VALUE"""),3668)</f>
        <v>3668</v>
      </c>
      <c r="C102" s="16" t="str">
        <f ca="1">IFERROR(__xludf.DUMMYFUNCTION("""COMPUTED_VALUE"""),"ZUFAR AMAANATURRAAFI")</f>
        <v>ZUFAR AMAANATURRAAFI</v>
      </c>
      <c r="D102" s="16" t="str">
        <f ca="1">IFERROR(__xludf.DUMMYFUNCTION("""COMPUTED_VALUE"""),"5001201045")</f>
        <v>5001201045</v>
      </c>
      <c r="E102" s="16" t="str">
        <f ca="1">IFERROR(__xludf.DUMMYFUNCTION("""COMPUTED_VALUE"""),"Departemen Fisika")</f>
        <v>Departemen Fisika</v>
      </c>
      <c r="F102" s="16" t="str">
        <f ca="1">IFERROR(__xludf.DUMMYFUNCTION("""COMPUTED_VALUE"""),"Sistem Monitoring dan Otomasi Limbah Lele Berbasis IoT Untuk Pemberisihan Kolam Lele Terintegrasi Panel Surya")</f>
        <v>Sistem Monitoring dan Otomasi Limbah Lele Berbasis IoT Untuk Pemberisihan Kolam Lele Terintegrasi Panel Surya</v>
      </c>
      <c r="G102" s="16"/>
      <c r="H102" s="16" t="str">
        <f ca="1">IFERROR(__xludf.DUMMYFUNCTION("""COMPUTED_VALUE"""),"Mohammad Khoirul Effendi, S.T., M.Sc.Eng., Ph.D.")</f>
        <v>Mohammad Khoirul Effendi, S.T., M.Sc.Eng., Ph.D.</v>
      </c>
      <c r="I102" s="16" t="str">
        <f ca="1">IFERROR(__xludf.DUMMYFUNCTION("""COMPUTED_VALUE"""),"Siska Arifiani, S.Kom., M.Kom.")</f>
        <v>Siska Arifiani, S.Kom., M.Kom.</v>
      </c>
      <c r="J102" s="16"/>
      <c r="K102" s="17" t="s">
        <v>1290</v>
      </c>
      <c r="L102" s="58" t="s">
        <v>1297</v>
      </c>
      <c r="M102" s="19" t="b">
        <v>0</v>
      </c>
      <c r="N102" s="19" t="b">
        <v>0</v>
      </c>
      <c r="O102" s="1" t="s">
        <v>1295</v>
      </c>
      <c r="P102" s="1" t="str">
        <f ca="1">IFERROR(__xludf.DUMMYFUNCTION("iferror(vlookup(B102,importrange(""https://docs.google.com/spreadsheets/d/1boHyJQ4e2FU0QG8MHwEi6qjX4hvZWVCHcFfXjq7bbMc/edit?resourcekey#gid=923248883"",""Prop!$C$1:$M""),12,0),IFERROR(vlookup(B102,importrange(""https://docs.google.com/spreadsheets/d/1boHy"&amp;"JQ4e2FU0QG8MHwEi6qjX4hvZWVCHcFfXjq7bbMc/edit?resourcekey#gid=923248883"",""Prop!$N$1:$X""),11,0),iferror(vlookup(B102,importrange(""https://docs.google.com/spreadsheets/d/1boHyJQ4e2FU0QG8MHwEi6qjX4hvZWVCHcFfXjq7bbMc/edit?resourcekey#gid=923248883"",""Prop"&amp;"!$Y$1:$AI""),11,0),iferror(vlookup(B102,importrange(""https://docs.google.com/spreadsheets/d/1boHyJQ4e2FU0QG8MHwEi6qjX4hvZWVCHcFfXjq7bbMc/edit?resourcekey#gid=923248883"",""Prop!$AJ$1:$AT""),11,0),iferror(vlookup(B102,importrange(""https://docs.google.com"&amp;"/spreadsheets/d/1boHyJQ4e2FU0QG8MHwEi6qjX4hvZWVCHcFfXjq7bbMc/edit?resourcekey#gid=923248883"",""Prop!$AU$1:$BE""),11,0),iferror(vlookup(B102,importrange(""https://docs.google.com/spreadsheets/d/1boHyJQ4e2FU0QG8MHwEi6qjX4hvZWVCHcFfXjq7bbMc/edit?resourcekey"&amp;"#gid=923248883"",""Prop!$BF$1:$BP""),11,0),iferror(vlookup(B102,importrange(""https://docs.google.com/spreadsheets/d/1boHyJQ4e2FU0QG8MHwEi6qjX4hvZWVCHcFfXjq7bbMc/edit?resourcekey#gid=923248883"",""Prop!$BQ$1:$CA""),11,0),iferror(vlookup(B102,importrange("&amp;"""https://docs.google.com/spreadsheets/d/1boHyJQ4e2FU0QG8MHwEi6qjX4hvZWVCHcFfXjq7bbMc/edit?resourcekey#gid=923248883"",""Prop!$CB$1:$CL""),11,0),iferror(vlookup(B102,importrange(""https://docs.google.com/spreadsheets/d/1boHyJQ4e2FU0QG8MHwEi6qjX4hvZWVCHcFf"&amp;"Xjq7bbMc/edit?resourcekey#gid=923248883"",""Prop!$CM$1:$CX""),12,0),iferror(vlookup(B102,importrange(""https://docs.google.com/spreadsheets/d/1boHyJQ4e2FU0QG8MHwEi6qjX4hvZWVCHcFfXjq7bbMc/edit?resourcekey#gid=923248883"",""Prop!$CV$1:$DI""),11,0)))))))))))"),"")</f>
        <v/>
      </c>
      <c r="Q102" s="7" t="str">
        <f ca="1">IFERROR(__xludf.DUMMYFUNCTION("iferror(vlookup(B102,importrange(""https://docs.google.com/spreadsheets/d/1p53T2AuvvIqhP7Nf-bo3Uhj8cbKYRPpZdsrBv3x3bAQ/edit?resourcekey#gid=1321652304"",""Prop!$C$1:$M""),11,0),IFERROR(vlookup(B102,importrange(""https://docs.google.com/spreadsheets/d/1p53"&amp;"T2AuvvIqhP7Nf-bo3Uhj8cbKYRPpZdsrBv3x3bAQ/edit?resourcekey#gid=1321652304"",""Prop!$N$1:$X""),11,0),iferror(vlookup(B102,importrange(""https://docs.google.com/spreadsheets/d/1p53T2AuvvIqhP7Nf-bo3Uhj8cbKYRPpZdsrBv3x3bAQ/edit?resourcekey#gid=1321652304"",""P"&amp;"rop!$Y$1:$AI""),11,0),iferror(vlookup(B102,importrange(""https://docs.google.com/spreadsheets/d/1p53T2AuvvIqhP7Nf-bo3Uhj8cbKYRPpZdsrBv3x3bAQ/edit?resourcekey#gid=1321652304"",""Prop!$AJ$1:$AT""),11,0),iferror(vlookup(B102,importrange(""https://docs.google"&amp;".com/spreadsheets/d/1p53T2AuvvIqhP7Nf-bo3Uhj8cbKYRPpZdsrBv3x3bAQ/edit?resourcekey#gid=1321652304"",""Prop!$AU$1:$BE""),11,0),iferror(vlookup(B102,importrange(""https://docs.google.com/spreadsheets/d/1p53T2AuvvIqhP7Nf-bo3Uhj8cbKYRPpZdsrBv3x3bAQ/edit?resour"&amp;"cekey#gid=1321652304"",""Prop!$BF$1:$BP""),11,0),iferror(vlookup(B102,importrange(""https://docs.google.com/spreadsheets/d/1p53T2AuvvIqhP7Nf-bo3Uhj8cbKYRPpZdsrBv3x3bAQ/edit?resourcekey#gid=1321652304"",""Prop!$BQ$1:$CA""),11,0),iferror(vlookup(B102,import"&amp;"range(""https://docs.google.com/spreadsheets/d/1p53T2AuvvIqhP7Nf-bo3Uhj8cbKYRPpZdsrBv3x3bAQ/edit?resourcekey#gid=1321652304"",""Prop!$CB$1:$CL""),11,0),iferror(vlookup(B102,importrange(""https://docs.google.com/spreadsheets/d/1p53T2AuvvIqhP7Nf-bo3Uhj8cbKY"&amp;"RPpZdsrBv3x3bAQ/edit?resourcekey#gid=1321652304"",""Prop!$CM$1:$CX""),11,0),iferror(vlookup(B102,importrange(""https://docs.google.com/spreadsheets/d/1p53T2AuvvIqhP7Nf-bo3Uhj8cbKYRPpZdsrBv3x3bAQ/edit?resourcekey#gid=1321652304"",""Prop!$CY$1:$DI""),11,0))"&amp;")))))))))"),"https://drive.google.com/open?id=1yStDi00c3zgl9RMJCELWJ__lyQptxmQq")</f>
        <v>https://drive.google.com/open?id=1yStDi00c3zgl9RMJCELWJ__lyQptxmQq</v>
      </c>
      <c r="R102" s="88" t="s">
        <v>1229</v>
      </c>
      <c r="S102" s="20" t="str">
        <f ca="1">IFERROR(__xludf.DUMMYFUNCTION("IFERROR(vlookup(B102,IMPORTRANGE(""https://docs.google.com/spreadsheets/d/1g_jfYYK_KeipEDNDUgqgrsxK94XiocfNQIcP-v1QVhI/edit?resourcekey#gid=233272945"",""Nilai!B:CT""),30,0),"" "")"),"Buatkan visual alatnya, peletakkan sensor2nya saat implementasi di kolam")</f>
        <v>Buatkan visual alatnya, peletakkan sensor2nya saat implementasi di kolam</v>
      </c>
      <c r="T102" s="20" t="str">
        <f ca="1">IFERROR(__xludf.DUMMYFUNCTION("IFERROR(vlookup(B102,IMPORTRANGE(""https://docs.google.com/spreadsheets/d/1g_jfYYK_KeipEDNDUgqgrsxK94XiocfNQIcP-v1QVhI/edit?resourcekey#gid=233272945"",""Nilai!B:CT""),97,0),"" "")"),"")</f>
        <v/>
      </c>
      <c r="U102" s="21" t="s">
        <v>1288</v>
      </c>
      <c r="V102" s="70" t="s">
        <v>1265</v>
      </c>
      <c r="W102" s="58" t="s">
        <v>1296</v>
      </c>
      <c r="X102" s="19" t="b">
        <v>0</v>
      </c>
    </row>
    <row r="103" spans="1:24">
      <c r="A103" s="15">
        <v>101</v>
      </c>
      <c r="B103" s="15">
        <f ca="1">IFERROR(__xludf.DUMMYFUNCTION("""COMPUTED_VALUE"""),3221)</f>
        <v>3221</v>
      </c>
      <c r="C103" s="16" t="str">
        <f ca="1">IFERROR(__xludf.DUMMYFUNCTION("""COMPUTED_VALUE"""),"SYAHRUL MAULANA WIJAYA")</f>
        <v>SYAHRUL MAULANA WIJAYA</v>
      </c>
      <c r="D103" s="16" t="str">
        <f ca="1">IFERROR(__xludf.DUMMYFUNCTION("""COMPUTED_VALUE"""),"5022201230")</f>
        <v>5022201230</v>
      </c>
      <c r="E103" s="16" t="str">
        <f ca="1">IFERROR(__xludf.DUMMYFUNCTION("""COMPUTED_VALUE"""),"Departemen Teknik Elektro")</f>
        <v>Departemen Teknik Elektro</v>
      </c>
      <c r="F103" s="16" t="str">
        <f ca="1">IFERROR(__xludf.DUMMYFUNCTION("""COMPUTED_VALUE"""),"Konveyor Disinfeksi dengan Memanfaatkan Teknologi Sinar Ultraviolet sebagai Solusi untuk Mencegah Penyebaran Kasus Covid-19 dari Pelaku Perjalanan")</f>
        <v>Konveyor Disinfeksi dengan Memanfaatkan Teknologi Sinar Ultraviolet sebagai Solusi untuk Mencegah Penyebaran Kasus Covid-19 dari Pelaku Perjalanan</v>
      </c>
      <c r="G103" s="16" t="str">
        <f ca="1">IFERROR(__xludf.DUMMYFUNCTION("""COMPUTED_VALUE"""),"Dr. Ir. Hendra Kusuma, M.Eng.Sc.")</f>
        <v>Dr. Ir. Hendra Kusuma, M.Eng.Sc.</v>
      </c>
      <c r="H103" s="16" t="str">
        <f ca="1">IFERROR(__xludf.DUMMYFUNCTION("""COMPUTED_VALUE"""),"Mohammad Khoirul Effendi, S.T., M.Sc.Eng., Ph.D.")</f>
        <v>Mohammad Khoirul Effendi, S.T., M.Sc.Eng., Ph.D.</v>
      </c>
      <c r="I103" s="16" t="str">
        <f ca="1">IFERROR(__xludf.DUMMYFUNCTION("""COMPUTED_VALUE"""),"Dr. Dendy Satrio, S.ST.")</f>
        <v>Dr. Dendy Satrio, S.ST.</v>
      </c>
      <c r="J103" s="16"/>
      <c r="K103" s="17" t="s">
        <v>1290</v>
      </c>
      <c r="L103" s="58" t="s">
        <v>1297</v>
      </c>
      <c r="M103" s="19" t="b">
        <v>0</v>
      </c>
      <c r="N103" s="19" t="b">
        <v>0</v>
      </c>
      <c r="O103" s="1" t="s">
        <v>1295</v>
      </c>
      <c r="P103" s="1" t="str">
        <f ca="1">IFERROR(__xludf.DUMMYFUNCTION("iferror(vlookup(B103,importrange(""https://docs.google.com/spreadsheets/d/1boHyJQ4e2FU0QG8MHwEi6qjX4hvZWVCHcFfXjq7bbMc/edit?resourcekey#gid=923248883"",""Prop!$C$1:$M""),12,0),IFERROR(vlookup(B103,importrange(""https://docs.google.com/spreadsheets/d/1boHy"&amp;"JQ4e2FU0QG8MHwEi6qjX4hvZWVCHcFfXjq7bbMc/edit?resourcekey#gid=923248883"",""Prop!$N$1:$X""),11,0),iferror(vlookup(B103,importrange(""https://docs.google.com/spreadsheets/d/1boHyJQ4e2FU0QG8MHwEi6qjX4hvZWVCHcFfXjq7bbMc/edit?resourcekey#gid=923248883"",""Prop"&amp;"!$Y$1:$AI""),11,0),iferror(vlookup(B103,importrange(""https://docs.google.com/spreadsheets/d/1boHyJQ4e2FU0QG8MHwEi6qjX4hvZWVCHcFfXjq7bbMc/edit?resourcekey#gid=923248883"",""Prop!$AJ$1:$AT""),11,0),iferror(vlookup(B103,importrange(""https://docs.google.com"&amp;"/spreadsheets/d/1boHyJQ4e2FU0QG8MHwEi6qjX4hvZWVCHcFfXjq7bbMc/edit?resourcekey#gid=923248883"",""Prop!$AU$1:$BE""),11,0),iferror(vlookup(B103,importrange(""https://docs.google.com/spreadsheets/d/1boHyJQ4e2FU0QG8MHwEi6qjX4hvZWVCHcFfXjq7bbMc/edit?resourcekey"&amp;"#gid=923248883"",""Prop!$BF$1:$BP""),11,0),iferror(vlookup(B103,importrange(""https://docs.google.com/spreadsheets/d/1boHyJQ4e2FU0QG8MHwEi6qjX4hvZWVCHcFfXjq7bbMc/edit?resourcekey#gid=923248883"",""Prop!$BQ$1:$CA""),11,0),iferror(vlookup(B103,importrange("&amp;"""https://docs.google.com/spreadsheets/d/1boHyJQ4e2FU0QG8MHwEi6qjX4hvZWVCHcFfXjq7bbMc/edit?resourcekey#gid=923248883"",""Prop!$CB$1:$CL""),11,0),iferror(vlookup(B103,importrange(""https://docs.google.com/spreadsheets/d/1boHyJQ4e2FU0QG8MHwEi6qjX4hvZWVCHcFf"&amp;"Xjq7bbMc/edit?resourcekey#gid=923248883"",""Prop!$CM$1:$CX""),12,0),iferror(vlookup(B103,importrange(""https://docs.google.com/spreadsheets/d/1boHyJQ4e2FU0QG8MHwEi6qjX4hvZWVCHcFfXjq7bbMc/edit?resourcekey#gid=923248883"",""Prop!$CV$1:$DI""),11,0)))))))))))"),"")</f>
        <v/>
      </c>
      <c r="Q103" s="1" t="str">
        <f ca="1">IFERROR(__xludf.DUMMYFUNCTION("iferror(vlookup(B103,importrange(""https://docs.google.com/spreadsheets/d/1p53T2AuvvIqhP7Nf-bo3Uhj8cbKYRPpZdsrBv3x3bAQ/edit?resourcekey#gid=1321652304"",""Prop!$C$1:$M""),11,0),IFERROR(vlookup(B103,importrange(""https://docs.google.com/spreadsheets/d/1p53"&amp;"T2AuvvIqhP7Nf-bo3Uhj8cbKYRPpZdsrBv3x3bAQ/edit?resourcekey#gid=1321652304"",""Prop!$N$1:$X""),11,0),iferror(vlookup(B103,importrange(""https://docs.google.com/spreadsheets/d/1p53T2AuvvIqhP7Nf-bo3Uhj8cbKYRPpZdsrBv3x3bAQ/edit?resourcekey#gid=1321652304"",""P"&amp;"rop!$Y$1:$AI""),11,0),iferror(vlookup(B103,importrange(""https://docs.google.com/spreadsheets/d/1p53T2AuvvIqhP7Nf-bo3Uhj8cbKYRPpZdsrBv3x3bAQ/edit?resourcekey#gid=1321652304"",""Prop!$AJ$1:$AT""),11,0),iferror(vlookup(B103,importrange(""https://docs.google"&amp;".com/spreadsheets/d/1p53T2AuvvIqhP7Nf-bo3Uhj8cbKYRPpZdsrBv3x3bAQ/edit?resourcekey#gid=1321652304"",""Prop!$AU$1:$BE""),11,0),iferror(vlookup(B103,importrange(""https://docs.google.com/spreadsheets/d/1p53T2AuvvIqhP7Nf-bo3Uhj8cbKYRPpZdsrBv3x3bAQ/edit?resour"&amp;"cekey#gid=1321652304"",""Prop!$BF$1:$BP""),11,0),iferror(vlookup(B103,importrange(""https://docs.google.com/spreadsheets/d/1p53T2AuvvIqhP7Nf-bo3Uhj8cbKYRPpZdsrBv3x3bAQ/edit?resourcekey#gid=1321652304"",""Prop!$BQ$1:$CA""),11,0),iferror(vlookup(B103,import"&amp;"range(""https://docs.google.com/spreadsheets/d/1p53T2AuvvIqhP7Nf-bo3Uhj8cbKYRPpZdsrBv3x3bAQ/edit?resourcekey#gid=1321652304"",""Prop!$CB$1:$CL""),11,0),iferror(vlookup(B103,importrange(""https://docs.google.com/spreadsheets/d/1p53T2AuvvIqhP7Nf-bo3Uhj8cbKY"&amp;"RPpZdsrBv3x3bAQ/edit?resourcekey#gid=1321652304"",""Prop!$CM$1:$CX""),11,0),iferror(vlookup(B103,importrange(""https://docs.google.com/spreadsheets/d/1p53T2AuvvIqhP7Nf-bo3Uhj8cbKYRPpZdsrBv3x3bAQ/edit?resourcekey#gid=1321652304"",""Prop!$CY$1:$DI""),11,0))"&amp;")))))))))"),"")</f>
        <v/>
      </c>
      <c r="R103" s="88" t="s">
        <v>1229</v>
      </c>
      <c r="S103" s="20" t="str">
        <f ca="1">IFERROR(__xludf.DUMMYFUNCTION("IFERROR(vlookup(B103,IMPORTRANGE(""https://docs.google.com/spreadsheets/d/1g_jfYYK_KeipEDNDUgqgrsxK94XiocfNQIcP-v1QVhI/edit?resourcekey#gid=233272945"",""Nilai!B:CT""),30,0),"" "")")," ")</f>
        <v xml:space="preserve"> </v>
      </c>
      <c r="T103" s="20" t="str">
        <f ca="1">IFERROR(__xludf.DUMMYFUNCTION("IFERROR(vlookup(B103,IMPORTRANGE(""https://docs.google.com/spreadsheets/d/1g_jfYYK_KeipEDNDUgqgrsxK94XiocfNQIcP-v1QVhI/edit?resourcekey#gid=233272945"",""Nilai!B:CT""),97,0),"" "")")," ")</f>
        <v xml:space="preserve"> </v>
      </c>
      <c r="U103" s="21" t="s">
        <v>1288</v>
      </c>
      <c r="V103" s="70" t="s">
        <v>1265</v>
      </c>
      <c r="W103" s="58" t="s">
        <v>1296</v>
      </c>
      <c r="X103" s="19" t="b">
        <v>0</v>
      </c>
    </row>
    <row r="104" spans="1:24">
      <c r="A104" s="15">
        <v>102</v>
      </c>
      <c r="B104" s="15">
        <f ca="1">IFERROR(__xludf.DUMMYFUNCTION("""COMPUTED_VALUE"""),4149)</f>
        <v>4149</v>
      </c>
      <c r="C104" s="16" t="str">
        <f ca="1">IFERROR(__xludf.DUMMYFUNCTION("""COMPUTED_VALUE"""),"NABIHA RASSYA ISLAMI SATRIO PUTRI")</f>
        <v>NABIHA RASSYA ISLAMI SATRIO PUTRI</v>
      </c>
      <c r="D104" s="16" t="str">
        <f ca="1">IFERROR(__xludf.DUMMYFUNCTION("""COMPUTED_VALUE"""),"5001201033")</f>
        <v>5001201033</v>
      </c>
      <c r="E104" s="16" t="str">
        <f ca="1">IFERROR(__xludf.DUMMYFUNCTION("""COMPUTED_VALUE"""),"Departemen Fisika")</f>
        <v>Departemen Fisika</v>
      </c>
      <c r="F104" s="16" t="str">
        <f ca="1">IFERROR(__xludf.DUMMYFUNCTION("""COMPUTED_VALUE"""),"Aplikasi Trace Real-time Berbasis Time Travel Prediction pada User Status Positif Covid – 19  di Lingkungan Sekolah dan Instansi")</f>
        <v>Aplikasi Trace Real-time Berbasis Time Travel Prediction pada User Status Positif Covid – 19  di Lingkungan Sekolah dan Instansi</v>
      </c>
      <c r="G104" s="16" t="str">
        <f ca="1">IFERROR(__xludf.DUMMYFUNCTION("""COMPUTED_VALUE"""),"Drs. Bachtera Indarto, M.Si.")</f>
        <v>Drs. Bachtera Indarto, M.Si.</v>
      </c>
      <c r="H104" s="16" t="str">
        <f ca="1">IFERROR(__xludf.DUMMYFUNCTION("""COMPUTED_VALUE"""),"Ir. Josaphat Pramudijanto, M.Eng.")</f>
        <v>Ir. Josaphat Pramudijanto, M.Eng.</v>
      </c>
      <c r="I104" s="16" t="str">
        <f ca="1">IFERROR(__xludf.DUMMYFUNCTION("""COMPUTED_VALUE"""),"Ciptian Weried Priananda, S.ST., M.T.")</f>
        <v>Ciptian Weried Priananda, S.ST., M.T.</v>
      </c>
      <c r="J104" s="16"/>
      <c r="K104" s="17" t="s">
        <v>1290</v>
      </c>
      <c r="L104" s="58" t="s">
        <v>1297</v>
      </c>
      <c r="M104" s="19" t="b">
        <v>0</v>
      </c>
      <c r="N104" s="19" t="b">
        <v>0</v>
      </c>
      <c r="O104" s="1" t="s">
        <v>1295</v>
      </c>
      <c r="P104" s="1" t="str">
        <f ca="1">IFERROR(__xludf.DUMMYFUNCTION("iferror(vlookup(B104,importrange(""https://docs.google.com/spreadsheets/d/1boHyJQ4e2FU0QG8MHwEi6qjX4hvZWVCHcFfXjq7bbMc/edit?resourcekey#gid=923248883"",""Prop!$C$1:$M""),12,0),IFERROR(vlookup(B104,importrange(""https://docs.google.com/spreadsheets/d/1boHy"&amp;"JQ4e2FU0QG8MHwEi6qjX4hvZWVCHcFfXjq7bbMc/edit?resourcekey#gid=923248883"",""Prop!$N$1:$X""),11,0),iferror(vlookup(B104,importrange(""https://docs.google.com/spreadsheets/d/1boHyJQ4e2FU0QG8MHwEi6qjX4hvZWVCHcFfXjq7bbMc/edit?resourcekey#gid=923248883"",""Prop"&amp;"!$Y$1:$AI""),11,0),iferror(vlookup(B104,importrange(""https://docs.google.com/spreadsheets/d/1boHyJQ4e2FU0QG8MHwEi6qjX4hvZWVCHcFfXjq7bbMc/edit?resourcekey#gid=923248883"",""Prop!$AJ$1:$AT""),11,0),iferror(vlookup(B104,importrange(""https://docs.google.com"&amp;"/spreadsheets/d/1boHyJQ4e2FU0QG8MHwEi6qjX4hvZWVCHcFfXjq7bbMc/edit?resourcekey#gid=923248883"",""Prop!$AU$1:$BE""),11,0),iferror(vlookup(B104,importrange(""https://docs.google.com/spreadsheets/d/1boHyJQ4e2FU0QG8MHwEi6qjX4hvZWVCHcFfXjq7bbMc/edit?resourcekey"&amp;"#gid=923248883"",""Prop!$BF$1:$BP""),11,0),iferror(vlookup(B104,importrange(""https://docs.google.com/spreadsheets/d/1boHyJQ4e2FU0QG8MHwEi6qjX4hvZWVCHcFfXjq7bbMc/edit?resourcekey#gid=923248883"",""Prop!$BQ$1:$CA""),11,0),iferror(vlookup(B104,importrange("&amp;"""https://docs.google.com/spreadsheets/d/1boHyJQ4e2FU0QG8MHwEi6qjX4hvZWVCHcFfXjq7bbMc/edit?resourcekey#gid=923248883"",""Prop!$CB$1:$CL""),11,0),iferror(vlookup(B104,importrange(""https://docs.google.com/spreadsheets/d/1boHyJQ4e2FU0QG8MHwEi6qjX4hvZWVCHcFf"&amp;"Xjq7bbMc/edit?resourcekey#gid=923248883"",""Prop!$CM$1:$CX""),12,0),iferror(vlookup(B104,importrange(""https://docs.google.com/spreadsheets/d/1boHyJQ4e2FU0QG8MHwEi6qjX4hvZWVCHcFfXjq7bbMc/edit?resourcekey#gid=923248883"",""Prop!$CV$1:$DI""),11,0)))))))))))"),"")</f>
        <v/>
      </c>
      <c r="Q104" s="7" t="str">
        <f ca="1">IFERROR(__xludf.DUMMYFUNCTION("iferror(vlookup(B104,importrange(""https://docs.google.com/spreadsheets/d/1p53T2AuvvIqhP7Nf-bo3Uhj8cbKYRPpZdsrBv3x3bAQ/edit?resourcekey#gid=1321652304"",""Prop!$C$1:$M""),11,0),IFERROR(vlookup(B104,importrange(""https://docs.google.com/spreadsheets/d/1p53"&amp;"T2AuvvIqhP7Nf-bo3Uhj8cbKYRPpZdsrBv3x3bAQ/edit?resourcekey#gid=1321652304"",""Prop!$N$1:$X""),11,0),iferror(vlookup(B104,importrange(""https://docs.google.com/spreadsheets/d/1p53T2AuvvIqhP7Nf-bo3Uhj8cbKYRPpZdsrBv3x3bAQ/edit?resourcekey#gid=1321652304"",""P"&amp;"rop!$Y$1:$AI""),11,0),iferror(vlookup(B104,importrange(""https://docs.google.com/spreadsheets/d/1p53T2AuvvIqhP7Nf-bo3Uhj8cbKYRPpZdsrBv3x3bAQ/edit?resourcekey#gid=1321652304"",""Prop!$AJ$1:$AT""),11,0),iferror(vlookup(B104,importrange(""https://docs.google"&amp;".com/spreadsheets/d/1p53T2AuvvIqhP7Nf-bo3Uhj8cbKYRPpZdsrBv3x3bAQ/edit?resourcekey#gid=1321652304"",""Prop!$AU$1:$BE""),11,0),iferror(vlookup(B104,importrange(""https://docs.google.com/spreadsheets/d/1p53T2AuvvIqhP7Nf-bo3Uhj8cbKYRPpZdsrBv3x3bAQ/edit?resour"&amp;"cekey#gid=1321652304"",""Prop!$BF$1:$BP""),11,0),iferror(vlookup(B104,importrange(""https://docs.google.com/spreadsheets/d/1p53T2AuvvIqhP7Nf-bo3Uhj8cbKYRPpZdsrBv3x3bAQ/edit?resourcekey#gid=1321652304"",""Prop!$BQ$1:$CA""),11,0),iferror(vlookup(B104,import"&amp;"range(""https://docs.google.com/spreadsheets/d/1p53T2AuvvIqhP7Nf-bo3Uhj8cbKYRPpZdsrBv3x3bAQ/edit?resourcekey#gid=1321652304"",""Prop!$CB$1:$CL""),11,0),iferror(vlookup(B104,importrange(""https://docs.google.com/spreadsheets/d/1p53T2AuvvIqhP7Nf-bo3Uhj8cbKY"&amp;"RPpZdsrBv3x3bAQ/edit?resourcekey#gid=1321652304"",""Prop!$CM$1:$CX""),11,0),iferror(vlookup(B104,importrange(""https://docs.google.com/spreadsheets/d/1p53T2AuvvIqhP7Nf-bo3Uhj8cbKYRPpZdsrBv3x3bAQ/edit?resourcekey#gid=1321652304"",""Prop!$CY$1:$DI""),11,0))"&amp;")))))))))"),"https://drive.google.com/open?id=1JksKfQmRNeFqlO67LXIGgmZnHWvRGszi")</f>
        <v>https://drive.google.com/open?id=1JksKfQmRNeFqlO67LXIGgmZnHWvRGszi</v>
      </c>
      <c r="R104" s="88" t="s">
        <v>1229</v>
      </c>
      <c r="S104" s="20" t="str">
        <f ca="1">IFERROR(__xludf.DUMMYFUNCTION("IFERROR(vlookup(B104,IMPORTRANGE(""https://docs.google.com/spreadsheets/d/1g_jfYYK_KeipEDNDUgqgrsxK94XiocfNQIcP-v1QVhI/edit?resourcekey#gid=233272945"",""Nilai!B:CT""),30,0),"" "")"),"tambahkan visualisasi alat, penjelasan konsep alat tidak komprehensif, beri gambaran skematik kerja")</f>
        <v>tambahkan visualisasi alat, penjelasan konsep alat tidak komprehensif, beri gambaran skematik kerja</v>
      </c>
      <c r="T104" s="20" t="str">
        <f ca="1">IFERROR(__xludf.DUMMYFUNCTION("IFERROR(vlookup(B104,IMPORTRANGE(""https://docs.google.com/spreadsheets/d/1g_jfYYK_KeipEDNDUgqgrsxK94XiocfNQIcP-v1QVhI/edit?resourcekey#gid=233272945"",""Nilai!B:CT""),97,0),"" "")"),"")</f>
        <v/>
      </c>
      <c r="U104" s="21" t="s">
        <v>1288</v>
      </c>
      <c r="V104" s="70" t="s">
        <v>1265</v>
      </c>
      <c r="W104" s="58" t="s">
        <v>1296</v>
      </c>
      <c r="X104" s="19" t="b">
        <v>0</v>
      </c>
    </row>
    <row r="105" spans="1:24">
      <c r="A105" s="15"/>
      <c r="B105" s="15"/>
      <c r="C105" s="16"/>
      <c r="D105" s="16"/>
      <c r="E105" s="16"/>
      <c r="F105" s="16"/>
      <c r="G105" s="16"/>
      <c r="H105" s="16"/>
      <c r="I105" s="16"/>
      <c r="J105" s="16"/>
      <c r="K105" s="16"/>
      <c r="L105" s="16"/>
      <c r="M105" s="25"/>
      <c r="N105" s="25"/>
      <c r="O105" s="16"/>
      <c r="P105" s="1"/>
      <c r="Q105" s="1"/>
      <c r="R105" s="88"/>
      <c r="S105" s="20" t="str">
        <f ca="1">IFERROR(__xludf.DUMMYFUNCTION("IFERROR(vlookup(B105,IMPORTRANGE(""https://docs.google.com/spreadsheets/d/1g_jfYYK_KeipEDNDUgqgrsxK94XiocfNQIcP-v1QVhI/edit?resourcekey#gid=233272945"",""Nilai!B:CT""),57,0),"" "")")," ")</f>
        <v xml:space="preserve"> </v>
      </c>
      <c r="T105" s="88"/>
      <c r="U105" s="1"/>
      <c r="V105" s="1"/>
      <c r="W105" s="1"/>
      <c r="X105" s="1"/>
    </row>
    <row r="106" spans="1:24">
      <c r="A106" s="15"/>
      <c r="B106" s="15"/>
      <c r="C106" s="16"/>
      <c r="D106" s="16"/>
      <c r="E106" s="16"/>
      <c r="F106" s="16"/>
      <c r="G106" s="16"/>
      <c r="H106" s="16"/>
      <c r="I106" s="16"/>
      <c r="J106" s="16"/>
      <c r="K106" s="16"/>
      <c r="L106" s="16"/>
      <c r="M106" s="25"/>
      <c r="N106" s="25"/>
      <c r="O106" s="16"/>
      <c r="P106" s="1"/>
      <c r="Q106" s="1"/>
      <c r="R106" s="8"/>
      <c r="S106" s="20" t="str">
        <f ca="1">IFERROR(__xludf.DUMMYFUNCTION("IFERROR(vlookup(B106,IMPORTRANGE(""https://docs.google.com/spreadsheets/d/1g_jfYYK_KeipEDNDUgqgrsxK94XiocfNQIcP-v1QVhI/edit?resourcekey#gid=233272945"",""Nilai!B:CT""),57,0),"" "")")," ")</f>
        <v xml:space="preserve"> </v>
      </c>
      <c r="T106" s="8"/>
      <c r="U106" s="1"/>
      <c r="V106" s="1"/>
      <c r="W106" s="1"/>
      <c r="X106" s="1"/>
    </row>
    <row r="107" spans="1:24">
      <c r="A107" s="15"/>
      <c r="B107" s="15"/>
      <c r="C107" s="16"/>
      <c r="D107" s="16"/>
      <c r="E107" s="16"/>
      <c r="F107" s="16"/>
      <c r="G107" s="16"/>
      <c r="H107" s="16"/>
      <c r="I107" s="16"/>
      <c r="J107" s="16"/>
      <c r="K107" s="16"/>
      <c r="L107" s="16"/>
      <c r="M107" s="25"/>
      <c r="N107" s="25"/>
      <c r="O107" s="16"/>
      <c r="P107" s="1"/>
      <c r="Q107" s="1"/>
      <c r="R107" s="8"/>
      <c r="S107" s="20" t="str">
        <f ca="1">IFERROR(__xludf.DUMMYFUNCTION("IFERROR(vlookup(B107,IMPORTRANGE(""https://docs.google.com/spreadsheets/d/1g_jfYYK_KeipEDNDUgqgrsxK94XiocfNQIcP-v1QVhI/edit?resourcekey#gid=233272945"",""Nilai!B:CT""),57,0),"" "")")," ")</f>
        <v xml:space="preserve"> </v>
      </c>
      <c r="T107" s="8"/>
      <c r="U107" s="1"/>
      <c r="V107" s="1"/>
      <c r="W107" s="1"/>
      <c r="X107" s="1"/>
    </row>
    <row r="108" spans="1:24">
      <c r="A108" s="15"/>
      <c r="B108" s="15"/>
      <c r="C108" s="16"/>
      <c r="D108" s="16"/>
      <c r="E108" s="16"/>
      <c r="F108" s="16"/>
      <c r="G108" s="16"/>
      <c r="H108" s="16"/>
      <c r="I108" s="16"/>
      <c r="J108" s="16"/>
      <c r="K108" s="16"/>
      <c r="L108" s="16"/>
      <c r="M108" s="25"/>
      <c r="N108" s="25"/>
      <c r="O108" s="16"/>
      <c r="P108" s="1"/>
      <c r="Q108" s="1"/>
      <c r="R108" s="8"/>
      <c r="S108" s="20" t="str">
        <f ca="1">IFERROR(__xludf.DUMMYFUNCTION("IFERROR(vlookup(B108,IMPORTRANGE(""https://docs.google.com/spreadsheets/d/1g_jfYYK_KeipEDNDUgqgrsxK94XiocfNQIcP-v1QVhI/edit?resourcekey#gid=233272945"",""Nilai!B:CT""),57,0),"" "")")," ")</f>
        <v xml:space="preserve"> </v>
      </c>
      <c r="T108" s="8"/>
      <c r="U108" s="1"/>
      <c r="V108" s="1"/>
      <c r="W108" s="1"/>
      <c r="X108" s="1"/>
    </row>
    <row r="109" spans="1:24">
      <c r="A109" s="15"/>
      <c r="B109" s="15"/>
      <c r="C109" s="16"/>
      <c r="D109" s="16"/>
      <c r="E109" s="16"/>
      <c r="F109" s="16"/>
      <c r="G109" s="16"/>
      <c r="H109" s="16"/>
      <c r="I109" s="16"/>
      <c r="J109" s="16"/>
      <c r="K109" s="16"/>
      <c r="L109" s="16"/>
      <c r="M109" s="25"/>
      <c r="N109" s="25"/>
      <c r="O109" s="16"/>
      <c r="P109" s="1"/>
      <c r="Q109" s="1"/>
      <c r="R109" s="8"/>
      <c r="S109" s="20" t="str">
        <f ca="1">IFERROR(__xludf.DUMMYFUNCTION("IFERROR(vlookup(B109,IMPORTRANGE(""https://docs.google.com/spreadsheets/d/1g_jfYYK_KeipEDNDUgqgrsxK94XiocfNQIcP-v1QVhI/edit?resourcekey#gid=233272945"",""Nilai!B:CT""),57,0),"" "")")," ")</f>
        <v xml:space="preserve"> </v>
      </c>
      <c r="T109" s="8"/>
      <c r="U109" s="1"/>
      <c r="V109" s="1"/>
      <c r="W109" s="1"/>
      <c r="X109" s="1"/>
    </row>
    <row r="110" spans="1:24">
      <c r="A110" s="15"/>
      <c r="B110" s="15"/>
      <c r="C110" s="16"/>
      <c r="D110" s="16"/>
      <c r="E110" s="16"/>
      <c r="F110" s="16"/>
      <c r="G110" s="16"/>
      <c r="H110" s="16"/>
      <c r="I110" s="16"/>
      <c r="J110" s="16"/>
      <c r="K110" s="16"/>
      <c r="L110" s="16"/>
      <c r="M110" s="25"/>
      <c r="N110" s="25"/>
      <c r="O110" s="16"/>
      <c r="P110" s="1"/>
      <c r="Q110" s="1"/>
      <c r="R110" s="8"/>
      <c r="S110" s="20" t="str">
        <f ca="1">IFERROR(__xludf.DUMMYFUNCTION("IFERROR(vlookup(B110,IMPORTRANGE(""https://docs.google.com/spreadsheets/d/1g_jfYYK_KeipEDNDUgqgrsxK94XiocfNQIcP-v1QVhI/edit?resourcekey#gid=233272945"",""Nilai!B:CT""),57,0),"" "")")," ")</f>
        <v xml:space="preserve"> </v>
      </c>
      <c r="T110" s="8"/>
      <c r="U110" s="1"/>
      <c r="V110" s="1"/>
      <c r="W110" s="1"/>
      <c r="X110" s="1"/>
    </row>
    <row r="111" spans="1:24">
      <c r="A111" s="15"/>
      <c r="B111" s="15"/>
      <c r="C111" s="16"/>
      <c r="D111" s="16"/>
      <c r="E111" s="16"/>
      <c r="F111" s="16"/>
      <c r="G111" s="16"/>
      <c r="H111" s="16"/>
      <c r="I111" s="16"/>
      <c r="J111" s="16"/>
      <c r="K111" s="16"/>
      <c r="L111" s="16"/>
      <c r="M111" s="25"/>
      <c r="N111" s="25"/>
      <c r="O111" s="16"/>
      <c r="P111" s="1"/>
      <c r="Q111" s="1"/>
      <c r="R111" s="8"/>
      <c r="S111" s="20" t="str">
        <f ca="1">IFERROR(__xludf.DUMMYFUNCTION("IFERROR(vlookup(B111,IMPORTRANGE(""https://docs.google.com/spreadsheets/d/1g_jfYYK_KeipEDNDUgqgrsxK94XiocfNQIcP-v1QVhI/edit?resourcekey#gid=233272945"",""Nilai!B:CT""),57,0),"" "")")," ")</f>
        <v xml:space="preserve"> </v>
      </c>
      <c r="T111" s="8"/>
      <c r="U111" s="1"/>
      <c r="V111" s="1"/>
      <c r="W111" s="1"/>
      <c r="X111" s="1"/>
    </row>
    <row r="112" spans="1:24">
      <c r="A112" s="15"/>
      <c r="B112" s="15"/>
      <c r="C112" s="16"/>
      <c r="D112" s="16"/>
      <c r="E112" s="16"/>
      <c r="F112" s="16"/>
      <c r="G112" s="16"/>
      <c r="H112" s="16"/>
      <c r="I112" s="16"/>
      <c r="J112" s="16"/>
      <c r="K112" s="16"/>
      <c r="L112" s="16"/>
      <c r="M112" s="25"/>
      <c r="N112" s="25"/>
      <c r="O112" s="16"/>
      <c r="P112" s="1"/>
      <c r="Q112" s="1"/>
      <c r="R112" s="8"/>
      <c r="S112" s="20" t="str">
        <f ca="1">IFERROR(__xludf.DUMMYFUNCTION("IFERROR(vlookup(B112,IMPORTRANGE(""https://docs.google.com/spreadsheets/d/1g_jfYYK_KeipEDNDUgqgrsxK94XiocfNQIcP-v1QVhI/edit?resourcekey#gid=233272945"",""Nilai!B:CT""),57,0),"" "")")," ")</f>
        <v xml:space="preserve"> </v>
      </c>
      <c r="T112" s="8"/>
      <c r="U112" s="1"/>
      <c r="V112" s="1"/>
      <c r="W112" s="1"/>
      <c r="X112" s="1"/>
    </row>
    <row r="113" spans="1:24">
      <c r="A113" s="15"/>
      <c r="B113" s="15"/>
      <c r="C113" s="16"/>
      <c r="D113" s="16"/>
      <c r="E113" s="16"/>
      <c r="F113" s="16"/>
      <c r="G113" s="16"/>
      <c r="H113" s="16"/>
      <c r="I113" s="16"/>
      <c r="J113" s="16"/>
      <c r="K113" s="16"/>
      <c r="L113" s="16"/>
      <c r="M113" s="25"/>
      <c r="N113" s="25"/>
      <c r="O113" s="16"/>
      <c r="P113" s="1"/>
      <c r="Q113" s="1"/>
      <c r="R113" s="8"/>
      <c r="S113" s="20" t="str">
        <f ca="1">IFERROR(__xludf.DUMMYFUNCTION("IFERROR(vlookup(B113,IMPORTRANGE(""https://docs.google.com/spreadsheets/d/1g_jfYYK_KeipEDNDUgqgrsxK94XiocfNQIcP-v1QVhI/edit?resourcekey#gid=233272945"",""Nilai!B:CT""),57,0),"" "")")," ")</f>
        <v xml:space="preserve"> </v>
      </c>
      <c r="T113" s="8"/>
      <c r="U113" s="1"/>
      <c r="V113" s="1"/>
      <c r="W113" s="1"/>
      <c r="X113" s="1"/>
    </row>
    <row r="114" spans="1:24">
      <c r="A114" s="15"/>
      <c r="B114" s="15"/>
      <c r="C114" s="16"/>
      <c r="D114" s="16"/>
      <c r="E114" s="16"/>
      <c r="F114" s="16"/>
      <c r="G114" s="16"/>
      <c r="H114" s="16"/>
      <c r="I114" s="16"/>
      <c r="J114" s="16"/>
      <c r="K114" s="16"/>
      <c r="L114" s="16"/>
      <c r="M114" s="25"/>
      <c r="N114" s="25"/>
      <c r="O114" s="16"/>
      <c r="P114" s="1"/>
      <c r="Q114" s="1"/>
      <c r="R114" s="8"/>
      <c r="S114" s="20" t="str">
        <f ca="1">IFERROR(__xludf.DUMMYFUNCTION("IFERROR(vlookup(B114,IMPORTRANGE(""https://docs.google.com/spreadsheets/d/1g_jfYYK_KeipEDNDUgqgrsxK94XiocfNQIcP-v1QVhI/edit?resourcekey#gid=233272945"",""Nilai!B:CT""),57,0),"" "")")," ")</f>
        <v xml:space="preserve"> </v>
      </c>
      <c r="T114" s="8"/>
      <c r="U114" s="1"/>
      <c r="V114" s="1"/>
      <c r="W114" s="1"/>
      <c r="X114" s="1"/>
    </row>
    <row r="115" spans="1:24">
      <c r="A115" s="15"/>
      <c r="B115" s="15"/>
      <c r="C115" s="16"/>
      <c r="D115" s="16"/>
      <c r="E115" s="16"/>
      <c r="F115" s="16"/>
      <c r="G115" s="16"/>
      <c r="H115" s="16"/>
      <c r="I115" s="16"/>
      <c r="J115" s="16"/>
      <c r="K115" s="16"/>
      <c r="L115" s="16"/>
      <c r="M115" s="25"/>
      <c r="N115" s="25"/>
      <c r="O115" s="16"/>
      <c r="P115" s="1"/>
      <c r="Q115" s="1"/>
      <c r="R115" s="8"/>
      <c r="S115" s="20" t="str">
        <f ca="1">IFERROR(__xludf.DUMMYFUNCTION("IFERROR(vlookup(B115,IMPORTRANGE(""https://docs.google.com/spreadsheets/d/1g_jfYYK_KeipEDNDUgqgrsxK94XiocfNQIcP-v1QVhI/edit?resourcekey#gid=233272945"",""Nilai!B:CT""),57,0),"" "")")," ")</f>
        <v xml:space="preserve"> </v>
      </c>
      <c r="T115" s="8"/>
      <c r="U115" s="1"/>
      <c r="V115" s="1"/>
      <c r="W115" s="1"/>
      <c r="X115" s="1"/>
    </row>
    <row r="116" spans="1:24">
      <c r="A116" s="15"/>
      <c r="B116" s="15"/>
      <c r="C116" s="16"/>
      <c r="D116" s="16"/>
      <c r="E116" s="16"/>
      <c r="F116" s="16"/>
      <c r="G116" s="16"/>
      <c r="H116" s="16"/>
      <c r="I116" s="16"/>
      <c r="J116" s="16"/>
      <c r="K116" s="16"/>
      <c r="L116" s="16"/>
      <c r="M116" s="25"/>
      <c r="N116" s="25"/>
      <c r="O116" s="16"/>
      <c r="P116" s="1"/>
      <c r="Q116" s="1"/>
      <c r="R116" s="8"/>
      <c r="S116" s="20" t="str">
        <f ca="1">IFERROR(__xludf.DUMMYFUNCTION("IFERROR(vlookup(B116,IMPORTRANGE(""https://docs.google.com/spreadsheets/d/1g_jfYYK_KeipEDNDUgqgrsxK94XiocfNQIcP-v1QVhI/edit?resourcekey#gid=233272945"",""Nilai!B:CT""),57,0),"" "")")," ")</f>
        <v xml:space="preserve"> </v>
      </c>
      <c r="T116" s="8"/>
      <c r="U116" s="1"/>
      <c r="V116" s="1"/>
      <c r="W116" s="1"/>
      <c r="X116" s="1"/>
    </row>
    <row r="117" spans="1:24">
      <c r="A117" s="15"/>
      <c r="B117" s="15"/>
      <c r="C117" s="16"/>
      <c r="D117" s="16"/>
      <c r="E117" s="16"/>
      <c r="F117" s="16"/>
      <c r="G117" s="16"/>
      <c r="H117" s="16"/>
      <c r="I117" s="16"/>
      <c r="J117" s="16"/>
      <c r="K117" s="16"/>
      <c r="L117" s="16"/>
      <c r="M117" s="25"/>
      <c r="N117" s="25"/>
      <c r="O117" s="16"/>
      <c r="P117" s="1"/>
      <c r="Q117" s="1"/>
      <c r="R117" s="8"/>
      <c r="S117" s="20" t="str">
        <f ca="1">IFERROR(__xludf.DUMMYFUNCTION("IFERROR(vlookup(B117,IMPORTRANGE(""https://docs.google.com/spreadsheets/d/1g_jfYYK_KeipEDNDUgqgrsxK94XiocfNQIcP-v1QVhI/edit?resourcekey#gid=233272945"",""Nilai!B:CT""),57,0),"" "")")," ")</f>
        <v xml:space="preserve"> </v>
      </c>
      <c r="T117" s="8"/>
      <c r="U117" s="1"/>
      <c r="V117" s="1"/>
      <c r="W117" s="1"/>
      <c r="X117" s="1"/>
    </row>
    <row r="118" spans="1:24">
      <c r="A118" s="15"/>
      <c r="B118" s="15"/>
      <c r="C118" s="16"/>
      <c r="D118" s="16"/>
      <c r="E118" s="16"/>
      <c r="F118" s="16"/>
      <c r="G118" s="16"/>
      <c r="H118" s="16"/>
      <c r="I118" s="16"/>
      <c r="J118" s="16"/>
      <c r="K118" s="16"/>
      <c r="L118" s="16"/>
      <c r="M118" s="25"/>
      <c r="N118" s="25"/>
      <c r="O118" s="16"/>
      <c r="P118" s="1"/>
      <c r="Q118" s="1"/>
      <c r="R118" s="8"/>
      <c r="S118" s="20" t="str">
        <f ca="1">IFERROR(__xludf.DUMMYFUNCTION("IFERROR(vlookup(B118,IMPORTRANGE(""https://docs.google.com/spreadsheets/d/1g_jfYYK_KeipEDNDUgqgrsxK94XiocfNQIcP-v1QVhI/edit?resourcekey#gid=233272945"",""Nilai!B:CT""),57,0),"" "")")," ")</f>
        <v xml:space="preserve"> </v>
      </c>
      <c r="T118" s="8"/>
      <c r="U118" s="1"/>
      <c r="V118" s="1"/>
      <c r="W118" s="1"/>
      <c r="X118" s="1"/>
    </row>
    <row r="119" spans="1:24">
      <c r="A119" s="15"/>
      <c r="B119" s="15"/>
      <c r="C119" s="16"/>
      <c r="D119" s="16"/>
      <c r="E119" s="16"/>
      <c r="F119" s="16"/>
      <c r="G119" s="16"/>
      <c r="H119" s="16"/>
      <c r="I119" s="16"/>
      <c r="J119" s="16"/>
      <c r="K119" s="16"/>
      <c r="L119" s="16"/>
      <c r="M119" s="25"/>
      <c r="N119" s="25"/>
      <c r="O119" s="16"/>
      <c r="P119" s="1"/>
      <c r="Q119" s="1"/>
      <c r="R119" s="8"/>
      <c r="S119" s="20" t="str">
        <f ca="1">IFERROR(__xludf.DUMMYFUNCTION("IFERROR(vlookup(B119,IMPORTRANGE(""https://docs.google.com/spreadsheets/d/1g_jfYYK_KeipEDNDUgqgrsxK94XiocfNQIcP-v1QVhI/edit?resourcekey#gid=233272945"",""Nilai!B:CT""),57,0),"" "")")," ")</f>
        <v xml:space="preserve"> </v>
      </c>
      <c r="T119" s="8"/>
      <c r="U119" s="1"/>
      <c r="V119" s="1"/>
      <c r="W119" s="1"/>
      <c r="X119" s="1"/>
    </row>
    <row r="120" spans="1:24">
      <c r="A120" s="15"/>
      <c r="B120" s="15"/>
      <c r="C120" s="16"/>
      <c r="D120" s="16"/>
      <c r="E120" s="16"/>
      <c r="F120" s="16"/>
      <c r="G120" s="16"/>
      <c r="H120" s="16"/>
      <c r="I120" s="16"/>
      <c r="J120" s="16"/>
      <c r="K120" s="16"/>
      <c r="L120" s="16"/>
      <c r="M120" s="25"/>
      <c r="N120" s="25"/>
      <c r="O120" s="16"/>
      <c r="P120" s="1"/>
      <c r="Q120" s="1"/>
      <c r="R120" s="8"/>
      <c r="S120" s="20" t="str">
        <f ca="1">IFERROR(__xludf.DUMMYFUNCTION("IFERROR(vlookup(B120,IMPORTRANGE(""https://docs.google.com/spreadsheets/d/1g_jfYYK_KeipEDNDUgqgrsxK94XiocfNQIcP-v1QVhI/edit?resourcekey#gid=233272945"",""Nilai!B:CT""),57,0),"" "")")," ")</f>
        <v xml:space="preserve"> </v>
      </c>
      <c r="T120" s="8"/>
      <c r="U120" s="1"/>
      <c r="V120" s="1"/>
      <c r="W120" s="1"/>
      <c r="X120" s="1"/>
    </row>
    <row r="121" spans="1:24">
      <c r="A121" s="15"/>
      <c r="B121" s="15"/>
      <c r="C121" s="16"/>
      <c r="D121" s="16"/>
      <c r="E121" s="16"/>
      <c r="F121" s="16"/>
      <c r="G121" s="16"/>
      <c r="H121" s="16"/>
      <c r="I121" s="16"/>
      <c r="J121" s="16"/>
      <c r="K121" s="16"/>
      <c r="L121" s="16"/>
      <c r="M121" s="25"/>
      <c r="N121" s="25"/>
      <c r="O121" s="16"/>
      <c r="P121" s="1"/>
      <c r="Q121" s="1"/>
      <c r="R121" s="8"/>
      <c r="S121" s="20" t="str">
        <f ca="1">IFERROR(__xludf.DUMMYFUNCTION("IFERROR(vlookup(B121,IMPORTRANGE(""https://docs.google.com/spreadsheets/d/1g_jfYYK_KeipEDNDUgqgrsxK94XiocfNQIcP-v1QVhI/edit?resourcekey#gid=233272945"",""Nilai!B:CT""),57,0),"" "")")," ")</f>
        <v xml:space="preserve"> </v>
      </c>
      <c r="T121" s="8"/>
      <c r="U121" s="1"/>
      <c r="V121" s="1"/>
      <c r="W121" s="1"/>
      <c r="X121" s="1"/>
    </row>
    <row r="122" spans="1:24">
      <c r="A122" s="15"/>
      <c r="B122" s="15"/>
      <c r="C122" s="16"/>
      <c r="D122" s="16"/>
      <c r="E122" s="16"/>
      <c r="F122" s="16"/>
      <c r="G122" s="16"/>
      <c r="H122" s="16"/>
      <c r="I122" s="16"/>
      <c r="J122" s="16"/>
      <c r="K122" s="16"/>
      <c r="L122" s="16"/>
      <c r="M122" s="25"/>
      <c r="N122" s="25"/>
      <c r="O122" s="16"/>
      <c r="P122" s="1"/>
      <c r="Q122" s="1"/>
      <c r="R122" s="8"/>
      <c r="S122" s="20" t="str">
        <f ca="1">IFERROR(__xludf.DUMMYFUNCTION("IFERROR(vlookup(B122,IMPORTRANGE(""https://docs.google.com/spreadsheets/d/1g_jfYYK_KeipEDNDUgqgrsxK94XiocfNQIcP-v1QVhI/edit?resourcekey#gid=233272945"",""Nilai!B:CT""),57,0),"" "")")," ")</f>
        <v xml:space="preserve"> </v>
      </c>
      <c r="T122" s="8"/>
      <c r="U122" s="1"/>
      <c r="V122" s="1"/>
      <c r="W122" s="1"/>
      <c r="X122" s="1"/>
    </row>
    <row r="123" spans="1:24">
      <c r="A123" s="15"/>
      <c r="B123" s="15"/>
      <c r="C123" s="16"/>
      <c r="D123" s="16"/>
      <c r="E123" s="16"/>
      <c r="F123" s="16"/>
      <c r="G123" s="16"/>
      <c r="H123" s="16"/>
      <c r="I123" s="16"/>
      <c r="J123" s="16"/>
      <c r="K123" s="16"/>
      <c r="L123" s="16"/>
      <c r="M123" s="25"/>
      <c r="N123" s="25"/>
      <c r="O123" s="16"/>
      <c r="P123" s="1"/>
      <c r="Q123" s="1"/>
      <c r="R123" s="8"/>
      <c r="S123" s="20" t="str">
        <f ca="1">IFERROR(__xludf.DUMMYFUNCTION("IFERROR(vlookup(B123,IMPORTRANGE(""https://docs.google.com/spreadsheets/d/1g_jfYYK_KeipEDNDUgqgrsxK94XiocfNQIcP-v1QVhI/edit?resourcekey#gid=233272945"",""Nilai!B:CT""),57,0),"" "")")," ")</f>
        <v xml:space="preserve"> </v>
      </c>
      <c r="T123" s="8"/>
      <c r="U123" s="1"/>
      <c r="V123" s="1"/>
      <c r="W123" s="1"/>
      <c r="X123" s="1"/>
    </row>
    <row r="124" spans="1:24">
      <c r="A124" s="15"/>
      <c r="B124" s="15"/>
      <c r="C124" s="16"/>
      <c r="D124" s="16"/>
      <c r="E124" s="16"/>
      <c r="F124" s="16"/>
      <c r="G124" s="16"/>
      <c r="H124" s="16"/>
      <c r="I124" s="16"/>
      <c r="J124" s="16"/>
      <c r="K124" s="16"/>
      <c r="L124" s="16"/>
      <c r="M124" s="25"/>
      <c r="N124" s="25"/>
      <c r="O124" s="16"/>
      <c r="P124" s="1"/>
      <c r="Q124" s="1"/>
      <c r="R124" s="8"/>
      <c r="S124" s="20" t="str">
        <f ca="1">IFERROR(__xludf.DUMMYFUNCTION("IFERROR(vlookup(B124,IMPORTRANGE(""https://docs.google.com/spreadsheets/d/1g_jfYYK_KeipEDNDUgqgrsxK94XiocfNQIcP-v1QVhI/edit?resourcekey#gid=233272945"",""Nilai!B:CT""),57,0),"" "")")," ")</f>
        <v xml:space="preserve"> </v>
      </c>
      <c r="T124" s="8"/>
      <c r="U124" s="1"/>
      <c r="V124" s="1"/>
      <c r="W124" s="1"/>
      <c r="X124" s="1"/>
    </row>
    <row r="125" spans="1:24">
      <c r="A125" s="15"/>
      <c r="B125" s="15"/>
      <c r="C125" s="16"/>
      <c r="D125" s="16"/>
      <c r="E125" s="16"/>
      <c r="F125" s="16"/>
      <c r="G125" s="16"/>
      <c r="H125" s="16"/>
      <c r="I125" s="16"/>
      <c r="J125" s="16"/>
      <c r="K125" s="16"/>
      <c r="L125" s="16"/>
      <c r="M125" s="25"/>
      <c r="N125" s="25"/>
      <c r="O125" s="16"/>
      <c r="P125" s="1"/>
      <c r="Q125" s="1"/>
      <c r="R125" s="8"/>
      <c r="S125" s="20" t="str">
        <f ca="1">IFERROR(__xludf.DUMMYFUNCTION("IFERROR(vlookup(B125,IMPORTRANGE(""https://docs.google.com/spreadsheets/d/1g_jfYYK_KeipEDNDUgqgrsxK94XiocfNQIcP-v1QVhI/edit?resourcekey#gid=233272945"",""Nilai!B:CT""),57,0),"" "")")," ")</f>
        <v xml:space="preserve"> </v>
      </c>
      <c r="T125" s="8"/>
      <c r="U125" s="1"/>
      <c r="V125" s="1"/>
      <c r="W125" s="1"/>
      <c r="X125" s="1"/>
    </row>
    <row r="126" spans="1:24">
      <c r="A126" s="15"/>
      <c r="B126" s="15"/>
      <c r="C126" s="16"/>
      <c r="D126" s="16"/>
      <c r="E126" s="16"/>
      <c r="F126" s="16"/>
      <c r="G126" s="16"/>
      <c r="H126" s="16"/>
      <c r="I126" s="16"/>
      <c r="J126" s="16"/>
      <c r="K126" s="16"/>
      <c r="L126" s="16"/>
      <c r="M126" s="25"/>
      <c r="N126" s="25"/>
      <c r="O126" s="16"/>
      <c r="P126" s="1"/>
      <c r="Q126" s="1"/>
      <c r="R126" s="8"/>
      <c r="S126" s="20" t="str">
        <f ca="1">IFERROR(__xludf.DUMMYFUNCTION("IFERROR(vlookup(B126,IMPORTRANGE(""https://docs.google.com/spreadsheets/d/1g_jfYYK_KeipEDNDUgqgrsxK94XiocfNQIcP-v1QVhI/edit?resourcekey#gid=233272945"",""Nilai!B:CT""),57,0),"" "")")," ")</f>
        <v xml:space="preserve"> </v>
      </c>
      <c r="T126" s="8"/>
      <c r="U126" s="1"/>
      <c r="V126" s="1"/>
      <c r="W126" s="1"/>
      <c r="X126" s="1"/>
    </row>
    <row r="127" spans="1:24">
      <c r="A127" s="15"/>
      <c r="B127" s="15"/>
      <c r="C127" s="16"/>
      <c r="D127" s="16"/>
      <c r="E127" s="16"/>
      <c r="F127" s="16"/>
      <c r="G127" s="16"/>
      <c r="H127" s="16"/>
      <c r="I127" s="16"/>
      <c r="J127" s="16"/>
      <c r="K127" s="16"/>
      <c r="L127" s="16"/>
      <c r="M127" s="25"/>
      <c r="N127" s="25"/>
      <c r="O127" s="16"/>
      <c r="P127" s="1"/>
      <c r="Q127" s="1"/>
      <c r="R127" s="8"/>
      <c r="S127" s="20" t="str">
        <f ca="1">IFERROR(__xludf.DUMMYFUNCTION("IFERROR(vlookup(B127,IMPORTRANGE(""https://docs.google.com/spreadsheets/d/1g_jfYYK_KeipEDNDUgqgrsxK94XiocfNQIcP-v1QVhI/edit?resourcekey#gid=233272945"",""Nilai!B:CT""),57,0),"" "")")," ")</f>
        <v xml:space="preserve"> </v>
      </c>
      <c r="T127" s="8"/>
      <c r="U127" s="1"/>
      <c r="V127" s="1"/>
      <c r="W127" s="1"/>
      <c r="X127" s="1"/>
    </row>
    <row r="128" spans="1:24">
      <c r="A128" s="15"/>
      <c r="B128" s="15"/>
      <c r="C128" s="16"/>
      <c r="D128" s="16"/>
      <c r="E128" s="16"/>
      <c r="F128" s="16"/>
      <c r="G128" s="16"/>
      <c r="H128" s="16"/>
      <c r="I128" s="16"/>
      <c r="J128" s="16"/>
      <c r="K128" s="16"/>
      <c r="L128" s="16"/>
      <c r="M128" s="25"/>
      <c r="N128" s="25"/>
      <c r="O128" s="16"/>
      <c r="P128" s="1"/>
      <c r="Q128" s="1"/>
      <c r="R128" s="8"/>
      <c r="S128" s="20" t="str">
        <f ca="1">IFERROR(__xludf.DUMMYFUNCTION("IFERROR(vlookup(B128,IMPORTRANGE(""https://docs.google.com/spreadsheets/d/1g_jfYYK_KeipEDNDUgqgrsxK94XiocfNQIcP-v1QVhI/edit?resourcekey#gid=233272945"",""Nilai!B:CT""),57,0),"" "")")," ")</f>
        <v xml:space="preserve"> </v>
      </c>
      <c r="T128" s="8"/>
      <c r="U128" s="1"/>
      <c r="V128" s="1"/>
      <c r="W128" s="1"/>
      <c r="X128" s="1"/>
    </row>
    <row r="129" spans="1:24">
      <c r="A129" s="15"/>
      <c r="B129" s="15"/>
      <c r="C129" s="16"/>
      <c r="D129" s="16"/>
      <c r="E129" s="16"/>
      <c r="F129" s="16"/>
      <c r="G129" s="16"/>
      <c r="H129" s="16"/>
      <c r="I129" s="16"/>
      <c r="J129" s="16"/>
      <c r="K129" s="16"/>
      <c r="L129" s="16"/>
      <c r="M129" s="25"/>
      <c r="N129" s="25"/>
      <c r="O129" s="16"/>
      <c r="P129" s="1"/>
      <c r="Q129" s="1"/>
      <c r="R129" s="8"/>
      <c r="S129" s="20" t="str">
        <f ca="1">IFERROR(__xludf.DUMMYFUNCTION("IFERROR(vlookup(B129,IMPORTRANGE(""https://docs.google.com/spreadsheets/d/1g_jfYYK_KeipEDNDUgqgrsxK94XiocfNQIcP-v1QVhI/edit?resourcekey#gid=233272945"",""Nilai!B:CT""),57,0),"" "")")," ")</f>
        <v xml:space="preserve"> </v>
      </c>
      <c r="T129" s="8"/>
      <c r="U129" s="1"/>
      <c r="V129" s="1"/>
      <c r="W129" s="1"/>
      <c r="X129" s="1"/>
    </row>
    <row r="130" spans="1:24">
      <c r="A130" s="15"/>
      <c r="B130" s="15"/>
      <c r="C130" s="16"/>
      <c r="D130" s="16"/>
      <c r="E130" s="16"/>
      <c r="F130" s="16"/>
      <c r="G130" s="16"/>
      <c r="H130" s="16"/>
      <c r="I130" s="16"/>
      <c r="J130" s="16"/>
      <c r="K130" s="16"/>
      <c r="L130" s="16"/>
      <c r="M130" s="25"/>
      <c r="N130" s="25"/>
      <c r="O130" s="16"/>
      <c r="P130" s="1"/>
      <c r="Q130" s="1"/>
      <c r="R130" s="8"/>
      <c r="S130" s="20" t="str">
        <f ca="1">IFERROR(__xludf.DUMMYFUNCTION("IFERROR(vlookup(B130,IMPORTRANGE(""https://docs.google.com/spreadsheets/d/1g_jfYYK_KeipEDNDUgqgrsxK94XiocfNQIcP-v1QVhI/edit?resourcekey#gid=233272945"",""Nilai!B:CT""),57,0),"" "")")," ")</f>
        <v xml:space="preserve"> </v>
      </c>
      <c r="T130" s="8"/>
      <c r="U130" s="1"/>
      <c r="V130" s="1"/>
      <c r="W130" s="1"/>
      <c r="X130" s="1"/>
    </row>
    <row r="131" spans="1:24">
      <c r="A131" s="15"/>
      <c r="B131" s="15"/>
      <c r="C131" s="16"/>
      <c r="D131" s="16"/>
      <c r="E131" s="16"/>
      <c r="F131" s="16"/>
      <c r="G131" s="16"/>
      <c r="H131" s="16"/>
      <c r="I131" s="16"/>
      <c r="J131" s="16"/>
      <c r="K131" s="16"/>
      <c r="L131" s="16"/>
      <c r="M131" s="25"/>
      <c r="N131" s="25"/>
      <c r="O131" s="16"/>
      <c r="P131" s="1"/>
      <c r="Q131" s="1"/>
      <c r="R131" s="8"/>
      <c r="S131" s="20" t="str">
        <f ca="1">IFERROR(__xludf.DUMMYFUNCTION("IFERROR(vlookup(B131,IMPORTRANGE(""https://docs.google.com/spreadsheets/d/1g_jfYYK_KeipEDNDUgqgrsxK94XiocfNQIcP-v1QVhI/edit?resourcekey#gid=233272945"",""Nilai!B:CT""),57,0),"" "")")," ")</f>
        <v xml:space="preserve"> </v>
      </c>
      <c r="T131" s="8"/>
      <c r="U131" s="1"/>
      <c r="V131" s="1"/>
      <c r="W131" s="1"/>
      <c r="X131" s="1"/>
    </row>
    <row r="132" spans="1:24">
      <c r="A132" s="15"/>
      <c r="B132" s="15"/>
      <c r="C132" s="16"/>
      <c r="D132" s="16"/>
      <c r="E132" s="16"/>
      <c r="F132" s="16"/>
      <c r="G132" s="16"/>
      <c r="H132" s="16"/>
      <c r="I132" s="16"/>
      <c r="J132" s="16"/>
      <c r="K132" s="16"/>
      <c r="L132" s="16"/>
      <c r="M132" s="25"/>
      <c r="N132" s="25"/>
      <c r="O132" s="16"/>
      <c r="P132" s="1"/>
      <c r="Q132" s="1"/>
      <c r="R132" s="8"/>
      <c r="S132" s="20" t="str">
        <f ca="1">IFERROR(__xludf.DUMMYFUNCTION("IFERROR(vlookup(B132,IMPORTRANGE(""https://docs.google.com/spreadsheets/d/1g_jfYYK_KeipEDNDUgqgrsxK94XiocfNQIcP-v1QVhI/edit?resourcekey#gid=233272945"",""Nilai!B:CT""),57,0),"" "")")," ")</f>
        <v xml:space="preserve"> </v>
      </c>
      <c r="T132" s="8"/>
      <c r="U132" s="1"/>
      <c r="V132" s="1"/>
      <c r="W132" s="1"/>
      <c r="X132" s="1"/>
    </row>
    <row r="133" spans="1:24">
      <c r="A133" s="15"/>
      <c r="B133" s="15"/>
      <c r="C133" s="16"/>
      <c r="D133" s="16"/>
      <c r="E133" s="16"/>
      <c r="F133" s="16"/>
      <c r="G133" s="16"/>
      <c r="H133" s="16"/>
      <c r="I133" s="16"/>
      <c r="J133" s="16"/>
      <c r="K133" s="16"/>
      <c r="L133" s="16"/>
      <c r="M133" s="25"/>
      <c r="N133" s="25"/>
      <c r="O133" s="16"/>
      <c r="P133" s="1"/>
      <c r="Q133" s="1"/>
      <c r="R133" s="8"/>
      <c r="S133" s="20" t="str">
        <f ca="1">IFERROR(__xludf.DUMMYFUNCTION("IFERROR(vlookup(B133,IMPORTRANGE(""https://docs.google.com/spreadsheets/d/1g_jfYYK_KeipEDNDUgqgrsxK94XiocfNQIcP-v1QVhI/edit?resourcekey#gid=233272945"",""Nilai!B:CT""),57,0),"" "")")," ")</f>
        <v xml:space="preserve"> </v>
      </c>
      <c r="T133" s="8"/>
      <c r="U133" s="1"/>
      <c r="V133" s="1"/>
      <c r="W133" s="1"/>
      <c r="X133" s="1"/>
    </row>
    <row r="134" spans="1:24">
      <c r="A134" s="15"/>
      <c r="B134" s="15"/>
      <c r="C134" s="16"/>
      <c r="D134" s="16"/>
      <c r="E134" s="16"/>
      <c r="F134" s="16"/>
      <c r="G134" s="16"/>
      <c r="H134" s="16"/>
      <c r="I134" s="16"/>
      <c r="J134" s="16"/>
      <c r="K134" s="16"/>
      <c r="L134" s="16"/>
      <c r="M134" s="25"/>
      <c r="N134" s="25"/>
      <c r="O134" s="16"/>
      <c r="P134" s="1"/>
      <c r="Q134" s="1"/>
      <c r="R134" s="8"/>
      <c r="S134" s="20" t="str">
        <f ca="1">IFERROR(__xludf.DUMMYFUNCTION("IFERROR(vlookup(B134,IMPORTRANGE(""https://docs.google.com/spreadsheets/d/1g_jfYYK_KeipEDNDUgqgrsxK94XiocfNQIcP-v1QVhI/edit?resourcekey#gid=233272945"",""Nilai!B:CT""),57,0),"" "")")," ")</f>
        <v xml:space="preserve"> </v>
      </c>
      <c r="T134" s="8"/>
      <c r="U134" s="1"/>
      <c r="V134" s="1"/>
      <c r="W134" s="1"/>
      <c r="X134" s="1"/>
    </row>
    <row r="135" spans="1:24">
      <c r="A135" s="15"/>
      <c r="B135" s="15"/>
      <c r="C135" s="16"/>
      <c r="D135" s="16"/>
      <c r="E135" s="16"/>
      <c r="F135" s="16"/>
      <c r="G135" s="16"/>
      <c r="H135" s="16"/>
      <c r="I135" s="16"/>
      <c r="J135" s="16"/>
      <c r="K135" s="16"/>
      <c r="L135" s="16"/>
      <c r="M135" s="25"/>
      <c r="N135" s="25"/>
      <c r="O135" s="16"/>
      <c r="P135" s="1"/>
      <c r="Q135" s="1"/>
      <c r="R135" s="8"/>
      <c r="S135" s="20" t="str">
        <f ca="1">IFERROR(__xludf.DUMMYFUNCTION("IFERROR(vlookup(B135,IMPORTRANGE(""https://docs.google.com/spreadsheets/d/1g_jfYYK_KeipEDNDUgqgrsxK94XiocfNQIcP-v1QVhI/edit?resourcekey#gid=233272945"",""Nilai!B:CT""),57,0),"" "")")," ")</f>
        <v xml:space="preserve"> </v>
      </c>
      <c r="T135" s="8"/>
      <c r="U135" s="1"/>
      <c r="V135" s="1"/>
      <c r="W135" s="1"/>
      <c r="X135" s="1"/>
    </row>
    <row r="136" spans="1:24">
      <c r="A136" s="15"/>
      <c r="B136" s="15"/>
      <c r="C136" s="16"/>
      <c r="D136" s="16"/>
      <c r="E136" s="16"/>
      <c r="F136" s="16"/>
      <c r="G136" s="16"/>
      <c r="H136" s="16"/>
      <c r="I136" s="16"/>
      <c r="J136" s="16"/>
      <c r="K136" s="16"/>
      <c r="L136" s="16"/>
      <c r="M136" s="25"/>
      <c r="N136" s="25"/>
      <c r="O136" s="16"/>
      <c r="P136" s="1"/>
      <c r="Q136" s="1"/>
      <c r="R136" s="8"/>
      <c r="S136" s="20" t="str">
        <f ca="1">IFERROR(__xludf.DUMMYFUNCTION("IFERROR(vlookup(B136,IMPORTRANGE(""https://docs.google.com/spreadsheets/d/1g_jfYYK_KeipEDNDUgqgrsxK94XiocfNQIcP-v1QVhI/edit?resourcekey#gid=233272945"",""Nilai!B:CT""),57,0),"" "")")," ")</f>
        <v xml:space="preserve"> </v>
      </c>
      <c r="T136" s="8"/>
      <c r="U136" s="1"/>
      <c r="V136" s="1"/>
      <c r="W136" s="1"/>
      <c r="X136" s="1"/>
    </row>
    <row r="137" spans="1:24">
      <c r="A137" s="15"/>
      <c r="B137" s="15"/>
      <c r="C137" s="16"/>
      <c r="D137" s="16"/>
      <c r="E137" s="16"/>
      <c r="F137" s="16"/>
      <c r="G137" s="16"/>
      <c r="H137" s="16"/>
      <c r="I137" s="16"/>
      <c r="J137" s="16"/>
      <c r="K137" s="16"/>
      <c r="L137" s="16"/>
      <c r="M137" s="25"/>
      <c r="N137" s="25"/>
      <c r="O137" s="16"/>
      <c r="P137" s="1"/>
      <c r="Q137" s="1"/>
      <c r="R137" s="8"/>
      <c r="S137" s="20" t="str">
        <f ca="1">IFERROR(__xludf.DUMMYFUNCTION("IFERROR(vlookup(B137,IMPORTRANGE(""https://docs.google.com/spreadsheets/d/1g_jfYYK_KeipEDNDUgqgrsxK94XiocfNQIcP-v1QVhI/edit?resourcekey#gid=233272945"",""Nilai!B:CT""),57,0),"" "")")," ")</f>
        <v xml:space="preserve"> </v>
      </c>
      <c r="T137" s="8"/>
      <c r="U137" s="1"/>
      <c r="V137" s="1"/>
      <c r="W137" s="1"/>
      <c r="X137" s="1"/>
    </row>
    <row r="138" spans="1:24">
      <c r="A138" s="15"/>
      <c r="B138" s="15"/>
      <c r="C138" s="16"/>
      <c r="D138" s="16"/>
      <c r="E138" s="16"/>
      <c r="F138" s="16"/>
      <c r="G138" s="16"/>
      <c r="H138" s="16"/>
      <c r="I138" s="16"/>
      <c r="J138" s="16"/>
      <c r="K138" s="16"/>
      <c r="L138" s="16"/>
      <c r="M138" s="25"/>
      <c r="N138" s="25"/>
      <c r="O138" s="16"/>
      <c r="P138" s="1"/>
      <c r="Q138" s="1"/>
      <c r="R138" s="8"/>
      <c r="S138" s="20" t="str">
        <f ca="1">IFERROR(__xludf.DUMMYFUNCTION("IFERROR(vlookup(B138,IMPORTRANGE(""https://docs.google.com/spreadsheets/d/1g_jfYYK_KeipEDNDUgqgrsxK94XiocfNQIcP-v1QVhI/edit?resourcekey#gid=233272945"",""Nilai!B:CT""),57,0),"" "")")," ")</f>
        <v xml:space="preserve"> </v>
      </c>
      <c r="T138" s="8"/>
      <c r="U138" s="1"/>
      <c r="V138" s="1"/>
      <c r="W138" s="1"/>
      <c r="X138" s="1"/>
    </row>
    <row r="139" spans="1:24">
      <c r="A139" s="15"/>
      <c r="B139" s="15"/>
      <c r="C139" s="16"/>
      <c r="D139" s="16"/>
      <c r="E139" s="16"/>
      <c r="F139" s="16"/>
      <c r="G139" s="16"/>
      <c r="H139" s="16"/>
      <c r="I139" s="16"/>
      <c r="J139" s="16"/>
      <c r="K139" s="16"/>
      <c r="L139" s="16"/>
      <c r="M139" s="25"/>
      <c r="N139" s="25"/>
      <c r="O139" s="16"/>
      <c r="P139" s="1"/>
      <c r="Q139" s="1"/>
      <c r="R139" s="8"/>
      <c r="S139" s="20" t="str">
        <f ca="1">IFERROR(__xludf.DUMMYFUNCTION("IFERROR(vlookup(B139,IMPORTRANGE(""https://docs.google.com/spreadsheets/d/1g_jfYYK_KeipEDNDUgqgrsxK94XiocfNQIcP-v1QVhI/edit?resourcekey#gid=233272945"",""Nilai!B:CT""),57,0),"" "")")," ")</f>
        <v xml:space="preserve"> </v>
      </c>
      <c r="T139" s="8"/>
      <c r="U139" s="1"/>
      <c r="V139" s="1"/>
      <c r="W139" s="1"/>
      <c r="X139" s="1"/>
    </row>
    <row r="140" spans="1:24">
      <c r="A140" s="15"/>
      <c r="B140" s="15"/>
      <c r="C140" s="16"/>
      <c r="D140" s="16"/>
      <c r="E140" s="16"/>
      <c r="F140" s="16"/>
      <c r="G140" s="16"/>
      <c r="H140" s="16"/>
      <c r="I140" s="16"/>
      <c r="J140" s="16"/>
      <c r="K140" s="16"/>
      <c r="L140" s="16"/>
      <c r="M140" s="25"/>
      <c r="N140" s="25"/>
      <c r="O140" s="16"/>
      <c r="P140" s="1"/>
      <c r="Q140" s="1"/>
      <c r="R140" s="8"/>
      <c r="S140" s="20" t="str">
        <f ca="1">IFERROR(__xludf.DUMMYFUNCTION("IFERROR(vlookup(B140,IMPORTRANGE(""https://docs.google.com/spreadsheets/d/1g_jfYYK_KeipEDNDUgqgrsxK94XiocfNQIcP-v1QVhI/edit?resourcekey#gid=233272945"",""Nilai!B:CT""),57,0),"" "")")," ")</f>
        <v xml:space="preserve"> </v>
      </c>
      <c r="T140" s="8"/>
      <c r="U140" s="1"/>
      <c r="V140" s="1"/>
      <c r="W140" s="1"/>
      <c r="X140" s="1"/>
    </row>
    <row r="141" spans="1:24">
      <c r="A141" s="15"/>
      <c r="B141" s="15"/>
      <c r="C141" s="16"/>
      <c r="D141" s="16"/>
      <c r="E141" s="16"/>
      <c r="F141" s="16"/>
      <c r="G141" s="16"/>
      <c r="H141" s="16"/>
      <c r="I141" s="16"/>
      <c r="J141" s="16"/>
      <c r="K141" s="16"/>
      <c r="L141" s="16"/>
      <c r="M141" s="25"/>
      <c r="N141" s="25"/>
      <c r="O141" s="16"/>
      <c r="P141" s="1"/>
      <c r="Q141" s="1"/>
      <c r="R141" s="8"/>
      <c r="S141" s="20" t="str">
        <f ca="1">IFERROR(__xludf.DUMMYFUNCTION("IFERROR(vlookup(B141,IMPORTRANGE(""https://docs.google.com/spreadsheets/d/1g_jfYYK_KeipEDNDUgqgrsxK94XiocfNQIcP-v1QVhI/edit?resourcekey#gid=233272945"",""Nilai!B:CT""),57,0),"" "")")," ")</f>
        <v xml:space="preserve"> </v>
      </c>
      <c r="T141" s="8"/>
      <c r="U141" s="1"/>
      <c r="V141" s="1"/>
      <c r="W141" s="1"/>
      <c r="X141" s="1"/>
    </row>
    <row r="142" spans="1:24">
      <c r="A142" s="15"/>
      <c r="B142" s="15"/>
      <c r="C142" s="16"/>
      <c r="D142" s="16"/>
      <c r="E142" s="16"/>
      <c r="F142" s="16"/>
      <c r="G142" s="16"/>
      <c r="H142" s="16"/>
      <c r="I142" s="16"/>
      <c r="J142" s="16"/>
      <c r="K142" s="16"/>
      <c r="L142" s="16"/>
      <c r="M142" s="25"/>
      <c r="N142" s="25"/>
      <c r="O142" s="16"/>
      <c r="P142" s="1"/>
      <c r="Q142" s="1"/>
      <c r="R142" s="8"/>
      <c r="S142" s="20" t="str">
        <f ca="1">IFERROR(__xludf.DUMMYFUNCTION("IFERROR(vlookup(B142,IMPORTRANGE(""https://docs.google.com/spreadsheets/d/1g_jfYYK_KeipEDNDUgqgrsxK94XiocfNQIcP-v1QVhI/edit?resourcekey#gid=233272945"",""Nilai!B:CT""),57,0),"" "")")," ")</f>
        <v xml:space="preserve"> </v>
      </c>
      <c r="T142" s="8"/>
      <c r="U142" s="1"/>
      <c r="V142" s="1"/>
      <c r="W142" s="1"/>
      <c r="X142" s="1"/>
    </row>
    <row r="143" spans="1:24">
      <c r="A143" s="15"/>
      <c r="B143" s="15"/>
      <c r="C143" s="16"/>
      <c r="D143" s="16"/>
      <c r="E143" s="16"/>
      <c r="F143" s="16"/>
      <c r="G143" s="16"/>
      <c r="H143" s="16"/>
      <c r="I143" s="16"/>
      <c r="J143" s="16"/>
      <c r="K143" s="16"/>
      <c r="L143" s="16"/>
      <c r="M143" s="25"/>
      <c r="N143" s="25"/>
      <c r="O143" s="16"/>
      <c r="P143" s="1"/>
      <c r="Q143" s="1"/>
      <c r="R143" s="8"/>
      <c r="S143" s="20" t="str">
        <f ca="1">IFERROR(__xludf.DUMMYFUNCTION("IFERROR(vlookup(B143,IMPORTRANGE(""https://docs.google.com/spreadsheets/d/1g_jfYYK_KeipEDNDUgqgrsxK94XiocfNQIcP-v1QVhI/edit?resourcekey#gid=233272945"",""Nilai!B:CT""),57,0),"" "")")," ")</f>
        <v xml:space="preserve"> </v>
      </c>
      <c r="T143" s="8"/>
      <c r="U143" s="1"/>
      <c r="V143" s="1"/>
      <c r="W143" s="1"/>
      <c r="X143" s="1"/>
    </row>
    <row r="144" spans="1:24">
      <c r="A144" s="15"/>
      <c r="B144" s="15"/>
      <c r="C144" s="16"/>
      <c r="D144" s="16"/>
      <c r="E144" s="16"/>
      <c r="F144" s="16"/>
      <c r="G144" s="16"/>
      <c r="H144" s="16"/>
      <c r="I144" s="16"/>
      <c r="J144" s="16"/>
      <c r="K144" s="16"/>
      <c r="L144" s="16"/>
      <c r="M144" s="25"/>
      <c r="N144" s="25"/>
      <c r="O144" s="16"/>
      <c r="P144" s="1"/>
      <c r="Q144" s="1"/>
      <c r="R144" s="8"/>
      <c r="S144" s="1"/>
      <c r="T144" s="8"/>
      <c r="U144" s="1"/>
      <c r="V144" s="1"/>
      <c r="W144" s="1"/>
      <c r="X144" s="1"/>
    </row>
    <row r="145" spans="1:24">
      <c r="A145" s="15"/>
      <c r="B145" s="15"/>
      <c r="C145" s="16"/>
      <c r="D145" s="16"/>
      <c r="E145" s="16"/>
      <c r="F145" s="16"/>
      <c r="G145" s="16"/>
      <c r="H145" s="16"/>
      <c r="I145" s="16"/>
      <c r="J145" s="16"/>
      <c r="K145" s="16"/>
      <c r="L145" s="16"/>
      <c r="M145" s="25"/>
      <c r="N145" s="25"/>
      <c r="O145" s="16"/>
      <c r="P145" s="1"/>
      <c r="Q145" s="1"/>
      <c r="R145" s="8"/>
      <c r="S145" s="1"/>
      <c r="T145" s="8"/>
      <c r="U145" s="1"/>
      <c r="V145" s="1"/>
      <c r="W145" s="1"/>
      <c r="X145" s="1"/>
    </row>
    <row r="146" spans="1:24">
      <c r="A146" s="15"/>
      <c r="B146" s="15"/>
      <c r="C146" s="16"/>
      <c r="D146" s="16"/>
      <c r="E146" s="16"/>
      <c r="F146" s="16"/>
      <c r="G146" s="16"/>
      <c r="H146" s="16"/>
      <c r="I146" s="16"/>
      <c r="J146" s="16"/>
      <c r="K146" s="16"/>
      <c r="L146" s="16"/>
      <c r="M146" s="25"/>
      <c r="N146" s="25"/>
      <c r="O146" s="16"/>
      <c r="P146" s="1"/>
      <c r="Q146" s="1"/>
      <c r="R146" s="8"/>
      <c r="S146" s="1"/>
      <c r="T146" s="8"/>
      <c r="U146" s="1"/>
      <c r="V146" s="1"/>
      <c r="W146" s="1"/>
      <c r="X146" s="1"/>
    </row>
    <row r="147" spans="1:24">
      <c r="A147" s="15"/>
      <c r="B147" s="15"/>
      <c r="C147" s="16"/>
      <c r="D147" s="16"/>
      <c r="E147" s="16"/>
      <c r="F147" s="16"/>
      <c r="G147" s="16"/>
      <c r="H147" s="16"/>
      <c r="I147" s="16"/>
      <c r="J147" s="16"/>
      <c r="K147" s="16"/>
      <c r="L147" s="16"/>
      <c r="M147" s="25"/>
      <c r="N147" s="25"/>
      <c r="O147" s="16"/>
      <c r="P147" s="1"/>
      <c r="Q147" s="1"/>
      <c r="R147" s="8"/>
      <c r="S147" s="1"/>
      <c r="T147" s="8"/>
      <c r="U147" s="1"/>
      <c r="V147" s="1"/>
      <c r="W147" s="1"/>
      <c r="X147" s="1"/>
    </row>
    <row r="148" spans="1:24">
      <c r="A148" s="15"/>
      <c r="B148" s="15"/>
      <c r="C148" s="16"/>
      <c r="D148" s="16"/>
      <c r="E148" s="16"/>
      <c r="F148" s="16"/>
      <c r="G148" s="16"/>
      <c r="H148" s="16"/>
      <c r="I148" s="16"/>
      <c r="J148" s="16"/>
      <c r="K148" s="16"/>
      <c r="L148" s="16"/>
      <c r="M148" s="25"/>
      <c r="N148" s="25"/>
      <c r="O148" s="16"/>
      <c r="P148" s="1"/>
      <c r="Q148" s="1"/>
      <c r="R148" s="8"/>
      <c r="S148" s="1"/>
      <c r="T148" s="8"/>
      <c r="U148" s="1"/>
      <c r="V148" s="1"/>
      <c r="W148" s="1"/>
      <c r="X148" s="1"/>
    </row>
    <row r="149" spans="1:24">
      <c r="A149" s="15"/>
      <c r="B149" s="15"/>
      <c r="C149" s="16"/>
      <c r="D149" s="16"/>
      <c r="E149" s="16"/>
      <c r="F149" s="16"/>
      <c r="G149" s="16"/>
      <c r="H149" s="16"/>
      <c r="I149" s="16"/>
      <c r="J149" s="16"/>
      <c r="K149" s="16"/>
      <c r="L149" s="16"/>
      <c r="M149" s="25"/>
      <c r="N149" s="25"/>
      <c r="O149" s="16"/>
      <c r="P149" s="1"/>
      <c r="Q149" s="1"/>
      <c r="R149" s="8"/>
      <c r="S149" s="1"/>
      <c r="T149" s="8"/>
      <c r="U149" s="1"/>
      <c r="V149" s="1"/>
      <c r="W149" s="1"/>
      <c r="X149" s="1"/>
    </row>
    <row r="150" spans="1:24">
      <c r="A150" s="15"/>
      <c r="B150" s="15"/>
      <c r="C150" s="16"/>
      <c r="D150" s="16"/>
      <c r="E150" s="16"/>
      <c r="F150" s="16"/>
      <c r="G150" s="16"/>
      <c r="H150" s="16"/>
      <c r="I150" s="16"/>
      <c r="J150" s="16"/>
      <c r="K150" s="16"/>
      <c r="L150" s="16"/>
      <c r="M150" s="25"/>
      <c r="N150" s="25"/>
      <c r="O150" s="16"/>
      <c r="P150" s="1"/>
      <c r="Q150" s="1"/>
      <c r="R150" s="8"/>
      <c r="S150" s="1"/>
      <c r="T150" s="8"/>
      <c r="U150" s="1"/>
      <c r="V150" s="1"/>
      <c r="W150" s="1"/>
      <c r="X150" s="1"/>
    </row>
    <row r="151" spans="1:24">
      <c r="A151" s="15"/>
      <c r="B151" s="15"/>
      <c r="C151" s="16"/>
      <c r="D151" s="16"/>
      <c r="E151" s="16"/>
      <c r="F151" s="16"/>
      <c r="G151" s="16"/>
      <c r="H151" s="16"/>
      <c r="I151" s="16"/>
      <c r="J151" s="16"/>
      <c r="K151" s="16"/>
      <c r="L151" s="16"/>
      <c r="M151" s="25"/>
      <c r="N151" s="25"/>
      <c r="O151" s="16"/>
      <c r="P151" s="1"/>
      <c r="Q151" s="1"/>
      <c r="R151" s="8"/>
      <c r="S151" s="1"/>
      <c r="T151" s="8"/>
      <c r="U151" s="1"/>
      <c r="V151" s="1"/>
      <c r="W151" s="1"/>
      <c r="X151" s="1"/>
    </row>
    <row r="152" spans="1:24">
      <c r="A152" s="15"/>
      <c r="B152" s="15"/>
      <c r="C152" s="16"/>
      <c r="D152" s="16"/>
      <c r="E152" s="16"/>
      <c r="F152" s="16"/>
      <c r="G152" s="16"/>
      <c r="H152" s="16"/>
      <c r="I152" s="16"/>
      <c r="J152" s="16"/>
      <c r="K152" s="16"/>
      <c r="L152" s="16"/>
      <c r="M152" s="25"/>
      <c r="N152" s="25"/>
      <c r="O152" s="16"/>
      <c r="P152" s="1"/>
      <c r="Q152" s="1"/>
      <c r="R152" s="8"/>
      <c r="S152" s="1"/>
      <c r="T152" s="8"/>
      <c r="U152" s="1"/>
      <c r="V152" s="1"/>
      <c r="W152" s="1"/>
      <c r="X152" s="1"/>
    </row>
    <row r="153" spans="1:24">
      <c r="A153" s="15"/>
      <c r="B153" s="15"/>
      <c r="C153" s="16"/>
      <c r="D153" s="16"/>
      <c r="E153" s="16"/>
      <c r="F153" s="16"/>
      <c r="G153" s="16"/>
      <c r="H153" s="16"/>
      <c r="I153" s="16"/>
      <c r="J153" s="16"/>
      <c r="K153" s="16"/>
      <c r="L153" s="16"/>
      <c r="M153" s="25"/>
      <c r="N153" s="25"/>
      <c r="O153" s="16"/>
      <c r="P153" s="1"/>
      <c r="Q153" s="1"/>
      <c r="R153" s="8"/>
      <c r="S153" s="1"/>
      <c r="T153" s="8"/>
      <c r="U153" s="1"/>
      <c r="V153" s="1"/>
      <c r="W153" s="1"/>
      <c r="X153" s="1"/>
    </row>
    <row r="154" spans="1:24">
      <c r="A154" s="15"/>
      <c r="B154" s="15"/>
      <c r="C154" s="16"/>
      <c r="D154" s="16"/>
      <c r="E154" s="16"/>
      <c r="F154" s="16"/>
      <c r="G154" s="16"/>
      <c r="H154" s="16"/>
      <c r="I154" s="16"/>
      <c r="J154" s="16"/>
      <c r="K154" s="16"/>
      <c r="L154" s="16"/>
      <c r="M154" s="25"/>
      <c r="N154" s="25"/>
      <c r="O154" s="16"/>
      <c r="P154" s="1"/>
      <c r="Q154" s="1"/>
      <c r="R154" s="8"/>
      <c r="S154" s="1"/>
      <c r="T154" s="8"/>
      <c r="U154" s="1"/>
      <c r="V154" s="1"/>
      <c r="W154" s="1"/>
      <c r="X154" s="1"/>
    </row>
    <row r="155" spans="1:24">
      <c r="A155" s="15"/>
      <c r="B155" s="15"/>
      <c r="C155" s="16"/>
      <c r="D155" s="16"/>
      <c r="E155" s="16"/>
      <c r="F155" s="16"/>
      <c r="G155" s="16"/>
      <c r="H155" s="16"/>
      <c r="I155" s="16"/>
      <c r="J155" s="16"/>
      <c r="K155" s="16"/>
      <c r="L155" s="16"/>
      <c r="M155" s="25"/>
      <c r="N155" s="25"/>
      <c r="O155" s="16"/>
      <c r="P155" s="1"/>
      <c r="Q155" s="1"/>
      <c r="R155" s="8"/>
      <c r="S155" s="1"/>
      <c r="T155" s="8"/>
      <c r="U155" s="1"/>
      <c r="V155" s="1"/>
      <c r="W155" s="1"/>
      <c r="X155" s="1"/>
    </row>
    <row r="156" spans="1:24">
      <c r="A156" s="15"/>
      <c r="B156" s="15"/>
      <c r="C156" s="16"/>
      <c r="D156" s="16"/>
      <c r="E156" s="16"/>
      <c r="F156" s="16"/>
      <c r="G156" s="16"/>
      <c r="H156" s="16"/>
      <c r="I156" s="16"/>
      <c r="J156" s="16"/>
      <c r="K156" s="16"/>
      <c r="L156" s="16"/>
      <c r="M156" s="25"/>
      <c r="N156" s="25"/>
      <c r="O156" s="16"/>
      <c r="P156" s="1"/>
      <c r="Q156" s="1"/>
      <c r="R156" s="8"/>
      <c r="S156" s="1"/>
      <c r="T156" s="8"/>
      <c r="U156" s="1"/>
      <c r="V156" s="1"/>
      <c r="W156" s="1"/>
      <c r="X156" s="1"/>
    </row>
    <row r="157" spans="1:24">
      <c r="A157" s="15"/>
      <c r="B157" s="15"/>
      <c r="C157" s="16"/>
      <c r="D157" s="16"/>
      <c r="E157" s="16"/>
      <c r="F157" s="16"/>
      <c r="G157" s="16"/>
      <c r="H157" s="16"/>
      <c r="I157" s="16"/>
      <c r="J157" s="16"/>
      <c r="K157" s="16"/>
      <c r="L157" s="16"/>
      <c r="M157" s="25"/>
      <c r="N157" s="25"/>
      <c r="O157" s="16"/>
      <c r="P157" s="1"/>
      <c r="Q157" s="1"/>
      <c r="R157" s="8"/>
      <c r="S157" s="1"/>
      <c r="T157" s="8"/>
      <c r="U157" s="1"/>
      <c r="V157" s="1"/>
      <c r="W157" s="1"/>
      <c r="X157" s="1"/>
    </row>
    <row r="158" spans="1:24">
      <c r="A158" s="15"/>
      <c r="B158" s="15"/>
      <c r="C158" s="16"/>
      <c r="D158" s="16"/>
      <c r="E158" s="16"/>
      <c r="F158" s="16"/>
      <c r="G158" s="16"/>
      <c r="H158" s="16"/>
      <c r="I158" s="16"/>
      <c r="J158" s="16"/>
      <c r="K158" s="16"/>
      <c r="L158" s="16"/>
      <c r="M158" s="25"/>
      <c r="N158" s="25"/>
      <c r="O158" s="16"/>
      <c r="P158" s="1"/>
      <c r="Q158" s="1"/>
      <c r="R158" s="8"/>
      <c r="S158" s="1"/>
      <c r="T158" s="8"/>
      <c r="U158" s="1"/>
      <c r="V158" s="1"/>
      <c r="W158" s="1"/>
      <c r="X158" s="1"/>
    </row>
    <row r="159" spans="1:24">
      <c r="A159" s="15"/>
      <c r="B159" s="15"/>
      <c r="C159" s="16"/>
      <c r="D159" s="16"/>
      <c r="E159" s="16"/>
      <c r="F159" s="16"/>
      <c r="G159" s="16"/>
      <c r="H159" s="16"/>
      <c r="I159" s="16"/>
      <c r="J159" s="16"/>
      <c r="K159" s="16"/>
      <c r="L159" s="16"/>
      <c r="M159" s="25"/>
      <c r="N159" s="25"/>
      <c r="O159" s="16"/>
      <c r="P159" s="1"/>
      <c r="Q159" s="1"/>
      <c r="R159" s="8"/>
      <c r="S159" s="1"/>
      <c r="T159" s="8"/>
      <c r="U159" s="1"/>
      <c r="V159" s="1"/>
      <c r="W159" s="1"/>
      <c r="X159" s="1"/>
    </row>
    <row r="160" spans="1:24">
      <c r="A160" s="15"/>
      <c r="B160" s="15"/>
      <c r="C160" s="16"/>
      <c r="D160" s="16"/>
      <c r="E160" s="16"/>
      <c r="F160" s="16"/>
      <c r="G160" s="16"/>
      <c r="H160" s="16"/>
      <c r="I160" s="16"/>
      <c r="J160" s="16"/>
      <c r="K160" s="16"/>
      <c r="L160" s="16"/>
      <c r="M160" s="25"/>
      <c r="N160" s="25"/>
      <c r="O160" s="16"/>
      <c r="P160" s="1"/>
      <c r="Q160" s="1"/>
      <c r="R160" s="8"/>
      <c r="S160" s="1"/>
      <c r="T160" s="8"/>
      <c r="U160" s="1"/>
      <c r="V160" s="1"/>
      <c r="W160" s="1"/>
      <c r="X160" s="1"/>
    </row>
    <row r="161" spans="1:24">
      <c r="A161" s="15"/>
      <c r="B161" s="15"/>
      <c r="C161" s="16"/>
      <c r="D161" s="16"/>
      <c r="E161" s="16"/>
      <c r="F161" s="16"/>
      <c r="G161" s="16"/>
      <c r="H161" s="16"/>
      <c r="I161" s="16"/>
      <c r="J161" s="16"/>
      <c r="K161" s="16"/>
      <c r="L161" s="16"/>
      <c r="M161" s="25"/>
      <c r="N161" s="25"/>
      <c r="O161" s="16"/>
      <c r="P161" s="1"/>
      <c r="Q161" s="1"/>
      <c r="R161" s="8"/>
      <c r="S161" s="1"/>
      <c r="T161" s="8"/>
      <c r="U161" s="1"/>
      <c r="V161" s="1"/>
      <c r="W161" s="1"/>
      <c r="X161" s="1"/>
    </row>
    <row r="162" spans="1:24">
      <c r="A162" s="15"/>
      <c r="B162" s="15"/>
      <c r="C162" s="16"/>
      <c r="D162" s="16"/>
      <c r="E162" s="16"/>
      <c r="F162" s="16"/>
      <c r="G162" s="16"/>
      <c r="H162" s="16"/>
      <c r="I162" s="16"/>
      <c r="J162" s="16"/>
      <c r="K162" s="16"/>
      <c r="L162" s="16"/>
      <c r="M162" s="25"/>
      <c r="N162" s="25"/>
      <c r="O162" s="16"/>
      <c r="P162" s="1"/>
      <c r="Q162" s="1"/>
      <c r="R162" s="8"/>
      <c r="S162" s="1"/>
      <c r="T162" s="8"/>
      <c r="U162" s="1"/>
      <c r="V162" s="1"/>
      <c r="W162" s="1"/>
      <c r="X162" s="1"/>
    </row>
    <row r="163" spans="1:24">
      <c r="A163" s="15"/>
      <c r="B163" s="15"/>
      <c r="C163" s="16"/>
      <c r="D163" s="16"/>
      <c r="E163" s="16"/>
      <c r="F163" s="16"/>
      <c r="G163" s="16"/>
      <c r="H163" s="16"/>
      <c r="I163" s="16"/>
      <c r="J163" s="16"/>
      <c r="K163" s="16"/>
      <c r="L163" s="16"/>
      <c r="M163" s="25"/>
      <c r="N163" s="25"/>
      <c r="O163" s="16"/>
      <c r="P163" s="1"/>
      <c r="Q163" s="1"/>
      <c r="R163" s="8"/>
      <c r="S163" s="1"/>
      <c r="T163" s="8"/>
      <c r="U163" s="1"/>
      <c r="V163" s="1"/>
      <c r="W163" s="1"/>
      <c r="X163" s="1"/>
    </row>
    <row r="164" spans="1:24">
      <c r="A164" s="15"/>
      <c r="B164" s="15"/>
      <c r="C164" s="16"/>
      <c r="D164" s="16"/>
      <c r="E164" s="16"/>
      <c r="F164" s="16"/>
      <c r="G164" s="16"/>
      <c r="H164" s="16"/>
      <c r="I164" s="16"/>
      <c r="J164" s="16"/>
      <c r="K164" s="16"/>
      <c r="L164" s="16"/>
      <c r="M164" s="25"/>
      <c r="N164" s="25"/>
      <c r="O164" s="16"/>
      <c r="P164" s="1"/>
      <c r="Q164" s="1"/>
      <c r="R164" s="8"/>
      <c r="S164" s="1"/>
      <c r="T164" s="8"/>
      <c r="U164" s="1"/>
      <c r="V164" s="1"/>
      <c r="W164" s="1"/>
      <c r="X164" s="1"/>
    </row>
    <row r="165" spans="1:24">
      <c r="A165" s="15"/>
      <c r="B165" s="15"/>
      <c r="C165" s="16"/>
      <c r="D165" s="16"/>
      <c r="E165" s="16"/>
      <c r="F165" s="16"/>
      <c r="G165" s="16"/>
      <c r="H165" s="16"/>
      <c r="I165" s="16"/>
      <c r="J165" s="16"/>
      <c r="K165" s="16"/>
      <c r="L165" s="16"/>
      <c r="M165" s="25"/>
      <c r="N165" s="25"/>
      <c r="O165" s="16"/>
      <c r="P165" s="1"/>
      <c r="Q165" s="1"/>
      <c r="R165" s="8"/>
      <c r="S165" s="1"/>
      <c r="T165" s="8"/>
      <c r="U165" s="1"/>
      <c r="V165" s="1"/>
      <c r="W165" s="1"/>
      <c r="X165" s="1"/>
    </row>
    <row r="166" spans="1:24">
      <c r="A166" s="15"/>
      <c r="B166" s="15"/>
      <c r="C166" s="16"/>
      <c r="D166" s="16"/>
      <c r="E166" s="16"/>
      <c r="F166" s="16"/>
      <c r="G166" s="16"/>
      <c r="H166" s="16"/>
      <c r="I166" s="16"/>
      <c r="J166" s="16"/>
      <c r="K166" s="16"/>
      <c r="L166" s="16"/>
      <c r="M166" s="25"/>
      <c r="N166" s="25"/>
      <c r="O166" s="16"/>
      <c r="P166" s="1"/>
      <c r="Q166" s="1"/>
      <c r="R166" s="8"/>
      <c r="S166" s="1"/>
      <c r="T166" s="8"/>
      <c r="U166" s="1"/>
      <c r="V166" s="1"/>
      <c r="W166" s="1"/>
      <c r="X166" s="1"/>
    </row>
    <row r="167" spans="1:24">
      <c r="A167" s="15"/>
      <c r="B167" s="15"/>
      <c r="C167" s="16"/>
      <c r="D167" s="16"/>
      <c r="E167" s="16"/>
      <c r="F167" s="16"/>
      <c r="G167" s="16"/>
      <c r="H167" s="16"/>
      <c r="I167" s="16"/>
      <c r="J167" s="16"/>
      <c r="K167" s="16"/>
      <c r="L167" s="16"/>
      <c r="M167" s="25"/>
      <c r="N167" s="25"/>
      <c r="O167" s="16"/>
      <c r="P167" s="1"/>
      <c r="Q167" s="1"/>
      <c r="R167" s="8"/>
      <c r="S167" s="1"/>
      <c r="T167" s="8"/>
      <c r="U167" s="1"/>
      <c r="V167" s="1"/>
      <c r="W167" s="1"/>
      <c r="X167" s="1"/>
    </row>
    <row r="168" spans="1:24">
      <c r="A168" s="15"/>
      <c r="B168" s="15"/>
      <c r="C168" s="16"/>
      <c r="D168" s="16"/>
      <c r="E168" s="16"/>
      <c r="F168" s="16"/>
      <c r="G168" s="16"/>
      <c r="H168" s="16"/>
      <c r="I168" s="16"/>
      <c r="J168" s="16"/>
      <c r="K168" s="16"/>
      <c r="L168" s="16"/>
      <c r="M168" s="25"/>
      <c r="N168" s="25"/>
      <c r="O168" s="16"/>
      <c r="P168" s="1"/>
      <c r="Q168" s="1"/>
      <c r="R168" s="8"/>
      <c r="S168" s="1"/>
      <c r="T168" s="8"/>
      <c r="U168" s="1"/>
      <c r="V168" s="1"/>
      <c r="W168" s="1"/>
      <c r="X168" s="1"/>
    </row>
    <row r="169" spans="1:24">
      <c r="A169" s="15"/>
      <c r="B169" s="15"/>
      <c r="C169" s="16"/>
      <c r="D169" s="16"/>
      <c r="E169" s="16"/>
      <c r="F169" s="16"/>
      <c r="G169" s="16"/>
      <c r="H169" s="16"/>
      <c r="I169" s="16"/>
      <c r="J169" s="16"/>
      <c r="K169" s="16"/>
      <c r="L169" s="16"/>
      <c r="M169" s="25"/>
      <c r="N169" s="25"/>
      <c r="O169" s="16"/>
      <c r="P169" s="1"/>
      <c r="Q169" s="1"/>
      <c r="R169" s="8"/>
      <c r="S169" s="1"/>
      <c r="T169" s="8"/>
      <c r="U169" s="1"/>
      <c r="V169" s="1"/>
      <c r="W169" s="1"/>
      <c r="X169" s="1"/>
    </row>
    <row r="170" spans="1:24">
      <c r="A170" s="15"/>
      <c r="B170" s="15"/>
      <c r="C170" s="16"/>
      <c r="D170" s="16"/>
      <c r="E170" s="16"/>
      <c r="F170" s="16"/>
      <c r="G170" s="16"/>
      <c r="H170" s="16"/>
      <c r="I170" s="16"/>
      <c r="J170" s="16"/>
      <c r="K170" s="16"/>
      <c r="L170" s="16"/>
      <c r="M170" s="25"/>
      <c r="N170" s="25"/>
      <c r="O170" s="16"/>
      <c r="P170" s="1"/>
      <c r="Q170" s="1"/>
      <c r="R170" s="8"/>
      <c r="S170" s="1"/>
      <c r="T170" s="8"/>
      <c r="U170" s="1"/>
      <c r="V170" s="1"/>
      <c r="W170" s="1"/>
      <c r="X170" s="1"/>
    </row>
    <row r="171" spans="1:24">
      <c r="A171" s="15"/>
      <c r="B171" s="15"/>
      <c r="C171" s="16"/>
      <c r="D171" s="16"/>
      <c r="E171" s="16"/>
      <c r="F171" s="16"/>
      <c r="G171" s="16"/>
      <c r="H171" s="16"/>
      <c r="I171" s="16"/>
      <c r="J171" s="16"/>
      <c r="K171" s="16"/>
      <c r="L171" s="16"/>
      <c r="M171" s="25"/>
      <c r="N171" s="25"/>
      <c r="O171" s="16"/>
      <c r="P171" s="1"/>
      <c r="Q171" s="1"/>
      <c r="R171" s="8"/>
      <c r="S171" s="1"/>
      <c r="T171" s="8"/>
      <c r="U171" s="1"/>
      <c r="V171" s="1"/>
      <c r="W171" s="1"/>
      <c r="X171" s="1"/>
    </row>
    <row r="172" spans="1:24">
      <c r="A172" s="15"/>
      <c r="B172" s="15"/>
      <c r="C172" s="16"/>
      <c r="D172" s="16"/>
      <c r="E172" s="16"/>
      <c r="F172" s="16"/>
      <c r="G172" s="16"/>
      <c r="H172" s="16"/>
      <c r="I172" s="16"/>
      <c r="J172" s="16"/>
      <c r="K172" s="16"/>
      <c r="L172" s="16"/>
      <c r="M172" s="25"/>
      <c r="N172" s="25"/>
      <c r="O172" s="16"/>
      <c r="P172" s="1"/>
      <c r="Q172" s="1"/>
      <c r="R172" s="8"/>
      <c r="S172" s="1"/>
      <c r="T172" s="8"/>
      <c r="U172" s="1"/>
      <c r="V172" s="1"/>
      <c r="W172" s="1"/>
      <c r="X172" s="1"/>
    </row>
    <row r="173" spans="1:24">
      <c r="A173" s="15"/>
      <c r="B173" s="15"/>
      <c r="C173" s="16"/>
      <c r="D173" s="16"/>
      <c r="E173" s="16"/>
      <c r="F173" s="16"/>
      <c r="G173" s="16"/>
      <c r="H173" s="16"/>
      <c r="I173" s="16"/>
      <c r="J173" s="16"/>
      <c r="K173" s="16"/>
      <c r="L173" s="16"/>
      <c r="M173" s="25"/>
      <c r="N173" s="25"/>
      <c r="O173" s="16"/>
      <c r="P173" s="1"/>
      <c r="Q173" s="1"/>
      <c r="R173" s="8"/>
      <c r="S173" s="1"/>
      <c r="T173" s="8"/>
      <c r="U173" s="1"/>
      <c r="V173" s="1"/>
      <c r="W173" s="1"/>
      <c r="X173" s="1"/>
    </row>
    <row r="174" spans="1:24">
      <c r="A174" s="15"/>
      <c r="B174" s="15"/>
      <c r="C174" s="16"/>
      <c r="D174" s="16"/>
      <c r="E174" s="16"/>
      <c r="F174" s="16"/>
      <c r="G174" s="16"/>
      <c r="H174" s="16"/>
      <c r="I174" s="16"/>
      <c r="J174" s="16"/>
      <c r="K174" s="16"/>
      <c r="L174" s="16"/>
      <c r="M174" s="25"/>
      <c r="N174" s="25"/>
      <c r="O174" s="16"/>
      <c r="P174" s="1"/>
      <c r="Q174" s="1"/>
      <c r="R174" s="8"/>
      <c r="S174" s="1"/>
      <c r="T174" s="8"/>
      <c r="U174" s="1"/>
      <c r="V174" s="1"/>
      <c r="W174" s="1"/>
      <c r="X174" s="1"/>
    </row>
    <row r="175" spans="1:24">
      <c r="A175" s="15"/>
      <c r="B175" s="15"/>
      <c r="C175" s="16"/>
      <c r="D175" s="16"/>
      <c r="E175" s="16"/>
      <c r="F175" s="16"/>
      <c r="G175" s="16"/>
      <c r="H175" s="16"/>
      <c r="I175" s="16"/>
      <c r="J175" s="16"/>
      <c r="K175" s="16"/>
      <c r="L175" s="16"/>
      <c r="M175" s="25"/>
      <c r="N175" s="25"/>
      <c r="O175" s="16"/>
      <c r="P175" s="1"/>
      <c r="Q175" s="1"/>
      <c r="R175" s="8"/>
      <c r="S175" s="1"/>
      <c r="T175" s="8"/>
      <c r="U175" s="1"/>
      <c r="V175" s="1"/>
      <c r="W175" s="1"/>
      <c r="X175" s="1"/>
    </row>
    <row r="176" spans="1:24">
      <c r="A176" s="15"/>
      <c r="B176" s="15"/>
      <c r="C176" s="16"/>
      <c r="D176" s="16"/>
      <c r="E176" s="16"/>
      <c r="F176" s="16"/>
      <c r="G176" s="16"/>
      <c r="H176" s="16"/>
      <c r="I176" s="16"/>
      <c r="J176" s="16"/>
      <c r="K176" s="16"/>
      <c r="L176" s="16"/>
      <c r="M176" s="25"/>
      <c r="N176" s="25"/>
      <c r="O176" s="16"/>
      <c r="P176" s="1"/>
      <c r="Q176" s="1"/>
      <c r="R176" s="8"/>
      <c r="S176" s="1"/>
      <c r="T176" s="8"/>
      <c r="U176" s="1"/>
      <c r="V176" s="1"/>
      <c r="W176" s="1"/>
      <c r="X176" s="1"/>
    </row>
    <row r="177" spans="1:24">
      <c r="A177" s="15"/>
      <c r="B177" s="15"/>
      <c r="C177" s="16"/>
      <c r="D177" s="16"/>
      <c r="E177" s="16"/>
      <c r="F177" s="16"/>
      <c r="G177" s="16"/>
      <c r="H177" s="16"/>
      <c r="I177" s="16"/>
      <c r="J177" s="16"/>
      <c r="K177" s="16"/>
      <c r="L177" s="16"/>
      <c r="M177" s="25"/>
      <c r="N177" s="25"/>
      <c r="O177" s="16"/>
      <c r="P177" s="1"/>
      <c r="Q177" s="1"/>
      <c r="R177" s="8"/>
      <c r="S177" s="1"/>
      <c r="T177" s="8"/>
      <c r="U177" s="1"/>
      <c r="V177" s="1"/>
      <c r="W177" s="1"/>
      <c r="X177" s="1"/>
    </row>
    <row r="178" spans="1:24">
      <c r="A178" s="15"/>
      <c r="B178" s="15"/>
      <c r="C178" s="16"/>
      <c r="D178" s="16"/>
      <c r="E178" s="16"/>
      <c r="F178" s="16"/>
      <c r="G178" s="16"/>
      <c r="H178" s="16"/>
      <c r="I178" s="16"/>
      <c r="J178" s="16"/>
      <c r="K178" s="16"/>
      <c r="L178" s="16"/>
      <c r="M178" s="25"/>
      <c r="N178" s="25"/>
      <c r="O178" s="16"/>
      <c r="P178" s="1"/>
      <c r="Q178" s="1"/>
      <c r="R178" s="8"/>
      <c r="S178" s="1"/>
      <c r="T178" s="8"/>
      <c r="U178" s="1"/>
      <c r="V178" s="1"/>
      <c r="W178" s="1"/>
      <c r="X178" s="1"/>
    </row>
    <row r="179" spans="1:24">
      <c r="A179" s="15"/>
      <c r="B179" s="15"/>
      <c r="C179" s="16"/>
      <c r="D179" s="16"/>
      <c r="E179" s="16"/>
      <c r="F179" s="16"/>
      <c r="G179" s="16"/>
      <c r="H179" s="16"/>
      <c r="I179" s="16"/>
      <c r="J179" s="16"/>
      <c r="K179" s="16"/>
      <c r="L179" s="16"/>
      <c r="M179" s="25"/>
      <c r="N179" s="25"/>
      <c r="O179" s="16"/>
      <c r="P179" s="1"/>
      <c r="Q179" s="1"/>
      <c r="R179" s="8"/>
      <c r="S179" s="1"/>
      <c r="T179" s="8"/>
      <c r="U179" s="1"/>
      <c r="V179" s="1"/>
      <c r="W179" s="1"/>
      <c r="X179" s="1"/>
    </row>
    <row r="180" spans="1:24">
      <c r="A180" s="15"/>
      <c r="B180" s="15"/>
      <c r="C180" s="16"/>
      <c r="D180" s="16"/>
      <c r="E180" s="16"/>
      <c r="F180" s="16"/>
      <c r="G180" s="16"/>
      <c r="H180" s="16"/>
      <c r="I180" s="16"/>
      <c r="J180" s="16"/>
      <c r="K180" s="16"/>
      <c r="L180" s="16"/>
      <c r="M180" s="25"/>
      <c r="N180" s="25"/>
      <c r="O180" s="16"/>
      <c r="P180" s="1"/>
      <c r="Q180" s="1"/>
      <c r="R180" s="8"/>
      <c r="S180" s="1"/>
      <c r="T180" s="8"/>
      <c r="U180" s="1"/>
      <c r="V180" s="1"/>
      <c r="W180" s="1"/>
      <c r="X180" s="1"/>
    </row>
    <row r="181" spans="1:24">
      <c r="A181" s="15"/>
      <c r="B181" s="15"/>
      <c r="C181" s="16"/>
      <c r="D181" s="16"/>
      <c r="E181" s="16"/>
      <c r="F181" s="16"/>
      <c r="G181" s="16"/>
      <c r="H181" s="16"/>
      <c r="I181" s="16"/>
      <c r="J181" s="16"/>
      <c r="K181" s="16"/>
      <c r="L181" s="16"/>
      <c r="M181" s="25"/>
      <c r="N181" s="25"/>
      <c r="O181" s="16"/>
      <c r="P181" s="1"/>
      <c r="Q181" s="1"/>
      <c r="R181" s="8"/>
      <c r="S181" s="1"/>
      <c r="T181" s="8"/>
      <c r="U181" s="1"/>
      <c r="V181" s="1"/>
      <c r="W181" s="1"/>
      <c r="X181" s="1"/>
    </row>
    <row r="182" spans="1:24">
      <c r="A182" s="15"/>
      <c r="B182" s="15"/>
      <c r="C182" s="16"/>
      <c r="D182" s="16"/>
      <c r="E182" s="16"/>
      <c r="F182" s="16"/>
      <c r="G182" s="16"/>
      <c r="H182" s="16"/>
      <c r="I182" s="16"/>
      <c r="J182" s="16"/>
      <c r="K182" s="16"/>
      <c r="L182" s="16"/>
      <c r="M182" s="25"/>
      <c r="N182" s="25"/>
      <c r="O182" s="16"/>
      <c r="P182" s="1"/>
      <c r="Q182" s="1"/>
      <c r="R182" s="8"/>
      <c r="S182" s="1"/>
      <c r="T182" s="8"/>
      <c r="U182" s="1"/>
      <c r="V182" s="1"/>
      <c r="W182" s="1"/>
      <c r="X182" s="1"/>
    </row>
    <row r="183" spans="1:24">
      <c r="A183" s="15"/>
      <c r="B183" s="15"/>
      <c r="C183" s="16"/>
      <c r="D183" s="16"/>
      <c r="E183" s="16"/>
      <c r="F183" s="16"/>
      <c r="G183" s="16"/>
      <c r="H183" s="16"/>
      <c r="I183" s="16"/>
      <c r="J183" s="16"/>
      <c r="K183" s="16"/>
      <c r="L183" s="16"/>
      <c r="M183" s="25"/>
      <c r="N183" s="25"/>
      <c r="O183" s="16"/>
      <c r="P183" s="1"/>
      <c r="Q183" s="1"/>
      <c r="R183" s="8"/>
      <c r="S183" s="1"/>
      <c r="T183" s="8"/>
      <c r="U183" s="1"/>
      <c r="V183" s="1"/>
      <c r="W183" s="1"/>
      <c r="X183" s="1"/>
    </row>
    <row r="184" spans="1:24">
      <c r="A184" s="15"/>
      <c r="B184" s="15"/>
      <c r="C184" s="16"/>
      <c r="D184" s="16"/>
      <c r="E184" s="16"/>
      <c r="F184" s="16"/>
      <c r="G184" s="16"/>
      <c r="H184" s="16"/>
      <c r="I184" s="16"/>
      <c r="J184" s="16"/>
      <c r="K184" s="16"/>
      <c r="L184" s="16"/>
      <c r="M184" s="25"/>
      <c r="N184" s="25"/>
      <c r="O184" s="16"/>
      <c r="P184" s="1"/>
      <c r="Q184" s="1"/>
      <c r="R184" s="8"/>
      <c r="S184" s="1"/>
      <c r="T184" s="8"/>
      <c r="U184" s="1"/>
      <c r="V184" s="1"/>
      <c r="W184" s="1"/>
      <c r="X184" s="1"/>
    </row>
    <row r="185" spans="1:24">
      <c r="A185" s="15"/>
      <c r="B185" s="15"/>
      <c r="C185" s="16"/>
      <c r="D185" s="16"/>
      <c r="E185" s="16"/>
      <c r="F185" s="16"/>
      <c r="G185" s="16"/>
      <c r="H185" s="16"/>
      <c r="I185" s="16"/>
      <c r="J185" s="16"/>
      <c r="K185" s="16"/>
      <c r="L185" s="16"/>
      <c r="M185" s="25"/>
      <c r="N185" s="25"/>
      <c r="O185" s="16"/>
      <c r="P185" s="1"/>
      <c r="Q185" s="1"/>
      <c r="R185" s="8"/>
      <c r="S185" s="1"/>
      <c r="T185" s="8"/>
      <c r="U185" s="1"/>
      <c r="V185" s="1"/>
      <c r="W185" s="1"/>
      <c r="X185" s="1"/>
    </row>
    <row r="186" spans="1:24">
      <c r="A186" s="15"/>
      <c r="B186" s="15"/>
      <c r="C186" s="16"/>
      <c r="D186" s="16"/>
      <c r="E186" s="16"/>
      <c r="F186" s="16"/>
      <c r="G186" s="16"/>
      <c r="H186" s="16"/>
      <c r="I186" s="16"/>
      <c r="J186" s="16"/>
      <c r="K186" s="16"/>
      <c r="L186" s="16"/>
      <c r="M186" s="25"/>
      <c r="N186" s="25"/>
      <c r="O186" s="16"/>
      <c r="P186" s="1"/>
      <c r="Q186" s="1"/>
      <c r="R186" s="8"/>
      <c r="S186" s="1"/>
      <c r="T186" s="8"/>
      <c r="U186" s="1"/>
      <c r="V186" s="1"/>
      <c r="W186" s="1"/>
      <c r="X186" s="1"/>
    </row>
    <row r="187" spans="1:24">
      <c r="A187" s="15"/>
      <c r="B187" s="15"/>
      <c r="C187" s="16"/>
      <c r="D187" s="16"/>
      <c r="E187" s="16"/>
      <c r="F187" s="16"/>
      <c r="G187" s="16"/>
      <c r="H187" s="16"/>
      <c r="I187" s="16"/>
      <c r="J187" s="16"/>
      <c r="K187" s="16"/>
      <c r="L187" s="16"/>
      <c r="M187" s="25"/>
      <c r="N187" s="25"/>
      <c r="O187" s="16"/>
      <c r="P187" s="1"/>
      <c r="Q187" s="1"/>
      <c r="R187" s="8"/>
      <c r="S187" s="1"/>
      <c r="T187" s="8"/>
      <c r="U187" s="1"/>
      <c r="V187" s="1"/>
      <c r="W187" s="1"/>
      <c r="X187" s="1"/>
    </row>
    <row r="188" spans="1:24">
      <c r="A188" s="15"/>
      <c r="B188" s="15"/>
      <c r="C188" s="16"/>
      <c r="D188" s="16"/>
      <c r="E188" s="16"/>
      <c r="F188" s="16"/>
      <c r="G188" s="16"/>
      <c r="H188" s="16"/>
      <c r="I188" s="16"/>
      <c r="J188" s="16"/>
      <c r="K188" s="16"/>
      <c r="L188" s="16"/>
      <c r="M188" s="25"/>
      <c r="N188" s="25"/>
      <c r="O188" s="16"/>
      <c r="P188" s="1"/>
      <c r="Q188" s="1"/>
      <c r="R188" s="8"/>
      <c r="S188" s="1"/>
      <c r="T188" s="8"/>
      <c r="U188" s="1"/>
      <c r="V188" s="1"/>
      <c r="W188" s="1"/>
      <c r="X188" s="1"/>
    </row>
    <row r="189" spans="1:24">
      <c r="A189" s="15"/>
      <c r="B189" s="15"/>
      <c r="C189" s="16"/>
      <c r="D189" s="16"/>
      <c r="E189" s="16"/>
      <c r="F189" s="16"/>
      <c r="G189" s="16"/>
      <c r="H189" s="16"/>
      <c r="I189" s="16"/>
      <c r="J189" s="16"/>
      <c r="K189" s="16"/>
      <c r="L189" s="16"/>
      <c r="M189" s="25"/>
      <c r="N189" s="25"/>
      <c r="O189" s="16"/>
      <c r="P189" s="1"/>
      <c r="Q189" s="1"/>
      <c r="R189" s="8"/>
      <c r="S189" s="1"/>
      <c r="T189" s="8"/>
      <c r="U189" s="1"/>
      <c r="V189" s="1"/>
      <c r="W189" s="1"/>
      <c r="X189" s="1"/>
    </row>
    <row r="190" spans="1:24">
      <c r="A190" s="15"/>
      <c r="B190" s="15"/>
      <c r="C190" s="16"/>
      <c r="D190" s="16"/>
      <c r="E190" s="16"/>
      <c r="F190" s="16"/>
      <c r="G190" s="16"/>
      <c r="H190" s="16"/>
      <c r="I190" s="16"/>
      <c r="J190" s="16"/>
      <c r="K190" s="16"/>
      <c r="L190" s="16"/>
      <c r="M190" s="25"/>
      <c r="N190" s="25"/>
      <c r="O190" s="16"/>
      <c r="P190" s="1"/>
      <c r="Q190" s="1"/>
      <c r="R190" s="8"/>
      <c r="S190" s="1"/>
      <c r="T190" s="8"/>
      <c r="U190" s="1"/>
      <c r="V190" s="1"/>
      <c r="W190" s="1"/>
      <c r="X190" s="1"/>
    </row>
    <row r="191" spans="1:24">
      <c r="A191" s="15"/>
      <c r="B191" s="15"/>
      <c r="C191" s="16"/>
      <c r="D191" s="16"/>
      <c r="E191" s="16"/>
      <c r="F191" s="16"/>
      <c r="G191" s="16"/>
      <c r="H191" s="16"/>
      <c r="I191" s="16"/>
      <c r="J191" s="16"/>
      <c r="K191" s="16"/>
      <c r="L191" s="16"/>
      <c r="M191" s="25"/>
      <c r="N191" s="25"/>
      <c r="O191" s="16"/>
      <c r="P191" s="1"/>
      <c r="Q191" s="1"/>
      <c r="R191" s="8"/>
      <c r="S191" s="1"/>
      <c r="T191" s="8"/>
      <c r="U191" s="1"/>
      <c r="V191" s="1"/>
      <c r="W191" s="1"/>
      <c r="X191" s="1"/>
    </row>
    <row r="192" spans="1:24">
      <c r="A192" s="15"/>
      <c r="B192" s="15"/>
      <c r="C192" s="16"/>
      <c r="D192" s="16"/>
      <c r="E192" s="16"/>
      <c r="F192" s="16"/>
      <c r="G192" s="16"/>
      <c r="H192" s="16"/>
      <c r="I192" s="16"/>
      <c r="J192" s="16"/>
      <c r="K192" s="16"/>
      <c r="L192" s="16"/>
      <c r="M192" s="25"/>
      <c r="N192" s="25"/>
      <c r="O192" s="16"/>
      <c r="P192" s="1"/>
      <c r="Q192" s="1"/>
      <c r="R192" s="8"/>
      <c r="S192" s="1"/>
      <c r="T192" s="8"/>
      <c r="U192" s="1"/>
      <c r="V192" s="1"/>
      <c r="W192" s="1"/>
      <c r="X192" s="1"/>
    </row>
    <row r="193" spans="1:24">
      <c r="A193" s="15"/>
      <c r="B193" s="15"/>
      <c r="C193" s="16"/>
      <c r="D193" s="16"/>
      <c r="E193" s="16"/>
      <c r="F193" s="16"/>
      <c r="G193" s="16"/>
      <c r="H193" s="16"/>
      <c r="I193" s="16"/>
      <c r="J193" s="16"/>
      <c r="K193" s="16"/>
      <c r="L193" s="16"/>
      <c r="M193" s="25"/>
      <c r="N193" s="25"/>
      <c r="O193" s="16"/>
      <c r="P193" s="1"/>
      <c r="Q193" s="1"/>
      <c r="R193" s="8"/>
      <c r="S193" s="1"/>
      <c r="T193" s="8"/>
      <c r="U193" s="1"/>
      <c r="V193" s="1"/>
      <c r="W193" s="1"/>
      <c r="X193" s="1"/>
    </row>
    <row r="194" spans="1:24">
      <c r="A194" s="15"/>
      <c r="B194" s="15"/>
      <c r="C194" s="16"/>
      <c r="D194" s="16"/>
      <c r="E194" s="16"/>
      <c r="F194" s="16"/>
      <c r="G194" s="16"/>
      <c r="H194" s="16"/>
      <c r="I194" s="16"/>
      <c r="J194" s="16"/>
      <c r="K194" s="16"/>
      <c r="L194" s="16"/>
      <c r="M194" s="25"/>
      <c r="N194" s="25"/>
      <c r="O194" s="16"/>
      <c r="P194" s="1"/>
      <c r="Q194" s="1"/>
      <c r="R194" s="8"/>
      <c r="S194" s="1"/>
      <c r="T194" s="8"/>
      <c r="U194" s="1"/>
      <c r="V194" s="1"/>
      <c r="W194" s="1"/>
      <c r="X194" s="1"/>
    </row>
    <row r="195" spans="1:24">
      <c r="A195" s="15"/>
      <c r="B195" s="15"/>
      <c r="C195" s="16"/>
      <c r="D195" s="16"/>
      <c r="E195" s="16"/>
      <c r="F195" s="16"/>
      <c r="G195" s="16"/>
      <c r="H195" s="16"/>
      <c r="I195" s="16"/>
      <c r="J195" s="16"/>
      <c r="K195" s="16"/>
      <c r="L195" s="16"/>
      <c r="M195" s="25"/>
      <c r="N195" s="25"/>
      <c r="O195" s="16"/>
      <c r="P195" s="1"/>
      <c r="Q195" s="1"/>
      <c r="R195" s="8"/>
      <c r="S195" s="1"/>
      <c r="T195" s="8"/>
      <c r="U195" s="1"/>
      <c r="V195" s="1"/>
      <c r="W195" s="1"/>
      <c r="X195" s="1"/>
    </row>
    <row r="196" spans="1:24">
      <c r="A196" s="15"/>
      <c r="B196" s="15"/>
      <c r="C196" s="16"/>
      <c r="D196" s="16"/>
      <c r="E196" s="16"/>
      <c r="F196" s="16"/>
      <c r="G196" s="16"/>
      <c r="H196" s="16"/>
      <c r="I196" s="16"/>
      <c r="J196" s="16"/>
      <c r="K196" s="16"/>
      <c r="L196" s="16"/>
      <c r="M196" s="25"/>
      <c r="N196" s="25"/>
      <c r="O196" s="16"/>
      <c r="P196" s="1"/>
      <c r="Q196" s="1"/>
      <c r="R196" s="8"/>
      <c r="S196" s="1"/>
      <c r="T196" s="8"/>
      <c r="U196" s="1"/>
      <c r="V196" s="1"/>
      <c r="W196" s="1"/>
      <c r="X196" s="1"/>
    </row>
    <row r="197" spans="1:24">
      <c r="A197" s="15"/>
      <c r="B197" s="15"/>
      <c r="C197" s="16"/>
      <c r="D197" s="16"/>
      <c r="E197" s="16"/>
      <c r="F197" s="16"/>
      <c r="G197" s="16"/>
      <c r="H197" s="16"/>
      <c r="I197" s="16"/>
      <c r="J197" s="16"/>
      <c r="K197" s="16"/>
      <c r="L197" s="16"/>
      <c r="M197" s="25"/>
      <c r="N197" s="25"/>
      <c r="O197" s="16"/>
      <c r="P197" s="1"/>
      <c r="Q197" s="1"/>
      <c r="R197" s="8"/>
      <c r="S197" s="1"/>
      <c r="T197" s="8"/>
      <c r="U197" s="1"/>
      <c r="V197" s="1"/>
      <c r="W197" s="1"/>
      <c r="X197" s="1"/>
    </row>
    <row r="198" spans="1:24">
      <c r="A198" s="15"/>
      <c r="B198" s="15"/>
      <c r="C198" s="16"/>
      <c r="D198" s="16"/>
      <c r="E198" s="16"/>
      <c r="F198" s="16"/>
      <c r="G198" s="16"/>
      <c r="H198" s="16"/>
      <c r="I198" s="16"/>
      <c r="J198" s="16"/>
      <c r="K198" s="16"/>
      <c r="L198" s="16"/>
      <c r="M198" s="25"/>
      <c r="N198" s="25"/>
      <c r="O198" s="16"/>
      <c r="P198" s="1"/>
      <c r="Q198" s="1"/>
      <c r="R198" s="8"/>
      <c r="S198" s="1"/>
      <c r="T198" s="8"/>
      <c r="U198" s="1"/>
      <c r="V198" s="1"/>
      <c r="W198" s="1"/>
      <c r="X198" s="1"/>
    </row>
    <row r="199" spans="1:24">
      <c r="A199" s="15"/>
      <c r="B199" s="15"/>
      <c r="C199" s="16"/>
      <c r="D199" s="16"/>
      <c r="E199" s="16"/>
      <c r="F199" s="16"/>
      <c r="G199" s="16"/>
      <c r="H199" s="16"/>
      <c r="I199" s="16"/>
      <c r="J199" s="16"/>
      <c r="K199" s="16"/>
      <c r="L199" s="16"/>
      <c r="M199" s="25"/>
      <c r="N199" s="25"/>
      <c r="O199" s="16"/>
      <c r="P199" s="1"/>
      <c r="Q199" s="1"/>
      <c r="R199" s="8"/>
      <c r="S199" s="1"/>
      <c r="T199" s="8"/>
      <c r="U199" s="1"/>
      <c r="V199" s="1"/>
      <c r="W199" s="1"/>
      <c r="X199" s="1"/>
    </row>
    <row r="200" spans="1:24">
      <c r="A200" s="15"/>
      <c r="B200" s="15"/>
      <c r="C200" s="16"/>
      <c r="D200" s="16"/>
      <c r="E200" s="16"/>
      <c r="F200" s="16"/>
      <c r="G200" s="16"/>
      <c r="H200" s="16"/>
      <c r="I200" s="16"/>
      <c r="J200" s="16"/>
      <c r="K200" s="16"/>
      <c r="L200" s="16"/>
      <c r="M200" s="25"/>
      <c r="N200" s="25"/>
      <c r="O200" s="16"/>
      <c r="P200" s="1"/>
      <c r="Q200" s="1"/>
      <c r="R200" s="8"/>
      <c r="S200" s="1"/>
      <c r="T200" s="8"/>
      <c r="U200" s="1"/>
      <c r="V200" s="1"/>
      <c r="W200" s="1"/>
      <c r="X200" s="1"/>
    </row>
    <row r="201" spans="1:24">
      <c r="A201" s="15"/>
      <c r="B201" s="15"/>
      <c r="C201" s="16"/>
      <c r="D201" s="16"/>
      <c r="E201" s="16"/>
      <c r="F201" s="16"/>
      <c r="G201" s="16"/>
      <c r="H201" s="16"/>
      <c r="I201" s="16"/>
      <c r="J201" s="16"/>
      <c r="K201" s="16"/>
      <c r="L201" s="16"/>
      <c r="M201" s="25"/>
      <c r="N201" s="25"/>
      <c r="O201" s="16"/>
      <c r="P201" s="1"/>
      <c r="Q201" s="1"/>
      <c r="R201" s="8"/>
      <c r="S201" s="1"/>
      <c r="T201" s="8"/>
      <c r="U201" s="1"/>
      <c r="V201" s="1"/>
      <c r="W201" s="1"/>
      <c r="X201" s="1"/>
    </row>
    <row r="202" spans="1:24">
      <c r="A202" s="15"/>
      <c r="B202" s="15"/>
      <c r="C202" s="16"/>
      <c r="D202" s="16"/>
      <c r="E202" s="16"/>
      <c r="F202" s="16"/>
      <c r="G202" s="16"/>
      <c r="H202" s="16"/>
      <c r="I202" s="16"/>
      <c r="J202" s="16"/>
      <c r="K202" s="16"/>
      <c r="L202" s="16"/>
      <c r="M202" s="25"/>
      <c r="N202" s="25"/>
      <c r="O202" s="16"/>
      <c r="P202" s="1"/>
      <c r="Q202" s="1"/>
      <c r="R202" s="8"/>
      <c r="S202" s="1"/>
      <c r="T202" s="8"/>
      <c r="U202" s="1"/>
      <c r="V202" s="1"/>
      <c r="W202" s="1"/>
      <c r="X202" s="1"/>
    </row>
    <row r="203" spans="1:24">
      <c r="A203" s="15"/>
      <c r="B203" s="15"/>
      <c r="C203" s="16"/>
      <c r="D203" s="16"/>
      <c r="E203" s="16"/>
      <c r="F203" s="16"/>
      <c r="G203" s="16"/>
      <c r="H203" s="16"/>
      <c r="I203" s="16"/>
      <c r="J203" s="16"/>
      <c r="K203" s="16"/>
      <c r="L203" s="16"/>
      <c r="M203" s="25"/>
      <c r="N203" s="25"/>
      <c r="O203" s="16"/>
      <c r="P203" s="1"/>
      <c r="Q203" s="1"/>
      <c r="R203" s="8"/>
      <c r="S203" s="1"/>
      <c r="T203" s="8"/>
      <c r="U203" s="1"/>
      <c r="V203" s="1"/>
      <c r="W203" s="1"/>
      <c r="X203" s="1"/>
    </row>
    <row r="204" spans="1:24">
      <c r="A204" s="15"/>
      <c r="B204" s="15"/>
      <c r="C204" s="16"/>
      <c r="D204" s="16"/>
      <c r="E204" s="16"/>
      <c r="F204" s="16"/>
      <c r="G204" s="16"/>
      <c r="H204" s="16"/>
      <c r="I204" s="16"/>
      <c r="J204" s="16"/>
      <c r="K204" s="16"/>
      <c r="L204" s="16"/>
      <c r="M204" s="25"/>
      <c r="N204" s="25"/>
      <c r="O204" s="16"/>
      <c r="P204" s="1"/>
      <c r="Q204" s="1"/>
      <c r="R204" s="8"/>
      <c r="S204" s="1"/>
      <c r="T204" s="8"/>
      <c r="U204" s="1"/>
      <c r="V204" s="1"/>
      <c r="W204" s="1"/>
      <c r="X204" s="1"/>
    </row>
    <row r="205" spans="1:24">
      <c r="A205" s="15"/>
      <c r="B205" s="15"/>
      <c r="C205" s="16"/>
      <c r="D205" s="16"/>
      <c r="E205" s="16"/>
      <c r="F205" s="16"/>
      <c r="G205" s="16"/>
      <c r="H205" s="16"/>
      <c r="I205" s="16"/>
      <c r="J205" s="16"/>
      <c r="K205" s="16"/>
      <c r="L205" s="16"/>
      <c r="M205" s="25"/>
      <c r="N205" s="25"/>
      <c r="O205" s="16"/>
      <c r="P205" s="1"/>
      <c r="Q205" s="1"/>
      <c r="R205" s="8"/>
      <c r="S205" s="1"/>
      <c r="T205" s="8"/>
      <c r="U205" s="1"/>
      <c r="V205" s="1"/>
      <c r="W205" s="1"/>
      <c r="X205" s="1"/>
    </row>
    <row r="206" spans="1:24">
      <c r="A206" s="15"/>
      <c r="B206" s="15"/>
      <c r="C206" s="16"/>
      <c r="D206" s="16"/>
      <c r="E206" s="16"/>
      <c r="F206" s="16"/>
      <c r="G206" s="16"/>
      <c r="H206" s="16"/>
      <c r="I206" s="16"/>
      <c r="J206" s="16"/>
      <c r="K206" s="16"/>
      <c r="L206" s="16"/>
      <c r="M206" s="25"/>
      <c r="N206" s="25"/>
      <c r="O206" s="16"/>
      <c r="P206" s="1"/>
      <c r="Q206" s="1"/>
      <c r="R206" s="8"/>
      <c r="S206" s="1"/>
      <c r="T206" s="8"/>
      <c r="U206" s="1"/>
      <c r="V206" s="1"/>
      <c r="W206" s="1"/>
      <c r="X206" s="1"/>
    </row>
    <row r="207" spans="1:24">
      <c r="A207" s="15"/>
      <c r="B207" s="15"/>
      <c r="C207" s="16"/>
      <c r="D207" s="16"/>
      <c r="E207" s="16"/>
      <c r="F207" s="16"/>
      <c r="G207" s="16"/>
      <c r="H207" s="16"/>
      <c r="I207" s="16"/>
      <c r="J207" s="16"/>
      <c r="K207" s="16"/>
      <c r="L207" s="16"/>
      <c r="M207" s="25"/>
      <c r="N207" s="25"/>
      <c r="O207" s="16"/>
      <c r="P207" s="1"/>
      <c r="Q207" s="1"/>
      <c r="R207" s="8"/>
      <c r="S207" s="1"/>
      <c r="T207" s="8"/>
      <c r="U207" s="1"/>
      <c r="V207" s="1"/>
      <c r="W207" s="1"/>
      <c r="X207" s="1"/>
    </row>
    <row r="208" spans="1:24">
      <c r="A208" s="15"/>
      <c r="B208" s="15"/>
      <c r="C208" s="16"/>
      <c r="D208" s="16"/>
      <c r="E208" s="16"/>
      <c r="F208" s="16"/>
      <c r="G208" s="16"/>
      <c r="H208" s="16"/>
      <c r="I208" s="16"/>
      <c r="J208" s="16"/>
      <c r="K208" s="16"/>
      <c r="L208" s="16"/>
      <c r="M208" s="25"/>
      <c r="N208" s="25"/>
      <c r="O208" s="16"/>
      <c r="P208" s="1"/>
      <c r="Q208" s="1"/>
      <c r="R208" s="8"/>
      <c r="S208" s="1"/>
      <c r="T208" s="8"/>
      <c r="U208" s="1"/>
      <c r="V208" s="1"/>
      <c r="W208" s="1"/>
      <c r="X208" s="1"/>
    </row>
    <row r="209" spans="1:24">
      <c r="A209" s="15"/>
      <c r="B209" s="15"/>
      <c r="C209" s="16"/>
      <c r="D209" s="16"/>
      <c r="E209" s="16"/>
      <c r="F209" s="16"/>
      <c r="G209" s="16"/>
      <c r="H209" s="16"/>
      <c r="I209" s="16"/>
      <c r="J209" s="16"/>
      <c r="K209" s="16"/>
      <c r="L209" s="16"/>
      <c r="M209" s="25"/>
      <c r="N209" s="25"/>
      <c r="O209" s="16"/>
      <c r="P209" s="1"/>
      <c r="Q209" s="1"/>
      <c r="R209" s="8"/>
      <c r="S209" s="1"/>
      <c r="T209" s="8"/>
      <c r="U209" s="1"/>
      <c r="V209" s="1"/>
      <c r="W209" s="1"/>
      <c r="X209" s="1"/>
    </row>
    <row r="210" spans="1:24">
      <c r="A210" s="15"/>
      <c r="B210" s="15"/>
      <c r="C210" s="16"/>
      <c r="D210" s="16"/>
      <c r="E210" s="16"/>
      <c r="F210" s="16"/>
      <c r="G210" s="16"/>
      <c r="H210" s="16"/>
      <c r="I210" s="16"/>
      <c r="J210" s="16"/>
      <c r="K210" s="16"/>
      <c r="L210" s="16"/>
      <c r="M210" s="25"/>
      <c r="N210" s="25"/>
      <c r="O210" s="16"/>
      <c r="P210" s="1"/>
      <c r="Q210" s="1"/>
      <c r="R210" s="8"/>
      <c r="S210" s="1"/>
      <c r="T210" s="8"/>
      <c r="U210" s="1"/>
      <c r="V210" s="1"/>
      <c r="W210" s="1"/>
      <c r="X210" s="1"/>
    </row>
    <row r="211" spans="1:24">
      <c r="A211" s="15"/>
      <c r="B211" s="15"/>
      <c r="C211" s="16"/>
      <c r="D211" s="16"/>
      <c r="E211" s="16"/>
      <c r="F211" s="16"/>
      <c r="G211" s="16"/>
      <c r="H211" s="16"/>
      <c r="I211" s="16"/>
      <c r="J211" s="16"/>
      <c r="K211" s="16"/>
      <c r="L211" s="16"/>
      <c r="M211" s="25"/>
      <c r="N211" s="25"/>
      <c r="O211" s="16"/>
      <c r="P211" s="1"/>
      <c r="Q211" s="1"/>
      <c r="R211" s="8"/>
      <c r="S211" s="1"/>
      <c r="T211" s="8"/>
      <c r="U211" s="1"/>
      <c r="V211" s="1"/>
      <c r="W211" s="1"/>
      <c r="X211" s="1"/>
    </row>
    <row r="212" spans="1:24">
      <c r="A212" s="15"/>
      <c r="B212" s="15"/>
      <c r="C212" s="16"/>
      <c r="D212" s="16"/>
      <c r="E212" s="16"/>
      <c r="F212" s="16"/>
      <c r="G212" s="16"/>
      <c r="H212" s="16"/>
      <c r="I212" s="16"/>
      <c r="J212" s="16"/>
      <c r="K212" s="16"/>
      <c r="L212" s="16"/>
      <c r="M212" s="25"/>
      <c r="N212" s="25"/>
      <c r="O212" s="16"/>
      <c r="P212" s="1"/>
      <c r="Q212" s="1"/>
      <c r="R212" s="8"/>
      <c r="S212" s="1"/>
      <c r="T212" s="8"/>
      <c r="U212" s="1"/>
      <c r="V212" s="1"/>
      <c r="W212" s="1"/>
      <c r="X212" s="1"/>
    </row>
    <row r="213" spans="1:24">
      <c r="A213" s="15"/>
      <c r="B213" s="15"/>
      <c r="C213" s="16"/>
      <c r="D213" s="16"/>
      <c r="E213" s="16"/>
      <c r="F213" s="16"/>
      <c r="G213" s="16"/>
      <c r="H213" s="16"/>
      <c r="I213" s="16"/>
      <c r="J213" s="16"/>
      <c r="K213" s="16"/>
      <c r="L213" s="16"/>
      <c r="M213" s="25"/>
      <c r="N213" s="25"/>
      <c r="O213" s="16"/>
      <c r="P213" s="1"/>
      <c r="Q213" s="1"/>
      <c r="R213" s="8"/>
      <c r="S213" s="1"/>
      <c r="T213" s="8"/>
      <c r="U213" s="1"/>
      <c r="V213" s="1"/>
      <c r="W213" s="1"/>
      <c r="X213" s="1"/>
    </row>
    <row r="214" spans="1:24">
      <c r="A214" s="15"/>
      <c r="B214" s="15"/>
      <c r="C214" s="16"/>
      <c r="D214" s="16"/>
      <c r="E214" s="16"/>
      <c r="F214" s="16"/>
      <c r="G214" s="16"/>
      <c r="H214" s="16"/>
      <c r="I214" s="16"/>
      <c r="J214" s="16"/>
      <c r="K214" s="16"/>
      <c r="L214" s="16"/>
      <c r="M214" s="25"/>
      <c r="N214" s="25"/>
      <c r="O214" s="16"/>
      <c r="P214" s="1"/>
      <c r="Q214" s="1"/>
      <c r="R214" s="8"/>
      <c r="S214" s="1"/>
      <c r="T214" s="8"/>
      <c r="U214" s="1"/>
      <c r="V214" s="1"/>
      <c r="W214" s="1"/>
      <c r="X214" s="1"/>
    </row>
    <row r="215" spans="1:24">
      <c r="A215" s="15"/>
      <c r="B215" s="15"/>
      <c r="C215" s="16"/>
      <c r="D215" s="16"/>
      <c r="E215" s="16"/>
      <c r="F215" s="16"/>
      <c r="G215" s="16"/>
      <c r="H215" s="16"/>
      <c r="I215" s="16"/>
      <c r="J215" s="16"/>
      <c r="K215" s="16"/>
      <c r="L215" s="16"/>
      <c r="M215" s="25"/>
      <c r="N215" s="25"/>
      <c r="O215" s="16"/>
      <c r="P215" s="1"/>
      <c r="Q215" s="1"/>
      <c r="R215" s="8"/>
      <c r="S215" s="1"/>
      <c r="T215" s="8"/>
      <c r="U215" s="1"/>
      <c r="V215" s="1"/>
      <c r="W215" s="1"/>
      <c r="X215" s="1"/>
    </row>
    <row r="216" spans="1:24">
      <c r="A216" s="15"/>
      <c r="B216" s="15"/>
      <c r="C216" s="16"/>
      <c r="D216" s="16"/>
      <c r="E216" s="16"/>
      <c r="F216" s="16"/>
      <c r="G216" s="16"/>
      <c r="H216" s="16"/>
      <c r="I216" s="16"/>
      <c r="J216" s="16"/>
      <c r="K216" s="16"/>
      <c r="L216" s="16"/>
      <c r="M216" s="25"/>
      <c r="N216" s="25"/>
      <c r="O216" s="16"/>
      <c r="P216" s="1"/>
      <c r="Q216" s="1"/>
      <c r="R216" s="8"/>
      <c r="S216" s="1"/>
      <c r="T216" s="8"/>
      <c r="U216" s="1"/>
      <c r="V216" s="1"/>
      <c r="W216" s="1"/>
      <c r="X216" s="1"/>
    </row>
    <row r="217" spans="1:24">
      <c r="A217" s="15"/>
      <c r="B217" s="15"/>
      <c r="C217" s="16"/>
      <c r="D217" s="16"/>
      <c r="E217" s="16"/>
      <c r="F217" s="16"/>
      <c r="G217" s="16"/>
      <c r="H217" s="16"/>
      <c r="I217" s="16"/>
      <c r="J217" s="16"/>
      <c r="K217" s="16"/>
      <c r="L217" s="16"/>
      <c r="M217" s="25"/>
      <c r="N217" s="25"/>
      <c r="O217" s="16"/>
      <c r="P217" s="1"/>
      <c r="Q217" s="1"/>
      <c r="R217" s="8"/>
      <c r="S217" s="1"/>
      <c r="T217" s="8"/>
      <c r="U217" s="1"/>
      <c r="V217" s="1"/>
      <c r="W217" s="1"/>
      <c r="X217" s="1"/>
    </row>
    <row r="218" spans="1:24">
      <c r="A218" s="15"/>
      <c r="B218" s="15"/>
      <c r="C218" s="16"/>
      <c r="D218" s="16"/>
      <c r="E218" s="16"/>
      <c r="F218" s="16"/>
      <c r="G218" s="16"/>
      <c r="H218" s="16"/>
      <c r="I218" s="16"/>
      <c r="J218" s="16"/>
      <c r="K218" s="16"/>
      <c r="L218" s="16"/>
      <c r="M218" s="25"/>
      <c r="N218" s="25"/>
      <c r="O218" s="16"/>
      <c r="P218" s="1"/>
      <c r="Q218" s="1"/>
      <c r="R218" s="8"/>
      <c r="S218" s="1"/>
      <c r="T218" s="8"/>
      <c r="U218" s="1"/>
      <c r="V218" s="1"/>
      <c r="W218" s="1"/>
      <c r="X218" s="1"/>
    </row>
    <row r="219" spans="1:24">
      <c r="A219" s="15"/>
      <c r="B219" s="15"/>
      <c r="C219" s="16"/>
      <c r="D219" s="16"/>
      <c r="E219" s="16"/>
      <c r="F219" s="16"/>
      <c r="G219" s="16"/>
      <c r="H219" s="16"/>
      <c r="I219" s="16"/>
      <c r="J219" s="16"/>
      <c r="K219" s="16"/>
      <c r="L219" s="16"/>
      <c r="M219" s="25"/>
      <c r="N219" s="25"/>
      <c r="O219" s="16"/>
      <c r="P219" s="1"/>
      <c r="Q219" s="1"/>
      <c r="R219" s="8"/>
      <c r="S219" s="1"/>
      <c r="T219" s="8"/>
      <c r="U219" s="1"/>
      <c r="V219" s="1"/>
      <c r="W219" s="1"/>
      <c r="X219" s="1"/>
    </row>
    <row r="220" spans="1:24">
      <c r="A220" s="15"/>
      <c r="B220" s="15"/>
      <c r="C220" s="16"/>
      <c r="D220" s="16"/>
      <c r="E220" s="16"/>
      <c r="F220" s="16"/>
      <c r="G220" s="16"/>
      <c r="H220" s="16"/>
      <c r="I220" s="16"/>
      <c r="J220" s="16"/>
      <c r="K220" s="16"/>
      <c r="L220" s="16"/>
      <c r="M220" s="25"/>
      <c r="N220" s="25"/>
      <c r="O220" s="16"/>
      <c r="P220" s="1"/>
      <c r="Q220" s="1"/>
      <c r="R220" s="8"/>
      <c r="S220" s="1"/>
      <c r="T220" s="8"/>
      <c r="U220" s="1"/>
      <c r="V220" s="1"/>
      <c r="W220" s="1"/>
      <c r="X220" s="1"/>
    </row>
    <row r="221" spans="1:24">
      <c r="A221" s="15"/>
      <c r="B221" s="15"/>
      <c r="C221" s="16"/>
      <c r="D221" s="16"/>
      <c r="E221" s="16"/>
      <c r="F221" s="16"/>
      <c r="G221" s="16"/>
      <c r="H221" s="16"/>
      <c r="I221" s="16"/>
      <c r="J221" s="16"/>
      <c r="K221" s="16"/>
      <c r="L221" s="16"/>
      <c r="M221" s="25"/>
      <c r="N221" s="25"/>
      <c r="O221" s="16"/>
      <c r="P221" s="1"/>
      <c r="Q221" s="1"/>
      <c r="R221" s="8"/>
      <c r="S221" s="1"/>
      <c r="T221" s="8"/>
      <c r="U221" s="1"/>
      <c r="V221" s="1"/>
      <c r="W221" s="1"/>
      <c r="X221" s="1"/>
    </row>
    <row r="222" spans="1:24">
      <c r="A222" s="15"/>
      <c r="B222" s="15"/>
      <c r="C222" s="16"/>
      <c r="D222" s="16"/>
      <c r="E222" s="16"/>
      <c r="F222" s="16"/>
      <c r="G222" s="16"/>
      <c r="H222" s="16"/>
      <c r="I222" s="16"/>
      <c r="J222" s="16"/>
      <c r="K222" s="16"/>
      <c r="L222" s="16"/>
      <c r="M222" s="25"/>
      <c r="N222" s="25"/>
      <c r="O222" s="16"/>
      <c r="P222" s="1"/>
      <c r="Q222" s="1"/>
      <c r="R222" s="8"/>
      <c r="S222" s="1"/>
      <c r="T222" s="8"/>
      <c r="U222" s="1"/>
      <c r="V222" s="1"/>
      <c r="W222" s="1"/>
      <c r="X222" s="1"/>
    </row>
    <row r="223" spans="1:24">
      <c r="A223" s="15"/>
      <c r="B223" s="15"/>
      <c r="C223" s="16"/>
      <c r="D223" s="16"/>
      <c r="E223" s="16"/>
      <c r="F223" s="16"/>
      <c r="G223" s="16"/>
      <c r="H223" s="16"/>
      <c r="I223" s="16"/>
      <c r="J223" s="16"/>
      <c r="K223" s="16"/>
      <c r="L223" s="16"/>
      <c r="M223" s="25"/>
      <c r="N223" s="25"/>
      <c r="O223" s="16"/>
      <c r="P223" s="1"/>
      <c r="Q223" s="1"/>
      <c r="R223" s="8"/>
      <c r="S223" s="1"/>
      <c r="T223" s="8"/>
      <c r="U223" s="1"/>
      <c r="V223" s="1"/>
      <c r="W223" s="1"/>
      <c r="X223" s="1"/>
    </row>
    <row r="224" spans="1:24">
      <c r="A224" s="15"/>
      <c r="B224" s="15"/>
      <c r="C224" s="16"/>
      <c r="D224" s="16"/>
      <c r="E224" s="16"/>
      <c r="F224" s="16"/>
      <c r="G224" s="16"/>
      <c r="H224" s="16"/>
      <c r="I224" s="16"/>
      <c r="J224" s="16"/>
      <c r="K224" s="16"/>
      <c r="L224" s="16"/>
      <c r="M224" s="25"/>
      <c r="N224" s="25"/>
      <c r="O224" s="16"/>
      <c r="P224" s="1"/>
      <c r="Q224" s="1"/>
      <c r="R224" s="8"/>
      <c r="S224" s="1"/>
      <c r="T224" s="8"/>
      <c r="U224" s="1"/>
      <c r="V224" s="1"/>
      <c r="W224" s="1"/>
      <c r="X224" s="1"/>
    </row>
    <row r="225" spans="1:24">
      <c r="A225" s="15"/>
      <c r="B225" s="15"/>
      <c r="C225" s="16"/>
      <c r="D225" s="16"/>
      <c r="E225" s="16"/>
      <c r="F225" s="16"/>
      <c r="G225" s="16"/>
      <c r="H225" s="16"/>
      <c r="I225" s="16"/>
      <c r="J225" s="16"/>
      <c r="K225" s="16"/>
      <c r="L225" s="16"/>
      <c r="M225" s="25"/>
      <c r="N225" s="25"/>
      <c r="O225" s="16"/>
      <c r="P225" s="1"/>
      <c r="Q225" s="1"/>
      <c r="R225" s="8"/>
      <c r="S225" s="1"/>
      <c r="T225" s="8"/>
      <c r="U225" s="1"/>
      <c r="V225" s="1"/>
      <c r="W225" s="1"/>
      <c r="X225" s="1"/>
    </row>
    <row r="226" spans="1:24">
      <c r="A226" s="15"/>
      <c r="B226" s="15"/>
      <c r="C226" s="16"/>
      <c r="D226" s="16"/>
      <c r="E226" s="16"/>
      <c r="F226" s="16"/>
      <c r="G226" s="16"/>
      <c r="H226" s="16"/>
      <c r="I226" s="16"/>
      <c r="J226" s="16"/>
      <c r="K226" s="16"/>
      <c r="L226" s="16"/>
      <c r="M226" s="25"/>
      <c r="N226" s="25"/>
      <c r="O226" s="16"/>
      <c r="P226" s="1"/>
      <c r="Q226" s="1"/>
      <c r="R226" s="8"/>
      <c r="S226" s="1"/>
      <c r="T226" s="8"/>
      <c r="U226" s="1"/>
      <c r="V226" s="1"/>
      <c r="W226" s="1"/>
      <c r="X226" s="1"/>
    </row>
    <row r="227" spans="1:24">
      <c r="A227" s="15"/>
      <c r="B227" s="15"/>
      <c r="C227" s="16"/>
      <c r="D227" s="16"/>
      <c r="E227" s="16"/>
      <c r="F227" s="16"/>
      <c r="G227" s="16"/>
      <c r="H227" s="16"/>
      <c r="I227" s="16"/>
      <c r="J227" s="16"/>
      <c r="K227" s="16"/>
      <c r="L227" s="16"/>
      <c r="M227" s="25"/>
      <c r="N227" s="25"/>
      <c r="O227" s="16"/>
      <c r="P227" s="1"/>
      <c r="Q227" s="1"/>
      <c r="R227" s="8"/>
      <c r="S227" s="1"/>
      <c r="T227" s="8"/>
      <c r="U227" s="1"/>
      <c r="V227" s="1"/>
      <c r="W227" s="1"/>
      <c r="X227" s="1"/>
    </row>
    <row r="228" spans="1:24">
      <c r="A228" s="15"/>
      <c r="B228" s="15"/>
      <c r="C228" s="16"/>
      <c r="D228" s="16"/>
      <c r="E228" s="16"/>
      <c r="F228" s="16"/>
      <c r="G228" s="16"/>
      <c r="H228" s="16"/>
      <c r="I228" s="16"/>
      <c r="J228" s="16"/>
      <c r="K228" s="16"/>
      <c r="L228" s="16"/>
      <c r="M228" s="25"/>
      <c r="N228" s="25"/>
      <c r="O228" s="16"/>
      <c r="P228" s="1"/>
      <c r="Q228" s="1"/>
      <c r="R228" s="8"/>
      <c r="S228" s="1"/>
      <c r="T228" s="8"/>
      <c r="U228" s="1"/>
      <c r="V228" s="1"/>
      <c r="W228" s="1"/>
      <c r="X228" s="1"/>
    </row>
    <row r="229" spans="1:24">
      <c r="A229" s="15"/>
      <c r="B229" s="15"/>
      <c r="C229" s="16"/>
      <c r="D229" s="16"/>
      <c r="E229" s="16"/>
      <c r="F229" s="16"/>
      <c r="G229" s="16"/>
      <c r="H229" s="16"/>
      <c r="I229" s="16"/>
      <c r="J229" s="16"/>
      <c r="K229" s="16"/>
      <c r="L229" s="16"/>
      <c r="M229" s="25"/>
      <c r="N229" s="25"/>
      <c r="O229" s="16"/>
      <c r="P229" s="1"/>
      <c r="Q229" s="1"/>
      <c r="R229" s="8"/>
      <c r="S229" s="1"/>
      <c r="T229" s="8"/>
      <c r="U229" s="1"/>
      <c r="V229" s="1"/>
      <c r="W229" s="1"/>
      <c r="X229" s="1"/>
    </row>
    <row r="230" spans="1:24">
      <c r="A230" s="15"/>
      <c r="B230" s="15"/>
      <c r="C230" s="16"/>
      <c r="D230" s="16"/>
      <c r="E230" s="16"/>
      <c r="F230" s="16"/>
      <c r="G230" s="16"/>
      <c r="H230" s="16"/>
      <c r="I230" s="16"/>
      <c r="J230" s="16"/>
      <c r="K230" s="16"/>
      <c r="L230" s="16"/>
      <c r="M230" s="25"/>
      <c r="N230" s="25"/>
      <c r="O230" s="16"/>
      <c r="P230" s="1"/>
      <c r="Q230" s="1"/>
      <c r="R230" s="8"/>
      <c r="S230" s="1"/>
      <c r="T230" s="8"/>
      <c r="U230" s="1"/>
      <c r="V230" s="1"/>
      <c r="W230" s="1"/>
      <c r="X230" s="1"/>
    </row>
    <row r="231" spans="1:24">
      <c r="A231" s="15"/>
      <c r="B231" s="15"/>
      <c r="C231" s="16"/>
      <c r="D231" s="16"/>
      <c r="E231" s="16"/>
      <c r="F231" s="16"/>
      <c r="G231" s="16"/>
      <c r="H231" s="16"/>
      <c r="I231" s="16"/>
      <c r="J231" s="16"/>
      <c r="K231" s="16"/>
      <c r="L231" s="16"/>
      <c r="M231" s="25"/>
      <c r="N231" s="25"/>
      <c r="O231" s="16"/>
      <c r="P231" s="1"/>
      <c r="Q231" s="1"/>
      <c r="R231" s="8"/>
      <c r="S231" s="1"/>
      <c r="T231" s="8"/>
      <c r="U231" s="1"/>
      <c r="V231" s="1"/>
      <c r="W231" s="1"/>
      <c r="X231" s="1"/>
    </row>
    <row r="232" spans="1:24">
      <c r="A232" s="15"/>
      <c r="B232" s="15"/>
      <c r="C232" s="16"/>
      <c r="D232" s="16"/>
      <c r="E232" s="16"/>
      <c r="F232" s="16"/>
      <c r="G232" s="16"/>
      <c r="H232" s="16"/>
      <c r="I232" s="16"/>
      <c r="J232" s="16"/>
      <c r="K232" s="16"/>
      <c r="L232" s="16"/>
      <c r="M232" s="25"/>
      <c r="N232" s="25"/>
      <c r="O232" s="16"/>
      <c r="P232" s="1"/>
      <c r="Q232" s="1"/>
      <c r="R232" s="8"/>
      <c r="S232" s="1"/>
      <c r="T232" s="8"/>
      <c r="U232" s="1"/>
      <c r="V232" s="1"/>
      <c r="W232" s="1"/>
      <c r="X232" s="1"/>
    </row>
    <row r="233" spans="1:24">
      <c r="A233" s="15"/>
      <c r="B233" s="15"/>
      <c r="C233" s="16"/>
      <c r="D233" s="16"/>
      <c r="E233" s="16"/>
      <c r="F233" s="16"/>
      <c r="G233" s="16"/>
      <c r="H233" s="16"/>
      <c r="I233" s="16"/>
      <c r="J233" s="16"/>
      <c r="K233" s="16"/>
      <c r="L233" s="16"/>
      <c r="M233" s="25"/>
      <c r="N233" s="25"/>
      <c r="O233" s="16"/>
      <c r="P233" s="1"/>
      <c r="Q233" s="1"/>
      <c r="R233" s="8"/>
      <c r="S233" s="1"/>
      <c r="T233" s="8"/>
      <c r="U233" s="1"/>
      <c r="V233" s="1"/>
      <c r="W233" s="1"/>
      <c r="X233" s="1"/>
    </row>
    <row r="234" spans="1:24">
      <c r="A234" s="15"/>
      <c r="B234" s="15"/>
      <c r="C234" s="16"/>
      <c r="D234" s="16"/>
      <c r="E234" s="16"/>
      <c r="F234" s="16"/>
      <c r="G234" s="16"/>
      <c r="H234" s="16"/>
      <c r="I234" s="16"/>
      <c r="J234" s="16"/>
      <c r="K234" s="16"/>
      <c r="L234" s="16"/>
      <c r="M234" s="25"/>
      <c r="N234" s="25"/>
      <c r="O234" s="16"/>
      <c r="P234" s="1"/>
      <c r="Q234" s="1"/>
      <c r="R234" s="8"/>
      <c r="S234" s="1"/>
      <c r="T234" s="8"/>
      <c r="U234" s="1"/>
      <c r="V234" s="1"/>
      <c r="W234" s="1"/>
      <c r="X234" s="1"/>
    </row>
    <row r="235" spans="1:24">
      <c r="A235" s="15"/>
      <c r="B235" s="15"/>
      <c r="C235" s="16"/>
      <c r="D235" s="16"/>
      <c r="E235" s="16"/>
      <c r="F235" s="16"/>
      <c r="G235" s="16"/>
      <c r="H235" s="16"/>
      <c r="I235" s="16"/>
      <c r="J235" s="16"/>
      <c r="K235" s="16"/>
      <c r="L235" s="16"/>
      <c r="M235" s="25"/>
      <c r="N235" s="25"/>
      <c r="O235" s="16"/>
      <c r="P235" s="1"/>
      <c r="Q235" s="1"/>
      <c r="R235" s="8"/>
      <c r="S235" s="1"/>
      <c r="T235" s="8"/>
      <c r="U235" s="1"/>
      <c r="V235" s="1"/>
      <c r="W235" s="1"/>
      <c r="X235" s="1"/>
    </row>
    <row r="236" spans="1:24">
      <c r="A236" s="15"/>
      <c r="B236" s="15"/>
      <c r="C236" s="16"/>
      <c r="D236" s="16"/>
      <c r="E236" s="16"/>
      <c r="F236" s="16"/>
      <c r="G236" s="16"/>
      <c r="H236" s="16"/>
      <c r="I236" s="16"/>
      <c r="J236" s="16"/>
      <c r="K236" s="16"/>
      <c r="L236" s="16"/>
      <c r="M236" s="25"/>
      <c r="N236" s="25"/>
      <c r="O236" s="16"/>
      <c r="P236" s="1"/>
      <c r="Q236" s="1"/>
      <c r="R236" s="8"/>
      <c r="S236" s="1"/>
      <c r="T236" s="8"/>
      <c r="U236" s="1"/>
      <c r="V236" s="1"/>
      <c r="W236" s="1"/>
      <c r="X236" s="1"/>
    </row>
    <row r="237" spans="1:24">
      <c r="A237" s="15"/>
      <c r="B237" s="15"/>
      <c r="C237" s="16"/>
      <c r="D237" s="16"/>
      <c r="E237" s="16"/>
      <c r="F237" s="16"/>
      <c r="G237" s="16"/>
      <c r="H237" s="16"/>
      <c r="I237" s="16"/>
      <c r="J237" s="16"/>
      <c r="K237" s="16"/>
      <c r="L237" s="16"/>
      <c r="M237" s="25"/>
      <c r="N237" s="25"/>
      <c r="O237" s="16"/>
      <c r="P237" s="1"/>
      <c r="Q237" s="1"/>
      <c r="R237" s="8"/>
      <c r="S237" s="1"/>
      <c r="T237" s="8"/>
      <c r="U237" s="1"/>
      <c r="V237" s="1"/>
      <c r="W237" s="1"/>
      <c r="X237" s="1"/>
    </row>
    <row r="238" spans="1:24">
      <c r="A238" s="15"/>
      <c r="B238" s="15"/>
      <c r="C238" s="16"/>
      <c r="D238" s="16"/>
      <c r="E238" s="16"/>
      <c r="F238" s="16"/>
      <c r="G238" s="16"/>
      <c r="H238" s="16"/>
      <c r="I238" s="16"/>
      <c r="J238" s="16"/>
      <c r="K238" s="16"/>
      <c r="L238" s="16"/>
      <c r="M238" s="25"/>
      <c r="N238" s="25"/>
      <c r="O238" s="16"/>
      <c r="P238" s="1"/>
      <c r="Q238" s="1"/>
      <c r="R238" s="8"/>
      <c r="S238" s="1"/>
      <c r="T238" s="8"/>
      <c r="U238" s="1"/>
      <c r="V238" s="1"/>
      <c r="W238" s="1"/>
      <c r="X238" s="1"/>
    </row>
    <row r="239" spans="1:24">
      <c r="A239" s="15"/>
      <c r="B239" s="15"/>
      <c r="C239" s="16"/>
      <c r="D239" s="16"/>
      <c r="E239" s="16"/>
      <c r="F239" s="16"/>
      <c r="G239" s="16"/>
      <c r="H239" s="16"/>
      <c r="I239" s="16"/>
      <c r="J239" s="16"/>
      <c r="K239" s="16"/>
      <c r="L239" s="16"/>
      <c r="M239" s="25"/>
      <c r="N239" s="25"/>
      <c r="O239" s="16"/>
      <c r="P239" s="1"/>
      <c r="Q239" s="1"/>
      <c r="R239" s="8"/>
      <c r="S239" s="1"/>
      <c r="T239" s="8"/>
      <c r="U239" s="1"/>
      <c r="V239" s="1"/>
      <c r="W239" s="1"/>
      <c r="X239" s="1"/>
    </row>
    <row r="240" spans="1:24">
      <c r="A240" s="15"/>
      <c r="B240" s="15"/>
      <c r="C240" s="16"/>
      <c r="D240" s="16"/>
      <c r="E240" s="16"/>
      <c r="F240" s="16"/>
      <c r="G240" s="16"/>
      <c r="H240" s="16"/>
      <c r="I240" s="16"/>
      <c r="J240" s="16"/>
      <c r="K240" s="16"/>
      <c r="L240" s="16"/>
      <c r="M240" s="25"/>
      <c r="N240" s="25"/>
      <c r="O240" s="16"/>
      <c r="P240" s="1"/>
      <c r="Q240" s="1"/>
      <c r="R240" s="8"/>
      <c r="S240" s="1"/>
      <c r="T240" s="8"/>
      <c r="U240" s="1"/>
      <c r="V240" s="1"/>
      <c r="W240" s="1"/>
      <c r="X240" s="1"/>
    </row>
    <row r="241" spans="1:24">
      <c r="A241" s="15"/>
      <c r="B241" s="15"/>
      <c r="C241" s="16"/>
      <c r="D241" s="16"/>
      <c r="E241" s="16"/>
      <c r="F241" s="16"/>
      <c r="G241" s="16"/>
      <c r="H241" s="16"/>
      <c r="I241" s="16"/>
      <c r="J241" s="16"/>
      <c r="K241" s="16"/>
      <c r="L241" s="16"/>
      <c r="M241" s="25"/>
      <c r="N241" s="25"/>
      <c r="O241" s="16"/>
      <c r="P241" s="1"/>
      <c r="Q241" s="1"/>
      <c r="R241" s="8"/>
      <c r="S241" s="1"/>
      <c r="T241" s="8"/>
      <c r="U241" s="1"/>
      <c r="V241" s="1"/>
      <c r="W241" s="1"/>
      <c r="X241" s="1"/>
    </row>
    <row r="242" spans="1:24">
      <c r="A242" s="15"/>
      <c r="B242" s="15"/>
      <c r="C242" s="16"/>
      <c r="D242" s="16"/>
      <c r="E242" s="16"/>
      <c r="F242" s="16"/>
      <c r="G242" s="16"/>
      <c r="H242" s="16"/>
      <c r="I242" s="16"/>
      <c r="J242" s="16"/>
      <c r="K242" s="16"/>
      <c r="L242" s="16"/>
      <c r="M242" s="25"/>
      <c r="N242" s="25"/>
      <c r="O242" s="16"/>
      <c r="P242" s="1"/>
      <c r="Q242" s="1"/>
      <c r="R242" s="8"/>
      <c r="S242" s="1"/>
      <c r="T242" s="8"/>
      <c r="U242" s="1"/>
      <c r="V242" s="1"/>
      <c r="W242" s="1"/>
      <c r="X242" s="1"/>
    </row>
    <row r="243" spans="1:24">
      <c r="A243" s="15"/>
      <c r="B243" s="15"/>
      <c r="C243" s="16"/>
      <c r="D243" s="16"/>
      <c r="E243" s="16"/>
      <c r="F243" s="16"/>
      <c r="G243" s="16"/>
      <c r="H243" s="16"/>
      <c r="I243" s="16"/>
      <c r="J243" s="16"/>
      <c r="K243" s="16"/>
      <c r="L243" s="16"/>
      <c r="M243" s="25"/>
      <c r="N243" s="25"/>
      <c r="O243" s="16"/>
      <c r="P243" s="1"/>
      <c r="Q243" s="1"/>
      <c r="R243" s="8"/>
      <c r="S243" s="1"/>
      <c r="T243" s="8"/>
      <c r="U243" s="1"/>
      <c r="V243" s="1"/>
      <c r="W243" s="1"/>
      <c r="X243" s="1"/>
    </row>
    <row r="244" spans="1:24">
      <c r="A244" s="15"/>
      <c r="B244" s="15"/>
      <c r="C244" s="16"/>
      <c r="D244" s="16"/>
      <c r="E244" s="16"/>
      <c r="F244" s="16"/>
      <c r="G244" s="16"/>
      <c r="H244" s="16"/>
      <c r="I244" s="16"/>
      <c r="J244" s="16"/>
      <c r="K244" s="16"/>
      <c r="L244" s="16"/>
      <c r="M244" s="25"/>
      <c r="N244" s="25"/>
      <c r="O244" s="16"/>
      <c r="P244" s="1"/>
      <c r="Q244" s="1"/>
      <c r="R244" s="8"/>
      <c r="S244" s="1"/>
      <c r="T244" s="8"/>
      <c r="U244" s="1"/>
      <c r="V244" s="1"/>
      <c r="W244" s="1"/>
      <c r="X244" s="1"/>
    </row>
    <row r="245" spans="1:24">
      <c r="A245" s="15"/>
      <c r="B245" s="15"/>
      <c r="C245" s="16"/>
      <c r="D245" s="16"/>
      <c r="E245" s="16"/>
      <c r="F245" s="16"/>
      <c r="G245" s="16"/>
      <c r="H245" s="16"/>
      <c r="I245" s="16"/>
      <c r="J245" s="16"/>
      <c r="K245" s="16"/>
      <c r="L245" s="16"/>
      <c r="M245" s="25"/>
      <c r="N245" s="25"/>
      <c r="O245" s="16"/>
      <c r="P245" s="1"/>
      <c r="Q245" s="1"/>
      <c r="R245" s="8"/>
      <c r="S245" s="1"/>
      <c r="T245" s="8"/>
      <c r="U245" s="1"/>
      <c r="V245" s="1"/>
      <c r="W245" s="1"/>
      <c r="X245" s="1"/>
    </row>
    <row r="246" spans="1:24">
      <c r="A246" s="15"/>
      <c r="B246" s="15"/>
      <c r="C246" s="16"/>
      <c r="D246" s="16"/>
      <c r="E246" s="16"/>
      <c r="F246" s="16"/>
      <c r="G246" s="16"/>
      <c r="H246" s="16"/>
      <c r="I246" s="16"/>
      <c r="J246" s="16"/>
      <c r="K246" s="16"/>
      <c r="L246" s="16"/>
      <c r="M246" s="25"/>
      <c r="N246" s="25"/>
      <c r="O246" s="16"/>
      <c r="P246" s="1"/>
      <c r="Q246" s="1"/>
      <c r="R246" s="8"/>
      <c r="S246" s="1"/>
      <c r="T246" s="8"/>
      <c r="U246" s="1"/>
      <c r="V246" s="1"/>
      <c r="W246" s="1"/>
      <c r="X246" s="1"/>
    </row>
    <row r="247" spans="1:24">
      <c r="A247" s="15"/>
      <c r="B247" s="15"/>
      <c r="C247" s="16"/>
      <c r="D247" s="16"/>
      <c r="E247" s="16"/>
      <c r="F247" s="16"/>
      <c r="G247" s="16"/>
      <c r="H247" s="16"/>
      <c r="I247" s="16"/>
      <c r="J247" s="16"/>
      <c r="K247" s="16"/>
      <c r="L247" s="16"/>
      <c r="M247" s="25"/>
      <c r="N247" s="25"/>
      <c r="O247" s="16"/>
      <c r="P247" s="1"/>
      <c r="Q247" s="1"/>
      <c r="R247" s="8"/>
      <c r="S247" s="1"/>
      <c r="T247" s="8"/>
      <c r="U247" s="1"/>
      <c r="V247" s="1"/>
      <c r="W247" s="1"/>
      <c r="X247" s="1"/>
    </row>
    <row r="248" spans="1:24">
      <c r="A248" s="15"/>
      <c r="B248" s="15"/>
      <c r="C248" s="16"/>
      <c r="D248" s="16"/>
      <c r="E248" s="16"/>
      <c r="F248" s="16"/>
      <c r="G248" s="16"/>
      <c r="H248" s="16"/>
      <c r="I248" s="16"/>
      <c r="J248" s="16"/>
      <c r="K248" s="16"/>
      <c r="L248" s="16"/>
      <c r="M248" s="25"/>
      <c r="N248" s="25"/>
      <c r="O248" s="16"/>
      <c r="P248" s="1"/>
      <c r="Q248" s="1"/>
      <c r="R248" s="8"/>
      <c r="S248" s="1"/>
      <c r="T248" s="8"/>
      <c r="U248" s="1"/>
      <c r="V248" s="1"/>
      <c r="W248" s="1"/>
      <c r="X248" s="1"/>
    </row>
    <row r="249" spans="1:24">
      <c r="A249" s="15"/>
      <c r="B249" s="15"/>
      <c r="C249" s="16"/>
      <c r="D249" s="16"/>
      <c r="E249" s="16"/>
      <c r="F249" s="16"/>
      <c r="G249" s="16"/>
      <c r="H249" s="16"/>
      <c r="I249" s="16"/>
      <c r="J249" s="16"/>
      <c r="K249" s="16"/>
      <c r="L249" s="16"/>
      <c r="M249" s="25"/>
      <c r="N249" s="25"/>
      <c r="O249" s="16"/>
      <c r="P249" s="1"/>
      <c r="Q249" s="1"/>
      <c r="R249" s="8"/>
      <c r="S249" s="1"/>
      <c r="T249" s="8"/>
      <c r="U249" s="1"/>
      <c r="V249" s="1"/>
      <c r="W249" s="1"/>
      <c r="X249" s="1"/>
    </row>
    <row r="250" spans="1:24">
      <c r="A250" s="15"/>
      <c r="B250" s="15"/>
      <c r="C250" s="16"/>
      <c r="D250" s="16"/>
      <c r="E250" s="16"/>
      <c r="F250" s="16"/>
      <c r="G250" s="16"/>
      <c r="H250" s="16"/>
      <c r="I250" s="16"/>
      <c r="J250" s="16"/>
      <c r="K250" s="16"/>
      <c r="L250" s="16"/>
      <c r="M250" s="25"/>
      <c r="N250" s="25"/>
      <c r="O250" s="16"/>
      <c r="P250" s="1"/>
      <c r="Q250" s="1"/>
      <c r="R250" s="8"/>
      <c r="S250" s="1"/>
      <c r="T250" s="8"/>
      <c r="U250" s="1"/>
      <c r="V250" s="1"/>
      <c r="W250" s="1"/>
      <c r="X250" s="1"/>
    </row>
    <row r="251" spans="1:24">
      <c r="A251" s="15"/>
      <c r="B251" s="15"/>
      <c r="C251" s="16"/>
      <c r="D251" s="16"/>
      <c r="E251" s="16"/>
      <c r="F251" s="16"/>
      <c r="G251" s="16"/>
      <c r="H251" s="16"/>
      <c r="I251" s="16"/>
      <c r="J251" s="16"/>
      <c r="K251" s="16"/>
      <c r="L251" s="16"/>
      <c r="M251" s="25"/>
      <c r="N251" s="25"/>
      <c r="O251" s="16"/>
      <c r="P251" s="1"/>
      <c r="Q251" s="1"/>
      <c r="R251" s="8"/>
      <c r="S251" s="1"/>
      <c r="T251" s="8"/>
      <c r="U251" s="1"/>
      <c r="V251" s="1"/>
      <c r="W251" s="1"/>
      <c r="X251" s="1"/>
    </row>
    <row r="252" spans="1:24">
      <c r="A252" s="15"/>
      <c r="B252" s="15"/>
      <c r="C252" s="16"/>
      <c r="D252" s="16"/>
      <c r="E252" s="16"/>
      <c r="F252" s="16"/>
      <c r="G252" s="16"/>
      <c r="H252" s="16"/>
      <c r="I252" s="16"/>
      <c r="J252" s="16"/>
      <c r="K252" s="16"/>
      <c r="L252" s="16"/>
      <c r="M252" s="25"/>
      <c r="N252" s="25"/>
      <c r="O252" s="16"/>
      <c r="P252" s="1"/>
      <c r="Q252" s="1"/>
      <c r="R252" s="8"/>
      <c r="S252" s="1"/>
      <c r="T252" s="8"/>
      <c r="U252" s="1"/>
      <c r="V252" s="1"/>
      <c r="W252" s="1"/>
      <c r="X252" s="1"/>
    </row>
    <row r="253" spans="1:24">
      <c r="A253" s="15"/>
      <c r="B253" s="15"/>
      <c r="C253" s="16"/>
      <c r="D253" s="16"/>
      <c r="E253" s="16"/>
      <c r="F253" s="16"/>
      <c r="G253" s="16"/>
      <c r="H253" s="16"/>
      <c r="I253" s="16"/>
      <c r="J253" s="16"/>
      <c r="K253" s="16"/>
      <c r="L253" s="16"/>
      <c r="M253" s="25"/>
      <c r="N253" s="25"/>
      <c r="O253" s="16"/>
      <c r="P253" s="1"/>
      <c r="Q253" s="1"/>
      <c r="R253" s="8"/>
      <c r="S253" s="1"/>
      <c r="T253" s="8"/>
      <c r="U253" s="1"/>
      <c r="V253" s="1"/>
      <c r="W253" s="1"/>
      <c r="X253" s="1"/>
    </row>
    <row r="254" spans="1:24">
      <c r="A254" s="15"/>
      <c r="B254" s="15"/>
      <c r="C254" s="16"/>
      <c r="D254" s="16"/>
      <c r="E254" s="16"/>
      <c r="F254" s="16"/>
      <c r="G254" s="16"/>
      <c r="H254" s="16"/>
      <c r="I254" s="16"/>
      <c r="J254" s="16"/>
      <c r="K254" s="16"/>
      <c r="L254" s="16"/>
      <c r="M254" s="25"/>
      <c r="N254" s="25"/>
      <c r="O254" s="16"/>
      <c r="P254" s="1"/>
      <c r="Q254" s="1"/>
      <c r="R254" s="8"/>
      <c r="S254" s="1"/>
      <c r="T254" s="8"/>
      <c r="U254" s="1"/>
      <c r="V254" s="1"/>
      <c r="W254" s="1"/>
      <c r="X254" s="1"/>
    </row>
    <row r="255" spans="1:24">
      <c r="A255" s="15"/>
      <c r="B255" s="15"/>
      <c r="C255" s="16"/>
      <c r="D255" s="16"/>
      <c r="E255" s="16"/>
      <c r="F255" s="16"/>
      <c r="G255" s="16"/>
      <c r="H255" s="16"/>
      <c r="I255" s="16"/>
      <c r="J255" s="16"/>
      <c r="K255" s="16"/>
      <c r="L255" s="16"/>
      <c r="M255" s="25"/>
      <c r="N255" s="25"/>
      <c r="O255" s="16"/>
      <c r="P255" s="1"/>
      <c r="Q255" s="1"/>
      <c r="R255" s="8"/>
      <c r="S255" s="1"/>
      <c r="T255" s="8"/>
      <c r="U255" s="1"/>
      <c r="V255" s="1"/>
      <c r="W255" s="1"/>
      <c r="X255" s="1"/>
    </row>
    <row r="256" spans="1:24">
      <c r="A256" s="15"/>
      <c r="B256" s="15"/>
      <c r="C256" s="16"/>
      <c r="D256" s="16"/>
      <c r="E256" s="16"/>
      <c r="F256" s="16"/>
      <c r="G256" s="16"/>
      <c r="H256" s="16"/>
      <c r="I256" s="16"/>
      <c r="J256" s="16"/>
      <c r="K256" s="16"/>
      <c r="L256" s="16"/>
      <c r="M256" s="25"/>
      <c r="N256" s="25"/>
      <c r="O256" s="16"/>
      <c r="P256" s="1"/>
      <c r="Q256" s="1"/>
      <c r="R256" s="8"/>
      <c r="S256" s="1"/>
      <c r="T256" s="8"/>
      <c r="U256" s="1"/>
      <c r="V256" s="1"/>
      <c r="W256" s="1"/>
      <c r="X256" s="1"/>
    </row>
    <row r="257" spans="1:24">
      <c r="A257" s="15"/>
      <c r="B257" s="15"/>
      <c r="C257" s="16"/>
      <c r="D257" s="16"/>
      <c r="E257" s="16"/>
      <c r="F257" s="16"/>
      <c r="G257" s="16"/>
      <c r="H257" s="16"/>
      <c r="I257" s="16"/>
      <c r="J257" s="16"/>
      <c r="K257" s="16"/>
      <c r="L257" s="16"/>
      <c r="M257" s="25"/>
      <c r="N257" s="25"/>
      <c r="O257" s="16"/>
      <c r="P257" s="1"/>
      <c r="Q257" s="1"/>
      <c r="R257" s="8"/>
      <c r="S257" s="1"/>
      <c r="T257" s="8"/>
      <c r="U257" s="1"/>
      <c r="V257" s="1"/>
      <c r="W257" s="1"/>
      <c r="X257" s="1"/>
    </row>
    <row r="258" spans="1:24">
      <c r="A258" s="15"/>
      <c r="B258" s="15"/>
      <c r="C258" s="16"/>
      <c r="D258" s="16"/>
      <c r="E258" s="16"/>
      <c r="F258" s="16"/>
      <c r="G258" s="16"/>
      <c r="H258" s="16"/>
      <c r="I258" s="16"/>
      <c r="J258" s="16"/>
      <c r="K258" s="16"/>
      <c r="L258" s="16"/>
      <c r="M258" s="25"/>
      <c r="N258" s="25"/>
      <c r="O258" s="16"/>
      <c r="P258" s="1"/>
      <c r="Q258" s="1"/>
      <c r="R258" s="8"/>
      <c r="S258" s="1"/>
      <c r="T258" s="8"/>
      <c r="U258" s="1"/>
      <c r="V258" s="1"/>
      <c r="W258" s="1"/>
      <c r="X258" s="1"/>
    </row>
    <row r="259" spans="1:24">
      <c r="A259" s="15"/>
      <c r="B259" s="15"/>
      <c r="C259" s="16"/>
      <c r="D259" s="16"/>
      <c r="E259" s="16"/>
      <c r="F259" s="16"/>
      <c r="G259" s="16"/>
      <c r="H259" s="16"/>
      <c r="I259" s="16"/>
      <c r="J259" s="16"/>
      <c r="K259" s="16"/>
      <c r="L259" s="16"/>
      <c r="M259" s="25"/>
      <c r="N259" s="25"/>
      <c r="O259" s="16"/>
      <c r="P259" s="1"/>
      <c r="Q259" s="1"/>
      <c r="R259" s="8"/>
      <c r="S259" s="1"/>
      <c r="T259" s="8"/>
      <c r="U259" s="1"/>
      <c r="V259" s="1"/>
      <c r="W259" s="1"/>
      <c r="X259" s="1"/>
    </row>
    <row r="260" spans="1:24">
      <c r="A260" s="15"/>
      <c r="B260" s="15"/>
      <c r="C260" s="16"/>
      <c r="D260" s="16"/>
      <c r="E260" s="16"/>
      <c r="F260" s="16"/>
      <c r="G260" s="16"/>
      <c r="H260" s="16"/>
      <c r="I260" s="16"/>
      <c r="J260" s="16"/>
      <c r="K260" s="16"/>
      <c r="L260" s="16"/>
      <c r="M260" s="25"/>
      <c r="N260" s="25"/>
      <c r="O260" s="16"/>
      <c r="P260" s="1"/>
      <c r="Q260" s="1"/>
      <c r="R260" s="8"/>
      <c r="S260" s="1"/>
      <c r="T260" s="8"/>
      <c r="U260" s="1"/>
      <c r="V260" s="1"/>
      <c r="W260" s="1"/>
      <c r="X260" s="1"/>
    </row>
    <row r="261" spans="1:24">
      <c r="A261" s="15"/>
      <c r="B261" s="15"/>
      <c r="C261" s="16"/>
      <c r="D261" s="16"/>
      <c r="E261" s="16"/>
      <c r="F261" s="16"/>
      <c r="G261" s="16"/>
      <c r="H261" s="16"/>
      <c r="I261" s="16"/>
      <c r="J261" s="16"/>
      <c r="K261" s="16"/>
      <c r="L261" s="16"/>
      <c r="M261" s="25"/>
      <c r="N261" s="25"/>
      <c r="O261" s="16"/>
      <c r="P261" s="1"/>
      <c r="Q261" s="1"/>
      <c r="R261" s="8"/>
      <c r="S261" s="1"/>
      <c r="T261" s="8"/>
      <c r="U261" s="1"/>
      <c r="V261" s="1"/>
      <c r="W261" s="1"/>
      <c r="X261" s="1"/>
    </row>
    <row r="262" spans="1:24">
      <c r="A262" s="15"/>
      <c r="B262" s="15"/>
      <c r="C262" s="16"/>
      <c r="D262" s="16"/>
      <c r="E262" s="16"/>
      <c r="F262" s="16"/>
      <c r="G262" s="16"/>
      <c r="H262" s="16"/>
      <c r="I262" s="16"/>
      <c r="J262" s="16"/>
      <c r="K262" s="16"/>
      <c r="L262" s="16"/>
      <c r="M262" s="25"/>
      <c r="N262" s="25"/>
      <c r="O262" s="16"/>
      <c r="P262" s="1"/>
      <c r="Q262" s="1"/>
      <c r="R262" s="8"/>
      <c r="S262" s="1"/>
      <c r="T262" s="8"/>
      <c r="U262" s="1"/>
      <c r="V262" s="1"/>
      <c r="W262" s="1"/>
      <c r="X262" s="1"/>
    </row>
    <row r="263" spans="1:24">
      <c r="A263" s="15"/>
      <c r="B263" s="15"/>
      <c r="C263" s="16"/>
      <c r="D263" s="16"/>
      <c r="E263" s="16"/>
      <c r="F263" s="16"/>
      <c r="G263" s="16"/>
      <c r="H263" s="16"/>
      <c r="I263" s="16"/>
      <c r="J263" s="16"/>
      <c r="K263" s="16"/>
      <c r="L263" s="16"/>
      <c r="M263" s="25"/>
      <c r="N263" s="25"/>
      <c r="O263" s="16"/>
      <c r="P263" s="1"/>
      <c r="Q263" s="1"/>
      <c r="R263" s="8"/>
      <c r="S263" s="1"/>
      <c r="T263" s="8"/>
      <c r="U263" s="1"/>
      <c r="V263" s="1"/>
      <c r="W263" s="1"/>
      <c r="X263" s="1"/>
    </row>
    <row r="264" spans="1:24">
      <c r="A264" s="15"/>
      <c r="B264" s="15"/>
      <c r="C264" s="16"/>
      <c r="D264" s="16"/>
      <c r="E264" s="16"/>
      <c r="F264" s="16"/>
      <c r="G264" s="16"/>
      <c r="H264" s="16"/>
      <c r="I264" s="16"/>
      <c r="J264" s="16"/>
      <c r="K264" s="16"/>
      <c r="L264" s="16"/>
      <c r="M264" s="25"/>
      <c r="N264" s="25"/>
      <c r="O264" s="16"/>
      <c r="P264" s="1"/>
      <c r="Q264" s="1"/>
      <c r="R264" s="8"/>
      <c r="S264" s="1"/>
      <c r="T264" s="8"/>
      <c r="U264" s="1"/>
      <c r="V264" s="1"/>
      <c r="W264" s="1"/>
      <c r="X264" s="1"/>
    </row>
    <row r="265" spans="1:24">
      <c r="A265" s="15"/>
      <c r="B265" s="15"/>
      <c r="C265" s="16"/>
      <c r="D265" s="16"/>
      <c r="E265" s="16"/>
      <c r="F265" s="16"/>
      <c r="G265" s="16"/>
      <c r="H265" s="16"/>
      <c r="I265" s="16"/>
      <c r="J265" s="16"/>
      <c r="K265" s="16"/>
      <c r="L265" s="16"/>
      <c r="M265" s="25"/>
      <c r="N265" s="25"/>
      <c r="O265" s="16"/>
      <c r="P265" s="1"/>
      <c r="Q265" s="1"/>
      <c r="R265" s="8"/>
      <c r="S265" s="1"/>
      <c r="T265" s="8"/>
      <c r="U265" s="1"/>
      <c r="V265" s="1"/>
      <c r="W265" s="1"/>
      <c r="X265" s="1"/>
    </row>
    <row r="266" spans="1:24">
      <c r="A266" s="15"/>
      <c r="B266" s="15"/>
      <c r="C266" s="16"/>
      <c r="D266" s="16"/>
      <c r="E266" s="16"/>
      <c r="F266" s="16"/>
      <c r="G266" s="16"/>
      <c r="H266" s="16"/>
      <c r="I266" s="16"/>
      <c r="J266" s="16"/>
      <c r="K266" s="16"/>
      <c r="L266" s="16"/>
      <c r="M266" s="25"/>
      <c r="N266" s="25"/>
      <c r="O266" s="16"/>
      <c r="P266" s="1"/>
      <c r="Q266" s="1"/>
      <c r="R266" s="8"/>
      <c r="S266" s="1"/>
      <c r="T266" s="8"/>
      <c r="U266" s="1"/>
      <c r="V266" s="1"/>
      <c r="W266" s="1"/>
      <c r="X266" s="1"/>
    </row>
    <row r="267" spans="1:24">
      <c r="A267" s="15"/>
      <c r="B267" s="15"/>
      <c r="C267" s="16"/>
      <c r="D267" s="16"/>
      <c r="E267" s="16"/>
      <c r="F267" s="16"/>
      <c r="G267" s="16"/>
      <c r="H267" s="16"/>
      <c r="I267" s="16"/>
      <c r="J267" s="16"/>
      <c r="K267" s="16"/>
      <c r="L267" s="16"/>
      <c r="M267" s="25"/>
      <c r="N267" s="25"/>
      <c r="O267" s="16"/>
      <c r="P267" s="1"/>
      <c r="Q267" s="1"/>
      <c r="R267" s="8"/>
      <c r="S267" s="1"/>
      <c r="T267" s="8"/>
      <c r="U267" s="1"/>
      <c r="V267" s="1"/>
      <c r="W267" s="1"/>
      <c r="X267" s="1"/>
    </row>
    <row r="268" spans="1:24">
      <c r="A268" s="15"/>
      <c r="B268" s="15"/>
      <c r="C268" s="16"/>
      <c r="D268" s="16"/>
      <c r="E268" s="16"/>
      <c r="F268" s="16"/>
      <c r="G268" s="16"/>
      <c r="H268" s="16"/>
      <c r="I268" s="16"/>
      <c r="J268" s="16"/>
      <c r="K268" s="16"/>
      <c r="L268" s="16"/>
      <c r="M268" s="25"/>
      <c r="N268" s="25"/>
      <c r="O268" s="16"/>
      <c r="P268" s="1"/>
      <c r="Q268" s="1"/>
      <c r="R268" s="8"/>
      <c r="S268" s="1"/>
      <c r="T268" s="8"/>
      <c r="U268" s="1"/>
      <c r="V268" s="1"/>
      <c r="W268" s="1"/>
      <c r="X268" s="1"/>
    </row>
    <row r="269" spans="1:24">
      <c r="A269" s="15"/>
      <c r="B269" s="15"/>
      <c r="C269" s="16"/>
      <c r="D269" s="16"/>
      <c r="E269" s="16"/>
      <c r="F269" s="16"/>
      <c r="G269" s="16"/>
      <c r="H269" s="16"/>
      <c r="I269" s="16"/>
      <c r="J269" s="16"/>
      <c r="K269" s="16"/>
      <c r="L269" s="16"/>
      <c r="M269" s="25"/>
      <c r="N269" s="25"/>
      <c r="O269" s="16"/>
      <c r="P269" s="1"/>
      <c r="Q269" s="1"/>
      <c r="R269" s="8"/>
      <c r="S269" s="1"/>
      <c r="T269" s="8"/>
      <c r="U269" s="1"/>
      <c r="V269" s="1"/>
      <c r="W269" s="1"/>
      <c r="X269" s="1"/>
    </row>
    <row r="270" spans="1:24">
      <c r="A270" s="15"/>
      <c r="B270" s="15"/>
      <c r="C270" s="16"/>
      <c r="D270" s="16"/>
      <c r="E270" s="16"/>
      <c r="F270" s="16"/>
      <c r="G270" s="16"/>
      <c r="H270" s="16"/>
      <c r="I270" s="16"/>
      <c r="J270" s="16"/>
      <c r="K270" s="16"/>
      <c r="L270" s="16"/>
      <c r="M270" s="25"/>
      <c r="N270" s="25"/>
      <c r="O270" s="16"/>
      <c r="P270" s="1"/>
      <c r="Q270" s="1"/>
      <c r="R270" s="8"/>
      <c r="S270" s="1"/>
      <c r="T270" s="8"/>
      <c r="U270" s="1"/>
      <c r="V270" s="1"/>
      <c r="W270" s="1"/>
      <c r="X270" s="1"/>
    </row>
    <row r="271" spans="1:24">
      <c r="A271" s="15"/>
      <c r="B271" s="15"/>
      <c r="C271" s="16"/>
      <c r="D271" s="16"/>
      <c r="E271" s="16"/>
      <c r="F271" s="16"/>
      <c r="G271" s="16"/>
      <c r="H271" s="16"/>
      <c r="I271" s="16"/>
      <c r="J271" s="16"/>
      <c r="K271" s="16"/>
      <c r="L271" s="16"/>
      <c r="M271" s="25"/>
      <c r="N271" s="25"/>
      <c r="O271" s="16"/>
      <c r="P271" s="1"/>
      <c r="Q271" s="1"/>
      <c r="R271" s="8"/>
      <c r="S271" s="1"/>
      <c r="T271" s="8"/>
      <c r="U271" s="1"/>
      <c r="V271" s="1"/>
      <c r="W271" s="1"/>
      <c r="X271" s="1"/>
    </row>
    <row r="272" spans="1:24">
      <c r="A272" s="15"/>
      <c r="B272" s="15"/>
      <c r="C272" s="16"/>
      <c r="D272" s="16"/>
      <c r="E272" s="16"/>
      <c r="F272" s="16"/>
      <c r="G272" s="16"/>
      <c r="H272" s="16"/>
      <c r="I272" s="16"/>
      <c r="J272" s="16"/>
      <c r="K272" s="16"/>
      <c r="L272" s="16"/>
      <c r="M272" s="25"/>
      <c r="N272" s="25"/>
      <c r="O272" s="16"/>
      <c r="P272" s="1"/>
      <c r="Q272" s="1"/>
      <c r="R272" s="8"/>
      <c r="S272" s="1"/>
      <c r="T272" s="8"/>
      <c r="U272" s="1"/>
      <c r="V272" s="1"/>
      <c r="W272" s="1"/>
      <c r="X272" s="1"/>
    </row>
    <row r="273" spans="1:24">
      <c r="A273" s="15"/>
      <c r="B273" s="15"/>
      <c r="C273" s="16"/>
      <c r="D273" s="16"/>
      <c r="E273" s="16"/>
      <c r="F273" s="16"/>
      <c r="G273" s="16"/>
      <c r="H273" s="16"/>
      <c r="I273" s="16"/>
      <c r="J273" s="16"/>
      <c r="K273" s="16"/>
      <c r="L273" s="16"/>
      <c r="M273" s="25"/>
      <c r="N273" s="25"/>
      <c r="O273" s="16"/>
      <c r="P273" s="1"/>
      <c r="Q273" s="1"/>
      <c r="R273" s="8"/>
      <c r="S273" s="1"/>
      <c r="T273" s="8"/>
      <c r="U273" s="1"/>
      <c r="V273" s="1"/>
      <c r="W273" s="1"/>
      <c r="X273" s="1"/>
    </row>
    <row r="274" spans="1:24">
      <c r="A274" s="15"/>
      <c r="B274" s="15"/>
      <c r="C274" s="16"/>
      <c r="D274" s="16"/>
      <c r="E274" s="16"/>
      <c r="F274" s="16"/>
      <c r="G274" s="16"/>
      <c r="H274" s="16"/>
      <c r="I274" s="16"/>
      <c r="J274" s="16"/>
      <c r="K274" s="16"/>
      <c r="L274" s="16"/>
      <c r="M274" s="25"/>
      <c r="N274" s="25"/>
      <c r="O274" s="16"/>
      <c r="P274" s="1"/>
      <c r="Q274" s="1"/>
      <c r="R274" s="8"/>
      <c r="S274" s="1"/>
      <c r="T274" s="8"/>
      <c r="U274" s="1"/>
      <c r="V274" s="1"/>
      <c r="W274" s="1"/>
      <c r="X274" s="1"/>
    </row>
    <row r="275" spans="1:24">
      <c r="A275" s="15"/>
      <c r="B275" s="15"/>
      <c r="C275" s="16"/>
      <c r="D275" s="16"/>
      <c r="E275" s="16"/>
      <c r="F275" s="16"/>
      <c r="G275" s="16"/>
      <c r="H275" s="16"/>
      <c r="I275" s="16"/>
      <c r="J275" s="16"/>
      <c r="K275" s="16"/>
      <c r="L275" s="16"/>
      <c r="M275" s="25"/>
      <c r="N275" s="25"/>
      <c r="O275" s="16"/>
      <c r="P275" s="1"/>
      <c r="Q275" s="1"/>
      <c r="R275" s="8"/>
      <c r="S275" s="1"/>
      <c r="T275" s="8"/>
      <c r="U275" s="1"/>
      <c r="V275" s="1"/>
      <c r="W275" s="1"/>
      <c r="X275" s="1"/>
    </row>
    <row r="276" spans="1:24">
      <c r="A276" s="15"/>
      <c r="B276" s="15"/>
      <c r="C276" s="16"/>
      <c r="D276" s="16"/>
      <c r="E276" s="16"/>
      <c r="F276" s="16"/>
      <c r="G276" s="16"/>
      <c r="H276" s="16"/>
      <c r="I276" s="16"/>
      <c r="J276" s="16"/>
      <c r="K276" s="16"/>
      <c r="L276" s="16"/>
      <c r="M276" s="25"/>
      <c r="N276" s="25"/>
      <c r="O276" s="16"/>
      <c r="P276" s="1"/>
      <c r="Q276" s="1"/>
      <c r="R276" s="8"/>
      <c r="S276" s="1"/>
      <c r="T276" s="8"/>
      <c r="U276" s="1"/>
      <c r="V276" s="1"/>
      <c r="W276" s="1"/>
      <c r="X276" s="1"/>
    </row>
    <row r="277" spans="1:24">
      <c r="A277" s="15"/>
      <c r="B277" s="15"/>
      <c r="C277" s="16"/>
      <c r="D277" s="16"/>
      <c r="E277" s="16"/>
      <c r="F277" s="16"/>
      <c r="G277" s="16"/>
      <c r="H277" s="16"/>
      <c r="I277" s="16"/>
      <c r="J277" s="16"/>
      <c r="K277" s="16"/>
      <c r="L277" s="16"/>
      <c r="M277" s="25"/>
      <c r="N277" s="25"/>
      <c r="O277" s="16"/>
      <c r="P277" s="1"/>
      <c r="Q277" s="1"/>
      <c r="R277" s="8"/>
      <c r="S277" s="1"/>
      <c r="T277" s="8"/>
      <c r="U277" s="1"/>
      <c r="V277" s="1"/>
      <c r="W277" s="1"/>
      <c r="X277" s="1"/>
    </row>
    <row r="278" spans="1:24">
      <c r="A278" s="15"/>
      <c r="B278" s="15"/>
      <c r="C278" s="16"/>
      <c r="D278" s="16"/>
      <c r="E278" s="16"/>
      <c r="F278" s="16"/>
      <c r="G278" s="16"/>
      <c r="H278" s="16"/>
      <c r="I278" s="16"/>
      <c r="J278" s="16"/>
      <c r="K278" s="16"/>
      <c r="L278" s="16"/>
      <c r="M278" s="25"/>
      <c r="N278" s="25"/>
      <c r="O278" s="16"/>
      <c r="P278" s="1"/>
      <c r="Q278" s="1"/>
      <c r="R278" s="8"/>
      <c r="S278" s="1"/>
      <c r="T278" s="8"/>
      <c r="U278" s="1"/>
      <c r="V278" s="1"/>
      <c r="W278" s="1"/>
      <c r="X278" s="1"/>
    </row>
    <row r="279" spans="1:24">
      <c r="A279" s="15"/>
      <c r="B279" s="15"/>
      <c r="C279" s="16"/>
      <c r="D279" s="16"/>
      <c r="E279" s="16"/>
      <c r="F279" s="16"/>
      <c r="G279" s="16"/>
      <c r="H279" s="16"/>
      <c r="I279" s="16"/>
      <c r="J279" s="16"/>
      <c r="K279" s="16"/>
      <c r="L279" s="16"/>
      <c r="M279" s="25"/>
      <c r="N279" s="25"/>
      <c r="O279" s="16"/>
      <c r="P279" s="1"/>
      <c r="Q279" s="1"/>
      <c r="R279" s="8"/>
      <c r="S279" s="1"/>
      <c r="T279" s="8"/>
      <c r="U279" s="1"/>
      <c r="V279" s="1"/>
      <c r="W279" s="1"/>
      <c r="X279" s="1"/>
    </row>
    <row r="280" spans="1:24">
      <c r="A280" s="15"/>
      <c r="B280" s="15"/>
      <c r="C280" s="16"/>
      <c r="D280" s="16"/>
      <c r="E280" s="16"/>
      <c r="F280" s="16"/>
      <c r="G280" s="16"/>
      <c r="H280" s="16"/>
      <c r="I280" s="16"/>
      <c r="J280" s="16"/>
      <c r="K280" s="16"/>
      <c r="L280" s="16"/>
      <c r="M280" s="25"/>
      <c r="N280" s="25"/>
      <c r="O280" s="16"/>
      <c r="P280" s="1"/>
      <c r="Q280" s="1"/>
      <c r="R280" s="8"/>
      <c r="S280" s="1"/>
      <c r="T280" s="8"/>
      <c r="U280" s="1"/>
      <c r="V280" s="1"/>
      <c r="W280" s="1"/>
      <c r="X280" s="1"/>
    </row>
    <row r="281" spans="1:24">
      <c r="A281" s="15"/>
      <c r="B281" s="15"/>
      <c r="C281" s="16"/>
      <c r="D281" s="16"/>
      <c r="E281" s="16"/>
      <c r="F281" s="16"/>
      <c r="G281" s="16"/>
      <c r="H281" s="16"/>
      <c r="I281" s="16"/>
      <c r="J281" s="16"/>
      <c r="K281" s="16"/>
      <c r="L281" s="16"/>
      <c r="M281" s="25"/>
      <c r="N281" s="25"/>
      <c r="O281" s="16"/>
      <c r="P281" s="1"/>
      <c r="Q281" s="1"/>
      <c r="R281" s="8"/>
      <c r="S281" s="1"/>
      <c r="T281" s="8"/>
      <c r="U281" s="1"/>
      <c r="V281" s="1"/>
      <c r="W281" s="1"/>
      <c r="X281" s="1"/>
    </row>
    <row r="282" spans="1:24">
      <c r="A282" s="15"/>
      <c r="B282" s="15"/>
      <c r="C282" s="16"/>
      <c r="D282" s="16"/>
      <c r="E282" s="16"/>
      <c r="F282" s="16"/>
      <c r="G282" s="16"/>
      <c r="H282" s="16"/>
      <c r="I282" s="16"/>
      <c r="J282" s="16"/>
      <c r="K282" s="16"/>
      <c r="L282" s="16"/>
      <c r="M282" s="25"/>
      <c r="N282" s="25"/>
      <c r="O282" s="16"/>
      <c r="P282" s="1"/>
      <c r="Q282" s="1"/>
      <c r="R282" s="8"/>
      <c r="S282" s="1"/>
      <c r="T282" s="8"/>
      <c r="U282" s="1"/>
      <c r="V282" s="1"/>
      <c r="W282" s="1"/>
      <c r="X282" s="1"/>
    </row>
    <row r="283" spans="1:24">
      <c r="A283" s="15"/>
      <c r="B283" s="15"/>
      <c r="C283" s="16"/>
      <c r="D283" s="16"/>
      <c r="E283" s="16"/>
      <c r="F283" s="16"/>
      <c r="G283" s="16"/>
      <c r="H283" s="16"/>
      <c r="I283" s="16"/>
      <c r="J283" s="16"/>
      <c r="K283" s="16"/>
      <c r="L283" s="16"/>
      <c r="M283" s="25"/>
      <c r="N283" s="25"/>
      <c r="O283" s="16"/>
      <c r="P283" s="1"/>
      <c r="Q283" s="1"/>
      <c r="R283" s="8"/>
      <c r="S283" s="1"/>
      <c r="T283" s="8"/>
      <c r="U283" s="1"/>
      <c r="V283" s="1"/>
      <c r="W283" s="1"/>
      <c r="X283" s="1"/>
    </row>
    <row r="284" spans="1:24">
      <c r="A284" s="15"/>
      <c r="B284" s="15"/>
      <c r="C284" s="16"/>
      <c r="D284" s="16"/>
      <c r="E284" s="16"/>
      <c r="F284" s="16"/>
      <c r="G284" s="16"/>
      <c r="H284" s="16"/>
      <c r="I284" s="16"/>
      <c r="J284" s="16"/>
      <c r="K284" s="16"/>
      <c r="L284" s="16"/>
      <c r="M284" s="25"/>
      <c r="N284" s="25"/>
      <c r="O284" s="16"/>
      <c r="P284" s="1"/>
      <c r="Q284" s="1"/>
      <c r="R284" s="8"/>
      <c r="S284" s="1"/>
      <c r="T284" s="8"/>
      <c r="U284" s="1"/>
      <c r="V284" s="1"/>
      <c r="W284" s="1"/>
      <c r="X284" s="1"/>
    </row>
    <row r="285" spans="1:24">
      <c r="A285" s="15"/>
      <c r="B285" s="15"/>
      <c r="C285" s="16"/>
      <c r="D285" s="16"/>
      <c r="E285" s="16"/>
      <c r="F285" s="16"/>
      <c r="G285" s="16"/>
      <c r="H285" s="16"/>
      <c r="I285" s="16"/>
      <c r="J285" s="16"/>
      <c r="K285" s="16"/>
      <c r="L285" s="16"/>
      <c r="M285" s="25"/>
      <c r="N285" s="25"/>
      <c r="O285" s="16"/>
      <c r="P285" s="1"/>
      <c r="Q285" s="1"/>
      <c r="R285" s="8"/>
      <c r="S285" s="1"/>
      <c r="T285" s="8"/>
      <c r="U285" s="1"/>
      <c r="V285" s="1"/>
      <c r="W285" s="1"/>
      <c r="X285" s="1"/>
    </row>
    <row r="286" spans="1:24">
      <c r="A286" s="15"/>
      <c r="B286" s="15"/>
      <c r="C286" s="16"/>
      <c r="D286" s="16"/>
      <c r="E286" s="16"/>
      <c r="F286" s="16"/>
      <c r="G286" s="16"/>
      <c r="H286" s="16"/>
      <c r="I286" s="16"/>
      <c r="J286" s="16"/>
      <c r="K286" s="16"/>
      <c r="L286" s="16"/>
      <c r="M286" s="25"/>
      <c r="N286" s="25"/>
      <c r="O286" s="16"/>
      <c r="P286" s="1"/>
      <c r="Q286" s="1"/>
      <c r="R286" s="8"/>
      <c r="S286" s="1"/>
      <c r="T286" s="8"/>
      <c r="U286" s="1"/>
      <c r="V286" s="1"/>
      <c r="W286" s="1"/>
      <c r="X286" s="1"/>
    </row>
    <row r="287" spans="1:24">
      <c r="A287" s="15"/>
      <c r="B287" s="15"/>
      <c r="C287" s="16"/>
      <c r="D287" s="16"/>
      <c r="E287" s="16"/>
      <c r="F287" s="16"/>
      <c r="G287" s="16"/>
      <c r="H287" s="16"/>
      <c r="I287" s="16"/>
      <c r="J287" s="16"/>
      <c r="K287" s="16"/>
      <c r="L287" s="16"/>
      <c r="M287" s="25"/>
      <c r="N287" s="25"/>
      <c r="O287" s="16"/>
      <c r="P287" s="1"/>
      <c r="Q287" s="1"/>
      <c r="R287" s="8"/>
      <c r="S287" s="1"/>
      <c r="T287" s="8"/>
      <c r="U287" s="1"/>
      <c r="V287" s="1"/>
      <c r="W287" s="1"/>
      <c r="X287" s="1"/>
    </row>
    <row r="288" spans="1:24">
      <c r="A288" s="15"/>
      <c r="B288" s="15"/>
      <c r="C288" s="16"/>
      <c r="D288" s="16"/>
      <c r="E288" s="16"/>
      <c r="F288" s="16"/>
      <c r="G288" s="16"/>
      <c r="H288" s="16"/>
      <c r="I288" s="16"/>
      <c r="J288" s="16"/>
      <c r="K288" s="16"/>
      <c r="L288" s="16"/>
      <c r="M288" s="25"/>
      <c r="N288" s="25"/>
      <c r="O288" s="16"/>
      <c r="P288" s="1"/>
      <c r="Q288" s="1"/>
      <c r="R288" s="8"/>
      <c r="S288" s="1"/>
      <c r="T288" s="8"/>
      <c r="U288" s="1"/>
      <c r="V288" s="1"/>
      <c r="W288" s="1"/>
      <c r="X288" s="1"/>
    </row>
    <row r="289" spans="1:24">
      <c r="A289" s="15"/>
      <c r="B289" s="15"/>
      <c r="C289" s="16"/>
      <c r="D289" s="16"/>
      <c r="E289" s="16"/>
      <c r="F289" s="16"/>
      <c r="G289" s="16"/>
      <c r="H289" s="16"/>
      <c r="I289" s="16"/>
      <c r="J289" s="16"/>
      <c r="K289" s="16"/>
      <c r="L289" s="16"/>
      <c r="M289" s="25"/>
      <c r="N289" s="25"/>
      <c r="O289" s="16"/>
      <c r="P289" s="1"/>
      <c r="Q289" s="1"/>
      <c r="R289" s="8"/>
      <c r="S289" s="1"/>
      <c r="T289" s="8"/>
      <c r="U289" s="1"/>
      <c r="V289" s="1"/>
      <c r="W289" s="1"/>
      <c r="X289" s="1"/>
    </row>
    <row r="290" spans="1:24">
      <c r="A290" s="15"/>
      <c r="B290" s="15"/>
      <c r="C290" s="16"/>
      <c r="D290" s="16"/>
      <c r="E290" s="16"/>
      <c r="F290" s="16"/>
      <c r="G290" s="16"/>
      <c r="H290" s="16"/>
      <c r="I290" s="16"/>
      <c r="J290" s="16"/>
      <c r="K290" s="16"/>
      <c r="L290" s="16"/>
      <c r="M290" s="25"/>
      <c r="N290" s="25"/>
      <c r="O290" s="16"/>
      <c r="P290" s="1"/>
      <c r="Q290" s="1"/>
      <c r="R290" s="8"/>
      <c r="S290" s="1"/>
      <c r="T290" s="8"/>
      <c r="U290" s="1"/>
      <c r="V290" s="1"/>
      <c r="W290" s="1"/>
      <c r="X290" s="1"/>
    </row>
    <row r="291" spans="1:24">
      <c r="A291" s="15"/>
      <c r="B291" s="15"/>
      <c r="C291" s="16"/>
      <c r="D291" s="16"/>
      <c r="E291" s="16"/>
      <c r="F291" s="16"/>
      <c r="G291" s="16"/>
      <c r="H291" s="16"/>
      <c r="I291" s="16"/>
      <c r="J291" s="16"/>
      <c r="K291" s="16"/>
      <c r="L291" s="16"/>
      <c r="M291" s="25"/>
      <c r="N291" s="25"/>
      <c r="O291" s="16"/>
      <c r="P291" s="1"/>
      <c r="Q291" s="1"/>
      <c r="R291" s="8"/>
      <c r="S291" s="1"/>
      <c r="T291" s="8"/>
      <c r="U291" s="1"/>
      <c r="V291" s="1"/>
      <c r="W291" s="1"/>
      <c r="X291" s="1"/>
    </row>
    <row r="292" spans="1:24">
      <c r="A292" s="15"/>
      <c r="B292" s="15"/>
      <c r="C292" s="16"/>
      <c r="D292" s="16"/>
      <c r="E292" s="16"/>
      <c r="F292" s="16"/>
      <c r="G292" s="16"/>
      <c r="H292" s="16"/>
      <c r="I292" s="16"/>
      <c r="J292" s="16"/>
      <c r="K292" s="16"/>
      <c r="L292" s="16"/>
      <c r="M292" s="25"/>
      <c r="N292" s="25"/>
      <c r="O292" s="16"/>
      <c r="P292" s="1"/>
      <c r="Q292" s="1"/>
      <c r="R292" s="8"/>
      <c r="S292" s="1"/>
      <c r="T292" s="8"/>
      <c r="U292" s="1"/>
      <c r="V292" s="1"/>
      <c r="W292" s="1"/>
      <c r="X292" s="1"/>
    </row>
    <row r="293" spans="1:24">
      <c r="A293" s="15"/>
      <c r="B293" s="15"/>
      <c r="C293" s="16"/>
      <c r="D293" s="16"/>
      <c r="E293" s="16"/>
      <c r="F293" s="16"/>
      <c r="G293" s="16"/>
      <c r="H293" s="16"/>
      <c r="I293" s="16"/>
      <c r="J293" s="16"/>
      <c r="K293" s="16"/>
      <c r="L293" s="16"/>
      <c r="M293" s="25"/>
      <c r="N293" s="25"/>
      <c r="O293" s="16"/>
      <c r="P293" s="1"/>
      <c r="Q293" s="1"/>
      <c r="R293" s="8"/>
      <c r="S293" s="1"/>
      <c r="T293" s="8"/>
      <c r="U293" s="1"/>
      <c r="V293" s="1"/>
      <c r="W293" s="1"/>
      <c r="X293" s="1"/>
    </row>
    <row r="294" spans="1:24">
      <c r="A294" s="15"/>
      <c r="B294" s="15"/>
      <c r="C294" s="16"/>
      <c r="D294" s="16"/>
      <c r="E294" s="16"/>
      <c r="F294" s="16"/>
      <c r="G294" s="16"/>
      <c r="H294" s="16"/>
      <c r="I294" s="16"/>
      <c r="J294" s="16"/>
      <c r="K294" s="16"/>
      <c r="L294" s="16"/>
      <c r="M294" s="25"/>
      <c r="N294" s="25"/>
      <c r="O294" s="16"/>
      <c r="P294" s="1"/>
      <c r="Q294" s="1"/>
      <c r="R294" s="8"/>
      <c r="S294" s="1"/>
      <c r="T294" s="8"/>
      <c r="U294" s="1"/>
      <c r="V294" s="1"/>
      <c r="W294" s="1"/>
      <c r="X294" s="1"/>
    </row>
    <row r="295" spans="1:24">
      <c r="A295" s="15"/>
      <c r="B295" s="15"/>
      <c r="C295" s="16"/>
      <c r="D295" s="16"/>
      <c r="E295" s="16"/>
      <c r="F295" s="16"/>
      <c r="G295" s="16"/>
      <c r="H295" s="16"/>
      <c r="I295" s="16"/>
      <c r="J295" s="16"/>
      <c r="K295" s="16"/>
      <c r="L295" s="16"/>
      <c r="M295" s="25"/>
      <c r="N295" s="25"/>
      <c r="O295" s="16"/>
      <c r="P295" s="1"/>
      <c r="Q295" s="1"/>
      <c r="R295" s="8"/>
      <c r="S295" s="1"/>
      <c r="T295" s="8"/>
      <c r="U295" s="1"/>
      <c r="V295" s="1"/>
      <c r="W295" s="1"/>
      <c r="X295" s="1"/>
    </row>
    <row r="296" spans="1:24">
      <c r="A296" s="15"/>
      <c r="B296" s="15"/>
      <c r="C296" s="16"/>
      <c r="D296" s="16"/>
      <c r="E296" s="16"/>
      <c r="F296" s="16"/>
      <c r="G296" s="16"/>
      <c r="H296" s="16"/>
      <c r="I296" s="16"/>
      <c r="J296" s="16"/>
      <c r="K296" s="16"/>
      <c r="L296" s="16"/>
      <c r="M296" s="25"/>
      <c r="N296" s="25"/>
      <c r="O296" s="16"/>
      <c r="P296" s="1"/>
      <c r="Q296" s="1"/>
      <c r="R296" s="8"/>
      <c r="S296" s="1"/>
      <c r="T296" s="8"/>
      <c r="U296" s="1"/>
      <c r="V296" s="1"/>
      <c r="W296" s="1"/>
      <c r="X296" s="1"/>
    </row>
    <row r="297" spans="1:24">
      <c r="A297" s="15"/>
      <c r="B297" s="15"/>
      <c r="C297" s="16"/>
      <c r="D297" s="16"/>
      <c r="E297" s="16"/>
      <c r="F297" s="16"/>
      <c r="G297" s="16"/>
      <c r="H297" s="16"/>
      <c r="I297" s="16"/>
      <c r="J297" s="16"/>
      <c r="K297" s="16"/>
      <c r="L297" s="16"/>
      <c r="M297" s="25"/>
      <c r="N297" s="25"/>
      <c r="O297" s="16"/>
      <c r="P297" s="1"/>
      <c r="Q297" s="1"/>
      <c r="R297" s="8"/>
      <c r="S297" s="1"/>
      <c r="T297" s="8"/>
      <c r="U297" s="1"/>
      <c r="V297" s="1"/>
      <c r="W297" s="1"/>
      <c r="X297" s="1"/>
    </row>
    <row r="298" spans="1:24">
      <c r="A298" s="15"/>
      <c r="B298" s="15"/>
      <c r="C298" s="16"/>
      <c r="D298" s="16"/>
      <c r="E298" s="16"/>
      <c r="F298" s="16"/>
      <c r="G298" s="16"/>
      <c r="H298" s="16"/>
      <c r="I298" s="16"/>
      <c r="J298" s="16"/>
      <c r="K298" s="16"/>
      <c r="L298" s="16"/>
      <c r="M298" s="25"/>
      <c r="N298" s="25"/>
      <c r="O298" s="16"/>
      <c r="P298" s="1"/>
      <c r="Q298" s="1"/>
      <c r="R298" s="8"/>
      <c r="S298" s="1"/>
      <c r="T298" s="8"/>
      <c r="U298" s="1"/>
      <c r="V298" s="1"/>
      <c r="W298" s="1"/>
      <c r="X298" s="1"/>
    </row>
    <row r="299" spans="1:24">
      <c r="A299" s="15"/>
      <c r="B299" s="15"/>
      <c r="C299" s="16"/>
      <c r="D299" s="16"/>
      <c r="E299" s="16"/>
      <c r="F299" s="16"/>
      <c r="G299" s="16"/>
      <c r="H299" s="16"/>
      <c r="I299" s="16"/>
      <c r="J299" s="16"/>
      <c r="K299" s="16"/>
      <c r="L299" s="16"/>
      <c r="M299" s="25"/>
      <c r="N299" s="25"/>
      <c r="O299" s="16"/>
      <c r="P299" s="1"/>
      <c r="Q299" s="1"/>
      <c r="R299" s="8"/>
      <c r="S299" s="1"/>
      <c r="T299" s="8"/>
      <c r="U299" s="1"/>
      <c r="V299" s="1"/>
      <c r="W299" s="1"/>
      <c r="X299" s="1"/>
    </row>
    <row r="300" spans="1:24">
      <c r="A300" s="15"/>
      <c r="B300" s="15"/>
      <c r="C300" s="16"/>
      <c r="D300" s="16"/>
      <c r="E300" s="16"/>
      <c r="F300" s="16"/>
      <c r="G300" s="16"/>
      <c r="H300" s="16"/>
      <c r="I300" s="16"/>
      <c r="J300" s="16"/>
      <c r="K300" s="16"/>
      <c r="L300" s="16"/>
      <c r="M300" s="25"/>
      <c r="N300" s="25"/>
      <c r="O300" s="16"/>
      <c r="P300" s="1"/>
      <c r="Q300" s="1"/>
      <c r="R300" s="8"/>
      <c r="S300" s="1"/>
      <c r="T300" s="8"/>
      <c r="U300" s="1"/>
      <c r="V300" s="1"/>
      <c r="W300" s="1"/>
      <c r="X300" s="1"/>
    </row>
    <row r="301" spans="1:24">
      <c r="A301" s="15"/>
      <c r="B301" s="15"/>
      <c r="C301" s="16"/>
      <c r="D301" s="16"/>
      <c r="E301" s="16"/>
      <c r="F301" s="16"/>
      <c r="G301" s="16"/>
      <c r="H301" s="16"/>
      <c r="I301" s="16"/>
      <c r="J301" s="16"/>
      <c r="K301" s="16"/>
      <c r="L301" s="16"/>
      <c r="M301" s="25"/>
      <c r="N301" s="25"/>
      <c r="O301" s="16"/>
      <c r="P301" s="1"/>
      <c r="Q301" s="1"/>
      <c r="R301" s="8"/>
      <c r="S301" s="1"/>
      <c r="T301" s="8"/>
      <c r="U301" s="1"/>
      <c r="V301" s="1"/>
      <c r="W301" s="1"/>
      <c r="X301" s="1"/>
    </row>
    <row r="302" spans="1:24">
      <c r="A302" s="15"/>
      <c r="B302" s="15"/>
      <c r="C302" s="16"/>
      <c r="D302" s="16"/>
      <c r="E302" s="16"/>
      <c r="F302" s="16"/>
      <c r="G302" s="16"/>
      <c r="H302" s="16"/>
      <c r="I302" s="16"/>
      <c r="J302" s="16"/>
      <c r="K302" s="16"/>
      <c r="L302" s="16"/>
      <c r="M302" s="25"/>
      <c r="N302" s="25"/>
      <c r="O302" s="16"/>
      <c r="P302" s="1"/>
      <c r="Q302" s="1"/>
      <c r="R302" s="8"/>
      <c r="S302" s="1"/>
      <c r="T302" s="8"/>
      <c r="U302" s="1"/>
      <c r="V302" s="1"/>
      <c r="W302" s="1"/>
      <c r="X302" s="1"/>
    </row>
    <row r="303" spans="1:24">
      <c r="A303" s="15"/>
      <c r="B303" s="15"/>
      <c r="C303" s="16"/>
      <c r="D303" s="16"/>
      <c r="E303" s="16"/>
      <c r="F303" s="16"/>
      <c r="G303" s="16"/>
      <c r="H303" s="16"/>
      <c r="I303" s="16"/>
      <c r="J303" s="16"/>
      <c r="K303" s="16"/>
      <c r="L303" s="16"/>
      <c r="M303" s="25"/>
      <c r="N303" s="25"/>
      <c r="O303" s="16"/>
      <c r="P303" s="1"/>
      <c r="Q303" s="1"/>
      <c r="R303" s="8"/>
      <c r="S303" s="1"/>
      <c r="T303" s="8"/>
      <c r="U303" s="1"/>
      <c r="V303" s="1"/>
      <c r="W303" s="1"/>
      <c r="X303" s="1"/>
    </row>
    <row r="304" spans="1:24">
      <c r="A304" s="15"/>
      <c r="B304" s="15"/>
      <c r="C304" s="16"/>
      <c r="D304" s="16"/>
      <c r="E304" s="16"/>
      <c r="F304" s="16"/>
      <c r="G304" s="16"/>
      <c r="H304" s="16"/>
      <c r="I304" s="16"/>
      <c r="J304" s="16"/>
      <c r="K304" s="16"/>
      <c r="L304" s="16"/>
      <c r="M304" s="25"/>
      <c r="N304" s="25"/>
      <c r="O304" s="16"/>
      <c r="P304" s="1"/>
      <c r="Q304" s="1"/>
      <c r="R304" s="8"/>
      <c r="S304" s="1"/>
      <c r="T304" s="8"/>
      <c r="U304" s="1"/>
      <c r="V304" s="1"/>
      <c r="W304" s="1"/>
      <c r="X304" s="1"/>
    </row>
    <row r="305" spans="1:24">
      <c r="A305" s="15"/>
      <c r="B305" s="15"/>
      <c r="C305" s="16"/>
      <c r="D305" s="16"/>
      <c r="E305" s="16"/>
      <c r="F305" s="16"/>
      <c r="G305" s="16"/>
      <c r="H305" s="16"/>
      <c r="I305" s="16"/>
      <c r="J305" s="16"/>
      <c r="K305" s="16"/>
      <c r="L305" s="16"/>
      <c r="M305" s="25"/>
      <c r="N305" s="25"/>
      <c r="O305" s="16"/>
      <c r="P305" s="1"/>
      <c r="Q305" s="1"/>
      <c r="R305" s="8"/>
      <c r="S305" s="1"/>
      <c r="T305" s="8"/>
      <c r="U305" s="1"/>
      <c r="V305" s="1"/>
      <c r="W305" s="1"/>
      <c r="X305" s="1"/>
    </row>
    <row r="306" spans="1:24">
      <c r="A306" s="15"/>
      <c r="B306" s="15"/>
      <c r="C306" s="16"/>
      <c r="D306" s="16"/>
      <c r="E306" s="16"/>
      <c r="F306" s="16"/>
      <c r="G306" s="16"/>
      <c r="H306" s="16"/>
      <c r="I306" s="16"/>
      <c r="J306" s="16"/>
      <c r="K306" s="16"/>
      <c r="L306" s="16"/>
      <c r="M306" s="25"/>
      <c r="N306" s="25"/>
      <c r="O306" s="16"/>
      <c r="P306" s="1"/>
      <c r="Q306" s="1"/>
      <c r="R306" s="8"/>
      <c r="S306" s="1"/>
      <c r="T306" s="8"/>
      <c r="U306" s="1"/>
      <c r="V306" s="1"/>
      <c r="W306" s="1"/>
      <c r="X306" s="1"/>
    </row>
    <row r="307" spans="1:24">
      <c r="A307" s="15"/>
      <c r="B307" s="15"/>
      <c r="C307" s="16"/>
      <c r="D307" s="16"/>
      <c r="E307" s="16"/>
      <c r="F307" s="16"/>
      <c r="G307" s="16"/>
      <c r="H307" s="16"/>
      <c r="I307" s="16"/>
      <c r="J307" s="16"/>
      <c r="K307" s="16"/>
      <c r="L307" s="16"/>
      <c r="M307" s="25"/>
      <c r="N307" s="25"/>
      <c r="O307" s="16"/>
      <c r="P307" s="1"/>
      <c r="Q307" s="1"/>
      <c r="R307" s="8"/>
      <c r="S307" s="1"/>
      <c r="T307" s="8"/>
      <c r="U307" s="1"/>
      <c r="V307" s="1"/>
      <c r="W307" s="1"/>
      <c r="X307" s="1"/>
    </row>
    <row r="308" spans="1:24">
      <c r="A308" s="15"/>
      <c r="B308" s="15"/>
      <c r="C308" s="16"/>
      <c r="D308" s="16"/>
      <c r="E308" s="16"/>
      <c r="F308" s="16"/>
      <c r="G308" s="16"/>
      <c r="H308" s="16"/>
      <c r="I308" s="16"/>
      <c r="J308" s="16"/>
      <c r="K308" s="16"/>
      <c r="L308" s="16"/>
      <c r="M308" s="25"/>
      <c r="N308" s="25"/>
      <c r="O308" s="16"/>
      <c r="P308" s="1"/>
      <c r="Q308" s="1"/>
      <c r="R308" s="8"/>
      <c r="S308" s="1"/>
      <c r="T308" s="8"/>
      <c r="U308" s="1"/>
      <c r="V308" s="1"/>
      <c r="W308" s="1"/>
      <c r="X308" s="1"/>
    </row>
    <row r="309" spans="1:24">
      <c r="A309" s="15"/>
      <c r="B309" s="15"/>
      <c r="C309" s="16"/>
      <c r="D309" s="16"/>
      <c r="E309" s="16"/>
      <c r="F309" s="16"/>
      <c r="G309" s="16"/>
      <c r="H309" s="16"/>
      <c r="I309" s="16"/>
      <c r="J309" s="16"/>
      <c r="K309" s="16"/>
      <c r="L309" s="16"/>
      <c r="M309" s="25"/>
      <c r="N309" s="25"/>
      <c r="O309" s="16"/>
      <c r="P309" s="1"/>
      <c r="Q309" s="1"/>
      <c r="R309" s="8"/>
      <c r="S309" s="1"/>
      <c r="T309" s="8"/>
      <c r="U309" s="1"/>
      <c r="V309" s="1"/>
      <c r="W309" s="1"/>
      <c r="X309" s="1"/>
    </row>
    <row r="310" spans="1:24">
      <c r="A310" s="15"/>
      <c r="B310" s="15"/>
      <c r="C310" s="16"/>
      <c r="D310" s="16"/>
      <c r="E310" s="16"/>
      <c r="F310" s="16"/>
      <c r="G310" s="16"/>
      <c r="H310" s="16"/>
      <c r="I310" s="16"/>
      <c r="J310" s="16"/>
      <c r="K310" s="16"/>
      <c r="L310" s="16"/>
      <c r="M310" s="25"/>
      <c r="N310" s="25"/>
      <c r="O310" s="16"/>
      <c r="P310" s="1"/>
      <c r="Q310" s="1"/>
      <c r="R310" s="8"/>
      <c r="S310" s="1"/>
      <c r="T310" s="8"/>
      <c r="U310" s="1"/>
      <c r="V310" s="1"/>
      <c r="W310" s="1"/>
      <c r="X310" s="1"/>
    </row>
    <row r="311" spans="1:24">
      <c r="A311" s="15"/>
      <c r="B311" s="15"/>
      <c r="C311" s="16"/>
      <c r="D311" s="16"/>
      <c r="E311" s="16"/>
      <c r="F311" s="16"/>
      <c r="G311" s="16"/>
      <c r="H311" s="16"/>
      <c r="I311" s="16"/>
      <c r="J311" s="16"/>
      <c r="K311" s="16"/>
      <c r="L311" s="16"/>
      <c r="M311" s="25"/>
      <c r="N311" s="25"/>
      <c r="O311" s="16"/>
      <c r="P311" s="1"/>
      <c r="Q311" s="1"/>
      <c r="R311" s="8"/>
      <c r="S311" s="1"/>
      <c r="T311" s="8"/>
      <c r="U311" s="1"/>
      <c r="V311" s="1"/>
      <c r="W311" s="1"/>
      <c r="X311" s="1"/>
    </row>
    <row r="312" spans="1:24">
      <c r="A312" s="15"/>
      <c r="B312" s="15"/>
      <c r="C312" s="16"/>
      <c r="D312" s="16"/>
      <c r="E312" s="16"/>
      <c r="F312" s="16"/>
      <c r="G312" s="16"/>
      <c r="H312" s="16"/>
      <c r="I312" s="16"/>
      <c r="J312" s="16"/>
      <c r="K312" s="16"/>
      <c r="L312" s="16"/>
      <c r="M312" s="25"/>
      <c r="N312" s="25"/>
      <c r="O312" s="16"/>
      <c r="P312" s="1"/>
      <c r="Q312" s="1"/>
      <c r="R312" s="8"/>
      <c r="S312" s="1"/>
      <c r="T312" s="8"/>
      <c r="U312" s="1"/>
      <c r="V312" s="1"/>
      <c r="W312" s="1"/>
      <c r="X312" s="1"/>
    </row>
    <row r="313" spans="1:24">
      <c r="A313" s="15"/>
      <c r="B313" s="15"/>
      <c r="C313" s="16"/>
      <c r="D313" s="16"/>
      <c r="E313" s="16"/>
      <c r="F313" s="16"/>
      <c r="G313" s="16"/>
      <c r="H313" s="16"/>
      <c r="I313" s="16"/>
      <c r="J313" s="16"/>
      <c r="K313" s="16"/>
      <c r="L313" s="16"/>
      <c r="M313" s="25"/>
      <c r="N313" s="25"/>
      <c r="O313" s="16"/>
      <c r="P313" s="1"/>
      <c r="Q313" s="1"/>
      <c r="R313" s="8"/>
      <c r="S313" s="1"/>
      <c r="T313" s="8"/>
      <c r="U313" s="1"/>
      <c r="V313" s="1"/>
      <c r="W313" s="1"/>
      <c r="X313" s="1"/>
    </row>
    <row r="314" spans="1:24">
      <c r="A314" s="15"/>
      <c r="B314" s="15"/>
      <c r="C314" s="16"/>
      <c r="D314" s="16"/>
      <c r="E314" s="16"/>
      <c r="F314" s="16"/>
      <c r="G314" s="16"/>
      <c r="H314" s="16"/>
      <c r="I314" s="16"/>
      <c r="J314" s="16"/>
      <c r="K314" s="16"/>
      <c r="L314" s="16"/>
      <c r="M314" s="25"/>
      <c r="N314" s="25"/>
      <c r="O314" s="16"/>
      <c r="P314" s="1"/>
      <c r="Q314" s="1"/>
      <c r="R314" s="8"/>
      <c r="S314" s="1"/>
      <c r="T314" s="8"/>
      <c r="U314" s="1"/>
      <c r="V314" s="1"/>
      <c r="W314" s="1"/>
      <c r="X314" s="1"/>
    </row>
    <row r="315" spans="1:24">
      <c r="A315" s="15"/>
      <c r="B315" s="15"/>
      <c r="C315" s="16"/>
      <c r="D315" s="16"/>
      <c r="E315" s="16"/>
      <c r="F315" s="16"/>
      <c r="G315" s="16"/>
      <c r="H315" s="16"/>
      <c r="I315" s="16"/>
      <c r="J315" s="16"/>
      <c r="K315" s="16"/>
      <c r="L315" s="16"/>
      <c r="M315" s="25"/>
      <c r="N315" s="25"/>
      <c r="O315" s="16"/>
      <c r="P315" s="1"/>
      <c r="Q315" s="1"/>
      <c r="R315" s="8"/>
      <c r="S315" s="1"/>
      <c r="T315" s="8"/>
      <c r="U315" s="1"/>
      <c r="V315" s="1"/>
      <c r="W315" s="1"/>
      <c r="X315" s="1"/>
    </row>
    <row r="316" spans="1:24">
      <c r="A316" s="15"/>
      <c r="B316" s="15"/>
      <c r="C316" s="16"/>
      <c r="D316" s="16"/>
      <c r="E316" s="16"/>
      <c r="F316" s="16"/>
      <c r="G316" s="16"/>
      <c r="H316" s="16"/>
      <c r="I316" s="16"/>
      <c r="J316" s="16"/>
      <c r="K316" s="16"/>
      <c r="L316" s="16"/>
      <c r="M316" s="25"/>
      <c r="N316" s="25"/>
      <c r="O316" s="16"/>
      <c r="P316" s="1"/>
      <c r="Q316" s="1"/>
      <c r="R316" s="8"/>
      <c r="S316" s="1"/>
      <c r="T316" s="8"/>
      <c r="U316" s="1"/>
      <c r="V316" s="1"/>
      <c r="W316" s="1"/>
      <c r="X316" s="1"/>
    </row>
    <row r="317" spans="1:24">
      <c r="A317" s="15"/>
      <c r="B317" s="15"/>
      <c r="C317" s="16"/>
      <c r="D317" s="16"/>
      <c r="E317" s="16"/>
      <c r="F317" s="16"/>
      <c r="G317" s="16"/>
      <c r="H317" s="16"/>
      <c r="I317" s="16"/>
      <c r="J317" s="16"/>
      <c r="K317" s="16"/>
      <c r="L317" s="16"/>
      <c r="M317" s="25"/>
      <c r="N317" s="25"/>
      <c r="O317" s="16"/>
      <c r="P317" s="1"/>
      <c r="Q317" s="1"/>
      <c r="R317" s="8"/>
      <c r="S317" s="1"/>
      <c r="T317" s="8"/>
      <c r="U317" s="1"/>
      <c r="V317" s="1"/>
      <c r="W317" s="1"/>
      <c r="X317" s="1"/>
    </row>
    <row r="318" spans="1:24">
      <c r="A318" s="15"/>
      <c r="B318" s="15"/>
      <c r="C318" s="16"/>
      <c r="D318" s="16"/>
      <c r="E318" s="16"/>
      <c r="F318" s="16"/>
      <c r="G318" s="16"/>
      <c r="H318" s="16"/>
      <c r="I318" s="16"/>
      <c r="J318" s="16"/>
      <c r="K318" s="16"/>
      <c r="L318" s="16"/>
      <c r="M318" s="25"/>
      <c r="N318" s="25"/>
      <c r="O318" s="16"/>
      <c r="P318" s="1"/>
      <c r="Q318" s="1"/>
      <c r="R318" s="8"/>
      <c r="S318" s="1"/>
      <c r="T318" s="8"/>
      <c r="U318" s="1"/>
      <c r="V318" s="1"/>
      <c r="W318" s="1"/>
      <c r="X318" s="1"/>
    </row>
    <row r="319" spans="1:24">
      <c r="A319" s="15"/>
      <c r="B319" s="15"/>
      <c r="C319" s="16"/>
      <c r="D319" s="16"/>
      <c r="E319" s="16"/>
      <c r="F319" s="16"/>
      <c r="G319" s="16"/>
      <c r="H319" s="16"/>
      <c r="I319" s="16"/>
      <c r="J319" s="16"/>
      <c r="K319" s="16"/>
      <c r="L319" s="16"/>
      <c r="M319" s="25"/>
      <c r="N319" s="25"/>
      <c r="O319" s="16"/>
      <c r="P319" s="1"/>
      <c r="Q319" s="1"/>
      <c r="R319" s="8"/>
      <c r="S319" s="1"/>
      <c r="T319" s="8"/>
      <c r="U319" s="1"/>
      <c r="V319" s="1"/>
      <c r="W319" s="1"/>
      <c r="X319" s="1"/>
    </row>
    <row r="320" spans="1:24">
      <c r="A320" s="15"/>
      <c r="B320" s="15"/>
      <c r="C320" s="16"/>
      <c r="D320" s="16"/>
      <c r="E320" s="16"/>
      <c r="F320" s="16"/>
      <c r="G320" s="16"/>
      <c r="H320" s="16"/>
      <c r="I320" s="16"/>
      <c r="J320" s="16"/>
      <c r="K320" s="16"/>
      <c r="L320" s="16"/>
      <c r="M320" s="25"/>
      <c r="N320" s="25"/>
      <c r="O320" s="16"/>
      <c r="P320" s="1"/>
      <c r="Q320" s="1"/>
      <c r="R320" s="8"/>
      <c r="S320" s="1"/>
      <c r="T320" s="8"/>
      <c r="U320" s="1"/>
      <c r="V320" s="1"/>
      <c r="W320" s="1"/>
      <c r="X320" s="1"/>
    </row>
    <row r="321" spans="1:24">
      <c r="A321" s="15"/>
      <c r="B321" s="15"/>
      <c r="C321" s="16"/>
      <c r="D321" s="16"/>
      <c r="E321" s="16"/>
      <c r="F321" s="16"/>
      <c r="G321" s="16"/>
      <c r="H321" s="16"/>
      <c r="I321" s="16"/>
      <c r="J321" s="16"/>
      <c r="K321" s="16"/>
      <c r="L321" s="16"/>
      <c r="M321" s="25"/>
      <c r="N321" s="25"/>
      <c r="O321" s="16"/>
      <c r="P321" s="1"/>
      <c r="Q321" s="1"/>
      <c r="R321" s="8"/>
      <c r="S321" s="1"/>
      <c r="T321" s="8"/>
      <c r="U321" s="1"/>
      <c r="V321" s="1"/>
      <c r="W321" s="1"/>
      <c r="X321" s="1"/>
    </row>
    <row r="322" spans="1:24">
      <c r="A322" s="15"/>
      <c r="B322" s="15"/>
      <c r="C322" s="16"/>
      <c r="D322" s="16"/>
      <c r="E322" s="16"/>
      <c r="F322" s="16"/>
      <c r="G322" s="16"/>
      <c r="H322" s="16"/>
      <c r="I322" s="16"/>
      <c r="J322" s="16"/>
      <c r="K322" s="16"/>
      <c r="L322" s="16"/>
      <c r="M322" s="25"/>
      <c r="N322" s="25"/>
      <c r="O322" s="16"/>
      <c r="P322" s="1"/>
      <c r="Q322" s="1"/>
      <c r="R322" s="8"/>
      <c r="S322" s="1"/>
      <c r="T322" s="8"/>
      <c r="U322" s="1"/>
      <c r="V322" s="1"/>
      <c r="W322" s="1"/>
      <c r="X322" s="1"/>
    </row>
    <row r="323" spans="1:24">
      <c r="A323" s="15"/>
      <c r="B323" s="15"/>
      <c r="C323" s="16"/>
      <c r="D323" s="16"/>
      <c r="E323" s="16"/>
      <c r="F323" s="16"/>
      <c r="G323" s="16"/>
      <c r="H323" s="16"/>
      <c r="I323" s="16"/>
      <c r="J323" s="16"/>
      <c r="K323" s="16"/>
      <c r="L323" s="16"/>
      <c r="M323" s="25"/>
      <c r="N323" s="25"/>
      <c r="O323" s="16"/>
      <c r="P323" s="1"/>
      <c r="Q323" s="1"/>
      <c r="R323" s="8"/>
      <c r="S323" s="1"/>
      <c r="T323" s="8"/>
      <c r="U323" s="1"/>
      <c r="V323" s="1"/>
      <c r="W323" s="1"/>
      <c r="X323" s="1"/>
    </row>
    <row r="324" spans="1:24">
      <c r="A324" s="15"/>
      <c r="B324" s="15"/>
      <c r="C324" s="16"/>
      <c r="D324" s="16"/>
      <c r="E324" s="16"/>
      <c r="F324" s="16"/>
      <c r="G324" s="16"/>
      <c r="H324" s="16"/>
      <c r="I324" s="16"/>
      <c r="J324" s="16"/>
      <c r="K324" s="16"/>
      <c r="L324" s="16"/>
      <c r="M324" s="25"/>
      <c r="N324" s="25"/>
      <c r="O324" s="16"/>
      <c r="P324" s="1"/>
      <c r="Q324" s="1"/>
      <c r="R324" s="8"/>
      <c r="S324" s="1"/>
      <c r="T324" s="8"/>
      <c r="U324" s="1"/>
      <c r="V324" s="1"/>
      <c r="W324" s="1"/>
      <c r="X324" s="1"/>
    </row>
    <row r="325" spans="1:24">
      <c r="A325" s="15"/>
      <c r="B325" s="15"/>
      <c r="C325" s="16"/>
      <c r="D325" s="16"/>
      <c r="E325" s="16"/>
      <c r="F325" s="16"/>
      <c r="G325" s="16"/>
      <c r="H325" s="16"/>
      <c r="I325" s="16"/>
      <c r="J325" s="16"/>
      <c r="K325" s="16"/>
      <c r="L325" s="16"/>
      <c r="M325" s="25"/>
      <c r="N325" s="25"/>
      <c r="O325" s="16"/>
      <c r="P325" s="1"/>
      <c r="Q325" s="1"/>
      <c r="R325" s="8"/>
      <c r="S325" s="1"/>
      <c r="T325" s="8"/>
      <c r="U325" s="1"/>
      <c r="V325" s="1"/>
      <c r="W325" s="1"/>
      <c r="X325" s="1"/>
    </row>
    <row r="326" spans="1:24">
      <c r="A326" s="15"/>
      <c r="B326" s="15"/>
      <c r="C326" s="16"/>
      <c r="D326" s="16"/>
      <c r="E326" s="16"/>
      <c r="F326" s="16"/>
      <c r="G326" s="16"/>
      <c r="H326" s="16"/>
      <c r="I326" s="16"/>
      <c r="J326" s="16"/>
      <c r="K326" s="16"/>
      <c r="L326" s="16"/>
      <c r="M326" s="25"/>
      <c r="N326" s="25"/>
      <c r="O326" s="16"/>
      <c r="P326" s="1"/>
      <c r="Q326" s="1"/>
      <c r="R326" s="8"/>
      <c r="S326" s="1"/>
      <c r="T326" s="8"/>
      <c r="U326" s="1"/>
      <c r="V326" s="1"/>
      <c r="W326" s="1"/>
      <c r="X326" s="1"/>
    </row>
    <row r="327" spans="1:24">
      <c r="A327" s="15"/>
      <c r="B327" s="15"/>
      <c r="C327" s="16"/>
      <c r="D327" s="16"/>
      <c r="E327" s="16"/>
      <c r="F327" s="16"/>
      <c r="G327" s="16"/>
      <c r="H327" s="16"/>
      <c r="I327" s="16"/>
      <c r="J327" s="16"/>
      <c r="K327" s="16"/>
      <c r="L327" s="16"/>
      <c r="M327" s="25"/>
      <c r="N327" s="25"/>
      <c r="O327" s="16"/>
      <c r="P327" s="1"/>
      <c r="Q327" s="1"/>
      <c r="R327" s="8"/>
      <c r="S327" s="1"/>
      <c r="T327" s="8"/>
      <c r="U327" s="1"/>
      <c r="V327" s="1"/>
      <c r="W327" s="1"/>
      <c r="X327" s="1"/>
    </row>
    <row r="328" spans="1:24">
      <c r="A328" s="15"/>
      <c r="B328" s="15"/>
      <c r="C328" s="16"/>
      <c r="D328" s="16"/>
      <c r="E328" s="16"/>
      <c r="F328" s="16"/>
      <c r="G328" s="16"/>
      <c r="H328" s="16"/>
      <c r="I328" s="16"/>
      <c r="J328" s="16"/>
      <c r="K328" s="16"/>
      <c r="L328" s="16"/>
      <c r="M328" s="25"/>
      <c r="N328" s="25"/>
      <c r="O328" s="16"/>
      <c r="P328" s="1"/>
      <c r="Q328" s="1"/>
      <c r="R328" s="8"/>
      <c r="S328" s="1"/>
      <c r="T328" s="8"/>
      <c r="U328" s="1"/>
      <c r="V328" s="1"/>
      <c r="W328" s="1"/>
      <c r="X328" s="1"/>
    </row>
    <row r="329" spans="1:24">
      <c r="A329" s="15"/>
      <c r="B329" s="15"/>
      <c r="C329" s="16"/>
      <c r="D329" s="16"/>
      <c r="E329" s="16"/>
      <c r="F329" s="16"/>
      <c r="G329" s="16"/>
      <c r="H329" s="16"/>
      <c r="I329" s="16"/>
      <c r="J329" s="16"/>
      <c r="K329" s="16"/>
      <c r="L329" s="16"/>
      <c r="M329" s="25"/>
      <c r="N329" s="25"/>
      <c r="O329" s="16"/>
      <c r="P329" s="1"/>
      <c r="Q329" s="1"/>
      <c r="R329" s="8"/>
      <c r="S329" s="1"/>
      <c r="T329" s="8"/>
      <c r="U329" s="1"/>
      <c r="V329" s="1"/>
      <c r="W329" s="1"/>
      <c r="X329" s="1"/>
    </row>
    <row r="330" spans="1:24">
      <c r="A330" s="15"/>
      <c r="B330" s="15"/>
      <c r="C330" s="16"/>
      <c r="D330" s="16"/>
      <c r="E330" s="16"/>
      <c r="F330" s="16"/>
      <c r="G330" s="16"/>
      <c r="H330" s="16"/>
      <c r="I330" s="16"/>
      <c r="J330" s="16"/>
      <c r="K330" s="16"/>
      <c r="L330" s="16"/>
      <c r="M330" s="25"/>
      <c r="N330" s="25"/>
      <c r="O330" s="16"/>
      <c r="P330" s="1"/>
      <c r="Q330" s="1"/>
      <c r="R330" s="8"/>
      <c r="S330" s="1"/>
      <c r="T330" s="8"/>
      <c r="U330" s="1"/>
      <c r="V330" s="1"/>
      <c r="W330" s="1"/>
      <c r="X330" s="1"/>
    </row>
    <row r="331" spans="1:24">
      <c r="A331" s="15"/>
      <c r="B331" s="15"/>
      <c r="C331" s="16"/>
      <c r="D331" s="16"/>
      <c r="E331" s="16"/>
      <c r="F331" s="16"/>
      <c r="G331" s="16"/>
      <c r="H331" s="16"/>
      <c r="I331" s="16"/>
      <c r="J331" s="16"/>
      <c r="K331" s="16"/>
      <c r="L331" s="16"/>
      <c r="M331" s="25"/>
      <c r="N331" s="25"/>
      <c r="O331" s="16"/>
      <c r="P331" s="1"/>
      <c r="Q331" s="1"/>
      <c r="R331" s="8"/>
      <c r="S331" s="1"/>
      <c r="T331" s="8"/>
      <c r="U331" s="1"/>
      <c r="V331" s="1"/>
      <c r="W331" s="1"/>
      <c r="X331" s="1"/>
    </row>
    <row r="332" spans="1:24">
      <c r="A332" s="15"/>
      <c r="B332" s="15"/>
      <c r="C332" s="16"/>
      <c r="D332" s="16"/>
      <c r="E332" s="16"/>
      <c r="F332" s="16"/>
      <c r="G332" s="16"/>
      <c r="H332" s="16"/>
      <c r="I332" s="16"/>
      <c r="J332" s="16"/>
      <c r="K332" s="16"/>
      <c r="L332" s="16"/>
      <c r="M332" s="25"/>
      <c r="N332" s="25"/>
      <c r="O332" s="16"/>
      <c r="P332" s="1"/>
      <c r="Q332" s="1"/>
      <c r="R332" s="8"/>
      <c r="S332" s="1"/>
      <c r="T332" s="8"/>
      <c r="U332" s="1"/>
      <c r="V332" s="1"/>
      <c r="W332" s="1"/>
      <c r="X332" s="1"/>
    </row>
    <row r="333" spans="1:24">
      <c r="A333" s="15"/>
      <c r="B333" s="15"/>
      <c r="C333" s="16"/>
      <c r="D333" s="16"/>
      <c r="E333" s="16"/>
      <c r="F333" s="16"/>
      <c r="G333" s="16"/>
      <c r="H333" s="16"/>
      <c r="I333" s="16"/>
      <c r="J333" s="16"/>
      <c r="K333" s="16"/>
      <c r="L333" s="16"/>
      <c r="M333" s="25"/>
      <c r="N333" s="25"/>
      <c r="O333" s="16"/>
      <c r="P333" s="1"/>
      <c r="Q333" s="1"/>
      <c r="R333" s="8"/>
      <c r="S333" s="1"/>
      <c r="T333" s="8"/>
      <c r="U333" s="1"/>
      <c r="V333" s="1"/>
      <c r="W333" s="1"/>
      <c r="X333" s="1"/>
    </row>
    <row r="334" spans="1:24">
      <c r="A334" s="15"/>
      <c r="B334" s="15"/>
      <c r="C334" s="16"/>
      <c r="D334" s="16"/>
      <c r="E334" s="16"/>
      <c r="F334" s="16"/>
      <c r="G334" s="16"/>
      <c r="H334" s="16"/>
      <c r="I334" s="16"/>
      <c r="J334" s="16"/>
      <c r="K334" s="16"/>
      <c r="L334" s="16"/>
      <c r="M334" s="25"/>
      <c r="N334" s="25"/>
      <c r="O334" s="16"/>
      <c r="P334" s="1"/>
      <c r="Q334" s="1"/>
      <c r="R334" s="8"/>
      <c r="S334" s="1"/>
      <c r="T334" s="8"/>
      <c r="U334" s="1"/>
      <c r="V334" s="1"/>
      <c r="W334" s="1"/>
      <c r="X334" s="1"/>
    </row>
    <row r="335" spans="1:24">
      <c r="A335" s="15"/>
      <c r="B335" s="15"/>
      <c r="C335" s="16"/>
      <c r="D335" s="16"/>
      <c r="E335" s="16"/>
      <c r="F335" s="16"/>
      <c r="G335" s="16"/>
      <c r="H335" s="16"/>
      <c r="I335" s="16"/>
      <c r="J335" s="16"/>
      <c r="K335" s="16"/>
      <c r="L335" s="16"/>
      <c r="M335" s="25"/>
      <c r="N335" s="25"/>
      <c r="O335" s="16"/>
      <c r="P335" s="1"/>
      <c r="Q335" s="1"/>
      <c r="R335" s="8"/>
      <c r="S335" s="1"/>
      <c r="T335" s="8"/>
      <c r="U335" s="1"/>
      <c r="V335" s="1"/>
      <c r="W335" s="1"/>
      <c r="X335" s="1"/>
    </row>
    <row r="336" spans="1:24">
      <c r="A336" s="15"/>
      <c r="B336" s="15"/>
      <c r="C336" s="16"/>
      <c r="D336" s="16"/>
      <c r="E336" s="16"/>
      <c r="F336" s="16"/>
      <c r="G336" s="16"/>
      <c r="H336" s="16"/>
      <c r="I336" s="16"/>
      <c r="J336" s="16"/>
      <c r="K336" s="16"/>
      <c r="L336" s="16"/>
      <c r="M336" s="25"/>
      <c r="N336" s="25"/>
      <c r="O336" s="16"/>
      <c r="P336" s="1"/>
      <c r="Q336" s="1"/>
      <c r="R336" s="8"/>
      <c r="S336" s="1"/>
      <c r="T336" s="8"/>
      <c r="U336" s="1"/>
      <c r="V336" s="1"/>
      <c r="W336" s="1"/>
      <c r="X336" s="1"/>
    </row>
    <row r="337" spans="1:24">
      <c r="A337" s="15"/>
      <c r="B337" s="15"/>
      <c r="C337" s="16"/>
      <c r="D337" s="16"/>
      <c r="E337" s="16"/>
      <c r="F337" s="16"/>
      <c r="G337" s="16"/>
      <c r="H337" s="16"/>
      <c r="I337" s="16"/>
      <c r="J337" s="16"/>
      <c r="K337" s="16"/>
      <c r="L337" s="16"/>
      <c r="M337" s="25"/>
      <c r="N337" s="25"/>
      <c r="O337" s="16"/>
      <c r="P337" s="1"/>
      <c r="Q337" s="1"/>
      <c r="R337" s="8"/>
      <c r="S337" s="1"/>
      <c r="T337" s="8"/>
      <c r="U337" s="1"/>
      <c r="V337" s="1"/>
      <c r="W337" s="1"/>
      <c r="X337" s="1"/>
    </row>
    <row r="338" spans="1:24">
      <c r="A338" s="15"/>
      <c r="B338" s="15"/>
      <c r="C338" s="16"/>
      <c r="D338" s="16"/>
      <c r="E338" s="16"/>
      <c r="F338" s="16"/>
      <c r="G338" s="16"/>
      <c r="H338" s="16"/>
      <c r="I338" s="16"/>
      <c r="J338" s="16"/>
      <c r="K338" s="16"/>
      <c r="L338" s="16"/>
      <c r="M338" s="25"/>
      <c r="N338" s="25"/>
      <c r="O338" s="16"/>
      <c r="P338" s="1"/>
      <c r="Q338" s="1"/>
      <c r="R338" s="8"/>
      <c r="S338" s="1"/>
      <c r="T338" s="8"/>
      <c r="U338" s="1"/>
      <c r="V338" s="1"/>
      <c r="W338" s="1"/>
      <c r="X338" s="1"/>
    </row>
    <row r="339" spans="1:24">
      <c r="A339" s="15"/>
      <c r="B339" s="15"/>
      <c r="C339" s="16"/>
      <c r="D339" s="16"/>
      <c r="E339" s="16"/>
      <c r="F339" s="16"/>
      <c r="G339" s="16"/>
      <c r="H339" s="16"/>
      <c r="I339" s="16"/>
      <c r="J339" s="16"/>
      <c r="K339" s="16"/>
      <c r="L339" s="16"/>
      <c r="M339" s="25"/>
      <c r="N339" s="25"/>
      <c r="O339" s="16"/>
      <c r="P339" s="1"/>
      <c r="Q339" s="1"/>
      <c r="R339" s="8"/>
      <c r="S339" s="1"/>
      <c r="T339" s="8"/>
      <c r="U339" s="1"/>
      <c r="V339" s="1"/>
      <c r="W339" s="1"/>
      <c r="X339" s="1"/>
    </row>
    <row r="340" spans="1:24">
      <c r="A340" s="15"/>
      <c r="B340" s="15"/>
      <c r="C340" s="16"/>
      <c r="D340" s="16"/>
      <c r="E340" s="16"/>
      <c r="F340" s="16"/>
      <c r="G340" s="16"/>
      <c r="H340" s="16"/>
      <c r="I340" s="16"/>
      <c r="J340" s="16"/>
      <c r="K340" s="16"/>
      <c r="L340" s="16"/>
      <c r="M340" s="25"/>
      <c r="N340" s="25"/>
      <c r="O340" s="16"/>
      <c r="P340" s="1"/>
      <c r="Q340" s="1"/>
      <c r="R340" s="8"/>
      <c r="S340" s="1"/>
      <c r="T340" s="8"/>
      <c r="U340" s="1"/>
      <c r="V340" s="1"/>
      <c r="W340" s="1"/>
      <c r="X340" s="1"/>
    </row>
    <row r="341" spans="1:24">
      <c r="A341" s="15"/>
      <c r="B341" s="15"/>
      <c r="C341" s="16"/>
      <c r="D341" s="16"/>
      <c r="E341" s="16"/>
      <c r="F341" s="16"/>
      <c r="G341" s="16"/>
      <c r="H341" s="16"/>
      <c r="I341" s="16"/>
      <c r="J341" s="16"/>
      <c r="K341" s="16"/>
      <c r="L341" s="16"/>
      <c r="M341" s="25"/>
      <c r="N341" s="25"/>
      <c r="O341" s="16"/>
      <c r="P341" s="1"/>
      <c r="Q341" s="1"/>
      <c r="R341" s="8"/>
      <c r="S341" s="1"/>
      <c r="T341" s="8"/>
      <c r="U341" s="1"/>
      <c r="V341" s="1"/>
      <c r="W341" s="1"/>
      <c r="X341" s="1"/>
    </row>
    <row r="342" spans="1:24">
      <c r="A342" s="15"/>
      <c r="B342" s="15"/>
      <c r="C342" s="16"/>
      <c r="D342" s="16"/>
      <c r="E342" s="16"/>
      <c r="F342" s="16"/>
      <c r="G342" s="16"/>
      <c r="H342" s="16"/>
      <c r="I342" s="16"/>
      <c r="J342" s="16"/>
      <c r="K342" s="16"/>
      <c r="L342" s="16"/>
      <c r="M342" s="25"/>
      <c r="N342" s="25"/>
      <c r="O342" s="16"/>
      <c r="P342" s="1"/>
      <c r="Q342" s="1"/>
      <c r="R342" s="8"/>
      <c r="S342" s="1"/>
      <c r="T342" s="8"/>
      <c r="U342" s="1"/>
      <c r="V342" s="1"/>
      <c r="W342" s="1"/>
      <c r="X342" s="1"/>
    </row>
    <row r="343" spans="1:24">
      <c r="A343" s="15"/>
      <c r="B343" s="15"/>
      <c r="C343" s="16"/>
      <c r="D343" s="16"/>
      <c r="E343" s="16"/>
      <c r="F343" s="16"/>
      <c r="G343" s="16"/>
      <c r="H343" s="16"/>
      <c r="I343" s="16"/>
      <c r="J343" s="16"/>
      <c r="K343" s="16"/>
      <c r="L343" s="16"/>
      <c r="M343" s="25"/>
      <c r="N343" s="25"/>
      <c r="O343" s="16"/>
      <c r="P343" s="1"/>
      <c r="Q343" s="1"/>
      <c r="R343" s="8"/>
      <c r="S343" s="1"/>
      <c r="T343" s="8"/>
      <c r="U343" s="1"/>
      <c r="V343" s="1"/>
      <c r="W343" s="1"/>
      <c r="X343" s="1"/>
    </row>
    <row r="344" spans="1:24">
      <c r="A344" s="15"/>
      <c r="B344" s="15"/>
      <c r="C344" s="16"/>
      <c r="D344" s="16"/>
      <c r="E344" s="16"/>
      <c r="F344" s="16"/>
      <c r="G344" s="16"/>
      <c r="H344" s="16"/>
      <c r="I344" s="16"/>
      <c r="J344" s="16"/>
      <c r="K344" s="16"/>
      <c r="L344" s="16"/>
      <c r="M344" s="25"/>
      <c r="N344" s="25"/>
      <c r="O344" s="16"/>
      <c r="P344" s="1"/>
      <c r="Q344" s="1"/>
      <c r="R344" s="8"/>
      <c r="S344" s="1"/>
      <c r="T344" s="8"/>
      <c r="U344" s="1"/>
      <c r="V344" s="1"/>
      <c r="W344" s="1"/>
      <c r="X344" s="1"/>
    </row>
    <row r="345" spans="1:24">
      <c r="A345" s="15"/>
      <c r="B345" s="15"/>
      <c r="C345" s="16"/>
      <c r="D345" s="16"/>
      <c r="E345" s="16"/>
      <c r="F345" s="16"/>
      <c r="G345" s="16"/>
      <c r="H345" s="16"/>
      <c r="I345" s="16"/>
      <c r="J345" s="16"/>
      <c r="K345" s="16"/>
      <c r="L345" s="16"/>
      <c r="M345" s="25"/>
      <c r="N345" s="25"/>
      <c r="O345" s="16"/>
      <c r="P345" s="1"/>
      <c r="Q345" s="1"/>
      <c r="R345" s="8"/>
      <c r="S345" s="1"/>
      <c r="T345" s="8"/>
      <c r="U345" s="1"/>
      <c r="V345" s="1"/>
      <c r="W345" s="1"/>
      <c r="X345" s="1"/>
    </row>
    <row r="346" spans="1:24">
      <c r="A346" s="15"/>
      <c r="B346" s="15"/>
      <c r="C346" s="16"/>
      <c r="D346" s="16"/>
      <c r="E346" s="16"/>
      <c r="F346" s="16"/>
      <c r="G346" s="16"/>
      <c r="H346" s="16"/>
      <c r="I346" s="16"/>
      <c r="J346" s="16"/>
      <c r="K346" s="16"/>
      <c r="L346" s="16"/>
      <c r="M346" s="25"/>
      <c r="N346" s="25"/>
      <c r="O346" s="16"/>
      <c r="P346" s="1"/>
      <c r="Q346" s="1"/>
      <c r="R346" s="8"/>
      <c r="S346" s="1"/>
      <c r="T346" s="8"/>
      <c r="U346" s="1"/>
      <c r="V346" s="1"/>
      <c r="W346" s="1"/>
      <c r="X346" s="1"/>
    </row>
    <row r="347" spans="1:24">
      <c r="A347" s="15"/>
      <c r="B347" s="15"/>
      <c r="C347" s="16"/>
      <c r="D347" s="16"/>
      <c r="E347" s="16"/>
      <c r="F347" s="16"/>
      <c r="G347" s="16"/>
      <c r="H347" s="16"/>
      <c r="I347" s="16"/>
      <c r="J347" s="16"/>
      <c r="K347" s="16"/>
      <c r="L347" s="16"/>
      <c r="M347" s="25"/>
      <c r="N347" s="25"/>
      <c r="O347" s="16"/>
      <c r="P347" s="1"/>
      <c r="Q347" s="1"/>
      <c r="R347" s="8"/>
      <c r="S347" s="1"/>
      <c r="T347" s="8"/>
      <c r="U347" s="1"/>
      <c r="V347" s="1"/>
      <c r="W347" s="1"/>
      <c r="X347" s="1"/>
    </row>
    <row r="348" spans="1:24">
      <c r="A348" s="15"/>
      <c r="B348" s="15"/>
      <c r="C348" s="16"/>
      <c r="D348" s="16"/>
      <c r="E348" s="16"/>
      <c r="F348" s="16"/>
      <c r="G348" s="16"/>
      <c r="H348" s="16"/>
      <c r="I348" s="16"/>
      <c r="J348" s="16"/>
      <c r="K348" s="16"/>
      <c r="L348" s="16"/>
      <c r="M348" s="25"/>
      <c r="N348" s="25"/>
      <c r="O348" s="16"/>
      <c r="P348" s="1"/>
      <c r="Q348" s="1"/>
      <c r="R348" s="8"/>
      <c r="S348" s="1"/>
      <c r="T348" s="8"/>
      <c r="U348" s="1"/>
      <c r="V348" s="1"/>
      <c r="W348" s="1"/>
      <c r="X348" s="1"/>
    </row>
    <row r="349" spans="1:24">
      <c r="A349" s="15"/>
      <c r="B349" s="15"/>
      <c r="C349" s="16"/>
      <c r="D349" s="16"/>
      <c r="E349" s="16"/>
      <c r="F349" s="16"/>
      <c r="G349" s="16"/>
      <c r="H349" s="16"/>
      <c r="I349" s="16"/>
      <c r="J349" s="16"/>
      <c r="K349" s="16"/>
      <c r="L349" s="16"/>
      <c r="M349" s="25"/>
      <c r="N349" s="25"/>
      <c r="O349" s="16"/>
      <c r="P349" s="1"/>
      <c r="Q349" s="1"/>
      <c r="R349" s="8"/>
      <c r="S349" s="1"/>
      <c r="T349" s="8"/>
      <c r="U349" s="1"/>
      <c r="V349" s="1"/>
      <c r="W349" s="1"/>
      <c r="X349" s="1"/>
    </row>
    <row r="350" spans="1:24">
      <c r="A350" s="15"/>
      <c r="B350" s="15"/>
      <c r="C350" s="16"/>
      <c r="D350" s="16"/>
      <c r="E350" s="16"/>
      <c r="F350" s="16"/>
      <c r="G350" s="16"/>
      <c r="H350" s="16"/>
      <c r="I350" s="16"/>
      <c r="J350" s="16"/>
      <c r="K350" s="16"/>
      <c r="L350" s="16"/>
      <c r="M350" s="25"/>
      <c r="N350" s="25"/>
      <c r="O350" s="16"/>
      <c r="P350" s="1"/>
      <c r="Q350" s="1"/>
      <c r="R350" s="8"/>
      <c r="S350" s="1"/>
      <c r="T350" s="8"/>
      <c r="U350" s="1"/>
      <c r="V350" s="1"/>
      <c r="W350" s="1"/>
      <c r="X350" s="1"/>
    </row>
    <row r="351" spans="1:24">
      <c r="A351" s="15"/>
      <c r="B351" s="15"/>
      <c r="C351" s="16"/>
      <c r="D351" s="16"/>
      <c r="E351" s="16"/>
      <c r="F351" s="16"/>
      <c r="G351" s="16"/>
      <c r="H351" s="16"/>
      <c r="I351" s="16"/>
      <c r="J351" s="16"/>
      <c r="K351" s="16"/>
      <c r="L351" s="16"/>
      <c r="M351" s="25"/>
      <c r="N351" s="25"/>
      <c r="O351" s="16"/>
      <c r="P351" s="1"/>
      <c r="Q351" s="1"/>
      <c r="R351" s="8"/>
      <c r="S351" s="1"/>
      <c r="T351" s="8"/>
      <c r="U351" s="1"/>
      <c r="V351" s="1"/>
      <c r="W351" s="1"/>
      <c r="X351" s="1"/>
    </row>
    <row r="352" spans="1:24">
      <c r="A352" s="15"/>
      <c r="B352" s="15"/>
      <c r="C352" s="16"/>
      <c r="D352" s="16"/>
      <c r="E352" s="16"/>
      <c r="F352" s="16"/>
      <c r="G352" s="16"/>
      <c r="H352" s="16"/>
      <c r="I352" s="16"/>
      <c r="J352" s="16"/>
      <c r="K352" s="16"/>
      <c r="L352" s="16"/>
      <c r="M352" s="25"/>
      <c r="N352" s="25"/>
      <c r="O352" s="16"/>
      <c r="P352" s="1"/>
      <c r="Q352" s="1"/>
      <c r="R352" s="8"/>
      <c r="S352" s="1"/>
      <c r="T352" s="8"/>
      <c r="U352" s="1"/>
      <c r="V352" s="1"/>
      <c r="W352" s="1"/>
      <c r="X352" s="1"/>
    </row>
    <row r="353" spans="1:24">
      <c r="A353" s="15"/>
      <c r="B353" s="15"/>
      <c r="C353" s="16"/>
      <c r="D353" s="16"/>
      <c r="E353" s="16"/>
      <c r="F353" s="16"/>
      <c r="G353" s="16"/>
      <c r="H353" s="16"/>
      <c r="I353" s="16"/>
      <c r="J353" s="16"/>
      <c r="K353" s="16"/>
      <c r="L353" s="16"/>
      <c r="M353" s="25"/>
      <c r="N353" s="25"/>
      <c r="O353" s="16"/>
      <c r="P353" s="1"/>
      <c r="Q353" s="1"/>
      <c r="R353" s="8"/>
      <c r="S353" s="1"/>
      <c r="T353" s="8"/>
      <c r="U353" s="1"/>
      <c r="V353" s="1"/>
      <c r="W353" s="1"/>
      <c r="X353" s="1"/>
    </row>
    <row r="354" spans="1:24">
      <c r="A354" s="15"/>
      <c r="B354" s="15"/>
      <c r="C354" s="16"/>
      <c r="D354" s="16"/>
      <c r="E354" s="16"/>
      <c r="F354" s="16"/>
      <c r="G354" s="16"/>
      <c r="H354" s="16"/>
      <c r="I354" s="16"/>
      <c r="J354" s="16"/>
      <c r="K354" s="16"/>
      <c r="L354" s="16"/>
      <c r="M354" s="25"/>
      <c r="N354" s="25"/>
      <c r="O354" s="16"/>
      <c r="P354" s="1"/>
      <c r="Q354" s="1"/>
      <c r="R354" s="8"/>
      <c r="S354" s="1"/>
      <c r="T354" s="8"/>
      <c r="U354" s="1"/>
      <c r="V354" s="1"/>
      <c r="W354" s="1"/>
      <c r="X354" s="1"/>
    </row>
    <row r="355" spans="1:24">
      <c r="A355" s="15"/>
      <c r="B355" s="15"/>
      <c r="C355" s="16"/>
      <c r="D355" s="16"/>
      <c r="E355" s="16"/>
      <c r="F355" s="16"/>
      <c r="G355" s="16"/>
      <c r="H355" s="16"/>
      <c r="I355" s="16"/>
      <c r="J355" s="16"/>
      <c r="K355" s="16"/>
      <c r="L355" s="16"/>
      <c r="M355" s="25"/>
      <c r="N355" s="25"/>
      <c r="O355" s="16"/>
      <c r="P355" s="1"/>
      <c r="Q355" s="1"/>
      <c r="R355" s="8"/>
      <c r="S355" s="1"/>
      <c r="T355" s="8"/>
      <c r="U355" s="1"/>
      <c r="V355" s="1"/>
      <c r="W355" s="1"/>
      <c r="X355" s="1"/>
    </row>
    <row r="356" spans="1:24">
      <c r="A356" s="15"/>
      <c r="B356" s="15"/>
      <c r="C356" s="16"/>
      <c r="D356" s="16"/>
      <c r="E356" s="16"/>
      <c r="F356" s="16"/>
      <c r="G356" s="16"/>
      <c r="H356" s="16"/>
      <c r="I356" s="16"/>
      <c r="J356" s="16"/>
      <c r="K356" s="16"/>
      <c r="L356" s="16"/>
      <c r="M356" s="25"/>
      <c r="N356" s="25"/>
      <c r="O356" s="16"/>
      <c r="P356" s="1"/>
      <c r="Q356" s="1"/>
      <c r="R356" s="8"/>
      <c r="S356" s="1"/>
      <c r="T356" s="8"/>
      <c r="U356" s="1"/>
      <c r="V356" s="1"/>
      <c r="W356" s="1"/>
      <c r="X356" s="1"/>
    </row>
    <row r="357" spans="1:24">
      <c r="A357" s="15"/>
      <c r="B357" s="15"/>
      <c r="C357" s="16"/>
      <c r="D357" s="16"/>
      <c r="E357" s="16"/>
      <c r="F357" s="16"/>
      <c r="G357" s="16"/>
      <c r="H357" s="16"/>
      <c r="I357" s="16"/>
      <c r="J357" s="16"/>
      <c r="K357" s="16"/>
      <c r="L357" s="16"/>
      <c r="M357" s="25"/>
      <c r="N357" s="25"/>
      <c r="O357" s="16"/>
      <c r="P357" s="1"/>
      <c r="Q357" s="1"/>
      <c r="R357" s="8"/>
      <c r="S357" s="1"/>
      <c r="T357" s="8"/>
      <c r="U357" s="1"/>
      <c r="V357" s="1"/>
      <c r="W357" s="1"/>
      <c r="X357" s="1"/>
    </row>
    <row r="358" spans="1:24">
      <c r="A358" s="15"/>
      <c r="B358" s="15"/>
      <c r="C358" s="16"/>
      <c r="D358" s="16"/>
      <c r="E358" s="16"/>
      <c r="F358" s="16"/>
      <c r="G358" s="16"/>
      <c r="H358" s="16"/>
      <c r="I358" s="16"/>
      <c r="J358" s="16"/>
      <c r="K358" s="16"/>
      <c r="L358" s="16"/>
      <c r="M358" s="25"/>
      <c r="N358" s="25"/>
      <c r="O358" s="16"/>
      <c r="P358" s="1"/>
      <c r="Q358" s="1"/>
      <c r="R358" s="8"/>
      <c r="S358" s="1"/>
      <c r="T358" s="8"/>
      <c r="U358" s="1"/>
      <c r="V358" s="1"/>
      <c r="W358" s="1"/>
      <c r="X358" s="1"/>
    </row>
    <row r="359" spans="1:24">
      <c r="A359" s="15"/>
      <c r="B359" s="15"/>
      <c r="C359" s="16"/>
      <c r="D359" s="16"/>
      <c r="E359" s="16"/>
      <c r="F359" s="16"/>
      <c r="G359" s="16"/>
      <c r="H359" s="16"/>
      <c r="I359" s="16"/>
      <c r="J359" s="16"/>
      <c r="K359" s="16"/>
      <c r="L359" s="16"/>
      <c r="M359" s="25"/>
      <c r="N359" s="25"/>
      <c r="O359" s="16"/>
      <c r="P359" s="1"/>
      <c r="Q359" s="1"/>
      <c r="R359" s="8"/>
      <c r="S359" s="1"/>
      <c r="T359" s="8"/>
      <c r="U359" s="1"/>
      <c r="V359" s="1"/>
      <c r="W359" s="1"/>
      <c r="X359" s="1"/>
    </row>
    <row r="360" spans="1:24">
      <c r="A360" s="15"/>
      <c r="B360" s="15"/>
      <c r="C360" s="16"/>
      <c r="D360" s="16"/>
      <c r="E360" s="16"/>
      <c r="F360" s="16"/>
      <c r="G360" s="16"/>
      <c r="H360" s="16"/>
      <c r="I360" s="16"/>
      <c r="J360" s="16"/>
      <c r="K360" s="16"/>
      <c r="L360" s="16"/>
      <c r="M360" s="25"/>
      <c r="N360" s="25"/>
      <c r="O360" s="16"/>
      <c r="P360" s="1"/>
      <c r="Q360" s="1"/>
      <c r="R360" s="8"/>
      <c r="S360" s="1"/>
      <c r="T360" s="8"/>
      <c r="U360" s="1"/>
      <c r="V360" s="1"/>
      <c r="W360" s="1"/>
      <c r="X360" s="1"/>
    </row>
    <row r="361" spans="1:24">
      <c r="A361" s="15"/>
      <c r="B361" s="15"/>
      <c r="C361" s="16"/>
      <c r="D361" s="16"/>
      <c r="E361" s="16"/>
      <c r="F361" s="16"/>
      <c r="G361" s="16"/>
      <c r="H361" s="16"/>
      <c r="I361" s="16"/>
      <c r="J361" s="16"/>
      <c r="K361" s="16"/>
      <c r="L361" s="16"/>
      <c r="M361" s="25"/>
      <c r="N361" s="25"/>
      <c r="O361" s="16"/>
      <c r="P361" s="1"/>
      <c r="Q361" s="1"/>
      <c r="R361" s="8"/>
      <c r="S361" s="1"/>
      <c r="T361" s="8"/>
      <c r="U361" s="1"/>
      <c r="V361" s="1"/>
      <c r="W361" s="1"/>
      <c r="X361" s="1"/>
    </row>
    <row r="362" spans="1:24">
      <c r="A362" s="15"/>
      <c r="B362" s="15"/>
      <c r="C362" s="16"/>
      <c r="D362" s="16"/>
      <c r="E362" s="16"/>
      <c r="F362" s="16"/>
      <c r="G362" s="16"/>
      <c r="H362" s="16"/>
      <c r="I362" s="16"/>
      <c r="J362" s="16"/>
      <c r="K362" s="16"/>
      <c r="L362" s="16"/>
      <c r="M362" s="25"/>
      <c r="N362" s="25"/>
      <c r="O362" s="16"/>
      <c r="P362" s="1"/>
      <c r="Q362" s="1"/>
      <c r="R362" s="8"/>
      <c r="S362" s="1"/>
      <c r="T362" s="8"/>
      <c r="U362" s="1"/>
      <c r="V362" s="1"/>
      <c r="W362" s="1"/>
      <c r="X362" s="1"/>
    </row>
    <row r="363" spans="1:24">
      <c r="A363" s="15"/>
      <c r="B363" s="15"/>
      <c r="C363" s="16"/>
      <c r="D363" s="16"/>
      <c r="E363" s="16"/>
      <c r="F363" s="16"/>
      <c r="G363" s="16"/>
      <c r="H363" s="16"/>
      <c r="I363" s="16"/>
      <c r="J363" s="16"/>
      <c r="K363" s="16"/>
      <c r="L363" s="16"/>
      <c r="M363" s="25"/>
      <c r="N363" s="25"/>
      <c r="O363" s="16"/>
      <c r="P363" s="1"/>
      <c r="Q363" s="1"/>
      <c r="R363" s="8"/>
      <c r="S363" s="1"/>
      <c r="T363" s="8"/>
      <c r="U363" s="1"/>
      <c r="V363" s="1"/>
      <c r="W363" s="1"/>
      <c r="X363" s="1"/>
    </row>
    <row r="364" spans="1:24">
      <c r="A364" s="15"/>
      <c r="B364" s="15"/>
      <c r="C364" s="16"/>
      <c r="D364" s="16"/>
      <c r="E364" s="16"/>
      <c r="F364" s="16"/>
      <c r="G364" s="16"/>
      <c r="H364" s="16"/>
      <c r="I364" s="16"/>
      <c r="J364" s="16"/>
      <c r="K364" s="16"/>
      <c r="L364" s="16"/>
      <c r="M364" s="25"/>
      <c r="N364" s="25"/>
      <c r="O364" s="16"/>
      <c r="P364" s="1"/>
      <c r="Q364" s="1"/>
      <c r="R364" s="8"/>
      <c r="S364" s="1"/>
      <c r="T364" s="8"/>
      <c r="U364" s="1"/>
      <c r="V364" s="1"/>
      <c r="W364" s="1"/>
      <c r="X364" s="1"/>
    </row>
    <row r="365" spans="1:24">
      <c r="A365" s="15"/>
      <c r="B365" s="15"/>
      <c r="C365" s="16"/>
      <c r="D365" s="16"/>
      <c r="E365" s="16"/>
      <c r="F365" s="16"/>
      <c r="G365" s="16"/>
      <c r="H365" s="16"/>
      <c r="I365" s="16"/>
      <c r="J365" s="16"/>
      <c r="K365" s="16"/>
      <c r="L365" s="16"/>
      <c r="M365" s="25"/>
      <c r="N365" s="25"/>
      <c r="O365" s="16"/>
      <c r="P365" s="1"/>
      <c r="Q365" s="1"/>
      <c r="R365" s="8"/>
      <c r="S365" s="1"/>
      <c r="T365" s="8"/>
      <c r="U365" s="1"/>
      <c r="V365" s="1"/>
      <c r="W365" s="1"/>
      <c r="X365" s="1"/>
    </row>
    <row r="366" spans="1:24">
      <c r="A366" s="15"/>
      <c r="B366" s="15"/>
      <c r="C366" s="16"/>
      <c r="D366" s="16"/>
      <c r="E366" s="16"/>
      <c r="F366" s="16"/>
      <c r="G366" s="16"/>
      <c r="H366" s="16"/>
      <c r="I366" s="16"/>
      <c r="J366" s="16"/>
      <c r="K366" s="16"/>
      <c r="L366" s="16"/>
      <c r="M366" s="25"/>
      <c r="N366" s="25"/>
      <c r="O366" s="16"/>
      <c r="P366" s="1"/>
      <c r="Q366" s="1"/>
      <c r="R366" s="8"/>
      <c r="S366" s="1"/>
      <c r="T366" s="8"/>
      <c r="U366" s="1"/>
      <c r="V366" s="1"/>
      <c r="W366" s="1"/>
      <c r="X366" s="1"/>
    </row>
    <row r="367" spans="1:24">
      <c r="A367" s="15"/>
      <c r="B367" s="15"/>
      <c r="C367" s="16"/>
      <c r="D367" s="16"/>
      <c r="E367" s="16"/>
      <c r="F367" s="16"/>
      <c r="G367" s="16"/>
      <c r="H367" s="16"/>
      <c r="I367" s="16"/>
      <c r="J367" s="16"/>
      <c r="K367" s="16"/>
      <c r="L367" s="16"/>
      <c r="M367" s="25"/>
      <c r="N367" s="25"/>
      <c r="O367" s="16"/>
      <c r="P367" s="1"/>
      <c r="Q367" s="1"/>
      <c r="R367" s="8"/>
      <c r="S367" s="1"/>
      <c r="T367" s="8"/>
      <c r="U367" s="1"/>
      <c r="V367" s="1"/>
      <c r="W367" s="1"/>
      <c r="X367" s="1"/>
    </row>
    <row r="368" spans="1:24">
      <c r="A368" s="15"/>
      <c r="B368" s="15"/>
      <c r="C368" s="16"/>
      <c r="D368" s="16"/>
      <c r="E368" s="16"/>
      <c r="F368" s="16"/>
      <c r="G368" s="16"/>
      <c r="H368" s="16"/>
      <c r="I368" s="16"/>
      <c r="J368" s="16"/>
      <c r="K368" s="16"/>
      <c r="L368" s="16"/>
      <c r="M368" s="25"/>
      <c r="N368" s="25"/>
      <c r="O368" s="16"/>
      <c r="P368" s="1"/>
      <c r="Q368" s="1"/>
      <c r="R368" s="8"/>
      <c r="S368" s="1"/>
      <c r="T368" s="8"/>
      <c r="U368" s="1"/>
      <c r="V368" s="1"/>
      <c r="W368" s="1"/>
      <c r="X368" s="1"/>
    </row>
    <row r="369" spans="1:24">
      <c r="A369" s="15"/>
      <c r="B369" s="15"/>
      <c r="C369" s="16"/>
      <c r="D369" s="16"/>
      <c r="E369" s="16"/>
      <c r="F369" s="16"/>
      <c r="G369" s="16"/>
      <c r="H369" s="16"/>
      <c r="I369" s="16"/>
      <c r="J369" s="16"/>
      <c r="K369" s="16"/>
      <c r="L369" s="16"/>
      <c r="M369" s="25"/>
      <c r="N369" s="25"/>
      <c r="O369" s="16"/>
      <c r="P369" s="1"/>
      <c r="Q369" s="1"/>
      <c r="R369" s="8"/>
      <c r="S369" s="1"/>
      <c r="T369" s="8"/>
      <c r="U369" s="1"/>
      <c r="V369" s="1"/>
      <c r="W369" s="1"/>
      <c r="X369" s="1"/>
    </row>
    <row r="370" spans="1:24">
      <c r="A370" s="15"/>
      <c r="B370" s="15"/>
      <c r="C370" s="16"/>
      <c r="D370" s="16"/>
      <c r="E370" s="16"/>
      <c r="F370" s="16"/>
      <c r="G370" s="16"/>
      <c r="H370" s="16"/>
      <c r="I370" s="16"/>
      <c r="J370" s="16"/>
      <c r="K370" s="16"/>
      <c r="L370" s="16"/>
      <c r="M370" s="25"/>
      <c r="N370" s="25"/>
      <c r="O370" s="16"/>
      <c r="P370" s="1"/>
      <c r="Q370" s="1"/>
      <c r="R370" s="8"/>
      <c r="S370" s="1"/>
      <c r="T370" s="8"/>
      <c r="U370" s="1"/>
      <c r="V370" s="1"/>
      <c r="W370" s="1"/>
      <c r="X370" s="1"/>
    </row>
    <row r="371" spans="1:24">
      <c r="A371" s="15"/>
      <c r="B371" s="15"/>
      <c r="C371" s="16"/>
      <c r="D371" s="16"/>
      <c r="E371" s="16"/>
      <c r="F371" s="16"/>
      <c r="G371" s="16"/>
      <c r="H371" s="16"/>
      <c r="I371" s="16"/>
      <c r="J371" s="16"/>
      <c r="K371" s="16"/>
      <c r="L371" s="16"/>
      <c r="M371" s="25"/>
      <c r="N371" s="25"/>
      <c r="O371" s="16"/>
      <c r="P371" s="1"/>
      <c r="Q371" s="1"/>
      <c r="R371" s="8"/>
      <c r="S371" s="1"/>
      <c r="T371" s="8"/>
      <c r="U371" s="1"/>
      <c r="V371" s="1"/>
      <c r="W371" s="1"/>
      <c r="X371" s="1"/>
    </row>
    <row r="372" spans="1:24">
      <c r="A372" s="15"/>
      <c r="B372" s="15"/>
      <c r="C372" s="16"/>
      <c r="D372" s="16"/>
      <c r="E372" s="16"/>
      <c r="F372" s="16"/>
      <c r="G372" s="16"/>
      <c r="H372" s="16"/>
      <c r="I372" s="16"/>
      <c r="J372" s="16"/>
      <c r="K372" s="16"/>
      <c r="L372" s="16"/>
      <c r="M372" s="25"/>
      <c r="N372" s="25"/>
      <c r="O372" s="16"/>
      <c r="P372" s="1"/>
      <c r="Q372" s="1"/>
      <c r="R372" s="8"/>
      <c r="S372" s="1"/>
      <c r="T372" s="8"/>
      <c r="U372" s="1"/>
      <c r="V372" s="1"/>
      <c r="W372" s="1"/>
      <c r="X372" s="1"/>
    </row>
    <row r="373" spans="1:24">
      <c r="A373" s="15"/>
      <c r="B373" s="15"/>
      <c r="C373" s="16"/>
      <c r="D373" s="16"/>
      <c r="E373" s="16"/>
      <c r="F373" s="16"/>
      <c r="G373" s="16"/>
      <c r="H373" s="16"/>
      <c r="I373" s="16"/>
      <c r="J373" s="16"/>
      <c r="K373" s="16"/>
      <c r="L373" s="16"/>
      <c r="M373" s="25"/>
      <c r="N373" s="25"/>
      <c r="O373" s="16"/>
      <c r="P373" s="1"/>
      <c r="Q373" s="1"/>
      <c r="R373" s="8"/>
      <c r="S373" s="1"/>
      <c r="T373" s="8"/>
      <c r="U373" s="1"/>
      <c r="V373" s="1"/>
      <c r="W373" s="1"/>
      <c r="X373" s="1"/>
    </row>
    <row r="374" spans="1:24">
      <c r="A374" s="15"/>
      <c r="B374" s="15"/>
      <c r="C374" s="16"/>
      <c r="D374" s="16"/>
      <c r="E374" s="16"/>
      <c r="F374" s="16"/>
      <c r="G374" s="16"/>
      <c r="H374" s="16"/>
      <c r="I374" s="16"/>
      <c r="J374" s="16"/>
      <c r="K374" s="16"/>
      <c r="L374" s="16"/>
      <c r="M374" s="26"/>
      <c r="N374" s="26"/>
      <c r="O374" s="16"/>
      <c r="P374" s="1"/>
      <c r="Q374" s="1"/>
      <c r="R374" s="8"/>
      <c r="S374" s="1"/>
      <c r="T374" s="8"/>
      <c r="U374" s="1"/>
      <c r="V374" s="1"/>
      <c r="W374" s="1"/>
      <c r="X374" s="1"/>
    </row>
    <row r="375" spans="1:24">
      <c r="A375" s="15"/>
      <c r="B375" s="1"/>
      <c r="C375" s="1"/>
      <c r="D375" s="1"/>
      <c r="E375" s="1"/>
      <c r="F375" s="1"/>
      <c r="G375" s="1"/>
      <c r="H375" s="1"/>
      <c r="I375" s="1"/>
      <c r="J375" s="1"/>
      <c r="K375" s="1"/>
      <c r="L375" s="1"/>
      <c r="M375" s="26"/>
      <c r="N375" s="26"/>
      <c r="O375" s="1"/>
      <c r="P375" s="1"/>
      <c r="Q375" s="1"/>
      <c r="R375" s="8"/>
      <c r="S375" s="1"/>
      <c r="T375" s="8"/>
      <c r="U375" s="1"/>
      <c r="V375" s="1"/>
      <c r="W375" s="1"/>
      <c r="X375" s="1"/>
    </row>
    <row r="376" spans="1:24">
      <c r="A376" s="15"/>
      <c r="B376" s="1"/>
      <c r="C376" s="1"/>
      <c r="D376" s="1"/>
      <c r="E376" s="1"/>
      <c r="F376" s="1"/>
      <c r="G376" s="1"/>
      <c r="H376" s="1"/>
      <c r="I376" s="1"/>
      <c r="J376" s="1"/>
      <c r="K376" s="1"/>
      <c r="L376" s="1"/>
      <c r="M376" s="26"/>
      <c r="N376" s="26"/>
      <c r="O376" s="1"/>
      <c r="P376" s="1"/>
      <c r="Q376" s="1"/>
      <c r="R376" s="8"/>
      <c r="S376" s="1"/>
      <c r="T376" s="8"/>
      <c r="U376" s="1"/>
      <c r="V376" s="1"/>
      <c r="W376" s="1"/>
      <c r="X376" s="1"/>
    </row>
    <row r="377" spans="1:24">
      <c r="A377" s="15"/>
      <c r="B377" s="1"/>
      <c r="C377" s="1"/>
      <c r="D377" s="1"/>
      <c r="E377" s="1"/>
      <c r="F377" s="1"/>
      <c r="G377" s="1"/>
      <c r="H377" s="1"/>
      <c r="I377" s="1"/>
      <c r="J377" s="1"/>
      <c r="K377" s="1"/>
      <c r="L377" s="1"/>
      <c r="M377" s="26"/>
      <c r="N377" s="26"/>
      <c r="O377" s="1"/>
      <c r="P377" s="1"/>
      <c r="Q377" s="1"/>
      <c r="R377" s="8"/>
      <c r="S377" s="1"/>
      <c r="T377" s="8"/>
      <c r="U377" s="1"/>
      <c r="V377" s="1"/>
      <c r="W377" s="1"/>
      <c r="X377" s="1"/>
    </row>
    <row r="378" spans="1:24">
      <c r="A378" s="1"/>
      <c r="B378" s="93"/>
      <c r="C378" s="1"/>
      <c r="D378" s="1"/>
      <c r="E378" s="1"/>
      <c r="F378" s="93"/>
      <c r="G378" s="93"/>
      <c r="H378" s="93"/>
      <c r="I378" s="93"/>
      <c r="J378" s="93"/>
      <c r="K378" s="93"/>
      <c r="L378" s="93"/>
      <c r="M378" s="26"/>
      <c r="N378" s="26"/>
      <c r="O378" s="1"/>
      <c r="P378" s="1"/>
      <c r="Q378" s="1"/>
      <c r="R378" s="8"/>
      <c r="S378" s="1"/>
      <c r="T378" s="8"/>
      <c r="U378" s="1"/>
      <c r="V378" s="1"/>
      <c r="W378" s="1"/>
      <c r="X378" s="1"/>
    </row>
    <row r="379" spans="1:24">
      <c r="A379" s="1"/>
      <c r="B379" s="94"/>
      <c r="C379" s="1"/>
      <c r="D379" s="1"/>
      <c r="E379" s="1"/>
      <c r="F379" s="94"/>
      <c r="G379" s="94"/>
      <c r="H379" s="94"/>
      <c r="I379" s="94"/>
      <c r="J379" s="94"/>
      <c r="K379" s="94"/>
      <c r="L379" s="94"/>
      <c r="M379" s="26"/>
      <c r="N379" s="26"/>
      <c r="O379" s="1"/>
      <c r="P379" s="1"/>
      <c r="Q379" s="1"/>
      <c r="R379" s="8"/>
      <c r="S379" s="1"/>
      <c r="T379" s="8"/>
      <c r="U379" s="1"/>
      <c r="V379" s="1"/>
      <c r="W379" s="1"/>
      <c r="X379" s="1"/>
    </row>
    <row r="380" spans="1:24">
      <c r="A380" s="1"/>
      <c r="B380" s="94"/>
      <c r="C380" s="1"/>
      <c r="D380" s="1"/>
      <c r="E380" s="1"/>
      <c r="F380" s="94"/>
      <c r="G380" s="94"/>
      <c r="H380" s="94"/>
      <c r="I380" s="94"/>
      <c r="J380" s="94"/>
      <c r="K380" s="94"/>
      <c r="L380" s="94"/>
      <c r="M380" s="26"/>
      <c r="N380" s="26"/>
      <c r="O380" s="1"/>
      <c r="P380" s="1"/>
      <c r="Q380" s="1"/>
      <c r="R380" s="8"/>
      <c r="S380" s="1"/>
      <c r="T380" s="8"/>
      <c r="U380" s="1"/>
      <c r="V380" s="1"/>
      <c r="W380" s="1"/>
      <c r="X380" s="1"/>
    </row>
    <row r="381" spans="1:24">
      <c r="A381" s="1"/>
      <c r="B381" s="94"/>
      <c r="C381" s="1"/>
      <c r="D381" s="1"/>
      <c r="E381" s="1"/>
      <c r="F381" s="94"/>
      <c r="G381" s="94"/>
      <c r="H381" s="94"/>
      <c r="I381" s="94"/>
      <c r="J381" s="94"/>
      <c r="K381" s="94"/>
      <c r="L381" s="94"/>
      <c r="M381" s="26"/>
      <c r="N381" s="26"/>
      <c r="O381" s="1"/>
      <c r="P381" s="1"/>
      <c r="Q381" s="1"/>
      <c r="R381" s="8"/>
      <c r="S381" s="1"/>
      <c r="T381" s="8"/>
      <c r="U381" s="1"/>
      <c r="V381" s="1"/>
      <c r="W381" s="1"/>
      <c r="X381" s="1"/>
    </row>
    <row r="382" spans="1:24">
      <c r="A382" s="1"/>
      <c r="B382" s="94"/>
      <c r="C382" s="1"/>
      <c r="D382" s="1"/>
      <c r="E382" s="1"/>
      <c r="F382" s="94"/>
      <c r="G382" s="94"/>
      <c r="H382" s="94"/>
      <c r="I382" s="94"/>
      <c r="J382" s="94"/>
      <c r="K382" s="94"/>
      <c r="L382" s="94"/>
      <c r="M382" s="26"/>
      <c r="N382" s="26"/>
      <c r="O382" s="1"/>
      <c r="P382" s="1"/>
      <c r="Q382" s="1"/>
      <c r="R382" s="8"/>
      <c r="S382" s="1"/>
      <c r="T382" s="8"/>
      <c r="U382" s="1"/>
      <c r="V382" s="1"/>
      <c r="W382" s="1"/>
      <c r="X382" s="1"/>
    </row>
    <row r="383" spans="1:24">
      <c r="A383" s="1"/>
      <c r="B383" s="93"/>
      <c r="C383" s="1"/>
      <c r="D383" s="1"/>
      <c r="E383" s="1"/>
      <c r="F383" s="93"/>
      <c r="G383" s="93"/>
      <c r="H383" s="93"/>
      <c r="I383" s="93"/>
      <c r="J383" s="93"/>
      <c r="K383" s="93"/>
      <c r="L383" s="93"/>
      <c r="M383" s="26"/>
      <c r="N383" s="26"/>
      <c r="O383" s="1"/>
      <c r="P383" s="1"/>
      <c r="Q383" s="1"/>
      <c r="R383" s="8"/>
      <c r="S383" s="1"/>
      <c r="T383" s="8"/>
      <c r="U383" s="1"/>
      <c r="V383" s="1"/>
      <c r="W383" s="1"/>
      <c r="X383" s="1"/>
    </row>
    <row r="384" spans="1:24">
      <c r="A384" s="1"/>
      <c r="B384" s="94"/>
      <c r="C384" s="1"/>
      <c r="D384" s="1"/>
      <c r="E384" s="1"/>
      <c r="F384" s="94"/>
      <c r="G384" s="94"/>
      <c r="H384" s="94"/>
      <c r="I384" s="94"/>
      <c r="J384" s="94"/>
      <c r="K384" s="94"/>
      <c r="L384" s="94"/>
      <c r="M384" s="26"/>
      <c r="N384" s="26"/>
      <c r="O384" s="1"/>
      <c r="P384" s="1"/>
      <c r="Q384" s="1"/>
      <c r="R384" s="8"/>
      <c r="S384" s="1"/>
      <c r="T384" s="8"/>
      <c r="U384" s="1"/>
      <c r="V384" s="1"/>
      <c r="W384" s="1"/>
      <c r="X384" s="1"/>
    </row>
    <row r="385" spans="1:24">
      <c r="A385" s="1"/>
      <c r="B385" s="94"/>
      <c r="C385" s="1"/>
      <c r="D385" s="1"/>
      <c r="E385" s="1"/>
      <c r="F385" s="94"/>
      <c r="G385" s="94"/>
      <c r="H385" s="94"/>
      <c r="I385" s="94"/>
      <c r="J385" s="94"/>
      <c r="K385" s="94"/>
      <c r="L385" s="94"/>
      <c r="M385" s="26"/>
      <c r="N385" s="26"/>
      <c r="O385" s="1"/>
      <c r="P385" s="1"/>
      <c r="Q385" s="1"/>
      <c r="R385" s="8"/>
      <c r="S385" s="1"/>
      <c r="T385" s="8"/>
      <c r="U385" s="1"/>
      <c r="V385" s="1"/>
      <c r="W385" s="1"/>
      <c r="X385" s="1"/>
    </row>
    <row r="386" spans="1:24">
      <c r="A386" s="1"/>
      <c r="B386" s="94"/>
      <c r="C386" s="1"/>
      <c r="D386" s="1"/>
      <c r="E386" s="1"/>
      <c r="F386" s="94"/>
      <c r="G386" s="94"/>
      <c r="H386" s="94"/>
      <c r="I386" s="94"/>
      <c r="J386" s="94"/>
      <c r="K386" s="94"/>
      <c r="L386" s="94"/>
      <c r="M386" s="26"/>
      <c r="N386" s="26"/>
      <c r="O386" s="1"/>
      <c r="P386" s="1"/>
      <c r="Q386" s="1"/>
      <c r="R386" s="8"/>
      <c r="S386" s="1"/>
      <c r="T386" s="8"/>
      <c r="U386" s="1"/>
      <c r="V386" s="1"/>
      <c r="W386" s="1"/>
      <c r="X386" s="1"/>
    </row>
    <row r="387" spans="1:24">
      <c r="A387" s="1"/>
      <c r="B387" s="94"/>
      <c r="C387" s="1"/>
      <c r="D387" s="1"/>
      <c r="E387" s="1"/>
      <c r="F387" s="94"/>
      <c r="G387" s="94"/>
      <c r="H387" s="94"/>
      <c r="I387" s="94"/>
      <c r="J387" s="94"/>
      <c r="K387" s="94"/>
      <c r="L387" s="94"/>
      <c r="M387" s="26"/>
      <c r="N387" s="26"/>
      <c r="O387" s="1"/>
      <c r="P387" s="1"/>
      <c r="Q387" s="1"/>
      <c r="R387" s="8"/>
      <c r="S387" s="1"/>
      <c r="T387" s="8"/>
      <c r="U387" s="1"/>
      <c r="V387" s="1"/>
      <c r="W387" s="1"/>
      <c r="X387" s="1"/>
    </row>
    <row r="388" spans="1:24">
      <c r="A388" s="1"/>
      <c r="B388" s="93"/>
      <c r="C388" s="1"/>
      <c r="D388" s="1"/>
      <c r="E388" s="1"/>
      <c r="F388" s="93"/>
      <c r="G388" s="93"/>
      <c r="H388" s="93"/>
      <c r="I388" s="93"/>
      <c r="J388" s="93"/>
      <c r="K388" s="93"/>
      <c r="L388" s="93"/>
      <c r="M388" s="26"/>
      <c r="N388" s="26"/>
      <c r="O388" s="1"/>
      <c r="P388" s="1"/>
      <c r="Q388" s="1"/>
      <c r="R388" s="8"/>
      <c r="S388" s="1"/>
      <c r="T388" s="8"/>
      <c r="U388" s="1"/>
      <c r="V388" s="1"/>
      <c r="W388" s="1"/>
      <c r="X388" s="1"/>
    </row>
    <row r="389" spans="1:24">
      <c r="A389" s="1"/>
      <c r="B389" s="94"/>
      <c r="C389" s="1"/>
      <c r="D389" s="1"/>
      <c r="E389" s="1"/>
      <c r="F389" s="94"/>
      <c r="G389" s="94"/>
      <c r="H389" s="94"/>
      <c r="I389" s="94"/>
      <c r="J389" s="94"/>
      <c r="K389" s="94"/>
      <c r="L389" s="94"/>
      <c r="M389" s="26"/>
      <c r="N389" s="26"/>
      <c r="O389" s="1"/>
      <c r="P389" s="1"/>
      <c r="Q389" s="1"/>
      <c r="R389" s="8"/>
      <c r="S389" s="1"/>
      <c r="T389" s="8"/>
      <c r="U389" s="1"/>
      <c r="V389" s="1"/>
      <c r="W389" s="1"/>
      <c r="X389" s="1"/>
    </row>
    <row r="390" spans="1:24">
      <c r="A390" s="1"/>
      <c r="B390" s="94"/>
      <c r="C390" s="1"/>
      <c r="D390" s="1"/>
      <c r="E390" s="1"/>
      <c r="F390" s="94"/>
      <c r="G390" s="94"/>
      <c r="H390" s="94"/>
      <c r="I390" s="94"/>
      <c r="J390" s="94"/>
      <c r="K390" s="94"/>
      <c r="L390" s="94"/>
      <c r="M390" s="26"/>
      <c r="N390" s="26"/>
      <c r="O390" s="1"/>
      <c r="P390" s="1"/>
      <c r="Q390" s="1"/>
      <c r="R390" s="8"/>
      <c r="S390" s="1"/>
      <c r="T390" s="8"/>
      <c r="U390" s="1"/>
      <c r="V390" s="1"/>
      <c r="W390" s="1"/>
      <c r="X390" s="1"/>
    </row>
    <row r="391" spans="1:24">
      <c r="A391" s="1"/>
      <c r="B391" s="94"/>
      <c r="C391" s="1"/>
      <c r="D391" s="1"/>
      <c r="E391" s="1"/>
      <c r="F391" s="94"/>
      <c r="G391" s="94"/>
      <c r="H391" s="94"/>
      <c r="I391" s="94"/>
      <c r="J391" s="94"/>
      <c r="K391" s="94"/>
      <c r="L391" s="94"/>
      <c r="M391" s="26"/>
      <c r="N391" s="26"/>
      <c r="O391" s="1"/>
      <c r="P391" s="1"/>
      <c r="Q391" s="1"/>
      <c r="R391" s="8"/>
      <c r="S391" s="1"/>
      <c r="T391" s="8"/>
      <c r="U391" s="1"/>
      <c r="V391" s="1"/>
      <c r="W391" s="1"/>
      <c r="X391" s="1"/>
    </row>
    <row r="392" spans="1:24">
      <c r="A392" s="1"/>
      <c r="B392" s="94"/>
      <c r="C392" s="1"/>
      <c r="D392" s="1"/>
      <c r="E392" s="1"/>
      <c r="F392" s="94"/>
      <c r="G392" s="94"/>
      <c r="H392" s="94"/>
      <c r="I392" s="94"/>
      <c r="J392" s="94"/>
      <c r="K392" s="94"/>
      <c r="L392" s="94"/>
      <c r="M392" s="26"/>
      <c r="N392" s="26"/>
      <c r="O392" s="1"/>
      <c r="P392" s="1"/>
      <c r="Q392" s="1"/>
      <c r="R392" s="8"/>
      <c r="S392" s="1"/>
      <c r="T392" s="8"/>
      <c r="U392" s="1"/>
      <c r="V392" s="1"/>
      <c r="W392" s="1"/>
      <c r="X392" s="1"/>
    </row>
    <row r="393" spans="1:24">
      <c r="A393" s="1"/>
      <c r="B393" s="93"/>
      <c r="C393" s="1"/>
      <c r="D393" s="1"/>
      <c r="E393" s="1"/>
      <c r="F393" s="93"/>
      <c r="G393" s="93"/>
      <c r="H393" s="93"/>
      <c r="I393" s="93"/>
      <c r="J393" s="93"/>
      <c r="K393" s="93"/>
      <c r="L393" s="93"/>
      <c r="M393" s="26"/>
      <c r="N393" s="26"/>
      <c r="O393" s="1"/>
      <c r="P393" s="1"/>
      <c r="Q393" s="1"/>
      <c r="R393" s="8"/>
      <c r="S393" s="1"/>
      <c r="T393" s="8"/>
      <c r="U393" s="1"/>
      <c r="V393" s="1"/>
      <c r="W393" s="1"/>
      <c r="X393" s="1"/>
    </row>
    <row r="394" spans="1:24">
      <c r="A394" s="1"/>
      <c r="B394" s="94"/>
      <c r="C394" s="1"/>
      <c r="D394" s="1"/>
      <c r="E394" s="1"/>
      <c r="F394" s="94"/>
      <c r="G394" s="94"/>
      <c r="H394" s="94"/>
      <c r="I394" s="94"/>
      <c r="J394" s="94"/>
      <c r="K394" s="94"/>
      <c r="L394" s="94"/>
      <c r="M394" s="26"/>
      <c r="N394" s="26"/>
      <c r="O394" s="1"/>
      <c r="P394" s="1"/>
      <c r="Q394" s="1"/>
      <c r="R394" s="8"/>
      <c r="S394" s="1"/>
      <c r="T394" s="8"/>
      <c r="U394" s="1"/>
      <c r="V394" s="1"/>
      <c r="W394" s="1"/>
      <c r="X394" s="1"/>
    </row>
    <row r="395" spans="1:24">
      <c r="A395" s="1"/>
      <c r="B395" s="94"/>
      <c r="C395" s="1"/>
      <c r="D395" s="1"/>
      <c r="E395" s="1"/>
      <c r="F395" s="94"/>
      <c r="G395" s="94"/>
      <c r="H395" s="94"/>
      <c r="I395" s="94"/>
      <c r="J395" s="94"/>
      <c r="K395" s="94"/>
      <c r="L395" s="94"/>
      <c r="M395" s="26"/>
      <c r="N395" s="26"/>
      <c r="O395" s="1"/>
      <c r="P395" s="1"/>
      <c r="Q395" s="1"/>
      <c r="R395" s="8"/>
      <c r="S395" s="1"/>
      <c r="T395" s="8"/>
      <c r="U395" s="1"/>
      <c r="V395" s="1"/>
      <c r="W395" s="1"/>
      <c r="X395" s="1"/>
    </row>
    <row r="396" spans="1:24">
      <c r="A396" s="1"/>
      <c r="B396" s="94"/>
      <c r="C396" s="1"/>
      <c r="D396" s="1"/>
      <c r="E396" s="1"/>
      <c r="F396" s="94"/>
      <c r="G396" s="94"/>
      <c r="H396" s="94"/>
      <c r="I396" s="94"/>
      <c r="J396" s="94"/>
      <c r="K396" s="94"/>
      <c r="L396" s="94"/>
      <c r="M396" s="26"/>
      <c r="N396" s="26"/>
      <c r="O396" s="1"/>
      <c r="P396" s="1"/>
      <c r="Q396" s="1"/>
      <c r="R396" s="8"/>
      <c r="S396" s="1"/>
      <c r="T396" s="8"/>
      <c r="U396" s="1"/>
      <c r="V396" s="1"/>
      <c r="W396" s="1"/>
      <c r="X396" s="1"/>
    </row>
    <row r="397" spans="1:24">
      <c r="A397" s="1"/>
      <c r="B397" s="94"/>
      <c r="C397" s="1"/>
      <c r="D397" s="1"/>
      <c r="E397" s="1"/>
      <c r="F397" s="94"/>
      <c r="G397" s="94"/>
      <c r="H397" s="94"/>
      <c r="I397" s="94"/>
      <c r="J397" s="94"/>
      <c r="K397" s="94"/>
      <c r="L397" s="94"/>
      <c r="M397" s="26"/>
      <c r="N397" s="26"/>
      <c r="O397" s="1"/>
      <c r="P397" s="1"/>
      <c r="Q397" s="1"/>
      <c r="R397" s="8"/>
      <c r="S397" s="1"/>
      <c r="T397" s="8"/>
      <c r="U397" s="1"/>
      <c r="V397" s="1"/>
      <c r="W397" s="1"/>
      <c r="X397" s="1"/>
    </row>
    <row r="398" spans="1:24">
      <c r="A398" s="1"/>
      <c r="B398" s="93"/>
      <c r="C398" s="1"/>
      <c r="D398" s="1"/>
      <c r="E398" s="1"/>
      <c r="F398" s="93"/>
      <c r="G398" s="93"/>
      <c r="H398" s="93"/>
      <c r="I398" s="93"/>
      <c r="J398" s="93"/>
      <c r="K398" s="93"/>
      <c r="L398" s="93"/>
      <c r="M398" s="26"/>
      <c r="N398" s="26"/>
      <c r="O398" s="1"/>
      <c r="P398" s="1"/>
      <c r="Q398" s="1"/>
      <c r="R398" s="8"/>
      <c r="S398" s="1"/>
      <c r="T398" s="8"/>
      <c r="U398" s="1"/>
      <c r="V398" s="1"/>
      <c r="W398" s="1"/>
      <c r="X398" s="1"/>
    </row>
    <row r="399" spans="1:24">
      <c r="A399" s="1"/>
      <c r="B399" s="94"/>
      <c r="C399" s="1"/>
      <c r="D399" s="1"/>
      <c r="E399" s="1"/>
      <c r="F399" s="94"/>
      <c r="G399" s="94"/>
      <c r="H399" s="94"/>
      <c r="I399" s="94"/>
      <c r="J399" s="94"/>
      <c r="K399" s="94"/>
      <c r="L399" s="94"/>
      <c r="M399" s="26"/>
      <c r="N399" s="26"/>
      <c r="O399" s="1"/>
      <c r="P399" s="1"/>
      <c r="Q399" s="1"/>
      <c r="R399" s="8"/>
      <c r="S399" s="1"/>
      <c r="T399" s="8"/>
      <c r="U399" s="1"/>
      <c r="V399" s="1"/>
      <c r="W399" s="1"/>
      <c r="X399" s="1"/>
    </row>
    <row r="400" spans="1:24">
      <c r="A400" s="1"/>
      <c r="B400" s="94"/>
      <c r="C400" s="1"/>
      <c r="D400" s="1"/>
      <c r="E400" s="1"/>
      <c r="F400" s="94"/>
      <c r="G400" s="94"/>
      <c r="H400" s="94"/>
      <c r="I400" s="94"/>
      <c r="J400" s="94"/>
      <c r="K400" s="94"/>
      <c r="L400" s="94"/>
      <c r="M400" s="26"/>
      <c r="N400" s="26"/>
      <c r="O400" s="1"/>
      <c r="P400" s="1"/>
      <c r="Q400" s="1"/>
      <c r="R400" s="8"/>
      <c r="S400" s="1"/>
      <c r="T400" s="8"/>
      <c r="U400" s="1"/>
      <c r="V400" s="1"/>
      <c r="W400" s="1"/>
      <c r="X400" s="1"/>
    </row>
    <row r="401" spans="1:24">
      <c r="A401" s="1"/>
      <c r="B401" s="94"/>
      <c r="C401" s="1"/>
      <c r="D401" s="1"/>
      <c r="E401" s="1"/>
      <c r="F401" s="94"/>
      <c r="G401" s="94"/>
      <c r="H401" s="94"/>
      <c r="I401" s="94"/>
      <c r="J401" s="94"/>
      <c r="K401" s="94"/>
      <c r="L401" s="94"/>
      <c r="M401" s="26"/>
      <c r="N401" s="26"/>
      <c r="O401" s="1"/>
      <c r="P401" s="1"/>
      <c r="Q401" s="1"/>
      <c r="R401" s="8"/>
      <c r="S401" s="1"/>
      <c r="T401" s="8"/>
      <c r="U401" s="1"/>
      <c r="V401" s="1"/>
      <c r="W401" s="1"/>
      <c r="X401" s="1"/>
    </row>
    <row r="402" spans="1:24">
      <c r="A402" s="1"/>
      <c r="B402" s="94"/>
      <c r="C402" s="1"/>
      <c r="D402" s="1"/>
      <c r="E402" s="1"/>
      <c r="F402" s="94"/>
      <c r="G402" s="94"/>
      <c r="H402" s="94"/>
      <c r="I402" s="94"/>
      <c r="J402" s="94"/>
      <c r="K402" s="94"/>
      <c r="L402" s="94"/>
      <c r="M402" s="26"/>
      <c r="N402" s="26"/>
      <c r="O402" s="1"/>
      <c r="P402" s="1"/>
      <c r="Q402" s="1"/>
      <c r="R402" s="8"/>
      <c r="S402" s="1"/>
      <c r="T402" s="8"/>
      <c r="U402" s="1"/>
      <c r="V402" s="1"/>
      <c r="W402" s="1"/>
      <c r="X402" s="1"/>
    </row>
    <row r="403" spans="1:24">
      <c r="A403" s="1"/>
      <c r="B403" s="93"/>
      <c r="C403" s="1"/>
      <c r="D403" s="1"/>
      <c r="E403" s="1"/>
      <c r="F403" s="93"/>
      <c r="G403" s="93"/>
      <c r="H403" s="93"/>
      <c r="I403" s="93"/>
      <c r="J403" s="93"/>
      <c r="K403" s="93"/>
      <c r="L403" s="93"/>
      <c r="M403" s="26"/>
      <c r="N403" s="26"/>
      <c r="O403" s="1"/>
      <c r="P403" s="1"/>
      <c r="Q403" s="1"/>
      <c r="R403" s="8"/>
      <c r="S403" s="1"/>
      <c r="T403" s="8"/>
      <c r="U403" s="1"/>
      <c r="V403" s="1"/>
      <c r="W403" s="1"/>
      <c r="X403" s="1"/>
    </row>
    <row r="404" spans="1:24">
      <c r="A404" s="1"/>
      <c r="B404" s="94"/>
      <c r="C404" s="1"/>
      <c r="D404" s="1"/>
      <c r="E404" s="1"/>
      <c r="F404" s="94"/>
      <c r="G404" s="94"/>
      <c r="H404" s="94"/>
      <c r="I404" s="94"/>
      <c r="J404" s="94"/>
      <c r="K404" s="94"/>
      <c r="L404" s="94"/>
      <c r="M404" s="26"/>
      <c r="N404" s="26"/>
      <c r="O404" s="1"/>
      <c r="P404" s="1"/>
      <c r="Q404" s="1"/>
      <c r="R404" s="8"/>
      <c r="S404" s="1"/>
      <c r="T404" s="8"/>
      <c r="U404" s="1"/>
      <c r="V404" s="1"/>
      <c r="W404" s="1"/>
      <c r="X404" s="1"/>
    </row>
    <row r="405" spans="1:24">
      <c r="A405" s="1"/>
      <c r="B405" s="94"/>
      <c r="C405" s="1"/>
      <c r="D405" s="1"/>
      <c r="E405" s="1"/>
      <c r="F405" s="94"/>
      <c r="G405" s="94"/>
      <c r="H405" s="94"/>
      <c r="I405" s="94"/>
      <c r="J405" s="94"/>
      <c r="K405" s="94"/>
      <c r="L405" s="94"/>
      <c r="M405" s="26"/>
      <c r="N405" s="26"/>
      <c r="O405" s="1"/>
      <c r="P405" s="1"/>
      <c r="Q405" s="1"/>
      <c r="R405" s="8"/>
      <c r="S405" s="1"/>
      <c r="T405" s="8"/>
      <c r="U405" s="1"/>
      <c r="V405" s="1"/>
      <c r="W405" s="1"/>
      <c r="X405" s="1"/>
    </row>
    <row r="406" spans="1:24">
      <c r="A406" s="1"/>
      <c r="B406" s="94"/>
      <c r="C406" s="1"/>
      <c r="D406" s="1"/>
      <c r="E406" s="1"/>
      <c r="F406" s="94"/>
      <c r="G406" s="94"/>
      <c r="H406" s="94"/>
      <c r="I406" s="94"/>
      <c r="J406" s="94"/>
      <c r="K406" s="94"/>
      <c r="L406" s="94"/>
      <c r="M406" s="26"/>
      <c r="N406" s="26"/>
      <c r="O406" s="1"/>
      <c r="P406" s="1"/>
      <c r="Q406" s="1"/>
      <c r="R406" s="8"/>
      <c r="S406" s="1"/>
      <c r="T406" s="8"/>
      <c r="U406" s="1"/>
      <c r="V406" s="1"/>
      <c r="W406" s="1"/>
      <c r="X406" s="1"/>
    </row>
    <row r="407" spans="1:24">
      <c r="A407" s="1"/>
      <c r="B407" s="94"/>
      <c r="C407" s="1"/>
      <c r="D407" s="1"/>
      <c r="E407" s="1"/>
      <c r="F407" s="94"/>
      <c r="G407" s="94"/>
      <c r="H407" s="94"/>
      <c r="I407" s="94"/>
      <c r="J407" s="94"/>
      <c r="K407" s="94"/>
      <c r="L407" s="94"/>
      <c r="M407" s="26"/>
      <c r="N407" s="26"/>
      <c r="O407" s="1"/>
      <c r="P407" s="1"/>
      <c r="Q407" s="1"/>
      <c r="R407" s="8"/>
      <c r="S407" s="1"/>
      <c r="T407" s="8"/>
      <c r="U407" s="1"/>
      <c r="V407" s="1"/>
      <c r="W407" s="1"/>
      <c r="X407" s="1"/>
    </row>
    <row r="408" spans="1:24">
      <c r="A408" s="1"/>
      <c r="B408" s="93"/>
      <c r="C408" s="1"/>
      <c r="D408" s="1"/>
      <c r="E408" s="1"/>
      <c r="F408" s="93"/>
      <c r="G408" s="93"/>
      <c r="H408" s="93"/>
      <c r="I408" s="93"/>
      <c r="J408" s="93"/>
      <c r="K408" s="93"/>
      <c r="L408" s="93"/>
      <c r="M408" s="26"/>
      <c r="N408" s="26"/>
      <c r="O408" s="1"/>
      <c r="P408" s="1"/>
      <c r="Q408" s="1"/>
      <c r="R408" s="8"/>
      <c r="S408" s="1"/>
      <c r="T408" s="8"/>
      <c r="U408" s="1"/>
      <c r="V408" s="1"/>
      <c r="W408" s="1"/>
      <c r="X408" s="1"/>
    </row>
    <row r="409" spans="1:24">
      <c r="A409" s="1"/>
      <c r="B409" s="94"/>
      <c r="C409" s="1"/>
      <c r="D409" s="1"/>
      <c r="E409" s="1"/>
      <c r="F409" s="94"/>
      <c r="G409" s="94"/>
      <c r="H409" s="94"/>
      <c r="I409" s="94"/>
      <c r="J409" s="94"/>
      <c r="K409" s="94"/>
      <c r="L409" s="94"/>
      <c r="M409" s="26"/>
      <c r="N409" s="26"/>
      <c r="O409" s="1"/>
      <c r="P409" s="1"/>
      <c r="Q409" s="1"/>
      <c r="R409" s="8"/>
      <c r="S409" s="1"/>
      <c r="T409" s="8"/>
      <c r="U409" s="1"/>
      <c r="V409" s="1"/>
      <c r="W409" s="1"/>
      <c r="X409" s="1"/>
    </row>
    <row r="410" spans="1:24">
      <c r="A410" s="1"/>
      <c r="B410" s="94"/>
      <c r="C410" s="1"/>
      <c r="D410" s="1"/>
      <c r="E410" s="1"/>
      <c r="F410" s="94"/>
      <c r="G410" s="94"/>
      <c r="H410" s="94"/>
      <c r="I410" s="94"/>
      <c r="J410" s="94"/>
      <c r="K410" s="94"/>
      <c r="L410" s="94"/>
      <c r="M410" s="26"/>
      <c r="N410" s="26"/>
      <c r="O410" s="1"/>
      <c r="P410" s="1"/>
      <c r="Q410" s="1"/>
      <c r="R410" s="8"/>
      <c r="S410" s="1"/>
      <c r="T410" s="8"/>
      <c r="U410" s="1"/>
      <c r="V410" s="1"/>
      <c r="W410" s="1"/>
      <c r="X410" s="1"/>
    </row>
    <row r="411" spans="1:24">
      <c r="A411" s="1"/>
      <c r="B411" s="94"/>
      <c r="C411" s="1"/>
      <c r="D411" s="1"/>
      <c r="E411" s="1"/>
      <c r="F411" s="94"/>
      <c r="G411" s="94"/>
      <c r="H411" s="94"/>
      <c r="I411" s="94"/>
      <c r="J411" s="94"/>
      <c r="K411" s="94"/>
      <c r="L411" s="94"/>
      <c r="M411" s="26"/>
      <c r="N411" s="26"/>
      <c r="O411" s="1"/>
      <c r="P411" s="1"/>
      <c r="Q411" s="1"/>
      <c r="R411" s="8"/>
      <c r="S411" s="1"/>
      <c r="T411" s="8"/>
      <c r="U411" s="1"/>
      <c r="V411" s="1"/>
      <c r="W411" s="1"/>
      <c r="X411" s="1"/>
    </row>
    <row r="412" spans="1:24">
      <c r="A412" s="1"/>
      <c r="B412" s="94"/>
      <c r="C412" s="1"/>
      <c r="D412" s="1"/>
      <c r="E412" s="1"/>
      <c r="F412" s="94"/>
      <c r="G412" s="94"/>
      <c r="H412" s="94"/>
      <c r="I412" s="94"/>
      <c r="J412" s="94"/>
      <c r="K412" s="94"/>
      <c r="L412" s="94"/>
      <c r="M412" s="26"/>
      <c r="N412" s="26"/>
      <c r="O412" s="1"/>
      <c r="P412" s="1"/>
      <c r="Q412" s="1"/>
      <c r="R412" s="8"/>
      <c r="S412" s="1"/>
      <c r="T412" s="8"/>
      <c r="U412" s="1"/>
      <c r="V412" s="1"/>
      <c r="W412" s="1"/>
      <c r="X412" s="1"/>
    </row>
    <row r="413" spans="1:24">
      <c r="A413" s="1"/>
      <c r="B413" s="93"/>
      <c r="C413" s="1"/>
      <c r="D413" s="1"/>
      <c r="E413" s="1"/>
      <c r="F413" s="93"/>
      <c r="G413" s="93"/>
      <c r="H413" s="93"/>
      <c r="I413" s="93"/>
      <c r="J413" s="93"/>
      <c r="K413" s="93"/>
      <c r="L413" s="93"/>
      <c r="M413" s="26"/>
      <c r="N413" s="26"/>
      <c r="O413" s="1"/>
      <c r="P413" s="1"/>
      <c r="Q413" s="1"/>
      <c r="R413" s="8"/>
      <c r="S413" s="1"/>
      <c r="T413" s="8"/>
      <c r="U413" s="1"/>
      <c r="V413" s="1"/>
      <c r="W413" s="1"/>
      <c r="X413" s="1"/>
    </row>
    <row r="414" spans="1:24">
      <c r="A414" s="1"/>
      <c r="B414" s="94"/>
      <c r="C414" s="1"/>
      <c r="D414" s="1"/>
      <c r="E414" s="1"/>
      <c r="F414" s="94"/>
      <c r="G414" s="94"/>
      <c r="H414" s="94"/>
      <c r="I414" s="94"/>
      <c r="J414" s="94"/>
      <c r="K414" s="94"/>
      <c r="L414" s="94"/>
      <c r="M414" s="26"/>
      <c r="N414" s="26"/>
      <c r="O414" s="1"/>
      <c r="P414" s="1"/>
      <c r="Q414" s="1"/>
      <c r="R414" s="8"/>
      <c r="S414" s="1"/>
      <c r="T414" s="8"/>
      <c r="U414" s="1"/>
      <c r="V414" s="1"/>
      <c r="W414" s="1"/>
      <c r="X414" s="1"/>
    </row>
    <row r="415" spans="1:24">
      <c r="A415" s="1"/>
      <c r="B415" s="94"/>
      <c r="C415" s="1"/>
      <c r="D415" s="1"/>
      <c r="E415" s="1"/>
      <c r="F415" s="94"/>
      <c r="G415" s="94"/>
      <c r="H415" s="94"/>
      <c r="I415" s="94"/>
      <c r="J415" s="94"/>
      <c r="K415" s="94"/>
      <c r="L415" s="94"/>
      <c r="M415" s="26"/>
      <c r="N415" s="26"/>
      <c r="O415" s="1"/>
      <c r="P415" s="1"/>
      <c r="Q415" s="1"/>
      <c r="R415" s="8"/>
      <c r="S415" s="1"/>
      <c r="T415" s="8"/>
      <c r="U415" s="1"/>
      <c r="V415" s="1"/>
      <c r="W415" s="1"/>
      <c r="X415" s="1"/>
    </row>
    <row r="416" spans="1:24">
      <c r="A416" s="1"/>
      <c r="B416" s="94"/>
      <c r="C416" s="1"/>
      <c r="D416" s="1"/>
      <c r="E416" s="1"/>
      <c r="F416" s="94"/>
      <c r="G416" s="94"/>
      <c r="H416" s="94"/>
      <c r="I416" s="94"/>
      <c r="J416" s="94"/>
      <c r="K416" s="94"/>
      <c r="L416" s="94"/>
      <c r="M416" s="26"/>
      <c r="N416" s="26"/>
      <c r="O416" s="1"/>
      <c r="P416" s="1"/>
      <c r="Q416" s="1"/>
      <c r="R416" s="8"/>
      <c r="S416" s="1"/>
      <c r="T416" s="8"/>
      <c r="U416" s="1"/>
      <c r="V416" s="1"/>
      <c r="W416" s="1"/>
      <c r="X416" s="1"/>
    </row>
    <row r="417" spans="1:24">
      <c r="A417" s="1"/>
      <c r="B417" s="94"/>
      <c r="C417" s="1"/>
      <c r="D417" s="1"/>
      <c r="E417" s="1"/>
      <c r="F417" s="94"/>
      <c r="G417" s="94"/>
      <c r="H417" s="94"/>
      <c r="I417" s="94"/>
      <c r="J417" s="94"/>
      <c r="K417" s="94"/>
      <c r="L417" s="94"/>
      <c r="M417" s="26"/>
      <c r="N417" s="26"/>
      <c r="O417" s="1"/>
      <c r="P417" s="1"/>
      <c r="Q417" s="1"/>
      <c r="R417" s="8"/>
      <c r="S417" s="1"/>
      <c r="T417" s="8"/>
      <c r="U417" s="1"/>
      <c r="V417" s="1"/>
      <c r="W417" s="1"/>
      <c r="X417" s="1"/>
    </row>
    <row r="418" spans="1:24">
      <c r="A418" s="1"/>
      <c r="B418" s="93"/>
      <c r="C418" s="1"/>
      <c r="D418" s="1"/>
      <c r="E418" s="1"/>
      <c r="F418" s="93"/>
      <c r="G418" s="93"/>
      <c r="H418" s="93"/>
      <c r="I418" s="93"/>
      <c r="J418" s="93"/>
      <c r="K418" s="93"/>
      <c r="L418" s="93"/>
      <c r="M418" s="26"/>
      <c r="N418" s="26"/>
      <c r="O418" s="1"/>
      <c r="P418" s="1"/>
      <c r="Q418" s="1"/>
      <c r="R418" s="8"/>
      <c r="S418" s="1"/>
      <c r="T418" s="8"/>
      <c r="U418" s="1"/>
      <c r="V418" s="1"/>
      <c r="W418" s="1"/>
      <c r="X418" s="1"/>
    </row>
    <row r="419" spans="1:24">
      <c r="A419" s="1"/>
      <c r="B419" s="94"/>
      <c r="C419" s="1"/>
      <c r="D419" s="1"/>
      <c r="E419" s="1"/>
      <c r="F419" s="94"/>
      <c r="G419" s="94"/>
      <c r="H419" s="94"/>
      <c r="I419" s="94"/>
      <c r="J419" s="94"/>
      <c r="K419" s="94"/>
      <c r="L419" s="94"/>
      <c r="M419" s="26"/>
      <c r="N419" s="26"/>
      <c r="O419" s="1"/>
      <c r="P419" s="1"/>
      <c r="Q419" s="1"/>
      <c r="R419" s="8"/>
      <c r="S419" s="1"/>
      <c r="T419" s="8"/>
      <c r="U419" s="1"/>
      <c r="V419" s="1"/>
      <c r="W419" s="1"/>
      <c r="X419" s="1"/>
    </row>
    <row r="420" spans="1:24">
      <c r="A420" s="1"/>
      <c r="B420" s="94"/>
      <c r="C420" s="1"/>
      <c r="D420" s="1"/>
      <c r="E420" s="1"/>
      <c r="F420" s="94"/>
      <c r="G420" s="94"/>
      <c r="H420" s="94"/>
      <c r="I420" s="94"/>
      <c r="J420" s="94"/>
      <c r="K420" s="94"/>
      <c r="L420" s="94"/>
      <c r="M420" s="26"/>
      <c r="N420" s="26"/>
      <c r="O420" s="1"/>
      <c r="P420" s="1"/>
      <c r="Q420" s="1"/>
      <c r="R420" s="8"/>
      <c r="S420" s="1"/>
      <c r="T420" s="8"/>
      <c r="U420" s="1"/>
      <c r="V420" s="1"/>
      <c r="W420" s="1"/>
      <c r="X420" s="1"/>
    </row>
    <row r="421" spans="1:24">
      <c r="A421" s="1"/>
      <c r="B421" s="94"/>
      <c r="C421" s="1"/>
      <c r="D421" s="1"/>
      <c r="E421" s="1"/>
      <c r="F421" s="94"/>
      <c r="G421" s="94"/>
      <c r="H421" s="94"/>
      <c r="I421" s="94"/>
      <c r="J421" s="94"/>
      <c r="K421" s="94"/>
      <c r="L421" s="94"/>
      <c r="M421" s="26"/>
      <c r="N421" s="26"/>
      <c r="O421" s="1"/>
      <c r="P421" s="1"/>
      <c r="Q421" s="1"/>
      <c r="R421" s="8"/>
      <c r="S421" s="1"/>
      <c r="T421" s="8"/>
      <c r="U421" s="1"/>
      <c r="V421" s="1"/>
      <c r="W421" s="1"/>
      <c r="X421" s="1"/>
    </row>
    <row r="422" spans="1:24">
      <c r="A422" s="1"/>
      <c r="B422" s="94"/>
      <c r="C422" s="1"/>
      <c r="D422" s="1"/>
      <c r="E422" s="1"/>
      <c r="F422" s="94"/>
      <c r="G422" s="94"/>
      <c r="H422" s="94"/>
      <c r="I422" s="94"/>
      <c r="J422" s="94"/>
      <c r="K422" s="94"/>
      <c r="L422" s="94"/>
      <c r="M422" s="26"/>
      <c r="N422" s="26"/>
      <c r="O422" s="1"/>
      <c r="P422" s="1"/>
      <c r="Q422" s="1"/>
      <c r="R422" s="8"/>
      <c r="S422" s="1"/>
      <c r="T422" s="8"/>
      <c r="U422" s="1"/>
      <c r="V422" s="1"/>
      <c r="W422" s="1"/>
      <c r="X422" s="1"/>
    </row>
    <row r="423" spans="1:24">
      <c r="A423" s="1"/>
      <c r="B423" s="93"/>
      <c r="C423" s="1"/>
      <c r="D423" s="1"/>
      <c r="E423" s="1"/>
      <c r="F423" s="93"/>
      <c r="G423" s="93"/>
      <c r="H423" s="93"/>
      <c r="I423" s="93"/>
      <c r="J423" s="93"/>
      <c r="K423" s="93"/>
      <c r="L423" s="93"/>
      <c r="M423" s="26"/>
      <c r="N423" s="26"/>
      <c r="O423" s="1"/>
      <c r="P423" s="1"/>
      <c r="Q423" s="1"/>
      <c r="R423" s="8"/>
      <c r="S423" s="1"/>
      <c r="T423" s="8"/>
      <c r="U423" s="1"/>
      <c r="V423" s="1"/>
      <c r="W423" s="1"/>
      <c r="X423" s="1"/>
    </row>
    <row r="424" spans="1:24">
      <c r="A424" s="1"/>
      <c r="B424" s="94"/>
      <c r="C424" s="1"/>
      <c r="D424" s="1"/>
      <c r="E424" s="1"/>
      <c r="F424" s="94"/>
      <c r="G424" s="94"/>
      <c r="H424" s="94"/>
      <c r="I424" s="94"/>
      <c r="J424" s="94"/>
      <c r="K424" s="94"/>
      <c r="L424" s="94"/>
      <c r="M424" s="26"/>
      <c r="N424" s="26"/>
      <c r="O424" s="1"/>
      <c r="P424" s="1"/>
      <c r="Q424" s="1"/>
      <c r="R424" s="8"/>
      <c r="S424" s="1"/>
      <c r="T424" s="8"/>
      <c r="U424" s="1"/>
      <c r="V424" s="1"/>
      <c r="W424" s="1"/>
      <c r="X424" s="1"/>
    </row>
    <row r="425" spans="1:24">
      <c r="A425" s="1"/>
      <c r="B425" s="94"/>
      <c r="C425" s="1"/>
      <c r="D425" s="1"/>
      <c r="E425" s="1"/>
      <c r="F425" s="94"/>
      <c r="G425" s="94"/>
      <c r="H425" s="94"/>
      <c r="I425" s="94"/>
      <c r="J425" s="94"/>
      <c r="K425" s="94"/>
      <c r="L425" s="94"/>
      <c r="M425" s="26"/>
      <c r="N425" s="26"/>
      <c r="O425" s="1"/>
      <c r="P425" s="1"/>
      <c r="Q425" s="1"/>
      <c r="R425" s="8"/>
      <c r="S425" s="1"/>
      <c r="T425" s="8"/>
      <c r="U425" s="1"/>
      <c r="V425" s="1"/>
      <c r="W425" s="1"/>
      <c r="X425" s="1"/>
    </row>
    <row r="426" spans="1:24">
      <c r="A426" s="1"/>
      <c r="B426" s="94"/>
      <c r="C426" s="1"/>
      <c r="D426" s="1"/>
      <c r="E426" s="1"/>
      <c r="F426" s="94"/>
      <c r="G426" s="94"/>
      <c r="H426" s="94"/>
      <c r="I426" s="94"/>
      <c r="J426" s="94"/>
      <c r="K426" s="94"/>
      <c r="L426" s="94"/>
      <c r="M426" s="26"/>
      <c r="N426" s="26"/>
      <c r="O426" s="1"/>
      <c r="P426" s="1"/>
      <c r="Q426" s="1"/>
      <c r="R426" s="8"/>
      <c r="S426" s="1"/>
      <c r="T426" s="8"/>
      <c r="U426" s="1"/>
      <c r="V426" s="1"/>
      <c r="W426" s="1"/>
      <c r="X426" s="1"/>
    </row>
    <row r="427" spans="1:24">
      <c r="A427" s="1"/>
      <c r="B427" s="94"/>
      <c r="C427" s="1"/>
      <c r="D427" s="1"/>
      <c r="E427" s="1"/>
      <c r="F427" s="94"/>
      <c r="G427" s="94"/>
      <c r="H427" s="94"/>
      <c r="I427" s="94"/>
      <c r="J427" s="94"/>
      <c r="K427" s="94"/>
      <c r="L427" s="94"/>
      <c r="M427" s="26"/>
      <c r="N427" s="26"/>
      <c r="O427" s="1"/>
      <c r="P427" s="1"/>
      <c r="Q427" s="1"/>
      <c r="R427" s="8"/>
      <c r="S427" s="1"/>
      <c r="T427" s="8"/>
      <c r="U427" s="1"/>
      <c r="V427" s="1"/>
      <c r="W427" s="1"/>
      <c r="X427" s="1"/>
    </row>
    <row r="428" spans="1:24">
      <c r="A428" s="1"/>
      <c r="B428" s="93"/>
      <c r="C428" s="1"/>
      <c r="D428" s="1"/>
      <c r="E428" s="1"/>
      <c r="F428" s="93"/>
      <c r="G428" s="93"/>
      <c r="H428" s="93"/>
      <c r="I428" s="93"/>
      <c r="J428" s="93"/>
      <c r="K428" s="93"/>
      <c r="L428" s="93"/>
      <c r="M428" s="26"/>
      <c r="N428" s="26"/>
      <c r="O428" s="1"/>
      <c r="P428" s="1"/>
      <c r="Q428" s="1"/>
      <c r="R428" s="8"/>
      <c r="S428" s="1"/>
      <c r="T428" s="8"/>
      <c r="U428" s="1"/>
      <c r="V428" s="1"/>
      <c r="W428" s="1"/>
      <c r="X428" s="1"/>
    </row>
    <row r="429" spans="1:24">
      <c r="A429" s="1"/>
      <c r="B429" s="94"/>
      <c r="C429" s="1"/>
      <c r="D429" s="1"/>
      <c r="E429" s="1"/>
      <c r="F429" s="94"/>
      <c r="G429" s="94"/>
      <c r="H429" s="94"/>
      <c r="I429" s="94"/>
      <c r="J429" s="94"/>
      <c r="K429" s="94"/>
      <c r="L429" s="94"/>
      <c r="M429" s="26"/>
      <c r="N429" s="26"/>
      <c r="O429" s="1"/>
      <c r="P429" s="1"/>
      <c r="Q429" s="1"/>
      <c r="R429" s="8"/>
      <c r="S429" s="1"/>
      <c r="T429" s="8"/>
      <c r="U429" s="1"/>
      <c r="V429" s="1"/>
      <c r="W429" s="1"/>
      <c r="X429" s="1"/>
    </row>
    <row r="430" spans="1:24">
      <c r="A430" s="1"/>
      <c r="B430" s="94"/>
      <c r="C430" s="1"/>
      <c r="D430" s="1"/>
      <c r="E430" s="1"/>
      <c r="F430" s="94"/>
      <c r="G430" s="94"/>
      <c r="H430" s="94"/>
      <c r="I430" s="94"/>
      <c r="J430" s="94"/>
      <c r="K430" s="94"/>
      <c r="L430" s="94"/>
      <c r="M430" s="26"/>
      <c r="N430" s="26"/>
      <c r="O430" s="1"/>
      <c r="P430" s="1"/>
      <c r="Q430" s="1"/>
      <c r="R430" s="8"/>
      <c r="S430" s="1"/>
      <c r="T430" s="8"/>
      <c r="U430" s="1"/>
      <c r="V430" s="1"/>
      <c r="W430" s="1"/>
      <c r="X430" s="1"/>
    </row>
    <row r="431" spans="1:24">
      <c r="A431" s="1"/>
      <c r="B431" s="94"/>
      <c r="C431" s="1"/>
      <c r="D431" s="1"/>
      <c r="E431" s="1"/>
      <c r="F431" s="94"/>
      <c r="G431" s="94"/>
      <c r="H431" s="94"/>
      <c r="I431" s="94"/>
      <c r="J431" s="94"/>
      <c r="K431" s="94"/>
      <c r="L431" s="94"/>
      <c r="M431" s="26"/>
      <c r="N431" s="26"/>
      <c r="O431" s="1"/>
      <c r="P431" s="1"/>
      <c r="Q431" s="1"/>
      <c r="R431" s="8"/>
      <c r="S431" s="1"/>
      <c r="T431" s="8"/>
      <c r="U431" s="1"/>
      <c r="V431" s="1"/>
      <c r="W431" s="1"/>
      <c r="X431" s="1"/>
    </row>
    <row r="432" spans="1:24">
      <c r="A432" s="1"/>
      <c r="B432" s="94"/>
      <c r="C432" s="1"/>
      <c r="D432" s="1"/>
      <c r="E432" s="1"/>
      <c r="F432" s="94"/>
      <c r="G432" s="94"/>
      <c r="H432" s="94"/>
      <c r="I432" s="94"/>
      <c r="J432" s="94"/>
      <c r="K432" s="94"/>
      <c r="L432" s="94"/>
      <c r="M432" s="26"/>
      <c r="N432" s="26"/>
      <c r="O432" s="1"/>
      <c r="P432" s="1"/>
      <c r="Q432" s="1"/>
      <c r="R432" s="8"/>
      <c r="S432" s="1"/>
      <c r="T432" s="8"/>
      <c r="U432" s="1"/>
      <c r="V432" s="1"/>
      <c r="W432" s="1"/>
      <c r="X432" s="1"/>
    </row>
    <row r="433" spans="1:24">
      <c r="A433" s="1"/>
      <c r="B433" s="93"/>
      <c r="C433" s="1"/>
      <c r="D433" s="1"/>
      <c r="E433" s="1"/>
      <c r="F433" s="93"/>
      <c r="G433" s="93"/>
      <c r="H433" s="93"/>
      <c r="I433" s="93"/>
      <c r="J433" s="93"/>
      <c r="K433" s="93"/>
      <c r="L433" s="93"/>
      <c r="M433" s="26"/>
      <c r="N433" s="26"/>
      <c r="O433" s="1"/>
      <c r="P433" s="1"/>
      <c r="Q433" s="1"/>
      <c r="R433" s="8"/>
      <c r="S433" s="1"/>
      <c r="T433" s="8"/>
      <c r="U433" s="1"/>
      <c r="V433" s="1"/>
      <c r="W433" s="1"/>
      <c r="X433" s="1"/>
    </row>
    <row r="434" spans="1:24">
      <c r="A434" s="1"/>
      <c r="B434" s="94"/>
      <c r="C434" s="1"/>
      <c r="D434" s="1"/>
      <c r="E434" s="1"/>
      <c r="F434" s="94"/>
      <c r="G434" s="94"/>
      <c r="H434" s="94"/>
      <c r="I434" s="94"/>
      <c r="J434" s="94"/>
      <c r="K434" s="94"/>
      <c r="L434" s="94"/>
      <c r="M434" s="26"/>
      <c r="N434" s="26"/>
      <c r="O434" s="1"/>
      <c r="P434" s="1"/>
      <c r="Q434" s="1"/>
      <c r="R434" s="8"/>
      <c r="S434" s="1"/>
      <c r="T434" s="8"/>
      <c r="U434" s="1"/>
      <c r="V434" s="1"/>
      <c r="W434" s="1"/>
      <c r="X434" s="1"/>
    </row>
    <row r="435" spans="1:24">
      <c r="A435" s="1"/>
      <c r="B435" s="94"/>
      <c r="C435" s="1"/>
      <c r="D435" s="1"/>
      <c r="E435" s="1"/>
      <c r="F435" s="94"/>
      <c r="G435" s="94"/>
      <c r="H435" s="94"/>
      <c r="I435" s="94"/>
      <c r="J435" s="94"/>
      <c r="K435" s="94"/>
      <c r="L435" s="94"/>
      <c r="M435" s="26"/>
      <c r="N435" s="26"/>
      <c r="O435" s="1"/>
      <c r="P435" s="1"/>
      <c r="Q435" s="1"/>
      <c r="R435" s="8"/>
      <c r="S435" s="1"/>
      <c r="T435" s="8"/>
      <c r="U435" s="1"/>
      <c r="V435" s="1"/>
      <c r="W435" s="1"/>
      <c r="X435" s="1"/>
    </row>
    <row r="436" spans="1:24">
      <c r="A436" s="1"/>
      <c r="B436" s="94"/>
      <c r="C436" s="1"/>
      <c r="D436" s="1"/>
      <c r="E436" s="1"/>
      <c r="F436" s="94"/>
      <c r="G436" s="94"/>
      <c r="H436" s="94"/>
      <c r="I436" s="94"/>
      <c r="J436" s="94"/>
      <c r="K436" s="94"/>
      <c r="L436" s="94"/>
      <c r="M436" s="26"/>
      <c r="N436" s="26"/>
      <c r="O436" s="1"/>
      <c r="P436" s="1"/>
      <c r="Q436" s="1"/>
      <c r="R436" s="8"/>
      <c r="S436" s="1"/>
      <c r="T436" s="8"/>
      <c r="U436" s="1"/>
      <c r="V436" s="1"/>
      <c r="W436" s="1"/>
      <c r="X436" s="1"/>
    </row>
    <row r="437" spans="1:24">
      <c r="A437" s="1"/>
      <c r="B437" s="94"/>
      <c r="C437" s="1"/>
      <c r="D437" s="1"/>
      <c r="E437" s="1"/>
      <c r="F437" s="94"/>
      <c r="G437" s="94"/>
      <c r="H437" s="94"/>
      <c r="I437" s="94"/>
      <c r="J437" s="94"/>
      <c r="K437" s="94"/>
      <c r="L437" s="94"/>
      <c r="M437" s="26"/>
      <c r="N437" s="26"/>
      <c r="O437" s="1"/>
      <c r="P437" s="1"/>
      <c r="Q437" s="1"/>
      <c r="R437" s="8"/>
      <c r="S437" s="1"/>
      <c r="T437" s="8"/>
      <c r="U437" s="1"/>
      <c r="V437" s="1"/>
      <c r="W437" s="1"/>
      <c r="X437" s="1"/>
    </row>
    <row r="438" spans="1:24">
      <c r="A438" s="1"/>
      <c r="B438" s="93"/>
      <c r="C438" s="1"/>
      <c r="D438" s="1"/>
      <c r="E438" s="1"/>
      <c r="F438" s="93"/>
      <c r="G438" s="93"/>
      <c r="H438" s="93"/>
      <c r="I438" s="93"/>
      <c r="J438" s="93"/>
      <c r="K438" s="93"/>
      <c r="L438" s="93"/>
      <c r="M438" s="26"/>
      <c r="N438" s="26"/>
      <c r="O438" s="1"/>
      <c r="P438" s="1"/>
      <c r="Q438" s="1"/>
      <c r="R438" s="8"/>
      <c r="S438" s="1"/>
      <c r="T438" s="8"/>
      <c r="U438" s="1"/>
      <c r="V438" s="1"/>
      <c r="W438" s="1"/>
      <c r="X438" s="1"/>
    </row>
    <row r="439" spans="1:24">
      <c r="A439" s="1"/>
      <c r="B439" s="94"/>
      <c r="C439" s="1"/>
      <c r="D439" s="1"/>
      <c r="E439" s="1"/>
      <c r="F439" s="94"/>
      <c r="G439" s="94"/>
      <c r="H439" s="94"/>
      <c r="I439" s="94"/>
      <c r="J439" s="94"/>
      <c r="K439" s="94"/>
      <c r="L439" s="94"/>
      <c r="M439" s="26"/>
      <c r="N439" s="26"/>
      <c r="O439" s="1"/>
      <c r="P439" s="1"/>
      <c r="Q439" s="1"/>
      <c r="R439" s="8"/>
      <c r="S439" s="1"/>
      <c r="T439" s="8"/>
      <c r="U439" s="1"/>
      <c r="V439" s="1"/>
      <c r="W439" s="1"/>
      <c r="X439" s="1"/>
    </row>
    <row r="440" spans="1:24">
      <c r="A440" s="1"/>
      <c r="B440" s="94"/>
      <c r="C440" s="1"/>
      <c r="D440" s="1"/>
      <c r="E440" s="1"/>
      <c r="F440" s="94"/>
      <c r="G440" s="94"/>
      <c r="H440" s="94"/>
      <c r="I440" s="94"/>
      <c r="J440" s="94"/>
      <c r="K440" s="94"/>
      <c r="L440" s="94"/>
      <c r="M440" s="26"/>
      <c r="N440" s="26"/>
      <c r="O440" s="1"/>
      <c r="P440" s="1"/>
      <c r="Q440" s="1"/>
      <c r="R440" s="8"/>
      <c r="S440" s="1"/>
      <c r="T440" s="8"/>
      <c r="U440" s="1"/>
      <c r="V440" s="1"/>
      <c r="W440" s="1"/>
      <c r="X440" s="1"/>
    </row>
    <row r="441" spans="1:24">
      <c r="A441" s="1"/>
      <c r="B441" s="94"/>
      <c r="C441" s="1"/>
      <c r="D441" s="1"/>
      <c r="E441" s="1"/>
      <c r="F441" s="94"/>
      <c r="G441" s="94"/>
      <c r="H441" s="94"/>
      <c r="I441" s="94"/>
      <c r="J441" s="94"/>
      <c r="K441" s="94"/>
      <c r="L441" s="94"/>
      <c r="M441" s="26"/>
      <c r="N441" s="26"/>
      <c r="O441" s="1"/>
      <c r="P441" s="1"/>
      <c r="Q441" s="1"/>
      <c r="R441" s="8"/>
      <c r="S441" s="1"/>
      <c r="T441" s="8"/>
      <c r="U441" s="1"/>
      <c r="V441" s="1"/>
      <c r="W441" s="1"/>
      <c r="X441" s="1"/>
    </row>
    <row r="442" spans="1:24">
      <c r="A442" s="1"/>
      <c r="B442" s="94"/>
      <c r="C442" s="1"/>
      <c r="D442" s="1"/>
      <c r="E442" s="1"/>
      <c r="F442" s="94"/>
      <c r="G442" s="94"/>
      <c r="H442" s="94"/>
      <c r="I442" s="94"/>
      <c r="J442" s="94"/>
      <c r="K442" s="94"/>
      <c r="L442" s="94"/>
      <c r="M442" s="26"/>
      <c r="N442" s="26"/>
      <c r="O442" s="1"/>
      <c r="P442" s="1"/>
      <c r="Q442" s="1"/>
      <c r="R442" s="8"/>
      <c r="S442" s="1"/>
      <c r="T442" s="8"/>
      <c r="U442" s="1"/>
      <c r="V442" s="1"/>
      <c r="W442" s="1"/>
      <c r="X442" s="1"/>
    </row>
    <row r="443" spans="1:24">
      <c r="A443" s="1"/>
      <c r="B443" s="93"/>
      <c r="C443" s="1"/>
      <c r="D443" s="1"/>
      <c r="E443" s="1"/>
      <c r="F443" s="93"/>
      <c r="G443" s="93"/>
      <c r="H443" s="93"/>
      <c r="I443" s="93"/>
      <c r="J443" s="93"/>
      <c r="K443" s="93"/>
      <c r="L443" s="93"/>
      <c r="M443" s="26"/>
      <c r="N443" s="26"/>
      <c r="O443" s="1"/>
      <c r="P443" s="1"/>
      <c r="Q443" s="1"/>
      <c r="R443" s="8"/>
      <c r="S443" s="1"/>
      <c r="T443" s="8"/>
      <c r="U443" s="1"/>
      <c r="V443" s="1"/>
      <c r="W443" s="1"/>
      <c r="X443" s="1"/>
    </row>
    <row r="444" spans="1:24">
      <c r="A444" s="1"/>
      <c r="B444" s="94"/>
      <c r="C444" s="1"/>
      <c r="D444" s="1"/>
      <c r="E444" s="1"/>
      <c r="F444" s="94"/>
      <c r="G444" s="94"/>
      <c r="H444" s="94"/>
      <c r="I444" s="94"/>
      <c r="J444" s="94"/>
      <c r="K444" s="94"/>
      <c r="L444" s="94"/>
      <c r="M444" s="26"/>
      <c r="N444" s="26"/>
      <c r="O444" s="1"/>
      <c r="P444" s="1"/>
      <c r="Q444" s="1"/>
      <c r="R444" s="8"/>
      <c r="S444" s="1"/>
      <c r="T444" s="8"/>
      <c r="U444" s="1"/>
      <c r="V444" s="1"/>
      <c r="W444" s="1"/>
      <c r="X444" s="1"/>
    </row>
    <row r="445" spans="1:24">
      <c r="A445" s="1"/>
      <c r="B445" s="94"/>
      <c r="C445" s="1"/>
      <c r="D445" s="1"/>
      <c r="E445" s="1"/>
      <c r="F445" s="94"/>
      <c r="G445" s="94"/>
      <c r="H445" s="94"/>
      <c r="I445" s="94"/>
      <c r="J445" s="94"/>
      <c r="K445" s="94"/>
      <c r="L445" s="94"/>
      <c r="M445" s="26"/>
      <c r="N445" s="26"/>
      <c r="O445" s="1"/>
      <c r="P445" s="1"/>
      <c r="Q445" s="1"/>
      <c r="R445" s="8"/>
      <c r="S445" s="1"/>
      <c r="T445" s="8"/>
      <c r="U445" s="1"/>
      <c r="V445" s="1"/>
      <c r="W445" s="1"/>
      <c r="X445" s="1"/>
    </row>
    <row r="446" spans="1:24">
      <c r="A446" s="1"/>
      <c r="B446" s="94"/>
      <c r="C446" s="1"/>
      <c r="D446" s="1"/>
      <c r="E446" s="1"/>
      <c r="F446" s="94"/>
      <c r="G446" s="94"/>
      <c r="H446" s="94"/>
      <c r="I446" s="94"/>
      <c r="J446" s="94"/>
      <c r="K446" s="94"/>
      <c r="L446" s="94"/>
      <c r="M446" s="26"/>
      <c r="N446" s="26"/>
      <c r="O446" s="1"/>
      <c r="P446" s="1"/>
      <c r="Q446" s="1"/>
      <c r="R446" s="8"/>
      <c r="S446" s="1"/>
      <c r="T446" s="8"/>
      <c r="U446" s="1"/>
      <c r="V446" s="1"/>
      <c r="W446" s="1"/>
      <c r="X446" s="1"/>
    </row>
    <row r="447" spans="1:24">
      <c r="A447" s="1"/>
      <c r="B447" s="94"/>
      <c r="C447" s="1"/>
      <c r="D447" s="1"/>
      <c r="E447" s="1"/>
      <c r="F447" s="94"/>
      <c r="G447" s="94"/>
      <c r="H447" s="94"/>
      <c r="I447" s="94"/>
      <c r="J447" s="94"/>
      <c r="K447" s="94"/>
      <c r="L447" s="94"/>
      <c r="M447" s="26"/>
      <c r="N447" s="26"/>
      <c r="O447" s="1"/>
      <c r="P447" s="1"/>
      <c r="Q447" s="1"/>
      <c r="R447" s="8"/>
      <c r="S447" s="1"/>
      <c r="T447" s="8"/>
      <c r="U447" s="1"/>
      <c r="V447" s="1"/>
      <c r="W447" s="1"/>
      <c r="X447" s="1"/>
    </row>
    <row r="448" spans="1:24">
      <c r="A448" s="1"/>
      <c r="B448" s="93"/>
      <c r="C448" s="1"/>
      <c r="D448" s="1"/>
      <c r="E448" s="1"/>
      <c r="F448" s="93"/>
      <c r="G448" s="93"/>
      <c r="H448" s="93"/>
      <c r="I448" s="93"/>
      <c r="J448" s="93"/>
      <c r="K448" s="93"/>
      <c r="L448" s="93"/>
      <c r="M448" s="26"/>
      <c r="N448" s="26"/>
      <c r="O448" s="1"/>
      <c r="P448" s="1"/>
      <c r="Q448" s="1"/>
      <c r="R448" s="8"/>
      <c r="S448" s="1"/>
      <c r="T448" s="8"/>
      <c r="U448" s="1"/>
      <c r="V448" s="1"/>
      <c r="W448" s="1"/>
      <c r="X448" s="1"/>
    </row>
    <row r="449" spans="1:24">
      <c r="A449" s="1"/>
      <c r="B449" s="94"/>
      <c r="C449" s="1"/>
      <c r="D449" s="1"/>
      <c r="E449" s="1"/>
      <c r="F449" s="94"/>
      <c r="G449" s="94"/>
      <c r="H449" s="94"/>
      <c r="I449" s="94"/>
      <c r="J449" s="94"/>
      <c r="K449" s="94"/>
      <c r="L449" s="94"/>
      <c r="M449" s="26"/>
      <c r="N449" s="26"/>
      <c r="O449" s="1"/>
      <c r="P449" s="1"/>
      <c r="Q449" s="1"/>
      <c r="R449" s="8"/>
      <c r="S449" s="1"/>
      <c r="T449" s="8"/>
      <c r="U449" s="1"/>
      <c r="V449" s="1"/>
      <c r="W449" s="1"/>
      <c r="X449" s="1"/>
    </row>
    <row r="450" spans="1:24">
      <c r="A450" s="1"/>
      <c r="B450" s="94"/>
      <c r="C450" s="1"/>
      <c r="D450" s="1"/>
      <c r="E450" s="1"/>
      <c r="F450" s="94"/>
      <c r="G450" s="94"/>
      <c r="H450" s="94"/>
      <c r="I450" s="94"/>
      <c r="J450" s="94"/>
      <c r="K450" s="94"/>
      <c r="L450" s="94"/>
      <c r="M450" s="26"/>
      <c r="N450" s="26"/>
      <c r="O450" s="1"/>
      <c r="P450" s="1"/>
      <c r="Q450" s="1"/>
      <c r="R450" s="8"/>
      <c r="S450" s="1"/>
      <c r="T450" s="8"/>
      <c r="U450" s="1"/>
      <c r="V450" s="1"/>
      <c r="W450" s="1"/>
      <c r="X450" s="1"/>
    </row>
    <row r="451" spans="1:24">
      <c r="A451" s="1"/>
      <c r="B451" s="94"/>
      <c r="C451" s="1"/>
      <c r="D451" s="1"/>
      <c r="E451" s="1"/>
      <c r="F451" s="94"/>
      <c r="G451" s="94"/>
      <c r="H451" s="94"/>
      <c r="I451" s="94"/>
      <c r="J451" s="94"/>
      <c r="K451" s="94"/>
      <c r="L451" s="94"/>
      <c r="M451" s="26"/>
      <c r="N451" s="26"/>
      <c r="O451" s="1"/>
      <c r="P451" s="1"/>
      <c r="Q451" s="1"/>
      <c r="R451" s="8"/>
      <c r="S451" s="1"/>
      <c r="T451" s="8"/>
      <c r="U451" s="1"/>
      <c r="V451" s="1"/>
      <c r="W451" s="1"/>
      <c r="X451" s="1"/>
    </row>
    <row r="452" spans="1:24">
      <c r="A452" s="1"/>
      <c r="B452" s="94"/>
      <c r="C452" s="1"/>
      <c r="D452" s="1"/>
      <c r="E452" s="1"/>
      <c r="F452" s="94"/>
      <c r="G452" s="94"/>
      <c r="H452" s="94"/>
      <c r="I452" s="94"/>
      <c r="J452" s="94"/>
      <c r="K452" s="94"/>
      <c r="L452" s="94"/>
      <c r="M452" s="26"/>
      <c r="N452" s="26"/>
      <c r="O452" s="1"/>
      <c r="P452" s="1"/>
      <c r="Q452" s="1"/>
      <c r="R452" s="8"/>
      <c r="S452" s="1"/>
      <c r="T452" s="8"/>
      <c r="U452" s="1"/>
      <c r="V452" s="1"/>
      <c r="W452" s="1"/>
      <c r="X452" s="1"/>
    </row>
    <row r="453" spans="1:24">
      <c r="A453" s="1"/>
      <c r="B453" s="93"/>
      <c r="C453" s="1"/>
      <c r="D453" s="1"/>
      <c r="E453" s="1"/>
      <c r="F453" s="93"/>
      <c r="G453" s="93"/>
      <c r="H453" s="93"/>
      <c r="I453" s="93"/>
      <c r="J453" s="93"/>
      <c r="K453" s="93"/>
      <c r="L453" s="93"/>
      <c r="M453" s="26"/>
      <c r="N453" s="26"/>
      <c r="O453" s="1"/>
      <c r="P453" s="1"/>
      <c r="Q453" s="1"/>
      <c r="R453" s="8"/>
      <c r="S453" s="1"/>
      <c r="T453" s="8"/>
      <c r="U453" s="1"/>
      <c r="V453" s="1"/>
      <c r="W453" s="1"/>
      <c r="X453" s="1"/>
    </row>
    <row r="454" spans="1:24">
      <c r="A454" s="1"/>
      <c r="B454" s="94"/>
      <c r="C454" s="1"/>
      <c r="D454" s="1"/>
      <c r="E454" s="1"/>
      <c r="F454" s="94"/>
      <c r="G454" s="94"/>
      <c r="H454" s="94"/>
      <c r="I454" s="94"/>
      <c r="J454" s="94"/>
      <c r="K454" s="94"/>
      <c r="L454" s="94"/>
      <c r="M454" s="26"/>
      <c r="N454" s="26"/>
      <c r="O454" s="1"/>
      <c r="P454" s="1"/>
      <c r="Q454" s="1"/>
      <c r="R454" s="8"/>
      <c r="S454" s="1"/>
      <c r="T454" s="8"/>
      <c r="U454" s="1"/>
      <c r="V454" s="1"/>
      <c r="W454" s="1"/>
      <c r="X454" s="1"/>
    </row>
    <row r="455" spans="1:24">
      <c r="A455" s="1"/>
      <c r="B455" s="94"/>
      <c r="C455" s="1"/>
      <c r="D455" s="1"/>
      <c r="E455" s="1"/>
      <c r="F455" s="94"/>
      <c r="G455" s="94"/>
      <c r="H455" s="94"/>
      <c r="I455" s="94"/>
      <c r="J455" s="94"/>
      <c r="K455" s="94"/>
      <c r="L455" s="94"/>
      <c r="M455" s="26"/>
      <c r="N455" s="26"/>
      <c r="O455" s="1"/>
      <c r="P455" s="1"/>
      <c r="Q455" s="1"/>
      <c r="R455" s="8"/>
      <c r="S455" s="1"/>
      <c r="T455" s="8"/>
      <c r="U455" s="1"/>
      <c r="V455" s="1"/>
      <c r="W455" s="1"/>
      <c r="X455" s="1"/>
    </row>
    <row r="456" spans="1:24">
      <c r="A456" s="1"/>
      <c r="B456" s="94"/>
      <c r="C456" s="1"/>
      <c r="D456" s="1"/>
      <c r="E456" s="1"/>
      <c r="F456" s="94"/>
      <c r="G456" s="94"/>
      <c r="H456" s="94"/>
      <c r="I456" s="94"/>
      <c r="J456" s="94"/>
      <c r="K456" s="94"/>
      <c r="L456" s="94"/>
      <c r="M456" s="26"/>
      <c r="N456" s="26"/>
      <c r="O456" s="1"/>
      <c r="P456" s="1"/>
      <c r="Q456" s="1"/>
      <c r="R456" s="8"/>
      <c r="S456" s="1"/>
      <c r="T456" s="8"/>
      <c r="U456" s="1"/>
      <c r="V456" s="1"/>
      <c r="W456" s="1"/>
      <c r="X456" s="1"/>
    </row>
    <row r="457" spans="1:24">
      <c r="A457" s="1"/>
      <c r="B457" s="94"/>
      <c r="C457" s="1"/>
      <c r="D457" s="1"/>
      <c r="E457" s="1"/>
      <c r="F457" s="94"/>
      <c r="G457" s="94"/>
      <c r="H457" s="94"/>
      <c r="I457" s="94"/>
      <c r="J457" s="94"/>
      <c r="K457" s="94"/>
      <c r="L457" s="94"/>
      <c r="M457" s="26"/>
      <c r="N457" s="26"/>
      <c r="O457" s="1"/>
      <c r="P457" s="1"/>
      <c r="Q457" s="1"/>
      <c r="R457" s="8"/>
      <c r="S457" s="1"/>
      <c r="T457" s="8"/>
      <c r="U457" s="1"/>
      <c r="V457" s="1"/>
      <c r="W457" s="1"/>
      <c r="X457" s="1"/>
    </row>
    <row r="458" spans="1:24">
      <c r="A458" s="1"/>
      <c r="B458" s="93"/>
      <c r="C458" s="1"/>
      <c r="D458" s="1"/>
      <c r="E458" s="1"/>
      <c r="F458" s="93"/>
      <c r="G458" s="93"/>
      <c r="H458" s="93"/>
      <c r="I458" s="93"/>
      <c r="J458" s="93"/>
      <c r="K458" s="93"/>
      <c r="L458" s="93"/>
      <c r="M458" s="26"/>
      <c r="N458" s="26"/>
      <c r="O458" s="1"/>
      <c r="P458" s="1"/>
      <c r="Q458" s="1"/>
      <c r="R458" s="8"/>
      <c r="S458" s="1"/>
      <c r="T458" s="8"/>
      <c r="U458" s="1"/>
      <c r="V458" s="1"/>
      <c r="W458" s="1"/>
      <c r="X458" s="1"/>
    </row>
    <row r="459" spans="1:24">
      <c r="A459" s="1"/>
      <c r="B459" s="94"/>
      <c r="C459" s="1"/>
      <c r="D459" s="1"/>
      <c r="E459" s="1"/>
      <c r="F459" s="94"/>
      <c r="G459" s="94"/>
      <c r="H459" s="94"/>
      <c r="I459" s="94"/>
      <c r="J459" s="94"/>
      <c r="K459" s="94"/>
      <c r="L459" s="94"/>
      <c r="M459" s="26"/>
      <c r="N459" s="26"/>
      <c r="O459" s="1"/>
      <c r="P459" s="1"/>
      <c r="Q459" s="1"/>
      <c r="R459" s="8"/>
      <c r="S459" s="1"/>
      <c r="T459" s="8"/>
      <c r="U459" s="1"/>
      <c r="V459" s="1"/>
      <c r="W459" s="1"/>
      <c r="X459" s="1"/>
    </row>
    <row r="460" spans="1:24">
      <c r="A460" s="1"/>
      <c r="B460" s="94"/>
      <c r="C460" s="1"/>
      <c r="D460" s="1"/>
      <c r="E460" s="1"/>
      <c r="F460" s="94"/>
      <c r="G460" s="94"/>
      <c r="H460" s="94"/>
      <c r="I460" s="94"/>
      <c r="J460" s="94"/>
      <c r="K460" s="94"/>
      <c r="L460" s="94"/>
      <c r="M460" s="26"/>
      <c r="N460" s="26"/>
      <c r="O460" s="1"/>
      <c r="P460" s="1"/>
      <c r="Q460" s="1"/>
      <c r="R460" s="8"/>
      <c r="S460" s="1"/>
      <c r="T460" s="8"/>
      <c r="U460" s="1"/>
      <c r="V460" s="1"/>
      <c r="W460" s="1"/>
      <c r="X460" s="1"/>
    </row>
    <row r="461" spans="1:24">
      <c r="A461" s="1"/>
      <c r="B461" s="94"/>
      <c r="C461" s="1"/>
      <c r="D461" s="1"/>
      <c r="E461" s="1"/>
      <c r="F461" s="94"/>
      <c r="G461" s="94"/>
      <c r="H461" s="94"/>
      <c r="I461" s="94"/>
      <c r="J461" s="94"/>
      <c r="K461" s="94"/>
      <c r="L461" s="94"/>
      <c r="M461" s="26"/>
      <c r="N461" s="26"/>
      <c r="O461" s="1"/>
      <c r="P461" s="1"/>
      <c r="Q461" s="1"/>
      <c r="R461" s="8"/>
      <c r="S461" s="1"/>
      <c r="T461" s="8"/>
      <c r="U461" s="1"/>
      <c r="V461" s="1"/>
      <c r="W461" s="1"/>
      <c r="X461" s="1"/>
    </row>
    <row r="462" spans="1:24">
      <c r="A462" s="1"/>
      <c r="B462" s="94"/>
      <c r="C462" s="1"/>
      <c r="D462" s="1"/>
      <c r="E462" s="1"/>
      <c r="F462" s="94"/>
      <c r="G462" s="94"/>
      <c r="H462" s="94"/>
      <c r="I462" s="94"/>
      <c r="J462" s="94"/>
      <c r="K462" s="94"/>
      <c r="L462" s="94"/>
      <c r="M462" s="26"/>
      <c r="N462" s="26"/>
      <c r="O462" s="1"/>
      <c r="P462" s="1"/>
      <c r="Q462" s="1"/>
      <c r="R462" s="8"/>
      <c r="S462" s="1"/>
      <c r="T462" s="8"/>
      <c r="U462" s="1"/>
      <c r="V462" s="1"/>
      <c r="W462" s="1"/>
      <c r="X462" s="1"/>
    </row>
    <row r="463" spans="1:24">
      <c r="A463" s="1"/>
      <c r="B463" s="93"/>
      <c r="C463" s="1"/>
      <c r="D463" s="1"/>
      <c r="E463" s="1"/>
      <c r="F463" s="93"/>
      <c r="G463" s="93"/>
      <c r="H463" s="93"/>
      <c r="I463" s="93"/>
      <c r="J463" s="93"/>
      <c r="K463" s="93"/>
      <c r="L463" s="93"/>
      <c r="M463" s="26"/>
      <c r="N463" s="26"/>
      <c r="O463" s="1"/>
      <c r="P463" s="1"/>
      <c r="Q463" s="1"/>
      <c r="R463" s="8"/>
      <c r="S463" s="1"/>
      <c r="T463" s="8"/>
      <c r="U463" s="1"/>
      <c r="V463" s="1"/>
      <c r="W463" s="1"/>
      <c r="X463" s="1"/>
    </row>
    <row r="464" spans="1:24">
      <c r="A464" s="1"/>
      <c r="B464" s="94"/>
      <c r="C464" s="1"/>
      <c r="D464" s="1"/>
      <c r="E464" s="1"/>
      <c r="F464" s="94"/>
      <c r="G464" s="94"/>
      <c r="H464" s="94"/>
      <c r="I464" s="94"/>
      <c r="J464" s="94"/>
      <c r="K464" s="94"/>
      <c r="L464" s="94"/>
      <c r="M464" s="26"/>
      <c r="N464" s="26"/>
      <c r="O464" s="1"/>
      <c r="P464" s="1"/>
      <c r="Q464" s="1"/>
      <c r="R464" s="8"/>
      <c r="S464" s="1"/>
      <c r="T464" s="8"/>
      <c r="U464" s="1"/>
      <c r="V464" s="1"/>
      <c r="W464" s="1"/>
      <c r="X464" s="1"/>
    </row>
    <row r="465" spans="1:24">
      <c r="A465" s="1"/>
      <c r="B465" s="94"/>
      <c r="C465" s="1"/>
      <c r="D465" s="1"/>
      <c r="E465" s="1"/>
      <c r="F465" s="94"/>
      <c r="G465" s="94"/>
      <c r="H465" s="94"/>
      <c r="I465" s="94"/>
      <c r="J465" s="94"/>
      <c r="K465" s="94"/>
      <c r="L465" s="94"/>
      <c r="M465" s="26"/>
      <c r="N465" s="26"/>
      <c r="O465" s="1"/>
      <c r="P465" s="1"/>
      <c r="Q465" s="1"/>
      <c r="R465" s="8"/>
      <c r="S465" s="1"/>
      <c r="T465" s="8"/>
      <c r="U465" s="1"/>
      <c r="V465" s="1"/>
      <c r="W465" s="1"/>
      <c r="X465" s="1"/>
    </row>
    <row r="466" spans="1:24">
      <c r="A466" s="1"/>
      <c r="B466" s="94"/>
      <c r="C466" s="1"/>
      <c r="D466" s="1"/>
      <c r="E466" s="1"/>
      <c r="F466" s="94"/>
      <c r="G466" s="94"/>
      <c r="H466" s="94"/>
      <c r="I466" s="94"/>
      <c r="J466" s="94"/>
      <c r="K466" s="94"/>
      <c r="L466" s="94"/>
      <c r="M466" s="26"/>
      <c r="N466" s="26"/>
      <c r="O466" s="1"/>
      <c r="P466" s="1"/>
      <c r="Q466" s="1"/>
      <c r="R466" s="8"/>
      <c r="S466" s="1"/>
      <c r="T466" s="8"/>
      <c r="U466" s="1"/>
      <c r="V466" s="1"/>
      <c r="W466" s="1"/>
      <c r="X466" s="1"/>
    </row>
    <row r="467" spans="1:24">
      <c r="A467" s="1"/>
      <c r="B467" s="94"/>
      <c r="C467" s="1"/>
      <c r="D467" s="1"/>
      <c r="E467" s="1"/>
      <c r="F467" s="94"/>
      <c r="G467" s="94"/>
      <c r="H467" s="94"/>
      <c r="I467" s="94"/>
      <c r="J467" s="94"/>
      <c r="K467" s="94"/>
      <c r="L467" s="94"/>
      <c r="M467" s="26"/>
      <c r="N467" s="26"/>
      <c r="O467" s="1"/>
      <c r="P467" s="1"/>
      <c r="Q467" s="1"/>
      <c r="R467" s="8"/>
      <c r="S467" s="1"/>
      <c r="T467" s="8"/>
      <c r="U467" s="1"/>
      <c r="V467" s="1"/>
      <c r="W467" s="1"/>
      <c r="X467" s="1"/>
    </row>
    <row r="468" spans="1:24">
      <c r="A468" s="1"/>
      <c r="B468" s="93"/>
      <c r="C468" s="1"/>
      <c r="D468" s="1"/>
      <c r="E468" s="1"/>
      <c r="F468" s="93"/>
      <c r="G468" s="93"/>
      <c r="H468" s="93"/>
      <c r="I468" s="93"/>
      <c r="J468" s="93"/>
      <c r="K468" s="93"/>
      <c r="L468" s="93"/>
      <c r="M468" s="26"/>
      <c r="N468" s="26"/>
      <c r="O468" s="1"/>
      <c r="P468" s="1"/>
      <c r="Q468" s="1"/>
      <c r="R468" s="8"/>
      <c r="S468" s="1"/>
      <c r="T468" s="8"/>
      <c r="U468" s="1"/>
      <c r="V468" s="1"/>
      <c r="W468" s="1"/>
      <c r="X468" s="1"/>
    </row>
    <row r="469" spans="1:24">
      <c r="A469" s="1"/>
      <c r="B469" s="94"/>
      <c r="C469" s="1"/>
      <c r="D469" s="1"/>
      <c r="E469" s="1"/>
      <c r="F469" s="94"/>
      <c r="G469" s="94"/>
      <c r="H469" s="94"/>
      <c r="I469" s="94"/>
      <c r="J469" s="94"/>
      <c r="K469" s="94"/>
      <c r="L469" s="94"/>
      <c r="M469" s="26"/>
      <c r="N469" s="26"/>
      <c r="O469" s="1"/>
      <c r="P469" s="1"/>
      <c r="Q469" s="1"/>
      <c r="R469" s="8"/>
      <c r="S469" s="1"/>
      <c r="T469" s="8"/>
      <c r="U469" s="1"/>
      <c r="V469" s="1"/>
      <c r="W469" s="1"/>
      <c r="X469" s="1"/>
    </row>
    <row r="470" spans="1:24">
      <c r="A470" s="1"/>
      <c r="B470" s="94"/>
      <c r="C470" s="1"/>
      <c r="D470" s="1"/>
      <c r="E470" s="1"/>
      <c r="F470" s="94"/>
      <c r="G470" s="94"/>
      <c r="H470" s="94"/>
      <c r="I470" s="94"/>
      <c r="J470" s="94"/>
      <c r="K470" s="94"/>
      <c r="L470" s="94"/>
      <c r="M470" s="26"/>
      <c r="N470" s="26"/>
      <c r="O470" s="1"/>
      <c r="P470" s="1"/>
      <c r="Q470" s="1"/>
      <c r="R470" s="8"/>
      <c r="S470" s="1"/>
      <c r="T470" s="8"/>
      <c r="U470" s="1"/>
      <c r="V470" s="1"/>
      <c r="W470" s="1"/>
      <c r="X470" s="1"/>
    </row>
    <row r="471" spans="1:24">
      <c r="A471" s="1"/>
      <c r="B471" s="94"/>
      <c r="C471" s="1"/>
      <c r="D471" s="1"/>
      <c r="E471" s="1"/>
      <c r="F471" s="94"/>
      <c r="G471" s="94"/>
      <c r="H471" s="94"/>
      <c r="I471" s="94"/>
      <c r="J471" s="94"/>
      <c r="K471" s="94"/>
      <c r="L471" s="94"/>
      <c r="M471" s="26"/>
      <c r="N471" s="26"/>
      <c r="O471" s="1"/>
      <c r="P471" s="1"/>
      <c r="Q471" s="1"/>
      <c r="R471" s="8"/>
      <c r="S471" s="1"/>
      <c r="T471" s="8"/>
      <c r="U471" s="1"/>
      <c r="V471" s="1"/>
      <c r="W471" s="1"/>
      <c r="X471" s="1"/>
    </row>
    <row r="472" spans="1:24">
      <c r="A472" s="1"/>
      <c r="B472" s="94"/>
      <c r="C472" s="1"/>
      <c r="D472" s="1"/>
      <c r="E472" s="1"/>
      <c r="F472" s="94"/>
      <c r="G472" s="94"/>
      <c r="H472" s="94"/>
      <c r="I472" s="94"/>
      <c r="J472" s="94"/>
      <c r="K472" s="94"/>
      <c r="L472" s="94"/>
      <c r="M472" s="26"/>
      <c r="N472" s="26"/>
      <c r="O472" s="1"/>
      <c r="P472" s="1"/>
      <c r="Q472" s="1"/>
      <c r="R472" s="8"/>
      <c r="S472" s="1"/>
      <c r="T472" s="8"/>
      <c r="U472" s="1"/>
      <c r="V472" s="1"/>
      <c r="W472" s="1"/>
      <c r="X472" s="1"/>
    </row>
    <row r="473" spans="1:24">
      <c r="A473" s="1"/>
      <c r="B473" s="93"/>
      <c r="C473" s="1"/>
      <c r="D473" s="1"/>
      <c r="E473" s="1"/>
      <c r="F473" s="93"/>
      <c r="G473" s="93"/>
      <c r="H473" s="93"/>
      <c r="I473" s="93"/>
      <c r="J473" s="93"/>
      <c r="K473" s="93"/>
      <c r="L473" s="93"/>
      <c r="M473" s="26"/>
      <c r="N473" s="26"/>
      <c r="O473" s="1"/>
      <c r="P473" s="1"/>
      <c r="Q473" s="1"/>
      <c r="R473" s="8"/>
      <c r="S473" s="1"/>
      <c r="T473" s="8"/>
      <c r="U473" s="1"/>
      <c r="V473" s="1"/>
      <c r="W473" s="1"/>
      <c r="X473" s="1"/>
    </row>
    <row r="474" spans="1:24">
      <c r="A474" s="1"/>
      <c r="B474" s="94"/>
      <c r="C474" s="1"/>
      <c r="D474" s="1"/>
      <c r="E474" s="1"/>
      <c r="F474" s="94"/>
      <c r="G474" s="94"/>
      <c r="H474" s="94"/>
      <c r="I474" s="94"/>
      <c r="J474" s="94"/>
      <c r="K474" s="94"/>
      <c r="L474" s="94"/>
      <c r="M474" s="26"/>
      <c r="N474" s="26"/>
      <c r="O474" s="1"/>
      <c r="P474" s="1"/>
      <c r="Q474" s="1"/>
      <c r="R474" s="8"/>
      <c r="S474" s="1"/>
      <c r="T474" s="8"/>
      <c r="U474" s="1"/>
      <c r="V474" s="1"/>
      <c r="W474" s="1"/>
      <c r="X474" s="1"/>
    </row>
    <row r="475" spans="1:24">
      <c r="A475" s="1"/>
      <c r="B475" s="94"/>
      <c r="C475" s="1"/>
      <c r="D475" s="1"/>
      <c r="E475" s="1"/>
      <c r="F475" s="94"/>
      <c r="G475" s="94"/>
      <c r="H475" s="94"/>
      <c r="I475" s="94"/>
      <c r="J475" s="94"/>
      <c r="K475" s="94"/>
      <c r="L475" s="94"/>
      <c r="M475" s="26"/>
      <c r="N475" s="26"/>
      <c r="O475" s="1"/>
      <c r="P475" s="1"/>
      <c r="Q475" s="1"/>
      <c r="R475" s="8"/>
      <c r="S475" s="1"/>
      <c r="T475" s="8"/>
      <c r="U475" s="1"/>
      <c r="V475" s="1"/>
      <c r="W475" s="1"/>
      <c r="X475" s="1"/>
    </row>
    <row r="476" spans="1:24">
      <c r="A476" s="1"/>
      <c r="B476" s="94"/>
      <c r="C476" s="1"/>
      <c r="D476" s="1"/>
      <c r="E476" s="1"/>
      <c r="F476" s="94"/>
      <c r="G476" s="94"/>
      <c r="H476" s="94"/>
      <c r="I476" s="94"/>
      <c r="J476" s="94"/>
      <c r="K476" s="94"/>
      <c r="L476" s="94"/>
      <c r="M476" s="26"/>
      <c r="N476" s="26"/>
      <c r="O476" s="1"/>
      <c r="P476" s="1"/>
      <c r="Q476" s="1"/>
      <c r="R476" s="8"/>
      <c r="S476" s="1"/>
      <c r="T476" s="8"/>
      <c r="U476" s="1"/>
      <c r="V476" s="1"/>
      <c r="W476" s="1"/>
      <c r="X476" s="1"/>
    </row>
    <row r="477" spans="1:24">
      <c r="A477" s="1"/>
      <c r="B477" s="94"/>
      <c r="C477" s="1"/>
      <c r="D477" s="1"/>
      <c r="E477" s="1"/>
      <c r="F477" s="94"/>
      <c r="G477" s="94"/>
      <c r="H477" s="94"/>
      <c r="I477" s="94"/>
      <c r="J477" s="94"/>
      <c r="K477" s="94"/>
      <c r="L477" s="94"/>
      <c r="M477" s="26"/>
      <c r="N477" s="26"/>
      <c r="O477" s="1"/>
      <c r="P477" s="1"/>
      <c r="Q477" s="1"/>
      <c r="R477" s="8"/>
      <c r="S477" s="1"/>
      <c r="T477" s="8"/>
      <c r="U477" s="1"/>
      <c r="V477" s="1"/>
      <c r="W477" s="1"/>
      <c r="X477" s="1"/>
    </row>
    <row r="478" spans="1:24">
      <c r="A478" s="1"/>
      <c r="B478" s="93"/>
      <c r="C478" s="1"/>
      <c r="D478" s="1"/>
      <c r="E478" s="1"/>
      <c r="F478" s="93"/>
      <c r="G478" s="93"/>
      <c r="H478" s="93"/>
      <c r="I478" s="93"/>
      <c r="J478" s="93"/>
      <c r="K478" s="93"/>
      <c r="L478" s="93"/>
      <c r="M478" s="26"/>
      <c r="N478" s="26"/>
      <c r="O478" s="1"/>
      <c r="P478" s="1"/>
      <c r="Q478" s="1"/>
      <c r="R478" s="8"/>
      <c r="S478" s="1"/>
      <c r="T478" s="8"/>
      <c r="U478" s="1"/>
      <c r="V478" s="1"/>
      <c r="W478" s="1"/>
      <c r="X478" s="1"/>
    </row>
    <row r="479" spans="1:24">
      <c r="A479" s="1"/>
      <c r="B479" s="94"/>
      <c r="C479" s="1"/>
      <c r="D479" s="1"/>
      <c r="E479" s="1"/>
      <c r="F479" s="94"/>
      <c r="G479" s="94"/>
      <c r="H479" s="94"/>
      <c r="I479" s="94"/>
      <c r="J479" s="94"/>
      <c r="K479" s="94"/>
      <c r="L479" s="94"/>
      <c r="M479" s="26"/>
      <c r="N479" s="26"/>
      <c r="O479" s="1"/>
      <c r="P479" s="1"/>
      <c r="Q479" s="1"/>
      <c r="R479" s="8"/>
      <c r="S479" s="1"/>
      <c r="T479" s="8"/>
      <c r="U479" s="1"/>
      <c r="V479" s="1"/>
      <c r="W479" s="1"/>
      <c r="X479" s="1"/>
    </row>
    <row r="480" spans="1:24">
      <c r="A480" s="1"/>
      <c r="B480" s="94"/>
      <c r="C480" s="1"/>
      <c r="D480" s="1"/>
      <c r="E480" s="1"/>
      <c r="F480" s="94"/>
      <c r="G480" s="94"/>
      <c r="H480" s="94"/>
      <c r="I480" s="94"/>
      <c r="J480" s="94"/>
      <c r="K480" s="94"/>
      <c r="L480" s="94"/>
      <c r="M480" s="26"/>
      <c r="N480" s="26"/>
      <c r="O480" s="1"/>
      <c r="P480" s="1"/>
      <c r="Q480" s="1"/>
      <c r="R480" s="8"/>
      <c r="S480" s="1"/>
      <c r="T480" s="8"/>
      <c r="U480" s="1"/>
      <c r="V480" s="1"/>
      <c r="W480" s="1"/>
      <c r="X480" s="1"/>
    </row>
    <row r="481" spans="1:24">
      <c r="A481" s="1"/>
      <c r="B481" s="94"/>
      <c r="C481" s="1"/>
      <c r="D481" s="1"/>
      <c r="E481" s="1"/>
      <c r="F481" s="94"/>
      <c r="G481" s="94"/>
      <c r="H481" s="94"/>
      <c r="I481" s="94"/>
      <c r="J481" s="94"/>
      <c r="K481" s="94"/>
      <c r="L481" s="94"/>
      <c r="M481" s="26"/>
      <c r="N481" s="26"/>
      <c r="O481" s="1"/>
      <c r="P481" s="1"/>
      <c r="Q481" s="1"/>
      <c r="R481" s="8"/>
      <c r="S481" s="1"/>
      <c r="T481" s="8"/>
      <c r="U481" s="1"/>
      <c r="V481" s="1"/>
      <c r="W481" s="1"/>
      <c r="X481" s="1"/>
    </row>
    <row r="482" spans="1:24">
      <c r="A482" s="1"/>
      <c r="B482" s="94"/>
      <c r="C482" s="1"/>
      <c r="D482" s="1"/>
      <c r="E482" s="1"/>
      <c r="F482" s="94"/>
      <c r="G482" s="94"/>
      <c r="H482" s="94"/>
      <c r="I482" s="94"/>
      <c r="J482" s="94"/>
      <c r="K482" s="94"/>
      <c r="L482" s="94"/>
      <c r="M482" s="26"/>
      <c r="N482" s="26"/>
      <c r="O482" s="1"/>
      <c r="P482" s="1"/>
      <c r="Q482" s="1"/>
      <c r="R482" s="8"/>
      <c r="S482" s="1"/>
      <c r="T482" s="8"/>
      <c r="U482" s="1"/>
      <c r="V482" s="1"/>
      <c r="W482" s="1"/>
      <c r="X482" s="1"/>
    </row>
    <row r="483" spans="1:24">
      <c r="A483" s="1"/>
      <c r="B483" s="93"/>
      <c r="C483" s="1"/>
      <c r="D483" s="1"/>
      <c r="E483" s="1"/>
      <c r="F483" s="93"/>
      <c r="G483" s="93"/>
      <c r="H483" s="93"/>
      <c r="I483" s="93"/>
      <c r="J483" s="93"/>
      <c r="K483" s="93"/>
      <c r="L483" s="93"/>
      <c r="M483" s="26"/>
      <c r="N483" s="26"/>
      <c r="O483" s="1"/>
      <c r="P483" s="1"/>
      <c r="Q483" s="1"/>
      <c r="R483" s="8"/>
      <c r="S483" s="1"/>
      <c r="T483" s="8"/>
      <c r="U483" s="1"/>
      <c r="V483" s="1"/>
      <c r="W483" s="1"/>
      <c r="X483" s="1"/>
    </row>
    <row r="484" spans="1:24">
      <c r="A484" s="1"/>
      <c r="B484" s="94"/>
      <c r="C484" s="1"/>
      <c r="D484" s="1"/>
      <c r="E484" s="1"/>
      <c r="F484" s="94"/>
      <c r="G484" s="94"/>
      <c r="H484" s="94"/>
      <c r="I484" s="94"/>
      <c r="J484" s="94"/>
      <c r="K484" s="94"/>
      <c r="L484" s="94"/>
      <c r="M484" s="26"/>
      <c r="N484" s="26"/>
      <c r="O484" s="1"/>
      <c r="P484" s="1"/>
      <c r="Q484" s="1"/>
      <c r="R484" s="8"/>
      <c r="S484" s="1"/>
      <c r="T484" s="8"/>
      <c r="U484" s="1"/>
      <c r="V484" s="1"/>
      <c r="W484" s="1"/>
      <c r="X484" s="1"/>
    </row>
    <row r="485" spans="1:24">
      <c r="A485" s="1"/>
      <c r="B485" s="94"/>
      <c r="C485" s="1"/>
      <c r="D485" s="1"/>
      <c r="E485" s="1"/>
      <c r="F485" s="94"/>
      <c r="G485" s="94"/>
      <c r="H485" s="94"/>
      <c r="I485" s="94"/>
      <c r="J485" s="94"/>
      <c r="K485" s="94"/>
      <c r="L485" s="94"/>
      <c r="M485" s="26"/>
      <c r="N485" s="26"/>
      <c r="O485" s="1"/>
      <c r="P485" s="1"/>
      <c r="Q485" s="1"/>
      <c r="R485" s="8"/>
      <c r="S485" s="1"/>
      <c r="T485" s="8"/>
      <c r="U485" s="1"/>
      <c r="V485" s="1"/>
      <c r="W485" s="1"/>
      <c r="X485" s="1"/>
    </row>
    <row r="486" spans="1:24">
      <c r="A486" s="1"/>
      <c r="B486" s="94"/>
      <c r="C486" s="1"/>
      <c r="D486" s="1"/>
      <c r="E486" s="1"/>
      <c r="F486" s="94"/>
      <c r="G486" s="94"/>
      <c r="H486" s="94"/>
      <c r="I486" s="94"/>
      <c r="J486" s="94"/>
      <c r="K486" s="94"/>
      <c r="L486" s="94"/>
      <c r="M486" s="26"/>
      <c r="N486" s="26"/>
      <c r="O486" s="1"/>
      <c r="P486" s="1"/>
      <c r="Q486" s="1"/>
      <c r="R486" s="8"/>
      <c r="S486" s="1"/>
      <c r="T486" s="8"/>
      <c r="U486" s="1"/>
      <c r="V486" s="1"/>
      <c r="W486" s="1"/>
      <c r="X486" s="1"/>
    </row>
    <row r="487" spans="1:24">
      <c r="A487" s="1"/>
      <c r="B487" s="94"/>
      <c r="C487" s="1"/>
      <c r="D487" s="1"/>
      <c r="E487" s="1"/>
      <c r="F487" s="94"/>
      <c r="G487" s="94"/>
      <c r="H487" s="94"/>
      <c r="I487" s="94"/>
      <c r="J487" s="94"/>
      <c r="K487" s="94"/>
      <c r="L487" s="94"/>
      <c r="M487" s="26"/>
      <c r="N487" s="26"/>
      <c r="O487" s="1"/>
      <c r="P487" s="1"/>
      <c r="Q487" s="1"/>
      <c r="R487" s="8"/>
      <c r="S487" s="1"/>
      <c r="T487" s="8"/>
      <c r="U487" s="1"/>
      <c r="V487" s="1"/>
      <c r="W487" s="1"/>
      <c r="X487" s="1"/>
    </row>
    <row r="488" spans="1:24">
      <c r="A488" s="1"/>
      <c r="B488" s="93"/>
      <c r="C488" s="1"/>
      <c r="D488" s="1"/>
      <c r="E488" s="1"/>
      <c r="F488" s="93"/>
      <c r="G488" s="93"/>
      <c r="H488" s="93"/>
      <c r="I488" s="93"/>
      <c r="J488" s="93"/>
      <c r="K488" s="93"/>
      <c r="L488" s="93"/>
      <c r="M488" s="26"/>
      <c r="N488" s="26"/>
      <c r="O488" s="1"/>
      <c r="P488" s="1"/>
      <c r="Q488" s="1"/>
      <c r="R488" s="8"/>
      <c r="S488" s="1"/>
      <c r="T488" s="8"/>
      <c r="U488" s="1"/>
      <c r="V488" s="1"/>
      <c r="W488" s="1"/>
      <c r="X488" s="1"/>
    </row>
    <row r="489" spans="1:24">
      <c r="A489" s="1"/>
      <c r="B489" s="94"/>
      <c r="C489" s="1"/>
      <c r="D489" s="1"/>
      <c r="E489" s="1"/>
      <c r="F489" s="94"/>
      <c r="G489" s="94"/>
      <c r="H489" s="94"/>
      <c r="I489" s="94"/>
      <c r="J489" s="94"/>
      <c r="K489" s="94"/>
      <c r="L489" s="94"/>
      <c r="M489" s="26"/>
      <c r="N489" s="26"/>
      <c r="O489" s="1"/>
      <c r="P489" s="1"/>
      <c r="Q489" s="1"/>
      <c r="R489" s="8"/>
      <c r="S489" s="1"/>
      <c r="T489" s="8"/>
      <c r="U489" s="1"/>
      <c r="V489" s="1"/>
      <c r="W489" s="1"/>
      <c r="X489" s="1"/>
    </row>
    <row r="490" spans="1:24">
      <c r="A490" s="1"/>
      <c r="B490" s="94"/>
      <c r="C490" s="1"/>
      <c r="D490" s="1"/>
      <c r="E490" s="1"/>
      <c r="F490" s="94"/>
      <c r="G490" s="94"/>
      <c r="H490" s="94"/>
      <c r="I490" s="94"/>
      <c r="J490" s="94"/>
      <c r="K490" s="94"/>
      <c r="L490" s="94"/>
      <c r="M490" s="26"/>
      <c r="N490" s="26"/>
      <c r="O490" s="1"/>
      <c r="P490" s="1"/>
      <c r="Q490" s="1"/>
      <c r="R490" s="8"/>
      <c r="S490" s="1"/>
      <c r="T490" s="8"/>
      <c r="U490" s="1"/>
      <c r="V490" s="1"/>
      <c r="W490" s="1"/>
      <c r="X490" s="1"/>
    </row>
    <row r="491" spans="1:24">
      <c r="A491" s="1"/>
      <c r="B491" s="94"/>
      <c r="C491" s="1"/>
      <c r="D491" s="1"/>
      <c r="E491" s="1"/>
      <c r="F491" s="94"/>
      <c r="G491" s="94"/>
      <c r="H491" s="94"/>
      <c r="I491" s="94"/>
      <c r="J491" s="94"/>
      <c r="K491" s="94"/>
      <c r="L491" s="94"/>
      <c r="M491" s="26"/>
      <c r="N491" s="26"/>
      <c r="O491" s="1"/>
      <c r="P491" s="1"/>
      <c r="Q491" s="1"/>
      <c r="R491" s="8"/>
      <c r="S491" s="1"/>
      <c r="T491" s="8"/>
      <c r="U491" s="1"/>
      <c r="V491" s="1"/>
      <c r="W491" s="1"/>
      <c r="X491" s="1"/>
    </row>
    <row r="492" spans="1:24">
      <c r="A492" s="1"/>
      <c r="B492" s="94"/>
      <c r="C492" s="1"/>
      <c r="D492" s="1"/>
      <c r="E492" s="1"/>
      <c r="F492" s="94"/>
      <c r="G492" s="94"/>
      <c r="H492" s="94"/>
      <c r="I492" s="94"/>
      <c r="J492" s="94"/>
      <c r="K492" s="94"/>
      <c r="L492" s="94"/>
      <c r="M492" s="26"/>
      <c r="N492" s="26"/>
      <c r="O492" s="1"/>
      <c r="P492" s="1"/>
      <c r="Q492" s="1"/>
      <c r="R492" s="8"/>
      <c r="S492" s="1"/>
      <c r="T492" s="8"/>
      <c r="U492" s="1"/>
      <c r="V492" s="1"/>
      <c r="W492" s="1"/>
      <c r="X492" s="1"/>
    </row>
    <row r="493" spans="1:24">
      <c r="A493" s="1"/>
      <c r="B493" s="93"/>
      <c r="C493" s="1"/>
      <c r="D493" s="1"/>
      <c r="E493" s="1"/>
      <c r="F493" s="93"/>
      <c r="G493" s="93"/>
      <c r="H493" s="93"/>
      <c r="I493" s="93"/>
      <c r="J493" s="93"/>
      <c r="K493" s="93"/>
      <c r="L493" s="93"/>
      <c r="M493" s="26"/>
      <c r="N493" s="26"/>
      <c r="O493" s="1"/>
      <c r="P493" s="1"/>
      <c r="Q493" s="1"/>
      <c r="R493" s="8"/>
      <c r="S493" s="1"/>
      <c r="T493" s="8"/>
      <c r="U493" s="1"/>
      <c r="V493" s="1"/>
      <c r="W493" s="1"/>
      <c r="X493" s="1"/>
    </row>
    <row r="494" spans="1:24">
      <c r="A494" s="1"/>
      <c r="B494" s="94"/>
      <c r="C494" s="1"/>
      <c r="D494" s="1"/>
      <c r="E494" s="1"/>
      <c r="F494" s="94"/>
      <c r="G494" s="94"/>
      <c r="H494" s="94"/>
      <c r="I494" s="94"/>
      <c r="J494" s="94"/>
      <c r="K494" s="94"/>
      <c r="L494" s="94"/>
      <c r="M494" s="26"/>
      <c r="N494" s="26"/>
      <c r="O494" s="1"/>
      <c r="P494" s="1"/>
      <c r="Q494" s="1"/>
      <c r="R494" s="8"/>
      <c r="S494" s="1"/>
      <c r="T494" s="8"/>
      <c r="U494" s="1"/>
      <c r="V494" s="1"/>
      <c r="W494" s="1"/>
      <c r="X494" s="1"/>
    </row>
    <row r="495" spans="1:24">
      <c r="A495" s="1"/>
      <c r="B495" s="94"/>
      <c r="C495" s="1"/>
      <c r="D495" s="1"/>
      <c r="E495" s="1"/>
      <c r="F495" s="94"/>
      <c r="G495" s="94"/>
      <c r="H495" s="94"/>
      <c r="I495" s="94"/>
      <c r="J495" s="94"/>
      <c r="K495" s="94"/>
      <c r="L495" s="94"/>
      <c r="M495" s="26"/>
      <c r="N495" s="26"/>
      <c r="O495" s="1"/>
      <c r="P495" s="1"/>
      <c r="Q495" s="1"/>
      <c r="R495" s="8"/>
      <c r="S495" s="1"/>
      <c r="T495" s="8"/>
      <c r="U495" s="1"/>
      <c r="V495" s="1"/>
      <c r="W495" s="1"/>
      <c r="X495" s="1"/>
    </row>
    <row r="496" spans="1:24">
      <c r="A496" s="1"/>
      <c r="B496" s="94"/>
      <c r="C496" s="1"/>
      <c r="D496" s="1"/>
      <c r="E496" s="1"/>
      <c r="F496" s="94"/>
      <c r="G496" s="94"/>
      <c r="H496" s="94"/>
      <c r="I496" s="94"/>
      <c r="J496" s="94"/>
      <c r="K496" s="94"/>
      <c r="L496" s="94"/>
      <c r="M496" s="26"/>
      <c r="N496" s="26"/>
      <c r="O496" s="1"/>
      <c r="P496" s="1"/>
      <c r="Q496" s="1"/>
      <c r="R496" s="8"/>
      <c r="S496" s="1"/>
      <c r="T496" s="8"/>
      <c r="U496" s="1"/>
      <c r="V496" s="1"/>
      <c r="W496" s="1"/>
      <c r="X496" s="1"/>
    </row>
    <row r="497" spans="1:24">
      <c r="A497" s="1"/>
      <c r="B497" s="94"/>
      <c r="C497" s="1"/>
      <c r="D497" s="1"/>
      <c r="E497" s="1"/>
      <c r="F497" s="94"/>
      <c r="G497" s="94"/>
      <c r="H497" s="94"/>
      <c r="I497" s="94"/>
      <c r="J497" s="94"/>
      <c r="K497" s="94"/>
      <c r="L497" s="94"/>
      <c r="M497" s="26"/>
      <c r="N497" s="26"/>
      <c r="O497" s="1"/>
      <c r="P497" s="1"/>
      <c r="Q497" s="1"/>
      <c r="R497" s="8"/>
      <c r="S497" s="1"/>
      <c r="T497" s="8"/>
      <c r="U497" s="1"/>
      <c r="V497" s="1"/>
      <c r="W497" s="1"/>
      <c r="X497" s="1"/>
    </row>
    <row r="498" spans="1:24">
      <c r="A498" s="1"/>
      <c r="B498" s="93"/>
      <c r="C498" s="1"/>
      <c r="D498" s="1"/>
      <c r="E498" s="1"/>
      <c r="F498" s="93"/>
      <c r="G498" s="93"/>
      <c r="H498" s="93"/>
      <c r="I498" s="93"/>
      <c r="J498" s="93"/>
      <c r="K498" s="93"/>
      <c r="L498" s="93"/>
      <c r="M498" s="26"/>
      <c r="N498" s="26"/>
      <c r="O498" s="1"/>
      <c r="P498" s="1"/>
      <c r="Q498" s="1"/>
      <c r="R498" s="8"/>
      <c r="S498" s="1"/>
      <c r="T498" s="8"/>
      <c r="U498" s="1"/>
      <c r="V498" s="1"/>
      <c r="W498" s="1"/>
      <c r="X498" s="1"/>
    </row>
    <row r="499" spans="1:24">
      <c r="A499" s="1"/>
      <c r="B499" s="94"/>
      <c r="C499" s="1"/>
      <c r="D499" s="1"/>
      <c r="E499" s="1"/>
      <c r="F499" s="94"/>
      <c r="G499" s="94"/>
      <c r="H499" s="94"/>
      <c r="I499" s="94"/>
      <c r="J499" s="94"/>
      <c r="K499" s="94"/>
      <c r="L499" s="94"/>
      <c r="M499" s="26"/>
      <c r="N499" s="26"/>
      <c r="O499" s="1"/>
      <c r="P499" s="1"/>
      <c r="Q499" s="1"/>
      <c r="R499" s="8"/>
      <c r="S499" s="1"/>
      <c r="T499" s="8"/>
      <c r="U499" s="1"/>
      <c r="V499" s="1"/>
      <c r="W499" s="1"/>
      <c r="X499" s="1"/>
    </row>
    <row r="500" spans="1:24">
      <c r="A500" s="1"/>
      <c r="B500" s="94"/>
      <c r="C500" s="1"/>
      <c r="D500" s="1"/>
      <c r="E500" s="1"/>
      <c r="F500" s="94"/>
      <c r="G500" s="94"/>
      <c r="H500" s="94"/>
      <c r="I500" s="94"/>
      <c r="J500" s="94"/>
      <c r="K500" s="94"/>
      <c r="L500" s="94"/>
      <c r="M500" s="26"/>
      <c r="N500" s="26"/>
      <c r="O500" s="1"/>
      <c r="P500" s="1"/>
      <c r="Q500" s="1"/>
      <c r="R500" s="8"/>
      <c r="S500" s="1"/>
      <c r="T500" s="8"/>
      <c r="U500" s="1"/>
      <c r="V500" s="1"/>
      <c r="W500" s="1"/>
      <c r="X500" s="1"/>
    </row>
    <row r="501" spans="1:24">
      <c r="A501" s="1"/>
      <c r="B501" s="94"/>
      <c r="C501" s="1"/>
      <c r="D501" s="1"/>
      <c r="E501" s="1"/>
      <c r="F501" s="94"/>
      <c r="G501" s="94"/>
      <c r="H501" s="94"/>
      <c r="I501" s="94"/>
      <c r="J501" s="94"/>
      <c r="K501" s="94"/>
      <c r="L501" s="94"/>
      <c r="M501" s="26"/>
      <c r="N501" s="26"/>
      <c r="O501" s="1"/>
      <c r="P501" s="1"/>
      <c r="Q501" s="1"/>
      <c r="R501" s="8"/>
      <c r="S501" s="1"/>
      <c r="T501" s="8"/>
      <c r="U501" s="1"/>
      <c r="V501" s="1"/>
      <c r="W501" s="1"/>
      <c r="X501" s="1"/>
    </row>
    <row r="502" spans="1:24">
      <c r="A502" s="1"/>
      <c r="B502" s="94"/>
      <c r="C502" s="1"/>
      <c r="D502" s="1"/>
      <c r="E502" s="1"/>
      <c r="F502" s="94"/>
      <c r="G502" s="94"/>
      <c r="H502" s="94"/>
      <c r="I502" s="94"/>
      <c r="J502" s="94"/>
      <c r="K502" s="94"/>
      <c r="L502" s="94"/>
      <c r="M502" s="26"/>
      <c r="N502" s="26"/>
      <c r="O502" s="1"/>
      <c r="P502" s="1"/>
      <c r="Q502" s="1"/>
      <c r="R502" s="8"/>
      <c r="S502" s="1"/>
      <c r="T502" s="8"/>
      <c r="U502" s="1"/>
      <c r="V502" s="1"/>
      <c r="W502" s="1"/>
      <c r="X502" s="1"/>
    </row>
    <row r="503" spans="1:24">
      <c r="A503" s="1"/>
      <c r="B503" s="93"/>
      <c r="C503" s="1"/>
      <c r="D503" s="1"/>
      <c r="E503" s="1"/>
      <c r="F503" s="93"/>
      <c r="G503" s="93"/>
      <c r="H503" s="93"/>
      <c r="I503" s="93"/>
      <c r="J503" s="93"/>
      <c r="K503" s="93"/>
      <c r="L503" s="93"/>
      <c r="M503" s="26"/>
      <c r="N503" s="26"/>
      <c r="O503" s="1"/>
      <c r="P503" s="1"/>
      <c r="Q503" s="1"/>
      <c r="R503" s="8"/>
      <c r="S503" s="1"/>
      <c r="T503" s="8"/>
      <c r="U503" s="1"/>
      <c r="V503" s="1"/>
      <c r="W503" s="1"/>
      <c r="X503" s="1"/>
    </row>
    <row r="504" spans="1:24">
      <c r="A504" s="1"/>
      <c r="B504" s="94"/>
      <c r="C504" s="1"/>
      <c r="D504" s="1"/>
      <c r="E504" s="1"/>
      <c r="F504" s="94"/>
      <c r="G504" s="94"/>
      <c r="H504" s="94"/>
      <c r="I504" s="94"/>
      <c r="J504" s="94"/>
      <c r="K504" s="94"/>
      <c r="L504" s="94"/>
      <c r="M504" s="26"/>
      <c r="N504" s="26"/>
      <c r="O504" s="1"/>
      <c r="P504" s="1"/>
      <c r="Q504" s="1"/>
      <c r="R504" s="8"/>
      <c r="S504" s="1"/>
      <c r="T504" s="8"/>
      <c r="U504" s="1"/>
      <c r="V504" s="1"/>
      <c r="W504" s="1"/>
      <c r="X504" s="1"/>
    </row>
    <row r="505" spans="1:24">
      <c r="A505" s="1"/>
      <c r="B505" s="94"/>
      <c r="C505" s="1"/>
      <c r="D505" s="1"/>
      <c r="E505" s="1"/>
      <c r="F505" s="94"/>
      <c r="G505" s="94"/>
      <c r="H505" s="94"/>
      <c r="I505" s="94"/>
      <c r="J505" s="94"/>
      <c r="K505" s="94"/>
      <c r="L505" s="94"/>
      <c r="M505" s="26"/>
      <c r="N505" s="26"/>
      <c r="O505" s="1"/>
      <c r="P505" s="1"/>
      <c r="Q505" s="1"/>
      <c r="R505" s="8"/>
      <c r="S505" s="1"/>
      <c r="T505" s="8"/>
      <c r="U505" s="1"/>
      <c r="V505" s="1"/>
      <c r="W505" s="1"/>
      <c r="X505" s="1"/>
    </row>
    <row r="506" spans="1:24">
      <c r="A506" s="1"/>
      <c r="B506" s="94"/>
      <c r="C506" s="1"/>
      <c r="D506" s="1"/>
      <c r="E506" s="1"/>
      <c r="F506" s="94"/>
      <c r="G506" s="94"/>
      <c r="H506" s="94"/>
      <c r="I506" s="94"/>
      <c r="J506" s="94"/>
      <c r="K506" s="94"/>
      <c r="L506" s="94"/>
      <c r="M506" s="26"/>
      <c r="N506" s="26"/>
      <c r="O506" s="1"/>
      <c r="P506" s="1"/>
      <c r="Q506" s="1"/>
      <c r="R506" s="8"/>
      <c r="S506" s="1"/>
      <c r="T506" s="8"/>
      <c r="U506" s="1"/>
      <c r="V506" s="1"/>
      <c r="W506" s="1"/>
      <c r="X506" s="1"/>
    </row>
    <row r="507" spans="1:24">
      <c r="A507" s="1"/>
      <c r="B507" s="94"/>
      <c r="C507" s="1"/>
      <c r="D507" s="1"/>
      <c r="E507" s="1"/>
      <c r="F507" s="94"/>
      <c r="G507" s="94"/>
      <c r="H507" s="94"/>
      <c r="I507" s="94"/>
      <c r="J507" s="94"/>
      <c r="K507" s="94"/>
      <c r="L507" s="94"/>
      <c r="M507" s="26"/>
      <c r="N507" s="26"/>
      <c r="O507" s="1"/>
      <c r="P507" s="1"/>
      <c r="Q507" s="1"/>
      <c r="R507" s="8"/>
      <c r="S507" s="1"/>
      <c r="T507" s="8"/>
      <c r="U507" s="1"/>
      <c r="V507" s="1"/>
      <c r="W507" s="1"/>
      <c r="X507" s="1"/>
    </row>
    <row r="508" spans="1:24">
      <c r="A508" s="1"/>
      <c r="B508" s="93"/>
      <c r="C508" s="1"/>
      <c r="D508" s="1"/>
      <c r="E508" s="1"/>
      <c r="F508" s="93"/>
      <c r="G508" s="93"/>
      <c r="H508" s="93"/>
      <c r="I508" s="93"/>
      <c r="J508" s="93"/>
      <c r="K508" s="93"/>
      <c r="L508" s="93"/>
      <c r="M508" s="26"/>
      <c r="N508" s="26"/>
      <c r="O508" s="1"/>
      <c r="P508" s="1"/>
      <c r="Q508" s="1"/>
      <c r="R508" s="8"/>
      <c r="S508" s="1"/>
      <c r="T508" s="8"/>
      <c r="U508" s="1"/>
      <c r="V508" s="1"/>
      <c r="W508" s="1"/>
      <c r="X508" s="1"/>
    </row>
    <row r="509" spans="1:24">
      <c r="A509" s="1"/>
      <c r="B509" s="94"/>
      <c r="C509" s="1"/>
      <c r="D509" s="1"/>
      <c r="E509" s="1"/>
      <c r="F509" s="94"/>
      <c r="G509" s="94"/>
      <c r="H509" s="94"/>
      <c r="I509" s="94"/>
      <c r="J509" s="94"/>
      <c r="K509" s="94"/>
      <c r="L509" s="94"/>
      <c r="M509" s="26"/>
      <c r="N509" s="26"/>
      <c r="O509" s="1"/>
      <c r="P509" s="1"/>
      <c r="Q509" s="1"/>
      <c r="R509" s="8"/>
      <c r="S509" s="1"/>
      <c r="T509" s="8"/>
      <c r="U509" s="1"/>
      <c r="V509" s="1"/>
      <c r="W509" s="1"/>
      <c r="X509" s="1"/>
    </row>
    <row r="510" spans="1:24">
      <c r="A510" s="1"/>
      <c r="B510" s="94"/>
      <c r="C510" s="1"/>
      <c r="D510" s="1"/>
      <c r="E510" s="1"/>
      <c r="F510" s="94"/>
      <c r="G510" s="94"/>
      <c r="H510" s="94"/>
      <c r="I510" s="94"/>
      <c r="J510" s="94"/>
      <c r="K510" s="94"/>
      <c r="L510" s="94"/>
      <c r="M510" s="26"/>
      <c r="N510" s="26"/>
      <c r="O510" s="1"/>
      <c r="P510" s="1"/>
      <c r="Q510" s="1"/>
      <c r="R510" s="8"/>
      <c r="S510" s="1"/>
      <c r="T510" s="8"/>
      <c r="U510" s="1"/>
      <c r="V510" s="1"/>
      <c r="W510" s="1"/>
      <c r="X510" s="1"/>
    </row>
    <row r="511" spans="1:24">
      <c r="A511" s="1"/>
      <c r="B511" s="94"/>
      <c r="C511" s="1"/>
      <c r="D511" s="1"/>
      <c r="E511" s="1"/>
      <c r="F511" s="94"/>
      <c r="G511" s="94"/>
      <c r="H511" s="94"/>
      <c r="I511" s="94"/>
      <c r="J511" s="94"/>
      <c r="K511" s="94"/>
      <c r="L511" s="94"/>
      <c r="M511" s="26"/>
      <c r="N511" s="26"/>
      <c r="O511" s="1"/>
      <c r="P511" s="1"/>
      <c r="Q511" s="1"/>
      <c r="R511" s="8"/>
      <c r="S511" s="1"/>
      <c r="T511" s="8"/>
      <c r="U511" s="1"/>
      <c r="V511" s="1"/>
      <c r="W511" s="1"/>
      <c r="X511" s="1"/>
    </row>
    <row r="512" spans="1:24">
      <c r="A512" s="1"/>
      <c r="B512" s="94"/>
      <c r="C512" s="1"/>
      <c r="D512" s="1"/>
      <c r="E512" s="1"/>
      <c r="F512" s="94"/>
      <c r="G512" s="94"/>
      <c r="H512" s="94"/>
      <c r="I512" s="94"/>
      <c r="J512" s="94"/>
      <c r="K512" s="94"/>
      <c r="L512" s="94"/>
      <c r="M512" s="26"/>
      <c r="N512" s="26"/>
      <c r="O512" s="1"/>
      <c r="P512" s="1"/>
      <c r="Q512" s="1"/>
      <c r="R512" s="8"/>
      <c r="S512" s="1"/>
      <c r="T512" s="8"/>
      <c r="U512" s="1"/>
      <c r="V512" s="1"/>
      <c r="W512" s="1"/>
      <c r="X512" s="1"/>
    </row>
    <row r="513" spans="1:24">
      <c r="A513" s="1"/>
      <c r="B513" s="93"/>
      <c r="C513" s="1"/>
      <c r="D513" s="1"/>
      <c r="E513" s="1"/>
      <c r="F513" s="93"/>
      <c r="G513" s="93"/>
      <c r="H513" s="93"/>
      <c r="I513" s="93"/>
      <c r="J513" s="93"/>
      <c r="K513" s="93"/>
      <c r="L513" s="93"/>
      <c r="M513" s="26"/>
      <c r="N513" s="26"/>
      <c r="O513" s="1"/>
      <c r="P513" s="1"/>
      <c r="Q513" s="1"/>
      <c r="R513" s="8"/>
      <c r="S513" s="1"/>
      <c r="T513" s="8"/>
      <c r="U513" s="1"/>
      <c r="V513" s="1"/>
      <c r="W513" s="1"/>
      <c r="X513" s="1"/>
    </row>
    <row r="514" spans="1:24">
      <c r="A514" s="1"/>
      <c r="B514" s="94"/>
      <c r="C514" s="1"/>
      <c r="D514" s="1"/>
      <c r="E514" s="1"/>
      <c r="F514" s="94"/>
      <c r="G514" s="94"/>
      <c r="H514" s="94"/>
      <c r="I514" s="94"/>
      <c r="J514" s="94"/>
      <c r="K514" s="94"/>
      <c r="L514" s="94"/>
      <c r="M514" s="26"/>
      <c r="N514" s="26"/>
      <c r="O514" s="1"/>
      <c r="P514" s="1"/>
      <c r="Q514" s="1"/>
      <c r="R514" s="8"/>
      <c r="S514" s="1"/>
      <c r="T514" s="8"/>
      <c r="U514" s="1"/>
      <c r="V514" s="1"/>
      <c r="W514" s="1"/>
      <c r="X514" s="1"/>
    </row>
    <row r="515" spans="1:24">
      <c r="A515" s="1"/>
      <c r="B515" s="94"/>
      <c r="C515" s="1"/>
      <c r="D515" s="1"/>
      <c r="E515" s="1"/>
      <c r="F515" s="94"/>
      <c r="G515" s="94"/>
      <c r="H515" s="94"/>
      <c r="I515" s="94"/>
      <c r="J515" s="94"/>
      <c r="K515" s="94"/>
      <c r="L515" s="94"/>
      <c r="M515" s="26"/>
      <c r="N515" s="26"/>
      <c r="O515" s="1"/>
      <c r="P515" s="1"/>
      <c r="Q515" s="1"/>
      <c r="R515" s="8"/>
      <c r="S515" s="1"/>
      <c r="T515" s="8"/>
      <c r="U515" s="1"/>
      <c r="V515" s="1"/>
      <c r="W515" s="1"/>
      <c r="X515" s="1"/>
    </row>
    <row r="516" spans="1:24">
      <c r="A516" s="1"/>
      <c r="B516" s="94"/>
      <c r="C516" s="1"/>
      <c r="D516" s="1"/>
      <c r="E516" s="1"/>
      <c r="F516" s="94"/>
      <c r="G516" s="94"/>
      <c r="H516" s="94"/>
      <c r="I516" s="94"/>
      <c r="J516" s="94"/>
      <c r="K516" s="94"/>
      <c r="L516" s="94"/>
      <c r="M516" s="26"/>
      <c r="N516" s="26"/>
      <c r="O516" s="1"/>
      <c r="P516" s="1"/>
      <c r="Q516" s="1"/>
      <c r="R516" s="8"/>
      <c r="S516" s="1"/>
      <c r="T516" s="8"/>
      <c r="U516" s="1"/>
      <c r="V516" s="1"/>
      <c r="W516" s="1"/>
      <c r="X516" s="1"/>
    </row>
    <row r="517" spans="1:24">
      <c r="A517" s="1"/>
      <c r="B517" s="94"/>
      <c r="C517" s="1"/>
      <c r="D517" s="1"/>
      <c r="E517" s="1"/>
      <c r="F517" s="94"/>
      <c r="G517" s="94"/>
      <c r="H517" s="94"/>
      <c r="I517" s="94"/>
      <c r="J517" s="94"/>
      <c r="K517" s="94"/>
      <c r="L517" s="94"/>
      <c r="M517" s="26"/>
      <c r="N517" s="26"/>
      <c r="O517" s="1"/>
      <c r="P517" s="1"/>
      <c r="Q517" s="1"/>
      <c r="R517" s="8"/>
      <c r="S517" s="1"/>
      <c r="T517" s="8"/>
      <c r="U517" s="1"/>
      <c r="V517" s="1"/>
      <c r="W517" s="1"/>
      <c r="X517" s="1"/>
    </row>
    <row r="518" spans="1:24">
      <c r="A518" s="1"/>
      <c r="B518" s="93"/>
      <c r="C518" s="1"/>
      <c r="D518" s="1"/>
      <c r="E518" s="1"/>
      <c r="F518" s="93"/>
      <c r="G518" s="93"/>
      <c r="H518" s="93"/>
      <c r="I518" s="93"/>
      <c r="J518" s="93"/>
      <c r="K518" s="93"/>
      <c r="L518" s="93"/>
      <c r="M518" s="26"/>
      <c r="N518" s="26"/>
      <c r="O518" s="1"/>
      <c r="P518" s="1"/>
      <c r="Q518" s="1"/>
      <c r="R518" s="8"/>
      <c r="S518" s="1"/>
      <c r="T518" s="8"/>
      <c r="U518" s="1"/>
      <c r="V518" s="1"/>
      <c r="W518" s="1"/>
      <c r="X518" s="1"/>
    </row>
    <row r="519" spans="1:24">
      <c r="A519" s="1"/>
      <c r="B519" s="94"/>
      <c r="C519" s="1"/>
      <c r="D519" s="1"/>
      <c r="E519" s="1"/>
      <c r="F519" s="94"/>
      <c r="G519" s="94"/>
      <c r="H519" s="94"/>
      <c r="I519" s="94"/>
      <c r="J519" s="94"/>
      <c r="K519" s="94"/>
      <c r="L519" s="94"/>
      <c r="M519" s="26"/>
      <c r="N519" s="26"/>
      <c r="O519" s="1"/>
      <c r="P519" s="1"/>
      <c r="Q519" s="1"/>
      <c r="R519" s="8"/>
      <c r="S519" s="1"/>
      <c r="T519" s="8"/>
      <c r="U519" s="1"/>
      <c r="V519" s="1"/>
      <c r="W519" s="1"/>
      <c r="X519" s="1"/>
    </row>
    <row r="520" spans="1:24">
      <c r="A520" s="1"/>
      <c r="B520" s="94"/>
      <c r="C520" s="1"/>
      <c r="D520" s="1"/>
      <c r="E520" s="1"/>
      <c r="F520" s="94"/>
      <c r="G520" s="94"/>
      <c r="H520" s="94"/>
      <c r="I520" s="94"/>
      <c r="J520" s="94"/>
      <c r="K520" s="94"/>
      <c r="L520" s="94"/>
      <c r="M520" s="26"/>
      <c r="N520" s="26"/>
      <c r="O520" s="1"/>
      <c r="P520" s="1"/>
      <c r="Q520" s="1"/>
      <c r="R520" s="8"/>
      <c r="S520" s="1"/>
      <c r="T520" s="8"/>
      <c r="U520" s="1"/>
      <c r="V520" s="1"/>
      <c r="W520" s="1"/>
      <c r="X520" s="1"/>
    </row>
    <row r="521" spans="1:24">
      <c r="A521" s="1"/>
      <c r="B521" s="94"/>
      <c r="C521" s="1"/>
      <c r="D521" s="1"/>
      <c r="E521" s="1"/>
      <c r="F521" s="94"/>
      <c r="G521" s="94"/>
      <c r="H521" s="94"/>
      <c r="I521" s="94"/>
      <c r="J521" s="94"/>
      <c r="K521" s="94"/>
      <c r="L521" s="94"/>
      <c r="M521" s="26"/>
      <c r="N521" s="26"/>
      <c r="O521" s="1"/>
      <c r="P521" s="1"/>
      <c r="Q521" s="1"/>
      <c r="R521" s="8"/>
      <c r="S521" s="1"/>
      <c r="T521" s="8"/>
      <c r="U521" s="1"/>
      <c r="V521" s="1"/>
      <c r="W521" s="1"/>
      <c r="X521" s="1"/>
    </row>
    <row r="522" spans="1:24">
      <c r="A522" s="1"/>
      <c r="B522" s="94"/>
      <c r="C522" s="1"/>
      <c r="D522" s="1"/>
      <c r="E522" s="1"/>
      <c r="F522" s="94"/>
      <c r="G522" s="94"/>
      <c r="H522" s="94"/>
      <c r="I522" s="94"/>
      <c r="J522" s="94"/>
      <c r="K522" s="94"/>
      <c r="L522" s="94"/>
      <c r="M522" s="26"/>
      <c r="N522" s="26"/>
      <c r="O522" s="1"/>
      <c r="P522" s="1"/>
      <c r="Q522" s="1"/>
      <c r="R522" s="8"/>
      <c r="S522" s="1"/>
      <c r="T522" s="8"/>
      <c r="U522" s="1"/>
      <c r="V522" s="1"/>
      <c r="W522" s="1"/>
      <c r="X522" s="1"/>
    </row>
    <row r="523" spans="1:24">
      <c r="A523" s="1"/>
      <c r="B523" s="93"/>
      <c r="C523" s="1"/>
      <c r="D523" s="1"/>
      <c r="E523" s="1"/>
      <c r="F523" s="93"/>
      <c r="G523" s="93"/>
      <c r="H523" s="93"/>
      <c r="I523" s="93"/>
      <c r="J523" s="93"/>
      <c r="K523" s="93"/>
      <c r="L523" s="93"/>
      <c r="M523" s="26"/>
      <c r="N523" s="26"/>
      <c r="O523" s="1"/>
      <c r="P523" s="1"/>
      <c r="Q523" s="1"/>
      <c r="R523" s="8"/>
      <c r="S523" s="1"/>
      <c r="T523" s="8"/>
      <c r="U523" s="1"/>
      <c r="V523" s="1"/>
      <c r="W523" s="1"/>
      <c r="X523" s="1"/>
    </row>
    <row r="524" spans="1:24">
      <c r="A524" s="1"/>
      <c r="B524" s="94"/>
      <c r="C524" s="1"/>
      <c r="D524" s="1"/>
      <c r="E524" s="1"/>
      <c r="F524" s="94"/>
      <c r="G524" s="94"/>
      <c r="H524" s="94"/>
      <c r="I524" s="94"/>
      <c r="J524" s="94"/>
      <c r="K524" s="94"/>
      <c r="L524" s="94"/>
      <c r="M524" s="26"/>
      <c r="N524" s="26"/>
      <c r="O524" s="1"/>
      <c r="P524" s="1"/>
      <c r="Q524" s="1"/>
      <c r="R524" s="8"/>
      <c r="S524" s="1"/>
      <c r="T524" s="8"/>
      <c r="U524" s="1"/>
      <c r="V524" s="1"/>
      <c r="W524" s="1"/>
      <c r="X524" s="1"/>
    </row>
    <row r="525" spans="1:24">
      <c r="A525" s="1"/>
      <c r="B525" s="94"/>
      <c r="C525" s="1"/>
      <c r="D525" s="1"/>
      <c r="E525" s="1"/>
      <c r="F525" s="94"/>
      <c r="G525" s="94"/>
      <c r="H525" s="94"/>
      <c r="I525" s="94"/>
      <c r="J525" s="94"/>
      <c r="K525" s="94"/>
      <c r="L525" s="94"/>
      <c r="M525" s="26"/>
      <c r="N525" s="26"/>
      <c r="O525" s="1"/>
      <c r="P525" s="1"/>
      <c r="Q525" s="1"/>
      <c r="R525" s="8"/>
      <c r="S525" s="1"/>
      <c r="T525" s="8"/>
      <c r="U525" s="1"/>
      <c r="V525" s="1"/>
      <c r="W525" s="1"/>
      <c r="X525" s="1"/>
    </row>
    <row r="526" spans="1:24">
      <c r="A526" s="1"/>
      <c r="B526" s="94"/>
      <c r="C526" s="1"/>
      <c r="D526" s="1"/>
      <c r="E526" s="1"/>
      <c r="F526" s="94"/>
      <c r="G526" s="94"/>
      <c r="H526" s="94"/>
      <c r="I526" s="94"/>
      <c r="J526" s="94"/>
      <c r="K526" s="94"/>
      <c r="L526" s="94"/>
      <c r="M526" s="26"/>
      <c r="N526" s="26"/>
      <c r="O526" s="1"/>
      <c r="P526" s="1"/>
      <c r="Q526" s="1"/>
      <c r="R526" s="8"/>
      <c r="S526" s="1"/>
      <c r="T526" s="8"/>
      <c r="U526" s="1"/>
      <c r="V526" s="1"/>
      <c r="W526" s="1"/>
      <c r="X526" s="1"/>
    </row>
    <row r="527" spans="1:24">
      <c r="A527" s="1"/>
      <c r="B527" s="94"/>
      <c r="C527" s="1"/>
      <c r="D527" s="1"/>
      <c r="E527" s="1"/>
      <c r="F527" s="94"/>
      <c r="G527" s="94"/>
      <c r="H527" s="94"/>
      <c r="I527" s="94"/>
      <c r="J527" s="94"/>
      <c r="K527" s="94"/>
      <c r="L527" s="94"/>
      <c r="M527" s="26"/>
      <c r="N527" s="26"/>
      <c r="O527" s="1"/>
      <c r="P527" s="1"/>
      <c r="Q527" s="1"/>
      <c r="R527" s="8"/>
      <c r="S527" s="1"/>
      <c r="T527" s="8"/>
      <c r="U527" s="1"/>
      <c r="V527" s="1"/>
      <c r="W527" s="1"/>
      <c r="X527" s="1"/>
    </row>
    <row r="528" spans="1:24">
      <c r="A528" s="1"/>
      <c r="B528" s="93"/>
      <c r="C528" s="1"/>
      <c r="D528" s="1"/>
      <c r="E528" s="1"/>
      <c r="F528" s="93"/>
      <c r="G528" s="93"/>
      <c r="H528" s="93"/>
      <c r="I528" s="93"/>
      <c r="J528" s="93"/>
      <c r="K528" s="93"/>
      <c r="L528" s="93"/>
      <c r="M528" s="26"/>
      <c r="N528" s="26"/>
      <c r="O528" s="1"/>
      <c r="P528" s="1"/>
      <c r="Q528" s="1"/>
      <c r="R528" s="8"/>
      <c r="S528" s="1"/>
      <c r="T528" s="8"/>
      <c r="U528" s="1"/>
      <c r="V528" s="1"/>
      <c r="W528" s="1"/>
      <c r="X528" s="1"/>
    </row>
    <row r="529" spans="1:24">
      <c r="A529" s="1"/>
      <c r="B529" s="94"/>
      <c r="C529" s="1"/>
      <c r="D529" s="1"/>
      <c r="E529" s="1"/>
      <c r="F529" s="94"/>
      <c r="G529" s="94"/>
      <c r="H529" s="94"/>
      <c r="I529" s="94"/>
      <c r="J529" s="94"/>
      <c r="K529" s="94"/>
      <c r="L529" s="94"/>
      <c r="M529" s="26"/>
      <c r="N529" s="26"/>
      <c r="O529" s="1"/>
      <c r="P529" s="1"/>
      <c r="Q529" s="1"/>
      <c r="R529" s="8"/>
      <c r="S529" s="1"/>
      <c r="T529" s="8"/>
      <c r="U529" s="1"/>
      <c r="V529" s="1"/>
      <c r="W529" s="1"/>
      <c r="X529" s="1"/>
    </row>
    <row r="530" spans="1:24">
      <c r="A530" s="1"/>
      <c r="B530" s="94"/>
      <c r="C530" s="1"/>
      <c r="D530" s="1"/>
      <c r="E530" s="1"/>
      <c r="F530" s="94"/>
      <c r="G530" s="94"/>
      <c r="H530" s="94"/>
      <c r="I530" s="94"/>
      <c r="J530" s="94"/>
      <c r="K530" s="94"/>
      <c r="L530" s="94"/>
      <c r="M530" s="26"/>
      <c r="N530" s="26"/>
      <c r="O530" s="1"/>
      <c r="P530" s="1"/>
      <c r="Q530" s="1"/>
      <c r="R530" s="8"/>
      <c r="S530" s="1"/>
      <c r="T530" s="8"/>
      <c r="U530" s="1"/>
      <c r="V530" s="1"/>
      <c r="W530" s="1"/>
      <c r="X530" s="1"/>
    </row>
    <row r="531" spans="1:24">
      <c r="A531" s="1"/>
      <c r="B531" s="94"/>
      <c r="C531" s="1"/>
      <c r="D531" s="1"/>
      <c r="E531" s="1"/>
      <c r="F531" s="94"/>
      <c r="G531" s="94"/>
      <c r="H531" s="94"/>
      <c r="I531" s="94"/>
      <c r="J531" s="94"/>
      <c r="K531" s="94"/>
      <c r="L531" s="94"/>
      <c r="M531" s="26"/>
      <c r="N531" s="26"/>
      <c r="O531" s="1"/>
      <c r="P531" s="1"/>
      <c r="Q531" s="1"/>
      <c r="R531" s="8"/>
      <c r="S531" s="1"/>
      <c r="T531" s="8"/>
      <c r="U531" s="1"/>
      <c r="V531" s="1"/>
      <c r="W531" s="1"/>
      <c r="X531" s="1"/>
    </row>
    <row r="532" spans="1:24">
      <c r="A532" s="1"/>
      <c r="B532" s="94"/>
      <c r="C532" s="1"/>
      <c r="D532" s="1"/>
      <c r="E532" s="1"/>
      <c r="F532" s="94"/>
      <c r="G532" s="94"/>
      <c r="H532" s="94"/>
      <c r="I532" s="94"/>
      <c r="J532" s="94"/>
      <c r="K532" s="94"/>
      <c r="L532" s="94"/>
      <c r="M532" s="26"/>
      <c r="N532" s="26"/>
      <c r="O532" s="1"/>
      <c r="P532" s="1"/>
      <c r="Q532" s="1"/>
      <c r="R532" s="8"/>
      <c r="S532" s="1"/>
      <c r="T532" s="8"/>
      <c r="U532" s="1"/>
      <c r="V532" s="1"/>
      <c r="W532" s="1"/>
      <c r="X532" s="1"/>
    </row>
    <row r="533" spans="1:24">
      <c r="A533" s="1"/>
      <c r="B533" s="93"/>
      <c r="C533" s="1"/>
      <c r="D533" s="1"/>
      <c r="E533" s="1"/>
      <c r="F533" s="93"/>
      <c r="G533" s="93"/>
      <c r="H533" s="93"/>
      <c r="I533" s="93"/>
      <c r="J533" s="93"/>
      <c r="K533" s="93"/>
      <c r="L533" s="93"/>
      <c r="M533" s="26"/>
      <c r="N533" s="26"/>
      <c r="O533" s="1"/>
      <c r="P533" s="1"/>
      <c r="Q533" s="1"/>
      <c r="R533" s="8"/>
      <c r="S533" s="1"/>
      <c r="T533" s="8"/>
      <c r="U533" s="1"/>
      <c r="V533" s="1"/>
      <c r="W533" s="1"/>
      <c r="X533" s="1"/>
    </row>
    <row r="534" spans="1:24">
      <c r="A534" s="1"/>
      <c r="B534" s="94"/>
      <c r="C534" s="1"/>
      <c r="D534" s="1"/>
      <c r="E534" s="1"/>
      <c r="F534" s="94"/>
      <c r="G534" s="94"/>
      <c r="H534" s="94"/>
      <c r="I534" s="94"/>
      <c r="J534" s="94"/>
      <c r="K534" s="94"/>
      <c r="L534" s="94"/>
      <c r="M534" s="26"/>
      <c r="N534" s="26"/>
      <c r="O534" s="1"/>
      <c r="P534" s="1"/>
      <c r="Q534" s="1"/>
      <c r="R534" s="8"/>
      <c r="S534" s="1"/>
      <c r="T534" s="8"/>
      <c r="U534" s="1"/>
      <c r="V534" s="1"/>
      <c r="W534" s="1"/>
      <c r="X534" s="1"/>
    </row>
    <row r="535" spans="1:24">
      <c r="A535" s="1"/>
      <c r="B535" s="94"/>
      <c r="C535" s="1"/>
      <c r="D535" s="1"/>
      <c r="E535" s="1"/>
      <c r="F535" s="94"/>
      <c r="G535" s="94"/>
      <c r="H535" s="94"/>
      <c r="I535" s="94"/>
      <c r="J535" s="94"/>
      <c r="K535" s="94"/>
      <c r="L535" s="94"/>
      <c r="M535" s="26"/>
      <c r="N535" s="26"/>
      <c r="O535" s="1"/>
      <c r="P535" s="1"/>
      <c r="Q535" s="1"/>
      <c r="R535" s="8"/>
      <c r="S535" s="1"/>
      <c r="T535" s="8"/>
      <c r="U535" s="1"/>
      <c r="V535" s="1"/>
      <c r="W535" s="1"/>
      <c r="X535" s="1"/>
    </row>
    <row r="536" spans="1:24">
      <c r="A536" s="1"/>
      <c r="B536" s="94"/>
      <c r="C536" s="1"/>
      <c r="D536" s="1"/>
      <c r="E536" s="1"/>
      <c r="F536" s="94"/>
      <c r="G536" s="94"/>
      <c r="H536" s="94"/>
      <c r="I536" s="94"/>
      <c r="J536" s="94"/>
      <c r="K536" s="94"/>
      <c r="L536" s="94"/>
      <c r="M536" s="26"/>
      <c r="N536" s="26"/>
      <c r="O536" s="1"/>
      <c r="P536" s="1"/>
      <c r="Q536" s="1"/>
      <c r="R536" s="8"/>
      <c r="S536" s="1"/>
      <c r="T536" s="8"/>
      <c r="U536" s="1"/>
      <c r="V536" s="1"/>
      <c r="W536" s="1"/>
      <c r="X536" s="1"/>
    </row>
    <row r="537" spans="1:24">
      <c r="A537" s="1"/>
      <c r="B537" s="94"/>
      <c r="C537" s="1"/>
      <c r="D537" s="1"/>
      <c r="E537" s="1"/>
      <c r="F537" s="94"/>
      <c r="G537" s="94"/>
      <c r="H537" s="94"/>
      <c r="I537" s="94"/>
      <c r="J537" s="94"/>
      <c r="K537" s="94"/>
      <c r="L537" s="94"/>
      <c r="M537" s="26"/>
      <c r="N537" s="26"/>
      <c r="O537" s="1"/>
      <c r="P537" s="1"/>
      <c r="Q537" s="1"/>
      <c r="R537" s="8"/>
      <c r="S537" s="1"/>
      <c r="T537" s="8"/>
      <c r="U537" s="1"/>
      <c r="V537" s="1"/>
      <c r="W537" s="1"/>
      <c r="X537" s="1"/>
    </row>
    <row r="538" spans="1:24">
      <c r="A538" s="1"/>
      <c r="B538" s="93"/>
      <c r="C538" s="1"/>
      <c r="D538" s="1"/>
      <c r="E538" s="1"/>
      <c r="F538" s="93"/>
      <c r="G538" s="93"/>
      <c r="H538" s="93"/>
      <c r="I538" s="93"/>
      <c r="J538" s="93"/>
      <c r="K538" s="93"/>
      <c r="L538" s="93"/>
      <c r="M538" s="26"/>
      <c r="N538" s="26"/>
      <c r="O538" s="1"/>
      <c r="P538" s="1"/>
      <c r="Q538" s="1"/>
      <c r="R538" s="8"/>
      <c r="S538" s="1"/>
      <c r="T538" s="8"/>
      <c r="U538" s="1"/>
      <c r="V538" s="1"/>
      <c r="W538" s="1"/>
      <c r="X538" s="1"/>
    </row>
    <row r="539" spans="1:24">
      <c r="A539" s="1"/>
      <c r="B539" s="94"/>
      <c r="C539" s="1"/>
      <c r="D539" s="1"/>
      <c r="E539" s="1"/>
      <c r="F539" s="94"/>
      <c r="G539" s="94"/>
      <c r="H539" s="94"/>
      <c r="I539" s="94"/>
      <c r="J539" s="94"/>
      <c r="K539" s="94"/>
      <c r="L539" s="94"/>
      <c r="M539" s="26"/>
      <c r="N539" s="26"/>
      <c r="O539" s="1"/>
      <c r="P539" s="1"/>
      <c r="Q539" s="1"/>
      <c r="R539" s="8"/>
      <c r="S539" s="1"/>
      <c r="T539" s="8"/>
      <c r="U539" s="1"/>
      <c r="V539" s="1"/>
      <c r="W539" s="1"/>
      <c r="X539" s="1"/>
    </row>
    <row r="540" spans="1:24">
      <c r="A540" s="1"/>
      <c r="B540" s="94"/>
      <c r="C540" s="1"/>
      <c r="D540" s="1"/>
      <c r="E540" s="1"/>
      <c r="F540" s="94"/>
      <c r="G540" s="94"/>
      <c r="H540" s="94"/>
      <c r="I540" s="94"/>
      <c r="J540" s="94"/>
      <c r="K540" s="94"/>
      <c r="L540" s="94"/>
      <c r="M540" s="26"/>
      <c r="N540" s="26"/>
      <c r="O540" s="1"/>
      <c r="P540" s="1"/>
      <c r="Q540" s="1"/>
      <c r="R540" s="8"/>
      <c r="S540" s="1"/>
      <c r="T540" s="8"/>
      <c r="U540" s="1"/>
      <c r="V540" s="1"/>
      <c r="W540" s="1"/>
      <c r="X540" s="1"/>
    </row>
    <row r="541" spans="1:24">
      <c r="A541" s="1"/>
      <c r="B541" s="94"/>
      <c r="C541" s="1"/>
      <c r="D541" s="1"/>
      <c r="E541" s="1"/>
      <c r="F541" s="94"/>
      <c r="G541" s="94"/>
      <c r="H541" s="94"/>
      <c r="I541" s="94"/>
      <c r="J541" s="94"/>
      <c r="K541" s="94"/>
      <c r="L541" s="94"/>
      <c r="M541" s="26"/>
      <c r="N541" s="26"/>
      <c r="O541" s="1"/>
      <c r="P541" s="1"/>
      <c r="Q541" s="1"/>
      <c r="R541" s="8"/>
      <c r="S541" s="1"/>
      <c r="T541" s="8"/>
      <c r="U541" s="1"/>
      <c r="V541" s="1"/>
      <c r="W541" s="1"/>
      <c r="X541" s="1"/>
    </row>
    <row r="542" spans="1:24">
      <c r="A542" s="1"/>
      <c r="B542" s="94"/>
      <c r="C542" s="1"/>
      <c r="D542" s="1"/>
      <c r="E542" s="1"/>
      <c r="F542" s="94"/>
      <c r="G542" s="94"/>
      <c r="H542" s="94"/>
      <c r="I542" s="94"/>
      <c r="J542" s="94"/>
      <c r="K542" s="94"/>
      <c r="L542" s="94"/>
      <c r="M542" s="26"/>
      <c r="N542" s="26"/>
      <c r="O542" s="1"/>
      <c r="P542" s="1"/>
      <c r="Q542" s="1"/>
      <c r="R542" s="8"/>
      <c r="S542" s="1"/>
      <c r="T542" s="8"/>
      <c r="U542" s="1"/>
      <c r="V542" s="1"/>
      <c r="W542" s="1"/>
      <c r="X542" s="1"/>
    </row>
    <row r="543" spans="1:24">
      <c r="A543" s="1"/>
      <c r="B543" s="93"/>
      <c r="C543" s="1"/>
      <c r="D543" s="1"/>
      <c r="E543" s="1"/>
      <c r="F543" s="93"/>
      <c r="G543" s="93"/>
      <c r="H543" s="93"/>
      <c r="I543" s="93"/>
      <c r="J543" s="93"/>
      <c r="K543" s="93"/>
      <c r="L543" s="93"/>
      <c r="M543" s="26"/>
      <c r="N543" s="26"/>
      <c r="O543" s="1"/>
      <c r="P543" s="1"/>
      <c r="Q543" s="1"/>
      <c r="R543" s="8"/>
      <c r="S543" s="1"/>
      <c r="T543" s="8"/>
      <c r="U543" s="1"/>
      <c r="V543" s="1"/>
      <c r="W543" s="1"/>
      <c r="X543" s="1"/>
    </row>
    <row r="544" spans="1:24">
      <c r="A544" s="1"/>
      <c r="B544" s="94"/>
      <c r="C544" s="1"/>
      <c r="D544" s="1"/>
      <c r="E544" s="1"/>
      <c r="F544" s="94"/>
      <c r="G544" s="94"/>
      <c r="H544" s="94"/>
      <c r="I544" s="94"/>
      <c r="J544" s="94"/>
      <c r="K544" s="94"/>
      <c r="L544" s="94"/>
      <c r="M544" s="26"/>
      <c r="N544" s="26"/>
      <c r="O544" s="1"/>
      <c r="P544" s="1"/>
      <c r="Q544" s="1"/>
      <c r="R544" s="8"/>
      <c r="S544" s="1"/>
      <c r="T544" s="8"/>
      <c r="U544" s="1"/>
      <c r="V544" s="1"/>
      <c r="W544" s="1"/>
      <c r="X544" s="1"/>
    </row>
    <row r="545" spans="1:24">
      <c r="A545" s="1"/>
      <c r="B545" s="94"/>
      <c r="C545" s="1"/>
      <c r="D545" s="1"/>
      <c r="E545" s="1"/>
      <c r="F545" s="94"/>
      <c r="G545" s="94"/>
      <c r="H545" s="94"/>
      <c r="I545" s="94"/>
      <c r="J545" s="94"/>
      <c r="K545" s="94"/>
      <c r="L545" s="94"/>
      <c r="M545" s="26"/>
      <c r="N545" s="26"/>
      <c r="O545" s="1"/>
      <c r="P545" s="1"/>
      <c r="Q545" s="1"/>
      <c r="R545" s="8"/>
      <c r="S545" s="1"/>
      <c r="T545" s="8"/>
      <c r="U545" s="1"/>
      <c r="V545" s="1"/>
      <c r="W545" s="1"/>
      <c r="X545" s="1"/>
    </row>
    <row r="546" spans="1:24">
      <c r="A546" s="1"/>
      <c r="B546" s="94"/>
      <c r="C546" s="1"/>
      <c r="D546" s="1"/>
      <c r="E546" s="1"/>
      <c r="F546" s="94"/>
      <c r="G546" s="94"/>
      <c r="H546" s="94"/>
      <c r="I546" s="94"/>
      <c r="J546" s="94"/>
      <c r="K546" s="94"/>
      <c r="L546" s="94"/>
      <c r="M546" s="26"/>
      <c r="N546" s="26"/>
      <c r="O546" s="1"/>
      <c r="P546" s="1"/>
      <c r="Q546" s="1"/>
      <c r="R546" s="8"/>
      <c r="S546" s="1"/>
      <c r="T546" s="8"/>
      <c r="U546" s="1"/>
      <c r="V546" s="1"/>
      <c r="W546" s="1"/>
      <c r="X546" s="1"/>
    </row>
    <row r="547" spans="1:24">
      <c r="A547" s="1"/>
      <c r="B547" s="94"/>
      <c r="C547" s="1"/>
      <c r="D547" s="1"/>
      <c r="E547" s="1"/>
      <c r="F547" s="94"/>
      <c r="G547" s="94"/>
      <c r="H547" s="94"/>
      <c r="I547" s="94"/>
      <c r="J547" s="94"/>
      <c r="K547" s="94"/>
      <c r="L547" s="94"/>
      <c r="M547" s="26"/>
      <c r="N547" s="26"/>
      <c r="O547" s="1"/>
      <c r="P547" s="1"/>
      <c r="Q547" s="1"/>
      <c r="R547" s="8"/>
      <c r="S547" s="1"/>
      <c r="T547" s="8"/>
      <c r="U547" s="1"/>
      <c r="V547" s="1"/>
      <c r="W547" s="1"/>
      <c r="X547" s="1"/>
    </row>
    <row r="548" spans="1:24">
      <c r="A548" s="1"/>
      <c r="M548" s="26"/>
      <c r="N548" s="26"/>
      <c r="P548" s="1"/>
      <c r="Q548" s="1"/>
      <c r="R548" s="8"/>
      <c r="S548" s="1"/>
      <c r="T548" s="8"/>
      <c r="U548" s="1"/>
      <c r="V548" s="1"/>
      <c r="W548" s="1"/>
      <c r="X548" s="1"/>
    </row>
    <row r="549" spans="1:24">
      <c r="A549" s="1"/>
      <c r="M549" s="26"/>
      <c r="N549" s="26"/>
      <c r="P549" s="1"/>
      <c r="Q549" s="1"/>
      <c r="R549" s="8"/>
      <c r="S549" s="1"/>
      <c r="T549" s="8"/>
      <c r="U549" s="1"/>
      <c r="V549" s="1"/>
      <c r="W549" s="1"/>
      <c r="X549" s="1"/>
    </row>
    <row r="550" spans="1:24">
      <c r="A550" s="1"/>
      <c r="M550" s="26"/>
      <c r="N550" s="26"/>
      <c r="P550" s="1"/>
      <c r="Q550" s="1"/>
      <c r="R550" s="8"/>
      <c r="S550" s="1"/>
      <c r="T550" s="8"/>
      <c r="U550" s="1"/>
      <c r="V550" s="1"/>
      <c r="W550" s="1"/>
      <c r="X550" s="1"/>
    </row>
    <row r="551" spans="1:24">
      <c r="A551" s="1"/>
      <c r="M551" s="26"/>
      <c r="N551" s="26"/>
      <c r="P551" s="1"/>
      <c r="Q551" s="1"/>
      <c r="R551" s="8"/>
      <c r="S551" s="1"/>
      <c r="T551" s="8"/>
      <c r="U551" s="1"/>
      <c r="V551" s="1"/>
      <c r="W551" s="1"/>
      <c r="X551" s="1"/>
    </row>
    <row r="552" spans="1:24">
      <c r="A552" s="1"/>
      <c r="M552" s="26"/>
      <c r="N552" s="26"/>
      <c r="P552" s="1"/>
      <c r="Q552" s="1"/>
      <c r="R552" s="8"/>
      <c r="S552" s="1"/>
      <c r="T552" s="8"/>
      <c r="U552" s="1"/>
      <c r="V552" s="1"/>
      <c r="W552" s="1"/>
      <c r="X552" s="1"/>
    </row>
    <row r="553" spans="1:24">
      <c r="A553" s="1"/>
      <c r="M553" s="26"/>
      <c r="N553" s="26"/>
      <c r="P553" s="1"/>
      <c r="Q553" s="1"/>
      <c r="R553" s="8"/>
      <c r="S553" s="1"/>
      <c r="T553" s="8"/>
      <c r="U553" s="1"/>
      <c r="V553" s="1"/>
      <c r="W553" s="1"/>
      <c r="X553" s="1"/>
    </row>
    <row r="554" spans="1:24">
      <c r="A554" s="1"/>
      <c r="M554" s="26"/>
      <c r="N554" s="26"/>
      <c r="P554" s="1"/>
      <c r="Q554" s="1"/>
      <c r="R554" s="8"/>
      <c r="S554" s="1"/>
      <c r="T554" s="8"/>
      <c r="U554" s="1"/>
      <c r="V554" s="1"/>
      <c r="W554" s="1"/>
      <c r="X554" s="1"/>
    </row>
    <row r="555" spans="1:24">
      <c r="A555" s="1"/>
      <c r="M555" s="26"/>
      <c r="N555" s="26"/>
      <c r="P555" s="1"/>
      <c r="Q555" s="1"/>
      <c r="R555" s="8"/>
      <c r="S555" s="1"/>
      <c r="T555" s="8"/>
      <c r="U555" s="1"/>
      <c r="V555" s="1"/>
      <c r="W555" s="1"/>
      <c r="X555" s="1"/>
    </row>
    <row r="556" spans="1:24">
      <c r="A556" s="1"/>
      <c r="M556" s="26"/>
      <c r="N556" s="26"/>
      <c r="P556" s="1"/>
      <c r="Q556" s="1"/>
      <c r="R556" s="8"/>
      <c r="S556" s="1"/>
      <c r="T556" s="8"/>
      <c r="U556" s="1"/>
      <c r="V556" s="1"/>
      <c r="W556" s="1"/>
      <c r="X556" s="1"/>
    </row>
    <row r="557" spans="1:24">
      <c r="A557" s="1"/>
      <c r="M557" s="26"/>
      <c r="N557" s="26"/>
      <c r="P557" s="1"/>
      <c r="Q557" s="1"/>
      <c r="R557" s="8"/>
      <c r="S557" s="1"/>
      <c r="T557" s="8"/>
      <c r="U557" s="1"/>
      <c r="V557" s="1"/>
      <c r="W557" s="1"/>
      <c r="X557" s="1"/>
    </row>
    <row r="558" spans="1:24">
      <c r="A558" s="1"/>
      <c r="M558" s="26"/>
      <c r="N558" s="26"/>
      <c r="P558" s="1"/>
      <c r="Q558" s="1"/>
      <c r="R558" s="8"/>
      <c r="S558" s="1"/>
      <c r="T558" s="8"/>
      <c r="U558" s="1"/>
      <c r="V558" s="1"/>
      <c r="W558" s="1"/>
      <c r="X558" s="1"/>
    </row>
    <row r="559" spans="1:24">
      <c r="A559" s="1"/>
      <c r="M559" s="26"/>
      <c r="N559" s="26"/>
      <c r="P559" s="1"/>
      <c r="Q559" s="1"/>
      <c r="R559" s="8"/>
      <c r="S559" s="1"/>
      <c r="T559" s="8"/>
      <c r="U559" s="1"/>
      <c r="V559" s="1"/>
      <c r="W559" s="1"/>
      <c r="X559" s="1"/>
    </row>
    <row r="560" spans="1:24">
      <c r="A560" s="1"/>
      <c r="M560" s="26"/>
      <c r="N560" s="26"/>
      <c r="P560" s="1"/>
      <c r="Q560" s="1"/>
      <c r="R560" s="8"/>
      <c r="S560" s="1"/>
      <c r="T560" s="8"/>
      <c r="U560" s="1"/>
      <c r="V560" s="1"/>
      <c r="W560" s="1"/>
      <c r="X560" s="1"/>
    </row>
    <row r="561" spans="1:24">
      <c r="A561" s="1"/>
      <c r="M561" s="26"/>
      <c r="N561" s="26"/>
      <c r="P561" s="1"/>
      <c r="Q561" s="1"/>
      <c r="R561" s="8"/>
      <c r="S561" s="1"/>
      <c r="T561" s="8"/>
      <c r="U561" s="1"/>
      <c r="V561" s="1"/>
      <c r="W561" s="1"/>
      <c r="X561" s="1"/>
    </row>
    <row r="562" spans="1:24">
      <c r="A562" s="1"/>
      <c r="M562" s="26"/>
      <c r="N562" s="26"/>
      <c r="P562" s="1"/>
      <c r="Q562" s="1"/>
      <c r="R562" s="8"/>
      <c r="S562" s="1"/>
      <c r="T562" s="8"/>
      <c r="U562" s="1"/>
      <c r="V562" s="1"/>
      <c r="W562" s="1"/>
      <c r="X562" s="1"/>
    </row>
    <row r="563" spans="1:24">
      <c r="A563" s="1"/>
      <c r="M563" s="26"/>
      <c r="N563" s="26"/>
      <c r="P563" s="1"/>
      <c r="Q563" s="1"/>
      <c r="R563" s="8"/>
      <c r="S563" s="1"/>
      <c r="T563" s="8"/>
      <c r="U563" s="1"/>
      <c r="V563" s="1"/>
      <c r="W563" s="1"/>
      <c r="X563" s="1"/>
    </row>
    <row r="564" spans="1:24">
      <c r="A564" s="1"/>
      <c r="M564" s="26"/>
      <c r="N564" s="26"/>
      <c r="P564" s="1"/>
      <c r="Q564" s="1"/>
      <c r="R564" s="8"/>
      <c r="S564" s="1"/>
      <c r="T564" s="8"/>
      <c r="U564" s="1"/>
      <c r="V564" s="1"/>
      <c r="W564" s="1"/>
      <c r="X564" s="1"/>
    </row>
    <row r="565" spans="1:24">
      <c r="A565" s="1"/>
      <c r="M565" s="26"/>
      <c r="N565" s="26"/>
      <c r="P565" s="1"/>
      <c r="Q565" s="1"/>
      <c r="R565" s="8"/>
      <c r="S565" s="1"/>
      <c r="T565" s="8"/>
      <c r="U565" s="1"/>
      <c r="V565" s="1"/>
      <c r="W565" s="1"/>
      <c r="X565" s="1"/>
    </row>
    <row r="566" spans="1:24">
      <c r="A566" s="1"/>
      <c r="M566" s="26"/>
      <c r="N566" s="26"/>
      <c r="P566" s="1"/>
      <c r="Q566" s="1"/>
      <c r="R566" s="8"/>
      <c r="S566" s="1"/>
      <c r="T566" s="8"/>
      <c r="U566" s="1"/>
      <c r="V566" s="1"/>
      <c r="W566" s="1"/>
      <c r="X566" s="1"/>
    </row>
    <row r="567" spans="1:24">
      <c r="A567" s="1"/>
      <c r="M567" s="26"/>
      <c r="N567" s="26"/>
      <c r="P567" s="1"/>
      <c r="Q567" s="1"/>
      <c r="R567" s="8"/>
      <c r="S567" s="1"/>
      <c r="T567" s="8"/>
      <c r="U567" s="1"/>
      <c r="V567" s="1"/>
      <c r="W567" s="1"/>
      <c r="X567" s="1"/>
    </row>
    <row r="568" spans="1:24">
      <c r="A568" s="1"/>
      <c r="M568" s="26"/>
      <c r="N568" s="26"/>
      <c r="P568" s="1"/>
      <c r="Q568" s="1"/>
      <c r="R568" s="8"/>
      <c r="S568" s="1"/>
      <c r="T568" s="8"/>
      <c r="U568" s="1"/>
      <c r="V568" s="1"/>
      <c r="W568" s="1"/>
      <c r="X568" s="1"/>
    </row>
    <row r="569" spans="1:24">
      <c r="A569" s="1"/>
      <c r="M569" s="26"/>
      <c r="N569" s="26"/>
      <c r="P569" s="1"/>
      <c r="Q569" s="1"/>
      <c r="R569" s="8"/>
      <c r="S569" s="1"/>
      <c r="T569" s="8"/>
      <c r="U569" s="1"/>
      <c r="V569" s="1"/>
      <c r="W569" s="1"/>
      <c r="X569" s="1"/>
    </row>
    <row r="570" spans="1:24">
      <c r="A570" s="1"/>
      <c r="M570" s="26"/>
      <c r="N570" s="26"/>
      <c r="P570" s="1"/>
      <c r="Q570" s="1"/>
      <c r="R570" s="8"/>
      <c r="S570" s="1"/>
      <c r="T570" s="8"/>
      <c r="U570" s="1"/>
      <c r="V570" s="1"/>
      <c r="W570" s="1"/>
      <c r="X570" s="1"/>
    </row>
    <row r="571" spans="1:24">
      <c r="A571" s="1"/>
      <c r="M571" s="26"/>
      <c r="N571" s="26"/>
      <c r="P571" s="1"/>
      <c r="Q571" s="1"/>
      <c r="R571" s="8"/>
      <c r="S571" s="1"/>
      <c r="T571" s="8"/>
      <c r="U571" s="1"/>
      <c r="V571" s="1"/>
      <c r="W571" s="1"/>
      <c r="X571" s="1"/>
    </row>
    <row r="572" spans="1:24">
      <c r="A572" s="1"/>
      <c r="M572" s="26"/>
      <c r="N572" s="26"/>
      <c r="P572" s="1"/>
      <c r="Q572" s="1"/>
      <c r="R572" s="8"/>
      <c r="S572" s="1"/>
      <c r="T572" s="8"/>
      <c r="U572" s="1"/>
      <c r="V572" s="1"/>
      <c r="W572" s="1"/>
      <c r="X572" s="1"/>
    </row>
    <row r="573" spans="1:24">
      <c r="A573" s="1"/>
      <c r="M573" s="26"/>
      <c r="N573" s="26"/>
      <c r="P573" s="1"/>
      <c r="Q573" s="1"/>
      <c r="R573" s="8"/>
      <c r="S573" s="1"/>
      <c r="T573" s="8"/>
      <c r="U573" s="1"/>
      <c r="V573" s="1"/>
      <c r="W573" s="1"/>
      <c r="X573" s="1"/>
    </row>
    <row r="574" spans="1:24">
      <c r="A574" s="1"/>
      <c r="M574" s="26"/>
      <c r="N574" s="26"/>
      <c r="P574" s="1"/>
      <c r="Q574" s="1"/>
      <c r="R574" s="8"/>
      <c r="S574" s="1"/>
      <c r="T574" s="8"/>
      <c r="U574" s="1"/>
      <c r="V574" s="1"/>
      <c r="W574" s="1"/>
      <c r="X574" s="1"/>
    </row>
    <row r="575" spans="1:24">
      <c r="A575" s="1"/>
      <c r="M575" s="26"/>
      <c r="N575" s="26"/>
      <c r="P575" s="1"/>
      <c r="Q575" s="1"/>
      <c r="R575" s="8"/>
      <c r="S575" s="1"/>
      <c r="T575" s="8"/>
      <c r="U575" s="1"/>
      <c r="V575" s="1"/>
      <c r="W575" s="1"/>
      <c r="X575" s="1"/>
    </row>
    <row r="576" spans="1:24">
      <c r="A576" s="1"/>
      <c r="M576" s="26"/>
      <c r="N576" s="26"/>
      <c r="P576" s="1"/>
      <c r="Q576" s="1"/>
      <c r="R576" s="8"/>
      <c r="S576" s="1"/>
      <c r="T576" s="8"/>
      <c r="U576" s="1"/>
      <c r="V576" s="1"/>
      <c r="W576" s="1"/>
      <c r="X576" s="1"/>
    </row>
    <row r="577" spans="1:24">
      <c r="A577" s="1"/>
      <c r="M577" s="26"/>
      <c r="N577" s="26"/>
      <c r="P577" s="1"/>
      <c r="Q577" s="1"/>
      <c r="R577" s="8"/>
      <c r="S577" s="1"/>
      <c r="T577" s="8"/>
      <c r="U577" s="1"/>
      <c r="V577" s="1"/>
      <c r="W577" s="1"/>
      <c r="X577" s="1"/>
    </row>
    <row r="578" spans="1:24">
      <c r="A578" s="1"/>
      <c r="M578" s="26"/>
      <c r="N578" s="26"/>
      <c r="P578" s="1"/>
      <c r="Q578" s="1"/>
      <c r="R578" s="8"/>
      <c r="S578" s="1"/>
      <c r="T578" s="8"/>
      <c r="U578" s="1"/>
      <c r="V578" s="1"/>
      <c r="W578" s="1"/>
      <c r="X578" s="1"/>
    </row>
    <row r="579" spans="1:24">
      <c r="A579" s="1"/>
      <c r="M579" s="26"/>
      <c r="N579" s="26"/>
      <c r="P579" s="1"/>
      <c r="Q579" s="1"/>
      <c r="R579" s="8"/>
      <c r="S579" s="1"/>
      <c r="T579" s="8"/>
      <c r="U579" s="1"/>
      <c r="V579" s="1"/>
      <c r="W579" s="1"/>
      <c r="X579" s="1"/>
    </row>
    <row r="580" spans="1:24">
      <c r="A580" s="1"/>
      <c r="M580" s="26"/>
      <c r="N580" s="26"/>
      <c r="P580" s="1"/>
      <c r="Q580" s="1"/>
      <c r="R580" s="8"/>
      <c r="S580" s="1"/>
      <c r="T580" s="8"/>
      <c r="U580" s="1"/>
      <c r="V580" s="1"/>
      <c r="W580" s="1"/>
      <c r="X580" s="1"/>
    </row>
    <row r="581" spans="1:24">
      <c r="A581" s="1"/>
      <c r="M581" s="26"/>
      <c r="N581" s="26"/>
      <c r="P581" s="1"/>
      <c r="Q581" s="1"/>
      <c r="R581" s="8"/>
      <c r="S581" s="1"/>
      <c r="T581" s="8"/>
      <c r="U581" s="1"/>
      <c r="V581" s="1"/>
      <c r="W581" s="1"/>
      <c r="X581" s="1"/>
    </row>
    <row r="582" spans="1:24">
      <c r="A582" s="1"/>
      <c r="M582" s="26"/>
      <c r="N582" s="26"/>
      <c r="P582" s="1"/>
      <c r="Q582" s="1"/>
      <c r="R582" s="8"/>
      <c r="S582" s="1"/>
      <c r="T582" s="8"/>
      <c r="U582" s="1"/>
      <c r="V582" s="1"/>
      <c r="W582" s="1"/>
      <c r="X582" s="1"/>
    </row>
    <row r="583" spans="1:24">
      <c r="A583" s="1"/>
      <c r="M583" s="26"/>
      <c r="N583" s="26"/>
      <c r="P583" s="1"/>
      <c r="Q583" s="1"/>
      <c r="R583" s="8"/>
      <c r="S583" s="1"/>
      <c r="T583" s="8"/>
      <c r="U583" s="1"/>
      <c r="V583" s="1"/>
      <c r="W583" s="1"/>
      <c r="X583" s="1"/>
    </row>
    <row r="584" spans="1:24">
      <c r="A584" s="1"/>
      <c r="M584" s="26"/>
      <c r="N584" s="26"/>
      <c r="P584" s="1"/>
      <c r="Q584" s="1"/>
      <c r="R584" s="8"/>
      <c r="S584" s="1"/>
      <c r="T584" s="8"/>
      <c r="U584" s="1"/>
      <c r="V584" s="1"/>
      <c r="W584" s="1"/>
      <c r="X584" s="1"/>
    </row>
    <row r="585" spans="1:24">
      <c r="A585" s="1"/>
      <c r="M585" s="26"/>
      <c r="N585" s="26"/>
      <c r="P585" s="1"/>
      <c r="Q585" s="1"/>
      <c r="R585" s="8"/>
      <c r="S585" s="1"/>
      <c r="T585" s="8"/>
      <c r="U585" s="1"/>
      <c r="V585" s="1"/>
      <c r="W585" s="1"/>
      <c r="X585" s="1"/>
    </row>
    <row r="586" spans="1:24">
      <c r="A586" s="1"/>
      <c r="M586" s="26"/>
      <c r="N586" s="26"/>
      <c r="P586" s="1"/>
      <c r="Q586" s="1"/>
      <c r="R586" s="8"/>
      <c r="S586" s="1"/>
      <c r="T586" s="8"/>
      <c r="U586" s="1"/>
      <c r="V586" s="1"/>
      <c r="W586" s="1"/>
      <c r="X586" s="1"/>
    </row>
    <row r="587" spans="1:24">
      <c r="A587" s="1"/>
      <c r="M587" s="26"/>
      <c r="N587" s="26"/>
      <c r="P587" s="1"/>
      <c r="Q587" s="1"/>
      <c r="R587" s="8"/>
      <c r="S587" s="1"/>
      <c r="T587" s="8"/>
      <c r="U587" s="1"/>
      <c r="V587" s="1"/>
      <c r="W587" s="1"/>
      <c r="X587" s="1"/>
    </row>
    <row r="588" spans="1:24">
      <c r="A588" s="1"/>
      <c r="M588" s="26"/>
      <c r="N588" s="26"/>
      <c r="P588" s="1"/>
      <c r="Q588" s="1"/>
      <c r="R588" s="8"/>
      <c r="S588" s="1"/>
      <c r="T588" s="8"/>
      <c r="U588" s="1"/>
      <c r="V588" s="1"/>
      <c r="W588" s="1"/>
      <c r="X588" s="1"/>
    </row>
    <row r="589" spans="1:24">
      <c r="A589" s="1"/>
      <c r="M589" s="26"/>
      <c r="N589" s="26"/>
      <c r="P589" s="1"/>
      <c r="Q589" s="1"/>
      <c r="R589" s="8"/>
      <c r="S589" s="1"/>
      <c r="T589" s="8"/>
      <c r="U589" s="1"/>
      <c r="V589" s="1"/>
      <c r="W589" s="1"/>
      <c r="X589" s="1"/>
    </row>
    <row r="590" spans="1:24">
      <c r="A590" s="1"/>
      <c r="M590" s="26"/>
      <c r="N590" s="26"/>
      <c r="P590" s="1"/>
      <c r="Q590" s="1"/>
      <c r="R590" s="8"/>
      <c r="S590" s="1"/>
      <c r="T590" s="8"/>
      <c r="U590" s="1"/>
      <c r="V590" s="1"/>
      <c r="W590" s="1"/>
      <c r="X590" s="1"/>
    </row>
    <row r="591" spans="1:24">
      <c r="A591" s="1"/>
      <c r="M591" s="26"/>
      <c r="N591" s="26"/>
      <c r="P591" s="1"/>
      <c r="Q591" s="1"/>
      <c r="R591" s="8"/>
      <c r="S591" s="1"/>
      <c r="T591" s="8"/>
      <c r="U591" s="1"/>
      <c r="V591" s="1"/>
      <c r="W591" s="1"/>
      <c r="X591" s="1"/>
    </row>
    <row r="592" spans="1:24">
      <c r="A592" s="1"/>
      <c r="M592" s="26"/>
      <c r="N592" s="26"/>
      <c r="P592" s="1"/>
      <c r="Q592" s="1"/>
      <c r="R592" s="8"/>
      <c r="S592" s="1"/>
      <c r="T592" s="8"/>
      <c r="U592" s="1"/>
      <c r="V592" s="1"/>
      <c r="W592" s="1"/>
      <c r="X592" s="1"/>
    </row>
    <row r="593" spans="1:24">
      <c r="A593" s="1"/>
      <c r="M593" s="26"/>
      <c r="N593" s="26"/>
      <c r="P593" s="1"/>
      <c r="Q593" s="1"/>
      <c r="R593" s="8"/>
      <c r="S593" s="1"/>
      <c r="T593" s="8"/>
      <c r="U593" s="1"/>
      <c r="V593" s="1"/>
      <c r="W593" s="1"/>
      <c r="X593" s="1"/>
    </row>
    <row r="594" spans="1:24">
      <c r="A594" s="1"/>
      <c r="M594" s="26"/>
      <c r="N594" s="26"/>
      <c r="P594" s="1"/>
      <c r="Q594" s="1"/>
      <c r="R594" s="8"/>
      <c r="S594" s="1"/>
      <c r="T594" s="8"/>
      <c r="U594" s="1"/>
      <c r="V594" s="1"/>
      <c r="W594" s="1"/>
      <c r="X594" s="1"/>
    </row>
    <row r="595" spans="1:24">
      <c r="A595" s="1"/>
      <c r="M595" s="26"/>
      <c r="N595" s="26"/>
      <c r="P595" s="1"/>
      <c r="Q595" s="1"/>
      <c r="R595" s="8"/>
      <c r="S595" s="1"/>
      <c r="T595" s="8"/>
      <c r="U595" s="1"/>
      <c r="V595" s="1"/>
      <c r="W595" s="1"/>
      <c r="X595" s="1"/>
    </row>
    <row r="596" spans="1:24">
      <c r="A596" s="1"/>
      <c r="M596" s="26"/>
      <c r="N596" s="26"/>
      <c r="P596" s="1"/>
      <c r="Q596" s="1"/>
      <c r="R596" s="8"/>
      <c r="S596" s="1"/>
      <c r="T596" s="8"/>
      <c r="U596" s="1"/>
      <c r="V596" s="1"/>
      <c r="W596" s="1"/>
      <c r="X596" s="1"/>
    </row>
    <row r="597" spans="1:24">
      <c r="A597" s="1"/>
      <c r="M597" s="26"/>
      <c r="N597" s="26"/>
      <c r="P597" s="1"/>
      <c r="Q597" s="1"/>
      <c r="R597" s="8"/>
      <c r="S597" s="1"/>
      <c r="T597" s="8"/>
      <c r="U597" s="1"/>
      <c r="V597" s="1"/>
      <c r="W597" s="1"/>
      <c r="X597" s="1"/>
    </row>
    <row r="598" spans="1:24">
      <c r="A598" s="1"/>
      <c r="M598" s="26"/>
      <c r="N598" s="26"/>
      <c r="P598" s="1"/>
      <c r="Q598" s="1"/>
      <c r="R598" s="8"/>
      <c r="S598" s="1"/>
      <c r="T598" s="8"/>
      <c r="U598" s="1"/>
      <c r="V598" s="1"/>
      <c r="W598" s="1"/>
      <c r="X598" s="1"/>
    </row>
    <row r="599" spans="1:24">
      <c r="A599" s="1"/>
      <c r="M599" s="26"/>
      <c r="N599" s="26"/>
      <c r="P599" s="1"/>
      <c r="Q599" s="1"/>
      <c r="R599" s="8"/>
      <c r="S599" s="1"/>
      <c r="T599" s="8"/>
      <c r="U599" s="1"/>
      <c r="V599" s="1"/>
      <c r="W599" s="1"/>
      <c r="X599" s="1"/>
    </row>
    <row r="600" spans="1:24">
      <c r="A600" s="1"/>
      <c r="M600" s="26"/>
      <c r="N600" s="26"/>
      <c r="P600" s="1"/>
      <c r="Q600" s="1"/>
      <c r="R600" s="8"/>
      <c r="S600" s="1"/>
      <c r="T600" s="8"/>
      <c r="U600" s="1"/>
      <c r="V600" s="1"/>
      <c r="W600" s="1"/>
      <c r="X600" s="1"/>
    </row>
    <row r="601" spans="1:24">
      <c r="A601" s="1"/>
      <c r="M601" s="26"/>
      <c r="N601" s="26"/>
      <c r="P601" s="1"/>
      <c r="Q601" s="1"/>
      <c r="R601" s="8"/>
      <c r="S601" s="1"/>
      <c r="T601" s="8"/>
      <c r="U601" s="1"/>
      <c r="V601" s="1"/>
      <c r="W601" s="1"/>
      <c r="X601" s="1"/>
    </row>
    <row r="602" spans="1:24">
      <c r="A602" s="1"/>
      <c r="M602" s="26"/>
      <c r="N602" s="26"/>
      <c r="P602" s="1"/>
      <c r="Q602" s="1"/>
      <c r="R602" s="8"/>
      <c r="S602" s="1"/>
      <c r="T602" s="8"/>
      <c r="U602" s="1"/>
      <c r="V602" s="1"/>
      <c r="W602" s="1"/>
      <c r="X602" s="1"/>
    </row>
    <row r="603" spans="1:24">
      <c r="A603" s="1"/>
      <c r="M603" s="26"/>
      <c r="N603" s="26"/>
      <c r="P603" s="1"/>
      <c r="Q603" s="1"/>
      <c r="R603" s="8"/>
      <c r="S603" s="1"/>
      <c r="T603" s="8"/>
      <c r="U603" s="1"/>
      <c r="V603" s="1"/>
      <c r="W603" s="1"/>
      <c r="X603" s="1"/>
    </row>
    <row r="604" spans="1:24">
      <c r="A604" s="1"/>
      <c r="M604" s="26"/>
      <c r="N604" s="26"/>
      <c r="P604" s="1"/>
      <c r="Q604" s="1"/>
      <c r="R604" s="8"/>
      <c r="S604" s="1"/>
      <c r="T604" s="8"/>
      <c r="U604" s="1"/>
      <c r="V604" s="1"/>
      <c r="W604" s="1"/>
      <c r="X604" s="1"/>
    </row>
    <row r="605" spans="1:24">
      <c r="A605" s="1"/>
      <c r="M605" s="26"/>
      <c r="N605" s="26"/>
      <c r="P605" s="1"/>
      <c r="Q605" s="1"/>
      <c r="R605" s="8"/>
      <c r="S605" s="1"/>
      <c r="T605" s="8"/>
      <c r="U605" s="1"/>
      <c r="V605" s="1"/>
      <c r="W605" s="1"/>
      <c r="X605" s="1"/>
    </row>
    <row r="606" spans="1:24">
      <c r="A606" s="1"/>
      <c r="M606" s="26"/>
      <c r="N606" s="26"/>
      <c r="P606" s="1"/>
      <c r="Q606" s="1"/>
      <c r="R606" s="8"/>
      <c r="S606" s="1"/>
      <c r="T606" s="8"/>
      <c r="U606" s="1"/>
      <c r="V606" s="1"/>
      <c r="W606" s="1"/>
      <c r="X606" s="1"/>
    </row>
    <row r="607" spans="1:24">
      <c r="A607" s="1"/>
      <c r="M607" s="26"/>
      <c r="N607" s="26"/>
      <c r="P607" s="1"/>
      <c r="Q607" s="1"/>
      <c r="R607" s="8"/>
      <c r="S607" s="1"/>
      <c r="T607" s="8"/>
      <c r="U607" s="1"/>
      <c r="V607" s="1"/>
      <c r="W607" s="1"/>
      <c r="X607" s="1"/>
    </row>
    <row r="608" spans="1:24">
      <c r="A608" s="1"/>
      <c r="M608" s="26"/>
      <c r="N608" s="26"/>
      <c r="P608" s="1"/>
      <c r="Q608" s="1"/>
      <c r="R608" s="8"/>
      <c r="S608" s="1"/>
      <c r="T608" s="8"/>
      <c r="U608" s="1"/>
      <c r="V608" s="1"/>
      <c r="W608" s="1"/>
      <c r="X608" s="1"/>
    </row>
    <row r="609" spans="1:24">
      <c r="A609" s="1"/>
      <c r="M609" s="26"/>
      <c r="N609" s="26"/>
      <c r="P609" s="1"/>
      <c r="Q609" s="1"/>
      <c r="R609" s="8"/>
      <c r="S609" s="1"/>
      <c r="T609" s="8"/>
      <c r="U609" s="1"/>
      <c r="V609" s="1"/>
      <c r="W609" s="1"/>
      <c r="X609" s="1"/>
    </row>
    <row r="610" spans="1:24">
      <c r="A610" s="1"/>
      <c r="M610" s="26"/>
      <c r="N610" s="26"/>
      <c r="P610" s="1"/>
      <c r="Q610" s="1"/>
      <c r="R610" s="8"/>
      <c r="S610" s="1"/>
      <c r="T610" s="8"/>
      <c r="U610" s="1"/>
      <c r="V610" s="1"/>
      <c r="W610" s="1"/>
      <c r="X610" s="1"/>
    </row>
    <row r="611" spans="1:24">
      <c r="A611" s="1"/>
      <c r="M611" s="26"/>
      <c r="N611" s="26"/>
      <c r="P611" s="1"/>
      <c r="Q611" s="1"/>
      <c r="R611" s="8"/>
      <c r="S611" s="1"/>
      <c r="T611" s="8"/>
      <c r="U611" s="1"/>
      <c r="V611" s="1"/>
      <c r="W611" s="1"/>
      <c r="X611" s="1"/>
    </row>
    <row r="612" spans="1:24">
      <c r="A612" s="1"/>
      <c r="M612" s="26"/>
      <c r="N612" s="26"/>
      <c r="P612" s="1"/>
      <c r="Q612" s="1"/>
      <c r="R612" s="8"/>
      <c r="S612" s="1"/>
      <c r="T612" s="8"/>
      <c r="U612" s="1"/>
      <c r="V612" s="1"/>
      <c r="W612" s="1"/>
      <c r="X612" s="1"/>
    </row>
    <row r="613" spans="1:24">
      <c r="A613" s="1"/>
      <c r="M613" s="26"/>
      <c r="N613" s="26"/>
      <c r="P613" s="1"/>
      <c r="Q613" s="1"/>
      <c r="R613" s="8"/>
      <c r="S613" s="1"/>
      <c r="T613" s="8"/>
      <c r="U613" s="1"/>
      <c r="V613" s="1"/>
      <c r="W613" s="1"/>
      <c r="X613" s="1"/>
    </row>
    <row r="614" spans="1:24">
      <c r="A614" s="1"/>
      <c r="M614" s="26"/>
      <c r="N614" s="26"/>
      <c r="P614" s="1"/>
      <c r="Q614" s="1"/>
      <c r="R614" s="8"/>
      <c r="S614" s="1"/>
      <c r="T614" s="8"/>
      <c r="U614" s="1"/>
      <c r="V614" s="1"/>
      <c r="W614" s="1"/>
      <c r="X614" s="1"/>
    </row>
    <row r="615" spans="1:24">
      <c r="A615" s="1"/>
      <c r="M615" s="26"/>
      <c r="N615" s="26"/>
      <c r="P615" s="1"/>
      <c r="Q615" s="1"/>
      <c r="R615" s="8"/>
      <c r="S615" s="1"/>
      <c r="T615" s="8"/>
      <c r="U615" s="1"/>
      <c r="V615" s="1"/>
      <c r="W615" s="1"/>
      <c r="X615" s="1"/>
    </row>
    <row r="616" spans="1:24">
      <c r="A616" s="1"/>
      <c r="M616" s="26"/>
      <c r="N616" s="26"/>
      <c r="P616" s="1"/>
      <c r="Q616" s="1"/>
      <c r="R616" s="8"/>
      <c r="S616" s="1"/>
      <c r="T616" s="8"/>
      <c r="U616" s="1"/>
      <c r="V616" s="1"/>
      <c r="W616" s="1"/>
      <c r="X616" s="1"/>
    </row>
    <row r="617" spans="1:24">
      <c r="A617" s="1"/>
      <c r="M617" s="26"/>
      <c r="N617" s="26"/>
      <c r="P617" s="1"/>
      <c r="Q617" s="1"/>
      <c r="R617" s="8"/>
      <c r="S617" s="1"/>
      <c r="T617" s="8"/>
      <c r="U617" s="1"/>
      <c r="V617" s="1"/>
      <c r="W617" s="1"/>
      <c r="X617" s="1"/>
    </row>
    <row r="618" spans="1:24">
      <c r="A618" s="1"/>
      <c r="M618" s="26"/>
      <c r="N618" s="26"/>
      <c r="P618" s="1"/>
      <c r="Q618" s="1"/>
      <c r="R618" s="8"/>
      <c r="S618" s="1"/>
      <c r="T618" s="8"/>
      <c r="U618" s="1"/>
      <c r="V618" s="1"/>
      <c r="W618" s="1"/>
      <c r="X618" s="1"/>
    </row>
    <row r="619" spans="1:24">
      <c r="A619" s="1"/>
      <c r="M619" s="26"/>
      <c r="N619" s="26"/>
      <c r="P619" s="1"/>
      <c r="Q619" s="1"/>
      <c r="R619" s="8"/>
      <c r="S619" s="1"/>
      <c r="T619" s="8"/>
      <c r="U619" s="1"/>
      <c r="V619" s="1"/>
      <c r="W619" s="1"/>
      <c r="X619" s="1"/>
    </row>
    <row r="620" spans="1:24">
      <c r="A620" s="1"/>
      <c r="M620" s="26"/>
      <c r="N620" s="26"/>
      <c r="P620" s="1"/>
      <c r="Q620" s="1"/>
      <c r="R620" s="8"/>
      <c r="S620" s="1"/>
      <c r="T620" s="8"/>
      <c r="U620" s="1"/>
      <c r="V620" s="1"/>
      <c r="W620" s="1"/>
      <c r="X620" s="1"/>
    </row>
    <row r="621" spans="1:24">
      <c r="A621" s="1"/>
      <c r="M621" s="26"/>
      <c r="N621" s="26"/>
      <c r="P621" s="1"/>
      <c r="Q621" s="1"/>
      <c r="R621" s="8"/>
      <c r="S621" s="1"/>
      <c r="T621" s="8"/>
      <c r="U621" s="1"/>
      <c r="V621" s="1"/>
      <c r="W621" s="1"/>
      <c r="X621" s="1"/>
    </row>
    <row r="622" spans="1:24">
      <c r="A622" s="1"/>
      <c r="M622" s="26"/>
      <c r="N622" s="26"/>
      <c r="P622" s="1"/>
      <c r="Q622" s="1"/>
      <c r="R622" s="8"/>
      <c r="S622" s="1"/>
      <c r="T622" s="8"/>
      <c r="U622" s="1"/>
      <c r="V622" s="1"/>
      <c r="W622" s="1"/>
      <c r="X622" s="1"/>
    </row>
    <row r="623" spans="1:24">
      <c r="A623" s="1"/>
      <c r="M623" s="26"/>
      <c r="N623" s="26"/>
      <c r="P623" s="1"/>
      <c r="Q623" s="1"/>
      <c r="R623" s="8"/>
      <c r="S623" s="1"/>
      <c r="T623" s="8"/>
      <c r="U623" s="1"/>
      <c r="V623" s="1"/>
      <c r="W623" s="1"/>
      <c r="X623" s="1"/>
    </row>
    <row r="624" spans="1:24">
      <c r="A624" s="1"/>
      <c r="M624" s="26"/>
      <c r="N624" s="26"/>
      <c r="P624" s="1"/>
      <c r="Q624" s="1"/>
      <c r="R624" s="8"/>
      <c r="S624" s="1"/>
      <c r="T624" s="8"/>
      <c r="U624" s="1"/>
      <c r="V624" s="1"/>
      <c r="W624" s="1"/>
      <c r="X624" s="1"/>
    </row>
    <row r="625" spans="1:24">
      <c r="A625" s="1"/>
      <c r="M625" s="26"/>
      <c r="N625" s="26"/>
      <c r="P625" s="1"/>
      <c r="Q625" s="1"/>
      <c r="R625" s="8"/>
      <c r="S625" s="1"/>
      <c r="T625" s="8"/>
      <c r="U625" s="1"/>
      <c r="V625" s="1"/>
      <c r="W625" s="1"/>
      <c r="X625" s="1"/>
    </row>
    <row r="626" spans="1:24">
      <c r="A626" s="1"/>
      <c r="M626" s="26"/>
      <c r="N626" s="26"/>
      <c r="P626" s="1"/>
      <c r="Q626" s="1"/>
      <c r="R626" s="8"/>
      <c r="S626" s="1"/>
      <c r="T626" s="8"/>
      <c r="U626" s="1"/>
      <c r="V626" s="1"/>
      <c r="W626" s="1"/>
      <c r="X626" s="1"/>
    </row>
    <row r="627" spans="1:24">
      <c r="A627" s="1"/>
      <c r="M627" s="26"/>
      <c r="N627" s="26"/>
      <c r="P627" s="1"/>
      <c r="Q627" s="1"/>
      <c r="R627" s="8"/>
      <c r="S627" s="1"/>
      <c r="T627" s="8"/>
      <c r="U627" s="1"/>
      <c r="V627" s="1"/>
      <c r="W627" s="1"/>
      <c r="X627" s="1"/>
    </row>
    <row r="628" spans="1:24">
      <c r="A628" s="1"/>
      <c r="M628" s="26"/>
      <c r="N628" s="26"/>
      <c r="P628" s="1"/>
      <c r="Q628" s="1"/>
      <c r="R628" s="8"/>
      <c r="S628" s="1"/>
      <c r="T628" s="8"/>
      <c r="U628" s="1"/>
      <c r="V628" s="1"/>
      <c r="W628" s="1"/>
      <c r="X628" s="1"/>
    </row>
    <row r="629" spans="1:24">
      <c r="A629" s="1"/>
      <c r="M629" s="26"/>
      <c r="N629" s="26"/>
      <c r="P629" s="1"/>
      <c r="Q629" s="1"/>
      <c r="R629" s="8"/>
      <c r="S629" s="1"/>
      <c r="T629" s="8"/>
      <c r="U629" s="1"/>
      <c r="V629" s="1"/>
      <c r="W629" s="1"/>
      <c r="X629" s="1"/>
    </row>
    <row r="630" spans="1:24">
      <c r="A630" s="1"/>
      <c r="M630" s="26"/>
      <c r="N630" s="26"/>
      <c r="P630" s="1"/>
      <c r="Q630" s="1"/>
      <c r="R630" s="8"/>
      <c r="S630" s="1"/>
      <c r="T630" s="8"/>
      <c r="U630" s="1"/>
      <c r="V630" s="1"/>
      <c r="W630" s="1"/>
      <c r="X630" s="1"/>
    </row>
    <row r="631" spans="1:24">
      <c r="A631" s="1"/>
      <c r="M631" s="26"/>
      <c r="N631" s="26"/>
      <c r="P631" s="1"/>
      <c r="Q631" s="1"/>
      <c r="R631" s="8"/>
      <c r="S631" s="1"/>
      <c r="T631" s="8"/>
      <c r="U631" s="1"/>
      <c r="V631" s="1"/>
      <c r="W631" s="1"/>
      <c r="X631" s="1"/>
    </row>
    <row r="632" spans="1:24">
      <c r="A632" s="1"/>
      <c r="M632" s="26"/>
      <c r="N632" s="26"/>
      <c r="P632" s="1"/>
      <c r="Q632" s="1"/>
      <c r="R632" s="8"/>
      <c r="S632" s="1"/>
      <c r="T632" s="8"/>
      <c r="U632" s="1"/>
      <c r="V632" s="1"/>
      <c r="W632" s="1"/>
      <c r="X632" s="1"/>
    </row>
    <row r="633" spans="1:24">
      <c r="A633" s="1"/>
      <c r="M633" s="26"/>
      <c r="N633" s="26"/>
      <c r="P633" s="1"/>
      <c r="Q633" s="1"/>
      <c r="R633" s="8"/>
      <c r="S633" s="1"/>
      <c r="T633" s="8"/>
      <c r="U633" s="1"/>
      <c r="V633" s="1"/>
      <c r="W633" s="1"/>
      <c r="X633" s="1"/>
    </row>
    <row r="634" spans="1:24">
      <c r="A634" s="1"/>
      <c r="M634" s="26"/>
      <c r="N634" s="26"/>
      <c r="P634" s="1"/>
      <c r="Q634" s="1"/>
      <c r="R634" s="8"/>
      <c r="S634" s="1"/>
      <c r="T634" s="8"/>
      <c r="U634" s="1"/>
      <c r="V634" s="1"/>
      <c r="W634" s="1"/>
      <c r="X634" s="1"/>
    </row>
    <row r="635" spans="1:24">
      <c r="A635" s="1"/>
      <c r="M635" s="26"/>
      <c r="N635" s="26"/>
      <c r="P635" s="1"/>
      <c r="Q635" s="1"/>
      <c r="R635" s="8"/>
      <c r="S635" s="1"/>
      <c r="T635" s="8"/>
      <c r="U635" s="1"/>
      <c r="V635" s="1"/>
      <c r="W635" s="1"/>
      <c r="X635" s="1"/>
    </row>
    <row r="636" spans="1:24">
      <c r="A636" s="1"/>
      <c r="M636" s="26"/>
      <c r="N636" s="26"/>
      <c r="P636" s="1"/>
      <c r="Q636" s="1"/>
      <c r="R636" s="8"/>
      <c r="S636" s="1"/>
      <c r="T636" s="8"/>
      <c r="U636" s="1"/>
      <c r="V636" s="1"/>
      <c r="W636" s="1"/>
      <c r="X636" s="1"/>
    </row>
    <row r="637" spans="1:24">
      <c r="A637" s="1"/>
      <c r="M637" s="26"/>
      <c r="N637" s="26"/>
      <c r="P637" s="1"/>
      <c r="Q637" s="1"/>
      <c r="R637" s="8"/>
      <c r="S637" s="1"/>
      <c r="T637" s="8"/>
      <c r="U637" s="1"/>
      <c r="V637" s="1"/>
      <c r="W637" s="1"/>
      <c r="X637" s="1"/>
    </row>
    <row r="638" spans="1:24">
      <c r="A638" s="1"/>
      <c r="M638" s="26"/>
      <c r="N638" s="26"/>
      <c r="P638" s="1"/>
      <c r="Q638" s="1"/>
      <c r="R638" s="8"/>
      <c r="S638" s="1"/>
      <c r="T638" s="8"/>
      <c r="U638" s="1"/>
      <c r="V638" s="1"/>
      <c r="W638" s="1"/>
      <c r="X638" s="1"/>
    </row>
    <row r="639" spans="1:24">
      <c r="A639" s="1"/>
      <c r="M639" s="26"/>
      <c r="N639" s="26"/>
      <c r="P639" s="1"/>
      <c r="Q639" s="1"/>
      <c r="R639" s="8"/>
      <c r="S639" s="1"/>
      <c r="T639" s="8"/>
      <c r="U639" s="1"/>
      <c r="V639" s="1"/>
      <c r="W639" s="1"/>
      <c r="X639" s="1"/>
    </row>
    <row r="640" spans="1:24">
      <c r="A640" s="1"/>
      <c r="M640" s="26"/>
      <c r="N640" s="26"/>
      <c r="P640" s="1"/>
      <c r="Q640" s="1"/>
      <c r="R640" s="8"/>
      <c r="S640" s="1"/>
      <c r="T640" s="8"/>
      <c r="U640" s="1"/>
      <c r="V640" s="1"/>
      <c r="W640" s="1"/>
      <c r="X640" s="1"/>
    </row>
    <row r="641" spans="1:24">
      <c r="A641" s="1"/>
      <c r="M641" s="26"/>
      <c r="N641" s="26"/>
      <c r="P641" s="1"/>
      <c r="Q641" s="1"/>
      <c r="R641" s="8"/>
      <c r="S641" s="1"/>
      <c r="T641" s="8"/>
      <c r="U641" s="1"/>
      <c r="V641" s="1"/>
      <c r="W641" s="1"/>
      <c r="X641" s="1"/>
    </row>
    <row r="642" spans="1:24">
      <c r="A642" s="1"/>
      <c r="M642" s="26"/>
      <c r="N642" s="26"/>
      <c r="P642" s="1"/>
      <c r="Q642" s="1"/>
      <c r="R642" s="8"/>
      <c r="S642" s="1"/>
      <c r="T642" s="8"/>
      <c r="U642" s="1"/>
      <c r="V642" s="1"/>
      <c r="W642" s="1"/>
      <c r="X642" s="1"/>
    </row>
    <row r="643" spans="1:24">
      <c r="A643" s="1"/>
      <c r="M643" s="26"/>
      <c r="N643" s="26"/>
      <c r="P643" s="1"/>
      <c r="Q643" s="1"/>
      <c r="R643" s="8"/>
      <c r="S643" s="1"/>
      <c r="T643" s="8"/>
      <c r="U643" s="1"/>
      <c r="V643" s="1"/>
      <c r="W643" s="1"/>
      <c r="X643" s="1"/>
    </row>
    <row r="644" spans="1:24">
      <c r="A644" s="1"/>
      <c r="M644" s="26"/>
      <c r="N644" s="26"/>
      <c r="P644" s="1"/>
      <c r="Q644" s="1"/>
      <c r="R644" s="8"/>
      <c r="S644" s="1"/>
      <c r="T644" s="8"/>
      <c r="U644" s="1"/>
      <c r="V644" s="1"/>
      <c r="W644" s="1"/>
      <c r="X644" s="1"/>
    </row>
    <row r="645" spans="1:24">
      <c r="A645" s="1"/>
      <c r="M645" s="26"/>
      <c r="N645" s="26"/>
      <c r="P645" s="1"/>
      <c r="Q645" s="1"/>
      <c r="R645" s="8"/>
      <c r="S645" s="1"/>
      <c r="T645" s="8"/>
      <c r="U645" s="1"/>
      <c r="V645" s="1"/>
      <c r="W645" s="1"/>
      <c r="X645" s="1"/>
    </row>
    <row r="646" spans="1:24">
      <c r="A646" s="1"/>
      <c r="M646" s="26"/>
      <c r="N646" s="26"/>
      <c r="P646" s="1"/>
      <c r="Q646" s="1"/>
      <c r="R646" s="8"/>
      <c r="S646" s="1"/>
      <c r="T646" s="8"/>
      <c r="U646" s="1"/>
      <c r="V646" s="1"/>
      <c r="W646" s="1"/>
      <c r="X646" s="1"/>
    </row>
    <row r="647" spans="1:24">
      <c r="A647" s="1"/>
      <c r="M647" s="26"/>
      <c r="N647" s="26"/>
      <c r="P647" s="1"/>
      <c r="Q647" s="1"/>
      <c r="R647" s="8"/>
      <c r="S647" s="1"/>
      <c r="T647" s="8"/>
      <c r="U647" s="1"/>
      <c r="V647" s="1"/>
      <c r="W647" s="1"/>
      <c r="X647" s="1"/>
    </row>
    <row r="648" spans="1:24">
      <c r="A648" s="1"/>
      <c r="M648" s="26"/>
      <c r="N648" s="26"/>
      <c r="P648" s="1"/>
      <c r="Q648" s="1"/>
      <c r="R648" s="8"/>
      <c r="S648" s="1"/>
      <c r="T648" s="8"/>
      <c r="U648" s="1"/>
      <c r="V648" s="1"/>
      <c r="W648" s="1"/>
      <c r="X648" s="1"/>
    </row>
    <row r="649" spans="1:24">
      <c r="A649" s="1"/>
      <c r="M649" s="26"/>
      <c r="N649" s="26"/>
      <c r="P649" s="1"/>
      <c r="Q649" s="1"/>
      <c r="R649" s="8"/>
      <c r="S649" s="1"/>
      <c r="T649" s="8"/>
      <c r="U649" s="1"/>
      <c r="V649" s="1"/>
      <c r="W649" s="1"/>
      <c r="X649" s="1"/>
    </row>
    <row r="650" spans="1:24">
      <c r="A650" s="1"/>
      <c r="M650" s="26"/>
      <c r="N650" s="26"/>
      <c r="P650" s="1"/>
      <c r="Q650" s="1"/>
      <c r="R650" s="8"/>
      <c r="S650" s="1"/>
      <c r="T650" s="8"/>
      <c r="U650" s="1"/>
      <c r="V650" s="1"/>
      <c r="W650" s="1"/>
      <c r="X650" s="1"/>
    </row>
    <row r="651" spans="1:24">
      <c r="A651" s="1"/>
      <c r="M651" s="26"/>
      <c r="N651" s="26"/>
      <c r="P651" s="1"/>
      <c r="Q651" s="1"/>
      <c r="R651" s="8"/>
      <c r="S651" s="1"/>
      <c r="T651" s="8"/>
      <c r="U651" s="1"/>
      <c r="V651" s="1"/>
      <c r="W651" s="1"/>
      <c r="X651" s="1"/>
    </row>
    <row r="652" spans="1:24">
      <c r="A652" s="1"/>
      <c r="M652" s="26"/>
      <c r="N652" s="26"/>
      <c r="P652" s="1"/>
      <c r="Q652" s="1"/>
      <c r="R652" s="8"/>
      <c r="S652" s="1"/>
      <c r="T652" s="8"/>
      <c r="U652" s="1"/>
      <c r="V652" s="1"/>
      <c r="W652" s="1"/>
      <c r="X652" s="1"/>
    </row>
    <row r="653" spans="1:24">
      <c r="A653" s="1"/>
      <c r="M653" s="26"/>
      <c r="N653" s="26"/>
      <c r="P653" s="1"/>
      <c r="Q653" s="1"/>
      <c r="R653" s="8"/>
      <c r="S653" s="1"/>
      <c r="T653" s="8"/>
      <c r="U653" s="1"/>
      <c r="V653" s="1"/>
      <c r="W653" s="1"/>
      <c r="X653" s="1"/>
    </row>
    <row r="654" spans="1:24">
      <c r="A654" s="1"/>
      <c r="M654" s="26"/>
      <c r="N654" s="26"/>
      <c r="P654" s="1"/>
      <c r="Q654" s="1"/>
      <c r="R654" s="8"/>
      <c r="S654" s="1"/>
      <c r="T654" s="8"/>
      <c r="U654" s="1"/>
      <c r="V654" s="1"/>
      <c r="W654" s="1"/>
      <c r="X654" s="1"/>
    </row>
    <row r="655" spans="1:24">
      <c r="A655" s="1"/>
      <c r="M655" s="26"/>
      <c r="N655" s="26"/>
      <c r="P655" s="1"/>
      <c r="Q655" s="1"/>
      <c r="R655" s="8"/>
      <c r="S655" s="1"/>
      <c r="T655" s="8"/>
      <c r="U655" s="1"/>
      <c r="V655" s="1"/>
      <c r="W655" s="1"/>
      <c r="X655" s="1"/>
    </row>
    <row r="656" spans="1:24">
      <c r="A656" s="1"/>
      <c r="M656" s="26"/>
      <c r="N656" s="26"/>
      <c r="P656" s="1"/>
      <c r="Q656" s="1"/>
      <c r="R656" s="8"/>
      <c r="S656" s="1"/>
      <c r="T656" s="8"/>
      <c r="U656" s="1"/>
      <c r="V656" s="1"/>
      <c r="W656" s="1"/>
      <c r="X656" s="1"/>
    </row>
    <row r="657" spans="1:24">
      <c r="A657" s="1"/>
      <c r="M657" s="26"/>
      <c r="N657" s="26"/>
      <c r="P657" s="1"/>
      <c r="Q657" s="1"/>
      <c r="R657" s="8"/>
      <c r="S657" s="1"/>
      <c r="T657" s="8"/>
      <c r="U657" s="1"/>
      <c r="V657" s="1"/>
      <c r="W657" s="1"/>
      <c r="X657" s="1"/>
    </row>
    <row r="658" spans="1:24">
      <c r="A658" s="1"/>
      <c r="M658" s="26"/>
      <c r="N658" s="26"/>
      <c r="P658" s="1"/>
      <c r="Q658" s="1"/>
      <c r="R658" s="8"/>
      <c r="S658" s="1"/>
      <c r="T658" s="8"/>
      <c r="U658" s="1"/>
      <c r="V658" s="1"/>
      <c r="W658" s="1"/>
      <c r="X658" s="1"/>
    </row>
    <row r="659" spans="1:24">
      <c r="A659" s="1"/>
      <c r="M659" s="26"/>
      <c r="N659" s="26"/>
      <c r="P659" s="1"/>
      <c r="Q659" s="1"/>
      <c r="R659" s="8"/>
      <c r="S659" s="1"/>
      <c r="T659" s="8"/>
      <c r="U659" s="1"/>
      <c r="V659" s="1"/>
      <c r="W659" s="1"/>
      <c r="X659" s="1"/>
    </row>
    <row r="660" spans="1:24">
      <c r="A660" s="1"/>
      <c r="M660" s="26"/>
      <c r="N660" s="26"/>
      <c r="P660" s="1"/>
      <c r="Q660" s="1"/>
      <c r="R660" s="8"/>
      <c r="S660" s="1"/>
      <c r="T660" s="8"/>
      <c r="U660" s="1"/>
      <c r="V660" s="1"/>
      <c r="W660" s="1"/>
      <c r="X660" s="1"/>
    </row>
    <row r="661" spans="1:24">
      <c r="A661" s="1"/>
      <c r="M661" s="26"/>
      <c r="N661" s="26"/>
      <c r="P661" s="1"/>
      <c r="Q661" s="1"/>
      <c r="R661" s="8"/>
      <c r="S661" s="1"/>
      <c r="T661" s="8"/>
      <c r="U661" s="1"/>
      <c r="V661" s="1"/>
      <c r="W661" s="1"/>
      <c r="X661" s="1"/>
    </row>
    <row r="662" spans="1:24">
      <c r="A662" s="1"/>
      <c r="M662" s="26"/>
      <c r="N662" s="26"/>
      <c r="P662" s="1"/>
      <c r="Q662" s="1"/>
      <c r="R662" s="8"/>
      <c r="S662" s="1"/>
      <c r="T662" s="8"/>
      <c r="U662" s="1"/>
      <c r="V662" s="1"/>
      <c r="W662" s="1"/>
      <c r="X662" s="1"/>
    </row>
    <row r="663" spans="1:24">
      <c r="A663" s="1"/>
      <c r="M663" s="26"/>
      <c r="N663" s="26"/>
      <c r="P663" s="1"/>
      <c r="Q663" s="1"/>
      <c r="R663" s="8"/>
      <c r="S663" s="1"/>
      <c r="T663" s="8"/>
      <c r="U663" s="1"/>
      <c r="V663" s="1"/>
      <c r="W663" s="1"/>
      <c r="X663" s="1"/>
    </row>
    <row r="664" spans="1:24">
      <c r="A664" s="1"/>
      <c r="M664" s="26"/>
      <c r="N664" s="26"/>
      <c r="P664" s="1"/>
      <c r="Q664" s="1"/>
      <c r="R664" s="8"/>
      <c r="S664" s="1"/>
      <c r="T664" s="8"/>
      <c r="U664" s="1"/>
      <c r="V664" s="1"/>
      <c r="W664" s="1"/>
      <c r="X664" s="1"/>
    </row>
    <row r="665" spans="1:24">
      <c r="A665" s="1"/>
      <c r="M665" s="26"/>
      <c r="N665" s="26"/>
      <c r="P665" s="1"/>
      <c r="Q665" s="1"/>
      <c r="R665" s="8"/>
      <c r="S665" s="1"/>
      <c r="T665" s="8"/>
      <c r="U665" s="1"/>
      <c r="V665" s="1"/>
      <c r="W665" s="1"/>
      <c r="X665" s="1"/>
    </row>
    <row r="666" spans="1:24">
      <c r="A666" s="1"/>
      <c r="M666" s="26"/>
      <c r="N666" s="26"/>
      <c r="P666" s="1"/>
      <c r="Q666" s="1"/>
      <c r="R666" s="8"/>
      <c r="S666" s="1"/>
      <c r="T666" s="8"/>
      <c r="U666" s="1"/>
      <c r="V666" s="1"/>
      <c r="W666" s="1"/>
      <c r="X666" s="1"/>
    </row>
    <row r="667" spans="1:24">
      <c r="A667" s="1"/>
      <c r="M667" s="26"/>
      <c r="N667" s="26"/>
      <c r="P667" s="1"/>
      <c r="Q667" s="1"/>
      <c r="R667" s="8"/>
      <c r="S667" s="1"/>
      <c r="T667" s="8"/>
      <c r="U667" s="1"/>
      <c r="V667" s="1"/>
      <c r="W667" s="1"/>
      <c r="X667" s="1"/>
    </row>
    <row r="668" spans="1:24">
      <c r="A668" s="1"/>
      <c r="M668" s="26"/>
      <c r="N668" s="26"/>
      <c r="P668" s="1"/>
      <c r="Q668" s="1"/>
      <c r="R668" s="8"/>
      <c r="S668" s="1"/>
      <c r="T668" s="8"/>
      <c r="U668" s="1"/>
      <c r="V668" s="1"/>
      <c r="W668" s="1"/>
      <c r="X668" s="1"/>
    </row>
    <row r="669" spans="1:24">
      <c r="A669" s="1"/>
      <c r="M669" s="26"/>
      <c r="N669" s="26"/>
      <c r="P669" s="1"/>
      <c r="Q669" s="1"/>
      <c r="R669" s="8"/>
      <c r="S669" s="1"/>
      <c r="T669" s="8"/>
      <c r="U669" s="1"/>
      <c r="V669" s="1"/>
      <c r="W669" s="1"/>
      <c r="X669" s="1"/>
    </row>
    <row r="670" spans="1:24">
      <c r="A670" s="1"/>
      <c r="M670" s="26"/>
      <c r="N670" s="26"/>
      <c r="P670" s="1"/>
      <c r="Q670" s="1"/>
      <c r="R670" s="8"/>
      <c r="S670" s="1"/>
      <c r="T670" s="8"/>
      <c r="U670" s="1"/>
      <c r="V670" s="1"/>
      <c r="W670" s="1"/>
      <c r="X670" s="1"/>
    </row>
    <row r="671" spans="1:24">
      <c r="A671" s="1"/>
      <c r="M671" s="26"/>
      <c r="N671" s="26"/>
      <c r="P671" s="1"/>
      <c r="Q671" s="1"/>
      <c r="R671" s="8"/>
      <c r="S671" s="1"/>
      <c r="T671" s="8"/>
      <c r="U671" s="1"/>
      <c r="V671" s="1"/>
      <c r="W671" s="1"/>
      <c r="X671" s="1"/>
    </row>
    <row r="672" spans="1:24">
      <c r="A672" s="1"/>
      <c r="M672" s="26"/>
      <c r="N672" s="26"/>
      <c r="P672" s="1"/>
      <c r="Q672" s="1"/>
      <c r="R672" s="8"/>
      <c r="S672" s="1"/>
      <c r="T672" s="8"/>
      <c r="U672" s="1"/>
      <c r="V672" s="1"/>
      <c r="W672" s="1"/>
      <c r="X672" s="1"/>
    </row>
    <row r="673" spans="1:24">
      <c r="A673" s="1"/>
      <c r="M673" s="26"/>
      <c r="N673" s="26"/>
      <c r="P673" s="1"/>
      <c r="Q673" s="1"/>
      <c r="R673" s="8"/>
      <c r="S673" s="1"/>
      <c r="T673" s="8"/>
      <c r="U673" s="1"/>
      <c r="V673" s="1"/>
      <c r="W673" s="1"/>
      <c r="X673" s="1"/>
    </row>
    <row r="674" spans="1:24">
      <c r="A674" s="1"/>
      <c r="M674" s="26"/>
      <c r="N674" s="26"/>
      <c r="P674" s="1"/>
      <c r="Q674" s="1"/>
      <c r="R674" s="8"/>
      <c r="S674" s="1"/>
      <c r="T674" s="8"/>
      <c r="U674" s="1"/>
      <c r="V674" s="1"/>
      <c r="W674" s="1"/>
      <c r="X674" s="1"/>
    </row>
    <row r="675" spans="1:24">
      <c r="A675" s="1"/>
      <c r="M675" s="26"/>
      <c r="N675" s="26"/>
      <c r="P675" s="1"/>
      <c r="Q675" s="1"/>
      <c r="R675" s="8"/>
      <c r="S675" s="1"/>
      <c r="T675" s="8"/>
      <c r="U675" s="1"/>
      <c r="V675" s="1"/>
      <c r="W675" s="1"/>
      <c r="X675" s="1"/>
    </row>
    <row r="676" spans="1:24">
      <c r="A676" s="1"/>
      <c r="M676" s="26"/>
      <c r="N676" s="26"/>
      <c r="P676" s="1"/>
      <c r="Q676" s="1"/>
      <c r="R676" s="8"/>
      <c r="S676" s="1"/>
      <c r="T676" s="8"/>
      <c r="U676" s="1"/>
      <c r="V676" s="1"/>
      <c r="W676" s="1"/>
      <c r="X676" s="1"/>
    </row>
    <row r="677" spans="1:24">
      <c r="A677" s="1"/>
      <c r="M677" s="26"/>
      <c r="N677" s="26"/>
      <c r="P677" s="1"/>
      <c r="Q677" s="1"/>
      <c r="R677" s="8"/>
      <c r="S677" s="1"/>
      <c r="T677" s="8"/>
      <c r="U677" s="1"/>
      <c r="V677" s="1"/>
      <c r="W677" s="1"/>
      <c r="X677" s="1"/>
    </row>
    <row r="678" spans="1:24">
      <c r="A678" s="1"/>
      <c r="M678" s="26"/>
      <c r="N678" s="26"/>
      <c r="P678" s="1"/>
      <c r="Q678" s="1"/>
      <c r="R678" s="8"/>
      <c r="S678" s="1"/>
      <c r="T678" s="8"/>
      <c r="U678" s="1"/>
      <c r="V678" s="1"/>
      <c r="W678" s="1"/>
      <c r="X678" s="1"/>
    </row>
    <row r="679" spans="1:24">
      <c r="A679" s="1"/>
      <c r="M679" s="26"/>
      <c r="N679" s="26"/>
      <c r="P679" s="1"/>
      <c r="Q679" s="1"/>
      <c r="R679" s="8"/>
      <c r="S679" s="1"/>
      <c r="T679" s="8"/>
      <c r="U679" s="1"/>
      <c r="V679" s="1"/>
      <c r="W679" s="1"/>
      <c r="X679" s="1"/>
    </row>
    <row r="680" spans="1:24">
      <c r="A680" s="1"/>
      <c r="M680" s="26"/>
      <c r="N680" s="26"/>
      <c r="P680" s="1"/>
      <c r="Q680" s="1"/>
      <c r="R680" s="8"/>
      <c r="S680" s="1"/>
      <c r="T680" s="8"/>
      <c r="U680" s="1"/>
      <c r="V680" s="1"/>
      <c r="W680" s="1"/>
      <c r="X680" s="1"/>
    </row>
    <row r="681" spans="1:24">
      <c r="A681" s="1"/>
      <c r="M681" s="26"/>
      <c r="N681" s="26"/>
      <c r="P681" s="1"/>
      <c r="Q681" s="1"/>
      <c r="R681" s="8"/>
      <c r="S681" s="1"/>
      <c r="T681" s="8"/>
      <c r="U681" s="1"/>
      <c r="V681" s="1"/>
      <c r="W681" s="1"/>
      <c r="X681" s="1"/>
    </row>
    <row r="682" spans="1:24">
      <c r="A682" s="1"/>
      <c r="M682" s="26"/>
      <c r="N682" s="26"/>
      <c r="P682" s="1"/>
      <c r="Q682" s="1"/>
      <c r="R682" s="8"/>
      <c r="S682" s="1"/>
      <c r="T682" s="8"/>
      <c r="U682" s="1"/>
      <c r="V682" s="1"/>
      <c r="W682" s="1"/>
      <c r="X682" s="1"/>
    </row>
    <row r="683" spans="1:24">
      <c r="A683" s="1"/>
      <c r="M683" s="26"/>
      <c r="N683" s="26"/>
      <c r="P683" s="1"/>
      <c r="Q683" s="1"/>
      <c r="R683" s="8"/>
      <c r="S683" s="1"/>
      <c r="T683" s="8"/>
      <c r="U683" s="1"/>
      <c r="V683" s="1"/>
      <c r="W683" s="1"/>
      <c r="X683" s="1"/>
    </row>
    <row r="684" spans="1:24">
      <c r="A684" s="1"/>
      <c r="M684" s="26"/>
      <c r="N684" s="26"/>
      <c r="P684" s="1"/>
      <c r="Q684" s="1"/>
      <c r="R684" s="8"/>
      <c r="S684" s="1"/>
      <c r="T684" s="8"/>
      <c r="U684" s="1"/>
      <c r="V684" s="1"/>
      <c r="W684" s="1"/>
      <c r="X684" s="1"/>
    </row>
    <row r="685" spans="1:24">
      <c r="A685" s="1"/>
      <c r="M685" s="26"/>
      <c r="N685" s="26"/>
      <c r="P685" s="1"/>
      <c r="Q685" s="1"/>
      <c r="R685" s="8"/>
      <c r="S685" s="1"/>
      <c r="T685" s="8"/>
      <c r="U685" s="1"/>
      <c r="V685" s="1"/>
      <c r="W685" s="1"/>
      <c r="X685" s="1"/>
    </row>
    <row r="686" spans="1:24">
      <c r="A686" s="1"/>
      <c r="M686" s="26"/>
      <c r="N686" s="26"/>
      <c r="P686" s="1"/>
      <c r="Q686" s="1"/>
      <c r="R686" s="8"/>
      <c r="S686" s="1"/>
      <c r="T686" s="8"/>
      <c r="U686" s="1"/>
      <c r="V686" s="1"/>
      <c r="W686" s="1"/>
      <c r="X686" s="1"/>
    </row>
    <row r="687" spans="1:24">
      <c r="A687" s="1"/>
      <c r="M687" s="26"/>
      <c r="N687" s="26"/>
      <c r="P687" s="1"/>
      <c r="Q687" s="1"/>
      <c r="R687" s="8"/>
      <c r="S687" s="1"/>
      <c r="T687" s="8"/>
      <c r="U687" s="1"/>
      <c r="V687" s="1"/>
      <c r="W687" s="1"/>
      <c r="X687" s="1"/>
    </row>
    <row r="688" spans="1:24">
      <c r="A688" s="1"/>
      <c r="M688" s="26"/>
      <c r="N688" s="26"/>
      <c r="P688" s="1"/>
      <c r="Q688" s="1"/>
      <c r="R688" s="8"/>
      <c r="S688" s="1"/>
      <c r="T688" s="8"/>
      <c r="U688" s="1"/>
      <c r="V688" s="1"/>
      <c r="W688" s="1"/>
      <c r="X688" s="1"/>
    </row>
    <row r="689" spans="1:24">
      <c r="A689" s="1"/>
      <c r="M689" s="26"/>
      <c r="N689" s="26"/>
      <c r="P689" s="1"/>
      <c r="Q689" s="1"/>
      <c r="R689" s="8"/>
      <c r="S689" s="1"/>
      <c r="T689" s="8"/>
      <c r="U689" s="1"/>
      <c r="V689" s="1"/>
      <c r="W689" s="1"/>
      <c r="X689" s="1"/>
    </row>
    <row r="690" spans="1:24">
      <c r="A690" s="1"/>
      <c r="M690" s="26"/>
      <c r="N690" s="26"/>
      <c r="P690" s="1"/>
      <c r="Q690" s="1"/>
      <c r="R690" s="8"/>
      <c r="S690" s="1"/>
      <c r="T690" s="8"/>
      <c r="U690" s="1"/>
      <c r="V690" s="1"/>
      <c r="W690" s="1"/>
      <c r="X690" s="1"/>
    </row>
    <row r="691" spans="1:24">
      <c r="A691" s="1"/>
      <c r="M691" s="26"/>
      <c r="N691" s="26"/>
      <c r="P691" s="1"/>
      <c r="Q691" s="1"/>
      <c r="R691" s="8"/>
      <c r="S691" s="1"/>
      <c r="T691" s="8"/>
      <c r="U691" s="1"/>
      <c r="V691" s="1"/>
      <c r="W691" s="1"/>
      <c r="X691" s="1"/>
    </row>
    <row r="692" spans="1:24">
      <c r="A692" s="1"/>
      <c r="M692" s="26"/>
      <c r="N692" s="26"/>
      <c r="P692" s="1"/>
      <c r="Q692" s="1"/>
      <c r="R692" s="8"/>
      <c r="S692" s="1"/>
      <c r="T692" s="8"/>
      <c r="U692" s="1"/>
      <c r="V692" s="1"/>
      <c r="W692" s="1"/>
      <c r="X692" s="1"/>
    </row>
    <row r="693" spans="1:24">
      <c r="A693" s="1"/>
      <c r="M693" s="26"/>
      <c r="N693" s="26"/>
      <c r="P693" s="1"/>
      <c r="Q693" s="1"/>
      <c r="R693" s="8"/>
      <c r="S693" s="1"/>
      <c r="T693" s="8"/>
      <c r="U693" s="1"/>
      <c r="V693" s="1"/>
      <c r="W693" s="1"/>
      <c r="X693" s="1"/>
    </row>
    <row r="694" spans="1:24">
      <c r="A694" s="1"/>
      <c r="M694" s="26"/>
      <c r="N694" s="26"/>
      <c r="P694" s="1"/>
      <c r="Q694" s="1"/>
      <c r="R694" s="8"/>
      <c r="S694" s="1"/>
      <c r="T694" s="8"/>
      <c r="U694" s="1"/>
      <c r="V694" s="1"/>
      <c r="W694" s="1"/>
      <c r="X694" s="1"/>
    </row>
    <row r="695" spans="1:24">
      <c r="A695" s="1"/>
      <c r="M695" s="26"/>
      <c r="N695" s="26"/>
      <c r="P695" s="1"/>
      <c r="Q695" s="1"/>
      <c r="R695" s="8"/>
      <c r="S695" s="1"/>
      <c r="T695" s="8"/>
      <c r="U695" s="1"/>
      <c r="V695" s="1"/>
      <c r="W695" s="1"/>
      <c r="X695" s="1"/>
    </row>
    <row r="696" spans="1:24">
      <c r="A696" s="1"/>
      <c r="M696" s="26"/>
      <c r="N696" s="26"/>
      <c r="P696" s="1"/>
      <c r="Q696" s="1"/>
      <c r="R696" s="8"/>
      <c r="S696" s="1"/>
      <c r="T696" s="8"/>
      <c r="U696" s="1"/>
      <c r="V696" s="1"/>
      <c r="W696" s="1"/>
      <c r="X696" s="1"/>
    </row>
    <row r="697" spans="1:24">
      <c r="A697" s="1"/>
      <c r="M697" s="26"/>
      <c r="N697" s="26"/>
      <c r="P697" s="1"/>
      <c r="Q697" s="1"/>
      <c r="R697" s="8"/>
      <c r="S697" s="1"/>
      <c r="T697" s="8"/>
      <c r="U697" s="1"/>
      <c r="V697" s="1"/>
      <c r="W697" s="1"/>
      <c r="X697" s="1"/>
    </row>
    <row r="698" spans="1:24">
      <c r="A698" s="1"/>
      <c r="M698" s="26"/>
      <c r="N698" s="26"/>
      <c r="P698" s="1"/>
      <c r="Q698" s="1"/>
      <c r="R698" s="8"/>
      <c r="S698" s="1"/>
      <c r="T698" s="8"/>
      <c r="U698" s="1"/>
      <c r="V698" s="1"/>
      <c r="W698" s="1"/>
      <c r="X698" s="1"/>
    </row>
    <row r="699" spans="1:24">
      <c r="A699" s="1"/>
      <c r="M699" s="26"/>
      <c r="N699" s="26"/>
      <c r="P699" s="1"/>
      <c r="Q699" s="1"/>
      <c r="R699" s="8"/>
      <c r="S699" s="1"/>
      <c r="T699" s="8"/>
      <c r="U699" s="1"/>
      <c r="V699" s="1"/>
      <c r="W699" s="1"/>
      <c r="X699" s="1"/>
    </row>
    <row r="700" spans="1:24">
      <c r="A700" s="1"/>
      <c r="M700" s="26"/>
      <c r="N700" s="26"/>
      <c r="P700" s="1"/>
      <c r="Q700" s="1"/>
      <c r="R700" s="8"/>
      <c r="S700" s="1"/>
      <c r="T700" s="8"/>
      <c r="U700" s="1"/>
      <c r="V700" s="1"/>
      <c r="W700" s="1"/>
      <c r="X700" s="1"/>
    </row>
    <row r="701" spans="1:24">
      <c r="A701" s="1"/>
      <c r="M701" s="26"/>
      <c r="N701" s="26"/>
      <c r="P701" s="1"/>
      <c r="Q701" s="1"/>
      <c r="R701" s="8"/>
      <c r="S701" s="1"/>
      <c r="T701" s="8"/>
      <c r="U701" s="1"/>
      <c r="V701" s="1"/>
      <c r="W701" s="1"/>
      <c r="X701" s="1"/>
    </row>
    <row r="702" spans="1:24">
      <c r="A702" s="1"/>
      <c r="M702" s="26"/>
      <c r="N702" s="26"/>
      <c r="P702" s="1"/>
      <c r="Q702" s="1"/>
      <c r="R702" s="8"/>
      <c r="S702" s="1"/>
      <c r="T702" s="8"/>
      <c r="U702" s="1"/>
      <c r="V702" s="1"/>
      <c r="W702" s="1"/>
      <c r="X702" s="1"/>
    </row>
    <row r="703" spans="1:24">
      <c r="A703" s="1"/>
      <c r="M703" s="26"/>
      <c r="N703" s="26"/>
      <c r="P703" s="1"/>
      <c r="Q703" s="1"/>
      <c r="R703" s="8"/>
      <c r="S703" s="1"/>
      <c r="T703" s="8"/>
      <c r="U703" s="1"/>
      <c r="V703" s="1"/>
      <c r="W703" s="1"/>
      <c r="X703" s="1"/>
    </row>
    <row r="704" spans="1:24">
      <c r="A704" s="1"/>
      <c r="M704" s="26"/>
      <c r="N704" s="26"/>
      <c r="P704" s="1"/>
      <c r="Q704" s="1"/>
      <c r="R704" s="8"/>
      <c r="S704" s="1"/>
      <c r="T704" s="8"/>
      <c r="U704" s="1"/>
      <c r="V704" s="1"/>
      <c r="W704" s="1"/>
      <c r="X704" s="1"/>
    </row>
    <row r="705" spans="1:24">
      <c r="A705" s="1"/>
      <c r="M705" s="26"/>
      <c r="N705" s="26"/>
      <c r="P705" s="1"/>
      <c r="Q705" s="1"/>
      <c r="R705" s="8"/>
      <c r="S705" s="1"/>
      <c r="T705" s="8"/>
      <c r="U705" s="1"/>
      <c r="V705" s="1"/>
      <c r="W705" s="1"/>
      <c r="X705" s="1"/>
    </row>
    <row r="706" spans="1:24">
      <c r="A706" s="1"/>
      <c r="M706" s="26"/>
      <c r="N706" s="26"/>
      <c r="P706" s="1"/>
      <c r="Q706" s="1"/>
      <c r="R706" s="8"/>
      <c r="S706" s="1"/>
      <c r="T706" s="8"/>
      <c r="U706" s="1"/>
      <c r="V706" s="1"/>
      <c r="W706" s="1"/>
      <c r="X706" s="1"/>
    </row>
    <row r="707" spans="1:24">
      <c r="A707" s="1"/>
      <c r="M707" s="26"/>
      <c r="N707" s="26"/>
      <c r="P707" s="1"/>
      <c r="Q707" s="1"/>
      <c r="R707" s="8"/>
      <c r="S707" s="1"/>
      <c r="T707" s="8"/>
      <c r="U707" s="1"/>
      <c r="V707" s="1"/>
      <c r="W707" s="1"/>
      <c r="X707" s="1"/>
    </row>
    <row r="708" spans="1:24">
      <c r="A708" s="1"/>
      <c r="M708" s="26"/>
      <c r="N708" s="26"/>
      <c r="P708" s="1"/>
      <c r="Q708" s="1"/>
      <c r="R708" s="8"/>
      <c r="S708" s="1"/>
      <c r="T708" s="8"/>
      <c r="U708" s="1"/>
      <c r="V708" s="1"/>
      <c r="W708" s="1"/>
      <c r="X708" s="1"/>
    </row>
    <row r="709" spans="1:24">
      <c r="A709" s="1"/>
      <c r="M709" s="26"/>
      <c r="N709" s="26"/>
      <c r="P709" s="1"/>
      <c r="Q709" s="1"/>
      <c r="R709" s="8"/>
      <c r="S709" s="1"/>
      <c r="T709" s="8"/>
      <c r="U709" s="1"/>
      <c r="V709" s="1"/>
      <c r="W709" s="1"/>
      <c r="X709" s="1"/>
    </row>
    <row r="710" spans="1:24">
      <c r="A710" s="1"/>
      <c r="M710" s="26"/>
      <c r="N710" s="26"/>
      <c r="P710" s="1"/>
      <c r="Q710" s="1"/>
      <c r="R710" s="8"/>
      <c r="S710" s="1"/>
      <c r="T710" s="8"/>
      <c r="U710" s="1"/>
      <c r="V710" s="1"/>
      <c r="W710" s="1"/>
      <c r="X710" s="1"/>
    </row>
    <row r="711" spans="1:24">
      <c r="A711" s="1"/>
      <c r="M711" s="26"/>
      <c r="N711" s="26"/>
      <c r="P711" s="1"/>
      <c r="Q711" s="1"/>
      <c r="R711" s="8"/>
      <c r="S711" s="1"/>
      <c r="T711" s="8"/>
      <c r="U711" s="1"/>
      <c r="V711" s="1"/>
      <c r="W711" s="1"/>
      <c r="X711" s="1"/>
    </row>
    <row r="712" spans="1:24">
      <c r="A712" s="1"/>
      <c r="M712" s="26"/>
      <c r="N712" s="26"/>
      <c r="P712" s="1"/>
      <c r="Q712" s="1"/>
      <c r="R712" s="8"/>
      <c r="S712" s="1"/>
      <c r="T712" s="8"/>
      <c r="U712" s="1"/>
      <c r="V712" s="1"/>
      <c r="W712" s="1"/>
      <c r="X712" s="1"/>
    </row>
    <row r="713" spans="1:24">
      <c r="A713" s="1"/>
      <c r="M713" s="26"/>
      <c r="N713" s="26"/>
      <c r="P713" s="1"/>
      <c r="Q713" s="1"/>
      <c r="R713" s="8"/>
      <c r="S713" s="1"/>
      <c r="T713" s="8"/>
      <c r="U713" s="1"/>
      <c r="V713" s="1"/>
      <c r="W713" s="1"/>
      <c r="X713" s="1"/>
    </row>
    <row r="714" spans="1:24">
      <c r="A714" s="1"/>
      <c r="M714" s="26"/>
      <c r="N714" s="26"/>
      <c r="P714" s="1"/>
      <c r="Q714" s="1"/>
      <c r="R714" s="8"/>
      <c r="S714" s="1"/>
      <c r="T714" s="8"/>
      <c r="U714" s="1"/>
      <c r="V714" s="1"/>
      <c r="W714" s="1"/>
      <c r="X714" s="1"/>
    </row>
    <row r="715" spans="1:24">
      <c r="A715" s="1"/>
      <c r="M715" s="26"/>
      <c r="N715" s="26"/>
      <c r="P715" s="1"/>
      <c r="Q715" s="1"/>
      <c r="R715" s="8"/>
      <c r="S715" s="1"/>
      <c r="T715" s="8"/>
      <c r="U715" s="1"/>
      <c r="V715" s="1"/>
      <c r="W715" s="1"/>
      <c r="X715" s="1"/>
    </row>
    <row r="716" spans="1:24">
      <c r="A716" s="1"/>
      <c r="M716" s="26"/>
      <c r="N716" s="26"/>
      <c r="P716" s="1"/>
      <c r="Q716" s="1"/>
      <c r="R716" s="8"/>
      <c r="S716" s="1"/>
      <c r="T716" s="8"/>
      <c r="U716" s="1"/>
      <c r="V716" s="1"/>
      <c r="W716" s="1"/>
      <c r="X716" s="1"/>
    </row>
    <row r="717" spans="1:24">
      <c r="A717" s="1"/>
      <c r="M717" s="26"/>
      <c r="N717" s="26"/>
      <c r="P717" s="1"/>
      <c r="Q717" s="1"/>
      <c r="R717" s="8"/>
      <c r="S717" s="1"/>
      <c r="T717" s="8"/>
      <c r="U717" s="1"/>
      <c r="V717" s="1"/>
      <c r="W717" s="1"/>
      <c r="X717" s="1"/>
    </row>
    <row r="718" spans="1:24">
      <c r="A718" s="1"/>
      <c r="M718" s="26"/>
      <c r="N718" s="26"/>
      <c r="P718" s="1"/>
      <c r="Q718" s="1"/>
      <c r="R718" s="8"/>
      <c r="S718" s="1"/>
      <c r="T718" s="8"/>
      <c r="U718" s="1"/>
      <c r="V718" s="1"/>
      <c r="W718" s="1"/>
      <c r="X718" s="1"/>
    </row>
    <row r="719" spans="1:24">
      <c r="A719" s="1"/>
      <c r="M719" s="26"/>
      <c r="N719" s="26"/>
      <c r="P719" s="1"/>
      <c r="Q719" s="1"/>
      <c r="R719" s="8"/>
      <c r="S719" s="1"/>
      <c r="T719" s="8"/>
      <c r="U719" s="1"/>
      <c r="V719" s="1"/>
      <c r="W719" s="1"/>
      <c r="X719" s="1"/>
    </row>
    <row r="720" spans="1:24">
      <c r="A720" s="1"/>
      <c r="M720" s="26"/>
      <c r="N720" s="26"/>
      <c r="P720" s="1"/>
      <c r="Q720" s="1"/>
      <c r="R720" s="8"/>
      <c r="S720" s="1"/>
      <c r="T720" s="8"/>
      <c r="U720" s="1"/>
      <c r="V720" s="1"/>
      <c r="W720" s="1"/>
      <c r="X720" s="1"/>
    </row>
    <row r="721" spans="1:24">
      <c r="A721" s="1"/>
      <c r="M721" s="26"/>
      <c r="N721" s="26"/>
      <c r="P721" s="1"/>
      <c r="Q721" s="1"/>
      <c r="R721" s="8"/>
      <c r="S721" s="1"/>
      <c r="T721" s="8"/>
      <c r="U721" s="1"/>
      <c r="V721" s="1"/>
      <c r="W721" s="1"/>
      <c r="X721" s="1"/>
    </row>
    <row r="722" spans="1:24">
      <c r="A722" s="1"/>
      <c r="M722" s="26"/>
      <c r="N722" s="26"/>
      <c r="P722" s="1"/>
      <c r="Q722" s="1"/>
      <c r="R722" s="8"/>
      <c r="S722" s="1"/>
      <c r="T722" s="8"/>
      <c r="U722" s="1"/>
      <c r="V722" s="1"/>
      <c r="W722" s="1"/>
      <c r="X722" s="1"/>
    </row>
    <row r="723" spans="1:24">
      <c r="A723" s="1"/>
      <c r="M723" s="26"/>
      <c r="N723" s="26"/>
      <c r="P723" s="1"/>
      <c r="Q723" s="1"/>
      <c r="R723" s="8"/>
      <c r="S723" s="1"/>
      <c r="T723" s="8"/>
      <c r="U723" s="1"/>
      <c r="V723" s="1"/>
      <c r="W723" s="1"/>
      <c r="X723" s="1"/>
    </row>
    <row r="724" spans="1:24">
      <c r="A724" s="1"/>
      <c r="M724" s="26"/>
      <c r="N724" s="26"/>
      <c r="P724" s="1"/>
      <c r="Q724" s="1"/>
      <c r="R724" s="8"/>
      <c r="S724" s="1"/>
      <c r="T724" s="8"/>
      <c r="U724" s="1"/>
      <c r="V724" s="1"/>
      <c r="W724" s="1"/>
      <c r="X724" s="1"/>
    </row>
    <row r="725" spans="1:24">
      <c r="A725" s="1"/>
      <c r="M725" s="26"/>
      <c r="N725" s="26"/>
      <c r="P725" s="1"/>
      <c r="Q725" s="1"/>
      <c r="R725" s="8"/>
      <c r="S725" s="1"/>
      <c r="T725" s="8"/>
      <c r="U725" s="1"/>
      <c r="V725" s="1"/>
      <c r="W725" s="1"/>
      <c r="X725" s="1"/>
    </row>
    <row r="726" spans="1:24">
      <c r="A726" s="1"/>
      <c r="M726" s="26"/>
      <c r="N726" s="26"/>
      <c r="P726" s="1"/>
      <c r="Q726" s="1"/>
      <c r="R726" s="8"/>
      <c r="S726" s="1"/>
      <c r="T726" s="8"/>
      <c r="U726" s="1"/>
      <c r="V726" s="1"/>
      <c r="W726" s="1"/>
      <c r="X726" s="1"/>
    </row>
    <row r="727" spans="1:24">
      <c r="A727" s="1"/>
      <c r="M727" s="26"/>
      <c r="N727" s="26"/>
      <c r="P727" s="1"/>
      <c r="Q727" s="1"/>
      <c r="R727" s="8"/>
      <c r="S727" s="1"/>
      <c r="T727" s="8"/>
      <c r="U727" s="1"/>
      <c r="V727" s="1"/>
      <c r="W727" s="1"/>
      <c r="X727" s="1"/>
    </row>
    <row r="728" spans="1:24">
      <c r="A728" s="1"/>
      <c r="M728" s="26"/>
      <c r="N728" s="26"/>
      <c r="P728" s="1"/>
      <c r="Q728" s="1"/>
      <c r="R728" s="8"/>
      <c r="S728" s="1"/>
      <c r="T728" s="8"/>
      <c r="U728" s="1"/>
      <c r="V728" s="1"/>
      <c r="W728" s="1"/>
      <c r="X728" s="1"/>
    </row>
    <row r="729" spans="1:24">
      <c r="A729" s="1"/>
      <c r="M729" s="26"/>
      <c r="N729" s="26"/>
      <c r="P729" s="1"/>
      <c r="Q729" s="1"/>
      <c r="R729" s="8"/>
      <c r="S729" s="1"/>
      <c r="T729" s="8"/>
      <c r="U729" s="1"/>
      <c r="V729" s="1"/>
      <c r="W729" s="1"/>
      <c r="X729" s="1"/>
    </row>
    <row r="730" spans="1:24">
      <c r="A730" s="1"/>
      <c r="M730" s="26"/>
      <c r="N730" s="26"/>
      <c r="P730" s="1"/>
      <c r="Q730" s="1"/>
      <c r="R730" s="8"/>
      <c r="S730" s="1"/>
      <c r="T730" s="8"/>
      <c r="U730" s="1"/>
      <c r="V730" s="1"/>
      <c r="W730" s="1"/>
      <c r="X730" s="1"/>
    </row>
    <row r="731" spans="1:24">
      <c r="A731" s="1"/>
      <c r="M731" s="26"/>
      <c r="N731" s="26"/>
      <c r="P731" s="1"/>
      <c r="Q731" s="1"/>
      <c r="R731" s="8"/>
      <c r="S731" s="1"/>
      <c r="T731" s="8"/>
      <c r="U731" s="1"/>
      <c r="V731" s="1"/>
      <c r="W731" s="1"/>
      <c r="X731" s="1"/>
    </row>
    <row r="732" spans="1:24">
      <c r="A732" s="1"/>
      <c r="M732" s="26"/>
      <c r="N732" s="26"/>
      <c r="P732" s="1"/>
      <c r="Q732" s="1"/>
      <c r="R732" s="8"/>
      <c r="S732" s="1"/>
      <c r="T732" s="8"/>
      <c r="U732" s="1"/>
      <c r="V732" s="1"/>
      <c r="W732" s="1"/>
      <c r="X732" s="1"/>
    </row>
    <row r="733" spans="1:24">
      <c r="A733" s="1"/>
      <c r="M733" s="26"/>
      <c r="N733" s="26"/>
      <c r="P733" s="1"/>
      <c r="Q733" s="1"/>
      <c r="R733" s="8"/>
      <c r="S733" s="1"/>
      <c r="T733" s="8"/>
      <c r="U733" s="1"/>
      <c r="V733" s="1"/>
      <c r="W733" s="1"/>
      <c r="X733" s="1"/>
    </row>
    <row r="734" spans="1:24">
      <c r="A734" s="1"/>
      <c r="M734" s="26"/>
      <c r="N734" s="26"/>
      <c r="P734" s="1"/>
      <c r="Q734" s="1"/>
      <c r="R734" s="8"/>
      <c r="S734" s="1"/>
      <c r="T734" s="8"/>
      <c r="U734" s="1"/>
      <c r="V734" s="1"/>
      <c r="W734" s="1"/>
      <c r="X734" s="1"/>
    </row>
    <row r="735" spans="1:24">
      <c r="A735" s="1"/>
      <c r="M735" s="26"/>
      <c r="N735" s="26"/>
      <c r="P735" s="1"/>
      <c r="Q735" s="1"/>
      <c r="R735" s="8"/>
      <c r="S735" s="1"/>
      <c r="T735" s="8"/>
      <c r="U735" s="1"/>
      <c r="V735" s="1"/>
      <c r="W735" s="1"/>
      <c r="X735" s="1"/>
    </row>
    <row r="736" spans="1:24">
      <c r="A736" s="1"/>
      <c r="M736" s="26"/>
      <c r="N736" s="26"/>
      <c r="P736" s="1"/>
      <c r="Q736" s="1"/>
      <c r="R736" s="8"/>
      <c r="S736" s="1"/>
      <c r="T736" s="8"/>
      <c r="U736" s="1"/>
      <c r="V736" s="1"/>
      <c r="W736" s="1"/>
      <c r="X736" s="1"/>
    </row>
    <row r="737" spans="1:24">
      <c r="A737" s="1"/>
      <c r="M737" s="26"/>
      <c r="N737" s="26"/>
      <c r="P737" s="1"/>
      <c r="Q737" s="1"/>
      <c r="R737" s="8"/>
      <c r="S737" s="1"/>
      <c r="T737" s="8"/>
      <c r="U737" s="1"/>
      <c r="V737" s="1"/>
      <c r="W737" s="1"/>
      <c r="X737" s="1"/>
    </row>
    <row r="738" spans="1:24">
      <c r="A738" s="1"/>
      <c r="M738" s="26"/>
      <c r="N738" s="26"/>
      <c r="P738" s="1"/>
      <c r="Q738" s="1"/>
      <c r="R738" s="8"/>
      <c r="S738" s="1"/>
      <c r="T738" s="8"/>
      <c r="U738" s="1"/>
      <c r="V738" s="1"/>
      <c r="W738" s="1"/>
      <c r="X738" s="1"/>
    </row>
    <row r="739" spans="1:24">
      <c r="A739" s="1"/>
      <c r="M739" s="26"/>
      <c r="N739" s="26"/>
      <c r="P739" s="1"/>
      <c r="Q739" s="1"/>
      <c r="R739" s="8"/>
      <c r="S739" s="1"/>
      <c r="T739" s="8"/>
      <c r="U739" s="1"/>
      <c r="V739" s="1"/>
      <c r="W739" s="1"/>
      <c r="X739" s="1"/>
    </row>
    <row r="740" spans="1:24">
      <c r="A740" s="1"/>
      <c r="M740" s="26"/>
      <c r="N740" s="26"/>
      <c r="P740" s="1"/>
      <c r="Q740" s="1"/>
      <c r="R740" s="8"/>
      <c r="S740" s="1"/>
      <c r="T740" s="8"/>
      <c r="U740" s="1"/>
      <c r="V740" s="1"/>
      <c r="W740" s="1"/>
      <c r="X740" s="1"/>
    </row>
    <row r="741" spans="1:24">
      <c r="A741" s="1"/>
      <c r="M741" s="26"/>
      <c r="N741" s="26"/>
      <c r="P741" s="1"/>
      <c r="Q741" s="1"/>
      <c r="R741" s="8"/>
      <c r="S741" s="1"/>
      <c r="T741" s="8"/>
      <c r="U741" s="1"/>
      <c r="V741" s="1"/>
      <c r="W741" s="1"/>
      <c r="X741" s="1"/>
    </row>
    <row r="742" spans="1:24">
      <c r="A742" s="1"/>
      <c r="M742" s="26"/>
      <c r="N742" s="26"/>
      <c r="P742" s="1"/>
      <c r="Q742" s="1"/>
      <c r="R742" s="8"/>
      <c r="S742" s="1"/>
      <c r="T742" s="8"/>
      <c r="U742" s="1"/>
      <c r="V742" s="1"/>
      <c r="W742" s="1"/>
      <c r="X742" s="1"/>
    </row>
    <row r="743" spans="1:24">
      <c r="A743" s="1"/>
      <c r="M743" s="26"/>
      <c r="N743" s="26"/>
      <c r="P743" s="1"/>
      <c r="Q743" s="1"/>
      <c r="R743" s="8"/>
      <c r="S743" s="1"/>
      <c r="T743" s="8"/>
      <c r="U743" s="1"/>
      <c r="V743" s="1"/>
      <c r="W743" s="1"/>
      <c r="X743" s="1"/>
    </row>
    <row r="744" spans="1:24">
      <c r="A744" s="1"/>
      <c r="M744" s="26"/>
      <c r="N744" s="26"/>
      <c r="P744" s="1"/>
      <c r="Q744" s="1"/>
      <c r="R744" s="8"/>
      <c r="S744" s="1"/>
      <c r="T744" s="8"/>
      <c r="U744" s="1"/>
      <c r="V744" s="1"/>
      <c r="W744" s="1"/>
      <c r="X744" s="1"/>
    </row>
    <row r="745" spans="1:24">
      <c r="A745" s="1"/>
      <c r="M745" s="26"/>
      <c r="N745" s="26"/>
      <c r="P745" s="1"/>
      <c r="Q745" s="1"/>
      <c r="R745" s="8"/>
      <c r="S745" s="1"/>
      <c r="T745" s="8"/>
      <c r="U745" s="1"/>
      <c r="V745" s="1"/>
      <c r="W745" s="1"/>
      <c r="X745" s="1"/>
    </row>
    <row r="746" spans="1:24">
      <c r="A746" s="1"/>
      <c r="M746" s="26"/>
      <c r="N746" s="26"/>
      <c r="P746" s="1"/>
      <c r="Q746" s="1"/>
      <c r="R746" s="8"/>
      <c r="S746" s="1"/>
      <c r="T746" s="8"/>
      <c r="U746" s="1"/>
      <c r="V746" s="1"/>
      <c r="W746" s="1"/>
      <c r="X746" s="1"/>
    </row>
    <row r="747" spans="1:24">
      <c r="A747" s="1"/>
      <c r="M747" s="26"/>
      <c r="N747" s="26"/>
      <c r="P747" s="1"/>
      <c r="Q747" s="1"/>
      <c r="R747" s="8"/>
      <c r="S747" s="1"/>
      <c r="T747" s="8"/>
      <c r="U747" s="1"/>
      <c r="V747" s="1"/>
      <c r="W747" s="1"/>
      <c r="X747" s="1"/>
    </row>
    <row r="748" spans="1:24">
      <c r="A748" s="1"/>
      <c r="M748" s="26"/>
      <c r="N748" s="26"/>
      <c r="P748" s="1"/>
      <c r="Q748" s="1"/>
      <c r="R748" s="8"/>
      <c r="S748" s="1"/>
      <c r="T748" s="8"/>
      <c r="U748" s="1"/>
      <c r="V748" s="1"/>
      <c r="W748" s="1"/>
      <c r="X748" s="1"/>
    </row>
    <row r="749" spans="1:24">
      <c r="A749" s="1"/>
      <c r="M749" s="26"/>
      <c r="N749" s="26"/>
      <c r="P749" s="1"/>
      <c r="Q749" s="1"/>
      <c r="R749" s="8"/>
      <c r="S749" s="1"/>
      <c r="T749" s="8"/>
      <c r="U749" s="1"/>
      <c r="V749" s="1"/>
      <c r="W749" s="1"/>
      <c r="X749" s="1"/>
    </row>
    <row r="750" spans="1:24">
      <c r="A750" s="1"/>
      <c r="M750" s="26"/>
      <c r="N750" s="26"/>
      <c r="P750" s="1"/>
      <c r="Q750" s="1"/>
      <c r="R750" s="8"/>
      <c r="S750" s="1"/>
      <c r="T750" s="8"/>
      <c r="U750" s="1"/>
      <c r="V750" s="1"/>
      <c r="W750" s="1"/>
      <c r="X750" s="1"/>
    </row>
    <row r="751" spans="1:24">
      <c r="A751" s="1"/>
      <c r="M751" s="26"/>
      <c r="N751" s="26"/>
      <c r="P751" s="1"/>
      <c r="Q751" s="1"/>
      <c r="R751" s="8"/>
      <c r="S751" s="1"/>
      <c r="T751" s="8"/>
      <c r="U751" s="1"/>
      <c r="V751" s="1"/>
      <c r="W751" s="1"/>
      <c r="X751" s="1"/>
    </row>
    <row r="752" spans="1:24">
      <c r="A752" s="1"/>
      <c r="M752" s="26"/>
      <c r="N752" s="26"/>
      <c r="P752" s="1"/>
      <c r="Q752" s="1"/>
      <c r="R752" s="8"/>
      <c r="S752" s="1"/>
      <c r="T752" s="8"/>
      <c r="U752" s="1"/>
      <c r="V752" s="1"/>
      <c r="W752" s="1"/>
      <c r="X752" s="1"/>
    </row>
    <row r="753" spans="1:24">
      <c r="A753" s="1"/>
      <c r="M753" s="26"/>
      <c r="N753" s="26"/>
      <c r="P753" s="1"/>
      <c r="Q753" s="1"/>
      <c r="R753" s="8"/>
      <c r="S753" s="1"/>
      <c r="T753" s="8"/>
      <c r="U753" s="1"/>
      <c r="V753" s="1"/>
      <c r="W753" s="1"/>
      <c r="X753" s="1"/>
    </row>
    <row r="754" spans="1:24">
      <c r="A754" s="1"/>
      <c r="M754" s="26"/>
      <c r="N754" s="26"/>
      <c r="P754" s="1"/>
      <c r="Q754" s="1"/>
      <c r="R754" s="8"/>
      <c r="S754" s="1"/>
      <c r="T754" s="8"/>
      <c r="U754" s="1"/>
      <c r="V754" s="1"/>
      <c r="W754" s="1"/>
      <c r="X754" s="1"/>
    </row>
    <row r="755" spans="1:24">
      <c r="A755" s="1"/>
      <c r="M755" s="26"/>
      <c r="N755" s="26"/>
      <c r="P755" s="1"/>
      <c r="Q755" s="1"/>
      <c r="R755" s="8"/>
      <c r="S755" s="1"/>
      <c r="T755" s="8"/>
      <c r="U755" s="1"/>
      <c r="V755" s="1"/>
      <c r="W755" s="1"/>
      <c r="X755" s="1"/>
    </row>
    <row r="756" spans="1:24">
      <c r="A756" s="1"/>
      <c r="M756" s="26"/>
      <c r="N756" s="26"/>
      <c r="P756" s="1"/>
      <c r="Q756" s="1"/>
      <c r="R756" s="8"/>
      <c r="S756" s="1"/>
      <c r="T756" s="8"/>
      <c r="U756" s="1"/>
      <c r="V756" s="1"/>
      <c r="W756" s="1"/>
      <c r="X756" s="1"/>
    </row>
    <row r="757" spans="1:24">
      <c r="A757" s="1"/>
      <c r="M757" s="26"/>
      <c r="N757" s="26"/>
      <c r="P757" s="1"/>
      <c r="Q757" s="1"/>
      <c r="R757" s="8"/>
      <c r="S757" s="1"/>
      <c r="T757" s="8"/>
      <c r="U757" s="1"/>
      <c r="V757" s="1"/>
      <c r="W757" s="1"/>
      <c r="X757" s="1"/>
    </row>
    <row r="758" spans="1:24">
      <c r="A758" s="1"/>
      <c r="M758" s="26"/>
      <c r="N758" s="26"/>
      <c r="P758" s="1"/>
      <c r="Q758" s="1"/>
      <c r="R758" s="8"/>
      <c r="S758" s="1"/>
      <c r="T758" s="8"/>
      <c r="U758" s="1"/>
      <c r="V758" s="1"/>
      <c r="W758" s="1"/>
      <c r="X758" s="1"/>
    </row>
    <row r="759" spans="1:24">
      <c r="A759" s="1"/>
      <c r="M759" s="26"/>
      <c r="N759" s="26"/>
      <c r="P759" s="1"/>
      <c r="Q759" s="1"/>
      <c r="R759" s="8"/>
      <c r="S759" s="1"/>
      <c r="T759" s="8"/>
      <c r="U759" s="1"/>
      <c r="V759" s="1"/>
      <c r="W759" s="1"/>
      <c r="X759" s="1"/>
    </row>
    <row r="760" spans="1:24">
      <c r="A760" s="1"/>
      <c r="M760" s="26"/>
      <c r="N760" s="26"/>
      <c r="P760" s="1"/>
      <c r="Q760" s="1"/>
      <c r="R760" s="8"/>
      <c r="S760" s="1"/>
      <c r="T760" s="8"/>
      <c r="U760" s="1"/>
      <c r="V760" s="1"/>
      <c r="W760" s="1"/>
      <c r="X760" s="1"/>
    </row>
    <row r="761" spans="1:24">
      <c r="A761" s="1"/>
      <c r="M761" s="26"/>
      <c r="N761" s="26"/>
      <c r="P761" s="1"/>
      <c r="Q761" s="1"/>
      <c r="R761" s="8"/>
      <c r="S761" s="1"/>
      <c r="T761" s="8"/>
      <c r="U761" s="1"/>
      <c r="V761" s="1"/>
      <c r="W761" s="1"/>
      <c r="X761" s="1"/>
    </row>
    <row r="762" spans="1:24">
      <c r="A762" s="1"/>
      <c r="M762" s="26"/>
      <c r="N762" s="26"/>
      <c r="P762" s="1"/>
      <c r="Q762" s="1"/>
      <c r="R762" s="8"/>
      <c r="S762" s="1"/>
      <c r="T762" s="8"/>
      <c r="U762" s="1"/>
      <c r="V762" s="1"/>
      <c r="W762" s="1"/>
      <c r="X762" s="1"/>
    </row>
    <row r="763" spans="1:24">
      <c r="A763" s="1"/>
      <c r="M763" s="26"/>
      <c r="N763" s="26"/>
      <c r="P763" s="1"/>
      <c r="Q763" s="1"/>
      <c r="R763" s="8"/>
      <c r="S763" s="1"/>
      <c r="T763" s="8"/>
      <c r="U763" s="1"/>
      <c r="V763" s="1"/>
      <c r="W763" s="1"/>
      <c r="X763" s="1"/>
    </row>
    <row r="764" spans="1:24">
      <c r="A764" s="1"/>
      <c r="M764" s="26"/>
      <c r="N764" s="26"/>
      <c r="P764" s="1"/>
      <c r="Q764" s="1"/>
      <c r="R764" s="8"/>
      <c r="S764" s="1"/>
      <c r="T764" s="8"/>
      <c r="U764" s="1"/>
      <c r="V764" s="1"/>
      <c r="W764" s="1"/>
      <c r="X764" s="1"/>
    </row>
    <row r="765" spans="1:24">
      <c r="A765" s="1"/>
      <c r="M765" s="26"/>
      <c r="N765" s="26"/>
      <c r="P765" s="1"/>
      <c r="Q765" s="1"/>
      <c r="R765" s="8"/>
      <c r="S765" s="1"/>
      <c r="T765" s="8"/>
      <c r="U765" s="1"/>
      <c r="V765" s="1"/>
      <c r="W765" s="1"/>
      <c r="X765" s="1"/>
    </row>
    <row r="766" spans="1:24">
      <c r="A766" s="1"/>
      <c r="M766" s="26"/>
      <c r="N766" s="26"/>
      <c r="P766" s="1"/>
      <c r="Q766" s="1"/>
      <c r="R766" s="8"/>
      <c r="S766" s="1"/>
      <c r="T766" s="8"/>
      <c r="U766" s="1"/>
      <c r="V766" s="1"/>
      <c r="W766" s="1"/>
      <c r="X766" s="1"/>
    </row>
    <row r="767" spans="1:24">
      <c r="A767" s="1"/>
      <c r="M767" s="26"/>
      <c r="N767" s="26"/>
      <c r="P767" s="1"/>
      <c r="Q767" s="1"/>
      <c r="R767" s="8"/>
      <c r="S767" s="1"/>
      <c r="T767" s="8"/>
      <c r="U767" s="1"/>
      <c r="V767" s="1"/>
      <c r="W767" s="1"/>
      <c r="X767" s="1"/>
    </row>
    <row r="768" spans="1:24">
      <c r="A768" s="1"/>
      <c r="M768" s="26"/>
      <c r="N768" s="26"/>
      <c r="P768" s="1"/>
      <c r="Q768" s="1"/>
      <c r="R768" s="8"/>
      <c r="S768" s="1"/>
      <c r="T768" s="8"/>
      <c r="U768" s="1"/>
      <c r="V768" s="1"/>
      <c r="W768" s="1"/>
      <c r="X768" s="1"/>
    </row>
    <row r="769" spans="1:24">
      <c r="A769" s="1"/>
      <c r="M769" s="26"/>
      <c r="N769" s="26"/>
      <c r="P769" s="1"/>
      <c r="Q769" s="1"/>
      <c r="R769" s="8"/>
      <c r="S769" s="1"/>
      <c r="T769" s="8"/>
      <c r="U769" s="1"/>
      <c r="V769" s="1"/>
      <c r="W769" s="1"/>
      <c r="X769" s="1"/>
    </row>
    <row r="770" spans="1:24">
      <c r="A770" s="1"/>
      <c r="M770" s="26"/>
      <c r="N770" s="26"/>
      <c r="P770" s="1"/>
      <c r="Q770" s="1"/>
      <c r="R770" s="8"/>
      <c r="S770" s="1"/>
      <c r="T770" s="8"/>
      <c r="U770" s="1"/>
      <c r="V770" s="1"/>
      <c r="W770" s="1"/>
      <c r="X770" s="1"/>
    </row>
    <row r="771" spans="1:24">
      <c r="A771" s="1"/>
      <c r="M771" s="26"/>
      <c r="N771" s="26"/>
      <c r="P771" s="1"/>
      <c r="Q771" s="1"/>
      <c r="R771" s="8"/>
      <c r="S771" s="1"/>
      <c r="T771" s="8"/>
      <c r="U771" s="1"/>
      <c r="V771" s="1"/>
      <c r="W771" s="1"/>
      <c r="X771" s="1"/>
    </row>
    <row r="772" spans="1:24">
      <c r="A772" s="1"/>
      <c r="M772" s="26"/>
      <c r="N772" s="26"/>
      <c r="P772" s="1"/>
      <c r="Q772" s="1"/>
      <c r="R772" s="8"/>
      <c r="S772" s="1"/>
      <c r="T772" s="8"/>
      <c r="U772" s="1"/>
      <c r="V772" s="1"/>
      <c r="W772" s="1"/>
      <c r="X772" s="1"/>
    </row>
    <row r="773" spans="1:24">
      <c r="A773" s="1"/>
      <c r="M773" s="26"/>
      <c r="N773" s="26"/>
      <c r="P773" s="1"/>
      <c r="Q773" s="1"/>
      <c r="R773" s="8"/>
      <c r="S773" s="1"/>
      <c r="T773" s="8"/>
      <c r="U773" s="1"/>
      <c r="V773" s="1"/>
      <c r="W773" s="1"/>
      <c r="X773" s="1"/>
    </row>
    <row r="774" spans="1:24">
      <c r="A774" s="1"/>
      <c r="M774" s="26"/>
      <c r="N774" s="26"/>
      <c r="P774" s="1"/>
      <c r="Q774" s="1"/>
      <c r="R774" s="8"/>
      <c r="S774" s="1"/>
      <c r="T774" s="8"/>
      <c r="U774" s="1"/>
      <c r="V774" s="1"/>
      <c r="W774" s="1"/>
      <c r="X774" s="1"/>
    </row>
    <row r="775" spans="1:24">
      <c r="A775" s="1"/>
      <c r="M775" s="26"/>
      <c r="N775" s="26"/>
      <c r="P775" s="1"/>
      <c r="Q775" s="1"/>
      <c r="R775" s="8"/>
      <c r="S775" s="1"/>
      <c r="T775" s="8"/>
      <c r="U775" s="1"/>
      <c r="V775" s="1"/>
      <c r="W775" s="1"/>
      <c r="X775" s="1"/>
    </row>
    <row r="776" spans="1:24">
      <c r="A776" s="1"/>
      <c r="M776" s="26"/>
      <c r="N776" s="26"/>
      <c r="P776" s="1"/>
      <c r="Q776" s="1"/>
      <c r="R776" s="8"/>
      <c r="S776" s="1"/>
      <c r="T776" s="8"/>
      <c r="U776" s="1"/>
      <c r="V776" s="1"/>
      <c r="W776" s="1"/>
      <c r="X776" s="1"/>
    </row>
    <row r="777" spans="1:24">
      <c r="A777" s="1"/>
      <c r="M777" s="26"/>
      <c r="N777" s="26"/>
      <c r="P777" s="1"/>
      <c r="Q777" s="1"/>
      <c r="R777" s="8"/>
      <c r="S777" s="1"/>
      <c r="T777" s="8"/>
      <c r="U777" s="1"/>
      <c r="V777" s="1"/>
      <c r="W777" s="1"/>
      <c r="X777" s="1"/>
    </row>
    <row r="778" spans="1:24">
      <c r="A778" s="1"/>
      <c r="M778" s="26"/>
      <c r="N778" s="26"/>
      <c r="P778" s="1"/>
      <c r="Q778" s="1"/>
      <c r="R778" s="8"/>
      <c r="S778" s="1"/>
      <c r="T778" s="8"/>
      <c r="U778" s="1"/>
      <c r="V778" s="1"/>
      <c r="W778" s="1"/>
      <c r="X778" s="1"/>
    </row>
    <row r="779" spans="1:24">
      <c r="A779" s="1"/>
      <c r="M779" s="26"/>
      <c r="N779" s="26"/>
      <c r="P779" s="1"/>
      <c r="Q779" s="1"/>
      <c r="R779" s="8"/>
      <c r="S779" s="1"/>
      <c r="T779" s="8"/>
      <c r="U779" s="1"/>
      <c r="V779" s="1"/>
      <c r="W779" s="1"/>
      <c r="X779" s="1"/>
    </row>
    <row r="780" spans="1:24">
      <c r="A780" s="1"/>
      <c r="M780" s="26"/>
      <c r="N780" s="26"/>
      <c r="P780" s="1"/>
      <c r="Q780" s="1"/>
      <c r="R780" s="8"/>
      <c r="S780" s="1"/>
      <c r="T780" s="8"/>
      <c r="U780" s="1"/>
      <c r="V780" s="1"/>
      <c r="W780" s="1"/>
      <c r="X780" s="1"/>
    </row>
    <row r="781" spans="1:24">
      <c r="A781" s="1"/>
      <c r="M781" s="26"/>
      <c r="N781" s="26"/>
      <c r="P781" s="1"/>
      <c r="Q781" s="1"/>
      <c r="R781" s="8"/>
      <c r="S781" s="1"/>
      <c r="T781" s="8"/>
      <c r="U781" s="1"/>
      <c r="V781" s="1"/>
      <c r="W781" s="1"/>
      <c r="X781" s="1"/>
    </row>
    <row r="782" spans="1:24">
      <c r="A782" s="1"/>
      <c r="M782" s="26"/>
      <c r="N782" s="26"/>
      <c r="P782" s="1"/>
      <c r="Q782" s="1"/>
      <c r="R782" s="8"/>
      <c r="S782" s="1"/>
      <c r="T782" s="8"/>
      <c r="U782" s="1"/>
      <c r="V782" s="1"/>
      <c r="W782" s="1"/>
      <c r="X782" s="1"/>
    </row>
    <row r="783" spans="1:24">
      <c r="A783" s="1"/>
      <c r="M783" s="26"/>
      <c r="N783" s="26"/>
      <c r="P783" s="1"/>
      <c r="Q783" s="1"/>
      <c r="R783" s="8"/>
      <c r="S783" s="1"/>
      <c r="T783" s="8"/>
      <c r="U783" s="1"/>
      <c r="V783" s="1"/>
      <c r="W783" s="1"/>
      <c r="X783" s="1"/>
    </row>
    <row r="784" spans="1:24">
      <c r="A784" s="1"/>
      <c r="M784" s="26"/>
      <c r="N784" s="26"/>
      <c r="P784" s="1"/>
      <c r="Q784" s="1"/>
      <c r="R784" s="8"/>
      <c r="S784" s="1"/>
      <c r="T784" s="8"/>
      <c r="U784" s="1"/>
      <c r="V784" s="1"/>
      <c r="W784" s="1"/>
      <c r="X784" s="1"/>
    </row>
    <row r="785" spans="1:24">
      <c r="A785" s="1"/>
      <c r="M785" s="26"/>
      <c r="N785" s="26"/>
      <c r="P785" s="1"/>
      <c r="Q785" s="1"/>
      <c r="R785" s="8"/>
      <c r="S785" s="1"/>
      <c r="T785" s="8"/>
      <c r="U785" s="1"/>
      <c r="V785" s="1"/>
      <c r="W785" s="1"/>
      <c r="X785" s="1"/>
    </row>
    <row r="786" spans="1:24">
      <c r="A786" s="1"/>
      <c r="M786" s="26"/>
      <c r="N786" s="26"/>
      <c r="P786" s="1"/>
      <c r="Q786" s="1"/>
      <c r="R786" s="8"/>
      <c r="S786" s="1"/>
      <c r="T786" s="8"/>
      <c r="U786" s="1"/>
      <c r="V786" s="1"/>
      <c r="W786" s="1"/>
      <c r="X786" s="1"/>
    </row>
    <row r="787" spans="1:24">
      <c r="A787" s="1"/>
      <c r="M787" s="26"/>
      <c r="N787" s="26"/>
      <c r="P787" s="1"/>
      <c r="Q787" s="1"/>
      <c r="R787" s="8"/>
      <c r="S787" s="1"/>
      <c r="T787" s="8"/>
      <c r="U787" s="1"/>
      <c r="V787" s="1"/>
      <c r="W787" s="1"/>
      <c r="X787" s="1"/>
    </row>
    <row r="788" spans="1:24">
      <c r="A788" s="1"/>
      <c r="M788" s="26"/>
      <c r="N788" s="26"/>
      <c r="P788" s="1"/>
      <c r="Q788" s="1"/>
      <c r="R788" s="8"/>
      <c r="S788" s="1"/>
      <c r="T788" s="8"/>
      <c r="U788" s="1"/>
      <c r="V788" s="1"/>
      <c r="W788" s="1"/>
      <c r="X788" s="1"/>
    </row>
    <row r="789" spans="1:24">
      <c r="A789" s="1"/>
      <c r="M789" s="26"/>
      <c r="N789" s="26"/>
      <c r="P789" s="1"/>
      <c r="Q789" s="1"/>
      <c r="R789" s="8"/>
      <c r="S789" s="1"/>
      <c r="T789" s="8"/>
      <c r="U789" s="1"/>
      <c r="V789" s="1"/>
      <c r="W789" s="1"/>
      <c r="X789" s="1"/>
    </row>
    <row r="790" spans="1:24">
      <c r="A790" s="1"/>
      <c r="M790" s="26"/>
      <c r="N790" s="26"/>
      <c r="P790" s="1"/>
      <c r="Q790" s="1"/>
      <c r="R790" s="8"/>
      <c r="S790" s="1"/>
      <c r="T790" s="8"/>
      <c r="U790" s="1"/>
      <c r="V790" s="1"/>
      <c r="W790" s="1"/>
      <c r="X790" s="1"/>
    </row>
    <row r="791" spans="1:24">
      <c r="A791" s="1"/>
      <c r="M791" s="26"/>
      <c r="N791" s="26"/>
      <c r="P791" s="1"/>
      <c r="Q791" s="1"/>
      <c r="R791" s="8"/>
      <c r="S791" s="1"/>
      <c r="T791" s="8"/>
      <c r="U791" s="1"/>
      <c r="V791" s="1"/>
      <c r="W791" s="1"/>
      <c r="X791" s="1"/>
    </row>
    <row r="792" spans="1:24">
      <c r="A792" s="1"/>
      <c r="M792" s="26"/>
      <c r="N792" s="26"/>
      <c r="P792" s="1"/>
      <c r="Q792" s="1"/>
      <c r="R792" s="8"/>
      <c r="S792" s="1"/>
      <c r="T792" s="8"/>
      <c r="U792" s="1"/>
      <c r="V792" s="1"/>
      <c r="W792" s="1"/>
      <c r="X792" s="1"/>
    </row>
    <row r="793" spans="1:24">
      <c r="A793" s="1"/>
      <c r="M793" s="26"/>
      <c r="N793" s="26"/>
      <c r="P793" s="1"/>
      <c r="Q793" s="1"/>
      <c r="R793" s="8"/>
      <c r="S793" s="1"/>
      <c r="T793" s="8"/>
      <c r="U793" s="1"/>
      <c r="V793" s="1"/>
      <c r="W793" s="1"/>
      <c r="X793" s="1"/>
    </row>
    <row r="794" spans="1:24">
      <c r="A794" s="1"/>
      <c r="M794" s="26"/>
      <c r="N794" s="26"/>
      <c r="P794" s="1"/>
      <c r="Q794" s="1"/>
      <c r="R794" s="8"/>
      <c r="S794" s="1"/>
      <c r="T794" s="8"/>
      <c r="U794" s="1"/>
      <c r="V794" s="1"/>
      <c r="W794" s="1"/>
      <c r="X794" s="1"/>
    </row>
    <row r="795" spans="1:24">
      <c r="A795" s="1"/>
      <c r="M795" s="26"/>
      <c r="N795" s="26"/>
      <c r="P795" s="1"/>
      <c r="Q795" s="1"/>
      <c r="R795" s="8"/>
      <c r="S795" s="1"/>
      <c r="T795" s="8"/>
      <c r="U795" s="1"/>
      <c r="V795" s="1"/>
      <c r="W795" s="1"/>
      <c r="X795" s="1"/>
    </row>
    <row r="796" spans="1:24">
      <c r="A796" s="1"/>
      <c r="M796" s="26"/>
      <c r="N796" s="26"/>
      <c r="P796" s="1"/>
      <c r="Q796" s="1"/>
      <c r="R796" s="8"/>
      <c r="S796" s="1"/>
      <c r="T796" s="8"/>
      <c r="U796" s="1"/>
      <c r="V796" s="1"/>
      <c r="W796" s="1"/>
      <c r="X796" s="1"/>
    </row>
    <row r="797" spans="1:24">
      <c r="A797" s="1"/>
      <c r="M797" s="26"/>
      <c r="N797" s="26"/>
      <c r="P797" s="1"/>
      <c r="Q797" s="1"/>
      <c r="R797" s="8"/>
      <c r="S797" s="1"/>
      <c r="T797" s="8"/>
      <c r="U797" s="1"/>
      <c r="V797" s="1"/>
      <c r="W797" s="1"/>
      <c r="X797" s="1"/>
    </row>
    <row r="798" spans="1:24">
      <c r="A798" s="1"/>
      <c r="M798" s="26"/>
      <c r="N798" s="26"/>
      <c r="P798" s="1"/>
      <c r="Q798" s="1"/>
      <c r="R798" s="8"/>
      <c r="S798" s="1"/>
      <c r="T798" s="8"/>
      <c r="U798" s="1"/>
      <c r="V798" s="1"/>
      <c r="W798" s="1"/>
      <c r="X798" s="1"/>
    </row>
    <row r="799" spans="1:24">
      <c r="A799" s="1"/>
      <c r="M799" s="26"/>
      <c r="N799" s="26"/>
      <c r="P799" s="1"/>
      <c r="Q799" s="1"/>
      <c r="R799" s="8"/>
      <c r="S799" s="1"/>
      <c r="T799" s="8"/>
      <c r="U799" s="1"/>
      <c r="V799" s="1"/>
      <c r="W799" s="1"/>
      <c r="X799" s="1"/>
    </row>
    <row r="800" spans="1:24">
      <c r="A800" s="1"/>
      <c r="M800" s="26"/>
      <c r="N800" s="26"/>
      <c r="P800" s="1"/>
      <c r="Q800" s="1"/>
      <c r="R800" s="8"/>
      <c r="S800" s="1"/>
      <c r="T800" s="8"/>
      <c r="U800" s="1"/>
      <c r="V800" s="1"/>
      <c r="W800" s="1"/>
      <c r="X800" s="1"/>
    </row>
    <row r="801" spans="1:24">
      <c r="A801" s="1"/>
      <c r="M801" s="26"/>
      <c r="N801" s="26"/>
      <c r="P801" s="1"/>
      <c r="Q801" s="1"/>
      <c r="R801" s="8"/>
      <c r="S801" s="1"/>
      <c r="T801" s="8"/>
      <c r="U801" s="1"/>
      <c r="V801" s="1"/>
      <c r="W801" s="1"/>
      <c r="X801" s="1"/>
    </row>
    <row r="802" spans="1:24">
      <c r="A802" s="1"/>
      <c r="M802" s="26"/>
      <c r="N802" s="26"/>
      <c r="P802" s="1"/>
      <c r="Q802" s="1"/>
      <c r="R802" s="8"/>
      <c r="S802" s="1"/>
      <c r="T802" s="8"/>
      <c r="U802" s="1"/>
      <c r="V802" s="1"/>
      <c r="W802" s="1"/>
      <c r="X802" s="1"/>
    </row>
    <row r="803" spans="1:24">
      <c r="A803" s="1"/>
      <c r="M803" s="26"/>
      <c r="N803" s="26"/>
      <c r="P803" s="1"/>
      <c r="Q803" s="1"/>
      <c r="R803" s="8"/>
      <c r="S803" s="1"/>
      <c r="T803" s="8"/>
      <c r="U803" s="1"/>
      <c r="V803" s="1"/>
      <c r="W803" s="1"/>
      <c r="X803" s="1"/>
    </row>
    <row r="804" spans="1:24">
      <c r="A804" s="1"/>
      <c r="M804" s="26"/>
      <c r="N804" s="26"/>
      <c r="P804" s="1"/>
      <c r="Q804" s="1"/>
      <c r="R804" s="8"/>
      <c r="S804" s="1"/>
      <c r="T804" s="8"/>
      <c r="U804" s="1"/>
      <c r="V804" s="1"/>
      <c r="W804" s="1"/>
      <c r="X804" s="1"/>
    </row>
    <row r="805" spans="1:24">
      <c r="A805" s="1"/>
      <c r="M805" s="26"/>
      <c r="N805" s="26"/>
      <c r="P805" s="1"/>
      <c r="Q805" s="1"/>
      <c r="R805" s="8"/>
      <c r="S805" s="1"/>
      <c r="T805" s="8"/>
      <c r="U805" s="1"/>
      <c r="V805" s="1"/>
      <c r="W805" s="1"/>
      <c r="X805" s="1"/>
    </row>
    <row r="806" spans="1:24">
      <c r="A806" s="1"/>
      <c r="M806" s="26"/>
      <c r="N806" s="26"/>
      <c r="P806" s="1"/>
      <c r="Q806" s="1"/>
      <c r="R806" s="8"/>
      <c r="S806" s="1"/>
      <c r="T806" s="8"/>
      <c r="U806" s="1"/>
      <c r="V806" s="1"/>
      <c r="W806" s="1"/>
      <c r="X806" s="1"/>
    </row>
    <row r="807" spans="1:24">
      <c r="A807" s="1"/>
      <c r="M807" s="26"/>
      <c r="N807" s="26"/>
      <c r="P807" s="1"/>
      <c r="Q807" s="1"/>
      <c r="R807" s="8"/>
      <c r="S807" s="1"/>
      <c r="T807" s="8"/>
      <c r="U807" s="1"/>
      <c r="V807" s="1"/>
      <c r="W807" s="1"/>
      <c r="X807" s="1"/>
    </row>
    <row r="808" spans="1:24">
      <c r="A808" s="1"/>
      <c r="M808" s="26"/>
      <c r="N808" s="26"/>
      <c r="P808" s="1"/>
      <c r="Q808" s="1"/>
      <c r="R808" s="8"/>
      <c r="S808" s="1"/>
      <c r="T808" s="8"/>
      <c r="U808" s="1"/>
      <c r="V808" s="1"/>
      <c r="W808" s="1"/>
      <c r="X808" s="1"/>
    </row>
    <row r="809" spans="1:24">
      <c r="A809" s="1"/>
      <c r="M809" s="26"/>
      <c r="N809" s="26"/>
      <c r="P809" s="1"/>
      <c r="Q809" s="1"/>
      <c r="R809" s="8"/>
      <c r="S809" s="1"/>
      <c r="T809" s="8"/>
      <c r="U809" s="1"/>
      <c r="V809" s="1"/>
      <c r="W809" s="1"/>
      <c r="X809" s="1"/>
    </row>
    <row r="810" spans="1:24">
      <c r="A810" s="1"/>
      <c r="M810" s="26"/>
      <c r="N810" s="26"/>
      <c r="P810" s="1"/>
      <c r="Q810" s="1"/>
      <c r="R810" s="8"/>
      <c r="S810" s="1"/>
      <c r="T810" s="8"/>
      <c r="U810" s="1"/>
      <c r="V810" s="1"/>
      <c r="W810" s="1"/>
      <c r="X810" s="1"/>
    </row>
    <row r="811" spans="1:24">
      <c r="A811" s="1"/>
      <c r="M811" s="26"/>
      <c r="N811" s="26"/>
      <c r="P811" s="1"/>
      <c r="Q811" s="1"/>
      <c r="R811" s="8"/>
      <c r="S811" s="1"/>
      <c r="T811" s="8"/>
      <c r="U811" s="1"/>
      <c r="V811" s="1"/>
      <c r="W811" s="1"/>
      <c r="X811" s="1"/>
    </row>
    <row r="812" spans="1:24">
      <c r="A812" s="1"/>
      <c r="M812" s="26"/>
      <c r="N812" s="26"/>
      <c r="P812" s="1"/>
      <c r="Q812" s="1"/>
      <c r="R812" s="8"/>
      <c r="S812" s="1"/>
      <c r="T812" s="8"/>
      <c r="U812" s="1"/>
      <c r="V812" s="1"/>
      <c r="W812" s="1"/>
      <c r="X812" s="1"/>
    </row>
    <row r="813" spans="1:24">
      <c r="A813" s="1"/>
      <c r="M813" s="26"/>
      <c r="N813" s="26"/>
      <c r="P813" s="1"/>
      <c r="Q813" s="1"/>
      <c r="R813" s="8"/>
      <c r="S813" s="1"/>
      <c r="T813" s="8"/>
      <c r="U813" s="1"/>
      <c r="V813" s="1"/>
      <c r="W813" s="1"/>
      <c r="X813" s="1"/>
    </row>
    <row r="814" spans="1:24">
      <c r="A814" s="1"/>
      <c r="M814" s="26"/>
      <c r="N814" s="26"/>
      <c r="P814" s="1"/>
      <c r="Q814" s="1"/>
      <c r="R814" s="8"/>
      <c r="S814" s="1"/>
      <c r="T814" s="8"/>
      <c r="U814" s="1"/>
      <c r="V814" s="1"/>
      <c r="W814" s="1"/>
      <c r="X814" s="1"/>
    </row>
    <row r="815" spans="1:24">
      <c r="A815" s="1"/>
      <c r="M815" s="26"/>
      <c r="N815" s="26"/>
      <c r="P815" s="1"/>
      <c r="Q815" s="1"/>
      <c r="R815" s="8"/>
      <c r="S815" s="1"/>
      <c r="T815" s="8"/>
      <c r="U815" s="1"/>
      <c r="V815" s="1"/>
      <c r="W815" s="1"/>
      <c r="X815" s="1"/>
    </row>
    <row r="816" spans="1:24">
      <c r="A816" s="1"/>
      <c r="M816" s="26"/>
      <c r="N816" s="26"/>
      <c r="P816" s="1"/>
      <c r="Q816" s="1"/>
      <c r="R816" s="8"/>
      <c r="S816" s="1"/>
      <c r="T816" s="8"/>
      <c r="U816" s="1"/>
      <c r="V816" s="1"/>
      <c r="W816" s="1"/>
      <c r="X816" s="1"/>
    </row>
    <row r="817" spans="1:24">
      <c r="A817" s="1"/>
      <c r="M817" s="26"/>
      <c r="N817" s="26"/>
      <c r="P817" s="1"/>
      <c r="Q817" s="1"/>
      <c r="R817" s="8"/>
      <c r="S817" s="1"/>
      <c r="T817" s="8"/>
      <c r="U817" s="1"/>
      <c r="V817" s="1"/>
      <c r="W817" s="1"/>
      <c r="X817" s="1"/>
    </row>
    <row r="818" spans="1:24">
      <c r="A818" s="1"/>
      <c r="M818" s="26"/>
      <c r="N818" s="26"/>
      <c r="P818" s="1"/>
      <c r="Q818" s="1"/>
      <c r="R818" s="8"/>
      <c r="S818" s="1"/>
      <c r="T818" s="8"/>
      <c r="U818" s="1"/>
      <c r="V818" s="1"/>
      <c r="W818" s="1"/>
      <c r="X818" s="1"/>
    </row>
    <row r="819" spans="1:24">
      <c r="A819" s="1"/>
      <c r="M819" s="26"/>
      <c r="N819" s="26"/>
      <c r="P819" s="1"/>
      <c r="Q819" s="1"/>
      <c r="R819" s="8"/>
      <c r="S819" s="1"/>
      <c r="T819" s="8"/>
      <c r="U819" s="1"/>
      <c r="V819" s="1"/>
      <c r="W819" s="1"/>
      <c r="X819" s="1"/>
    </row>
    <row r="820" spans="1:24">
      <c r="A820" s="1"/>
      <c r="M820" s="26"/>
      <c r="N820" s="26"/>
      <c r="P820" s="1"/>
      <c r="Q820" s="1"/>
      <c r="R820" s="8"/>
      <c r="S820" s="1"/>
      <c r="T820" s="8"/>
      <c r="U820" s="1"/>
      <c r="V820" s="1"/>
      <c r="W820" s="1"/>
      <c r="X820" s="1"/>
    </row>
    <row r="821" spans="1:24">
      <c r="A821" s="1"/>
      <c r="M821" s="26"/>
      <c r="N821" s="26"/>
      <c r="P821" s="1"/>
      <c r="Q821" s="1"/>
      <c r="R821" s="8"/>
      <c r="S821" s="1"/>
      <c r="T821" s="8"/>
      <c r="U821" s="1"/>
      <c r="V821" s="1"/>
      <c r="W821" s="1"/>
      <c r="X821" s="1"/>
    </row>
    <row r="822" spans="1:24">
      <c r="A822" s="1"/>
      <c r="M822" s="26"/>
      <c r="N822" s="26"/>
      <c r="P822" s="1"/>
      <c r="Q822" s="1"/>
      <c r="R822" s="8"/>
      <c r="S822" s="1"/>
      <c r="T822" s="8"/>
      <c r="U822" s="1"/>
      <c r="V822" s="1"/>
      <c r="W822" s="1"/>
      <c r="X822" s="1"/>
    </row>
    <row r="823" spans="1:24">
      <c r="A823" s="1"/>
      <c r="M823" s="26"/>
      <c r="N823" s="26"/>
      <c r="P823" s="1"/>
      <c r="Q823" s="1"/>
      <c r="R823" s="8"/>
      <c r="S823" s="1"/>
      <c r="T823" s="8"/>
      <c r="U823" s="1"/>
      <c r="V823" s="1"/>
      <c r="W823" s="1"/>
      <c r="X823" s="1"/>
    </row>
    <row r="824" spans="1:24">
      <c r="A824" s="1"/>
      <c r="M824" s="26"/>
      <c r="N824" s="26"/>
      <c r="P824" s="1"/>
      <c r="Q824" s="1"/>
      <c r="R824" s="8"/>
      <c r="S824" s="1"/>
      <c r="T824" s="8"/>
      <c r="U824" s="1"/>
      <c r="V824" s="1"/>
      <c r="W824" s="1"/>
      <c r="X824" s="1"/>
    </row>
    <row r="825" spans="1:24">
      <c r="A825" s="1"/>
      <c r="M825" s="26"/>
      <c r="N825" s="26"/>
      <c r="P825" s="1"/>
      <c r="Q825" s="1"/>
      <c r="R825" s="8"/>
      <c r="S825" s="1"/>
      <c r="T825" s="8"/>
      <c r="U825" s="1"/>
      <c r="V825" s="1"/>
      <c r="W825" s="1"/>
      <c r="X825" s="1"/>
    </row>
    <row r="826" spans="1:24">
      <c r="A826" s="1"/>
      <c r="M826" s="26"/>
      <c r="N826" s="26"/>
      <c r="P826" s="1"/>
      <c r="Q826" s="1"/>
      <c r="R826" s="8"/>
      <c r="S826" s="1"/>
      <c r="T826" s="8"/>
      <c r="U826" s="1"/>
      <c r="V826" s="1"/>
      <c r="W826" s="1"/>
      <c r="X826" s="1"/>
    </row>
    <row r="827" spans="1:24">
      <c r="A827" s="1"/>
      <c r="M827" s="26"/>
      <c r="N827" s="26"/>
      <c r="P827" s="1"/>
      <c r="Q827" s="1"/>
      <c r="R827" s="8"/>
      <c r="S827" s="1"/>
      <c r="T827" s="8"/>
      <c r="U827" s="1"/>
      <c r="V827" s="1"/>
      <c r="W827" s="1"/>
      <c r="X827" s="1"/>
    </row>
    <row r="828" spans="1:24">
      <c r="A828" s="1"/>
      <c r="M828" s="26"/>
      <c r="N828" s="26"/>
      <c r="P828" s="1"/>
      <c r="Q828" s="1"/>
      <c r="R828" s="8"/>
      <c r="S828" s="1"/>
      <c r="T828" s="8"/>
      <c r="U828" s="1"/>
      <c r="V828" s="1"/>
      <c r="W828" s="1"/>
      <c r="X828" s="1"/>
    </row>
    <row r="829" spans="1:24">
      <c r="A829" s="1"/>
      <c r="M829" s="26"/>
      <c r="N829" s="26"/>
      <c r="P829" s="1"/>
      <c r="Q829" s="1"/>
      <c r="R829" s="8"/>
      <c r="S829" s="1"/>
      <c r="T829" s="8"/>
      <c r="U829" s="1"/>
      <c r="V829" s="1"/>
      <c r="W829" s="1"/>
      <c r="X829" s="1"/>
    </row>
    <row r="830" spans="1:24">
      <c r="A830" s="1"/>
      <c r="M830" s="26"/>
      <c r="N830" s="26"/>
      <c r="P830" s="1"/>
      <c r="Q830" s="1"/>
      <c r="R830" s="8"/>
      <c r="S830" s="1"/>
      <c r="T830" s="8"/>
      <c r="U830" s="1"/>
      <c r="V830" s="1"/>
      <c r="W830" s="1"/>
      <c r="X830" s="1"/>
    </row>
    <row r="831" spans="1:24">
      <c r="A831" s="1"/>
      <c r="M831" s="26"/>
      <c r="N831" s="26"/>
      <c r="P831" s="1"/>
      <c r="Q831" s="1"/>
      <c r="R831" s="8"/>
      <c r="S831" s="1"/>
      <c r="T831" s="8"/>
      <c r="U831" s="1"/>
      <c r="V831" s="1"/>
      <c r="W831" s="1"/>
      <c r="X831" s="1"/>
    </row>
    <row r="832" spans="1:24">
      <c r="A832" s="1"/>
      <c r="M832" s="26"/>
      <c r="N832" s="26"/>
      <c r="P832" s="1"/>
      <c r="Q832" s="1"/>
      <c r="R832" s="8"/>
      <c r="S832" s="1"/>
      <c r="T832" s="8"/>
      <c r="U832" s="1"/>
      <c r="V832" s="1"/>
      <c r="W832" s="1"/>
      <c r="X832" s="1"/>
    </row>
    <row r="833" spans="1:24">
      <c r="A833" s="1"/>
      <c r="M833" s="26"/>
      <c r="N833" s="26"/>
      <c r="P833" s="1"/>
      <c r="Q833" s="1"/>
      <c r="R833" s="8"/>
      <c r="S833" s="1"/>
      <c r="T833" s="8"/>
      <c r="U833" s="1"/>
      <c r="V833" s="1"/>
      <c r="W833" s="1"/>
      <c r="X833" s="1"/>
    </row>
    <row r="834" spans="1:24">
      <c r="A834" s="1"/>
      <c r="M834" s="26"/>
      <c r="N834" s="26"/>
      <c r="P834" s="1"/>
      <c r="Q834" s="1"/>
      <c r="R834" s="8"/>
      <c r="S834" s="1"/>
      <c r="T834" s="8"/>
      <c r="U834" s="1"/>
      <c r="V834" s="1"/>
      <c r="W834" s="1"/>
      <c r="X834" s="1"/>
    </row>
    <row r="835" spans="1:24">
      <c r="A835" s="1"/>
      <c r="M835" s="26"/>
      <c r="N835" s="26"/>
      <c r="P835" s="1"/>
      <c r="Q835" s="1"/>
      <c r="R835" s="8"/>
      <c r="S835" s="1"/>
      <c r="T835" s="8"/>
      <c r="U835" s="1"/>
      <c r="V835" s="1"/>
      <c r="W835" s="1"/>
      <c r="X835" s="1"/>
    </row>
    <row r="836" spans="1:24">
      <c r="A836" s="1"/>
      <c r="M836" s="26"/>
      <c r="N836" s="26"/>
      <c r="P836" s="1"/>
      <c r="Q836" s="1"/>
      <c r="R836" s="8"/>
      <c r="S836" s="1"/>
      <c r="T836" s="8"/>
      <c r="U836" s="1"/>
      <c r="V836" s="1"/>
      <c r="W836" s="1"/>
      <c r="X836" s="1"/>
    </row>
    <row r="837" spans="1:24">
      <c r="A837" s="1"/>
      <c r="M837" s="26"/>
      <c r="N837" s="26"/>
      <c r="P837" s="1"/>
      <c r="Q837" s="1"/>
      <c r="R837" s="8"/>
      <c r="S837" s="1"/>
      <c r="T837" s="8"/>
      <c r="U837" s="1"/>
      <c r="V837" s="1"/>
      <c r="W837" s="1"/>
      <c r="X837" s="1"/>
    </row>
    <row r="838" spans="1:24">
      <c r="A838" s="1"/>
      <c r="M838" s="26"/>
      <c r="N838" s="26"/>
      <c r="P838" s="1"/>
      <c r="Q838" s="1"/>
      <c r="R838" s="8"/>
      <c r="S838" s="1"/>
      <c r="T838" s="8"/>
      <c r="U838" s="1"/>
      <c r="V838" s="1"/>
      <c r="W838" s="1"/>
      <c r="X838" s="1"/>
    </row>
    <row r="839" spans="1:24">
      <c r="A839" s="1"/>
      <c r="M839" s="26"/>
      <c r="N839" s="26"/>
      <c r="P839" s="1"/>
      <c r="Q839" s="1"/>
      <c r="R839" s="8"/>
      <c r="S839" s="1"/>
      <c r="T839" s="8"/>
      <c r="U839" s="1"/>
      <c r="V839" s="1"/>
      <c r="W839" s="1"/>
      <c r="X839" s="1"/>
    </row>
    <row r="840" spans="1:24">
      <c r="A840" s="1"/>
      <c r="M840" s="26"/>
      <c r="N840" s="26"/>
      <c r="P840" s="1"/>
      <c r="Q840" s="1"/>
      <c r="R840" s="8"/>
      <c r="S840" s="1"/>
      <c r="T840" s="8"/>
      <c r="U840" s="1"/>
      <c r="V840" s="1"/>
      <c r="W840" s="1"/>
      <c r="X840" s="1"/>
    </row>
    <row r="841" spans="1:24">
      <c r="A841" s="1"/>
      <c r="M841" s="26"/>
      <c r="N841" s="26"/>
      <c r="P841" s="1"/>
      <c r="Q841" s="1"/>
      <c r="R841" s="8"/>
      <c r="S841" s="1"/>
      <c r="T841" s="8"/>
      <c r="U841" s="1"/>
      <c r="V841" s="1"/>
      <c r="W841" s="1"/>
      <c r="X841" s="1"/>
    </row>
    <row r="842" spans="1:24">
      <c r="A842" s="1"/>
      <c r="M842" s="26"/>
      <c r="N842" s="26"/>
      <c r="P842" s="1"/>
      <c r="Q842" s="1"/>
      <c r="R842" s="8"/>
      <c r="S842" s="1"/>
      <c r="T842" s="8"/>
      <c r="U842" s="1"/>
      <c r="V842" s="1"/>
      <c r="W842" s="1"/>
      <c r="X842" s="1"/>
    </row>
    <row r="843" spans="1:24">
      <c r="A843" s="1"/>
      <c r="M843" s="26"/>
      <c r="N843" s="26"/>
      <c r="P843" s="1"/>
      <c r="Q843" s="1"/>
      <c r="R843" s="8"/>
      <c r="S843" s="1"/>
      <c r="T843" s="8"/>
      <c r="U843" s="1"/>
      <c r="V843" s="1"/>
      <c r="W843" s="1"/>
      <c r="X843" s="1"/>
    </row>
    <row r="844" spans="1:24">
      <c r="A844" s="1"/>
      <c r="M844" s="26"/>
      <c r="N844" s="26"/>
      <c r="P844" s="1"/>
      <c r="Q844" s="1"/>
      <c r="R844" s="8"/>
      <c r="S844" s="1"/>
      <c r="T844" s="8"/>
      <c r="U844" s="1"/>
      <c r="V844" s="1"/>
      <c r="W844" s="1"/>
      <c r="X844" s="1"/>
    </row>
    <row r="845" spans="1:24">
      <c r="A845" s="1"/>
      <c r="M845" s="26"/>
      <c r="N845" s="26"/>
      <c r="P845" s="1"/>
      <c r="Q845" s="1"/>
      <c r="R845" s="8"/>
      <c r="S845" s="1"/>
      <c r="T845" s="8"/>
      <c r="U845" s="1"/>
      <c r="V845" s="1"/>
      <c r="W845" s="1"/>
      <c r="X845" s="1"/>
    </row>
    <row r="846" spans="1:24">
      <c r="A846" s="1"/>
      <c r="M846" s="26"/>
      <c r="N846" s="26"/>
      <c r="P846" s="1"/>
      <c r="Q846" s="1"/>
      <c r="R846" s="8"/>
      <c r="S846" s="1"/>
      <c r="T846" s="8"/>
      <c r="U846" s="1"/>
      <c r="V846" s="1"/>
      <c r="W846" s="1"/>
      <c r="X846" s="1"/>
    </row>
    <row r="847" spans="1:24">
      <c r="A847" s="1"/>
      <c r="M847" s="26"/>
      <c r="N847" s="26"/>
      <c r="P847" s="1"/>
      <c r="Q847" s="1"/>
      <c r="R847" s="8"/>
      <c r="S847" s="1"/>
      <c r="T847" s="8"/>
      <c r="U847" s="1"/>
      <c r="V847" s="1"/>
      <c r="W847" s="1"/>
      <c r="X847" s="1"/>
    </row>
    <row r="848" spans="1:24">
      <c r="A848" s="1"/>
      <c r="M848" s="26"/>
      <c r="N848" s="26"/>
      <c r="P848" s="1"/>
      <c r="Q848" s="1"/>
      <c r="R848" s="8"/>
      <c r="S848" s="1"/>
      <c r="T848" s="8"/>
      <c r="U848" s="1"/>
      <c r="V848" s="1"/>
      <c r="W848" s="1"/>
      <c r="X848" s="1"/>
    </row>
    <row r="849" spans="1:24">
      <c r="A849" s="1"/>
      <c r="M849" s="26"/>
      <c r="N849" s="26"/>
      <c r="P849" s="1"/>
      <c r="Q849" s="1"/>
      <c r="R849" s="8"/>
      <c r="S849" s="1"/>
      <c r="T849" s="8"/>
      <c r="U849" s="1"/>
      <c r="V849" s="1"/>
      <c r="W849" s="1"/>
      <c r="X849" s="1"/>
    </row>
    <row r="850" spans="1:24">
      <c r="A850" s="1"/>
      <c r="M850" s="26"/>
      <c r="N850" s="26"/>
      <c r="P850" s="1"/>
      <c r="Q850" s="1"/>
      <c r="R850" s="8"/>
      <c r="S850" s="1"/>
      <c r="T850" s="8"/>
      <c r="U850" s="1"/>
      <c r="V850" s="1"/>
      <c r="W850" s="1"/>
      <c r="X850" s="1"/>
    </row>
    <row r="851" spans="1:24">
      <c r="A851" s="1"/>
      <c r="M851" s="26"/>
      <c r="N851" s="26"/>
      <c r="P851" s="1"/>
      <c r="Q851" s="1"/>
      <c r="R851" s="8"/>
      <c r="S851" s="1"/>
      <c r="T851" s="8"/>
      <c r="U851" s="1"/>
      <c r="V851" s="1"/>
      <c r="W851" s="1"/>
      <c r="X851" s="1"/>
    </row>
    <row r="852" spans="1:24">
      <c r="A852" s="1"/>
      <c r="M852" s="26"/>
      <c r="N852" s="26"/>
      <c r="P852" s="1"/>
      <c r="Q852" s="1"/>
      <c r="R852" s="8"/>
      <c r="S852" s="1"/>
      <c r="T852" s="8"/>
      <c r="U852" s="1"/>
      <c r="V852" s="1"/>
      <c r="W852" s="1"/>
      <c r="X852" s="1"/>
    </row>
    <row r="853" spans="1:24">
      <c r="A853" s="1"/>
      <c r="M853" s="26"/>
      <c r="N853" s="26"/>
      <c r="P853" s="1"/>
      <c r="Q853" s="1"/>
      <c r="R853" s="8"/>
      <c r="S853" s="1"/>
      <c r="T853" s="8"/>
      <c r="U853" s="1"/>
      <c r="V853" s="1"/>
      <c r="W853" s="1"/>
      <c r="X853" s="1"/>
    </row>
    <row r="854" spans="1:24">
      <c r="A854" s="1"/>
      <c r="M854" s="26"/>
      <c r="N854" s="26"/>
      <c r="P854" s="1"/>
      <c r="Q854" s="1"/>
      <c r="R854" s="8"/>
      <c r="S854" s="1"/>
      <c r="T854" s="8"/>
      <c r="U854" s="1"/>
      <c r="V854" s="1"/>
      <c r="W854" s="1"/>
      <c r="X854" s="1"/>
    </row>
    <row r="855" spans="1:24">
      <c r="A855" s="1"/>
      <c r="M855" s="26"/>
      <c r="N855" s="26"/>
      <c r="P855" s="1"/>
      <c r="Q855" s="1"/>
      <c r="R855" s="8"/>
      <c r="S855" s="1"/>
      <c r="T855" s="8"/>
      <c r="U855" s="1"/>
      <c r="V855" s="1"/>
      <c r="W855" s="1"/>
      <c r="X855" s="1"/>
    </row>
    <row r="856" spans="1:24">
      <c r="A856" s="1"/>
      <c r="M856" s="26"/>
      <c r="N856" s="26"/>
      <c r="P856" s="1"/>
      <c r="Q856" s="1"/>
      <c r="R856" s="8"/>
      <c r="S856" s="1"/>
      <c r="T856" s="8"/>
      <c r="U856" s="1"/>
      <c r="V856" s="1"/>
      <c r="W856" s="1"/>
      <c r="X856" s="1"/>
    </row>
    <row r="857" spans="1:24">
      <c r="A857" s="1"/>
      <c r="M857" s="26"/>
      <c r="N857" s="26"/>
      <c r="P857" s="1"/>
      <c r="Q857" s="1"/>
      <c r="R857" s="8"/>
      <c r="S857" s="1"/>
      <c r="T857" s="8"/>
      <c r="U857" s="1"/>
      <c r="V857" s="1"/>
      <c r="W857" s="1"/>
      <c r="X857" s="1"/>
    </row>
    <row r="858" spans="1:24">
      <c r="A858" s="1"/>
      <c r="M858" s="26"/>
      <c r="N858" s="26"/>
      <c r="P858" s="1"/>
      <c r="Q858" s="1"/>
      <c r="R858" s="8"/>
      <c r="S858" s="1"/>
      <c r="T858" s="8"/>
      <c r="U858" s="1"/>
      <c r="V858" s="1"/>
      <c r="W858" s="1"/>
      <c r="X858" s="1"/>
    </row>
    <row r="859" spans="1:24">
      <c r="A859" s="1"/>
      <c r="M859" s="26"/>
      <c r="N859" s="26"/>
      <c r="P859" s="1"/>
      <c r="Q859" s="1"/>
      <c r="R859" s="8"/>
      <c r="S859" s="1"/>
      <c r="T859" s="8"/>
      <c r="U859" s="1"/>
      <c r="V859" s="1"/>
      <c r="W859" s="1"/>
      <c r="X859" s="1"/>
    </row>
    <row r="860" spans="1:24">
      <c r="A860" s="1"/>
      <c r="M860" s="26"/>
      <c r="N860" s="26"/>
      <c r="P860" s="1"/>
      <c r="Q860" s="1"/>
      <c r="R860" s="8"/>
      <c r="S860" s="1"/>
      <c r="T860" s="8"/>
      <c r="U860" s="1"/>
      <c r="V860" s="1"/>
      <c r="W860" s="1"/>
      <c r="X860" s="1"/>
    </row>
    <row r="861" spans="1:24">
      <c r="A861" s="1"/>
      <c r="M861" s="26"/>
      <c r="N861" s="26"/>
      <c r="P861" s="1"/>
      <c r="Q861" s="1"/>
      <c r="R861" s="8"/>
      <c r="S861" s="1"/>
      <c r="T861" s="8"/>
      <c r="U861" s="1"/>
      <c r="V861" s="1"/>
      <c r="W861" s="1"/>
      <c r="X861" s="1"/>
    </row>
    <row r="862" spans="1:24">
      <c r="A862" s="1"/>
      <c r="M862" s="26"/>
      <c r="N862" s="26"/>
      <c r="P862" s="1"/>
      <c r="Q862" s="1"/>
      <c r="R862" s="8"/>
      <c r="S862" s="1"/>
      <c r="T862" s="8"/>
      <c r="U862" s="1"/>
      <c r="V862" s="1"/>
      <c r="W862" s="1"/>
      <c r="X862" s="1"/>
    </row>
    <row r="863" spans="1:24">
      <c r="A863" s="1"/>
      <c r="M863" s="26"/>
      <c r="N863" s="26"/>
      <c r="P863" s="1"/>
      <c r="Q863" s="1"/>
      <c r="R863" s="8"/>
      <c r="S863" s="1"/>
      <c r="T863" s="8"/>
      <c r="U863" s="1"/>
      <c r="V863" s="1"/>
      <c r="W863" s="1"/>
      <c r="X863" s="1"/>
    </row>
    <row r="864" spans="1:24">
      <c r="A864" s="1"/>
      <c r="M864" s="26"/>
      <c r="N864" s="26"/>
      <c r="P864" s="1"/>
      <c r="Q864" s="1"/>
      <c r="R864" s="8"/>
      <c r="S864" s="1"/>
      <c r="T864" s="8"/>
      <c r="U864" s="1"/>
      <c r="V864" s="1"/>
      <c r="W864" s="1"/>
      <c r="X864" s="1"/>
    </row>
    <row r="865" spans="1:24">
      <c r="A865" s="1"/>
      <c r="M865" s="26"/>
      <c r="N865" s="26"/>
      <c r="P865" s="1"/>
      <c r="Q865" s="1"/>
      <c r="R865" s="8"/>
      <c r="S865" s="1"/>
      <c r="T865" s="8"/>
      <c r="U865" s="1"/>
      <c r="V865" s="1"/>
      <c r="W865" s="1"/>
      <c r="X865" s="1"/>
    </row>
    <row r="866" spans="1:24">
      <c r="A866" s="1"/>
      <c r="M866" s="26"/>
      <c r="N866" s="26"/>
      <c r="P866" s="1"/>
      <c r="Q866" s="1"/>
      <c r="R866" s="8"/>
      <c r="S866" s="1"/>
      <c r="T866" s="8"/>
      <c r="U866" s="1"/>
      <c r="V866" s="1"/>
      <c r="W866" s="1"/>
      <c r="X866" s="1"/>
    </row>
    <row r="867" spans="1:24">
      <c r="A867" s="1"/>
      <c r="M867" s="26"/>
      <c r="N867" s="26"/>
      <c r="P867" s="1"/>
      <c r="Q867" s="1"/>
      <c r="R867" s="8"/>
      <c r="S867" s="1"/>
      <c r="T867" s="8"/>
      <c r="U867" s="1"/>
      <c r="V867" s="1"/>
      <c r="W867" s="1"/>
      <c r="X867" s="1"/>
    </row>
    <row r="868" spans="1:24">
      <c r="A868" s="1"/>
      <c r="M868" s="26"/>
      <c r="N868" s="26"/>
      <c r="P868" s="1"/>
      <c r="Q868" s="1"/>
      <c r="R868" s="8"/>
      <c r="S868" s="1"/>
      <c r="T868" s="8"/>
      <c r="U868" s="1"/>
      <c r="V868" s="1"/>
      <c r="W868" s="1"/>
      <c r="X868" s="1"/>
    </row>
    <row r="869" spans="1:24">
      <c r="A869" s="1"/>
      <c r="M869" s="26"/>
      <c r="N869" s="26"/>
      <c r="P869" s="1"/>
      <c r="Q869" s="1"/>
      <c r="R869" s="8"/>
      <c r="S869" s="1"/>
      <c r="T869" s="8"/>
      <c r="U869" s="1"/>
      <c r="V869" s="1"/>
      <c r="W869" s="1"/>
      <c r="X869" s="1"/>
    </row>
    <row r="870" spans="1:24">
      <c r="A870" s="1"/>
      <c r="M870" s="26"/>
      <c r="N870" s="26"/>
      <c r="P870" s="1"/>
      <c r="Q870" s="1"/>
      <c r="R870" s="8"/>
      <c r="S870" s="1"/>
      <c r="T870" s="8"/>
      <c r="U870" s="1"/>
      <c r="V870" s="1"/>
      <c r="W870" s="1"/>
      <c r="X870" s="1"/>
    </row>
    <row r="871" spans="1:24">
      <c r="A871" s="1"/>
      <c r="M871" s="26"/>
      <c r="N871" s="26"/>
      <c r="P871" s="1"/>
      <c r="Q871" s="1"/>
      <c r="R871" s="8"/>
      <c r="S871" s="1"/>
      <c r="T871" s="8"/>
      <c r="U871" s="1"/>
      <c r="V871" s="1"/>
      <c r="W871" s="1"/>
      <c r="X871" s="1"/>
    </row>
    <row r="872" spans="1:24">
      <c r="A872" s="1"/>
      <c r="M872" s="26"/>
      <c r="N872" s="26"/>
      <c r="P872" s="1"/>
      <c r="Q872" s="1"/>
      <c r="R872" s="8"/>
      <c r="S872" s="1"/>
      <c r="T872" s="8"/>
      <c r="U872" s="1"/>
      <c r="V872" s="1"/>
      <c r="W872" s="1"/>
      <c r="X872" s="1"/>
    </row>
    <row r="873" spans="1:24">
      <c r="A873" s="1"/>
      <c r="M873" s="26"/>
      <c r="N873" s="26"/>
      <c r="P873" s="1"/>
      <c r="Q873" s="1"/>
      <c r="R873" s="8"/>
      <c r="S873" s="1"/>
      <c r="T873" s="8"/>
      <c r="U873" s="1"/>
      <c r="V873" s="1"/>
      <c r="W873" s="1"/>
      <c r="X873" s="1"/>
    </row>
    <row r="874" spans="1:24">
      <c r="A874" s="1"/>
      <c r="M874" s="26"/>
      <c r="N874" s="26"/>
      <c r="P874" s="1"/>
      <c r="Q874" s="1"/>
      <c r="R874" s="8"/>
      <c r="S874" s="1"/>
      <c r="T874" s="8"/>
      <c r="U874" s="1"/>
      <c r="V874" s="1"/>
      <c r="W874" s="1"/>
      <c r="X874" s="1"/>
    </row>
    <row r="875" spans="1:24">
      <c r="A875" s="1"/>
      <c r="M875" s="26"/>
      <c r="N875" s="26"/>
      <c r="P875" s="1"/>
      <c r="Q875" s="1"/>
      <c r="R875" s="8"/>
      <c r="S875" s="1"/>
      <c r="T875" s="8"/>
      <c r="U875" s="1"/>
      <c r="V875" s="1"/>
      <c r="W875" s="1"/>
      <c r="X875" s="1"/>
    </row>
    <row r="876" spans="1:24">
      <c r="A876" s="1"/>
      <c r="M876" s="26"/>
      <c r="N876" s="26"/>
      <c r="P876" s="1"/>
      <c r="Q876" s="1"/>
      <c r="R876" s="8"/>
      <c r="S876" s="1"/>
      <c r="T876" s="8"/>
      <c r="U876" s="1"/>
      <c r="V876" s="1"/>
      <c r="W876" s="1"/>
      <c r="X876" s="1"/>
    </row>
    <row r="877" spans="1:24">
      <c r="A877" s="1"/>
      <c r="M877" s="26"/>
      <c r="N877" s="26"/>
      <c r="P877" s="1"/>
      <c r="Q877" s="1"/>
      <c r="R877" s="8"/>
      <c r="S877" s="1"/>
      <c r="T877" s="8"/>
      <c r="U877" s="1"/>
      <c r="V877" s="1"/>
      <c r="W877" s="1"/>
      <c r="X877" s="1"/>
    </row>
    <row r="878" spans="1:24">
      <c r="A878" s="1"/>
      <c r="M878" s="26"/>
      <c r="N878" s="26"/>
      <c r="P878" s="1"/>
      <c r="Q878" s="1"/>
      <c r="R878" s="8"/>
      <c r="S878" s="1"/>
      <c r="T878" s="8"/>
      <c r="U878" s="1"/>
      <c r="V878" s="1"/>
      <c r="W878" s="1"/>
      <c r="X878" s="1"/>
    </row>
    <row r="879" spans="1:24">
      <c r="A879" s="1"/>
      <c r="M879" s="26"/>
      <c r="N879" s="26"/>
      <c r="P879" s="1"/>
      <c r="Q879" s="1"/>
      <c r="R879" s="8"/>
      <c r="S879" s="1"/>
      <c r="T879" s="8"/>
      <c r="U879" s="1"/>
      <c r="V879" s="1"/>
      <c r="W879" s="1"/>
      <c r="X879" s="1"/>
    </row>
    <row r="880" spans="1:24">
      <c r="A880" s="1"/>
      <c r="M880" s="26"/>
      <c r="N880" s="26"/>
      <c r="P880" s="1"/>
      <c r="Q880" s="1"/>
      <c r="R880" s="8"/>
      <c r="S880" s="1"/>
      <c r="T880" s="8"/>
      <c r="U880" s="1"/>
      <c r="V880" s="1"/>
      <c r="W880" s="1"/>
      <c r="X880" s="1"/>
    </row>
    <row r="881" spans="1:24">
      <c r="A881" s="1"/>
      <c r="M881" s="26"/>
      <c r="N881" s="26"/>
      <c r="P881" s="1"/>
      <c r="Q881" s="1"/>
      <c r="R881" s="8"/>
      <c r="S881" s="1"/>
      <c r="T881" s="8"/>
      <c r="U881" s="1"/>
      <c r="V881" s="1"/>
      <c r="W881" s="1"/>
      <c r="X881" s="1"/>
    </row>
    <row r="882" spans="1:24">
      <c r="A882" s="1"/>
      <c r="M882" s="26"/>
      <c r="N882" s="26"/>
      <c r="P882" s="1"/>
      <c r="Q882" s="1"/>
      <c r="R882" s="8"/>
      <c r="S882" s="1"/>
      <c r="T882" s="8"/>
      <c r="U882" s="1"/>
      <c r="V882" s="1"/>
      <c r="W882" s="1"/>
      <c r="X882" s="1"/>
    </row>
    <row r="883" spans="1:24">
      <c r="A883" s="1"/>
      <c r="M883" s="26"/>
      <c r="N883" s="26"/>
      <c r="P883" s="1"/>
      <c r="Q883" s="1"/>
      <c r="R883" s="8"/>
      <c r="S883" s="1"/>
      <c r="T883" s="8"/>
      <c r="U883" s="1"/>
      <c r="V883" s="1"/>
      <c r="W883" s="1"/>
      <c r="X883" s="1"/>
    </row>
    <row r="884" spans="1:24">
      <c r="A884" s="1"/>
      <c r="M884" s="26"/>
      <c r="N884" s="26"/>
      <c r="P884" s="1"/>
      <c r="Q884" s="1"/>
      <c r="R884" s="8"/>
      <c r="S884" s="1"/>
      <c r="T884" s="8"/>
      <c r="U884" s="1"/>
      <c r="V884" s="1"/>
      <c r="W884" s="1"/>
      <c r="X884" s="1"/>
    </row>
    <row r="885" spans="1:24">
      <c r="A885" s="1"/>
      <c r="M885" s="26"/>
      <c r="N885" s="26"/>
      <c r="P885" s="1"/>
      <c r="Q885" s="1"/>
      <c r="R885" s="8"/>
      <c r="S885" s="1"/>
      <c r="T885" s="8"/>
      <c r="U885" s="1"/>
      <c r="V885" s="1"/>
      <c r="W885" s="1"/>
      <c r="X885" s="1"/>
    </row>
    <row r="886" spans="1:24">
      <c r="A886" s="1"/>
      <c r="M886" s="26"/>
      <c r="N886" s="26"/>
      <c r="P886" s="1"/>
      <c r="Q886" s="1"/>
      <c r="R886" s="8"/>
      <c r="S886" s="1"/>
      <c r="T886" s="8"/>
      <c r="U886" s="1"/>
      <c r="V886" s="1"/>
      <c r="W886" s="1"/>
      <c r="X886" s="1"/>
    </row>
    <row r="887" spans="1:24">
      <c r="A887" s="1"/>
      <c r="M887" s="26"/>
      <c r="N887" s="26"/>
      <c r="P887" s="1"/>
      <c r="Q887" s="1"/>
      <c r="R887" s="8"/>
      <c r="S887" s="1"/>
      <c r="T887" s="8"/>
      <c r="U887" s="1"/>
      <c r="V887" s="1"/>
      <c r="W887" s="1"/>
      <c r="X887" s="1"/>
    </row>
    <row r="888" spans="1:24">
      <c r="A888" s="1"/>
      <c r="M888" s="26"/>
      <c r="N888" s="26"/>
      <c r="P888" s="1"/>
      <c r="Q888" s="1"/>
      <c r="R888" s="8"/>
      <c r="S888" s="1"/>
      <c r="T888" s="8"/>
      <c r="U888" s="1"/>
      <c r="V888" s="1"/>
      <c r="W888" s="1"/>
      <c r="X888" s="1"/>
    </row>
    <row r="889" spans="1:24">
      <c r="A889" s="1"/>
      <c r="M889" s="26"/>
      <c r="N889" s="26"/>
      <c r="P889" s="1"/>
      <c r="Q889" s="1"/>
      <c r="R889" s="8"/>
      <c r="S889" s="1"/>
      <c r="T889" s="8"/>
      <c r="U889" s="1"/>
      <c r="V889" s="1"/>
      <c r="W889" s="1"/>
      <c r="X889" s="1"/>
    </row>
    <row r="890" spans="1:24">
      <c r="A890" s="1"/>
      <c r="M890" s="26"/>
      <c r="N890" s="26"/>
      <c r="P890" s="1"/>
      <c r="Q890" s="1"/>
      <c r="R890" s="8"/>
      <c r="S890" s="1"/>
      <c r="T890" s="8"/>
      <c r="U890" s="1"/>
      <c r="V890" s="1"/>
      <c r="W890" s="1"/>
      <c r="X890" s="1"/>
    </row>
    <row r="891" spans="1:24">
      <c r="A891" s="1"/>
      <c r="M891" s="26"/>
      <c r="N891" s="26"/>
      <c r="P891" s="1"/>
      <c r="Q891" s="1"/>
      <c r="R891" s="8"/>
      <c r="S891" s="1"/>
      <c r="T891" s="8"/>
      <c r="U891" s="1"/>
      <c r="V891" s="1"/>
      <c r="W891" s="1"/>
      <c r="X891" s="1"/>
    </row>
    <row r="892" spans="1:24">
      <c r="A892" s="1"/>
      <c r="M892" s="26"/>
      <c r="N892" s="26"/>
      <c r="P892" s="1"/>
      <c r="Q892" s="1"/>
      <c r="R892" s="8"/>
      <c r="S892" s="1"/>
      <c r="T892" s="8"/>
      <c r="U892" s="1"/>
      <c r="V892" s="1"/>
      <c r="W892" s="1"/>
      <c r="X892" s="1"/>
    </row>
    <row r="893" spans="1:24">
      <c r="A893" s="1"/>
      <c r="M893" s="26"/>
      <c r="N893" s="26"/>
      <c r="P893" s="1"/>
      <c r="Q893" s="1"/>
      <c r="R893" s="8"/>
      <c r="S893" s="1"/>
      <c r="T893" s="8"/>
      <c r="U893" s="1"/>
      <c r="V893" s="1"/>
      <c r="W893" s="1"/>
      <c r="X893" s="1"/>
    </row>
    <row r="894" spans="1:24">
      <c r="A894" s="1"/>
      <c r="M894" s="26"/>
      <c r="N894" s="26"/>
      <c r="P894" s="1"/>
      <c r="Q894" s="1"/>
      <c r="R894" s="8"/>
      <c r="S894" s="1"/>
      <c r="T894" s="8"/>
      <c r="U894" s="1"/>
      <c r="V894" s="1"/>
      <c r="W894" s="1"/>
      <c r="X894" s="1"/>
    </row>
    <row r="895" spans="1:24">
      <c r="A895" s="1"/>
      <c r="M895" s="26"/>
      <c r="N895" s="26"/>
      <c r="P895" s="1"/>
      <c r="Q895" s="1"/>
      <c r="R895" s="8"/>
      <c r="S895" s="1"/>
      <c r="T895" s="8"/>
      <c r="U895" s="1"/>
      <c r="V895" s="1"/>
      <c r="W895" s="1"/>
      <c r="X895" s="1"/>
    </row>
    <row r="896" spans="1:24">
      <c r="A896" s="1"/>
      <c r="M896" s="26"/>
      <c r="N896" s="26"/>
      <c r="P896" s="1"/>
      <c r="Q896" s="1"/>
      <c r="R896" s="8"/>
      <c r="S896" s="1"/>
      <c r="T896" s="8"/>
      <c r="U896" s="1"/>
      <c r="V896" s="1"/>
      <c r="W896" s="1"/>
      <c r="X896" s="1"/>
    </row>
    <row r="897" spans="1:24">
      <c r="A897" s="1"/>
      <c r="M897" s="26"/>
      <c r="N897" s="26"/>
      <c r="P897" s="1"/>
      <c r="Q897" s="1"/>
      <c r="R897" s="8"/>
      <c r="S897" s="1"/>
      <c r="T897" s="8"/>
      <c r="U897" s="1"/>
      <c r="V897" s="1"/>
      <c r="W897" s="1"/>
      <c r="X897" s="1"/>
    </row>
    <row r="898" spans="1:24">
      <c r="A898" s="1"/>
      <c r="M898" s="26"/>
      <c r="N898" s="26"/>
      <c r="P898" s="1"/>
      <c r="Q898" s="1"/>
      <c r="R898" s="8"/>
      <c r="S898" s="1"/>
      <c r="T898" s="8"/>
      <c r="U898" s="1"/>
      <c r="V898" s="1"/>
      <c r="W898" s="1"/>
      <c r="X898" s="1"/>
    </row>
    <row r="899" spans="1:24">
      <c r="A899" s="1"/>
      <c r="M899" s="26"/>
      <c r="N899" s="26"/>
      <c r="P899" s="1"/>
      <c r="Q899" s="1"/>
      <c r="R899" s="8"/>
      <c r="S899" s="1"/>
      <c r="T899" s="8"/>
      <c r="U899" s="1"/>
      <c r="V899" s="1"/>
      <c r="W899" s="1"/>
      <c r="X899" s="1"/>
    </row>
    <row r="900" spans="1:24">
      <c r="A900" s="1"/>
      <c r="M900" s="26"/>
      <c r="N900" s="26"/>
      <c r="P900" s="1"/>
      <c r="Q900" s="1"/>
      <c r="R900" s="8"/>
      <c r="S900" s="1"/>
      <c r="T900" s="8"/>
      <c r="U900" s="1"/>
      <c r="V900" s="1"/>
      <c r="W900" s="1"/>
      <c r="X900" s="1"/>
    </row>
    <row r="901" spans="1:24">
      <c r="A901" s="1"/>
      <c r="M901" s="26"/>
      <c r="N901" s="26"/>
      <c r="P901" s="1"/>
      <c r="Q901" s="1"/>
      <c r="R901" s="8"/>
      <c r="S901" s="1"/>
      <c r="T901" s="8"/>
      <c r="U901" s="1"/>
      <c r="V901" s="1"/>
      <c r="W901" s="1"/>
      <c r="X901" s="1"/>
    </row>
    <row r="902" spans="1:24">
      <c r="A902" s="1"/>
      <c r="M902" s="26"/>
      <c r="N902" s="26"/>
      <c r="P902" s="1"/>
      <c r="Q902" s="1"/>
      <c r="R902" s="8"/>
      <c r="S902" s="1"/>
      <c r="T902" s="8"/>
      <c r="U902" s="1"/>
      <c r="V902" s="1"/>
      <c r="W902" s="1"/>
      <c r="X902" s="1"/>
    </row>
    <row r="903" spans="1:24">
      <c r="A903" s="1"/>
      <c r="M903" s="26"/>
      <c r="N903" s="26"/>
      <c r="P903" s="1"/>
      <c r="Q903" s="1"/>
      <c r="R903" s="8"/>
      <c r="S903" s="1"/>
      <c r="T903" s="8"/>
      <c r="U903" s="1"/>
      <c r="V903" s="1"/>
      <c r="W903" s="1"/>
      <c r="X903" s="1"/>
    </row>
    <row r="904" spans="1:24">
      <c r="A904" s="1"/>
      <c r="M904" s="26"/>
      <c r="N904" s="26"/>
      <c r="P904" s="1"/>
      <c r="Q904" s="1"/>
      <c r="R904" s="8"/>
      <c r="S904" s="1"/>
      <c r="T904" s="8"/>
      <c r="U904" s="1"/>
      <c r="V904" s="1"/>
      <c r="W904" s="1"/>
      <c r="X904" s="1"/>
    </row>
    <row r="905" spans="1:24">
      <c r="A905" s="1"/>
      <c r="M905" s="26"/>
      <c r="N905" s="26"/>
      <c r="P905" s="1"/>
      <c r="Q905" s="1"/>
      <c r="R905" s="8"/>
      <c r="S905" s="1"/>
      <c r="T905" s="8"/>
      <c r="U905" s="1"/>
      <c r="V905" s="1"/>
      <c r="W905" s="1"/>
      <c r="X905" s="1"/>
    </row>
    <row r="906" spans="1:24">
      <c r="A906" s="1"/>
      <c r="M906" s="26"/>
      <c r="N906" s="26"/>
      <c r="P906" s="1"/>
      <c r="Q906" s="1"/>
      <c r="R906" s="8"/>
      <c r="S906" s="1"/>
      <c r="T906" s="8"/>
      <c r="U906" s="1"/>
      <c r="V906" s="1"/>
      <c r="W906" s="1"/>
      <c r="X906" s="1"/>
    </row>
    <row r="907" spans="1:24">
      <c r="A907" s="1"/>
      <c r="M907" s="26"/>
      <c r="N907" s="26"/>
      <c r="P907" s="1"/>
      <c r="Q907" s="1"/>
      <c r="R907" s="8"/>
      <c r="S907" s="1"/>
      <c r="T907" s="8"/>
      <c r="U907" s="1"/>
      <c r="V907" s="1"/>
      <c r="W907" s="1"/>
      <c r="X907" s="1"/>
    </row>
    <row r="908" spans="1:24">
      <c r="A908" s="1"/>
      <c r="M908" s="26"/>
      <c r="N908" s="26"/>
      <c r="P908" s="1"/>
      <c r="Q908" s="1"/>
      <c r="R908" s="8"/>
      <c r="S908" s="1"/>
      <c r="T908" s="8"/>
      <c r="U908" s="1"/>
      <c r="V908" s="1"/>
      <c r="W908" s="1"/>
      <c r="X908" s="1"/>
    </row>
    <row r="909" spans="1:24">
      <c r="A909" s="1"/>
      <c r="M909" s="26"/>
      <c r="N909" s="26"/>
      <c r="P909" s="1"/>
      <c r="Q909" s="1"/>
      <c r="R909" s="8"/>
      <c r="S909" s="1"/>
      <c r="T909" s="8"/>
      <c r="U909" s="1"/>
      <c r="V909" s="1"/>
      <c r="W909" s="1"/>
      <c r="X909" s="1"/>
    </row>
    <row r="910" spans="1:24">
      <c r="A910" s="1"/>
      <c r="M910" s="26"/>
      <c r="N910" s="26"/>
      <c r="P910" s="1"/>
      <c r="Q910" s="1"/>
      <c r="R910" s="8"/>
      <c r="S910" s="1"/>
      <c r="T910" s="8"/>
      <c r="U910" s="1"/>
      <c r="V910" s="1"/>
      <c r="W910" s="1"/>
      <c r="X910" s="1"/>
    </row>
    <row r="911" spans="1:24">
      <c r="A911" s="1"/>
      <c r="M911" s="26"/>
      <c r="N911" s="26"/>
      <c r="P911" s="1"/>
      <c r="Q911" s="1"/>
      <c r="R911" s="8"/>
      <c r="S911" s="1"/>
      <c r="T911" s="8"/>
      <c r="U911" s="1"/>
      <c r="V911" s="1"/>
      <c r="W911" s="1"/>
      <c r="X911" s="1"/>
    </row>
    <row r="912" spans="1:24">
      <c r="A912" s="1"/>
      <c r="M912" s="26"/>
      <c r="N912" s="26"/>
      <c r="P912" s="1"/>
      <c r="Q912" s="1"/>
      <c r="R912" s="8"/>
      <c r="S912" s="1"/>
      <c r="T912" s="8"/>
      <c r="U912" s="1"/>
      <c r="V912" s="1"/>
      <c r="W912" s="1"/>
      <c r="X912" s="1"/>
    </row>
    <row r="913" spans="1:24">
      <c r="A913" s="1"/>
      <c r="M913" s="26"/>
      <c r="N913" s="26"/>
      <c r="P913" s="1"/>
      <c r="Q913" s="1"/>
      <c r="R913" s="8"/>
      <c r="S913" s="1"/>
      <c r="T913" s="8"/>
      <c r="U913" s="1"/>
      <c r="V913" s="1"/>
      <c r="W913" s="1"/>
      <c r="X913" s="1"/>
    </row>
    <row r="914" spans="1:24">
      <c r="A914" s="1"/>
      <c r="M914" s="26"/>
      <c r="N914" s="26"/>
      <c r="P914" s="1"/>
      <c r="Q914" s="1"/>
      <c r="R914" s="8"/>
      <c r="S914" s="1"/>
      <c r="T914" s="8"/>
      <c r="U914" s="1"/>
      <c r="V914" s="1"/>
      <c r="W914" s="1"/>
      <c r="X914" s="1"/>
    </row>
    <row r="915" spans="1:24">
      <c r="A915" s="1"/>
      <c r="M915" s="26"/>
      <c r="N915" s="26"/>
      <c r="P915" s="1"/>
      <c r="Q915" s="1"/>
      <c r="R915" s="8"/>
      <c r="S915" s="1"/>
      <c r="T915" s="8"/>
      <c r="U915" s="1"/>
      <c r="V915" s="1"/>
      <c r="W915" s="1"/>
      <c r="X915" s="1"/>
    </row>
    <row r="916" spans="1:24">
      <c r="A916" s="1"/>
      <c r="M916" s="26"/>
      <c r="N916" s="26"/>
      <c r="P916" s="1"/>
      <c r="Q916" s="1"/>
      <c r="R916" s="8"/>
      <c r="S916" s="1"/>
      <c r="T916" s="8"/>
      <c r="U916" s="1"/>
      <c r="V916" s="1"/>
      <c r="W916" s="1"/>
      <c r="X916" s="1"/>
    </row>
    <row r="917" spans="1:24">
      <c r="A917" s="1"/>
      <c r="M917" s="26"/>
      <c r="N917" s="26"/>
      <c r="P917" s="1"/>
      <c r="Q917" s="1"/>
      <c r="R917" s="8"/>
      <c r="S917" s="1"/>
      <c r="T917" s="8"/>
      <c r="U917" s="1"/>
      <c r="V917" s="1"/>
      <c r="W917" s="1"/>
      <c r="X917" s="1"/>
    </row>
    <row r="918" spans="1:24">
      <c r="A918" s="1"/>
      <c r="M918" s="26"/>
      <c r="N918" s="26"/>
      <c r="P918" s="1"/>
      <c r="Q918" s="1"/>
      <c r="R918" s="8"/>
      <c r="S918" s="1"/>
      <c r="T918" s="8"/>
      <c r="U918" s="1"/>
      <c r="V918" s="1"/>
      <c r="W918" s="1"/>
      <c r="X918" s="1"/>
    </row>
    <row r="919" spans="1:24">
      <c r="A919" s="1"/>
      <c r="M919" s="26"/>
      <c r="N919" s="26"/>
      <c r="P919" s="1"/>
      <c r="Q919" s="1"/>
      <c r="R919" s="8"/>
      <c r="S919" s="1"/>
      <c r="T919" s="8"/>
      <c r="U919" s="1"/>
      <c r="V919" s="1"/>
      <c r="W919" s="1"/>
      <c r="X919" s="1"/>
    </row>
    <row r="920" spans="1:24">
      <c r="A920" s="1"/>
      <c r="M920" s="26"/>
      <c r="N920" s="26"/>
      <c r="P920" s="1"/>
      <c r="Q920" s="1"/>
      <c r="R920" s="8"/>
      <c r="S920" s="1"/>
      <c r="T920" s="8"/>
      <c r="U920" s="1"/>
      <c r="V920" s="1"/>
      <c r="W920" s="1"/>
      <c r="X920" s="1"/>
    </row>
    <row r="921" spans="1:24">
      <c r="A921" s="1"/>
      <c r="M921" s="26"/>
      <c r="N921" s="26"/>
      <c r="P921" s="1"/>
      <c r="Q921" s="1"/>
      <c r="R921" s="8"/>
      <c r="S921" s="1"/>
      <c r="T921" s="8"/>
      <c r="U921" s="1"/>
      <c r="V921" s="1"/>
      <c r="W921" s="1"/>
      <c r="X921" s="1"/>
    </row>
    <row r="922" spans="1:24">
      <c r="A922" s="1"/>
      <c r="M922" s="26"/>
      <c r="N922" s="26"/>
      <c r="P922" s="1"/>
      <c r="Q922" s="1"/>
      <c r="R922" s="8"/>
      <c r="S922" s="1"/>
      <c r="T922" s="8"/>
      <c r="U922" s="1"/>
      <c r="V922" s="1"/>
      <c r="W922" s="1"/>
      <c r="X922" s="1"/>
    </row>
    <row r="923" spans="1:24">
      <c r="A923" s="1"/>
      <c r="M923" s="26"/>
      <c r="N923" s="26"/>
      <c r="P923" s="1"/>
      <c r="Q923" s="1"/>
      <c r="R923" s="8"/>
      <c r="S923" s="1"/>
      <c r="T923" s="8"/>
      <c r="U923" s="1"/>
      <c r="V923" s="1"/>
      <c r="W923" s="1"/>
      <c r="X923" s="1"/>
    </row>
    <row r="924" spans="1:24">
      <c r="A924" s="1"/>
      <c r="M924" s="26"/>
      <c r="N924" s="26"/>
      <c r="P924" s="1"/>
      <c r="Q924" s="1"/>
      <c r="R924" s="8"/>
      <c r="S924" s="1"/>
      <c r="T924" s="8"/>
      <c r="U924" s="1"/>
      <c r="V924" s="1"/>
      <c r="W924" s="1"/>
      <c r="X924" s="1"/>
    </row>
    <row r="925" spans="1:24">
      <c r="A925" s="1"/>
      <c r="M925" s="26"/>
      <c r="N925" s="26"/>
      <c r="P925" s="1"/>
      <c r="Q925" s="1"/>
      <c r="R925" s="8"/>
      <c r="S925" s="1"/>
      <c r="T925" s="8"/>
      <c r="U925" s="1"/>
      <c r="V925" s="1"/>
      <c r="W925" s="1"/>
      <c r="X925" s="1"/>
    </row>
    <row r="926" spans="1:24">
      <c r="A926" s="1"/>
      <c r="M926" s="26"/>
      <c r="N926" s="26"/>
      <c r="P926" s="1"/>
      <c r="Q926" s="1"/>
      <c r="R926" s="8"/>
      <c r="S926" s="1"/>
      <c r="T926" s="8"/>
      <c r="U926" s="1"/>
      <c r="V926" s="1"/>
      <c r="W926" s="1"/>
      <c r="X926" s="1"/>
    </row>
    <row r="927" spans="1:24">
      <c r="A927" s="1"/>
      <c r="M927" s="26"/>
      <c r="N927" s="26"/>
      <c r="P927" s="1"/>
      <c r="Q927" s="1"/>
      <c r="R927" s="8"/>
      <c r="S927" s="1"/>
      <c r="T927" s="8"/>
      <c r="U927" s="1"/>
      <c r="V927" s="1"/>
      <c r="W927" s="1"/>
      <c r="X927" s="1"/>
    </row>
    <row r="928" spans="1:24">
      <c r="A928" s="1"/>
      <c r="M928" s="26"/>
      <c r="N928" s="26"/>
      <c r="P928" s="1"/>
      <c r="Q928" s="1"/>
      <c r="R928" s="8"/>
      <c r="S928" s="1"/>
      <c r="T928" s="8"/>
      <c r="U928" s="1"/>
      <c r="V928" s="1"/>
      <c r="W928" s="1"/>
      <c r="X928" s="1"/>
    </row>
    <row r="929" spans="1:24">
      <c r="A929" s="1"/>
      <c r="M929" s="26"/>
      <c r="N929" s="26"/>
      <c r="P929" s="1"/>
      <c r="Q929" s="1"/>
      <c r="R929" s="8"/>
      <c r="S929" s="1"/>
      <c r="T929" s="8"/>
      <c r="U929" s="1"/>
      <c r="V929" s="1"/>
      <c r="W929" s="1"/>
      <c r="X929" s="1"/>
    </row>
    <row r="930" spans="1:24">
      <c r="A930" s="1"/>
      <c r="M930" s="26"/>
      <c r="N930" s="26"/>
      <c r="P930" s="1"/>
      <c r="Q930" s="1"/>
      <c r="R930" s="8"/>
      <c r="S930" s="1"/>
      <c r="T930" s="8"/>
      <c r="U930" s="1"/>
      <c r="V930" s="1"/>
      <c r="W930" s="1"/>
      <c r="X930" s="1"/>
    </row>
    <row r="931" spans="1:24">
      <c r="A931" s="1"/>
      <c r="M931" s="26"/>
      <c r="N931" s="26"/>
      <c r="P931" s="1"/>
      <c r="Q931" s="1"/>
      <c r="R931" s="8"/>
      <c r="S931" s="1"/>
      <c r="T931" s="8"/>
      <c r="U931" s="1"/>
      <c r="V931" s="1"/>
      <c r="W931" s="1"/>
      <c r="X931" s="1"/>
    </row>
    <row r="932" spans="1:24">
      <c r="A932" s="1"/>
      <c r="M932" s="26"/>
      <c r="N932" s="26"/>
      <c r="P932" s="1"/>
      <c r="Q932" s="1"/>
      <c r="R932" s="8"/>
      <c r="S932" s="1"/>
      <c r="T932" s="8"/>
      <c r="U932" s="1"/>
      <c r="V932" s="1"/>
      <c r="W932" s="1"/>
      <c r="X932" s="1"/>
    </row>
    <row r="933" spans="1:24">
      <c r="A933" s="1"/>
      <c r="M933" s="26"/>
      <c r="N933" s="26"/>
      <c r="P933" s="1"/>
      <c r="Q933" s="1"/>
      <c r="R933" s="8"/>
      <c r="S933" s="1"/>
      <c r="T933" s="8"/>
      <c r="U933" s="1"/>
      <c r="V933" s="1"/>
      <c r="W933" s="1"/>
      <c r="X933" s="1"/>
    </row>
    <row r="934" spans="1:24">
      <c r="A934" s="1"/>
      <c r="M934" s="26"/>
      <c r="N934" s="26"/>
      <c r="P934" s="1"/>
      <c r="Q934" s="1"/>
      <c r="R934" s="8"/>
      <c r="S934" s="1"/>
      <c r="T934" s="8"/>
      <c r="U934" s="1"/>
      <c r="V934" s="1"/>
      <c r="W934" s="1"/>
      <c r="X934" s="1"/>
    </row>
    <row r="935" spans="1:24">
      <c r="A935" s="1"/>
      <c r="M935" s="26"/>
      <c r="N935" s="26"/>
      <c r="P935" s="1"/>
      <c r="Q935" s="1"/>
      <c r="R935" s="8"/>
      <c r="S935" s="1"/>
      <c r="T935" s="8"/>
      <c r="U935" s="1"/>
      <c r="V935" s="1"/>
      <c r="W935" s="1"/>
      <c r="X935" s="1"/>
    </row>
    <row r="936" spans="1:24">
      <c r="A936" s="1"/>
      <c r="M936" s="26"/>
      <c r="N936" s="26"/>
      <c r="P936" s="1"/>
      <c r="Q936" s="1"/>
      <c r="R936" s="8"/>
      <c r="S936" s="1"/>
      <c r="T936" s="8"/>
      <c r="U936" s="1"/>
      <c r="V936" s="1"/>
      <c r="W936" s="1"/>
      <c r="X936" s="1"/>
    </row>
    <row r="937" spans="1:24">
      <c r="A937" s="1"/>
      <c r="M937" s="26"/>
      <c r="N937" s="26"/>
      <c r="P937" s="1"/>
      <c r="Q937" s="1"/>
      <c r="R937" s="8"/>
      <c r="S937" s="1"/>
      <c r="T937" s="8"/>
      <c r="U937" s="1"/>
      <c r="V937" s="1"/>
      <c r="W937" s="1"/>
      <c r="X937" s="1"/>
    </row>
    <row r="938" spans="1:24">
      <c r="A938" s="1"/>
      <c r="M938" s="26"/>
      <c r="N938" s="26"/>
      <c r="P938" s="1"/>
      <c r="Q938" s="1"/>
      <c r="R938" s="8"/>
      <c r="S938" s="1"/>
      <c r="T938" s="8"/>
      <c r="U938" s="1"/>
      <c r="V938" s="1"/>
      <c r="W938" s="1"/>
      <c r="X938" s="1"/>
    </row>
    <row r="939" spans="1:24">
      <c r="A939" s="1"/>
      <c r="M939" s="26"/>
      <c r="N939" s="26"/>
      <c r="P939" s="1"/>
      <c r="Q939" s="1"/>
      <c r="R939" s="8"/>
      <c r="S939" s="1"/>
      <c r="T939" s="8"/>
      <c r="U939" s="1"/>
      <c r="V939" s="1"/>
      <c r="W939" s="1"/>
      <c r="X939" s="1"/>
    </row>
    <row r="940" spans="1:24">
      <c r="A940" s="1"/>
      <c r="M940" s="26"/>
      <c r="N940" s="26"/>
      <c r="P940" s="1"/>
      <c r="Q940" s="1"/>
      <c r="R940" s="8"/>
      <c r="S940" s="1"/>
      <c r="T940" s="8"/>
      <c r="U940" s="1"/>
      <c r="V940" s="1"/>
      <c r="W940" s="1"/>
      <c r="X940" s="1"/>
    </row>
    <row r="941" spans="1:24">
      <c r="A941" s="1"/>
      <c r="M941" s="26"/>
      <c r="N941" s="26"/>
      <c r="P941" s="1"/>
      <c r="Q941" s="1"/>
      <c r="R941" s="8"/>
      <c r="S941" s="1"/>
      <c r="T941" s="8"/>
      <c r="U941" s="1"/>
      <c r="V941" s="1"/>
      <c r="W941" s="1"/>
      <c r="X941" s="1"/>
    </row>
    <row r="942" spans="1:24">
      <c r="A942" s="1"/>
      <c r="M942" s="26"/>
      <c r="N942" s="26"/>
      <c r="P942" s="1"/>
      <c r="Q942" s="1"/>
      <c r="R942" s="8"/>
      <c r="S942" s="1"/>
      <c r="T942" s="8"/>
      <c r="U942" s="1"/>
      <c r="V942" s="1"/>
      <c r="W942" s="1"/>
      <c r="X942" s="1"/>
    </row>
    <row r="943" spans="1:24">
      <c r="A943" s="1"/>
      <c r="M943" s="26"/>
      <c r="N943" s="26"/>
      <c r="P943" s="1"/>
      <c r="Q943" s="1"/>
      <c r="R943" s="8"/>
      <c r="S943" s="1"/>
      <c r="T943" s="8"/>
      <c r="U943" s="1"/>
      <c r="V943" s="1"/>
      <c r="W943" s="1"/>
      <c r="X943" s="1"/>
    </row>
    <row r="944" spans="1:24">
      <c r="A944" s="1"/>
      <c r="M944" s="26"/>
      <c r="N944" s="26"/>
      <c r="P944" s="1"/>
      <c r="Q944" s="1"/>
      <c r="R944" s="8"/>
      <c r="S944" s="1"/>
      <c r="T944" s="8"/>
      <c r="U944" s="1"/>
      <c r="V944" s="1"/>
      <c r="W944" s="1"/>
      <c r="X944" s="1"/>
    </row>
    <row r="945" spans="1:24">
      <c r="A945" s="1"/>
      <c r="M945" s="26"/>
      <c r="N945" s="26"/>
      <c r="P945" s="1"/>
      <c r="Q945" s="1"/>
      <c r="R945" s="8"/>
      <c r="S945" s="1"/>
      <c r="T945" s="8"/>
      <c r="U945" s="1"/>
      <c r="V945" s="1"/>
      <c r="W945" s="1"/>
      <c r="X945" s="1"/>
    </row>
    <row r="946" spans="1:24">
      <c r="A946" s="1"/>
      <c r="M946" s="26"/>
      <c r="N946" s="26"/>
      <c r="P946" s="1"/>
      <c r="Q946" s="1"/>
      <c r="R946" s="8"/>
      <c r="S946" s="1"/>
      <c r="T946" s="8"/>
      <c r="U946" s="1"/>
      <c r="V946" s="1"/>
      <c r="W946" s="1"/>
      <c r="X946" s="1"/>
    </row>
    <row r="947" spans="1:24">
      <c r="A947" s="1"/>
      <c r="M947" s="26"/>
      <c r="N947" s="26"/>
      <c r="P947" s="1"/>
      <c r="Q947" s="1"/>
      <c r="R947" s="8"/>
      <c r="S947" s="1"/>
      <c r="T947" s="8"/>
      <c r="U947" s="1"/>
      <c r="V947" s="1"/>
      <c r="W947" s="1"/>
      <c r="X947" s="1"/>
    </row>
    <row r="948" spans="1:24">
      <c r="A948" s="1"/>
      <c r="M948" s="26"/>
      <c r="N948" s="26"/>
      <c r="P948" s="1"/>
      <c r="Q948" s="1"/>
      <c r="R948" s="8"/>
      <c r="S948" s="1"/>
      <c r="T948" s="8"/>
      <c r="U948" s="1"/>
      <c r="V948" s="1"/>
      <c r="W948" s="1"/>
      <c r="X948" s="1"/>
    </row>
    <row r="949" spans="1:24">
      <c r="A949" s="1"/>
      <c r="M949" s="26"/>
      <c r="N949" s="26"/>
      <c r="P949" s="1"/>
      <c r="Q949" s="1"/>
      <c r="R949" s="8"/>
      <c r="S949" s="1"/>
      <c r="T949" s="8"/>
      <c r="U949" s="1"/>
      <c r="V949" s="1"/>
      <c r="W949" s="1"/>
      <c r="X949" s="1"/>
    </row>
    <row r="950" spans="1:24">
      <c r="A950" s="1"/>
      <c r="M950" s="26"/>
      <c r="N950" s="26"/>
      <c r="P950" s="1"/>
      <c r="Q950" s="1"/>
      <c r="R950" s="8"/>
      <c r="S950" s="1"/>
      <c r="T950" s="8"/>
      <c r="U950" s="1"/>
      <c r="V950" s="1"/>
      <c r="W950" s="1"/>
      <c r="X950" s="1"/>
    </row>
    <row r="951" spans="1:24">
      <c r="A951" s="1"/>
      <c r="M951" s="26"/>
      <c r="N951" s="26"/>
      <c r="P951" s="1"/>
      <c r="Q951" s="1"/>
      <c r="R951" s="8"/>
      <c r="S951" s="1"/>
      <c r="T951" s="8"/>
      <c r="U951" s="1"/>
      <c r="V951" s="1"/>
      <c r="W951" s="1"/>
      <c r="X951" s="1"/>
    </row>
    <row r="952" spans="1:24">
      <c r="A952" s="1"/>
      <c r="M952" s="26"/>
      <c r="N952" s="26"/>
      <c r="P952" s="1"/>
      <c r="Q952" s="1"/>
      <c r="R952" s="8"/>
      <c r="S952" s="1"/>
      <c r="T952" s="8"/>
      <c r="U952" s="1"/>
      <c r="V952" s="1"/>
      <c r="W952" s="1"/>
      <c r="X952" s="1"/>
    </row>
    <row r="953" spans="1:24">
      <c r="A953" s="1"/>
      <c r="M953" s="26"/>
      <c r="N953" s="26"/>
      <c r="P953" s="1"/>
      <c r="Q953" s="1"/>
      <c r="R953" s="8"/>
      <c r="S953" s="1"/>
      <c r="T953" s="8"/>
      <c r="U953" s="1"/>
      <c r="V953" s="1"/>
      <c r="W953" s="1"/>
      <c r="X953" s="1"/>
    </row>
    <row r="954" spans="1:24">
      <c r="A954" s="1"/>
      <c r="M954" s="26"/>
      <c r="N954" s="26"/>
      <c r="P954" s="1"/>
      <c r="Q954" s="1"/>
      <c r="R954" s="8"/>
      <c r="S954" s="1"/>
      <c r="T954" s="8"/>
      <c r="U954" s="1"/>
      <c r="V954" s="1"/>
      <c r="W954" s="1"/>
      <c r="X954" s="1"/>
    </row>
    <row r="955" spans="1:24">
      <c r="A955" s="1"/>
      <c r="M955" s="26"/>
      <c r="N955" s="26"/>
      <c r="P955" s="1"/>
      <c r="Q955" s="1"/>
      <c r="R955" s="8"/>
      <c r="S955" s="1"/>
      <c r="T955" s="8"/>
      <c r="U955" s="1"/>
      <c r="V955" s="1"/>
      <c r="W955" s="1"/>
      <c r="X955" s="1"/>
    </row>
    <row r="956" spans="1:24">
      <c r="A956" s="1"/>
      <c r="M956" s="26"/>
      <c r="N956" s="26"/>
      <c r="P956" s="1"/>
      <c r="Q956" s="1"/>
      <c r="R956" s="8"/>
      <c r="S956" s="1"/>
      <c r="T956" s="8"/>
      <c r="U956" s="1"/>
      <c r="V956" s="1"/>
      <c r="W956" s="1"/>
      <c r="X956" s="1"/>
    </row>
    <row r="957" spans="1:24">
      <c r="A957" s="1"/>
      <c r="M957" s="26"/>
      <c r="N957" s="26"/>
      <c r="P957" s="1"/>
      <c r="Q957" s="1"/>
      <c r="R957" s="8"/>
      <c r="S957" s="1"/>
      <c r="T957" s="8"/>
      <c r="U957" s="1"/>
      <c r="V957" s="1"/>
      <c r="W957" s="1"/>
      <c r="X957" s="1"/>
    </row>
    <row r="958" spans="1:24">
      <c r="A958" s="1"/>
      <c r="M958" s="26"/>
      <c r="N958" s="26"/>
      <c r="P958" s="1"/>
      <c r="Q958" s="1"/>
      <c r="R958" s="8"/>
      <c r="S958" s="1"/>
      <c r="T958" s="8"/>
      <c r="U958" s="1"/>
      <c r="V958" s="1"/>
      <c r="W958" s="1"/>
      <c r="X958" s="1"/>
    </row>
    <row r="959" spans="1:24">
      <c r="A959" s="1"/>
      <c r="M959" s="26"/>
      <c r="N959" s="26"/>
      <c r="P959" s="1"/>
      <c r="Q959" s="1"/>
      <c r="R959" s="8"/>
      <c r="S959" s="1"/>
      <c r="T959" s="8"/>
      <c r="U959" s="1"/>
      <c r="V959" s="1"/>
      <c r="W959" s="1"/>
      <c r="X959" s="1"/>
    </row>
    <row r="960" spans="1:24">
      <c r="A960" s="1"/>
      <c r="M960" s="26"/>
      <c r="N960" s="26"/>
      <c r="P960" s="1"/>
      <c r="Q960" s="1"/>
      <c r="R960" s="8"/>
      <c r="S960" s="1"/>
      <c r="T960" s="8"/>
      <c r="U960" s="1"/>
      <c r="V960" s="1"/>
      <c r="W960" s="1"/>
      <c r="X960" s="1"/>
    </row>
    <row r="961" spans="1:24">
      <c r="A961" s="1"/>
      <c r="M961" s="26"/>
      <c r="N961" s="26"/>
      <c r="P961" s="1"/>
      <c r="Q961" s="1"/>
      <c r="R961" s="8"/>
      <c r="S961" s="1"/>
      <c r="T961" s="8"/>
      <c r="U961" s="1"/>
      <c r="V961" s="1"/>
      <c r="W961" s="1"/>
      <c r="X961" s="1"/>
    </row>
    <row r="962" spans="1:24">
      <c r="A962" s="1"/>
      <c r="M962" s="26"/>
      <c r="N962" s="26"/>
      <c r="P962" s="1"/>
      <c r="Q962" s="1"/>
      <c r="R962" s="8"/>
      <c r="S962" s="1"/>
      <c r="T962" s="8"/>
      <c r="U962" s="1"/>
      <c r="V962" s="1"/>
      <c r="W962" s="1"/>
      <c r="X962" s="1"/>
    </row>
    <row r="963" spans="1:24">
      <c r="A963" s="1"/>
      <c r="M963" s="26"/>
      <c r="N963" s="26"/>
      <c r="P963" s="1"/>
      <c r="Q963" s="1"/>
      <c r="R963" s="8"/>
      <c r="S963" s="1"/>
      <c r="T963" s="8"/>
      <c r="U963" s="1"/>
      <c r="V963" s="1"/>
      <c r="W963" s="1"/>
      <c r="X963" s="1"/>
    </row>
    <row r="964" spans="1:24">
      <c r="A964" s="1"/>
      <c r="M964" s="26"/>
      <c r="N964" s="26"/>
      <c r="P964" s="1"/>
      <c r="Q964" s="1"/>
      <c r="R964" s="8"/>
      <c r="S964" s="1"/>
      <c r="T964" s="8"/>
      <c r="U964" s="1"/>
      <c r="V964" s="1"/>
      <c r="W964" s="1"/>
      <c r="X964" s="1"/>
    </row>
    <row r="965" spans="1:24">
      <c r="A965" s="1"/>
      <c r="M965" s="26"/>
      <c r="N965" s="26"/>
      <c r="P965" s="1"/>
      <c r="Q965" s="1"/>
      <c r="R965" s="8"/>
      <c r="S965" s="1"/>
      <c r="T965" s="8"/>
      <c r="U965" s="1"/>
      <c r="V965" s="1"/>
      <c r="W965" s="1"/>
      <c r="X965" s="1"/>
    </row>
    <row r="966" spans="1:24">
      <c r="A966" s="1"/>
      <c r="M966" s="26"/>
      <c r="N966" s="26"/>
      <c r="P966" s="1"/>
      <c r="Q966" s="1"/>
      <c r="R966" s="8"/>
      <c r="S966" s="1"/>
      <c r="T966" s="8"/>
      <c r="U966" s="1"/>
      <c r="V966" s="1"/>
      <c r="W966" s="1"/>
      <c r="X966" s="1"/>
    </row>
    <row r="967" spans="1:24">
      <c r="A967" s="1"/>
      <c r="M967" s="26"/>
      <c r="N967" s="26"/>
      <c r="P967" s="1"/>
      <c r="Q967" s="1"/>
      <c r="R967" s="8"/>
      <c r="S967" s="1"/>
      <c r="T967" s="8"/>
      <c r="U967" s="1"/>
      <c r="V967" s="1"/>
      <c r="W967" s="1"/>
      <c r="X967" s="1"/>
    </row>
    <row r="968" spans="1:24">
      <c r="A968" s="1"/>
      <c r="M968" s="26"/>
      <c r="N968" s="26"/>
      <c r="P968" s="1"/>
      <c r="Q968" s="1"/>
      <c r="R968" s="8"/>
      <c r="S968" s="1"/>
      <c r="T968" s="8"/>
      <c r="U968" s="1"/>
      <c r="V968" s="1"/>
      <c r="W968" s="1"/>
      <c r="X968" s="1"/>
    </row>
    <row r="969" spans="1:24">
      <c r="A969" s="1"/>
      <c r="M969" s="26"/>
      <c r="N969" s="26"/>
      <c r="P969" s="1"/>
      <c r="Q969" s="1"/>
      <c r="R969" s="8"/>
      <c r="S969" s="1"/>
      <c r="T969" s="8"/>
      <c r="U969" s="1"/>
      <c r="V969" s="1"/>
      <c r="W969" s="1"/>
      <c r="X969" s="1"/>
    </row>
    <row r="970" spans="1:24">
      <c r="A970" s="1"/>
      <c r="M970" s="26"/>
      <c r="N970" s="26"/>
      <c r="P970" s="1"/>
      <c r="Q970" s="1"/>
      <c r="R970" s="8"/>
      <c r="S970" s="1"/>
      <c r="T970" s="8"/>
      <c r="U970" s="1"/>
      <c r="V970" s="1"/>
      <c r="W970" s="1"/>
      <c r="X970" s="1"/>
    </row>
    <row r="971" spans="1:24">
      <c r="A971" s="1"/>
      <c r="M971" s="26"/>
      <c r="N971" s="26"/>
      <c r="P971" s="1"/>
      <c r="Q971" s="1"/>
      <c r="R971" s="8"/>
      <c r="S971" s="1"/>
      <c r="T971" s="8"/>
      <c r="U971" s="1"/>
      <c r="V971" s="1"/>
      <c r="W971" s="1"/>
      <c r="X971" s="1"/>
    </row>
    <row r="972" spans="1:24">
      <c r="A972" s="1"/>
      <c r="M972" s="26"/>
      <c r="N972" s="26"/>
      <c r="P972" s="1"/>
      <c r="Q972" s="1"/>
      <c r="R972" s="8"/>
      <c r="S972" s="1"/>
      <c r="T972" s="8"/>
      <c r="U972" s="1"/>
      <c r="V972" s="1"/>
      <c r="W972" s="1"/>
      <c r="X972" s="1"/>
    </row>
    <row r="973" spans="1:24">
      <c r="A973" s="1"/>
      <c r="M973" s="26"/>
      <c r="N973" s="26"/>
      <c r="P973" s="1"/>
      <c r="Q973" s="1"/>
      <c r="R973" s="8"/>
      <c r="S973" s="1"/>
      <c r="T973" s="8"/>
      <c r="U973" s="1"/>
      <c r="V973" s="1"/>
      <c r="W973" s="1"/>
      <c r="X973" s="1"/>
    </row>
    <row r="974" spans="1:24">
      <c r="A974" s="1"/>
      <c r="M974" s="26"/>
      <c r="N974" s="26"/>
      <c r="P974" s="1"/>
      <c r="Q974" s="1"/>
      <c r="R974" s="8"/>
      <c r="S974" s="1"/>
      <c r="T974" s="8"/>
      <c r="U974" s="1"/>
      <c r="V974" s="1"/>
      <c r="W974" s="1"/>
      <c r="X974" s="1"/>
    </row>
    <row r="975" spans="1:24">
      <c r="A975" s="1"/>
      <c r="M975" s="26"/>
      <c r="N975" s="26"/>
      <c r="P975" s="1"/>
      <c r="Q975" s="1"/>
      <c r="R975" s="8"/>
      <c r="S975" s="1"/>
      <c r="T975" s="8"/>
      <c r="U975" s="1"/>
      <c r="V975" s="1"/>
      <c r="W975" s="1"/>
      <c r="X975" s="1"/>
    </row>
    <row r="976" spans="1:24">
      <c r="A976" s="1"/>
      <c r="M976" s="26"/>
      <c r="N976" s="26"/>
      <c r="P976" s="1"/>
      <c r="Q976" s="1"/>
      <c r="R976" s="8"/>
      <c r="S976" s="1"/>
      <c r="T976" s="8"/>
      <c r="U976" s="1"/>
      <c r="V976" s="1"/>
      <c r="W976" s="1"/>
      <c r="X976" s="1"/>
    </row>
    <row r="977" spans="1:24">
      <c r="A977" s="1"/>
      <c r="M977" s="26"/>
      <c r="N977" s="26"/>
      <c r="P977" s="1"/>
      <c r="Q977" s="1"/>
      <c r="R977" s="8"/>
      <c r="S977" s="1"/>
      <c r="T977" s="8"/>
      <c r="U977" s="1"/>
      <c r="V977" s="1"/>
      <c r="W977" s="1"/>
      <c r="X977" s="1"/>
    </row>
    <row r="978" spans="1:24">
      <c r="A978" s="1"/>
      <c r="M978" s="26"/>
      <c r="N978" s="26"/>
      <c r="P978" s="1"/>
      <c r="Q978" s="1"/>
      <c r="R978" s="8"/>
      <c r="S978" s="1"/>
      <c r="T978" s="8"/>
      <c r="U978" s="1"/>
      <c r="V978" s="1"/>
      <c r="W978" s="1"/>
      <c r="X978" s="1"/>
    </row>
    <row r="979" spans="1:24">
      <c r="A979" s="1"/>
      <c r="M979" s="26"/>
      <c r="N979" s="26"/>
      <c r="P979" s="1"/>
      <c r="Q979" s="1"/>
      <c r="R979" s="8"/>
      <c r="S979" s="1"/>
      <c r="T979" s="8"/>
      <c r="U979" s="1"/>
      <c r="V979" s="1"/>
      <c r="W979" s="1"/>
      <c r="X979" s="1"/>
    </row>
    <row r="980" spans="1:24">
      <c r="A980" s="1"/>
      <c r="M980" s="26"/>
      <c r="N980" s="26"/>
      <c r="P980" s="1"/>
      <c r="Q980" s="1"/>
      <c r="R980" s="8"/>
      <c r="S980" s="1"/>
      <c r="T980" s="8"/>
      <c r="U980" s="1"/>
      <c r="V980" s="1"/>
      <c r="W980" s="1"/>
      <c r="X980" s="1"/>
    </row>
    <row r="981" spans="1:24">
      <c r="A981" s="1"/>
      <c r="M981" s="26"/>
      <c r="N981" s="26"/>
      <c r="P981" s="1"/>
      <c r="Q981" s="1"/>
      <c r="R981" s="8"/>
      <c r="S981" s="1"/>
      <c r="T981" s="8"/>
      <c r="U981" s="1"/>
      <c r="V981" s="1"/>
      <c r="W981" s="1"/>
      <c r="X981" s="1"/>
    </row>
    <row r="982" spans="1:24">
      <c r="A982" s="1"/>
      <c r="M982" s="26"/>
      <c r="N982" s="26"/>
      <c r="P982" s="1"/>
      <c r="Q982" s="1"/>
      <c r="R982" s="8"/>
      <c r="S982" s="1"/>
      <c r="T982" s="8"/>
      <c r="U982" s="1"/>
      <c r="V982" s="1"/>
      <c r="W982" s="1"/>
      <c r="X982" s="1"/>
    </row>
    <row r="983" spans="1:24">
      <c r="A983" s="1"/>
      <c r="M983" s="26"/>
      <c r="N983" s="26"/>
      <c r="P983" s="1"/>
      <c r="Q983" s="1"/>
      <c r="R983" s="8"/>
      <c r="S983" s="1"/>
      <c r="T983" s="8"/>
      <c r="U983" s="1"/>
      <c r="V983" s="1"/>
      <c r="W983" s="1"/>
      <c r="X983" s="1"/>
    </row>
    <row r="984" spans="1:24">
      <c r="A984" s="1"/>
      <c r="M984" s="26"/>
      <c r="N984" s="26"/>
      <c r="P984" s="1"/>
      <c r="Q984" s="1"/>
      <c r="R984" s="8"/>
      <c r="S984" s="1"/>
      <c r="T984" s="8"/>
      <c r="U984" s="1"/>
      <c r="V984" s="1"/>
      <c r="W984" s="1"/>
      <c r="X984" s="1"/>
    </row>
    <row r="985" spans="1:24">
      <c r="A985" s="1"/>
      <c r="M985" s="26"/>
      <c r="N985" s="26"/>
      <c r="P985" s="1"/>
      <c r="Q985" s="1"/>
      <c r="R985" s="8"/>
      <c r="S985" s="1"/>
      <c r="T985" s="8"/>
      <c r="U985" s="1"/>
      <c r="V985" s="1"/>
      <c r="W985" s="1"/>
      <c r="X985" s="1"/>
    </row>
    <row r="986" spans="1:24">
      <c r="A986" s="1"/>
      <c r="M986" s="26"/>
      <c r="N986" s="26"/>
      <c r="P986" s="1"/>
      <c r="Q986" s="1"/>
      <c r="R986" s="8"/>
      <c r="S986" s="1"/>
      <c r="T986" s="8"/>
      <c r="U986" s="1"/>
      <c r="V986" s="1"/>
      <c r="W986" s="1"/>
      <c r="X986" s="1"/>
    </row>
    <row r="987" spans="1:24">
      <c r="A987" s="1"/>
      <c r="M987" s="26"/>
      <c r="N987" s="26"/>
      <c r="P987" s="1"/>
      <c r="Q987" s="1"/>
      <c r="R987" s="8"/>
      <c r="S987" s="1"/>
      <c r="T987" s="8"/>
      <c r="U987" s="1"/>
      <c r="V987" s="1"/>
      <c r="W987" s="1"/>
      <c r="X987" s="1"/>
    </row>
    <row r="988" spans="1:24">
      <c r="A988" s="1"/>
      <c r="M988" s="26"/>
      <c r="N988" s="26"/>
      <c r="P988" s="1"/>
      <c r="Q988" s="1"/>
      <c r="R988" s="8"/>
      <c r="S988" s="1"/>
      <c r="T988" s="8"/>
      <c r="U988" s="1"/>
      <c r="V988" s="1"/>
      <c r="W988" s="1"/>
      <c r="X988" s="1"/>
    </row>
    <row r="989" spans="1:24">
      <c r="A989" s="1"/>
      <c r="M989" s="26"/>
      <c r="N989" s="26"/>
      <c r="P989" s="1"/>
      <c r="Q989" s="1"/>
      <c r="R989" s="8"/>
      <c r="S989" s="1"/>
      <c r="T989" s="8"/>
      <c r="U989" s="1"/>
      <c r="V989" s="1"/>
      <c r="W989" s="1"/>
      <c r="X989" s="1"/>
    </row>
    <row r="990" spans="1:24">
      <c r="A990" s="1"/>
      <c r="M990" s="26"/>
      <c r="N990" s="26"/>
      <c r="P990" s="1"/>
      <c r="Q990" s="1"/>
      <c r="R990" s="8"/>
      <c r="S990" s="1"/>
      <c r="T990" s="8"/>
      <c r="U990" s="1"/>
      <c r="V990" s="1"/>
      <c r="W990" s="1"/>
      <c r="X990" s="1"/>
    </row>
    <row r="991" spans="1:24">
      <c r="A991" s="1"/>
      <c r="M991" s="26"/>
      <c r="N991" s="26"/>
      <c r="P991" s="1"/>
      <c r="Q991" s="1"/>
      <c r="R991" s="8"/>
      <c r="S991" s="1"/>
      <c r="T991" s="8"/>
      <c r="U991" s="1"/>
      <c r="V991" s="1"/>
      <c r="W991" s="1"/>
      <c r="X991" s="1"/>
    </row>
    <row r="992" spans="1:24">
      <c r="A992" s="1"/>
      <c r="M992" s="26"/>
      <c r="N992" s="26"/>
      <c r="P992" s="1"/>
      <c r="Q992" s="1"/>
      <c r="R992" s="8"/>
      <c r="S992" s="1"/>
      <c r="T992" s="8"/>
      <c r="U992" s="1"/>
      <c r="V992" s="1"/>
      <c r="W992" s="1"/>
      <c r="X992" s="1"/>
    </row>
    <row r="993" spans="1:24">
      <c r="A993" s="1"/>
      <c r="M993" s="26"/>
      <c r="N993" s="26"/>
      <c r="P993" s="1"/>
      <c r="Q993" s="1"/>
      <c r="R993" s="8"/>
      <c r="S993" s="1"/>
      <c r="T993" s="8"/>
      <c r="U993" s="1"/>
      <c r="V993" s="1"/>
      <c r="W993" s="1"/>
      <c r="X993" s="1"/>
    </row>
    <row r="994" spans="1:24">
      <c r="A994" s="1"/>
      <c r="M994" s="26"/>
      <c r="N994" s="26"/>
      <c r="P994" s="1"/>
      <c r="Q994" s="1"/>
      <c r="R994" s="8"/>
      <c r="S994" s="1"/>
      <c r="T994" s="8"/>
      <c r="U994" s="1"/>
      <c r="V994" s="1"/>
      <c r="W994" s="1"/>
      <c r="X994" s="1"/>
    </row>
    <row r="995" spans="1:24">
      <c r="A995" s="1"/>
      <c r="M995" s="26"/>
      <c r="N995" s="26"/>
      <c r="P995" s="1"/>
      <c r="Q995" s="1"/>
      <c r="R995" s="8"/>
      <c r="S995" s="1"/>
      <c r="T995" s="8"/>
      <c r="U995" s="1"/>
      <c r="V995" s="1"/>
      <c r="W995" s="1"/>
      <c r="X995" s="1"/>
    </row>
    <row r="996" spans="1:24">
      <c r="A996" s="1"/>
      <c r="M996" s="26"/>
      <c r="N996" s="26"/>
      <c r="P996" s="1"/>
      <c r="Q996" s="1"/>
      <c r="R996" s="8"/>
      <c r="S996" s="1"/>
      <c r="T996" s="8"/>
      <c r="U996" s="1"/>
      <c r="V996" s="1"/>
      <c r="W996" s="1"/>
      <c r="X996" s="1"/>
    </row>
    <row r="997" spans="1:24">
      <c r="A997" s="1"/>
      <c r="M997" s="26"/>
      <c r="N997" s="26"/>
      <c r="P997" s="1"/>
      <c r="Q997" s="1"/>
      <c r="R997" s="8"/>
      <c r="S997" s="1"/>
      <c r="T997" s="8"/>
      <c r="U997" s="1"/>
      <c r="V997" s="1"/>
      <c r="W997" s="1"/>
      <c r="X997" s="1"/>
    </row>
    <row r="998" spans="1:24">
      <c r="A998" s="1"/>
      <c r="M998" s="26"/>
      <c r="N998" s="26"/>
      <c r="P998" s="1"/>
      <c r="Q998" s="1"/>
      <c r="R998" s="8"/>
      <c r="S998" s="1"/>
      <c r="T998" s="8"/>
      <c r="U998" s="1"/>
      <c r="V998" s="1"/>
      <c r="W998" s="1"/>
      <c r="X998" s="1"/>
    </row>
    <row r="999" spans="1:24">
      <c r="A999" s="1"/>
      <c r="M999" s="26"/>
      <c r="N999" s="26"/>
      <c r="P999" s="1"/>
      <c r="Q999" s="1"/>
      <c r="R999" s="8"/>
      <c r="S999" s="1"/>
      <c r="T999" s="8"/>
      <c r="U999" s="1"/>
      <c r="V999" s="1"/>
      <c r="W999" s="1"/>
      <c r="X999" s="1"/>
    </row>
    <row r="1000" spans="1:24">
      <c r="A1000" s="1"/>
      <c r="M1000" s="26"/>
      <c r="N1000" s="26"/>
      <c r="P1000" s="1"/>
      <c r="Q1000" s="1"/>
      <c r="R1000" s="8"/>
      <c r="S1000" s="1"/>
      <c r="T1000" s="8"/>
      <c r="U1000" s="1"/>
      <c r="V1000" s="1"/>
      <c r="W1000" s="1"/>
      <c r="X1000" s="1"/>
    </row>
    <row r="1001" spans="1:24">
      <c r="A1001" s="1"/>
      <c r="M1001" s="26"/>
      <c r="N1001" s="26"/>
      <c r="P1001" s="1"/>
      <c r="Q1001" s="1"/>
      <c r="R1001" s="8"/>
      <c r="S1001" s="1"/>
      <c r="T1001" s="8"/>
      <c r="U1001" s="1"/>
      <c r="V1001" s="1"/>
      <c r="W1001" s="1"/>
      <c r="X1001" s="1"/>
    </row>
    <row r="1002" spans="1:24">
      <c r="A1002" s="1"/>
      <c r="M1002" s="26"/>
      <c r="N1002" s="26"/>
      <c r="P1002" s="1"/>
      <c r="Q1002" s="1"/>
      <c r="R1002" s="8"/>
      <c r="S1002" s="1"/>
      <c r="T1002" s="8"/>
      <c r="U1002" s="1"/>
      <c r="V1002" s="1"/>
      <c r="W1002" s="1"/>
      <c r="X1002" s="1"/>
    </row>
    <row r="1003" spans="1:24">
      <c r="A1003" s="1"/>
      <c r="M1003" s="26"/>
      <c r="N1003" s="26"/>
      <c r="P1003" s="1"/>
      <c r="Q1003" s="1"/>
      <c r="R1003" s="8"/>
      <c r="S1003" s="1"/>
      <c r="T1003" s="8"/>
      <c r="U1003" s="1"/>
      <c r="V1003" s="1"/>
      <c r="W1003" s="1"/>
      <c r="X1003" s="1"/>
    </row>
    <row r="1004" spans="1:24">
      <c r="A1004" s="1"/>
      <c r="M1004" s="26"/>
      <c r="N1004" s="26"/>
      <c r="P1004" s="1"/>
      <c r="Q1004" s="1"/>
      <c r="R1004" s="8"/>
      <c r="S1004" s="1"/>
      <c r="T1004" s="8"/>
      <c r="U1004" s="1"/>
      <c r="V1004" s="1"/>
      <c r="W1004" s="1"/>
      <c r="X1004" s="1"/>
    </row>
    <row r="1005" spans="1:24">
      <c r="A1005" s="1"/>
      <c r="M1005" s="26"/>
      <c r="N1005" s="26"/>
      <c r="P1005" s="1"/>
      <c r="Q1005" s="1"/>
      <c r="R1005" s="8"/>
      <c r="S1005" s="1"/>
      <c r="T1005" s="8"/>
      <c r="U1005" s="1"/>
      <c r="V1005" s="1"/>
      <c r="W1005" s="1"/>
      <c r="X1005" s="1"/>
    </row>
    <row r="1006" spans="1:24">
      <c r="A1006" s="1"/>
      <c r="M1006" s="26"/>
      <c r="N1006" s="26"/>
      <c r="P1006" s="1"/>
      <c r="Q1006" s="1"/>
      <c r="R1006" s="8"/>
      <c r="S1006" s="1"/>
      <c r="T1006" s="8"/>
      <c r="U1006" s="1"/>
      <c r="V1006" s="1"/>
      <c r="W1006" s="1"/>
      <c r="X1006" s="1"/>
    </row>
    <row r="1007" spans="1:24">
      <c r="A1007" s="1"/>
      <c r="M1007" s="26"/>
      <c r="N1007" s="26"/>
      <c r="P1007" s="1"/>
      <c r="Q1007" s="1"/>
      <c r="R1007" s="8"/>
      <c r="S1007" s="1"/>
      <c r="T1007" s="8"/>
      <c r="U1007" s="1"/>
      <c r="V1007" s="1"/>
      <c r="W1007" s="1"/>
      <c r="X1007" s="1"/>
    </row>
    <row r="1008" spans="1:24">
      <c r="A1008" s="1"/>
      <c r="M1008" s="26"/>
      <c r="N1008" s="26"/>
      <c r="P1008" s="1"/>
      <c r="Q1008" s="1"/>
      <c r="R1008" s="8"/>
      <c r="S1008" s="1"/>
      <c r="T1008" s="8"/>
      <c r="U1008" s="1"/>
      <c r="V1008" s="1"/>
      <c r="W1008" s="1"/>
      <c r="X1008" s="1"/>
    </row>
    <row r="1009" spans="1:24">
      <c r="A1009" s="1"/>
      <c r="M1009" s="26"/>
      <c r="N1009" s="26"/>
      <c r="P1009" s="1"/>
      <c r="Q1009" s="1"/>
      <c r="R1009" s="8"/>
      <c r="S1009" s="1"/>
      <c r="T1009" s="8"/>
      <c r="U1009" s="1"/>
      <c r="V1009" s="1"/>
      <c r="W1009" s="1"/>
      <c r="X1009" s="1"/>
    </row>
    <row r="1010" spans="1:24">
      <c r="A1010" s="1"/>
      <c r="M1010" s="26"/>
      <c r="N1010" s="26"/>
      <c r="P1010" s="1"/>
      <c r="Q1010" s="1"/>
      <c r="R1010" s="8"/>
      <c r="S1010" s="1"/>
      <c r="T1010" s="8"/>
      <c r="U1010" s="1"/>
      <c r="V1010" s="1"/>
      <c r="W1010" s="1"/>
      <c r="X1010" s="1"/>
    </row>
    <row r="1011" spans="1:24">
      <c r="A1011" s="1"/>
      <c r="M1011" s="26"/>
      <c r="N1011" s="26"/>
      <c r="P1011" s="1"/>
      <c r="Q1011" s="1"/>
      <c r="R1011" s="8"/>
      <c r="S1011" s="1"/>
      <c r="T1011" s="8"/>
      <c r="U1011" s="1"/>
      <c r="V1011" s="1"/>
      <c r="W1011" s="1"/>
      <c r="X1011" s="1"/>
    </row>
    <row r="1012" spans="1:24">
      <c r="A1012" s="1"/>
      <c r="M1012" s="26"/>
      <c r="N1012" s="26"/>
      <c r="P1012" s="1"/>
      <c r="Q1012" s="1"/>
      <c r="R1012" s="8"/>
      <c r="S1012" s="1"/>
      <c r="T1012" s="8"/>
      <c r="U1012" s="1"/>
      <c r="V1012" s="1"/>
      <c r="W1012" s="1"/>
      <c r="X1012" s="1"/>
    </row>
    <row r="1013" spans="1:24">
      <c r="A1013" s="1"/>
      <c r="M1013" s="26"/>
      <c r="N1013" s="26"/>
      <c r="P1013" s="1"/>
      <c r="Q1013" s="1"/>
      <c r="R1013" s="8"/>
      <c r="S1013" s="1"/>
      <c r="T1013" s="8"/>
      <c r="U1013" s="1"/>
      <c r="V1013" s="1"/>
      <c r="W1013" s="1"/>
      <c r="X1013" s="1"/>
    </row>
    <row r="1014" spans="1:24">
      <c r="A1014" s="1"/>
      <c r="M1014" s="26"/>
      <c r="N1014" s="26"/>
      <c r="P1014" s="1"/>
      <c r="Q1014" s="1"/>
      <c r="R1014" s="8"/>
      <c r="S1014" s="1"/>
      <c r="T1014" s="8"/>
      <c r="U1014" s="1"/>
      <c r="V1014" s="1"/>
      <c r="W1014" s="1"/>
      <c r="X1014" s="1"/>
    </row>
    <row r="1015" spans="1:24">
      <c r="A1015" s="1"/>
      <c r="M1015" s="26"/>
      <c r="N1015" s="26"/>
      <c r="P1015" s="1"/>
      <c r="Q1015" s="1"/>
      <c r="R1015" s="8"/>
      <c r="S1015" s="1"/>
      <c r="T1015" s="8"/>
      <c r="U1015" s="1"/>
      <c r="V1015" s="1"/>
      <c r="W1015" s="1"/>
      <c r="X1015" s="1"/>
    </row>
    <row r="1016" spans="1:24">
      <c r="A1016" s="1"/>
      <c r="M1016" s="26"/>
      <c r="N1016" s="26"/>
      <c r="P1016" s="1"/>
      <c r="Q1016" s="1"/>
      <c r="R1016" s="8"/>
      <c r="S1016" s="1"/>
      <c r="T1016" s="8"/>
      <c r="U1016" s="1"/>
      <c r="V1016" s="1"/>
      <c r="W1016" s="1"/>
      <c r="X1016" s="1"/>
    </row>
    <row r="1017" spans="1:24">
      <c r="A1017" s="1"/>
      <c r="M1017" s="26"/>
      <c r="N1017" s="26"/>
      <c r="P1017" s="1"/>
      <c r="Q1017" s="1"/>
      <c r="R1017" s="8"/>
      <c r="S1017" s="1"/>
      <c r="T1017" s="8"/>
      <c r="U1017" s="1"/>
      <c r="V1017" s="1"/>
      <c r="W1017" s="1"/>
      <c r="X1017" s="1"/>
    </row>
    <row r="1018" spans="1:24">
      <c r="A1018" s="1"/>
      <c r="M1018" s="26"/>
      <c r="N1018" s="26"/>
      <c r="P1018" s="1"/>
      <c r="Q1018" s="1"/>
      <c r="R1018" s="8"/>
      <c r="S1018" s="1"/>
      <c r="T1018" s="8"/>
      <c r="U1018" s="1"/>
      <c r="V1018" s="1"/>
      <c r="W1018" s="1"/>
      <c r="X1018" s="1"/>
    </row>
    <row r="1019" spans="1:24">
      <c r="A1019" s="1"/>
      <c r="M1019" s="26"/>
      <c r="N1019" s="26"/>
      <c r="P1019" s="1"/>
      <c r="Q1019" s="1"/>
      <c r="R1019" s="8"/>
      <c r="S1019" s="1"/>
      <c r="T1019" s="8"/>
      <c r="U1019" s="1"/>
      <c r="V1019" s="1"/>
      <c r="W1019" s="1"/>
      <c r="X1019" s="1"/>
    </row>
    <row r="1020" spans="1:24">
      <c r="A1020" s="1"/>
      <c r="M1020" s="26"/>
      <c r="N1020" s="26"/>
      <c r="P1020" s="1"/>
      <c r="Q1020" s="1"/>
      <c r="R1020" s="8"/>
      <c r="S1020" s="1"/>
      <c r="T1020" s="8"/>
      <c r="U1020" s="1"/>
      <c r="V1020" s="1"/>
      <c r="W1020" s="1"/>
      <c r="X1020" s="1"/>
    </row>
    <row r="1021" spans="1:24">
      <c r="A1021" s="1"/>
      <c r="M1021" s="26"/>
      <c r="N1021" s="26"/>
      <c r="P1021" s="1"/>
      <c r="Q1021" s="1"/>
      <c r="R1021" s="8"/>
      <c r="S1021" s="1"/>
      <c r="T1021" s="8"/>
      <c r="U1021" s="1"/>
      <c r="V1021" s="1"/>
      <c r="W1021" s="1"/>
      <c r="X1021" s="1"/>
    </row>
    <row r="1022" spans="1:24">
      <c r="A1022" s="1"/>
      <c r="M1022" s="26"/>
      <c r="N1022" s="26"/>
      <c r="P1022" s="1"/>
      <c r="Q1022" s="1"/>
      <c r="R1022" s="8"/>
      <c r="S1022" s="1"/>
      <c r="T1022" s="8"/>
      <c r="U1022" s="1"/>
      <c r="V1022" s="1"/>
      <c r="W1022" s="1"/>
      <c r="X1022" s="1"/>
    </row>
    <row r="1023" spans="1:24">
      <c r="A1023" s="1"/>
      <c r="M1023" s="26"/>
      <c r="N1023" s="26"/>
      <c r="P1023" s="1"/>
      <c r="Q1023" s="1"/>
      <c r="R1023" s="8"/>
      <c r="S1023" s="1"/>
      <c r="T1023" s="8"/>
      <c r="U1023" s="1"/>
      <c r="V1023" s="1"/>
      <c r="W1023" s="1"/>
      <c r="X1023" s="1"/>
    </row>
    <row r="1024" spans="1:24">
      <c r="A1024" s="1"/>
      <c r="M1024" s="26"/>
      <c r="N1024" s="26"/>
      <c r="P1024" s="1"/>
      <c r="Q1024" s="1"/>
      <c r="R1024" s="8"/>
      <c r="S1024" s="1"/>
      <c r="T1024" s="8"/>
      <c r="U1024" s="1"/>
      <c r="V1024" s="1"/>
      <c r="W1024" s="1"/>
      <c r="X1024" s="1"/>
    </row>
    <row r="1025" spans="1:24">
      <c r="A1025" s="1"/>
      <c r="M1025" s="26"/>
      <c r="N1025" s="26"/>
      <c r="P1025" s="1"/>
      <c r="Q1025" s="1"/>
      <c r="R1025" s="8"/>
      <c r="S1025" s="1"/>
      <c r="T1025" s="8"/>
      <c r="U1025" s="1"/>
      <c r="V1025" s="1"/>
      <c r="W1025" s="1"/>
      <c r="X1025" s="1"/>
    </row>
    <row r="1026" spans="1:24">
      <c r="A1026" s="1"/>
      <c r="M1026" s="26"/>
      <c r="N1026" s="26"/>
      <c r="P1026" s="1"/>
      <c r="Q1026" s="1"/>
      <c r="R1026" s="8"/>
      <c r="S1026" s="1"/>
      <c r="T1026" s="8"/>
      <c r="U1026" s="1"/>
      <c r="V1026" s="1"/>
      <c r="W1026" s="1"/>
      <c r="X1026" s="1"/>
    </row>
    <row r="1027" spans="1:24">
      <c r="A1027" s="1"/>
      <c r="M1027" s="26"/>
      <c r="N1027" s="26"/>
      <c r="P1027" s="1"/>
      <c r="Q1027" s="1"/>
      <c r="R1027" s="8"/>
      <c r="S1027" s="1"/>
      <c r="T1027" s="8"/>
      <c r="U1027" s="1"/>
      <c r="V1027" s="1"/>
      <c r="W1027" s="1"/>
      <c r="X1027" s="1"/>
    </row>
    <row r="1028" spans="1:24">
      <c r="A1028" s="1"/>
      <c r="M1028" s="26"/>
      <c r="N1028" s="26"/>
      <c r="P1028" s="1"/>
      <c r="Q1028" s="1"/>
      <c r="R1028" s="8"/>
      <c r="S1028" s="1"/>
      <c r="T1028" s="8"/>
      <c r="U1028" s="1"/>
      <c r="V1028" s="1"/>
      <c r="W1028" s="1"/>
      <c r="X1028" s="1"/>
    </row>
    <row r="1029" spans="1:24">
      <c r="A1029" s="1"/>
      <c r="M1029" s="26"/>
      <c r="N1029" s="26"/>
      <c r="P1029" s="1"/>
      <c r="Q1029" s="1"/>
      <c r="R1029" s="8"/>
      <c r="S1029" s="1"/>
      <c r="T1029" s="8"/>
      <c r="U1029" s="1"/>
      <c r="V1029" s="1"/>
      <c r="W1029" s="1"/>
      <c r="X1029" s="1"/>
    </row>
    <row r="1030" spans="1:24">
      <c r="A1030" s="1"/>
      <c r="M1030" s="26"/>
      <c r="N1030" s="26"/>
      <c r="P1030" s="1"/>
      <c r="Q1030" s="1"/>
      <c r="R1030" s="8"/>
      <c r="S1030" s="1"/>
      <c r="T1030" s="8"/>
      <c r="U1030" s="1"/>
      <c r="V1030" s="1"/>
      <c r="W1030" s="1"/>
      <c r="X1030" s="1"/>
    </row>
    <row r="1031" spans="1:24">
      <c r="A1031" s="1"/>
      <c r="M1031" s="26"/>
      <c r="N1031" s="26"/>
      <c r="P1031" s="1"/>
      <c r="Q1031" s="1"/>
      <c r="R1031" s="8"/>
      <c r="S1031" s="1"/>
      <c r="T1031" s="8"/>
      <c r="U1031" s="1"/>
      <c r="V1031" s="1"/>
      <c r="W1031" s="1"/>
      <c r="X1031" s="1"/>
    </row>
    <row r="1032" spans="1:24">
      <c r="A1032" s="1"/>
      <c r="M1032" s="26"/>
      <c r="N1032" s="26"/>
      <c r="P1032" s="1"/>
      <c r="Q1032" s="1"/>
      <c r="R1032" s="8"/>
      <c r="S1032" s="1"/>
      <c r="T1032" s="8"/>
      <c r="U1032" s="1"/>
      <c r="V1032" s="1"/>
      <c r="W1032" s="1"/>
      <c r="X1032" s="1"/>
    </row>
    <row r="1033" spans="1:24">
      <c r="A1033" s="1"/>
      <c r="M1033" s="26"/>
      <c r="N1033" s="26"/>
      <c r="P1033" s="1"/>
      <c r="Q1033" s="1"/>
      <c r="R1033" s="8"/>
      <c r="S1033" s="1"/>
      <c r="T1033" s="8"/>
      <c r="U1033" s="1"/>
      <c r="V1033" s="1"/>
      <c r="W1033" s="1"/>
      <c r="X1033" s="1"/>
    </row>
    <row r="1034" spans="1:24">
      <c r="A1034" s="1"/>
      <c r="M1034" s="26"/>
      <c r="N1034" s="26"/>
      <c r="P1034" s="1"/>
      <c r="Q1034" s="1"/>
      <c r="R1034" s="8"/>
      <c r="S1034" s="1"/>
      <c r="T1034" s="8"/>
      <c r="U1034" s="1"/>
      <c r="V1034" s="1"/>
      <c r="W1034" s="1"/>
      <c r="X1034" s="1"/>
    </row>
    <row r="1035" spans="1:24">
      <c r="A1035" s="1"/>
      <c r="M1035" s="26"/>
      <c r="N1035" s="26"/>
      <c r="P1035" s="1"/>
      <c r="Q1035" s="1"/>
      <c r="R1035" s="8"/>
      <c r="S1035" s="1"/>
      <c r="T1035" s="8"/>
      <c r="U1035" s="1"/>
      <c r="V1035" s="1"/>
      <c r="W1035" s="1"/>
      <c r="X1035" s="1"/>
    </row>
    <row r="1036" spans="1:24">
      <c r="A1036" s="1"/>
      <c r="M1036" s="26"/>
      <c r="N1036" s="26"/>
      <c r="P1036" s="1"/>
      <c r="Q1036" s="1"/>
      <c r="R1036" s="8"/>
      <c r="S1036" s="1"/>
      <c r="T1036" s="8"/>
      <c r="U1036" s="1"/>
      <c r="V1036" s="1"/>
      <c r="W1036" s="1"/>
      <c r="X1036" s="1"/>
    </row>
    <row r="1037" spans="1:24">
      <c r="A1037" s="1"/>
      <c r="M1037" s="26"/>
      <c r="N1037" s="26"/>
      <c r="P1037" s="1"/>
      <c r="Q1037" s="1"/>
      <c r="R1037" s="8"/>
      <c r="S1037" s="1"/>
      <c r="T1037" s="8"/>
      <c r="U1037" s="1"/>
      <c r="V1037" s="1"/>
      <c r="W1037" s="1"/>
      <c r="X1037" s="1"/>
    </row>
    <row r="1038" spans="1:24">
      <c r="A1038" s="1"/>
      <c r="M1038" s="26"/>
      <c r="N1038" s="26"/>
      <c r="P1038" s="1"/>
      <c r="Q1038" s="1"/>
      <c r="R1038" s="8"/>
      <c r="S1038" s="1"/>
      <c r="T1038" s="8"/>
      <c r="U1038" s="1"/>
      <c r="V1038" s="1"/>
      <c r="W1038" s="1"/>
      <c r="X1038" s="1"/>
    </row>
    <row r="1039" spans="1:24">
      <c r="A1039" s="1"/>
      <c r="M1039" s="26"/>
      <c r="N1039" s="26"/>
      <c r="P1039" s="1"/>
      <c r="Q1039" s="1"/>
      <c r="R1039" s="8"/>
      <c r="S1039" s="1"/>
      <c r="T1039" s="8"/>
      <c r="U1039" s="1"/>
      <c r="V1039" s="1"/>
      <c r="W1039" s="1"/>
      <c r="X1039" s="1"/>
    </row>
    <row r="1040" spans="1:24">
      <c r="A1040" s="1"/>
      <c r="M1040" s="26"/>
      <c r="N1040" s="26"/>
      <c r="P1040" s="1"/>
      <c r="Q1040" s="1"/>
      <c r="R1040" s="8"/>
      <c r="S1040" s="1"/>
      <c r="T1040" s="8"/>
      <c r="U1040" s="1"/>
      <c r="V1040" s="1"/>
      <c r="W1040" s="1"/>
      <c r="X1040" s="1"/>
    </row>
    <row r="1041" spans="1:24">
      <c r="A1041" s="1"/>
      <c r="M1041" s="26"/>
      <c r="N1041" s="26"/>
      <c r="P1041" s="1"/>
      <c r="Q1041" s="1"/>
      <c r="R1041" s="8"/>
      <c r="S1041" s="1"/>
      <c r="T1041" s="8"/>
      <c r="U1041" s="1"/>
      <c r="V1041" s="1"/>
      <c r="W1041" s="1"/>
      <c r="X1041" s="1"/>
    </row>
    <row r="1042" spans="1:24">
      <c r="A1042" s="1"/>
      <c r="M1042" s="26"/>
      <c r="N1042" s="26"/>
      <c r="P1042" s="1"/>
      <c r="Q1042" s="1"/>
      <c r="R1042" s="8"/>
      <c r="S1042" s="1"/>
      <c r="T1042" s="8"/>
      <c r="U1042" s="1"/>
      <c r="V1042" s="1"/>
      <c r="W1042" s="1"/>
      <c r="X1042" s="1"/>
    </row>
    <row r="1043" spans="1:24">
      <c r="A1043" s="1"/>
      <c r="M1043" s="26"/>
      <c r="N1043" s="26"/>
      <c r="P1043" s="1"/>
      <c r="Q1043" s="1"/>
      <c r="R1043" s="8"/>
      <c r="S1043" s="1"/>
      <c r="T1043" s="8"/>
      <c r="U1043" s="1"/>
      <c r="V1043" s="1"/>
      <c r="W1043" s="1"/>
      <c r="X1043" s="1"/>
    </row>
    <row r="1044" spans="1:24">
      <c r="A1044" s="1"/>
      <c r="M1044" s="26"/>
      <c r="N1044" s="26"/>
      <c r="P1044" s="1"/>
      <c r="Q1044" s="1"/>
      <c r="R1044" s="8"/>
      <c r="S1044" s="1"/>
      <c r="T1044" s="8"/>
      <c r="U1044" s="1"/>
      <c r="V1044" s="1"/>
      <c r="W1044" s="1"/>
      <c r="X1044" s="1"/>
    </row>
    <row r="1045" spans="1:24">
      <c r="A1045" s="1"/>
      <c r="M1045" s="26"/>
      <c r="N1045" s="26"/>
      <c r="P1045" s="1"/>
      <c r="Q1045" s="1"/>
      <c r="R1045" s="8"/>
      <c r="S1045" s="1"/>
      <c r="T1045" s="8"/>
      <c r="U1045" s="1"/>
      <c r="V1045" s="1"/>
      <c r="W1045" s="1"/>
      <c r="X1045" s="1"/>
    </row>
    <row r="1046" spans="1:24">
      <c r="A1046" s="1"/>
      <c r="M1046" s="26"/>
      <c r="N1046" s="26"/>
      <c r="P1046" s="1"/>
      <c r="Q1046" s="1"/>
      <c r="R1046" s="8"/>
      <c r="S1046" s="1"/>
      <c r="T1046" s="8"/>
      <c r="U1046" s="1"/>
      <c r="V1046" s="1"/>
      <c r="W1046" s="1"/>
      <c r="X1046" s="1"/>
    </row>
    <row r="1047" spans="1:24">
      <c r="A1047" s="1"/>
      <c r="M1047" s="26"/>
      <c r="N1047" s="26"/>
      <c r="P1047" s="1"/>
      <c r="Q1047" s="1"/>
      <c r="R1047" s="8"/>
      <c r="S1047" s="1"/>
      <c r="T1047" s="8"/>
      <c r="U1047" s="1"/>
      <c r="V1047" s="1"/>
      <c r="W1047" s="1"/>
      <c r="X1047" s="1"/>
    </row>
    <row r="1048" spans="1:24">
      <c r="A1048" s="1"/>
      <c r="M1048" s="26"/>
      <c r="N1048" s="26"/>
      <c r="P1048" s="1"/>
      <c r="Q1048" s="1"/>
      <c r="R1048" s="8"/>
      <c r="S1048" s="1"/>
      <c r="T1048" s="8"/>
      <c r="U1048" s="1"/>
      <c r="V1048" s="1"/>
      <c r="W1048" s="1"/>
      <c r="X1048" s="1"/>
    </row>
    <row r="1049" spans="1:24">
      <c r="A1049" s="1"/>
      <c r="M1049" s="26"/>
      <c r="N1049" s="26"/>
      <c r="P1049" s="1"/>
      <c r="Q1049" s="1"/>
      <c r="R1049" s="8"/>
      <c r="S1049" s="1"/>
      <c r="T1049" s="8"/>
      <c r="U1049" s="1"/>
      <c r="V1049" s="1"/>
      <c r="W1049" s="1"/>
      <c r="X1049" s="1"/>
    </row>
    <row r="1050" spans="1:24">
      <c r="A1050" s="1"/>
      <c r="M1050" s="26"/>
      <c r="N1050" s="26"/>
      <c r="P1050" s="1"/>
      <c r="Q1050" s="1"/>
      <c r="R1050" s="8"/>
      <c r="S1050" s="1"/>
      <c r="T1050" s="8"/>
      <c r="U1050" s="1"/>
      <c r="V1050" s="1"/>
      <c r="W1050" s="1"/>
      <c r="X1050" s="1"/>
    </row>
    <row r="1051" spans="1:24">
      <c r="A1051" s="1"/>
      <c r="M1051" s="26"/>
      <c r="N1051" s="26"/>
      <c r="P1051" s="1"/>
      <c r="Q1051" s="1"/>
      <c r="R1051" s="8"/>
      <c r="S1051" s="1"/>
      <c r="T1051" s="8"/>
      <c r="U1051" s="1"/>
      <c r="V1051" s="1"/>
      <c r="W1051" s="1"/>
      <c r="X1051" s="1"/>
    </row>
    <row r="1052" spans="1:24">
      <c r="A1052" s="1"/>
      <c r="M1052" s="26"/>
      <c r="N1052" s="26"/>
      <c r="P1052" s="1"/>
      <c r="Q1052" s="1"/>
      <c r="R1052" s="8"/>
      <c r="S1052" s="1"/>
      <c r="T1052" s="8"/>
      <c r="U1052" s="1"/>
      <c r="V1052" s="1"/>
      <c r="W1052" s="1"/>
      <c r="X1052" s="1"/>
    </row>
    <row r="1053" spans="1:24">
      <c r="A1053" s="1"/>
      <c r="M1053" s="26"/>
      <c r="N1053" s="26"/>
      <c r="P1053" s="1"/>
      <c r="Q1053" s="1"/>
      <c r="R1053" s="8"/>
      <c r="S1053" s="1"/>
      <c r="T1053" s="8"/>
      <c r="U1053" s="1"/>
      <c r="V1053" s="1"/>
      <c r="W1053" s="1"/>
      <c r="X1053" s="1"/>
    </row>
    <row r="1054" spans="1:24">
      <c r="A1054" s="1"/>
      <c r="M1054" s="26"/>
      <c r="N1054" s="26"/>
      <c r="P1054" s="1"/>
      <c r="Q1054" s="1"/>
      <c r="R1054" s="8"/>
      <c r="S1054" s="1"/>
      <c r="T1054" s="8"/>
      <c r="U1054" s="1"/>
      <c r="V1054" s="1"/>
      <c r="W1054" s="1"/>
      <c r="X1054" s="1"/>
    </row>
    <row r="1055" spans="1:24">
      <c r="A1055" s="1"/>
      <c r="M1055" s="26"/>
      <c r="N1055" s="26"/>
      <c r="P1055" s="1"/>
      <c r="Q1055" s="1"/>
      <c r="R1055" s="8"/>
      <c r="S1055" s="1"/>
      <c r="T1055" s="8"/>
      <c r="U1055" s="1"/>
      <c r="V1055" s="1"/>
      <c r="W1055" s="1"/>
      <c r="X1055" s="1"/>
    </row>
    <row r="1056" spans="1:24">
      <c r="A1056" s="1"/>
      <c r="M1056" s="26"/>
      <c r="N1056" s="26"/>
      <c r="P1056" s="1"/>
      <c r="Q1056" s="1"/>
      <c r="R1056" s="8"/>
      <c r="S1056" s="1"/>
      <c r="T1056" s="8"/>
      <c r="U1056" s="1"/>
      <c r="V1056" s="1"/>
      <c r="W1056" s="1"/>
      <c r="X1056" s="1"/>
    </row>
    <row r="1057" spans="1:24">
      <c r="A1057" s="1"/>
      <c r="M1057" s="26"/>
      <c r="N1057" s="26"/>
      <c r="P1057" s="1"/>
      <c r="Q1057" s="1"/>
      <c r="R1057" s="8"/>
      <c r="S1057" s="1"/>
      <c r="T1057" s="8"/>
      <c r="U1057" s="1"/>
      <c r="V1057" s="1"/>
      <c r="W1057" s="1"/>
      <c r="X1057" s="1"/>
    </row>
    <row r="1058" spans="1:24">
      <c r="A1058" s="1"/>
      <c r="M1058" s="26"/>
      <c r="N1058" s="26"/>
      <c r="P1058" s="1"/>
      <c r="Q1058" s="1"/>
      <c r="R1058" s="8"/>
      <c r="S1058" s="1"/>
      <c r="T1058" s="8"/>
      <c r="U1058" s="1"/>
      <c r="V1058" s="1"/>
      <c r="W1058" s="1"/>
      <c r="X1058" s="1"/>
    </row>
    <row r="1059" spans="1:24">
      <c r="A1059" s="1"/>
      <c r="M1059" s="26"/>
      <c r="N1059" s="26"/>
      <c r="P1059" s="1"/>
      <c r="Q1059" s="1"/>
      <c r="R1059" s="8"/>
      <c r="S1059" s="1"/>
      <c r="T1059" s="8"/>
      <c r="U1059" s="1"/>
      <c r="V1059" s="1"/>
      <c r="W1059" s="1"/>
      <c r="X1059" s="1"/>
    </row>
    <row r="1060" spans="1:24">
      <c r="A1060" s="1"/>
      <c r="M1060" s="26"/>
      <c r="N1060" s="26"/>
      <c r="P1060" s="1"/>
      <c r="Q1060" s="1"/>
      <c r="R1060" s="8"/>
      <c r="S1060" s="1"/>
      <c r="T1060" s="8"/>
      <c r="U1060" s="1"/>
      <c r="V1060" s="1"/>
      <c r="W1060" s="1"/>
      <c r="X1060" s="1"/>
    </row>
    <row r="1061" spans="1:24">
      <c r="A1061" s="1"/>
      <c r="M1061" s="26"/>
      <c r="N1061" s="26"/>
      <c r="P1061" s="1"/>
      <c r="Q1061" s="1"/>
      <c r="R1061" s="8"/>
      <c r="S1061" s="1"/>
      <c r="T1061" s="8"/>
      <c r="U1061" s="1"/>
      <c r="V1061" s="1"/>
      <c r="W1061" s="1"/>
      <c r="X1061" s="1"/>
    </row>
    <row r="1062" spans="1:24">
      <c r="A1062" s="1"/>
      <c r="M1062" s="26"/>
      <c r="N1062" s="26"/>
      <c r="P1062" s="1"/>
      <c r="Q1062" s="1"/>
      <c r="R1062" s="8"/>
      <c r="S1062" s="1"/>
      <c r="T1062" s="8"/>
      <c r="U1062" s="1"/>
      <c r="V1062" s="1"/>
      <c r="W1062" s="1"/>
      <c r="X1062" s="1"/>
    </row>
    <row r="1063" spans="1:24">
      <c r="A1063" s="1"/>
      <c r="M1063" s="26"/>
      <c r="N1063" s="26"/>
      <c r="P1063" s="1"/>
      <c r="Q1063" s="1"/>
      <c r="R1063" s="8"/>
      <c r="S1063" s="1"/>
      <c r="T1063" s="8"/>
      <c r="U1063" s="1"/>
      <c r="V1063" s="1"/>
      <c r="W1063" s="1"/>
      <c r="X1063" s="1"/>
    </row>
    <row r="1064" spans="1:24">
      <c r="A1064" s="1"/>
      <c r="M1064" s="26"/>
      <c r="N1064" s="26"/>
      <c r="P1064" s="1"/>
      <c r="Q1064" s="1"/>
      <c r="R1064" s="8"/>
      <c r="S1064" s="1"/>
      <c r="T1064" s="8"/>
      <c r="U1064" s="1"/>
      <c r="V1064" s="1"/>
      <c r="W1064" s="1"/>
      <c r="X1064" s="1"/>
    </row>
    <row r="1065" spans="1:24">
      <c r="A1065" s="1"/>
      <c r="M1065" s="26"/>
      <c r="N1065" s="26"/>
      <c r="P1065" s="1"/>
      <c r="Q1065" s="1"/>
      <c r="R1065" s="8"/>
      <c r="S1065" s="1"/>
      <c r="T1065" s="8"/>
      <c r="U1065" s="1"/>
      <c r="V1065" s="1"/>
      <c r="W1065" s="1"/>
      <c r="X1065" s="1"/>
    </row>
    <row r="1066" spans="1:24">
      <c r="A1066" s="1"/>
      <c r="M1066" s="26"/>
      <c r="N1066" s="26"/>
      <c r="P1066" s="1"/>
      <c r="Q1066" s="1"/>
      <c r="R1066" s="8"/>
      <c r="S1066" s="1"/>
      <c r="T1066" s="8"/>
      <c r="U1066" s="1"/>
      <c r="V1066" s="1"/>
      <c r="W1066" s="1"/>
      <c r="X1066" s="1"/>
    </row>
    <row r="1067" spans="1:24">
      <c r="A1067" s="1"/>
      <c r="M1067" s="26"/>
      <c r="N1067" s="26"/>
      <c r="P1067" s="1"/>
      <c r="Q1067" s="1"/>
      <c r="R1067" s="8"/>
      <c r="S1067" s="1"/>
      <c r="T1067" s="8"/>
      <c r="U1067" s="1"/>
      <c r="V1067" s="1"/>
      <c r="W1067" s="1"/>
      <c r="X1067" s="1"/>
    </row>
    <row r="1068" spans="1:24">
      <c r="A1068" s="1"/>
      <c r="M1068" s="26"/>
      <c r="N1068" s="26"/>
      <c r="P1068" s="1"/>
      <c r="Q1068" s="1"/>
      <c r="R1068" s="8"/>
      <c r="S1068" s="1"/>
      <c r="T1068" s="8"/>
      <c r="U1068" s="1"/>
      <c r="V1068" s="1"/>
      <c r="W1068" s="1"/>
      <c r="X1068" s="1"/>
    </row>
    <row r="1069" spans="1:24">
      <c r="A1069" s="1"/>
      <c r="M1069" s="26"/>
      <c r="N1069" s="26"/>
      <c r="P1069" s="1"/>
      <c r="Q1069" s="1"/>
      <c r="R1069" s="8"/>
      <c r="S1069" s="1"/>
      <c r="T1069" s="8"/>
      <c r="U1069" s="1"/>
      <c r="V1069" s="1"/>
      <c r="W1069" s="1"/>
      <c r="X1069" s="1"/>
    </row>
    <row r="1070" spans="1:24">
      <c r="A1070" s="1"/>
      <c r="M1070" s="26"/>
      <c r="N1070" s="26"/>
      <c r="P1070" s="1"/>
      <c r="Q1070" s="1"/>
      <c r="R1070" s="8"/>
      <c r="S1070" s="1"/>
      <c r="T1070" s="8"/>
      <c r="U1070" s="1"/>
      <c r="V1070" s="1"/>
      <c r="W1070" s="1"/>
      <c r="X1070" s="1"/>
    </row>
    <row r="1071" spans="1:24">
      <c r="A1071" s="1"/>
      <c r="M1071" s="26"/>
      <c r="N1071" s="26"/>
      <c r="P1071" s="1"/>
      <c r="Q1071" s="1"/>
      <c r="R1071" s="8"/>
      <c r="S1071" s="1"/>
      <c r="T1071" s="8"/>
      <c r="U1071" s="1"/>
      <c r="V1071" s="1"/>
      <c r="W1071" s="1"/>
      <c r="X1071" s="1"/>
    </row>
    <row r="1072" spans="1:24">
      <c r="A1072" s="1"/>
      <c r="M1072" s="26"/>
      <c r="N1072" s="26"/>
      <c r="P1072" s="1"/>
      <c r="Q1072" s="1"/>
      <c r="R1072" s="8"/>
      <c r="S1072" s="1"/>
      <c r="T1072" s="8"/>
      <c r="U1072" s="1"/>
      <c r="V1072" s="1"/>
      <c r="W1072" s="1"/>
      <c r="X1072" s="1"/>
    </row>
    <row r="1073" spans="1:24">
      <c r="A1073" s="1"/>
      <c r="M1073" s="26"/>
      <c r="N1073" s="26"/>
      <c r="P1073" s="1"/>
      <c r="Q1073" s="1"/>
      <c r="R1073" s="8"/>
      <c r="S1073" s="1"/>
      <c r="T1073" s="8"/>
      <c r="U1073" s="1"/>
      <c r="V1073" s="1"/>
      <c r="W1073" s="1"/>
      <c r="X1073" s="1"/>
    </row>
    <row r="1074" spans="1:24">
      <c r="A1074" s="1"/>
      <c r="M1074" s="26"/>
      <c r="N1074" s="26"/>
      <c r="P1074" s="1"/>
      <c r="Q1074" s="1"/>
      <c r="R1074" s="8"/>
      <c r="S1074" s="1"/>
      <c r="T1074" s="8"/>
      <c r="U1074" s="1"/>
      <c r="V1074" s="1"/>
      <c r="W1074" s="1"/>
      <c r="X1074" s="1"/>
    </row>
    <row r="1075" spans="1:24">
      <c r="A1075" s="1"/>
      <c r="M1075" s="26"/>
      <c r="N1075" s="26"/>
      <c r="P1075" s="1"/>
      <c r="Q1075" s="1"/>
      <c r="R1075" s="8"/>
      <c r="S1075" s="1"/>
      <c r="T1075" s="8"/>
      <c r="U1075" s="1"/>
      <c r="V1075" s="1"/>
      <c r="W1075" s="1"/>
      <c r="X1075" s="1"/>
    </row>
    <row r="1076" spans="1:24">
      <c r="A1076" s="1"/>
      <c r="M1076" s="26"/>
      <c r="N1076" s="26"/>
      <c r="P1076" s="1"/>
      <c r="Q1076" s="1"/>
      <c r="R1076" s="8"/>
      <c r="S1076" s="1"/>
      <c r="T1076" s="8"/>
      <c r="U1076" s="1"/>
      <c r="V1076" s="1"/>
      <c r="W1076" s="1"/>
      <c r="X1076" s="1"/>
    </row>
    <row r="1077" spans="1:24">
      <c r="A1077" s="1"/>
      <c r="M1077" s="26"/>
      <c r="N1077" s="26"/>
      <c r="P1077" s="1"/>
      <c r="Q1077" s="1"/>
      <c r="R1077" s="8"/>
      <c r="S1077" s="1"/>
      <c r="T1077" s="8"/>
      <c r="U1077" s="1"/>
      <c r="V1077" s="1"/>
      <c r="W1077" s="1"/>
      <c r="X1077" s="1"/>
    </row>
    <row r="1078" spans="1:24">
      <c r="A1078" s="1"/>
      <c r="M1078" s="26"/>
      <c r="N1078" s="26"/>
      <c r="P1078" s="1"/>
      <c r="Q1078" s="1"/>
      <c r="R1078" s="8"/>
      <c r="S1078" s="1"/>
      <c r="T1078" s="8"/>
      <c r="U1078" s="1"/>
      <c r="V1078" s="1"/>
      <c r="W1078" s="1"/>
      <c r="X1078" s="1"/>
    </row>
    <row r="1079" spans="1:24">
      <c r="A1079" s="1"/>
      <c r="M1079" s="26"/>
      <c r="N1079" s="26"/>
      <c r="P1079" s="1"/>
      <c r="Q1079" s="1"/>
      <c r="R1079" s="8"/>
      <c r="S1079" s="1"/>
      <c r="T1079" s="8"/>
      <c r="U1079" s="1"/>
      <c r="V1079" s="1"/>
      <c r="W1079" s="1"/>
      <c r="X1079" s="1"/>
    </row>
    <row r="1080" spans="1:24">
      <c r="A1080" s="1"/>
      <c r="M1080" s="26"/>
      <c r="N1080" s="26"/>
      <c r="P1080" s="1"/>
      <c r="Q1080" s="1"/>
      <c r="R1080" s="8"/>
      <c r="S1080" s="1"/>
      <c r="T1080" s="8"/>
      <c r="U1080" s="1"/>
      <c r="V1080" s="1"/>
      <c r="W1080" s="1"/>
      <c r="X1080" s="1"/>
    </row>
    <row r="1081" spans="1:24">
      <c r="A1081" s="1"/>
      <c r="M1081" s="26"/>
      <c r="N1081" s="26"/>
      <c r="P1081" s="1"/>
      <c r="Q1081" s="1"/>
      <c r="R1081" s="8"/>
      <c r="S1081" s="1"/>
      <c r="T1081" s="8"/>
      <c r="U1081" s="1"/>
      <c r="V1081" s="1"/>
      <c r="W1081" s="1"/>
      <c r="X1081" s="1"/>
    </row>
    <row r="1082" spans="1:24">
      <c r="A1082" s="1"/>
      <c r="M1082" s="26"/>
      <c r="N1082" s="26"/>
      <c r="P1082" s="1"/>
      <c r="Q1082" s="1"/>
      <c r="R1082" s="8"/>
      <c r="S1082" s="1"/>
      <c r="T1082" s="8"/>
      <c r="U1082" s="1"/>
      <c r="V1082" s="1"/>
      <c r="W1082" s="1"/>
      <c r="X1082" s="1"/>
    </row>
    <row r="1083" spans="1:24">
      <c r="A1083" s="1"/>
      <c r="M1083" s="26"/>
      <c r="N1083" s="26"/>
      <c r="P1083" s="1"/>
      <c r="Q1083" s="1"/>
      <c r="R1083" s="8"/>
      <c r="S1083" s="1"/>
      <c r="T1083" s="8"/>
      <c r="U1083" s="1"/>
      <c r="V1083" s="1"/>
      <c r="W1083" s="1"/>
      <c r="X1083" s="1"/>
    </row>
    <row r="1084" spans="1:24">
      <c r="A1084" s="1"/>
      <c r="M1084" s="26"/>
      <c r="N1084" s="26"/>
      <c r="P1084" s="1"/>
      <c r="Q1084" s="1"/>
      <c r="R1084" s="8"/>
      <c r="S1084" s="1"/>
      <c r="T1084" s="8"/>
      <c r="U1084" s="1"/>
      <c r="V1084" s="1"/>
      <c r="W1084" s="1"/>
      <c r="X1084" s="1"/>
    </row>
    <row r="1085" spans="1:24">
      <c r="A1085" s="1"/>
      <c r="M1085" s="26"/>
      <c r="N1085" s="26"/>
      <c r="P1085" s="1"/>
      <c r="Q1085" s="1"/>
      <c r="R1085" s="8"/>
      <c r="S1085" s="1"/>
      <c r="T1085" s="8"/>
      <c r="U1085" s="1"/>
      <c r="V1085" s="1"/>
      <c r="W1085" s="1"/>
      <c r="X1085" s="1"/>
    </row>
    <row r="1086" spans="1:24">
      <c r="A1086" s="1"/>
      <c r="M1086" s="26"/>
      <c r="N1086" s="26"/>
      <c r="P1086" s="1"/>
      <c r="Q1086" s="1"/>
      <c r="R1086" s="8"/>
      <c r="S1086" s="1"/>
      <c r="T1086" s="8"/>
      <c r="U1086" s="1"/>
      <c r="V1086" s="1"/>
      <c r="W1086" s="1"/>
      <c r="X1086" s="1"/>
    </row>
    <row r="1087" spans="1:24">
      <c r="A1087" s="1"/>
      <c r="M1087" s="26"/>
      <c r="N1087" s="26"/>
      <c r="P1087" s="1"/>
      <c r="Q1087" s="1"/>
      <c r="R1087" s="8"/>
      <c r="S1087" s="1"/>
      <c r="T1087" s="8"/>
      <c r="U1087" s="1"/>
      <c r="V1087" s="1"/>
      <c r="W1087" s="1"/>
      <c r="X1087" s="1"/>
    </row>
    <row r="1088" spans="1:24">
      <c r="A1088" s="1"/>
      <c r="M1088" s="26"/>
      <c r="N1088" s="26"/>
      <c r="P1088" s="1"/>
      <c r="Q1088" s="1"/>
      <c r="R1088" s="8"/>
      <c r="S1088" s="1"/>
      <c r="T1088" s="8"/>
      <c r="U1088" s="1"/>
      <c r="V1088" s="1"/>
      <c r="W1088" s="1"/>
      <c r="X1088" s="1"/>
    </row>
    <row r="1089" spans="1:24">
      <c r="A1089" s="1"/>
      <c r="M1089" s="26"/>
      <c r="N1089" s="26"/>
      <c r="P1089" s="1"/>
      <c r="Q1089" s="1"/>
      <c r="R1089" s="8"/>
      <c r="S1089" s="1"/>
      <c r="T1089" s="8"/>
      <c r="U1089" s="1"/>
      <c r="V1089" s="1"/>
      <c r="W1089" s="1"/>
      <c r="X1089" s="1"/>
    </row>
    <row r="1090" spans="1:24">
      <c r="A1090" s="1"/>
      <c r="M1090" s="26"/>
      <c r="N1090" s="26"/>
      <c r="P1090" s="1"/>
      <c r="Q1090" s="1"/>
      <c r="R1090" s="8"/>
      <c r="S1090" s="1"/>
      <c r="T1090" s="8"/>
      <c r="U1090" s="1"/>
      <c r="V1090" s="1"/>
      <c r="W1090" s="1"/>
      <c r="X1090" s="1"/>
    </row>
    <row r="1091" spans="1:24">
      <c r="A1091" s="1"/>
      <c r="M1091" s="26"/>
      <c r="N1091" s="26"/>
      <c r="P1091" s="1"/>
      <c r="Q1091" s="1"/>
      <c r="R1091" s="8"/>
      <c r="S1091" s="1"/>
      <c r="T1091" s="8"/>
      <c r="U1091" s="1"/>
      <c r="V1091" s="1"/>
      <c r="W1091" s="1"/>
      <c r="X1091" s="1"/>
    </row>
    <row r="1092" spans="1:24">
      <c r="A1092" s="1"/>
      <c r="M1092" s="26"/>
      <c r="N1092" s="26"/>
      <c r="P1092" s="1"/>
      <c r="Q1092" s="1"/>
      <c r="R1092" s="8"/>
      <c r="S1092" s="1"/>
      <c r="T1092" s="8"/>
      <c r="U1092" s="1"/>
      <c r="V1092" s="1"/>
      <c r="W1092" s="1"/>
      <c r="X1092" s="1"/>
    </row>
    <row r="1093" spans="1:24">
      <c r="A1093" s="1"/>
      <c r="M1093" s="26"/>
      <c r="N1093" s="26"/>
      <c r="P1093" s="1"/>
      <c r="Q1093" s="1"/>
      <c r="R1093" s="8"/>
      <c r="S1093" s="1"/>
      <c r="T1093" s="8"/>
      <c r="U1093" s="1"/>
      <c r="V1093" s="1"/>
      <c r="W1093" s="1"/>
      <c r="X1093" s="1"/>
    </row>
    <row r="1094" spans="1:24">
      <c r="A1094" s="1"/>
      <c r="M1094" s="26"/>
      <c r="N1094" s="26"/>
      <c r="P1094" s="1"/>
      <c r="Q1094" s="1"/>
      <c r="R1094" s="8"/>
      <c r="S1094" s="1"/>
      <c r="T1094" s="8"/>
      <c r="U1094" s="1"/>
      <c r="V1094" s="1"/>
      <c r="W1094" s="1"/>
      <c r="X1094" s="1"/>
    </row>
    <row r="1095" spans="1:24">
      <c r="A1095" s="1"/>
      <c r="M1095" s="26"/>
      <c r="N1095" s="26"/>
      <c r="P1095" s="1"/>
      <c r="Q1095" s="1"/>
      <c r="R1095" s="8"/>
      <c r="S1095" s="1"/>
      <c r="T1095" s="8"/>
      <c r="U1095" s="1"/>
      <c r="V1095" s="1"/>
      <c r="W1095" s="1"/>
      <c r="X1095" s="1"/>
    </row>
    <row r="1096" spans="1:24">
      <c r="A1096" s="1"/>
      <c r="M1096" s="26"/>
      <c r="N1096" s="26"/>
      <c r="P1096" s="1"/>
      <c r="Q1096" s="1"/>
      <c r="R1096" s="8"/>
      <c r="S1096" s="1"/>
      <c r="T1096" s="8"/>
      <c r="U1096" s="1"/>
      <c r="V1096" s="1"/>
      <c r="W1096" s="1"/>
      <c r="X1096" s="1"/>
    </row>
    <row r="1097" spans="1:24">
      <c r="A1097" s="1"/>
      <c r="M1097" s="26"/>
      <c r="N1097" s="26"/>
      <c r="P1097" s="1"/>
      <c r="Q1097" s="1"/>
      <c r="R1097" s="8"/>
      <c r="S1097" s="1"/>
      <c r="T1097" s="8"/>
      <c r="U1097" s="1"/>
      <c r="V1097" s="1"/>
      <c r="W1097" s="1"/>
      <c r="X1097" s="1"/>
    </row>
    <row r="1098" spans="1:24">
      <c r="A1098" s="1"/>
      <c r="M1098" s="26"/>
      <c r="N1098" s="26"/>
      <c r="P1098" s="1"/>
      <c r="Q1098" s="1"/>
      <c r="R1098" s="8"/>
      <c r="S1098" s="1"/>
      <c r="T1098" s="8"/>
      <c r="U1098" s="1"/>
      <c r="V1098" s="1"/>
      <c r="W1098" s="1"/>
      <c r="X1098" s="1"/>
    </row>
    <row r="1099" spans="1:24">
      <c r="A1099" s="1"/>
      <c r="M1099" s="26"/>
      <c r="N1099" s="26"/>
      <c r="P1099" s="1"/>
      <c r="Q1099" s="1"/>
      <c r="R1099" s="8"/>
      <c r="S1099" s="1"/>
      <c r="T1099" s="8"/>
      <c r="U1099" s="1"/>
      <c r="V1099" s="1"/>
      <c r="W1099" s="1"/>
      <c r="X1099" s="1"/>
    </row>
    <row r="1100" spans="1:24">
      <c r="A1100" s="1"/>
      <c r="M1100" s="26"/>
      <c r="N1100" s="26"/>
      <c r="P1100" s="1"/>
      <c r="Q1100" s="1"/>
      <c r="R1100" s="8"/>
      <c r="S1100" s="1"/>
      <c r="T1100" s="8"/>
      <c r="U1100" s="1"/>
      <c r="V1100" s="1"/>
      <c r="W1100" s="1"/>
      <c r="X1100" s="1"/>
    </row>
    <row r="1101" spans="1:24">
      <c r="A1101" s="1"/>
      <c r="M1101" s="26"/>
      <c r="N1101" s="26"/>
      <c r="P1101" s="1"/>
      <c r="Q1101" s="1"/>
      <c r="R1101" s="8"/>
      <c r="S1101" s="1"/>
      <c r="T1101" s="8"/>
      <c r="U1101" s="1"/>
      <c r="V1101" s="1"/>
      <c r="W1101" s="1"/>
      <c r="X1101" s="1"/>
    </row>
    <row r="1102" spans="1:24">
      <c r="A1102" s="1"/>
      <c r="M1102" s="26"/>
      <c r="N1102" s="26"/>
      <c r="P1102" s="1"/>
      <c r="Q1102" s="1"/>
      <c r="R1102" s="8"/>
      <c r="S1102" s="1"/>
      <c r="T1102" s="8"/>
      <c r="U1102" s="1"/>
      <c r="V1102" s="1"/>
      <c r="W1102" s="1"/>
      <c r="X1102" s="1"/>
    </row>
    <row r="1103" spans="1:24">
      <c r="A1103" s="1"/>
      <c r="M1103" s="26"/>
      <c r="N1103" s="26"/>
      <c r="P1103" s="1"/>
      <c r="Q1103" s="1"/>
      <c r="R1103" s="8"/>
      <c r="S1103" s="1"/>
      <c r="T1103" s="8"/>
      <c r="U1103" s="1"/>
      <c r="V1103" s="1"/>
      <c r="W1103" s="1"/>
      <c r="X1103" s="1"/>
    </row>
    <row r="1104" spans="1:24">
      <c r="A1104" s="1"/>
      <c r="M1104" s="26"/>
      <c r="N1104" s="26"/>
      <c r="P1104" s="1"/>
      <c r="Q1104" s="1"/>
      <c r="R1104" s="8"/>
      <c r="S1104" s="1"/>
      <c r="T1104" s="8"/>
      <c r="U1104" s="1"/>
      <c r="V1104" s="1"/>
      <c r="W1104" s="1"/>
      <c r="X1104" s="1"/>
    </row>
    <row r="1105" spans="1:24">
      <c r="A1105" s="1"/>
      <c r="M1105" s="26"/>
      <c r="N1105" s="26"/>
      <c r="P1105" s="1"/>
      <c r="Q1105" s="1"/>
      <c r="R1105" s="8"/>
      <c r="S1105" s="1"/>
      <c r="T1105" s="8"/>
      <c r="U1105" s="1"/>
      <c r="V1105" s="1"/>
      <c r="W1105" s="1"/>
      <c r="X1105" s="1"/>
    </row>
    <row r="1106" spans="1:24">
      <c r="A1106" s="1"/>
      <c r="M1106" s="26"/>
      <c r="N1106" s="26"/>
      <c r="P1106" s="1"/>
      <c r="Q1106" s="1"/>
      <c r="R1106" s="8"/>
      <c r="S1106" s="1"/>
      <c r="T1106" s="8"/>
      <c r="U1106" s="1"/>
      <c r="V1106" s="1"/>
      <c r="W1106" s="1"/>
      <c r="X1106" s="1"/>
    </row>
    <row r="1107" spans="1:24">
      <c r="A1107" s="1"/>
      <c r="M1107" s="26"/>
      <c r="N1107" s="26"/>
      <c r="P1107" s="1"/>
      <c r="Q1107" s="1"/>
      <c r="R1107" s="8"/>
      <c r="S1107" s="1"/>
      <c r="T1107" s="8"/>
      <c r="U1107" s="1"/>
      <c r="V1107" s="1"/>
      <c r="W1107" s="1"/>
      <c r="X1107" s="1"/>
    </row>
    <row r="1108" spans="1:24">
      <c r="A1108" s="1"/>
      <c r="M1108" s="26"/>
      <c r="N1108" s="26"/>
      <c r="P1108" s="1"/>
      <c r="Q1108" s="1"/>
      <c r="R1108" s="8"/>
      <c r="S1108" s="1"/>
      <c r="T1108" s="8"/>
      <c r="U1108" s="1"/>
      <c r="V1108" s="1"/>
      <c r="W1108" s="1"/>
      <c r="X1108" s="1"/>
    </row>
    <row r="1109" spans="1:24">
      <c r="A1109" s="1"/>
      <c r="M1109" s="26"/>
      <c r="N1109" s="26"/>
      <c r="P1109" s="1"/>
      <c r="Q1109" s="1"/>
      <c r="R1109" s="8"/>
      <c r="S1109" s="1"/>
      <c r="T1109" s="8"/>
      <c r="U1109" s="1"/>
      <c r="V1109" s="1"/>
      <c r="W1109" s="1"/>
      <c r="X1109" s="1"/>
    </row>
    <row r="1110" spans="1:24">
      <c r="A1110" s="1"/>
      <c r="M1110" s="26"/>
      <c r="N1110" s="26"/>
      <c r="P1110" s="1"/>
      <c r="Q1110" s="1"/>
      <c r="R1110" s="8"/>
      <c r="S1110" s="1"/>
      <c r="T1110" s="8"/>
      <c r="U1110" s="1"/>
      <c r="V1110" s="1"/>
      <c r="W1110" s="1"/>
      <c r="X1110" s="1"/>
    </row>
    <row r="1111" spans="1:24">
      <c r="A1111" s="1"/>
      <c r="M1111" s="26"/>
      <c r="N1111" s="26"/>
      <c r="P1111" s="1"/>
      <c r="Q1111" s="1"/>
      <c r="R1111" s="8"/>
      <c r="S1111" s="1"/>
      <c r="T1111" s="8"/>
      <c r="U1111" s="1"/>
      <c r="V1111" s="1"/>
      <c r="W1111" s="1"/>
      <c r="X1111" s="1"/>
    </row>
    <row r="1112" spans="1:24">
      <c r="A1112" s="1"/>
      <c r="M1112" s="26"/>
      <c r="N1112" s="26"/>
      <c r="P1112" s="1"/>
      <c r="Q1112" s="1"/>
      <c r="R1112" s="8"/>
      <c r="S1112" s="1"/>
      <c r="T1112" s="8"/>
      <c r="U1112" s="1"/>
      <c r="V1112" s="1"/>
      <c r="W1112" s="1"/>
      <c r="X1112" s="1"/>
    </row>
    <row r="1113" spans="1:24">
      <c r="A1113" s="1"/>
      <c r="M1113" s="26"/>
      <c r="N1113" s="26"/>
      <c r="P1113" s="1"/>
      <c r="Q1113" s="1"/>
      <c r="R1113" s="8"/>
      <c r="S1113" s="1"/>
      <c r="T1113" s="8"/>
      <c r="U1113" s="1"/>
      <c r="V1113" s="1"/>
      <c r="W1113" s="1"/>
      <c r="X1113" s="1"/>
    </row>
    <row r="1114" spans="1:24">
      <c r="A1114" s="1"/>
      <c r="M1114" s="26"/>
      <c r="N1114" s="26"/>
      <c r="P1114" s="1"/>
      <c r="Q1114" s="1"/>
      <c r="R1114" s="8"/>
      <c r="S1114" s="1"/>
      <c r="T1114" s="8"/>
      <c r="U1114" s="1"/>
      <c r="V1114" s="1"/>
      <c r="W1114" s="1"/>
      <c r="X1114" s="1"/>
    </row>
    <row r="1115" spans="1:24">
      <c r="A1115" s="1"/>
      <c r="M1115" s="26"/>
      <c r="N1115" s="26"/>
      <c r="P1115" s="1"/>
      <c r="Q1115" s="1"/>
      <c r="R1115" s="8"/>
      <c r="S1115" s="1"/>
      <c r="T1115" s="8"/>
      <c r="U1115" s="1"/>
      <c r="V1115" s="1"/>
      <c r="W1115" s="1"/>
      <c r="X1115" s="1"/>
    </row>
    <row r="1116" spans="1:24">
      <c r="A1116" s="1"/>
      <c r="M1116" s="26"/>
      <c r="N1116" s="26"/>
      <c r="P1116" s="1"/>
      <c r="Q1116" s="1"/>
      <c r="R1116" s="8"/>
      <c r="S1116" s="1"/>
      <c r="T1116" s="8"/>
      <c r="U1116" s="1"/>
      <c r="V1116" s="1"/>
      <c r="W1116" s="1"/>
      <c r="X1116" s="1"/>
    </row>
    <row r="1117" spans="1:24">
      <c r="A1117" s="1"/>
      <c r="M1117" s="26"/>
      <c r="N1117" s="26"/>
      <c r="P1117" s="1"/>
      <c r="Q1117" s="1"/>
      <c r="R1117" s="8"/>
      <c r="S1117" s="1"/>
      <c r="T1117" s="8"/>
      <c r="U1117" s="1"/>
      <c r="V1117" s="1"/>
      <c r="W1117" s="1"/>
      <c r="X1117" s="1"/>
    </row>
    <row r="1118" spans="1:24">
      <c r="A1118" s="1"/>
      <c r="M1118" s="26"/>
      <c r="N1118" s="26"/>
      <c r="P1118" s="1"/>
      <c r="Q1118" s="1"/>
      <c r="R1118" s="8"/>
      <c r="S1118" s="1"/>
      <c r="T1118" s="8"/>
      <c r="U1118" s="1"/>
      <c r="V1118" s="1"/>
      <c r="W1118" s="1"/>
      <c r="X1118" s="1"/>
    </row>
    <row r="1119" spans="1:24">
      <c r="A1119" s="1"/>
      <c r="M1119" s="26"/>
      <c r="N1119" s="26"/>
      <c r="P1119" s="1"/>
      <c r="Q1119" s="1"/>
      <c r="R1119" s="8"/>
      <c r="S1119" s="1"/>
      <c r="T1119" s="8"/>
      <c r="U1119" s="1"/>
      <c r="V1119" s="1"/>
      <c r="W1119" s="1"/>
      <c r="X1119" s="1"/>
    </row>
    <row r="1120" spans="1:24">
      <c r="A1120" s="1"/>
      <c r="M1120" s="26"/>
      <c r="N1120" s="26"/>
      <c r="P1120" s="1"/>
      <c r="Q1120" s="1"/>
      <c r="R1120" s="8"/>
      <c r="S1120" s="1"/>
      <c r="T1120" s="8"/>
      <c r="U1120" s="1"/>
      <c r="V1120" s="1"/>
      <c r="W1120" s="1"/>
      <c r="X1120" s="1"/>
    </row>
    <row r="1121" spans="1:24">
      <c r="A1121" s="1"/>
      <c r="M1121" s="26"/>
      <c r="N1121" s="26"/>
      <c r="P1121" s="1"/>
      <c r="Q1121" s="1"/>
      <c r="R1121" s="8"/>
      <c r="S1121" s="1"/>
      <c r="T1121" s="8"/>
      <c r="U1121" s="1"/>
      <c r="V1121" s="1"/>
      <c r="W1121" s="1"/>
      <c r="X1121" s="1"/>
    </row>
    <row r="1122" spans="1:24">
      <c r="A1122" s="1"/>
      <c r="M1122" s="26"/>
      <c r="N1122" s="26"/>
      <c r="P1122" s="1"/>
      <c r="Q1122" s="1"/>
      <c r="R1122" s="8"/>
      <c r="S1122" s="1"/>
      <c r="T1122" s="8"/>
      <c r="U1122" s="1"/>
      <c r="V1122" s="1"/>
      <c r="W1122" s="1"/>
      <c r="X1122" s="1"/>
    </row>
    <row r="1123" spans="1:24">
      <c r="A1123" s="1"/>
      <c r="M1123" s="26"/>
      <c r="N1123" s="26"/>
      <c r="P1123" s="1"/>
      <c r="Q1123" s="1"/>
      <c r="R1123" s="8"/>
      <c r="S1123" s="1"/>
      <c r="T1123" s="8"/>
      <c r="U1123" s="1"/>
      <c r="V1123" s="1"/>
      <c r="W1123" s="1"/>
      <c r="X1123" s="1"/>
    </row>
    <row r="1124" spans="1:24">
      <c r="A1124" s="1"/>
      <c r="M1124" s="26"/>
      <c r="N1124" s="26"/>
      <c r="P1124" s="1"/>
      <c r="Q1124" s="1"/>
      <c r="R1124" s="8"/>
      <c r="S1124" s="1"/>
      <c r="T1124" s="8"/>
      <c r="U1124" s="1"/>
      <c r="V1124" s="1"/>
      <c r="W1124" s="1"/>
      <c r="X1124" s="1"/>
    </row>
    <row r="1125" spans="1:24">
      <c r="A1125" s="1"/>
      <c r="M1125" s="26"/>
      <c r="N1125" s="26"/>
      <c r="P1125" s="1"/>
      <c r="Q1125" s="1"/>
      <c r="R1125" s="8"/>
      <c r="S1125" s="1"/>
      <c r="T1125" s="8"/>
      <c r="U1125" s="1"/>
      <c r="V1125" s="1"/>
      <c r="W1125" s="1"/>
      <c r="X1125" s="1"/>
    </row>
    <row r="1126" spans="1:24">
      <c r="A1126" s="1"/>
      <c r="M1126" s="26"/>
      <c r="N1126" s="26"/>
      <c r="P1126" s="1"/>
      <c r="Q1126" s="1"/>
      <c r="R1126" s="8"/>
      <c r="S1126" s="1"/>
      <c r="T1126" s="8"/>
      <c r="U1126" s="1"/>
      <c r="V1126" s="1"/>
      <c r="W1126" s="1"/>
      <c r="X1126" s="1"/>
    </row>
    <row r="1127" spans="1:24">
      <c r="A1127" s="1"/>
      <c r="M1127" s="26"/>
      <c r="N1127" s="26"/>
      <c r="P1127" s="1"/>
      <c r="Q1127" s="1"/>
      <c r="R1127" s="8"/>
      <c r="S1127" s="1"/>
      <c r="T1127" s="8"/>
      <c r="U1127" s="1"/>
      <c r="V1127" s="1"/>
      <c r="W1127" s="1"/>
      <c r="X1127" s="1"/>
    </row>
    <row r="1128" spans="1:24">
      <c r="A1128" s="1"/>
      <c r="M1128" s="26"/>
      <c r="N1128" s="26"/>
      <c r="P1128" s="1"/>
      <c r="Q1128" s="1"/>
      <c r="R1128" s="8"/>
      <c r="S1128" s="1"/>
      <c r="T1128" s="8"/>
      <c r="U1128" s="1"/>
      <c r="V1128" s="1"/>
      <c r="W1128" s="1"/>
      <c r="X1128" s="1"/>
    </row>
    <row r="1129" spans="1:24">
      <c r="A1129" s="1"/>
      <c r="M1129" s="26"/>
      <c r="N1129" s="26"/>
      <c r="P1129" s="1"/>
      <c r="Q1129" s="1"/>
      <c r="R1129" s="8"/>
      <c r="S1129" s="1"/>
      <c r="T1129" s="8"/>
      <c r="U1129" s="1"/>
      <c r="V1129" s="1"/>
      <c r="W1129" s="1"/>
      <c r="X1129" s="1"/>
    </row>
    <row r="1130" spans="1:24">
      <c r="A1130" s="1"/>
      <c r="M1130" s="26"/>
      <c r="N1130" s="26"/>
      <c r="P1130" s="1"/>
      <c r="Q1130" s="1"/>
      <c r="R1130" s="8"/>
      <c r="S1130" s="1"/>
      <c r="T1130" s="8"/>
      <c r="U1130" s="1"/>
      <c r="V1130" s="1"/>
      <c r="W1130" s="1"/>
      <c r="X1130" s="1"/>
    </row>
    <row r="1131" spans="1:24">
      <c r="A1131" s="1"/>
      <c r="M1131" s="26"/>
      <c r="N1131" s="26"/>
      <c r="P1131" s="1"/>
      <c r="Q1131" s="1"/>
      <c r="R1131" s="8"/>
      <c r="S1131" s="1"/>
      <c r="T1131" s="8"/>
      <c r="U1131" s="1"/>
      <c r="V1131" s="1"/>
      <c r="W1131" s="1"/>
      <c r="X1131" s="1"/>
    </row>
    <row r="1132" spans="1:24">
      <c r="A1132" s="1"/>
      <c r="M1132" s="26"/>
      <c r="N1132" s="26"/>
      <c r="P1132" s="1"/>
      <c r="Q1132" s="1"/>
      <c r="R1132" s="8"/>
      <c r="S1132" s="1"/>
      <c r="T1132" s="8"/>
      <c r="U1132" s="1"/>
      <c r="V1132" s="1"/>
      <c r="W1132" s="1"/>
      <c r="X1132" s="1"/>
    </row>
    <row r="1133" spans="1:24">
      <c r="A1133" s="1"/>
      <c r="M1133" s="26"/>
      <c r="N1133" s="26"/>
      <c r="P1133" s="1"/>
      <c r="Q1133" s="1"/>
      <c r="R1133" s="8"/>
      <c r="S1133" s="1"/>
      <c r="T1133" s="8"/>
      <c r="U1133" s="1"/>
      <c r="V1133" s="1"/>
      <c r="W1133" s="1"/>
      <c r="X1133" s="1"/>
    </row>
    <row r="1134" spans="1:24">
      <c r="A1134" s="1"/>
      <c r="M1134" s="26"/>
      <c r="N1134" s="26"/>
      <c r="P1134" s="1"/>
      <c r="Q1134" s="1"/>
      <c r="R1134" s="8"/>
      <c r="S1134" s="1"/>
      <c r="T1134" s="8"/>
      <c r="U1134" s="1"/>
      <c r="V1134" s="1"/>
      <c r="W1134" s="1"/>
      <c r="X1134" s="1"/>
    </row>
    <row r="1135" spans="1:24">
      <c r="A1135" s="1"/>
      <c r="M1135" s="26"/>
      <c r="N1135" s="26"/>
      <c r="P1135" s="1"/>
      <c r="Q1135" s="1"/>
      <c r="R1135" s="8"/>
      <c r="S1135" s="1"/>
      <c r="T1135" s="8"/>
      <c r="U1135" s="1"/>
      <c r="V1135" s="1"/>
      <c r="W1135" s="1"/>
      <c r="X1135" s="1"/>
    </row>
    <row r="1136" spans="1:24">
      <c r="A1136" s="1"/>
      <c r="M1136" s="26"/>
      <c r="N1136" s="26"/>
      <c r="P1136" s="1"/>
      <c r="Q1136" s="1"/>
      <c r="R1136" s="8"/>
      <c r="S1136" s="1"/>
      <c r="T1136" s="8"/>
      <c r="U1136" s="1"/>
      <c r="V1136" s="1"/>
      <c r="W1136" s="1"/>
      <c r="X1136" s="1"/>
    </row>
    <row r="1137" spans="1:24">
      <c r="A1137" s="1"/>
      <c r="M1137" s="26"/>
      <c r="N1137" s="26"/>
      <c r="P1137" s="1"/>
      <c r="Q1137" s="1"/>
      <c r="R1137" s="8"/>
      <c r="S1137" s="1"/>
      <c r="T1137" s="8"/>
      <c r="U1137" s="1"/>
      <c r="V1137" s="1"/>
      <c r="W1137" s="1"/>
      <c r="X1137" s="1"/>
    </row>
    <row r="1138" spans="1:24">
      <c r="A1138" s="1"/>
      <c r="M1138" s="26"/>
      <c r="N1138" s="26"/>
      <c r="P1138" s="1"/>
      <c r="Q1138" s="1"/>
      <c r="R1138" s="8"/>
      <c r="S1138" s="1"/>
      <c r="T1138" s="8"/>
      <c r="U1138" s="1"/>
      <c r="V1138" s="1"/>
      <c r="W1138" s="1"/>
      <c r="X1138" s="1"/>
    </row>
    <row r="1139" spans="1:24">
      <c r="A1139" s="1"/>
      <c r="M1139" s="26"/>
      <c r="N1139" s="26"/>
      <c r="P1139" s="1"/>
      <c r="Q1139" s="1"/>
      <c r="R1139" s="8"/>
      <c r="S1139" s="1"/>
      <c r="T1139" s="8"/>
      <c r="U1139" s="1"/>
      <c r="V1139" s="1"/>
      <c r="W1139" s="1"/>
      <c r="X1139" s="1"/>
    </row>
    <row r="1140" spans="1:24">
      <c r="A1140" s="1"/>
      <c r="M1140" s="26"/>
      <c r="N1140" s="26"/>
      <c r="P1140" s="1"/>
      <c r="Q1140" s="1"/>
      <c r="R1140" s="8"/>
      <c r="S1140" s="1"/>
      <c r="T1140" s="8"/>
      <c r="U1140" s="1"/>
      <c r="V1140" s="1"/>
      <c r="W1140" s="1"/>
      <c r="X1140" s="1"/>
    </row>
    <row r="1141" spans="1:24">
      <c r="A1141" s="1"/>
      <c r="M1141" s="26"/>
      <c r="N1141" s="26"/>
      <c r="P1141" s="1"/>
      <c r="Q1141" s="1"/>
      <c r="R1141" s="8"/>
      <c r="S1141" s="1"/>
      <c r="T1141" s="8"/>
      <c r="U1141" s="1"/>
      <c r="V1141" s="1"/>
      <c r="W1141" s="1"/>
      <c r="X1141" s="1"/>
    </row>
    <row r="1142" spans="1:24">
      <c r="A1142" s="1"/>
      <c r="M1142" s="26"/>
      <c r="N1142" s="26"/>
      <c r="P1142" s="1"/>
      <c r="Q1142" s="1"/>
      <c r="R1142" s="8"/>
      <c r="S1142" s="1"/>
      <c r="T1142" s="8"/>
      <c r="U1142" s="1"/>
      <c r="V1142" s="1"/>
      <c r="W1142" s="1"/>
      <c r="X1142" s="1"/>
    </row>
    <row r="1143" spans="1:24">
      <c r="A1143" s="1"/>
      <c r="M1143" s="26"/>
      <c r="N1143" s="26"/>
      <c r="P1143" s="1"/>
      <c r="Q1143" s="1"/>
      <c r="R1143" s="8"/>
      <c r="S1143" s="1"/>
      <c r="T1143" s="8"/>
      <c r="U1143" s="1"/>
      <c r="V1143" s="1"/>
      <c r="W1143" s="1"/>
      <c r="X1143" s="1"/>
    </row>
    <row r="1144" spans="1:24">
      <c r="A1144" s="1"/>
      <c r="M1144" s="26"/>
      <c r="N1144" s="26"/>
      <c r="P1144" s="1"/>
      <c r="Q1144" s="1"/>
      <c r="R1144" s="8"/>
      <c r="S1144" s="1"/>
      <c r="T1144" s="8"/>
      <c r="U1144" s="1"/>
      <c r="V1144" s="1"/>
      <c r="W1144" s="1"/>
      <c r="X1144" s="1"/>
    </row>
    <row r="1145" spans="1:24">
      <c r="A1145" s="1"/>
      <c r="M1145" s="26"/>
      <c r="N1145" s="26"/>
      <c r="P1145" s="1"/>
      <c r="Q1145" s="1"/>
      <c r="R1145" s="8"/>
      <c r="S1145" s="1"/>
      <c r="T1145" s="8"/>
      <c r="U1145" s="1"/>
      <c r="V1145" s="1"/>
      <c r="W1145" s="1"/>
      <c r="X1145" s="1"/>
    </row>
    <row r="1146" spans="1:24">
      <c r="A1146" s="1"/>
      <c r="M1146" s="26"/>
      <c r="N1146" s="26"/>
      <c r="P1146" s="1"/>
      <c r="Q1146" s="1"/>
      <c r="R1146" s="8"/>
      <c r="S1146" s="1"/>
      <c r="T1146" s="8"/>
      <c r="U1146" s="1"/>
      <c r="V1146" s="1"/>
      <c r="W1146" s="1"/>
      <c r="X1146" s="1"/>
    </row>
    <row r="1147" spans="1:24">
      <c r="A1147" s="1"/>
      <c r="M1147" s="26"/>
      <c r="N1147" s="26"/>
      <c r="P1147" s="1"/>
      <c r="Q1147" s="1"/>
      <c r="R1147" s="8"/>
      <c r="S1147" s="1"/>
      <c r="T1147" s="8"/>
      <c r="U1147" s="1"/>
      <c r="V1147" s="1"/>
      <c r="W1147" s="1"/>
      <c r="X1147" s="1"/>
    </row>
    <row r="1148" spans="1:24">
      <c r="A1148" s="1"/>
      <c r="M1148" s="26"/>
      <c r="N1148" s="26"/>
      <c r="P1148" s="1"/>
      <c r="Q1148" s="1"/>
      <c r="R1148" s="8"/>
      <c r="S1148" s="1"/>
      <c r="T1148" s="8"/>
      <c r="U1148" s="1"/>
      <c r="V1148" s="1"/>
      <c r="W1148" s="1"/>
      <c r="X1148" s="1"/>
    </row>
    <row r="1149" spans="1:24">
      <c r="A1149" s="1"/>
      <c r="M1149" s="26"/>
      <c r="N1149" s="26"/>
      <c r="P1149" s="1"/>
      <c r="Q1149" s="1"/>
      <c r="R1149" s="8"/>
      <c r="S1149" s="1"/>
      <c r="T1149" s="8"/>
      <c r="U1149" s="1"/>
      <c r="V1149" s="1"/>
      <c r="W1149" s="1"/>
      <c r="X1149" s="1"/>
    </row>
    <row r="1150" spans="1:24">
      <c r="A1150" s="1"/>
      <c r="M1150" s="26"/>
      <c r="N1150" s="26"/>
      <c r="P1150" s="1"/>
      <c r="Q1150" s="1"/>
      <c r="R1150" s="8"/>
      <c r="S1150" s="1"/>
      <c r="T1150" s="8"/>
      <c r="U1150" s="1"/>
      <c r="V1150" s="1"/>
      <c r="W1150" s="1"/>
      <c r="X1150" s="1"/>
    </row>
    <row r="1151" spans="1:24">
      <c r="A1151" s="1"/>
      <c r="M1151" s="26"/>
      <c r="N1151" s="26"/>
      <c r="P1151" s="1"/>
      <c r="Q1151" s="1"/>
      <c r="R1151" s="8"/>
      <c r="S1151" s="1"/>
      <c r="T1151" s="8"/>
      <c r="U1151" s="1"/>
      <c r="V1151" s="1"/>
      <c r="W1151" s="1"/>
      <c r="X1151" s="1"/>
    </row>
    <row r="1152" spans="1:24">
      <c r="A1152" s="1"/>
      <c r="M1152" s="26"/>
      <c r="N1152" s="26"/>
      <c r="P1152" s="1"/>
      <c r="Q1152" s="1"/>
      <c r="R1152" s="8"/>
      <c r="S1152" s="1"/>
      <c r="T1152" s="8"/>
      <c r="U1152" s="1"/>
      <c r="V1152" s="1"/>
      <c r="W1152" s="1"/>
      <c r="X1152" s="1"/>
    </row>
    <row r="1153" spans="1:24">
      <c r="A1153" s="1"/>
      <c r="M1153" s="26"/>
      <c r="N1153" s="26"/>
      <c r="P1153" s="1"/>
      <c r="Q1153" s="1"/>
      <c r="R1153" s="8"/>
      <c r="S1153" s="1"/>
      <c r="T1153" s="8"/>
      <c r="U1153" s="1"/>
      <c r="V1153" s="1"/>
      <c r="W1153" s="1"/>
      <c r="X1153" s="1"/>
    </row>
    <row r="1154" spans="1:24">
      <c r="A1154" s="1"/>
      <c r="M1154" s="26"/>
      <c r="N1154" s="26"/>
      <c r="P1154" s="1"/>
      <c r="Q1154" s="1"/>
      <c r="R1154" s="8"/>
      <c r="S1154" s="1"/>
      <c r="T1154" s="8"/>
      <c r="U1154" s="1"/>
      <c r="V1154" s="1"/>
      <c r="W1154" s="1"/>
      <c r="X1154" s="1"/>
    </row>
    <row r="1155" spans="1:24">
      <c r="A1155" s="1"/>
      <c r="M1155" s="26"/>
      <c r="N1155" s="26"/>
      <c r="P1155" s="1"/>
      <c r="Q1155" s="1"/>
      <c r="R1155" s="8"/>
      <c r="S1155" s="1"/>
      <c r="T1155" s="8"/>
      <c r="U1155" s="1"/>
      <c r="V1155" s="1"/>
      <c r="W1155" s="1"/>
      <c r="X1155" s="1"/>
    </row>
    <row r="1156" spans="1:24">
      <c r="A1156" s="1"/>
      <c r="M1156" s="26"/>
      <c r="N1156" s="26"/>
      <c r="P1156" s="1"/>
      <c r="Q1156" s="1"/>
      <c r="R1156" s="8"/>
      <c r="S1156" s="1"/>
      <c r="T1156" s="8"/>
      <c r="U1156" s="1"/>
      <c r="V1156" s="1"/>
      <c r="W1156" s="1"/>
      <c r="X1156" s="1"/>
    </row>
    <row r="1157" spans="1:24">
      <c r="A1157" s="1"/>
      <c r="M1157" s="26"/>
      <c r="N1157" s="26"/>
      <c r="P1157" s="1"/>
      <c r="Q1157" s="1"/>
      <c r="R1157" s="8"/>
      <c r="S1157" s="1"/>
      <c r="T1157" s="8"/>
      <c r="U1157" s="1"/>
      <c r="V1157" s="1"/>
      <c r="W1157" s="1"/>
      <c r="X1157" s="1"/>
    </row>
    <row r="1158" spans="1:24">
      <c r="A1158" s="1"/>
      <c r="M1158" s="26"/>
      <c r="N1158" s="26"/>
      <c r="P1158" s="1"/>
      <c r="Q1158" s="1"/>
      <c r="R1158" s="8"/>
      <c r="S1158" s="1"/>
      <c r="T1158" s="8"/>
      <c r="U1158" s="1"/>
      <c r="V1158" s="1"/>
      <c r="W1158" s="1"/>
      <c r="X1158" s="1"/>
    </row>
    <row r="1159" spans="1:24">
      <c r="A1159" s="1"/>
      <c r="M1159" s="26"/>
      <c r="N1159" s="26"/>
      <c r="P1159" s="1"/>
      <c r="Q1159" s="1"/>
      <c r="R1159" s="8"/>
      <c r="S1159" s="1"/>
      <c r="T1159" s="8"/>
      <c r="U1159" s="1"/>
      <c r="V1159" s="1"/>
      <c r="W1159" s="1"/>
      <c r="X1159" s="1"/>
    </row>
    <row r="1160" spans="1:24">
      <c r="A1160" s="1"/>
      <c r="M1160" s="26"/>
      <c r="N1160" s="26"/>
      <c r="P1160" s="1"/>
      <c r="Q1160" s="1"/>
      <c r="R1160" s="8"/>
      <c r="S1160" s="1"/>
      <c r="T1160" s="8"/>
      <c r="U1160" s="1"/>
      <c r="V1160" s="1"/>
      <c r="W1160" s="1"/>
      <c r="X1160" s="1"/>
    </row>
    <row r="1161" spans="1:24">
      <c r="A1161" s="1"/>
      <c r="M1161" s="26"/>
      <c r="N1161" s="26"/>
      <c r="P1161" s="1"/>
      <c r="Q1161" s="1"/>
      <c r="R1161" s="8"/>
      <c r="S1161" s="1"/>
      <c r="T1161" s="8"/>
      <c r="U1161" s="1"/>
      <c r="V1161" s="1"/>
      <c r="W1161" s="1"/>
      <c r="X1161" s="1"/>
    </row>
    <row r="1162" spans="1:24">
      <c r="A1162" s="1"/>
      <c r="M1162" s="26"/>
      <c r="N1162" s="26"/>
      <c r="P1162" s="1"/>
      <c r="Q1162" s="1"/>
      <c r="R1162" s="8"/>
      <c r="S1162" s="1"/>
      <c r="T1162" s="8"/>
      <c r="U1162" s="1"/>
      <c r="V1162" s="1"/>
      <c r="W1162" s="1"/>
      <c r="X1162" s="1"/>
    </row>
    <row r="1163" spans="1:24">
      <c r="A1163" s="1"/>
      <c r="M1163" s="26"/>
      <c r="N1163" s="26"/>
      <c r="P1163" s="1"/>
      <c r="Q1163" s="1"/>
      <c r="R1163" s="8"/>
      <c r="S1163" s="1"/>
      <c r="T1163" s="8"/>
      <c r="U1163" s="1"/>
      <c r="V1163" s="1"/>
      <c r="W1163" s="1"/>
      <c r="X1163" s="1"/>
    </row>
    <row r="1164" spans="1:24">
      <c r="A1164" s="1"/>
      <c r="M1164" s="26"/>
      <c r="N1164" s="26"/>
      <c r="P1164" s="1"/>
      <c r="Q1164" s="1"/>
      <c r="R1164" s="8"/>
      <c r="S1164" s="1"/>
      <c r="T1164" s="8"/>
      <c r="U1164" s="1"/>
      <c r="V1164" s="1"/>
      <c r="W1164" s="1"/>
      <c r="X1164" s="1"/>
    </row>
    <row r="1165" spans="1:24">
      <c r="A1165" s="1"/>
      <c r="M1165" s="26"/>
      <c r="N1165" s="26"/>
      <c r="P1165" s="1"/>
      <c r="Q1165" s="1"/>
      <c r="R1165" s="8"/>
      <c r="S1165" s="1"/>
      <c r="T1165" s="8"/>
      <c r="U1165" s="1"/>
      <c r="V1165" s="1"/>
      <c r="W1165" s="1"/>
      <c r="X1165" s="1"/>
    </row>
    <row r="1166" spans="1:24">
      <c r="A1166" s="1"/>
      <c r="M1166" s="26"/>
      <c r="N1166" s="26"/>
      <c r="P1166" s="1"/>
      <c r="Q1166" s="1"/>
      <c r="R1166" s="8"/>
      <c r="S1166" s="1"/>
      <c r="T1166" s="8"/>
      <c r="U1166" s="1"/>
      <c r="V1166" s="1"/>
      <c r="W1166" s="1"/>
      <c r="X1166" s="1"/>
    </row>
    <row r="1167" spans="1:24">
      <c r="A1167" s="1"/>
      <c r="M1167" s="26"/>
      <c r="N1167" s="26"/>
      <c r="P1167" s="1"/>
      <c r="Q1167" s="1"/>
      <c r="R1167" s="8"/>
      <c r="S1167" s="1"/>
      <c r="T1167" s="8"/>
      <c r="U1167" s="1"/>
      <c r="V1167" s="1"/>
      <c r="W1167" s="1"/>
      <c r="X1167" s="1"/>
    </row>
    <row r="1168" spans="1:24">
      <c r="A1168" s="1"/>
      <c r="M1168" s="26"/>
      <c r="N1168" s="26"/>
      <c r="P1168" s="1"/>
      <c r="Q1168" s="1"/>
      <c r="R1168" s="8"/>
      <c r="S1168" s="1"/>
      <c r="T1168" s="8"/>
      <c r="U1168" s="1"/>
      <c r="V1168" s="1"/>
      <c r="W1168" s="1"/>
      <c r="X1168" s="1"/>
    </row>
    <row r="1169" spans="1:24">
      <c r="A1169" s="1"/>
      <c r="M1169" s="26"/>
      <c r="N1169" s="26"/>
      <c r="P1169" s="1"/>
      <c r="Q1169" s="1"/>
      <c r="R1169" s="8"/>
      <c r="S1169" s="1"/>
      <c r="T1169" s="8"/>
      <c r="U1169" s="1"/>
      <c r="V1169" s="1"/>
      <c r="W1169" s="1"/>
      <c r="X1169" s="1"/>
    </row>
    <row r="1170" spans="1:24">
      <c r="A1170" s="1"/>
      <c r="M1170" s="26"/>
      <c r="N1170" s="26"/>
      <c r="P1170" s="1"/>
      <c r="Q1170" s="1"/>
      <c r="R1170" s="8"/>
      <c r="S1170" s="1"/>
      <c r="T1170" s="8"/>
      <c r="U1170" s="1"/>
      <c r="V1170" s="1"/>
      <c r="W1170" s="1"/>
      <c r="X1170" s="1"/>
    </row>
    <row r="1171" spans="1:24">
      <c r="A1171" s="1"/>
      <c r="M1171" s="26"/>
      <c r="N1171" s="26"/>
      <c r="P1171" s="1"/>
      <c r="Q1171" s="1"/>
      <c r="R1171" s="8"/>
      <c r="S1171" s="1"/>
      <c r="T1171" s="8"/>
      <c r="U1171" s="1"/>
      <c r="V1171" s="1"/>
      <c r="W1171" s="1"/>
      <c r="X1171" s="1"/>
    </row>
    <row r="1172" spans="1:24">
      <c r="A1172" s="1"/>
      <c r="M1172" s="26"/>
      <c r="N1172" s="26"/>
      <c r="P1172" s="1"/>
      <c r="Q1172" s="1"/>
      <c r="R1172" s="8"/>
      <c r="S1172" s="1"/>
      <c r="T1172" s="8"/>
      <c r="U1172" s="1"/>
      <c r="V1172" s="1"/>
      <c r="W1172" s="1"/>
      <c r="X1172" s="1"/>
    </row>
    <row r="1173" spans="1:24">
      <c r="A1173" s="1"/>
      <c r="M1173" s="26"/>
      <c r="N1173" s="26"/>
      <c r="P1173" s="1"/>
      <c r="Q1173" s="1"/>
      <c r="R1173" s="8"/>
      <c r="S1173" s="1"/>
      <c r="T1173" s="8"/>
      <c r="U1173" s="1"/>
      <c r="V1173" s="1"/>
      <c r="W1173" s="1"/>
      <c r="X1173" s="1"/>
    </row>
    <row r="1174" spans="1:24">
      <c r="A1174" s="1"/>
      <c r="M1174" s="26"/>
      <c r="N1174" s="26"/>
      <c r="P1174" s="1"/>
      <c r="Q1174" s="1"/>
      <c r="R1174" s="8"/>
      <c r="S1174" s="1"/>
      <c r="T1174" s="8"/>
      <c r="U1174" s="1"/>
      <c r="V1174" s="1"/>
      <c r="W1174" s="1"/>
      <c r="X1174" s="1"/>
    </row>
    <row r="1175" spans="1:24">
      <c r="A1175" s="1"/>
      <c r="M1175" s="26"/>
      <c r="N1175" s="26"/>
      <c r="P1175" s="1"/>
      <c r="Q1175" s="1"/>
      <c r="R1175" s="8"/>
      <c r="S1175" s="1"/>
      <c r="T1175" s="8"/>
      <c r="U1175" s="1"/>
      <c r="V1175" s="1"/>
      <c r="W1175" s="1"/>
      <c r="X1175" s="1"/>
    </row>
    <row r="1176" spans="1:24">
      <c r="A1176" s="1"/>
      <c r="M1176" s="26"/>
      <c r="N1176" s="26"/>
      <c r="P1176" s="1"/>
      <c r="Q1176" s="1"/>
      <c r="R1176" s="8"/>
      <c r="S1176" s="1"/>
      <c r="T1176" s="8"/>
      <c r="U1176" s="1"/>
      <c r="V1176" s="1"/>
      <c r="W1176" s="1"/>
      <c r="X1176" s="1"/>
    </row>
    <row r="1177" spans="1:24">
      <c r="A1177" s="1"/>
      <c r="M1177" s="26"/>
      <c r="N1177" s="26"/>
      <c r="P1177" s="1"/>
      <c r="Q1177" s="1"/>
      <c r="R1177" s="8"/>
      <c r="S1177" s="1"/>
      <c r="T1177" s="8"/>
      <c r="U1177" s="1"/>
      <c r="V1177" s="1"/>
      <c r="W1177" s="1"/>
      <c r="X1177" s="1"/>
    </row>
    <row r="1178" spans="1:24">
      <c r="A1178" s="1"/>
      <c r="M1178" s="26"/>
      <c r="N1178" s="26"/>
      <c r="P1178" s="1"/>
      <c r="Q1178" s="1"/>
      <c r="R1178" s="8"/>
      <c r="S1178" s="1"/>
      <c r="T1178" s="8"/>
      <c r="U1178" s="1"/>
      <c r="V1178" s="1"/>
      <c r="W1178" s="1"/>
      <c r="X1178" s="1"/>
    </row>
    <row r="1179" spans="1:24">
      <c r="A1179" s="1"/>
      <c r="M1179" s="26"/>
      <c r="N1179" s="26"/>
      <c r="P1179" s="1"/>
      <c r="Q1179" s="1"/>
      <c r="R1179" s="8"/>
      <c r="S1179" s="1"/>
      <c r="T1179" s="8"/>
      <c r="U1179" s="1"/>
      <c r="V1179" s="1"/>
      <c r="W1179" s="1"/>
      <c r="X1179" s="1"/>
    </row>
    <row r="1180" spans="1:24">
      <c r="A1180" s="1"/>
      <c r="M1180" s="26"/>
      <c r="N1180" s="26"/>
      <c r="P1180" s="1"/>
      <c r="Q1180" s="1"/>
      <c r="R1180" s="8"/>
      <c r="S1180" s="1"/>
      <c r="T1180" s="8"/>
      <c r="U1180" s="1"/>
      <c r="V1180" s="1"/>
      <c r="W1180" s="1"/>
      <c r="X1180" s="1"/>
    </row>
    <row r="1181" spans="1:24">
      <c r="A1181" s="1"/>
      <c r="M1181" s="26"/>
      <c r="N1181" s="26"/>
      <c r="P1181" s="1"/>
      <c r="Q1181" s="1"/>
      <c r="R1181" s="8"/>
      <c r="S1181" s="1"/>
      <c r="T1181" s="8"/>
      <c r="U1181" s="1"/>
      <c r="V1181" s="1"/>
      <c r="W1181" s="1"/>
      <c r="X1181" s="1"/>
    </row>
    <row r="1182" spans="1:24">
      <c r="A1182" s="1"/>
      <c r="M1182" s="26"/>
      <c r="N1182" s="26"/>
      <c r="P1182" s="1"/>
      <c r="Q1182" s="1"/>
      <c r="R1182" s="8"/>
      <c r="S1182" s="1"/>
      <c r="T1182" s="8"/>
      <c r="U1182" s="1"/>
      <c r="V1182" s="1"/>
      <c r="W1182" s="1"/>
      <c r="X1182" s="1"/>
    </row>
    <row r="1183" spans="1:24">
      <c r="A1183" s="1"/>
      <c r="M1183" s="26"/>
      <c r="N1183" s="26"/>
      <c r="P1183" s="1"/>
      <c r="Q1183" s="1"/>
      <c r="R1183" s="8"/>
      <c r="S1183" s="1"/>
      <c r="T1183" s="8"/>
      <c r="U1183" s="1"/>
      <c r="V1183" s="1"/>
      <c r="W1183" s="1"/>
      <c r="X1183" s="1"/>
    </row>
    <row r="1184" spans="1:24">
      <c r="A1184" s="1"/>
      <c r="M1184" s="26"/>
      <c r="N1184" s="26"/>
      <c r="P1184" s="1"/>
      <c r="Q1184" s="1"/>
      <c r="R1184" s="8"/>
      <c r="S1184" s="1"/>
      <c r="T1184" s="8"/>
      <c r="U1184" s="1"/>
      <c r="V1184" s="1"/>
      <c r="W1184" s="1"/>
      <c r="X1184" s="1"/>
    </row>
    <row r="1185" spans="1:24">
      <c r="A1185" s="1"/>
      <c r="M1185" s="26"/>
      <c r="N1185" s="26"/>
      <c r="P1185" s="1"/>
      <c r="Q1185" s="1"/>
      <c r="R1185" s="8"/>
      <c r="S1185" s="1"/>
      <c r="T1185" s="8"/>
      <c r="U1185" s="1"/>
      <c r="V1185" s="1"/>
      <c r="W1185" s="1"/>
      <c r="X1185" s="1"/>
    </row>
    <row r="1186" spans="1:24">
      <c r="A1186" s="1"/>
      <c r="M1186" s="26"/>
      <c r="N1186" s="26"/>
      <c r="P1186" s="1"/>
      <c r="Q1186" s="1"/>
      <c r="R1186" s="8"/>
      <c r="S1186" s="1"/>
      <c r="T1186" s="8"/>
      <c r="U1186" s="1"/>
      <c r="V1186" s="1"/>
      <c r="W1186" s="1"/>
      <c r="X1186" s="1"/>
    </row>
    <row r="1187" spans="1:24">
      <c r="A1187" s="1"/>
      <c r="M1187" s="26"/>
      <c r="N1187" s="26"/>
      <c r="P1187" s="1"/>
      <c r="Q1187" s="1"/>
      <c r="R1187" s="8"/>
      <c r="S1187" s="1"/>
      <c r="T1187" s="8"/>
      <c r="U1187" s="1"/>
      <c r="V1187" s="1"/>
      <c r="W1187" s="1"/>
      <c r="X1187" s="1"/>
    </row>
    <row r="1188" spans="1:24">
      <c r="A1188" s="1"/>
      <c r="M1188" s="26"/>
      <c r="N1188" s="26"/>
      <c r="P1188" s="1"/>
      <c r="Q1188" s="1"/>
      <c r="R1188" s="8"/>
      <c r="S1188" s="1"/>
      <c r="T1188" s="8"/>
      <c r="U1188" s="1"/>
      <c r="V1188" s="1"/>
      <c r="W1188" s="1"/>
      <c r="X1188" s="1"/>
    </row>
    <row r="1189" spans="1:24">
      <c r="A1189" s="1"/>
      <c r="M1189" s="26"/>
      <c r="N1189" s="26"/>
      <c r="P1189" s="1"/>
      <c r="Q1189" s="1"/>
      <c r="R1189" s="8"/>
      <c r="S1189" s="1"/>
      <c r="T1189" s="8"/>
      <c r="U1189" s="1"/>
      <c r="V1189" s="1"/>
      <c r="W1189" s="1"/>
      <c r="X1189" s="1"/>
    </row>
    <row r="1190" spans="1:24">
      <c r="A1190" s="1"/>
      <c r="M1190" s="26"/>
      <c r="N1190" s="26"/>
      <c r="P1190" s="1"/>
      <c r="Q1190" s="1"/>
      <c r="R1190" s="8"/>
      <c r="S1190" s="1"/>
      <c r="T1190" s="8"/>
      <c r="U1190" s="1"/>
      <c r="V1190" s="1"/>
      <c r="W1190" s="1"/>
      <c r="X1190" s="1"/>
    </row>
    <row r="1191" spans="1:24">
      <c r="A1191" s="1"/>
      <c r="M1191" s="26"/>
      <c r="N1191" s="26"/>
      <c r="P1191" s="1"/>
      <c r="Q1191" s="1"/>
      <c r="R1191" s="8"/>
      <c r="S1191" s="1"/>
      <c r="T1191" s="8"/>
      <c r="U1191" s="1"/>
      <c r="V1191" s="1"/>
      <c r="W1191" s="1"/>
      <c r="X1191" s="1"/>
    </row>
    <row r="1192" spans="1:24">
      <c r="A1192" s="1"/>
      <c r="M1192" s="26"/>
      <c r="N1192" s="26"/>
      <c r="P1192" s="1"/>
      <c r="Q1192" s="1"/>
      <c r="R1192" s="8"/>
      <c r="S1192" s="1"/>
      <c r="T1192" s="8"/>
      <c r="U1192" s="1"/>
      <c r="V1192" s="1"/>
      <c r="W1192" s="1"/>
      <c r="X1192" s="1"/>
    </row>
    <row r="1193" spans="1:24">
      <c r="A1193" s="1"/>
      <c r="M1193" s="26"/>
      <c r="N1193" s="26"/>
      <c r="P1193" s="1"/>
      <c r="Q1193" s="1"/>
      <c r="R1193" s="8"/>
      <c r="S1193" s="1"/>
      <c r="T1193" s="8"/>
      <c r="U1193" s="1"/>
      <c r="V1193" s="1"/>
      <c r="W1193" s="1"/>
      <c r="X1193" s="1"/>
    </row>
    <row r="1194" spans="1:24">
      <c r="A1194" s="1"/>
      <c r="M1194" s="26"/>
      <c r="N1194" s="26"/>
      <c r="P1194" s="1"/>
      <c r="Q1194" s="1"/>
      <c r="R1194" s="8"/>
      <c r="S1194" s="1"/>
      <c r="T1194" s="8"/>
      <c r="U1194" s="1"/>
      <c r="V1194" s="1"/>
      <c r="W1194" s="1"/>
      <c r="X1194" s="1"/>
    </row>
    <row r="1195" spans="1:24">
      <c r="A1195" s="1"/>
      <c r="M1195" s="26"/>
      <c r="N1195" s="26"/>
      <c r="P1195" s="1"/>
      <c r="Q1195" s="1"/>
      <c r="R1195" s="8"/>
      <c r="S1195" s="1"/>
      <c r="T1195" s="8"/>
      <c r="U1195" s="1"/>
      <c r="V1195" s="1"/>
      <c r="W1195" s="1"/>
      <c r="X1195" s="1"/>
    </row>
    <row r="1196" spans="1:24">
      <c r="A1196" s="1"/>
      <c r="M1196" s="26"/>
      <c r="N1196" s="26"/>
      <c r="P1196" s="1"/>
      <c r="Q1196" s="1"/>
      <c r="R1196" s="8"/>
      <c r="S1196" s="1"/>
      <c r="T1196" s="8"/>
      <c r="U1196" s="1"/>
      <c r="V1196" s="1"/>
      <c r="W1196" s="1"/>
      <c r="X1196" s="1"/>
    </row>
    <row r="1197" spans="1:24">
      <c r="A1197" s="1"/>
      <c r="M1197" s="26"/>
      <c r="N1197" s="26"/>
      <c r="P1197" s="1"/>
      <c r="Q1197" s="1"/>
      <c r="R1197" s="8"/>
      <c r="S1197" s="1"/>
      <c r="T1197" s="8"/>
      <c r="U1197" s="1"/>
      <c r="V1197" s="1"/>
      <c r="W1197" s="1"/>
      <c r="X1197" s="1"/>
    </row>
    <row r="1198" spans="1:24">
      <c r="A1198" s="1"/>
      <c r="M1198" s="26"/>
      <c r="N1198" s="26"/>
      <c r="P1198" s="1"/>
      <c r="Q1198" s="1"/>
      <c r="R1198" s="8"/>
      <c r="S1198" s="1"/>
      <c r="T1198" s="8"/>
      <c r="U1198" s="1"/>
      <c r="V1198" s="1"/>
      <c r="W1198" s="1"/>
      <c r="X1198" s="1"/>
    </row>
    <row r="1199" spans="1:24">
      <c r="A1199" s="1"/>
      <c r="M1199" s="26"/>
      <c r="N1199" s="26"/>
      <c r="P1199" s="1"/>
      <c r="Q1199" s="1"/>
      <c r="R1199" s="8"/>
      <c r="S1199" s="1"/>
      <c r="T1199" s="8"/>
      <c r="U1199" s="1"/>
      <c r="V1199" s="1"/>
      <c r="W1199" s="1"/>
      <c r="X1199" s="1"/>
    </row>
    <row r="1200" spans="1:24">
      <c r="A1200" s="1"/>
      <c r="M1200" s="26"/>
      <c r="N1200" s="26"/>
      <c r="P1200" s="1"/>
      <c r="Q1200" s="1"/>
      <c r="R1200" s="8"/>
      <c r="S1200" s="1"/>
      <c r="T1200" s="8"/>
      <c r="U1200" s="1"/>
      <c r="V1200" s="1"/>
      <c r="W1200" s="1"/>
      <c r="X1200" s="1"/>
    </row>
    <row r="1201" spans="1:24">
      <c r="A1201" s="1"/>
      <c r="M1201" s="26"/>
      <c r="N1201" s="26"/>
      <c r="P1201" s="1"/>
      <c r="Q1201" s="1"/>
      <c r="R1201" s="8"/>
      <c r="S1201" s="1"/>
      <c r="T1201" s="8"/>
      <c r="U1201" s="1"/>
      <c r="V1201" s="1"/>
      <c r="W1201" s="1"/>
      <c r="X1201" s="1"/>
    </row>
    <row r="1202" spans="1:24">
      <c r="A1202" s="1"/>
      <c r="M1202" s="26"/>
      <c r="N1202" s="26"/>
      <c r="P1202" s="1"/>
      <c r="Q1202" s="1"/>
      <c r="R1202" s="8"/>
      <c r="S1202" s="1"/>
      <c r="T1202" s="8"/>
      <c r="U1202" s="1"/>
      <c r="V1202" s="1"/>
      <c r="W1202" s="1"/>
      <c r="X1202" s="1"/>
    </row>
    <row r="1203" spans="1:24">
      <c r="A1203" s="1"/>
      <c r="M1203" s="26"/>
      <c r="N1203" s="26"/>
      <c r="P1203" s="1"/>
      <c r="Q1203" s="1"/>
      <c r="R1203" s="8"/>
      <c r="S1203" s="1"/>
      <c r="T1203" s="8"/>
      <c r="U1203" s="1"/>
      <c r="V1203" s="1"/>
      <c r="W1203" s="1"/>
      <c r="X1203" s="1"/>
    </row>
    <row r="1204" spans="1:24">
      <c r="A1204" s="1"/>
      <c r="M1204" s="26"/>
      <c r="N1204" s="26"/>
      <c r="P1204" s="1"/>
      <c r="Q1204" s="1"/>
      <c r="R1204" s="8"/>
      <c r="S1204" s="1"/>
      <c r="T1204" s="8"/>
      <c r="U1204" s="1"/>
      <c r="V1204" s="1"/>
      <c r="W1204" s="1"/>
      <c r="X1204" s="1"/>
    </row>
    <row r="1205" spans="1:24">
      <c r="A1205" s="1"/>
      <c r="M1205" s="26"/>
      <c r="N1205" s="26"/>
      <c r="P1205" s="1"/>
      <c r="Q1205" s="1"/>
      <c r="R1205" s="8"/>
      <c r="S1205" s="1"/>
      <c r="T1205" s="8"/>
      <c r="U1205" s="1"/>
      <c r="V1205" s="1"/>
      <c r="W1205" s="1"/>
      <c r="X1205" s="1"/>
    </row>
    <row r="1206" spans="1:24">
      <c r="A1206" s="1"/>
      <c r="M1206" s="26"/>
      <c r="N1206" s="26"/>
      <c r="P1206" s="1"/>
      <c r="Q1206" s="1"/>
      <c r="R1206" s="8"/>
      <c r="S1206" s="1"/>
      <c r="T1206" s="8"/>
      <c r="U1206" s="1"/>
      <c r="V1206" s="1"/>
      <c r="W1206" s="1"/>
      <c r="X1206" s="1"/>
    </row>
    <row r="1207" spans="1:24">
      <c r="A1207" s="1"/>
      <c r="M1207" s="26"/>
      <c r="N1207" s="26"/>
      <c r="P1207" s="1"/>
      <c r="Q1207" s="1"/>
      <c r="R1207" s="8"/>
      <c r="S1207" s="1"/>
      <c r="T1207" s="8"/>
      <c r="U1207" s="1"/>
      <c r="V1207" s="1"/>
      <c r="W1207" s="1"/>
      <c r="X1207" s="1"/>
    </row>
    <row r="1208" spans="1:24">
      <c r="A1208" s="1"/>
      <c r="M1208" s="26"/>
      <c r="N1208" s="26"/>
      <c r="P1208" s="1"/>
      <c r="Q1208" s="1"/>
      <c r="R1208" s="8"/>
      <c r="S1208" s="1"/>
      <c r="T1208" s="8"/>
      <c r="U1208" s="1"/>
      <c r="V1208" s="1"/>
      <c r="W1208" s="1"/>
      <c r="X1208" s="1"/>
    </row>
    <row r="1209" spans="1:24">
      <c r="A1209" s="1"/>
      <c r="M1209" s="26"/>
      <c r="N1209" s="26"/>
      <c r="P1209" s="1"/>
      <c r="Q1209" s="1"/>
      <c r="R1209" s="8"/>
      <c r="S1209" s="1"/>
      <c r="T1209" s="8"/>
      <c r="U1209" s="1"/>
      <c r="V1209" s="1"/>
      <c r="W1209" s="1"/>
      <c r="X1209" s="1"/>
    </row>
    <row r="1210" spans="1:24">
      <c r="A1210" s="1"/>
      <c r="M1210" s="26"/>
      <c r="N1210" s="26"/>
      <c r="P1210" s="1"/>
      <c r="Q1210" s="1"/>
      <c r="R1210" s="8"/>
      <c r="S1210" s="1"/>
      <c r="T1210" s="8"/>
      <c r="U1210" s="1"/>
      <c r="V1210" s="1"/>
      <c r="W1210" s="1"/>
      <c r="X1210" s="1"/>
    </row>
    <row r="1211" spans="1:24">
      <c r="A1211" s="1"/>
      <c r="M1211" s="26"/>
      <c r="N1211" s="26"/>
      <c r="P1211" s="1"/>
      <c r="Q1211" s="1"/>
      <c r="R1211" s="8"/>
      <c r="S1211" s="1"/>
      <c r="T1211" s="8"/>
      <c r="U1211" s="1"/>
      <c r="V1211" s="1"/>
      <c r="W1211" s="1"/>
      <c r="X1211" s="1"/>
    </row>
    <row r="1212" spans="1:24">
      <c r="A1212" s="1"/>
      <c r="M1212" s="26"/>
      <c r="N1212" s="26"/>
      <c r="P1212" s="1"/>
      <c r="Q1212" s="1"/>
      <c r="R1212" s="8"/>
      <c r="S1212" s="1"/>
      <c r="T1212" s="8"/>
      <c r="U1212" s="1"/>
      <c r="V1212" s="1"/>
      <c r="W1212" s="1"/>
      <c r="X1212" s="1"/>
    </row>
    <row r="1213" spans="1:24">
      <c r="A1213" s="1"/>
      <c r="M1213" s="26"/>
      <c r="N1213" s="26"/>
      <c r="P1213" s="1"/>
      <c r="Q1213" s="1"/>
      <c r="R1213" s="8"/>
      <c r="S1213" s="1"/>
      <c r="T1213" s="8"/>
      <c r="U1213" s="1"/>
      <c r="V1213" s="1"/>
      <c r="W1213" s="1"/>
      <c r="X1213" s="1"/>
    </row>
    <row r="1214" spans="1:24">
      <c r="A1214" s="1"/>
      <c r="M1214" s="26"/>
      <c r="N1214" s="26"/>
      <c r="P1214" s="1"/>
      <c r="Q1214" s="1"/>
      <c r="R1214" s="8"/>
      <c r="S1214" s="1"/>
      <c r="T1214" s="8"/>
      <c r="U1214" s="1"/>
      <c r="V1214" s="1"/>
      <c r="W1214" s="1"/>
      <c r="X1214" s="1"/>
    </row>
    <row r="1215" spans="1:24">
      <c r="A1215" s="1"/>
      <c r="M1215" s="26"/>
      <c r="N1215" s="26"/>
      <c r="P1215" s="1"/>
      <c r="Q1215" s="1"/>
      <c r="R1215" s="8"/>
      <c r="S1215" s="1"/>
      <c r="T1215" s="8"/>
      <c r="U1215" s="1"/>
      <c r="V1215" s="1"/>
      <c r="W1215" s="1"/>
      <c r="X1215" s="1"/>
    </row>
    <row r="1216" spans="1:24">
      <c r="A1216" s="1"/>
      <c r="M1216" s="26"/>
      <c r="N1216" s="26"/>
      <c r="P1216" s="1"/>
      <c r="Q1216" s="1"/>
      <c r="R1216" s="8"/>
      <c r="S1216" s="1"/>
      <c r="T1216" s="8"/>
      <c r="U1216" s="1"/>
      <c r="V1216" s="1"/>
      <c r="W1216" s="1"/>
      <c r="X1216" s="1"/>
    </row>
    <row r="1217" spans="1:24">
      <c r="A1217" s="1"/>
      <c r="M1217" s="26"/>
      <c r="N1217" s="26"/>
      <c r="P1217" s="1"/>
      <c r="Q1217" s="1"/>
      <c r="R1217" s="8"/>
      <c r="S1217" s="1"/>
      <c r="T1217" s="8"/>
      <c r="U1217" s="1"/>
      <c r="V1217" s="1"/>
      <c r="W1217" s="1"/>
      <c r="X1217" s="1"/>
    </row>
    <row r="1218" spans="1:24">
      <c r="A1218" s="1"/>
      <c r="M1218" s="26"/>
      <c r="N1218" s="26"/>
      <c r="P1218" s="1"/>
      <c r="Q1218" s="1"/>
      <c r="R1218" s="8"/>
      <c r="S1218" s="1"/>
      <c r="T1218" s="8"/>
      <c r="U1218" s="1"/>
      <c r="V1218" s="1"/>
      <c r="W1218" s="1"/>
      <c r="X1218" s="1"/>
    </row>
    <row r="1219" spans="1:24">
      <c r="A1219" s="1"/>
      <c r="M1219" s="26"/>
      <c r="N1219" s="26"/>
      <c r="P1219" s="1"/>
      <c r="Q1219" s="1"/>
      <c r="R1219" s="8"/>
      <c r="S1219" s="1"/>
      <c r="T1219" s="8"/>
      <c r="U1219" s="1"/>
      <c r="V1219" s="1"/>
      <c r="W1219" s="1"/>
      <c r="X1219" s="1"/>
    </row>
    <row r="1220" spans="1:24">
      <c r="A1220" s="1"/>
      <c r="M1220" s="26"/>
      <c r="N1220" s="26"/>
      <c r="P1220" s="1"/>
      <c r="Q1220" s="1"/>
      <c r="R1220" s="8"/>
      <c r="S1220" s="1"/>
      <c r="T1220" s="8"/>
      <c r="U1220" s="1"/>
      <c r="V1220" s="1"/>
      <c r="W1220" s="1"/>
      <c r="X1220" s="1"/>
    </row>
    <row r="1221" spans="1:24">
      <c r="A1221" s="1"/>
      <c r="M1221" s="26"/>
      <c r="N1221" s="26"/>
      <c r="P1221" s="1"/>
      <c r="Q1221" s="1"/>
      <c r="R1221" s="8"/>
      <c r="S1221" s="1"/>
      <c r="T1221" s="8"/>
      <c r="U1221" s="1"/>
      <c r="V1221" s="1"/>
      <c r="W1221" s="1"/>
      <c r="X1221" s="1"/>
    </row>
    <row r="1222" spans="1:24">
      <c r="A1222" s="1"/>
      <c r="M1222" s="26"/>
      <c r="N1222" s="26"/>
      <c r="P1222" s="1"/>
      <c r="Q1222" s="1"/>
      <c r="R1222" s="8"/>
      <c r="S1222" s="1"/>
      <c r="T1222" s="8"/>
      <c r="U1222" s="1"/>
      <c r="V1222" s="1"/>
      <c r="W1222" s="1"/>
      <c r="X1222" s="1"/>
    </row>
    <row r="1223" spans="1:24">
      <c r="A1223" s="1"/>
      <c r="M1223" s="26"/>
      <c r="N1223" s="26"/>
      <c r="P1223" s="1"/>
      <c r="Q1223" s="1"/>
      <c r="R1223" s="8"/>
      <c r="S1223" s="1"/>
      <c r="T1223" s="8"/>
      <c r="U1223" s="1"/>
      <c r="V1223" s="1"/>
      <c r="W1223" s="1"/>
      <c r="X1223" s="1"/>
    </row>
    <row r="1224" spans="1:24">
      <c r="A1224" s="1"/>
      <c r="M1224" s="26"/>
      <c r="N1224" s="26"/>
      <c r="P1224" s="1"/>
      <c r="Q1224" s="1"/>
      <c r="R1224" s="8"/>
      <c r="S1224" s="1"/>
      <c r="T1224" s="8"/>
      <c r="U1224" s="1"/>
      <c r="V1224" s="1"/>
      <c r="W1224" s="1"/>
      <c r="X1224" s="1"/>
    </row>
    <row r="1225" spans="1:24">
      <c r="A1225" s="1"/>
      <c r="M1225" s="26"/>
      <c r="N1225" s="26"/>
      <c r="P1225" s="1"/>
      <c r="Q1225" s="1"/>
      <c r="R1225" s="8"/>
      <c r="S1225" s="1"/>
      <c r="T1225" s="8"/>
      <c r="U1225" s="1"/>
      <c r="V1225" s="1"/>
      <c r="W1225" s="1"/>
      <c r="X1225" s="1"/>
    </row>
    <row r="1226" spans="1:24">
      <c r="A1226" s="1"/>
      <c r="M1226" s="26"/>
      <c r="N1226" s="26"/>
      <c r="P1226" s="1"/>
      <c r="Q1226" s="1"/>
      <c r="R1226" s="8"/>
      <c r="S1226" s="1"/>
      <c r="T1226" s="8"/>
      <c r="U1226" s="1"/>
      <c r="V1226" s="1"/>
      <c r="W1226" s="1"/>
      <c r="X1226" s="1"/>
    </row>
    <row r="1227" spans="1:24">
      <c r="A1227" s="1"/>
      <c r="M1227" s="26"/>
      <c r="N1227" s="26"/>
      <c r="P1227" s="1"/>
      <c r="Q1227" s="1"/>
      <c r="R1227" s="8"/>
      <c r="S1227" s="1"/>
      <c r="T1227" s="8"/>
      <c r="U1227" s="1"/>
      <c r="V1227" s="1"/>
      <c r="W1227" s="1"/>
      <c r="X1227" s="1"/>
    </row>
    <row r="1228" spans="1:24">
      <c r="A1228" s="1"/>
      <c r="M1228" s="26"/>
      <c r="N1228" s="26"/>
      <c r="P1228" s="1"/>
      <c r="Q1228" s="1"/>
      <c r="R1228" s="8"/>
      <c r="S1228" s="1"/>
      <c r="T1228" s="8"/>
      <c r="U1228" s="1"/>
      <c r="V1228" s="1"/>
      <c r="W1228" s="1"/>
      <c r="X1228" s="1"/>
    </row>
    <row r="1229" spans="1:24">
      <c r="A1229" s="1"/>
      <c r="M1229" s="26"/>
      <c r="N1229" s="26"/>
      <c r="P1229" s="1"/>
      <c r="Q1229" s="1"/>
      <c r="R1229" s="8"/>
      <c r="S1229" s="1"/>
      <c r="T1229" s="8"/>
      <c r="U1229" s="1"/>
      <c r="V1229" s="1"/>
      <c r="W1229" s="1"/>
      <c r="X1229" s="1"/>
    </row>
    <row r="1230" spans="1:24">
      <c r="A1230" s="1"/>
      <c r="M1230" s="26"/>
      <c r="N1230" s="26"/>
      <c r="P1230" s="1"/>
      <c r="Q1230" s="1"/>
      <c r="R1230" s="8"/>
      <c r="S1230" s="1"/>
      <c r="T1230" s="8"/>
      <c r="U1230" s="1"/>
      <c r="V1230" s="1"/>
      <c r="W1230" s="1"/>
      <c r="X1230" s="1"/>
    </row>
    <row r="1231" spans="1:24">
      <c r="A1231" s="1"/>
      <c r="M1231" s="26"/>
      <c r="N1231" s="26"/>
      <c r="P1231" s="1"/>
      <c r="Q1231" s="1"/>
      <c r="R1231" s="8"/>
      <c r="S1231" s="1"/>
      <c r="T1231" s="8"/>
      <c r="U1231" s="1"/>
      <c r="V1231" s="1"/>
      <c r="W1231" s="1"/>
      <c r="X1231" s="1"/>
    </row>
    <row r="1232" spans="1:24">
      <c r="A1232" s="1"/>
      <c r="M1232" s="26"/>
      <c r="N1232" s="26"/>
      <c r="P1232" s="1"/>
      <c r="Q1232" s="1"/>
      <c r="R1232" s="8"/>
      <c r="S1232" s="1"/>
      <c r="T1232" s="8"/>
      <c r="U1232" s="1"/>
      <c r="V1232" s="1"/>
      <c r="W1232" s="1"/>
      <c r="X1232" s="1"/>
    </row>
    <row r="1233" spans="1:24">
      <c r="A1233" s="1"/>
      <c r="M1233" s="26"/>
      <c r="N1233" s="26"/>
      <c r="P1233" s="1"/>
      <c r="Q1233" s="1"/>
      <c r="R1233" s="8"/>
      <c r="S1233" s="1"/>
      <c r="T1233" s="8"/>
      <c r="U1233" s="1"/>
      <c r="V1233" s="1"/>
      <c r="W1233" s="1"/>
      <c r="X1233" s="1"/>
    </row>
    <row r="1234" spans="1:24">
      <c r="A1234" s="1"/>
      <c r="M1234" s="26"/>
      <c r="N1234" s="26"/>
      <c r="P1234" s="1"/>
      <c r="Q1234" s="1"/>
      <c r="R1234" s="8"/>
      <c r="S1234" s="1"/>
      <c r="T1234" s="8"/>
      <c r="U1234" s="1"/>
      <c r="V1234" s="1"/>
      <c r="W1234" s="1"/>
      <c r="X1234" s="1"/>
    </row>
    <row r="1235" spans="1:24">
      <c r="A1235" s="1"/>
      <c r="M1235" s="26"/>
      <c r="N1235" s="26"/>
      <c r="P1235" s="1"/>
      <c r="Q1235" s="1"/>
      <c r="R1235" s="8"/>
      <c r="S1235" s="1"/>
      <c r="T1235" s="8"/>
      <c r="U1235" s="1"/>
      <c r="V1235" s="1"/>
      <c r="W1235" s="1"/>
      <c r="X1235" s="1"/>
    </row>
    <row r="1236" spans="1:24">
      <c r="A1236" s="1"/>
      <c r="M1236" s="26"/>
      <c r="N1236" s="26"/>
      <c r="P1236" s="1"/>
      <c r="Q1236" s="1"/>
      <c r="R1236" s="8"/>
      <c r="S1236" s="1"/>
      <c r="T1236" s="8"/>
      <c r="U1236" s="1"/>
      <c r="V1236" s="1"/>
      <c r="W1236" s="1"/>
      <c r="X1236" s="1"/>
    </row>
    <row r="1237" spans="1:24">
      <c r="A1237" s="1"/>
      <c r="M1237" s="26"/>
      <c r="N1237" s="26"/>
      <c r="P1237" s="1"/>
      <c r="Q1237" s="1"/>
      <c r="R1237" s="8"/>
      <c r="S1237" s="1"/>
      <c r="T1237" s="8"/>
      <c r="U1237" s="1"/>
      <c r="V1237" s="1"/>
      <c r="W1237" s="1"/>
      <c r="X1237" s="1"/>
    </row>
    <row r="1238" spans="1:24">
      <c r="A1238" s="1"/>
      <c r="M1238" s="26"/>
      <c r="N1238" s="26"/>
      <c r="P1238" s="1"/>
      <c r="Q1238" s="1"/>
      <c r="R1238" s="8"/>
      <c r="S1238" s="1"/>
      <c r="T1238" s="8"/>
      <c r="U1238" s="1"/>
      <c r="V1238" s="1"/>
      <c r="W1238" s="1"/>
      <c r="X1238" s="1"/>
    </row>
    <row r="1239" spans="1:24">
      <c r="A1239" s="1"/>
      <c r="M1239" s="26"/>
      <c r="N1239" s="26"/>
      <c r="P1239" s="1"/>
      <c r="Q1239" s="1"/>
      <c r="R1239" s="8"/>
      <c r="S1239" s="1"/>
      <c r="T1239" s="8"/>
      <c r="U1239" s="1"/>
      <c r="V1239" s="1"/>
      <c r="W1239" s="1"/>
      <c r="X1239" s="1"/>
    </row>
    <row r="1240" spans="1:24">
      <c r="A1240" s="1"/>
      <c r="M1240" s="26"/>
      <c r="N1240" s="26"/>
      <c r="P1240" s="1"/>
      <c r="Q1240" s="1"/>
      <c r="R1240" s="8"/>
      <c r="S1240" s="1"/>
      <c r="T1240" s="8"/>
      <c r="U1240" s="1"/>
      <c r="V1240" s="1"/>
      <c r="W1240" s="1"/>
      <c r="X1240" s="1"/>
    </row>
    <row r="1241" spans="1:24">
      <c r="A1241" s="1"/>
      <c r="M1241" s="26"/>
      <c r="N1241" s="26"/>
      <c r="P1241" s="1"/>
      <c r="Q1241" s="1"/>
      <c r="R1241" s="8"/>
      <c r="S1241" s="1"/>
      <c r="T1241" s="8"/>
      <c r="U1241" s="1"/>
      <c r="V1241" s="1"/>
      <c r="W1241" s="1"/>
      <c r="X1241" s="1"/>
    </row>
    <row r="1242" spans="1:24">
      <c r="A1242" s="1"/>
      <c r="M1242" s="26"/>
      <c r="N1242" s="26"/>
      <c r="P1242" s="1"/>
      <c r="Q1242" s="1"/>
      <c r="R1242" s="8"/>
      <c r="S1242" s="1"/>
      <c r="T1242" s="8"/>
      <c r="U1242" s="1"/>
      <c r="V1242" s="1"/>
      <c r="W1242" s="1"/>
      <c r="X1242" s="1"/>
    </row>
    <row r="1243" spans="1:24">
      <c r="A1243" s="1"/>
      <c r="M1243" s="26"/>
      <c r="N1243" s="26"/>
      <c r="P1243" s="1"/>
      <c r="Q1243" s="1"/>
      <c r="R1243" s="8"/>
      <c r="S1243" s="1"/>
      <c r="T1243" s="8"/>
      <c r="U1243" s="1"/>
      <c r="V1243" s="1"/>
      <c r="W1243" s="1"/>
      <c r="X1243" s="1"/>
    </row>
    <row r="1244" spans="1:24">
      <c r="A1244" s="1"/>
      <c r="M1244" s="26"/>
      <c r="N1244" s="26"/>
      <c r="P1244" s="1"/>
      <c r="Q1244" s="1"/>
      <c r="R1244" s="8"/>
      <c r="S1244" s="1"/>
      <c r="T1244" s="8"/>
      <c r="U1244" s="1"/>
      <c r="V1244" s="1"/>
      <c r="W1244" s="1"/>
      <c r="X1244" s="1"/>
    </row>
    <row r="1245" spans="1:24">
      <c r="A1245" s="1"/>
      <c r="M1245" s="26"/>
      <c r="N1245" s="26"/>
      <c r="P1245" s="1"/>
      <c r="Q1245" s="1"/>
      <c r="R1245" s="8"/>
      <c r="S1245" s="1"/>
      <c r="T1245" s="8"/>
      <c r="U1245" s="1"/>
      <c r="V1245" s="1"/>
      <c r="W1245" s="1"/>
      <c r="X1245" s="1"/>
    </row>
    <row r="1246" spans="1:24">
      <c r="A1246" s="1"/>
      <c r="M1246" s="26"/>
      <c r="N1246" s="26"/>
      <c r="P1246" s="1"/>
      <c r="Q1246" s="1"/>
      <c r="R1246" s="8"/>
      <c r="S1246" s="1"/>
      <c r="T1246" s="8"/>
      <c r="U1246" s="1"/>
      <c r="V1246" s="1"/>
      <c r="W1246" s="1"/>
      <c r="X1246" s="1"/>
    </row>
    <row r="1247" spans="1:24">
      <c r="A1247" s="1"/>
      <c r="M1247" s="26"/>
      <c r="N1247" s="26"/>
      <c r="P1247" s="1"/>
      <c r="Q1247" s="1"/>
      <c r="R1247" s="8"/>
      <c r="S1247" s="1"/>
      <c r="T1247" s="8"/>
      <c r="U1247" s="1"/>
      <c r="V1247" s="1"/>
      <c r="W1247" s="1"/>
      <c r="X1247" s="1"/>
    </row>
    <row r="1248" spans="1:24">
      <c r="A1248" s="1"/>
      <c r="M1248" s="26"/>
      <c r="N1248" s="26"/>
      <c r="P1248" s="1"/>
      <c r="Q1248" s="1"/>
      <c r="R1248" s="8"/>
      <c r="S1248" s="1"/>
      <c r="T1248" s="8"/>
      <c r="U1248" s="1"/>
      <c r="V1248" s="1"/>
      <c r="W1248" s="1"/>
      <c r="X1248" s="1"/>
    </row>
    <row r="1249" spans="1:24">
      <c r="A1249" s="1"/>
      <c r="M1249" s="26"/>
      <c r="N1249" s="26"/>
      <c r="P1249" s="1"/>
      <c r="Q1249" s="1"/>
      <c r="R1249" s="8"/>
      <c r="S1249" s="1"/>
      <c r="T1249" s="8"/>
      <c r="U1249" s="1"/>
      <c r="V1249" s="1"/>
      <c r="W1249" s="1"/>
      <c r="X1249" s="1"/>
    </row>
    <row r="1250" spans="1:24">
      <c r="A1250" s="1"/>
      <c r="M1250" s="26"/>
      <c r="N1250" s="26"/>
      <c r="P1250" s="1"/>
      <c r="Q1250" s="1"/>
      <c r="R1250" s="8"/>
      <c r="S1250" s="1"/>
      <c r="T1250" s="8"/>
      <c r="U1250" s="1"/>
      <c r="V1250" s="1"/>
      <c r="W1250" s="1"/>
      <c r="X1250" s="1"/>
    </row>
    <row r="1251" spans="1:24">
      <c r="A1251" s="1"/>
      <c r="M1251" s="26"/>
      <c r="N1251" s="26"/>
      <c r="P1251" s="1"/>
      <c r="Q1251" s="1"/>
      <c r="R1251" s="8"/>
      <c r="S1251" s="1"/>
      <c r="T1251" s="8"/>
      <c r="U1251" s="1"/>
      <c r="V1251" s="1"/>
      <c r="W1251" s="1"/>
      <c r="X1251" s="1"/>
    </row>
    <row r="1252" spans="1:24">
      <c r="A1252" s="1"/>
      <c r="M1252" s="26"/>
      <c r="N1252" s="26"/>
      <c r="P1252" s="1"/>
      <c r="Q1252" s="1"/>
      <c r="R1252" s="8"/>
      <c r="S1252" s="1"/>
      <c r="T1252" s="8"/>
      <c r="U1252" s="1"/>
      <c r="V1252" s="1"/>
      <c r="W1252" s="1"/>
      <c r="X1252" s="1"/>
    </row>
    <row r="1253" spans="1:24">
      <c r="A1253" s="1"/>
      <c r="M1253" s="26"/>
      <c r="N1253" s="26"/>
      <c r="P1253" s="1"/>
      <c r="Q1253" s="1"/>
      <c r="R1253" s="8"/>
      <c r="S1253" s="1"/>
      <c r="T1253" s="8"/>
      <c r="U1253" s="1"/>
      <c r="V1253" s="1"/>
      <c r="W1253" s="1"/>
      <c r="X1253" s="1"/>
    </row>
    <row r="1254" spans="1:24">
      <c r="A1254" s="1"/>
      <c r="M1254" s="26"/>
      <c r="N1254" s="26"/>
      <c r="P1254" s="1"/>
      <c r="Q1254" s="1"/>
      <c r="R1254" s="8"/>
      <c r="S1254" s="1"/>
      <c r="T1254" s="8"/>
      <c r="U1254" s="1"/>
      <c r="V1254" s="1"/>
      <c r="W1254" s="1"/>
      <c r="X1254" s="1"/>
    </row>
    <row r="1255" spans="1:24">
      <c r="A1255" s="1"/>
      <c r="M1255" s="26"/>
      <c r="N1255" s="26"/>
      <c r="P1255" s="1"/>
      <c r="Q1255" s="1"/>
      <c r="R1255" s="8"/>
      <c r="S1255" s="1"/>
      <c r="T1255" s="8"/>
      <c r="U1255" s="1"/>
      <c r="V1255" s="1"/>
      <c r="W1255" s="1"/>
      <c r="X1255" s="1"/>
    </row>
    <row r="1256" spans="1:24">
      <c r="A1256" s="1"/>
      <c r="M1256" s="26"/>
      <c r="N1256" s="26"/>
      <c r="P1256" s="1"/>
      <c r="Q1256" s="1"/>
      <c r="R1256" s="8"/>
      <c r="S1256" s="1"/>
      <c r="T1256" s="8"/>
      <c r="U1256" s="1"/>
      <c r="V1256" s="1"/>
      <c r="W1256" s="1"/>
      <c r="X1256" s="1"/>
    </row>
    <row r="1257" spans="1:24">
      <c r="A1257" s="1"/>
      <c r="M1257" s="26"/>
      <c r="N1257" s="26"/>
      <c r="P1257" s="1"/>
      <c r="Q1257" s="1"/>
      <c r="R1257" s="8"/>
      <c r="S1257" s="1"/>
      <c r="T1257" s="8"/>
      <c r="U1257" s="1"/>
      <c r="V1257" s="1"/>
      <c r="W1257" s="1"/>
      <c r="X1257" s="1"/>
    </row>
    <row r="1258" spans="1:24">
      <c r="A1258" s="1"/>
      <c r="M1258" s="26"/>
      <c r="N1258" s="26"/>
      <c r="P1258" s="1"/>
      <c r="Q1258" s="1"/>
      <c r="R1258" s="8"/>
      <c r="S1258" s="1"/>
      <c r="T1258" s="8"/>
      <c r="U1258" s="1"/>
      <c r="V1258" s="1"/>
      <c r="W1258" s="1"/>
      <c r="X1258" s="1"/>
    </row>
    <row r="1259" spans="1:24">
      <c r="A1259" s="1"/>
      <c r="M1259" s="26"/>
      <c r="N1259" s="26"/>
      <c r="P1259" s="1"/>
      <c r="Q1259" s="1"/>
      <c r="R1259" s="8"/>
      <c r="S1259" s="1"/>
      <c r="T1259" s="8"/>
      <c r="U1259" s="1"/>
      <c r="V1259" s="1"/>
      <c r="W1259" s="1"/>
      <c r="X1259" s="1"/>
    </row>
    <row r="1260" spans="1:24">
      <c r="A1260" s="1"/>
      <c r="M1260" s="26"/>
      <c r="N1260" s="26"/>
      <c r="P1260" s="1"/>
      <c r="Q1260" s="1"/>
      <c r="R1260" s="8"/>
      <c r="S1260" s="1"/>
      <c r="T1260" s="8"/>
      <c r="U1260" s="1"/>
      <c r="V1260" s="1"/>
      <c r="W1260" s="1"/>
      <c r="X1260" s="1"/>
    </row>
    <row r="1261" spans="1:24">
      <c r="A1261" s="1"/>
      <c r="M1261" s="26"/>
      <c r="N1261" s="26"/>
      <c r="P1261" s="1"/>
      <c r="Q1261" s="1"/>
      <c r="R1261" s="8"/>
      <c r="S1261" s="1"/>
      <c r="T1261" s="8"/>
      <c r="U1261" s="1"/>
      <c r="V1261" s="1"/>
      <c r="W1261" s="1"/>
      <c r="X1261" s="1"/>
    </row>
    <row r="1262" spans="1:24">
      <c r="A1262" s="1"/>
      <c r="M1262" s="26"/>
      <c r="N1262" s="26"/>
      <c r="P1262" s="1"/>
      <c r="Q1262" s="1"/>
      <c r="R1262" s="8"/>
      <c r="S1262" s="1"/>
      <c r="T1262" s="8"/>
      <c r="U1262" s="1"/>
      <c r="V1262" s="1"/>
      <c r="W1262" s="1"/>
      <c r="X1262" s="1"/>
    </row>
    <row r="1263" spans="1:24">
      <c r="A1263" s="1"/>
      <c r="M1263" s="26"/>
      <c r="N1263" s="26"/>
      <c r="P1263" s="1"/>
      <c r="Q1263" s="1"/>
      <c r="R1263" s="8"/>
      <c r="S1263" s="1"/>
      <c r="T1263" s="8"/>
      <c r="U1263" s="1"/>
      <c r="V1263" s="1"/>
      <c r="W1263" s="1"/>
      <c r="X1263" s="1"/>
    </row>
    <row r="1264" spans="1:24">
      <c r="A1264" s="1"/>
      <c r="M1264" s="26"/>
      <c r="N1264" s="26"/>
      <c r="P1264" s="1"/>
      <c r="Q1264" s="1"/>
      <c r="R1264" s="8"/>
      <c r="S1264" s="1"/>
      <c r="T1264" s="8"/>
      <c r="U1264" s="1"/>
      <c r="V1264" s="1"/>
      <c r="W1264" s="1"/>
      <c r="X1264" s="1"/>
    </row>
    <row r="1265" spans="1:24">
      <c r="A1265" s="1"/>
      <c r="M1265" s="26"/>
      <c r="N1265" s="26"/>
      <c r="P1265" s="1"/>
      <c r="Q1265" s="1"/>
      <c r="R1265" s="8"/>
      <c r="S1265" s="1"/>
      <c r="T1265" s="8"/>
      <c r="U1265" s="1"/>
      <c r="V1265" s="1"/>
      <c r="W1265" s="1"/>
      <c r="X1265" s="1"/>
    </row>
    <row r="1266" spans="1:24">
      <c r="A1266" s="1"/>
      <c r="M1266" s="26"/>
      <c r="N1266" s="26"/>
      <c r="P1266" s="1"/>
      <c r="Q1266" s="1"/>
      <c r="R1266" s="8"/>
      <c r="S1266" s="1"/>
      <c r="T1266" s="8"/>
      <c r="U1266" s="1"/>
      <c r="V1266" s="1"/>
      <c r="W1266" s="1"/>
      <c r="X1266" s="1"/>
    </row>
    <row r="1267" spans="1:24">
      <c r="A1267" s="1"/>
      <c r="M1267" s="26"/>
      <c r="N1267" s="26"/>
      <c r="P1267" s="1"/>
      <c r="Q1267" s="1"/>
      <c r="R1267" s="8"/>
      <c r="S1267" s="1"/>
      <c r="T1267" s="8"/>
      <c r="U1267" s="1"/>
      <c r="V1267" s="1"/>
      <c r="W1267" s="1"/>
      <c r="X1267" s="1"/>
    </row>
    <row r="1268" spans="1:24">
      <c r="A1268" s="1"/>
      <c r="M1268" s="26"/>
      <c r="N1268" s="26"/>
      <c r="P1268" s="1"/>
      <c r="Q1268" s="1"/>
      <c r="R1268" s="8"/>
      <c r="S1268" s="1"/>
      <c r="T1268" s="8"/>
      <c r="U1268" s="1"/>
      <c r="V1268" s="1"/>
      <c r="W1268" s="1"/>
      <c r="X1268" s="1"/>
    </row>
    <row r="1269" spans="1:24">
      <c r="A1269" s="1"/>
      <c r="M1269" s="26"/>
      <c r="N1269" s="26"/>
      <c r="P1269" s="1"/>
      <c r="Q1269" s="1"/>
      <c r="R1269" s="8"/>
      <c r="S1269" s="1"/>
      <c r="T1269" s="8"/>
      <c r="U1269" s="1"/>
      <c r="V1269" s="1"/>
      <c r="W1269" s="1"/>
      <c r="X1269" s="1"/>
    </row>
    <row r="1270" spans="1:24">
      <c r="A1270" s="1"/>
      <c r="M1270" s="26"/>
      <c r="N1270" s="26"/>
      <c r="P1270" s="1"/>
      <c r="Q1270" s="1"/>
      <c r="R1270" s="8"/>
      <c r="S1270" s="1"/>
      <c r="T1270" s="8"/>
      <c r="U1270" s="1"/>
      <c r="V1270" s="1"/>
      <c r="W1270" s="1"/>
      <c r="X1270" s="1"/>
    </row>
    <row r="1271" spans="1:24">
      <c r="A1271" s="1"/>
      <c r="M1271" s="26"/>
      <c r="N1271" s="26"/>
      <c r="P1271" s="1"/>
      <c r="Q1271" s="1"/>
      <c r="R1271" s="8"/>
      <c r="S1271" s="1"/>
      <c r="T1271" s="8"/>
      <c r="U1271" s="1"/>
      <c r="V1271" s="1"/>
      <c r="W1271" s="1"/>
      <c r="X1271" s="1"/>
    </row>
    <row r="1272" spans="1:24">
      <c r="A1272" s="1"/>
      <c r="M1272" s="26"/>
      <c r="N1272" s="26"/>
      <c r="P1272" s="1"/>
      <c r="Q1272" s="1"/>
      <c r="R1272" s="8"/>
      <c r="S1272" s="1"/>
      <c r="T1272" s="8"/>
      <c r="U1272" s="1"/>
      <c r="V1272" s="1"/>
      <c r="W1272" s="1"/>
      <c r="X1272" s="1"/>
    </row>
    <row r="1273" spans="1:24">
      <c r="A1273" s="1"/>
      <c r="M1273" s="26"/>
      <c r="N1273" s="26"/>
      <c r="P1273" s="1"/>
      <c r="Q1273" s="1"/>
      <c r="R1273" s="8"/>
      <c r="S1273" s="1"/>
      <c r="T1273" s="8"/>
      <c r="U1273" s="1"/>
      <c r="V1273" s="1"/>
      <c r="W1273" s="1"/>
      <c r="X1273" s="1"/>
    </row>
    <row r="1274" spans="1:24">
      <c r="A1274" s="1"/>
      <c r="M1274" s="26"/>
      <c r="N1274" s="26"/>
      <c r="P1274" s="1"/>
      <c r="Q1274" s="1"/>
      <c r="R1274" s="8"/>
      <c r="S1274" s="1"/>
      <c r="T1274" s="8"/>
      <c r="U1274" s="1"/>
      <c r="V1274" s="1"/>
      <c r="W1274" s="1"/>
      <c r="X1274" s="1"/>
    </row>
    <row r="1275" spans="1:24">
      <c r="A1275" s="1"/>
      <c r="M1275" s="26"/>
      <c r="N1275" s="26"/>
      <c r="P1275" s="1"/>
      <c r="Q1275" s="1"/>
      <c r="R1275" s="8"/>
      <c r="S1275" s="1"/>
      <c r="T1275" s="8"/>
      <c r="U1275" s="1"/>
      <c r="V1275" s="1"/>
      <c r="W1275" s="1"/>
      <c r="X1275" s="1"/>
    </row>
    <row r="1276" spans="1:24">
      <c r="A1276" s="1"/>
      <c r="M1276" s="26"/>
      <c r="N1276" s="26"/>
      <c r="P1276" s="1"/>
      <c r="Q1276" s="1"/>
      <c r="R1276" s="8"/>
      <c r="S1276" s="1"/>
      <c r="T1276" s="8"/>
      <c r="U1276" s="1"/>
      <c r="V1276" s="1"/>
      <c r="W1276" s="1"/>
      <c r="X1276" s="1"/>
    </row>
    <row r="1277" spans="1:24">
      <c r="A1277" s="1"/>
      <c r="M1277" s="26"/>
      <c r="N1277" s="26"/>
      <c r="P1277" s="1"/>
      <c r="Q1277" s="1"/>
      <c r="R1277" s="8"/>
      <c r="S1277" s="1"/>
      <c r="T1277" s="8"/>
      <c r="U1277" s="1"/>
      <c r="V1277" s="1"/>
      <c r="W1277" s="1"/>
      <c r="X1277" s="1"/>
    </row>
    <row r="1278" spans="1:24">
      <c r="A1278" s="1"/>
      <c r="M1278" s="26"/>
      <c r="N1278" s="26"/>
      <c r="P1278" s="1"/>
      <c r="Q1278" s="1"/>
      <c r="R1278" s="8"/>
      <c r="S1278" s="1"/>
      <c r="T1278" s="8"/>
      <c r="U1278" s="1"/>
      <c r="V1278" s="1"/>
      <c r="W1278" s="1"/>
      <c r="X1278" s="1"/>
    </row>
    <row r="1279" spans="1:24">
      <c r="A1279" s="1"/>
      <c r="M1279" s="26"/>
      <c r="N1279" s="26"/>
      <c r="P1279" s="1"/>
      <c r="Q1279" s="1"/>
      <c r="R1279" s="8"/>
      <c r="S1279" s="1"/>
      <c r="T1279" s="8"/>
      <c r="U1279" s="1"/>
      <c r="V1279" s="1"/>
      <c r="W1279" s="1"/>
      <c r="X1279" s="1"/>
    </row>
    <row r="1280" spans="1:24">
      <c r="A1280" s="1"/>
      <c r="M1280" s="26"/>
      <c r="N1280" s="26"/>
      <c r="P1280" s="1"/>
      <c r="Q1280" s="1"/>
      <c r="R1280" s="8"/>
      <c r="S1280" s="1"/>
      <c r="T1280" s="8"/>
      <c r="U1280" s="1"/>
      <c r="V1280" s="1"/>
      <c r="W1280" s="1"/>
      <c r="X1280" s="1"/>
    </row>
    <row r="1281" spans="1:24">
      <c r="A1281" s="1"/>
      <c r="M1281" s="26"/>
      <c r="N1281" s="26"/>
      <c r="P1281" s="1"/>
      <c r="Q1281" s="1"/>
      <c r="R1281" s="8"/>
      <c r="S1281" s="1"/>
      <c r="T1281" s="8"/>
      <c r="U1281" s="1"/>
      <c r="V1281" s="1"/>
      <c r="W1281" s="1"/>
      <c r="X1281" s="1"/>
    </row>
    <row r="1282" spans="1:24">
      <c r="A1282" s="1"/>
      <c r="M1282" s="26"/>
      <c r="N1282" s="26"/>
      <c r="P1282" s="1"/>
      <c r="Q1282" s="1"/>
      <c r="R1282" s="8"/>
      <c r="S1282" s="1"/>
      <c r="T1282" s="8"/>
      <c r="U1282" s="1"/>
      <c r="V1282" s="1"/>
      <c r="W1282" s="1"/>
      <c r="X1282" s="1"/>
    </row>
    <row r="1283" spans="1:24">
      <c r="A1283" s="1"/>
      <c r="M1283" s="26"/>
      <c r="N1283" s="26"/>
      <c r="P1283" s="1"/>
      <c r="Q1283" s="1"/>
      <c r="R1283" s="8"/>
      <c r="S1283" s="1"/>
      <c r="T1283" s="8"/>
      <c r="U1283" s="1"/>
      <c r="V1283" s="1"/>
      <c r="W1283" s="1"/>
      <c r="X1283" s="1"/>
    </row>
    <row r="1284" spans="1:24">
      <c r="A1284" s="1"/>
      <c r="M1284" s="26"/>
      <c r="N1284" s="26"/>
      <c r="P1284" s="1"/>
      <c r="Q1284" s="1"/>
      <c r="R1284" s="8"/>
      <c r="S1284" s="1"/>
      <c r="T1284" s="8"/>
      <c r="U1284" s="1"/>
      <c r="V1284" s="1"/>
      <c r="W1284" s="1"/>
      <c r="X1284" s="1"/>
    </row>
    <row r="1285" spans="1:24">
      <c r="A1285" s="1"/>
      <c r="M1285" s="26"/>
      <c r="N1285" s="26"/>
      <c r="P1285" s="1"/>
      <c r="Q1285" s="1"/>
      <c r="R1285" s="8"/>
      <c r="S1285" s="1"/>
      <c r="T1285" s="8"/>
      <c r="U1285" s="1"/>
      <c r="V1285" s="1"/>
      <c r="W1285" s="1"/>
      <c r="X1285" s="1"/>
    </row>
    <row r="1286" spans="1:24">
      <c r="A1286" s="1"/>
      <c r="M1286" s="26"/>
      <c r="N1286" s="26"/>
      <c r="P1286" s="1"/>
      <c r="Q1286" s="1"/>
      <c r="R1286" s="8"/>
      <c r="S1286" s="1"/>
      <c r="T1286" s="8"/>
      <c r="U1286" s="1"/>
      <c r="V1286" s="1"/>
      <c r="W1286" s="1"/>
      <c r="X1286" s="1"/>
    </row>
    <row r="1287" spans="1:24">
      <c r="A1287" s="1"/>
      <c r="M1287" s="26"/>
      <c r="N1287" s="26"/>
      <c r="P1287" s="1"/>
      <c r="Q1287" s="1"/>
      <c r="R1287" s="8"/>
      <c r="S1287" s="1"/>
      <c r="T1287" s="8"/>
      <c r="U1287" s="1"/>
      <c r="V1287" s="1"/>
      <c r="W1287" s="1"/>
      <c r="X1287" s="1"/>
    </row>
    <row r="1288" spans="1:24">
      <c r="A1288" s="1"/>
      <c r="M1288" s="26"/>
      <c r="N1288" s="26"/>
      <c r="P1288" s="1"/>
      <c r="Q1288" s="1"/>
      <c r="R1288" s="8"/>
      <c r="S1288" s="1"/>
      <c r="T1288" s="8"/>
      <c r="U1288" s="1"/>
      <c r="V1288" s="1"/>
      <c r="W1288" s="1"/>
      <c r="X1288" s="1"/>
    </row>
    <row r="1289" spans="1:24">
      <c r="A1289" s="1"/>
      <c r="M1289" s="26"/>
      <c r="N1289" s="26"/>
      <c r="P1289" s="1"/>
      <c r="Q1289" s="1"/>
      <c r="R1289" s="8"/>
      <c r="S1289" s="1"/>
      <c r="T1289" s="8"/>
      <c r="U1289" s="1"/>
      <c r="V1289" s="1"/>
      <c r="W1289" s="1"/>
      <c r="X1289" s="1"/>
    </row>
    <row r="1290" spans="1:24">
      <c r="A1290" s="1"/>
      <c r="M1290" s="26"/>
      <c r="N1290" s="26"/>
      <c r="P1290" s="1"/>
      <c r="Q1290" s="1"/>
      <c r="R1290" s="8"/>
      <c r="S1290" s="1"/>
      <c r="T1290" s="8"/>
      <c r="U1290" s="1"/>
      <c r="V1290" s="1"/>
      <c r="W1290" s="1"/>
      <c r="X1290" s="1"/>
    </row>
    <row r="1291" spans="1:24">
      <c r="A1291" s="1"/>
      <c r="M1291" s="26"/>
      <c r="N1291" s="26"/>
      <c r="P1291" s="1"/>
      <c r="Q1291" s="1"/>
      <c r="R1291" s="8"/>
      <c r="S1291" s="1"/>
      <c r="T1291" s="8"/>
      <c r="U1291" s="1"/>
      <c r="V1291" s="1"/>
      <c r="W1291" s="1"/>
      <c r="X1291" s="1"/>
    </row>
    <row r="1292" spans="1:24">
      <c r="A1292" s="1"/>
      <c r="M1292" s="26"/>
      <c r="N1292" s="26"/>
      <c r="P1292" s="1"/>
      <c r="Q1292" s="1"/>
      <c r="R1292" s="8"/>
      <c r="S1292" s="1"/>
      <c r="T1292" s="8"/>
      <c r="U1292" s="1"/>
      <c r="V1292" s="1"/>
      <c r="W1292" s="1"/>
      <c r="X1292" s="1"/>
    </row>
    <row r="1293" spans="1:24">
      <c r="A1293" s="1"/>
      <c r="M1293" s="26"/>
      <c r="N1293" s="26"/>
      <c r="P1293" s="1"/>
      <c r="Q1293" s="1"/>
      <c r="R1293" s="8"/>
      <c r="S1293" s="1"/>
      <c r="T1293" s="8"/>
      <c r="U1293" s="1"/>
      <c r="V1293" s="1"/>
      <c r="W1293" s="1"/>
      <c r="X1293" s="1"/>
    </row>
    <row r="1294" spans="1:24">
      <c r="A1294" s="1"/>
      <c r="M1294" s="26"/>
      <c r="N1294" s="26"/>
      <c r="P1294" s="1"/>
      <c r="Q1294" s="1"/>
      <c r="R1294" s="8"/>
      <c r="S1294" s="1"/>
      <c r="T1294" s="8"/>
      <c r="U1294" s="1"/>
      <c r="V1294" s="1"/>
      <c r="W1294" s="1"/>
      <c r="X1294" s="1"/>
    </row>
    <row r="1295" spans="1:24">
      <c r="A1295" s="1"/>
      <c r="M1295" s="26"/>
      <c r="N1295" s="26"/>
      <c r="P1295" s="1"/>
      <c r="Q1295" s="1"/>
      <c r="R1295" s="8"/>
      <c r="S1295" s="1"/>
      <c r="T1295" s="8"/>
      <c r="U1295" s="1"/>
      <c r="V1295" s="1"/>
      <c r="W1295" s="1"/>
      <c r="X1295" s="1"/>
    </row>
    <row r="1296" spans="1:24">
      <c r="A1296" s="1"/>
      <c r="M1296" s="26"/>
      <c r="N1296" s="26"/>
      <c r="P1296" s="1"/>
      <c r="Q1296" s="1"/>
      <c r="R1296" s="8"/>
      <c r="S1296" s="1"/>
      <c r="T1296" s="8"/>
      <c r="U1296" s="1"/>
      <c r="V1296" s="1"/>
      <c r="W1296" s="1"/>
      <c r="X1296" s="1"/>
    </row>
    <row r="1297" spans="1:24">
      <c r="A1297" s="1"/>
      <c r="M1297" s="26"/>
      <c r="N1297" s="26"/>
      <c r="P1297" s="1"/>
      <c r="Q1297" s="1"/>
      <c r="R1297" s="8"/>
      <c r="S1297" s="1"/>
      <c r="T1297" s="8"/>
      <c r="U1297" s="1"/>
      <c r="V1297" s="1"/>
      <c r="W1297" s="1"/>
      <c r="X1297" s="1"/>
    </row>
    <row r="1298" spans="1:24">
      <c r="A1298" s="1"/>
      <c r="M1298" s="26"/>
      <c r="N1298" s="26"/>
      <c r="P1298" s="1"/>
      <c r="Q1298" s="1"/>
      <c r="R1298" s="8"/>
      <c r="S1298" s="1"/>
      <c r="T1298" s="8"/>
      <c r="U1298" s="1"/>
      <c r="V1298" s="1"/>
      <c r="W1298" s="1"/>
      <c r="X1298" s="1"/>
    </row>
    <row r="1299" spans="1:24">
      <c r="A1299" s="1"/>
      <c r="M1299" s="26"/>
      <c r="N1299" s="26"/>
      <c r="P1299" s="1"/>
      <c r="Q1299" s="1"/>
      <c r="R1299" s="8"/>
      <c r="S1299" s="1"/>
      <c r="T1299" s="8"/>
      <c r="U1299" s="1"/>
      <c r="V1299" s="1"/>
      <c r="W1299" s="1"/>
      <c r="X1299" s="1"/>
    </row>
    <row r="1300" spans="1:24">
      <c r="A1300" s="1"/>
      <c r="M1300" s="26"/>
      <c r="N1300" s="26"/>
      <c r="P1300" s="1"/>
      <c r="Q1300" s="1"/>
      <c r="R1300" s="8"/>
      <c r="S1300" s="1"/>
      <c r="T1300" s="8"/>
      <c r="U1300" s="1"/>
      <c r="V1300" s="1"/>
      <c r="W1300" s="1"/>
      <c r="X1300" s="1"/>
    </row>
    <row r="1301" spans="1:24">
      <c r="A1301" s="1"/>
      <c r="M1301" s="26"/>
      <c r="N1301" s="26"/>
      <c r="P1301" s="1"/>
      <c r="Q1301" s="1"/>
      <c r="R1301" s="8"/>
      <c r="S1301" s="1"/>
      <c r="T1301" s="8"/>
      <c r="U1301" s="1"/>
      <c r="V1301" s="1"/>
      <c r="W1301" s="1"/>
      <c r="X1301" s="1"/>
    </row>
    <row r="1302" spans="1:24">
      <c r="A1302" s="1"/>
      <c r="M1302" s="26"/>
      <c r="N1302" s="26"/>
      <c r="P1302" s="1"/>
      <c r="Q1302" s="1"/>
      <c r="R1302" s="8"/>
      <c r="S1302" s="1"/>
      <c r="T1302" s="8"/>
      <c r="U1302" s="1"/>
      <c r="V1302" s="1"/>
      <c r="W1302" s="1"/>
      <c r="X1302" s="1"/>
    </row>
    <row r="1303" spans="1:24">
      <c r="A1303" s="1"/>
      <c r="M1303" s="26"/>
      <c r="N1303" s="26"/>
      <c r="P1303" s="1"/>
      <c r="Q1303" s="1"/>
      <c r="R1303" s="8"/>
      <c r="S1303" s="1"/>
      <c r="T1303" s="8"/>
      <c r="U1303" s="1"/>
      <c r="V1303" s="1"/>
      <c r="W1303" s="1"/>
      <c r="X1303" s="1"/>
    </row>
    <row r="1304" spans="1:24">
      <c r="A1304" s="1"/>
      <c r="M1304" s="26"/>
      <c r="N1304" s="26"/>
      <c r="P1304" s="1"/>
      <c r="Q1304" s="1"/>
      <c r="R1304" s="8"/>
      <c r="S1304" s="1"/>
      <c r="T1304" s="8"/>
      <c r="U1304" s="1"/>
      <c r="V1304" s="1"/>
      <c r="W1304" s="1"/>
      <c r="X1304" s="1"/>
    </row>
    <row r="1305" spans="1:24">
      <c r="A1305" s="1"/>
      <c r="M1305" s="26"/>
      <c r="N1305" s="26"/>
      <c r="P1305" s="1"/>
      <c r="Q1305" s="1"/>
      <c r="R1305" s="8"/>
      <c r="S1305" s="1"/>
      <c r="T1305" s="8"/>
      <c r="U1305" s="1"/>
      <c r="V1305" s="1"/>
      <c r="W1305" s="1"/>
      <c r="X1305" s="1"/>
    </row>
    <row r="1306" spans="1:24">
      <c r="A1306" s="1"/>
      <c r="M1306" s="26"/>
      <c r="N1306" s="26"/>
      <c r="P1306" s="1"/>
      <c r="Q1306" s="1"/>
      <c r="R1306" s="8"/>
      <c r="S1306" s="1"/>
      <c r="T1306" s="8"/>
      <c r="U1306" s="1"/>
      <c r="V1306" s="1"/>
      <c r="W1306" s="1"/>
      <c r="X1306" s="1"/>
    </row>
    <row r="1307" spans="1:24">
      <c r="A1307" s="1"/>
      <c r="M1307" s="26"/>
      <c r="N1307" s="26"/>
      <c r="P1307" s="1"/>
      <c r="Q1307" s="1"/>
      <c r="R1307" s="8"/>
      <c r="S1307" s="1"/>
      <c r="T1307" s="8"/>
      <c r="U1307" s="1"/>
      <c r="V1307" s="1"/>
      <c r="W1307" s="1"/>
      <c r="X1307" s="1"/>
    </row>
    <row r="1308" spans="1:24">
      <c r="A1308" s="1"/>
      <c r="M1308" s="26"/>
      <c r="N1308" s="26"/>
      <c r="P1308" s="1"/>
      <c r="Q1308" s="1"/>
      <c r="R1308" s="8"/>
      <c r="S1308" s="1"/>
      <c r="T1308" s="8"/>
      <c r="U1308" s="1"/>
      <c r="V1308" s="1"/>
      <c r="W1308" s="1"/>
      <c r="X1308" s="1"/>
    </row>
    <row r="1309" spans="1:24">
      <c r="A1309" s="1"/>
      <c r="M1309" s="26"/>
      <c r="N1309" s="26"/>
      <c r="P1309" s="1"/>
      <c r="Q1309" s="1"/>
      <c r="R1309" s="8"/>
      <c r="S1309" s="1"/>
      <c r="T1309" s="8"/>
      <c r="U1309" s="1"/>
      <c r="V1309" s="1"/>
      <c r="W1309" s="1"/>
      <c r="X1309" s="1"/>
    </row>
    <row r="1310" spans="1:24">
      <c r="A1310" s="1"/>
      <c r="M1310" s="26"/>
      <c r="N1310" s="26"/>
      <c r="P1310" s="1"/>
      <c r="Q1310" s="1"/>
      <c r="R1310" s="8"/>
      <c r="S1310" s="1"/>
      <c r="T1310" s="8"/>
      <c r="U1310" s="1"/>
      <c r="V1310" s="1"/>
      <c r="W1310" s="1"/>
      <c r="X1310" s="1"/>
    </row>
    <row r="1311" spans="1:24">
      <c r="A1311" s="1"/>
      <c r="M1311" s="26"/>
      <c r="N1311" s="26"/>
      <c r="P1311" s="1"/>
      <c r="Q1311" s="1"/>
      <c r="R1311" s="8"/>
      <c r="S1311" s="1"/>
      <c r="T1311" s="8"/>
      <c r="U1311" s="1"/>
      <c r="V1311" s="1"/>
      <c r="W1311" s="1"/>
      <c r="X1311" s="1"/>
    </row>
    <row r="1312" spans="1:24">
      <c r="A1312" s="1"/>
      <c r="M1312" s="26"/>
      <c r="N1312" s="26"/>
      <c r="P1312" s="1"/>
      <c r="Q1312" s="1"/>
      <c r="R1312" s="8"/>
      <c r="S1312" s="1"/>
      <c r="T1312" s="8"/>
      <c r="U1312" s="1"/>
      <c r="V1312" s="1"/>
      <c r="W1312" s="1"/>
      <c r="X1312" s="1"/>
    </row>
    <row r="1313" spans="1:24">
      <c r="A1313" s="1"/>
      <c r="M1313" s="26"/>
      <c r="N1313" s="26"/>
      <c r="P1313" s="1"/>
      <c r="Q1313" s="1"/>
      <c r="R1313" s="8"/>
      <c r="S1313" s="1"/>
      <c r="T1313" s="8"/>
      <c r="U1313" s="1"/>
      <c r="V1313" s="1"/>
      <c r="W1313" s="1"/>
      <c r="X1313" s="1"/>
    </row>
    <row r="1314" spans="1:24">
      <c r="A1314" s="1"/>
      <c r="M1314" s="26"/>
      <c r="N1314" s="26"/>
      <c r="P1314" s="1"/>
      <c r="Q1314" s="1"/>
      <c r="R1314" s="8"/>
      <c r="S1314" s="1"/>
      <c r="T1314" s="8"/>
      <c r="U1314" s="1"/>
      <c r="V1314" s="1"/>
      <c r="W1314" s="1"/>
      <c r="X1314" s="1"/>
    </row>
    <row r="1315" spans="1:24">
      <c r="A1315" s="1"/>
      <c r="M1315" s="26"/>
      <c r="N1315" s="26"/>
      <c r="P1315" s="1"/>
      <c r="Q1315" s="1"/>
      <c r="R1315" s="8"/>
      <c r="S1315" s="1"/>
      <c r="T1315" s="8"/>
      <c r="U1315" s="1"/>
      <c r="V1315" s="1"/>
      <c r="W1315" s="1"/>
      <c r="X1315" s="1"/>
    </row>
    <row r="1316" spans="1:24">
      <c r="A1316" s="1"/>
      <c r="M1316" s="26"/>
      <c r="N1316" s="26"/>
      <c r="P1316" s="1"/>
      <c r="Q1316" s="1"/>
      <c r="R1316" s="8"/>
      <c r="S1316" s="1"/>
      <c r="T1316" s="8"/>
      <c r="U1316" s="1"/>
      <c r="V1316" s="1"/>
      <c r="W1316" s="1"/>
      <c r="X1316" s="1"/>
    </row>
    <row r="1317" spans="1:24">
      <c r="A1317" s="1"/>
      <c r="M1317" s="26"/>
      <c r="N1317" s="26"/>
      <c r="P1317" s="1"/>
      <c r="Q1317" s="1"/>
      <c r="R1317" s="8"/>
      <c r="S1317" s="1"/>
      <c r="T1317" s="8"/>
      <c r="U1317" s="1"/>
      <c r="V1317" s="1"/>
      <c r="W1317" s="1"/>
      <c r="X1317" s="1"/>
    </row>
    <row r="1318" spans="1:24">
      <c r="A1318" s="1"/>
      <c r="M1318" s="26"/>
      <c r="N1318" s="26"/>
      <c r="P1318" s="1"/>
      <c r="Q1318" s="1"/>
      <c r="R1318" s="8"/>
      <c r="S1318" s="1"/>
      <c r="T1318" s="8"/>
      <c r="U1318" s="1"/>
      <c r="V1318" s="1"/>
      <c r="W1318" s="1"/>
      <c r="X1318" s="1"/>
    </row>
    <row r="1319" spans="1:24">
      <c r="A1319" s="1"/>
      <c r="M1319" s="26"/>
      <c r="N1319" s="26"/>
      <c r="P1319" s="1"/>
      <c r="Q1319" s="1"/>
      <c r="R1319" s="8"/>
      <c r="S1319" s="1"/>
      <c r="T1319" s="8"/>
      <c r="U1319" s="1"/>
      <c r="V1319" s="1"/>
      <c r="W1319" s="1"/>
      <c r="X1319" s="1"/>
    </row>
    <row r="1320" spans="1:24">
      <c r="A1320" s="1"/>
      <c r="M1320" s="26"/>
      <c r="N1320" s="26"/>
      <c r="P1320" s="1"/>
      <c r="Q1320" s="1"/>
      <c r="R1320" s="8"/>
      <c r="S1320" s="1"/>
      <c r="T1320" s="8"/>
      <c r="U1320" s="1"/>
      <c r="V1320" s="1"/>
      <c r="W1320" s="1"/>
      <c r="X1320" s="1"/>
    </row>
    <row r="1321" spans="1:24">
      <c r="A1321" s="1"/>
      <c r="M1321" s="26"/>
      <c r="N1321" s="26"/>
      <c r="P1321" s="1"/>
      <c r="Q1321" s="1"/>
      <c r="R1321" s="8"/>
      <c r="S1321" s="1"/>
      <c r="T1321" s="8"/>
      <c r="U1321" s="1"/>
      <c r="V1321" s="1"/>
      <c r="W1321" s="1"/>
      <c r="X1321" s="1"/>
    </row>
    <row r="1322" spans="1:24">
      <c r="A1322" s="1"/>
      <c r="M1322" s="26"/>
      <c r="N1322" s="26"/>
      <c r="P1322" s="1"/>
      <c r="Q1322" s="1"/>
      <c r="R1322" s="8"/>
      <c r="S1322" s="1"/>
      <c r="T1322" s="8"/>
      <c r="U1322" s="1"/>
      <c r="V1322" s="1"/>
      <c r="W1322" s="1"/>
      <c r="X1322" s="1"/>
    </row>
    <row r="1323" spans="1:24">
      <c r="A1323" s="1"/>
      <c r="M1323" s="26"/>
      <c r="N1323" s="26"/>
      <c r="P1323" s="1"/>
      <c r="Q1323" s="1"/>
      <c r="R1323" s="8"/>
      <c r="S1323" s="1"/>
      <c r="T1323" s="8"/>
      <c r="U1323" s="1"/>
      <c r="V1323" s="1"/>
      <c r="W1323" s="1"/>
      <c r="X1323" s="1"/>
    </row>
    <row r="1324" spans="1:24">
      <c r="A1324" s="1"/>
      <c r="M1324" s="26"/>
      <c r="N1324" s="26"/>
      <c r="P1324" s="1"/>
      <c r="Q1324" s="1"/>
      <c r="R1324" s="8"/>
      <c r="S1324" s="1"/>
      <c r="T1324" s="8"/>
      <c r="U1324" s="1"/>
      <c r="V1324" s="1"/>
      <c r="W1324" s="1"/>
      <c r="X1324" s="1"/>
    </row>
    <row r="1325" spans="1:24">
      <c r="A1325" s="1"/>
      <c r="M1325" s="26"/>
      <c r="N1325" s="26"/>
      <c r="P1325" s="1"/>
      <c r="Q1325" s="1"/>
      <c r="R1325" s="8"/>
      <c r="S1325" s="1"/>
      <c r="T1325" s="8"/>
      <c r="U1325" s="1"/>
      <c r="V1325" s="1"/>
      <c r="W1325" s="1"/>
      <c r="X1325" s="1"/>
    </row>
    <row r="1326" spans="1:24">
      <c r="A1326" s="1"/>
      <c r="M1326" s="26"/>
      <c r="N1326" s="26"/>
      <c r="P1326" s="1"/>
      <c r="Q1326" s="1"/>
      <c r="R1326" s="8"/>
      <c r="S1326" s="1"/>
      <c r="T1326" s="8"/>
      <c r="U1326" s="1"/>
      <c r="V1326" s="1"/>
      <c r="W1326" s="1"/>
      <c r="X1326" s="1"/>
    </row>
    <row r="1327" spans="1:24">
      <c r="A1327" s="1"/>
      <c r="M1327" s="26"/>
      <c r="N1327" s="26"/>
      <c r="P1327" s="1"/>
      <c r="Q1327" s="1"/>
      <c r="R1327" s="8"/>
      <c r="S1327" s="1"/>
      <c r="T1327" s="8"/>
      <c r="U1327" s="1"/>
      <c r="V1327" s="1"/>
      <c r="W1327" s="1"/>
      <c r="X1327" s="1"/>
    </row>
    <row r="1328" spans="1:24">
      <c r="A1328" s="1"/>
      <c r="M1328" s="26"/>
      <c r="N1328" s="26"/>
      <c r="P1328" s="1"/>
      <c r="Q1328" s="1"/>
      <c r="R1328" s="8"/>
      <c r="S1328" s="1"/>
      <c r="T1328" s="8"/>
      <c r="U1328" s="1"/>
      <c r="V1328" s="1"/>
      <c r="W1328" s="1"/>
      <c r="X1328" s="1"/>
    </row>
    <row r="1329" spans="1:24">
      <c r="A1329" s="1"/>
      <c r="M1329" s="26"/>
      <c r="N1329" s="26"/>
      <c r="P1329" s="1"/>
      <c r="Q1329" s="1"/>
      <c r="R1329" s="8"/>
      <c r="S1329" s="1"/>
      <c r="T1329" s="8"/>
      <c r="U1329" s="1"/>
      <c r="V1329" s="1"/>
      <c r="W1329" s="1"/>
      <c r="X1329" s="1"/>
    </row>
    <row r="1330" spans="1:24">
      <c r="A1330" s="1"/>
      <c r="M1330" s="26"/>
      <c r="N1330" s="26"/>
      <c r="P1330" s="1"/>
      <c r="Q1330" s="1"/>
      <c r="R1330" s="8"/>
      <c r="S1330" s="1"/>
      <c r="T1330" s="8"/>
      <c r="U1330" s="1"/>
      <c r="V1330" s="1"/>
      <c r="W1330" s="1"/>
      <c r="X1330" s="1"/>
    </row>
    <row r="1331" spans="1:24">
      <c r="A1331" s="1"/>
      <c r="M1331" s="26"/>
      <c r="N1331" s="26"/>
      <c r="P1331" s="1"/>
      <c r="Q1331" s="1"/>
      <c r="R1331" s="8"/>
      <c r="S1331" s="1"/>
      <c r="T1331" s="8"/>
      <c r="U1331" s="1"/>
      <c r="V1331" s="1"/>
      <c r="W1331" s="1"/>
      <c r="X1331" s="1"/>
    </row>
    <row r="1332" spans="1:24">
      <c r="A1332" s="1"/>
      <c r="M1332" s="26"/>
      <c r="N1332" s="26"/>
      <c r="P1332" s="1"/>
      <c r="Q1332" s="1"/>
      <c r="R1332" s="8"/>
      <c r="S1332" s="1"/>
      <c r="T1332" s="8"/>
      <c r="U1332" s="1"/>
      <c r="V1332" s="1"/>
      <c r="W1332" s="1"/>
      <c r="X1332" s="1"/>
    </row>
    <row r="1333" spans="1:24">
      <c r="A1333" s="1"/>
      <c r="M1333" s="26"/>
      <c r="N1333" s="26"/>
      <c r="P1333" s="1"/>
      <c r="Q1333" s="1"/>
      <c r="R1333" s="8"/>
      <c r="S1333" s="1"/>
      <c r="T1333" s="8"/>
      <c r="U1333" s="1"/>
      <c r="V1333" s="1"/>
      <c r="W1333" s="1"/>
      <c r="X1333" s="1"/>
    </row>
    <row r="1334" spans="1:24">
      <c r="A1334" s="1"/>
      <c r="M1334" s="26"/>
      <c r="N1334" s="26"/>
      <c r="P1334" s="1"/>
      <c r="Q1334" s="1"/>
      <c r="R1334" s="8"/>
      <c r="S1334" s="1"/>
      <c r="T1334" s="8"/>
      <c r="U1334" s="1"/>
      <c r="V1334" s="1"/>
      <c r="W1334" s="1"/>
      <c r="X1334" s="1"/>
    </row>
    <row r="1335" spans="1:24">
      <c r="A1335" s="1"/>
      <c r="M1335" s="26"/>
      <c r="N1335" s="26"/>
      <c r="P1335" s="1"/>
      <c r="Q1335" s="1"/>
      <c r="R1335" s="8"/>
      <c r="S1335" s="1"/>
      <c r="T1335" s="8"/>
      <c r="U1335" s="1"/>
      <c r="V1335" s="1"/>
      <c r="W1335" s="1"/>
      <c r="X1335" s="1"/>
    </row>
    <row r="1336" spans="1:24">
      <c r="A1336" s="1"/>
      <c r="M1336" s="26"/>
      <c r="N1336" s="26"/>
      <c r="P1336" s="1"/>
      <c r="Q1336" s="1"/>
      <c r="R1336" s="8"/>
      <c r="S1336" s="1"/>
      <c r="T1336" s="8"/>
      <c r="U1336" s="1"/>
      <c r="V1336" s="1"/>
      <c r="W1336" s="1"/>
      <c r="X1336" s="1"/>
    </row>
    <row r="1337" spans="1:24">
      <c r="A1337" s="1"/>
      <c r="M1337" s="26"/>
      <c r="N1337" s="26"/>
      <c r="P1337" s="1"/>
      <c r="Q1337" s="1"/>
      <c r="R1337" s="8"/>
      <c r="S1337" s="1"/>
      <c r="T1337" s="8"/>
      <c r="U1337" s="1"/>
      <c r="V1337" s="1"/>
      <c r="W1337" s="1"/>
      <c r="X1337" s="1"/>
    </row>
    <row r="1338" spans="1:24">
      <c r="A1338" s="1"/>
      <c r="M1338" s="26"/>
      <c r="N1338" s="26"/>
      <c r="P1338" s="1"/>
      <c r="Q1338" s="1"/>
      <c r="R1338" s="8"/>
      <c r="S1338" s="1"/>
      <c r="T1338" s="8"/>
      <c r="U1338" s="1"/>
      <c r="V1338" s="1"/>
      <c r="W1338" s="1"/>
      <c r="X1338" s="1"/>
    </row>
    <row r="1339" spans="1:24">
      <c r="A1339" s="1"/>
      <c r="M1339" s="26"/>
      <c r="N1339" s="26"/>
      <c r="P1339" s="1"/>
      <c r="Q1339" s="1"/>
      <c r="R1339" s="8"/>
      <c r="S1339" s="1"/>
      <c r="T1339" s="8"/>
      <c r="U1339" s="1"/>
      <c r="V1339" s="1"/>
      <c r="W1339" s="1"/>
      <c r="X1339" s="1"/>
    </row>
    <row r="1340" spans="1:24">
      <c r="A1340" s="1"/>
      <c r="M1340" s="26"/>
      <c r="N1340" s="26"/>
      <c r="P1340" s="1"/>
      <c r="Q1340" s="1"/>
      <c r="R1340" s="8"/>
      <c r="S1340" s="1"/>
      <c r="T1340" s="8"/>
      <c r="U1340" s="1"/>
      <c r="V1340" s="1"/>
      <c r="W1340" s="1"/>
      <c r="X1340" s="1"/>
    </row>
    <row r="1341" spans="1:24">
      <c r="A1341" s="1"/>
      <c r="M1341" s="26"/>
      <c r="N1341" s="26"/>
      <c r="P1341" s="1"/>
      <c r="Q1341" s="1"/>
      <c r="R1341" s="8"/>
      <c r="S1341" s="1"/>
      <c r="T1341" s="8"/>
      <c r="U1341" s="1"/>
      <c r="V1341" s="1"/>
      <c r="W1341" s="1"/>
      <c r="X1341" s="1"/>
    </row>
    <row r="1342" spans="1:24">
      <c r="A1342" s="1"/>
      <c r="M1342" s="26"/>
      <c r="N1342" s="26"/>
      <c r="P1342" s="1"/>
      <c r="Q1342" s="1"/>
      <c r="R1342" s="8"/>
      <c r="S1342" s="1"/>
      <c r="T1342" s="8"/>
      <c r="U1342" s="1"/>
      <c r="V1342" s="1"/>
      <c r="W1342" s="1"/>
      <c r="X1342" s="1"/>
    </row>
    <row r="1343" spans="1:24">
      <c r="A1343" s="1"/>
      <c r="M1343" s="26"/>
      <c r="N1343" s="26"/>
      <c r="P1343" s="1"/>
      <c r="Q1343" s="1"/>
      <c r="R1343" s="8"/>
      <c r="S1343" s="1"/>
      <c r="T1343" s="8"/>
      <c r="U1343" s="1"/>
      <c r="V1343" s="1"/>
      <c r="W1343" s="1"/>
      <c r="X1343" s="1"/>
    </row>
    <row r="1344" spans="1:24">
      <c r="A1344" s="1"/>
      <c r="M1344" s="26"/>
      <c r="N1344" s="26"/>
      <c r="P1344" s="1"/>
      <c r="Q1344" s="1"/>
      <c r="R1344" s="8"/>
      <c r="S1344" s="1"/>
      <c r="T1344" s="8"/>
      <c r="U1344" s="1"/>
      <c r="V1344" s="1"/>
      <c r="W1344" s="1"/>
      <c r="X1344" s="1"/>
    </row>
    <row r="1345" spans="1:24">
      <c r="A1345" s="1"/>
      <c r="M1345" s="26"/>
      <c r="N1345" s="26"/>
      <c r="P1345" s="1"/>
      <c r="Q1345" s="1"/>
      <c r="R1345" s="8"/>
      <c r="S1345" s="1"/>
      <c r="T1345" s="8"/>
      <c r="U1345" s="1"/>
      <c r="V1345" s="1"/>
      <c r="W1345" s="1"/>
      <c r="X1345" s="1"/>
    </row>
    <row r="1346" spans="1:24">
      <c r="A1346" s="1"/>
      <c r="M1346" s="26"/>
      <c r="N1346" s="26"/>
      <c r="P1346" s="1"/>
      <c r="Q1346" s="1"/>
      <c r="R1346" s="8"/>
      <c r="S1346" s="1"/>
      <c r="T1346" s="8"/>
      <c r="U1346" s="1"/>
      <c r="V1346" s="1"/>
      <c r="W1346" s="1"/>
      <c r="X1346" s="1"/>
    </row>
    <row r="1347" spans="1:24">
      <c r="A1347" s="1"/>
      <c r="M1347" s="26"/>
      <c r="N1347" s="26"/>
      <c r="P1347" s="1"/>
      <c r="Q1347" s="1"/>
      <c r="R1347" s="8"/>
      <c r="S1347" s="1"/>
      <c r="T1347" s="8"/>
      <c r="U1347" s="1"/>
      <c r="V1347" s="1"/>
      <c r="W1347" s="1"/>
      <c r="X1347" s="1"/>
    </row>
    <row r="1348" spans="1:24">
      <c r="A1348" s="1"/>
      <c r="M1348" s="26"/>
      <c r="N1348" s="26"/>
      <c r="P1348" s="1"/>
      <c r="Q1348" s="1"/>
      <c r="R1348" s="8"/>
      <c r="S1348" s="1"/>
      <c r="T1348" s="8"/>
      <c r="U1348" s="1"/>
      <c r="V1348" s="1"/>
      <c r="W1348" s="1"/>
      <c r="X1348" s="1"/>
    </row>
    <row r="1349" spans="1:24">
      <c r="A1349" s="1"/>
      <c r="M1349" s="26"/>
      <c r="N1349" s="26"/>
      <c r="P1349" s="1"/>
      <c r="Q1349" s="1"/>
      <c r="R1349" s="8"/>
      <c r="S1349" s="1"/>
      <c r="T1349" s="8"/>
      <c r="U1349" s="1"/>
      <c r="V1349" s="1"/>
      <c r="W1349" s="1"/>
      <c r="X1349" s="1"/>
    </row>
    <row r="1350" spans="1:24">
      <c r="A1350" s="1"/>
      <c r="M1350" s="26"/>
      <c r="N1350" s="26"/>
      <c r="P1350" s="1"/>
      <c r="Q1350" s="1"/>
      <c r="R1350" s="8"/>
      <c r="S1350" s="1"/>
      <c r="T1350" s="8"/>
      <c r="U1350" s="1"/>
      <c r="V1350" s="1"/>
      <c r="W1350" s="1"/>
      <c r="X1350" s="1"/>
    </row>
    <row r="1351" spans="1:24">
      <c r="A1351" s="1"/>
      <c r="M1351" s="26"/>
      <c r="N1351" s="26"/>
      <c r="P1351" s="1"/>
      <c r="Q1351" s="1"/>
      <c r="R1351" s="8"/>
      <c r="S1351" s="1"/>
      <c r="T1351" s="8"/>
      <c r="U1351" s="1"/>
      <c r="V1351" s="1"/>
      <c r="W1351" s="1"/>
      <c r="X1351" s="1"/>
    </row>
    <row r="1352" spans="1:24">
      <c r="A1352" s="1"/>
      <c r="M1352" s="26"/>
      <c r="N1352" s="26"/>
      <c r="P1352" s="1"/>
      <c r="Q1352" s="1"/>
      <c r="R1352" s="8"/>
      <c r="S1352" s="1"/>
      <c r="T1352" s="8"/>
      <c r="U1352" s="1"/>
      <c r="V1352" s="1"/>
      <c r="W1352" s="1"/>
      <c r="X1352" s="1"/>
    </row>
    <row r="1353" spans="1:24">
      <c r="A1353" s="1"/>
      <c r="M1353" s="26"/>
      <c r="N1353" s="26"/>
      <c r="P1353" s="1"/>
      <c r="Q1353" s="1"/>
      <c r="R1353" s="8"/>
      <c r="S1353" s="1"/>
      <c r="T1353" s="8"/>
      <c r="U1353" s="1"/>
      <c r="V1353" s="1"/>
      <c r="W1353" s="1"/>
      <c r="X1353" s="1"/>
    </row>
    <row r="1354" spans="1:24">
      <c r="A1354" s="1"/>
      <c r="M1354" s="26"/>
      <c r="N1354" s="26"/>
      <c r="P1354" s="1"/>
      <c r="Q1354" s="1"/>
      <c r="R1354" s="8"/>
      <c r="S1354" s="1"/>
      <c r="T1354" s="8"/>
      <c r="U1354" s="1"/>
      <c r="V1354" s="1"/>
      <c r="W1354" s="1"/>
      <c r="X1354" s="1"/>
    </row>
    <row r="1355" spans="1:24">
      <c r="A1355" s="1"/>
      <c r="M1355" s="26"/>
      <c r="N1355" s="26"/>
      <c r="P1355" s="1"/>
      <c r="Q1355" s="1"/>
      <c r="R1355" s="8"/>
      <c r="S1355" s="1"/>
      <c r="T1355" s="8"/>
      <c r="U1355" s="1"/>
      <c r="V1355" s="1"/>
      <c r="W1355" s="1"/>
      <c r="X1355" s="1"/>
    </row>
    <row r="1356" spans="1:24">
      <c r="A1356" s="1"/>
      <c r="M1356" s="26"/>
      <c r="N1356" s="26"/>
      <c r="P1356" s="1"/>
      <c r="Q1356" s="1"/>
      <c r="R1356" s="8"/>
      <c r="S1356" s="1"/>
      <c r="T1356" s="8"/>
      <c r="U1356" s="1"/>
      <c r="V1356" s="1"/>
      <c r="W1356" s="1"/>
      <c r="X1356" s="1"/>
    </row>
    <row r="1357" spans="1:24">
      <c r="A1357" s="1"/>
      <c r="M1357" s="26"/>
      <c r="N1357" s="26"/>
      <c r="P1357" s="1"/>
      <c r="Q1357" s="1"/>
      <c r="R1357" s="8"/>
      <c r="S1357" s="1"/>
      <c r="T1357" s="8"/>
      <c r="U1357" s="1"/>
      <c r="V1357" s="1"/>
      <c r="W1357" s="1"/>
      <c r="X1357" s="1"/>
    </row>
    <row r="1358" spans="1:24">
      <c r="A1358" s="1"/>
      <c r="M1358" s="26"/>
      <c r="N1358" s="26"/>
      <c r="P1358" s="1"/>
      <c r="Q1358" s="1"/>
      <c r="R1358" s="8"/>
      <c r="S1358" s="1"/>
      <c r="T1358" s="8"/>
      <c r="U1358" s="1"/>
      <c r="V1358" s="1"/>
      <c r="W1358" s="1"/>
      <c r="X1358" s="1"/>
    </row>
    <row r="1359" spans="1:24">
      <c r="A1359" s="1"/>
      <c r="M1359" s="26"/>
      <c r="N1359" s="26"/>
      <c r="P1359" s="1"/>
      <c r="Q1359" s="1"/>
      <c r="R1359" s="8"/>
      <c r="S1359" s="1"/>
      <c r="T1359" s="8"/>
      <c r="U1359" s="1"/>
      <c r="V1359" s="1"/>
      <c r="W1359" s="1"/>
      <c r="X1359" s="1"/>
    </row>
    <row r="1360" spans="1:24">
      <c r="A1360" s="1"/>
      <c r="M1360" s="26"/>
      <c r="N1360" s="26"/>
      <c r="P1360" s="1"/>
      <c r="Q1360" s="1"/>
      <c r="R1360" s="8"/>
      <c r="S1360" s="1"/>
      <c r="T1360" s="8"/>
      <c r="U1360" s="1"/>
      <c r="V1360" s="1"/>
      <c r="W1360" s="1"/>
      <c r="X1360" s="1"/>
    </row>
    <row r="1361" spans="1:24">
      <c r="A1361" s="1"/>
      <c r="M1361" s="26"/>
      <c r="N1361" s="26"/>
      <c r="P1361" s="1"/>
      <c r="Q1361" s="1"/>
      <c r="R1361" s="8"/>
      <c r="S1361" s="1"/>
      <c r="T1361" s="8"/>
      <c r="U1361" s="1"/>
      <c r="V1361" s="1"/>
      <c r="W1361" s="1"/>
      <c r="X1361" s="1"/>
    </row>
    <row r="1362" spans="1:24">
      <c r="A1362" s="1"/>
      <c r="M1362" s="26"/>
      <c r="N1362" s="26"/>
      <c r="P1362" s="1"/>
      <c r="Q1362" s="1"/>
      <c r="R1362" s="8"/>
      <c r="S1362" s="1"/>
      <c r="T1362" s="8"/>
      <c r="U1362" s="1"/>
      <c r="V1362" s="1"/>
      <c r="W1362" s="1"/>
      <c r="X1362" s="1"/>
    </row>
    <row r="1363" spans="1:24">
      <c r="A1363" s="1"/>
      <c r="M1363" s="26"/>
      <c r="N1363" s="26"/>
      <c r="P1363" s="1"/>
      <c r="Q1363" s="1"/>
      <c r="R1363" s="8"/>
      <c r="S1363" s="1"/>
      <c r="T1363" s="8"/>
      <c r="U1363" s="1"/>
      <c r="V1363" s="1"/>
      <c r="W1363" s="1"/>
      <c r="X1363" s="1"/>
    </row>
    <row r="1364" spans="1:24">
      <c r="A1364" s="1"/>
      <c r="M1364" s="26"/>
      <c r="N1364" s="26"/>
      <c r="P1364" s="1"/>
      <c r="Q1364" s="1"/>
      <c r="R1364" s="8"/>
      <c r="S1364" s="1"/>
      <c r="T1364" s="8"/>
      <c r="U1364" s="1"/>
      <c r="V1364" s="1"/>
      <c r="W1364" s="1"/>
      <c r="X1364" s="1"/>
    </row>
    <row r="1365" spans="1:24">
      <c r="A1365" s="1"/>
      <c r="M1365" s="26"/>
      <c r="N1365" s="26"/>
      <c r="P1365" s="1"/>
      <c r="Q1365" s="1"/>
      <c r="R1365" s="8"/>
      <c r="S1365" s="1"/>
      <c r="T1365" s="8"/>
      <c r="U1365" s="1"/>
      <c r="V1365" s="1"/>
      <c r="W1365" s="1"/>
      <c r="X1365" s="1"/>
    </row>
    <row r="1366" spans="1:24">
      <c r="A1366" s="1"/>
      <c r="M1366" s="26"/>
      <c r="N1366" s="26"/>
      <c r="P1366" s="1"/>
      <c r="Q1366" s="1"/>
      <c r="R1366" s="8"/>
      <c r="S1366" s="1"/>
      <c r="T1366" s="8"/>
      <c r="U1366" s="1"/>
      <c r="V1366" s="1"/>
      <c r="W1366" s="1"/>
      <c r="X1366" s="1"/>
    </row>
    <row r="1367" spans="1:24">
      <c r="A1367" s="1"/>
      <c r="M1367" s="26"/>
      <c r="N1367" s="26"/>
      <c r="P1367" s="1"/>
      <c r="Q1367" s="1"/>
      <c r="R1367" s="8"/>
      <c r="S1367" s="1"/>
      <c r="T1367" s="8"/>
      <c r="U1367" s="1"/>
      <c r="V1367" s="1"/>
      <c r="W1367" s="1"/>
      <c r="X1367" s="1"/>
    </row>
    <row r="1368" spans="1:24">
      <c r="A1368" s="1"/>
      <c r="M1368" s="26"/>
      <c r="N1368" s="26"/>
      <c r="P1368" s="1"/>
      <c r="Q1368" s="1"/>
      <c r="R1368" s="8"/>
      <c r="S1368" s="1"/>
      <c r="T1368" s="8"/>
      <c r="U1368" s="1"/>
      <c r="V1368" s="1"/>
      <c r="W1368" s="1"/>
      <c r="X1368" s="1"/>
    </row>
    <row r="1369" spans="1:24">
      <c r="A1369" s="1"/>
      <c r="M1369" s="26"/>
      <c r="N1369" s="26"/>
      <c r="P1369" s="1"/>
      <c r="Q1369" s="1"/>
      <c r="R1369" s="8"/>
      <c r="S1369" s="1"/>
      <c r="T1369" s="8"/>
      <c r="U1369" s="1"/>
      <c r="V1369" s="1"/>
      <c r="W1369" s="1"/>
      <c r="X1369" s="1"/>
    </row>
    <row r="1370" spans="1:24">
      <c r="A1370" s="1"/>
      <c r="M1370" s="26"/>
      <c r="N1370" s="26"/>
      <c r="P1370" s="1"/>
      <c r="Q1370" s="1"/>
      <c r="R1370" s="8"/>
      <c r="S1370" s="1"/>
      <c r="T1370" s="8"/>
      <c r="U1370" s="1"/>
      <c r="V1370" s="1"/>
      <c r="W1370" s="1"/>
      <c r="X1370" s="1"/>
    </row>
    <row r="1371" spans="1:24">
      <c r="A1371" s="1"/>
      <c r="M1371" s="26"/>
      <c r="N1371" s="26"/>
      <c r="P1371" s="1"/>
      <c r="Q1371" s="1"/>
      <c r="R1371" s="8"/>
      <c r="S1371" s="1"/>
      <c r="T1371" s="8"/>
      <c r="U1371" s="1"/>
      <c r="V1371" s="1"/>
      <c r="W1371" s="1"/>
      <c r="X1371" s="1"/>
    </row>
    <row r="1372" spans="1:24">
      <c r="A1372" s="1"/>
      <c r="M1372" s="26"/>
      <c r="N1372" s="26"/>
      <c r="P1372" s="1"/>
      <c r="Q1372" s="1"/>
      <c r="R1372" s="8"/>
      <c r="S1372" s="1"/>
      <c r="T1372" s="8"/>
      <c r="U1372" s="1"/>
      <c r="V1372" s="1"/>
      <c r="W1372" s="1"/>
      <c r="X1372" s="1"/>
    </row>
    <row r="1373" spans="1:24">
      <c r="A1373" s="1"/>
      <c r="M1373" s="26"/>
      <c r="N1373" s="26"/>
      <c r="P1373" s="1"/>
      <c r="Q1373" s="1"/>
      <c r="R1373" s="8"/>
      <c r="S1373" s="1"/>
      <c r="T1373" s="8"/>
      <c r="U1373" s="1"/>
      <c r="V1373" s="1"/>
      <c r="W1373" s="1"/>
      <c r="X1373" s="1"/>
    </row>
    <row r="1374" spans="1:24">
      <c r="A1374" s="1"/>
      <c r="M1374" s="26"/>
      <c r="N1374" s="26"/>
      <c r="P1374" s="1"/>
      <c r="Q1374" s="1"/>
      <c r="R1374" s="8"/>
      <c r="S1374" s="1"/>
      <c r="T1374" s="8"/>
      <c r="U1374" s="1"/>
      <c r="V1374" s="1"/>
      <c r="W1374" s="1"/>
      <c r="X1374" s="1"/>
    </row>
    <row r="1375" spans="1:24">
      <c r="A1375" s="1"/>
      <c r="M1375" s="26"/>
      <c r="N1375" s="26"/>
      <c r="P1375" s="1"/>
      <c r="Q1375" s="1"/>
      <c r="R1375" s="8"/>
      <c r="S1375" s="1"/>
      <c r="T1375" s="8"/>
      <c r="U1375" s="1"/>
      <c r="V1375" s="1"/>
      <c r="W1375" s="1"/>
      <c r="X1375" s="1"/>
    </row>
    <row r="1376" spans="1:24">
      <c r="A1376" s="1"/>
      <c r="M1376" s="26"/>
      <c r="N1376" s="26"/>
      <c r="P1376" s="1"/>
      <c r="Q1376" s="1"/>
      <c r="R1376" s="8"/>
      <c r="S1376" s="1"/>
      <c r="T1376" s="8"/>
      <c r="U1376" s="1"/>
      <c r="V1376" s="1"/>
      <c r="W1376" s="1"/>
      <c r="X1376" s="1"/>
    </row>
    <row r="1377" spans="1:24">
      <c r="A1377" s="1"/>
      <c r="M1377" s="26"/>
      <c r="N1377" s="26"/>
      <c r="P1377" s="1"/>
      <c r="Q1377" s="1"/>
      <c r="R1377" s="8"/>
      <c r="S1377" s="1"/>
      <c r="T1377" s="8"/>
      <c r="U1377" s="1"/>
      <c r="V1377" s="1"/>
      <c r="W1377" s="1"/>
      <c r="X1377" s="1"/>
    </row>
    <row r="1378" spans="1:24">
      <c r="A1378" s="1"/>
      <c r="M1378" s="26"/>
      <c r="N1378" s="26"/>
      <c r="P1378" s="1"/>
      <c r="Q1378" s="1"/>
      <c r="R1378" s="8"/>
      <c r="S1378" s="1"/>
      <c r="T1378" s="8"/>
      <c r="U1378" s="1"/>
      <c r="V1378" s="1"/>
      <c r="W1378" s="1"/>
      <c r="X1378" s="1"/>
    </row>
    <row r="1379" spans="1:24">
      <c r="A1379" s="1"/>
      <c r="M1379" s="26"/>
      <c r="N1379" s="26"/>
      <c r="P1379" s="1"/>
      <c r="Q1379" s="1"/>
      <c r="R1379" s="8"/>
      <c r="S1379" s="1"/>
      <c r="T1379" s="8"/>
      <c r="U1379" s="1"/>
      <c r="V1379" s="1"/>
      <c r="W1379" s="1"/>
      <c r="X1379" s="1"/>
    </row>
    <row r="1380" spans="1:24">
      <c r="A1380" s="1"/>
      <c r="M1380" s="26"/>
      <c r="N1380" s="26"/>
      <c r="P1380" s="1"/>
      <c r="Q1380" s="1"/>
      <c r="R1380" s="8"/>
      <c r="S1380" s="1"/>
      <c r="T1380" s="8"/>
      <c r="U1380" s="1"/>
      <c r="V1380" s="1"/>
      <c r="W1380" s="1"/>
      <c r="X1380" s="1"/>
    </row>
    <row r="1381" spans="1:24">
      <c r="A1381" s="1"/>
      <c r="M1381" s="26"/>
      <c r="N1381" s="26"/>
      <c r="P1381" s="1"/>
      <c r="Q1381" s="1"/>
      <c r="R1381" s="8"/>
      <c r="S1381" s="1"/>
      <c r="T1381" s="8"/>
      <c r="U1381" s="1"/>
      <c r="V1381" s="1"/>
      <c r="W1381" s="1"/>
      <c r="X1381" s="1"/>
    </row>
    <row r="1382" spans="1:24">
      <c r="A1382" s="1"/>
      <c r="M1382" s="26"/>
      <c r="N1382" s="26"/>
      <c r="P1382" s="1"/>
      <c r="Q1382" s="1"/>
      <c r="R1382" s="8"/>
      <c r="S1382" s="1"/>
      <c r="T1382" s="8"/>
      <c r="U1382" s="1"/>
      <c r="V1382" s="1"/>
      <c r="W1382" s="1"/>
      <c r="X1382" s="1"/>
    </row>
    <row r="1383" spans="1:24">
      <c r="A1383" s="1"/>
      <c r="M1383" s="26"/>
      <c r="N1383" s="26"/>
      <c r="P1383" s="1"/>
      <c r="Q1383" s="1"/>
      <c r="R1383" s="8"/>
      <c r="S1383" s="1"/>
      <c r="T1383" s="8"/>
      <c r="U1383" s="1"/>
      <c r="V1383" s="1"/>
      <c r="W1383" s="1"/>
      <c r="X1383" s="1"/>
    </row>
    <row r="1384" spans="1:24">
      <c r="A1384" s="1"/>
      <c r="M1384" s="26"/>
      <c r="N1384" s="26"/>
      <c r="P1384" s="1"/>
      <c r="Q1384" s="1"/>
      <c r="R1384" s="8"/>
      <c r="S1384" s="1"/>
      <c r="T1384" s="8"/>
      <c r="U1384" s="1"/>
      <c r="V1384" s="1"/>
      <c r="W1384" s="1"/>
      <c r="X1384" s="1"/>
    </row>
    <row r="1385" spans="1:24">
      <c r="A1385" s="1"/>
      <c r="M1385" s="26"/>
      <c r="N1385" s="26"/>
      <c r="P1385" s="1"/>
      <c r="Q1385" s="1"/>
      <c r="R1385" s="8"/>
      <c r="S1385" s="1"/>
      <c r="T1385" s="8"/>
      <c r="U1385" s="1"/>
      <c r="V1385" s="1"/>
      <c r="W1385" s="1"/>
      <c r="X1385" s="1"/>
    </row>
    <row r="1386" spans="1:24">
      <c r="A1386" s="1"/>
      <c r="M1386" s="26"/>
      <c r="N1386" s="26"/>
      <c r="P1386" s="1"/>
      <c r="Q1386" s="1"/>
      <c r="R1386" s="8"/>
      <c r="S1386" s="1"/>
      <c r="T1386" s="8"/>
      <c r="U1386" s="1"/>
      <c r="V1386" s="1"/>
      <c r="W1386" s="1"/>
      <c r="X1386" s="1"/>
    </row>
    <row r="1387" spans="1:24">
      <c r="A1387" s="1"/>
      <c r="M1387" s="26"/>
      <c r="N1387" s="26"/>
      <c r="P1387" s="1"/>
      <c r="Q1387" s="1"/>
      <c r="R1387" s="8"/>
      <c r="S1387" s="1"/>
      <c r="T1387" s="8"/>
      <c r="U1387" s="1"/>
      <c r="V1387" s="1"/>
      <c r="W1387" s="1"/>
      <c r="X1387" s="1"/>
    </row>
    <row r="1388" spans="1:24">
      <c r="A1388" s="1"/>
      <c r="M1388" s="26"/>
      <c r="N1388" s="26"/>
      <c r="P1388" s="1"/>
      <c r="Q1388" s="1"/>
      <c r="R1388" s="8"/>
      <c r="S1388" s="1"/>
      <c r="T1388" s="8"/>
      <c r="U1388" s="1"/>
      <c r="V1388" s="1"/>
      <c r="W1388" s="1"/>
      <c r="X1388" s="1"/>
    </row>
    <row r="1389" spans="1:24">
      <c r="A1389" s="1"/>
      <c r="M1389" s="26"/>
      <c r="N1389" s="26"/>
      <c r="P1389" s="1"/>
      <c r="Q1389" s="1"/>
      <c r="R1389" s="8"/>
      <c r="S1389" s="1"/>
      <c r="T1389" s="8"/>
      <c r="U1389" s="1"/>
      <c r="V1389" s="1"/>
      <c r="W1389" s="1"/>
      <c r="X1389" s="1"/>
    </row>
    <row r="1390" spans="1:24">
      <c r="A1390" s="1"/>
      <c r="M1390" s="26"/>
      <c r="N1390" s="26"/>
      <c r="P1390" s="1"/>
      <c r="Q1390" s="1"/>
      <c r="R1390" s="8"/>
      <c r="S1390" s="1"/>
      <c r="T1390" s="8"/>
      <c r="U1390" s="1"/>
      <c r="V1390" s="1"/>
      <c r="W1390" s="1"/>
      <c r="X1390" s="1"/>
    </row>
    <row r="1391" spans="1:24">
      <c r="A1391" s="1"/>
      <c r="M1391" s="26"/>
      <c r="N1391" s="26"/>
      <c r="P1391" s="1"/>
      <c r="Q1391" s="1"/>
      <c r="R1391" s="8"/>
      <c r="S1391" s="1"/>
      <c r="T1391" s="8"/>
      <c r="U1391" s="1"/>
      <c r="V1391" s="1"/>
      <c r="W1391" s="1"/>
      <c r="X1391" s="1"/>
    </row>
    <row r="1392" spans="1:24">
      <c r="A1392" s="1"/>
      <c r="M1392" s="26"/>
      <c r="N1392" s="26"/>
      <c r="P1392" s="1"/>
      <c r="Q1392" s="1"/>
      <c r="R1392" s="8"/>
      <c r="S1392" s="1"/>
      <c r="T1392" s="8"/>
      <c r="U1392" s="1"/>
      <c r="V1392" s="1"/>
      <c r="W1392" s="1"/>
      <c r="X1392" s="1"/>
    </row>
    <row r="1393" spans="1:24">
      <c r="A1393" s="1"/>
      <c r="M1393" s="26"/>
      <c r="N1393" s="26"/>
      <c r="P1393" s="1"/>
      <c r="Q1393" s="1"/>
      <c r="R1393" s="8"/>
      <c r="S1393" s="1"/>
      <c r="T1393" s="8"/>
      <c r="U1393" s="1"/>
      <c r="V1393" s="1"/>
      <c r="W1393" s="1"/>
      <c r="X1393" s="1"/>
    </row>
    <row r="1394" spans="1:24">
      <c r="A1394" s="1"/>
      <c r="M1394" s="26"/>
      <c r="N1394" s="26"/>
      <c r="P1394" s="1"/>
      <c r="Q1394" s="1"/>
      <c r="R1394" s="8"/>
      <c r="S1394" s="1"/>
      <c r="T1394" s="8"/>
      <c r="U1394" s="1"/>
      <c r="V1394" s="1"/>
      <c r="W1394" s="1"/>
      <c r="X1394" s="1"/>
    </row>
    <row r="1395" spans="1:24">
      <c r="A1395" s="1"/>
      <c r="M1395" s="26"/>
      <c r="N1395" s="26"/>
      <c r="P1395" s="1"/>
      <c r="Q1395" s="1"/>
      <c r="R1395" s="8"/>
      <c r="S1395" s="1"/>
      <c r="T1395" s="8"/>
      <c r="U1395" s="1"/>
      <c r="V1395" s="1"/>
      <c r="W1395" s="1"/>
      <c r="X1395" s="1"/>
    </row>
    <row r="1396" spans="1:24">
      <c r="A1396" s="1"/>
      <c r="M1396" s="26"/>
      <c r="N1396" s="26"/>
      <c r="P1396" s="1"/>
      <c r="Q1396" s="1"/>
      <c r="R1396" s="8"/>
      <c r="S1396" s="1"/>
      <c r="T1396" s="8"/>
      <c r="U1396" s="1"/>
      <c r="V1396" s="1"/>
      <c r="W1396" s="1"/>
      <c r="X1396" s="1"/>
    </row>
    <row r="1397" spans="1:24">
      <c r="A1397" s="1"/>
      <c r="M1397" s="26"/>
      <c r="N1397" s="26"/>
      <c r="P1397" s="1"/>
      <c r="Q1397" s="1"/>
      <c r="R1397" s="8"/>
      <c r="S1397" s="1"/>
      <c r="T1397" s="8"/>
      <c r="U1397" s="1"/>
      <c r="V1397" s="1"/>
      <c r="W1397" s="1"/>
      <c r="X1397" s="1"/>
    </row>
    <row r="1398" spans="1:24">
      <c r="A1398" s="1"/>
      <c r="M1398" s="26"/>
      <c r="N1398" s="26"/>
      <c r="P1398" s="1"/>
      <c r="Q1398" s="1"/>
      <c r="R1398" s="8"/>
      <c r="S1398" s="1"/>
      <c r="T1398" s="8"/>
      <c r="U1398" s="1"/>
      <c r="V1398" s="1"/>
      <c r="W1398" s="1"/>
      <c r="X1398" s="1"/>
    </row>
    <row r="1399" spans="1:24">
      <c r="A1399" s="1"/>
      <c r="M1399" s="26"/>
      <c r="N1399" s="26"/>
      <c r="P1399" s="1"/>
      <c r="Q1399" s="1"/>
      <c r="R1399" s="8"/>
      <c r="S1399" s="1"/>
      <c r="T1399" s="8"/>
      <c r="U1399" s="1"/>
      <c r="V1399" s="1"/>
      <c r="W1399" s="1"/>
      <c r="X1399" s="1"/>
    </row>
    <row r="1400" spans="1:24">
      <c r="A1400" s="1"/>
      <c r="M1400" s="26"/>
      <c r="N1400" s="26"/>
      <c r="P1400" s="1"/>
      <c r="Q1400" s="1"/>
      <c r="R1400" s="8"/>
      <c r="S1400" s="1"/>
      <c r="T1400" s="8"/>
      <c r="U1400" s="1"/>
      <c r="V1400" s="1"/>
      <c r="W1400" s="1"/>
      <c r="X1400" s="1"/>
    </row>
    <row r="1401" spans="1:24">
      <c r="A1401" s="1"/>
      <c r="M1401" s="26"/>
      <c r="N1401" s="26"/>
      <c r="P1401" s="1"/>
      <c r="Q1401" s="1"/>
      <c r="R1401" s="8"/>
      <c r="S1401" s="1"/>
      <c r="T1401" s="8"/>
      <c r="U1401" s="1"/>
      <c r="V1401" s="1"/>
      <c r="W1401" s="1"/>
      <c r="X1401" s="1"/>
    </row>
    <row r="1402" spans="1:24">
      <c r="A1402" s="1"/>
      <c r="M1402" s="26"/>
      <c r="N1402" s="26"/>
      <c r="P1402" s="1"/>
      <c r="Q1402" s="1"/>
      <c r="R1402" s="8"/>
      <c r="S1402" s="1"/>
      <c r="T1402" s="8"/>
      <c r="U1402" s="1"/>
      <c r="V1402" s="1"/>
      <c r="W1402" s="1"/>
      <c r="X1402" s="1"/>
    </row>
    <row r="1403" spans="1:24">
      <c r="A1403" s="1"/>
      <c r="M1403" s="26"/>
      <c r="N1403" s="26"/>
      <c r="P1403" s="1"/>
      <c r="Q1403" s="1"/>
      <c r="R1403" s="8"/>
      <c r="S1403" s="1"/>
      <c r="T1403" s="8"/>
      <c r="U1403" s="1"/>
      <c r="V1403" s="1"/>
      <c r="W1403" s="1"/>
      <c r="X1403" s="1"/>
    </row>
    <row r="1404" spans="1:24">
      <c r="A1404" s="1"/>
      <c r="M1404" s="26"/>
      <c r="N1404" s="26"/>
      <c r="P1404" s="1"/>
      <c r="Q1404" s="1"/>
      <c r="R1404" s="8"/>
      <c r="S1404" s="1"/>
      <c r="T1404" s="8"/>
      <c r="U1404" s="1"/>
      <c r="V1404" s="1"/>
      <c r="W1404" s="1"/>
      <c r="X1404" s="1"/>
    </row>
    <row r="1405" spans="1:24">
      <c r="A1405" s="1"/>
      <c r="M1405" s="26"/>
      <c r="N1405" s="26"/>
      <c r="P1405" s="1"/>
      <c r="Q1405" s="1"/>
      <c r="R1405" s="8"/>
      <c r="S1405" s="1"/>
      <c r="T1405" s="8"/>
      <c r="U1405" s="1"/>
      <c r="V1405" s="1"/>
      <c r="W1405" s="1"/>
      <c r="X1405" s="1"/>
    </row>
    <row r="1406" spans="1:24">
      <c r="A1406" s="1"/>
      <c r="M1406" s="26"/>
      <c r="N1406" s="26"/>
      <c r="P1406" s="1"/>
      <c r="Q1406" s="1"/>
      <c r="R1406" s="8"/>
      <c r="S1406" s="1"/>
      <c r="T1406" s="8"/>
      <c r="U1406" s="1"/>
      <c r="V1406" s="1"/>
      <c r="W1406" s="1"/>
      <c r="X1406" s="1"/>
    </row>
    <row r="1407" spans="1:24">
      <c r="A1407" s="1"/>
      <c r="M1407" s="26"/>
      <c r="N1407" s="26"/>
      <c r="P1407" s="1"/>
      <c r="Q1407" s="1"/>
      <c r="R1407" s="8"/>
      <c r="S1407" s="1"/>
      <c r="T1407" s="8"/>
      <c r="U1407" s="1"/>
      <c r="V1407" s="1"/>
      <c r="W1407" s="1"/>
      <c r="X1407" s="1"/>
    </row>
    <row r="1408" spans="1:24">
      <c r="A1408" s="1"/>
      <c r="M1408" s="26"/>
      <c r="N1408" s="26"/>
      <c r="P1408" s="1"/>
      <c r="Q1408" s="1"/>
      <c r="R1408" s="8"/>
      <c r="S1408" s="1"/>
      <c r="T1408" s="8"/>
      <c r="U1408" s="1"/>
      <c r="V1408" s="1"/>
      <c r="W1408" s="1"/>
      <c r="X1408" s="1"/>
    </row>
    <row r="1409" spans="1:24">
      <c r="A1409" s="1"/>
      <c r="M1409" s="26"/>
      <c r="N1409" s="26"/>
      <c r="P1409" s="1"/>
      <c r="Q1409" s="1"/>
      <c r="R1409" s="8"/>
      <c r="S1409" s="1"/>
      <c r="T1409" s="8"/>
      <c r="U1409" s="1"/>
      <c r="V1409" s="1"/>
      <c r="W1409" s="1"/>
      <c r="X1409" s="1"/>
    </row>
    <row r="1410" spans="1:24">
      <c r="A1410" s="1"/>
      <c r="M1410" s="26"/>
      <c r="N1410" s="26"/>
      <c r="P1410" s="1"/>
      <c r="Q1410" s="1"/>
      <c r="R1410" s="8"/>
      <c r="S1410" s="1"/>
      <c r="T1410" s="8"/>
      <c r="U1410" s="1"/>
      <c r="V1410" s="1"/>
      <c r="W1410" s="1"/>
      <c r="X1410" s="1"/>
    </row>
    <row r="1411" spans="1:24">
      <c r="A1411" s="1"/>
      <c r="M1411" s="26"/>
      <c r="N1411" s="26"/>
      <c r="P1411" s="1"/>
      <c r="Q1411" s="1"/>
      <c r="R1411" s="8"/>
      <c r="S1411" s="1"/>
      <c r="T1411" s="8"/>
      <c r="U1411" s="1"/>
      <c r="V1411" s="1"/>
      <c r="W1411" s="1"/>
      <c r="X1411" s="1"/>
    </row>
    <row r="1412" spans="1:24">
      <c r="A1412" s="1"/>
      <c r="M1412" s="26"/>
      <c r="N1412" s="26"/>
      <c r="P1412" s="1"/>
      <c r="Q1412" s="1"/>
      <c r="R1412" s="8"/>
      <c r="S1412" s="1"/>
      <c r="T1412" s="8"/>
      <c r="U1412" s="1"/>
      <c r="V1412" s="1"/>
      <c r="W1412" s="1"/>
      <c r="X1412" s="1"/>
    </row>
    <row r="1413" spans="1:24">
      <c r="A1413" s="1"/>
      <c r="M1413" s="26"/>
      <c r="N1413" s="26"/>
      <c r="P1413" s="1"/>
      <c r="Q1413" s="1"/>
      <c r="R1413" s="8"/>
      <c r="S1413" s="1"/>
      <c r="T1413" s="8"/>
      <c r="U1413" s="1"/>
      <c r="V1413" s="1"/>
      <c r="W1413" s="1"/>
      <c r="X1413" s="1"/>
    </row>
    <row r="1414" spans="1:24">
      <c r="A1414" s="1"/>
      <c r="M1414" s="26"/>
      <c r="N1414" s="26"/>
      <c r="P1414" s="1"/>
      <c r="Q1414" s="1"/>
      <c r="R1414" s="8"/>
      <c r="S1414" s="1"/>
      <c r="T1414" s="8"/>
      <c r="U1414" s="1"/>
      <c r="V1414" s="1"/>
      <c r="W1414" s="1"/>
      <c r="X1414" s="1"/>
    </row>
    <row r="1415" spans="1:24">
      <c r="A1415" s="1"/>
      <c r="M1415" s="26"/>
      <c r="N1415" s="26"/>
      <c r="P1415" s="1"/>
      <c r="Q1415" s="1"/>
      <c r="R1415" s="8"/>
      <c r="S1415" s="1"/>
      <c r="T1415" s="8"/>
      <c r="U1415" s="1"/>
      <c r="V1415" s="1"/>
      <c r="W1415" s="1"/>
      <c r="X1415" s="1"/>
    </row>
    <row r="1416" spans="1:24">
      <c r="A1416" s="1"/>
      <c r="M1416" s="26"/>
      <c r="N1416" s="26"/>
      <c r="P1416" s="1"/>
      <c r="Q1416" s="1"/>
      <c r="R1416" s="8"/>
      <c r="S1416" s="1"/>
      <c r="T1416" s="8"/>
      <c r="U1416" s="1"/>
      <c r="V1416" s="1"/>
      <c r="W1416" s="1"/>
      <c r="X1416" s="1"/>
    </row>
    <row r="1417" spans="1:24">
      <c r="A1417" s="1"/>
      <c r="M1417" s="26"/>
      <c r="N1417" s="26"/>
      <c r="P1417" s="1"/>
      <c r="Q1417" s="1"/>
      <c r="R1417" s="8"/>
      <c r="S1417" s="1"/>
      <c r="T1417" s="8"/>
      <c r="U1417" s="1"/>
      <c r="V1417" s="1"/>
      <c r="W1417" s="1"/>
      <c r="X1417" s="1"/>
    </row>
    <row r="1418" spans="1:24">
      <c r="A1418" s="1"/>
      <c r="M1418" s="26"/>
      <c r="N1418" s="26"/>
      <c r="P1418" s="1"/>
      <c r="Q1418" s="1"/>
      <c r="R1418" s="8"/>
      <c r="S1418" s="1"/>
      <c r="T1418" s="8"/>
      <c r="U1418" s="1"/>
      <c r="V1418" s="1"/>
      <c r="W1418" s="1"/>
      <c r="X1418" s="1"/>
    </row>
    <row r="1419" spans="1:24">
      <c r="A1419" s="1"/>
      <c r="M1419" s="26"/>
      <c r="N1419" s="26"/>
      <c r="P1419" s="1"/>
      <c r="Q1419" s="1"/>
      <c r="R1419" s="8"/>
      <c r="S1419" s="1"/>
      <c r="T1419" s="8"/>
      <c r="U1419" s="1"/>
      <c r="V1419" s="1"/>
      <c r="W1419" s="1"/>
      <c r="X1419" s="1"/>
    </row>
    <row r="1420" spans="1:24">
      <c r="A1420" s="1"/>
      <c r="M1420" s="26"/>
      <c r="N1420" s="26"/>
      <c r="P1420" s="1"/>
      <c r="Q1420" s="1"/>
      <c r="R1420" s="8"/>
      <c r="S1420" s="1"/>
      <c r="T1420" s="8"/>
      <c r="U1420" s="1"/>
      <c r="V1420" s="1"/>
      <c r="W1420" s="1"/>
      <c r="X1420" s="1"/>
    </row>
    <row r="1421" spans="1:24">
      <c r="A1421" s="1"/>
      <c r="M1421" s="26"/>
      <c r="N1421" s="26"/>
      <c r="P1421" s="1"/>
      <c r="Q1421" s="1"/>
      <c r="R1421" s="8"/>
      <c r="S1421" s="1"/>
      <c r="T1421" s="8"/>
      <c r="U1421" s="1"/>
      <c r="V1421" s="1"/>
      <c r="W1421" s="1"/>
      <c r="X1421" s="1"/>
    </row>
    <row r="1422" spans="1:24">
      <c r="A1422" s="1"/>
      <c r="M1422" s="26"/>
      <c r="N1422" s="26"/>
      <c r="P1422" s="1"/>
      <c r="Q1422" s="1"/>
      <c r="R1422" s="8"/>
      <c r="S1422" s="1"/>
      <c r="T1422" s="8"/>
      <c r="U1422" s="1"/>
      <c r="V1422" s="1"/>
      <c r="W1422" s="1"/>
      <c r="X1422" s="1"/>
    </row>
    <row r="1423" spans="1:24">
      <c r="A1423" s="1"/>
      <c r="M1423" s="26"/>
      <c r="N1423" s="26"/>
      <c r="P1423" s="1"/>
      <c r="Q1423" s="1"/>
      <c r="R1423" s="8"/>
      <c r="S1423" s="1"/>
      <c r="T1423" s="8"/>
      <c r="U1423" s="1"/>
      <c r="V1423" s="1"/>
      <c r="W1423" s="1"/>
      <c r="X1423" s="1"/>
    </row>
    <row r="1424" spans="1:24">
      <c r="A1424" s="1"/>
      <c r="M1424" s="26"/>
      <c r="N1424" s="26"/>
      <c r="P1424" s="1"/>
      <c r="Q1424" s="1"/>
      <c r="R1424" s="8"/>
      <c r="S1424" s="1"/>
      <c r="T1424" s="8"/>
      <c r="U1424" s="1"/>
      <c r="V1424" s="1"/>
      <c r="W1424" s="1"/>
      <c r="X1424" s="1"/>
    </row>
    <row r="1425" spans="1:24">
      <c r="A1425" s="1"/>
      <c r="M1425" s="26"/>
      <c r="N1425" s="26"/>
      <c r="P1425" s="1"/>
      <c r="Q1425" s="1"/>
      <c r="R1425" s="8"/>
      <c r="S1425" s="1"/>
      <c r="T1425" s="8"/>
      <c r="U1425" s="1"/>
      <c r="V1425" s="1"/>
      <c r="W1425" s="1"/>
      <c r="X1425" s="1"/>
    </row>
    <row r="1426" spans="1:24">
      <c r="A1426" s="1"/>
      <c r="M1426" s="26"/>
      <c r="N1426" s="26"/>
      <c r="P1426" s="1"/>
      <c r="Q1426" s="1"/>
      <c r="R1426" s="8"/>
      <c r="S1426" s="1"/>
      <c r="T1426" s="8"/>
      <c r="U1426" s="1"/>
      <c r="V1426" s="1"/>
      <c r="W1426" s="1"/>
      <c r="X1426" s="1"/>
    </row>
    <row r="1427" spans="1:24">
      <c r="A1427" s="1"/>
      <c r="M1427" s="26"/>
      <c r="N1427" s="26"/>
      <c r="P1427" s="1"/>
      <c r="Q1427" s="1"/>
      <c r="R1427" s="8"/>
      <c r="S1427" s="1"/>
      <c r="T1427" s="8"/>
      <c r="U1427" s="1"/>
      <c r="V1427" s="1"/>
      <c r="W1427" s="1"/>
      <c r="X1427" s="1"/>
    </row>
    <row r="1428" spans="1:24">
      <c r="A1428" s="1"/>
      <c r="M1428" s="26"/>
      <c r="N1428" s="26"/>
      <c r="P1428" s="1"/>
      <c r="Q1428" s="1"/>
      <c r="R1428" s="8"/>
      <c r="S1428" s="1"/>
      <c r="T1428" s="8"/>
      <c r="U1428" s="1"/>
      <c r="V1428" s="1"/>
      <c r="W1428" s="1"/>
      <c r="X1428" s="1"/>
    </row>
    <row r="1429" spans="1:24">
      <c r="A1429" s="1"/>
      <c r="M1429" s="26"/>
      <c r="N1429" s="26"/>
      <c r="P1429" s="1"/>
      <c r="Q1429" s="1"/>
      <c r="R1429" s="8"/>
      <c r="S1429" s="1"/>
      <c r="T1429" s="8"/>
      <c r="U1429" s="1"/>
      <c r="V1429" s="1"/>
      <c r="W1429" s="1"/>
      <c r="X1429" s="1"/>
    </row>
    <row r="1430" spans="1:24">
      <c r="A1430" s="1"/>
      <c r="M1430" s="26"/>
      <c r="N1430" s="26"/>
      <c r="P1430" s="1"/>
      <c r="Q1430" s="1"/>
      <c r="R1430" s="8"/>
      <c r="S1430" s="1"/>
      <c r="T1430" s="8"/>
      <c r="U1430" s="1"/>
      <c r="V1430" s="1"/>
      <c r="W1430" s="1"/>
      <c r="X1430" s="1"/>
    </row>
    <row r="1431" spans="1:24">
      <c r="A1431" s="1"/>
      <c r="M1431" s="26"/>
      <c r="N1431" s="26"/>
      <c r="P1431" s="1"/>
      <c r="Q1431" s="1"/>
      <c r="R1431" s="8"/>
      <c r="S1431" s="1"/>
      <c r="T1431" s="8"/>
      <c r="U1431" s="1"/>
      <c r="V1431" s="1"/>
      <c r="W1431" s="1"/>
      <c r="X1431" s="1"/>
    </row>
    <row r="1432" spans="1:24">
      <c r="A1432" s="1"/>
      <c r="M1432" s="26"/>
      <c r="N1432" s="26"/>
      <c r="P1432" s="1"/>
      <c r="Q1432" s="1"/>
      <c r="R1432" s="8"/>
      <c r="S1432" s="1"/>
      <c r="T1432" s="8"/>
      <c r="U1432" s="1"/>
      <c r="V1432" s="1"/>
      <c r="W1432" s="1"/>
      <c r="X1432" s="1"/>
    </row>
    <row r="1433" spans="1:24">
      <c r="A1433" s="1"/>
      <c r="M1433" s="26"/>
      <c r="N1433" s="26"/>
      <c r="P1433" s="1"/>
      <c r="Q1433" s="1"/>
      <c r="R1433" s="8"/>
      <c r="S1433" s="1"/>
      <c r="T1433" s="8"/>
      <c r="U1433" s="1"/>
      <c r="V1433" s="1"/>
      <c r="W1433" s="1"/>
      <c r="X1433" s="1"/>
    </row>
    <row r="1434" spans="1:24">
      <c r="A1434" s="1"/>
      <c r="M1434" s="26"/>
      <c r="N1434" s="26"/>
      <c r="P1434" s="1"/>
      <c r="Q1434" s="1"/>
      <c r="R1434" s="8"/>
      <c r="S1434" s="1"/>
      <c r="T1434" s="8"/>
      <c r="U1434" s="1"/>
      <c r="V1434" s="1"/>
      <c r="W1434" s="1"/>
      <c r="X1434" s="1"/>
    </row>
    <row r="1435" spans="1:24">
      <c r="A1435" s="1"/>
      <c r="M1435" s="26"/>
      <c r="N1435" s="26"/>
      <c r="P1435" s="1"/>
      <c r="Q1435" s="1"/>
      <c r="R1435" s="8"/>
      <c r="S1435" s="1"/>
      <c r="T1435" s="8"/>
      <c r="U1435" s="1"/>
      <c r="V1435" s="1"/>
      <c r="W1435" s="1"/>
      <c r="X1435" s="1"/>
    </row>
    <row r="1436" spans="1:24">
      <c r="A1436" s="1"/>
      <c r="M1436" s="26"/>
      <c r="N1436" s="26"/>
      <c r="P1436" s="1"/>
      <c r="Q1436" s="1"/>
      <c r="R1436" s="8"/>
      <c r="S1436" s="1"/>
      <c r="T1436" s="8"/>
      <c r="U1436" s="1"/>
      <c r="V1436" s="1"/>
      <c r="W1436" s="1"/>
      <c r="X1436" s="1"/>
    </row>
    <row r="1437" spans="1:24">
      <c r="A1437" s="1"/>
      <c r="M1437" s="26"/>
      <c r="N1437" s="26"/>
      <c r="P1437" s="1"/>
      <c r="Q1437" s="1"/>
      <c r="R1437" s="8"/>
      <c r="S1437" s="1"/>
      <c r="T1437" s="8"/>
      <c r="U1437" s="1"/>
      <c r="V1437" s="1"/>
      <c r="W1437" s="1"/>
      <c r="X1437" s="1"/>
    </row>
    <row r="1438" spans="1:24">
      <c r="A1438" s="1"/>
      <c r="M1438" s="26"/>
      <c r="N1438" s="26"/>
      <c r="P1438" s="1"/>
      <c r="Q1438" s="1"/>
      <c r="R1438" s="8"/>
      <c r="S1438" s="1"/>
      <c r="T1438" s="8"/>
      <c r="U1438" s="1"/>
      <c r="V1438" s="1"/>
      <c r="W1438" s="1"/>
      <c r="X1438" s="1"/>
    </row>
    <row r="1439" spans="1:24">
      <c r="A1439" s="1"/>
      <c r="M1439" s="26"/>
      <c r="N1439" s="26"/>
      <c r="P1439" s="1"/>
      <c r="Q1439" s="1"/>
      <c r="R1439" s="8"/>
      <c r="S1439" s="1"/>
      <c r="T1439" s="8"/>
      <c r="U1439" s="1"/>
      <c r="V1439" s="1"/>
      <c r="W1439" s="1"/>
      <c r="X1439" s="1"/>
    </row>
    <row r="1440" spans="1:24">
      <c r="A1440" s="1"/>
      <c r="M1440" s="26"/>
      <c r="N1440" s="26"/>
      <c r="P1440" s="1"/>
      <c r="Q1440" s="1"/>
      <c r="R1440" s="8"/>
      <c r="S1440" s="1"/>
      <c r="T1440" s="8"/>
      <c r="U1440" s="1"/>
      <c r="V1440" s="1"/>
      <c r="W1440" s="1"/>
      <c r="X1440" s="1"/>
    </row>
    <row r="1441" spans="1:24">
      <c r="A1441" s="1"/>
      <c r="M1441" s="26"/>
      <c r="N1441" s="26"/>
      <c r="P1441" s="1"/>
      <c r="Q1441" s="1"/>
      <c r="R1441" s="8"/>
      <c r="S1441" s="1"/>
      <c r="T1441" s="8"/>
      <c r="U1441" s="1"/>
      <c r="V1441" s="1"/>
      <c r="W1441" s="1"/>
      <c r="X1441" s="1"/>
    </row>
    <row r="1442" spans="1:24">
      <c r="A1442" s="1"/>
      <c r="M1442" s="26"/>
      <c r="N1442" s="26"/>
      <c r="P1442" s="1"/>
      <c r="Q1442" s="1"/>
      <c r="R1442" s="8"/>
      <c r="S1442" s="1"/>
      <c r="T1442" s="8"/>
      <c r="U1442" s="1"/>
      <c r="V1442" s="1"/>
      <c r="W1442" s="1"/>
      <c r="X1442" s="1"/>
    </row>
    <row r="1443" spans="1:24">
      <c r="A1443" s="1"/>
      <c r="M1443" s="26"/>
      <c r="N1443" s="26"/>
      <c r="P1443" s="1"/>
      <c r="Q1443" s="1"/>
      <c r="R1443" s="8"/>
      <c r="S1443" s="1"/>
      <c r="T1443" s="8"/>
      <c r="U1443" s="1"/>
      <c r="V1443" s="1"/>
      <c r="W1443" s="1"/>
      <c r="X1443" s="1"/>
    </row>
    <row r="1444" spans="1:24">
      <c r="A1444" s="1"/>
      <c r="M1444" s="26"/>
      <c r="N1444" s="26"/>
      <c r="P1444" s="1"/>
      <c r="Q1444" s="1"/>
      <c r="R1444" s="8"/>
      <c r="S1444" s="1"/>
      <c r="T1444" s="8"/>
      <c r="U1444" s="1"/>
      <c r="V1444" s="1"/>
      <c r="W1444" s="1"/>
      <c r="X1444" s="1"/>
    </row>
    <row r="1445" spans="1:24">
      <c r="A1445" s="1"/>
      <c r="M1445" s="26"/>
      <c r="N1445" s="26"/>
      <c r="P1445" s="1"/>
      <c r="Q1445" s="1"/>
      <c r="R1445" s="8"/>
      <c r="S1445" s="1"/>
      <c r="T1445" s="8"/>
      <c r="U1445" s="1"/>
      <c r="V1445" s="1"/>
      <c r="W1445" s="1"/>
      <c r="X1445" s="1"/>
    </row>
    <row r="1446" spans="1:24">
      <c r="A1446" s="1"/>
      <c r="M1446" s="26"/>
      <c r="N1446" s="26"/>
      <c r="P1446" s="1"/>
      <c r="Q1446" s="1"/>
      <c r="R1446" s="8"/>
      <c r="S1446" s="1"/>
      <c r="T1446" s="8"/>
      <c r="U1446" s="1"/>
      <c r="V1446" s="1"/>
      <c r="W1446" s="1"/>
      <c r="X1446" s="1"/>
    </row>
    <row r="1447" spans="1:24">
      <c r="A1447" s="1"/>
      <c r="M1447" s="26"/>
      <c r="N1447" s="26"/>
      <c r="P1447" s="1"/>
      <c r="Q1447" s="1"/>
      <c r="R1447" s="8"/>
      <c r="S1447" s="1"/>
      <c r="T1447" s="8"/>
      <c r="U1447" s="1"/>
      <c r="V1447" s="1"/>
      <c r="W1447" s="1"/>
      <c r="X1447" s="1"/>
    </row>
    <row r="1448" spans="1:24">
      <c r="A1448" s="1"/>
      <c r="M1448" s="26"/>
      <c r="N1448" s="26"/>
      <c r="P1448" s="1"/>
      <c r="Q1448" s="1"/>
      <c r="R1448" s="8"/>
      <c r="S1448" s="1"/>
      <c r="T1448" s="8"/>
      <c r="U1448" s="1"/>
      <c r="V1448" s="1"/>
      <c r="W1448" s="1"/>
      <c r="X1448" s="1"/>
    </row>
    <row r="1449" spans="1:24">
      <c r="A1449" s="1"/>
      <c r="M1449" s="26"/>
      <c r="N1449" s="26"/>
      <c r="P1449" s="1"/>
      <c r="Q1449" s="1"/>
      <c r="R1449" s="8"/>
      <c r="S1449" s="1"/>
      <c r="T1449" s="8"/>
      <c r="U1449" s="1"/>
      <c r="V1449" s="1"/>
      <c r="W1449" s="1"/>
      <c r="X1449" s="1"/>
    </row>
    <row r="1450" spans="1:24">
      <c r="A1450" s="1"/>
      <c r="M1450" s="26"/>
      <c r="N1450" s="26"/>
      <c r="P1450" s="1"/>
      <c r="Q1450" s="1"/>
      <c r="R1450" s="8"/>
      <c r="S1450" s="1"/>
      <c r="T1450" s="8"/>
      <c r="U1450" s="1"/>
      <c r="V1450" s="1"/>
      <c r="W1450" s="1"/>
      <c r="X1450" s="1"/>
    </row>
    <row r="1451" spans="1:24">
      <c r="A1451" s="1"/>
      <c r="M1451" s="26"/>
      <c r="N1451" s="26"/>
      <c r="P1451" s="1"/>
      <c r="Q1451" s="1"/>
      <c r="R1451" s="8"/>
      <c r="S1451" s="1"/>
      <c r="T1451" s="8"/>
      <c r="U1451" s="1"/>
      <c r="V1451" s="1"/>
      <c r="W1451" s="1"/>
      <c r="X1451" s="1"/>
    </row>
    <row r="1452" spans="1:24">
      <c r="A1452" s="1"/>
      <c r="M1452" s="26"/>
      <c r="N1452" s="26"/>
      <c r="P1452" s="1"/>
      <c r="Q1452" s="1"/>
      <c r="R1452" s="8"/>
      <c r="S1452" s="1"/>
      <c r="T1452" s="8"/>
      <c r="U1452" s="1"/>
      <c r="V1452" s="1"/>
      <c r="W1452" s="1"/>
      <c r="X1452" s="1"/>
    </row>
    <row r="1453" spans="1:24">
      <c r="A1453" s="1"/>
      <c r="M1453" s="26"/>
      <c r="N1453" s="26"/>
      <c r="P1453" s="1"/>
      <c r="Q1453" s="1"/>
      <c r="R1453" s="8"/>
      <c r="S1453" s="1"/>
      <c r="T1453" s="8"/>
      <c r="U1453" s="1"/>
      <c r="V1453" s="1"/>
      <c r="W1453" s="1"/>
      <c r="X1453" s="1"/>
    </row>
    <row r="1454" spans="1:24">
      <c r="A1454" s="1"/>
      <c r="M1454" s="26"/>
      <c r="N1454" s="26"/>
      <c r="P1454" s="1"/>
      <c r="Q1454" s="1"/>
      <c r="R1454" s="8"/>
      <c r="S1454" s="1"/>
      <c r="T1454" s="8"/>
      <c r="U1454" s="1"/>
      <c r="V1454" s="1"/>
      <c r="W1454" s="1"/>
      <c r="X1454" s="1"/>
    </row>
    <row r="1455" spans="1:24">
      <c r="A1455" s="1"/>
      <c r="M1455" s="26"/>
      <c r="N1455" s="26"/>
      <c r="P1455" s="1"/>
      <c r="Q1455" s="1"/>
      <c r="R1455" s="8"/>
      <c r="S1455" s="1"/>
      <c r="T1455" s="8"/>
      <c r="U1455" s="1"/>
      <c r="V1455" s="1"/>
      <c r="W1455" s="1"/>
      <c r="X1455" s="1"/>
    </row>
    <row r="1456" spans="1:24">
      <c r="A1456" s="1"/>
      <c r="M1456" s="26"/>
      <c r="N1456" s="26"/>
      <c r="P1456" s="1"/>
      <c r="Q1456" s="1"/>
      <c r="R1456" s="8"/>
      <c r="S1456" s="1"/>
      <c r="T1456" s="8"/>
      <c r="U1456" s="1"/>
      <c r="V1456" s="1"/>
      <c r="W1456" s="1"/>
      <c r="X1456" s="1"/>
    </row>
    <row r="1457" spans="1:24">
      <c r="A1457" s="1"/>
      <c r="M1457" s="26"/>
      <c r="N1457" s="26"/>
      <c r="P1457" s="1"/>
      <c r="Q1457" s="1"/>
      <c r="R1457" s="8"/>
      <c r="S1457" s="1"/>
      <c r="T1457" s="8"/>
      <c r="U1457" s="1"/>
      <c r="V1457" s="1"/>
      <c r="W1457" s="1"/>
      <c r="X1457" s="1"/>
    </row>
    <row r="1458" spans="1:24">
      <c r="A1458" s="1"/>
      <c r="M1458" s="26"/>
      <c r="N1458" s="26"/>
      <c r="P1458" s="1"/>
      <c r="Q1458" s="1"/>
      <c r="R1458" s="8"/>
      <c r="S1458" s="1"/>
      <c r="T1458" s="8"/>
      <c r="U1458" s="1"/>
      <c r="V1458" s="1"/>
      <c r="W1458" s="1"/>
      <c r="X1458" s="1"/>
    </row>
    <row r="1459" spans="1:24">
      <c r="A1459" s="1"/>
      <c r="M1459" s="26"/>
      <c r="N1459" s="26"/>
      <c r="P1459" s="1"/>
      <c r="Q1459" s="1"/>
      <c r="R1459" s="8"/>
      <c r="S1459" s="1"/>
      <c r="T1459" s="8"/>
      <c r="U1459" s="1"/>
      <c r="V1459" s="1"/>
      <c r="W1459" s="1"/>
      <c r="X1459" s="1"/>
    </row>
    <row r="1460" spans="1:24">
      <c r="A1460" s="1"/>
      <c r="M1460" s="26"/>
      <c r="N1460" s="26"/>
      <c r="P1460" s="1"/>
      <c r="Q1460" s="1"/>
      <c r="R1460" s="8"/>
      <c r="S1460" s="1"/>
      <c r="T1460" s="8"/>
      <c r="U1460" s="1"/>
      <c r="V1460" s="1"/>
      <c r="W1460" s="1"/>
      <c r="X1460" s="1"/>
    </row>
    <row r="1461" spans="1:24">
      <c r="A1461" s="1"/>
      <c r="M1461" s="26"/>
      <c r="N1461" s="26"/>
      <c r="P1461" s="1"/>
      <c r="Q1461" s="1"/>
      <c r="R1461" s="8"/>
      <c r="S1461" s="1"/>
      <c r="T1461" s="8"/>
      <c r="U1461" s="1"/>
      <c r="V1461" s="1"/>
      <c r="W1461" s="1"/>
      <c r="X1461" s="1"/>
    </row>
    <row r="1462" spans="1:24">
      <c r="A1462" s="1"/>
      <c r="M1462" s="26"/>
      <c r="N1462" s="26"/>
      <c r="P1462" s="1"/>
      <c r="Q1462" s="1"/>
      <c r="R1462" s="8"/>
      <c r="S1462" s="1"/>
      <c r="T1462" s="8"/>
      <c r="U1462" s="1"/>
      <c r="V1462" s="1"/>
      <c r="W1462" s="1"/>
      <c r="X1462" s="1"/>
    </row>
    <row r="1463" spans="1:24">
      <c r="A1463" s="1"/>
      <c r="M1463" s="26"/>
      <c r="N1463" s="26"/>
      <c r="P1463" s="1"/>
      <c r="Q1463" s="1"/>
      <c r="R1463" s="8"/>
      <c r="S1463" s="1"/>
      <c r="T1463" s="8"/>
      <c r="U1463" s="1"/>
      <c r="V1463" s="1"/>
      <c r="W1463" s="1"/>
      <c r="X1463" s="1"/>
    </row>
    <row r="1464" spans="1:24">
      <c r="A1464" s="1"/>
      <c r="M1464" s="26"/>
      <c r="N1464" s="26"/>
      <c r="P1464" s="1"/>
      <c r="Q1464" s="1"/>
      <c r="R1464" s="8"/>
      <c r="S1464" s="1"/>
      <c r="T1464" s="8"/>
      <c r="U1464" s="1"/>
      <c r="V1464" s="1"/>
      <c r="W1464" s="1"/>
      <c r="X1464" s="1"/>
    </row>
    <row r="1465" spans="1:24">
      <c r="A1465" s="1"/>
      <c r="M1465" s="26"/>
      <c r="N1465" s="26"/>
      <c r="P1465" s="1"/>
      <c r="Q1465" s="1"/>
      <c r="R1465" s="8"/>
      <c r="S1465" s="1"/>
      <c r="T1465" s="8"/>
      <c r="U1465" s="1"/>
      <c r="V1465" s="1"/>
      <c r="W1465" s="1"/>
      <c r="X1465" s="1"/>
    </row>
    <row r="1466" spans="1:24">
      <c r="A1466" s="1"/>
      <c r="M1466" s="26"/>
      <c r="N1466" s="26"/>
      <c r="P1466" s="1"/>
      <c r="Q1466" s="1"/>
      <c r="R1466" s="8"/>
      <c r="S1466" s="1"/>
      <c r="T1466" s="8"/>
      <c r="U1466" s="1"/>
      <c r="V1466" s="1"/>
      <c r="W1466" s="1"/>
      <c r="X1466" s="1"/>
    </row>
    <row r="1467" spans="1:24">
      <c r="A1467" s="1"/>
      <c r="M1467" s="26"/>
      <c r="N1467" s="26"/>
      <c r="P1467" s="1"/>
      <c r="Q1467" s="1"/>
      <c r="R1467" s="8"/>
      <c r="S1467" s="1"/>
      <c r="T1467" s="8"/>
      <c r="U1467" s="1"/>
      <c r="V1467" s="1"/>
      <c r="W1467" s="1"/>
      <c r="X1467" s="1"/>
    </row>
    <row r="1468" spans="1:24">
      <c r="A1468" s="1"/>
      <c r="M1468" s="26"/>
      <c r="N1468" s="26"/>
      <c r="P1468" s="1"/>
      <c r="Q1468" s="1"/>
      <c r="R1468" s="8"/>
      <c r="S1468" s="1"/>
      <c r="T1468" s="8"/>
      <c r="U1468" s="1"/>
      <c r="V1468" s="1"/>
      <c r="W1468" s="1"/>
      <c r="X1468" s="1"/>
    </row>
    <row r="1469" spans="1:24">
      <c r="A1469" s="1"/>
      <c r="M1469" s="26"/>
      <c r="N1469" s="26"/>
      <c r="P1469" s="1"/>
      <c r="Q1469" s="1"/>
      <c r="R1469" s="8"/>
      <c r="S1469" s="1"/>
      <c r="T1469" s="8"/>
      <c r="U1469" s="1"/>
      <c r="V1469" s="1"/>
      <c r="W1469" s="1"/>
      <c r="X1469" s="1"/>
    </row>
    <row r="1470" spans="1:24">
      <c r="A1470" s="1"/>
      <c r="M1470" s="26"/>
      <c r="N1470" s="26"/>
      <c r="P1470" s="1"/>
      <c r="Q1470" s="1"/>
      <c r="R1470" s="8"/>
      <c r="S1470" s="1"/>
      <c r="T1470" s="8"/>
      <c r="U1470" s="1"/>
      <c r="V1470" s="1"/>
      <c r="W1470" s="1"/>
      <c r="X1470" s="1"/>
    </row>
    <row r="1471" spans="1:24">
      <c r="A1471" s="1"/>
      <c r="M1471" s="26"/>
      <c r="N1471" s="26"/>
      <c r="P1471" s="1"/>
      <c r="Q1471" s="1"/>
      <c r="R1471" s="8"/>
      <c r="S1471" s="1"/>
      <c r="T1471" s="8"/>
      <c r="U1471" s="1"/>
      <c r="V1471" s="1"/>
      <c r="W1471" s="1"/>
      <c r="X1471" s="1"/>
    </row>
    <row r="1472" spans="1:24">
      <c r="A1472" s="1"/>
      <c r="M1472" s="26"/>
      <c r="N1472" s="26"/>
      <c r="P1472" s="1"/>
      <c r="Q1472" s="1"/>
      <c r="R1472" s="8"/>
      <c r="S1472" s="1"/>
      <c r="T1472" s="8"/>
      <c r="U1472" s="1"/>
      <c r="V1472" s="1"/>
      <c r="W1472" s="1"/>
      <c r="X1472" s="1"/>
    </row>
    <row r="1473" spans="1:24">
      <c r="A1473" s="1"/>
      <c r="M1473" s="26"/>
      <c r="N1473" s="26"/>
      <c r="P1473" s="1"/>
      <c r="Q1473" s="1"/>
      <c r="R1473" s="8"/>
      <c r="S1473" s="1"/>
      <c r="T1473" s="8"/>
      <c r="U1473" s="1"/>
      <c r="V1473" s="1"/>
      <c r="W1473" s="1"/>
      <c r="X1473" s="1"/>
    </row>
    <row r="1474" spans="1:24">
      <c r="A1474" s="1"/>
      <c r="M1474" s="26"/>
      <c r="N1474" s="26"/>
      <c r="P1474" s="1"/>
      <c r="Q1474" s="1"/>
      <c r="R1474" s="8"/>
      <c r="S1474" s="1"/>
      <c r="T1474" s="8"/>
      <c r="U1474" s="1"/>
      <c r="V1474" s="1"/>
      <c r="W1474" s="1"/>
      <c r="X1474" s="1"/>
    </row>
    <row r="1475" spans="1:24">
      <c r="A1475" s="1"/>
      <c r="M1475" s="26"/>
      <c r="N1475" s="26"/>
      <c r="P1475" s="1"/>
      <c r="Q1475" s="1"/>
      <c r="R1475" s="8"/>
      <c r="S1475" s="1"/>
      <c r="T1475" s="8"/>
      <c r="U1475" s="1"/>
      <c r="V1475" s="1"/>
      <c r="W1475" s="1"/>
      <c r="X1475" s="1"/>
    </row>
    <row r="1476" spans="1:24">
      <c r="A1476" s="1"/>
      <c r="M1476" s="26"/>
      <c r="N1476" s="26"/>
      <c r="P1476" s="1"/>
      <c r="Q1476" s="1"/>
      <c r="R1476" s="8"/>
      <c r="S1476" s="1"/>
      <c r="T1476" s="8"/>
      <c r="U1476" s="1"/>
      <c r="V1476" s="1"/>
      <c r="W1476" s="1"/>
      <c r="X1476" s="1"/>
    </row>
    <row r="1477" spans="1:24">
      <c r="A1477" s="1"/>
      <c r="M1477" s="26"/>
      <c r="N1477" s="26"/>
      <c r="P1477" s="1"/>
      <c r="Q1477" s="1"/>
      <c r="R1477" s="8"/>
      <c r="S1477" s="1"/>
      <c r="T1477" s="8"/>
      <c r="U1477" s="1"/>
      <c r="V1477" s="1"/>
      <c r="W1477" s="1"/>
      <c r="X1477" s="1"/>
    </row>
    <row r="1478" spans="1:24">
      <c r="A1478" s="1"/>
      <c r="M1478" s="26"/>
      <c r="N1478" s="26"/>
      <c r="P1478" s="1"/>
      <c r="Q1478" s="1"/>
      <c r="R1478" s="8"/>
      <c r="S1478" s="1"/>
      <c r="T1478" s="8"/>
      <c r="U1478" s="1"/>
      <c r="V1478" s="1"/>
      <c r="W1478" s="1"/>
      <c r="X1478" s="1"/>
    </row>
    <row r="1479" spans="1:24">
      <c r="A1479" s="1"/>
      <c r="M1479" s="26"/>
      <c r="N1479" s="26"/>
      <c r="P1479" s="1"/>
      <c r="Q1479" s="1"/>
      <c r="R1479" s="8"/>
      <c r="S1479" s="1"/>
      <c r="T1479" s="8"/>
      <c r="U1479" s="1"/>
      <c r="V1479" s="1"/>
      <c r="W1479" s="1"/>
      <c r="X1479" s="1"/>
    </row>
    <row r="1480" spans="1:24">
      <c r="A1480" s="1"/>
      <c r="M1480" s="26"/>
      <c r="N1480" s="26"/>
      <c r="P1480" s="1"/>
      <c r="Q1480" s="1"/>
      <c r="R1480" s="8"/>
      <c r="S1480" s="1"/>
      <c r="T1480" s="8"/>
      <c r="U1480" s="1"/>
      <c r="V1480" s="1"/>
      <c r="W1480" s="1"/>
      <c r="X1480" s="1"/>
    </row>
    <row r="1481" spans="1:24">
      <c r="A1481" s="1"/>
      <c r="M1481" s="26"/>
      <c r="N1481" s="26"/>
      <c r="P1481" s="1"/>
      <c r="Q1481" s="1"/>
      <c r="R1481" s="8"/>
      <c r="S1481" s="1"/>
      <c r="T1481" s="8"/>
      <c r="U1481" s="1"/>
      <c r="V1481" s="1"/>
      <c r="W1481" s="1"/>
      <c r="X1481" s="1"/>
    </row>
    <row r="1482" spans="1:24">
      <c r="A1482" s="1"/>
      <c r="M1482" s="26"/>
      <c r="N1482" s="26"/>
      <c r="P1482" s="1"/>
      <c r="Q1482" s="1"/>
      <c r="R1482" s="8"/>
      <c r="S1482" s="1"/>
      <c r="T1482" s="8"/>
      <c r="U1482" s="1"/>
      <c r="V1482" s="1"/>
      <c r="W1482" s="1"/>
      <c r="X1482" s="1"/>
    </row>
    <row r="1483" spans="1:24">
      <c r="A1483" s="1"/>
      <c r="M1483" s="26"/>
      <c r="N1483" s="26"/>
      <c r="P1483" s="1"/>
      <c r="Q1483" s="1"/>
      <c r="R1483" s="8"/>
      <c r="S1483" s="1"/>
      <c r="T1483" s="8"/>
      <c r="U1483" s="1"/>
      <c r="V1483" s="1"/>
      <c r="W1483" s="1"/>
      <c r="X1483" s="1"/>
    </row>
    <row r="1484" spans="1:24">
      <c r="A1484" s="1"/>
      <c r="M1484" s="26"/>
      <c r="N1484" s="26"/>
      <c r="P1484" s="1"/>
      <c r="Q1484" s="1"/>
      <c r="R1484" s="8"/>
      <c r="S1484" s="1"/>
      <c r="T1484" s="8"/>
      <c r="U1484" s="1"/>
      <c r="V1484" s="1"/>
      <c r="W1484" s="1"/>
      <c r="X1484" s="1"/>
    </row>
    <row r="1485" spans="1:24">
      <c r="A1485" s="1"/>
      <c r="M1485" s="26"/>
      <c r="N1485" s="26"/>
      <c r="P1485" s="1"/>
      <c r="Q1485" s="1"/>
      <c r="R1485" s="8"/>
      <c r="S1485" s="1"/>
      <c r="T1485" s="8"/>
      <c r="U1485" s="1"/>
      <c r="V1485" s="1"/>
      <c r="W1485" s="1"/>
      <c r="X1485" s="1"/>
    </row>
    <row r="1486" spans="1:24">
      <c r="A1486" s="1"/>
      <c r="M1486" s="26"/>
      <c r="N1486" s="26"/>
      <c r="P1486" s="1"/>
      <c r="Q1486" s="1"/>
      <c r="R1486" s="8"/>
      <c r="S1486" s="1"/>
      <c r="T1486" s="8"/>
      <c r="U1486" s="1"/>
      <c r="V1486" s="1"/>
      <c r="W1486" s="1"/>
      <c r="X1486" s="1"/>
    </row>
    <row r="1487" spans="1:24">
      <c r="A1487" s="1"/>
      <c r="M1487" s="26"/>
      <c r="N1487" s="26"/>
      <c r="P1487" s="1"/>
      <c r="Q1487" s="1"/>
      <c r="R1487" s="8"/>
      <c r="S1487" s="1"/>
      <c r="T1487" s="8"/>
      <c r="U1487" s="1"/>
      <c r="V1487" s="1"/>
      <c r="W1487" s="1"/>
      <c r="X1487" s="1"/>
    </row>
    <row r="1488" spans="1:24">
      <c r="A1488" s="1"/>
      <c r="M1488" s="26"/>
      <c r="N1488" s="26"/>
      <c r="P1488" s="1"/>
      <c r="Q1488" s="1"/>
      <c r="R1488" s="8"/>
      <c r="S1488" s="1"/>
      <c r="T1488" s="8"/>
      <c r="U1488" s="1"/>
      <c r="V1488" s="1"/>
      <c r="W1488" s="1"/>
      <c r="X1488" s="1"/>
    </row>
    <row r="1489" spans="1:24">
      <c r="A1489" s="1"/>
      <c r="M1489" s="26"/>
      <c r="N1489" s="26"/>
      <c r="P1489" s="1"/>
      <c r="Q1489" s="1"/>
      <c r="R1489" s="8"/>
      <c r="S1489" s="1"/>
      <c r="T1489" s="8"/>
      <c r="U1489" s="1"/>
      <c r="V1489" s="1"/>
      <c r="W1489" s="1"/>
      <c r="X1489" s="1"/>
    </row>
    <row r="1490" spans="1:24">
      <c r="A1490" s="1"/>
      <c r="M1490" s="26"/>
      <c r="N1490" s="26"/>
      <c r="P1490" s="1"/>
      <c r="Q1490" s="1"/>
      <c r="R1490" s="8"/>
      <c r="S1490" s="1"/>
      <c r="T1490" s="8"/>
      <c r="U1490" s="1"/>
      <c r="V1490" s="1"/>
      <c r="W1490" s="1"/>
      <c r="X1490" s="1"/>
    </row>
    <row r="1491" spans="1:24">
      <c r="A1491" s="1"/>
      <c r="M1491" s="26"/>
      <c r="N1491" s="26"/>
      <c r="P1491" s="1"/>
      <c r="Q1491" s="1"/>
      <c r="R1491" s="8"/>
      <c r="S1491" s="1"/>
      <c r="T1491" s="8"/>
      <c r="U1491" s="1"/>
      <c r="V1491" s="1"/>
      <c r="W1491" s="1"/>
      <c r="X1491" s="1"/>
    </row>
    <row r="1492" spans="1:24">
      <c r="A1492" s="1"/>
      <c r="M1492" s="26"/>
      <c r="N1492" s="26"/>
      <c r="P1492" s="1"/>
      <c r="Q1492" s="1"/>
      <c r="R1492" s="8"/>
      <c r="S1492" s="1"/>
      <c r="T1492" s="8"/>
      <c r="U1492" s="1"/>
      <c r="V1492" s="1"/>
      <c r="W1492" s="1"/>
      <c r="X1492" s="1"/>
    </row>
    <row r="1493" spans="1:24">
      <c r="A1493" s="1"/>
      <c r="M1493" s="26"/>
      <c r="N1493" s="26"/>
      <c r="P1493" s="1"/>
      <c r="Q1493" s="1"/>
      <c r="R1493" s="8"/>
      <c r="S1493" s="1"/>
      <c r="T1493" s="8"/>
      <c r="U1493" s="1"/>
      <c r="V1493" s="1"/>
      <c r="W1493" s="1"/>
      <c r="X1493" s="1"/>
    </row>
    <row r="1494" spans="1:24">
      <c r="A1494" s="1"/>
      <c r="M1494" s="26"/>
      <c r="N1494" s="26"/>
      <c r="P1494" s="1"/>
      <c r="Q1494" s="1"/>
      <c r="R1494" s="8"/>
      <c r="S1494" s="1"/>
      <c r="T1494" s="8"/>
      <c r="U1494" s="1"/>
      <c r="V1494" s="1"/>
      <c r="W1494" s="1"/>
      <c r="X1494" s="1"/>
    </row>
    <row r="1495" spans="1:24">
      <c r="A1495" s="1"/>
      <c r="M1495" s="26"/>
      <c r="N1495" s="26"/>
      <c r="P1495" s="1"/>
      <c r="Q1495" s="1"/>
      <c r="R1495" s="8"/>
      <c r="S1495" s="1"/>
      <c r="T1495" s="8"/>
      <c r="U1495" s="1"/>
      <c r="V1495" s="1"/>
      <c r="W1495" s="1"/>
      <c r="X1495" s="1"/>
    </row>
    <row r="1496" spans="1:24">
      <c r="A1496" s="1"/>
      <c r="M1496" s="26"/>
      <c r="N1496" s="26"/>
      <c r="P1496" s="1"/>
      <c r="Q1496" s="1"/>
      <c r="R1496" s="8"/>
      <c r="S1496" s="1"/>
      <c r="T1496" s="8"/>
      <c r="U1496" s="1"/>
      <c r="V1496" s="1"/>
      <c r="W1496" s="1"/>
      <c r="X1496" s="1"/>
    </row>
    <row r="1497" spans="1:24">
      <c r="A1497" s="1"/>
      <c r="M1497" s="26"/>
      <c r="N1497" s="26"/>
      <c r="P1497" s="1"/>
      <c r="Q1497" s="1"/>
      <c r="R1497" s="8"/>
      <c r="S1497" s="1"/>
      <c r="T1497" s="8"/>
      <c r="U1497" s="1"/>
      <c r="V1497" s="1"/>
      <c r="W1497" s="1"/>
      <c r="X1497" s="1"/>
    </row>
    <row r="1498" spans="1:24">
      <c r="A1498" s="1"/>
      <c r="M1498" s="26"/>
      <c r="N1498" s="26"/>
      <c r="P1498" s="1"/>
      <c r="Q1498" s="1"/>
      <c r="R1498" s="8"/>
      <c r="S1498" s="1"/>
      <c r="T1498" s="8"/>
      <c r="U1498" s="1"/>
      <c r="V1498" s="1"/>
      <c r="W1498" s="1"/>
      <c r="X1498" s="1"/>
    </row>
    <row r="1499" spans="1:24">
      <c r="A1499" s="1"/>
      <c r="M1499" s="26"/>
      <c r="N1499" s="26"/>
      <c r="P1499" s="1"/>
      <c r="Q1499" s="1"/>
      <c r="R1499" s="8"/>
      <c r="S1499" s="1"/>
      <c r="T1499" s="8"/>
      <c r="U1499" s="1"/>
      <c r="V1499" s="1"/>
      <c r="W1499" s="1"/>
      <c r="X1499" s="1"/>
    </row>
    <row r="1500" spans="1:24">
      <c r="A1500" s="1"/>
      <c r="M1500" s="26"/>
      <c r="N1500" s="26"/>
      <c r="P1500" s="1"/>
      <c r="Q1500" s="1"/>
      <c r="R1500" s="8"/>
      <c r="S1500" s="1"/>
      <c r="T1500" s="8"/>
      <c r="U1500" s="1"/>
      <c r="V1500" s="1"/>
      <c r="W1500" s="1"/>
      <c r="X1500" s="1"/>
    </row>
    <row r="1501" spans="1:24">
      <c r="A1501" s="1"/>
      <c r="M1501" s="26"/>
      <c r="N1501" s="26"/>
      <c r="P1501" s="1"/>
      <c r="Q1501" s="1"/>
      <c r="R1501" s="8"/>
      <c r="S1501" s="1"/>
      <c r="T1501" s="8"/>
      <c r="U1501" s="1"/>
      <c r="V1501" s="1"/>
      <c r="W1501" s="1"/>
      <c r="X1501" s="1"/>
    </row>
    <row r="1502" spans="1:24">
      <c r="A1502" s="1"/>
      <c r="M1502" s="26"/>
      <c r="N1502" s="26"/>
      <c r="P1502" s="1"/>
      <c r="Q1502" s="1"/>
      <c r="R1502" s="8"/>
      <c r="S1502" s="1"/>
      <c r="T1502" s="8"/>
      <c r="U1502" s="1"/>
      <c r="V1502" s="1"/>
      <c r="W1502" s="1"/>
      <c r="X1502" s="1"/>
    </row>
    <row r="1503" spans="1:24">
      <c r="A1503" s="1"/>
      <c r="M1503" s="26"/>
      <c r="N1503" s="26"/>
      <c r="P1503" s="1"/>
      <c r="Q1503" s="1"/>
      <c r="R1503" s="8"/>
      <c r="S1503" s="1"/>
      <c r="T1503" s="8"/>
      <c r="U1503" s="1"/>
      <c r="V1503" s="1"/>
      <c r="W1503" s="1"/>
      <c r="X1503" s="1"/>
    </row>
    <row r="1504" spans="1:24">
      <c r="A1504" s="1"/>
      <c r="M1504" s="26"/>
      <c r="N1504" s="26"/>
      <c r="P1504" s="1"/>
      <c r="Q1504" s="1"/>
      <c r="R1504" s="8"/>
      <c r="S1504" s="1"/>
      <c r="T1504" s="8"/>
      <c r="U1504" s="1"/>
      <c r="V1504" s="1"/>
      <c r="W1504" s="1"/>
      <c r="X1504" s="1"/>
    </row>
    <row r="1505" spans="1:24">
      <c r="A1505" s="1"/>
      <c r="M1505" s="26"/>
      <c r="N1505" s="26"/>
      <c r="P1505" s="1"/>
      <c r="Q1505" s="1"/>
      <c r="R1505" s="8"/>
      <c r="S1505" s="1"/>
      <c r="T1505" s="8"/>
      <c r="U1505" s="1"/>
      <c r="V1505" s="1"/>
      <c r="W1505" s="1"/>
      <c r="X1505" s="1"/>
    </row>
    <row r="1506" spans="1:24">
      <c r="A1506" s="1"/>
      <c r="M1506" s="26"/>
      <c r="N1506" s="26"/>
      <c r="P1506" s="1"/>
      <c r="Q1506" s="1"/>
      <c r="R1506" s="8"/>
      <c r="S1506" s="1"/>
      <c r="T1506" s="8"/>
      <c r="U1506" s="1"/>
      <c r="V1506" s="1"/>
      <c r="W1506" s="1"/>
      <c r="X1506" s="1"/>
    </row>
    <row r="1507" spans="1:24">
      <c r="A1507" s="1"/>
      <c r="M1507" s="26"/>
      <c r="N1507" s="26"/>
      <c r="P1507" s="1"/>
      <c r="Q1507" s="1"/>
      <c r="R1507" s="8"/>
      <c r="S1507" s="1"/>
      <c r="T1507" s="8"/>
      <c r="U1507" s="1"/>
      <c r="V1507" s="1"/>
      <c r="W1507" s="1"/>
      <c r="X1507" s="1"/>
    </row>
    <row r="1508" spans="1:24">
      <c r="A1508" s="1"/>
      <c r="M1508" s="26"/>
      <c r="N1508" s="26"/>
      <c r="P1508" s="1"/>
      <c r="Q1508" s="1"/>
      <c r="R1508" s="8"/>
      <c r="S1508" s="1"/>
      <c r="T1508" s="8"/>
      <c r="U1508" s="1"/>
      <c r="V1508" s="1"/>
      <c r="W1508" s="1"/>
      <c r="X1508" s="1"/>
    </row>
    <row r="1509" spans="1:24">
      <c r="A1509" s="1"/>
      <c r="M1509" s="26"/>
      <c r="N1509" s="26"/>
      <c r="P1509" s="1"/>
      <c r="Q1509" s="1"/>
      <c r="R1509" s="8"/>
      <c r="S1509" s="1"/>
      <c r="T1509" s="8"/>
      <c r="U1509" s="1"/>
      <c r="V1509" s="1"/>
      <c r="W1509" s="1"/>
      <c r="X1509" s="1"/>
    </row>
    <row r="1510" spans="1:24">
      <c r="A1510" s="1"/>
      <c r="M1510" s="26"/>
      <c r="N1510" s="26"/>
      <c r="P1510" s="1"/>
      <c r="Q1510" s="1"/>
      <c r="R1510" s="8"/>
      <c r="S1510" s="1"/>
      <c r="T1510" s="8"/>
      <c r="U1510" s="1"/>
      <c r="V1510" s="1"/>
      <c r="W1510" s="1"/>
      <c r="X1510" s="1"/>
    </row>
    <row r="1511" spans="1:24">
      <c r="A1511" s="1"/>
      <c r="M1511" s="26"/>
      <c r="N1511" s="26"/>
      <c r="P1511" s="1"/>
      <c r="Q1511" s="1"/>
      <c r="R1511" s="8"/>
      <c r="S1511" s="1"/>
      <c r="T1511" s="8"/>
      <c r="U1511" s="1"/>
      <c r="V1511" s="1"/>
      <c r="W1511" s="1"/>
      <c r="X1511" s="1"/>
    </row>
    <row r="1512" spans="1:24">
      <c r="A1512" s="1"/>
      <c r="M1512" s="26"/>
      <c r="N1512" s="26"/>
      <c r="P1512" s="1"/>
      <c r="Q1512" s="1"/>
      <c r="R1512" s="8"/>
      <c r="S1512" s="1"/>
      <c r="T1512" s="8"/>
      <c r="U1512" s="1"/>
      <c r="V1512" s="1"/>
      <c r="W1512" s="1"/>
      <c r="X1512" s="1"/>
    </row>
    <row r="1513" spans="1:24">
      <c r="A1513" s="1"/>
      <c r="M1513" s="26"/>
      <c r="N1513" s="26"/>
      <c r="P1513" s="1"/>
      <c r="Q1513" s="1"/>
      <c r="R1513" s="8"/>
      <c r="S1513" s="1"/>
      <c r="T1513" s="8"/>
      <c r="U1513" s="1"/>
      <c r="V1513" s="1"/>
      <c r="W1513" s="1"/>
      <c r="X1513" s="1"/>
    </row>
    <row r="1514" spans="1:24">
      <c r="A1514" s="1"/>
      <c r="M1514" s="26"/>
      <c r="N1514" s="26"/>
      <c r="P1514" s="1"/>
      <c r="Q1514" s="1"/>
      <c r="R1514" s="8"/>
      <c r="S1514" s="1"/>
      <c r="T1514" s="8"/>
      <c r="U1514" s="1"/>
      <c r="V1514" s="1"/>
      <c r="W1514" s="1"/>
      <c r="X1514" s="1"/>
    </row>
    <row r="1515" spans="1:24">
      <c r="A1515" s="1"/>
      <c r="M1515" s="26"/>
      <c r="N1515" s="26"/>
      <c r="P1515" s="1"/>
      <c r="Q1515" s="1"/>
      <c r="R1515" s="8"/>
      <c r="S1515" s="1"/>
      <c r="T1515" s="8"/>
      <c r="U1515" s="1"/>
      <c r="V1515" s="1"/>
      <c r="W1515" s="1"/>
      <c r="X1515" s="1"/>
    </row>
    <row r="1516" spans="1:24">
      <c r="A1516" s="1"/>
      <c r="M1516" s="26"/>
      <c r="N1516" s="26"/>
      <c r="P1516" s="1"/>
      <c r="Q1516" s="1"/>
      <c r="R1516" s="8"/>
      <c r="S1516" s="1"/>
      <c r="T1516" s="8"/>
      <c r="U1516" s="1"/>
      <c r="V1516" s="1"/>
      <c r="W1516" s="1"/>
      <c r="X1516" s="1"/>
    </row>
    <row r="1517" spans="1:24">
      <c r="A1517" s="1"/>
      <c r="M1517" s="26"/>
      <c r="N1517" s="26"/>
      <c r="P1517" s="1"/>
      <c r="Q1517" s="1"/>
      <c r="R1517" s="8"/>
      <c r="S1517" s="1"/>
      <c r="T1517" s="8"/>
      <c r="U1517" s="1"/>
      <c r="V1517" s="1"/>
      <c r="W1517" s="1"/>
      <c r="X1517" s="1"/>
    </row>
    <row r="1518" spans="1:24">
      <c r="A1518" s="1"/>
      <c r="M1518" s="26"/>
      <c r="N1518" s="26"/>
      <c r="P1518" s="1"/>
      <c r="Q1518" s="1"/>
      <c r="R1518" s="8"/>
      <c r="S1518" s="1"/>
      <c r="T1518" s="8"/>
      <c r="U1518" s="1"/>
      <c r="V1518" s="1"/>
      <c r="W1518" s="1"/>
      <c r="X1518" s="1"/>
    </row>
    <row r="1519" spans="1:24">
      <c r="A1519" s="1"/>
      <c r="M1519" s="26"/>
      <c r="N1519" s="26"/>
      <c r="P1519" s="1"/>
      <c r="Q1519" s="1"/>
      <c r="R1519" s="8"/>
      <c r="S1519" s="1"/>
      <c r="T1519" s="8"/>
      <c r="U1519" s="1"/>
      <c r="V1519" s="1"/>
      <c r="W1519" s="1"/>
      <c r="X1519" s="1"/>
    </row>
    <row r="1520" spans="1:24">
      <c r="A1520" s="1"/>
      <c r="M1520" s="26"/>
      <c r="N1520" s="26"/>
      <c r="P1520" s="1"/>
      <c r="Q1520" s="1"/>
      <c r="R1520" s="8"/>
      <c r="S1520" s="1"/>
      <c r="T1520" s="8"/>
      <c r="U1520" s="1"/>
      <c r="V1520" s="1"/>
      <c r="W1520" s="1"/>
      <c r="X1520" s="1"/>
    </row>
    <row r="1521" spans="1:24">
      <c r="A1521" s="1"/>
      <c r="M1521" s="26"/>
      <c r="N1521" s="26"/>
      <c r="P1521" s="1"/>
      <c r="Q1521" s="1"/>
      <c r="R1521" s="8"/>
      <c r="S1521" s="1"/>
      <c r="T1521" s="8"/>
      <c r="U1521" s="1"/>
      <c r="V1521" s="1"/>
      <c r="W1521" s="1"/>
      <c r="X1521" s="1"/>
    </row>
    <row r="1522" spans="1:24">
      <c r="A1522" s="1"/>
      <c r="M1522" s="26"/>
      <c r="N1522" s="26"/>
      <c r="P1522" s="1"/>
      <c r="Q1522" s="1"/>
      <c r="R1522" s="8"/>
      <c r="S1522" s="1"/>
      <c r="T1522" s="8"/>
      <c r="U1522" s="1"/>
      <c r="V1522" s="1"/>
      <c r="W1522" s="1"/>
      <c r="X1522" s="1"/>
    </row>
    <row r="1523" spans="1:24">
      <c r="A1523" s="1"/>
      <c r="M1523" s="26"/>
      <c r="N1523" s="26"/>
      <c r="P1523" s="1"/>
      <c r="Q1523" s="1"/>
      <c r="R1523" s="8"/>
      <c r="S1523" s="1"/>
      <c r="T1523" s="8"/>
      <c r="U1523" s="1"/>
      <c r="V1523" s="1"/>
      <c r="W1523" s="1"/>
      <c r="X1523" s="1"/>
    </row>
    <row r="1524" spans="1:24">
      <c r="A1524" s="1"/>
      <c r="M1524" s="26"/>
      <c r="N1524" s="26"/>
      <c r="P1524" s="1"/>
      <c r="Q1524" s="1"/>
      <c r="R1524" s="8"/>
      <c r="S1524" s="1"/>
      <c r="T1524" s="8"/>
      <c r="U1524" s="1"/>
      <c r="V1524" s="1"/>
      <c r="W1524" s="1"/>
      <c r="X1524" s="1"/>
    </row>
    <row r="1525" spans="1:24">
      <c r="A1525" s="1"/>
      <c r="M1525" s="26"/>
      <c r="N1525" s="26"/>
      <c r="P1525" s="1"/>
      <c r="Q1525" s="1"/>
      <c r="R1525" s="8"/>
      <c r="S1525" s="1"/>
      <c r="T1525" s="8"/>
      <c r="U1525" s="1"/>
      <c r="V1525" s="1"/>
      <c r="W1525" s="1"/>
      <c r="X1525" s="1"/>
    </row>
    <row r="1526" spans="1:24">
      <c r="A1526" s="1"/>
      <c r="M1526" s="26"/>
      <c r="N1526" s="26"/>
      <c r="P1526" s="1"/>
      <c r="Q1526" s="1"/>
      <c r="R1526" s="8"/>
      <c r="S1526" s="1"/>
      <c r="T1526" s="8"/>
      <c r="U1526" s="1"/>
      <c r="V1526" s="1"/>
      <c r="W1526" s="1"/>
      <c r="X1526" s="1"/>
    </row>
    <row r="1527" spans="1:24">
      <c r="A1527" s="1"/>
      <c r="M1527" s="26"/>
      <c r="N1527" s="26"/>
      <c r="P1527" s="1"/>
      <c r="Q1527" s="1"/>
      <c r="R1527" s="8"/>
      <c r="S1527" s="1"/>
      <c r="T1527" s="8"/>
      <c r="U1527" s="1"/>
      <c r="V1527" s="1"/>
      <c r="W1527" s="1"/>
      <c r="X1527" s="1"/>
    </row>
    <row r="1528" spans="1:24">
      <c r="A1528" s="1"/>
      <c r="M1528" s="26"/>
      <c r="N1528" s="26"/>
      <c r="P1528" s="1"/>
      <c r="Q1528" s="1"/>
      <c r="R1528" s="8"/>
      <c r="S1528" s="1"/>
      <c r="T1528" s="8"/>
      <c r="U1528" s="1"/>
      <c r="V1528" s="1"/>
      <c r="W1528" s="1"/>
      <c r="X1528" s="1"/>
    </row>
    <row r="1529" spans="1:24">
      <c r="A1529" s="1"/>
      <c r="M1529" s="26"/>
      <c r="N1529" s="26"/>
      <c r="P1529" s="1"/>
      <c r="Q1529" s="1"/>
      <c r="R1529" s="8"/>
      <c r="S1529" s="1"/>
      <c r="T1529" s="8"/>
      <c r="U1529" s="1"/>
      <c r="V1529" s="1"/>
      <c r="W1529" s="1"/>
      <c r="X1529" s="1"/>
    </row>
    <row r="1530" spans="1:24">
      <c r="A1530" s="1"/>
      <c r="M1530" s="26"/>
      <c r="N1530" s="26"/>
      <c r="P1530" s="1"/>
      <c r="Q1530" s="1"/>
      <c r="R1530" s="8"/>
      <c r="S1530" s="1"/>
      <c r="T1530" s="8"/>
      <c r="U1530" s="1"/>
      <c r="V1530" s="1"/>
      <c r="W1530" s="1"/>
      <c r="X1530" s="1"/>
    </row>
    <row r="1531" spans="1:24">
      <c r="A1531" s="1"/>
      <c r="M1531" s="26"/>
      <c r="N1531" s="26"/>
      <c r="P1531" s="1"/>
      <c r="Q1531" s="1"/>
      <c r="R1531" s="8"/>
      <c r="S1531" s="1"/>
      <c r="T1531" s="8"/>
      <c r="U1531" s="1"/>
      <c r="V1531" s="1"/>
      <c r="W1531" s="1"/>
      <c r="X1531" s="1"/>
    </row>
    <row r="1532" spans="1:24">
      <c r="A1532" s="1"/>
      <c r="M1532" s="26"/>
      <c r="N1532" s="26"/>
      <c r="P1532" s="1"/>
      <c r="Q1532" s="1"/>
      <c r="R1532" s="8"/>
      <c r="S1532" s="1"/>
      <c r="T1532" s="8"/>
      <c r="U1532" s="1"/>
      <c r="V1532" s="1"/>
      <c r="W1532" s="1"/>
      <c r="X1532" s="1"/>
    </row>
    <row r="1533" spans="1:24">
      <c r="A1533" s="1"/>
      <c r="M1533" s="26"/>
      <c r="N1533" s="26"/>
      <c r="P1533" s="1"/>
      <c r="Q1533" s="1"/>
      <c r="R1533" s="8"/>
      <c r="S1533" s="1"/>
      <c r="T1533" s="8"/>
      <c r="U1533" s="1"/>
      <c r="V1533" s="1"/>
      <c r="W1533" s="1"/>
      <c r="X1533" s="1"/>
    </row>
    <row r="1534" spans="1:24">
      <c r="A1534" s="1"/>
      <c r="M1534" s="26"/>
      <c r="N1534" s="26"/>
      <c r="P1534" s="1"/>
      <c r="Q1534" s="1"/>
      <c r="R1534" s="8"/>
      <c r="S1534" s="1"/>
      <c r="T1534" s="8"/>
      <c r="U1534" s="1"/>
      <c r="V1534" s="1"/>
      <c r="W1534" s="1"/>
      <c r="X1534" s="1"/>
    </row>
    <row r="1535" spans="1:24">
      <c r="A1535" s="1"/>
      <c r="M1535" s="26"/>
      <c r="N1535" s="26"/>
      <c r="P1535" s="1"/>
      <c r="Q1535" s="1"/>
      <c r="R1535" s="8"/>
      <c r="S1535" s="1"/>
      <c r="T1535" s="8"/>
      <c r="U1535" s="1"/>
      <c r="V1535" s="1"/>
      <c r="W1535" s="1"/>
      <c r="X1535" s="1"/>
    </row>
    <row r="1536" spans="1:24">
      <c r="A1536" s="1"/>
      <c r="M1536" s="26"/>
      <c r="N1536" s="26"/>
      <c r="P1536" s="1"/>
      <c r="Q1536" s="1"/>
      <c r="R1536" s="8"/>
      <c r="S1536" s="1"/>
      <c r="T1536" s="8"/>
      <c r="U1536" s="1"/>
      <c r="V1536" s="1"/>
      <c r="W1536" s="1"/>
      <c r="X1536" s="1"/>
    </row>
    <row r="1537" spans="1:24">
      <c r="A1537" s="1"/>
      <c r="M1537" s="26"/>
      <c r="N1537" s="26"/>
      <c r="P1537" s="1"/>
      <c r="Q1537" s="1"/>
      <c r="R1537" s="8"/>
      <c r="S1537" s="1"/>
      <c r="T1537" s="8"/>
      <c r="U1537" s="1"/>
      <c r="V1537" s="1"/>
      <c r="W1537" s="1"/>
      <c r="X1537" s="1"/>
    </row>
    <row r="1538" spans="1:24">
      <c r="A1538" s="1"/>
      <c r="M1538" s="26"/>
      <c r="N1538" s="26"/>
      <c r="P1538" s="1"/>
      <c r="Q1538" s="1"/>
      <c r="R1538" s="8"/>
      <c r="S1538" s="1"/>
      <c r="T1538" s="8"/>
      <c r="U1538" s="1"/>
      <c r="V1538" s="1"/>
      <c r="W1538" s="1"/>
      <c r="X1538" s="1"/>
    </row>
    <row r="1539" spans="1:24">
      <c r="A1539" s="1"/>
      <c r="M1539" s="26"/>
      <c r="N1539" s="26"/>
      <c r="P1539" s="1"/>
      <c r="Q1539" s="1"/>
      <c r="R1539" s="8"/>
      <c r="S1539" s="1"/>
      <c r="T1539" s="8"/>
      <c r="U1539" s="1"/>
      <c r="V1539" s="1"/>
      <c r="W1539" s="1"/>
      <c r="X1539" s="1"/>
    </row>
    <row r="1540" spans="1:24">
      <c r="A1540" s="1"/>
      <c r="M1540" s="26"/>
      <c r="N1540" s="26"/>
      <c r="P1540" s="1"/>
      <c r="Q1540" s="1"/>
      <c r="R1540" s="8"/>
      <c r="S1540" s="1"/>
      <c r="T1540" s="8"/>
      <c r="U1540" s="1"/>
      <c r="V1540" s="1"/>
      <c r="W1540" s="1"/>
      <c r="X1540" s="1"/>
    </row>
    <row r="1541" spans="1:24">
      <c r="A1541" s="1"/>
      <c r="M1541" s="26"/>
      <c r="N1541" s="26"/>
      <c r="P1541" s="1"/>
      <c r="Q1541" s="1"/>
      <c r="R1541" s="8"/>
      <c r="S1541" s="1"/>
      <c r="T1541" s="8"/>
      <c r="U1541" s="1"/>
      <c r="V1541" s="1"/>
      <c r="W1541" s="1"/>
      <c r="X1541" s="1"/>
    </row>
    <row r="1542" spans="1:24">
      <c r="A1542" s="1"/>
      <c r="M1542" s="26"/>
      <c r="N1542" s="26"/>
      <c r="P1542" s="1"/>
      <c r="Q1542" s="1"/>
      <c r="R1542" s="8"/>
      <c r="S1542" s="1"/>
      <c r="T1542" s="8"/>
      <c r="U1542" s="1"/>
      <c r="V1542" s="1"/>
      <c r="W1542" s="1"/>
      <c r="X1542" s="1"/>
    </row>
    <row r="1543" spans="1:24">
      <c r="A1543" s="1"/>
      <c r="M1543" s="26"/>
      <c r="N1543" s="26"/>
      <c r="P1543" s="1"/>
      <c r="Q1543" s="1"/>
      <c r="R1543" s="8"/>
      <c r="S1543" s="1"/>
      <c r="T1543" s="8"/>
      <c r="U1543" s="1"/>
      <c r="V1543" s="1"/>
      <c r="W1543" s="1"/>
      <c r="X1543" s="1"/>
    </row>
    <row r="1544" spans="1:24">
      <c r="A1544" s="1"/>
      <c r="M1544" s="26"/>
      <c r="N1544" s="26"/>
      <c r="P1544" s="1"/>
      <c r="Q1544" s="1"/>
      <c r="R1544" s="8"/>
      <c r="S1544" s="1"/>
      <c r="T1544" s="8"/>
      <c r="U1544" s="1"/>
      <c r="V1544" s="1"/>
      <c r="W1544" s="1"/>
      <c r="X1544" s="1"/>
    </row>
    <row r="1545" spans="1:24">
      <c r="A1545" s="1"/>
      <c r="M1545" s="26"/>
      <c r="N1545" s="26"/>
      <c r="P1545" s="1"/>
      <c r="Q1545" s="1"/>
      <c r="R1545" s="8"/>
      <c r="S1545" s="1"/>
      <c r="T1545" s="8"/>
      <c r="U1545" s="1"/>
      <c r="V1545" s="1"/>
      <c r="W1545" s="1"/>
      <c r="X1545" s="1"/>
    </row>
    <row r="1546" spans="1:24">
      <c r="A1546" s="1"/>
      <c r="M1546" s="26"/>
      <c r="N1546" s="26"/>
      <c r="P1546" s="1"/>
      <c r="Q1546" s="1"/>
      <c r="R1546" s="8"/>
      <c r="S1546" s="1"/>
      <c r="T1546" s="8"/>
      <c r="U1546" s="1"/>
      <c r="V1546" s="1"/>
      <c r="W1546" s="1"/>
      <c r="X1546" s="1"/>
    </row>
    <row r="1547" spans="1:24">
      <c r="A1547" s="1"/>
      <c r="M1547" s="26"/>
      <c r="N1547" s="26"/>
      <c r="P1547" s="1"/>
      <c r="Q1547" s="1"/>
      <c r="R1547" s="8"/>
      <c r="S1547" s="1"/>
      <c r="T1547" s="8"/>
      <c r="U1547" s="1"/>
      <c r="V1547" s="1"/>
      <c r="W1547" s="1"/>
      <c r="X1547" s="1"/>
    </row>
    <row r="1548" spans="1:24">
      <c r="A1548" s="1"/>
      <c r="M1548" s="26"/>
      <c r="N1548" s="26"/>
      <c r="P1548" s="1"/>
      <c r="Q1548" s="1"/>
      <c r="R1548" s="8"/>
      <c r="S1548" s="1"/>
      <c r="T1548" s="8"/>
      <c r="U1548" s="1"/>
      <c r="V1548" s="1"/>
      <c r="W1548" s="1"/>
      <c r="X1548" s="1"/>
    </row>
    <row r="1549" spans="1:24">
      <c r="A1549" s="1"/>
      <c r="M1549" s="26"/>
      <c r="N1549" s="26"/>
      <c r="P1549" s="1"/>
      <c r="Q1549" s="1"/>
      <c r="R1549" s="8"/>
      <c r="S1549" s="1"/>
      <c r="T1549" s="8"/>
      <c r="U1549" s="1"/>
      <c r="V1549" s="1"/>
      <c r="W1549" s="1"/>
      <c r="X1549" s="1"/>
    </row>
    <row r="1550" spans="1:24">
      <c r="A1550" s="1"/>
      <c r="M1550" s="26"/>
      <c r="N1550" s="26"/>
      <c r="P1550" s="1"/>
      <c r="Q1550" s="1"/>
      <c r="R1550" s="8"/>
      <c r="S1550" s="1"/>
      <c r="T1550" s="8"/>
      <c r="U1550" s="1"/>
      <c r="V1550" s="1"/>
      <c r="W1550" s="1"/>
      <c r="X1550" s="1"/>
    </row>
    <row r="1551" spans="1:24">
      <c r="A1551" s="1"/>
      <c r="M1551" s="26"/>
      <c r="N1551" s="26"/>
      <c r="P1551" s="1"/>
      <c r="Q1551" s="1"/>
      <c r="R1551" s="8"/>
      <c r="S1551" s="1"/>
      <c r="T1551" s="8"/>
      <c r="U1551" s="1"/>
      <c r="V1551" s="1"/>
      <c r="W1551" s="1"/>
      <c r="X1551" s="1"/>
    </row>
    <row r="1552" spans="1:24">
      <c r="A1552" s="1"/>
      <c r="M1552" s="26"/>
      <c r="N1552" s="26"/>
      <c r="P1552" s="1"/>
      <c r="Q1552" s="1"/>
      <c r="R1552" s="8"/>
      <c r="S1552" s="1"/>
      <c r="T1552" s="8"/>
      <c r="U1552" s="1"/>
      <c r="V1552" s="1"/>
      <c r="W1552" s="1"/>
      <c r="X1552" s="1"/>
    </row>
    <row r="1553" spans="1:24">
      <c r="A1553" s="1"/>
      <c r="M1553" s="26"/>
      <c r="N1553" s="26"/>
      <c r="P1553" s="1"/>
      <c r="Q1553" s="1"/>
      <c r="R1553" s="8"/>
      <c r="S1553" s="1"/>
      <c r="T1553" s="8"/>
      <c r="U1553" s="1"/>
      <c r="V1553" s="1"/>
      <c r="W1553" s="1"/>
      <c r="X1553" s="1"/>
    </row>
    <row r="1554" spans="1:24">
      <c r="A1554" s="1"/>
      <c r="M1554" s="26"/>
      <c r="N1554" s="26"/>
      <c r="P1554" s="1"/>
      <c r="Q1554" s="1"/>
      <c r="R1554" s="8"/>
      <c r="S1554" s="1"/>
      <c r="T1554" s="8"/>
      <c r="U1554" s="1"/>
      <c r="V1554" s="1"/>
      <c r="W1554" s="1"/>
      <c r="X1554" s="1"/>
    </row>
    <row r="1555" spans="1:24">
      <c r="A1555" s="1"/>
      <c r="M1555" s="26"/>
      <c r="N1555" s="26"/>
      <c r="P1555" s="1"/>
      <c r="Q1555" s="1"/>
      <c r="R1555" s="8"/>
      <c r="S1555" s="1"/>
      <c r="T1555" s="8"/>
      <c r="U1555" s="1"/>
      <c r="V1555" s="1"/>
      <c r="W1555" s="1"/>
      <c r="X1555" s="1"/>
    </row>
    <row r="1556" spans="1:24">
      <c r="A1556" s="1"/>
      <c r="M1556" s="26"/>
      <c r="N1556" s="26"/>
      <c r="P1556" s="1"/>
      <c r="Q1556" s="1"/>
      <c r="R1556" s="8"/>
      <c r="S1556" s="1"/>
      <c r="T1556" s="8"/>
      <c r="U1556" s="1"/>
      <c r="V1556" s="1"/>
      <c r="W1556" s="1"/>
      <c r="X1556" s="1"/>
    </row>
    <row r="1557" spans="1:24">
      <c r="A1557" s="1"/>
      <c r="M1557" s="26"/>
      <c r="N1557" s="26"/>
      <c r="P1557" s="1"/>
      <c r="Q1557" s="1"/>
      <c r="R1557" s="8"/>
      <c r="S1557" s="1"/>
      <c r="T1557" s="8"/>
      <c r="U1557" s="1"/>
      <c r="V1557" s="1"/>
      <c r="W1557" s="1"/>
      <c r="X1557" s="1"/>
    </row>
    <row r="1558" spans="1:24">
      <c r="A1558" s="1"/>
      <c r="M1558" s="26"/>
      <c r="N1558" s="26"/>
      <c r="P1558" s="1"/>
      <c r="Q1558" s="1"/>
      <c r="R1558" s="8"/>
      <c r="S1558" s="1"/>
      <c r="T1558" s="8"/>
      <c r="U1558" s="1"/>
      <c r="V1558" s="1"/>
      <c r="W1558" s="1"/>
      <c r="X1558" s="1"/>
    </row>
    <row r="1559" spans="1:24">
      <c r="A1559" s="1"/>
      <c r="M1559" s="26"/>
      <c r="N1559" s="26"/>
      <c r="P1559" s="1"/>
      <c r="Q1559" s="1"/>
      <c r="R1559" s="8"/>
      <c r="S1559" s="1"/>
      <c r="T1559" s="8"/>
      <c r="U1559" s="1"/>
      <c r="V1559" s="1"/>
      <c r="W1559" s="1"/>
      <c r="X1559" s="1"/>
    </row>
    <row r="1560" spans="1:24">
      <c r="A1560" s="1"/>
      <c r="M1560" s="26"/>
      <c r="N1560" s="26"/>
      <c r="P1560" s="1"/>
      <c r="Q1560" s="1"/>
      <c r="R1560" s="8"/>
      <c r="S1560" s="1"/>
      <c r="T1560" s="8"/>
      <c r="U1560" s="1"/>
      <c r="V1560" s="1"/>
      <c r="W1560" s="1"/>
      <c r="X1560" s="1"/>
    </row>
    <row r="1561" spans="1:24">
      <c r="A1561" s="1"/>
      <c r="M1561" s="26"/>
      <c r="N1561" s="26"/>
      <c r="P1561" s="1"/>
      <c r="Q1561" s="1"/>
      <c r="R1561" s="8"/>
      <c r="S1561" s="1"/>
      <c r="T1561" s="8"/>
      <c r="U1561" s="1"/>
      <c r="V1561" s="1"/>
      <c r="W1561" s="1"/>
      <c r="X1561" s="1"/>
    </row>
    <row r="1562" spans="1:24">
      <c r="A1562" s="1"/>
      <c r="M1562" s="26"/>
      <c r="N1562" s="26"/>
      <c r="P1562" s="1"/>
      <c r="Q1562" s="1"/>
      <c r="R1562" s="8"/>
      <c r="S1562" s="1"/>
      <c r="T1562" s="8"/>
      <c r="U1562" s="1"/>
      <c r="V1562" s="1"/>
      <c r="W1562" s="1"/>
      <c r="X1562" s="1"/>
    </row>
    <row r="1563" spans="1:24">
      <c r="A1563" s="1"/>
      <c r="M1563" s="26"/>
      <c r="N1563" s="26"/>
      <c r="P1563" s="1"/>
      <c r="Q1563" s="1"/>
      <c r="R1563" s="8"/>
      <c r="S1563" s="1"/>
      <c r="T1563" s="8"/>
      <c r="U1563" s="1"/>
      <c r="V1563" s="1"/>
      <c r="W1563" s="1"/>
      <c r="X1563" s="1"/>
    </row>
    <row r="1564" spans="1:24">
      <c r="A1564" s="1"/>
      <c r="M1564" s="26"/>
      <c r="N1564" s="26"/>
      <c r="P1564" s="1"/>
      <c r="Q1564" s="1"/>
      <c r="R1564" s="8"/>
      <c r="S1564" s="1"/>
      <c r="T1564" s="8"/>
      <c r="U1564" s="1"/>
      <c r="V1564" s="1"/>
      <c r="W1564" s="1"/>
      <c r="X1564" s="1"/>
    </row>
    <row r="1565" spans="1:24">
      <c r="A1565" s="1"/>
      <c r="M1565" s="26"/>
      <c r="N1565" s="26"/>
      <c r="P1565" s="1"/>
      <c r="Q1565" s="1"/>
      <c r="R1565" s="8"/>
      <c r="S1565" s="1"/>
      <c r="T1565" s="8"/>
      <c r="U1565" s="1"/>
      <c r="V1565" s="1"/>
      <c r="W1565" s="1"/>
      <c r="X1565" s="1"/>
    </row>
    <row r="1566" spans="1:24">
      <c r="A1566" s="1"/>
      <c r="M1566" s="26"/>
      <c r="N1566" s="26"/>
      <c r="P1566" s="1"/>
      <c r="Q1566" s="1"/>
      <c r="R1566" s="8"/>
      <c r="S1566" s="1"/>
      <c r="T1566" s="8"/>
      <c r="U1566" s="1"/>
      <c r="V1566" s="1"/>
      <c r="W1566" s="1"/>
      <c r="X1566" s="1"/>
    </row>
    <row r="1567" spans="1:24">
      <c r="A1567" s="1"/>
      <c r="M1567" s="26"/>
      <c r="N1567" s="26"/>
      <c r="P1567" s="1"/>
      <c r="Q1567" s="1"/>
      <c r="R1567" s="8"/>
      <c r="S1567" s="1"/>
      <c r="T1567" s="8"/>
      <c r="U1567" s="1"/>
      <c r="V1567" s="1"/>
      <c r="W1567" s="1"/>
      <c r="X1567" s="1"/>
    </row>
    <row r="1568" spans="1:24">
      <c r="A1568" s="1"/>
      <c r="M1568" s="26"/>
      <c r="N1568" s="26"/>
      <c r="P1568" s="1"/>
      <c r="Q1568" s="1"/>
      <c r="R1568" s="8"/>
      <c r="S1568" s="1"/>
      <c r="T1568" s="8"/>
      <c r="U1568" s="1"/>
      <c r="V1568" s="1"/>
      <c r="W1568" s="1"/>
      <c r="X1568" s="1"/>
    </row>
    <row r="1569" spans="1:24">
      <c r="A1569" s="1"/>
      <c r="M1569" s="26"/>
      <c r="N1569" s="26"/>
      <c r="P1569" s="1"/>
      <c r="Q1569" s="1"/>
      <c r="R1569" s="8"/>
      <c r="S1569" s="1"/>
      <c r="T1569" s="8"/>
      <c r="U1569" s="1"/>
      <c r="V1569" s="1"/>
      <c r="W1569" s="1"/>
      <c r="X1569" s="1"/>
    </row>
    <row r="1570" spans="1:24">
      <c r="A1570" s="1"/>
      <c r="M1570" s="26"/>
      <c r="N1570" s="26"/>
      <c r="P1570" s="1"/>
      <c r="Q1570" s="1"/>
      <c r="R1570" s="8"/>
      <c r="S1570" s="1"/>
      <c r="T1570" s="8"/>
      <c r="U1570" s="1"/>
      <c r="V1570" s="1"/>
      <c r="W1570" s="1"/>
      <c r="X1570" s="1"/>
    </row>
    <row r="1571" spans="1:24">
      <c r="A1571" s="1"/>
      <c r="M1571" s="26"/>
      <c r="N1571" s="26"/>
      <c r="P1571" s="1"/>
      <c r="Q1571" s="1"/>
      <c r="R1571" s="8"/>
      <c r="S1571" s="1"/>
      <c r="T1571" s="8"/>
      <c r="U1571" s="1"/>
      <c r="V1571" s="1"/>
      <c r="W1571" s="1"/>
      <c r="X1571" s="1"/>
    </row>
    <row r="1572" spans="1:24">
      <c r="A1572" s="1"/>
      <c r="M1572" s="26"/>
      <c r="N1572" s="26"/>
      <c r="P1572" s="1"/>
      <c r="Q1572" s="1"/>
      <c r="R1572" s="8"/>
      <c r="S1572" s="1"/>
      <c r="T1572" s="8"/>
      <c r="U1572" s="1"/>
      <c r="V1572" s="1"/>
      <c r="W1572" s="1"/>
      <c r="X1572" s="1"/>
    </row>
    <row r="1573" spans="1:24">
      <c r="A1573" s="1"/>
      <c r="M1573" s="26"/>
      <c r="N1573" s="26"/>
      <c r="P1573" s="1"/>
      <c r="Q1573" s="1"/>
      <c r="R1573" s="8"/>
      <c r="S1573" s="1"/>
      <c r="T1573" s="8"/>
      <c r="U1573" s="1"/>
      <c r="V1573" s="1"/>
      <c r="W1573" s="1"/>
      <c r="X1573" s="1"/>
    </row>
    <row r="1574" spans="1:24">
      <c r="A1574" s="1"/>
      <c r="M1574" s="26"/>
      <c r="N1574" s="26"/>
      <c r="P1574" s="1"/>
      <c r="Q1574" s="1"/>
      <c r="R1574" s="8"/>
      <c r="S1574" s="1"/>
      <c r="T1574" s="8"/>
      <c r="U1574" s="1"/>
      <c r="V1574" s="1"/>
      <c r="W1574" s="1"/>
      <c r="X1574" s="1"/>
    </row>
    <row r="1575" spans="1:24">
      <c r="A1575" s="1"/>
      <c r="M1575" s="26"/>
      <c r="N1575" s="26"/>
      <c r="P1575" s="1"/>
      <c r="Q1575" s="1"/>
      <c r="R1575" s="8"/>
      <c r="S1575" s="1"/>
      <c r="T1575" s="8"/>
      <c r="U1575" s="1"/>
      <c r="V1575" s="1"/>
      <c r="W1575" s="1"/>
      <c r="X1575" s="1"/>
    </row>
    <row r="1576" spans="1:24">
      <c r="A1576" s="1"/>
      <c r="M1576" s="26"/>
      <c r="N1576" s="26"/>
      <c r="P1576" s="1"/>
      <c r="Q1576" s="1"/>
      <c r="R1576" s="8"/>
      <c r="S1576" s="1"/>
      <c r="T1576" s="8"/>
      <c r="U1576" s="1"/>
      <c r="V1576" s="1"/>
      <c r="W1576" s="1"/>
      <c r="X1576" s="1"/>
    </row>
    <row r="1577" spans="1:24">
      <c r="A1577" s="1"/>
      <c r="M1577" s="26"/>
      <c r="N1577" s="26"/>
      <c r="P1577" s="1"/>
      <c r="Q1577" s="1"/>
      <c r="R1577" s="8"/>
      <c r="S1577" s="1"/>
      <c r="T1577" s="8"/>
      <c r="U1577" s="1"/>
      <c r="V1577" s="1"/>
      <c r="W1577" s="1"/>
      <c r="X1577" s="1"/>
    </row>
    <row r="1578" spans="1:24">
      <c r="A1578" s="1"/>
      <c r="M1578" s="26"/>
      <c r="N1578" s="26"/>
      <c r="P1578" s="1"/>
      <c r="Q1578" s="1"/>
      <c r="R1578" s="8"/>
      <c r="S1578" s="1"/>
      <c r="T1578" s="8"/>
      <c r="U1578" s="1"/>
      <c r="V1578" s="1"/>
      <c r="W1578" s="1"/>
      <c r="X1578" s="1"/>
    </row>
    <row r="1579" spans="1:24">
      <c r="A1579" s="1"/>
      <c r="M1579" s="26"/>
      <c r="N1579" s="26"/>
      <c r="P1579" s="1"/>
      <c r="Q1579" s="1"/>
      <c r="R1579" s="8"/>
      <c r="S1579" s="1"/>
      <c r="T1579" s="8"/>
      <c r="U1579" s="1"/>
      <c r="V1579" s="1"/>
      <c r="W1579" s="1"/>
      <c r="X1579" s="1"/>
    </row>
    <row r="1580" spans="1:24">
      <c r="A1580" s="1"/>
      <c r="M1580" s="26"/>
      <c r="N1580" s="26"/>
      <c r="P1580" s="1"/>
      <c r="Q1580" s="1"/>
      <c r="R1580" s="8"/>
      <c r="S1580" s="1"/>
      <c r="T1580" s="8"/>
      <c r="U1580" s="1"/>
      <c r="V1580" s="1"/>
      <c r="W1580" s="1"/>
      <c r="X1580" s="1"/>
    </row>
    <row r="1581" spans="1:24">
      <c r="A1581" s="1"/>
      <c r="M1581" s="26"/>
      <c r="N1581" s="26"/>
      <c r="P1581" s="1"/>
      <c r="Q1581" s="1"/>
      <c r="R1581" s="8"/>
      <c r="S1581" s="1"/>
      <c r="T1581" s="8"/>
      <c r="U1581" s="1"/>
      <c r="V1581" s="1"/>
      <c r="W1581" s="1"/>
      <c r="X1581" s="1"/>
    </row>
    <row r="1582" spans="1:24">
      <c r="A1582" s="1"/>
      <c r="M1582" s="26"/>
      <c r="N1582" s="26"/>
      <c r="P1582" s="1"/>
      <c r="Q1582" s="1"/>
      <c r="R1582" s="8"/>
      <c r="S1582" s="1"/>
      <c r="T1582" s="8"/>
      <c r="U1582" s="1"/>
      <c r="V1582" s="1"/>
      <c r="W1582" s="1"/>
      <c r="X1582" s="1"/>
    </row>
    <row r="1583" spans="1:24">
      <c r="A1583" s="1"/>
      <c r="M1583" s="26"/>
      <c r="N1583" s="26"/>
      <c r="P1583" s="1"/>
      <c r="Q1583" s="1"/>
      <c r="R1583" s="8"/>
      <c r="S1583" s="1"/>
      <c r="T1583" s="8"/>
      <c r="U1583" s="1"/>
      <c r="V1583" s="1"/>
      <c r="W1583" s="1"/>
      <c r="X1583" s="1"/>
    </row>
    <row r="1584" spans="1:24">
      <c r="A1584" s="1"/>
      <c r="M1584" s="26"/>
      <c r="N1584" s="26"/>
      <c r="P1584" s="1"/>
      <c r="Q1584" s="1"/>
      <c r="R1584" s="8"/>
      <c r="S1584" s="1"/>
      <c r="T1584" s="8"/>
      <c r="U1584" s="1"/>
      <c r="V1584" s="1"/>
      <c r="W1584" s="1"/>
      <c r="X1584" s="1"/>
    </row>
    <row r="1585" spans="1:24">
      <c r="A1585" s="1"/>
      <c r="M1585" s="26"/>
      <c r="N1585" s="26"/>
      <c r="P1585" s="1"/>
      <c r="Q1585" s="1"/>
      <c r="R1585" s="8"/>
      <c r="S1585" s="1"/>
      <c r="T1585" s="8"/>
      <c r="U1585" s="1"/>
      <c r="V1585" s="1"/>
      <c r="W1585" s="1"/>
      <c r="X1585" s="1"/>
    </row>
    <row r="1586" spans="1:24">
      <c r="A1586" s="1"/>
      <c r="M1586" s="26"/>
      <c r="N1586" s="26"/>
      <c r="P1586" s="1"/>
      <c r="Q1586" s="1"/>
      <c r="R1586" s="8"/>
      <c r="S1586" s="1"/>
      <c r="T1586" s="8"/>
      <c r="U1586" s="1"/>
      <c r="V1586" s="1"/>
      <c r="W1586" s="1"/>
      <c r="X1586" s="1"/>
    </row>
    <row r="1587" spans="1:24">
      <c r="A1587" s="1"/>
      <c r="M1587" s="26"/>
      <c r="N1587" s="26"/>
      <c r="P1587" s="1"/>
      <c r="Q1587" s="1"/>
      <c r="R1587" s="8"/>
      <c r="S1587" s="1"/>
      <c r="T1587" s="8"/>
      <c r="U1587" s="1"/>
      <c r="V1587" s="1"/>
      <c r="W1587" s="1"/>
      <c r="X1587" s="1"/>
    </row>
    <row r="1588" spans="1:24">
      <c r="A1588" s="1"/>
      <c r="M1588" s="26"/>
      <c r="N1588" s="26"/>
      <c r="P1588" s="1"/>
      <c r="Q1588" s="1"/>
      <c r="R1588" s="8"/>
      <c r="S1588" s="1"/>
      <c r="T1588" s="8"/>
      <c r="U1588" s="1"/>
      <c r="V1588" s="1"/>
      <c r="W1588" s="1"/>
      <c r="X1588" s="1"/>
    </row>
    <row r="1589" spans="1:24">
      <c r="A1589" s="1"/>
      <c r="M1589" s="26"/>
      <c r="N1589" s="26"/>
      <c r="P1589" s="1"/>
      <c r="Q1589" s="1"/>
      <c r="R1589" s="8"/>
      <c r="S1589" s="1"/>
      <c r="T1589" s="8"/>
      <c r="U1589" s="1"/>
      <c r="V1589" s="1"/>
      <c r="W1589" s="1"/>
      <c r="X1589" s="1"/>
    </row>
    <row r="1590" spans="1:24">
      <c r="A1590" s="1"/>
      <c r="M1590" s="26"/>
      <c r="N1590" s="26"/>
      <c r="P1590" s="1"/>
      <c r="Q1590" s="1"/>
      <c r="R1590" s="8"/>
      <c r="S1590" s="1"/>
      <c r="T1590" s="8"/>
      <c r="U1590" s="1"/>
      <c r="V1590" s="1"/>
      <c r="W1590" s="1"/>
      <c r="X1590" s="1"/>
    </row>
    <row r="1591" spans="1:24">
      <c r="A1591" s="1"/>
      <c r="M1591" s="26"/>
      <c r="N1591" s="26"/>
      <c r="P1591" s="1"/>
      <c r="Q1591" s="1"/>
      <c r="R1591" s="8"/>
      <c r="S1591" s="1"/>
      <c r="T1591" s="8"/>
      <c r="U1591" s="1"/>
      <c r="V1591" s="1"/>
      <c r="W1591" s="1"/>
      <c r="X1591" s="1"/>
    </row>
    <row r="1592" spans="1:24">
      <c r="A1592" s="1"/>
      <c r="M1592" s="26"/>
      <c r="N1592" s="26"/>
      <c r="P1592" s="1"/>
      <c r="Q1592" s="1"/>
      <c r="R1592" s="8"/>
      <c r="S1592" s="1"/>
      <c r="T1592" s="8"/>
      <c r="U1592" s="1"/>
      <c r="V1592" s="1"/>
      <c r="W1592" s="1"/>
      <c r="X1592" s="1"/>
    </row>
    <row r="1593" spans="1:24">
      <c r="A1593" s="1"/>
      <c r="M1593" s="26"/>
      <c r="N1593" s="26"/>
      <c r="P1593" s="1"/>
      <c r="Q1593" s="1"/>
      <c r="R1593" s="8"/>
      <c r="S1593" s="1"/>
      <c r="T1593" s="8"/>
      <c r="U1593" s="1"/>
      <c r="V1593" s="1"/>
      <c r="W1593" s="1"/>
      <c r="X1593" s="1"/>
    </row>
    <row r="1594" spans="1:24">
      <c r="A1594" s="1"/>
      <c r="M1594" s="26"/>
      <c r="N1594" s="26"/>
      <c r="P1594" s="1"/>
      <c r="Q1594" s="1"/>
      <c r="R1594" s="8"/>
      <c r="S1594" s="1"/>
      <c r="T1594" s="8"/>
      <c r="U1594" s="1"/>
      <c r="V1594" s="1"/>
      <c r="W1594" s="1"/>
      <c r="X1594" s="1"/>
    </row>
    <row r="1595" spans="1:24">
      <c r="A1595" s="1"/>
      <c r="M1595" s="26"/>
      <c r="N1595" s="26"/>
      <c r="P1595" s="1"/>
      <c r="Q1595" s="1"/>
      <c r="R1595" s="8"/>
      <c r="S1595" s="1"/>
      <c r="T1595" s="8"/>
      <c r="U1595" s="1"/>
      <c r="V1595" s="1"/>
      <c r="W1595" s="1"/>
      <c r="X1595" s="1"/>
    </row>
    <row r="1596" spans="1:24">
      <c r="A1596" s="1"/>
      <c r="M1596" s="26"/>
      <c r="N1596" s="26"/>
      <c r="P1596" s="1"/>
      <c r="Q1596" s="1"/>
      <c r="R1596" s="8"/>
      <c r="S1596" s="1"/>
      <c r="T1596" s="8"/>
      <c r="U1596" s="1"/>
      <c r="V1596" s="1"/>
      <c r="W1596" s="1"/>
      <c r="X1596" s="1"/>
    </row>
    <row r="1597" spans="1:24">
      <c r="A1597" s="1"/>
      <c r="M1597" s="26"/>
      <c r="N1597" s="26"/>
      <c r="P1597" s="1"/>
      <c r="Q1597" s="1"/>
      <c r="R1597" s="8"/>
      <c r="S1597" s="1"/>
      <c r="T1597" s="8"/>
      <c r="U1597" s="1"/>
      <c r="V1597" s="1"/>
      <c r="W1597" s="1"/>
      <c r="X1597" s="1"/>
    </row>
    <row r="1598" spans="1:24">
      <c r="A1598" s="1"/>
      <c r="M1598" s="26"/>
      <c r="N1598" s="26"/>
      <c r="P1598" s="1"/>
      <c r="Q1598" s="1"/>
      <c r="R1598" s="8"/>
      <c r="S1598" s="1"/>
      <c r="T1598" s="8"/>
      <c r="U1598" s="1"/>
      <c r="V1598" s="1"/>
      <c r="W1598" s="1"/>
      <c r="X1598" s="1"/>
    </row>
    <row r="1599" spans="1:24">
      <c r="A1599" s="1"/>
      <c r="M1599" s="26"/>
      <c r="N1599" s="26"/>
      <c r="P1599" s="1"/>
      <c r="Q1599" s="1"/>
      <c r="R1599" s="8"/>
      <c r="S1599" s="1"/>
      <c r="T1599" s="8"/>
      <c r="U1599" s="1"/>
      <c r="V1599" s="1"/>
      <c r="W1599" s="1"/>
      <c r="X1599" s="1"/>
    </row>
    <row r="1600" spans="1:24">
      <c r="A1600" s="1"/>
      <c r="M1600" s="26"/>
      <c r="N1600" s="26"/>
      <c r="P1600" s="1"/>
      <c r="Q1600" s="1"/>
      <c r="R1600" s="8"/>
      <c r="S1600" s="1"/>
      <c r="T1600" s="8"/>
      <c r="U1600" s="1"/>
      <c r="V1600" s="1"/>
      <c r="W1600" s="1"/>
      <c r="X1600" s="1"/>
    </row>
    <row r="1601" spans="1:24">
      <c r="A1601" s="1"/>
      <c r="M1601" s="26"/>
      <c r="N1601" s="26"/>
      <c r="P1601" s="1"/>
      <c r="Q1601" s="1"/>
      <c r="R1601" s="8"/>
      <c r="S1601" s="1"/>
      <c r="T1601" s="8"/>
      <c r="U1601" s="1"/>
      <c r="V1601" s="1"/>
      <c r="W1601" s="1"/>
      <c r="X1601" s="1"/>
    </row>
    <row r="1602" spans="1:24">
      <c r="A1602" s="1"/>
      <c r="M1602" s="26"/>
      <c r="N1602" s="26"/>
      <c r="P1602" s="1"/>
      <c r="Q1602" s="1"/>
      <c r="R1602" s="8"/>
      <c r="S1602" s="1"/>
      <c r="T1602" s="8"/>
      <c r="U1602" s="1"/>
      <c r="V1602" s="1"/>
      <c r="W1602" s="1"/>
      <c r="X1602" s="1"/>
    </row>
    <row r="1603" spans="1:24">
      <c r="A1603" s="1"/>
      <c r="M1603" s="26"/>
      <c r="N1603" s="26"/>
      <c r="P1603" s="1"/>
      <c r="Q1603" s="1"/>
      <c r="R1603" s="8"/>
      <c r="S1603" s="1"/>
      <c r="T1603" s="8"/>
      <c r="U1603" s="1"/>
      <c r="V1603" s="1"/>
      <c r="W1603" s="1"/>
      <c r="X1603" s="1"/>
    </row>
    <row r="1604" spans="1:24">
      <c r="A1604" s="1"/>
      <c r="M1604" s="26"/>
      <c r="N1604" s="26"/>
      <c r="P1604" s="1"/>
      <c r="Q1604" s="1"/>
      <c r="R1604" s="8"/>
      <c r="S1604" s="1"/>
      <c r="T1604" s="8"/>
      <c r="U1604" s="1"/>
      <c r="V1604" s="1"/>
      <c r="W1604" s="1"/>
      <c r="X1604" s="1"/>
    </row>
    <row r="1605" spans="1:24">
      <c r="A1605" s="1"/>
      <c r="M1605" s="26"/>
      <c r="N1605" s="26"/>
      <c r="P1605" s="1"/>
      <c r="Q1605" s="1"/>
      <c r="R1605" s="8"/>
      <c r="S1605" s="1"/>
      <c r="T1605" s="8"/>
      <c r="U1605" s="1"/>
      <c r="V1605" s="1"/>
      <c r="W1605" s="1"/>
      <c r="X1605" s="1"/>
    </row>
    <row r="1606" spans="1:24">
      <c r="A1606" s="1"/>
      <c r="M1606" s="26"/>
      <c r="N1606" s="26"/>
      <c r="P1606" s="1"/>
      <c r="Q1606" s="1"/>
      <c r="R1606" s="8"/>
      <c r="S1606" s="1"/>
      <c r="T1606" s="8"/>
      <c r="U1606" s="1"/>
      <c r="V1606" s="1"/>
      <c r="W1606" s="1"/>
      <c r="X1606" s="1"/>
    </row>
    <row r="1607" spans="1:24">
      <c r="A1607" s="1"/>
      <c r="M1607" s="26"/>
      <c r="N1607" s="26"/>
      <c r="P1607" s="1"/>
      <c r="Q1607" s="1"/>
      <c r="R1607" s="8"/>
      <c r="S1607" s="1"/>
      <c r="T1607" s="8"/>
      <c r="U1607" s="1"/>
      <c r="V1607" s="1"/>
      <c r="W1607" s="1"/>
      <c r="X1607" s="1"/>
    </row>
    <row r="1608" spans="1:24">
      <c r="A1608" s="1"/>
      <c r="M1608" s="26"/>
      <c r="N1608" s="26"/>
      <c r="P1608" s="1"/>
      <c r="Q1608" s="1"/>
      <c r="R1608" s="8"/>
      <c r="S1608" s="1"/>
      <c r="T1608" s="8"/>
      <c r="U1608" s="1"/>
      <c r="V1608" s="1"/>
      <c r="W1608" s="1"/>
      <c r="X1608" s="1"/>
    </row>
    <row r="1609" spans="1:24">
      <c r="A1609" s="1"/>
      <c r="M1609" s="26"/>
      <c r="N1609" s="26"/>
      <c r="P1609" s="1"/>
      <c r="Q1609" s="1"/>
      <c r="R1609" s="8"/>
      <c r="S1609" s="1"/>
      <c r="T1609" s="8"/>
      <c r="U1609" s="1"/>
      <c r="V1609" s="1"/>
      <c r="W1609" s="1"/>
      <c r="X1609" s="1"/>
    </row>
    <row r="1610" spans="1:24">
      <c r="A1610" s="1"/>
      <c r="M1610" s="26"/>
      <c r="N1610" s="26"/>
      <c r="P1610" s="1"/>
      <c r="Q1610" s="1"/>
      <c r="R1610" s="8"/>
      <c r="S1610" s="1"/>
      <c r="T1610" s="8"/>
      <c r="U1610" s="1"/>
      <c r="V1610" s="1"/>
      <c r="W1610" s="1"/>
      <c r="X1610" s="1"/>
    </row>
    <row r="1611" spans="1:24">
      <c r="A1611" s="1"/>
      <c r="M1611" s="26"/>
      <c r="N1611" s="26"/>
      <c r="P1611" s="1"/>
      <c r="Q1611" s="1"/>
      <c r="R1611" s="8"/>
      <c r="S1611" s="1"/>
      <c r="T1611" s="8"/>
      <c r="U1611" s="1"/>
      <c r="V1611" s="1"/>
      <c r="W1611" s="1"/>
      <c r="X1611" s="1"/>
    </row>
    <row r="1612" spans="1:24">
      <c r="A1612" s="1"/>
      <c r="M1612" s="26"/>
      <c r="N1612" s="26"/>
      <c r="P1612" s="1"/>
      <c r="Q1612" s="1"/>
      <c r="R1612" s="8"/>
      <c r="S1612" s="1"/>
      <c r="T1612" s="8"/>
      <c r="U1612" s="1"/>
      <c r="V1612" s="1"/>
      <c r="W1612" s="1"/>
      <c r="X1612" s="1"/>
    </row>
    <row r="1613" spans="1:24">
      <c r="A1613" s="1"/>
      <c r="M1613" s="26"/>
      <c r="N1613" s="26"/>
      <c r="P1613" s="1"/>
      <c r="Q1613" s="1"/>
      <c r="R1613" s="8"/>
      <c r="S1613" s="1"/>
      <c r="T1613" s="8"/>
      <c r="U1613" s="1"/>
      <c r="V1613" s="1"/>
      <c r="W1613" s="1"/>
      <c r="X1613" s="1"/>
    </row>
    <row r="1614" spans="1:24">
      <c r="A1614" s="1"/>
      <c r="M1614" s="26"/>
      <c r="N1614" s="26"/>
      <c r="P1614" s="1"/>
      <c r="Q1614" s="1"/>
      <c r="R1614" s="8"/>
      <c r="S1614" s="1"/>
      <c r="T1614" s="8"/>
      <c r="U1614" s="1"/>
      <c r="V1614" s="1"/>
      <c r="W1614" s="1"/>
      <c r="X1614" s="1"/>
    </row>
    <row r="1615" spans="1:24">
      <c r="A1615" s="1"/>
      <c r="M1615" s="26"/>
      <c r="N1615" s="26"/>
      <c r="P1615" s="1"/>
      <c r="Q1615" s="1"/>
      <c r="R1615" s="8"/>
      <c r="S1615" s="1"/>
      <c r="T1615" s="8"/>
      <c r="U1615" s="1"/>
      <c r="V1615" s="1"/>
      <c r="W1615" s="1"/>
      <c r="X1615" s="1"/>
    </row>
    <row r="1616" spans="1:24">
      <c r="A1616" s="1"/>
      <c r="M1616" s="26"/>
      <c r="N1616" s="26"/>
      <c r="P1616" s="1"/>
      <c r="Q1616" s="1"/>
      <c r="R1616" s="8"/>
      <c r="S1616" s="1"/>
      <c r="T1616" s="8"/>
      <c r="U1616" s="1"/>
      <c r="V1616" s="1"/>
      <c r="W1616" s="1"/>
      <c r="X1616" s="1"/>
    </row>
    <row r="1617" spans="1:24">
      <c r="A1617" s="1"/>
      <c r="M1617" s="26"/>
      <c r="N1617" s="26"/>
      <c r="P1617" s="1"/>
      <c r="Q1617" s="1"/>
      <c r="R1617" s="8"/>
      <c r="S1617" s="1"/>
      <c r="T1617" s="8"/>
      <c r="U1617" s="1"/>
      <c r="V1617" s="1"/>
      <c r="W1617" s="1"/>
      <c r="X1617" s="1"/>
    </row>
    <row r="1618" spans="1:24">
      <c r="A1618" s="1"/>
      <c r="M1618" s="26"/>
      <c r="N1618" s="26"/>
      <c r="P1618" s="1"/>
      <c r="Q1618" s="1"/>
      <c r="R1618" s="8"/>
      <c r="S1618" s="1"/>
      <c r="T1618" s="8"/>
      <c r="U1618" s="1"/>
      <c r="V1618" s="1"/>
      <c r="W1618" s="1"/>
      <c r="X1618" s="1"/>
    </row>
    <row r="1619" spans="1:24">
      <c r="A1619" s="1"/>
      <c r="M1619" s="26"/>
      <c r="N1619" s="26"/>
      <c r="P1619" s="1"/>
      <c r="Q1619" s="1"/>
      <c r="R1619" s="8"/>
      <c r="S1619" s="1"/>
      <c r="T1619" s="8"/>
      <c r="U1619" s="1"/>
      <c r="V1619" s="1"/>
      <c r="W1619" s="1"/>
      <c r="X1619" s="1"/>
    </row>
    <row r="1620" spans="1:24">
      <c r="A1620" s="1"/>
      <c r="M1620" s="26"/>
      <c r="N1620" s="26"/>
      <c r="P1620" s="1"/>
      <c r="Q1620" s="1"/>
      <c r="R1620" s="8"/>
      <c r="S1620" s="1"/>
      <c r="T1620" s="8"/>
      <c r="U1620" s="1"/>
      <c r="V1620" s="1"/>
      <c r="W1620" s="1"/>
      <c r="X1620" s="1"/>
    </row>
    <row r="1621" spans="1:24">
      <c r="A1621" s="1"/>
      <c r="M1621" s="26"/>
      <c r="N1621" s="26"/>
      <c r="P1621" s="1"/>
      <c r="Q1621" s="1"/>
      <c r="R1621" s="8"/>
      <c r="S1621" s="1"/>
      <c r="T1621" s="8"/>
      <c r="U1621" s="1"/>
      <c r="V1621" s="1"/>
      <c r="W1621" s="1"/>
      <c r="X1621" s="1"/>
    </row>
    <row r="1622" spans="1:24">
      <c r="A1622" s="1"/>
      <c r="M1622" s="26"/>
      <c r="N1622" s="26"/>
      <c r="P1622" s="1"/>
      <c r="Q1622" s="1"/>
      <c r="R1622" s="8"/>
      <c r="S1622" s="1"/>
      <c r="T1622" s="8"/>
      <c r="U1622" s="1"/>
      <c r="V1622" s="1"/>
      <c r="W1622" s="1"/>
      <c r="X1622" s="1"/>
    </row>
    <row r="1623" spans="1:24">
      <c r="A1623" s="1"/>
      <c r="M1623" s="26"/>
      <c r="N1623" s="26"/>
      <c r="P1623" s="1"/>
      <c r="Q1623" s="1"/>
      <c r="R1623" s="8"/>
      <c r="S1623" s="1"/>
      <c r="T1623" s="8"/>
      <c r="U1623" s="1"/>
      <c r="V1623" s="1"/>
      <c r="W1623" s="1"/>
      <c r="X1623" s="1"/>
    </row>
    <row r="1624" spans="1:24">
      <c r="A1624" s="1"/>
      <c r="M1624" s="26"/>
      <c r="N1624" s="26"/>
      <c r="P1624" s="1"/>
      <c r="Q1624" s="1"/>
      <c r="R1624" s="8"/>
      <c r="S1624" s="1"/>
      <c r="T1624" s="8"/>
      <c r="U1624" s="1"/>
      <c r="V1624" s="1"/>
      <c r="W1624" s="1"/>
      <c r="X1624" s="1"/>
    </row>
    <row r="1625" spans="1:24">
      <c r="A1625" s="1"/>
      <c r="M1625" s="26"/>
      <c r="N1625" s="26"/>
      <c r="P1625" s="1"/>
      <c r="Q1625" s="1"/>
      <c r="R1625" s="8"/>
      <c r="S1625" s="1"/>
      <c r="T1625" s="8"/>
      <c r="U1625" s="1"/>
      <c r="V1625" s="1"/>
      <c r="W1625" s="1"/>
      <c r="X1625" s="1"/>
    </row>
    <row r="1626" spans="1:24">
      <c r="A1626" s="1"/>
      <c r="M1626" s="26"/>
      <c r="N1626" s="26"/>
      <c r="P1626" s="1"/>
      <c r="Q1626" s="1"/>
      <c r="R1626" s="8"/>
      <c r="S1626" s="1"/>
      <c r="T1626" s="8"/>
      <c r="U1626" s="1"/>
      <c r="V1626" s="1"/>
      <c r="W1626" s="1"/>
      <c r="X1626" s="1"/>
    </row>
    <row r="1627" spans="1:24">
      <c r="A1627" s="1"/>
      <c r="M1627" s="26"/>
      <c r="N1627" s="26"/>
      <c r="P1627" s="1"/>
      <c r="Q1627" s="1"/>
      <c r="R1627" s="8"/>
      <c r="S1627" s="1"/>
      <c r="T1627" s="8"/>
      <c r="U1627" s="1"/>
      <c r="V1627" s="1"/>
      <c r="W1627" s="1"/>
      <c r="X1627" s="1"/>
    </row>
    <row r="1628" spans="1:24">
      <c r="A1628" s="1"/>
      <c r="M1628" s="26"/>
      <c r="N1628" s="26"/>
      <c r="P1628" s="1"/>
      <c r="Q1628" s="1"/>
      <c r="R1628" s="8"/>
      <c r="S1628" s="1"/>
      <c r="T1628" s="8"/>
      <c r="U1628" s="1"/>
      <c r="V1628" s="1"/>
      <c r="W1628" s="1"/>
      <c r="X1628" s="1"/>
    </row>
    <row r="1629" spans="1:24">
      <c r="A1629" s="1"/>
      <c r="M1629" s="26"/>
      <c r="N1629" s="26"/>
      <c r="P1629" s="1"/>
      <c r="Q1629" s="1"/>
      <c r="R1629" s="8"/>
      <c r="S1629" s="1"/>
      <c r="T1629" s="8"/>
      <c r="U1629" s="1"/>
      <c r="V1629" s="1"/>
      <c r="W1629" s="1"/>
      <c r="X1629" s="1"/>
    </row>
    <row r="1630" spans="1:24">
      <c r="A1630" s="1"/>
      <c r="M1630" s="26"/>
      <c r="N1630" s="26"/>
      <c r="P1630" s="1"/>
      <c r="Q1630" s="1"/>
      <c r="R1630" s="8"/>
      <c r="S1630" s="1"/>
      <c r="T1630" s="8"/>
      <c r="U1630" s="1"/>
      <c r="V1630" s="1"/>
      <c r="W1630" s="1"/>
      <c r="X1630" s="1"/>
    </row>
    <row r="1631" spans="1:24">
      <c r="A1631" s="1"/>
      <c r="M1631" s="26"/>
      <c r="N1631" s="26"/>
      <c r="P1631" s="1"/>
      <c r="Q1631" s="1"/>
      <c r="R1631" s="8"/>
      <c r="S1631" s="1"/>
      <c r="T1631" s="8"/>
      <c r="U1631" s="1"/>
      <c r="V1631" s="1"/>
      <c r="W1631" s="1"/>
      <c r="X1631" s="1"/>
    </row>
    <row r="1632" spans="1:24">
      <c r="A1632" s="1"/>
      <c r="M1632" s="26"/>
      <c r="N1632" s="26"/>
      <c r="P1632" s="1"/>
      <c r="Q1632" s="1"/>
      <c r="R1632" s="8"/>
      <c r="S1632" s="1"/>
      <c r="T1632" s="8"/>
      <c r="U1632" s="1"/>
      <c r="V1632" s="1"/>
      <c r="W1632" s="1"/>
      <c r="X1632" s="1"/>
    </row>
    <row r="1633" spans="1:24">
      <c r="A1633" s="1"/>
      <c r="M1633" s="26"/>
      <c r="N1633" s="26"/>
      <c r="P1633" s="1"/>
      <c r="Q1633" s="1"/>
      <c r="R1633" s="8"/>
      <c r="S1633" s="1"/>
      <c r="T1633" s="8"/>
      <c r="U1633" s="1"/>
      <c r="V1633" s="1"/>
      <c r="W1633" s="1"/>
      <c r="X1633" s="1"/>
    </row>
    <row r="1634" spans="1:24">
      <c r="A1634" s="1"/>
      <c r="M1634" s="26"/>
      <c r="N1634" s="26"/>
      <c r="P1634" s="1"/>
      <c r="Q1634" s="1"/>
      <c r="R1634" s="8"/>
      <c r="S1634" s="1"/>
      <c r="T1634" s="8"/>
      <c r="U1634" s="1"/>
      <c r="V1634" s="1"/>
      <c r="W1634" s="1"/>
      <c r="X1634" s="1"/>
    </row>
    <row r="1635" spans="1:24">
      <c r="A1635" s="1"/>
      <c r="M1635" s="26"/>
      <c r="N1635" s="26"/>
      <c r="P1635" s="1"/>
      <c r="Q1635" s="1"/>
      <c r="R1635" s="8"/>
      <c r="S1635" s="1"/>
      <c r="T1635" s="8"/>
      <c r="U1635" s="1"/>
      <c r="V1635" s="1"/>
      <c r="W1635" s="1"/>
      <c r="X1635" s="1"/>
    </row>
    <row r="1636" spans="1:24">
      <c r="A1636" s="1"/>
      <c r="M1636" s="26"/>
      <c r="N1636" s="26"/>
      <c r="P1636" s="1"/>
      <c r="Q1636" s="1"/>
      <c r="R1636" s="8"/>
      <c r="S1636" s="1"/>
      <c r="T1636" s="8"/>
      <c r="U1636" s="1"/>
      <c r="V1636" s="1"/>
      <c r="W1636" s="1"/>
      <c r="X1636" s="1"/>
    </row>
    <row r="1637" spans="1:24">
      <c r="A1637" s="1"/>
      <c r="M1637" s="26"/>
      <c r="N1637" s="26"/>
      <c r="P1637" s="1"/>
      <c r="Q1637" s="1"/>
      <c r="R1637" s="8"/>
      <c r="S1637" s="1"/>
      <c r="T1637" s="8"/>
      <c r="U1637" s="1"/>
      <c r="V1637" s="1"/>
      <c r="W1637" s="1"/>
      <c r="X1637" s="1"/>
    </row>
    <row r="1638" spans="1:24">
      <c r="A1638" s="1"/>
      <c r="M1638" s="26"/>
      <c r="N1638" s="26"/>
      <c r="P1638" s="1"/>
      <c r="Q1638" s="1"/>
      <c r="R1638" s="8"/>
      <c r="S1638" s="1"/>
      <c r="T1638" s="8"/>
      <c r="U1638" s="1"/>
      <c r="V1638" s="1"/>
      <c r="W1638" s="1"/>
      <c r="X1638" s="1"/>
    </row>
    <row r="1639" spans="1:24">
      <c r="A1639" s="1"/>
      <c r="M1639" s="26"/>
      <c r="N1639" s="26"/>
      <c r="P1639" s="1"/>
      <c r="Q1639" s="1"/>
      <c r="R1639" s="8"/>
      <c r="S1639" s="1"/>
      <c r="T1639" s="8"/>
      <c r="U1639" s="1"/>
      <c r="V1639" s="1"/>
      <c r="W1639" s="1"/>
      <c r="X1639" s="1"/>
    </row>
    <row r="1640" spans="1:24">
      <c r="A1640" s="1"/>
      <c r="M1640" s="26"/>
      <c r="N1640" s="26"/>
      <c r="P1640" s="1"/>
      <c r="Q1640" s="1"/>
      <c r="R1640" s="8"/>
      <c r="S1640" s="1"/>
      <c r="T1640" s="8"/>
      <c r="U1640" s="1"/>
      <c r="V1640" s="1"/>
      <c r="W1640" s="1"/>
      <c r="X1640" s="1"/>
    </row>
    <row r="1641" spans="1:24">
      <c r="A1641" s="1"/>
      <c r="M1641" s="26"/>
      <c r="N1641" s="26"/>
      <c r="P1641" s="1"/>
      <c r="Q1641" s="1"/>
      <c r="R1641" s="8"/>
      <c r="S1641" s="1"/>
      <c r="T1641" s="8"/>
      <c r="U1641" s="1"/>
      <c r="V1641" s="1"/>
      <c r="W1641" s="1"/>
      <c r="X1641" s="1"/>
    </row>
    <row r="1642" spans="1:24">
      <c r="A1642" s="1"/>
      <c r="M1642" s="26"/>
      <c r="N1642" s="26"/>
      <c r="P1642" s="1"/>
      <c r="Q1642" s="1"/>
      <c r="R1642" s="8"/>
      <c r="S1642" s="1"/>
      <c r="T1642" s="8"/>
      <c r="U1642" s="1"/>
      <c r="V1642" s="1"/>
      <c r="W1642" s="1"/>
      <c r="X1642" s="1"/>
    </row>
    <row r="1643" spans="1:24">
      <c r="A1643" s="1"/>
      <c r="M1643" s="26"/>
      <c r="N1643" s="26"/>
      <c r="P1643" s="1"/>
      <c r="Q1643" s="1"/>
      <c r="R1643" s="8"/>
      <c r="S1643" s="1"/>
      <c r="T1643" s="8"/>
      <c r="U1643" s="1"/>
      <c r="V1643" s="1"/>
      <c r="W1643" s="1"/>
      <c r="X1643" s="1"/>
    </row>
    <row r="1644" spans="1:24">
      <c r="A1644" s="1"/>
      <c r="M1644" s="26"/>
      <c r="N1644" s="26"/>
      <c r="P1644" s="1"/>
      <c r="Q1644" s="1"/>
      <c r="R1644" s="8"/>
      <c r="S1644" s="1"/>
      <c r="T1644" s="8"/>
      <c r="U1644" s="1"/>
      <c r="V1644" s="1"/>
      <c r="W1644" s="1"/>
      <c r="X1644" s="1"/>
    </row>
    <row r="1645" spans="1:24">
      <c r="A1645" s="1"/>
      <c r="M1645" s="26"/>
      <c r="N1645" s="26"/>
      <c r="P1645" s="1"/>
      <c r="Q1645" s="1"/>
      <c r="R1645" s="8"/>
      <c r="S1645" s="1"/>
      <c r="T1645" s="8"/>
      <c r="U1645" s="1"/>
      <c r="V1645" s="1"/>
      <c r="W1645" s="1"/>
      <c r="X1645" s="1"/>
    </row>
    <row r="1646" spans="1:24">
      <c r="A1646" s="1"/>
      <c r="M1646" s="26"/>
      <c r="N1646" s="26"/>
      <c r="P1646" s="1"/>
      <c r="Q1646" s="1"/>
      <c r="R1646" s="8"/>
      <c r="S1646" s="1"/>
      <c r="T1646" s="8"/>
      <c r="U1646" s="1"/>
      <c r="V1646" s="1"/>
      <c r="W1646" s="1"/>
      <c r="X1646" s="1"/>
    </row>
    <row r="1647" spans="1:24">
      <c r="A1647" s="1"/>
      <c r="M1647" s="26"/>
      <c r="N1647" s="26"/>
      <c r="P1647" s="1"/>
      <c r="Q1647" s="1"/>
      <c r="R1647" s="8"/>
      <c r="S1647" s="1"/>
      <c r="T1647" s="8"/>
      <c r="U1647" s="1"/>
      <c r="V1647" s="1"/>
      <c r="W1647" s="1"/>
      <c r="X1647" s="1"/>
    </row>
    <row r="1648" spans="1:24">
      <c r="A1648" s="1"/>
      <c r="M1648" s="26"/>
      <c r="N1648" s="26"/>
      <c r="P1648" s="1"/>
      <c r="Q1648" s="1"/>
      <c r="R1648" s="8"/>
      <c r="S1648" s="1"/>
      <c r="T1648" s="8"/>
      <c r="U1648" s="1"/>
      <c r="V1648" s="1"/>
      <c r="W1648" s="1"/>
      <c r="X1648" s="1"/>
    </row>
    <row r="1649" spans="1:24">
      <c r="A1649" s="1"/>
      <c r="M1649" s="26"/>
      <c r="N1649" s="26"/>
      <c r="P1649" s="1"/>
      <c r="Q1649" s="1"/>
      <c r="R1649" s="8"/>
      <c r="S1649" s="1"/>
      <c r="T1649" s="8"/>
      <c r="U1649" s="1"/>
      <c r="V1649" s="1"/>
      <c r="W1649" s="1"/>
      <c r="X1649" s="1"/>
    </row>
    <row r="1650" spans="1:24">
      <c r="A1650" s="1"/>
      <c r="M1650" s="26"/>
      <c r="N1650" s="26"/>
      <c r="P1650" s="1"/>
      <c r="Q1650" s="1"/>
      <c r="R1650" s="8"/>
      <c r="S1650" s="1"/>
      <c r="T1650" s="8"/>
      <c r="U1650" s="1"/>
      <c r="V1650" s="1"/>
      <c r="W1650" s="1"/>
      <c r="X1650" s="1"/>
    </row>
    <row r="1651" spans="1:24">
      <c r="A1651" s="1"/>
      <c r="M1651" s="26"/>
      <c r="N1651" s="26"/>
      <c r="P1651" s="1"/>
      <c r="Q1651" s="1"/>
      <c r="R1651" s="8"/>
      <c r="S1651" s="1"/>
      <c r="T1651" s="8"/>
      <c r="U1651" s="1"/>
      <c r="V1651" s="1"/>
      <c r="W1651" s="1"/>
      <c r="X1651" s="1"/>
    </row>
    <row r="1652" spans="1:24">
      <c r="A1652" s="1"/>
      <c r="M1652" s="26"/>
      <c r="N1652" s="26"/>
      <c r="P1652" s="1"/>
      <c r="Q1652" s="1"/>
      <c r="R1652" s="8"/>
      <c r="S1652" s="1"/>
      <c r="T1652" s="8"/>
      <c r="U1652" s="1"/>
      <c r="V1652" s="1"/>
      <c r="W1652" s="1"/>
      <c r="X1652" s="1"/>
    </row>
    <row r="1653" spans="1:24">
      <c r="A1653" s="1"/>
      <c r="M1653" s="26"/>
      <c r="N1653" s="26"/>
      <c r="P1653" s="1"/>
      <c r="Q1653" s="1"/>
      <c r="R1653" s="8"/>
      <c r="S1653" s="1"/>
      <c r="T1653" s="8"/>
      <c r="U1653" s="1"/>
      <c r="V1653" s="1"/>
      <c r="W1653" s="1"/>
      <c r="X1653" s="1"/>
    </row>
    <row r="1654" spans="1:24">
      <c r="A1654" s="1"/>
      <c r="M1654" s="26"/>
      <c r="N1654" s="26"/>
      <c r="P1654" s="1"/>
      <c r="Q1654" s="1"/>
      <c r="R1654" s="8"/>
      <c r="S1654" s="1"/>
      <c r="T1654" s="8"/>
      <c r="U1654" s="1"/>
      <c r="V1654" s="1"/>
      <c r="W1654" s="1"/>
      <c r="X1654" s="1"/>
    </row>
    <row r="1655" spans="1:24">
      <c r="A1655" s="1"/>
      <c r="M1655" s="26"/>
      <c r="N1655" s="26"/>
      <c r="P1655" s="1"/>
      <c r="Q1655" s="1"/>
      <c r="R1655" s="8"/>
      <c r="S1655" s="1"/>
      <c r="T1655" s="8"/>
      <c r="U1655" s="1"/>
      <c r="V1655" s="1"/>
      <c r="W1655" s="1"/>
      <c r="X1655" s="1"/>
    </row>
    <row r="1656" spans="1:24">
      <c r="A1656" s="1"/>
      <c r="M1656" s="26"/>
      <c r="N1656" s="26"/>
      <c r="P1656" s="1"/>
      <c r="Q1656" s="1"/>
      <c r="R1656" s="8"/>
      <c r="S1656" s="1"/>
      <c r="T1656" s="8"/>
      <c r="U1656" s="1"/>
      <c r="V1656" s="1"/>
      <c r="W1656" s="1"/>
      <c r="X1656" s="1"/>
    </row>
    <row r="1657" spans="1:24">
      <c r="A1657" s="1"/>
      <c r="M1657" s="26"/>
      <c r="N1657" s="26"/>
      <c r="P1657" s="1"/>
      <c r="Q1657" s="1"/>
      <c r="R1657" s="8"/>
      <c r="S1657" s="1"/>
      <c r="T1657" s="8"/>
      <c r="U1657" s="1"/>
      <c r="V1657" s="1"/>
      <c r="W1657" s="1"/>
      <c r="X1657" s="1"/>
    </row>
    <row r="1658" spans="1:24">
      <c r="A1658" s="1"/>
      <c r="M1658" s="26"/>
      <c r="N1658" s="26"/>
      <c r="P1658" s="1"/>
      <c r="Q1658" s="1"/>
      <c r="R1658" s="8"/>
      <c r="S1658" s="1"/>
      <c r="T1658" s="8"/>
      <c r="U1658" s="1"/>
      <c r="V1658" s="1"/>
      <c r="W1658" s="1"/>
      <c r="X1658" s="1"/>
    </row>
    <row r="1659" spans="1:24">
      <c r="A1659" s="1"/>
      <c r="M1659" s="26"/>
      <c r="N1659" s="26"/>
      <c r="P1659" s="1"/>
      <c r="Q1659" s="1"/>
      <c r="R1659" s="8"/>
      <c r="S1659" s="1"/>
      <c r="T1659" s="8"/>
      <c r="U1659" s="1"/>
      <c r="V1659" s="1"/>
      <c r="W1659" s="1"/>
      <c r="X1659" s="1"/>
    </row>
    <row r="1660" spans="1:24">
      <c r="A1660" s="1"/>
      <c r="M1660" s="26"/>
      <c r="N1660" s="26"/>
      <c r="P1660" s="1"/>
      <c r="Q1660" s="1"/>
      <c r="R1660" s="8"/>
      <c r="S1660" s="1"/>
      <c r="T1660" s="8"/>
      <c r="U1660" s="1"/>
      <c r="V1660" s="1"/>
      <c r="W1660" s="1"/>
      <c r="X1660" s="1"/>
    </row>
    <row r="1661" spans="1:24">
      <c r="A1661" s="1"/>
      <c r="M1661" s="26"/>
      <c r="N1661" s="26"/>
      <c r="P1661" s="1"/>
      <c r="Q1661" s="1"/>
      <c r="R1661" s="8"/>
      <c r="S1661" s="1"/>
      <c r="T1661" s="8"/>
      <c r="U1661" s="1"/>
      <c r="V1661" s="1"/>
      <c r="W1661" s="1"/>
      <c r="X1661" s="1"/>
    </row>
    <row r="1662" spans="1:24">
      <c r="A1662" s="1"/>
      <c r="M1662" s="26"/>
      <c r="N1662" s="26"/>
      <c r="P1662" s="1"/>
      <c r="Q1662" s="1"/>
      <c r="R1662" s="8"/>
      <c r="S1662" s="1"/>
      <c r="T1662" s="8"/>
      <c r="U1662" s="1"/>
      <c r="V1662" s="1"/>
      <c r="W1662" s="1"/>
      <c r="X1662" s="1"/>
    </row>
    <row r="1663" spans="1:24">
      <c r="A1663" s="1"/>
      <c r="M1663" s="26"/>
      <c r="N1663" s="26"/>
      <c r="P1663" s="1"/>
      <c r="Q1663" s="1"/>
      <c r="R1663" s="8"/>
      <c r="S1663" s="1"/>
      <c r="T1663" s="8"/>
      <c r="U1663" s="1"/>
      <c r="V1663" s="1"/>
      <c r="W1663" s="1"/>
      <c r="X1663" s="1"/>
    </row>
    <row r="1664" spans="1:24">
      <c r="A1664" s="1"/>
      <c r="M1664" s="26"/>
      <c r="N1664" s="26"/>
      <c r="P1664" s="1"/>
      <c r="Q1664" s="1"/>
      <c r="R1664" s="8"/>
      <c r="S1664" s="1"/>
      <c r="T1664" s="8"/>
      <c r="U1664" s="1"/>
      <c r="V1664" s="1"/>
      <c r="W1664" s="1"/>
      <c r="X1664" s="1"/>
    </row>
    <row r="1665" spans="1:24">
      <c r="A1665" s="1"/>
      <c r="M1665" s="26"/>
      <c r="N1665" s="26"/>
      <c r="P1665" s="1"/>
      <c r="Q1665" s="1"/>
      <c r="R1665" s="8"/>
      <c r="S1665" s="1"/>
      <c r="T1665" s="8"/>
      <c r="U1665" s="1"/>
      <c r="V1665" s="1"/>
      <c r="W1665" s="1"/>
      <c r="X1665" s="1"/>
    </row>
    <row r="1666" spans="1:24">
      <c r="A1666" s="1"/>
      <c r="M1666" s="26"/>
      <c r="N1666" s="26"/>
      <c r="P1666" s="1"/>
      <c r="Q1666" s="1"/>
      <c r="R1666" s="8"/>
      <c r="S1666" s="1"/>
      <c r="T1666" s="8"/>
      <c r="U1666" s="1"/>
      <c r="V1666" s="1"/>
      <c r="W1666" s="1"/>
      <c r="X1666" s="1"/>
    </row>
    <row r="1667" spans="1:24">
      <c r="A1667" s="1"/>
      <c r="M1667" s="26"/>
      <c r="N1667" s="26"/>
      <c r="P1667" s="1"/>
      <c r="Q1667" s="1"/>
      <c r="R1667" s="8"/>
      <c r="S1667" s="1"/>
      <c r="T1667" s="8"/>
      <c r="U1667" s="1"/>
      <c r="V1667" s="1"/>
      <c r="W1667" s="1"/>
      <c r="X1667" s="1"/>
    </row>
    <row r="1668" spans="1:24">
      <c r="A1668" s="1"/>
      <c r="M1668" s="26"/>
      <c r="N1668" s="26"/>
      <c r="P1668" s="1"/>
      <c r="Q1668" s="1"/>
      <c r="R1668" s="8"/>
      <c r="S1668" s="1"/>
      <c r="T1668" s="8"/>
      <c r="U1668" s="1"/>
      <c r="V1668" s="1"/>
      <c r="W1668" s="1"/>
      <c r="X1668" s="1"/>
    </row>
    <row r="1669" spans="1:24">
      <c r="A1669" s="1"/>
      <c r="M1669" s="26"/>
      <c r="N1669" s="26"/>
      <c r="P1669" s="1"/>
      <c r="Q1669" s="1"/>
      <c r="R1669" s="8"/>
      <c r="S1669" s="1"/>
      <c r="T1669" s="8"/>
      <c r="U1669" s="1"/>
      <c r="V1669" s="1"/>
      <c r="W1669" s="1"/>
      <c r="X1669" s="1"/>
    </row>
    <row r="1670" spans="1:24">
      <c r="A1670" s="1"/>
      <c r="M1670" s="26"/>
      <c r="N1670" s="26"/>
      <c r="P1670" s="1"/>
      <c r="Q1670" s="1"/>
      <c r="R1670" s="8"/>
      <c r="S1670" s="1"/>
      <c r="T1670" s="8"/>
      <c r="U1670" s="1"/>
      <c r="V1670" s="1"/>
      <c r="W1670" s="1"/>
      <c r="X1670" s="1"/>
    </row>
    <row r="1671" spans="1:24">
      <c r="A1671" s="1"/>
      <c r="M1671" s="26"/>
      <c r="N1671" s="26"/>
      <c r="P1671" s="1"/>
      <c r="Q1671" s="1"/>
      <c r="R1671" s="8"/>
      <c r="S1671" s="1"/>
      <c r="T1671" s="8"/>
      <c r="U1671" s="1"/>
      <c r="V1671" s="1"/>
      <c r="W1671" s="1"/>
      <c r="X1671" s="1"/>
    </row>
    <row r="1672" spans="1:24">
      <c r="A1672" s="1"/>
      <c r="M1672" s="26"/>
      <c r="N1672" s="26"/>
      <c r="P1672" s="1"/>
      <c r="Q1672" s="1"/>
      <c r="R1672" s="8"/>
      <c r="S1672" s="1"/>
      <c r="T1672" s="8"/>
      <c r="U1672" s="1"/>
      <c r="V1672" s="1"/>
      <c r="W1672" s="1"/>
      <c r="X1672" s="1"/>
    </row>
    <row r="1673" spans="1:24">
      <c r="A1673" s="1"/>
      <c r="M1673" s="26"/>
      <c r="N1673" s="26"/>
      <c r="P1673" s="1"/>
      <c r="Q1673" s="1"/>
      <c r="R1673" s="8"/>
      <c r="S1673" s="1"/>
      <c r="T1673" s="8"/>
      <c r="U1673" s="1"/>
      <c r="V1673" s="1"/>
      <c r="W1673" s="1"/>
      <c r="X1673" s="1"/>
    </row>
    <row r="1674" spans="1:24">
      <c r="A1674" s="1"/>
      <c r="M1674" s="26"/>
      <c r="N1674" s="26"/>
      <c r="P1674" s="1"/>
      <c r="Q1674" s="1"/>
      <c r="R1674" s="8"/>
      <c r="S1674" s="1"/>
      <c r="T1674" s="8"/>
      <c r="U1674" s="1"/>
      <c r="V1674" s="1"/>
      <c r="W1674" s="1"/>
      <c r="X1674" s="1"/>
    </row>
    <row r="1675" spans="1:24">
      <c r="A1675" s="1"/>
      <c r="M1675" s="26"/>
      <c r="N1675" s="26"/>
      <c r="P1675" s="1"/>
      <c r="Q1675" s="1"/>
      <c r="R1675" s="8"/>
      <c r="S1675" s="1"/>
      <c r="T1675" s="8"/>
      <c r="U1675" s="1"/>
      <c r="V1675" s="1"/>
      <c r="W1675" s="1"/>
      <c r="X1675" s="1"/>
    </row>
    <row r="1676" spans="1:24">
      <c r="A1676" s="1"/>
      <c r="M1676" s="26"/>
      <c r="N1676" s="26"/>
      <c r="P1676" s="1"/>
      <c r="Q1676" s="1"/>
      <c r="R1676" s="8"/>
      <c r="S1676" s="1"/>
      <c r="T1676" s="8"/>
      <c r="U1676" s="1"/>
      <c r="V1676" s="1"/>
      <c r="W1676" s="1"/>
      <c r="X1676" s="1"/>
    </row>
    <row r="1677" spans="1:24">
      <c r="A1677" s="1"/>
      <c r="M1677" s="26"/>
      <c r="N1677" s="26"/>
      <c r="P1677" s="1"/>
      <c r="Q1677" s="1"/>
      <c r="R1677" s="8"/>
      <c r="S1677" s="1"/>
      <c r="T1677" s="8"/>
      <c r="U1677" s="1"/>
      <c r="V1677" s="1"/>
      <c r="W1677" s="1"/>
      <c r="X1677" s="1"/>
    </row>
    <row r="1678" spans="1:24">
      <c r="A1678" s="1"/>
      <c r="M1678" s="26"/>
      <c r="N1678" s="26"/>
      <c r="P1678" s="1"/>
      <c r="Q1678" s="1"/>
      <c r="R1678" s="8"/>
      <c r="S1678" s="1"/>
      <c r="T1678" s="8"/>
      <c r="U1678" s="1"/>
      <c r="V1678" s="1"/>
      <c r="W1678" s="1"/>
      <c r="X1678" s="1"/>
    </row>
    <row r="1679" spans="1:24">
      <c r="A1679" s="1"/>
      <c r="M1679" s="26"/>
      <c r="N1679" s="26"/>
      <c r="P1679" s="1"/>
      <c r="Q1679" s="1"/>
      <c r="R1679" s="8"/>
      <c r="S1679" s="1"/>
      <c r="T1679" s="8"/>
      <c r="U1679" s="1"/>
      <c r="V1679" s="1"/>
      <c r="W1679" s="1"/>
      <c r="X1679" s="1"/>
    </row>
    <row r="1680" spans="1:24">
      <c r="A1680" s="1"/>
      <c r="M1680" s="26"/>
      <c r="N1680" s="26"/>
      <c r="P1680" s="1"/>
      <c r="Q1680" s="1"/>
      <c r="R1680" s="8"/>
      <c r="S1680" s="1"/>
      <c r="T1680" s="8"/>
      <c r="U1680" s="1"/>
      <c r="V1680" s="1"/>
      <c r="W1680" s="1"/>
      <c r="X1680" s="1"/>
    </row>
    <row r="1681" spans="1:24">
      <c r="A1681" s="1"/>
      <c r="M1681" s="26"/>
      <c r="N1681" s="26"/>
      <c r="P1681" s="1"/>
      <c r="Q1681" s="1"/>
      <c r="R1681" s="8"/>
      <c r="S1681" s="1"/>
      <c r="T1681" s="8"/>
      <c r="U1681" s="1"/>
      <c r="V1681" s="1"/>
      <c r="W1681" s="1"/>
      <c r="X1681" s="1"/>
    </row>
    <row r="1682" spans="1:24">
      <c r="A1682" s="1"/>
      <c r="M1682" s="26"/>
      <c r="N1682" s="26"/>
      <c r="P1682" s="1"/>
      <c r="Q1682" s="1"/>
      <c r="R1682" s="8"/>
      <c r="S1682" s="1"/>
      <c r="T1682" s="8"/>
      <c r="U1682" s="1"/>
      <c r="V1682" s="1"/>
      <c r="W1682" s="1"/>
      <c r="X1682" s="1"/>
    </row>
    <row r="1683" spans="1:24">
      <c r="A1683" s="1"/>
      <c r="M1683" s="26"/>
      <c r="N1683" s="26"/>
      <c r="P1683" s="1"/>
      <c r="Q1683" s="1"/>
      <c r="R1683" s="8"/>
      <c r="S1683" s="1"/>
      <c r="T1683" s="8"/>
      <c r="U1683" s="1"/>
      <c r="V1683" s="1"/>
      <c r="W1683" s="1"/>
      <c r="X1683" s="1"/>
    </row>
    <row r="1684" spans="1:24">
      <c r="A1684" s="1"/>
      <c r="M1684" s="26"/>
      <c r="N1684" s="26"/>
      <c r="P1684" s="1"/>
      <c r="Q1684" s="1"/>
      <c r="R1684" s="8"/>
      <c r="S1684" s="1"/>
      <c r="T1684" s="8"/>
      <c r="U1684" s="1"/>
      <c r="V1684" s="1"/>
      <c r="W1684" s="1"/>
      <c r="X1684" s="1"/>
    </row>
    <row r="1685" spans="1:24">
      <c r="A1685" s="1"/>
      <c r="M1685" s="26"/>
      <c r="N1685" s="26"/>
      <c r="P1685" s="1"/>
      <c r="Q1685" s="1"/>
      <c r="R1685" s="8"/>
      <c r="S1685" s="1"/>
      <c r="T1685" s="8"/>
      <c r="U1685" s="1"/>
      <c r="V1685" s="1"/>
      <c r="W1685" s="1"/>
      <c r="X1685" s="1"/>
    </row>
    <row r="1686" spans="1:24">
      <c r="A1686" s="1"/>
      <c r="M1686" s="26"/>
      <c r="N1686" s="26"/>
      <c r="P1686" s="1"/>
      <c r="Q1686" s="1"/>
      <c r="R1686" s="8"/>
      <c r="S1686" s="1"/>
      <c r="T1686" s="8"/>
      <c r="U1686" s="1"/>
      <c r="V1686" s="1"/>
      <c r="W1686" s="1"/>
      <c r="X1686" s="1"/>
    </row>
    <row r="1687" spans="1:24">
      <c r="A1687" s="1"/>
      <c r="M1687" s="26"/>
      <c r="N1687" s="26"/>
      <c r="P1687" s="1"/>
      <c r="Q1687" s="1"/>
      <c r="R1687" s="8"/>
      <c r="S1687" s="1"/>
      <c r="T1687" s="8"/>
      <c r="U1687" s="1"/>
      <c r="V1687" s="1"/>
      <c r="W1687" s="1"/>
      <c r="X1687" s="1"/>
    </row>
    <row r="1688" spans="1:24">
      <c r="A1688" s="1"/>
      <c r="M1688" s="26"/>
      <c r="N1688" s="26"/>
      <c r="P1688" s="1"/>
      <c r="Q1688" s="1"/>
      <c r="R1688" s="8"/>
      <c r="S1688" s="1"/>
      <c r="T1688" s="8"/>
      <c r="U1688" s="1"/>
      <c r="V1688" s="1"/>
      <c r="W1688" s="1"/>
      <c r="X1688" s="1"/>
    </row>
    <row r="1689" spans="1:24">
      <c r="A1689" s="1"/>
      <c r="M1689" s="26"/>
      <c r="N1689" s="26"/>
      <c r="P1689" s="1"/>
      <c r="Q1689" s="1"/>
      <c r="R1689" s="8"/>
      <c r="S1689" s="1"/>
      <c r="T1689" s="8"/>
      <c r="U1689" s="1"/>
      <c r="V1689" s="1"/>
      <c r="W1689" s="1"/>
      <c r="X1689" s="1"/>
    </row>
    <row r="1690" spans="1:24">
      <c r="A1690" s="1"/>
      <c r="M1690" s="26"/>
      <c r="N1690" s="26"/>
      <c r="P1690" s="1"/>
      <c r="Q1690" s="1"/>
      <c r="R1690" s="8"/>
      <c r="S1690" s="1"/>
      <c r="T1690" s="8"/>
      <c r="U1690" s="1"/>
      <c r="V1690" s="1"/>
      <c r="W1690" s="1"/>
      <c r="X1690" s="1"/>
    </row>
    <row r="1691" spans="1:24">
      <c r="A1691" s="1"/>
      <c r="M1691" s="26"/>
      <c r="N1691" s="26"/>
      <c r="P1691" s="1"/>
      <c r="Q1691" s="1"/>
      <c r="R1691" s="8"/>
      <c r="S1691" s="1"/>
      <c r="T1691" s="8"/>
      <c r="U1691" s="1"/>
      <c r="V1691" s="1"/>
      <c r="W1691" s="1"/>
      <c r="X1691" s="1"/>
    </row>
    <row r="1692" spans="1:24">
      <c r="A1692" s="1"/>
      <c r="M1692" s="26"/>
      <c r="N1692" s="26"/>
      <c r="P1692" s="1"/>
      <c r="Q1692" s="1"/>
      <c r="R1692" s="8"/>
      <c r="S1692" s="1"/>
      <c r="T1692" s="8"/>
      <c r="U1692" s="1"/>
      <c r="V1692" s="1"/>
      <c r="W1692" s="1"/>
      <c r="X1692" s="1"/>
    </row>
    <row r="1693" spans="1:24">
      <c r="A1693" s="1"/>
      <c r="M1693" s="26"/>
      <c r="N1693" s="26"/>
      <c r="P1693" s="1"/>
      <c r="Q1693" s="1"/>
      <c r="R1693" s="8"/>
      <c r="S1693" s="1"/>
      <c r="T1693" s="8"/>
      <c r="U1693" s="1"/>
      <c r="V1693" s="1"/>
      <c r="W1693" s="1"/>
      <c r="X1693" s="1"/>
    </row>
    <row r="1694" spans="1:24">
      <c r="A1694" s="1"/>
      <c r="M1694" s="26"/>
      <c r="N1694" s="26"/>
      <c r="P1694" s="1"/>
      <c r="Q1694" s="1"/>
      <c r="R1694" s="8"/>
      <c r="S1694" s="1"/>
      <c r="T1694" s="8"/>
      <c r="U1694" s="1"/>
      <c r="V1694" s="1"/>
      <c r="W1694" s="1"/>
      <c r="X1694" s="1"/>
    </row>
    <row r="1695" spans="1:24">
      <c r="A1695" s="1"/>
      <c r="M1695" s="26"/>
      <c r="N1695" s="26"/>
      <c r="P1695" s="1"/>
      <c r="Q1695" s="1"/>
      <c r="R1695" s="8"/>
      <c r="S1695" s="1"/>
      <c r="T1695" s="8"/>
      <c r="U1695" s="1"/>
      <c r="V1695" s="1"/>
      <c r="W1695" s="1"/>
      <c r="X1695" s="1"/>
    </row>
    <row r="1696" spans="1:24">
      <c r="A1696" s="1"/>
      <c r="M1696" s="26"/>
      <c r="N1696" s="26"/>
      <c r="P1696" s="1"/>
      <c r="Q1696" s="1"/>
      <c r="R1696" s="8"/>
      <c r="S1696" s="1"/>
      <c r="T1696" s="8"/>
      <c r="U1696" s="1"/>
      <c r="V1696" s="1"/>
      <c r="W1696" s="1"/>
      <c r="X1696" s="1"/>
    </row>
    <row r="1697" spans="1:24">
      <c r="A1697" s="1"/>
      <c r="M1697" s="26"/>
      <c r="N1697" s="26"/>
      <c r="P1697" s="1"/>
      <c r="Q1697" s="1"/>
      <c r="R1697" s="8"/>
      <c r="S1697" s="1"/>
      <c r="T1697" s="8"/>
      <c r="U1697" s="1"/>
      <c r="V1697" s="1"/>
      <c r="W1697" s="1"/>
      <c r="X1697" s="1"/>
    </row>
    <row r="1698" spans="1:24">
      <c r="A1698" s="1"/>
      <c r="M1698" s="26"/>
      <c r="N1698" s="26"/>
      <c r="P1698" s="1"/>
      <c r="Q1698" s="1"/>
      <c r="R1698" s="8"/>
      <c r="S1698" s="1"/>
      <c r="T1698" s="8"/>
      <c r="U1698" s="1"/>
      <c r="V1698" s="1"/>
      <c r="W1698" s="1"/>
      <c r="X1698" s="1"/>
    </row>
    <row r="1699" spans="1:24">
      <c r="A1699" s="1"/>
      <c r="M1699" s="26"/>
      <c r="N1699" s="26"/>
      <c r="P1699" s="1"/>
      <c r="Q1699" s="1"/>
      <c r="R1699" s="8"/>
      <c r="S1699" s="1"/>
      <c r="T1699" s="8"/>
      <c r="U1699" s="1"/>
      <c r="V1699" s="1"/>
      <c r="W1699" s="1"/>
      <c r="X1699" s="1"/>
    </row>
    <row r="1700" spans="1:24">
      <c r="A1700" s="1"/>
      <c r="M1700" s="26"/>
      <c r="N1700" s="26"/>
      <c r="P1700" s="1"/>
      <c r="Q1700" s="1"/>
      <c r="R1700" s="8"/>
      <c r="S1700" s="1"/>
      <c r="T1700" s="8"/>
      <c r="U1700" s="1"/>
      <c r="V1700" s="1"/>
      <c r="W1700" s="1"/>
      <c r="X1700" s="1"/>
    </row>
    <row r="1701" spans="1:24">
      <c r="A1701" s="1"/>
      <c r="M1701" s="26"/>
      <c r="N1701" s="26"/>
      <c r="P1701" s="1"/>
      <c r="Q1701" s="1"/>
      <c r="R1701" s="8"/>
      <c r="S1701" s="1"/>
      <c r="T1701" s="8"/>
      <c r="U1701" s="1"/>
      <c r="V1701" s="1"/>
      <c r="W1701" s="1"/>
      <c r="X1701" s="1"/>
    </row>
    <row r="1702" spans="1:24">
      <c r="A1702" s="1"/>
      <c r="M1702" s="26"/>
      <c r="N1702" s="26"/>
      <c r="P1702" s="1"/>
      <c r="Q1702" s="1"/>
      <c r="R1702" s="8"/>
      <c r="S1702" s="1"/>
      <c r="T1702" s="8"/>
      <c r="U1702" s="1"/>
      <c r="V1702" s="1"/>
      <c r="W1702" s="1"/>
      <c r="X1702" s="1"/>
    </row>
    <row r="1703" spans="1:24">
      <c r="A1703" s="1"/>
      <c r="M1703" s="26"/>
      <c r="N1703" s="26"/>
      <c r="P1703" s="1"/>
      <c r="Q1703" s="1"/>
      <c r="R1703" s="8"/>
      <c r="S1703" s="1"/>
      <c r="T1703" s="8"/>
      <c r="U1703" s="1"/>
      <c r="V1703" s="1"/>
      <c r="W1703" s="1"/>
      <c r="X1703" s="1"/>
    </row>
    <row r="1704" spans="1:24">
      <c r="A1704" s="1"/>
      <c r="M1704" s="26"/>
      <c r="N1704" s="26"/>
      <c r="P1704" s="1"/>
      <c r="Q1704" s="1"/>
      <c r="R1704" s="8"/>
      <c r="S1704" s="1"/>
      <c r="T1704" s="8"/>
      <c r="U1704" s="1"/>
      <c r="V1704" s="1"/>
      <c r="W1704" s="1"/>
      <c r="X1704" s="1"/>
    </row>
    <row r="1705" spans="1:24">
      <c r="A1705" s="1"/>
      <c r="M1705" s="26"/>
      <c r="N1705" s="26"/>
      <c r="P1705" s="1"/>
      <c r="Q1705" s="1"/>
      <c r="R1705" s="8"/>
      <c r="S1705" s="1"/>
      <c r="T1705" s="8"/>
      <c r="U1705" s="1"/>
      <c r="V1705" s="1"/>
      <c r="W1705" s="1"/>
      <c r="X1705" s="1"/>
    </row>
    <row r="1706" spans="1:24">
      <c r="A1706" s="1"/>
      <c r="M1706" s="26"/>
      <c r="N1706" s="26"/>
      <c r="P1706" s="1"/>
      <c r="Q1706" s="1"/>
      <c r="R1706" s="8"/>
      <c r="S1706" s="1"/>
      <c r="T1706" s="8"/>
      <c r="U1706" s="1"/>
      <c r="V1706" s="1"/>
      <c r="W1706" s="1"/>
      <c r="X1706" s="1"/>
    </row>
    <row r="1707" spans="1:24">
      <c r="A1707" s="1"/>
      <c r="M1707" s="26"/>
      <c r="N1707" s="26"/>
      <c r="P1707" s="1"/>
      <c r="Q1707" s="1"/>
      <c r="R1707" s="8"/>
      <c r="S1707" s="1"/>
      <c r="T1707" s="8"/>
      <c r="U1707" s="1"/>
      <c r="V1707" s="1"/>
      <c r="W1707" s="1"/>
      <c r="X1707" s="1"/>
    </row>
    <row r="1708" spans="1:24">
      <c r="A1708" s="1"/>
      <c r="M1708" s="26"/>
      <c r="N1708" s="26"/>
      <c r="P1708" s="1"/>
      <c r="Q1708" s="1"/>
      <c r="R1708" s="8"/>
      <c r="S1708" s="1"/>
      <c r="T1708" s="8"/>
      <c r="U1708" s="1"/>
      <c r="V1708" s="1"/>
      <c r="W1708" s="1"/>
      <c r="X1708" s="1"/>
    </row>
    <row r="1709" spans="1:24">
      <c r="A1709" s="1"/>
      <c r="M1709" s="26"/>
      <c r="N1709" s="26"/>
      <c r="P1709" s="1"/>
      <c r="Q1709" s="1"/>
      <c r="R1709" s="8"/>
      <c r="S1709" s="1"/>
      <c r="T1709" s="8"/>
      <c r="U1709" s="1"/>
      <c r="V1709" s="1"/>
      <c r="W1709" s="1"/>
      <c r="X1709" s="1"/>
    </row>
    <row r="1710" spans="1:24">
      <c r="A1710" s="1"/>
      <c r="M1710" s="26"/>
      <c r="N1710" s="26"/>
      <c r="P1710" s="1"/>
      <c r="Q1710" s="1"/>
      <c r="R1710" s="8"/>
      <c r="S1710" s="1"/>
      <c r="T1710" s="8"/>
      <c r="U1710" s="1"/>
      <c r="V1710" s="1"/>
      <c r="W1710" s="1"/>
      <c r="X1710" s="1"/>
    </row>
    <row r="1711" spans="1:24">
      <c r="A1711" s="1"/>
      <c r="M1711" s="26"/>
      <c r="N1711" s="26"/>
      <c r="P1711" s="1"/>
      <c r="Q1711" s="1"/>
      <c r="R1711" s="8"/>
      <c r="S1711" s="1"/>
      <c r="T1711" s="8"/>
      <c r="U1711" s="1"/>
      <c r="V1711" s="1"/>
      <c r="W1711" s="1"/>
      <c r="X1711" s="1"/>
    </row>
    <row r="1712" spans="1:24">
      <c r="A1712" s="1"/>
      <c r="M1712" s="26"/>
      <c r="N1712" s="26"/>
      <c r="P1712" s="1"/>
      <c r="Q1712" s="1"/>
      <c r="R1712" s="8"/>
      <c r="S1712" s="1"/>
      <c r="T1712" s="8"/>
      <c r="U1712" s="1"/>
      <c r="V1712" s="1"/>
      <c r="W1712" s="1"/>
      <c r="X1712" s="1"/>
    </row>
    <row r="1713" spans="1:24">
      <c r="A1713" s="1"/>
      <c r="M1713" s="26"/>
      <c r="N1713" s="26"/>
      <c r="P1713" s="1"/>
      <c r="Q1713" s="1"/>
      <c r="R1713" s="8"/>
      <c r="S1713" s="1"/>
      <c r="T1713" s="8"/>
      <c r="U1713" s="1"/>
      <c r="V1713" s="1"/>
      <c r="W1713" s="1"/>
      <c r="X1713" s="1"/>
    </row>
    <row r="1714" spans="1:24">
      <c r="A1714" s="1"/>
      <c r="M1714" s="26"/>
      <c r="N1714" s="26"/>
      <c r="P1714" s="1"/>
      <c r="Q1714" s="1"/>
      <c r="R1714" s="8"/>
      <c r="S1714" s="1"/>
      <c r="T1714" s="8"/>
      <c r="U1714" s="1"/>
      <c r="V1714" s="1"/>
      <c r="W1714" s="1"/>
      <c r="X1714" s="1"/>
    </row>
    <row r="1715" spans="1:24">
      <c r="A1715" s="1"/>
      <c r="M1715" s="26"/>
      <c r="N1715" s="26"/>
      <c r="P1715" s="1"/>
      <c r="Q1715" s="1"/>
      <c r="R1715" s="8"/>
      <c r="S1715" s="1"/>
      <c r="T1715" s="8"/>
      <c r="U1715" s="1"/>
      <c r="V1715" s="1"/>
      <c r="W1715" s="1"/>
      <c r="X1715" s="1"/>
    </row>
    <row r="1716" spans="1:24">
      <c r="A1716" s="1"/>
      <c r="M1716" s="26"/>
      <c r="N1716" s="26"/>
      <c r="P1716" s="1"/>
      <c r="Q1716" s="1"/>
      <c r="R1716" s="8"/>
      <c r="S1716" s="1"/>
      <c r="T1716" s="8"/>
      <c r="U1716" s="1"/>
      <c r="V1716" s="1"/>
      <c r="W1716" s="1"/>
      <c r="X1716" s="1"/>
    </row>
    <row r="1717" spans="1:24">
      <c r="A1717" s="1"/>
      <c r="M1717" s="26"/>
      <c r="N1717" s="26"/>
      <c r="P1717" s="1"/>
      <c r="Q1717" s="1"/>
      <c r="R1717" s="8"/>
      <c r="S1717" s="1"/>
      <c r="T1717" s="8"/>
      <c r="U1717" s="1"/>
      <c r="V1717" s="1"/>
      <c r="W1717" s="1"/>
      <c r="X1717" s="1"/>
    </row>
    <row r="1718" spans="1:24">
      <c r="A1718" s="1"/>
      <c r="M1718" s="26"/>
      <c r="N1718" s="26"/>
      <c r="P1718" s="1"/>
      <c r="Q1718" s="1"/>
      <c r="R1718" s="8"/>
      <c r="S1718" s="1"/>
      <c r="T1718" s="8"/>
      <c r="U1718" s="1"/>
      <c r="V1718" s="1"/>
      <c r="W1718" s="1"/>
      <c r="X1718" s="1"/>
    </row>
    <row r="1719" spans="1:24">
      <c r="A1719" s="1"/>
      <c r="M1719" s="26"/>
      <c r="N1719" s="26"/>
      <c r="P1719" s="1"/>
      <c r="Q1719" s="1"/>
      <c r="R1719" s="8"/>
      <c r="S1719" s="1"/>
      <c r="T1719" s="8"/>
      <c r="U1719" s="1"/>
      <c r="V1719" s="1"/>
      <c r="W1719" s="1"/>
      <c r="X1719" s="1"/>
    </row>
    <row r="1720" spans="1:24">
      <c r="A1720" s="1"/>
      <c r="M1720" s="26"/>
      <c r="N1720" s="26"/>
      <c r="P1720" s="1"/>
      <c r="Q1720" s="1"/>
      <c r="R1720" s="8"/>
      <c r="S1720" s="1"/>
      <c r="T1720" s="8"/>
      <c r="U1720" s="1"/>
      <c r="V1720" s="1"/>
      <c r="W1720" s="1"/>
      <c r="X1720" s="1"/>
    </row>
    <row r="1721" spans="1:24">
      <c r="A1721" s="1"/>
      <c r="M1721" s="26"/>
      <c r="N1721" s="26"/>
      <c r="P1721" s="1"/>
      <c r="Q1721" s="1"/>
      <c r="R1721" s="8"/>
      <c r="S1721" s="1"/>
      <c r="T1721" s="8"/>
      <c r="U1721" s="1"/>
      <c r="V1721" s="1"/>
      <c r="W1721" s="1"/>
      <c r="X1721" s="1"/>
    </row>
    <row r="1722" spans="1:24">
      <c r="A1722" s="1"/>
      <c r="M1722" s="26"/>
      <c r="N1722" s="26"/>
      <c r="P1722" s="1"/>
      <c r="Q1722" s="1"/>
      <c r="R1722" s="8"/>
      <c r="S1722" s="1"/>
      <c r="T1722" s="8"/>
      <c r="U1722" s="1"/>
      <c r="V1722" s="1"/>
      <c r="W1722" s="1"/>
      <c r="X1722" s="1"/>
    </row>
    <row r="1723" spans="1:24">
      <c r="A1723" s="1"/>
      <c r="M1723" s="26"/>
      <c r="N1723" s="26"/>
      <c r="P1723" s="1"/>
      <c r="Q1723" s="1"/>
      <c r="R1723" s="8"/>
      <c r="S1723" s="1"/>
      <c r="T1723" s="8"/>
      <c r="U1723" s="1"/>
      <c r="V1723" s="1"/>
      <c r="W1723" s="1"/>
      <c r="X1723" s="1"/>
    </row>
    <row r="1724" spans="1:24">
      <c r="A1724" s="1"/>
      <c r="M1724" s="26"/>
      <c r="N1724" s="26"/>
      <c r="P1724" s="1"/>
      <c r="Q1724" s="1"/>
      <c r="R1724" s="8"/>
      <c r="S1724" s="1"/>
      <c r="T1724" s="8"/>
      <c r="U1724" s="1"/>
      <c r="V1724" s="1"/>
      <c r="W1724" s="1"/>
      <c r="X1724" s="1"/>
    </row>
    <row r="1725" spans="1:24">
      <c r="A1725" s="1"/>
      <c r="M1725" s="26"/>
      <c r="N1725" s="26"/>
      <c r="P1725" s="1"/>
      <c r="Q1725" s="1"/>
      <c r="R1725" s="8"/>
      <c r="S1725" s="1"/>
      <c r="T1725" s="8"/>
      <c r="U1725" s="1"/>
      <c r="V1725" s="1"/>
      <c r="W1725" s="1"/>
      <c r="X1725" s="1"/>
    </row>
    <row r="1726" spans="1:24">
      <c r="A1726" s="1"/>
      <c r="M1726" s="26"/>
      <c r="N1726" s="26"/>
      <c r="P1726" s="1"/>
      <c r="Q1726" s="1"/>
      <c r="R1726" s="8"/>
      <c r="S1726" s="1"/>
      <c r="T1726" s="8"/>
      <c r="U1726" s="1"/>
      <c r="V1726" s="1"/>
      <c r="W1726" s="1"/>
      <c r="X1726" s="1"/>
    </row>
    <row r="1727" spans="1:24">
      <c r="A1727" s="1"/>
      <c r="M1727" s="26"/>
      <c r="N1727" s="26"/>
      <c r="P1727" s="1"/>
      <c r="Q1727" s="1"/>
      <c r="R1727" s="8"/>
      <c r="S1727" s="1"/>
      <c r="T1727" s="8"/>
      <c r="U1727" s="1"/>
      <c r="V1727" s="1"/>
      <c r="W1727" s="1"/>
      <c r="X1727" s="1"/>
    </row>
    <row r="1728" spans="1:24">
      <c r="A1728" s="1"/>
      <c r="M1728" s="26"/>
      <c r="N1728" s="26"/>
      <c r="P1728" s="1"/>
      <c r="Q1728" s="1"/>
      <c r="R1728" s="8"/>
      <c r="S1728" s="1"/>
      <c r="T1728" s="8"/>
      <c r="U1728" s="1"/>
      <c r="V1728" s="1"/>
      <c r="W1728" s="1"/>
      <c r="X1728" s="1"/>
    </row>
    <row r="1729" spans="1:24">
      <c r="A1729" s="1"/>
      <c r="M1729" s="26"/>
      <c r="N1729" s="26"/>
      <c r="P1729" s="1"/>
      <c r="Q1729" s="1"/>
      <c r="R1729" s="8"/>
      <c r="S1729" s="1"/>
      <c r="T1729" s="8"/>
      <c r="U1729" s="1"/>
      <c r="V1729" s="1"/>
      <c r="W1729" s="1"/>
      <c r="X1729" s="1"/>
    </row>
    <row r="1730" spans="1:24">
      <c r="A1730" s="1"/>
      <c r="M1730" s="26"/>
      <c r="N1730" s="26"/>
      <c r="P1730" s="1"/>
      <c r="Q1730" s="1"/>
      <c r="R1730" s="8"/>
      <c r="S1730" s="1"/>
      <c r="T1730" s="8"/>
      <c r="U1730" s="1"/>
      <c r="V1730" s="1"/>
      <c r="W1730" s="1"/>
      <c r="X1730" s="1"/>
    </row>
    <row r="1731" spans="1:24">
      <c r="A1731" s="1"/>
      <c r="M1731" s="26"/>
      <c r="N1731" s="26"/>
      <c r="P1731" s="1"/>
      <c r="Q1731" s="1"/>
      <c r="R1731" s="8"/>
      <c r="S1731" s="1"/>
      <c r="T1731" s="8"/>
      <c r="U1731" s="1"/>
      <c r="V1731" s="1"/>
      <c r="W1731" s="1"/>
      <c r="X1731" s="1"/>
    </row>
    <row r="1732" spans="1:24">
      <c r="A1732" s="1"/>
      <c r="M1732" s="26"/>
      <c r="N1732" s="26"/>
      <c r="P1732" s="1"/>
      <c r="Q1732" s="1"/>
      <c r="R1732" s="8"/>
      <c r="S1732" s="1"/>
      <c r="T1732" s="8"/>
      <c r="U1732" s="1"/>
      <c r="V1732" s="1"/>
      <c r="W1732" s="1"/>
      <c r="X1732" s="1"/>
    </row>
    <row r="1733" spans="1:24">
      <c r="A1733" s="1"/>
      <c r="M1733" s="26"/>
      <c r="N1733" s="26"/>
      <c r="P1733" s="1"/>
      <c r="Q1733" s="1"/>
      <c r="R1733" s="8"/>
      <c r="S1733" s="1"/>
      <c r="T1733" s="8"/>
      <c r="U1733" s="1"/>
      <c r="V1733" s="1"/>
      <c r="W1733" s="1"/>
      <c r="X1733" s="1"/>
    </row>
    <row r="1734" spans="1:24">
      <c r="A1734" s="1"/>
      <c r="M1734" s="26"/>
      <c r="N1734" s="26"/>
      <c r="P1734" s="1"/>
      <c r="Q1734" s="1"/>
      <c r="R1734" s="8"/>
      <c r="S1734" s="1"/>
      <c r="T1734" s="8"/>
      <c r="U1734" s="1"/>
      <c r="V1734" s="1"/>
      <c r="W1734" s="1"/>
      <c r="X1734" s="1"/>
    </row>
    <row r="1735" spans="1:24">
      <c r="A1735" s="1"/>
      <c r="M1735" s="26"/>
      <c r="N1735" s="26"/>
      <c r="P1735" s="1"/>
      <c r="Q1735" s="1"/>
      <c r="R1735" s="8"/>
      <c r="S1735" s="1"/>
      <c r="T1735" s="8"/>
      <c r="U1735" s="1"/>
      <c r="V1735" s="1"/>
      <c r="W1735" s="1"/>
      <c r="X1735" s="1"/>
    </row>
    <row r="1736" spans="1:24">
      <c r="A1736" s="1"/>
      <c r="M1736" s="26"/>
      <c r="N1736" s="26"/>
      <c r="P1736" s="1"/>
      <c r="Q1736" s="1"/>
      <c r="R1736" s="8"/>
      <c r="S1736" s="1"/>
      <c r="T1736" s="8"/>
      <c r="U1736" s="1"/>
      <c r="V1736" s="1"/>
      <c r="W1736" s="1"/>
      <c r="X1736" s="1"/>
    </row>
    <row r="1737" spans="1:24">
      <c r="A1737" s="1"/>
      <c r="M1737" s="26"/>
      <c r="N1737" s="26"/>
      <c r="P1737" s="1"/>
      <c r="Q1737" s="1"/>
      <c r="R1737" s="8"/>
      <c r="S1737" s="1"/>
      <c r="T1737" s="8"/>
      <c r="U1737" s="1"/>
      <c r="V1737" s="1"/>
      <c r="W1737" s="1"/>
      <c r="X1737" s="1"/>
    </row>
    <row r="1738" spans="1:24">
      <c r="A1738" s="1"/>
      <c r="M1738" s="26"/>
      <c r="N1738" s="26"/>
      <c r="P1738" s="1"/>
      <c r="Q1738" s="1"/>
      <c r="R1738" s="8"/>
      <c r="S1738" s="1"/>
      <c r="T1738" s="8"/>
      <c r="U1738" s="1"/>
      <c r="V1738" s="1"/>
      <c r="W1738" s="1"/>
      <c r="X1738" s="1"/>
    </row>
    <row r="1739" spans="1:24">
      <c r="A1739" s="1"/>
      <c r="M1739" s="26"/>
      <c r="N1739" s="26"/>
      <c r="P1739" s="1"/>
      <c r="Q1739" s="1"/>
      <c r="R1739" s="8"/>
      <c r="S1739" s="1"/>
      <c r="T1739" s="8"/>
      <c r="U1739" s="1"/>
      <c r="V1739" s="1"/>
      <c r="W1739" s="1"/>
      <c r="X1739" s="1"/>
    </row>
    <row r="1740" spans="1:24">
      <c r="A1740" s="1"/>
      <c r="M1740" s="26"/>
      <c r="N1740" s="26"/>
      <c r="P1740" s="1"/>
      <c r="Q1740" s="1"/>
      <c r="R1740" s="8"/>
      <c r="S1740" s="1"/>
      <c r="T1740" s="8"/>
      <c r="U1740" s="1"/>
      <c r="V1740" s="1"/>
      <c r="W1740" s="1"/>
      <c r="X1740" s="1"/>
    </row>
    <row r="1741" spans="1:24">
      <c r="A1741" s="1"/>
      <c r="M1741" s="26"/>
      <c r="N1741" s="26"/>
      <c r="P1741" s="1"/>
      <c r="Q1741" s="1"/>
      <c r="R1741" s="8"/>
      <c r="S1741" s="1"/>
      <c r="T1741" s="8"/>
      <c r="U1741" s="1"/>
      <c r="V1741" s="1"/>
      <c r="W1741" s="1"/>
      <c r="X1741" s="1"/>
    </row>
    <row r="1742" spans="1:24">
      <c r="A1742" s="1"/>
      <c r="M1742" s="26"/>
      <c r="N1742" s="26"/>
      <c r="P1742" s="1"/>
      <c r="Q1742" s="1"/>
      <c r="R1742" s="8"/>
      <c r="S1742" s="1"/>
      <c r="T1742" s="8"/>
      <c r="U1742" s="1"/>
      <c r="V1742" s="1"/>
      <c r="W1742" s="1"/>
      <c r="X1742" s="1"/>
    </row>
    <row r="1743" spans="1:24">
      <c r="A1743" s="1"/>
      <c r="M1743" s="26"/>
      <c r="N1743" s="26"/>
      <c r="P1743" s="1"/>
      <c r="Q1743" s="1"/>
      <c r="R1743" s="8"/>
      <c r="S1743" s="1"/>
      <c r="T1743" s="8"/>
      <c r="U1743" s="1"/>
      <c r="V1743" s="1"/>
      <c r="W1743" s="1"/>
      <c r="X1743" s="1"/>
    </row>
    <row r="1744" spans="1:24">
      <c r="A1744" s="1"/>
      <c r="M1744" s="26"/>
      <c r="N1744" s="26"/>
      <c r="P1744" s="1"/>
      <c r="Q1744" s="1"/>
      <c r="R1744" s="8"/>
      <c r="S1744" s="1"/>
      <c r="T1744" s="8"/>
      <c r="U1744" s="1"/>
      <c r="V1744" s="1"/>
      <c r="W1744" s="1"/>
      <c r="X1744" s="1"/>
    </row>
    <row r="1745" spans="1:24">
      <c r="A1745" s="1"/>
      <c r="M1745" s="26"/>
      <c r="N1745" s="26"/>
      <c r="P1745" s="1"/>
      <c r="Q1745" s="1"/>
      <c r="R1745" s="8"/>
      <c r="S1745" s="1"/>
      <c r="T1745" s="8"/>
      <c r="U1745" s="1"/>
      <c r="V1745" s="1"/>
      <c r="W1745" s="1"/>
      <c r="X1745" s="1"/>
    </row>
    <row r="1746" spans="1:24">
      <c r="A1746" s="1"/>
      <c r="M1746" s="26"/>
      <c r="N1746" s="26"/>
      <c r="P1746" s="1"/>
      <c r="Q1746" s="1"/>
      <c r="R1746" s="8"/>
      <c r="S1746" s="1"/>
      <c r="T1746" s="8"/>
      <c r="U1746" s="1"/>
      <c r="V1746" s="1"/>
      <c r="W1746" s="1"/>
      <c r="X1746" s="1"/>
    </row>
    <row r="1747" spans="1:24">
      <c r="A1747" s="1"/>
      <c r="M1747" s="26"/>
      <c r="N1747" s="26"/>
      <c r="P1747" s="1"/>
      <c r="Q1747" s="1"/>
      <c r="R1747" s="8"/>
      <c r="S1747" s="1"/>
      <c r="T1747" s="8"/>
      <c r="U1747" s="1"/>
      <c r="V1747" s="1"/>
      <c r="W1747" s="1"/>
      <c r="X1747" s="1"/>
    </row>
    <row r="1748" spans="1:24">
      <c r="A1748" s="1"/>
      <c r="M1748" s="26"/>
      <c r="N1748" s="26"/>
      <c r="P1748" s="1"/>
      <c r="Q1748" s="1"/>
      <c r="R1748" s="8"/>
      <c r="S1748" s="1"/>
      <c r="T1748" s="8"/>
      <c r="U1748" s="1"/>
      <c r="V1748" s="1"/>
      <c r="W1748" s="1"/>
      <c r="X1748" s="1"/>
    </row>
    <row r="1749" spans="1:24">
      <c r="A1749" s="1"/>
      <c r="M1749" s="26"/>
      <c r="N1749" s="26"/>
      <c r="P1749" s="1"/>
      <c r="Q1749" s="1"/>
      <c r="R1749" s="8"/>
      <c r="S1749" s="1"/>
      <c r="T1749" s="8"/>
      <c r="U1749" s="1"/>
      <c r="V1749" s="1"/>
      <c r="W1749" s="1"/>
      <c r="X1749" s="1"/>
    </row>
    <row r="1750" spans="1:24">
      <c r="A1750" s="1"/>
      <c r="M1750" s="26"/>
      <c r="N1750" s="26"/>
      <c r="P1750" s="1"/>
      <c r="Q1750" s="1"/>
      <c r="R1750" s="8"/>
      <c r="S1750" s="1"/>
      <c r="T1750" s="8"/>
      <c r="U1750" s="1"/>
      <c r="V1750" s="1"/>
      <c r="W1750" s="1"/>
      <c r="X1750" s="1"/>
    </row>
    <row r="1751" spans="1:24">
      <c r="A1751" s="1"/>
      <c r="M1751" s="26"/>
      <c r="N1751" s="26"/>
      <c r="P1751" s="1"/>
      <c r="Q1751" s="1"/>
      <c r="R1751" s="8"/>
      <c r="S1751" s="1"/>
      <c r="T1751" s="8"/>
      <c r="U1751" s="1"/>
      <c r="V1751" s="1"/>
      <c r="W1751" s="1"/>
      <c r="X1751" s="1"/>
    </row>
    <row r="1752" spans="1:24">
      <c r="A1752" s="1"/>
      <c r="M1752" s="26"/>
      <c r="N1752" s="26"/>
      <c r="P1752" s="1"/>
      <c r="Q1752" s="1"/>
      <c r="R1752" s="8"/>
      <c r="S1752" s="1"/>
      <c r="T1752" s="8"/>
      <c r="U1752" s="1"/>
      <c r="V1752" s="1"/>
      <c r="W1752" s="1"/>
      <c r="X1752" s="1"/>
    </row>
    <row r="1753" spans="1:24">
      <c r="A1753" s="1"/>
      <c r="M1753" s="26"/>
      <c r="N1753" s="26"/>
      <c r="P1753" s="1"/>
      <c r="Q1753" s="1"/>
      <c r="R1753" s="8"/>
      <c r="S1753" s="1"/>
      <c r="T1753" s="8"/>
      <c r="U1753" s="1"/>
      <c r="V1753" s="1"/>
      <c r="W1753" s="1"/>
      <c r="X1753" s="1"/>
    </row>
    <row r="1754" spans="1:24">
      <c r="A1754" s="1"/>
      <c r="M1754" s="26"/>
      <c r="N1754" s="26"/>
      <c r="P1754" s="1"/>
      <c r="Q1754" s="1"/>
      <c r="R1754" s="8"/>
      <c r="S1754" s="1"/>
      <c r="T1754" s="8"/>
      <c r="U1754" s="1"/>
      <c r="V1754" s="1"/>
      <c r="W1754" s="1"/>
      <c r="X1754" s="1"/>
    </row>
    <row r="1755" spans="1:24">
      <c r="A1755" s="1"/>
      <c r="M1755" s="26"/>
      <c r="N1755" s="26"/>
      <c r="P1755" s="1"/>
      <c r="Q1755" s="1"/>
      <c r="R1755" s="8"/>
      <c r="S1755" s="1"/>
      <c r="T1755" s="8"/>
      <c r="U1755" s="1"/>
      <c r="V1755" s="1"/>
      <c r="W1755" s="1"/>
      <c r="X1755" s="1"/>
    </row>
    <row r="1756" spans="1:24">
      <c r="A1756" s="1"/>
      <c r="M1756" s="26"/>
      <c r="N1756" s="26"/>
      <c r="P1756" s="1"/>
      <c r="Q1756" s="1"/>
      <c r="R1756" s="8"/>
      <c r="S1756" s="1"/>
      <c r="T1756" s="8"/>
      <c r="U1756" s="1"/>
      <c r="V1756" s="1"/>
      <c r="W1756" s="1"/>
      <c r="X1756" s="1"/>
    </row>
    <row r="1757" spans="1:24">
      <c r="A1757" s="1"/>
      <c r="M1757" s="26"/>
      <c r="N1757" s="26"/>
      <c r="P1757" s="1"/>
      <c r="Q1757" s="1"/>
      <c r="R1757" s="8"/>
      <c r="S1757" s="1"/>
      <c r="T1757" s="8"/>
      <c r="U1757" s="1"/>
      <c r="V1757" s="1"/>
      <c r="W1757" s="1"/>
      <c r="X1757" s="1"/>
    </row>
    <row r="1758" spans="1:24">
      <c r="A1758" s="1"/>
      <c r="M1758" s="26"/>
      <c r="N1758" s="26"/>
      <c r="P1758" s="1"/>
      <c r="Q1758" s="1"/>
      <c r="R1758" s="8"/>
      <c r="S1758" s="1"/>
      <c r="T1758" s="8"/>
      <c r="U1758" s="1"/>
      <c r="V1758" s="1"/>
      <c r="W1758" s="1"/>
      <c r="X1758" s="1"/>
    </row>
    <row r="1759" spans="1:24">
      <c r="A1759" s="1"/>
      <c r="M1759" s="26"/>
      <c r="N1759" s="26"/>
      <c r="P1759" s="1"/>
      <c r="Q1759" s="1"/>
      <c r="R1759" s="8"/>
      <c r="S1759" s="1"/>
      <c r="T1759" s="8"/>
      <c r="U1759" s="1"/>
      <c r="V1759" s="1"/>
      <c r="W1759" s="1"/>
      <c r="X1759" s="1"/>
    </row>
    <row r="1760" spans="1:24">
      <c r="A1760" s="1"/>
      <c r="M1760" s="26"/>
      <c r="N1760" s="26"/>
      <c r="P1760" s="1"/>
      <c r="Q1760" s="1"/>
      <c r="R1760" s="8"/>
      <c r="S1760" s="1"/>
      <c r="T1760" s="8"/>
      <c r="U1760" s="1"/>
      <c r="V1760" s="1"/>
      <c r="W1760" s="1"/>
      <c r="X1760" s="1"/>
    </row>
    <row r="1761" spans="1:24">
      <c r="A1761" s="1"/>
      <c r="M1761" s="26"/>
      <c r="N1761" s="26"/>
      <c r="P1761" s="1"/>
      <c r="Q1761" s="1"/>
      <c r="R1761" s="8"/>
      <c r="S1761" s="1"/>
      <c r="T1761" s="8"/>
      <c r="U1761" s="1"/>
      <c r="V1761" s="1"/>
      <c r="W1761" s="1"/>
      <c r="X1761" s="1"/>
    </row>
    <row r="1762" spans="1:24">
      <c r="A1762" s="1"/>
      <c r="M1762" s="26"/>
      <c r="N1762" s="26"/>
      <c r="P1762" s="1"/>
      <c r="Q1762" s="1"/>
      <c r="R1762" s="8"/>
      <c r="S1762" s="1"/>
      <c r="T1762" s="8"/>
      <c r="U1762" s="1"/>
      <c r="V1762" s="1"/>
      <c r="W1762" s="1"/>
      <c r="X1762" s="1"/>
    </row>
    <row r="1763" spans="1:24">
      <c r="A1763" s="1"/>
      <c r="M1763" s="26"/>
      <c r="N1763" s="26"/>
      <c r="P1763" s="1"/>
      <c r="Q1763" s="1"/>
      <c r="R1763" s="8"/>
      <c r="S1763" s="1"/>
      <c r="T1763" s="8"/>
      <c r="U1763" s="1"/>
      <c r="V1763" s="1"/>
      <c r="W1763" s="1"/>
      <c r="X1763" s="1"/>
    </row>
    <row r="1764" spans="1:24">
      <c r="A1764" s="1"/>
      <c r="M1764" s="26"/>
      <c r="N1764" s="26"/>
      <c r="P1764" s="1"/>
      <c r="Q1764" s="1"/>
      <c r="R1764" s="8"/>
      <c r="S1764" s="1"/>
      <c r="T1764" s="8"/>
      <c r="U1764" s="1"/>
      <c r="V1764" s="1"/>
      <c r="W1764" s="1"/>
      <c r="X1764" s="1"/>
    </row>
    <row r="1765" spans="1:24">
      <c r="A1765" s="1"/>
      <c r="M1765" s="26"/>
      <c r="N1765" s="26"/>
      <c r="P1765" s="1"/>
      <c r="Q1765" s="1"/>
      <c r="R1765" s="8"/>
      <c r="S1765" s="1"/>
      <c r="T1765" s="8"/>
      <c r="U1765" s="1"/>
      <c r="V1765" s="1"/>
      <c r="W1765" s="1"/>
      <c r="X1765" s="1"/>
    </row>
    <row r="1766" spans="1:24">
      <c r="A1766" s="1"/>
      <c r="M1766" s="26"/>
      <c r="N1766" s="26"/>
      <c r="P1766" s="1"/>
      <c r="Q1766" s="1"/>
      <c r="R1766" s="8"/>
      <c r="S1766" s="1"/>
      <c r="T1766" s="8"/>
      <c r="U1766" s="1"/>
      <c r="V1766" s="1"/>
      <c r="W1766" s="1"/>
      <c r="X1766" s="1"/>
    </row>
    <row r="1767" spans="1:24">
      <c r="A1767" s="1"/>
      <c r="M1767" s="26"/>
      <c r="N1767" s="26"/>
      <c r="P1767" s="1"/>
      <c r="Q1767" s="1"/>
      <c r="R1767" s="8"/>
      <c r="S1767" s="1"/>
      <c r="T1767" s="8"/>
      <c r="U1767" s="1"/>
      <c r="V1767" s="1"/>
      <c r="W1767" s="1"/>
      <c r="X1767" s="1"/>
    </row>
    <row r="1768" spans="1:24">
      <c r="A1768" s="1"/>
      <c r="M1768" s="26"/>
      <c r="N1768" s="26"/>
      <c r="P1768" s="1"/>
      <c r="Q1768" s="1"/>
      <c r="R1768" s="8"/>
      <c r="S1768" s="1"/>
      <c r="T1768" s="8"/>
      <c r="U1768" s="1"/>
      <c r="V1768" s="1"/>
      <c r="W1768" s="1"/>
      <c r="X1768" s="1"/>
    </row>
    <row r="1769" spans="1:24">
      <c r="A1769" s="1"/>
      <c r="M1769" s="26"/>
      <c r="N1769" s="26"/>
      <c r="P1769" s="1"/>
      <c r="Q1769" s="1"/>
      <c r="R1769" s="8"/>
      <c r="S1769" s="1"/>
      <c r="T1769" s="8"/>
      <c r="U1769" s="1"/>
      <c r="V1769" s="1"/>
      <c r="W1769" s="1"/>
      <c r="X1769" s="1"/>
    </row>
    <row r="1770" spans="1:24">
      <c r="A1770" s="1"/>
      <c r="M1770" s="26"/>
      <c r="N1770" s="26"/>
      <c r="P1770" s="1"/>
      <c r="Q1770" s="1"/>
      <c r="R1770" s="8"/>
      <c r="S1770" s="1"/>
      <c r="T1770" s="8"/>
      <c r="U1770" s="1"/>
      <c r="V1770" s="1"/>
      <c r="W1770" s="1"/>
      <c r="X1770" s="1"/>
    </row>
    <row r="1771" spans="1:24">
      <c r="A1771" s="1"/>
      <c r="M1771" s="26"/>
      <c r="N1771" s="26"/>
      <c r="P1771" s="1"/>
      <c r="Q1771" s="1"/>
      <c r="R1771" s="8"/>
      <c r="S1771" s="1"/>
      <c r="T1771" s="8"/>
      <c r="U1771" s="1"/>
      <c r="V1771" s="1"/>
      <c r="W1771" s="1"/>
      <c r="X1771" s="1"/>
    </row>
    <row r="1772" spans="1:24">
      <c r="A1772" s="1"/>
      <c r="M1772" s="26"/>
      <c r="N1772" s="26"/>
      <c r="P1772" s="1"/>
      <c r="Q1772" s="1"/>
      <c r="R1772" s="8"/>
      <c r="S1772" s="1"/>
      <c r="T1772" s="8"/>
      <c r="U1772" s="1"/>
      <c r="V1772" s="1"/>
      <c r="W1772" s="1"/>
      <c r="X1772" s="1"/>
    </row>
    <row r="1773" spans="1:24">
      <c r="A1773" s="1"/>
      <c r="M1773" s="26"/>
      <c r="N1773" s="26"/>
      <c r="P1773" s="1"/>
      <c r="Q1773" s="1"/>
      <c r="R1773" s="8"/>
      <c r="S1773" s="1"/>
      <c r="T1773" s="8"/>
      <c r="U1773" s="1"/>
      <c r="V1773" s="1"/>
      <c r="W1773" s="1"/>
      <c r="X1773" s="1"/>
    </row>
    <row r="1774" spans="1:24">
      <c r="A1774" s="1"/>
      <c r="M1774" s="26"/>
      <c r="N1774" s="26"/>
      <c r="P1774" s="1"/>
      <c r="Q1774" s="1"/>
      <c r="R1774" s="8"/>
      <c r="S1774" s="1"/>
      <c r="T1774" s="8"/>
      <c r="U1774" s="1"/>
      <c r="V1774" s="1"/>
      <c r="W1774" s="1"/>
      <c r="X1774" s="1"/>
    </row>
    <row r="1775" spans="1:24">
      <c r="A1775" s="1"/>
      <c r="M1775" s="26"/>
      <c r="N1775" s="26"/>
      <c r="P1775" s="1"/>
      <c r="Q1775" s="1"/>
      <c r="R1775" s="8"/>
      <c r="S1775" s="1"/>
      <c r="T1775" s="8"/>
      <c r="U1775" s="1"/>
      <c r="V1775" s="1"/>
      <c r="W1775" s="1"/>
      <c r="X1775" s="1"/>
    </row>
    <row r="1776" spans="1:24">
      <c r="A1776" s="1"/>
      <c r="M1776" s="26"/>
      <c r="N1776" s="26"/>
      <c r="P1776" s="1"/>
      <c r="Q1776" s="1"/>
      <c r="R1776" s="8"/>
      <c r="S1776" s="1"/>
      <c r="T1776" s="8"/>
      <c r="U1776" s="1"/>
      <c r="V1776" s="1"/>
      <c r="W1776" s="1"/>
      <c r="X1776" s="1"/>
    </row>
    <row r="1777" spans="1:24">
      <c r="A1777" s="1"/>
      <c r="M1777" s="26"/>
      <c r="N1777" s="26"/>
      <c r="P1777" s="1"/>
      <c r="Q1777" s="1"/>
      <c r="R1777" s="8"/>
      <c r="S1777" s="1"/>
      <c r="T1777" s="8"/>
      <c r="U1777" s="1"/>
      <c r="V1777" s="1"/>
      <c r="W1777" s="1"/>
      <c r="X1777" s="1"/>
    </row>
    <row r="1778" spans="1:24">
      <c r="A1778" s="1"/>
      <c r="M1778" s="26"/>
      <c r="N1778" s="26"/>
      <c r="P1778" s="1"/>
      <c r="Q1778" s="1"/>
      <c r="R1778" s="8"/>
      <c r="S1778" s="1"/>
      <c r="T1778" s="8"/>
      <c r="U1778" s="1"/>
      <c r="V1778" s="1"/>
      <c r="W1778" s="1"/>
      <c r="X1778" s="1"/>
    </row>
    <row r="1779" spans="1:24">
      <c r="A1779" s="1"/>
      <c r="M1779" s="26"/>
      <c r="N1779" s="26"/>
      <c r="P1779" s="1"/>
      <c r="Q1779" s="1"/>
      <c r="R1779" s="8"/>
      <c r="S1779" s="1"/>
      <c r="T1779" s="8"/>
      <c r="U1779" s="1"/>
      <c r="V1779" s="1"/>
      <c r="W1779" s="1"/>
      <c r="X1779" s="1"/>
    </row>
    <row r="1780" spans="1:24">
      <c r="A1780" s="1"/>
      <c r="M1780" s="26"/>
      <c r="N1780" s="26"/>
      <c r="P1780" s="1"/>
      <c r="Q1780" s="1"/>
      <c r="R1780" s="8"/>
      <c r="S1780" s="1"/>
      <c r="T1780" s="8"/>
      <c r="U1780" s="1"/>
      <c r="V1780" s="1"/>
      <c r="W1780" s="1"/>
      <c r="X1780" s="1"/>
    </row>
    <row r="1781" spans="1:24">
      <c r="A1781" s="1"/>
      <c r="M1781" s="26"/>
      <c r="N1781" s="26"/>
      <c r="P1781" s="1"/>
      <c r="Q1781" s="1"/>
      <c r="R1781" s="8"/>
      <c r="S1781" s="1"/>
      <c r="T1781" s="8"/>
      <c r="U1781" s="1"/>
      <c r="V1781" s="1"/>
      <c r="W1781" s="1"/>
      <c r="X1781" s="1"/>
    </row>
    <row r="1782" spans="1:24">
      <c r="A1782" s="1"/>
      <c r="M1782" s="26"/>
      <c r="N1782" s="26"/>
      <c r="P1782" s="1"/>
      <c r="Q1782" s="1"/>
      <c r="R1782" s="8"/>
      <c r="S1782" s="1"/>
      <c r="T1782" s="8"/>
      <c r="U1782" s="1"/>
      <c r="V1782" s="1"/>
      <c r="W1782" s="1"/>
      <c r="X1782" s="1"/>
    </row>
    <row r="1783" spans="1:24">
      <c r="A1783" s="1"/>
      <c r="M1783" s="26"/>
      <c r="N1783" s="26"/>
      <c r="P1783" s="1"/>
      <c r="Q1783" s="1"/>
      <c r="R1783" s="8"/>
      <c r="S1783" s="1"/>
      <c r="T1783" s="8"/>
      <c r="U1783" s="1"/>
      <c r="V1783" s="1"/>
      <c r="W1783" s="1"/>
      <c r="X1783" s="1"/>
    </row>
    <row r="1784" spans="1:24">
      <c r="A1784" s="1"/>
      <c r="M1784" s="26"/>
      <c r="N1784" s="26"/>
      <c r="P1784" s="1"/>
      <c r="Q1784" s="1"/>
      <c r="R1784" s="8"/>
      <c r="S1784" s="1"/>
      <c r="T1784" s="8"/>
      <c r="U1784" s="1"/>
      <c r="V1784" s="1"/>
      <c r="W1784" s="1"/>
      <c r="X1784" s="1"/>
    </row>
    <row r="1785" spans="1:24">
      <c r="A1785" s="1"/>
      <c r="M1785" s="26"/>
      <c r="N1785" s="26"/>
      <c r="P1785" s="1"/>
      <c r="Q1785" s="1"/>
      <c r="R1785" s="8"/>
      <c r="S1785" s="1"/>
      <c r="T1785" s="8"/>
      <c r="U1785" s="1"/>
      <c r="V1785" s="1"/>
      <c r="W1785" s="1"/>
      <c r="X1785" s="1"/>
    </row>
    <row r="1786" spans="1:24">
      <c r="A1786" s="1"/>
      <c r="P1786" s="1"/>
      <c r="Q1786" s="1"/>
      <c r="R1786" s="8"/>
      <c r="S1786" s="1"/>
      <c r="T1786" s="8"/>
      <c r="U1786" s="1"/>
      <c r="V1786" s="1"/>
      <c r="W1786" s="1"/>
      <c r="X1786" s="1"/>
    </row>
    <row r="1787" spans="1:24">
      <c r="A1787" s="1"/>
      <c r="P1787" s="1"/>
      <c r="Q1787" s="1"/>
      <c r="R1787" s="8"/>
      <c r="S1787" s="8"/>
      <c r="T1787" s="8"/>
      <c r="U1787" s="1"/>
      <c r="V1787" s="1"/>
      <c r="W1787" s="1"/>
      <c r="X1787" s="1"/>
    </row>
  </sheetData>
  <mergeCells count="296">
    <mergeCell ref="L433:L437"/>
    <mergeCell ref="L438:L442"/>
    <mergeCell ref="G423:G427"/>
    <mergeCell ref="H423:H427"/>
    <mergeCell ref="G433:G437"/>
    <mergeCell ref="H433:H437"/>
    <mergeCell ref="I433:I437"/>
    <mergeCell ref="J433:J437"/>
    <mergeCell ref="K433:K437"/>
    <mergeCell ref="K428:K432"/>
    <mergeCell ref="L428:L432"/>
    <mergeCell ref="L418:L422"/>
    <mergeCell ref="B423:B427"/>
    <mergeCell ref="F428:F432"/>
    <mergeCell ref="G428:G432"/>
    <mergeCell ref="H428:H432"/>
    <mergeCell ref="I428:I432"/>
    <mergeCell ref="J428:J432"/>
    <mergeCell ref="F463:F467"/>
    <mergeCell ref="F473:F477"/>
    <mergeCell ref="I473:I477"/>
    <mergeCell ref="J473:J477"/>
    <mergeCell ref="K473:K477"/>
    <mergeCell ref="L473:L477"/>
    <mergeCell ref="G463:G467"/>
    <mergeCell ref="H463:H467"/>
    <mergeCell ref="I463:I467"/>
    <mergeCell ref="J463:J467"/>
    <mergeCell ref="K463:K467"/>
    <mergeCell ref="L463:L467"/>
    <mergeCell ref="F418:F422"/>
    <mergeCell ref="F423:F427"/>
    <mergeCell ref="F433:F437"/>
    <mergeCell ref="F438:F442"/>
    <mergeCell ref="G438:G442"/>
    <mergeCell ref="I458:I462"/>
    <mergeCell ref="J458:J462"/>
    <mergeCell ref="K458:K462"/>
    <mergeCell ref="L458:L462"/>
    <mergeCell ref="J478:J482"/>
    <mergeCell ref="K478:K482"/>
    <mergeCell ref="L478:L482"/>
    <mergeCell ref="B473:B477"/>
    <mergeCell ref="F413:F417"/>
    <mergeCell ref="G413:G417"/>
    <mergeCell ref="H413:H417"/>
    <mergeCell ref="I413:I417"/>
    <mergeCell ref="J413:J417"/>
    <mergeCell ref="K413:K417"/>
    <mergeCell ref="L413:L417"/>
    <mergeCell ref="I423:I427"/>
    <mergeCell ref="J423:J427"/>
    <mergeCell ref="K423:K427"/>
    <mergeCell ref="L423:L427"/>
    <mergeCell ref="G418:G422"/>
    <mergeCell ref="H418:H422"/>
    <mergeCell ref="I418:I422"/>
    <mergeCell ref="J418:J422"/>
    <mergeCell ref="K418:K422"/>
    <mergeCell ref="F498:F502"/>
    <mergeCell ref="G498:G502"/>
    <mergeCell ref="H498:H502"/>
    <mergeCell ref="I498:I502"/>
    <mergeCell ref="J498:J502"/>
    <mergeCell ref="K498:K502"/>
    <mergeCell ref="L498:L502"/>
    <mergeCell ref="F503:F507"/>
    <mergeCell ref="G503:G507"/>
    <mergeCell ref="H503:H507"/>
    <mergeCell ref="I503:I507"/>
    <mergeCell ref="J503:J507"/>
    <mergeCell ref="K503:K507"/>
    <mergeCell ref="L503:L507"/>
    <mergeCell ref="H508:H512"/>
    <mergeCell ref="I508:I512"/>
    <mergeCell ref="J508:J512"/>
    <mergeCell ref="K508:K512"/>
    <mergeCell ref="L508:L512"/>
    <mergeCell ref="F513:F517"/>
    <mergeCell ref="G513:G517"/>
    <mergeCell ref="H513:H517"/>
    <mergeCell ref="I513:I517"/>
    <mergeCell ref="J513:J517"/>
    <mergeCell ref="K513:K517"/>
    <mergeCell ref="L513:L517"/>
    <mergeCell ref="B538:B542"/>
    <mergeCell ref="F523:F527"/>
    <mergeCell ref="G523:G527"/>
    <mergeCell ref="H523:H527"/>
    <mergeCell ref="I523:I527"/>
    <mergeCell ref="J523:J527"/>
    <mergeCell ref="K523:K527"/>
    <mergeCell ref="L523:L527"/>
    <mergeCell ref="F518:F522"/>
    <mergeCell ref="G518:G522"/>
    <mergeCell ref="H518:H522"/>
    <mergeCell ref="I518:I522"/>
    <mergeCell ref="J518:J522"/>
    <mergeCell ref="K518:K522"/>
    <mergeCell ref="L518:L522"/>
    <mergeCell ref="J538:J542"/>
    <mergeCell ref="K538:K542"/>
    <mergeCell ref="L538:L542"/>
    <mergeCell ref="F538:F542"/>
    <mergeCell ref="F543:F547"/>
    <mergeCell ref="G543:G547"/>
    <mergeCell ref="H543:H547"/>
    <mergeCell ref="J543:J547"/>
    <mergeCell ref="K543:K547"/>
    <mergeCell ref="L543:L547"/>
    <mergeCell ref="G538:G542"/>
    <mergeCell ref="H538:H542"/>
    <mergeCell ref="I538:I542"/>
    <mergeCell ref="B543:B547"/>
    <mergeCell ref="I543:I547"/>
    <mergeCell ref="G483:G487"/>
    <mergeCell ref="H483:H487"/>
    <mergeCell ref="J483:J487"/>
    <mergeCell ref="K483:K487"/>
    <mergeCell ref="L483:L487"/>
    <mergeCell ref="G473:G477"/>
    <mergeCell ref="H473:H477"/>
    <mergeCell ref="B478:B482"/>
    <mergeCell ref="G478:G482"/>
    <mergeCell ref="H478:H482"/>
    <mergeCell ref="I478:I482"/>
    <mergeCell ref="I483:I487"/>
    <mergeCell ref="K488:K492"/>
    <mergeCell ref="L488:L492"/>
    <mergeCell ref="F478:F482"/>
    <mergeCell ref="F483:F487"/>
    <mergeCell ref="F488:F492"/>
    <mergeCell ref="G488:G492"/>
    <mergeCell ref="H488:H492"/>
    <mergeCell ref="I488:I492"/>
    <mergeCell ref="J488:J492"/>
    <mergeCell ref="F493:F497"/>
    <mergeCell ref="G493:G497"/>
    <mergeCell ref="H493:H497"/>
    <mergeCell ref="I493:I497"/>
    <mergeCell ref="J493:J497"/>
    <mergeCell ref="K493:K497"/>
    <mergeCell ref="L493:L497"/>
    <mergeCell ref="B483:B487"/>
    <mergeCell ref="B488:B492"/>
    <mergeCell ref="B493:B497"/>
    <mergeCell ref="B498:B502"/>
    <mergeCell ref="B503:B507"/>
    <mergeCell ref="B508:B512"/>
    <mergeCell ref="B513:B517"/>
    <mergeCell ref="B533:B537"/>
    <mergeCell ref="J528:J532"/>
    <mergeCell ref="K528:K532"/>
    <mergeCell ref="L528:L532"/>
    <mergeCell ref="J533:J537"/>
    <mergeCell ref="K533:K537"/>
    <mergeCell ref="L533:L537"/>
    <mergeCell ref="B518:B522"/>
    <mergeCell ref="B523:B527"/>
    <mergeCell ref="B528:B532"/>
    <mergeCell ref="F528:F532"/>
    <mergeCell ref="G528:G532"/>
    <mergeCell ref="H528:H532"/>
    <mergeCell ref="I528:I532"/>
    <mergeCell ref="F533:F537"/>
    <mergeCell ref="G533:G537"/>
    <mergeCell ref="H533:H537"/>
    <mergeCell ref="I533:I537"/>
    <mergeCell ref="F508:F512"/>
    <mergeCell ref="G508:G512"/>
    <mergeCell ref="F383:F387"/>
    <mergeCell ref="G383:G387"/>
    <mergeCell ref="H383:H387"/>
    <mergeCell ref="I383:I387"/>
    <mergeCell ref="J383:J387"/>
    <mergeCell ref="K383:K387"/>
    <mergeCell ref="L383:L387"/>
    <mergeCell ref="F388:F392"/>
    <mergeCell ref="G388:G392"/>
    <mergeCell ref="H388:H392"/>
    <mergeCell ref="I388:I392"/>
    <mergeCell ref="J388:J392"/>
    <mergeCell ref="K388:K392"/>
    <mergeCell ref="L388:L392"/>
    <mergeCell ref="G408:G412"/>
    <mergeCell ref="H408:H412"/>
    <mergeCell ref="I408:I412"/>
    <mergeCell ref="J408:J412"/>
    <mergeCell ref="K408:K412"/>
    <mergeCell ref="L408:L412"/>
    <mergeCell ref="F393:F397"/>
    <mergeCell ref="G393:G397"/>
    <mergeCell ref="H393:H397"/>
    <mergeCell ref="I393:I397"/>
    <mergeCell ref="J393:J397"/>
    <mergeCell ref="K393:K397"/>
    <mergeCell ref="L393:L397"/>
    <mergeCell ref="F398:F402"/>
    <mergeCell ref="G398:G402"/>
    <mergeCell ref="H398:H402"/>
    <mergeCell ref="I398:I402"/>
    <mergeCell ref="J398:J402"/>
    <mergeCell ref="K398:K402"/>
    <mergeCell ref="L398:L402"/>
    <mergeCell ref="X1:X2"/>
    <mergeCell ref="O1:O2"/>
    <mergeCell ref="P1:P2"/>
    <mergeCell ref="Q1:Q2"/>
    <mergeCell ref="R1:R2"/>
    <mergeCell ref="S1:S2"/>
    <mergeCell ref="T1:T2"/>
    <mergeCell ref="U1:U2"/>
    <mergeCell ref="A1:A2"/>
    <mergeCell ref="B1:B2"/>
    <mergeCell ref="C1:C2"/>
    <mergeCell ref="D1:D2"/>
    <mergeCell ref="E1:E2"/>
    <mergeCell ref="F1:F2"/>
    <mergeCell ref="G1:G2"/>
    <mergeCell ref="H1:H2"/>
    <mergeCell ref="I1:I2"/>
    <mergeCell ref="J1:J2"/>
    <mergeCell ref="K1:K2"/>
    <mergeCell ref="L1:L2"/>
    <mergeCell ref="M1:M2"/>
    <mergeCell ref="N1:N2"/>
    <mergeCell ref="V1:V2"/>
    <mergeCell ref="W1:W2"/>
    <mergeCell ref="F378:F382"/>
    <mergeCell ref="G378:G382"/>
    <mergeCell ref="H378:H382"/>
    <mergeCell ref="I378:I382"/>
    <mergeCell ref="J378:J382"/>
    <mergeCell ref="K378:K382"/>
    <mergeCell ref="L378:L382"/>
    <mergeCell ref="B413:B417"/>
    <mergeCell ref="B418:B422"/>
    <mergeCell ref="B378:B382"/>
    <mergeCell ref="B383:B387"/>
    <mergeCell ref="B388:B392"/>
    <mergeCell ref="B393:B397"/>
    <mergeCell ref="B398:B402"/>
    <mergeCell ref="B403:B407"/>
    <mergeCell ref="B408:B412"/>
    <mergeCell ref="F403:F407"/>
    <mergeCell ref="G403:G407"/>
    <mergeCell ref="H403:H407"/>
    <mergeCell ref="I403:I407"/>
    <mergeCell ref="J403:J407"/>
    <mergeCell ref="K403:K407"/>
    <mergeCell ref="L403:L407"/>
    <mergeCell ref="F408:F412"/>
    <mergeCell ref="K443:K447"/>
    <mergeCell ref="L443:L447"/>
    <mergeCell ref="J438:J442"/>
    <mergeCell ref="K438:K442"/>
    <mergeCell ref="F443:F447"/>
    <mergeCell ref="G443:G447"/>
    <mergeCell ref="H443:H447"/>
    <mergeCell ref="I443:I447"/>
    <mergeCell ref="J443:J447"/>
    <mergeCell ref="H438:H442"/>
    <mergeCell ref="I438:I442"/>
    <mergeCell ref="F448:F452"/>
    <mergeCell ref="G448:G452"/>
    <mergeCell ref="H448:H452"/>
    <mergeCell ref="I448:I452"/>
    <mergeCell ref="J448:J452"/>
    <mergeCell ref="K448:K452"/>
    <mergeCell ref="L448:L452"/>
    <mergeCell ref="F468:F472"/>
    <mergeCell ref="G468:G472"/>
    <mergeCell ref="H468:H472"/>
    <mergeCell ref="I468:I472"/>
    <mergeCell ref="J468:J472"/>
    <mergeCell ref="K468:K472"/>
    <mergeCell ref="L468:L472"/>
    <mergeCell ref="F453:F457"/>
    <mergeCell ref="G453:G457"/>
    <mergeCell ref="H453:H457"/>
    <mergeCell ref="I453:I457"/>
    <mergeCell ref="J453:J457"/>
    <mergeCell ref="K453:K457"/>
    <mergeCell ref="L453:L457"/>
    <mergeCell ref="F458:F462"/>
    <mergeCell ref="G458:G462"/>
    <mergeCell ref="H458:H462"/>
    <mergeCell ref="B463:B467"/>
    <mergeCell ref="B468:B472"/>
    <mergeCell ref="B428:B432"/>
    <mergeCell ref="B433:B437"/>
    <mergeCell ref="B438:B442"/>
    <mergeCell ref="B443:B447"/>
    <mergeCell ref="B448:B452"/>
    <mergeCell ref="B453:B457"/>
    <mergeCell ref="B458:B462"/>
  </mergeCells>
  <conditionalFormatting sqref="U1:U2 P3:Q105 U30:U105">
    <cfRule type="containsBlanks" dxfId="0" priority="1">
      <formula>LEN(TRIM(U1))=0</formula>
    </cfRule>
  </conditionalFormatting>
  <pageMargins left="0" right="0" top="0" bottom="0" header="0" footer="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X2346"/>
  <sheetViews>
    <sheetView workbookViewId="0"/>
  </sheetViews>
  <sheetFormatPr defaultColWidth="14.44140625" defaultRowHeight="15" customHeight="1"/>
  <cols>
    <col min="1" max="1" width="21.88671875" customWidth="1"/>
    <col min="2" max="2" width="9.44140625" customWidth="1"/>
    <col min="8" max="8" width="33.33203125" customWidth="1"/>
    <col min="9" max="9" width="11.109375" customWidth="1"/>
    <col min="10" max="11" width="13.109375" customWidth="1"/>
    <col min="15" max="16" width="16.33203125" customWidth="1"/>
    <col min="17" max="17" width="16.5546875" customWidth="1"/>
  </cols>
  <sheetData>
    <row r="1" spans="1:19">
      <c r="A1" s="1" t="s">
        <v>841</v>
      </c>
      <c r="B1" s="1" t="s">
        <v>1298</v>
      </c>
      <c r="C1" s="1" t="s">
        <v>1299</v>
      </c>
      <c r="D1" s="1" t="s">
        <v>1300</v>
      </c>
      <c r="E1" s="1" t="s">
        <v>1301</v>
      </c>
      <c r="F1" s="1" t="s">
        <v>1302</v>
      </c>
      <c r="H1" s="71" t="s">
        <v>860</v>
      </c>
      <c r="I1" s="72" t="s">
        <v>1303</v>
      </c>
      <c r="J1" s="73" t="s">
        <v>1304</v>
      </c>
      <c r="K1" s="73" t="s">
        <v>1305</v>
      </c>
      <c r="L1" s="73" t="s">
        <v>1306</v>
      </c>
      <c r="N1" s="74" t="s">
        <v>1307</v>
      </c>
      <c r="O1" s="74" t="s">
        <v>1308</v>
      </c>
      <c r="P1" s="74" t="s">
        <v>1309</v>
      </c>
      <c r="Q1" s="75" t="s">
        <v>1041</v>
      </c>
      <c r="R1" s="74" t="s">
        <v>1043</v>
      </c>
      <c r="S1" s="74" t="s">
        <v>1310</v>
      </c>
    </row>
    <row r="2" spans="1:19">
      <c r="A2" s="1">
        <f ca="1">IFERROR(__xludf.DUMMYFUNCTION("query({'PKM-AI'!B3:U2346;'PKM-GFT'!B3:U2346;'PKM-VGK'!B3:U2346;'PKM-KI'!B3:U2346;'PKM-K'!B3:U2346;'PKM-PM'!B3:U2346;'PKM-KC'!B3:U2346;'PKM-RE'!B3:U2346;'PKM-RSH'!B3:U2346;'PKM-PI'!B3:U2346},""select Col1, Col17, Col18, Col19, Col16 where
(Col18 is not nul"&amp;"l)"", 0)"),2494)</f>
        <v>2494</v>
      </c>
      <c r="B2" s="1" t="str">
        <f ca="1">IFERROR(__xludf.DUMMYFUNCTION("""COMPUTED_VALUE"""),"PKM AI")</f>
        <v>PKM AI</v>
      </c>
      <c r="C2" s="1" t="str">
        <f ca="1">IFERROR(__xludf.DUMMYFUNCTION("""COMPUTED_VALUE"""),"lihat pdf")</f>
        <v>lihat pdf</v>
      </c>
      <c r="D2" s="1" t="str">
        <f ca="1">IFERROR(__xludf.DUMMYFUNCTION("""COMPUTED_VALUE"""),"LAYAK UPLOAD KE SIMBELMAWA DENGAN REVISI")</f>
        <v>LAYAK UPLOAD KE SIMBELMAWA DENGAN REVISI</v>
      </c>
      <c r="E2" s="7" t="str">
        <f ca="1">IFERROR(__xludf.DUMMYFUNCTION("""COMPUTED_VALUE"""),"https://drive.google.com/open?id=16tyYYe0WzgIAJNRCggejLRW1DpxdHJpE")</f>
        <v>https://drive.google.com/open?id=16tyYYe0WzgIAJNRCggejLRW1DpxdHJpE</v>
      </c>
      <c r="F2" s="1">
        <f t="shared" ref="F2:F256" ca="1" si="0">IF(C2=" ",IF(ISBLANK(E2), 2, 1),0)</f>
        <v>0</v>
      </c>
      <c r="H2" s="76" t="s">
        <v>660</v>
      </c>
      <c r="I2" s="77">
        <f t="shared" ref="I2:I20" ca="1" si="1">COUNTIF(D:D,H2)</f>
        <v>0</v>
      </c>
      <c r="J2" s="78">
        <f t="shared" ref="J2:J20" ca="1" si="2">COUNTIFS(F:F,2,D:D,H2)</f>
        <v>0</v>
      </c>
      <c r="K2" s="78">
        <f t="shared" ref="K2:K20" ca="1" si="3">COUNTIFS(F:F,1,D:D,H2)</f>
        <v>0</v>
      </c>
      <c r="L2" s="78">
        <f t="shared" ref="L2:L20" ca="1" si="4">COUNTIFS(F:F,0,D:D,H2)</f>
        <v>0</v>
      </c>
      <c r="N2" s="79" t="s">
        <v>898</v>
      </c>
      <c r="O2" s="79">
        <f t="shared" ref="O2:O11" ca="1" si="5">COUNTIF(B:B,N2)</f>
        <v>43</v>
      </c>
      <c r="P2" s="79">
        <f t="shared" ref="P2:P11" ca="1" si="6">COUNTIFS(C:C,"LAYAK UPLOAD KE SIMBELMAWA",B:B,N2)</f>
        <v>0</v>
      </c>
      <c r="Q2" s="79">
        <f t="shared" ref="Q2:Q11" ca="1" si="7">COUNTIFS(C:C,"LAYAK UPLOAD KE SIMBELMAWA DENGAN REVISI",B:B,N2)</f>
        <v>0</v>
      </c>
      <c r="R2" s="79">
        <f t="shared" ref="R2:R11" ca="1" si="8">COUNTIFS(C:C,"TIDAK LAYAK UPLOAD KE SIMBELMAWA",B:B,N2)</f>
        <v>0</v>
      </c>
      <c r="S2" s="79">
        <f t="shared" ref="S2:S11" ca="1" si="9">COUNTIFS(C:C," ",B:B,N2)</f>
        <v>4</v>
      </c>
    </row>
    <row r="3" spans="1:19">
      <c r="A3" s="1">
        <f ca="1">IFERROR(__xludf.DUMMYFUNCTION("""COMPUTED_VALUE"""),2832)</f>
        <v>2832</v>
      </c>
      <c r="B3" s="1" t="str">
        <f ca="1">IFERROR(__xludf.DUMMYFUNCTION("""COMPUTED_VALUE"""),"PKM AI")</f>
        <v>PKM AI</v>
      </c>
      <c r="C3" s="1" t="str">
        <f ca="1">IFERROR(__xludf.DUMMYFUNCTION("""COMPUTED_VALUE"""),"lihat pdf")</f>
        <v>lihat pdf</v>
      </c>
      <c r="D3" s="1" t="str">
        <f ca="1">IFERROR(__xludf.DUMMYFUNCTION("""COMPUTED_VALUE"""),"LAYAK UPLOAD KE SIMBELMAWA DENGAN REVISI")</f>
        <v>LAYAK UPLOAD KE SIMBELMAWA DENGAN REVISI</v>
      </c>
      <c r="E3" s="7" t="str">
        <f ca="1">IFERROR(__xludf.DUMMYFUNCTION("""COMPUTED_VALUE"""),"https://drive.google.com/open?id=1AxQsCPWONB4L9zhjRMFbjzl2Cyw_6n-3")</f>
        <v>https://drive.google.com/open?id=1AxQsCPWONB4L9zhjRMFbjzl2Cyw_6n-3</v>
      </c>
      <c r="F3" s="1">
        <f t="shared" ca="1" si="0"/>
        <v>0</v>
      </c>
      <c r="H3" s="76" t="s">
        <v>825</v>
      </c>
      <c r="I3" s="77">
        <f t="shared" ca="1" si="1"/>
        <v>0</v>
      </c>
      <c r="J3" s="78">
        <f t="shared" ca="1" si="2"/>
        <v>0</v>
      </c>
      <c r="K3" s="78">
        <f t="shared" ca="1" si="3"/>
        <v>0</v>
      </c>
      <c r="L3" s="78">
        <f t="shared" ca="1" si="4"/>
        <v>0</v>
      </c>
      <c r="N3" s="79" t="s">
        <v>998</v>
      </c>
      <c r="O3" s="79">
        <f t="shared" ca="1" si="5"/>
        <v>54</v>
      </c>
      <c r="P3" s="79">
        <f t="shared" ca="1" si="6"/>
        <v>0</v>
      </c>
      <c r="Q3" s="79">
        <f t="shared" ca="1" si="7"/>
        <v>0</v>
      </c>
      <c r="R3" s="79">
        <f t="shared" ca="1" si="8"/>
        <v>0</v>
      </c>
      <c r="S3" s="79">
        <f t="shared" ca="1" si="9"/>
        <v>10</v>
      </c>
    </row>
    <row r="4" spans="1:19">
      <c r="A4" s="1">
        <f ca="1">IFERROR(__xludf.DUMMYFUNCTION("""COMPUTED_VALUE"""),4132)</f>
        <v>4132</v>
      </c>
      <c r="B4" s="1" t="str">
        <f ca="1">IFERROR(__xludf.DUMMYFUNCTION("""COMPUTED_VALUE"""),"PKM AI")</f>
        <v>PKM AI</v>
      </c>
      <c r="C4" s="1" t="str">
        <f ca="1">IFERROR(__xludf.DUMMYFUNCTION("""COMPUTED_VALUE"""),"lihat pdf")</f>
        <v>lihat pdf</v>
      </c>
      <c r="D4" s="1" t="str">
        <f ca="1">IFERROR(__xludf.DUMMYFUNCTION("""COMPUTED_VALUE"""),"LAYAK UPLOAD KE SIMBELMAWA DENGAN REVISI")</f>
        <v>LAYAK UPLOAD KE SIMBELMAWA DENGAN REVISI</v>
      </c>
      <c r="E4" s="7" t="str">
        <f ca="1">IFERROR(__xludf.DUMMYFUNCTION("""COMPUTED_VALUE"""),"https://drive.google.com/open?id=14dH7ICsgzmmcJTNwkCku70FFnNGc4tzX")</f>
        <v>https://drive.google.com/open?id=14dH7ICsgzmmcJTNwkCku70FFnNGc4tzX</v>
      </c>
      <c r="F4" s="1">
        <f t="shared" ca="1" si="0"/>
        <v>0</v>
      </c>
      <c r="H4" s="76" t="s">
        <v>786</v>
      </c>
      <c r="I4" s="77">
        <f t="shared" ca="1" si="1"/>
        <v>0</v>
      </c>
      <c r="J4" s="78">
        <f t="shared" ca="1" si="2"/>
        <v>0</v>
      </c>
      <c r="K4" s="78">
        <f t="shared" ca="1" si="3"/>
        <v>0</v>
      </c>
      <c r="L4" s="78">
        <f t="shared" ca="1" si="4"/>
        <v>0</v>
      </c>
      <c r="N4" s="79" t="s">
        <v>867</v>
      </c>
      <c r="O4" s="79">
        <f t="shared" ca="1" si="5"/>
        <v>38</v>
      </c>
      <c r="P4" s="79">
        <f t="shared" ca="1" si="6"/>
        <v>0</v>
      </c>
      <c r="Q4" s="79">
        <f t="shared" ca="1" si="7"/>
        <v>0</v>
      </c>
      <c r="R4" s="79">
        <f t="shared" ca="1" si="8"/>
        <v>0</v>
      </c>
      <c r="S4" s="79">
        <f t="shared" ca="1" si="9"/>
        <v>6</v>
      </c>
    </row>
    <row r="5" spans="1:19">
      <c r="A5" s="1">
        <f ca="1">IFERROR(__xludf.DUMMYFUNCTION("""COMPUTED_VALUE"""),2628)</f>
        <v>2628</v>
      </c>
      <c r="B5" s="1" t="str">
        <f ca="1">IFERROR(__xludf.DUMMYFUNCTION("""COMPUTED_VALUE"""),"PKM AI")</f>
        <v>PKM AI</v>
      </c>
      <c r="C5" s="1" t="str">
        <f ca="1">IFERROR(__xludf.DUMMYFUNCTION("""COMPUTED_VALUE"""),"lihat pdf")</f>
        <v>lihat pdf</v>
      </c>
      <c r="D5" s="1" t="str">
        <f ca="1">IFERROR(__xludf.DUMMYFUNCTION("""COMPUTED_VALUE"""),"LAYAK UPLOAD KE SIMBELMAWA DENGAN REVISI")</f>
        <v>LAYAK UPLOAD KE SIMBELMAWA DENGAN REVISI</v>
      </c>
      <c r="E5" s="7" t="str">
        <f ca="1">IFERROR(__xludf.DUMMYFUNCTION("""COMPUTED_VALUE"""),"https://drive.google.com/open?id=1KzVc8EI5TFFVL9Y_SDf7w6eQRueVereD")</f>
        <v>https://drive.google.com/open?id=1KzVc8EI5TFFVL9Y_SDf7w6eQRueVereD</v>
      </c>
      <c r="F5" s="1">
        <f t="shared" ca="1" si="0"/>
        <v>0</v>
      </c>
      <c r="H5" s="76" t="s">
        <v>831</v>
      </c>
      <c r="I5" s="77">
        <f t="shared" ca="1" si="1"/>
        <v>0</v>
      </c>
      <c r="J5" s="78">
        <f t="shared" ca="1" si="2"/>
        <v>0</v>
      </c>
      <c r="K5" s="78">
        <f t="shared" ca="1" si="3"/>
        <v>0</v>
      </c>
      <c r="L5" s="78">
        <f t="shared" ca="1" si="4"/>
        <v>0</v>
      </c>
      <c r="N5" s="79" t="s">
        <v>1038</v>
      </c>
      <c r="O5" s="79">
        <f t="shared" ca="1" si="5"/>
        <v>25</v>
      </c>
      <c r="P5" s="79">
        <f t="shared" ca="1" si="6"/>
        <v>0</v>
      </c>
      <c r="Q5" s="79">
        <f t="shared" ca="1" si="7"/>
        <v>0</v>
      </c>
      <c r="R5" s="79">
        <f t="shared" ca="1" si="8"/>
        <v>0</v>
      </c>
      <c r="S5" s="79">
        <f t="shared" ca="1" si="9"/>
        <v>3</v>
      </c>
    </row>
    <row r="6" spans="1:19">
      <c r="A6" s="1">
        <f ca="1">IFERROR(__xludf.DUMMYFUNCTION("""COMPUTED_VALUE"""),3641)</f>
        <v>3641</v>
      </c>
      <c r="B6" s="1" t="str">
        <f ca="1">IFERROR(__xludf.DUMMYFUNCTION("""COMPUTED_VALUE"""),"PKM AI")</f>
        <v>PKM AI</v>
      </c>
      <c r="C6" s="1" t="str">
        <f ca="1">IFERROR(__xludf.DUMMYFUNCTION("""COMPUTED_VALUE"""),"lihat pdf")</f>
        <v>lihat pdf</v>
      </c>
      <c r="D6" s="1" t="str">
        <f ca="1">IFERROR(__xludf.DUMMYFUNCTION("""COMPUTED_VALUE"""),"LAYAK UPLOAD KE SIMBELMAWA DENGAN REVISI")</f>
        <v>LAYAK UPLOAD KE SIMBELMAWA DENGAN REVISI</v>
      </c>
      <c r="E6" s="7" t="str">
        <f ca="1">IFERROR(__xludf.DUMMYFUNCTION("""COMPUTED_VALUE"""),"https://drive.google.com/open?id=1jI507Vcdu6eA0RFmJ0arCDX9Ncp48Ouz")</f>
        <v>https://drive.google.com/open?id=1jI507Vcdu6eA0RFmJ0arCDX9Ncp48Ouz</v>
      </c>
      <c r="F6" s="1">
        <f t="shared" ca="1" si="0"/>
        <v>0</v>
      </c>
      <c r="H6" s="76" t="s">
        <v>878</v>
      </c>
      <c r="I6" s="77">
        <f t="shared" ca="1" si="1"/>
        <v>0</v>
      </c>
      <c r="J6" s="78">
        <f t="shared" ca="1" si="2"/>
        <v>0</v>
      </c>
      <c r="K6" s="78">
        <f t="shared" ca="1" si="3"/>
        <v>0</v>
      </c>
      <c r="L6" s="78">
        <f t="shared" ca="1" si="4"/>
        <v>0</v>
      </c>
      <c r="N6" s="79" t="s">
        <v>946</v>
      </c>
      <c r="O6" s="79">
        <f t="shared" ca="1" si="5"/>
        <v>69</v>
      </c>
      <c r="P6" s="79">
        <f t="shared" ca="1" si="6"/>
        <v>0</v>
      </c>
      <c r="Q6" s="79">
        <f t="shared" ca="1" si="7"/>
        <v>0</v>
      </c>
      <c r="R6" s="79">
        <f t="shared" ca="1" si="8"/>
        <v>0</v>
      </c>
      <c r="S6" s="79">
        <f t="shared" ca="1" si="9"/>
        <v>6</v>
      </c>
    </row>
    <row r="7" spans="1:19">
      <c r="A7" s="1">
        <f ca="1">IFERROR(__xludf.DUMMYFUNCTION("""COMPUTED_VALUE"""),3131)</f>
        <v>3131</v>
      </c>
      <c r="B7" s="1" t="str">
        <f ca="1">IFERROR(__xludf.DUMMYFUNCTION("""COMPUTED_VALUE"""),"PKM AI")</f>
        <v>PKM AI</v>
      </c>
      <c r="C7" s="1" t="str">
        <f ca="1">IFERROR(__xludf.DUMMYFUNCTION("""COMPUTED_VALUE"""),"lihat pdf")</f>
        <v>lihat pdf</v>
      </c>
      <c r="D7" s="1" t="str">
        <f ca="1">IFERROR(__xludf.DUMMYFUNCTION("""COMPUTED_VALUE"""),"LAYAK UPLOAD KE SIMBELMAWA DENGAN REVISI")</f>
        <v>LAYAK UPLOAD KE SIMBELMAWA DENGAN REVISI</v>
      </c>
      <c r="E7" s="7" t="str">
        <f ca="1">IFERROR(__xludf.DUMMYFUNCTION("""COMPUTED_VALUE"""),"https://drive.google.com/open?id=1pODGAcUUGR15Wub8BW0fseQnfT_JYftm")</f>
        <v>https://drive.google.com/open?id=1pODGAcUUGR15Wub8BW0fseQnfT_JYftm</v>
      </c>
      <c r="F7" s="1">
        <f t="shared" ca="1" si="0"/>
        <v>0</v>
      </c>
      <c r="H7" s="76" t="s">
        <v>719</v>
      </c>
      <c r="I7" s="77">
        <f t="shared" ca="1" si="1"/>
        <v>0</v>
      </c>
      <c r="J7" s="78">
        <f t="shared" ca="1" si="2"/>
        <v>0</v>
      </c>
      <c r="K7" s="78">
        <f t="shared" ca="1" si="3"/>
        <v>0</v>
      </c>
      <c r="L7" s="78">
        <f t="shared" ca="1" si="4"/>
        <v>0</v>
      </c>
      <c r="N7" s="79" t="s">
        <v>1065</v>
      </c>
      <c r="O7" s="79">
        <f t="shared" ca="1" si="5"/>
        <v>37</v>
      </c>
      <c r="P7" s="79">
        <f t="shared" ca="1" si="6"/>
        <v>0</v>
      </c>
      <c r="Q7" s="79">
        <f t="shared" ca="1" si="7"/>
        <v>0</v>
      </c>
      <c r="R7" s="79">
        <f t="shared" ca="1" si="8"/>
        <v>0</v>
      </c>
      <c r="S7" s="79">
        <f t="shared" ca="1" si="9"/>
        <v>2</v>
      </c>
    </row>
    <row r="8" spans="1:19">
      <c r="A8" s="1">
        <f ca="1">IFERROR(__xludf.DUMMYFUNCTION("""COMPUTED_VALUE"""),2130)</f>
        <v>2130</v>
      </c>
      <c r="B8" s="1" t="str">
        <f ca="1">IFERROR(__xludf.DUMMYFUNCTION("""COMPUTED_VALUE"""),"PKM AI")</f>
        <v>PKM AI</v>
      </c>
      <c r="C8" s="1" t="str">
        <f ca="1">IFERROR(__xludf.DUMMYFUNCTION("""COMPUTED_VALUE"""),"data sekunder dan tidak jelas sumber kegiatannya")</f>
        <v>data sekunder dan tidak jelas sumber kegiatannya</v>
      </c>
      <c r="D8" s="1" t="str">
        <f ca="1">IFERROR(__xludf.DUMMYFUNCTION("""COMPUTED_VALUE"""),"TIDAK LAYAK UPLOAD KE SIMBELMAWA")</f>
        <v>TIDAK LAYAK UPLOAD KE SIMBELMAWA</v>
      </c>
      <c r="E8" s="7" t="str">
        <f ca="1">IFERROR(__xludf.DUMMYFUNCTION("""COMPUTED_VALUE"""),"https://drive.google.com/open?id=1cx-E2yZrrDzuapLFooRqVS8pw3zoi-lh")</f>
        <v>https://drive.google.com/open?id=1cx-E2yZrrDzuapLFooRqVS8pw3zoi-lh</v>
      </c>
      <c r="F8" s="1">
        <f t="shared" ca="1" si="0"/>
        <v>0</v>
      </c>
      <c r="H8" s="76" t="s">
        <v>1057</v>
      </c>
      <c r="I8" s="77">
        <f t="shared" ca="1" si="1"/>
        <v>0</v>
      </c>
      <c r="J8" s="78">
        <f t="shared" ca="1" si="2"/>
        <v>0</v>
      </c>
      <c r="K8" s="78">
        <f t="shared" ca="1" si="3"/>
        <v>0</v>
      </c>
      <c r="L8" s="78">
        <f t="shared" ca="1" si="4"/>
        <v>0</v>
      </c>
      <c r="N8" s="79" t="s">
        <v>1229</v>
      </c>
      <c r="O8" s="79">
        <f t="shared" ca="1" si="5"/>
        <v>102</v>
      </c>
      <c r="P8" s="79">
        <f t="shared" ca="1" si="6"/>
        <v>0</v>
      </c>
      <c r="Q8" s="79">
        <f t="shared" ca="1" si="7"/>
        <v>0</v>
      </c>
      <c r="R8" s="79">
        <f t="shared" ca="1" si="8"/>
        <v>0</v>
      </c>
      <c r="S8" s="79">
        <f t="shared" ca="1" si="9"/>
        <v>15</v>
      </c>
    </row>
    <row r="9" spans="1:19">
      <c r="A9" s="1">
        <f ca="1">IFERROR(__xludf.DUMMYFUNCTION("""COMPUTED_VALUE"""),4122)</f>
        <v>4122</v>
      </c>
      <c r="B9" s="1" t="str">
        <f ca="1">IFERROR(__xludf.DUMMYFUNCTION("""COMPUTED_VALUE"""),"PKM AI")</f>
        <v>PKM AI</v>
      </c>
      <c r="C9" s="1" t="str">
        <f ca="1">IFERROR(__xludf.DUMMYFUNCTION("""COMPUTED_VALUE"""),"lihat pdf")</f>
        <v>lihat pdf</v>
      </c>
      <c r="D9" s="1" t="str">
        <f ca="1">IFERROR(__xludf.DUMMYFUNCTION("""COMPUTED_VALUE"""),"LAYAK UPLOAD KE SIMBELMAWA DENGAN REVISI")</f>
        <v>LAYAK UPLOAD KE SIMBELMAWA DENGAN REVISI</v>
      </c>
      <c r="E9" s="7" t="str">
        <f ca="1">IFERROR(__xludf.DUMMYFUNCTION("""COMPUTED_VALUE"""),"https://drive.google.com/open?id=13sqLyLghiSL1jhtPdokvS2SN_i0It0Zl")</f>
        <v>https://drive.google.com/open?id=13sqLyLghiSL1jhtPdokvS2SN_i0It0Zl</v>
      </c>
      <c r="F9" s="1">
        <f t="shared" ca="1" si="0"/>
        <v>0</v>
      </c>
      <c r="H9" s="76" t="s">
        <v>739</v>
      </c>
      <c r="I9" s="77">
        <f t="shared" ca="1" si="1"/>
        <v>0</v>
      </c>
      <c r="J9" s="78">
        <f t="shared" ca="1" si="2"/>
        <v>0</v>
      </c>
      <c r="K9" s="78">
        <f t="shared" ca="1" si="3"/>
        <v>0</v>
      </c>
      <c r="L9" s="78">
        <f t="shared" ca="1" si="4"/>
        <v>0</v>
      </c>
      <c r="N9" s="79" t="s">
        <v>1101</v>
      </c>
      <c r="O9" s="79">
        <f t="shared" ca="1" si="5"/>
        <v>102</v>
      </c>
      <c r="P9" s="79">
        <f t="shared" ca="1" si="6"/>
        <v>0</v>
      </c>
      <c r="Q9" s="79">
        <f t="shared" ca="1" si="7"/>
        <v>0</v>
      </c>
      <c r="R9" s="79">
        <f t="shared" ca="1" si="8"/>
        <v>0</v>
      </c>
      <c r="S9" s="79">
        <f t="shared" ca="1" si="9"/>
        <v>1</v>
      </c>
    </row>
    <row r="10" spans="1:19">
      <c r="A10" s="1">
        <f ca="1">IFERROR(__xludf.DUMMYFUNCTION("""COMPUTED_VALUE"""),2145)</f>
        <v>2145</v>
      </c>
      <c r="B10" s="1" t="str">
        <f ca="1">IFERROR(__xludf.DUMMYFUNCTION("""COMPUTED_VALUE"""),"PKM AI")</f>
        <v>PKM AI</v>
      </c>
      <c r="C10" s="1" t="str">
        <f ca="1">IFERROR(__xludf.DUMMYFUNCTION("""COMPUTED_VALUE"""),"lihat pdf")</f>
        <v>lihat pdf</v>
      </c>
      <c r="D10" s="1" t="str">
        <f ca="1">IFERROR(__xludf.DUMMYFUNCTION("""COMPUTED_VALUE"""),"LAYAK UPLOAD KE SIMBELMAWA DENGAN REVISI")</f>
        <v>LAYAK UPLOAD KE SIMBELMAWA DENGAN REVISI</v>
      </c>
      <c r="E10" s="7" t="str">
        <f ca="1">IFERROR(__xludf.DUMMYFUNCTION("""COMPUTED_VALUE"""),"https://drive.google.com/open?id=17UaXT9ZLA8XPfqyngECCoH2_B05Vm1XX")</f>
        <v>https://drive.google.com/open?id=17UaXT9ZLA8XPfqyngECCoH2_B05Vm1XX</v>
      </c>
      <c r="F10" s="1">
        <f t="shared" ca="1" si="0"/>
        <v>0</v>
      </c>
      <c r="H10" s="76" t="s">
        <v>965</v>
      </c>
      <c r="I10" s="77">
        <f t="shared" ca="1" si="1"/>
        <v>0</v>
      </c>
      <c r="J10" s="78">
        <f t="shared" ca="1" si="2"/>
        <v>0</v>
      </c>
      <c r="K10" s="78">
        <f t="shared" ca="1" si="3"/>
        <v>0</v>
      </c>
      <c r="L10" s="78">
        <f t="shared" ca="1" si="4"/>
        <v>0</v>
      </c>
      <c r="N10" s="79" t="s">
        <v>1185</v>
      </c>
      <c r="O10" s="79">
        <f t="shared" ca="1" si="5"/>
        <v>39</v>
      </c>
      <c r="P10" s="79">
        <f t="shared" ca="1" si="6"/>
        <v>0</v>
      </c>
      <c r="Q10" s="79">
        <f t="shared" ca="1" si="7"/>
        <v>0</v>
      </c>
      <c r="R10" s="79">
        <f t="shared" ca="1" si="8"/>
        <v>0</v>
      </c>
      <c r="S10" s="79">
        <f t="shared" ca="1" si="9"/>
        <v>7</v>
      </c>
    </row>
    <row r="11" spans="1:19">
      <c r="A11" s="1">
        <f ca="1">IFERROR(__xludf.DUMMYFUNCTION("""COMPUTED_VALUE"""),2599)</f>
        <v>2599</v>
      </c>
      <c r="B11" s="1" t="str">
        <f ca="1">IFERROR(__xludf.DUMMYFUNCTION("""COMPUTED_VALUE"""),"PKM AI")</f>
        <v>PKM AI</v>
      </c>
      <c r="C11" s="1" t="str">
        <f ca="1">IFERROR(__xludf.DUMMYFUNCTION("""COMPUTED_VALUE"""),"lihat pdf")</f>
        <v>lihat pdf</v>
      </c>
      <c r="D11" s="1" t="str">
        <f ca="1">IFERROR(__xludf.DUMMYFUNCTION("""COMPUTED_VALUE"""),"LAYAK UPLOAD KE SIMBELMAWA DENGAN REVISI")</f>
        <v>LAYAK UPLOAD KE SIMBELMAWA DENGAN REVISI</v>
      </c>
      <c r="E11" s="7" t="str">
        <f ca="1">IFERROR(__xludf.DUMMYFUNCTION("""COMPUTED_VALUE"""),"https://drive.google.com/open?id=1pEIWUu9oWsz2kudrcwXBUxp7n3kCQtVT")</f>
        <v>https://drive.google.com/open?id=1pEIWUu9oWsz2kudrcwXBUxp7n3kCQtVT</v>
      </c>
      <c r="F11" s="1">
        <f t="shared" ca="1" si="0"/>
        <v>0</v>
      </c>
      <c r="H11" s="76" t="s">
        <v>695</v>
      </c>
      <c r="I11" s="77">
        <f t="shared" ca="1" si="1"/>
        <v>0</v>
      </c>
      <c r="J11" s="78">
        <f t="shared" ca="1" si="2"/>
        <v>0</v>
      </c>
      <c r="K11" s="78">
        <f t="shared" ca="1" si="3"/>
        <v>0</v>
      </c>
      <c r="L11" s="78">
        <f t="shared" ca="1" si="4"/>
        <v>0</v>
      </c>
      <c r="N11" s="79" t="s">
        <v>1206</v>
      </c>
      <c r="O11" s="79">
        <f t="shared" ca="1" si="5"/>
        <v>31</v>
      </c>
      <c r="P11" s="79">
        <f t="shared" ca="1" si="6"/>
        <v>0</v>
      </c>
      <c r="Q11" s="79">
        <f t="shared" ca="1" si="7"/>
        <v>0</v>
      </c>
      <c r="R11" s="79">
        <f t="shared" ca="1" si="8"/>
        <v>0</v>
      </c>
      <c r="S11" s="79">
        <f t="shared" ca="1" si="9"/>
        <v>0</v>
      </c>
    </row>
    <row r="12" spans="1:19">
      <c r="A12" s="1">
        <f ca="1">IFERROR(__xludf.DUMMYFUNCTION("""COMPUTED_VALUE"""),3820)</f>
        <v>3820</v>
      </c>
      <c r="B12" s="1" t="str">
        <f ca="1">IFERROR(__xludf.DUMMYFUNCTION("""COMPUTED_VALUE"""),"PKM AI")</f>
        <v>PKM AI</v>
      </c>
      <c r="C12" s="1" t="str">
        <f ca="1">IFERROR(__xludf.DUMMYFUNCTION("""COMPUTED_VALUE"""),"lihat pdf")</f>
        <v>lihat pdf</v>
      </c>
      <c r="D12" s="1" t="str">
        <f ca="1">IFERROR(__xludf.DUMMYFUNCTION("""COMPUTED_VALUE"""),"LAYAK UPLOAD KE SIMBELMAWA DENGAN REVISI")</f>
        <v>LAYAK UPLOAD KE SIMBELMAWA DENGAN REVISI</v>
      </c>
      <c r="E12" s="7" t="str">
        <f ca="1">IFERROR(__xludf.DUMMYFUNCTION("""COMPUTED_VALUE"""),"https://drive.google.com/open?id=1EChVbA0hNNEKSG4Ug4RPN_bC7INp5NNh")</f>
        <v>https://drive.google.com/open?id=1EChVbA0hNNEKSG4Ug4RPN_bC7INp5NNh</v>
      </c>
      <c r="F12" s="1">
        <f t="shared" ca="1" si="0"/>
        <v>0</v>
      </c>
      <c r="H12" s="76" t="s">
        <v>1066</v>
      </c>
      <c r="I12" s="77">
        <f t="shared" ca="1" si="1"/>
        <v>0</v>
      </c>
      <c r="J12" s="78">
        <f t="shared" ca="1" si="2"/>
        <v>0</v>
      </c>
      <c r="K12" s="78">
        <f t="shared" ca="1" si="3"/>
        <v>0</v>
      </c>
      <c r="L12" s="78">
        <f t="shared" ca="1" si="4"/>
        <v>0</v>
      </c>
      <c r="O12" s="1">
        <f t="shared" ref="O12:S12" ca="1" si="10">SUM(O2:O11)</f>
        <v>540</v>
      </c>
      <c r="P12" s="1">
        <f t="shared" ca="1" si="10"/>
        <v>0</v>
      </c>
      <c r="Q12" s="1">
        <f t="shared" ca="1" si="10"/>
        <v>0</v>
      </c>
      <c r="R12" s="1">
        <f t="shared" ca="1" si="10"/>
        <v>0</v>
      </c>
      <c r="S12" s="1">
        <f t="shared" ca="1" si="10"/>
        <v>54</v>
      </c>
    </row>
    <row r="13" spans="1:19">
      <c r="A13" s="1">
        <f ca="1">IFERROR(__xludf.DUMMYFUNCTION("""COMPUTED_VALUE"""),3132)</f>
        <v>3132</v>
      </c>
      <c r="B13" s="1" t="str">
        <f ca="1">IFERROR(__xludf.DUMMYFUNCTION("""COMPUTED_VALUE"""),"PKM AI")</f>
        <v>PKM AI</v>
      </c>
      <c r="C13" s="1" t="str">
        <f ca="1">IFERROR(__xludf.DUMMYFUNCTION("""COMPUTED_VALUE"""),"lihat pdf")</f>
        <v>lihat pdf</v>
      </c>
      <c r="D13" s="1" t="str">
        <f ca="1">IFERROR(__xludf.DUMMYFUNCTION("""COMPUTED_VALUE"""),"LAYAK UPLOAD KE SIMBELMAWA DENGAN REVISI")</f>
        <v>LAYAK UPLOAD KE SIMBELMAWA DENGAN REVISI</v>
      </c>
      <c r="E13" s="7" t="str">
        <f ca="1">IFERROR(__xludf.DUMMYFUNCTION("""COMPUTED_VALUE"""),"https://drive.google.com/open?id=1H5wheC2jA3SShaOgr9BqIUX44AlkDvDF")</f>
        <v>https://drive.google.com/open?id=1H5wheC2jA3SShaOgr9BqIUX44AlkDvDF</v>
      </c>
      <c r="F13" s="1">
        <f t="shared" ca="1" si="0"/>
        <v>0</v>
      </c>
      <c r="H13" s="76" t="s">
        <v>601</v>
      </c>
      <c r="I13" s="77">
        <f t="shared" ca="1" si="1"/>
        <v>0</v>
      </c>
      <c r="J13" s="78">
        <f t="shared" ca="1" si="2"/>
        <v>0</v>
      </c>
      <c r="K13" s="78">
        <f t="shared" ca="1" si="3"/>
        <v>0</v>
      </c>
      <c r="L13" s="78">
        <f t="shared" ca="1" si="4"/>
        <v>0</v>
      </c>
      <c r="P13" s="80" t="s">
        <v>1311</v>
      </c>
      <c r="Q13" s="81">
        <f ca="1">P12+Q12</f>
        <v>0</v>
      </c>
      <c r="S13" s="1">
        <f ca="1">SUM(S4:S11)</f>
        <v>40</v>
      </c>
    </row>
    <row r="14" spans="1:19">
      <c r="A14" s="1">
        <f ca="1">IFERROR(__xludf.DUMMYFUNCTION("""COMPUTED_VALUE"""),2033)</f>
        <v>2033</v>
      </c>
      <c r="B14" s="1" t="str">
        <f ca="1">IFERROR(__xludf.DUMMYFUNCTION("""COMPUTED_VALUE"""),"PKM AI")</f>
        <v>PKM AI</v>
      </c>
      <c r="C14" s="1" t="str">
        <f ca="1">IFERROR(__xludf.DUMMYFUNCTION("""COMPUTED_VALUE"""),"lihat pdf")</f>
        <v>lihat pdf</v>
      </c>
      <c r="D14" s="1" t="str">
        <f ca="1">IFERROR(__xludf.DUMMYFUNCTION("""COMPUTED_VALUE"""),"LAYAK UPLOAD KE SIMBELMAWA DENGAN REVISI")</f>
        <v>LAYAK UPLOAD KE SIMBELMAWA DENGAN REVISI</v>
      </c>
      <c r="E14" s="7" t="str">
        <f ca="1">IFERROR(__xludf.DUMMYFUNCTION("""COMPUTED_VALUE"""),"https://drive.google.com/open?id=1FmGTyRLG0XFGRoalaAxpCxFB7xrzyJHS")</f>
        <v>https://drive.google.com/open?id=1FmGTyRLG0XFGRoalaAxpCxFB7xrzyJHS</v>
      </c>
      <c r="F14" s="1">
        <f t="shared" ca="1" si="0"/>
        <v>0</v>
      </c>
      <c r="H14" s="76" t="s">
        <v>804</v>
      </c>
      <c r="I14" s="77">
        <f t="shared" ca="1" si="1"/>
        <v>0</v>
      </c>
      <c r="J14" s="78">
        <f t="shared" ca="1" si="2"/>
        <v>0</v>
      </c>
      <c r="K14" s="78">
        <f t="shared" ca="1" si="3"/>
        <v>0</v>
      </c>
      <c r="L14" s="78">
        <f t="shared" ca="1" si="4"/>
        <v>0</v>
      </c>
    </row>
    <row r="15" spans="1:19">
      <c r="A15" s="1">
        <f ca="1">IFERROR(__xludf.DUMMYFUNCTION("""COMPUTED_VALUE"""),2760)</f>
        <v>2760</v>
      </c>
      <c r="B15" s="1" t="str">
        <f ca="1">IFERROR(__xludf.DUMMYFUNCTION("""COMPUTED_VALUE"""),"PKM AI")</f>
        <v>PKM AI</v>
      </c>
      <c r="C15" s="1" t="str">
        <f ca="1">IFERROR(__xludf.DUMMYFUNCTION("""COMPUTED_VALUE"""),"-")</f>
        <v>-</v>
      </c>
      <c r="D15" s="1" t="str">
        <f ca="1">IFERROR(__xludf.DUMMYFUNCTION("""COMPUTED_VALUE"""),"LAYAK UPLOAD KE SIMBELMAWA")</f>
        <v>LAYAK UPLOAD KE SIMBELMAWA</v>
      </c>
      <c r="E15" s="7" t="str">
        <f ca="1">IFERROR(__xludf.DUMMYFUNCTION("""COMPUTED_VALUE"""),"https://drive.google.com/open?id=1D6HvzsYq7emOrr3nwYCMxtmaG6HL6ahw")</f>
        <v>https://drive.google.com/open?id=1D6HvzsYq7emOrr3nwYCMxtmaG6HL6ahw</v>
      </c>
      <c r="F15" s="1">
        <f t="shared" ca="1" si="0"/>
        <v>0</v>
      </c>
      <c r="H15" s="76" t="s">
        <v>577</v>
      </c>
      <c r="I15" s="77">
        <f t="shared" ca="1" si="1"/>
        <v>0</v>
      </c>
      <c r="J15" s="78">
        <f t="shared" ca="1" si="2"/>
        <v>0</v>
      </c>
      <c r="K15" s="78">
        <f t="shared" ca="1" si="3"/>
        <v>0</v>
      </c>
      <c r="L15" s="78">
        <f t="shared" ca="1" si="4"/>
        <v>0</v>
      </c>
    </row>
    <row r="16" spans="1:19">
      <c r="A16" s="1">
        <f ca="1">IFERROR(__xludf.DUMMYFUNCTION("""COMPUTED_VALUE"""),3808)</f>
        <v>3808</v>
      </c>
      <c r="B16" s="1" t="str">
        <f ca="1">IFERROR(__xludf.DUMMYFUNCTION("""COMPUTED_VALUE"""),"PKM AI")</f>
        <v>PKM AI</v>
      </c>
      <c r="C16" s="1" t="str">
        <f ca="1">IFERROR(__xludf.DUMMYFUNCTION("""COMPUTED_VALUE"""),"sumber kegiatan tidak jelas dan data berupa data sekunder")</f>
        <v>sumber kegiatan tidak jelas dan data berupa data sekunder</v>
      </c>
      <c r="D16" s="1" t="str">
        <f ca="1">IFERROR(__xludf.DUMMYFUNCTION("""COMPUTED_VALUE"""),"TIDAK LAYAK UPLOAD KE SIMBELMAWA")</f>
        <v>TIDAK LAYAK UPLOAD KE SIMBELMAWA</v>
      </c>
      <c r="E16" s="7" t="str">
        <f ca="1">IFERROR(__xludf.DUMMYFUNCTION("""COMPUTED_VALUE"""),"https://drive.google.com/open?id=1t7SqR2GytUPcLXx2JG_IuW5pscfINiQ9")</f>
        <v>https://drive.google.com/open?id=1t7SqR2GytUPcLXx2JG_IuW5pscfINiQ9</v>
      </c>
      <c r="F16" s="1">
        <f t="shared" ca="1" si="0"/>
        <v>0</v>
      </c>
      <c r="H16" s="76" t="s">
        <v>576</v>
      </c>
      <c r="I16" s="77">
        <f t="shared" ca="1" si="1"/>
        <v>0</v>
      </c>
      <c r="J16" s="78">
        <f t="shared" ca="1" si="2"/>
        <v>0</v>
      </c>
      <c r="K16" s="78">
        <f t="shared" ca="1" si="3"/>
        <v>0</v>
      </c>
      <c r="L16" s="78">
        <f t="shared" ca="1" si="4"/>
        <v>0</v>
      </c>
    </row>
    <row r="17" spans="1:12">
      <c r="A17" s="1">
        <f ca="1">IFERROR(__xludf.DUMMYFUNCTION("""COMPUTED_VALUE"""),2441)</f>
        <v>2441</v>
      </c>
      <c r="B17" s="1" t="str">
        <f ca="1">IFERROR(__xludf.DUMMYFUNCTION("""COMPUTED_VALUE"""),"PKM AI")</f>
        <v>PKM AI</v>
      </c>
      <c r="C17" s="1" t="str">
        <f ca="1">IFERROR(__xludf.DUMMYFUNCTION("""COMPUTED_VALUE"""),"tidak ilmiah")</f>
        <v>tidak ilmiah</v>
      </c>
      <c r="D17" s="1" t="str">
        <f ca="1">IFERROR(__xludf.DUMMYFUNCTION("""COMPUTED_VALUE"""),"TIDAK LAYAK UPLOAD KE SIMBELMAWA")</f>
        <v>TIDAK LAYAK UPLOAD KE SIMBELMAWA</v>
      </c>
      <c r="E17" s="7" t="str">
        <f ca="1">IFERROR(__xludf.DUMMYFUNCTION("""COMPUTED_VALUE"""),"https://drive.google.com/open?id=1IfutzzvOBuwEw2hQ2SsAA7p2ltQvijTL")</f>
        <v>https://drive.google.com/open?id=1IfutzzvOBuwEw2hQ2SsAA7p2ltQvijTL</v>
      </c>
      <c r="F17" s="1">
        <f t="shared" ca="1" si="0"/>
        <v>0</v>
      </c>
      <c r="H17" s="76" t="s">
        <v>1270</v>
      </c>
      <c r="I17" s="77">
        <f t="shared" ca="1" si="1"/>
        <v>0</v>
      </c>
      <c r="J17" s="78">
        <f t="shared" ca="1" si="2"/>
        <v>0</v>
      </c>
      <c r="K17" s="78">
        <f t="shared" ca="1" si="3"/>
        <v>0</v>
      </c>
      <c r="L17" s="78">
        <f t="shared" ca="1" si="4"/>
        <v>0</v>
      </c>
    </row>
    <row r="18" spans="1:12">
      <c r="A18" s="1">
        <f ca="1">IFERROR(__xludf.DUMMYFUNCTION("""COMPUTED_VALUE"""),2248)</f>
        <v>2248</v>
      </c>
      <c r="B18" s="1" t="str">
        <f ca="1">IFERROR(__xludf.DUMMYFUNCTION("""COMPUTED_VALUE"""),"PKM AI")</f>
        <v>PKM AI</v>
      </c>
      <c r="C18" s="1" t="str">
        <f ca="1">IFERROR(__xludf.DUMMYFUNCTION("""COMPUTED_VALUE"""),"lihat pdf")</f>
        <v>lihat pdf</v>
      </c>
      <c r="D18" s="1" t="str">
        <f ca="1">IFERROR(__xludf.DUMMYFUNCTION("""COMPUTED_VALUE"""),"LAYAK UPLOAD KE SIMBELMAWA DENGAN REVISI")</f>
        <v>LAYAK UPLOAD KE SIMBELMAWA DENGAN REVISI</v>
      </c>
      <c r="E18" s="7" t="str">
        <f ca="1">IFERROR(__xludf.DUMMYFUNCTION("""COMPUTED_VALUE"""),"https://drive.google.com/open?id=1JqYLaVQxUhH363pxsU68dldiW875s3ef")</f>
        <v>https://drive.google.com/open?id=1JqYLaVQxUhH363pxsU68dldiW875s3ef</v>
      </c>
      <c r="F18" s="1">
        <f t="shared" ca="1" si="0"/>
        <v>0</v>
      </c>
      <c r="H18" s="76" t="s">
        <v>1288</v>
      </c>
      <c r="I18" s="77">
        <f t="shared" ca="1" si="1"/>
        <v>0</v>
      </c>
      <c r="J18" s="78">
        <f t="shared" ca="1" si="2"/>
        <v>0</v>
      </c>
      <c r="K18" s="78">
        <f t="shared" ca="1" si="3"/>
        <v>0</v>
      </c>
      <c r="L18" s="78">
        <f t="shared" ca="1" si="4"/>
        <v>0</v>
      </c>
    </row>
    <row r="19" spans="1:12">
      <c r="A19" s="1">
        <f ca="1">IFERROR(__xludf.DUMMYFUNCTION("""COMPUTED_VALUE"""),2411)</f>
        <v>2411</v>
      </c>
      <c r="B19" s="1" t="str">
        <f ca="1">IFERROR(__xludf.DUMMYFUNCTION("""COMPUTED_VALUE"""),"PKM AI")</f>
        <v>PKM AI</v>
      </c>
      <c r="C19" s="1" t="str">
        <f ca="1">IFERROR(__xludf.DUMMYFUNCTION("""COMPUTED_VALUE"""),"ada 1 sitasi yang tidak sesuai")</f>
        <v>ada 1 sitasi yang tidak sesuai</v>
      </c>
      <c r="D19" s="1" t="str">
        <f ca="1">IFERROR(__xludf.DUMMYFUNCTION("""COMPUTED_VALUE"""),"LAYAK UPLOAD KE SIMBELMAWA DENGAN REVISI")</f>
        <v>LAYAK UPLOAD KE SIMBELMAWA DENGAN REVISI</v>
      </c>
      <c r="E19" s="7" t="str">
        <f ca="1">IFERROR(__xludf.DUMMYFUNCTION("""COMPUTED_VALUE"""),"https://drive.google.com/open?id=1LswZsUo9KcdQ2dyw9neOJQ4r3efUdMsA")</f>
        <v>https://drive.google.com/open?id=1LswZsUo9KcdQ2dyw9neOJQ4r3efUdMsA</v>
      </c>
      <c r="F19" s="1">
        <f t="shared" ca="1" si="0"/>
        <v>0</v>
      </c>
      <c r="H19" s="76" t="s">
        <v>748</v>
      </c>
      <c r="I19" s="77">
        <f t="shared" ca="1" si="1"/>
        <v>0</v>
      </c>
      <c r="J19" s="78">
        <f t="shared" ca="1" si="2"/>
        <v>0</v>
      </c>
      <c r="K19" s="78">
        <f t="shared" ca="1" si="3"/>
        <v>0</v>
      </c>
      <c r="L19" s="78">
        <f t="shared" ca="1" si="4"/>
        <v>0</v>
      </c>
    </row>
    <row r="20" spans="1:12">
      <c r="A20" s="1">
        <f ca="1">IFERROR(__xludf.DUMMYFUNCTION("""COMPUTED_VALUE"""),3764)</f>
        <v>3764</v>
      </c>
      <c r="B20" s="1" t="str">
        <f ca="1">IFERROR(__xludf.DUMMYFUNCTION("""COMPUTED_VALUE"""),"PKM AI")</f>
        <v>PKM AI</v>
      </c>
      <c r="C20" s="1" t="str">
        <f ca="1">IFERROR(__xludf.DUMMYFUNCTION("""COMPUTED_VALUE"""),"lihat pdf")</f>
        <v>lihat pdf</v>
      </c>
      <c r="D20" s="1" t="str">
        <f ca="1">IFERROR(__xludf.DUMMYFUNCTION("""COMPUTED_VALUE"""),"LAYAK UPLOAD KE SIMBELMAWA DENGAN REVISI")</f>
        <v>LAYAK UPLOAD KE SIMBELMAWA DENGAN REVISI</v>
      </c>
      <c r="E20" s="7" t="str">
        <f ca="1">IFERROR(__xludf.DUMMYFUNCTION("""COMPUTED_VALUE"""),"https://drive.google.com/open?id=10vbYmbxC8mGJLHyABWfxkYuXCPrDlEK7")</f>
        <v>https://drive.google.com/open?id=10vbYmbxC8mGJLHyABWfxkYuXCPrDlEK7</v>
      </c>
      <c r="F20" s="1">
        <f t="shared" ca="1" si="0"/>
        <v>0</v>
      </c>
      <c r="H20" s="76" t="s">
        <v>757</v>
      </c>
      <c r="I20" s="77">
        <f t="shared" ca="1" si="1"/>
        <v>0</v>
      </c>
      <c r="J20" s="78">
        <f t="shared" ca="1" si="2"/>
        <v>0</v>
      </c>
      <c r="K20" s="78">
        <f t="shared" ca="1" si="3"/>
        <v>0</v>
      </c>
      <c r="L20" s="78">
        <f t="shared" ca="1" si="4"/>
        <v>0</v>
      </c>
    </row>
    <row r="21" spans="1:12">
      <c r="A21" s="1">
        <f ca="1">IFERROR(__xludf.DUMMYFUNCTION("""COMPUTED_VALUE"""),3963)</f>
        <v>3963</v>
      </c>
      <c r="B21" s="1" t="str">
        <f ca="1">IFERROR(__xludf.DUMMYFUNCTION("""COMPUTED_VALUE"""),"PKM AI")</f>
        <v>PKM AI</v>
      </c>
      <c r="C21" s="1" t="str">
        <f ca="1">IFERROR(__xludf.DUMMYFUNCTION("""COMPUTED_VALUE"""),"lihat komentar di pdf")</f>
        <v>lihat komentar di pdf</v>
      </c>
      <c r="D21" s="1" t="str">
        <f ca="1">IFERROR(__xludf.DUMMYFUNCTION("""COMPUTED_VALUE"""),"LAYAK UPLOAD KE SIMBELMAWA DENGAN REVISI")</f>
        <v>LAYAK UPLOAD KE SIMBELMAWA DENGAN REVISI</v>
      </c>
      <c r="E21" s="7" t="str">
        <f ca="1">IFERROR(__xludf.DUMMYFUNCTION("""COMPUTED_VALUE"""),"https://drive.google.com/open?id=11_4rpJEp9UQdFi4S6So_v-Rp3OiXNft-")</f>
        <v>https://drive.google.com/open?id=11_4rpJEp9UQdFi4S6So_v-Rp3OiXNft-</v>
      </c>
      <c r="F21" s="1">
        <f t="shared" ca="1" si="0"/>
        <v>0</v>
      </c>
      <c r="H21" s="4"/>
      <c r="I21" s="4"/>
      <c r="J21" s="82"/>
      <c r="K21" s="82"/>
      <c r="L21" s="82"/>
    </row>
    <row r="22" spans="1:12">
      <c r="A22" s="1">
        <f ca="1">IFERROR(__xludf.DUMMYFUNCTION("""COMPUTED_VALUE"""),2691)</f>
        <v>2691</v>
      </c>
      <c r="B22" s="1" t="str">
        <f ca="1">IFERROR(__xludf.DUMMYFUNCTION("""COMPUTED_VALUE"""),"PKM AI")</f>
        <v>PKM AI</v>
      </c>
      <c r="C22" s="1" t="str">
        <f ca="1">IFERROR(__xludf.DUMMYFUNCTION("""COMPUTED_VALUE""")," ")</f>
        <v xml:space="preserve"> </v>
      </c>
      <c r="D22" s="1" t="str">
        <f ca="1">IFERROR(__xludf.DUMMYFUNCTION("""COMPUTED_VALUE""")," ")</f>
        <v xml:space="preserve"> </v>
      </c>
      <c r="E22" s="1"/>
      <c r="F22" s="1">
        <f t="shared" ca="1" si="0"/>
        <v>2</v>
      </c>
      <c r="H22" s="4"/>
      <c r="I22" s="4"/>
      <c r="J22" s="82"/>
      <c r="K22" s="82"/>
      <c r="L22" s="82"/>
    </row>
    <row r="23" spans="1:12">
      <c r="A23" s="1">
        <f ca="1">IFERROR(__xludf.DUMMYFUNCTION("""COMPUTED_VALUE"""),2287)</f>
        <v>2287</v>
      </c>
      <c r="B23" s="1" t="str">
        <f ca="1">IFERROR(__xludf.DUMMYFUNCTION("""COMPUTED_VALUE"""),"PKM AI")</f>
        <v>PKM AI</v>
      </c>
      <c r="C23" s="1" t="str">
        <f ca="1">IFERROR(__xludf.DUMMYFUNCTION("""COMPUTED_VALUE"""),"tidak sesuai keilmuan, kegiatan lampau tidak jelas")</f>
        <v>tidak sesuai keilmuan, kegiatan lampau tidak jelas</v>
      </c>
      <c r="D23" s="1" t="str">
        <f ca="1">IFERROR(__xludf.DUMMYFUNCTION("""COMPUTED_VALUE"""),"TIDAK LAYAK UPLOAD KE SIMBELMAWA")</f>
        <v>TIDAK LAYAK UPLOAD KE SIMBELMAWA</v>
      </c>
      <c r="E23" s="7" t="str">
        <f ca="1">IFERROR(__xludf.DUMMYFUNCTION("""COMPUTED_VALUE"""),"https://drive.google.com/open?id=1q_7hkEsef5TNODKLrNczKASW2_HQ3C9A")</f>
        <v>https://drive.google.com/open?id=1q_7hkEsef5TNODKLrNczKASW2_HQ3C9A</v>
      </c>
      <c r="F23" s="1">
        <f t="shared" ca="1" si="0"/>
        <v>0</v>
      </c>
      <c r="H23" s="4"/>
      <c r="I23" s="4"/>
      <c r="J23" s="82"/>
      <c r="K23" s="82"/>
      <c r="L23" s="82"/>
    </row>
    <row r="24" spans="1:12">
      <c r="A24" s="1">
        <f ca="1">IFERROR(__xludf.DUMMYFUNCTION("""COMPUTED_VALUE"""),2390)</f>
        <v>2390</v>
      </c>
      <c r="B24" s="1" t="str">
        <f ca="1">IFERROR(__xludf.DUMMYFUNCTION("""COMPUTED_VALUE"""),"PKM AI")</f>
        <v>PKM AI</v>
      </c>
      <c r="C24" s="1" t="str">
        <f ca="1">IFERROR(__xludf.DUMMYFUNCTION("""COMPUTED_VALUE"""),"data sekunder")</f>
        <v>data sekunder</v>
      </c>
      <c r="D24" s="1" t="str">
        <f ca="1">IFERROR(__xludf.DUMMYFUNCTION("""COMPUTED_VALUE"""),"TIDAK LAYAK UPLOAD KE SIMBELMAWA")</f>
        <v>TIDAK LAYAK UPLOAD KE SIMBELMAWA</v>
      </c>
      <c r="E24" s="7" t="str">
        <f ca="1">IFERROR(__xludf.DUMMYFUNCTION("""COMPUTED_VALUE"""),"https://drive.google.com/open?id=1bR-D0JF4G7LICUyiDRIsrHTxwLx3xXEs")</f>
        <v>https://drive.google.com/open?id=1bR-D0JF4G7LICUyiDRIsrHTxwLx3xXEs</v>
      </c>
      <c r="F24" s="1">
        <f t="shared" ca="1" si="0"/>
        <v>0</v>
      </c>
      <c r="H24" s="4"/>
      <c r="I24" s="4"/>
      <c r="J24" s="82"/>
      <c r="K24" s="82"/>
      <c r="L24" s="82"/>
    </row>
    <row r="25" spans="1:12">
      <c r="A25" s="1">
        <f ca="1">IFERROR(__xludf.DUMMYFUNCTION("""COMPUTED_VALUE"""),2337)</f>
        <v>2337</v>
      </c>
      <c r="B25" s="1" t="str">
        <f ca="1">IFERROR(__xludf.DUMMYFUNCTION("""COMPUTED_VALUE"""),"PKM AI")</f>
        <v>PKM AI</v>
      </c>
      <c r="C25" s="1" t="str">
        <f ca="1">IFERROR(__xludf.DUMMYFUNCTION("""COMPUTED_VALUE"""),"lihat pdf")</f>
        <v>lihat pdf</v>
      </c>
      <c r="D25" s="1" t="str">
        <f ca="1">IFERROR(__xludf.DUMMYFUNCTION("""COMPUTED_VALUE"""),"LAYAK UPLOAD KE SIMBELMAWA DENGAN REVISI")</f>
        <v>LAYAK UPLOAD KE SIMBELMAWA DENGAN REVISI</v>
      </c>
      <c r="E25" s="7" t="str">
        <f ca="1">IFERROR(__xludf.DUMMYFUNCTION("""COMPUTED_VALUE"""),"https://drive.google.com/open?id=1icAqMnQ2o5iTbkzTsuhwbr8ap549HGwK")</f>
        <v>https://drive.google.com/open?id=1icAqMnQ2o5iTbkzTsuhwbr8ap549HGwK</v>
      </c>
      <c r="F25" s="1">
        <f t="shared" ca="1" si="0"/>
        <v>0</v>
      </c>
      <c r="H25" s="4"/>
      <c r="I25" s="4"/>
      <c r="J25" s="82"/>
      <c r="K25" s="82"/>
      <c r="L25" s="82"/>
    </row>
    <row r="26" spans="1:12">
      <c r="A26" s="1">
        <f ca="1">IFERROR(__xludf.DUMMYFUNCTION("""COMPUTED_VALUE"""),2686)</f>
        <v>2686</v>
      </c>
      <c r="B26" s="1" t="str">
        <f ca="1">IFERROR(__xludf.DUMMYFUNCTION("""COMPUTED_VALUE"""),"PKM AI")</f>
        <v>PKM AI</v>
      </c>
      <c r="C26" s="1" t="str">
        <f ca="1">IFERROR(__xludf.DUMMYFUNCTION("""COMPUTED_VALUE"""),"lihat pdf")</f>
        <v>lihat pdf</v>
      </c>
      <c r="D26" s="1" t="str">
        <f ca="1">IFERROR(__xludf.DUMMYFUNCTION("""COMPUTED_VALUE"""),"LAYAK UPLOAD KE SIMBELMAWA DENGAN REVISI")</f>
        <v>LAYAK UPLOAD KE SIMBELMAWA DENGAN REVISI</v>
      </c>
      <c r="E26" s="7" t="str">
        <f ca="1">IFERROR(__xludf.DUMMYFUNCTION("""COMPUTED_VALUE"""),"https://drive.google.com/open?id=1r8vrVvoo6Pf7SwVBb-wlzVLoL9M9rlS7")</f>
        <v>https://drive.google.com/open?id=1r8vrVvoo6Pf7SwVBb-wlzVLoL9M9rlS7</v>
      </c>
      <c r="F26" s="1">
        <f t="shared" ca="1" si="0"/>
        <v>0</v>
      </c>
      <c r="H26" s="4"/>
      <c r="I26" s="4"/>
      <c r="J26" s="27"/>
      <c r="K26" s="27"/>
      <c r="L26" s="27"/>
    </row>
    <row r="27" spans="1:12">
      <c r="A27" s="1">
        <f ca="1">IFERROR(__xludf.DUMMYFUNCTION("""COMPUTED_VALUE"""),3907)</f>
        <v>3907</v>
      </c>
      <c r="B27" s="1" t="str">
        <f ca="1">IFERROR(__xludf.DUMMYFUNCTION("""COMPUTED_VALUE"""),"PKM AI")</f>
        <v>PKM AI</v>
      </c>
      <c r="C27" s="1" t="str">
        <f ca="1">IFERROR(__xludf.DUMMYFUNCTION("""COMPUTED_VALUE""")," ")</f>
        <v xml:space="preserve"> </v>
      </c>
      <c r="D27" s="1" t="str">
        <f ca="1">IFERROR(__xludf.DUMMYFUNCTION("""COMPUTED_VALUE""")," ")</f>
        <v xml:space="preserve"> </v>
      </c>
      <c r="E27" s="1"/>
      <c r="F27" s="1">
        <f t="shared" ca="1" si="0"/>
        <v>2</v>
      </c>
      <c r="H27" s="4"/>
      <c r="I27" s="4"/>
      <c r="J27" s="27"/>
      <c r="K27" s="27"/>
      <c r="L27" s="27"/>
    </row>
    <row r="28" spans="1:12">
      <c r="A28" s="1">
        <f ca="1">IFERROR(__xludf.DUMMYFUNCTION("""COMPUTED_VALUE"""),2774)</f>
        <v>2774</v>
      </c>
      <c r="B28" s="1" t="str">
        <f ca="1">IFERROR(__xludf.DUMMYFUNCTION("""COMPUTED_VALUE"""),"PKM AI")</f>
        <v>PKM AI</v>
      </c>
      <c r="C28" s="1" t="str">
        <f ca="1">IFERROR(__xludf.DUMMYFUNCTION("""COMPUTED_VALUE"""),"perbaiki caption2 gambar")</f>
        <v>perbaiki caption2 gambar</v>
      </c>
      <c r="D28" s="1" t="str">
        <f ca="1">IFERROR(__xludf.DUMMYFUNCTION("""COMPUTED_VALUE"""),"LAYAK UPLOAD KE SIMBELMAWA DENGAN REVISI")</f>
        <v>LAYAK UPLOAD KE SIMBELMAWA DENGAN REVISI</v>
      </c>
      <c r="E28" s="7" t="str">
        <f ca="1">IFERROR(__xludf.DUMMYFUNCTION("""COMPUTED_VALUE"""),"https://drive.google.com/open?id=1WB72HQcfRt272ArNE-hkLZjjUCxVyWj0")</f>
        <v>https://drive.google.com/open?id=1WB72HQcfRt272ArNE-hkLZjjUCxVyWj0</v>
      </c>
      <c r="F28" s="1">
        <f t="shared" ca="1" si="0"/>
        <v>0</v>
      </c>
      <c r="H28" s="4"/>
      <c r="I28" s="4"/>
      <c r="J28" s="27"/>
      <c r="K28" s="27"/>
      <c r="L28" s="27"/>
    </row>
    <row r="29" spans="1:12">
      <c r="A29" s="1">
        <f ca="1">IFERROR(__xludf.DUMMYFUNCTION("""COMPUTED_VALUE"""),2851)</f>
        <v>2851</v>
      </c>
      <c r="B29" s="1" t="str">
        <f ca="1">IFERROR(__xludf.DUMMYFUNCTION("""COMPUTED_VALUE"""),"PKM AI")</f>
        <v>PKM AI</v>
      </c>
      <c r="C29" s="1" t="str">
        <f ca="1">IFERROR(__xludf.DUMMYFUNCTION("""COMPUTED_VALUE""")," ")</f>
        <v xml:space="preserve"> </v>
      </c>
      <c r="D29" s="1" t="str">
        <f ca="1">IFERROR(__xludf.DUMMYFUNCTION("""COMPUTED_VALUE""")," ")</f>
        <v xml:space="preserve"> </v>
      </c>
      <c r="E29" s="1"/>
      <c r="F29" s="1">
        <f t="shared" ca="1" si="0"/>
        <v>2</v>
      </c>
      <c r="H29" s="4"/>
      <c r="I29" s="4"/>
      <c r="J29" s="27"/>
      <c r="K29" s="27"/>
      <c r="L29" s="27"/>
    </row>
    <row r="30" spans="1:12">
      <c r="A30" s="1">
        <f ca="1">IFERROR(__xludf.DUMMYFUNCTION("""COMPUTED_VALUE"""),4102)</f>
        <v>4102</v>
      </c>
      <c r="B30" s="1" t="str">
        <f ca="1">IFERROR(__xludf.DUMMYFUNCTION("""COMPUTED_VALUE"""),"PKM AI")</f>
        <v>PKM AI</v>
      </c>
      <c r="C30" s="1" t="str">
        <f ca="1">IFERROR(__xludf.DUMMYFUNCTION("""COMPUTED_VALUE"""),"lihat file pdf")</f>
        <v>lihat file pdf</v>
      </c>
      <c r="D30" s="1" t="str">
        <f ca="1">IFERROR(__xludf.DUMMYFUNCTION("""COMPUTED_VALUE"""),"LAYAK UPLOAD KE SIMBELMAWA DENGAN REVISI")</f>
        <v>LAYAK UPLOAD KE SIMBELMAWA DENGAN REVISI</v>
      </c>
      <c r="E30" s="7" t="str">
        <f ca="1">IFERROR(__xludf.DUMMYFUNCTION("""COMPUTED_VALUE"""),"https://drive.google.com/open?id=1FGsUAPQFNXrcy90gcjGXX6jUK21SBPrd")</f>
        <v>https://drive.google.com/open?id=1FGsUAPQFNXrcy90gcjGXX6jUK21SBPrd</v>
      </c>
      <c r="F30" s="1">
        <f t="shared" ca="1" si="0"/>
        <v>0</v>
      </c>
      <c r="H30" s="4"/>
      <c r="I30" s="4"/>
      <c r="J30" s="27"/>
      <c r="K30" s="27"/>
      <c r="L30" s="27"/>
    </row>
    <row r="31" spans="1:12">
      <c r="A31" s="1">
        <f ca="1">IFERROR(__xludf.DUMMYFUNCTION("""COMPUTED_VALUE"""),2596)</f>
        <v>2596</v>
      </c>
      <c r="B31" s="1" t="str">
        <f ca="1">IFERROR(__xludf.DUMMYFUNCTION("""COMPUTED_VALUE"""),"PKM AI")</f>
        <v>PKM AI</v>
      </c>
      <c r="C31" s="1" t="str">
        <f ca="1">IFERROR(__xludf.DUMMYFUNCTION("""COMPUTED_VALUE""")," ")</f>
        <v xml:space="preserve"> </v>
      </c>
      <c r="D31" s="1" t="str">
        <f ca="1">IFERROR(__xludf.DUMMYFUNCTION("""COMPUTED_VALUE""")," ")</f>
        <v xml:space="preserve"> </v>
      </c>
      <c r="E31" s="1"/>
      <c r="F31" s="1">
        <f t="shared" ca="1" si="0"/>
        <v>2</v>
      </c>
      <c r="H31" s="4"/>
      <c r="I31" s="4"/>
      <c r="J31" s="4"/>
      <c r="K31" s="4"/>
      <c r="L31" s="4"/>
    </row>
    <row r="32" spans="1:12">
      <c r="A32" s="1">
        <f ca="1">IFERROR(__xludf.DUMMYFUNCTION("""COMPUTED_VALUE"""),2221)</f>
        <v>2221</v>
      </c>
      <c r="B32" s="1" t="str">
        <f ca="1">IFERROR(__xludf.DUMMYFUNCTION("""COMPUTED_VALUE"""),"PKM AI")</f>
        <v>PKM AI</v>
      </c>
      <c r="C32" s="1" t="str">
        <f ca="1">IFERROR(__xludf.DUMMYFUNCTION("""COMPUTED_VALUE"""),"Hanya 5 jurnal
")</f>
        <v xml:space="preserve">Hanya 5 jurnal
</v>
      </c>
      <c r="D32" s="1" t="str">
        <f ca="1">IFERROR(__xludf.DUMMYFUNCTION("""COMPUTED_VALUE"""),"TIDAK LAYAK UPLOAD KE SIMBELMAWA")</f>
        <v>TIDAK LAYAK UPLOAD KE SIMBELMAWA</v>
      </c>
      <c r="E32" s="7" t="str">
        <f ca="1">IFERROR(__xludf.DUMMYFUNCTION("""COMPUTED_VALUE"""),"https://drive.google.com/open?id=1V3B2XncXor0STyX3us3NvR_tuIcFhKX_")</f>
        <v>https://drive.google.com/open?id=1V3B2XncXor0STyX3us3NvR_tuIcFhKX_</v>
      </c>
      <c r="F32" s="1">
        <f t="shared" ca="1" si="0"/>
        <v>0</v>
      </c>
      <c r="H32" s="4"/>
      <c r="I32" s="4"/>
      <c r="J32" s="4"/>
      <c r="K32" s="4"/>
      <c r="L32" s="4"/>
    </row>
    <row r="33" spans="1:24">
      <c r="A33" s="1">
        <f ca="1">IFERROR(__xludf.DUMMYFUNCTION("""COMPUTED_VALUE"""),3881)</f>
        <v>3881</v>
      </c>
      <c r="B33" s="1" t="str">
        <f ca="1">IFERROR(__xludf.DUMMYFUNCTION("""COMPUTED_VALUE"""),"PKM AI")</f>
        <v>PKM AI</v>
      </c>
      <c r="C33" s="1" t="str">
        <f ca="1">IFERROR(__xludf.DUMMYFUNCTION("""COMPUTED_VALUE"""),"Hanya 1 jurnal bereputasi, hanya 1 abstrak, format laporan?
")</f>
        <v xml:space="preserve">Hanya 1 jurnal bereputasi, hanya 1 abstrak, format laporan?
</v>
      </c>
      <c r="D33" s="1" t="str">
        <f ca="1">IFERROR(__xludf.DUMMYFUNCTION("""COMPUTED_VALUE"""),"TIDAK LAYAK UPLOAD KE SIMBELMAWA")</f>
        <v>TIDAK LAYAK UPLOAD KE SIMBELMAWA</v>
      </c>
      <c r="E33" s="7" t="str">
        <f ca="1">IFERROR(__xludf.DUMMYFUNCTION("""COMPUTED_VALUE"""),"https://drive.google.com/open?id=1q21bB1sVq8jbbDqVpasnpMUHOw277CRY")</f>
        <v>https://drive.google.com/open?id=1q21bB1sVq8jbbDqVpasnpMUHOw277CRY</v>
      </c>
      <c r="F33" s="1">
        <f t="shared" ca="1" si="0"/>
        <v>0</v>
      </c>
      <c r="H33" s="4"/>
      <c r="I33" s="4"/>
      <c r="J33" s="4"/>
      <c r="K33" s="4"/>
      <c r="L33" s="4"/>
    </row>
    <row r="34" spans="1:24">
      <c r="A34" s="1">
        <f ca="1">IFERROR(__xludf.DUMMYFUNCTION("""COMPUTED_VALUE"""),2133)</f>
        <v>2133</v>
      </c>
      <c r="B34" s="1" t="str">
        <f ca="1">IFERROR(__xludf.DUMMYFUNCTION("""COMPUTED_VALUE"""),"PKM AI")</f>
        <v>PKM AI</v>
      </c>
      <c r="C34" s="1" t="str">
        <f ca="1">IFERROR(__xludf.DUMMYFUNCTION("""COMPUTED_VALUE"""),"Jurnal berputasi kurang, hasil dan pembahsan hanya berisi tabel dan gambar sangat kurang pembahasan
")</f>
        <v xml:space="preserve">Jurnal berputasi kurang, hasil dan pembahsan hanya berisi tabel dan gambar sangat kurang pembahasan
</v>
      </c>
      <c r="D34" s="1" t="str">
        <f ca="1">IFERROR(__xludf.DUMMYFUNCTION("""COMPUTED_VALUE"""),"LAYAK UPLOAD KE SIMBELMAWA DENGAN REVISI")</f>
        <v>LAYAK UPLOAD KE SIMBELMAWA DENGAN REVISI</v>
      </c>
      <c r="E34" s="7" t="str">
        <f ca="1">IFERROR(__xludf.DUMMYFUNCTION("""COMPUTED_VALUE"""),"https://drive.google.com/open?id=1Dz0RQoFCeAUqEwZgjeEZyFCRGPTv27EL")</f>
        <v>https://drive.google.com/open?id=1Dz0RQoFCeAUqEwZgjeEZyFCRGPTv27EL</v>
      </c>
      <c r="F34" s="1">
        <f t="shared" ca="1" si="0"/>
        <v>0</v>
      </c>
      <c r="H34" s="4"/>
      <c r="I34" s="4"/>
      <c r="J34" s="4"/>
      <c r="K34" s="4"/>
      <c r="L34" s="4"/>
    </row>
    <row r="35" spans="1:24">
      <c r="A35" s="1">
        <f ca="1">IFERROR(__xludf.DUMMYFUNCTION("""COMPUTED_VALUE"""),4081)</f>
        <v>4081</v>
      </c>
      <c r="B35" s="1" t="str">
        <f ca="1">IFERROR(__xludf.DUMMYFUNCTION("""COMPUTED_VALUE"""),"PKM AI")</f>
        <v>PKM AI</v>
      </c>
      <c r="C35" s="1" t="str">
        <f ca="1">IFERROR(__xludf.DUMMYFUNCTION("""COMPUTED_VALUE"""),"lihat pdf")</f>
        <v>lihat pdf</v>
      </c>
      <c r="D35" s="1" t="str">
        <f ca="1">IFERROR(__xludf.DUMMYFUNCTION("""COMPUTED_VALUE"""),"LAYAK UPLOAD KE SIMBELMAWA DENGAN REVISI")</f>
        <v>LAYAK UPLOAD KE SIMBELMAWA DENGAN REVISI</v>
      </c>
      <c r="E35" s="7" t="str">
        <f ca="1">IFERROR(__xludf.DUMMYFUNCTION("""COMPUTED_VALUE"""),"https://drive.google.com/open?id=1QBFGLNIf9Paz96kACHzrDyM7Px0T9lWz")</f>
        <v>https://drive.google.com/open?id=1QBFGLNIf9Paz96kACHzrDyM7Px0T9lWz</v>
      </c>
      <c r="F35" s="1">
        <f t="shared" ca="1" si="0"/>
        <v>0</v>
      </c>
      <c r="H35" s="4"/>
      <c r="I35" s="4"/>
      <c r="J35" s="4"/>
      <c r="K35" s="4"/>
      <c r="L35" s="4"/>
    </row>
    <row r="36" spans="1:24">
      <c r="A36" s="1">
        <f ca="1">IFERROR(__xludf.DUMMYFUNCTION("""COMPUTED_VALUE"""),4098)</f>
        <v>4098</v>
      </c>
      <c r="B36" s="1" t="str">
        <f ca="1">IFERROR(__xludf.DUMMYFUNCTION("""COMPUTED_VALUE"""),"PKM AI")</f>
        <v>PKM AI</v>
      </c>
      <c r="C36" s="1" t="str">
        <f ca="1">IFERROR(__xludf.DUMMYFUNCTION("""COMPUTED_VALUE"""),"Big data??, pembahasan tidak cukup, jurnal bereputasi kurang
")</f>
        <v xml:space="preserve">Big data??, pembahasan tidak cukup, jurnal bereputasi kurang
</v>
      </c>
      <c r="D36" s="1" t="str">
        <f ca="1">IFERROR(__xludf.DUMMYFUNCTION("""COMPUTED_VALUE"""),"TIDAK LAYAK UPLOAD KE SIMBELMAWA")</f>
        <v>TIDAK LAYAK UPLOAD KE SIMBELMAWA</v>
      </c>
      <c r="E36" s="7" t="str">
        <f ca="1">IFERROR(__xludf.DUMMYFUNCTION("""COMPUTED_VALUE"""),"https://drive.google.com/open?id=1FIRtIv07YVj2HKjwKfc8PTWedWzsDHRO")</f>
        <v>https://drive.google.com/open?id=1FIRtIv07YVj2HKjwKfc8PTWedWzsDHRO</v>
      </c>
      <c r="F36" s="1">
        <f t="shared" ca="1" si="0"/>
        <v>0</v>
      </c>
      <c r="H36" s="4"/>
      <c r="I36" s="4"/>
      <c r="J36" s="4"/>
      <c r="K36" s="4"/>
      <c r="L36" s="4"/>
    </row>
    <row r="37" spans="1:24">
      <c r="A37" s="1">
        <f ca="1">IFERROR(__xludf.DUMMYFUNCTION("""COMPUTED_VALUE"""),2825)</f>
        <v>2825</v>
      </c>
      <c r="B37" s="1" t="str">
        <f ca="1">IFERROR(__xludf.DUMMYFUNCTION("""COMPUTED_VALUE"""),"PKM AI")</f>
        <v>PKM AI</v>
      </c>
      <c r="C37" s="1" t="str">
        <f ca="1">IFERROR(__xludf.DUMMYFUNCTION("""COMPUTED_VALUE"""),"bukan artikel ilmiah isinya tidak ilmiah")</f>
        <v>bukan artikel ilmiah isinya tidak ilmiah</v>
      </c>
      <c r="D37" s="1" t="str">
        <f ca="1">IFERROR(__xludf.DUMMYFUNCTION("""COMPUTED_VALUE"""),"TIDAK LAYAK UPLOAD KE SIMBELMAWA")</f>
        <v>TIDAK LAYAK UPLOAD KE SIMBELMAWA</v>
      </c>
      <c r="E37" s="7" t="str">
        <f ca="1">IFERROR(__xludf.DUMMYFUNCTION("""COMPUTED_VALUE"""),"https://drive.google.com/open?id=14vK_ncvUEMZaz2rQGiwnujaspuy4RNFG")</f>
        <v>https://drive.google.com/open?id=14vK_ncvUEMZaz2rQGiwnujaspuy4RNFG</v>
      </c>
      <c r="F37" s="1">
        <f t="shared" ca="1" si="0"/>
        <v>0</v>
      </c>
      <c r="H37" s="4"/>
      <c r="I37" s="4"/>
      <c r="J37" s="4"/>
      <c r="K37" s="4"/>
      <c r="L37" s="4"/>
    </row>
    <row r="38" spans="1:24">
      <c r="A38" s="1">
        <f ca="1">IFERROR(__xludf.DUMMYFUNCTION("""COMPUTED_VALUE"""),3905)</f>
        <v>3905</v>
      </c>
      <c r="B38" s="1" t="str">
        <f ca="1">IFERROR(__xludf.DUMMYFUNCTION("""COMPUTED_VALUE"""),"PKM AI")</f>
        <v>PKM AI</v>
      </c>
      <c r="C38" s="1" t="str">
        <f ca="1">IFERROR(__xludf.DUMMYFUNCTION("""COMPUTED_VALUE"""),"bukan data primer")</f>
        <v>bukan data primer</v>
      </c>
      <c r="D38" s="1" t="str">
        <f ca="1">IFERROR(__xludf.DUMMYFUNCTION("""COMPUTED_VALUE"""),"TIDAK LAYAK UPLOAD KE SIMBELMAWA")</f>
        <v>TIDAK LAYAK UPLOAD KE SIMBELMAWA</v>
      </c>
      <c r="E38" s="7" t="str">
        <f ca="1">IFERROR(__xludf.DUMMYFUNCTION("""COMPUTED_VALUE"""),"https://drive.google.com/open?id=1ycbLCDhBsz1Nfa_UFC6KsiWFhSFr2Mjo")</f>
        <v>https://drive.google.com/open?id=1ycbLCDhBsz1Nfa_UFC6KsiWFhSFr2Mjo</v>
      </c>
      <c r="F38" s="1">
        <f t="shared" ca="1" si="0"/>
        <v>0</v>
      </c>
      <c r="H38" s="4"/>
      <c r="I38" s="4"/>
      <c r="J38" s="4"/>
      <c r="K38" s="4"/>
      <c r="L38" s="4"/>
    </row>
    <row r="39" spans="1:24">
      <c r="A39" s="1">
        <f ca="1">IFERROR(__xludf.DUMMYFUNCTION("""COMPUTED_VALUE"""),2963)</f>
        <v>2963</v>
      </c>
      <c r="B39" s="1" t="str">
        <f ca="1">IFERROR(__xludf.DUMMYFUNCTION("""COMPUTED_VALUE"""),"PKM AI")</f>
        <v>PKM AI</v>
      </c>
      <c r="C39" s="1" t="str">
        <f ca="1">IFERROR(__xludf.DUMMYFUNCTION("""COMPUTED_VALUE"""),"literatur didominasi text book bukan jurnal, sistematika penulisan masihtercampur mede dan hasil-pembahasan
")</f>
        <v xml:space="preserve">literatur didominasi text book bukan jurnal, sistematika penulisan masihtercampur mede dan hasil-pembahasan
</v>
      </c>
      <c r="D39" s="1" t="str">
        <f ca="1">IFERROR(__xludf.DUMMYFUNCTION("""COMPUTED_VALUE"""),"LAYAK UPLOAD KE SIMBELMAWA DENGAN REVISI")</f>
        <v>LAYAK UPLOAD KE SIMBELMAWA DENGAN REVISI</v>
      </c>
      <c r="E39" s="7" t="str">
        <f ca="1">IFERROR(__xludf.DUMMYFUNCTION("""COMPUTED_VALUE"""),"https://drive.google.com/open?id=1QNXbJaYFMRh1o3uNEoVoQCxEbqQHecUS")</f>
        <v>https://drive.google.com/open?id=1QNXbJaYFMRh1o3uNEoVoQCxEbqQHecUS</v>
      </c>
      <c r="F39" s="1">
        <f t="shared" ca="1" si="0"/>
        <v>0</v>
      </c>
      <c r="H39" s="4"/>
      <c r="I39" s="4"/>
      <c r="J39" s="4"/>
      <c r="K39" s="4"/>
      <c r="L39" s="4"/>
    </row>
    <row r="40" spans="1:24">
      <c r="A40" s="1">
        <f ca="1">IFERROR(__xludf.DUMMYFUNCTION("""COMPUTED_VALUE"""),2960)</f>
        <v>2960</v>
      </c>
      <c r="B40" s="1" t="str">
        <f ca="1">IFERROR(__xludf.DUMMYFUNCTION("""COMPUTED_VALUE"""),"PKM AI")</f>
        <v>PKM AI</v>
      </c>
      <c r="C40" s="1" t="str">
        <f ca="1">IFERROR(__xludf.DUMMYFUNCTION("""COMPUTED_VALUE"""),"data sekunder, kualitas pustaka lemah")</f>
        <v>data sekunder, kualitas pustaka lemah</v>
      </c>
      <c r="D40" s="1" t="str">
        <f ca="1">IFERROR(__xludf.DUMMYFUNCTION("""COMPUTED_VALUE"""),"TIDAK LAYAK UPLOAD KE SIMBELMAWA")</f>
        <v>TIDAK LAYAK UPLOAD KE SIMBELMAWA</v>
      </c>
      <c r="E40" s="7" t="str">
        <f ca="1">IFERROR(__xludf.DUMMYFUNCTION("""COMPUTED_VALUE"""),"https://drive.google.com/open?id=1WDyY8YYbnYD6mNHb9fReHzP_GyE3VeNP")</f>
        <v>https://drive.google.com/open?id=1WDyY8YYbnYD6mNHb9fReHzP_GyE3VeNP</v>
      </c>
      <c r="F40" s="1">
        <f t="shared" ca="1" si="0"/>
        <v>0</v>
      </c>
      <c r="H40" s="4"/>
      <c r="I40" s="4"/>
      <c r="J40" s="4"/>
      <c r="K40" s="4"/>
      <c r="L40" s="4"/>
    </row>
    <row r="41" spans="1:24">
      <c r="A41" s="1">
        <f ca="1">IFERROR(__xludf.DUMMYFUNCTION("""COMPUTED_VALUE"""),3442)</f>
        <v>3442</v>
      </c>
      <c r="B41" s="1" t="str">
        <f ca="1">IFERROR(__xludf.DUMMYFUNCTION("""COMPUTED_VALUE"""),"PKM AI")</f>
        <v>PKM AI</v>
      </c>
      <c r="C41" s="1" t="str">
        <f ca="1">IFERROR(__xludf.DUMMYFUNCTION("""COMPUTED_VALUE"""),"konsistensi spasi")</f>
        <v>konsistensi spasi</v>
      </c>
      <c r="D41" s="1" t="str">
        <f ca="1">IFERROR(__xludf.DUMMYFUNCTION("""COMPUTED_VALUE"""),"LAYAK UPLOAD KE SIMBELMAWA DENGAN REVISI")</f>
        <v>LAYAK UPLOAD KE SIMBELMAWA DENGAN REVISI</v>
      </c>
      <c r="E41" s="7" t="str">
        <f ca="1">IFERROR(__xludf.DUMMYFUNCTION("""COMPUTED_VALUE"""),"https://drive.google.com/open?id=1gd-dSphEPN-IIvtPP8nK_Dm6eVJxGcGT")</f>
        <v>https://drive.google.com/open?id=1gd-dSphEPN-IIvtPP8nK_Dm6eVJxGcGT</v>
      </c>
      <c r="F41" s="1">
        <f t="shared" ca="1" si="0"/>
        <v>0</v>
      </c>
      <c r="H41" s="4"/>
      <c r="I41" s="4"/>
      <c r="J41" s="4"/>
      <c r="K41" s="4"/>
      <c r="L41" s="4"/>
    </row>
    <row r="42" spans="1:24">
      <c r="A42" s="1">
        <f ca="1">IFERROR(__xludf.DUMMYFUNCTION("""COMPUTED_VALUE"""),3943)</f>
        <v>3943</v>
      </c>
      <c r="B42" s="1" t="str">
        <f ca="1">IFERROR(__xludf.DUMMYFUNCTION("""COMPUTED_VALUE"""),"PKM AI")</f>
        <v>PKM AI</v>
      </c>
      <c r="C42" s="1" t="str">
        <f ca="1">IFERROR(__xludf.DUMMYFUNCTION("""COMPUTED_VALUE"""),"tidak jelas")</f>
        <v>tidak jelas</v>
      </c>
      <c r="D42" s="1" t="str">
        <f ca="1">IFERROR(__xludf.DUMMYFUNCTION("""COMPUTED_VALUE"""),"TIDAK LAYAK UPLOAD KE SIMBELMAWA")</f>
        <v>TIDAK LAYAK UPLOAD KE SIMBELMAWA</v>
      </c>
      <c r="E42" s="1"/>
      <c r="F42" s="1">
        <f t="shared" ca="1" si="0"/>
        <v>0</v>
      </c>
      <c r="H42" s="4"/>
      <c r="I42" s="4"/>
      <c r="J42" s="4"/>
      <c r="K42" s="4"/>
      <c r="L42" s="4"/>
    </row>
    <row r="43" spans="1:24">
      <c r="A43" s="1">
        <f ca="1">IFERROR(__xludf.DUMMYFUNCTION("""COMPUTED_VALUE"""),4000)</f>
        <v>4000</v>
      </c>
      <c r="B43" s="1" t="str">
        <f ca="1">IFERROR(__xludf.DUMMYFUNCTION("""COMPUTED_VALUE"""),"PKM AI")</f>
        <v>PKM AI</v>
      </c>
      <c r="C43" s="1" t="str">
        <f ca="1">IFERROR(__xludf.DUMMYFUNCTION("""COMPUTED_VALUE"""),"Daftar pustaka diperbaiki")</f>
        <v>Daftar pustaka diperbaiki</v>
      </c>
      <c r="D43" s="1" t="str">
        <f ca="1">IFERROR(__xludf.DUMMYFUNCTION("""COMPUTED_VALUE"""),"LAYAK UPLOAD KE SIMBELMAWA DENGAN REVISI")</f>
        <v>LAYAK UPLOAD KE SIMBELMAWA DENGAN REVISI</v>
      </c>
      <c r="E43" s="7" t="str">
        <f ca="1">IFERROR(__xludf.DUMMYFUNCTION("""COMPUTED_VALUE"""),"https://drive.google.com/open?id=1uvUzD6NuOpBSxJ35faUu-sYlHS0393Pg")</f>
        <v>https://drive.google.com/open?id=1uvUzD6NuOpBSxJ35faUu-sYlHS0393Pg</v>
      </c>
      <c r="F43" s="1">
        <f t="shared" ca="1" si="0"/>
        <v>0</v>
      </c>
      <c r="H43" s="4"/>
      <c r="I43" s="4"/>
      <c r="J43" s="4"/>
      <c r="K43" s="4"/>
      <c r="L43" s="4"/>
    </row>
    <row r="44" spans="1:24">
      <c r="A44" s="1">
        <f ca="1">IFERROR(__xludf.DUMMYFUNCTION("""COMPUTED_VALUE"""),3833)</f>
        <v>3833</v>
      </c>
      <c r="B44" s="1" t="str">
        <f ca="1">IFERROR(__xludf.DUMMYFUNCTION("""COMPUTED_VALUE"""),"PKM AI")</f>
        <v>PKM AI</v>
      </c>
      <c r="C44" s="1" t="str">
        <f ca="1">IFERROR(__xludf.DUMMYFUNCTION("""COMPUTED_VALUE"""),"-")</f>
        <v>-</v>
      </c>
      <c r="D44" s="1" t="str">
        <f ca="1">IFERROR(__xludf.DUMMYFUNCTION("""COMPUTED_VALUE"""),"LAYAK UPLOAD KE SIMBELMAWA")</f>
        <v>LAYAK UPLOAD KE SIMBELMAWA</v>
      </c>
      <c r="E44" s="7" t="str">
        <f ca="1">IFERROR(__xludf.DUMMYFUNCTION("""COMPUTED_VALUE"""),"https://drive.google.com/open?id=1nVm1j62QaHAowsKWa5TOTpiCnbzv_QUq")</f>
        <v>https://drive.google.com/open?id=1nVm1j62QaHAowsKWa5TOTpiCnbzv_QUq</v>
      </c>
      <c r="F44" s="1">
        <f t="shared" ca="1" si="0"/>
        <v>0</v>
      </c>
      <c r="H44" s="4"/>
      <c r="I44" s="4"/>
      <c r="J44" s="4"/>
      <c r="K44" s="4"/>
      <c r="L44" s="4"/>
      <c r="N44" s="113" t="s">
        <v>1312</v>
      </c>
      <c r="O44" s="114"/>
      <c r="P44" s="79"/>
      <c r="Q44" s="113" t="s">
        <v>1313</v>
      </c>
      <c r="R44" s="114"/>
      <c r="S44" s="113" t="s">
        <v>1314</v>
      </c>
      <c r="T44" s="114"/>
      <c r="U44" s="113" t="s">
        <v>1315</v>
      </c>
      <c r="V44" s="114"/>
      <c r="W44" s="113" t="s">
        <v>1316</v>
      </c>
      <c r="X44" s="114"/>
    </row>
    <row r="45" spans="1:24">
      <c r="A45" s="1">
        <f ca="1">IFERROR(__xludf.DUMMYFUNCTION("""COMPUTED_VALUE"""),2077)</f>
        <v>2077</v>
      </c>
      <c r="B45" s="1" t="str">
        <f ca="1">IFERROR(__xludf.DUMMYFUNCTION("""COMPUTED_VALUE"""),"PKM GFT")</f>
        <v>PKM GFT</v>
      </c>
      <c r="C45" s="1" t="str">
        <f ca="1">IFERROR(__xludf.DUMMYFUNCTION("""COMPUTED_VALUE"""),"1. coba pelajari perdagangan karbon untuk mewujudkan konsepnya
2. perhatikan diskusi terakhir")</f>
        <v>1. coba pelajari perdagangan karbon untuk mewujudkan konsepnya
2. perhatikan diskusi terakhir</v>
      </c>
      <c r="D45" s="1" t="str">
        <f ca="1">IFERROR(__xludf.DUMMYFUNCTION("""COMPUTED_VALUE"""),"LAYAK UPLOAD KE SIMBELMAWA DENGAN REVISI")</f>
        <v>LAYAK UPLOAD KE SIMBELMAWA DENGAN REVISI</v>
      </c>
      <c r="E45" s="7" t="str">
        <f ca="1">IFERROR(__xludf.DUMMYFUNCTION("""COMPUTED_VALUE"""),"https://drive.google.com/open?id=1La0mP-SjW6aocBozvtCvxeaSu9Ndk6fb")</f>
        <v>https://drive.google.com/open?id=1La0mP-SjW6aocBozvtCvxeaSu9Ndk6fb</v>
      </c>
      <c r="F45" s="1">
        <f t="shared" ca="1" si="0"/>
        <v>0</v>
      </c>
      <c r="H45" s="4"/>
      <c r="I45" s="4"/>
      <c r="J45" s="4"/>
      <c r="K45" s="4"/>
      <c r="L45" s="4"/>
      <c r="N45" s="83" t="s">
        <v>1317</v>
      </c>
      <c r="O45" s="84">
        <v>50</v>
      </c>
      <c r="P45" s="84"/>
      <c r="Q45" s="83" t="s">
        <v>1317</v>
      </c>
      <c r="R45" s="84">
        <v>50</v>
      </c>
      <c r="S45" s="83" t="s">
        <v>1317</v>
      </c>
      <c r="T45" s="84">
        <v>27</v>
      </c>
      <c r="U45" s="83" t="s">
        <v>1317</v>
      </c>
      <c r="V45" s="84">
        <v>64</v>
      </c>
      <c r="W45" s="83" t="s">
        <v>1317</v>
      </c>
      <c r="X45" s="84">
        <v>98</v>
      </c>
    </row>
    <row r="46" spans="1:24">
      <c r="A46" s="1">
        <f ca="1">IFERROR(__xludf.DUMMYFUNCTION("""COMPUTED_VALUE"""),3379)</f>
        <v>3379</v>
      </c>
      <c r="B46" s="1" t="str">
        <f ca="1">IFERROR(__xludf.DUMMYFUNCTION("""COMPUTED_VALUE"""),"PKM GFT")</f>
        <v>PKM GFT</v>
      </c>
      <c r="C46" s="1" t="str">
        <f ca="1">IFERROR(__xludf.DUMMYFUNCTION("""COMPUTED_VALUE""")," ")</f>
        <v xml:space="preserve"> </v>
      </c>
      <c r="D46" s="1" t="str">
        <f ca="1">IFERROR(__xludf.DUMMYFUNCTION("""COMPUTED_VALUE""")," ")</f>
        <v xml:space="preserve"> </v>
      </c>
      <c r="E46" s="7" t="str">
        <f ca="1">IFERROR(__xludf.DUMMYFUNCTION("""COMPUTED_VALUE"""),"https://drive.google.com/open?id=1xJkckvUCI8LN26vclPtgCEuMeHbny5dn")</f>
        <v>https://drive.google.com/open?id=1xJkckvUCI8LN26vclPtgCEuMeHbny5dn</v>
      </c>
      <c r="F46" s="1">
        <f t="shared" ca="1" si="0"/>
        <v>1</v>
      </c>
      <c r="H46" s="4"/>
      <c r="I46" s="4"/>
      <c r="J46" s="4"/>
      <c r="K46" s="4"/>
      <c r="L46" s="4"/>
      <c r="N46" s="83" t="s">
        <v>1318</v>
      </c>
      <c r="O46" s="84">
        <v>43</v>
      </c>
      <c r="P46" s="84"/>
      <c r="Q46" s="83" t="s">
        <v>1318</v>
      </c>
      <c r="R46" s="84">
        <v>166</v>
      </c>
      <c r="S46" s="83" t="s">
        <v>1318</v>
      </c>
      <c r="T46" s="84">
        <v>61</v>
      </c>
      <c r="U46" s="83" t="s">
        <v>1318</v>
      </c>
      <c r="V46" s="84">
        <v>180</v>
      </c>
      <c r="W46" s="83" t="s">
        <v>1318</v>
      </c>
      <c r="X46" s="84">
        <v>213</v>
      </c>
    </row>
    <row r="47" spans="1:24">
      <c r="A47" s="1">
        <f ca="1">IFERROR(__xludf.DUMMYFUNCTION("""COMPUTED_VALUE"""),2280)</f>
        <v>2280</v>
      </c>
      <c r="B47" s="1" t="str">
        <f ca="1">IFERROR(__xludf.DUMMYFUNCTION("""COMPUTED_VALUE"""),"PKM GFT")</f>
        <v>PKM GFT</v>
      </c>
      <c r="C47" s="1" t="str">
        <f ca="1">IFERROR(__xludf.DUMMYFUNCTION("""COMPUTED_VALUE"""),"1. gambarkan gagasan secara komprehensif
2. dampak sistemik dibuat lebih terukur")</f>
        <v>1. gambarkan gagasan secara komprehensif
2. dampak sistemik dibuat lebih terukur</v>
      </c>
      <c r="D47" s="1" t="str">
        <f ca="1">IFERROR(__xludf.DUMMYFUNCTION("""COMPUTED_VALUE"""),"LAYAK UPLOAD KE SIMBELMAWA DENGAN REVISI")</f>
        <v>LAYAK UPLOAD KE SIMBELMAWA DENGAN REVISI</v>
      </c>
      <c r="E47" s="7" t="str">
        <f ca="1">IFERROR(__xludf.DUMMYFUNCTION("""COMPUTED_VALUE"""),"https://drive.google.com/open?id=1yD9PXtCCn-pDG0QLYwxGZ80xqWDMBrW4")</f>
        <v>https://drive.google.com/open?id=1yD9PXtCCn-pDG0QLYwxGZ80xqWDMBrW4</v>
      </c>
      <c r="F47" s="1">
        <f t="shared" ca="1" si="0"/>
        <v>0</v>
      </c>
      <c r="H47" s="4"/>
      <c r="I47" s="4"/>
      <c r="J47" s="4"/>
      <c r="K47" s="4"/>
      <c r="L47" s="4"/>
      <c r="N47" s="83" t="s">
        <v>1319</v>
      </c>
      <c r="O47" s="84">
        <v>11</v>
      </c>
      <c r="P47" s="84"/>
      <c r="Q47" s="83" t="s">
        <v>1319</v>
      </c>
      <c r="R47" s="84">
        <v>5</v>
      </c>
      <c r="S47" s="83" t="s">
        <v>1319</v>
      </c>
      <c r="T47" s="84">
        <v>11</v>
      </c>
      <c r="U47" s="83" t="s">
        <v>1319</v>
      </c>
      <c r="V47" s="84">
        <v>5</v>
      </c>
      <c r="W47" s="83" t="s">
        <v>1319</v>
      </c>
      <c r="X47" s="84">
        <v>18</v>
      </c>
    </row>
    <row r="48" spans="1:24">
      <c r="A48" s="1">
        <f ca="1">IFERROR(__xludf.DUMMYFUNCTION("""COMPUTED_VALUE"""),2274)</f>
        <v>2274</v>
      </c>
      <c r="B48" s="1" t="str">
        <f ca="1">IFERROR(__xludf.DUMMYFUNCTION("""COMPUTED_VALUE"""),"PKM GFT")</f>
        <v>PKM GFT</v>
      </c>
      <c r="C48" s="1" t="str">
        <f ca="1">IFERROR(__xludf.DUMMYFUNCTION("""COMPUTED_VALUE"""),"1. urgensi permasalahan sdh bagus
2. perlu memperjelas keterbaruan ide dari state of the art (pastikan visioner)
3. ilustrasi gagasan yang komprehensif dan implementatif belum terlihat")</f>
        <v>1. urgensi permasalahan sdh bagus
2. perlu memperjelas keterbaruan ide dari state of the art (pastikan visioner)
3. ilustrasi gagasan yang komprehensif dan implementatif belum terlihat</v>
      </c>
      <c r="D48" s="1" t="str">
        <f ca="1">IFERROR(__xludf.DUMMYFUNCTION("""COMPUTED_VALUE"""),"LAYAK UPLOAD KE SIMBELMAWA DENGAN REVISI")</f>
        <v>LAYAK UPLOAD KE SIMBELMAWA DENGAN REVISI</v>
      </c>
      <c r="E48" s="7" t="str">
        <f ca="1">IFERROR(__xludf.DUMMYFUNCTION("""COMPUTED_VALUE"""),"https://drive.google.com/open?id=1Mq91xeUsxzu1JwdX_F16LDJMPNy8tXjL")</f>
        <v>https://drive.google.com/open?id=1Mq91xeUsxzu1JwdX_F16LDJMPNy8tXjL</v>
      </c>
      <c r="F48" s="1">
        <f t="shared" ca="1" si="0"/>
        <v>0</v>
      </c>
      <c r="H48" s="4"/>
      <c r="I48" s="4"/>
      <c r="J48" s="4"/>
      <c r="K48" s="4"/>
      <c r="L48" s="4"/>
      <c r="N48" s="113" t="s">
        <v>1320</v>
      </c>
      <c r="O48" s="114"/>
      <c r="P48" s="79"/>
      <c r="Q48" s="113" t="s">
        <v>1321</v>
      </c>
      <c r="R48" s="114"/>
      <c r="S48" s="113" t="s">
        <v>1322</v>
      </c>
      <c r="T48" s="114"/>
      <c r="U48" s="113" t="s">
        <v>1323</v>
      </c>
      <c r="V48" s="114"/>
      <c r="W48" s="113" t="s">
        <v>1324</v>
      </c>
      <c r="X48" s="114"/>
    </row>
    <row r="49" spans="1:24">
      <c r="A49" s="1">
        <f ca="1">IFERROR(__xludf.DUMMYFUNCTION("""COMPUTED_VALUE"""),2558)</f>
        <v>2558</v>
      </c>
      <c r="B49" s="1" t="str">
        <f ca="1">IFERROR(__xludf.DUMMYFUNCTION("""COMPUTED_VALUE"""),"PKM GFT")</f>
        <v>PKM GFT</v>
      </c>
      <c r="C49" s="1" t="str">
        <f ca="1">IFERROR(__xludf.DUMMYFUNCTION("""COMPUTED_VALUE""")," ")</f>
        <v xml:space="preserve"> </v>
      </c>
      <c r="D49" s="1" t="str">
        <f ca="1">IFERROR(__xludf.DUMMYFUNCTION("""COMPUTED_VALUE""")," ")</f>
        <v xml:space="preserve"> </v>
      </c>
      <c r="E49" s="7" t="str">
        <f ca="1">IFERROR(__xludf.DUMMYFUNCTION("""COMPUTED_VALUE"""),"https://drive.google.com/open?id=1CREXNqnhaOmNalV6N6yui2r9De2id4qr")</f>
        <v>https://drive.google.com/open?id=1CREXNqnhaOmNalV6N6yui2r9De2id4qr</v>
      </c>
      <c r="F49" s="1">
        <f t="shared" ca="1" si="0"/>
        <v>1</v>
      </c>
      <c r="H49" s="4"/>
      <c r="I49" s="4"/>
      <c r="J49" s="4"/>
      <c r="K49" s="4"/>
      <c r="L49" s="4"/>
      <c r="N49" s="83" t="s">
        <v>1317</v>
      </c>
      <c r="O49" s="84">
        <v>22</v>
      </c>
      <c r="P49" s="84"/>
      <c r="Q49" s="83" t="s">
        <v>1317</v>
      </c>
      <c r="R49" s="84">
        <v>89</v>
      </c>
      <c r="S49" s="83" t="s">
        <v>1317</v>
      </c>
      <c r="T49" s="84">
        <v>34</v>
      </c>
      <c r="U49" s="83" t="s">
        <v>1317</v>
      </c>
      <c r="V49" s="84">
        <v>27</v>
      </c>
      <c r="W49" s="83" t="s">
        <v>1317</v>
      </c>
      <c r="X49" s="84">
        <v>33</v>
      </c>
    </row>
    <row r="50" spans="1:24">
      <c r="A50" s="1">
        <f ca="1">IFERROR(__xludf.DUMMYFUNCTION("""COMPUTED_VALUE"""),3346)</f>
        <v>3346</v>
      </c>
      <c r="B50" s="1" t="str">
        <f ca="1">IFERROR(__xludf.DUMMYFUNCTION("""COMPUTED_VALUE"""),"PKM GFT")</f>
        <v>PKM GFT</v>
      </c>
      <c r="C50" s="1" t="str">
        <f ca="1">IFERROR(__xludf.DUMMYFUNCTION("""COMPUTED_VALUE""")," ")</f>
        <v xml:space="preserve"> </v>
      </c>
      <c r="D50" s="1" t="str">
        <f ca="1">IFERROR(__xludf.DUMMYFUNCTION("""COMPUTED_VALUE""")," ")</f>
        <v xml:space="preserve"> </v>
      </c>
      <c r="E50" s="7" t="str">
        <f ca="1">IFERROR(__xludf.DUMMYFUNCTION("""COMPUTED_VALUE"""),"https://drive.google.com/open?id=1lk08CtbDqL-DxfNkXyZhfvvHq4zvSSOT")</f>
        <v>https://drive.google.com/open?id=1lk08CtbDqL-DxfNkXyZhfvvHq4zvSSOT</v>
      </c>
      <c r="F50" s="1">
        <f t="shared" ca="1" si="0"/>
        <v>1</v>
      </c>
      <c r="H50" s="4"/>
      <c r="I50" s="4"/>
      <c r="J50" s="4"/>
      <c r="K50" s="4"/>
      <c r="L50" s="4"/>
      <c r="N50" s="83" t="s">
        <v>1318</v>
      </c>
      <c r="O50" s="84">
        <v>3</v>
      </c>
      <c r="P50" s="84"/>
      <c r="Q50" s="83" t="s">
        <v>1318</v>
      </c>
      <c r="R50" s="84">
        <v>291</v>
      </c>
      <c r="S50" s="83" t="s">
        <v>1318</v>
      </c>
      <c r="T50" s="84">
        <v>106</v>
      </c>
      <c r="U50" s="83" t="s">
        <v>1318</v>
      </c>
      <c r="V50" s="84">
        <v>66</v>
      </c>
      <c r="W50" s="83" t="s">
        <v>1318</v>
      </c>
      <c r="X50" s="84">
        <v>77</v>
      </c>
    </row>
    <row r="51" spans="1:24">
      <c r="A51" s="1">
        <f ca="1">IFERROR(__xludf.DUMMYFUNCTION("""COMPUTED_VALUE"""),2283)</f>
        <v>2283</v>
      </c>
      <c r="B51" s="1" t="str">
        <f ca="1">IFERROR(__xludf.DUMMYFUNCTION("""COMPUTED_VALUE"""),"PKM GFT")</f>
        <v>PKM GFT</v>
      </c>
      <c r="C51" s="1" t="str">
        <f ca="1">IFERROR(__xludf.DUMMYFUNCTION("""COMPUTED_VALUE"""),"buat skema / gambar ilustrasi yang komprehensif yang dapat menjelaskan keseluruhan gagasan")</f>
        <v>buat skema / gambar ilustrasi yang komprehensif yang dapat menjelaskan keseluruhan gagasan</v>
      </c>
      <c r="D51" s="1" t="str">
        <f ca="1">IFERROR(__xludf.DUMMYFUNCTION("""COMPUTED_VALUE"""),"LAYAK UPLOAD KE SIMBELMAWA DENGAN REVISI")</f>
        <v>LAYAK UPLOAD KE SIMBELMAWA DENGAN REVISI</v>
      </c>
      <c r="E51" s="7" t="str">
        <f ca="1">IFERROR(__xludf.DUMMYFUNCTION("""COMPUTED_VALUE"""),"https://drive.google.com/open?id=1nlyjbUb13fCp1UbI9dVDsrbpjJveyZ83")</f>
        <v>https://drive.google.com/open?id=1nlyjbUb13fCp1UbI9dVDsrbpjJveyZ83</v>
      </c>
      <c r="F51" s="1">
        <f t="shared" ca="1" si="0"/>
        <v>0</v>
      </c>
      <c r="H51" s="4"/>
      <c r="I51" s="4"/>
      <c r="J51" s="4"/>
      <c r="K51" s="4"/>
      <c r="L51" s="4"/>
      <c r="N51" s="83" t="s">
        <v>1319</v>
      </c>
      <c r="O51" s="84">
        <v>3</v>
      </c>
      <c r="P51" s="84"/>
      <c r="Q51" s="83" t="s">
        <v>1319</v>
      </c>
      <c r="R51" s="84">
        <v>13</v>
      </c>
      <c r="S51" s="83" t="s">
        <v>1319</v>
      </c>
      <c r="T51" s="84">
        <v>5</v>
      </c>
      <c r="U51" s="83" t="s">
        <v>1319</v>
      </c>
      <c r="V51" s="84">
        <v>4</v>
      </c>
      <c r="W51" s="83" t="s">
        <v>1319</v>
      </c>
      <c r="X51" s="84">
        <v>5</v>
      </c>
    </row>
    <row r="52" spans="1:24">
      <c r="A52" s="1">
        <f ca="1">IFERROR(__xludf.DUMMYFUNCTION("""COMPUTED_VALUE"""),3367)</f>
        <v>3367</v>
      </c>
      <c r="B52" s="1" t="str">
        <f ca="1">IFERROR(__xludf.DUMMYFUNCTION("""COMPUTED_VALUE"""),"PKM GFT")</f>
        <v>PKM GFT</v>
      </c>
      <c r="C52" s="1" t="str">
        <f ca="1">IFERROR(__xludf.DUMMYFUNCTION("""COMPUTED_VALUE"""),"perbaiki hal2 teknis di proposal")</f>
        <v>perbaiki hal2 teknis di proposal</v>
      </c>
      <c r="D52" s="1" t="str">
        <f ca="1">IFERROR(__xludf.DUMMYFUNCTION("""COMPUTED_VALUE"""),"LAYAK UPLOAD KE SIMBELMAWA DENGAN REVISI")</f>
        <v>LAYAK UPLOAD KE SIMBELMAWA DENGAN REVISI</v>
      </c>
      <c r="E52" s="7" t="str">
        <f ca="1">IFERROR(__xludf.DUMMYFUNCTION("""COMPUTED_VALUE"""),"https://drive.google.com/open?id=16pUaboglRBf7cqiAVRWaPU__8rj9gzS_")</f>
        <v>https://drive.google.com/open?id=16pUaboglRBf7cqiAVRWaPU__8rj9gzS_</v>
      </c>
      <c r="F52" s="1">
        <f t="shared" ca="1" si="0"/>
        <v>0</v>
      </c>
      <c r="H52" s="4"/>
      <c r="I52" s="4"/>
      <c r="J52" s="4"/>
      <c r="K52" s="4"/>
      <c r="L52" s="4"/>
      <c r="N52" s="83"/>
      <c r="O52" s="83"/>
      <c r="P52" s="8"/>
      <c r="Q52" s="8"/>
      <c r="R52" s="8"/>
      <c r="S52" s="8"/>
      <c r="T52" s="8"/>
      <c r="U52" s="8"/>
      <c r="V52" s="8"/>
      <c r="W52" s="8"/>
      <c r="X52" s="8"/>
    </row>
    <row r="53" spans="1:24">
      <c r="A53" s="1">
        <f ca="1">IFERROR(__xludf.DUMMYFUNCTION("""COMPUTED_VALUE"""),3515)</f>
        <v>3515</v>
      </c>
      <c r="B53" s="1" t="str">
        <f ca="1">IFERROR(__xludf.DUMMYFUNCTION("""COMPUTED_VALUE"""),"PKM GFT")</f>
        <v>PKM GFT</v>
      </c>
      <c r="C53" s="1" t="str">
        <f ca="1">IFERROR(__xludf.DUMMYFUNCTION("""COMPUTED_VALUE"""),"1. Perlu memperkuat fokus masalah yang menjadi benang merah gagasan. 
2. Kurangi hal2 yang deskriptif dalam menjabarkan gagasan, perbanyak gambar ilustrasi")</f>
        <v>1. Perlu memperkuat fokus masalah yang menjadi benang merah gagasan. 
2. Kurangi hal2 yang deskriptif dalam menjabarkan gagasan, perbanyak gambar ilustrasi</v>
      </c>
      <c r="D53" s="1" t="str">
        <f ca="1">IFERROR(__xludf.DUMMYFUNCTION("""COMPUTED_VALUE"""),"LAYAK UPLOAD KE SIMBELMAWA DENGAN REVISI")</f>
        <v>LAYAK UPLOAD KE SIMBELMAWA DENGAN REVISI</v>
      </c>
      <c r="E53" s="7" t="str">
        <f ca="1">IFERROR(__xludf.DUMMYFUNCTION("""COMPUTED_VALUE"""),"https://drive.google.com/open?id=1nPcMuj4tkKX0B0Qvo07plX6Vfhmi4ikL")</f>
        <v>https://drive.google.com/open?id=1nPcMuj4tkKX0B0Qvo07plX6Vfhmi4ikL</v>
      </c>
      <c r="F53" s="1">
        <f t="shared" ca="1" si="0"/>
        <v>0</v>
      </c>
      <c r="H53" s="4"/>
      <c r="I53" s="4"/>
      <c r="J53" s="4"/>
      <c r="K53" s="4"/>
      <c r="L53" s="4"/>
      <c r="N53" s="83" t="s">
        <v>1325</v>
      </c>
      <c r="O53" s="83"/>
      <c r="P53" s="8"/>
      <c r="Q53" s="8"/>
      <c r="R53" s="8"/>
      <c r="S53" s="8"/>
      <c r="T53" s="8"/>
      <c r="U53" s="8"/>
      <c r="V53" s="8"/>
      <c r="W53" s="8"/>
      <c r="X53" s="8"/>
    </row>
    <row r="54" spans="1:24">
      <c r="A54" s="1">
        <f ca="1">IFERROR(__xludf.DUMMYFUNCTION("""COMPUTED_VALUE"""),3335)</f>
        <v>3335</v>
      </c>
      <c r="B54" s="1" t="str">
        <f ca="1">IFERROR(__xludf.DUMMYFUNCTION("""COMPUTED_VALUE"""),"PKM GFT")</f>
        <v>PKM GFT</v>
      </c>
      <c r="C54" s="1" t="str">
        <f ca="1">IFERROR(__xludf.DUMMYFUNCTION("""COMPUTED_VALUE"""),"1. ide tentang ruang terbuka hijau sudah relatif umum, utk itu perlu dieksplorasi fokus masalah yang akan diselesaikan dan berikan gagasan baru dalam pemecahan masalahnya
2. prinsip visioner dan realistis dalam implementasinya perlu diperhatikan
3. buat i"&amp;"lustrasi ide secara komprehensif dan implementatif")</f>
        <v>1. ide tentang ruang terbuka hijau sudah relatif umum, utk itu perlu dieksplorasi fokus masalah yang akan diselesaikan dan berikan gagasan baru dalam pemecahan masalahnya
2. prinsip visioner dan realistis dalam implementasinya perlu diperhatikan
3. buat ilustrasi ide secara komprehensif dan implementatif</v>
      </c>
      <c r="D54" s="1" t="str">
        <f ca="1">IFERROR(__xludf.DUMMYFUNCTION("""COMPUTED_VALUE"""),"LAYAK UPLOAD KE SIMBELMAWA DENGAN REVISI")</f>
        <v>LAYAK UPLOAD KE SIMBELMAWA DENGAN REVISI</v>
      </c>
      <c r="E54" s="7" t="str">
        <f ca="1">IFERROR(__xludf.DUMMYFUNCTION("""COMPUTED_VALUE"""),"https://drive.google.com/open?id=1lFvl9N1tLcznINSSaRGdbZ35El1C5_eT")</f>
        <v>https://drive.google.com/open?id=1lFvl9N1tLcznINSSaRGdbZ35El1C5_eT</v>
      </c>
      <c r="F54" s="1">
        <f t="shared" ca="1" si="0"/>
        <v>0</v>
      </c>
      <c r="H54" s="4"/>
      <c r="I54" s="4"/>
      <c r="J54" s="4"/>
      <c r="K54" s="4"/>
      <c r="L54" s="4"/>
      <c r="N54" s="83" t="s">
        <v>1317</v>
      </c>
      <c r="O54" s="84">
        <v>494</v>
      </c>
      <c r="P54" s="54"/>
      <c r="Q54" s="8"/>
      <c r="R54" s="8"/>
      <c r="S54" s="8"/>
      <c r="T54" s="8"/>
      <c r="U54" s="8"/>
      <c r="V54" s="8"/>
      <c r="W54" s="8"/>
      <c r="X54" s="8"/>
    </row>
    <row r="55" spans="1:24">
      <c r="A55" s="1">
        <f ca="1">IFERROR(__xludf.DUMMYFUNCTION("""COMPUTED_VALUE"""),2092)</f>
        <v>2092</v>
      </c>
      <c r="B55" s="1" t="str">
        <f ca="1">IFERROR(__xludf.DUMMYFUNCTION("""COMPUTED_VALUE"""),"PKM GFT")</f>
        <v>PKM GFT</v>
      </c>
      <c r="C55" s="1" t="str">
        <f ca="1">IFERROR(__xludf.DUMMYFUNCTION("""COMPUTED_VALUE"""),"ide cukup komprehensfi, namun kurang dijelaskan keterbaruan ide ini pada bagian pendahuluan")</f>
        <v>ide cukup komprehensfi, namun kurang dijelaskan keterbaruan ide ini pada bagian pendahuluan</v>
      </c>
      <c r="D55" s="1" t="str">
        <f ca="1">IFERROR(__xludf.DUMMYFUNCTION("""COMPUTED_VALUE"""),"LAYAK UPLOAD KE SIMBELMAWA DENGAN REVISI")</f>
        <v>LAYAK UPLOAD KE SIMBELMAWA DENGAN REVISI</v>
      </c>
      <c r="E55" s="7" t="str">
        <f ca="1">IFERROR(__xludf.DUMMYFUNCTION("""COMPUTED_VALUE"""),"https://drive.google.com/open?id=1OjvwOd2_UAOfwtUqVJjohKTQpANRerTK")</f>
        <v>https://drive.google.com/open?id=1OjvwOd2_UAOfwtUqVJjohKTQpANRerTK</v>
      </c>
      <c r="F55" s="1">
        <f t="shared" ca="1" si="0"/>
        <v>0</v>
      </c>
      <c r="H55" s="4"/>
      <c r="I55" s="4"/>
      <c r="J55" s="4"/>
      <c r="K55" s="4"/>
      <c r="L55" s="4"/>
      <c r="N55" s="83" t="s">
        <v>1318</v>
      </c>
      <c r="O55" s="84">
        <v>1206</v>
      </c>
      <c r="P55" s="54"/>
      <c r="Q55" s="8"/>
      <c r="R55" s="8"/>
      <c r="S55" s="8"/>
      <c r="T55" s="8"/>
      <c r="U55" s="8"/>
      <c r="V55" s="8"/>
      <c r="W55" s="8"/>
      <c r="X55" s="8"/>
    </row>
    <row r="56" spans="1:24">
      <c r="A56" s="1">
        <f ca="1">IFERROR(__xludf.DUMMYFUNCTION("""COMPUTED_VALUE"""),2361)</f>
        <v>2361</v>
      </c>
      <c r="B56" s="1" t="str">
        <f ca="1">IFERROR(__xludf.DUMMYFUNCTION("""COMPUTED_VALUE"""),"PKM GFT")</f>
        <v>PKM GFT</v>
      </c>
      <c r="C56" s="1" t="str">
        <f ca="1">IFERROR(__xludf.DUMMYFUNCTION("""COMPUTED_VALUE"""),"nilai ini masih ekspektasi dengan asumsi dilakukan perbaikan oleh penulis. Gagasan yang diusulkan masih condong ke alat (seperti PKM KC). Gagasan harus dikembangkan lagi agar menjadi konsep makro yang visioner seperti yang telah diberikan koreksi pada pro"&amp;"posal")</f>
        <v>nilai ini masih ekspektasi dengan asumsi dilakukan perbaikan oleh penulis. Gagasan yang diusulkan masih condong ke alat (seperti PKM KC). Gagasan harus dikembangkan lagi agar menjadi konsep makro yang visioner seperti yang telah diberikan koreksi pada proposal</v>
      </c>
      <c r="D56" s="1" t="str">
        <f ca="1">IFERROR(__xludf.DUMMYFUNCTION("""COMPUTED_VALUE"""),"LAYAK UPLOAD KE SIMBELMAWA DENGAN REVISI")</f>
        <v>LAYAK UPLOAD KE SIMBELMAWA DENGAN REVISI</v>
      </c>
      <c r="E56" s="1"/>
      <c r="F56" s="1">
        <f t="shared" ca="1" si="0"/>
        <v>0</v>
      </c>
      <c r="H56" s="4"/>
      <c r="I56" s="4"/>
      <c r="J56" s="4"/>
      <c r="K56" s="4"/>
      <c r="L56" s="4"/>
      <c r="N56" s="83" t="s">
        <v>1319</v>
      </c>
      <c r="O56" s="84">
        <v>80</v>
      </c>
      <c r="P56" s="54"/>
      <c r="Q56" s="8"/>
      <c r="R56" s="8"/>
      <c r="S56" s="8"/>
      <c r="T56" s="8"/>
      <c r="U56" s="8"/>
      <c r="V56" s="8"/>
      <c r="W56" s="8"/>
      <c r="X56" s="8"/>
    </row>
    <row r="57" spans="1:24">
      <c r="A57" s="1">
        <f ca="1">IFERROR(__xludf.DUMMYFUNCTION("""COMPUTED_VALUE"""),4108)</f>
        <v>4108</v>
      </c>
      <c r="B57" s="1" t="str">
        <f ca="1">IFERROR(__xludf.DUMMYFUNCTION("""COMPUTED_VALUE"""),"PKM GFT")</f>
        <v>PKM GFT</v>
      </c>
      <c r="C57" s="1" t="str">
        <f ca="1">IFERROR(__xludf.DUMMYFUNCTION("""COMPUTED_VALUE""")," ")</f>
        <v xml:space="preserve"> </v>
      </c>
      <c r="D57" s="1" t="str">
        <f ca="1">IFERROR(__xludf.DUMMYFUNCTION("""COMPUTED_VALUE""")," ")</f>
        <v xml:space="preserve"> </v>
      </c>
      <c r="E57" s="7" t="str">
        <f ca="1">IFERROR(__xludf.DUMMYFUNCTION("""COMPUTED_VALUE"""),"https://drive.google.com/open?id=1HiNv6OZzxHILL8EmgipYSBZkwcrXYTy5")</f>
        <v>https://drive.google.com/open?id=1HiNv6OZzxHILL8EmgipYSBZkwcrXYTy5</v>
      </c>
      <c r="F57" s="1">
        <f t="shared" ca="1" si="0"/>
        <v>1</v>
      </c>
      <c r="H57" s="4"/>
      <c r="I57" s="4"/>
      <c r="J57" s="4"/>
      <c r="K57" s="4"/>
      <c r="L57" s="4"/>
    </row>
    <row r="58" spans="1:24">
      <c r="A58" s="1">
        <f ca="1">IFERROR(__xludf.DUMMYFUNCTION("""COMPUTED_VALUE"""),3398)</f>
        <v>3398</v>
      </c>
      <c r="B58" s="1" t="str">
        <f ca="1">IFERROR(__xludf.DUMMYFUNCTION("""COMPUTED_VALUE"""),"PKM GFT")</f>
        <v>PKM GFT</v>
      </c>
      <c r="C58" s="1" t="str">
        <f ca="1">IFERROR(__xludf.DUMMYFUNCTION("""COMPUTED_VALUE""")," ")</f>
        <v xml:space="preserve"> </v>
      </c>
      <c r="D58" s="1" t="str">
        <f ca="1">IFERROR(__xludf.DUMMYFUNCTION("""COMPUTED_VALUE""")," ")</f>
        <v xml:space="preserve"> </v>
      </c>
      <c r="E58" s="7" t="str">
        <f ca="1">IFERROR(__xludf.DUMMYFUNCTION("""COMPUTED_VALUE"""),"https://drive.google.com/open?id=13B59uVms02njZbcnkZdHmF6944UFvoh-")</f>
        <v>https://drive.google.com/open?id=13B59uVms02njZbcnkZdHmF6944UFvoh-</v>
      </c>
      <c r="F58" s="1">
        <f t="shared" ca="1" si="0"/>
        <v>1</v>
      </c>
      <c r="H58" s="4"/>
      <c r="I58" s="4"/>
      <c r="J58" s="4"/>
      <c r="K58" s="4"/>
      <c r="L58" s="4"/>
    </row>
    <row r="59" spans="1:24">
      <c r="A59" s="1">
        <f ca="1">IFERROR(__xludf.DUMMYFUNCTION("""COMPUTED_VALUE"""),2049)</f>
        <v>2049</v>
      </c>
      <c r="B59" s="1" t="str">
        <f ca="1">IFERROR(__xludf.DUMMYFUNCTION("""COMPUTED_VALUE"""),"PKM GFT")</f>
        <v>PKM GFT</v>
      </c>
      <c r="C59" s="1" t="str">
        <f ca="1">IFERROR(__xludf.DUMMYFUNCTION("""COMPUTED_VALUE"""),"1. cek lagi judul agar terlihat lebih visioner
2. gagasan digambarkan secara infografis dan gambarkan dg infografis")</f>
        <v>1. cek lagi judul agar terlihat lebih visioner
2. gagasan digambarkan secara infografis dan gambarkan dg infografis</v>
      </c>
      <c r="D59" s="1" t="str">
        <f ca="1">IFERROR(__xludf.DUMMYFUNCTION("""COMPUTED_VALUE"""),"LAYAK UPLOAD KE SIMBELMAWA DENGAN REVISI")</f>
        <v>LAYAK UPLOAD KE SIMBELMAWA DENGAN REVISI</v>
      </c>
      <c r="E59" s="7" t="str">
        <f ca="1">IFERROR(__xludf.DUMMYFUNCTION("""COMPUTED_VALUE"""),"https://drive.google.com/open?id=13YJ-qExIphl_ZIsa8biQv021U0Mcyg2k")</f>
        <v>https://drive.google.com/open?id=13YJ-qExIphl_ZIsa8biQv021U0Mcyg2k</v>
      </c>
      <c r="F59" s="1">
        <f t="shared" ca="1" si="0"/>
        <v>0</v>
      </c>
      <c r="H59" s="4"/>
      <c r="I59" s="4"/>
      <c r="J59" s="4"/>
      <c r="K59" s="4"/>
      <c r="L59" s="4"/>
    </row>
    <row r="60" spans="1:24">
      <c r="A60" s="1">
        <f ca="1">IFERROR(__xludf.DUMMYFUNCTION("""COMPUTED_VALUE"""),2041)</f>
        <v>2041</v>
      </c>
      <c r="B60" s="1" t="str">
        <f ca="1">IFERROR(__xludf.DUMMYFUNCTION("""COMPUTED_VALUE"""),"PKM GFT")</f>
        <v>PKM GFT</v>
      </c>
      <c r="C60" s="1" t="str">
        <f ca="1">IFERROR(__xludf.DUMMYFUNCTION("""COMPUTED_VALUE"""),"1. gagasan ini kalau hanya sebuat aplikasi, kurang tepat untuk PKM GFT
2. gagasan kurang dijelaskan secara komprehensif dan detail
3. perjelas keterbaruan ide ini di bab 1")</f>
        <v>1. gagasan ini kalau hanya sebuat aplikasi, kurang tepat untuk PKM GFT
2. gagasan kurang dijelaskan secara komprehensif dan detail
3. perjelas keterbaruan ide ini di bab 1</v>
      </c>
      <c r="D60" s="1" t="str">
        <f ca="1">IFERROR(__xludf.DUMMYFUNCTION("""COMPUTED_VALUE"""),"LAYAK UPLOAD KE SIMBELMAWA DENGAN REVISI")</f>
        <v>LAYAK UPLOAD KE SIMBELMAWA DENGAN REVISI</v>
      </c>
      <c r="E60" s="7" t="str">
        <f ca="1">IFERROR(__xludf.DUMMYFUNCTION("""COMPUTED_VALUE"""),"https://drive.google.com/open?id=1Gam3lxrYnLOzrr5o5cPwMxlLQjEnMxh8")</f>
        <v>https://drive.google.com/open?id=1Gam3lxrYnLOzrr5o5cPwMxlLQjEnMxh8</v>
      </c>
      <c r="F60" s="1">
        <f t="shared" ca="1" si="0"/>
        <v>0</v>
      </c>
      <c r="H60" s="4"/>
      <c r="I60" s="4"/>
      <c r="J60" s="4"/>
      <c r="K60" s="4"/>
      <c r="L60" s="4"/>
    </row>
    <row r="61" spans="1:24">
      <c r="A61" s="1">
        <f ca="1">IFERROR(__xludf.DUMMYFUNCTION("""COMPUTED_VALUE"""),3868)</f>
        <v>3868</v>
      </c>
      <c r="B61" s="1" t="str">
        <f ca="1">IFERROR(__xludf.DUMMYFUNCTION("""COMPUTED_VALUE"""),"PKM GFT")</f>
        <v>PKM GFT</v>
      </c>
      <c r="C61" s="1" t="str">
        <f ca="1">IFERROR(__xludf.DUMMYFUNCTION("""COMPUTED_VALUE"""),"1. perjelas problem yang perlu diselesaikan dalam konteks PLTN
2. perjelas keterbaruan dari ide ini
3. buat ilustrasi gagasan yang komprehensif")</f>
        <v>1. perjelas problem yang perlu diselesaikan dalam konteks PLTN
2. perjelas keterbaruan dari ide ini
3. buat ilustrasi gagasan yang komprehensif</v>
      </c>
      <c r="D61" s="1" t="str">
        <f ca="1">IFERROR(__xludf.DUMMYFUNCTION("""COMPUTED_VALUE"""),"LAYAK UPLOAD KE SIMBELMAWA DENGAN REVISI")</f>
        <v>LAYAK UPLOAD KE SIMBELMAWA DENGAN REVISI</v>
      </c>
      <c r="E61" s="7" t="str">
        <f ca="1">IFERROR(__xludf.DUMMYFUNCTION("""COMPUTED_VALUE"""),"https://drive.google.com/open?id=120FqQiEw6ietGN_wrIRbOMpGfJB0lfaF")</f>
        <v>https://drive.google.com/open?id=120FqQiEw6ietGN_wrIRbOMpGfJB0lfaF</v>
      </c>
      <c r="F61" s="1">
        <f t="shared" ca="1" si="0"/>
        <v>0</v>
      </c>
      <c r="H61" s="4"/>
      <c r="I61" s="4"/>
      <c r="J61" s="4"/>
      <c r="K61" s="4"/>
      <c r="L61" s="4"/>
    </row>
    <row r="62" spans="1:24">
      <c r="A62" s="1">
        <f ca="1">IFERROR(__xludf.DUMMYFUNCTION("""COMPUTED_VALUE"""),2742)</f>
        <v>2742</v>
      </c>
      <c r="B62" s="1" t="str">
        <f ca="1">IFERROR(__xludf.DUMMYFUNCTION("""COMPUTED_VALUE"""),"PKM GFT")</f>
        <v>PKM GFT</v>
      </c>
      <c r="C62" s="1" t="str">
        <f ca="1">IFERROR(__xludf.DUMMYFUNCTION("""COMPUTED_VALUE"""),"1. gagasan tekankan pada konsep pengelolaan sampahnya, bukan pada kapalnya
2. buat ilustrasi ide yang komprehensif")</f>
        <v>1. gagasan tekankan pada konsep pengelolaan sampahnya, bukan pada kapalnya
2. buat ilustrasi ide yang komprehensif</v>
      </c>
      <c r="D62" s="1" t="str">
        <f ca="1">IFERROR(__xludf.DUMMYFUNCTION("""COMPUTED_VALUE"""),"LAYAK UPLOAD KE SIMBELMAWA DENGAN REVISI")</f>
        <v>LAYAK UPLOAD KE SIMBELMAWA DENGAN REVISI</v>
      </c>
      <c r="E62" s="7" t="str">
        <f ca="1">IFERROR(__xludf.DUMMYFUNCTION("""COMPUTED_VALUE"""),"https://drive.google.com/open?id=1AyxY2R7kfJYCZx4h2zYxS-fRqBmsoTWJ")</f>
        <v>https://drive.google.com/open?id=1AyxY2R7kfJYCZx4h2zYxS-fRqBmsoTWJ</v>
      </c>
      <c r="F62" s="1">
        <f t="shared" ca="1" si="0"/>
        <v>0</v>
      </c>
      <c r="H62" s="4"/>
      <c r="I62" s="4"/>
      <c r="J62" s="4"/>
      <c r="K62" s="4"/>
      <c r="L62" s="4"/>
    </row>
    <row r="63" spans="1:24">
      <c r="A63" s="1">
        <f ca="1">IFERROR(__xludf.DUMMYFUNCTION("""COMPUTED_VALUE"""),2353)</f>
        <v>2353</v>
      </c>
      <c r="B63" s="1" t="str">
        <f ca="1">IFERROR(__xludf.DUMMYFUNCTION("""COMPUTED_VALUE"""),"PKM GFT")</f>
        <v>PKM GFT</v>
      </c>
      <c r="C63" s="1" t="str">
        <f ca="1">IFERROR(__xludf.DUMMYFUNCTION("""COMPUTED_VALUE"""),"1. jelaskan keterbaruan gagasan, karena beberapa bagian gagasan sdh diimplementasikan di tempat lain
2. buat ilustrasi gagasan yang komprehensif dalam konteks anambas, baru kemudian jelaskan komponen2 nya")</f>
        <v>1. jelaskan keterbaruan gagasan, karena beberapa bagian gagasan sdh diimplementasikan di tempat lain
2. buat ilustrasi gagasan yang komprehensif dalam konteks anambas, baru kemudian jelaskan komponen2 nya</v>
      </c>
      <c r="D63" s="1" t="str">
        <f ca="1">IFERROR(__xludf.DUMMYFUNCTION("""COMPUTED_VALUE"""),"LAYAK UPLOAD KE SIMBELMAWA DENGAN REVISI")</f>
        <v>LAYAK UPLOAD KE SIMBELMAWA DENGAN REVISI</v>
      </c>
      <c r="E63" s="7" t="str">
        <f ca="1">IFERROR(__xludf.DUMMYFUNCTION("""COMPUTED_VALUE"""),"https://drive.google.com/open?id=1YopiwngKWc2FJYbM9i0HMzLwMujE-O81")</f>
        <v>https://drive.google.com/open?id=1YopiwngKWc2FJYbM9i0HMzLwMujE-O81</v>
      </c>
      <c r="F63" s="1">
        <f t="shared" ca="1" si="0"/>
        <v>0</v>
      </c>
      <c r="H63" s="4"/>
      <c r="I63" s="4"/>
      <c r="J63" s="4"/>
      <c r="K63" s="4"/>
      <c r="L63" s="4"/>
    </row>
    <row r="64" spans="1:24">
      <c r="A64" s="1">
        <f ca="1">IFERROR(__xludf.DUMMYFUNCTION("""COMPUTED_VALUE"""),2015)</f>
        <v>2015</v>
      </c>
      <c r="B64" s="1" t="str">
        <f ca="1">IFERROR(__xludf.DUMMYFUNCTION("""COMPUTED_VALUE"""),"PKM GFT")</f>
        <v>PKM GFT</v>
      </c>
      <c r="C64" s="1" t="str">
        <f ca="1">IFERROR(__xludf.DUMMYFUNCTION("""COMPUTED_VALUE"""),"1. ide ini kurang relevan dengan kondisi masalah yang diselesaikan
2. ide terlalu lokal
3. ide relatif umum dan kurang dijelaskan secara komprehensif")</f>
        <v>1. ide ini kurang relevan dengan kondisi masalah yang diselesaikan
2. ide terlalu lokal
3. ide relatif umum dan kurang dijelaskan secara komprehensif</v>
      </c>
      <c r="D64" s="1" t="str">
        <f ca="1">IFERROR(__xludf.DUMMYFUNCTION("""COMPUTED_VALUE"""),"TIDAK LAYAK UPLOAD KE SIMBELMAWA")</f>
        <v>TIDAK LAYAK UPLOAD KE SIMBELMAWA</v>
      </c>
      <c r="E64" s="7" t="str">
        <f ca="1">IFERROR(__xludf.DUMMYFUNCTION("""COMPUTED_VALUE"""),"https://drive.google.com/open?id=1Nf7-pwoxwwkMtiIpJ5JyJpvQ6vOyqNgG")</f>
        <v>https://drive.google.com/open?id=1Nf7-pwoxwwkMtiIpJ5JyJpvQ6vOyqNgG</v>
      </c>
      <c r="F64" s="1">
        <f t="shared" ca="1" si="0"/>
        <v>0</v>
      </c>
      <c r="H64" s="4"/>
      <c r="I64" s="4"/>
      <c r="J64" s="4"/>
      <c r="K64" s="4"/>
      <c r="L64" s="4"/>
    </row>
    <row r="65" spans="1:12">
      <c r="A65" s="1">
        <f ca="1">IFERROR(__xludf.DUMMYFUNCTION("""COMPUTED_VALUE"""),2044)</f>
        <v>2044</v>
      </c>
      <c r="B65" s="1" t="str">
        <f ca="1">IFERROR(__xludf.DUMMYFUNCTION("""COMPUTED_VALUE"""),"PKM GFT")</f>
        <v>PKM GFT</v>
      </c>
      <c r="C65" s="1" t="str">
        <f ca="1">IFERROR(__xludf.DUMMYFUNCTION("""COMPUTED_VALUE"""),"1. memperkuat urgensi gagasan
2. Memperkuat fokus persoalan gagasan
3. buat ilustrasi gagasan secara komprehensif")</f>
        <v>1. memperkuat urgensi gagasan
2. Memperkuat fokus persoalan gagasan
3. buat ilustrasi gagasan secara komprehensif</v>
      </c>
      <c r="D65" s="1" t="str">
        <f ca="1">IFERROR(__xludf.DUMMYFUNCTION("""COMPUTED_VALUE"""),"LAYAK UPLOAD KE SIMBELMAWA DENGAN REVISI")</f>
        <v>LAYAK UPLOAD KE SIMBELMAWA DENGAN REVISI</v>
      </c>
      <c r="E65" s="7" t="str">
        <f ca="1">IFERROR(__xludf.DUMMYFUNCTION("""COMPUTED_VALUE"""),"https://drive.google.com/open?id=1Z6uqYTMJxFAG7o5wLeKtlg9OSZutMmGK")</f>
        <v>https://drive.google.com/open?id=1Z6uqYTMJxFAG7o5wLeKtlg9OSZutMmGK</v>
      </c>
      <c r="F65" s="1">
        <f t="shared" ca="1" si="0"/>
        <v>0</v>
      </c>
      <c r="H65" s="4"/>
      <c r="I65" s="4"/>
      <c r="J65" s="4"/>
      <c r="K65" s="4"/>
      <c r="L65" s="4"/>
    </row>
    <row r="66" spans="1:12">
      <c r="A66" s="1">
        <f ca="1">IFERROR(__xludf.DUMMYFUNCTION("""COMPUTED_VALUE"""),3576)</f>
        <v>3576</v>
      </c>
      <c r="B66" s="1" t="str">
        <f ca="1">IFERROR(__xludf.DUMMYFUNCTION("""COMPUTED_VALUE"""),"PKM GFT")</f>
        <v>PKM GFT</v>
      </c>
      <c r="C66" s="1" t="str">
        <f ca="1">IFERROR(__xludf.DUMMYFUNCTION("""COMPUTED_VALUE"""),"1. Latar belakang kurang menjelaskan fokusan permasalahan yang diatasi, latar belakangnya bicara mengenai perubahan garis pantai tapi solusinya konversi energi 
2. Kurang adanya informasi mengenai upaya sebelumnya dalam mengatasi permasalahan tersebut
3. "&amp;"Belum terlihat teknologi futuristik di dalam gagasan yang ditawarkan, hanya menempelkan pzioelektrik di breakwater, saat ini bisa dilakukan penelitian secara langsung
4. Sumber informasi kurang lengkap")</f>
        <v>1. Latar belakang kurang menjelaskan fokusan permasalahan yang diatasi, latar belakangnya bicara mengenai perubahan garis pantai tapi solusinya konversi energi 
2. Kurang adanya informasi mengenai upaya sebelumnya dalam mengatasi permasalahan tersebut
3. Belum terlihat teknologi futuristik di dalam gagasan yang ditawarkan, hanya menempelkan pzioelektrik di breakwater, saat ini bisa dilakukan penelitian secara langsung
4. Sumber informasi kurang lengkap</v>
      </c>
      <c r="D66" s="1" t="str">
        <f ca="1">IFERROR(__xludf.DUMMYFUNCTION("""COMPUTED_VALUE"""),"TIDAK LAYAK UPLOAD KE SIMBELMAWA")</f>
        <v>TIDAK LAYAK UPLOAD KE SIMBELMAWA</v>
      </c>
      <c r="E66" s="7" t="str">
        <f ca="1">IFERROR(__xludf.DUMMYFUNCTION("""COMPUTED_VALUE"""),"https://drive.google.com/open?id=14YJCEn49FsupkhIz2-chc9hCO-_7Lm2V")</f>
        <v>https://drive.google.com/open?id=14YJCEn49FsupkhIz2-chc9hCO-_7Lm2V</v>
      </c>
      <c r="F66" s="1">
        <f t="shared" ca="1" si="0"/>
        <v>0</v>
      </c>
      <c r="H66" s="4"/>
      <c r="I66" s="4"/>
      <c r="J66" s="4"/>
      <c r="K66" s="4"/>
      <c r="L66" s="4"/>
    </row>
    <row r="67" spans="1:12">
      <c r="A67" s="1">
        <f ca="1">IFERROR(__xludf.DUMMYFUNCTION("""COMPUTED_VALUE"""),2417)</f>
        <v>2417</v>
      </c>
      <c r="B67" s="1" t="str">
        <f ca="1">IFERROR(__xludf.DUMMYFUNCTION("""COMPUTED_VALUE"""),"PKM GFT")</f>
        <v>PKM GFT</v>
      </c>
      <c r="C67" s="1" t="str">
        <f ca="1">IFERROR(__xludf.DUMMYFUNCTION("""COMPUTED_VALUE"""),"1. pastikan sesuai format, khususnya daftar pustaka
3. ilustrasi gagsan terlalu kecil ukurannya
3. tambahkan sistem kelembagaan pengelolannya")</f>
        <v>1. pastikan sesuai format, khususnya daftar pustaka
3. ilustrasi gagsan terlalu kecil ukurannya
3. tambahkan sistem kelembagaan pengelolannya</v>
      </c>
      <c r="D67" s="1" t="str">
        <f ca="1">IFERROR(__xludf.DUMMYFUNCTION("""COMPUTED_VALUE"""),"LAYAK UPLOAD KE SIMBELMAWA DENGAN REVISI")</f>
        <v>LAYAK UPLOAD KE SIMBELMAWA DENGAN REVISI</v>
      </c>
      <c r="E67" s="7" t="str">
        <f ca="1">IFERROR(__xludf.DUMMYFUNCTION("""COMPUTED_VALUE"""),"https://drive.google.com/open?id=1HFVHfGetBxuJivKTl1_lKQoobkJLkl14")</f>
        <v>https://drive.google.com/open?id=1HFVHfGetBxuJivKTl1_lKQoobkJLkl14</v>
      </c>
      <c r="F67" s="1">
        <f t="shared" ca="1" si="0"/>
        <v>0</v>
      </c>
      <c r="H67" s="4"/>
      <c r="I67" s="4"/>
      <c r="J67" s="4"/>
      <c r="K67" s="4"/>
      <c r="L67" s="4"/>
    </row>
    <row r="68" spans="1:12">
      <c r="A68" s="1">
        <f ca="1">IFERROR(__xludf.DUMMYFUNCTION("""COMPUTED_VALUE"""),3056)</f>
        <v>3056</v>
      </c>
      <c r="B68" s="1" t="str">
        <f ca="1">IFERROR(__xludf.DUMMYFUNCTION("""COMPUTED_VALUE"""),"PKM GFT")</f>
        <v>PKM GFT</v>
      </c>
      <c r="C68" s="1" t="str">
        <f ca="1">IFERROR(__xludf.DUMMYFUNCTION("""COMPUTED_VALUE"""),"1. perbaiki sesuai saran di proposal
2. hal yang prinsip menyesuaikan judul dan membuat gagasan lebih visoner, komprehensif dan implementatif")</f>
        <v>1. perbaiki sesuai saran di proposal
2. hal yang prinsip menyesuaikan judul dan membuat gagasan lebih visoner, komprehensif dan implementatif</v>
      </c>
      <c r="D68" s="1" t="str">
        <f ca="1">IFERROR(__xludf.DUMMYFUNCTION("""COMPUTED_VALUE"""),"LAYAK UPLOAD KE SIMBELMAWA DENGAN REVISI")</f>
        <v>LAYAK UPLOAD KE SIMBELMAWA DENGAN REVISI</v>
      </c>
      <c r="E68" s="7" t="str">
        <f ca="1">IFERROR(__xludf.DUMMYFUNCTION("""COMPUTED_VALUE"""),"https://drive.google.com/open?id=15W2BtliUv0Kfb0uIDo-hEr2B1EOVfefn")</f>
        <v>https://drive.google.com/open?id=15W2BtliUv0Kfb0uIDo-hEr2B1EOVfefn</v>
      </c>
      <c r="F68" s="1">
        <f t="shared" ca="1" si="0"/>
        <v>0</v>
      </c>
      <c r="H68" s="4"/>
      <c r="I68" s="4"/>
      <c r="J68" s="4"/>
      <c r="K68" s="4"/>
      <c r="L68" s="4"/>
    </row>
    <row r="69" spans="1:12">
      <c r="A69" s="1">
        <f ca="1">IFERROR(__xludf.DUMMYFUNCTION("""COMPUTED_VALUE"""),2319)</f>
        <v>2319</v>
      </c>
      <c r="B69" s="1" t="str">
        <f ca="1">IFERROR(__xludf.DUMMYFUNCTION("""COMPUTED_VALUE"""),"PKM GFT")</f>
        <v>PKM GFT</v>
      </c>
      <c r="C69" s="1" t="str">
        <f ca="1">IFERROR(__xludf.DUMMYFUNCTION("""COMPUTED_VALUE"""),"1. ide ini akan lebih baik membuat food estate di Kab Buleleng dengan berbasis Geo-Ocean Energy Conversion
2. kalau ide spt ini, sdh bukan GFT lagi, karena ide ini sdh banyak dikembangkan
2. proposal layak lolos bila idenya dikembangkan sesuai saran")</f>
        <v>1. ide ini akan lebih baik membuat food estate di Kab Buleleng dengan berbasis Geo-Ocean Energy Conversion
2. kalau ide spt ini, sdh bukan GFT lagi, karena ide ini sdh banyak dikembangkan
2. proposal layak lolos bila idenya dikembangkan sesuai saran</v>
      </c>
      <c r="D69" s="1" t="str">
        <f ca="1">IFERROR(__xludf.DUMMYFUNCTION("""COMPUTED_VALUE"""),"LAYAK UPLOAD KE SIMBELMAWA DENGAN REVISI")</f>
        <v>LAYAK UPLOAD KE SIMBELMAWA DENGAN REVISI</v>
      </c>
      <c r="E69" s="7" t="str">
        <f ca="1">IFERROR(__xludf.DUMMYFUNCTION("""COMPUTED_VALUE"""),"https://drive.google.com/open?id=10wY1ISwNNrJzwCIcz0jsCdYcj5qvl3Iq")</f>
        <v>https://drive.google.com/open?id=10wY1ISwNNrJzwCIcz0jsCdYcj5qvl3Iq</v>
      </c>
      <c r="F69" s="1">
        <f t="shared" ca="1" si="0"/>
        <v>0</v>
      </c>
      <c r="H69" s="4"/>
      <c r="I69" s="4"/>
      <c r="J69" s="4"/>
      <c r="K69" s="4"/>
      <c r="L69" s="4"/>
    </row>
    <row r="70" spans="1:12">
      <c r="A70" s="1">
        <f ca="1">IFERROR(__xludf.DUMMYFUNCTION("""COMPUTED_VALUE"""),3522)</f>
        <v>3522</v>
      </c>
      <c r="B70" s="1" t="str">
        <f ca="1">IFERROR(__xludf.DUMMYFUNCTION("""COMPUTED_VALUE"""),"PKM GFT")</f>
        <v>PKM GFT</v>
      </c>
      <c r="C70" s="1" t="str">
        <f ca="1">IFERROR(__xludf.DUMMYFUNCTION("""COMPUTED_VALUE"""),"1. walaupun ada unsur sistemnya, namun gagasan yang ditawarkan masih berbasis alat.
2. aspek visionernya kurang terlihat")</f>
        <v>1. walaupun ada unsur sistemnya, namun gagasan yang ditawarkan masih berbasis alat.
2. aspek visionernya kurang terlihat</v>
      </c>
      <c r="D70" s="1" t="str">
        <f ca="1">IFERROR(__xludf.DUMMYFUNCTION("""COMPUTED_VALUE"""),"TIDAK LAYAK UPLOAD KE SIMBELMAWA")</f>
        <v>TIDAK LAYAK UPLOAD KE SIMBELMAWA</v>
      </c>
      <c r="E70" s="7" t="str">
        <f ca="1">IFERROR(__xludf.DUMMYFUNCTION("""COMPUTED_VALUE"""),"https://drive.google.com/open?id=1g_ZeGLqPUvZuCgj6OOxOjr4Kz0pGsnyc")</f>
        <v>https://drive.google.com/open?id=1g_ZeGLqPUvZuCgj6OOxOjr4Kz0pGsnyc</v>
      </c>
      <c r="F70" s="1">
        <f t="shared" ca="1" si="0"/>
        <v>0</v>
      </c>
      <c r="H70" s="4"/>
      <c r="I70" s="4"/>
      <c r="J70" s="4"/>
      <c r="K70" s="4"/>
      <c r="L70" s="4"/>
    </row>
    <row r="71" spans="1:12">
      <c r="A71" s="1">
        <f ca="1">IFERROR(__xludf.DUMMYFUNCTION("""COMPUTED_VALUE"""),4118)</f>
        <v>4118</v>
      </c>
      <c r="B71" s="1" t="str">
        <f ca="1">IFERROR(__xludf.DUMMYFUNCTION("""COMPUTED_VALUE"""),"PKM GFT")</f>
        <v>PKM GFT</v>
      </c>
      <c r="C71" s="1" t="str">
        <f ca="1">IFERROR(__xludf.DUMMYFUNCTION("""COMPUTED_VALUE"""),"gagasan baik bagian implementasi yang perlu diperbaiki")</f>
        <v>gagasan baik bagian implementasi yang perlu diperbaiki</v>
      </c>
      <c r="D71" s="1" t="str">
        <f ca="1">IFERROR(__xludf.DUMMYFUNCTION("""COMPUTED_VALUE"""),"LAYAK UPLOAD KE SIMBELMAWA DENGAN REVISI")</f>
        <v>LAYAK UPLOAD KE SIMBELMAWA DENGAN REVISI</v>
      </c>
      <c r="E71" s="7" t="str">
        <f ca="1">IFERROR(__xludf.DUMMYFUNCTION("""COMPUTED_VALUE"""),"https://drive.google.com/open?id=1Q12VkjiTkTijflqvHlM-9lsyupIUOfEN")</f>
        <v>https://drive.google.com/open?id=1Q12VkjiTkTijflqvHlM-9lsyupIUOfEN</v>
      </c>
      <c r="F71" s="1">
        <f t="shared" ca="1" si="0"/>
        <v>0</v>
      </c>
      <c r="H71" s="4"/>
      <c r="I71" s="4"/>
      <c r="J71" s="4"/>
      <c r="K71" s="4"/>
      <c r="L71" s="4"/>
    </row>
    <row r="72" spans="1:12">
      <c r="A72" s="1">
        <f ca="1">IFERROR(__xludf.DUMMYFUNCTION("""COMPUTED_VALUE"""),2412)</f>
        <v>2412</v>
      </c>
      <c r="B72" s="1" t="str">
        <f ca="1">IFERROR(__xludf.DUMMYFUNCTION("""COMPUTED_VALUE"""),"PKM GFT")</f>
        <v>PKM GFT</v>
      </c>
      <c r="C72" s="1" t="str">
        <f ca="1">IFERROR(__xludf.DUMMYFUNCTION("""COMPUTED_VALUE"""),"1. gagasannya lebih mengarah pada alat bukan konsep yang visioner dan komprehensif
2. ide ini dapat diselesaikan dengan membuat prototype nya melalui skema PKM KC")</f>
        <v>1. gagasannya lebih mengarah pada alat bukan konsep yang visioner dan komprehensif
2. ide ini dapat diselesaikan dengan membuat prototype nya melalui skema PKM KC</v>
      </c>
      <c r="D72" s="1" t="str">
        <f ca="1">IFERROR(__xludf.DUMMYFUNCTION("""COMPUTED_VALUE"""),"TIDAK LAYAK UPLOAD KE SIMBELMAWA")</f>
        <v>TIDAK LAYAK UPLOAD KE SIMBELMAWA</v>
      </c>
      <c r="E72" s="7" t="str">
        <f ca="1">IFERROR(__xludf.DUMMYFUNCTION("""COMPUTED_VALUE"""),"https://drive.google.com/open?id=1GS2MUnfTVXGwGRhBSThhv1QYoU2t24Sk")</f>
        <v>https://drive.google.com/open?id=1GS2MUnfTVXGwGRhBSThhv1QYoU2t24Sk</v>
      </c>
      <c r="F72" s="1">
        <f t="shared" ca="1" si="0"/>
        <v>0</v>
      </c>
      <c r="H72" s="4"/>
      <c r="I72" s="4"/>
      <c r="J72" s="4"/>
      <c r="K72" s="4"/>
      <c r="L72" s="4"/>
    </row>
    <row r="73" spans="1:12">
      <c r="A73" s="1">
        <f ca="1">IFERROR(__xludf.DUMMYFUNCTION("""COMPUTED_VALUE"""),2845)</f>
        <v>2845</v>
      </c>
      <c r="B73" s="1" t="str">
        <f ca="1">IFERROR(__xludf.DUMMYFUNCTION("""COMPUTED_VALUE"""),"PKM GFT")</f>
        <v>PKM GFT</v>
      </c>
      <c r="C73" s="1" t="str">
        <f ca="1">IFERROR(__xludf.DUMMYFUNCTION("""COMPUTED_VALUE"""),"1. ide ini dapat direalisasikan dengan skema PKM KC. Teknologinya sdh ada dan membuat skema yang direncanakan relatif memerlukan waktu yang singkat (kurang dari 1 tahun)
2. Konsepnya perlu dibuat lebih komprehensif dan sistematis")</f>
        <v>1. ide ini dapat direalisasikan dengan skema PKM KC. Teknologinya sdh ada dan membuat skema yang direncanakan relatif memerlukan waktu yang singkat (kurang dari 1 tahun)
2. Konsepnya perlu dibuat lebih komprehensif dan sistematis</v>
      </c>
      <c r="D73" s="1" t="str">
        <f ca="1">IFERROR(__xludf.DUMMYFUNCTION("""COMPUTED_VALUE"""),"TIDAK LAYAK UPLOAD KE SIMBELMAWA")</f>
        <v>TIDAK LAYAK UPLOAD KE SIMBELMAWA</v>
      </c>
      <c r="E73" s="7" t="str">
        <f ca="1">IFERROR(__xludf.DUMMYFUNCTION("""COMPUTED_VALUE"""),"https://drive.google.com/open?id=19H5bgTDShV-ruF8K3IBCge0udSYhhwlW")</f>
        <v>https://drive.google.com/open?id=19H5bgTDShV-ruF8K3IBCge0udSYhhwlW</v>
      </c>
      <c r="F73" s="1">
        <f t="shared" ca="1" si="0"/>
        <v>0</v>
      </c>
      <c r="H73" s="4"/>
      <c r="I73" s="4"/>
      <c r="J73" s="4"/>
      <c r="K73" s="4"/>
      <c r="L73" s="4"/>
    </row>
    <row r="74" spans="1:12">
      <c r="A74" s="1">
        <f ca="1">IFERROR(__xludf.DUMMYFUNCTION("""COMPUTED_VALUE"""),3286)</f>
        <v>3286</v>
      </c>
      <c r="B74" s="1" t="str">
        <f ca="1">IFERROR(__xludf.DUMMYFUNCTION("""COMPUTED_VALUE"""),"PKM GFT")</f>
        <v>PKM GFT</v>
      </c>
      <c r="C74" s="1" t="str">
        <f ca="1">IFERROR(__xludf.DUMMYFUNCTION("""COMPUTED_VALUE"""),"1. Memperkuat state of the art ide
2. belum terlihat ilustrasi gagasan secara komprehensif")</f>
        <v>1. Memperkuat state of the art ide
2. belum terlihat ilustrasi gagasan secara komprehensif</v>
      </c>
      <c r="D74" s="1" t="str">
        <f ca="1">IFERROR(__xludf.DUMMYFUNCTION("""COMPUTED_VALUE"""),"LAYAK UPLOAD KE SIMBELMAWA DENGAN REVISI")</f>
        <v>LAYAK UPLOAD KE SIMBELMAWA DENGAN REVISI</v>
      </c>
      <c r="E74" s="7" t="str">
        <f ca="1">IFERROR(__xludf.DUMMYFUNCTION("""COMPUTED_VALUE"""),"https://drive.google.com/open?id=1QxQ_tqoHyOzlBTYfC2HH6Wbp3jZ-DERY")</f>
        <v>https://drive.google.com/open?id=1QxQ_tqoHyOzlBTYfC2HH6Wbp3jZ-DERY</v>
      </c>
      <c r="F74" s="1">
        <f t="shared" ca="1" si="0"/>
        <v>0</v>
      </c>
      <c r="H74" s="4"/>
      <c r="I74" s="4"/>
      <c r="J74" s="4"/>
      <c r="K74" s="4"/>
      <c r="L74" s="4"/>
    </row>
    <row r="75" spans="1:12">
      <c r="A75" s="1">
        <f ca="1">IFERROR(__xludf.DUMMYFUNCTION("""COMPUTED_VALUE"""),3790)</f>
        <v>3790</v>
      </c>
      <c r="B75" s="1" t="str">
        <f ca="1">IFERROR(__xludf.DUMMYFUNCTION("""COMPUTED_VALUE"""),"PKM GFT")</f>
        <v>PKM GFT</v>
      </c>
      <c r="C75" s="1" t="str">
        <f ca="1">IFERROR(__xludf.DUMMYFUNCTION("""COMPUTED_VALUE"""),"1. format font tdk sesuai
2. perjelas ilustrasi gagasan untuk konteks pantai kuta")</f>
        <v>1. format font tdk sesuai
2. perjelas ilustrasi gagasan untuk konteks pantai kuta</v>
      </c>
      <c r="D75" s="1" t="str">
        <f ca="1">IFERROR(__xludf.DUMMYFUNCTION("""COMPUTED_VALUE"""),"LAYAK UPLOAD KE SIMBELMAWA DENGAN REVISI")</f>
        <v>LAYAK UPLOAD KE SIMBELMAWA DENGAN REVISI</v>
      </c>
      <c r="E75" s="7" t="str">
        <f ca="1">IFERROR(__xludf.DUMMYFUNCTION("""COMPUTED_VALUE"""),"https://drive.google.com/open?id=1Qa3f41544y0I9uVo1v2VGHvsaiKOQ3HU")</f>
        <v>https://drive.google.com/open?id=1Qa3f41544y0I9uVo1v2VGHvsaiKOQ3HU</v>
      </c>
      <c r="F75" s="1">
        <f t="shared" ca="1" si="0"/>
        <v>0</v>
      </c>
      <c r="H75" s="4"/>
      <c r="I75" s="4"/>
      <c r="J75" s="4"/>
      <c r="K75" s="4"/>
      <c r="L75" s="4"/>
    </row>
    <row r="76" spans="1:12">
      <c r="A76" s="1">
        <f ca="1">IFERROR(__xludf.DUMMYFUNCTION("""COMPUTED_VALUE"""),2769)</f>
        <v>2769</v>
      </c>
      <c r="B76" s="1" t="str">
        <f ca="1">IFERROR(__xludf.DUMMYFUNCTION("""COMPUTED_VALUE"""),"PKM GFT")</f>
        <v>PKM GFT</v>
      </c>
      <c r="C76" s="1" t="str">
        <f ca="1">IFERROR(__xludf.DUMMYFUNCTION("""COMPUTED_VALUE"""),"1. memperkuat fokus masalah dan tantangan intelektual gagasan
2. belum terlihat ilustrasi gagasan secara komprehensif dan implementasinya di NTT")</f>
        <v>1. memperkuat fokus masalah dan tantangan intelektual gagasan
2. belum terlihat ilustrasi gagasan secara komprehensif dan implementasinya di NTT</v>
      </c>
      <c r="D76" s="1" t="str">
        <f ca="1">IFERROR(__xludf.DUMMYFUNCTION("""COMPUTED_VALUE"""),"LAYAK UPLOAD KE SIMBELMAWA DENGAN REVISI")</f>
        <v>LAYAK UPLOAD KE SIMBELMAWA DENGAN REVISI</v>
      </c>
      <c r="E76" s="7" t="str">
        <f ca="1">IFERROR(__xludf.DUMMYFUNCTION("""COMPUTED_VALUE"""),"https://drive.google.com/open?id=1korVDsnWIHl6M5Dxhx0fM5umfFYnc0me")</f>
        <v>https://drive.google.com/open?id=1korVDsnWIHl6M5Dxhx0fM5umfFYnc0me</v>
      </c>
      <c r="F76" s="1">
        <f t="shared" ca="1" si="0"/>
        <v>0</v>
      </c>
      <c r="H76" s="4"/>
      <c r="I76" s="4"/>
      <c r="J76" s="4"/>
      <c r="K76" s="4"/>
      <c r="L76" s="4"/>
    </row>
    <row r="77" spans="1:12">
      <c r="A77" s="1">
        <f ca="1">IFERROR(__xludf.DUMMYFUNCTION("""COMPUTED_VALUE"""),2137)</f>
        <v>2137</v>
      </c>
      <c r="B77" s="1" t="str">
        <f ca="1">IFERROR(__xludf.DUMMYFUNCTION("""COMPUTED_VALUE"""),"PKM GFT")</f>
        <v>PKM GFT</v>
      </c>
      <c r="C77" s="1" t="str">
        <f ca="1">IFERROR(__xludf.DUMMYFUNCTION("""COMPUTED_VALUE"""),"Perlu memperjelas cara mendeskripsikan gagasannya (lihat komentar di proposal)")</f>
        <v>Perlu memperjelas cara mendeskripsikan gagasannya (lihat komentar di proposal)</v>
      </c>
      <c r="D77" s="1" t="str">
        <f ca="1">IFERROR(__xludf.DUMMYFUNCTION("""COMPUTED_VALUE"""),"LAYAK UPLOAD KE SIMBELMAWA DENGAN REVISI")</f>
        <v>LAYAK UPLOAD KE SIMBELMAWA DENGAN REVISI</v>
      </c>
      <c r="E77" s="7" t="str">
        <f ca="1">IFERROR(__xludf.DUMMYFUNCTION("""COMPUTED_VALUE"""),"https://drive.google.com/open?id=1c-2_OKcZF9afKJRh_fOTfMaloewbkG0H")</f>
        <v>https://drive.google.com/open?id=1c-2_OKcZF9afKJRh_fOTfMaloewbkG0H</v>
      </c>
      <c r="F77" s="1">
        <f t="shared" ca="1" si="0"/>
        <v>0</v>
      </c>
      <c r="H77" s="4"/>
      <c r="I77" s="4"/>
      <c r="J77" s="4"/>
      <c r="K77" s="4"/>
      <c r="L77" s="4"/>
    </row>
    <row r="78" spans="1:12">
      <c r="A78" s="1">
        <f ca="1">IFERROR(__xludf.DUMMYFUNCTION("""COMPUTED_VALUE"""),3686)</f>
        <v>3686</v>
      </c>
      <c r="B78" s="1" t="str">
        <f ca="1">IFERROR(__xludf.DUMMYFUNCTION("""COMPUTED_VALUE"""),"PKM GFT")</f>
        <v>PKM GFT</v>
      </c>
      <c r="C78" s="1" t="str">
        <f ca="1">IFERROR(__xludf.DUMMYFUNCTION("""COMPUTED_VALUE""")," ")</f>
        <v xml:space="preserve"> </v>
      </c>
      <c r="D78" s="1" t="str">
        <f ca="1">IFERROR(__xludf.DUMMYFUNCTION("""COMPUTED_VALUE""")," ")</f>
        <v xml:space="preserve"> </v>
      </c>
      <c r="E78" s="1"/>
      <c r="F78" s="1">
        <f t="shared" ca="1" si="0"/>
        <v>2</v>
      </c>
      <c r="H78" s="4"/>
      <c r="I78" s="4"/>
      <c r="J78" s="4"/>
      <c r="K78" s="4"/>
      <c r="L78" s="4"/>
    </row>
    <row r="79" spans="1:12">
      <c r="A79" s="1">
        <f ca="1">IFERROR(__xludf.DUMMYFUNCTION("""COMPUTED_VALUE"""),3452)</f>
        <v>3452</v>
      </c>
      <c r="B79" s="1" t="str">
        <f ca="1">IFERROR(__xludf.DUMMYFUNCTION("""COMPUTED_VALUE"""),"PKM GFT")</f>
        <v>PKM GFT</v>
      </c>
      <c r="C79" s="1" t="str">
        <f ca="1">IFERROR(__xludf.DUMMYFUNCTION("""COMPUTED_VALUE"""),"1. banyak format yang tdk sesuai
2. ide fokus pada kapalnya, bukan inovasi visioner dari sistem monitoringnya")</f>
        <v>1. banyak format yang tdk sesuai
2. ide fokus pada kapalnya, bukan inovasi visioner dari sistem monitoringnya</v>
      </c>
      <c r="D79" s="1" t="str">
        <f ca="1">IFERROR(__xludf.DUMMYFUNCTION("""COMPUTED_VALUE"""),"TIDAK LAYAK UPLOAD KE SIMBELMAWA")</f>
        <v>TIDAK LAYAK UPLOAD KE SIMBELMAWA</v>
      </c>
      <c r="E79" s="7" t="str">
        <f ca="1">IFERROR(__xludf.DUMMYFUNCTION("""COMPUTED_VALUE"""),"https://drive.google.com/open?id=1H3AWLs3lav3o5QK-UA-wmf34o4cXTktD")</f>
        <v>https://drive.google.com/open?id=1H3AWLs3lav3o5QK-UA-wmf34o4cXTktD</v>
      </c>
      <c r="F79" s="1">
        <f t="shared" ca="1" si="0"/>
        <v>0</v>
      </c>
      <c r="H79" s="4"/>
      <c r="I79" s="4"/>
      <c r="J79" s="4"/>
      <c r="K79" s="4"/>
      <c r="L79" s="4"/>
    </row>
    <row r="80" spans="1:12">
      <c r="A80" s="1">
        <f ca="1">IFERROR(__xludf.DUMMYFUNCTION("""COMPUTED_VALUE"""),2289)</f>
        <v>2289</v>
      </c>
      <c r="B80" s="1" t="str">
        <f ca="1">IFERROR(__xludf.DUMMYFUNCTION("""COMPUTED_VALUE"""),"PKM GFT")</f>
        <v>PKM GFT</v>
      </c>
      <c r="C80" s="1" t="str">
        <f ca="1">IFERROR(__xludf.DUMMYFUNCTION("""COMPUTED_VALUE"""),"1. pembahasan gagasan dibuat dengan ilustrasi yang lebih simpel dan komprehensif, sehingga mudah dipahami oleh pembaca
2. masukkan lain ada di proposal")</f>
        <v>1. pembahasan gagasan dibuat dengan ilustrasi yang lebih simpel dan komprehensif, sehingga mudah dipahami oleh pembaca
2. masukkan lain ada di proposal</v>
      </c>
      <c r="D80" s="1" t="str">
        <f ca="1">IFERROR(__xludf.DUMMYFUNCTION("""COMPUTED_VALUE"""),"LAYAK UPLOAD KE SIMBELMAWA DENGAN REVISI")</f>
        <v>LAYAK UPLOAD KE SIMBELMAWA DENGAN REVISI</v>
      </c>
      <c r="E80" s="7" t="str">
        <f ca="1">IFERROR(__xludf.DUMMYFUNCTION("""COMPUTED_VALUE"""),"https://drive.google.com/open?id=1oEr-YtgGRUgDCkD_wmpy1ZiyFwKJ7gdL")</f>
        <v>https://drive.google.com/open?id=1oEr-YtgGRUgDCkD_wmpy1ZiyFwKJ7gdL</v>
      </c>
      <c r="F80" s="1">
        <f t="shared" ca="1" si="0"/>
        <v>0</v>
      </c>
      <c r="H80" s="4"/>
      <c r="I80" s="4"/>
      <c r="J80" s="4"/>
      <c r="K80" s="4"/>
      <c r="L80" s="4"/>
    </row>
    <row r="81" spans="1:12">
      <c r="A81" s="1">
        <f ca="1">IFERROR(__xludf.DUMMYFUNCTION("""COMPUTED_VALUE"""),2433)</f>
        <v>2433</v>
      </c>
      <c r="B81" s="1" t="str">
        <f ca="1">IFERROR(__xludf.DUMMYFUNCTION("""COMPUTED_VALUE"""),"PKM GFT")</f>
        <v>PKM GFT</v>
      </c>
      <c r="C81" s="1" t="str">
        <f ca="1">IFERROR(__xludf.DUMMYFUNCTION("""COMPUTED_VALUE""")," ")</f>
        <v xml:space="preserve"> </v>
      </c>
      <c r="D81" s="1" t="str">
        <f ca="1">IFERROR(__xludf.DUMMYFUNCTION("""COMPUTED_VALUE""")," ")</f>
        <v xml:space="preserve"> </v>
      </c>
      <c r="E81" s="1"/>
      <c r="F81" s="1">
        <f t="shared" ca="1" si="0"/>
        <v>2</v>
      </c>
      <c r="H81" s="4"/>
      <c r="I81" s="4"/>
      <c r="J81" s="4"/>
      <c r="K81" s="4"/>
      <c r="L81" s="4"/>
    </row>
    <row r="82" spans="1:12">
      <c r="A82" s="1">
        <f ca="1">IFERROR(__xludf.DUMMYFUNCTION("""COMPUTED_VALUE"""),2623)</f>
        <v>2623</v>
      </c>
      <c r="B82" s="1" t="str">
        <f ca="1">IFERROR(__xludf.DUMMYFUNCTION("""COMPUTED_VALUE"""),"PKM GFT")</f>
        <v>PKM GFT</v>
      </c>
      <c r="C82" s="1" t="str">
        <f ca="1">IFERROR(__xludf.DUMMYFUNCTION("""COMPUTED_VALUE"""),"1. pada daftar isi, berdasarkan pedoman pkm-GFT 2022, Lampiran 1 terdiri dari Biodata Ketua dan Anggota, serta Dosen Pendamping;
2. before after spasi = 0
3. tujuannya dapat ditulis perpoin
4. Latar belakang kurang menjelaskan fokusan permasalahan yang di"&amp;"atasi
5. Kurang adanya informasi mengenai upaya sebelumnya dalam mengatasi permasalahan tersebut
6. Tidak adanya dampak sistemik dalam prediksi hasil gagasan")</f>
        <v>1. pada daftar isi, berdasarkan pedoman pkm-GFT 2022, Lampiran 1 terdiri dari Biodata Ketua dan Anggota, serta Dosen Pendamping;
2. before after spasi = 0
3. tujuannya dapat ditulis perpoin
4. Latar belakang kurang menjelaskan fokusan permasalahan yang diatasi
5. Kurang adanya informasi mengenai upaya sebelumnya dalam mengatasi permasalahan tersebut
6. Tidak adanya dampak sistemik dalam prediksi hasil gagasan</v>
      </c>
      <c r="D82" s="1" t="str">
        <f ca="1">IFERROR(__xludf.DUMMYFUNCTION("""COMPUTED_VALUE"""),"LAYAK UPLOAD KE SIMBELMAWA DENGAN REVISI")</f>
        <v>LAYAK UPLOAD KE SIMBELMAWA DENGAN REVISI</v>
      </c>
      <c r="E82" s="7" t="str">
        <f ca="1">IFERROR(__xludf.DUMMYFUNCTION("""COMPUTED_VALUE"""),"https://drive.google.com/open?id=1XH5_9HD9lo1_L1nyT481w30Ww9G2EJyO")</f>
        <v>https://drive.google.com/open?id=1XH5_9HD9lo1_L1nyT481w30Ww9G2EJyO</v>
      </c>
      <c r="F82" s="1">
        <f t="shared" ca="1" si="0"/>
        <v>0</v>
      </c>
      <c r="H82" s="4"/>
      <c r="I82" s="4"/>
      <c r="J82" s="4"/>
      <c r="K82" s="4"/>
      <c r="L82" s="4"/>
    </row>
    <row r="83" spans="1:12">
      <c r="A83" s="1">
        <f ca="1">IFERROR(__xludf.DUMMYFUNCTION("""COMPUTED_VALUE"""),2642)</f>
        <v>2642</v>
      </c>
      <c r="B83" s="1" t="str">
        <f ca="1">IFERROR(__xludf.DUMMYFUNCTION("""COMPUTED_VALUE"""),"PKM GFT")</f>
        <v>PKM GFT</v>
      </c>
      <c r="C83" s="1" t="str">
        <f ca="1">IFERROR(__xludf.DUMMYFUNCTION("""COMPUTED_VALUE"""),"1. perjelas keterbaruan dan aspek visonernya di latar belakang
2. dampak sistemik yang terukur di akhir bab 3")</f>
        <v>1. perjelas keterbaruan dan aspek visonernya di latar belakang
2. dampak sistemik yang terukur di akhir bab 3</v>
      </c>
      <c r="D83" s="1" t="str">
        <f ca="1">IFERROR(__xludf.DUMMYFUNCTION("""COMPUTED_VALUE"""),"LAYAK UPLOAD KE SIMBELMAWA DENGAN REVISI")</f>
        <v>LAYAK UPLOAD KE SIMBELMAWA DENGAN REVISI</v>
      </c>
      <c r="E83" s="7" t="str">
        <f ca="1">IFERROR(__xludf.DUMMYFUNCTION("""COMPUTED_VALUE"""),"https://drive.google.com/open?id=1L5agORFEg-Wu6ZW_7df5j8_OCjraoz-J")</f>
        <v>https://drive.google.com/open?id=1L5agORFEg-Wu6ZW_7df5j8_OCjraoz-J</v>
      </c>
      <c r="F83" s="1">
        <f t="shared" ca="1" si="0"/>
        <v>0</v>
      </c>
      <c r="H83" s="4"/>
      <c r="I83" s="4"/>
      <c r="J83" s="4"/>
      <c r="K83" s="4"/>
      <c r="L83" s="4"/>
    </row>
    <row r="84" spans="1:12">
      <c r="A84" s="1">
        <f ca="1">IFERROR(__xludf.DUMMYFUNCTION("""COMPUTED_VALUE"""),2438)</f>
        <v>2438</v>
      </c>
      <c r="B84" s="1" t="str">
        <f ca="1">IFERROR(__xludf.DUMMYFUNCTION("""COMPUTED_VALUE"""),"PKM GFT")</f>
        <v>PKM GFT</v>
      </c>
      <c r="C84" s="1" t="str">
        <f ca="1">IFERROR(__xludf.DUMMYFUNCTION("""COMPUTED_VALUE""")," ")</f>
        <v xml:space="preserve"> </v>
      </c>
      <c r="D84" s="1" t="str">
        <f ca="1">IFERROR(__xludf.DUMMYFUNCTION("""COMPUTED_VALUE""")," ")</f>
        <v xml:space="preserve"> </v>
      </c>
      <c r="E84" s="1"/>
      <c r="F84" s="1">
        <f t="shared" ca="1" si="0"/>
        <v>2</v>
      </c>
      <c r="H84" s="4"/>
      <c r="I84" s="4"/>
      <c r="J84" s="4"/>
      <c r="K84" s="4"/>
      <c r="L84" s="4"/>
    </row>
    <row r="85" spans="1:12">
      <c r="A85" s="1">
        <f ca="1">IFERROR(__xludf.DUMMYFUNCTION("""COMPUTED_VALUE"""),4046)</f>
        <v>4046</v>
      </c>
      <c r="B85" s="1" t="str">
        <f ca="1">IFERROR(__xludf.DUMMYFUNCTION("""COMPUTED_VALUE"""),"PKM GFT")</f>
        <v>PKM GFT</v>
      </c>
      <c r="C85" s="1" t="str">
        <f ca="1">IFERROR(__xludf.DUMMYFUNCTION("""COMPUTED_VALUE"""),"1. memperkuat state of the art gagasan
2. memperjelas ilustrasi gagasan secara komprehensif dan implementatif di wilayah studi")</f>
        <v>1. memperkuat state of the art gagasan
2. memperjelas ilustrasi gagasan secara komprehensif dan implementatif di wilayah studi</v>
      </c>
      <c r="D85" s="1" t="str">
        <f ca="1">IFERROR(__xludf.DUMMYFUNCTION("""COMPUTED_VALUE"""),"LAYAK UPLOAD KE SIMBELMAWA DENGAN REVISI")</f>
        <v>LAYAK UPLOAD KE SIMBELMAWA DENGAN REVISI</v>
      </c>
      <c r="E85" s="7" t="str">
        <f ca="1">IFERROR(__xludf.DUMMYFUNCTION("""COMPUTED_VALUE"""),"https://drive.google.com/open?id=1e1rQyMxnVnW-QAZ3GSNhhFB8nc5Q5jDl")</f>
        <v>https://drive.google.com/open?id=1e1rQyMxnVnW-QAZ3GSNhhFB8nc5Q5jDl</v>
      </c>
      <c r="F85" s="1">
        <f t="shared" ca="1" si="0"/>
        <v>0</v>
      </c>
      <c r="H85" s="4"/>
      <c r="I85" s="4"/>
      <c r="J85" s="4"/>
      <c r="K85" s="4"/>
      <c r="L85" s="4"/>
    </row>
    <row r="86" spans="1:12">
      <c r="A86" s="1">
        <f ca="1">IFERROR(__xludf.DUMMYFUNCTION("""COMPUTED_VALUE"""),2377)</f>
        <v>2377</v>
      </c>
      <c r="B86" s="1" t="str">
        <f ca="1">IFERROR(__xludf.DUMMYFUNCTION("""COMPUTED_VALUE"""),"PKM GFT")</f>
        <v>PKM GFT</v>
      </c>
      <c r="C86" s="1" t="str">
        <f ca="1">IFERROR(__xludf.DUMMYFUNCTION("""COMPUTED_VALUE"""),"1. Latar belakang kurang menjelaskan fokusan permasalahan yang diatasi
2. Kurang adanya informasi mengenai upaya sebelumnya dalam mengatasi permasalahan tersebut
3. Belum terlihat teknologi futuristik di dalam gagasan yang ditawarkan
4. Sumber informasi k"&amp;"urang
5. Tidak adanya dampak sistemik dalam prediksi hasil gagasan
6. tidak ada ilustrasi gambar untuk mempermudah pemahaman")</f>
        <v>1. Latar belakang kurang menjelaskan fokusan permasalahan yang diatasi
2. Kurang adanya informasi mengenai upaya sebelumnya dalam mengatasi permasalahan tersebut
3. Belum terlihat teknologi futuristik di dalam gagasan yang ditawarkan
4. Sumber informasi kurang
5. Tidak adanya dampak sistemik dalam prediksi hasil gagasan
6. tidak ada ilustrasi gambar untuk mempermudah pemahaman</v>
      </c>
      <c r="D86" s="1" t="str">
        <f ca="1">IFERROR(__xludf.DUMMYFUNCTION("""COMPUTED_VALUE"""),"TIDAK LAYAK UPLOAD KE SIMBELMAWA")</f>
        <v>TIDAK LAYAK UPLOAD KE SIMBELMAWA</v>
      </c>
      <c r="E86" s="7" t="str">
        <f ca="1">IFERROR(__xludf.DUMMYFUNCTION("""COMPUTED_VALUE"""),"https://drive.google.com/open?id=1tOVTaO-iqlg1nDyrLA1IEERTk800h4zv")</f>
        <v>https://drive.google.com/open?id=1tOVTaO-iqlg1nDyrLA1IEERTk800h4zv</v>
      </c>
      <c r="F86" s="1">
        <f t="shared" ca="1" si="0"/>
        <v>0</v>
      </c>
      <c r="H86" s="4"/>
      <c r="I86" s="4"/>
      <c r="J86" s="4"/>
      <c r="K86" s="4"/>
      <c r="L86" s="4"/>
    </row>
    <row r="87" spans="1:12">
      <c r="A87" s="1">
        <f ca="1">IFERROR(__xludf.DUMMYFUNCTION("""COMPUTED_VALUE"""),2086)</f>
        <v>2086</v>
      </c>
      <c r="B87" s="1" t="str">
        <f ca="1">IFERROR(__xludf.DUMMYFUNCTION("""COMPUTED_VALUE"""),"PKM GFT")</f>
        <v>PKM GFT</v>
      </c>
      <c r="C87" s="1" t="str">
        <f ca="1">IFERROR(__xludf.DUMMYFUNCTION("""COMPUTED_VALUE""")," ")</f>
        <v xml:space="preserve"> </v>
      </c>
      <c r="D87" s="1" t="str">
        <f ca="1">IFERROR(__xludf.DUMMYFUNCTION("""COMPUTED_VALUE""")," ")</f>
        <v xml:space="preserve"> </v>
      </c>
      <c r="E87" s="1"/>
      <c r="F87" s="1">
        <f t="shared" ca="1" si="0"/>
        <v>2</v>
      </c>
      <c r="H87" s="4"/>
      <c r="I87" s="4"/>
      <c r="J87" s="4"/>
      <c r="K87" s="4"/>
      <c r="L87" s="4"/>
    </row>
    <row r="88" spans="1:12">
      <c r="A88" s="1">
        <f ca="1">IFERROR(__xludf.DUMMYFUNCTION("""COMPUTED_VALUE"""),2614)</f>
        <v>2614</v>
      </c>
      <c r="B88" s="1" t="str">
        <f ca="1">IFERROR(__xludf.DUMMYFUNCTION("""COMPUTED_VALUE"""),"PKM GFT")</f>
        <v>PKM GFT</v>
      </c>
      <c r="C88" s="1" t="str">
        <f ca="1">IFERROR(__xludf.DUMMYFUNCTION("""COMPUTED_VALUE"""),"1. pastikan gagasan ini bukan aplikasi dan software (PKM KC dkk). PKM GFT menghasilkan konsep / sistem, bukan kedua hal di atas
2. gambarkan ilustrasi konsepnya secara komprehensif")</f>
        <v>1. pastikan gagasan ini bukan aplikasi dan software (PKM KC dkk). PKM GFT menghasilkan konsep / sistem, bukan kedua hal di atas
2. gambarkan ilustrasi konsepnya secara komprehensif</v>
      </c>
      <c r="D88" s="1" t="str">
        <f ca="1">IFERROR(__xludf.DUMMYFUNCTION("""COMPUTED_VALUE"""),"LAYAK UPLOAD KE SIMBELMAWA DENGAN REVISI")</f>
        <v>LAYAK UPLOAD KE SIMBELMAWA DENGAN REVISI</v>
      </c>
      <c r="E88" s="7" t="str">
        <f ca="1">IFERROR(__xludf.DUMMYFUNCTION("""COMPUTED_VALUE"""),"https://drive.google.com/open?id=1E50T8wLexznNdpasvsFmZXs7H8EEYBOc")</f>
        <v>https://drive.google.com/open?id=1E50T8wLexznNdpasvsFmZXs7H8EEYBOc</v>
      </c>
      <c r="F88" s="1">
        <f t="shared" ca="1" si="0"/>
        <v>0</v>
      </c>
      <c r="H88" s="4"/>
      <c r="I88" s="4"/>
      <c r="J88" s="4"/>
      <c r="K88" s="4"/>
      <c r="L88" s="4"/>
    </row>
    <row r="89" spans="1:12">
      <c r="A89" s="1">
        <f ca="1">IFERROR(__xludf.DUMMYFUNCTION("""COMPUTED_VALUE"""),2157)</f>
        <v>2157</v>
      </c>
      <c r="B89" s="1" t="str">
        <f ca="1">IFERROR(__xludf.DUMMYFUNCTION("""COMPUTED_VALUE"""),"PKM GFT")</f>
        <v>PKM GFT</v>
      </c>
      <c r="C89" s="1" t="str">
        <f ca="1">IFERROR(__xludf.DUMMYFUNCTION("""COMPUTED_VALUE"""),"1. pastikan ide ini tdk sama dengan peraih medali emas PKM GT 2020
2. memperkuat urgensi gagasan
3. gagasan dibuat lebih komprehensif dengan terhubung dengan sistem database lainnya
4. memperjelas ilustrasi gagasan secara komprehensif dan implementatif")</f>
        <v>1. pastikan ide ini tdk sama dengan peraih medali emas PKM GT 2020
2. memperkuat urgensi gagasan
3. gagasan dibuat lebih komprehensif dengan terhubung dengan sistem database lainnya
4. memperjelas ilustrasi gagasan secara komprehensif dan implementatif</v>
      </c>
      <c r="D89" s="1" t="str">
        <f ca="1">IFERROR(__xludf.DUMMYFUNCTION("""COMPUTED_VALUE"""),"LAYAK UPLOAD KE SIMBELMAWA DENGAN REVISI")</f>
        <v>LAYAK UPLOAD KE SIMBELMAWA DENGAN REVISI</v>
      </c>
      <c r="E89" s="7" t="str">
        <f ca="1">IFERROR(__xludf.DUMMYFUNCTION("""COMPUTED_VALUE"""),"https://drive.google.com/open?id=1gtgD93bofO7BlVOEY9LXp72RI49Hkh2l")</f>
        <v>https://drive.google.com/open?id=1gtgD93bofO7BlVOEY9LXp72RI49Hkh2l</v>
      </c>
      <c r="F89" s="1">
        <f t="shared" ca="1" si="0"/>
        <v>0</v>
      </c>
      <c r="H89" s="4"/>
      <c r="I89" s="4"/>
      <c r="J89" s="4"/>
      <c r="K89" s="4"/>
      <c r="L89" s="4"/>
    </row>
    <row r="90" spans="1:12">
      <c r="A90" s="1">
        <f ca="1">IFERROR(__xludf.DUMMYFUNCTION("""COMPUTED_VALUE"""),3044)</f>
        <v>3044</v>
      </c>
      <c r="B90" s="1" t="str">
        <f ca="1">IFERROR(__xludf.DUMMYFUNCTION("""COMPUTED_VALUE"""),"PKM GFT")</f>
        <v>PKM GFT</v>
      </c>
      <c r="C90" s="1" t="str">
        <f ca="1">IFERROR(__xludf.DUMMYFUNCTION("""COMPUTED_VALUE"""),"latar belakang sangat kurang menjelaskan permasalahan
tujuan masih rancu, belum jelas
teknologi yang ditawarkan kurang futuristik
Sumber informasi kurang
")</f>
        <v xml:space="preserve">latar belakang sangat kurang menjelaskan permasalahan
tujuan masih rancu, belum jelas
teknologi yang ditawarkan kurang futuristik
Sumber informasi kurang
</v>
      </c>
      <c r="D90" s="1" t="str">
        <f ca="1">IFERROR(__xludf.DUMMYFUNCTION("""COMPUTED_VALUE"""),"TIDAK LAYAK UPLOAD KE SIMBELMAWA")</f>
        <v>TIDAK LAYAK UPLOAD KE SIMBELMAWA</v>
      </c>
      <c r="E90" s="7" t="str">
        <f ca="1">IFERROR(__xludf.DUMMYFUNCTION("""COMPUTED_VALUE"""),"https://drive.google.com/open?id=1_4DHoE8SAhwfHZMWOQ_2Sj8arOGkle74")</f>
        <v>https://drive.google.com/open?id=1_4DHoE8SAhwfHZMWOQ_2Sj8arOGkle74</v>
      </c>
      <c r="F90" s="1">
        <f t="shared" ca="1" si="0"/>
        <v>0</v>
      </c>
      <c r="H90" s="4"/>
      <c r="I90" s="4"/>
      <c r="J90" s="4"/>
      <c r="K90" s="4"/>
      <c r="L90" s="4"/>
    </row>
    <row r="91" spans="1:12">
      <c r="A91" s="1">
        <f ca="1">IFERROR(__xludf.DUMMYFUNCTION("""COMPUTED_VALUE"""),2211)</f>
        <v>2211</v>
      </c>
      <c r="B91" s="1" t="str">
        <f ca="1">IFERROR(__xludf.DUMMYFUNCTION("""COMPUTED_VALUE"""),"PKM GFT")</f>
        <v>PKM GFT</v>
      </c>
      <c r="C91" s="1" t="str">
        <f ca="1">IFERROR(__xludf.DUMMYFUNCTION("""COMPUTED_VALUE"""),"1. Perjelas keterbaruan gagasan ini dan unsur visionernya
2. Jelaskan alasan pemilihan lokasi
3. buat gagasan secara komprehensif dulu, baru perkomponen")</f>
        <v>1. Perjelas keterbaruan gagasan ini dan unsur visionernya
2. Jelaskan alasan pemilihan lokasi
3. buat gagasan secara komprehensif dulu, baru perkomponen</v>
      </c>
      <c r="D91" s="1" t="str">
        <f ca="1">IFERROR(__xludf.DUMMYFUNCTION("""COMPUTED_VALUE"""),"LAYAK UPLOAD KE SIMBELMAWA DENGAN REVISI")</f>
        <v>LAYAK UPLOAD KE SIMBELMAWA DENGAN REVISI</v>
      </c>
      <c r="E91" s="7" t="str">
        <f ca="1">IFERROR(__xludf.DUMMYFUNCTION("""COMPUTED_VALUE"""),"https://drive.google.com/open?id=1hqLwpkMcu7KAZ0Z4JfMfiZpTRGSKtznp")</f>
        <v>https://drive.google.com/open?id=1hqLwpkMcu7KAZ0Z4JfMfiZpTRGSKtznp</v>
      </c>
      <c r="F91" s="1">
        <f t="shared" ca="1" si="0"/>
        <v>0</v>
      </c>
      <c r="H91" s="4"/>
      <c r="I91" s="4"/>
      <c r="J91" s="4"/>
      <c r="K91" s="4"/>
      <c r="L91" s="4"/>
    </row>
    <row r="92" spans="1:12">
      <c r="A92" s="1">
        <f ca="1">IFERROR(__xludf.DUMMYFUNCTION("""COMPUTED_VALUE"""),2815)</f>
        <v>2815</v>
      </c>
      <c r="B92" s="1" t="str">
        <f ca="1">IFERROR(__xludf.DUMMYFUNCTION("""COMPUTED_VALUE"""),"PKM GFT")</f>
        <v>PKM GFT</v>
      </c>
      <c r="C92" s="1" t="str">
        <f ca="1">IFERROR(__xludf.DUMMYFUNCTION("""COMPUTED_VALUE"""),"1. memperkuat persoalan dan alasan mengapa pangkalan militernya di bawah air
2. perjelas ilustrasi gagasan yang komprehensf dan implementatif")</f>
        <v>1. memperkuat persoalan dan alasan mengapa pangkalan militernya di bawah air
2. perjelas ilustrasi gagasan yang komprehensf dan implementatif</v>
      </c>
      <c r="D92" s="1" t="str">
        <f ca="1">IFERROR(__xludf.DUMMYFUNCTION("""COMPUTED_VALUE"""),"LAYAK UPLOAD KE SIMBELMAWA DENGAN REVISI")</f>
        <v>LAYAK UPLOAD KE SIMBELMAWA DENGAN REVISI</v>
      </c>
      <c r="E92" s="7" t="str">
        <f ca="1">IFERROR(__xludf.DUMMYFUNCTION("""COMPUTED_VALUE"""),"https://drive.google.com/open?id=1B5IOY5JqPI7sIY8QcgLMsJpZT5xghA1y")</f>
        <v>https://drive.google.com/open?id=1B5IOY5JqPI7sIY8QcgLMsJpZT5xghA1y</v>
      </c>
      <c r="F92" s="1">
        <f t="shared" ca="1" si="0"/>
        <v>0</v>
      </c>
      <c r="H92" s="4"/>
      <c r="I92" s="4"/>
      <c r="J92" s="4"/>
      <c r="K92" s="4"/>
      <c r="L92" s="4"/>
    </row>
    <row r="93" spans="1:12">
      <c r="A93" s="1">
        <f ca="1">IFERROR(__xludf.DUMMYFUNCTION("""COMPUTED_VALUE"""),3153)</f>
        <v>3153</v>
      </c>
      <c r="B93" s="1" t="str">
        <f ca="1">IFERROR(__xludf.DUMMYFUNCTION("""COMPUTED_VALUE"""),"PKM GFT")</f>
        <v>PKM GFT</v>
      </c>
      <c r="C93" s="1" t="str">
        <f ca="1">IFERROR(__xludf.DUMMYFUNCTION("""COMPUTED_VALUE"""),"1. Latar belakang kurang menjelaskan fokusan permasalahan yang diatasi
2. tujuan masih kurang pembahannya di gagasan
3. pengecekan kapal yang tidak layak dan yang layak seperti apa tidak disebutkan
4. proses pelaksanaan pengecekan masih kurang jelas terga"&amp;"mbarnya
5. apakah ini untuk semua kapal atau bagaimana
6. teknologi futuristiknya masih belum tergambar secara detail
7. Sumber informasi kurang
8. Tidak adanya dampak sistemik dalam prediksi hasil gagasan
9. biodata dirapikan lagi")</f>
        <v>1. Latar belakang kurang menjelaskan fokusan permasalahan yang diatasi
2. tujuan masih kurang pembahannya di gagasan
3. pengecekan kapal yang tidak layak dan yang layak seperti apa tidak disebutkan
4. proses pelaksanaan pengecekan masih kurang jelas tergambarnya
5. apakah ini untuk semua kapal atau bagaimana
6. teknologi futuristiknya masih belum tergambar secara detail
7. Sumber informasi kurang
8. Tidak adanya dampak sistemik dalam prediksi hasil gagasan
9. biodata dirapikan lagi</v>
      </c>
      <c r="D93" s="1" t="str">
        <f ca="1">IFERROR(__xludf.DUMMYFUNCTION("""COMPUTED_VALUE"""),"TIDAK LAYAK UPLOAD KE SIMBELMAWA")</f>
        <v>TIDAK LAYAK UPLOAD KE SIMBELMAWA</v>
      </c>
      <c r="E93" s="7" t="str">
        <f ca="1">IFERROR(__xludf.DUMMYFUNCTION("""COMPUTED_VALUE"""),"https://drive.google.com/open?id=1a4Z45D8s6jE0YjuPO-mWeD9WeZkD7BF1")</f>
        <v>https://drive.google.com/open?id=1a4Z45D8s6jE0YjuPO-mWeD9WeZkD7BF1</v>
      </c>
      <c r="F93" s="1">
        <f t="shared" ca="1" si="0"/>
        <v>0</v>
      </c>
      <c r="H93" s="4"/>
      <c r="I93" s="4"/>
      <c r="J93" s="4"/>
      <c r="K93" s="4"/>
      <c r="L93" s="4"/>
    </row>
    <row r="94" spans="1:12">
      <c r="A94" s="1">
        <f ca="1">IFERROR(__xludf.DUMMYFUNCTION("""COMPUTED_VALUE"""),3374)</f>
        <v>3374</v>
      </c>
      <c r="B94" s="1" t="str">
        <f ca="1">IFERROR(__xludf.DUMMYFUNCTION("""COMPUTED_VALUE"""),"PKM GFT")</f>
        <v>PKM GFT</v>
      </c>
      <c r="C94" s="1" t="str">
        <f ca="1">IFERROR(__xludf.DUMMYFUNCTION("""COMPUTED_VALUE""")," ")</f>
        <v xml:space="preserve"> </v>
      </c>
      <c r="D94" s="1" t="str">
        <f ca="1">IFERROR(__xludf.DUMMYFUNCTION("""COMPUTED_VALUE""")," ")</f>
        <v xml:space="preserve"> </v>
      </c>
      <c r="E94" s="1"/>
      <c r="F94" s="1">
        <f t="shared" ca="1" si="0"/>
        <v>2</v>
      </c>
      <c r="H94" s="4"/>
      <c r="I94" s="4"/>
      <c r="J94" s="4"/>
      <c r="K94" s="4"/>
      <c r="L94" s="4"/>
    </row>
    <row r="95" spans="1:12">
      <c r="A95" s="1">
        <f ca="1">IFERROR(__xludf.DUMMYFUNCTION("""COMPUTED_VALUE"""),2500)</f>
        <v>2500</v>
      </c>
      <c r="B95" s="1" t="str">
        <f ca="1">IFERROR(__xludf.DUMMYFUNCTION("""COMPUTED_VALUE"""),"PKM GFT")</f>
        <v>PKM GFT</v>
      </c>
      <c r="C95" s="1" t="str">
        <f ca="1">IFERROR(__xludf.DUMMYFUNCTION("""COMPUTED_VALUE"""),"sitasi gambar 1.1
teknologinya sudah bagus, tetapi penjelasan teknologi tersebut sebagai pengganti teknologi yang sebelumnya serta keunggulannya masih belum tergambar jelas, kenapa sih kita harus menggunakan teknologi ini dibandingkan yang sudah ada.")</f>
        <v>sitasi gambar 1.1
teknologinya sudah bagus, tetapi penjelasan teknologi tersebut sebagai pengganti teknologi yang sebelumnya serta keunggulannya masih belum tergambar jelas, kenapa sih kita harus menggunakan teknologi ini dibandingkan yang sudah ada.</v>
      </c>
      <c r="D95" s="1" t="str">
        <f ca="1">IFERROR(__xludf.DUMMYFUNCTION("""COMPUTED_VALUE"""),"LAYAK UPLOAD KE SIMBELMAWA DENGAN REVISI")</f>
        <v>LAYAK UPLOAD KE SIMBELMAWA DENGAN REVISI</v>
      </c>
      <c r="E95" s="7" t="str">
        <f ca="1">IFERROR(__xludf.DUMMYFUNCTION("""COMPUTED_VALUE"""),"https://drive.google.com/open?id=1tM8qPA5BMUQNBP-95tsVpGarZmc7RGTA")</f>
        <v>https://drive.google.com/open?id=1tM8qPA5BMUQNBP-95tsVpGarZmc7RGTA</v>
      </c>
      <c r="F95" s="1">
        <f t="shared" ca="1" si="0"/>
        <v>0</v>
      </c>
      <c r="H95" s="4"/>
      <c r="I95" s="4"/>
      <c r="J95" s="4"/>
      <c r="K95" s="4"/>
      <c r="L95" s="4"/>
    </row>
    <row r="96" spans="1:12">
      <c r="A96" s="1">
        <f ca="1">IFERROR(__xludf.DUMMYFUNCTION("""COMPUTED_VALUE"""),2420)</f>
        <v>2420</v>
      </c>
      <c r="B96" s="1" t="str">
        <f ca="1">IFERROR(__xludf.DUMMYFUNCTION("""COMPUTED_VALUE"""),"PKM GFT")</f>
        <v>PKM GFT</v>
      </c>
      <c r="C96" s="1" t="str">
        <f ca="1">IFERROR(__xludf.DUMMYFUNCTION("""COMPUTED_VALUE"""),"gambar 1 cari gambar yang jelas, kalau tidak ada bisa kalian buat ulang, 
penulisan tabel dibuat seperti format laporan yang baik, hanya garis atas bawah, 
banyak sekali typo, misal tabel menjadi table, 
perbaiki kalimat awal paragraf latar belakang. 
pem"&amp;"ilihan pulau kalimantan khususnya kalimantan timur masih kurang tergambar dalam latar belakang. 
gempa -&gt; berau. banjir -&gt; berau &amp;kutai timur. tabel IRB Panajam Paser Utara &amp; kutai kertanegara?
*Sehingga jika* dari NRB, lokasi IKN baru Kabupaten Kutai Kar"&amp;"tanegara *cocok dijadikan tempat kumpul* dan evakuasi masyarakat terdampak bencana alam -&gt; alasan masih kurang, pemilihan kata kurang
teknologi kurang terlihat
kurang futuristik
langkah2 pengimplemantasian juga kurang dari 10 tahun")</f>
        <v>gambar 1 cari gambar yang jelas, kalau tidak ada bisa kalian buat ulang, 
penulisan tabel dibuat seperti format laporan yang baik, hanya garis atas bawah, 
banyak sekali typo, misal tabel menjadi table, 
perbaiki kalimat awal paragraf latar belakang. 
pemilihan pulau kalimantan khususnya kalimantan timur masih kurang tergambar dalam latar belakang. 
gempa -&gt; berau. banjir -&gt; berau &amp;kutai timur. tabel IRB Panajam Paser Utara &amp; kutai kertanegara?
*Sehingga jika* dari NRB, lokasi IKN baru Kabupaten Kutai Kartanegara *cocok dijadikan tempat kumpul* dan evakuasi masyarakat terdampak bencana alam -&gt; alasan masih kurang, pemilihan kata kurang
teknologi kurang terlihat
kurang futuristik
langkah2 pengimplemantasian juga kurang dari 10 tahun</v>
      </c>
      <c r="D96" s="1" t="str">
        <f ca="1">IFERROR(__xludf.DUMMYFUNCTION("""COMPUTED_VALUE"""),"TIDAK LAYAK UPLOAD KE SIMBELMAWA")</f>
        <v>TIDAK LAYAK UPLOAD KE SIMBELMAWA</v>
      </c>
      <c r="E96" s="7" t="str">
        <f ca="1">IFERROR(__xludf.DUMMYFUNCTION("""COMPUTED_VALUE"""),"https://drive.google.com/open?id=1suxlaGjaPXj-G4FdLdjjPE3j8TClUTZY")</f>
        <v>https://drive.google.com/open?id=1suxlaGjaPXj-G4FdLdjjPE3j8TClUTZY</v>
      </c>
      <c r="F96" s="1">
        <f t="shared" ca="1" si="0"/>
        <v>0</v>
      </c>
      <c r="H96" s="4"/>
      <c r="I96" s="4"/>
      <c r="J96" s="4"/>
      <c r="K96" s="4"/>
      <c r="L96" s="4"/>
    </row>
    <row r="97" spans="1:12">
      <c r="A97" s="1">
        <f ca="1">IFERROR(__xludf.DUMMYFUNCTION("""COMPUTED_VALUE"""),3338)</f>
        <v>3338</v>
      </c>
      <c r="B97" s="1" t="str">
        <f ca="1">IFERROR(__xludf.DUMMYFUNCTION("""COMPUTED_VALUE"""),"PKM GFT")</f>
        <v>PKM GFT</v>
      </c>
      <c r="C97" s="1" t="str">
        <f ca="1">IFERROR(__xludf.DUMMYFUNCTION("""COMPUTED_VALUE"""),"proposal yang disubmit merupakan proposal RE yang sangat jelas isi proposal berbeda dengan proposal GFT")</f>
        <v>proposal yang disubmit merupakan proposal RE yang sangat jelas isi proposal berbeda dengan proposal GFT</v>
      </c>
      <c r="D97" s="1" t="str">
        <f ca="1">IFERROR(__xludf.DUMMYFUNCTION("""COMPUTED_VALUE"""),"TIDAK LAYAK UPLOAD KE SIMBELMAWA")</f>
        <v>TIDAK LAYAK UPLOAD KE SIMBELMAWA</v>
      </c>
      <c r="E97" s="7" t="str">
        <f ca="1">IFERROR(__xludf.DUMMYFUNCTION("""COMPUTED_VALUE"""),"https://drive.google.com/open?id=1RJhZSMvojNxHr3r4kMdSXqOl_eIiwzlB")</f>
        <v>https://drive.google.com/open?id=1RJhZSMvojNxHr3r4kMdSXqOl_eIiwzlB</v>
      </c>
      <c r="F97" s="1">
        <f t="shared" ca="1" si="0"/>
        <v>0</v>
      </c>
      <c r="H97" s="4"/>
      <c r="I97" s="4"/>
      <c r="J97" s="4"/>
      <c r="K97" s="4"/>
      <c r="L97" s="4"/>
    </row>
    <row r="98" spans="1:12">
      <c r="A98" s="1">
        <f ca="1">IFERROR(__xludf.DUMMYFUNCTION("""COMPUTED_VALUE"""),3051)</f>
        <v>3051</v>
      </c>
      <c r="B98" s="1" t="str">
        <f ca="1">IFERROR(__xludf.DUMMYFUNCTION("""COMPUTED_VALUE"""),"PKM GFT")</f>
        <v>PKM GFT</v>
      </c>
      <c r="C98" s="1" t="str">
        <f ca="1">IFERROR(__xludf.DUMMYFUNCTION("""COMPUTED_VALUE"""),"1. perahu listrik sulit terealisasi karena faktor efisiensi
2. buat gagasannya dengan lebih komprehensif")</f>
        <v>1. perahu listrik sulit terealisasi karena faktor efisiensi
2. buat gagasannya dengan lebih komprehensif</v>
      </c>
      <c r="D98" s="1" t="str">
        <f ca="1">IFERROR(__xludf.DUMMYFUNCTION("""COMPUTED_VALUE"""),"TIDAK LAYAK UPLOAD KE SIMBELMAWA")</f>
        <v>TIDAK LAYAK UPLOAD KE SIMBELMAWA</v>
      </c>
      <c r="E98" s="7" t="str">
        <f ca="1">IFERROR(__xludf.DUMMYFUNCTION("""COMPUTED_VALUE"""),"https://drive.google.com/open?id=1Y1rh004oxOCOZzMRTS9o767ZlBMF_xmK")</f>
        <v>https://drive.google.com/open?id=1Y1rh004oxOCOZzMRTS9o767ZlBMF_xmK</v>
      </c>
      <c r="F98" s="1">
        <f t="shared" ca="1" si="0"/>
        <v>0</v>
      </c>
      <c r="H98" s="4"/>
      <c r="I98" s="4"/>
      <c r="J98" s="4"/>
      <c r="K98" s="4"/>
      <c r="L98" s="4"/>
    </row>
    <row r="99" spans="1:12">
      <c r="A99" s="1">
        <f ca="1">IFERROR(__xludf.DUMMYFUNCTION("""COMPUTED_VALUE"""),2389)</f>
        <v>2389</v>
      </c>
      <c r="B99" s="1" t="str">
        <f ca="1">IFERROR(__xludf.DUMMYFUNCTION("""COMPUTED_VALUE"""),"PKM VGK")</f>
        <v>PKM VGK</v>
      </c>
      <c r="C99" s="1" t="str">
        <f ca="1">IFERROR(__xludf.DUMMYFUNCTION("""COMPUTED_VALUE"""),"1. cek konten judul agar terliat kreatifitasnya
2. pastikan urgensi ide
3. pastikan konten video bukan deskriptif, namun yang inspiratif")</f>
        <v>1. cek konten judul agar terliat kreatifitasnya
2. pastikan urgensi ide
3. pastikan konten video bukan deskriptif, namun yang inspiratif</v>
      </c>
      <c r="D99" s="1" t="str">
        <f ca="1">IFERROR(__xludf.DUMMYFUNCTION("""COMPUTED_VALUE"""),"LAYAK UPLOAD KE SIMBELMAWA DENGAN REVISI")</f>
        <v>LAYAK UPLOAD KE SIMBELMAWA DENGAN REVISI</v>
      </c>
      <c r="E99" s="7" t="str">
        <f ca="1">IFERROR(__xludf.DUMMYFUNCTION("""COMPUTED_VALUE"""),"https://drive.google.com/open?id=1n99WzOkGi2DY8S4xkxTV0PcSN_DpF5ir")</f>
        <v>https://drive.google.com/open?id=1n99WzOkGi2DY8S4xkxTV0PcSN_DpF5ir</v>
      </c>
      <c r="F99" s="1">
        <f t="shared" ca="1" si="0"/>
        <v>0</v>
      </c>
      <c r="H99" s="4"/>
      <c r="I99" s="4"/>
      <c r="J99" s="4"/>
      <c r="K99" s="4"/>
      <c r="L99" s="4"/>
    </row>
    <row r="100" spans="1:12">
      <c r="A100" s="1">
        <f ca="1">IFERROR(__xludf.DUMMYFUNCTION("""COMPUTED_VALUE"""),3768)</f>
        <v>3768</v>
      </c>
      <c r="B100" s="1" t="str">
        <f ca="1">IFERROR(__xludf.DUMMYFUNCTION("""COMPUTED_VALUE"""),"PKM VGK")</f>
        <v>PKM VGK</v>
      </c>
      <c r="C100" s="1" t="str">
        <f ca="1">IFERROR(__xludf.DUMMYFUNCTION("""COMPUTED_VALUE""")," ")</f>
        <v xml:space="preserve"> </v>
      </c>
      <c r="D100" s="1" t="str">
        <f ca="1">IFERROR(__xludf.DUMMYFUNCTION("""COMPUTED_VALUE""")," ")</f>
        <v xml:space="preserve"> </v>
      </c>
      <c r="E100" s="7" t="str">
        <f ca="1">IFERROR(__xludf.DUMMYFUNCTION("""COMPUTED_VALUE"""),"https://drive.google.com/open?id=187X8VEShazmfJKGrVKuWLlMFNLXhx3zt")</f>
        <v>https://drive.google.com/open?id=187X8VEShazmfJKGrVKuWLlMFNLXhx3zt</v>
      </c>
      <c r="F100" s="1">
        <f t="shared" ca="1" si="0"/>
        <v>1</v>
      </c>
      <c r="H100" s="4"/>
      <c r="I100" s="4"/>
      <c r="J100" s="4"/>
      <c r="K100" s="4"/>
      <c r="L100" s="4"/>
    </row>
    <row r="101" spans="1:12">
      <c r="A101" s="1">
        <f ca="1">IFERROR(__xludf.DUMMYFUNCTION("""COMPUTED_VALUE"""),3762)</f>
        <v>3762</v>
      </c>
      <c r="B101" s="1" t="str">
        <f ca="1">IFERROR(__xludf.DUMMYFUNCTION("""COMPUTED_VALUE"""),"PKM VGK")</f>
        <v>PKM VGK</v>
      </c>
      <c r="C101" s="1" t="str">
        <f ca="1">IFERROR(__xludf.DUMMYFUNCTION("""COMPUTED_VALUE"""),"1. ide ini akan lebih urgent dan memiliki tantangan intelektual bila diarahkan untuk permukiman kumuh di kawasan rawan banjir atau rob
2. perkuat keterbaruan dan kekuatan ipteks dari ide ini")</f>
        <v>1. ide ini akan lebih urgent dan memiliki tantangan intelektual bila diarahkan untuk permukiman kumuh di kawasan rawan banjir atau rob
2. perkuat keterbaruan dan kekuatan ipteks dari ide ini</v>
      </c>
      <c r="D101" s="1" t="str">
        <f ca="1">IFERROR(__xludf.DUMMYFUNCTION("""COMPUTED_VALUE"""),"LAYAK UPLOAD KE SIMBELMAWA DENGAN REVISI")</f>
        <v>LAYAK UPLOAD KE SIMBELMAWA DENGAN REVISI</v>
      </c>
      <c r="E101" s="7" t="str">
        <f ca="1">IFERROR(__xludf.DUMMYFUNCTION("""COMPUTED_VALUE"""),"https://drive.google.com/open?id=11D3HzYCQRD24ZFjPaCG4Xcnr_h8atsV9")</f>
        <v>https://drive.google.com/open?id=11D3HzYCQRD24ZFjPaCG4Xcnr_h8atsV9</v>
      </c>
      <c r="F101" s="1">
        <f t="shared" ca="1" si="0"/>
        <v>0</v>
      </c>
      <c r="H101" s="4"/>
      <c r="I101" s="4"/>
      <c r="J101" s="4"/>
      <c r="K101" s="4"/>
      <c r="L101" s="4"/>
    </row>
    <row r="102" spans="1:12">
      <c r="A102" s="1">
        <f ca="1">IFERROR(__xludf.DUMMYFUNCTION("""COMPUTED_VALUE"""),2424)</f>
        <v>2424</v>
      </c>
      <c r="B102" s="1" t="str">
        <f ca="1">IFERROR(__xludf.DUMMYFUNCTION("""COMPUTED_VALUE"""),"PKM VGK")</f>
        <v>PKM VGK</v>
      </c>
      <c r="C102" s="1" t="str">
        <f ca="1">IFERROR(__xludf.DUMMYFUNCTION("""COMPUTED_VALUE"""),"1. ide dengan piezoelektrik sdh sering dilakukan, jelaskan keterbaruan ide ini
2. konten video agar imajinatif dan inspiratif, bukan deskripsi gagasan")</f>
        <v>1. ide dengan piezoelektrik sdh sering dilakukan, jelaskan keterbaruan ide ini
2. konten video agar imajinatif dan inspiratif, bukan deskripsi gagasan</v>
      </c>
      <c r="D102" s="1" t="str">
        <f ca="1">IFERROR(__xludf.DUMMYFUNCTION("""COMPUTED_VALUE"""),"LAYAK UPLOAD KE SIMBELMAWA DENGAN REVISI")</f>
        <v>LAYAK UPLOAD KE SIMBELMAWA DENGAN REVISI</v>
      </c>
      <c r="E102" s="7" t="str">
        <f ca="1">IFERROR(__xludf.DUMMYFUNCTION("""COMPUTED_VALUE"""),"https://drive.google.com/open?id=1eV1eYsKOE1Onx_xzuazYVAs_BBv1Y7tk")</f>
        <v>https://drive.google.com/open?id=1eV1eYsKOE1Onx_xzuazYVAs_BBv1Y7tk</v>
      </c>
      <c r="F102" s="1">
        <f t="shared" ca="1" si="0"/>
        <v>0</v>
      </c>
      <c r="H102" s="4"/>
      <c r="I102" s="4"/>
      <c r="J102" s="4"/>
      <c r="K102" s="4"/>
      <c r="L102" s="4"/>
    </row>
    <row r="103" spans="1:12">
      <c r="A103" s="1">
        <f ca="1">IFERROR(__xludf.DUMMYFUNCTION("""COMPUTED_VALUE"""),2761)</f>
        <v>2761</v>
      </c>
      <c r="B103" s="1" t="str">
        <f ca="1">IFERROR(__xludf.DUMMYFUNCTION("""COMPUTED_VALUE"""),"PKM VGK")</f>
        <v>PKM VGK</v>
      </c>
      <c r="C103" s="1" t="str">
        <f ca="1">IFERROR(__xludf.DUMMYFUNCTION("""COMPUTED_VALUE"""),"1. masih ada kesalahan administrasi
2. sesuaikan judul
3. perjelas keterbaruan gagasan
4. konten video yang inspiratif")</f>
        <v>1. masih ada kesalahan administrasi
2. sesuaikan judul
3. perjelas keterbaruan gagasan
4. konten video yang inspiratif</v>
      </c>
      <c r="D103" s="1" t="str">
        <f ca="1">IFERROR(__xludf.DUMMYFUNCTION("""COMPUTED_VALUE"""),"LAYAK UPLOAD KE SIMBELMAWA DENGAN REVISI")</f>
        <v>LAYAK UPLOAD KE SIMBELMAWA DENGAN REVISI</v>
      </c>
      <c r="E103" s="7" t="str">
        <f ca="1">IFERROR(__xludf.DUMMYFUNCTION("""COMPUTED_VALUE"""),"https://drive.google.com/open?id=12ajFla9kiua3RKk_mHfqNtJzEC9djNid")</f>
        <v>https://drive.google.com/open?id=12ajFla9kiua3RKk_mHfqNtJzEC9djNid</v>
      </c>
      <c r="F103" s="1">
        <f t="shared" ca="1" si="0"/>
        <v>0</v>
      </c>
      <c r="H103" s="4"/>
      <c r="I103" s="4"/>
      <c r="J103" s="4"/>
      <c r="K103" s="4"/>
      <c r="L103" s="4"/>
    </row>
    <row r="104" spans="1:12">
      <c r="A104" s="1">
        <f ca="1">IFERROR(__xludf.DUMMYFUNCTION("""COMPUTED_VALUE"""),3481)</f>
        <v>3481</v>
      </c>
      <c r="B104" s="1" t="str">
        <f ca="1">IFERROR(__xludf.DUMMYFUNCTION("""COMPUTED_VALUE"""),"PKM VGK")</f>
        <v>PKM VGK</v>
      </c>
      <c r="C104" s="1" t="str">
        <f ca="1">IFERROR(__xludf.DUMMYFUNCTION("""COMPUTED_VALUE""")," ")</f>
        <v xml:space="preserve"> </v>
      </c>
      <c r="D104" s="1" t="str">
        <f ca="1">IFERROR(__xludf.DUMMYFUNCTION("""COMPUTED_VALUE""")," ")</f>
        <v xml:space="preserve"> </v>
      </c>
      <c r="E104" s="7" t="str">
        <f ca="1">IFERROR(__xludf.DUMMYFUNCTION("""COMPUTED_VALUE"""),"https://drive.google.com/open?id=1R62IROQtIwtkfA2ShEiHItqtx05w5NjH")</f>
        <v>https://drive.google.com/open?id=1R62IROQtIwtkfA2ShEiHItqtx05w5NjH</v>
      </c>
      <c r="F104" s="1">
        <f t="shared" ca="1" si="0"/>
        <v>1</v>
      </c>
      <c r="H104" s="4"/>
      <c r="I104" s="4"/>
      <c r="J104" s="4"/>
      <c r="K104" s="4"/>
      <c r="L104" s="4"/>
    </row>
    <row r="105" spans="1:12">
      <c r="A105" s="1">
        <f ca="1">IFERROR(__xludf.DUMMYFUNCTION("""COMPUTED_VALUE"""),2182)</f>
        <v>2182</v>
      </c>
      <c r="B105" s="1" t="str">
        <f ca="1">IFERROR(__xludf.DUMMYFUNCTION("""COMPUTED_VALUE"""),"PKM VGK")</f>
        <v>PKM VGK</v>
      </c>
      <c r="C105" s="1" t="str">
        <f ca="1">IFERROR(__xludf.DUMMYFUNCTION("""COMPUTED_VALUE"""),"1. perbaiki redaksi judul sesuai catatan di proposal
2. pastikan konten film nya tdk hanya deskriptif, namun mententuh sisi emosional dan inspiratif")</f>
        <v>1. perbaiki redaksi judul sesuai catatan di proposal
2. pastikan konten film nya tdk hanya deskriptif, namun mententuh sisi emosional dan inspiratif</v>
      </c>
      <c r="D105" s="1" t="str">
        <f ca="1">IFERROR(__xludf.DUMMYFUNCTION("""COMPUTED_VALUE"""),"LAYAK UPLOAD KE SIMBELMAWA DENGAN REVISI")</f>
        <v>LAYAK UPLOAD KE SIMBELMAWA DENGAN REVISI</v>
      </c>
      <c r="E105" s="7" t="str">
        <f ca="1">IFERROR(__xludf.DUMMYFUNCTION("""COMPUTED_VALUE"""),"https://drive.google.com/open?id=1QP_8Htqk6SfJPMT2p8iKLob_teHYbUFo")</f>
        <v>https://drive.google.com/open?id=1QP_8Htqk6SfJPMT2p8iKLob_teHYbUFo</v>
      </c>
      <c r="F105" s="1">
        <f t="shared" ca="1" si="0"/>
        <v>0</v>
      </c>
      <c r="H105" s="4"/>
      <c r="I105" s="4"/>
      <c r="J105" s="4"/>
      <c r="K105" s="4"/>
      <c r="L105" s="4"/>
    </row>
    <row r="106" spans="1:12">
      <c r="A106" s="1">
        <f ca="1">IFERROR(__xludf.DUMMYFUNCTION("""COMPUTED_VALUE"""),3889)</f>
        <v>3889</v>
      </c>
      <c r="B106" s="1" t="str">
        <f ca="1">IFERROR(__xludf.DUMMYFUNCTION("""COMPUTED_VALUE"""),"PKM VGK")</f>
        <v>PKM VGK</v>
      </c>
      <c r="C106" s="1" t="str">
        <f ca="1">IFERROR(__xludf.DUMMYFUNCTION("""COMPUTED_VALUE"""),"1. permasalahan cukup urgent, namun ide yang ditawarkan sdh relatif umum dan sederhana. kurang terlihat keterbaruan dan keunggulan ipteks nya")</f>
        <v>1. permasalahan cukup urgent, namun ide yang ditawarkan sdh relatif umum dan sederhana. kurang terlihat keterbaruan dan keunggulan ipteks nya</v>
      </c>
      <c r="D106" s="1" t="str">
        <f ca="1">IFERROR(__xludf.DUMMYFUNCTION("""COMPUTED_VALUE"""),"TIDAK LAYAK UPLOAD KE SIMBELMAWA")</f>
        <v>TIDAK LAYAK UPLOAD KE SIMBELMAWA</v>
      </c>
      <c r="E106" s="7" t="str">
        <f ca="1">IFERROR(__xludf.DUMMYFUNCTION("""COMPUTED_VALUE"""),"https://drive.google.com/open?id=1at32rHZq6SqsvU8WwRoUQZRYeCsNLYiR")</f>
        <v>https://drive.google.com/open?id=1at32rHZq6SqsvU8WwRoUQZRYeCsNLYiR</v>
      </c>
      <c r="F106" s="1">
        <f t="shared" ca="1" si="0"/>
        <v>0</v>
      </c>
      <c r="H106" s="4"/>
      <c r="I106" s="4"/>
      <c r="J106" s="4"/>
      <c r="K106" s="4"/>
      <c r="L106" s="4"/>
    </row>
    <row r="107" spans="1:12">
      <c r="A107" s="1">
        <f ca="1">IFERROR(__xludf.DUMMYFUNCTION("""COMPUTED_VALUE"""),3982)</f>
        <v>3982</v>
      </c>
      <c r="B107" s="1" t="str">
        <f ca="1">IFERROR(__xludf.DUMMYFUNCTION("""COMPUTED_VALUE"""),"PKM VGK")</f>
        <v>PKM VGK</v>
      </c>
      <c r="C107" s="1" t="str">
        <f ca="1">IFERROR(__xludf.DUMMYFUNCTION("""COMPUTED_VALUE"""),"1. Kata ""Desain"" pada judul dihapus
2. sebaiknya ada persnil yang paham IoT dan elektrik (dari Elektro)
3. Video dibuat lebih ilustratif dan bukan deskriptif")</f>
        <v>1. Kata "Desain" pada judul dihapus
2. sebaiknya ada persnil yang paham IoT dan elektrik (dari Elektro)
3. Video dibuat lebih ilustratif dan bukan deskriptif</v>
      </c>
      <c r="D107" s="1" t="str">
        <f ca="1">IFERROR(__xludf.DUMMYFUNCTION("""COMPUTED_VALUE"""),"LAYAK UPLOAD KE SIMBELMAWA DENGAN REVISI")</f>
        <v>LAYAK UPLOAD KE SIMBELMAWA DENGAN REVISI</v>
      </c>
      <c r="E107" s="7" t="str">
        <f ca="1">IFERROR(__xludf.DUMMYFUNCTION("""COMPUTED_VALUE"""),"https://drive.google.com/open?id=1fDCRvtMhbJbdTqmMsmL55OKcjdGcAI5b")</f>
        <v>https://drive.google.com/open?id=1fDCRvtMhbJbdTqmMsmL55OKcjdGcAI5b</v>
      </c>
      <c r="F107" s="1">
        <f t="shared" ca="1" si="0"/>
        <v>0</v>
      </c>
      <c r="H107" s="4"/>
      <c r="I107" s="4"/>
      <c r="J107" s="4"/>
      <c r="K107" s="4"/>
      <c r="L107" s="4"/>
    </row>
    <row r="108" spans="1:12">
      <c r="A108" s="1">
        <f ca="1">IFERROR(__xludf.DUMMYFUNCTION("""COMPUTED_VALUE"""),4104)</f>
        <v>4104</v>
      </c>
      <c r="B108" s="1" t="str">
        <f ca="1">IFERROR(__xludf.DUMMYFUNCTION("""COMPUTED_VALUE"""),"PKM VGK")</f>
        <v>PKM VGK</v>
      </c>
      <c r="C108" s="1" t="str">
        <f ca="1">IFERROR(__xludf.DUMMYFUNCTION("""COMPUTED_VALUE"""),"1, ide seperti ini sudah cukup umum di skema GFT, walaupun beda skema, namun secara ide sdh relatif umum
2. pertanian memiliki nilai produksi yang rendah, dengan teknologi yang spt ini spt nya tidak ekonomis
3. bila ide ini dikaitkan dg ekowisata berbasis"&amp;" pertanian mungkin bisa lebih ekonomis")</f>
        <v>1, ide seperti ini sudah cukup umum di skema GFT, walaupun beda skema, namun secara ide sdh relatif umum
2. pertanian memiliki nilai produksi yang rendah, dengan teknologi yang spt ini spt nya tidak ekonomis
3. bila ide ini dikaitkan dg ekowisata berbasis pertanian mungkin bisa lebih ekonomis</v>
      </c>
      <c r="D108" s="1" t="str">
        <f ca="1">IFERROR(__xludf.DUMMYFUNCTION("""COMPUTED_VALUE"""),"TIDAK LAYAK UPLOAD KE SIMBELMAWA")</f>
        <v>TIDAK LAYAK UPLOAD KE SIMBELMAWA</v>
      </c>
      <c r="E108" s="7" t="str">
        <f ca="1">IFERROR(__xludf.DUMMYFUNCTION("""COMPUTED_VALUE"""),"https://drive.google.com/open?id=12MgQ5wD1wmqyW1sPQY__oygLBjAk3TJi")</f>
        <v>https://drive.google.com/open?id=12MgQ5wD1wmqyW1sPQY__oygLBjAk3TJi</v>
      </c>
      <c r="F108" s="1">
        <f t="shared" ca="1" si="0"/>
        <v>0</v>
      </c>
      <c r="H108" s="4"/>
      <c r="I108" s="4"/>
      <c r="J108" s="4"/>
      <c r="K108" s="4"/>
      <c r="L108" s="4"/>
    </row>
    <row r="109" spans="1:12">
      <c r="A109" s="1">
        <f ca="1">IFERROR(__xludf.DUMMYFUNCTION("""COMPUTED_VALUE"""),3770)</f>
        <v>3770</v>
      </c>
      <c r="B109" s="1" t="str">
        <f ca="1">IFERROR(__xludf.DUMMYFUNCTION("""COMPUTED_VALUE"""),"PKM VGK")</f>
        <v>PKM VGK</v>
      </c>
      <c r="C109" s="1" t="str">
        <f ca="1">IFERROR(__xludf.DUMMYFUNCTION("""COMPUTED_VALUE"""),"1. perkuat keterbaruan gagasan di bab pendahuluan
2. konten video yang inspiratif, bukan deskriptif")</f>
        <v>1. perkuat keterbaruan gagasan di bab pendahuluan
2. konten video yang inspiratif, bukan deskriptif</v>
      </c>
      <c r="D109" s="1" t="str">
        <f ca="1">IFERROR(__xludf.DUMMYFUNCTION("""COMPUTED_VALUE"""),"LAYAK UPLOAD KE SIMBELMAWA DENGAN REVISI")</f>
        <v>LAYAK UPLOAD KE SIMBELMAWA DENGAN REVISI</v>
      </c>
      <c r="E109" s="7" t="str">
        <f ca="1">IFERROR(__xludf.DUMMYFUNCTION("""COMPUTED_VALUE"""),"https://drive.google.com/open?id=1XtMOCm1LWdw_SFytpQV4Se7iHSamsKbO")</f>
        <v>https://drive.google.com/open?id=1XtMOCm1LWdw_SFytpQV4Se7iHSamsKbO</v>
      </c>
      <c r="F109" s="1">
        <f t="shared" ca="1" si="0"/>
        <v>0</v>
      </c>
      <c r="H109" s="4"/>
      <c r="I109" s="4"/>
      <c r="J109" s="4"/>
      <c r="K109" s="4"/>
      <c r="L109" s="4"/>
    </row>
    <row r="110" spans="1:12">
      <c r="A110" s="1">
        <f ca="1">IFERROR(__xludf.DUMMYFUNCTION("""COMPUTED_VALUE"""),3866)</f>
        <v>3866</v>
      </c>
      <c r="B110" s="1" t="str">
        <f ca="1">IFERROR(__xludf.DUMMYFUNCTION("""COMPUTED_VALUE"""),"PKM VGK")</f>
        <v>PKM VGK</v>
      </c>
      <c r="C110" s="1" t="str">
        <f ca="1">IFERROR(__xludf.DUMMYFUNCTION("""COMPUTED_VALUE"""),"1. judul sebaiknya tdk ada kata ""rancangan""
2. ipteks yang digunakan sebaiknya berbasis metaverse, sehingga lebih cepat bisa lebih inklusif dan mudah diakses dari masyarakat luar negeri")</f>
        <v>1. judul sebaiknya tdk ada kata "rancangan"
2. ipteks yang digunakan sebaiknya berbasis metaverse, sehingga lebih cepat bisa lebih inklusif dan mudah diakses dari masyarakat luar negeri</v>
      </c>
      <c r="D110" s="1" t="str">
        <f ca="1">IFERROR(__xludf.DUMMYFUNCTION("""COMPUTED_VALUE"""),"LAYAK UPLOAD KE SIMBELMAWA DENGAN REVISI")</f>
        <v>LAYAK UPLOAD KE SIMBELMAWA DENGAN REVISI</v>
      </c>
      <c r="E110" s="7" t="str">
        <f ca="1">IFERROR(__xludf.DUMMYFUNCTION("""COMPUTED_VALUE"""),"https://drive.google.com/open?id=1RmR4I9GAd_3PtOhBYP-Ug5Eb7DL8vCOW")</f>
        <v>https://drive.google.com/open?id=1RmR4I9GAd_3PtOhBYP-Ug5Eb7DL8vCOW</v>
      </c>
      <c r="F110" s="1">
        <f t="shared" ca="1" si="0"/>
        <v>0</v>
      </c>
      <c r="H110" s="4"/>
      <c r="I110" s="4"/>
      <c r="J110" s="4"/>
      <c r="K110" s="4"/>
      <c r="L110" s="4"/>
    </row>
    <row r="111" spans="1:12">
      <c r="A111" s="1">
        <f ca="1">IFERROR(__xludf.DUMMYFUNCTION("""COMPUTED_VALUE"""),2470)</f>
        <v>2470</v>
      </c>
      <c r="B111" s="1" t="str">
        <f ca="1">IFERROR(__xludf.DUMMYFUNCTION("""COMPUTED_VALUE"""),"PKM VGK")</f>
        <v>PKM VGK</v>
      </c>
      <c r="C111" s="1" t="str">
        <f ca="1">IFERROR(__xludf.DUMMYFUNCTION("""COMPUTED_VALUE"""),"1. perkuat keterbaruan gagasan pada bab pendahuluan
2. konten video agar memperlihat situasi di IKN ")</f>
        <v xml:space="preserve">1. perkuat keterbaruan gagasan pada bab pendahuluan
2. konten video agar memperlihat situasi di IKN </v>
      </c>
      <c r="D111" s="1" t="str">
        <f ca="1">IFERROR(__xludf.DUMMYFUNCTION("""COMPUTED_VALUE"""),"LAYAK UPLOAD KE SIMBELMAWA DENGAN REVISI")</f>
        <v>LAYAK UPLOAD KE SIMBELMAWA DENGAN REVISI</v>
      </c>
      <c r="E111" s="7" t="str">
        <f ca="1">IFERROR(__xludf.DUMMYFUNCTION("""COMPUTED_VALUE"""),"https://drive.google.com/open?id=1sjvge74up08kYj_Ujv1fE0marsAN8qL3")</f>
        <v>https://drive.google.com/open?id=1sjvge74up08kYj_Ujv1fE0marsAN8qL3</v>
      </c>
      <c r="F111" s="1">
        <f t="shared" ca="1" si="0"/>
        <v>0</v>
      </c>
      <c r="H111" s="4"/>
      <c r="I111" s="4"/>
      <c r="J111" s="4"/>
      <c r="K111" s="4"/>
      <c r="L111" s="4"/>
    </row>
    <row r="112" spans="1:12">
      <c r="A112" s="1">
        <f ca="1">IFERROR(__xludf.DUMMYFUNCTION("""COMPUTED_VALUE"""),4003)</f>
        <v>4003</v>
      </c>
      <c r="B112" s="1" t="str">
        <f ca="1">IFERROR(__xludf.DUMMYFUNCTION("""COMPUTED_VALUE"""),"PKM VGK")</f>
        <v>PKM VGK</v>
      </c>
      <c r="C112" s="1" t="str">
        <f ca="1">IFERROR(__xludf.DUMMYFUNCTION("""COMPUTED_VALUE"""),"1. perjelas keterbaruan ide nya
2. masih kelebihan halaman")</f>
        <v>1. perjelas keterbaruan ide nya
2. masih kelebihan halaman</v>
      </c>
      <c r="D112" s="1" t="str">
        <f ca="1">IFERROR(__xludf.DUMMYFUNCTION("""COMPUTED_VALUE"""),"LAYAK UPLOAD KE SIMBELMAWA DENGAN REVISI")</f>
        <v>LAYAK UPLOAD KE SIMBELMAWA DENGAN REVISI</v>
      </c>
      <c r="E112" s="7" t="str">
        <f ca="1">IFERROR(__xludf.DUMMYFUNCTION("""COMPUTED_VALUE"""),"https://drive.google.com/open?id=1LGloD9Fme7CwsMp1VqAXfBwLxVMnEjjR")</f>
        <v>https://drive.google.com/open?id=1LGloD9Fme7CwsMp1VqAXfBwLxVMnEjjR</v>
      </c>
      <c r="F112" s="1">
        <f t="shared" ca="1" si="0"/>
        <v>0</v>
      </c>
      <c r="H112" s="4"/>
      <c r="I112" s="4"/>
      <c r="J112" s="4"/>
      <c r="K112" s="4"/>
      <c r="L112" s="4"/>
    </row>
    <row r="113" spans="1:12">
      <c r="A113" s="1">
        <f ca="1">IFERROR(__xludf.DUMMYFUNCTION("""COMPUTED_VALUE"""),2970)</f>
        <v>2970</v>
      </c>
      <c r="B113" s="1" t="str">
        <f ca="1">IFERROR(__xludf.DUMMYFUNCTION("""COMPUTED_VALUE"""),"PKM VGK")</f>
        <v>PKM VGK</v>
      </c>
      <c r="C113" s="1" t="str">
        <f ca="1">IFERROR(__xludf.DUMMYFUNCTION("""COMPUTED_VALUE"""),"yang perlu dijelaskan mengapa ide ini diterapkan di NTT, bukannya lebih baik di daerah padat penduduk, atau kawasan baru yang dibuka spt IKN, dll")</f>
        <v>yang perlu dijelaskan mengapa ide ini diterapkan di NTT, bukannya lebih baik di daerah padat penduduk, atau kawasan baru yang dibuka spt IKN, dll</v>
      </c>
      <c r="D113" s="1" t="str">
        <f ca="1">IFERROR(__xludf.DUMMYFUNCTION("""COMPUTED_VALUE"""),"LAYAK UPLOAD KE SIMBELMAWA DENGAN REVISI")</f>
        <v>LAYAK UPLOAD KE SIMBELMAWA DENGAN REVISI</v>
      </c>
      <c r="E113" s="7" t="str">
        <f ca="1">IFERROR(__xludf.DUMMYFUNCTION("""COMPUTED_VALUE"""),"https://drive.google.com/open?id=1srs3qYN9J6Izuvuk0p0-awZAKy0eiDWM")</f>
        <v>https://drive.google.com/open?id=1srs3qYN9J6Izuvuk0p0-awZAKy0eiDWM</v>
      </c>
      <c r="F113" s="1">
        <f t="shared" ca="1" si="0"/>
        <v>0</v>
      </c>
      <c r="H113" s="4"/>
      <c r="I113" s="4"/>
      <c r="J113" s="4"/>
      <c r="K113" s="4"/>
      <c r="L113" s="4"/>
    </row>
    <row r="114" spans="1:12">
      <c r="A114" s="1">
        <f ca="1">IFERROR(__xludf.DUMMYFUNCTION("""COMPUTED_VALUE"""),3771)</f>
        <v>3771</v>
      </c>
      <c r="B114" s="1" t="str">
        <f ca="1">IFERROR(__xludf.DUMMYFUNCTION("""COMPUTED_VALUE"""),"PKM VGK")</f>
        <v>PKM VGK</v>
      </c>
      <c r="C114" s="1" t="str">
        <f ca="1">IFERROR(__xludf.DUMMYFUNCTION("""COMPUTED_VALUE"""),"Aspek emosi tidak muncul dalam sinopsis yang diajukan, buat skenario yang lbh aestetic")</f>
        <v>Aspek emosi tidak muncul dalam sinopsis yang diajukan, buat skenario yang lbh aestetic</v>
      </c>
      <c r="D114" s="1" t="str">
        <f ca="1">IFERROR(__xludf.DUMMYFUNCTION("""COMPUTED_VALUE"""),"LAYAK UPLOAD KE SIMBELMAWA DENGAN REVISI")</f>
        <v>LAYAK UPLOAD KE SIMBELMAWA DENGAN REVISI</v>
      </c>
      <c r="E114" s="7" t="str">
        <f ca="1">IFERROR(__xludf.DUMMYFUNCTION("""COMPUTED_VALUE"""),"https://drive.google.com/open?id=1iHI7kJYWpYZrJjGCaxQ3zmMEr8eB4UDa")</f>
        <v>https://drive.google.com/open?id=1iHI7kJYWpYZrJjGCaxQ3zmMEr8eB4UDa</v>
      </c>
      <c r="F114" s="1">
        <f t="shared" ca="1" si="0"/>
        <v>0</v>
      </c>
      <c r="H114" s="4"/>
      <c r="I114" s="4"/>
      <c r="J114" s="4"/>
      <c r="K114" s="4"/>
      <c r="L114" s="4"/>
    </row>
    <row r="115" spans="1:12">
      <c r="A115" s="1">
        <f ca="1">IFERROR(__xludf.DUMMYFUNCTION("""COMPUTED_VALUE"""),2861)</f>
        <v>2861</v>
      </c>
      <c r="B115" s="1" t="str">
        <f ca="1">IFERROR(__xludf.DUMMYFUNCTION("""COMPUTED_VALUE"""),"PKM VGK")</f>
        <v>PKM VGK</v>
      </c>
      <c r="C115" s="1" t="str">
        <f ca="1">IFERROR(__xludf.DUMMYFUNCTION("""COMPUTED_VALUE"""),"1. ide sudah bagus
2. konten video agar dibuat lebih inspiratif, dan bisa menyentuh hal2 emosional")</f>
        <v>1. ide sudah bagus
2. konten video agar dibuat lebih inspiratif, dan bisa menyentuh hal2 emosional</v>
      </c>
      <c r="D115" s="1" t="str">
        <f ca="1">IFERROR(__xludf.DUMMYFUNCTION("""COMPUTED_VALUE"""),"LAYAK UPLOAD KE SIMBELMAWA DENGAN REVISI")</f>
        <v>LAYAK UPLOAD KE SIMBELMAWA DENGAN REVISI</v>
      </c>
      <c r="E115" s="7" t="str">
        <f ca="1">IFERROR(__xludf.DUMMYFUNCTION("""COMPUTED_VALUE"""),"https://drive.google.com/open?id=1FiniaYa4EJZOmnLTrG98dFjNJWXFUTpl")</f>
        <v>https://drive.google.com/open?id=1FiniaYa4EJZOmnLTrG98dFjNJWXFUTpl</v>
      </c>
      <c r="F115" s="1">
        <f t="shared" ca="1" si="0"/>
        <v>0</v>
      </c>
      <c r="H115" s="4"/>
      <c r="I115" s="4"/>
      <c r="J115" s="4"/>
      <c r="K115" s="4"/>
      <c r="L115" s="4"/>
    </row>
    <row r="116" spans="1:12">
      <c r="A116" s="1">
        <f ca="1">IFERROR(__xludf.DUMMYFUNCTION("""COMPUTED_VALUE"""),4105)</f>
        <v>4105</v>
      </c>
      <c r="B116" s="1" t="str">
        <f ca="1">IFERROR(__xludf.DUMMYFUNCTION("""COMPUTED_VALUE"""),"PKM VGK")</f>
        <v>PKM VGK</v>
      </c>
      <c r="C116" s="1" t="str">
        <f ca="1">IFERROR(__xludf.DUMMYFUNCTION("""COMPUTED_VALUE""")," ")</f>
        <v xml:space="preserve"> </v>
      </c>
      <c r="D116" s="1" t="str">
        <f ca="1">IFERROR(__xludf.DUMMYFUNCTION("""COMPUTED_VALUE""")," ")</f>
        <v xml:space="preserve"> </v>
      </c>
      <c r="E116" s="1"/>
      <c r="F116" s="1">
        <f t="shared" ca="1" si="0"/>
        <v>2</v>
      </c>
      <c r="H116" s="4"/>
      <c r="I116" s="4"/>
      <c r="J116" s="4"/>
      <c r="K116" s="4"/>
      <c r="L116" s="4"/>
    </row>
    <row r="117" spans="1:12">
      <c r="A117" s="1">
        <f ca="1">IFERROR(__xludf.DUMMYFUNCTION("""COMPUTED_VALUE"""),3971)</f>
        <v>3971</v>
      </c>
      <c r="B117" s="1" t="str">
        <f ca="1">IFERROR(__xludf.DUMMYFUNCTION("""COMPUTED_VALUE"""),"PKM VGK")</f>
        <v>PKM VGK</v>
      </c>
      <c r="C117" s="1" t="str">
        <f ca="1">IFERROR(__xludf.DUMMYFUNCTION("""COMPUTED_VALUE"""),"1. konteks permasalahan selain dikaitkan dg isu SDGs, juga diakaitkan dengan target universal akses pemerintah RI yaitu tercapainya sanitasi perkotaan 100%. cek info lengkap di internet
2. perjelas keterbaruan dari ide ini dan manfaat lebih yang nanti aka"&amp;"n didapatkan
3. konten video dibuat lebih dinamis, emosional, inspiratif dan komunikatif, tdk hanya sekedar mendeskripsikan gagasannya
4. metode dipastikan dilakukan dengan luring")</f>
        <v>1. konteks permasalahan selain dikaitkan dg isu SDGs, juga diakaitkan dengan target universal akses pemerintah RI yaitu tercapainya sanitasi perkotaan 100%. cek info lengkap di internet
2. perjelas keterbaruan dari ide ini dan manfaat lebih yang nanti akan didapatkan
3. konten video dibuat lebih dinamis, emosional, inspiratif dan komunikatif, tdk hanya sekedar mendeskripsikan gagasannya
4. metode dipastikan dilakukan dengan luring</v>
      </c>
      <c r="D117" s="1" t="str">
        <f ca="1">IFERROR(__xludf.DUMMYFUNCTION("""COMPUTED_VALUE"""),"LAYAK UPLOAD KE SIMBELMAWA DENGAN REVISI")</f>
        <v>LAYAK UPLOAD KE SIMBELMAWA DENGAN REVISI</v>
      </c>
      <c r="E117" s="7" t="str">
        <f ca="1">IFERROR(__xludf.DUMMYFUNCTION("""COMPUTED_VALUE"""),"https://drive.google.com/open?id=1a7235QgRC85voStR-Zg4e8Oy84x3e8LY")</f>
        <v>https://drive.google.com/open?id=1a7235QgRC85voStR-Zg4e8Oy84x3e8LY</v>
      </c>
      <c r="F117" s="1">
        <f t="shared" ca="1" si="0"/>
        <v>0</v>
      </c>
      <c r="H117" s="4"/>
      <c r="I117" s="4"/>
      <c r="J117" s="4"/>
      <c r="K117" s="4"/>
      <c r="L117" s="4"/>
    </row>
    <row r="118" spans="1:12">
      <c r="A118" s="1">
        <f ca="1">IFERROR(__xludf.DUMMYFUNCTION("""COMPUTED_VALUE"""),3884)</f>
        <v>3884</v>
      </c>
      <c r="B118" s="1" t="str">
        <f ca="1">IFERROR(__xludf.DUMMYFUNCTION("""COMPUTED_VALUE"""),"PKM VGK")</f>
        <v>PKM VGK</v>
      </c>
      <c r="C118" s="1" t="str">
        <f ca="1">IFERROR(__xludf.DUMMYFUNCTION("""COMPUTED_VALUE"""),"anggaran terlalu minimal, aspek emosional kurang diunggulkan dalam sinopsis")</f>
        <v>anggaran terlalu minimal, aspek emosional kurang diunggulkan dalam sinopsis</v>
      </c>
      <c r="D118" s="1" t="str">
        <f ca="1">IFERROR(__xludf.DUMMYFUNCTION("""COMPUTED_VALUE"""),"LAYAK UPLOAD KE SIMBELMAWA DENGAN REVISI")</f>
        <v>LAYAK UPLOAD KE SIMBELMAWA DENGAN REVISI</v>
      </c>
      <c r="E118" s="7" t="str">
        <f ca="1">IFERROR(__xludf.DUMMYFUNCTION("""COMPUTED_VALUE"""),"https://drive.google.com/open?id=1dJvRiC8kUh5mH5DRJ77ZsPiIk9TyclxI")</f>
        <v>https://drive.google.com/open?id=1dJvRiC8kUh5mH5DRJ77ZsPiIk9TyclxI</v>
      </c>
      <c r="F118" s="1">
        <f t="shared" ca="1" si="0"/>
        <v>0</v>
      </c>
      <c r="H118" s="4"/>
      <c r="I118" s="4"/>
      <c r="J118" s="4"/>
      <c r="K118" s="4"/>
      <c r="L118" s="4"/>
    </row>
    <row r="119" spans="1:12">
      <c r="A119" s="1">
        <f ca="1">IFERROR(__xludf.DUMMYFUNCTION("""COMPUTED_VALUE"""),3826)</f>
        <v>3826</v>
      </c>
      <c r="B119" s="1" t="str">
        <f ca="1">IFERROR(__xludf.DUMMYFUNCTION("""COMPUTED_VALUE"""),"PKM VGK")</f>
        <v>PKM VGK</v>
      </c>
      <c r="C119" s="1" t="str">
        <f ca="1">IFERROR(__xludf.DUMMYFUNCTION("""COMPUTED_VALUE"""),"1. perjelas keterkaitannya dengan persoalan SDGs atau isu nasional
2. perjelas keterbaruan ide
3. konten video agar tdk deskriptif, tetapi yang menyentuh emosional, inspiratif dan komunikatif
4. metode luring")</f>
        <v>1. perjelas keterkaitannya dengan persoalan SDGs atau isu nasional
2. perjelas keterbaruan ide
3. konten video agar tdk deskriptif, tetapi yang menyentuh emosional, inspiratif dan komunikatif
4. metode luring</v>
      </c>
      <c r="D119" s="1" t="str">
        <f ca="1">IFERROR(__xludf.DUMMYFUNCTION("""COMPUTED_VALUE"""),"LAYAK UPLOAD KE SIMBELMAWA DENGAN REVISI")</f>
        <v>LAYAK UPLOAD KE SIMBELMAWA DENGAN REVISI</v>
      </c>
      <c r="E119" s="7" t="str">
        <f ca="1">IFERROR(__xludf.DUMMYFUNCTION("""COMPUTED_VALUE"""),"https://drive.google.com/open?id=1rHLxvfE0r2kp3bbIw0EvhQoVO3rhUlu9")</f>
        <v>https://drive.google.com/open?id=1rHLxvfE0r2kp3bbIw0EvhQoVO3rhUlu9</v>
      </c>
      <c r="F119" s="1">
        <f t="shared" ca="1" si="0"/>
        <v>0</v>
      </c>
      <c r="H119" s="4"/>
      <c r="I119" s="4"/>
      <c r="J119" s="4"/>
      <c r="K119" s="4"/>
      <c r="L119" s="4"/>
    </row>
    <row r="120" spans="1:12">
      <c r="A120" s="1">
        <f ca="1">IFERROR(__xludf.DUMMYFUNCTION("""COMPUTED_VALUE"""),3772)</f>
        <v>3772</v>
      </c>
      <c r="B120" s="1" t="str">
        <f ca="1">IFERROR(__xludf.DUMMYFUNCTION("""COMPUTED_VALUE"""),"PKM VGK")</f>
        <v>PKM VGK</v>
      </c>
      <c r="C120" s="1" t="str">
        <f ca="1">IFERROR(__xludf.DUMMYFUNCTION("""COMPUTED_VALUE"""),"breakdown anggaran belum ada, sisi emosi belum muncul")</f>
        <v>breakdown anggaran belum ada, sisi emosi belum muncul</v>
      </c>
      <c r="D120" s="1" t="str">
        <f ca="1">IFERROR(__xludf.DUMMYFUNCTION("""COMPUTED_VALUE"""),"LAYAK UPLOAD KE SIMBELMAWA DENGAN REVISI")</f>
        <v>LAYAK UPLOAD KE SIMBELMAWA DENGAN REVISI</v>
      </c>
      <c r="E120" s="7" t="str">
        <f ca="1">IFERROR(__xludf.DUMMYFUNCTION("""COMPUTED_VALUE"""),"https://drive.google.com/open?id=1KOYz_ov1AD4rTgVypHhwImT1sBIIl78P")</f>
        <v>https://drive.google.com/open?id=1KOYz_ov1AD4rTgVypHhwImT1sBIIl78P</v>
      </c>
      <c r="F120" s="1">
        <f t="shared" ca="1" si="0"/>
        <v>0</v>
      </c>
      <c r="H120" s="4"/>
      <c r="I120" s="4"/>
      <c r="J120" s="4"/>
      <c r="K120" s="4"/>
      <c r="L120" s="4"/>
    </row>
    <row r="121" spans="1:12">
      <c r="A121" s="1">
        <f ca="1">IFERROR(__xludf.DUMMYFUNCTION("""COMPUTED_VALUE"""),3931)</f>
        <v>3931</v>
      </c>
      <c r="B121" s="1" t="str">
        <f ca="1">IFERROR(__xludf.DUMMYFUNCTION("""COMPUTED_VALUE"""),"PKM VGK")</f>
        <v>PKM VGK</v>
      </c>
      <c r="C121" s="1" t="str">
        <f ca="1">IFERROR(__xludf.DUMMYFUNCTION("""COMPUTED_VALUE"""),"Ide relatif sederhana, dan kurang dijelaskan bukti ilmiah gagasan ini mampu meningkatkan edukasi anak2 terhadap bencana")</f>
        <v>Ide relatif sederhana, dan kurang dijelaskan bukti ilmiah gagasan ini mampu meningkatkan edukasi anak2 terhadap bencana</v>
      </c>
      <c r="D121" s="1" t="str">
        <f ca="1">IFERROR(__xludf.DUMMYFUNCTION("""COMPUTED_VALUE"""),"TIDAK LAYAK UPLOAD KE SIMBELMAWA")</f>
        <v>TIDAK LAYAK UPLOAD KE SIMBELMAWA</v>
      </c>
      <c r="E121" s="7" t="str">
        <f ca="1">IFERROR(__xludf.DUMMYFUNCTION("""COMPUTED_VALUE"""),"https://drive.google.com/open?id=1x3F7XS2otDivHQVIXxzT2gqGF92W8jGU")</f>
        <v>https://drive.google.com/open?id=1x3F7XS2otDivHQVIXxzT2gqGF92W8jGU</v>
      </c>
      <c r="F121" s="1">
        <f t="shared" ca="1" si="0"/>
        <v>0</v>
      </c>
      <c r="H121" s="4"/>
      <c r="I121" s="4"/>
      <c r="J121" s="4"/>
      <c r="K121" s="4"/>
      <c r="L121" s="4"/>
    </row>
    <row r="122" spans="1:12">
      <c r="A122" s="1">
        <f ca="1">IFERROR(__xludf.DUMMYFUNCTION("""COMPUTED_VALUE"""),3827)</f>
        <v>3827</v>
      </c>
      <c r="B122" s="1" t="str">
        <f ca="1">IFERROR(__xludf.DUMMYFUNCTION("""COMPUTED_VALUE"""),"PKM VGK")</f>
        <v>PKM VGK</v>
      </c>
      <c r="C122" s="1" t="str">
        <f ca="1">IFERROR(__xludf.DUMMYFUNCTION("""COMPUTED_VALUE"""),"1. konteks gagasan jangan hanya covid saja, karena akan segera berakhir
2. usulan pendanaan belum dibuat")</f>
        <v>1. konteks gagasan jangan hanya covid saja, karena akan segera berakhir
2. usulan pendanaan belum dibuat</v>
      </c>
      <c r="D122" s="1" t="str">
        <f ca="1">IFERROR(__xludf.DUMMYFUNCTION("""COMPUTED_VALUE"""),"LAYAK UPLOAD KE SIMBELMAWA DENGAN REVISI")</f>
        <v>LAYAK UPLOAD KE SIMBELMAWA DENGAN REVISI</v>
      </c>
      <c r="E122" s="7" t="str">
        <f ca="1">IFERROR(__xludf.DUMMYFUNCTION("""COMPUTED_VALUE"""),"https://drive.google.com/open?id=1NRFY-x8pKkr0eKlGTFxc3rlr2e-oayT5")</f>
        <v>https://drive.google.com/open?id=1NRFY-x8pKkr0eKlGTFxc3rlr2e-oayT5</v>
      </c>
      <c r="F122" s="1">
        <f t="shared" ca="1" si="0"/>
        <v>0</v>
      </c>
      <c r="H122" s="4"/>
      <c r="I122" s="4"/>
      <c r="J122" s="4"/>
      <c r="K122" s="4"/>
      <c r="L122" s="4"/>
    </row>
    <row r="123" spans="1:12">
      <c r="A123" s="1">
        <f ca="1">IFERROR(__xludf.DUMMYFUNCTION("""COMPUTED_VALUE"""),2594)</f>
        <v>2594</v>
      </c>
      <c r="B123" s="1" t="str">
        <f ca="1">IFERROR(__xludf.DUMMYFUNCTION("""COMPUTED_VALUE"""),"PKM VGK")</f>
        <v>PKM VGK</v>
      </c>
      <c r="C123" s="1" t="str">
        <f ca="1">IFERROR(__xludf.DUMMYFUNCTION("""COMPUTED_VALUE"""),"jumlah halaman lebih dari 10, aspek emosi tidak muncul, hanya fokus pada sistem, lbh cocok ke KC")</f>
        <v>jumlah halaman lebih dari 10, aspek emosi tidak muncul, hanya fokus pada sistem, lbh cocok ke KC</v>
      </c>
      <c r="D123" s="1" t="str">
        <f ca="1">IFERROR(__xludf.DUMMYFUNCTION("""COMPUTED_VALUE"""),"TIDAK LAYAK UPLOAD KE SIMBELMAWA")</f>
        <v>TIDAK LAYAK UPLOAD KE SIMBELMAWA</v>
      </c>
      <c r="E123" s="7" t="str">
        <f ca="1">IFERROR(__xludf.DUMMYFUNCTION("""COMPUTED_VALUE"""),"https://drive.google.com/open?id=1SUoROXGUhvDYMEFZ8FBFofVllUjeDgjf")</f>
        <v>https://drive.google.com/open?id=1SUoROXGUhvDYMEFZ8FBFofVllUjeDgjf</v>
      </c>
      <c r="F123" s="1">
        <f t="shared" ca="1" si="0"/>
        <v>0</v>
      </c>
      <c r="H123" s="4"/>
      <c r="I123" s="4"/>
      <c r="J123" s="4"/>
      <c r="K123" s="4"/>
      <c r="L123" s="4"/>
    </row>
    <row r="124" spans="1:12">
      <c r="A124" s="1">
        <f ca="1">IFERROR(__xludf.DUMMYFUNCTION("""COMPUTED_VALUE"""),2281)</f>
        <v>2281</v>
      </c>
      <c r="B124" s="1" t="str">
        <f ca="1">IFERROR(__xludf.DUMMYFUNCTION("""COMPUTED_VALUE"""),"PKM VGK")</f>
        <v>PKM VGK</v>
      </c>
      <c r="C124" s="1" t="str">
        <f ca="1">IFERROR(__xludf.DUMMYFUNCTION("""COMPUTED_VALUE"""),"1. judul skema pada nama file keliru
2. ide masih relatif umum, perlu dieksplorasi lagi keterbaruannya
3. konten video masih umum
4. metode masih kurang detail")</f>
        <v>1. judul skema pada nama file keliru
2. ide masih relatif umum, perlu dieksplorasi lagi keterbaruannya
3. konten video masih umum
4. metode masih kurang detail</v>
      </c>
      <c r="D124" s="1" t="str">
        <f ca="1">IFERROR(__xludf.DUMMYFUNCTION("""COMPUTED_VALUE"""),"LAYAK UPLOAD KE SIMBELMAWA DENGAN REVISI")</f>
        <v>LAYAK UPLOAD KE SIMBELMAWA DENGAN REVISI</v>
      </c>
      <c r="E124" s="7" t="str">
        <f ca="1">IFERROR(__xludf.DUMMYFUNCTION("""COMPUTED_VALUE"""),"https://drive.google.com/open?id=16xfgVa9uWnUE0xz50lHQ41BnaUIR9w5M")</f>
        <v>https://drive.google.com/open?id=16xfgVa9uWnUE0xz50lHQ41BnaUIR9w5M</v>
      </c>
      <c r="F124" s="1">
        <f t="shared" ca="1" si="0"/>
        <v>0</v>
      </c>
      <c r="H124" s="4"/>
      <c r="I124" s="4"/>
      <c r="J124" s="4"/>
      <c r="K124" s="4"/>
      <c r="L124" s="4"/>
    </row>
    <row r="125" spans="1:12">
      <c r="A125" s="1">
        <f ca="1">IFERROR(__xludf.DUMMYFUNCTION("""COMPUTED_VALUE"""),2180)</f>
        <v>2180</v>
      </c>
      <c r="B125" s="1" t="str">
        <f ca="1">IFERROR(__xludf.DUMMYFUNCTION("""COMPUTED_VALUE"""),"PKM VGK")</f>
        <v>PKM VGK</v>
      </c>
      <c r="C125" s="1" t="str">
        <f ca="1">IFERROR(__xludf.DUMMYFUNCTION("""COMPUTED_VALUE"""),"-")</f>
        <v>-</v>
      </c>
      <c r="D125" s="1" t="str">
        <f ca="1">IFERROR(__xludf.DUMMYFUNCTION("""COMPUTED_VALUE"""),"LAYAK UPLOAD KE SIMBELMAWA DENGAN REVISI")</f>
        <v>LAYAK UPLOAD KE SIMBELMAWA DENGAN REVISI</v>
      </c>
      <c r="E125" s="7" t="str">
        <f ca="1">IFERROR(__xludf.DUMMYFUNCTION("""COMPUTED_VALUE"""),"https://drive.google.com/open?id=1Xq5ItNLTTuDrhwsMUYtlQVuG1jmgl3XS")</f>
        <v>https://drive.google.com/open?id=1Xq5ItNLTTuDrhwsMUYtlQVuG1jmgl3XS</v>
      </c>
      <c r="F125" s="1">
        <f t="shared" ca="1" si="0"/>
        <v>0</v>
      </c>
      <c r="H125" s="4"/>
      <c r="I125" s="4"/>
      <c r="J125" s="4"/>
      <c r="K125" s="4"/>
      <c r="L125" s="4"/>
    </row>
    <row r="126" spans="1:12">
      <c r="A126" s="1">
        <f ca="1">IFERROR(__xludf.DUMMYFUNCTION("""COMPUTED_VALUE"""),3812)</f>
        <v>3812</v>
      </c>
      <c r="B126" s="1" t="str">
        <f ca="1">IFERROR(__xludf.DUMMYFUNCTION("""COMPUTED_VALUE"""),"PKM VGK")</f>
        <v>PKM VGK</v>
      </c>
      <c r="C126" s="1" t="str">
        <f ca="1">IFERROR(__xludf.DUMMYFUNCTION("""COMPUTED_VALUE"""),"1. perjelas keterbaruan ide ini di bab 1
2. deskripsikan gagasan dengan komprehensif di bab 1
3. pastikan konten video imaginatif dan inspiratif")</f>
        <v>1. perjelas keterbaruan ide ini di bab 1
2. deskripsikan gagasan dengan komprehensif di bab 1
3. pastikan konten video imaginatif dan inspiratif</v>
      </c>
      <c r="D126" s="1" t="str">
        <f ca="1">IFERROR(__xludf.DUMMYFUNCTION("""COMPUTED_VALUE"""),"LAYAK UPLOAD KE SIMBELMAWA DENGAN REVISI")</f>
        <v>LAYAK UPLOAD KE SIMBELMAWA DENGAN REVISI</v>
      </c>
      <c r="E126" s="7" t="str">
        <f ca="1">IFERROR(__xludf.DUMMYFUNCTION("""COMPUTED_VALUE"""),"https://drive.google.com/open?id=1Ic_SzNUfCPRIZzEV5ViLs3W9r7XQPFAw")</f>
        <v>https://drive.google.com/open?id=1Ic_SzNUfCPRIZzEV5ViLs3W9r7XQPFAw</v>
      </c>
      <c r="F126" s="1">
        <f t="shared" ca="1" si="0"/>
        <v>0</v>
      </c>
      <c r="H126" s="4"/>
      <c r="I126" s="4"/>
      <c r="J126" s="4"/>
      <c r="K126" s="4"/>
      <c r="L126" s="4"/>
    </row>
    <row r="127" spans="1:12">
      <c r="A127" s="1">
        <f ca="1">IFERROR(__xludf.DUMMYFUNCTION("""COMPUTED_VALUE"""),2292)</f>
        <v>2292</v>
      </c>
      <c r="B127" s="1" t="str">
        <f ca="1">IFERROR(__xludf.DUMMYFUNCTION("""COMPUTED_VALUE"""),"PKM VGK")</f>
        <v>PKM VGK</v>
      </c>
      <c r="C127" s="1" t="str">
        <f ca="1">IFERROR(__xludf.DUMMYFUNCTION("""COMPUTED_VALUE"""),"dalam sinopsis hedaknya muncul aspek emosi, sehingga tidak hanya berkesan GFT")</f>
        <v>dalam sinopsis hedaknya muncul aspek emosi, sehingga tidak hanya berkesan GFT</v>
      </c>
      <c r="D127" s="1" t="str">
        <f ca="1">IFERROR(__xludf.DUMMYFUNCTION("""COMPUTED_VALUE"""),"LAYAK UPLOAD KE SIMBELMAWA DENGAN REVISI")</f>
        <v>LAYAK UPLOAD KE SIMBELMAWA DENGAN REVISI</v>
      </c>
      <c r="E127" s="7" t="str">
        <f ca="1">IFERROR(__xludf.DUMMYFUNCTION("""COMPUTED_VALUE"""),"https://drive.google.com/open?id=10maYmh1fQsLgK4_EjSYPB7AX3934J6Nu")</f>
        <v>https://drive.google.com/open?id=10maYmh1fQsLgK4_EjSYPB7AX3934J6Nu</v>
      </c>
      <c r="F127" s="1">
        <f t="shared" ca="1" si="0"/>
        <v>0</v>
      </c>
      <c r="H127" s="4"/>
      <c r="I127" s="4"/>
      <c r="J127" s="4"/>
      <c r="K127" s="4"/>
      <c r="L127" s="4"/>
    </row>
    <row r="128" spans="1:12">
      <c r="A128" s="1">
        <f ca="1">IFERROR(__xludf.DUMMYFUNCTION("""COMPUTED_VALUE"""),4119)</f>
        <v>4119</v>
      </c>
      <c r="B128" s="1" t="str">
        <f ca="1">IFERROR(__xludf.DUMMYFUNCTION("""COMPUTED_VALUE"""),"PKM VGK")</f>
        <v>PKM VGK</v>
      </c>
      <c r="C128" s="1" t="str">
        <f ca="1">IFERROR(__xludf.DUMMYFUNCTION("""COMPUTED_VALUE""")," ")</f>
        <v xml:space="preserve"> </v>
      </c>
      <c r="D128" s="1" t="str">
        <f ca="1">IFERROR(__xludf.DUMMYFUNCTION("""COMPUTED_VALUE""")," ")</f>
        <v xml:space="preserve"> </v>
      </c>
      <c r="E128" s="1"/>
      <c r="F128" s="1">
        <f t="shared" ca="1" si="0"/>
        <v>2</v>
      </c>
      <c r="H128" s="4"/>
      <c r="I128" s="4"/>
      <c r="J128" s="4"/>
      <c r="K128" s="4"/>
      <c r="L128" s="4"/>
    </row>
    <row r="129" spans="1:12">
      <c r="A129" s="1">
        <f ca="1">IFERROR(__xludf.DUMMYFUNCTION("""COMPUTED_VALUE"""),3996)</f>
        <v>3996</v>
      </c>
      <c r="B129" s="1" t="str">
        <f ca="1">IFERROR(__xludf.DUMMYFUNCTION("""COMPUTED_VALUE"""),"PKM VGK")</f>
        <v>PKM VGK</v>
      </c>
      <c r="C129" s="1" t="str">
        <f ca="1">IFERROR(__xludf.DUMMYFUNCTION("""COMPUTED_VALUE"""),"1. deskripsikan gagasannya di bab 1
2. gagasan coba diarahkan ke Fasilitas Pendidikan (SD, SMP, dll)
3. pastikan konten film yang inspiratif")</f>
        <v>1. deskripsikan gagasannya di bab 1
2. gagasan coba diarahkan ke Fasilitas Pendidikan (SD, SMP, dll)
3. pastikan konten film yang inspiratif</v>
      </c>
      <c r="D129" s="1" t="str">
        <f ca="1">IFERROR(__xludf.DUMMYFUNCTION("""COMPUTED_VALUE"""),"LAYAK UPLOAD KE SIMBELMAWA DENGAN REVISI")</f>
        <v>LAYAK UPLOAD KE SIMBELMAWA DENGAN REVISI</v>
      </c>
      <c r="E129" s="7" t="str">
        <f ca="1">IFERROR(__xludf.DUMMYFUNCTION("""COMPUTED_VALUE"""),"https://drive.google.com/open?id=1QH92k6s8pdByrgcl2a4pQgyX_3CoN3Z-")</f>
        <v>https://drive.google.com/open?id=1QH92k6s8pdByrgcl2a4pQgyX_3CoN3Z-</v>
      </c>
      <c r="F129" s="1">
        <f t="shared" ca="1" si="0"/>
        <v>0</v>
      </c>
      <c r="H129" s="4"/>
      <c r="I129" s="4"/>
      <c r="J129" s="4"/>
      <c r="K129" s="4"/>
      <c r="L129" s="4"/>
    </row>
    <row r="130" spans="1:12">
      <c r="A130" s="1">
        <f ca="1">IFERROR(__xludf.DUMMYFUNCTION("""COMPUTED_VALUE"""),3776)</f>
        <v>3776</v>
      </c>
      <c r="B130" s="1" t="str">
        <f ca="1">IFERROR(__xludf.DUMMYFUNCTION("""COMPUTED_VALUE"""),"PKM VGK")</f>
        <v>PKM VGK</v>
      </c>
      <c r="C130" s="1" t="str">
        <f ca="1">IFERROR(__xludf.DUMMYFUNCTION("""COMPUTED_VALUE"""),"1. perjelas keunikan dan keterbaruan ide ini
2. pastikan film yang akan dibuat bukan hal2 yang deskriptif, melainkan yang emosional, inspiratif, dan komunikatif")</f>
        <v>1. perjelas keunikan dan keterbaruan ide ini
2. pastikan film yang akan dibuat bukan hal2 yang deskriptif, melainkan yang emosional, inspiratif, dan komunikatif</v>
      </c>
      <c r="D130" s="1" t="str">
        <f ca="1">IFERROR(__xludf.DUMMYFUNCTION("""COMPUTED_VALUE"""),"LAYAK UPLOAD KE SIMBELMAWA DENGAN REVISI")</f>
        <v>LAYAK UPLOAD KE SIMBELMAWA DENGAN REVISI</v>
      </c>
      <c r="E130" s="7" t="str">
        <f ca="1">IFERROR(__xludf.DUMMYFUNCTION("""COMPUTED_VALUE"""),"https://drive.google.com/open?id=1cCcaOrymBRdI8ah_Gu5W09PrzXGsVBJD")</f>
        <v>https://drive.google.com/open?id=1cCcaOrymBRdI8ah_Gu5W09PrzXGsVBJD</v>
      </c>
      <c r="F130" s="1">
        <f t="shared" ca="1" si="0"/>
        <v>0</v>
      </c>
      <c r="H130" s="4"/>
      <c r="I130" s="4"/>
      <c r="J130" s="4"/>
      <c r="K130" s="4"/>
      <c r="L130" s="4"/>
    </row>
    <row r="131" spans="1:12">
      <c r="A131" s="1">
        <f ca="1">IFERROR(__xludf.DUMMYFUNCTION("""COMPUTED_VALUE"""),3777)</f>
        <v>3777</v>
      </c>
      <c r="B131" s="1" t="str">
        <f ca="1">IFERROR(__xludf.DUMMYFUNCTION("""COMPUTED_VALUE"""),"PKM VGK")</f>
        <v>PKM VGK</v>
      </c>
      <c r="C131" s="1" t="str">
        <f ca="1">IFERROR(__xludf.DUMMYFUNCTION("""COMPUTED_VALUE"""),"1. pada bab 1 jelaskan secara komprehensif idenya
2. perjelas skenario konsep agar tergambar konten film yang emosional dan inspiratif")</f>
        <v>1. pada bab 1 jelaskan secara komprehensif idenya
2. perjelas skenario konsep agar tergambar konten film yang emosional dan inspiratif</v>
      </c>
      <c r="D131" s="1" t="str">
        <f ca="1">IFERROR(__xludf.DUMMYFUNCTION("""COMPUTED_VALUE"""),"LAYAK UPLOAD KE SIMBELMAWA DENGAN REVISI")</f>
        <v>LAYAK UPLOAD KE SIMBELMAWA DENGAN REVISI</v>
      </c>
      <c r="E131" s="7" t="str">
        <f ca="1">IFERROR(__xludf.DUMMYFUNCTION("""COMPUTED_VALUE"""),"https://drive.google.com/open?id=1dQqCxa-L1JMDf4OdafdS7Pz2vf-FMQnd")</f>
        <v>https://drive.google.com/open?id=1dQqCxa-L1JMDf4OdafdS7Pz2vf-FMQnd</v>
      </c>
      <c r="F131" s="1">
        <f t="shared" ca="1" si="0"/>
        <v>0</v>
      </c>
      <c r="H131" s="4"/>
      <c r="I131" s="4"/>
      <c r="J131" s="4"/>
      <c r="K131" s="4"/>
      <c r="L131" s="4"/>
    </row>
    <row r="132" spans="1:12">
      <c r="A132" s="1">
        <f ca="1">IFERROR(__xludf.DUMMYFUNCTION("""COMPUTED_VALUE"""),2964)</f>
        <v>2964</v>
      </c>
      <c r="B132" s="1" t="str">
        <f ca="1">IFERROR(__xludf.DUMMYFUNCTION("""COMPUTED_VALUE"""),"PKM VGK")</f>
        <v>PKM VGK</v>
      </c>
      <c r="C132" s="1" t="str">
        <f ca="1">IFERROR(__xludf.DUMMYFUNCTION("""COMPUTED_VALUE"""),"1. ide sdh ok, hanya perjelas keterbaruan
2. format anggaran masih salah")</f>
        <v>1. ide sdh ok, hanya perjelas keterbaruan
2. format anggaran masih salah</v>
      </c>
      <c r="D132" s="1" t="str">
        <f ca="1">IFERROR(__xludf.DUMMYFUNCTION("""COMPUTED_VALUE"""),"LAYAK UPLOAD KE SIMBELMAWA DENGAN REVISI")</f>
        <v>LAYAK UPLOAD KE SIMBELMAWA DENGAN REVISI</v>
      </c>
      <c r="E132" s="7" t="str">
        <f ca="1">IFERROR(__xludf.DUMMYFUNCTION("""COMPUTED_VALUE"""),"https://drive.google.com/open?id=1KoeP95DD9GojEjDtQpwyyGmEfee8vV5l")</f>
        <v>https://drive.google.com/open?id=1KoeP95DD9GojEjDtQpwyyGmEfee8vV5l</v>
      </c>
      <c r="F132" s="1">
        <f t="shared" ca="1" si="0"/>
        <v>0</v>
      </c>
      <c r="H132" s="4"/>
      <c r="I132" s="4"/>
      <c r="J132" s="4"/>
      <c r="K132" s="4"/>
      <c r="L132" s="4"/>
    </row>
    <row r="133" spans="1:12">
      <c r="A133" s="1">
        <f ca="1">IFERROR(__xludf.DUMMYFUNCTION("""COMPUTED_VALUE"""),4056)</f>
        <v>4056</v>
      </c>
      <c r="B133" s="1" t="str">
        <f ca="1">IFERROR(__xludf.DUMMYFUNCTION("""COMPUTED_VALUE"""),"PKM VGK")</f>
        <v>PKM VGK</v>
      </c>
      <c r="C133" s="1" t="str">
        <f ca="1">IFERROR(__xludf.DUMMYFUNCTION("""COMPUTED_VALUE""")," ")</f>
        <v xml:space="preserve"> </v>
      </c>
      <c r="D133" s="1" t="str">
        <f ca="1">IFERROR(__xludf.DUMMYFUNCTION("""COMPUTED_VALUE""")," ")</f>
        <v xml:space="preserve"> </v>
      </c>
      <c r="E133" s="1"/>
      <c r="F133" s="1">
        <f t="shared" ca="1" si="0"/>
        <v>2</v>
      </c>
      <c r="H133" s="4"/>
      <c r="I133" s="4"/>
      <c r="J133" s="4"/>
      <c r="K133" s="4"/>
      <c r="L133" s="4"/>
    </row>
    <row r="134" spans="1:12">
      <c r="A134" s="1">
        <f ca="1">IFERROR(__xludf.DUMMYFUNCTION("""COMPUTED_VALUE"""),2713)</f>
        <v>2713</v>
      </c>
      <c r="B134" s="1" t="str">
        <f ca="1">IFERROR(__xludf.DUMMYFUNCTION("""COMPUTED_VALUE"""),"PKM VGK")</f>
        <v>PKM VGK</v>
      </c>
      <c r="C134" s="1" t="str">
        <f ca="1">IFERROR(__xludf.DUMMYFUNCTION("""COMPUTED_VALUE"""),"Dalam sinopsis aspek emosi tidak muncul")</f>
        <v>Dalam sinopsis aspek emosi tidak muncul</v>
      </c>
      <c r="D134" s="1" t="str">
        <f ca="1">IFERROR(__xludf.DUMMYFUNCTION("""COMPUTED_VALUE"""),"LAYAK UPLOAD KE SIMBELMAWA DENGAN REVISI")</f>
        <v>LAYAK UPLOAD KE SIMBELMAWA DENGAN REVISI</v>
      </c>
      <c r="E134" s="7" t="str">
        <f ca="1">IFERROR(__xludf.DUMMYFUNCTION("""COMPUTED_VALUE"""),"https://drive.google.com/open?id=1RI8bmDz_u0J07PfaXsTcUHo71mOLJ2gs")</f>
        <v>https://drive.google.com/open?id=1RI8bmDz_u0J07PfaXsTcUHo71mOLJ2gs</v>
      </c>
      <c r="F134" s="1">
        <f t="shared" ca="1" si="0"/>
        <v>0</v>
      </c>
      <c r="H134" s="4"/>
      <c r="I134" s="4"/>
      <c r="J134" s="4"/>
      <c r="K134" s="4"/>
      <c r="L134" s="4"/>
    </row>
    <row r="135" spans="1:12">
      <c r="A135" s="1">
        <f ca="1">IFERROR(__xludf.DUMMYFUNCTION("""COMPUTED_VALUE"""),2413)</f>
        <v>2413</v>
      </c>
      <c r="B135" s="1" t="str">
        <f ca="1">IFERROR(__xludf.DUMMYFUNCTION("""COMPUTED_VALUE"""),"PKM VGK")</f>
        <v>PKM VGK</v>
      </c>
      <c r="C135" s="1" t="str">
        <f ca="1">IFERROR(__xludf.DUMMYFUNCTION("""COMPUTED_VALUE"""),"tidak muncul aspek emosional")</f>
        <v>tidak muncul aspek emosional</v>
      </c>
      <c r="D135" s="1" t="str">
        <f ca="1">IFERROR(__xludf.DUMMYFUNCTION("""COMPUTED_VALUE"""),"TIDAK LAYAK UPLOAD KE SIMBELMAWA")</f>
        <v>TIDAK LAYAK UPLOAD KE SIMBELMAWA</v>
      </c>
      <c r="E135" s="7" t="str">
        <f ca="1">IFERROR(__xludf.DUMMYFUNCTION("""COMPUTED_VALUE"""),"https://drive.google.com/open?id=1ZJLeAJa6EdCP9dvbeixKSHd_o3jH_Uqr")</f>
        <v>https://drive.google.com/open?id=1ZJLeAJa6EdCP9dvbeixKSHd_o3jH_Uqr</v>
      </c>
      <c r="F135" s="1">
        <f t="shared" ca="1" si="0"/>
        <v>0</v>
      </c>
      <c r="H135" s="4"/>
      <c r="I135" s="4"/>
      <c r="J135" s="4"/>
      <c r="K135" s="4"/>
      <c r="L135" s="4"/>
    </row>
    <row r="136" spans="1:12">
      <c r="A136" s="1">
        <f ca="1">IFERROR(__xludf.DUMMYFUNCTION("""COMPUTED_VALUE"""),3663)</f>
        <v>3663</v>
      </c>
      <c r="B136" s="1" t="str">
        <f ca="1">IFERROR(__xludf.DUMMYFUNCTION("""COMPUTED_VALUE"""),"PKM VGK")</f>
        <v>PKM VGK</v>
      </c>
      <c r="C136" s="1" t="str">
        <f ca="1">IFERROR(__xludf.DUMMYFUNCTION("""COMPUTED_VALUE""")," ")</f>
        <v xml:space="preserve"> </v>
      </c>
      <c r="D136" s="1" t="str">
        <f ca="1">IFERROR(__xludf.DUMMYFUNCTION("""COMPUTED_VALUE""")," ")</f>
        <v xml:space="preserve"> </v>
      </c>
      <c r="E136" s="1"/>
      <c r="F136" s="1">
        <f t="shared" ca="1" si="0"/>
        <v>2</v>
      </c>
      <c r="H136" s="4"/>
      <c r="I136" s="4"/>
      <c r="J136" s="4"/>
      <c r="K136" s="4"/>
      <c r="L136" s="4"/>
    </row>
    <row r="137" spans="1:12">
      <c r="A137" s="1">
        <f ca="1">IFERROR(__xludf.DUMMYFUNCTION("""COMPUTED_VALUE"""),3765)</f>
        <v>3765</v>
      </c>
      <c r="B137" s="1" t="str">
        <f ca="1">IFERROR(__xludf.DUMMYFUNCTION("""COMPUTED_VALUE"""),"PKM KI")</f>
        <v>PKM KI</v>
      </c>
      <c r="C137" s="1" t="str">
        <f ca="1">IFERROR(__xludf.DUMMYFUNCTION("""COMPUTED_VALUE"""),"Rancangan kontrol elektronik meragukan, ARDUINO tidak mampu bekerja wakt lama.")</f>
        <v>Rancangan kontrol elektronik meragukan, ARDUINO tidak mampu bekerja wakt lama.</v>
      </c>
      <c r="D137" s="1"/>
      <c r="E137" s="7" t="str">
        <f ca="1">IFERROR(__xludf.DUMMYFUNCTION("""COMPUTED_VALUE"""),"https://drive.google.com/open?id=1KBYV2ktmx8FYPpPOZvQa6D8LMs7Gwn-P")</f>
        <v>https://drive.google.com/open?id=1KBYV2ktmx8FYPpPOZvQa6D8LMs7Gwn-P</v>
      </c>
      <c r="F137" s="1">
        <f t="shared" ca="1" si="0"/>
        <v>0</v>
      </c>
      <c r="H137" s="4"/>
      <c r="I137" s="4"/>
      <c r="J137" s="4"/>
      <c r="K137" s="4"/>
      <c r="L137" s="4"/>
    </row>
    <row r="138" spans="1:12">
      <c r="A138" s="1">
        <f ca="1">IFERROR(__xludf.DUMMYFUNCTION("""COMPUTED_VALUE"""),3045)</f>
        <v>3045</v>
      </c>
      <c r="B138" s="1" t="str">
        <f ca="1">IFERROR(__xludf.DUMMYFUNCTION("""COMPUTED_VALUE"""),"PKM KI")</f>
        <v>PKM KI</v>
      </c>
      <c r="C138" s="1" t="str">
        <f ca="1">IFERROR(__xludf.DUMMYFUNCTION("""COMPUTED_VALUE"""),"Teknologi terlalu sederhana, urgensi kurang kuat")</f>
        <v>Teknologi terlalu sederhana, urgensi kurang kuat</v>
      </c>
      <c r="D138" s="1"/>
      <c r="E138" s="7" t="str">
        <f ca="1">IFERROR(__xludf.DUMMYFUNCTION("""COMPUTED_VALUE"""),"https://drive.google.com/open?id=1PonzIttDf26671cnar7CO8dmaq4H0W98")</f>
        <v>https://drive.google.com/open?id=1PonzIttDf26671cnar7CO8dmaq4H0W98</v>
      </c>
      <c r="F138" s="1">
        <f t="shared" ca="1" si="0"/>
        <v>0</v>
      </c>
      <c r="H138" s="4"/>
      <c r="I138" s="4"/>
      <c r="J138" s="4"/>
      <c r="K138" s="4"/>
      <c r="L138" s="4"/>
    </row>
    <row r="139" spans="1:12">
      <c r="A139" s="1">
        <f ca="1">IFERROR(__xludf.DUMMYFUNCTION("""COMPUTED_VALUE"""),2066)</f>
        <v>2066</v>
      </c>
      <c r="B139" s="1" t="str">
        <f ca="1">IFERROR(__xludf.DUMMYFUNCTION("""COMPUTED_VALUE"""),"PKM KI")</f>
        <v>PKM KI</v>
      </c>
      <c r="C139" s="1" t="str">
        <f ca="1">IFERROR(__xludf.DUMMYFUNCTION("""COMPUTED_VALUE"""),"Spasi awal Daftar, Kutipan penulis ada yg TIDAK MASUK PUSTAKA, Produknya hanya Pengairan (kedalaman waduk), Rancangan Fisik alat terutama elektronik yang dibuat kurang meyakinkan. ")</f>
        <v xml:space="preserve">Spasi awal Daftar, Kutipan penulis ada yg TIDAK MASUK PUSTAKA, Produknya hanya Pengairan (kedalaman waduk), Rancangan Fisik alat terutama elektronik yang dibuat kurang meyakinkan. </v>
      </c>
      <c r="D139" s="1" t="str">
        <f ca="1">IFERROR(__xludf.DUMMYFUNCTION("""COMPUTED_VALUE"""),"LAYAK UPLOAD KE SIMBELMAWA DENGAN REVISI")</f>
        <v>LAYAK UPLOAD KE SIMBELMAWA DENGAN REVISI</v>
      </c>
      <c r="E139" s="7" t="str">
        <f ca="1">IFERROR(__xludf.DUMMYFUNCTION("""COMPUTED_VALUE"""),"https://drive.google.com/open?id=1SGmJEEJJESm4xG1A_OJ038yWbP90Vrb_")</f>
        <v>https://drive.google.com/open?id=1SGmJEEJJESm4xG1A_OJ038yWbP90Vrb_</v>
      </c>
      <c r="F139" s="1">
        <f t="shared" ca="1" si="0"/>
        <v>0</v>
      </c>
      <c r="H139" s="4"/>
      <c r="I139" s="4"/>
      <c r="J139" s="4"/>
      <c r="K139" s="4"/>
      <c r="L139" s="4"/>
    </row>
    <row r="140" spans="1:12">
      <c r="A140" s="1">
        <f ca="1">IFERROR(__xludf.DUMMYFUNCTION("""COMPUTED_VALUE"""),3471)</f>
        <v>3471</v>
      </c>
      <c r="B140" s="1" t="str">
        <f ca="1">IFERROR(__xludf.DUMMYFUNCTION("""COMPUTED_VALUE"""),"PKM KI")</f>
        <v>PKM KI</v>
      </c>
      <c r="C140" s="1" t="str">
        <f ca="1">IFERROR(__xludf.DUMMYFUNCTION("""COMPUTED_VALUE"""),"Produknya mencegah pencurian TETAPI TIDAK ada SOLUSi. Demikan IoT dipakai untuk apa?. Rancangan Fisik alat terutama elektronik yang dibuat kurang meyakinkan.")</f>
        <v>Produknya mencegah pencurian TETAPI TIDAK ada SOLUSi. Demikan IoT dipakai untuk apa?. Rancangan Fisik alat terutama elektronik yang dibuat kurang meyakinkan.</v>
      </c>
      <c r="D140" s="1" t="str">
        <f ca="1">IFERROR(__xludf.DUMMYFUNCTION("""COMPUTED_VALUE"""),"TIDAK LAYAK UPLOAD KE SIMBELMAWA")</f>
        <v>TIDAK LAYAK UPLOAD KE SIMBELMAWA</v>
      </c>
      <c r="E140" s="7" t="str">
        <f ca="1">IFERROR(__xludf.DUMMYFUNCTION("""COMPUTED_VALUE"""),"https://drive.google.com/open?id=1k5zxB8kdJdmP2aIQfEvO_Pp9Qw6wSm6W")</f>
        <v>https://drive.google.com/open?id=1k5zxB8kdJdmP2aIQfEvO_Pp9Qw6wSm6W</v>
      </c>
      <c r="F140" s="1">
        <f t="shared" ca="1" si="0"/>
        <v>0</v>
      </c>
      <c r="H140" s="4"/>
      <c r="I140" s="4"/>
      <c r="J140" s="4"/>
      <c r="K140" s="4"/>
      <c r="L140" s="4"/>
    </row>
    <row r="141" spans="1:12">
      <c r="A141" s="1">
        <f ca="1">IFERROR(__xludf.DUMMYFUNCTION("""COMPUTED_VALUE"""),2921)</f>
        <v>2921</v>
      </c>
      <c r="B141" s="1" t="str">
        <f ca="1">IFERROR(__xludf.DUMMYFUNCTION("""COMPUTED_VALUE"""),"PKM KI")</f>
        <v>PKM KI</v>
      </c>
      <c r="C141" s="1" t="str">
        <f ca="1">IFERROR(__xludf.DUMMYFUNCTION("""COMPUTED_VALUE"""),"Tidak ada file yang dilihat!")</f>
        <v>Tidak ada file yang dilihat!</v>
      </c>
      <c r="D141" s="1" t="str">
        <f ca="1">IFERROR(__xludf.DUMMYFUNCTION("""COMPUTED_VALUE"""),"TIDAK LAYAK UPLOAD KE SIMBELMAWA")</f>
        <v>TIDAK LAYAK UPLOAD KE SIMBELMAWA</v>
      </c>
      <c r="E141" s="1"/>
      <c r="F141" s="1">
        <f t="shared" ca="1" si="0"/>
        <v>0</v>
      </c>
      <c r="H141" s="4"/>
      <c r="I141" s="4"/>
      <c r="J141" s="4"/>
      <c r="K141" s="4"/>
      <c r="L141" s="4"/>
    </row>
    <row r="142" spans="1:12">
      <c r="A142" s="1">
        <f ca="1">IFERROR(__xludf.DUMMYFUNCTION("""COMPUTED_VALUE"""),2300)</f>
        <v>2300</v>
      </c>
      <c r="B142" s="1" t="str">
        <f ca="1">IFERROR(__xludf.DUMMYFUNCTION("""COMPUTED_VALUE"""),"PKM KI")</f>
        <v>PKM KI</v>
      </c>
      <c r="C142" s="1" t="str">
        <f ca="1">IFERROR(__xludf.DUMMYFUNCTION("""COMPUTED_VALUE"""),"Peralatan untuk yang dibuat mengupas kulit bawang, tetapi mekanisme pengupasan apa benar hanya di aduk dengan cara diputar? Manfaat PLC sebagai peralatan kontrol yang canggih tidak terlihat daya gunanya. Tanpa PLC pun bisa dilakukan. Solusi mekanik dan el"&amp;"ektronik meragukan.
")</f>
        <v xml:space="preserve">Peralatan untuk yang dibuat mengupas kulit bawang, tetapi mekanisme pengupasan apa benar hanya di aduk dengan cara diputar? Manfaat PLC sebagai peralatan kontrol yang canggih tidak terlihat daya gunanya. Tanpa PLC pun bisa dilakukan. Solusi mekanik dan elektronik meragukan.
</v>
      </c>
      <c r="D142" s="1" t="str">
        <f ca="1">IFERROR(__xludf.DUMMYFUNCTION("""COMPUTED_VALUE"""),"TIDAK LAYAK UPLOAD KE SIMBELMAWA")</f>
        <v>TIDAK LAYAK UPLOAD KE SIMBELMAWA</v>
      </c>
      <c r="E142" s="7" t="str">
        <f ca="1">IFERROR(__xludf.DUMMYFUNCTION("""COMPUTED_VALUE"""),"https://drive.google.com/open?id=1ROh60aQfESdYHITcPubAUl9msDgB8b6x")</f>
        <v>https://drive.google.com/open?id=1ROh60aQfESdYHITcPubAUl9msDgB8b6x</v>
      </c>
      <c r="F142" s="1">
        <f t="shared" ca="1" si="0"/>
        <v>0</v>
      </c>
      <c r="H142" s="4"/>
      <c r="I142" s="4"/>
      <c r="J142" s="4"/>
      <c r="K142" s="4"/>
      <c r="L142" s="4"/>
    </row>
    <row r="143" spans="1:12">
      <c r="A143" s="1">
        <f ca="1">IFERROR(__xludf.DUMMYFUNCTION("""COMPUTED_VALUE"""),3984)</f>
        <v>3984</v>
      </c>
      <c r="B143" s="1" t="str">
        <f ca="1">IFERROR(__xludf.DUMMYFUNCTION("""COMPUTED_VALUE"""),"PKM KI")</f>
        <v>PKM KI</v>
      </c>
      <c r="C143" s="1" t="str">
        <f ca="1">IFERROR(__xludf.DUMMYFUNCTION("""COMPUTED_VALUE"""),"Metode pelaksanaan harusnya melaksanakan hasil riset tentang crass di kepala.
Kemudian bagaimana solusinya.
Rancangan helm yang dibuat apa sudah dipikirkan ergonomisnya, terutama untuk pekerja yang selalu bergerak.
Rancangan elektronik belum terlihat rang"&amp;"kaian dan peletakan.")</f>
        <v>Metode pelaksanaan harusnya melaksanakan hasil riset tentang crass di kepala.
Kemudian bagaimana solusinya.
Rancangan helm yang dibuat apa sudah dipikirkan ergonomisnya, terutama untuk pekerja yang selalu bergerak.
Rancangan elektronik belum terlihat rangkaian dan peletakan.</v>
      </c>
      <c r="D143" s="1" t="str">
        <f ca="1">IFERROR(__xludf.DUMMYFUNCTION("""COMPUTED_VALUE"""),"TIDAK LAYAK UPLOAD KE SIMBELMAWA")</f>
        <v>TIDAK LAYAK UPLOAD KE SIMBELMAWA</v>
      </c>
      <c r="E143" s="7" t="str">
        <f ca="1">IFERROR(__xludf.DUMMYFUNCTION("""COMPUTED_VALUE"""),"https://drive.google.com/open?id=1dfWW4dlBBcj8HahYwPZH4wtv71g-VPVv")</f>
        <v>https://drive.google.com/open?id=1dfWW4dlBBcj8HahYwPZH4wtv71g-VPVv</v>
      </c>
      <c r="F143" s="1">
        <f t="shared" ca="1" si="0"/>
        <v>0</v>
      </c>
      <c r="H143" s="4"/>
      <c r="I143" s="4"/>
      <c r="J143" s="4"/>
      <c r="K143" s="4"/>
      <c r="L143" s="4"/>
    </row>
    <row r="144" spans="1:12">
      <c r="A144" s="1">
        <f ca="1">IFERROR(__xludf.DUMMYFUNCTION("""COMPUTED_VALUE"""),3480)</f>
        <v>3480</v>
      </c>
      <c r="B144" s="1" t="str">
        <f ca="1">IFERROR(__xludf.DUMMYFUNCTION("""COMPUTED_VALUE"""),"PKM KI")</f>
        <v>PKM KI</v>
      </c>
      <c r="C144" s="1" t="str">
        <f ca="1">IFERROR(__xludf.DUMMYFUNCTION("""COMPUTED_VALUE"""),"Pemasalahan yang ditulis kok sama dengan tujuan, padahal di pendahuluan yang ditulis banyak persoalan yang butuh solusi.
Luaran disesuaikan dengan Pedoman
Di Kajian Pustaka menyebutkan Perlunya Cloud dan Jarinan Internet, tetapi
di Metode Pelaksanaan Tida"&amp;"k ada penjelasan dan rancangan elektronik
Jadwal yang dibuat terlalu OverLoad
Rancangan di Lampiran Tidak terlihat Cloud dan Jaringan Internet
Sepertinya Judul Internet of Things hanya aseksoris, sementara peranan nya tidak ada penjelasan")</f>
        <v>Pemasalahan yang ditulis kok sama dengan tujuan, padahal di pendahuluan yang ditulis banyak persoalan yang butuh solusi.
Luaran disesuaikan dengan Pedoman
Di Kajian Pustaka menyebutkan Perlunya Cloud dan Jarinan Internet, tetapi
di Metode Pelaksanaan Tidak ada penjelasan dan rancangan elektronik
Jadwal yang dibuat terlalu OverLoad
Rancangan di Lampiran Tidak terlihat Cloud dan Jaringan Internet
Sepertinya Judul Internet of Things hanya aseksoris, sementara peranan nya tidak ada penjelasan</v>
      </c>
      <c r="D144" s="1" t="str">
        <f ca="1">IFERROR(__xludf.DUMMYFUNCTION("""COMPUTED_VALUE"""),"TIDAK LAYAK UPLOAD KE SIMBELMAWA")</f>
        <v>TIDAK LAYAK UPLOAD KE SIMBELMAWA</v>
      </c>
      <c r="E144" s="7" t="str">
        <f ca="1">IFERROR(__xludf.DUMMYFUNCTION("""COMPUTED_VALUE"""),"https://drive.google.com/open?id=1zpwEkXRMpIoTTDjXFceW_Bn1qwrZhLMt")</f>
        <v>https://drive.google.com/open?id=1zpwEkXRMpIoTTDjXFceW_Bn1qwrZhLMt</v>
      </c>
      <c r="F144" s="1">
        <f t="shared" ca="1" si="0"/>
        <v>0</v>
      </c>
      <c r="H144" s="4"/>
      <c r="I144" s="4"/>
      <c r="J144" s="4"/>
      <c r="K144" s="4"/>
      <c r="L144" s="4"/>
    </row>
    <row r="145" spans="1:12">
      <c r="A145" s="1">
        <f ca="1">IFERROR(__xludf.DUMMYFUNCTION("""COMPUTED_VALUE"""),2025)</f>
        <v>2025</v>
      </c>
      <c r="B145" s="1" t="str">
        <f ca="1">IFERROR(__xludf.DUMMYFUNCTION("""COMPUTED_VALUE"""),"PKM KI")</f>
        <v>PKM KI</v>
      </c>
      <c r="C145" s="1" t="str">
        <f ca="1">IFERROR(__xludf.DUMMYFUNCTION("""COMPUTED_VALUE"""),"Ide menarik sayang penyelesaianya kurang bagus.
Objek utamanya berupa penukaran tiket, tetapi tidak tergambar bagaimana mekanismenya.
Cerita yang ada hanya Reverse Vending Machine untuk barang bekas.
Rancangan mekanik dan elektronik meragukan.
Metode Pela"&amp;"ksanaan (perlu revisi)
Produk utama untuk Tiket Transportasi")</f>
        <v>Ide menarik sayang penyelesaianya kurang bagus.
Objek utamanya berupa penukaran tiket, tetapi tidak tergambar bagaimana mekanismenya.
Cerita yang ada hanya Reverse Vending Machine untuk barang bekas.
Rancangan mekanik dan elektronik meragukan.
Metode Pelaksanaan (perlu revisi)
Produk utama untuk Tiket Transportasi</v>
      </c>
      <c r="D145" s="1" t="str">
        <f ca="1">IFERROR(__xludf.DUMMYFUNCTION("""COMPUTED_VALUE"""),"LAYAK UPLOAD KE SIMBELMAWA DENGAN REVISI")</f>
        <v>LAYAK UPLOAD KE SIMBELMAWA DENGAN REVISI</v>
      </c>
      <c r="E145" s="7" t="str">
        <f ca="1">IFERROR(__xludf.DUMMYFUNCTION("""COMPUTED_VALUE"""),"https://drive.google.com/open?id=1R5sGWSRiG8vF4dBESB1v8hIwER5NmeL7")</f>
        <v>https://drive.google.com/open?id=1R5sGWSRiG8vF4dBESB1v8hIwER5NmeL7</v>
      </c>
      <c r="F145" s="1">
        <f t="shared" ca="1" si="0"/>
        <v>0</v>
      </c>
      <c r="H145" s="4"/>
      <c r="I145" s="4"/>
      <c r="J145" s="4"/>
      <c r="K145" s="4"/>
      <c r="L145" s="4"/>
    </row>
    <row r="146" spans="1:12">
      <c r="A146" s="1">
        <f ca="1">IFERROR(__xludf.DUMMYFUNCTION("""COMPUTED_VALUE"""),2038)</f>
        <v>2038</v>
      </c>
      <c r="B146" s="1" t="str">
        <f ca="1">IFERROR(__xludf.DUMMYFUNCTION("""COMPUTED_VALUE"""),"PKM KI")</f>
        <v>PKM KI</v>
      </c>
      <c r="C146" s="1" t="str">
        <f ca="1">IFERROR(__xludf.DUMMYFUNCTION("""COMPUTED_VALUE"""),"Kemanfaatan porang secara ekonomi belum nampak.
Alur kerja dari alat perlu diperjelas
Jadwal perlu direvisi
Revisi pustaka yang disebut di sitasi")</f>
        <v>Kemanfaatan porang secara ekonomi belum nampak.
Alur kerja dari alat perlu diperjelas
Jadwal perlu direvisi
Revisi pustaka yang disebut di sitasi</v>
      </c>
      <c r="D146" s="1" t="str">
        <f ca="1">IFERROR(__xludf.DUMMYFUNCTION("""COMPUTED_VALUE"""),"LAYAK UPLOAD KE SIMBELMAWA DENGAN REVISI")</f>
        <v>LAYAK UPLOAD KE SIMBELMAWA DENGAN REVISI</v>
      </c>
      <c r="E146" s="7" t="str">
        <f ca="1">IFERROR(__xludf.DUMMYFUNCTION("""COMPUTED_VALUE"""),"https://drive.google.com/open?id=1fUa71RveKt0ueTROxn4Px7mmIrgdV1Bo")</f>
        <v>https://drive.google.com/open?id=1fUa71RveKt0ueTROxn4Px7mmIrgdV1Bo</v>
      </c>
      <c r="F146" s="1">
        <f t="shared" ca="1" si="0"/>
        <v>0</v>
      </c>
      <c r="H146" s="4"/>
      <c r="I146" s="4"/>
      <c r="J146" s="4"/>
      <c r="K146" s="4"/>
      <c r="L146" s="4"/>
    </row>
    <row r="147" spans="1:12">
      <c r="A147" s="1">
        <f ca="1">IFERROR(__xludf.DUMMYFUNCTION("""COMPUTED_VALUE"""),3660)</f>
        <v>3660</v>
      </c>
      <c r="B147" s="1" t="str">
        <f ca="1">IFERROR(__xludf.DUMMYFUNCTION("""COMPUTED_VALUE"""),"PKM KI")</f>
        <v>PKM KI</v>
      </c>
      <c r="C147" s="1" t="str">
        <f ca="1">IFERROR(__xludf.DUMMYFUNCTION("""COMPUTED_VALUE"""),"Format Margin
Rancangan Elektronik aneh:
Ada Raspberry Pi ada Arduino, dimana peran mereka masing2.
Anggaran biaya tidak standar
Perlu Revisi sesuai Pedoman")</f>
        <v>Format Margin
Rancangan Elektronik aneh:
Ada Raspberry Pi ada Arduino, dimana peran mereka masing2.
Anggaran biaya tidak standar
Perlu Revisi sesuai Pedoman</v>
      </c>
      <c r="D147" s="1" t="str">
        <f ca="1">IFERROR(__xludf.DUMMYFUNCTION("""COMPUTED_VALUE"""),"LAYAK UPLOAD KE SIMBELMAWA DENGAN REVISI")</f>
        <v>LAYAK UPLOAD KE SIMBELMAWA DENGAN REVISI</v>
      </c>
      <c r="E147" s="7" t="str">
        <f ca="1">IFERROR(__xludf.DUMMYFUNCTION("""COMPUTED_VALUE"""),"https://drive.google.com/open?id=1OIRLvpvWWOIWZ0Eq6A_wQfjQhoyuNOGi")</f>
        <v>https://drive.google.com/open?id=1OIRLvpvWWOIWZ0Eq6A_wQfjQhoyuNOGi</v>
      </c>
      <c r="F147" s="1">
        <f t="shared" ca="1" si="0"/>
        <v>0</v>
      </c>
      <c r="H147" s="4"/>
      <c r="I147" s="4"/>
      <c r="J147" s="4"/>
      <c r="K147" s="4"/>
      <c r="L147" s="4"/>
    </row>
    <row r="148" spans="1:12">
      <c r="A148" s="1">
        <f ca="1">IFERROR(__xludf.DUMMYFUNCTION("""COMPUTED_VALUE"""),3393)</f>
        <v>3393</v>
      </c>
      <c r="B148" s="1" t="str">
        <f ca="1">IFERROR(__xludf.DUMMYFUNCTION("""COMPUTED_VALUE"""),"PKM KI")</f>
        <v>PKM KI</v>
      </c>
      <c r="C148" s="1" t="str">
        <f ca="1">IFERROR(__xludf.DUMMYFUNCTION("""COMPUTED_VALUE"""),"Tidak ada file yang dilihat!")</f>
        <v>Tidak ada file yang dilihat!</v>
      </c>
      <c r="D148" s="1" t="str">
        <f ca="1">IFERROR(__xludf.DUMMYFUNCTION("""COMPUTED_VALUE"""),"TIDAK LAYAK UPLOAD KE SIMBELMAWA")</f>
        <v>TIDAK LAYAK UPLOAD KE SIMBELMAWA</v>
      </c>
      <c r="E148" s="1"/>
      <c r="F148" s="1">
        <f t="shared" ca="1" si="0"/>
        <v>0</v>
      </c>
      <c r="H148" s="4"/>
      <c r="I148" s="4"/>
      <c r="J148" s="4"/>
      <c r="K148" s="4"/>
      <c r="L148" s="4"/>
    </row>
    <row r="149" spans="1:12">
      <c r="A149" s="1">
        <f ca="1">IFERROR(__xludf.DUMMYFUNCTION("""COMPUTED_VALUE"""),2607)</f>
        <v>2607</v>
      </c>
      <c r="B149" s="1" t="str">
        <f ca="1">IFERROR(__xludf.DUMMYFUNCTION("""COMPUTED_VALUE"""),"PKM KI")</f>
        <v>PKM KI</v>
      </c>
      <c r="C149" s="1" t="str">
        <f ca="1">IFERROR(__xludf.DUMMYFUNCTION("""COMPUTED_VALUE"""),"Tahap pelaksanaan harusnya langsung kearah mesin double jacket.
Tabel pendanaan BELUM ada
Tabel kegiatan disinkronkan dengan metode pelaksanaan.
Rancangan komponen elektronik perlu diperjelas 
Sebaiknya tidak diperlukan PLC cukup VSD saja cukup")</f>
        <v>Tahap pelaksanaan harusnya langsung kearah mesin double jacket.
Tabel pendanaan BELUM ada
Tabel kegiatan disinkronkan dengan metode pelaksanaan.
Rancangan komponen elektronik perlu diperjelas 
Sebaiknya tidak diperlukan PLC cukup VSD saja cukup</v>
      </c>
      <c r="D149" s="1" t="str">
        <f ca="1">IFERROR(__xludf.DUMMYFUNCTION("""COMPUTED_VALUE"""),"LAYAK UPLOAD KE SIMBELMAWA DENGAN REVISI")</f>
        <v>LAYAK UPLOAD KE SIMBELMAWA DENGAN REVISI</v>
      </c>
      <c r="E149" s="7" t="str">
        <f ca="1">IFERROR(__xludf.DUMMYFUNCTION("""COMPUTED_VALUE"""),"https://drive.google.com/open?id=1CUrkesELD49YG_0GlHUgBdxIAp9VVuwT")</f>
        <v>https://drive.google.com/open?id=1CUrkesELD49YG_0GlHUgBdxIAp9VVuwT</v>
      </c>
      <c r="F149" s="1">
        <f t="shared" ca="1" si="0"/>
        <v>0</v>
      </c>
      <c r="H149" s="4"/>
      <c r="I149" s="4"/>
      <c r="J149" s="4"/>
      <c r="K149" s="4"/>
      <c r="L149" s="4"/>
    </row>
    <row r="150" spans="1:12">
      <c r="A150" s="1">
        <f ca="1">IFERROR(__xludf.DUMMYFUNCTION("""COMPUTED_VALUE"""),3499)</f>
        <v>3499</v>
      </c>
      <c r="B150" s="1" t="str">
        <f ca="1">IFERROR(__xludf.DUMMYFUNCTION("""COMPUTED_VALUE"""),"PKM KI")</f>
        <v>PKM KI</v>
      </c>
      <c r="C150" s="1" t="str">
        <f ca="1">IFERROR(__xludf.DUMMYFUNCTION("""COMPUTED_VALUE"""),"Memang TIDAK PERLU Daftar Isi?
Pendahuluan TIDAK ada Sitasi?
Ada sitasi yang belum ditulis di PUSTAKA
Metode Pelaksanaan:
Sepertinya ide masih angan2, kurang sesuai di PKM KI
Hanya berupa konsep, penggunaan teknologi 1 banding satu tidak nampak.")</f>
        <v>Memang TIDAK PERLU Daftar Isi?
Pendahuluan TIDAK ada Sitasi?
Ada sitasi yang belum ditulis di PUSTAKA
Metode Pelaksanaan:
Sepertinya ide masih angan2, kurang sesuai di PKM KI
Hanya berupa konsep, penggunaan teknologi 1 banding satu tidak nampak.</v>
      </c>
      <c r="D150" s="1" t="str">
        <f ca="1">IFERROR(__xludf.DUMMYFUNCTION("""COMPUTED_VALUE"""),"TIDAK LAYAK UPLOAD KE SIMBELMAWA")</f>
        <v>TIDAK LAYAK UPLOAD KE SIMBELMAWA</v>
      </c>
      <c r="E150" s="7" t="str">
        <f ca="1">IFERROR(__xludf.DUMMYFUNCTION("""COMPUTED_VALUE"""),"https://drive.google.com/open?id=1sWWEpf2rNGN_WMLgbTeoHOJ3pTafx-p3")</f>
        <v>https://drive.google.com/open?id=1sWWEpf2rNGN_WMLgbTeoHOJ3pTafx-p3</v>
      </c>
      <c r="F150" s="1">
        <f t="shared" ca="1" si="0"/>
        <v>0</v>
      </c>
      <c r="H150" s="4"/>
      <c r="I150" s="4"/>
      <c r="J150" s="4"/>
      <c r="K150" s="4"/>
      <c r="L150" s="4"/>
    </row>
    <row r="151" spans="1:12">
      <c r="A151" s="1">
        <f ca="1">IFERROR(__xludf.DUMMYFUNCTION("""COMPUTED_VALUE"""),3794)</f>
        <v>3794</v>
      </c>
      <c r="B151" s="1" t="str">
        <f ca="1">IFERROR(__xludf.DUMMYFUNCTION("""COMPUTED_VALUE"""),"PKM KI")</f>
        <v>PKM KI</v>
      </c>
      <c r="C151" s="1" t="str">
        <f ca="1">IFERROR(__xludf.DUMMYFUNCTION("""COMPUTED_VALUE"""),"Spasi
Margin
SItasi tidak tergambar di Pustaka
Jadwal kegiatan dan Metode pelaksanaan TIDAK SINKRON
Metode pelaksanaan tidak jelas pelaksanaannya
DIsain mekanik Tidak mengacu dari literatur, terkesan disain yang coba2.
Karena gambar menggunakan komponen y"&amp;"ang tidak standar.
Peran PLC sebagai perangkat canggih tidak tergambar jelas.
Tanpa menggunakan PLC bisa dilaksanakan kegiatan PKM KI ini.")</f>
        <v>Spasi
Margin
SItasi tidak tergambar di Pustaka
Jadwal kegiatan dan Metode pelaksanaan TIDAK SINKRON
Metode pelaksanaan tidak jelas pelaksanaannya
DIsain mekanik Tidak mengacu dari literatur, terkesan disain yang coba2.
Karena gambar menggunakan komponen yang tidak standar.
Peran PLC sebagai perangkat canggih tidak tergambar jelas.
Tanpa menggunakan PLC bisa dilaksanakan kegiatan PKM KI ini.</v>
      </c>
      <c r="D151" s="1" t="str">
        <f ca="1">IFERROR(__xludf.DUMMYFUNCTION("""COMPUTED_VALUE"""),"TIDAK LAYAK UPLOAD KE SIMBELMAWA")</f>
        <v>TIDAK LAYAK UPLOAD KE SIMBELMAWA</v>
      </c>
      <c r="E151" s="7" t="str">
        <f ca="1">IFERROR(__xludf.DUMMYFUNCTION("""COMPUTED_VALUE"""),"https://drive.google.com/open?id=1MeCxscLqamC5K4VxAwLwa3GjkyRfep7h")</f>
        <v>https://drive.google.com/open?id=1MeCxscLqamC5K4VxAwLwa3GjkyRfep7h</v>
      </c>
      <c r="F151" s="1">
        <f t="shared" ca="1" si="0"/>
        <v>0</v>
      </c>
      <c r="H151" s="4"/>
      <c r="I151" s="4"/>
      <c r="J151" s="4"/>
      <c r="K151" s="4"/>
      <c r="L151" s="4"/>
    </row>
    <row r="152" spans="1:12">
      <c r="A152" s="1">
        <f ca="1">IFERROR(__xludf.DUMMYFUNCTION("""COMPUTED_VALUE"""),2259)</f>
        <v>2259</v>
      </c>
      <c r="B152" s="1" t="str">
        <f ca="1">IFERROR(__xludf.DUMMYFUNCTION("""COMPUTED_VALUE"""),"PKM KI")</f>
        <v>PKM KI</v>
      </c>
      <c r="C152" s="1" t="str">
        <f ca="1">IFERROR(__xludf.DUMMYFUNCTION("""COMPUTED_VALUE"""),"Pendahuluan miskin cerita Pentingnya teknologi pemuat mie
Teknologi saat ini bagaimana sehingga perlu pembuatan mie
Metode pelaksanaan tidak jelas (hanya cerita komponen elektronik)
Rancangan mekanik dan elektronik meragukan, karena tidak ada penjelasan.
"&amp;"Di pembelanjaan material ternyata membeli mesin pembuat mie, dirancangan alat ada gambar konveyor?")</f>
        <v>Pendahuluan miskin cerita Pentingnya teknologi pemuat mie
Teknologi saat ini bagaimana sehingga perlu pembuatan mie
Metode pelaksanaan tidak jelas (hanya cerita komponen elektronik)
Rancangan mekanik dan elektronik meragukan, karena tidak ada penjelasan.
Di pembelanjaan material ternyata membeli mesin pembuat mie, dirancangan alat ada gambar konveyor?</v>
      </c>
      <c r="D152" s="1" t="str">
        <f ca="1">IFERROR(__xludf.DUMMYFUNCTION("""COMPUTED_VALUE"""),"TIDAK LAYAK UPLOAD KE SIMBELMAWA")</f>
        <v>TIDAK LAYAK UPLOAD KE SIMBELMAWA</v>
      </c>
      <c r="E152" s="1"/>
      <c r="F152" s="1">
        <f t="shared" ca="1" si="0"/>
        <v>0</v>
      </c>
      <c r="H152" s="4"/>
      <c r="I152" s="4"/>
      <c r="J152" s="4"/>
      <c r="K152" s="4"/>
      <c r="L152" s="4"/>
    </row>
    <row r="153" spans="1:12">
      <c r="A153" s="1">
        <f ca="1">IFERROR(__xludf.DUMMYFUNCTION("""COMPUTED_VALUE"""),2768)</f>
        <v>2768</v>
      </c>
      <c r="B153" s="1" t="str">
        <f ca="1">IFERROR(__xludf.DUMMYFUNCTION("""COMPUTED_VALUE"""),"PKM KI")</f>
        <v>PKM KI</v>
      </c>
      <c r="C153" s="1" t="str">
        <f ca="1">IFERROR(__xludf.DUMMYFUNCTION("""COMPUTED_VALUE"""),"Tujuan: (Revisi)
Harusnya membuat produk bukan pengujian (seperti riset)
Luaran sesusikan dengan standar
Metode Pelaksanaan (perlu revisi)
Langsung eksekusi dari program
Perlu disesuaikan dengan jadwal
Jadwal yang dibuat tidak sinkron dengan Metode Pelaks"&amp;"anaan.
Perlu kejelasan rancangan elektronik.
")</f>
        <v xml:space="preserve">Tujuan: (Revisi)
Harusnya membuat produk bukan pengujian (seperti riset)
Luaran sesusikan dengan standar
Metode Pelaksanaan (perlu revisi)
Langsung eksekusi dari program
Perlu disesuaikan dengan jadwal
Jadwal yang dibuat tidak sinkron dengan Metode Pelaksanaan.
Perlu kejelasan rancangan elektronik.
</v>
      </c>
      <c r="D153" s="1" t="str">
        <f ca="1">IFERROR(__xludf.DUMMYFUNCTION("""COMPUTED_VALUE"""),"LAYAK UPLOAD KE SIMBELMAWA DENGAN REVISI")</f>
        <v>LAYAK UPLOAD KE SIMBELMAWA DENGAN REVISI</v>
      </c>
      <c r="E153" s="7" t="str">
        <f ca="1">IFERROR(__xludf.DUMMYFUNCTION("""COMPUTED_VALUE"""),"https://drive.google.com/open?id=1DiRcJTLrunJUL6oQStWhJovSYZMTI_aw")</f>
        <v>https://drive.google.com/open?id=1DiRcJTLrunJUL6oQStWhJovSYZMTI_aw</v>
      </c>
      <c r="F153" s="1">
        <f t="shared" ca="1" si="0"/>
        <v>0</v>
      </c>
      <c r="H153" s="4"/>
      <c r="I153" s="4"/>
      <c r="J153" s="4"/>
      <c r="K153" s="4"/>
      <c r="L153" s="4"/>
    </row>
    <row r="154" spans="1:12">
      <c r="A154" s="1">
        <f ca="1">IFERROR(__xludf.DUMMYFUNCTION("""COMPUTED_VALUE"""),3406)</f>
        <v>3406</v>
      </c>
      <c r="B154" s="1" t="str">
        <f ca="1">IFERROR(__xludf.DUMMYFUNCTION("""COMPUTED_VALUE"""),"PKM KI")</f>
        <v>PKM KI</v>
      </c>
      <c r="C154" s="1" t="str">
        <f ca="1">IFERROR(__xludf.DUMMYFUNCTION("""COMPUTED_VALUE"""),"Tapi ide yang menarik untuk dicari solusinya.
Format Margin
Pendahuluan
Tidak ada cerita urgensinya air rumahan untuk budidaya kolam.
Tidak ada literatur yang mendukung.
Luaran perlu disesuaikan dengan Pedoman
Metode Pelaksanaan: (perlu revisi)
Sayang sep"&amp;"ertinya kurang mantap dalam pelaksanaan.
Rancangan elektroniknya aneh, Arduino tidak mampu bekerja 24 jam.
Komponen yang digunakan harus yang berstandar (SNI,ISO dll)
Daftar Pustaka:
Perlu literatur terkait dengan penjerniahan air.")</f>
        <v>Tapi ide yang menarik untuk dicari solusinya.
Format Margin
Pendahuluan
Tidak ada cerita urgensinya air rumahan untuk budidaya kolam.
Tidak ada literatur yang mendukung.
Luaran perlu disesuaikan dengan Pedoman
Metode Pelaksanaan: (perlu revisi)
Sayang sepertinya kurang mantap dalam pelaksanaan.
Rancangan elektroniknya aneh, Arduino tidak mampu bekerja 24 jam.
Komponen yang digunakan harus yang berstandar (SNI,ISO dll)
Daftar Pustaka:
Perlu literatur terkait dengan penjerniahan air.</v>
      </c>
      <c r="D154" s="1" t="str">
        <f ca="1">IFERROR(__xludf.DUMMYFUNCTION("""COMPUTED_VALUE"""),"LAYAK UPLOAD KE SIMBELMAWA DENGAN REVISI")</f>
        <v>LAYAK UPLOAD KE SIMBELMAWA DENGAN REVISI</v>
      </c>
      <c r="E154" s="7" t="str">
        <f ca="1">IFERROR(__xludf.DUMMYFUNCTION("""COMPUTED_VALUE"""),"https://drive.google.com/open?id=1ZtV8oPqLceW349ep7xAOqzBdzNSj44Vt")</f>
        <v>https://drive.google.com/open?id=1ZtV8oPqLceW349ep7xAOqzBdzNSj44Vt</v>
      </c>
      <c r="F154" s="1">
        <f t="shared" ca="1" si="0"/>
        <v>0</v>
      </c>
      <c r="H154" s="4"/>
      <c r="I154" s="4"/>
      <c r="J154" s="4"/>
      <c r="K154" s="4"/>
      <c r="L154" s="4"/>
    </row>
    <row r="155" spans="1:12">
      <c r="A155" s="1">
        <f ca="1">IFERROR(__xludf.DUMMYFUNCTION("""COMPUTED_VALUE"""),2115)</f>
        <v>2115</v>
      </c>
      <c r="B155" s="1" t="str">
        <f ca="1">IFERROR(__xludf.DUMMYFUNCTION("""COMPUTED_VALUE"""),"PKM KI")</f>
        <v>PKM KI</v>
      </c>
      <c r="C155" s="1" t="str">
        <f ca="1">IFERROR(__xludf.DUMMYFUNCTION("""COMPUTED_VALUE"""),"Pendahuluan :
Miskin akan sitasi. Apa benar bahwa pernyataan yang disampaikan?
Bagaimana software sejenis yang ada di PlatStore?
Luaran tidak sesuai pedoman
Margin
Metode pelaksanaan KUrang jelas!
Anggaran Biaya
Jadwal pelaksanaan TIDAK MASUK akal
Selama "&amp;"PKM selalu STudi Pustaka")</f>
        <v>Pendahuluan :
Miskin akan sitasi. Apa benar bahwa pernyataan yang disampaikan?
Bagaimana software sejenis yang ada di PlatStore?
Luaran tidak sesuai pedoman
Margin
Metode pelaksanaan KUrang jelas!
Anggaran Biaya
Jadwal pelaksanaan TIDAK MASUK akal
Selama PKM selalu STudi Pustaka</v>
      </c>
      <c r="D155" s="1" t="str">
        <f ca="1">IFERROR(__xludf.DUMMYFUNCTION("""COMPUTED_VALUE"""),"TIDAK LAYAK UPLOAD KE SIMBELMAWA")</f>
        <v>TIDAK LAYAK UPLOAD KE SIMBELMAWA</v>
      </c>
      <c r="E155" s="7" t="str">
        <f ca="1">IFERROR(__xludf.DUMMYFUNCTION("""COMPUTED_VALUE"""),"https://drive.google.com/open?id=180YhhyPRYGinP5AWi3yjrQbljIOorWaI")</f>
        <v>https://drive.google.com/open?id=180YhhyPRYGinP5AWi3yjrQbljIOorWaI</v>
      </c>
      <c r="F155" s="1">
        <f t="shared" ca="1" si="0"/>
        <v>0</v>
      </c>
      <c r="H155" s="4"/>
      <c r="I155" s="4"/>
      <c r="J155" s="4"/>
      <c r="K155" s="4"/>
      <c r="L155" s="4"/>
    </row>
    <row r="156" spans="1:12">
      <c r="A156" s="1">
        <f ca="1">IFERROR(__xludf.DUMMYFUNCTION("""COMPUTED_VALUE"""),2419)</f>
        <v>2419</v>
      </c>
      <c r="B156" s="1" t="str">
        <f ca="1">IFERROR(__xludf.DUMMYFUNCTION("""COMPUTED_VALUE"""),"PKM KI")</f>
        <v>PKM KI</v>
      </c>
      <c r="C156" s="1" t="str">
        <f ca="1">IFERROR(__xludf.DUMMYFUNCTION("""COMPUTED_VALUE"""),"Perkuat kreativitas, perdalam urgensi pengusulan gagasan")</f>
        <v>Perkuat kreativitas, perdalam urgensi pengusulan gagasan</v>
      </c>
      <c r="D156" s="1"/>
      <c r="E156" s="7" t="str">
        <f ca="1">IFERROR(__xludf.DUMMYFUNCTION("""COMPUTED_VALUE"""),"https://drive.google.com/open?id=1lM-KN80ew3jR2awIgUs8qVQb-aH3BmVN")</f>
        <v>https://drive.google.com/open?id=1lM-KN80ew3jR2awIgUs8qVQb-aH3BmVN</v>
      </c>
      <c r="F156" s="1">
        <f t="shared" ca="1" si="0"/>
        <v>0</v>
      </c>
      <c r="H156" s="4"/>
      <c r="I156" s="4"/>
      <c r="J156" s="4"/>
      <c r="K156" s="4"/>
      <c r="L156" s="4"/>
    </row>
    <row r="157" spans="1:12">
      <c r="A157" s="1">
        <f ca="1">IFERROR(__xludf.DUMMYFUNCTION("""COMPUTED_VALUE"""),3172)</f>
        <v>3172</v>
      </c>
      <c r="B157" s="1" t="str">
        <f ca="1">IFERROR(__xludf.DUMMYFUNCTION("""COMPUTED_VALUE"""),"PKM KI")</f>
        <v>PKM KI</v>
      </c>
      <c r="C157" s="1" t="str">
        <f ca="1">IFERROR(__xludf.DUMMYFUNCTION("""COMPUTED_VALUE""")," ")</f>
        <v xml:space="preserve"> </v>
      </c>
      <c r="D157" s="1" t="str">
        <f ca="1">IFERROR(__xludf.DUMMYFUNCTION("""COMPUTED_VALUE""")," ")</f>
        <v xml:space="preserve"> </v>
      </c>
      <c r="E157" s="1"/>
      <c r="F157" s="1">
        <f t="shared" ca="1" si="0"/>
        <v>2</v>
      </c>
      <c r="H157" s="4"/>
      <c r="I157" s="4"/>
      <c r="J157" s="4"/>
      <c r="K157" s="4"/>
      <c r="L157" s="4"/>
    </row>
    <row r="158" spans="1:12">
      <c r="A158" s="1">
        <f ca="1">IFERROR(__xludf.DUMMYFUNCTION("""COMPUTED_VALUE"""),3304)</f>
        <v>3304</v>
      </c>
      <c r="B158" s="1" t="str">
        <f ca="1">IFERROR(__xludf.DUMMYFUNCTION("""COMPUTED_VALUE"""),"PKM KI")</f>
        <v>PKM KI</v>
      </c>
      <c r="C158" s="1" t="str">
        <f ca="1">IFERROR(__xludf.DUMMYFUNCTION("""COMPUTED_VALUE""")," ")</f>
        <v xml:space="preserve"> </v>
      </c>
      <c r="D158" s="1" t="str">
        <f ca="1">IFERROR(__xludf.DUMMYFUNCTION("""COMPUTED_VALUE""")," ")</f>
        <v xml:space="preserve"> </v>
      </c>
      <c r="E158" s="1"/>
      <c r="F158" s="1">
        <f t="shared" ca="1" si="0"/>
        <v>2</v>
      </c>
      <c r="H158" s="4"/>
      <c r="I158" s="4"/>
      <c r="J158" s="4"/>
      <c r="K158" s="4"/>
      <c r="L158" s="4"/>
    </row>
    <row r="159" spans="1:12">
      <c r="A159" s="1">
        <f ca="1">IFERROR(__xludf.DUMMYFUNCTION("""COMPUTED_VALUE"""),2231)</f>
        <v>2231</v>
      </c>
      <c r="B159" s="1" t="str">
        <f ca="1">IFERROR(__xludf.DUMMYFUNCTION("""COMPUTED_VALUE"""),"PKM KI")</f>
        <v>PKM KI</v>
      </c>
      <c r="C159" s="1" t="str">
        <f ca="1">IFERROR(__xludf.DUMMYFUNCTION("""COMPUTED_VALUE""")," ")</f>
        <v xml:space="preserve"> </v>
      </c>
      <c r="D159" s="1" t="str">
        <f ca="1">IFERROR(__xludf.DUMMYFUNCTION("""COMPUTED_VALUE""")," ")</f>
        <v xml:space="preserve"> </v>
      </c>
      <c r="E159" s="1"/>
      <c r="F159" s="1">
        <f t="shared" ca="1" si="0"/>
        <v>2</v>
      </c>
      <c r="H159" s="4"/>
      <c r="I159" s="4"/>
      <c r="J159" s="4"/>
      <c r="K159" s="4"/>
      <c r="L159" s="4"/>
    </row>
    <row r="160" spans="1:12">
      <c r="A160" s="1">
        <f ca="1">IFERROR(__xludf.DUMMYFUNCTION("""COMPUTED_VALUE"""),3649)</f>
        <v>3649</v>
      </c>
      <c r="B160" s="1" t="str">
        <f ca="1">IFERROR(__xludf.DUMMYFUNCTION("""COMPUTED_VALUE"""),"PKM KI")</f>
        <v>PKM KI</v>
      </c>
      <c r="C160" s="1" t="str">
        <f ca="1">IFERROR(__xludf.DUMMYFUNCTION("""COMPUTED_VALUE"""),"anggaran dana dan rincian anggaran dana perlu diperbaiki terutama ada larangan2 yg masih dilanggar dalam dana. instutusi lain blm dimasukkan meski nol ")</f>
        <v xml:space="preserve">anggaran dana dan rincian anggaran dana perlu diperbaiki terutama ada larangan2 yg masih dilanggar dalam dana. instutusi lain blm dimasukkan meski nol </v>
      </c>
      <c r="D160" s="1" t="str">
        <f ca="1">IFERROR(__xludf.DUMMYFUNCTION("""COMPUTED_VALUE"""),"LAYAK UPLOAD KE SIMBELMAWA DENGAN REVISI")</f>
        <v>LAYAK UPLOAD KE SIMBELMAWA DENGAN REVISI</v>
      </c>
      <c r="E160" s="7" t="str">
        <f ca="1">IFERROR(__xludf.DUMMYFUNCTION("""COMPUTED_VALUE"""),"https://drive.google.com/open?id=1OsWYj53nwZxdewPnCD0fzqKb4F3IECZn")</f>
        <v>https://drive.google.com/open?id=1OsWYj53nwZxdewPnCD0fzqKb4F3IECZn</v>
      </c>
      <c r="F160" s="1">
        <f t="shared" ca="1" si="0"/>
        <v>0</v>
      </c>
      <c r="H160" s="4"/>
      <c r="I160" s="4"/>
      <c r="J160" s="4"/>
      <c r="K160" s="4"/>
      <c r="L160" s="4"/>
    </row>
    <row r="161" spans="1:12">
      <c r="A161" s="1">
        <f ca="1">IFERROR(__xludf.DUMMYFUNCTION("""COMPUTED_VALUE"""),4106)</f>
        <v>4106</v>
      </c>
      <c r="B161" s="1" t="str">
        <f ca="1">IFERROR(__xludf.DUMMYFUNCTION("""COMPUTED_VALUE"""),"PKM KI")</f>
        <v>PKM KI</v>
      </c>
      <c r="C161" s="1" t="str">
        <f ca="1">IFERROR(__xludf.DUMMYFUNCTION("""COMPUTED_VALUE"""),"tidak layak, kacau. sudah saya suruh benerin tapi pancet. dari segi teknologi jg ga masuk komponen2nya")</f>
        <v>tidak layak, kacau. sudah saya suruh benerin tapi pancet. dari segi teknologi jg ga masuk komponen2nya</v>
      </c>
      <c r="D161" s="1" t="str">
        <f ca="1">IFERROR(__xludf.DUMMYFUNCTION("""COMPUTED_VALUE"""),"TIDAK LAYAK UPLOAD KE SIMBELMAWA")</f>
        <v>TIDAK LAYAK UPLOAD KE SIMBELMAWA</v>
      </c>
      <c r="E161" s="7" t="str">
        <f ca="1">IFERROR(__xludf.DUMMYFUNCTION("""COMPUTED_VALUE"""),"https://drive.google.com/open?id=1s-Ls1uhAS__l9eDfYW5G5STECRAzDZPQ")</f>
        <v>https://drive.google.com/open?id=1s-Ls1uhAS__l9eDfYW5G5STECRAzDZPQ</v>
      </c>
      <c r="F161" s="1">
        <f t="shared" ca="1" si="0"/>
        <v>0</v>
      </c>
      <c r="H161" s="4"/>
      <c r="I161" s="4"/>
      <c r="J161" s="4"/>
      <c r="K161" s="4"/>
      <c r="L161" s="4"/>
    </row>
    <row r="162" spans="1:12">
      <c r="A162" s="1"/>
      <c r="B162" s="1" t="str">
        <f ca="1">IFERROR(__xludf.DUMMYFUNCTION("""COMPUTED_VALUE""")," ")</f>
        <v xml:space="preserve"> </v>
      </c>
      <c r="C162" s="1" t="str">
        <f ca="1">IFERROR(__xludf.DUMMYFUNCTION("""COMPUTED_VALUE"""),"FALSE")</f>
        <v>FALSE</v>
      </c>
      <c r="D162" s="1" t="str">
        <f ca="1">IFERROR(__xludf.DUMMYFUNCTION("""COMPUTED_VALUE""")," ")</f>
        <v xml:space="preserve"> </v>
      </c>
      <c r="E162" s="1"/>
      <c r="F162" s="1">
        <f t="shared" ca="1" si="0"/>
        <v>0</v>
      </c>
      <c r="H162" s="4"/>
      <c r="I162" s="4"/>
      <c r="J162" s="4"/>
      <c r="K162" s="4"/>
      <c r="L162" s="4"/>
    </row>
    <row r="163" spans="1:12">
      <c r="A163" s="1"/>
      <c r="B163" s="1" t="str">
        <f ca="1">IFERROR(__xludf.DUMMYFUNCTION("""COMPUTED_VALUE""")," ")</f>
        <v xml:space="preserve"> </v>
      </c>
      <c r="C163" s="1" t="str">
        <f ca="1">IFERROR(__xludf.DUMMYFUNCTION("""COMPUTED_VALUE"""),"FALSE")</f>
        <v>FALSE</v>
      </c>
      <c r="D163" s="1" t="str">
        <f ca="1">IFERROR(__xludf.DUMMYFUNCTION("""COMPUTED_VALUE""")," ")</f>
        <v xml:space="preserve"> </v>
      </c>
      <c r="E163" s="1"/>
      <c r="F163" s="1">
        <f t="shared" ca="1" si="0"/>
        <v>0</v>
      </c>
      <c r="H163" s="4"/>
      <c r="I163" s="4"/>
      <c r="J163" s="4"/>
      <c r="K163" s="4"/>
      <c r="L163" s="4"/>
    </row>
    <row r="164" spans="1:12">
      <c r="A164" s="1"/>
      <c r="B164" s="1" t="str">
        <f ca="1">IFERROR(__xludf.DUMMYFUNCTION("""COMPUTED_VALUE""")," ")</f>
        <v xml:space="preserve"> </v>
      </c>
      <c r="C164" s="1" t="str">
        <f ca="1">IFERROR(__xludf.DUMMYFUNCTION("""COMPUTED_VALUE"""),"FALSE")</f>
        <v>FALSE</v>
      </c>
      <c r="D164" s="1" t="str">
        <f ca="1">IFERROR(__xludf.DUMMYFUNCTION("""COMPUTED_VALUE""")," ")</f>
        <v xml:space="preserve"> </v>
      </c>
      <c r="E164" s="1"/>
      <c r="F164" s="1">
        <f t="shared" ca="1" si="0"/>
        <v>0</v>
      </c>
      <c r="H164" s="4"/>
      <c r="I164" s="4"/>
      <c r="J164" s="4"/>
      <c r="K164" s="4"/>
      <c r="L164" s="4"/>
    </row>
    <row r="165" spans="1:12">
      <c r="A165" s="1"/>
      <c r="B165" s="1" t="str">
        <f ca="1">IFERROR(__xludf.DUMMYFUNCTION("""COMPUTED_VALUE""")," ")</f>
        <v xml:space="preserve"> </v>
      </c>
      <c r="C165" s="1" t="str">
        <f ca="1">IFERROR(__xludf.DUMMYFUNCTION("""COMPUTED_VALUE"""),"FALSE")</f>
        <v>FALSE</v>
      </c>
      <c r="D165" s="1" t="str">
        <f ca="1">IFERROR(__xludf.DUMMYFUNCTION("""COMPUTED_VALUE""")," ")</f>
        <v xml:space="preserve"> </v>
      </c>
      <c r="E165" s="1"/>
      <c r="F165" s="1">
        <f t="shared" ca="1" si="0"/>
        <v>0</v>
      </c>
      <c r="H165" s="4"/>
      <c r="I165" s="4"/>
      <c r="J165" s="4"/>
      <c r="K165" s="4"/>
      <c r="L165" s="4"/>
    </row>
    <row r="166" spans="1:12">
      <c r="A166" s="1"/>
      <c r="B166" s="1" t="str">
        <f ca="1">IFERROR(__xludf.DUMMYFUNCTION("""COMPUTED_VALUE""")," ")</f>
        <v xml:space="preserve"> </v>
      </c>
      <c r="C166" s="1" t="str">
        <f ca="1">IFERROR(__xludf.DUMMYFUNCTION("""COMPUTED_VALUE"""),"FALSE")</f>
        <v>FALSE</v>
      </c>
      <c r="D166" s="1" t="str">
        <f ca="1">IFERROR(__xludf.DUMMYFUNCTION("""COMPUTED_VALUE""")," ")</f>
        <v xml:space="preserve"> </v>
      </c>
      <c r="E166" s="1"/>
      <c r="F166" s="1">
        <f t="shared" ca="1" si="0"/>
        <v>0</v>
      </c>
      <c r="H166" s="4"/>
      <c r="I166" s="4"/>
      <c r="J166" s="4"/>
      <c r="K166" s="4"/>
      <c r="L166" s="4"/>
    </row>
    <row r="167" spans="1:12">
      <c r="A167" s="1"/>
      <c r="B167" s="1" t="str">
        <f ca="1">IFERROR(__xludf.DUMMYFUNCTION("""COMPUTED_VALUE""")," ")</f>
        <v xml:space="preserve"> </v>
      </c>
      <c r="C167" s="1" t="str">
        <f ca="1">IFERROR(__xludf.DUMMYFUNCTION("""COMPUTED_VALUE"""),"FALSE")</f>
        <v>FALSE</v>
      </c>
      <c r="D167" s="1" t="str">
        <f ca="1">IFERROR(__xludf.DUMMYFUNCTION("""COMPUTED_VALUE""")," ")</f>
        <v xml:space="preserve"> </v>
      </c>
      <c r="E167" s="1"/>
      <c r="F167" s="1">
        <f t="shared" ca="1" si="0"/>
        <v>0</v>
      </c>
      <c r="H167" s="4"/>
      <c r="I167" s="4"/>
      <c r="J167" s="4"/>
      <c r="K167" s="4"/>
      <c r="L167" s="4"/>
    </row>
    <row r="168" spans="1:12">
      <c r="A168" s="1"/>
      <c r="B168" s="1" t="str">
        <f ca="1">IFERROR(__xludf.DUMMYFUNCTION("""COMPUTED_VALUE""")," ")</f>
        <v xml:space="preserve"> </v>
      </c>
      <c r="C168" s="1" t="str">
        <f ca="1">IFERROR(__xludf.DUMMYFUNCTION("""COMPUTED_VALUE"""),"FALSE")</f>
        <v>FALSE</v>
      </c>
      <c r="D168" s="1" t="str">
        <f ca="1">IFERROR(__xludf.DUMMYFUNCTION("""COMPUTED_VALUE""")," ")</f>
        <v xml:space="preserve"> </v>
      </c>
      <c r="E168" s="1"/>
      <c r="F168" s="1">
        <f t="shared" ca="1" si="0"/>
        <v>0</v>
      </c>
      <c r="H168" s="4"/>
      <c r="I168" s="4"/>
      <c r="J168" s="4"/>
      <c r="K168" s="4"/>
      <c r="L168" s="4"/>
    </row>
    <row r="169" spans="1:12">
      <c r="A169" s="1"/>
      <c r="B169" s="1" t="str">
        <f ca="1">IFERROR(__xludf.DUMMYFUNCTION("""COMPUTED_VALUE""")," ")</f>
        <v xml:space="preserve"> </v>
      </c>
      <c r="C169" s="1" t="str">
        <f ca="1">IFERROR(__xludf.DUMMYFUNCTION("""COMPUTED_VALUE"""),"FALSE")</f>
        <v>FALSE</v>
      </c>
      <c r="D169" s="1" t="str">
        <f ca="1">IFERROR(__xludf.DUMMYFUNCTION("""COMPUTED_VALUE""")," ")</f>
        <v xml:space="preserve"> </v>
      </c>
      <c r="E169" s="1"/>
      <c r="F169" s="1">
        <f t="shared" ca="1" si="0"/>
        <v>0</v>
      </c>
      <c r="H169" s="4"/>
      <c r="I169" s="4"/>
      <c r="J169" s="4"/>
      <c r="K169" s="4"/>
      <c r="L169" s="4"/>
    </row>
    <row r="170" spans="1:12">
      <c r="A170" s="1"/>
      <c r="B170" s="1" t="str">
        <f ca="1">IFERROR(__xludf.DUMMYFUNCTION("""COMPUTED_VALUE""")," ")</f>
        <v xml:space="preserve"> </v>
      </c>
      <c r="C170" s="1" t="str">
        <f ca="1">IFERROR(__xludf.DUMMYFUNCTION("""COMPUTED_VALUE"""),"FALSE")</f>
        <v>FALSE</v>
      </c>
      <c r="D170" s="1" t="str">
        <f ca="1">IFERROR(__xludf.DUMMYFUNCTION("""COMPUTED_VALUE""")," ")</f>
        <v xml:space="preserve"> </v>
      </c>
      <c r="E170" s="1"/>
      <c r="F170" s="1">
        <f t="shared" ca="1" si="0"/>
        <v>0</v>
      </c>
      <c r="H170" s="4"/>
      <c r="I170" s="4"/>
      <c r="J170" s="4"/>
      <c r="K170" s="4"/>
      <c r="L170" s="4"/>
    </row>
    <row r="171" spans="1:12">
      <c r="A171" s="1"/>
      <c r="B171" s="1" t="str">
        <f ca="1">IFERROR(__xludf.DUMMYFUNCTION("""COMPUTED_VALUE""")," ")</f>
        <v xml:space="preserve"> </v>
      </c>
      <c r="C171" s="1" t="str">
        <f ca="1">IFERROR(__xludf.DUMMYFUNCTION("""COMPUTED_VALUE"""),"FALSE")</f>
        <v>FALSE</v>
      </c>
      <c r="D171" s="1" t="str">
        <f ca="1">IFERROR(__xludf.DUMMYFUNCTION("""COMPUTED_VALUE""")," ")</f>
        <v xml:space="preserve"> </v>
      </c>
      <c r="E171" s="1"/>
      <c r="F171" s="1">
        <f t="shared" ca="1" si="0"/>
        <v>0</v>
      </c>
      <c r="H171" s="4"/>
      <c r="I171" s="4"/>
      <c r="J171" s="4"/>
      <c r="K171" s="4"/>
      <c r="L171" s="4"/>
    </row>
    <row r="172" spans="1:12">
      <c r="A172" s="1"/>
      <c r="B172" s="1" t="str">
        <f ca="1">IFERROR(__xludf.DUMMYFUNCTION("""COMPUTED_VALUE""")," ")</f>
        <v xml:space="preserve"> </v>
      </c>
      <c r="C172" s="1" t="str">
        <f ca="1">IFERROR(__xludf.DUMMYFUNCTION("""COMPUTED_VALUE"""),"FALSE")</f>
        <v>FALSE</v>
      </c>
      <c r="D172" s="1" t="str">
        <f ca="1">IFERROR(__xludf.DUMMYFUNCTION("""COMPUTED_VALUE""")," ")</f>
        <v xml:space="preserve"> </v>
      </c>
      <c r="E172" s="1"/>
      <c r="F172" s="1">
        <f t="shared" ca="1" si="0"/>
        <v>0</v>
      </c>
      <c r="H172" s="4"/>
      <c r="I172" s="4"/>
      <c r="J172" s="4"/>
      <c r="K172" s="4"/>
      <c r="L172" s="4"/>
    </row>
    <row r="173" spans="1:12">
      <c r="A173" s="1"/>
      <c r="B173" s="1" t="str">
        <f ca="1">IFERROR(__xludf.DUMMYFUNCTION("""COMPUTED_VALUE""")," ")</f>
        <v xml:space="preserve"> </v>
      </c>
      <c r="C173" s="1" t="str">
        <f ca="1">IFERROR(__xludf.DUMMYFUNCTION("""COMPUTED_VALUE"""),"FALSE")</f>
        <v>FALSE</v>
      </c>
      <c r="D173" s="1" t="str">
        <f ca="1">IFERROR(__xludf.DUMMYFUNCTION("""COMPUTED_VALUE""")," ")</f>
        <v xml:space="preserve"> </v>
      </c>
      <c r="E173" s="1"/>
      <c r="F173" s="1">
        <f t="shared" ca="1" si="0"/>
        <v>0</v>
      </c>
      <c r="H173" s="4"/>
      <c r="I173" s="4"/>
      <c r="J173" s="4"/>
      <c r="K173" s="4"/>
      <c r="L173" s="4"/>
    </row>
    <row r="174" spans="1:12">
      <c r="A174" s="1"/>
      <c r="B174" s="1" t="str">
        <f ca="1">IFERROR(__xludf.DUMMYFUNCTION("""COMPUTED_VALUE""")," ")</f>
        <v xml:space="preserve"> </v>
      </c>
      <c r="C174" s="1" t="str">
        <f ca="1">IFERROR(__xludf.DUMMYFUNCTION("""COMPUTED_VALUE"""),"FALSE")</f>
        <v>FALSE</v>
      </c>
      <c r="D174" s="1" t="str">
        <f ca="1">IFERROR(__xludf.DUMMYFUNCTION("""COMPUTED_VALUE""")," ")</f>
        <v xml:space="preserve"> </v>
      </c>
      <c r="E174" s="1"/>
      <c r="F174" s="1">
        <f t="shared" ca="1" si="0"/>
        <v>0</v>
      </c>
      <c r="H174" s="4"/>
      <c r="I174" s="4"/>
      <c r="J174" s="4"/>
      <c r="K174" s="4"/>
      <c r="L174" s="4"/>
    </row>
    <row r="175" spans="1:12">
      <c r="A175" s="1"/>
      <c r="B175" s="1" t="str">
        <f ca="1">IFERROR(__xludf.DUMMYFUNCTION("""COMPUTED_VALUE""")," ")</f>
        <v xml:space="preserve"> </v>
      </c>
      <c r="C175" s="1" t="str">
        <f ca="1">IFERROR(__xludf.DUMMYFUNCTION("""COMPUTED_VALUE"""),"FALSE")</f>
        <v>FALSE</v>
      </c>
      <c r="D175" s="1" t="str">
        <f ca="1">IFERROR(__xludf.DUMMYFUNCTION("""COMPUTED_VALUE""")," ")</f>
        <v xml:space="preserve"> </v>
      </c>
      <c r="E175" s="1"/>
      <c r="F175" s="1">
        <f t="shared" ca="1" si="0"/>
        <v>0</v>
      </c>
      <c r="H175" s="4"/>
      <c r="I175" s="4"/>
      <c r="J175" s="4"/>
      <c r="K175" s="4"/>
      <c r="L175" s="4"/>
    </row>
    <row r="176" spans="1:12">
      <c r="A176" s="1"/>
      <c r="B176" s="1" t="str">
        <f ca="1">IFERROR(__xludf.DUMMYFUNCTION("""COMPUTED_VALUE""")," ")</f>
        <v xml:space="preserve"> </v>
      </c>
      <c r="C176" s="1" t="str">
        <f ca="1">IFERROR(__xludf.DUMMYFUNCTION("""COMPUTED_VALUE"""),"FALSE")</f>
        <v>FALSE</v>
      </c>
      <c r="D176" s="1" t="str">
        <f ca="1">IFERROR(__xludf.DUMMYFUNCTION("""COMPUTED_VALUE""")," ")</f>
        <v xml:space="preserve"> </v>
      </c>
      <c r="E176" s="1"/>
      <c r="F176" s="1">
        <f t="shared" ca="1" si="0"/>
        <v>0</v>
      </c>
      <c r="H176" s="4"/>
      <c r="I176" s="4"/>
      <c r="J176" s="4"/>
      <c r="K176" s="4"/>
      <c r="L176" s="4"/>
    </row>
    <row r="177" spans="1:12">
      <c r="A177" s="1">
        <f ca="1">IFERROR(__xludf.DUMMYFUNCTION("""COMPUTED_VALUE"""),2796)</f>
        <v>2796</v>
      </c>
      <c r="B177" s="1" t="str">
        <f ca="1">IFERROR(__xludf.DUMMYFUNCTION("""COMPUTED_VALUE"""),"PKM K")</f>
        <v>PKM K</v>
      </c>
      <c r="C177" s="1" t="str">
        <f ca="1">IFERROR(__xludf.DUMMYFUNCTION("""COMPUTED_VALUE"""),"-")</f>
        <v>-</v>
      </c>
      <c r="D177" s="1" t="str">
        <f ca="1">IFERROR(__xludf.DUMMYFUNCTION("""COMPUTED_VALUE"""),"LAYAK UPLOAD KE SIMBELMAWA")</f>
        <v>LAYAK UPLOAD KE SIMBELMAWA</v>
      </c>
      <c r="E177" s="7" t="str">
        <f ca="1">IFERROR(__xludf.DUMMYFUNCTION("""COMPUTED_VALUE"""),"https://drive.google.com/open?id=1VXAZCuvVslYjuvQdHX4n1Vh3ISrssJ9G")</f>
        <v>https://drive.google.com/open?id=1VXAZCuvVslYjuvQdHX4n1Vh3ISrssJ9G</v>
      </c>
      <c r="F177" s="1">
        <f t="shared" ca="1" si="0"/>
        <v>0</v>
      </c>
      <c r="H177" s="4"/>
      <c r="I177" s="4"/>
      <c r="J177" s="4"/>
      <c r="K177" s="4"/>
      <c r="L177" s="4"/>
    </row>
    <row r="178" spans="1:12">
      <c r="A178" s="1">
        <f ca="1">IFERROR(__xludf.DUMMYFUNCTION("""COMPUTED_VALUE"""),3316)</f>
        <v>3316</v>
      </c>
      <c r="B178" s="1" t="str">
        <f ca="1">IFERROR(__xludf.DUMMYFUNCTION("""COMPUTED_VALUE"""),"PKM K")</f>
        <v>PKM K</v>
      </c>
      <c r="C178" s="1" t="str">
        <f ca="1">IFERROR(__xludf.DUMMYFUNCTION("""COMPUTED_VALUE""")," ")</f>
        <v xml:space="preserve"> </v>
      </c>
      <c r="D178" s="1" t="str">
        <f ca="1">IFERROR(__xludf.DUMMYFUNCTION("""COMPUTED_VALUE""")," ")</f>
        <v xml:space="preserve"> </v>
      </c>
      <c r="E178" s="1"/>
      <c r="F178" s="1">
        <f t="shared" ca="1" si="0"/>
        <v>2</v>
      </c>
      <c r="H178" s="4"/>
      <c r="I178" s="4"/>
      <c r="J178" s="4"/>
      <c r="K178" s="4"/>
      <c r="L178" s="4"/>
    </row>
    <row r="179" spans="1:12">
      <c r="A179" s="1">
        <f ca="1">IFERROR(__xludf.DUMMYFUNCTION("""COMPUTED_VALUE"""),3173)</f>
        <v>3173</v>
      </c>
      <c r="B179" s="1" t="str">
        <f ca="1">IFERROR(__xludf.DUMMYFUNCTION("""COMPUTED_VALUE"""),"PKM K")</f>
        <v>PKM K</v>
      </c>
      <c r="C179" s="1" t="str">
        <f ca="1">IFERROR(__xludf.DUMMYFUNCTION("""COMPUTED_VALUE""")," ")</f>
        <v xml:space="preserve"> </v>
      </c>
      <c r="D179" s="1" t="str">
        <f ca="1">IFERROR(__xludf.DUMMYFUNCTION("""COMPUTED_VALUE""")," ")</f>
        <v xml:space="preserve"> </v>
      </c>
      <c r="E179" s="1"/>
      <c r="F179" s="1">
        <f t="shared" ca="1" si="0"/>
        <v>2</v>
      </c>
      <c r="H179" s="4"/>
      <c r="I179" s="4"/>
      <c r="J179" s="4"/>
      <c r="K179" s="4"/>
      <c r="L179" s="4"/>
    </row>
    <row r="180" spans="1:12">
      <c r="A180" s="1">
        <f ca="1">IFERROR(__xludf.DUMMYFUNCTION("""COMPUTED_VALUE"""),2913)</f>
        <v>2913</v>
      </c>
      <c r="B180" s="1" t="str">
        <f ca="1">IFERROR(__xludf.DUMMYFUNCTION("""COMPUTED_VALUE"""),"PKM K")</f>
        <v>PKM K</v>
      </c>
      <c r="C180" s="1" t="str">
        <f ca="1">IFERROR(__xludf.DUMMYFUNCTION("""COMPUTED_VALUE"""),"daftar isi spasi tidak 1.15. No halaman pakai calibri bukan TNR; fokus pada launching bukan bisnis; anggaran tidak sesuai; tanggal lampiran masih feb; justifikasi anggaran tidak jelas")</f>
        <v>daftar isi spasi tidak 1.15. No halaman pakai calibri bukan TNR; fokus pada launching bukan bisnis; anggaran tidak sesuai; tanggal lampiran masih feb; justifikasi anggaran tidak jelas</v>
      </c>
      <c r="D180" s="1" t="str">
        <f ca="1">IFERROR(__xludf.DUMMYFUNCTION("""COMPUTED_VALUE"""),"TIDAK LAYAK UPLOAD KE SIMBELMAWA")</f>
        <v>TIDAK LAYAK UPLOAD KE SIMBELMAWA</v>
      </c>
      <c r="E180" s="7" t="str">
        <f ca="1">IFERROR(__xludf.DUMMYFUNCTION("""COMPUTED_VALUE"""),"https://drive.google.com/open?id=1cwtBBSiWPGdj1OUkWubH3snlbeOV38Ef")</f>
        <v>https://drive.google.com/open?id=1cwtBBSiWPGdj1OUkWubH3snlbeOV38Ef</v>
      </c>
      <c r="F180" s="1">
        <f t="shared" ca="1" si="0"/>
        <v>0</v>
      </c>
      <c r="H180" s="4"/>
      <c r="I180" s="4"/>
      <c r="J180" s="4"/>
      <c r="K180" s="4"/>
      <c r="L180" s="4"/>
    </row>
    <row r="181" spans="1:12">
      <c r="A181" s="1">
        <f ca="1">IFERROR(__xludf.DUMMYFUNCTION("""COMPUTED_VALUE"""),3142)</f>
        <v>3142</v>
      </c>
      <c r="B181" s="1" t="str">
        <f ca="1">IFERROR(__xludf.DUMMYFUNCTION("""COMPUTED_VALUE"""),"PKM K")</f>
        <v>PKM K</v>
      </c>
      <c r="C181" s="1" t="str">
        <f ca="1">IFERROR(__xludf.DUMMYFUNCTION("""COMPUTED_VALUE"""),"yg di upload masih comment2an; halaman daftar isi ada di kanan atas; anggaran sewa dan jsa max 15%")</f>
        <v>yg di upload masih comment2an; halaman daftar isi ada di kanan atas; anggaran sewa dan jsa max 15%</v>
      </c>
      <c r="D181" s="1" t="str">
        <f ca="1">IFERROR(__xludf.DUMMYFUNCTION("""COMPUTED_VALUE"""),"LAYAK UPLOAD KE SIMBELMAWA DENGAN REVISI")</f>
        <v>LAYAK UPLOAD KE SIMBELMAWA DENGAN REVISI</v>
      </c>
      <c r="E181" s="7" t="str">
        <f ca="1">IFERROR(__xludf.DUMMYFUNCTION("""COMPUTED_VALUE"""),"https://drive.google.com/open?id=1mLuEK9IyHOx8H6snC42cYOYDlEzgsQ9U")</f>
        <v>https://drive.google.com/open?id=1mLuEK9IyHOx8H6snC42cYOYDlEzgsQ9U</v>
      </c>
      <c r="F181" s="1">
        <f t="shared" ca="1" si="0"/>
        <v>0</v>
      </c>
      <c r="H181" s="4"/>
      <c r="I181" s="4"/>
      <c r="J181" s="4"/>
      <c r="K181" s="4"/>
      <c r="L181" s="4"/>
    </row>
    <row r="182" spans="1:12">
      <c r="A182" s="1">
        <f ca="1">IFERROR(__xludf.DUMMYFUNCTION("""COMPUTED_VALUE"""),4164)</f>
        <v>4164</v>
      </c>
      <c r="B182" s="1" t="str">
        <f ca="1">IFERROR(__xludf.DUMMYFUNCTION("""COMPUTED_VALUE"""),"PKM K")</f>
        <v>PKM K</v>
      </c>
      <c r="C182" s="1" t="str">
        <f ca="1">IFERROR(__xludf.DUMMYFUNCTION("""COMPUTED_VALUE"""),"revisi dari saya mana?")</f>
        <v>revisi dari saya mana?</v>
      </c>
      <c r="D182" s="1" t="str">
        <f ca="1">IFERROR(__xludf.DUMMYFUNCTION("""COMPUTED_VALUE"""),"LAYAK UPLOAD KE SIMBELMAWA DENGAN REVISI")</f>
        <v>LAYAK UPLOAD KE SIMBELMAWA DENGAN REVISI</v>
      </c>
      <c r="E182" s="1"/>
      <c r="F182" s="1">
        <f t="shared" ca="1" si="0"/>
        <v>0</v>
      </c>
      <c r="H182" s="4"/>
      <c r="I182" s="4"/>
      <c r="J182" s="4"/>
      <c r="K182" s="4"/>
      <c r="L182" s="4"/>
    </row>
    <row r="183" spans="1:12">
      <c r="A183" s="1">
        <f ca="1">IFERROR(__xludf.DUMMYFUNCTION("""COMPUTED_VALUE"""),3281)</f>
        <v>3281</v>
      </c>
      <c r="B183" s="1" t="str">
        <f ca="1">IFERROR(__xludf.DUMMYFUNCTION("""COMPUTED_VALUE"""),"PKM K")</f>
        <v>PKM K</v>
      </c>
      <c r="C183" s="1" t="str">
        <f ca="1">IFERROR(__xludf.DUMMYFUNCTION("""COMPUTED_VALUE"""),"bedanya lampiran format jadwal dgn yang di bagian utama proposal apa ya?; ")</f>
        <v xml:space="preserve">bedanya lampiran format jadwal dgn yang di bagian utama proposal apa ya?; </v>
      </c>
      <c r="D183" s="1" t="str">
        <f ca="1">IFERROR(__xludf.DUMMYFUNCTION("""COMPUTED_VALUE"""),"LAYAK UPLOAD KE SIMBELMAWA")</f>
        <v>LAYAK UPLOAD KE SIMBELMAWA</v>
      </c>
      <c r="E183" s="7" t="str">
        <f ca="1">IFERROR(__xludf.DUMMYFUNCTION("""COMPUTED_VALUE"""),"https://drive.google.com/open?id=1zKGbmlZwr89DPpnyo9J1m75uVcRAxJCq")</f>
        <v>https://drive.google.com/open?id=1zKGbmlZwr89DPpnyo9J1m75uVcRAxJCq</v>
      </c>
      <c r="F183" s="1">
        <f t="shared" ca="1" si="0"/>
        <v>0</v>
      </c>
      <c r="H183" s="4"/>
      <c r="I183" s="4"/>
      <c r="J183" s="4"/>
      <c r="K183" s="4"/>
      <c r="L183" s="4"/>
    </row>
    <row r="184" spans="1:12">
      <c r="A184" s="1">
        <f ca="1">IFERROR(__xludf.DUMMYFUNCTION("""COMPUTED_VALUE"""),3606)</f>
        <v>3606</v>
      </c>
      <c r="B184" s="1" t="str">
        <f ca="1">IFERROR(__xludf.DUMMYFUNCTION("""COMPUTED_VALUE"""),"PKM K")</f>
        <v>PKM K</v>
      </c>
      <c r="C184" s="1" t="str">
        <f ca="1">IFERROR(__xludf.DUMMYFUNCTION("""COMPUTED_VALUE"""),"daftar isi bukan 1.15; ")</f>
        <v xml:space="preserve">daftar isi bukan 1.15; </v>
      </c>
      <c r="D184" s="1" t="str">
        <f ca="1">IFERROR(__xludf.DUMMYFUNCTION("""COMPUTED_VALUE"""),"LAYAK UPLOAD KE SIMBELMAWA")</f>
        <v>LAYAK UPLOAD KE SIMBELMAWA</v>
      </c>
      <c r="E184" s="7" t="str">
        <f ca="1">IFERROR(__xludf.DUMMYFUNCTION("""COMPUTED_VALUE"""),"https://drive.google.com/open?id=1FmwsmhfqTaDPZroiETSJEL100VXBg-KU")</f>
        <v>https://drive.google.com/open?id=1FmwsmhfqTaDPZroiETSJEL100VXBg-KU</v>
      </c>
      <c r="F184" s="1">
        <f t="shared" ca="1" si="0"/>
        <v>0</v>
      </c>
      <c r="H184" s="4"/>
      <c r="I184" s="4"/>
      <c r="J184" s="4"/>
      <c r="K184" s="4"/>
      <c r="L184" s="4"/>
    </row>
    <row r="185" spans="1:12">
      <c r="A185" s="1">
        <f ca="1">IFERROR(__xludf.DUMMYFUNCTION("""COMPUTED_VALUE"""),2339)</f>
        <v>2339</v>
      </c>
      <c r="B185" s="1" t="str">
        <f ca="1">IFERROR(__xludf.DUMMYFUNCTION("""COMPUTED_VALUE"""),"PKM K")</f>
        <v>PKM K</v>
      </c>
      <c r="C185" s="1" t="str">
        <f ca="1">IFERROR(__xludf.DUMMYFUNCTION("""COMPUTED_VALUE"""),"-")</f>
        <v>-</v>
      </c>
      <c r="D185" s="1" t="str">
        <f ca="1">IFERROR(__xludf.DUMMYFUNCTION("""COMPUTED_VALUE"""),"LAYAK UPLOAD KE SIMBELMAWA")</f>
        <v>LAYAK UPLOAD KE SIMBELMAWA</v>
      </c>
      <c r="E185" s="7" t="str">
        <f ca="1">IFERROR(__xludf.DUMMYFUNCTION("""COMPUTED_VALUE"""),"https://drive.google.com/open?id=1co68Y66YcghuCCiQhuFD2esh9AgE7-7S")</f>
        <v>https://drive.google.com/open?id=1co68Y66YcghuCCiQhuFD2esh9AgE7-7S</v>
      </c>
      <c r="F185" s="1">
        <f t="shared" ca="1" si="0"/>
        <v>0</v>
      </c>
      <c r="H185" s="4"/>
      <c r="I185" s="4"/>
      <c r="J185" s="4"/>
      <c r="K185" s="4"/>
      <c r="L185" s="4"/>
    </row>
    <row r="186" spans="1:12">
      <c r="A186" s="1">
        <f ca="1">IFERROR(__xludf.DUMMYFUNCTION("""COMPUTED_VALUE"""),3597)</f>
        <v>3597</v>
      </c>
      <c r="B186" s="1" t="str">
        <f ca="1">IFERROR(__xludf.DUMMYFUNCTION("""COMPUTED_VALUE"""),"PKM K")</f>
        <v>PKM K</v>
      </c>
      <c r="C186" s="1" t="str">
        <f ca="1">IFERROR(__xludf.DUMMYFUNCTION("""COMPUTED_VALUE"""),"Kok anggaran dari perguruan tinggi malah yg lebih besar?")</f>
        <v>Kok anggaran dari perguruan tinggi malah yg lebih besar?</v>
      </c>
      <c r="D186" s="1" t="str">
        <f ca="1">IFERROR(__xludf.DUMMYFUNCTION("""COMPUTED_VALUE"""),"LAYAK UPLOAD KE SIMBELMAWA DENGAN REVISI")</f>
        <v>LAYAK UPLOAD KE SIMBELMAWA DENGAN REVISI</v>
      </c>
      <c r="E186" s="7" t="str">
        <f ca="1">IFERROR(__xludf.DUMMYFUNCTION("""COMPUTED_VALUE"""),"https://drive.google.com/open?id=1Kdxbb4zSPU8mEymPNK5Wa2dd743gIXW3")</f>
        <v>https://drive.google.com/open?id=1Kdxbb4zSPU8mEymPNK5Wa2dd743gIXW3</v>
      </c>
      <c r="F186" s="1">
        <f t="shared" ca="1" si="0"/>
        <v>0</v>
      </c>
      <c r="H186" s="4"/>
      <c r="I186" s="4"/>
      <c r="J186" s="4"/>
      <c r="K186" s="4"/>
      <c r="L186" s="4"/>
    </row>
    <row r="187" spans="1:12">
      <c r="A187" s="1">
        <f ca="1">IFERROR(__xludf.DUMMYFUNCTION("""COMPUTED_VALUE"""),2407)</f>
        <v>2407</v>
      </c>
      <c r="B187" s="1" t="str">
        <f ca="1">IFERROR(__xludf.DUMMYFUNCTION("""COMPUTED_VALUE"""),"PKM K")</f>
        <v>PKM K</v>
      </c>
      <c r="C187" s="1" t="str">
        <f ca="1">IFERROR(__xludf.DUMMYFUNCTION("""COMPUTED_VALUE"""),"-")</f>
        <v>-</v>
      </c>
      <c r="D187" s="1" t="str">
        <f ca="1">IFERROR(__xludf.DUMMYFUNCTION("""COMPUTED_VALUE"""),"LAYAK UPLOAD KE SIMBELMAWA")</f>
        <v>LAYAK UPLOAD KE SIMBELMAWA</v>
      </c>
      <c r="E187" s="7" t="str">
        <f ca="1">IFERROR(__xludf.DUMMYFUNCTION("""COMPUTED_VALUE"""),"https://drive.google.com/open?id=1i-I7EcuGPRAKLuqehrhObEqeG2yPOIJg")</f>
        <v>https://drive.google.com/open?id=1i-I7EcuGPRAKLuqehrhObEqeG2yPOIJg</v>
      </c>
      <c r="F187" s="1">
        <f t="shared" ca="1" si="0"/>
        <v>0</v>
      </c>
      <c r="H187" s="4"/>
      <c r="I187" s="4"/>
      <c r="J187" s="4"/>
      <c r="K187" s="4"/>
      <c r="L187" s="4"/>
    </row>
    <row r="188" spans="1:12">
      <c r="A188" s="1">
        <f ca="1">IFERROR(__xludf.DUMMYFUNCTION("""COMPUTED_VALUE"""),2618)</f>
        <v>2618</v>
      </c>
      <c r="B188" s="1" t="str">
        <f ca="1">IFERROR(__xludf.DUMMYFUNCTION("""COMPUTED_VALUE"""),"PKM K")</f>
        <v>PKM K</v>
      </c>
      <c r="C188" s="1" t="str">
        <f ca="1">IFERROR(__xludf.DUMMYFUNCTION("""COMPUTED_VALUE"""),"anggaran terlalu kecil, bisa dimaksimalkan ke 8.750.000; lampiran biodata pakai format lama; keunggulan dibandingkan OLX kurang mendukung justru")</f>
        <v>anggaran terlalu kecil, bisa dimaksimalkan ke 8.750.000; lampiran biodata pakai format lama; keunggulan dibandingkan OLX kurang mendukung justru</v>
      </c>
      <c r="D188" s="1" t="str">
        <f ca="1">IFERROR(__xludf.DUMMYFUNCTION("""COMPUTED_VALUE"""),"LAYAK UPLOAD KE SIMBELMAWA DENGAN REVISI")</f>
        <v>LAYAK UPLOAD KE SIMBELMAWA DENGAN REVISI</v>
      </c>
      <c r="E188" s="7" t="str">
        <f ca="1">IFERROR(__xludf.DUMMYFUNCTION("""COMPUTED_VALUE"""),"https://drive.google.com/open?id=1bKl_osuMCiVdw30PzkuRyilml_Y91PAz")</f>
        <v>https://drive.google.com/open?id=1bKl_osuMCiVdw30PzkuRyilml_Y91PAz</v>
      </c>
      <c r="F188" s="1">
        <f t="shared" ca="1" si="0"/>
        <v>0</v>
      </c>
      <c r="H188" s="4"/>
      <c r="I188" s="4"/>
      <c r="J188" s="4"/>
      <c r="K188" s="4"/>
      <c r="L188" s="4"/>
    </row>
    <row r="189" spans="1:12">
      <c r="A189" s="1">
        <f ca="1">IFERROR(__xludf.DUMMYFUNCTION("""COMPUTED_VALUE"""),2143)</f>
        <v>2143</v>
      </c>
      <c r="B189" s="1" t="str">
        <f ca="1">IFERROR(__xludf.DUMMYFUNCTION("""COMPUTED_VALUE"""),"PKM K")</f>
        <v>PKM K</v>
      </c>
      <c r="C189" s="1" t="str">
        <f ca="1">IFERROR(__xludf.DUMMYFUNCTION("""COMPUTED_VALUE"""),"-")</f>
        <v>-</v>
      </c>
      <c r="D189" s="1" t="str">
        <f ca="1">IFERROR(__xludf.DUMMYFUNCTION("""COMPUTED_VALUE"""),"LAYAK UPLOAD KE SIMBELMAWA")</f>
        <v>LAYAK UPLOAD KE SIMBELMAWA</v>
      </c>
      <c r="E189" s="7" t="str">
        <f ca="1">IFERROR(__xludf.DUMMYFUNCTION("""COMPUTED_VALUE"""),"https://drive.google.com/open?id=1m04OSsz-RJM1OB5YE2ZCiPXLW1zxPbkz")</f>
        <v>https://drive.google.com/open?id=1m04OSsz-RJM1OB5YE2ZCiPXLW1zxPbkz</v>
      </c>
      <c r="F189" s="1">
        <f t="shared" ca="1" si="0"/>
        <v>0</v>
      </c>
      <c r="H189" s="4"/>
      <c r="I189" s="4"/>
      <c r="J189" s="4"/>
      <c r="K189" s="4"/>
      <c r="L189" s="4"/>
    </row>
    <row r="190" spans="1:12">
      <c r="A190" s="1">
        <f ca="1">IFERROR(__xludf.DUMMYFUNCTION("""COMPUTED_VALUE"""),2894)</f>
        <v>2894</v>
      </c>
      <c r="B190" s="1" t="str">
        <f ca="1">IFERROR(__xludf.DUMMYFUNCTION("""COMPUTED_VALUE"""),"PKM K")</f>
        <v>PKM K</v>
      </c>
      <c r="C190" s="1" t="str">
        <f ca="1">IFERROR(__xludf.DUMMYFUNCTION("""COMPUTED_VALUE"""),"Anggaran belum dipecah; ")</f>
        <v xml:space="preserve">Anggaran belum dipecah; </v>
      </c>
      <c r="D190" s="1" t="str">
        <f ca="1">IFERROR(__xludf.DUMMYFUNCTION("""COMPUTED_VALUE"""),"LAYAK UPLOAD KE SIMBELMAWA DENGAN REVISI")</f>
        <v>LAYAK UPLOAD KE SIMBELMAWA DENGAN REVISI</v>
      </c>
      <c r="E190" s="7" t="str">
        <f ca="1">IFERROR(__xludf.DUMMYFUNCTION("""COMPUTED_VALUE"""),"https://drive.google.com/open?id=1pCxWAf4a6KJbT-2hJVHoL43jETH5mX1O")</f>
        <v>https://drive.google.com/open?id=1pCxWAf4a6KJbT-2hJVHoL43jETH5mX1O</v>
      </c>
      <c r="F190" s="1">
        <f t="shared" ca="1" si="0"/>
        <v>0</v>
      </c>
      <c r="H190" s="4"/>
      <c r="I190" s="4"/>
      <c r="J190" s="4"/>
      <c r="K190" s="4"/>
      <c r="L190" s="4"/>
    </row>
    <row r="191" spans="1:12">
      <c r="A191" s="1">
        <f ca="1">IFERROR(__xludf.DUMMYFUNCTION("""COMPUTED_VALUE"""),4038)</f>
        <v>4038</v>
      </c>
      <c r="B191" s="1" t="str">
        <f ca="1">IFERROR(__xludf.DUMMYFUNCTION("""COMPUTED_VALUE"""),"PKM K")</f>
        <v>PKM K</v>
      </c>
      <c r="C191" s="1" t="str">
        <f ca="1">IFERROR(__xludf.DUMMYFUNCTION("""COMPUTED_VALUE"""),"tidak ada proposal")</f>
        <v>tidak ada proposal</v>
      </c>
      <c r="D191" s="1" t="str">
        <f ca="1">IFERROR(__xludf.DUMMYFUNCTION("""COMPUTED_VALUE"""),"TIDAK LAYAK UPLOAD KE SIMBELMAWA")</f>
        <v>TIDAK LAYAK UPLOAD KE SIMBELMAWA</v>
      </c>
      <c r="E191" s="1"/>
      <c r="F191" s="1">
        <f t="shared" ca="1" si="0"/>
        <v>0</v>
      </c>
      <c r="H191" s="4"/>
      <c r="I191" s="4"/>
      <c r="J191" s="4"/>
      <c r="K191" s="4"/>
      <c r="L191" s="4"/>
    </row>
    <row r="192" spans="1:12">
      <c r="A192" s="1">
        <f ca="1">IFERROR(__xludf.DUMMYFUNCTION("""COMPUTED_VALUE"""),3815)</f>
        <v>3815</v>
      </c>
      <c r="B192" s="1" t="str">
        <f ca="1">IFERROR(__xludf.DUMMYFUNCTION("""COMPUTED_VALUE"""),"PKM K")</f>
        <v>PKM K</v>
      </c>
      <c r="C192" s="1" t="str">
        <f ca="1">IFERROR(__xludf.DUMMYFUNCTION("""COMPUTED_VALUE"""),"daftar isi masih spasi 1.5; anggaran tidak ada; prinsip bisnis nya tidak muncul; lampiran mhs tidak ada ttd, malah dosennya ada; surat pernyataan tidak ada ttd dan materai")</f>
        <v>daftar isi masih spasi 1.5; anggaran tidak ada; prinsip bisnis nya tidak muncul; lampiran mhs tidak ada ttd, malah dosennya ada; surat pernyataan tidak ada ttd dan materai</v>
      </c>
      <c r="D192" s="1" t="str">
        <f ca="1">IFERROR(__xludf.DUMMYFUNCTION("""COMPUTED_VALUE"""),"TIDAK LAYAK UPLOAD KE SIMBELMAWA")</f>
        <v>TIDAK LAYAK UPLOAD KE SIMBELMAWA</v>
      </c>
      <c r="E192" s="7" t="str">
        <f ca="1">IFERROR(__xludf.DUMMYFUNCTION("""COMPUTED_VALUE"""),"https://drive.google.com/open?id=1fjSgDiEmqGEc4eHhyprjvrhsRdKbr2Fc")</f>
        <v>https://drive.google.com/open?id=1fjSgDiEmqGEc4eHhyprjvrhsRdKbr2Fc</v>
      </c>
      <c r="F192" s="1">
        <f t="shared" ca="1" si="0"/>
        <v>0</v>
      </c>
      <c r="H192" s="4"/>
      <c r="I192" s="4"/>
      <c r="J192" s="4"/>
      <c r="K192" s="4"/>
      <c r="L192" s="4"/>
    </row>
    <row r="193" spans="1:12">
      <c r="A193" s="1">
        <f ca="1">IFERROR(__xludf.DUMMYFUNCTION("""COMPUTED_VALUE"""),2065)</f>
        <v>2065</v>
      </c>
      <c r="B193" s="1" t="str">
        <f ca="1">IFERROR(__xludf.DUMMYFUNCTION("""COMPUTED_VALUE"""),"PKM K")</f>
        <v>PKM K</v>
      </c>
      <c r="C193" s="1" t="str">
        <f ca="1">IFERROR(__xludf.DUMMYFUNCTION("""COMPUTED_VALUE"""),"anggaran terlalu kecil, kenapa tidak dimaksimalkan di 8.750?")</f>
        <v>anggaran terlalu kecil, kenapa tidak dimaksimalkan di 8.750?</v>
      </c>
      <c r="D193" s="1" t="str">
        <f ca="1">IFERROR(__xludf.DUMMYFUNCTION("""COMPUTED_VALUE"""),"LAYAK UPLOAD KE SIMBELMAWA DENGAN REVISI")</f>
        <v>LAYAK UPLOAD KE SIMBELMAWA DENGAN REVISI</v>
      </c>
      <c r="E193" s="7" t="str">
        <f ca="1">IFERROR(__xludf.DUMMYFUNCTION("""COMPUTED_VALUE"""),"https://drive.google.com/open?id=1zjpH9DSc3mnvgug5pMc8Y-GYMIEjot_x")</f>
        <v>https://drive.google.com/open?id=1zjpH9DSc3mnvgug5pMc8Y-GYMIEjot_x</v>
      </c>
      <c r="F193" s="1">
        <f t="shared" ca="1" si="0"/>
        <v>0</v>
      </c>
      <c r="H193" s="4"/>
      <c r="I193" s="4"/>
      <c r="J193" s="4"/>
      <c r="K193" s="4"/>
      <c r="L193" s="4"/>
    </row>
    <row r="194" spans="1:12">
      <c r="A194" s="1">
        <f ca="1">IFERROR(__xludf.DUMMYFUNCTION("""COMPUTED_VALUE"""),2087)</f>
        <v>2087</v>
      </c>
      <c r="B194" s="1" t="str">
        <f ca="1">IFERROR(__xludf.DUMMYFUNCTION("""COMPUTED_VALUE"""),"PKM K")</f>
        <v>PKM K</v>
      </c>
      <c r="C194" s="1" t="str">
        <f ca="1">IFERROR(__xludf.DUMMYFUNCTION("""COMPUTED_VALUE"""),"anggaran terlalu kecil, maksimalkan ke 8.750.000; sifat NFT itu seasonal.... perlu membuat segera BEP sebelum seasonal NFT drop")</f>
        <v>anggaran terlalu kecil, maksimalkan ke 8.750.000; sifat NFT itu seasonal.... perlu membuat segera BEP sebelum seasonal NFT drop</v>
      </c>
      <c r="D194" s="1" t="str">
        <f ca="1">IFERROR(__xludf.DUMMYFUNCTION("""COMPUTED_VALUE"""),"LAYAK UPLOAD KE SIMBELMAWA DENGAN REVISI")</f>
        <v>LAYAK UPLOAD KE SIMBELMAWA DENGAN REVISI</v>
      </c>
      <c r="E194" s="7" t="str">
        <f ca="1">IFERROR(__xludf.DUMMYFUNCTION("""COMPUTED_VALUE"""),"https://drive.google.com/open?id=1dwdslm9HvRCYPFAZIoUv77mkCSwCAfry")</f>
        <v>https://drive.google.com/open?id=1dwdslm9HvRCYPFAZIoUv77mkCSwCAfry</v>
      </c>
      <c r="F194" s="1">
        <f t="shared" ca="1" si="0"/>
        <v>0</v>
      </c>
      <c r="H194" s="4"/>
      <c r="I194" s="4"/>
      <c r="J194" s="4"/>
      <c r="K194" s="4"/>
      <c r="L194" s="4"/>
    </row>
    <row r="195" spans="1:12">
      <c r="A195" s="1">
        <f ca="1">IFERROR(__xludf.DUMMYFUNCTION("""COMPUTED_VALUE"""),3009)</f>
        <v>3009</v>
      </c>
      <c r="B195" s="1" t="str">
        <f ca="1">IFERROR(__xludf.DUMMYFUNCTION("""COMPUTED_VALUE"""),"PKM K")</f>
        <v>PKM K</v>
      </c>
      <c r="C195" s="1" t="str">
        <f ca="1">IFERROR(__xludf.DUMMYFUNCTION("""COMPUTED_VALUE"""),"daftar isi masih spasi 1.5; nomor halaman pakai arial, bukan TNR; analisa kompetitornya tidak apple to apple. karena pedulilindungi bukan profit based apps")</f>
        <v>daftar isi masih spasi 1.5; nomor halaman pakai arial, bukan TNR; analisa kompetitornya tidak apple to apple. karena pedulilindungi bukan profit based apps</v>
      </c>
      <c r="D195" s="1" t="str">
        <f ca="1">IFERROR(__xludf.DUMMYFUNCTION("""COMPUTED_VALUE"""),"LAYAK UPLOAD KE SIMBELMAWA DENGAN REVISI")</f>
        <v>LAYAK UPLOAD KE SIMBELMAWA DENGAN REVISI</v>
      </c>
      <c r="E195" s="7" t="str">
        <f ca="1">IFERROR(__xludf.DUMMYFUNCTION("""COMPUTED_VALUE"""),"https://drive.google.com/open?id=1GKljEbLO0d5Mr_iaXjYgGfEsRCzoDrYK")</f>
        <v>https://drive.google.com/open?id=1GKljEbLO0d5Mr_iaXjYgGfEsRCzoDrYK</v>
      </c>
      <c r="F195" s="1">
        <f t="shared" ca="1" si="0"/>
        <v>0</v>
      </c>
      <c r="H195" s="4"/>
      <c r="I195" s="4"/>
      <c r="J195" s="4"/>
      <c r="K195" s="4"/>
      <c r="L195" s="4"/>
    </row>
    <row r="196" spans="1:12">
      <c r="A196" s="1">
        <f ca="1">IFERROR(__xludf.DUMMYFUNCTION("""COMPUTED_VALUE"""),3331)</f>
        <v>3331</v>
      </c>
      <c r="B196" s="1" t="str">
        <f ca="1">IFERROR(__xludf.DUMMYFUNCTION("""COMPUTED_VALUE"""),"PKM K")</f>
        <v>PKM K</v>
      </c>
      <c r="C196" s="1" t="str">
        <f ca="1">IFERROR(__xludf.DUMMYFUNCTION("""COMPUTED_VALUE"""),"kenapa yang di upload masih yang ada comment nya")</f>
        <v>kenapa yang di upload masih yang ada comment nya</v>
      </c>
      <c r="D196" s="1" t="str">
        <f ca="1">IFERROR(__xludf.DUMMYFUNCTION("""COMPUTED_VALUE"""),"LAYAK UPLOAD KE SIMBELMAWA DENGAN REVISI")</f>
        <v>LAYAK UPLOAD KE SIMBELMAWA DENGAN REVISI</v>
      </c>
      <c r="E196" s="7" t="str">
        <f ca="1">IFERROR(__xludf.DUMMYFUNCTION("""COMPUTED_VALUE"""),"https://drive.google.com/open?id=1D481aODhjcrSwutry4uE6qo_WbA3JHWg")</f>
        <v>https://drive.google.com/open?id=1D481aODhjcrSwutry4uE6qo_WbA3JHWg</v>
      </c>
      <c r="F196" s="1">
        <f t="shared" ca="1" si="0"/>
        <v>0</v>
      </c>
      <c r="H196" s="4"/>
      <c r="I196" s="4"/>
      <c r="J196" s="4"/>
      <c r="K196" s="4"/>
      <c r="L196" s="4"/>
    </row>
    <row r="197" spans="1:12">
      <c r="A197" s="1">
        <f ca="1">IFERROR(__xludf.DUMMYFUNCTION("""COMPUTED_VALUE"""),2958)</f>
        <v>2958</v>
      </c>
      <c r="B197" s="1" t="str">
        <f ca="1">IFERROR(__xludf.DUMMYFUNCTION("""COMPUTED_VALUE"""),"PKM K")</f>
        <v>PKM K</v>
      </c>
      <c r="C197" s="1" t="str">
        <f ca="1">IFERROR(__xludf.DUMMYFUNCTION("""COMPUTED_VALUE"""),"nomor halaman tidak ada!!!, margin tidak sesuai, gambar 3.2 tidak muncul")</f>
        <v>nomor halaman tidak ada!!!, margin tidak sesuai, gambar 3.2 tidak muncul</v>
      </c>
      <c r="D197" s="1" t="str">
        <f ca="1">IFERROR(__xludf.DUMMYFUNCTION("""COMPUTED_VALUE"""),"LAYAK UPLOAD KE SIMBELMAWA DENGAN REVISI")</f>
        <v>LAYAK UPLOAD KE SIMBELMAWA DENGAN REVISI</v>
      </c>
      <c r="E197" s="7" t="str">
        <f ca="1">IFERROR(__xludf.DUMMYFUNCTION("""COMPUTED_VALUE"""),"https://drive.google.com/open?id=1a6XLRcW5Pm_w0n8lUGA3V6DWd7K3camk")</f>
        <v>https://drive.google.com/open?id=1a6XLRcW5Pm_w0n8lUGA3V6DWd7K3camk</v>
      </c>
      <c r="F197" s="1">
        <f t="shared" ca="1" si="0"/>
        <v>0</v>
      </c>
      <c r="H197" s="4"/>
      <c r="I197" s="4"/>
      <c r="J197" s="4"/>
      <c r="K197" s="4"/>
      <c r="L197" s="4"/>
    </row>
    <row r="198" spans="1:12">
      <c r="A198" s="1">
        <f ca="1">IFERROR(__xludf.DUMMYFUNCTION("""COMPUTED_VALUE"""),2654)</f>
        <v>2654</v>
      </c>
      <c r="B198" s="1" t="str">
        <f ca="1">IFERROR(__xludf.DUMMYFUNCTION("""COMPUTED_VALUE"""),"PKM K")</f>
        <v>PKM K</v>
      </c>
      <c r="C198" s="1" t="str">
        <f ca="1">IFERROR(__xludf.DUMMYFUNCTION("""COMPUTED_VALUE""")," ")</f>
        <v xml:space="preserve"> </v>
      </c>
      <c r="D198" s="1" t="str">
        <f ca="1">IFERROR(__xludf.DUMMYFUNCTION("""COMPUTED_VALUE""")," ")</f>
        <v xml:space="preserve"> </v>
      </c>
      <c r="E198" s="1"/>
      <c r="F198" s="1">
        <f t="shared" ca="1" si="0"/>
        <v>2</v>
      </c>
      <c r="H198" s="4"/>
      <c r="I198" s="4"/>
      <c r="J198" s="4"/>
      <c r="K198" s="4"/>
      <c r="L198" s="4"/>
    </row>
    <row r="199" spans="1:12">
      <c r="A199" s="1">
        <f ca="1">IFERROR(__xludf.DUMMYFUNCTION("""COMPUTED_VALUE"""),2520)</f>
        <v>2520</v>
      </c>
      <c r="B199" s="1" t="str">
        <f ca="1">IFERROR(__xludf.DUMMYFUNCTION("""COMPUTED_VALUE"""),"PKM K")</f>
        <v>PKM K</v>
      </c>
      <c r="C199" s="1" t="str">
        <f ca="1">IFERROR(__xludf.DUMMYFUNCTION("""COMPUTED_VALUE"""),"tidak layak")</f>
        <v>tidak layak</v>
      </c>
      <c r="D199" s="1" t="str">
        <f ca="1">IFERROR(__xludf.DUMMYFUNCTION("""COMPUTED_VALUE"""),"TIDAK LAYAK UPLOAD KE SIMBELMAWA")</f>
        <v>TIDAK LAYAK UPLOAD KE SIMBELMAWA</v>
      </c>
      <c r="E199" s="1"/>
      <c r="F199" s="1">
        <f t="shared" ca="1" si="0"/>
        <v>0</v>
      </c>
      <c r="H199" s="4"/>
      <c r="I199" s="4"/>
      <c r="J199" s="4"/>
      <c r="K199" s="4"/>
      <c r="L199" s="4"/>
    </row>
    <row r="200" spans="1:12">
      <c r="A200" s="1">
        <f ca="1">IFERROR(__xludf.DUMMYFUNCTION("""COMPUTED_VALUE"""),4057)</f>
        <v>4057</v>
      </c>
      <c r="B200" s="1" t="str">
        <f ca="1">IFERROR(__xludf.DUMMYFUNCTION("""COMPUTED_VALUE"""),"PKM K")</f>
        <v>PKM K</v>
      </c>
      <c r="C200" s="1" t="str">
        <f ca="1">IFERROR(__xludf.DUMMYFUNCTION("""COMPUTED_VALUE"""),"-")</f>
        <v>-</v>
      </c>
      <c r="D200" s="1" t="str">
        <f ca="1">IFERROR(__xludf.DUMMYFUNCTION("""COMPUTED_VALUE"""),"LAYAK UPLOAD KE SIMBELMAWA")</f>
        <v>LAYAK UPLOAD KE SIMBELMAWA</v>
      </c>
      <c r="E200" s="7" t="str">
        <f ca="1">IFERROR(__xludf.DUMMYFUNCTION("""COMPUTED_VALUE"""),"https://drive.google.com/open?id=1kPLIcpMtsQZTK6BDd5Wpz4sQJ-3OvWzg")</f>
        <v>https://drive.google.com/open?id=1kPLIcpMtsQZTK6BDd5Wpz4sQJ-3OvWzg</v>
      </c>
      <c r="F200" s="1">
        <f t="shared" ca="1" si="0"/>
        <v>0</v>
      </c>
      <c r="H200" s="4"/>
      <c r="I200" s="4"/>
      <c r="J200" s="4"/>
      <c r="K200" s="4"/>
      <c r="L200" s="4"/>
    </row>
    <row r="201" spans="1:12">
      <c r="A201" s="1">
        <f ca="1">IFERROR(__xludf.DUMMYFUNCTION("""COMPUTED_VALUE"""),3838)</f>
        <v>3838</v>
      </c>
      <c r="B201" s="1" t="str">
        <f ca="1">IFERROR(__xludf.DUMMYFUNCTION("""COMPUTED_VALUE"""),"PKM K")</f>
        <v>PKM K</v>
      </c>
      <c r="C201" s="1" t="str">
        <f ca="1">IFERROR(__xludf.DUMMYFUNCTION("""COMPUTED_VALUE""")," ")</f>
        <v xml:space="preserve"> </v>
      </c>
      <c r="D201" s="1" t="str">
        <f ca="1">IFERROR(__xludf.DUMMYFUNCTION("""COMPUTED_VALUE""")," ")</f>
        <v xml:space="preserve"> </v>
      </c>
      <c r="E201" s="1"/>
      <c r="F201" s="1">
        <f t="shared" ca="1" si="0"/>
        <v>2</v>
      </c>
      <c r="H201" s="4"/>
      <c r="I201" s="4"/>
      <c r="J201" s="4"/>
      <c r="K201" s="4"/>
      <c r="L201" s="4"/>
    </row>
    <row r="202" spans="1:12">
      <c r="A202" s="1">
        <f ca="1">IFERROR(__xludf.DUMMYFUNCTION("""COMPUTED_VALUE"""),4022)</f>
        <v>4022</v>
      </c>
      <c r="B202" s="1" t="str">
        <f ca="1">IFERROR(__xludf.DUMMYFUNCTION("""COMPUTED_VALUE"""),"PKM K")</f>
        <v>PKM K</v>
      </c>
      <c r="C202" s="1" t="str">
        <f ca="1">IFERROR(__xludf.DUMMYFUNCTION("""COMPUTED_VALUE"""),"model bisnis tidak sustainable, ")</f>
        <v xml:space="preserve">model bisnis tidak sustainable, </v>
      </c>
      <c r="D202" s="1" t="str">
        <f ca="1">IFERROR(__xludf.DUMMYFUNCTION("""COMPUTED_VALUE"""),"LAYAK UPLOAD KE SIMBELMAWA DENGAN REVISI")</f>
        <v>LAYAK UPLOAD KE SIMBELMAWA DENGAN REVISI</v>
      </c>
      <c r="E202" s="7" t="str">
        <f ca="1">IFERROR(__xludf.DUMMYFUNCTION("""COMPUTED_VALUE"""),"https://drive.google.com/open?id=16OUcJgTvCzArOzofC938jSul2_untIXR")</f>
        <v>https://drive.google.com/open?id=16OUcJgTvCzArOzofC938jSul2_untIXR</v>
      </c>
      <c r="F202" s="1">
        <f t="shared" ca="1" si="0"/>
        <v>0</v>
      </c>
      <c r="H202" s="4"/>
      <c r="I202" s="4"/>
      <c r="J202" s="4"/>
      <c r="K202" s="4"/>
      <c r="L202" s="4"/>
    </row>
    <row r="203" spans="1:12">
      <c r="A203" s="1">
        <f ca="1">IFERROR(__xludf.DUMMYFUNCTION("""COMPUTED_VALUE"""),2124)</f>
        <v>2124</v>
      </c>
      <c r="B203" s="1" t="str">
        <f ca="1">IFERROR(__xludf.DUMMYFUNCTION("""COMPUTED_VALUE"""),"PKM K")</f>
        <v>PKM K</v>
      </c>
      <c r="C203" s="1" t="str">
        <f ca="1">IFERROR(__xludf.DUMMYFUNCTION("""COMPUTED_VALUE"""),"-")</f>
        <v>-</v>
      </c>
      <c r="D203" s="1" t="str">
        <f ca="1">IFERROR(__xludf.DUMMYFUNCTION("""COMPUTED_VALUE"""),"LAYAK UPLOAD KE SIMBELMAWA")</f>
        <v>LAYAK UPLOAD KE SIMBELMAWA</v>
      </c>
      <c r="E203" s="7" t="str">
        <f ca="1">IFERROR(__xludf.DUMMYFUNCTION("""COMPUTED_VALUE"""),"https://drive.google.com/open?id=1rigeLedBRjLIXKf0guxJmFsxjraxxXeG")</f>
        <v>https://drive.google.com/open?id=1rigeLedBRjLIXKf0guxJmFsxjraxxXeG</v>
      </c>
      <c r="F203" s="1">
        <f t="shared" ca="1" si="0"/>
        <v>0</v>
      </c>
      <c r="H203" s="4"/>
      <c r="I203" s="4"/>
      <c r="J203" s="4"/>
      <c r="K203" s="4"/>
      <c r="L203" s="4"/>
    </row>
    <row r="204" spans="1:12">
      <c r="A204" s="1">
        <f ca="1">IFERROR(__xludf.DUMMYFUNCTION("""COMPUTED_VALUE"""),3938)</f>
        <v>3938</v>
      </c>
      <c r="B204" s="1" t="str">
        <f ca="1">IFERROR(__xludf.DUMMYFUNCTION("""COMPUTED_VALUE"""),"PKM K")</f>
        <v>PKM K</v>
      </c>
      <c r="C204" s="1" t="str">
        <f ca="1">IFERROR(__xludf.DUMMYFUNCTION("""COMPUTED_VALUE"""),"terlalu fokus pada metode pembuatan, buakan bisnisnya")</f>
        <v>terlalu fokus pada metode pembuatan, buakan bisnisnya</v>
      </c>
      <c r="D204" s="1" t="str">
        <f ca="1">IFERROR(__xludf.DUMMYFUNCTION("""COMPUTED_VALUE"""),"LAYAK UPLOAD KE SIMBELMAWA DENGAN REVISI")</f>
        <v>LAYAK UPLOAD KE SIMBELMAWA DENGAN REVISI</v>
      </c>
      <c r="E204" s="7" t="str">
        <f ca="1">IFERROR(__xludf.DUMMYFUNCTION("""COMPUTED_VALUE"""),"https://drive.google.com/open?id=1qhkxf-AEPsvfAAxoNxWPY1-5ti63d9GZ")</f>
        <v>https://drive.google.com/open?id=1qhkxf-AEPsvfAAxoNxWPY1-5ti63d9GZ</v>
      </c>
      <c r="F204" s="1">
        <f t="shared" ca="1" si="0"/>
        <v>0</v>
      </c>
      <c r="H204" s="4"/>
      <c r="I204" s="4"/>
      <c r="J204" s="4"/>
      <c r="K204" s="4"/>
      <c r="L204" s="4"/>
    </row>
    <row r="205" spans="1:12">
      <c r="A205" s="1">
        <f ca="1">IFERROR(__xludf.DUMMYFUNCTION("""COMPUTED_VALUE"""),2062)</f>
        <v>2062</v>
      </c>
      <c r="B205" s="1" t="str">
        <f ca="1">IFERROR(__xludf.DUMMYFUNCTION("""COMPUTED_VALUE"""),"PKM K")</f>
        <v>PKM K</v>
      </c>
      <c r="C205" s="1" t="str">
        <f ca="1">IFERROR(__xludf.DUMMYFUNCTION("""COMPUTED_VALUE"""),"daftar isi masih spasi 1.5, bukan 1.15; model bisnisnya lebih fokus pada pembuatan, bukan berusaha nya, set up bisnis nya terlalu fokus pada PRT, bukan pada konsumen")</f>
        <v>daftar isi masih spasi 1.5, bukan 1.15; model bisnisnya lebih fokus pada pembuatan, bukan berusaha nya, set up bisnis nya terlalu fokus pada PRT, bukan pada konsumen</v>
      </c>
      <c r="D205" s="1" t="str">
        <f ca="1">IFERROR(__xludf.DUMMYFUNCTION("""COMPUTED_VALUE"""),"LAYAK UPLOAD KE SIMBELMAWA DENGAN REVISI")</f>
        <v>LAYAK UPLOAD KE SIMBELMAWA DENGAN REVISI</v>
      </c>
      <c r="E205" s="7" t="str">
        <f ca="1">IFERROR(__xludf.DUMMYFUNCTION("""COMPUTED_VALUE"""),"https://drive.google.com/open?id=1XkkQWgkQPd9JTiVvrD8G-z11ayKksMGX")</f>
        <v>https://drive.google.com/open?id=1XkkQWgkQPd9JTiVvrD8G-z11ayKksMGX</v>
      </c>
      <c r="F205" s="1">
        <f t="shared" ca="1" si="0"/>
        <v>0</v>
      </c>
      <c r="H205" s="4"/>
      <c r="I205" s="4"/>
      <c r="J205" s="4"/>
      <c r="K205" s="4"/>
      <c r="L205" s="4"/>
    </row>
    <row r="206" spans="1:12">
      <c r="A206" s="1">
        <f ca="1">IFERROR(__xludf.DUMMYFUNCTION("""COMPUTED_VALUE"""),3252)</f>
        <v>3252</v>
      </c>
      <c r="B206" s="1" t="str">
        <f ca="1">IFERROR(__xludf.DUMMYFUNCTION("""COMPUTED_VALUE"""),"PKM K")</f>
        <v>PKM K</v>
      </c>
      <c r="C206" s="1" t="str">
        <f ca="1">IFERROR(__xludf.DUMMYFUNCTION("""COMPUTED_VALUE"""),"model bisnis kurang mengacu pada konsumen, lebih pada produksi")</f>
        <v>model bisnis kurang mengacu pada konsumen, lebih pada produksi</v>
      </c>
      <c r="D206" s="1" t="str">
        <f ca="1">IFERROR(__xludf.DUMMYFUNCTION("""COMPUTED_VALUE"""),"LAYAK UPLOAD KE SIMBELMAWA DENGAN REVISI")</f>
        <v>LAYAK UPLOAD KE SIMBELMAWA DENGAN REVISI</v>
      </c>
      <c r="E206" s="7" t="str">
        <f ca="1">IFERROR(__xludf.DUMMYFUNCTION("""COMPUTED_VALUE"""),"https://drive.google.com/open?id=1sLV7SBAAP45asrmwQDpOy3YFRZfeaeDl")</f>
        <v>https://drive.google.com/open?id=1sLV7SBAAP45asrmwQDpOy3YFRZfeaeDl</v>
      </c>
      <c r="F206" s="1">
        <f t="shared" ca="1" si="0"/>
        <v>0</v>
      </c>
      <c r="H206" s="4"/>
      <c r="I206" s="4"/>
      <c r="J206" s="4"/>
      <c r="K206" s="4"/>
      <c r="L206" s="4"/>
    </row>
    <row r="207" spans="1:12">
      <c r="A207" s="1">
        <f ca="1">IFERROR(__xludf.DUMMYFUNCTION("""COMPUTED_VALUE"""),2104)</f>
        <v>2104</v>
      </c>
      <c r="B207" s="1" t="str">
        <f ca="1">IFERROR(__xludf.DUMMYFUNCTION("""COMPUTED_VALUE"""),"PKM K")</f>
        <v>PKM K</v>
      </c>
      <c r="C207" s="1" t="str">
        <f ca="1">IFERROR(__xludf.DUMMYFUNCTION("""COMPUTED_VALUE"""),"daftar isi spasi masih 1.5, belum 1.15; definisi aplikasi lainnya itu apa?; poenjabaran mengenai bab 3 tidak ada; substansi anggaran tdk sesuai pedoman")</f>
        <v>daftar isi spasi masih 1.5, belum 1.15; definisi aplikasi lainnya itu apa?; poenjabaran mengenai bab 3 tidak ada; substansi anggaran tdk sesuai pedoman</v>
      </c>
      <c r="D207" s="1" t="str">
        <f ca="1">IFERROR(__xludf.DUMMYFUNCTION("""COMPUTED_VALUE"""),"TIDAK LAYAK UPLOAD KE SIMBELMAWA")</f>
        <v>TIDAK LAYAK UPLOAD KE SIMBELMAWA</v>
      </c>
      <c r="E207" s="7" t="str">
        <f ca="1">IFERROR(__xludf.DUMMYFUNCTION("""COMPUTED_VALUE"""),"https://drive.google.com/open?id=1Nx4tFOvVK-eBsPODH0vAto2YkTkhdfwG")</f>
        <v>https://drive.google.com/open?id=1Nx4tFOvVK-eBsPODH0vAto2YkTkhdfwG</v>
      </c>
      <c r="F207" s="1">
        <f t="shared" ca="1" si="0"/>
        <v>0</v>
      </c>
      <c r="H207" s="4"/>
      <c r="I207" s="4"/>
      <c r="J207" s="4"/>
      <c r="K207" s="4"/>
      <c r="L207" s="4"/>
    </row>
    <row r="208" spans="1:12">
      <c r="A208" s="1">
        <f ca="1">IFERROR(__xludf.DUMMYFUNCTION("""COMPUTED_VALUE"""),2513)</f>
        <v>2513</v>
      </c>
      <c r="B208" s="1" t="str">
        <f ca="1">IFERROR(__xludf.DUMMYFUNCTION("""COMPUTED_VALUE"""),"PKM K")</f>
        <v>PKM K</v>
      </c>
      <c r="C208" s="1" t="str">
        <f ca="1">IFERROR(__xludf.DUMMYFUNCTION("""COMPUTED_VALUE"""),"daftar isi spasi masih 1.5, belum 1.15; latar belakang tidak memunculkan kecemerlangan BISNIS; jumlah halaman lebih dr 10; lampiran masih februari, ganti ke maret; prinsip ide bukan menampilkan bisnis, melainkan cenderung ke KC")</f>
        <v>daftar isi spasi masih 1.5, belum 1.15; latar belakang tidak memunculkan kecemerlangan BISNIS; jumlah halaman lebih dr 10; lampiran masih februari, ganti ke maret; prinsip ide bukan menampilkan bisnis, melainkan cenderung ke KC</v>
      </c>
      <c r="D208" s="1" t="str">
        <f ca="1">IFERROR(__xludf.DUMMYFUNCTION("""COMPUTED_VALUE"""),"TIDAK LAYAK UPLOAD KE SIMBELMAWA")</f>
        <v>TIDAK LAYAK UPLOAD KE SIMBELMAWA</v>
      </c>
      <c r="E208" s="7" t="str">
        <f ca="1">IFERROR(__xludf.DUMMYFUNCTION("""COMPUTED_VALUE"""),"https://drive.google.com/open?id=1muN8zOHz7uAKttx7EpYrZLYvxneg0e8i")</f>
        <v>https://drive.google.com/open?id=1muN8zOHz7uAKttx7EpYrZLYvxneg0e8i</v>
      </c>
      <c r="F208" s="1">
        <f t="shared" ca="1" si="0"/>
        <v>0</v>
      </c>
      <c r="H208" s="4"/>
      <c r="I208" s="4"/>
      <c r="J208" s="4"/>
      <c r="K208" s="4"/>
      <c r="L208" s="4"/>
    </row>
    <row r="209" spans="1:12">
      <c r="A209" s="1">
        <f ca="1">IFERROR(__xludf.DUMMYFUNCTION("""COMPUTED_VALUE"""),2782)</f>
        <v>2782</v>
      </c>
      <c r="B209" s="1" t="str">
        <f ca="1">IFERROR(__xludf.DUMMYFUNCTION("""COMPUTED_VALUE"""),"PKM K")</f>
        <v>PKM K</v>
      </c>
      <c r="C209" s="1" t="str">
        <f ca="1">IFERROR(__xludf.DUMMYFUNCTION("""COMPUTED_VALUE"""),"Anggaran masih 10 jt, daftar isi masih spasi 1.5; kelayakan bisnis kurang, krn sifatnya masih eksperimental")</f>
        <v>Anggaran masih 10 jt, daftar isi masih spasi 1.5; kelayakan bisnis kurang, krn sifatnya masih eksperimental</v>
      </c>
      <c r="D209" s="1" t="str">
        <f ca="1">IFERROR(__xludf.DUMMYFUNCTION("""COMPUTED_VALUE"""),"TIDAK LAYAK UPLOAD KE SIMBELMAWA")</f>
        <v>TIDAK LAYAK UPLOAD KE SIMBELMAWA</v>
      </c>
      <c r="E209" s="7" t="str">
        <f ca="1">IFERROR(__xludf.DUMMYFUNCTION("""COMPUTED_VALUE"""),"https://drive.google.com/open?id=1cQxTz4I5fD-a0SSWP58e0MPa5NhiYx6Q")</f>
        <v>https://drive.google.com/open?id=1cQxTz4I5fD-a0SSWP58e0MPa5NhiYx6Q</v>
      </c>
      <c r="F209" s="1">
        <f t="shared" ca="1" si="0"/>
        <v>0</v>
      </c>
      <c r="H209" s="4"/>
      <c r="I209" s="4"/>
      <c r="J209" s="4"/>
      <c r="K209" s="4"/>
      <c r="L209" s="4"/>
    </row>
    <row r="210" spans="1:12">
      <c r="A210" s="1">
        <f ca="1">IFERROR(__xludf.DUMMYFUNCTION("""COMPUTED_VALUE"""),2362)</f>
        <v>2362</v>
      </c>
      <c r="B210" s="1" t="str">
        <f ca="1">IFERROR(__xludf.DUMMYFUNCTION("""COMPUTED_VALUE"""),"PKM K")</f>
        <v>PKM K</v>
      </c>
      <c r="C210" s="1" t="str">
        <f ca="1">IFERROR(__xludf.DUMMYFUNCTION("""COMPUTED_VALUE"""),"masih melakukan uji, belum menjadi PKMK; masih terlalu fokus pada pembuatan, belum pada bisnis")</f>
        <v>masih melakukan uji, belum menjadi PKMK; masih terlalu fokus pada pembuatan, belum pada bisnis</v>
      </c>
      <c r="D210" s="1" t="str">
        <f ca="1">IFERROR(__xludf.DUMMYFUNCTION("""COMPUTED_VALUE"""),"TIDAK LAYAK UPLOAD KE SIMBELMAWA")</f>
        <v>TIDAK LAYAK UPLOAD KE SIMBELMAWA</v>
      </c>
      <c r="E210" s="7" t="str">
        <f ca="1">IFERROR(__xludf.DUMMYFUNCTION("""COMPUTED_VALUE"""),"https://drive.google.com/open?id=1cC7D6SpI6teUYvdlOex2DbaEjbTe-LqB")</f>
        <v>https://drive.google.com/open?id=1cC7D6SpI6teUYvdlOex2DbaEjbTe-LqB</v>
      </c>
      <c r="F210" s="1">
        <f t="shared" ca="1" si="0"/>
        <v>0</v>
      </c>
      <c r="H210" s="4"/>
      <c r="I210" s="4"/>
      <c r="J210" s="4"/>
      <c r="K210" s="4"/>
      <c r="L210" s="4"/>
    </row>
    <row r="211" spans="1:12">
      <c r="A211" s="1">
        <f ca="1">IFERROR(__xludf.DUMMYFUNCTION("""COMPUTED_VALUE"""),2439)</f>
        <v>2439</v>
      </c>
      <c r="B211" s="1" t="str">
        <f ca="1">IFERROR(__xludf.DUMMYFUNCTION("""COMPUTED_VALUE"""),"PKM K")</f>
        <v>PKM K</v>
      </c>
      <c r="C211" s="1" t="str">
        <f ca="1">IFERROR(__xludf.DUMMYFUNCTION("""COMPUTED_VALUE"""),"Kreativitas tidak muncul; format penulisan tidak mengikuti panduan; ttd di lampiran crop")</f>
        <v>Kreativitas tidak muncul; format penulisan tidak mengikuti panduan; ttd di lampiran crop</v>
      </c>
      <c r="D211" s="1" t="str">
        <f ca="1">IFERROR(__xludf.DUMMYFUNCTION("""COMPUTED_VALUE"""),"TIDAK LAYAK UPLOAD KE SIMBELMAWA")</f>
        <v>TIDAK LAYAK UPLOAD KE SIMBELMAWA</v>
      </c>
      <c r="E211" s="1"/>
      <c r="F211" s="1">
        <f t="shared" ca="1" si="0"/>
        <v>0</v>
      </c>
      <c r="H211" s="4"/>
      <c r="I211" s="4"/>
      <c r="J211" s="4"/>
      <c r="K211" s="4"/>
      <c r="L211" s="4"/>
    </row>
    <row r="212" spans="1:12">
      <c r="A212" s="1">
        <f ca="1">IFERROR(__xludf.DUMMYFUNCTION("""COMPUTED_VALUE"""),3909)</f>
        <v>3909</v>
      </c>
      <c r="B212" s="1" t="str">
        <f ca="1">IFERROR(__xludf.DUMMYFUNCTION("""COMPUTED_VALUE"""),"PKM K")</f>
        <v>PKM K</v>
      </c>
      <c r="C212" s="1" t="str">
        <f ca="1">IFERROR(__xludf.DUMMYFUNCTION("""COMPUTED_VALUE"""),"lampiran masih bulan februari; anggaran masih bisa ditingkatkan")</f>
        <v>lampiran masih bulan februari; anggaran masih bisa ditingkatkan</v>
      </c>
      <c r="D212" s="1" t="str">
        <f ca="1">IFERROR(__xludf.DUMMYFUNCTION("""COMPUTED_VALUE"""),"LAYAK UPLOAD KE SIMBELMAWA DENGAN REVISI")</f>
        <v>LAYAK UPLOAD KE SIMBELMAWA DENGAN REVISI</v>
      </c>
      <c r="E212" s="7" t="str">
        <f ca="1">IFERROR(__xludf.DUMMYFUNCTION("""COMPUTED_VALUE"""),"https://drive.google.com/open?id=1OtAFqZwpT_IaukHBHdDlFkURgTRs1hx-")</f>
        <v>https://drive.google.com/open?id=1OtAFqZwpT_IaukHBHdDlFkURgTRs1hx-</v>
      </c>
      <c r="F212" s="1">
        <f t="shared" ca="1" si="0"/>
        <v>0</v>
      </c>
      <c r="H212" s="4"/>
      <c r="I212" s="4"/>
      <c r="J212" s="4"/>
      <c r="K212" s="4"/>
      <c r="L212" s="4"/>
    </row>
    <row r="213" spans="1:12">
      <c r="A213" s="1">
        <f ca="1">IFERROR(__xludf.DUMMYFUNCTION("""COMPUTED_VALUE"""),2982)</f>
        <v>2982</v>
      </c>
      <c r="B213" s="1" t="str">
        <f ca="1">IFERROR(__xludf.DUMMYFUNCTION("""COMPUTED_VALUE"""),"PKM K")</f>
        <v>PKM K</v>
      </c>
      <c r="C213" s="1" t="str">
        <f ca="1">IFERROR(__xludf.DUMMYFUNCTION("""COMPUTED_VALUE"""),"-")</f>
        <v>-</v>
      </c>
      <c r="D213" s="1" t="str">
        <f ca="1">IFERROR(__xludf.DUMMYFUNCTION("""COMPUTED_VALUE"""),"LAYAK UPLOAD KE SIMBELMAWA")</f>
        <v>LAYAK UPLOAD KE SIMBELMAWA</v>
      </c>
      <c r="E213" s="7" t="str">
        <f ca="1">IFERROR(__xludf.DUMMYFUNCTION("""COMPUTED_VALUE"""),"https://drive.google.com/open?id=1KOWShsgFWOrk6CXt7e05O2B1uWcNR2pl")</f>
        <v>https://drive.google.com/open?id=1KOWShsgFWOrk6CXt7e05O2B1uWcNR2pl</v>
      </c>
      <c r="F213" s="1">
        <f t="shared" ca="1" si="0"/>
        <v>0</v>
      </c>
      <c r="H213" s="4"/>
      <c r="I213" s="4"/>
      <c r="J213" s="4"/>
      <c r="K213" s="4"/>
      <c r="L213" s="4"/>
    </row>
    <row r="214" spans="1:12">
      <c r="A214" s="1">
        <f ca="1">IFERROR(__xludf.DUMMYFUNCTION("""COMPUTED_VALUE"""),2858)</f>
        <v>2858</v>
      </c>
      <c r="B214" s="1" t="str">
        <f ca="1">IFERROR(__xludf.DUMMYFUNCTION("""COMPUTED_VALUE"""),"PKM K")</f>
        <v>PKM K</v>
      </c>
      <c r="C214" s="1" t="str">
        <f ca="1">IFERROR(__xludf.DUMMYFUNCTION("""COMPUTED_VALUE"""),"Jumlah anggaran PT tidak boleh lebih dari 1.750.000")</f>
        <v>Jumlah anggaran PT tidak boleh lebih dari 1.750.000</v>
      </c>
      <c r="D214" s="1" t="str">
        <f ca="1">IFERROR(__xludf.DUMMYFUNCTION("""COMPUTED_VALUE"""),"LAYAK UPLOAD KE SIMBELMAWA DENGAN REVISI")</f>
        <v>LAYAK UPLOAD KE SIMBELMAWA DENGAN REVISI</v>
      </c>
      <c r="E214" s="7" t="str">
        <f ca="1">IFERROR(__xludf.DUMMYFUNCTION("""COMPUTED_VALUE"""),"https://drive.google.com/open?id=1ohlsf5rBqFoyE8P3pNNJSfgTML_l4URW")</f>
        <v>https://drive.google.com/open?id=1ohlsf5rBqFoyE8P3pNNJSfgTML_l4URW</v>
      </c>
      <c r="F214" s="1">
        <f t="shared" ca="1" si="0"/>
        <v>0</v>
      </c>
      <c r="H214" s="4"/>
      <c r="I214" s="4"/>
      <c r="J214" s="4"/>
      <c r="K214" s="4"/>
      <c r="L214" s="4"/>
    </row>
    <row r="215" spans="1:12">
      <c r="A215" s="1">
        <f ca="1">IFERROR(__xludf.DUMMYFUNCTION("""COMPUTED_VALUE"""),2581)</f>
        <v>2581</v>
      </c>
      <c r="B215" s="1" t="str">
        <f ca="1">IFERROR(__xludf.DUMMYFUNCTION("""COMPUTED_VALUE"""),"PKM K")</f>
        <v>PKM K</v>
      </c>
      <c r="C215" s="1" t="str">
        <f ca="1">IFERROR(__xludf.DUMMYFUNCTION("""COMPUTED_VALUE"""),"antara anggran dan justrifikasi tidak sama. PBP tidak masuk akal harus 26 bulan, belum tentu bisnis masih berjalan; keunggulan dibandingkan produk sejenis tidak muncul; lamprian masih februari")</f>
        <v>antara anggran dan justrifikasi tidak sama. PBP tidak masuk akal harus 26 bulan, belum tentu bisnis masih berjalan; keunggulan dibandingkan produk sejenis tidak muncul; lamprian masih februari</v>
      </c>
      <c r="D215" s="1" t="str">
        <f ca="1">IFERROR(__xludf.DUMMYFUNCTION("""COMPUTED_VALUE"""),"TIDAK LAYAK UPLOAD KE SIMBELMAWA")</f>
        <v>TIDAK LAYAK UPLOAD KE SIMBELMAWA</v>
      </c>
      <c r="E215" s="7" t="str">
        <f ca="1">IFERROR(__xludf.DUMMYFUNCTION("""COMPUTED_VALUE"""),"https://drive.google.com/open?id=1Q9KkUQiQum9M2orLrOUvR-Uv1ughXPfb")</f>
        <v>https://drive.google.com/open?id=1Q9KkUQiQum9M2orLrOUvR-Uv1ughXPfb</v>
      </c>
      <c r="F215" s="1">
        <f t="shared" ca="1" si="0"/>
        <v>0</v>
      </c>
      <c r="H215" s="4"/>
      <c r="I215" s="4"/>
      <c r="J215" s="4"/>
      <c r="K215" s="4"/>
      <c r="L215" s="4"/>
    </row>
    <row r="216" spans="1:12">
      <c r="A216" s="1">
        <f ca="1">IFERROR(__xludf.DUMMYFUNCTION("""COMPUTED_VALUE"""),2340)</f>
        <v>2340</v>
      </c>
      <c r="B216" s="1" t="str">
        <f ca="1">IFERROR(__xludf.DUMMYFUNCTION("""COMPUTED_VALUE"""),"PKM K")</f>
        <v>PKM K</v>
      </c>
      <c r="C216" s="1" t="str">
        <f ca="1">IFERROR(__xludf.DUMMYFUNCTION("""COMPUTED_VALUE"""),"-")</f>
        <v>-</v>
      </c>
      <c r="D216" s="1" t="str">
        <f ca="1">IFERROR(__xludf.DUMMYFUNCTION("""COMPUTED_VALUE"""),"LAYAK UPLOAD KE SIMBELMAWA")</f>
        <v>LAYAK UPLOAD KE SIMBELMAWA</v>
      </c>
      <c r="E216" s="7" t="str">
        <f ca="1">IFERROR(__xludf.DUMMYFUNCTION("""COMPUTED_VALUE"""),"https://drive.google.com/open?id=1i10XRzBUgn8S5MNr43-ufeagiKpwMZWg")</f>
        <v>https://drive.google.com/open?id=1i10XRzBUgn8S5MNr43-ufeagiKpwMZWg</v>
      </c>
      <c r="F216" s="1">
        <f t="shared" ca="1" si="0"/>
        <v>0</v>
      </c>
      <c r="H216" s="4"/>
      <c r="I216" s="4"/>
      <c r="J216" s="4"/>
      <c r="K216" s="4"/>
      <c r="L216" s="4"/>
    </row>
    <row r="217" spans="1:12">
      <c r="A217" s="1">
        <f ca="1">IFERROR(__xludf.DUMMYFUNCTION("""COMPUTED_VALUE"""),2262)</f>
        <v>2262</v>
      </c>
      <c r="B217" s="1" t="str">
        <f ca="1">IFERROR(__xludf.DUMMYFUNCTION("""COMPUTED_VALUE"""),"PKM K")</f>
        <v>PKM K</v>
      </c>
      <c r="C217" s="1" t="str">
        <f ca="1">IFERROR(__xludf.DUMMYFUNCTION("""COMPUTED_VALUE"""),"tidak ada analisis kompetitor membuat proposal ini menjadi tidak muncul segi kreativitasnya
Mengapa board game tidak muncul urgensi dan apa yang akan membuat permainan ini ""laku"" tidak dimunculkan
fokusnya masih pada pembuatan, belum bisnis")</f>
        <v>tidak ada analisis kompetitor membuat proposal ini menjadi tidak muncul segi kreativitasnya
Mengapa board game tidak muncul urgensi dan apa yang akan membuat permainan ini "laku" tidak dimunculkan
fokusnya masih pada pembuatan, belum bisnis</v>
      </c>
      <c r="D217" s="1" t="str">
        <f ca="1">IFERROR(__xludf.DUMMYFUNCTION("""COMPUTED_VALUE"""),"LAYAK UPLOAD KE SIMBELMAWA DENGAN REVISI")</f>
        <v>LAYAK UPLOAD KE SIMBELMAWA DENGAN REVISI</v>
      </c>
      <c r="E217" s="7" t="str">
        <f ca="1">IFERROR(__xludf.DUMMYFUNCTION("""COMPUTED_VALUE"""),"https://drive.google.com/open?id=1uV_eMYEkLIJeXcEd9il2rg4QqJQHhpNo")</f>
        <v>https://drive.google.com/open?id=1uV_eMYEkLIJeXcEd9il2rg4QqJQHhpNo</v>
      </c>
      <c r="F217" s="1">
        <f t="shared" ca="1" si="0"/>
        <v>0</v>
      </c>
      <c r="H217" s="4"/>
      <c r="I217" s="4"/>
      <c r="J217" s="4"/>
      <c r="K217" s="4"/>
      <c r="L217" s="4"/>
    </row>
    <row r="218" spans="1:12">
      <c r="A218" s="1">
        <f ca="1">IFERROR(__xludf.DUMMYFUNCTION("""COMPUTED_VALUE"""),2098)</f>
        <v>2098</v>
      </c>
      <c r="B218" s="1" t="str">
        <f ca="1">IFERROR(__xludf.DUMMYFUNCTION("""COMPUTED_VALUE"""),"PKM K")</f>
        <v>PKM K</v>
      </c>
      <c r="C218" s="1" t="str">
        <f ca="1">IFERROR(__xludf.DUMMYFUNCTION("""COMPUTED_VALUE"""),"surat pernyataan tidak ada materai
anggaran di badan isi proposal belum dilakukan pemecahan
analisis kompetitor belum muncul dengan baik sehingga muncul kreativitasnya")</f>
        <v>surat pernyataan tidak ada materai
anggaran di badan isi proposal belum dilakukan pemecahan
analisis kompetitor belum muncul dengan baik sehingga muncul kreativitasnya</v>
      </c>
      <c r="D218" s="1" t="str">
        <f ca="1">IFERROR(__xludf.DUMMYFUNCTION("""COMPUTED_VALUE"""),"LAYAK UPLOAD KE SIMBELMAWA DENGAN REVISI")</f>
        <v>LAYAK UPLOAD KE SIMBELMAWA DENGAN REVISI</v>
      </c>
      <c r="E218" s="7" t="str">
        <f ca="1">IFERROR(__xludf.DUMMYFUNCTION("""COMPUTED_VALUE"""),"https://drive.google.com/open?id=1SK5mmRPHHANct5Zk8TIROXGD37Dfz5Ay")</f>
        <v>https://drive.google.com/open?id=1SK5mmRPHHANct5Zk8TIROXGD37Dfz5Ay</v>
      </c>
      <c r="F218" s="1">
        <f t="shared" ca="1" si="0"/>
        <v>0</v>
      </c>
      <c r="H218" s="4"/>
      <c r="I218" s="4"/>
      <c r="J218" s="4"/>
      <c r="K218" s="4"/>
      <c r="L218" s="4"/>
    </row>
    <row r="219" spans="1:12">
      <c r="A219" s="1">
        <f ca="1">IFERROR(__xludf.DUMMYFUNCTION("""COMPUTED_VALUE"""),3966)</f>
        <v>3966</v>
      </c>
      <c r="B219" s="1" t="str">
        <f ca="1">IFERROR(__xludf.DUMMYFUNCTION("""COMPUTED_VALUE"""),"PKM K")</f>
        <v>PKM K</v>
      </c>
      <c r="C219" s="1" t="str">
        <f ca="1">IFERROR(__xludf.DUMMYFUNCTION("""COMPUTED_VALUE""")," ")</f>
        <v xml:space="preserve"> </v>
      </c>
      <c r="D219" s="1" t="str">
        <f ca="1">IFERROR(__xludf.DUMMYFUNCTION("""COMPUTED_VALUE""")," ")</f>
        <v xml:space="preserve"> </v>
      </c>
      <c r="E219" s="1"/>
      <c r="F219" s="1">
        <f t="shared" ca="1" si="0"/>
        <v>2</v>
      </c>
      <c r="H219" s="4"/>
      <c r="I219" s="4"/>
      <c r="J219" s="4"/>
      <c r="K219" s="4"/>
      <c r="L219" s="4"/>
    </row>
    <row r="220" spans="1:12">
      <c r="A220" s="1">
        <f ca="1">IFERROR(__xludf.DUMMYFUNCTION("""COMPUTED_VALUE"""),2667)</f>
        <v>2667</v>
      </c>
      <c r="B220" s="1" t="str">
        <f ca="1">IFERROR(__xludf.DUMMYFUNCTION("""COMPUTED_VALUE"""),"PKM K")</f>
        <v>PKM K</v>
      </c>
      <c r="C220" s="1" t="str">
        <f ca="1">IFERROR(__xludf.DUMMYFUNCTION("""COMPUTED_VALUE"""),"halaman lebih dari 10, latar belakang usaha tidak kuat")</f>
        <v>halaman lebih dari 10, latar belakang usaha tidak kuat</v>
      </c>
      <c r="D220" s="1" t="str">
        <f ca="1">IFERROR(__xludf.DUMMYFUNCTION("""COMPUTED_VALUE"""),"TIDAK LAYAK UPLOAD KE SIMBELMAWA")</f>
        <v>TIDAK LAYAK UPLOAD KE SIMBELMAWA</v>
      </c>
      <c r="E220" s="7" t="str">
        <f ca="1">IFERROR(__xludf.DUMMYFUNCTION("""COMPUTED_VALUE"""),"https://drive.google.com/open?id=1obki3iu3yHccyNxbJsfiaMzoGbTFqTNV")</f>
        <v>https://drive.google.com/open?id=1obki3iu3yHccyNxbJsfiaMzoGbTFqTNV</v>
      </c>
      <c r="F220" s="1">
        <f t="shared" ca="1" si="0"/>
        <v>0</v>
      </c>
      <c r="H220" s="4"/>
      <c r="I220" s="4"/>
      <c r="J220" s="4"/>
      <c r="K220" s="4"/>
      <c r="L220" s="4"/>
    </row>
    <row r="221" spans="1:12">
      <c r="A221" s="1">
        <f ca="1">IFERROR(__xludf.DUMMYFUNCTION("""COMPUTED_VALUE"""),2267)</f>
        <v>2267</v>
      </c>
      <c r="B221" s="1" t="str">
        <f ca="1">IFERROR(__xludf.DUMMYFUNCTION("""COMPUTED_VALUE"""),"PKM K")</f>
        <v>PKM K</v>
      </c>
      <c r="C221" s="1" t="str">
        <f ca="1">IFERROR(__xludf.DUMMYFUNCTION("""COMPUTED_VALUE""")," ")</f>
        <v xml:space="preserve"> </v>
      </c>
      <c r="D221" s="1" t="str">
        <f ca="1">IFERROR(__xludf.DUMMYFUNCTION("""COMPUTED_VALUE""")," ")</f>
        <v xml:space="preserve"> </v>
      </c>
      <c r="E221" s="1"/>
      <c r="F221" s="1">
        <f t="shared" ca="1" si="0"/>
        <v>2</v>
      </c>
      <c r="H221" s="4"/>
      <c r="I221" s="4"/>
      <c r="J221" s="4"/>
      <c r="K221" s="4"/>
      <c r="L221" s="4"/>
    </row>
    <row r="222" spans="1:12">
      <c r="A222" s="1">
        <f ca="1">IFERROR(__xludf.DUMMYFUNCTION("""COMPUTED_VALUE"""),3628)</f>
        <v>3628</v>
      </c>
      <c r="B222" s="1" t="str">
        <f ca="1">IFERROR(__xludf.DUMMYFUNCTION("""COMPUTED_VALUE"""),"PKM K")</f>
        <v>PKM K</v>
      </c>
      <c r="C222" s="1" t="str">
        <f ca="1">IFERROR(__xludf.DUMMYFUNCTION("""COMPUTED_VALUE"""),"latar belakang: Potensi pasar belum nampak, spesifikasi teknis belum terjabarkan secara detil. Keunggulan produk belum signifikan. Surat pernyataan ketua masih pakai format lama.")</f>
        <v>latar belakang: Potensi pasar belum nampak, spesifikasi teknis belum terjabarkan secara detil. Keunggulan produk belum signifikan. Surat pernyataan ketua masih pakai format lama.</v>
      </c>
      <c r="D222" s="1" t="str">
        <f ca="1">IFERROR(__xludf.DUMMYFUNCTION("""COMPUTED_VALUE"""),"LAYAK UPLOAD KE SIMBELMAWA DENGAN REVISI")</f>
        <v>LAYAK UPLOAD KE SIMBELMAWA DENGAN REVISI</v>
      </c>
      <c r="E222" s="7" t="str">
        <f ca="1">IFERROR(__xludf.DUMMYFUNCTION("""COMPUTED_VALUE"""),"https://drive.google.com/open?id=1BmdbPI-L5RY3w_O6ZhrCfG0Pa8ib1mIN")</f>
        <v>https://drive.google.com/open?id=1BmdbPI-L5RY3w_O6ZhrCfG0Pa8ib1mIN</v>
      </c>
      <c r="F222" s="1">
        <f t="shared" ca="1" si="0"/>
        <v>0</v>
      </c>
      <c r="H222" s="4"/>
      <c r="I222" s="4"/>
      <c r="J222" s="4"/>
      <c r="K222" s="4"/>
      <c r="L222" s="4"/>
    </row>
    <row r="223" spans="1:12">
      <c r="A223" s="1">
        <f ca="1">IFERROR(__xludf.DUMMYFUNCTION("""COMPUTED_VALUE"""),2561)</f>
        <v>2561</v>
      </c>
      <c r="B223" s="1" t="str">
        <f ca="1">IFERROR(__xludf.DUMMYFUNCTION("""COMPUTED_VALUE"""),"PKM K")</f>
        <v>PKM K</v>
      </c>
      <c r="C223" s="1" t="str">
        <f ca="1">IFERROR(__xludf.DUMMYFUNCTION("""COMPUTED_VALUE"""),"masih unggah proposal 1x, ada daftar isi (?), margin tidak tepat/tidak seragam, nomor halaman isi seharusnya di kanan atas. format lampiran masih pakai yang lama. tidak ada surat pernyataan ketua. banyak salah ketik,  tidak ada penarikan referensi/rujukan"&amp;", potensi pasar, detail produk, keunggulan kompetitif produk pada latar belakang, tidak ada cashflow 2 tahun")</f>
        <v>masih unggah proposal 1x, ada daftar isi (?), margin tidak tepat/tidak seragam, nomor halaman isi seharusnya di kanan atas. format lampiran masih pakai yang lama. tidak ada surat pernyataan ketua. banyak salah ketik,  tidak ada penarikan referensi/rujukan, potensi pasar, detail produk, keunggulan kompetitif produk pada latar belakang, tidak ada cashflow 2 tahun</v>
      </c>
      <c r="D223" s="1" t="str">
        <f ca="1">IFERROR(__xludf.DUMMYFUNCTION("""COMPUTED_VALUE"""),"TIDAK LAYAK UPLOAD KE SIMBELMAWA")</f>
        <v>TIDAK LAYAK UPLOAD KE SIMBELMAWA</v>
      </c>
      <c r="E223" s="1"/>
      <c r="F223" s="1">
        <f t="shared" ca="1" si="0"/>
        <v>0</v>
      </c>
      <c r="H223" s="4"/>
      <c r="I223" s="4"/>
      <c r="J223" s="4"/>
      <c r="K223" s="4"/>
      <c r="L223" s="4"/>
    </row>
    <row r="224" spans="1:12">
      <c r="A224" s="1">
        <f ca="1">IFERROR(__xludf.DUMMYFUNCTION("""COMPUTED_VALUE"""),3624)</f>
        <v>3624</v>
      </c>
      <c r="B224" s="1" t="str">
        <f ca="1">IFERROR(__xludf.DUMMYFUNCTION("""COMPUTED_VALUE"""),"PKM K")</f>
        <v>PKM K</v>
      </c>
      <c r="C224" s="1" t="str">
        <f ca="1">IFERROR(__xludf.DUMMYFUNCTION("""COMPUTED_VALUE"""),"tidak ada dokumen")</f>
        <v>tidak ada dokumen</v>
      </c>
      <c r="D224" s="1" t="str">
        <f ca="1">IFERROR(__xludf.DUMMYFUNCTION("""COMPUTED_VALUE"""),"TIDAK LAYAK UPLOAD KE SIMBELMAWA")</f>
        <v>TIDAK LAYAK UPLOAD KE SIMBELMAWA</v>
      </c>
      <c r="E224" s="7" t="str">
        <f ca="1">IFERROR(__xludf.DUMMYFUNCTION("""COMPUTED_VALUE"""),"https://drive.google.com/open?id=1b_0VBZgrjPTWYy3a6ZMm7gsiUZP7jDfT")</f>
        <v>https://drive.google.com/open?id=1b_0VBZgrjPTWYy3a6ZMm7gsiUZP7jDfT</v>
      </c>
      <c r="F224" s="1">
        <f t="shared" ca="1" si="0"/>
        <v>0</v>
      </c>
      <c r="H224" s="4"/>
      <c r="I224" s="4"/>
      <c r="J224" s="4"/>
      <c r="K224" s="4"/>
      <c r="L224" s="4"/>
    </row>
    <row r="225" spans="1:12">
      <c r="A225" s="1">
        <f ca="1">IFERROR(__xludf.DUMMYFUNCTION("""COMPUTED_VALUE"""),2910)</f>
        <v>2910</v>
      </c>
      <c r="B225" s="1" t="str">
        <f ca="1">IFERROR(__xludf.DUMMYFUNCTION("""COMPUTED_VALUE"""),"PKM K")</f>
        <v>PKM K</v>
      </c>
      <c r="C225" s="1" t="str">
        <f ca="1">IFERROR(__xludf.DUMMYFUNCTION("""COMPUTED_VALUE"""),"sudah disampaikan mahasiswa")</f>
        <v>sudah disampaikan mahasiswa</v>
      </c>
      <c r="D225" s="1" t="str">
        <f ca="1">IFERROR(__xludf.DUMMYFUNCTION("""COMPUTED_VALUE"""),"LAYAK UPLOAD KE SIMBELMAWA DENGAN REVISI")</f>
        <v>LAYAK UPLOAD KE SIMBELMAWA DENGAN REVISI</v>
      </c>
      <c r="E225" s="1"/>
      <c r="F225" s="1">
        <f t="shared" ca="1" si="0"/>
        <v>0</v>
      </c>
      <c r="H225" s="4"/>
      <c r="I225" s="4"/>
      <c r="J225" s="4"/>
      <c r="K225" s="4"/>
      <c r="L225" s="4"/>
    </row>
    <row r="226" spans="1:12">
      <c r="A226" s="1">
        <f ca="1">IFERROR(__xludf.DUMMYFUNCTION("""COMPUTED_VALUE"""),2510)</f>
        <v>2510</v>
      </c>
      <c r="B226" s="1" t="str">
        <f ca="1">IFERROR(__xludf.DUMMYFUNCTION("""COMPUTED_VALUE"""),"PKM K")</f>
        <v>PKM K</v>
      </c>
      <c r="C226" s="1" t="str">
        <f ca="1">IFERROR(__xludf.DUMMYFUNCTION("""COMPUTED_VALUE"""),"tidak ada dokumen yang diunggah")</f>
        <v>tidak ada dokumen yang diunggah</v>
      </c>
      <c r="D226" s="1" t="str">
        <f ca="1">IFERROR(__xludf.DUMMYFUNCTION("""COMPUTED_VALUE"""),"TIDAK LAYAK UPLOAD KE SIMBELMAWA")</f>
        <v>TIDAK LAYAK UPLOAD KE SIMBELMAWA</v>
      </c>
      <c r="E226" s="1"/>
      <c r="F226" s="1">
        <f t="shared" ca="1" si="0"/>
        <v>0</v>
      </c>
      <c r="H226" s="4"/>
      <c r="I226" s="4"/>
      <c r="J226" s="4"/>
      <c r="K226" s="4"/>
      <c r="L226" s="4"/>
    </row>
    <row r="227" spans="1:12">
      <c r="A227" s="1">
        <f ca="1">IFERROR(__xludf.DUMMYFUNCTION("""COMPUTED_VALUE"""),2737)</f>
        <v>2737</v>
      </c>
      <c r="B227" s="1" t="str">
        <f ca="1">IFERROR(__xludf.DUMMYFUNCTION("""COMPUTED_VALUE"""),"PKM K")</f>
        <v>PKM K</v>
      </c>
      <c r="C227" s="1" t="str">
        <f ca="1">IFERROR(__xludf.DUMMYFUNCTION("""COMPUTED_VALUE"""),"ada salah ketik. Latar belakang: keunggulan kompetitif produk tidak ada, perbandingan dg kompetitor tidak ada, potensi pasar tidak ada, minim rujukan referensi data primer/sekunder. rumusan masalah belum berfokus pada usaha yang dilakukan, manfaat lebih b"&amp;"aik ditambahkan bagi konsumen/pengguna usaha-bukan hanya ditulis ""masyarakat"". Keberlanjutan usaha belum spesifik. belum ada cashflow 2 tahun. tabel 4.2 diminta sesuai dengan format panduan. Biodata ketua masuk lampiran 1, bukan lampiran 2. layouting la"&amp;"mpiran susunan organisasi perlu diperbaiki. belanja bahan tidak boleh lebih dari Rp1jt per item. Persentase belanja bahan tidak boleh lebih dari 60%. SURAT PERNYATAAN KETUA HARUS DITANDATANGANI. ")</f>
        <v xml:space="preserve">ada salah ketik. Latar belakang: keunggulan kompetitif produk tidak ada, perbandingan dg kompetitor tidak ada, potensi pasar tidak ada, minim rujukan referensi data primer/sekunder. rumusan masalah belum berfokus pada usaha yang dilakukan, manfaat lebih baik ditambahkan bagi konsumen/pengguna usaha-bukan hanya ditulis "masyarakat". Keberlanjutan usaha belum spesifik. belum ada cashflow 2 tahun. tabel 4.2 diminta sesuai dengan format panduan. Biodata ketua masuk lampiran 1, bukan lampiran 2. layouting lampiran susunan organisasi perlu diperbaiki. belanja bahan tidak boleh lebih dari Rp1jt per item. Persentase belanja bahan tidak boleh lebih dari 60%. SURAT PERNYATAAN KETUA HARUS DITANDATANGANI. </v>
      </c>
      <c r="D227" s="1" t="str">
        <f ca="1">IFERROR(__xludf.DUMMYFUNCTION("""COMPUTED_VALUE"""),"LAYAK UPLOAD KE SIMBELMAWA DENGAN REVISI")</f>
        <v>LAYAK UPLOAD KE SIMBELMAWA DENGAN REVISI</v>
      </c>
      <c r="E227" s="7" t="str">
        <f ca="1">IFERROR(__xludf.DUMMYFUNCTION("""COMPUTED_VALUE"""),"https://drive.google.com/open?id=1zEqXrlnCZX_mF6cxTVP8Kx6gA4gK3IVo")</f>
        <v>https://drive.google.com/open?id=1zEqXrlnCZX_mF6cxTVP8Kx6gA4gK3IVo</v>
      </c>
      <c r="F227" s="1">
        <f t="shared" ca="1" si="0"/>
        <v>0</v>
      </c>
      <c r="H227" s="4"/>
      <c r="I227" s="4"/>
      <c r="J227" s="4"/>
      <c r="K227" s="4"/>
      <c r="L227" s="4"/>
    </row>
    <row r="228" spans="1:12">
      <c r="A228" s="1">
        <f ca="1">IFERROR(__xludf.DUMMYFUNCTION("""COMPUTED_VALUE"""),2083)</f>
        <v>2083</v>
      </c>
      <c r="B228" s="1" t="str">
        <f ca="1">IFERROR(__xludf.DUMMYFUNCTION("""COMPUTED_VALUE"""),"PKM K")</f>
        <v>PKM K</v>
      </c>
      <c r="C228" s="1" t="str">
        <f ca="1">IFERROR(__xludf.DUMMYFUNCTION("""COMPUTED_VALUE"""),"Istilah dari bahasa asing dimiringkan. pada latar belakang perlu dicantumkan sitasi dari sumber literatur ilmiah utk mendukung statement yang ada.Jenis font daftar pustaka salah. tujuan lebih baik adalah menjawab dari rumusan masalah yang disusun. Potensi"&amp;" keberlanjutan usaha kurang dalam. ada tata aturan mengenai flowchart yang bersambung ke halaman selanjutnya, mohon diperbaiki. Maksimal pendanaan 7 jt. belanja alat dan bahan per item max 1 jt,  belanja bahan tidak boleh lebih dari 60%, belanja sewa tida"&amp;"k boleh lebih dari 15%, lisensi MAX 6 bulan. surat pernyataan ketua tim hasil pindaninya jangan terlalu kecil")</f>
        <v>Istilah dari bahasa asing dimiringkan. pada latar belakang perlu dicantumkan sitasi dari sumber literatur ilmiah utk mendukung statement yang ada.Jenis font daftar pustaka salah. tujuan lebih baik adalah menjawab dari rumusan masalah yang disusun. Potensi keberlanjutan usaha kurang dalam. ada tata aturan mengenai flowchart yang bersambung ke halaman selanjutnya, mohon diperbaiki. Maksimal pendanaan 7 jt. belanja alat dan bahan per item max 1 jt,  belanja bahan tidak boleh lebih dari 60%, belanja sewa tidak boleh lebih dari 15%, lisensi MAX 6 bulan. surat pernyataan ketua tim hasil pindaninya jangan terlalu kecil</v>
      </c>
      <c r="D228" s="1" t="str">
        <f ca="1">IFERROR(__xludf.DUMMYFUNCTION("""COMPUTED_VALUE"""),"LAYAK UPLOAD KE SIMBELMAWA DENGAN REVISI")</f>
        <v>LAYAK UPLOAD KE SIMBELMAWA DENGAN REVISI</v>
      </c>
      <c r="E228" s="7" t="str">
        <f ca="1">IFERROR(__xludf.DUMMYFUNCTION("""COMPUTED_VALUE"""),"https://drive.google.com/open?id=1ONf5FGRma3no-lO3Azpl2yML6h4bZm9R")</f>
        <v>https://drive.google.com/open?id=1ONf5FGRma3no-lO3Azpl2yML6h4bZm9R</v>
      </c>
      <c r="F228" s="1">
        <f t="shared" ca="1" si="0"/>
        <v>0</v>
      </c>
      <c r="H228" s="4"/>
      <c r="I228" s="4"/>
      <c r="J228" s="4"/>
      <c r="K228" s="4"/>
      <c r="L228" s="4"/>
    </row>
    <row r="229" spans="1:12">
      <c r="A229" s="1">
        <f ca="1">IFERROR(__xludf.DUMMYFUNCTION("""COMPUTED_VALUE"""),3968)</f>
        <v>3968</v>
      </c>
      <c r="B229" s="1" t="str">
        <f ca="1">IFERROR(__xludf.DUMMYFUNCTION("""COMPUTED_VALUE"""),"PKM K")</f>
        <v>PKM K</v>
      </c>
      <c r="C229" s="1" t="str">
        <f ca="1">IFERROR(__xludf.DUMMYFUNCTION("""COMPUTED_VALUE"""),"lampiran pernyataan belum ada materai")</f>
        <v>lampiran pernyataan belum ada materai</v>
      </c>
      <c r="D229" s="1" t="str">
        <f ca="1">IFERROR(__xludf.DUMMYFUNCTION("""COMPUTED_VALUE"""),"LAYAK UPLOAD KE SIMBELMAWA DENGAN REVISI")</f>
        <v>LAYAK UPLOAD KE SIMBELMAWA DENGAN REVISI</v>
      </c>
      <c r="E229" s="7" t="str">
        <f ca="1">IFERROR(__xludf.DUMMYFUNCTION("""COMPUTED_VALUE"""),"https://drive.google.com/open?id=118geyvLP-hDnypHKGS-cfYsODBaeXspJ")</f>
        <v>https://drive.google.com/open?id=118geyvLP-hDnypHKGS-cfYsODBaeXspJ</v>
      </c>
      <c r="F229" s="1">
        <f t="shared" ca="1" si="0"/>
        <v>0</v>
      </c>
      <c r="H229" s="4"/>
      <c r="I229" s="4"/>
      <c r="J229" s="4"/>
      <c r="K229" s="4"/>
      <c r="L229" s="4"/>
    </row>
    <row r="230" spans="1:12">
      <c r="A230" s="1">
        <f ca="1">IFERROR(__xludf.DUMMYFUNCTION("""COMPUTED_VALUE"""),2945)</f>
        <v>2945</v>
      </c>
      <c r="B230" s="1" t="str">
        <f ca="1">IFERROR(__xludf.DUMMYFUNCTION("""COMPUTED_VALUE"""),"PKM K")</f>
        <v>PKM K</v>
      </c>
      <c r="C230" s="1" t="str">
        <f ca="1">IFERROR(__xludf.DUMMYFUNCTION("""COMPUTED_VALUE"""),"tidak ada dokumen yang diunggah")</f>
        <v>tidak ada dokumen yang diunggah</v>
      </c>
      <c r="D230" s="1" t="str">
        <f ca="1">IFERROR(__xludf.DUMMYFUNCTION("""COMPUTED_VALUE"""),"TIDAK LAYAK UPLOAD KE SIMBELMAWA")</f>
        <v>TIDAK LAYAK UPLOAD KE SIMBELMAWA</v>
      </c>
      <c r="E230" s="1"/>
      <c r="F230" s="1">
        <f t="shared" ca="1" si="0"/>
        <v>0</v>
      </c>
      <c r="H230" s="4"/>
      <c r="I230" s="4"/>
      <c r="J230" s="4"/>
      <c r="K230" s="4"/>
      <c r="L230" s="4"/>
    </row>
    <row r="231" spans="1:12">
      <c r="A231" s="1">
        <f ca="1">IFERROR(__xludf.DUMMYFUNCTION("""COMPUTED_VALUE"""),2634)</f>
        <v>2634</v>
      </c>
      <c r="B231" s="1" t="str">
        <f ca="1">IFERROR(__xludf.DUMMYFUNCTION("""COMPUTED_VALUE"""),"PKM K")</f>
        <v>PKM K</v>
      </c>
      <c r="C231" s="1" t="str">
        <f ca="1">IFERROR(__xludf.DUMMYFUNCTION("""COMPUTED_VALUE"""),"Dua kalimat awal pada latar belakang sebenarnya tidak perlu untuk dicantumkan. latar belakang minim sitasi, paragraf 3 lebih baik dibuat pie chart dg mencantumkan sumber referensi (survey data primer atau sekunder), deskripsi detail seberapa uniknya fitur"&amp;" AI pada aplikasi FinanZity ini belum nampak. Point 1.3 adalah Tujuan, bukan Tujuan Inovasi Produk. Tujuan seharusnya selaras dengan rumusan masalah. Pada poin manfaat kepada pemerintah, mengapa tiba2 ada KPR dan pajak? tidak nyambung. BMC seharusnya tida"&amp;"k pada keberlanjutan usaha, tetapi pada gambaran usaha. Belum nampak cashflow 2 tahun. Gambar 3.1 terlalu kecil. Tabel 4.2 bagian pembuatan laporan, belum ada rencana pelaksanaannya. Lampiran 2 masih pakai format LAMA.")</f>
        <v>Dua kalimat awal pada latar belakang sebenarnya tidak perlu untuk dicantumkan. latar belakang minim sitasi, paragraf 3 lebih baik dibuat pie chart dg mencantumkan sumber referensi (survey data primer atau sekunder), deskripsi detail seberapa uniknya fitur AI pada aplikasi FinanZity ini belum nampak. Point 1.3 adalah Tujuan, bukan Tujuan Inovasi Produk. Tujuan seharusnya selaras dengan rumusan masalah. Pada poin manfaat kepada pemerintah, mengapa tiba2 ada KPR dan pajak? tidak nyambung. BMC seharusnya tidak pada keberlanjutan usaha, tetapi pada gambaran usaha. Belum nampak cashflow 2 tahun. Gambar 3.1 terlalu kecil. Tabel 4.2 bagian pembuatan laporan, belum ada rencana pelaksanaannya. Lampiran 2 masih pakai format LAMA.</v>
      </c>
      <c r="D231" s="1" t="str">
        <f ca="1">IFERROR(__xludf.DUMMYFUNCTION("""COMPUTED_VALUE"""),"LAYAK UPLOAD KE SIMBELMAWA DENGAN REVISI")</f>
        <v>LAYAK UPLOAD KE SIMBELMAWA DENGAN REVISI</v>
      </c>
      <c r="E231" s="7" t="str">
        <f ca="1">IFERROR(__xludf.DUMMYFUNCTION("""COMPUTED_VALUE"""),"https://drive.google.com/open?id=1m9xBtspwmjtlMfyT473iTNOVfGKRkdIr")</f>
        <v>https://drive.google.com/open?id=1m9xBtspwmjtlMfyT473iTNOVfGKRkdIr</v>
      </c>
      <c r="F231" s="1">
        <f t="shared" ca="1" si="0"/>
        <v>0</v>
      </c>
      <c r="H231" s="4"/>
      <c r="I231" s="4"/>
      <c r="J231" s="4"/>
      <c r="K231" s="4"/>
      <c r="L231" s="4"/>
    </row>
    <row r="232" spans="1:12">
      <c r="A232" s="1">
        <f ca="1">IFERROR(__xludf.DUMMYFUNCTION("""COMPUTED_VALUE"""),3361)</f>
        <v>3361</v>
      </c>
      <c r="B232" s="1" t="str">
        <f ca="1">IFERROR(__xludf.DUMMYFUNCTION("""COMPUTED_VALUE"""),"PKM K")</f>
        <v>PKM K</v>
      </c>
      <c r="C232" s="1" t="str">
        <f ca="1">IFERROR(__xludf.DUMMYFUNCTION("""COMPUTED_VALUE"""),"Daftar isi ada ""bookmark error"", ditemukan beberapa kesalahan pengetikan. . Di latar belakang perlu diberikan referensi pada statement yg menyatakan Melon adalah komoditas utama Desa Klotok. Tidak perlu menyebutkan komoditas padi di Tuban, karena yg dib"&amp;"ahas seharusnya berfokus ke Melon. Kurang referensi ilmiah/data sekunder terkait statement yang dituliskan di latar belakang. Potensi pasar belum tergali dengan baik. Tidak dijelaskan analisis kompetitor, sehingga keunggulan kompetitif produk yang ditawar"&amp;"kan kurang tergali. Belum ada manfaat bagi pelanggan. Cashflow masih 1 tahun. NPV dan IRR masih kosong di tabelnya. Keberlanjutan kurang detil. Biaya maksimal 7jt. Tidak boleh ada item bahan&gt;1jt per unit. Lampiran 2 belum diperbarui, jumlahnya masih 10jt."&amp;" Surat pernyataan ketua masih memakai format lama.")</f>
        <v>Daftar isi ada "bookmark error", ditemukan beberapa kesalahan pengetikan. . Di latar belakang perlu diberikan referensi pada statement yg menyatakan Melon adalah komoditas utama Desa Klotok. Tidak perlu menyebutkan komoditas padi di Tuban, karena yg dibahas seharusnya berfokus ke Melon. Kurang referensi ilmiah/data sekunder terkait statement yang dituliskan di latar belakang. Potensi pasar belum tergali dengan baik. Tidak dijelaskan analisis kompetitor, sehingga keunggulan kompetitif produk yang ditawarkan kurang tergali. Belum ada manfaat bagi pelanggan. Cashflow masih 1 tahun. NPV dan IRR masih kosong di tabelnya. Keberlanjutan kurang detil. Biaya maksimal 7jt. Tidak boleh ada item bahan&gt;1jt per unit. Lampiran 2 belum diperbarui, jumlahnya masih 10jt. Surat pernyataan ketua masih memakai format lama.</v>
      </c>
      <c r="D232" s="1" t="str">
        <f ca="1">IFERROR(__xludf.DUMMYFUNCTION("""COMPUTED_VALUE"""),"LAYAK UPLOAD KE SIMBELMAWA DENGAN REVISI")</f>
        <v>LAYAK UPLOAD KE SIMBELMAWA DENGAN REVISI</v>
      </c>
      <c r="E232" s="7" t="str">
        <f ca="1">IFERROR(__xludf.DUMMYFUNCTION("""COMPUTED_VALUE"""),"https://drive.google.com/open?id=1YUilSqXOXNOcxzQPGfGfepTVEGd6cYi7")</f>
        <v>https://drive.google.com/open?id=1YUilSqXOXNOcxzQPGfGfepTVEGd6cYi7</v>
      </c>
      <c r="F232" s="1">
        <f t="shared" ca="1" si="0"/>
        <v>0</v>
      </c>
      <c r="H232" s="4"/>
      <c r="I232" s="4"/>
      <c r="J232" s="4"/>
      <c r="K232" s="4"/>
      <c r="L232" s="4"/>
    </row>
    <row r="233" spans="1:12">
      <c r="A233" s="1">
        <f ca="1">IFERROR(__xludf.DUMMYFUNCTION("""COMPUTED_VALUE"""),3412)</f>
        <v>3412</v>
      </c>
      <c r="B233" s="1" t="str">
        <f ca="1">IFERROR(__xludf.DUMMYFUNCTION("""COMPUTED_VALUE"""),"PKM K")</f>
        <v>PKM K</v>
      </c>
      <c r="C233" s="1" t="str">
        <f ca="1">IFERROR(__xludf.DUMMYFUNCTION("""COMPUTED_VALUE"""),"Ada beberapa salah ketik. Pasar belum dideskripsikan dengan baik, Spesifikasi/keunggulan produk dan analisis kompetitor secara ringkas belum ada di latar belakang. Biodata dosen pembimbing MOHON DiTTD.")</f>
        <v>Ada beberapa salah ketik. Pasar belum dideskripsikan dengan baik, Spesifikasi/keunggulan produk dan analisis kompetitor secara ringkas belum ada di latar belakang. Biodata dosen pembimbing MOHON DiTTD.</v>
      </c>
      <c r="D233" s="1" t="str">
        <f ca="1">IFERROR(__xludf.DUMMYFUNCTION("""COMPUTED_VALUE"""),"LAYAK UPLOAD KE SIMBELMAWA DENGAN REVISI")</f>
        <v>LAYAK UPLOAD KE SIMBELMAWA DENGAN REVISI</v>
      </c>
      <c r="E233" s="7" t="str">
        <f ca="1">IFERROR(__xludf.DUMMYFUNCTION("""COMPUTED_VALUE"""),"https://drive.google.com/open?id=1XvwTNCQOHmDG5STj4Wc4TnrWn3pDPUTo")</f>
        <v>https://drive.google.com/open?id=1XvwTNCQOHmDG5STj4Wc4TnrWn3pDPUTo</v>
      </c>
      <c r="F233" s="1">
        <f t="shared" ca="1" si="0"/>
        <v>0</v>
      </c>
      <c r="H233" s="4"/>
      <c r="I233" s="4"/>
      <c r="J233" s="4"/>
      <c r="K233" s="4"/>
      <c r="L233" s="4"/>
    </row>
    <row r="234" spans="1:12">
      <c r="A234" s="1">
        <f ca="1">IFERROR(__xludf.DUMMYFUNCTION("""COMPUTED_VALUE"""),4157)</f>
        <v>4157</v>
      </c>
      <c r="B234" s="1" t="str">
        <f ca="1">IFERROR(__xludf.DUMMYFUNCTION("""COMPUTED_VALUE"""),"PKM K")</f>
        <v>PKM K</v>
      </c>
      <c r="C234" s="1" t="str">
        <f ca="1">IFERROR(__xludf.DUMMYFUNCTION("""COMPUTED_VALUE"""),"DItemukan banyak salah ketik dan kata tidak baku dalam proposal. Kurang referensi ilmiah. Tidak ada analisis potensi pasar dan kompetitor, serta minim penjelasan keunggulan kompetitif pada latar belakang. Daftar Pustaka sangat minim (hanya 2). Lampiran 2 "&amp;"dan 4 MOHON SESUAI dg PANDUAN. ")</f>
        <v xml:space="preserve">DItemukan banyak salah ketik dan kata tidak baku dalam proposal. Kurang referensi ilmiah. Tidak ada analisis potensi pasar dan kompetitor, serta minim penjelasan keunggulan kompetitif pada latar belakang. Daftar Pustaka sangat minim (hanya 2). Lampiran 2 dan 4 MOHON SESUAI dg PANDUAN. </v>
      </c>
      <c r="D234" s="1" t="str">
        <f ca="1">IFERROR(__xludf.DUMMYFUNCTION("""COMPUTED_VALUE"""),"LAYAK UPLOAD KE SIMBELMAWA DENGAN REVISI")</f>
        <v>LAYAK UPLOAD KE SIMBELMAWA DENGAN REVISI</v>
      </c>
      <c r="E234" s="7" t="str">
        <f ca="1">IFERROR(__xludf.DUMMYFUNCTION("""COMPUTED_VALUE"""),"https://drive.google.com/open?id=1vOl09EUgclyKaFQHTCw7eL577JVP2pah")</f>
        <v>https://drive.google.com/open?id=1vOl09EUgclyKaFQHTCw7eL577JVP2pah</v>
      </c>
      <c r="F234" s="1">
        <f t="shared" ca="1" si="0"/>
        <v>0</v>
      </c>
      <c r="H234" s="4"/>
      <c r="I234" s="4"/>
      <c r="J234" s="4"/>
      <c r="K234" s="4"/>
      <c r="L234" s="4"/>
    </row>
    <row r="235" spans="1:12">
      <c r="A235" s="1">
        <f ca="1">IFERROR(__xludf.DUMMYFUNCTION("""COMPUTED_VALUE"""),3618)</f>
        <v>3618</v>
      </c>
      <c r="B235" s="1" t="str">
        <f ca="1">IFERROR(__xludf.DUMMYFUNCTION("""COMPUTED_VALUE"""),"PKM K")</f>
        <v>PKM K</v>
      </c>
      <c r="C235" s="1" t="str">
        <f ca="1">IFERROR(__xludf.DUMMYFUNCTION("""COMPUTED_VALUE"""),"sdh disampaikan ke mhs")</f>
        <v>sdh disampaikan ke mhs</v>
      </c>
      <c r="D235" s="1" t="str">
        <f ca="1">IFERROR(__xludf.DUMMYFUNCTION("""COMPUTED_VALUE"""),"LAYAK UPLOAD KE SIMBELMAWA DENGAN REVISI")</f>
        <v>LAYAK UPLOAD KE SIMBELMAWA DENGAN REVISI</v>
      </c>
      <c r="E235" s="1"/>
      <c r="F235" s="1">
        <f t="shared" ca="1" si="0"/>
        <v>0</v>
      </c>
      <c r="H235" s="4"/>
      <c r="I235" s="4"/>
      <c r="J235" s="4"/>
      <c r="K235" s="4"/>
      <c r="L235" s="4"/>
    </row>
    <row r="236" spans="1:12">
      <c r="A236" s="1">
        <f ca="1">IFERROR(__xludf.DUMMYFUNCTION("""COMPUTED_VALUE"""),2542)</f>
        <v>2542</v>
      </c>
      <c r="B236" s="1" t="str">
        <f ca="1">IFERROR(__xludf.DUMMYFUNCTION("""COMPUTED_VALUE"""),"PKM K")</f>
        <v>PKM K</v>
      </c>
      <c r="C236" s="1" t="str">
        <f ca="1">IFERROR(__xludf.DUMMYFUNCTION("""COMPUTED_VALUE"""),"Latar belakang bertele-tele, tidak perlu paragraf 1 dan 1/2 paragraf 2. Kata tidak baku: analisa, seharusnya analisis. tidak ada penjelasan potensi pasar, analisis kompetitor dan keunggulan kompetitif detail dari jasa yang diusulkan pada latar belakang. K"&amp;"urang menjalankan bisnis yang menghasilkan profit pada rumusan masalah dan tujuan. Pada luaran, kurang menyebutkan LAPORAN KEMAJUAN dan LAPORAN AKHIR. Logo tidak menarik.Di bawah tabel 2.1, margin tidak rata kiri kanan. ditemukan beberapa salah ketik. Ist"&amp;"ilah dari bahasa asing dimiringkan. Anggaran biaya maks 7jt dr simbelmawa. Referensi kurang. Lampiran 2 dan 4 HARAP MENYESUAIKAN DENGAN PEDOMAN YANG BARU. KETUA BELUM TTD SYRAT PERNYATAAN.")</f>
        <v>Latar belakang bertele-tele, tidak perlu paragraf 1 dan 1/2 paragraf 2. Kata tidak baku: analisa, seharusnya analisis. tidak ada penjelasan potensi pasar, analisis kompetitor dan keunggulan kompetitif detail dari jasa yang diusulkan pada latar belakang. Kurang menjalankan bisnis yang menghasilkan profit pada rumusan masalah dan tujuan. Pada luaran, kurang menyebutkan LAPORAN KEMAJUAN dan LAPORAN AKHIR. Logo tidak menarik.Di bawah tabel 2.1, margin tidak rata kiri kanan. ditemukan beberapa salah ketik. Istilah dari bahasa asing dimiringkan. Anggaran biaya maks 7jt dr simbelmawa. Referensi kurang. Lampiran 2 dan 4 HARAP MENYESUAIKAN DENGAN PEDOMAN YANG BARU. KETUA BELUM TTD SYRAT PERNYATAAN.</v>
      </c>
      <c r="D236" s="1" t="str">
        <f ca="1">IFERROR(__xludf.DUMMYFUNCTION("""COMPUTED_VALUE"""),"LAYAK UPLOAD KE SIMBELMAWA DENGAN REVISI")</f>
        <v>LAYAK UPLOAD KE SIMBELMAWA DENGAN REVISI</v>
      </c>
      <c r="E236" s="7" t="str">
        <f ca="1">IFERROR(__xludf.DUMMYFUNCTION("""COMPUTED_VALUE"""),"https://drive.google.com/open?id=1khdCEm9PZ8a-Sby4hlz8CQQfXTzwIFUF")</f>
        <v>https://drive.google.com/open?id=1khdCEm9PZ8a-Sby4hlz8CQQfXTzwIFUF</v>
      </c>
      <c r="F236" s="1">
        <f t="shared" ca="1" si="0"/>
        <v>0</v>
      </c>
      <c r="H236" s="4"/>
      <c r="I236" s="4"/>
      <c r="J236" s="4"/>
      <c r="K236" s="4"/>
      <c r="L236" s="4"/>
    </row>
    <row r="237" spans="1:12">
      <c r="A237" s="1">
        <f ca="1">IFERROR(__xludf.DUMMYFUNCTION("""COMPUTED_VALUE"""),3376)</f>
        <v>3376</v>
      </c>
      <c r="B237" s="1" t="str">
        <f ca="1">IFERROR(__xludf.DUMMYFUNCTION("""COMPUTED_VALUE"""),"PKM K")</f>
        <v>PKM K</v>
      </c>
      <c r="C237" s="1" t="str">
        <f ca="1">IFERROR(__xludf.DUMMYFUNCTION("""COMPUTED_VALUE"""),"MABA")</f>
        <v>MABA</v>
      </c>
      <c r="D237" s="1" t="str">
        <f ca="1">IFERROR(__xludf.DUMMYFUNCTION("""COMPUTED_VALUE"""),"TIDAK LAYAK UPLOAD KE SIMBELMAWA")</f>
        <v>TIDAK LAYAK UPLOAD KE SIMBELMAWA</v>
      </c>
      <c r="E237" s="7" t="str">
        <f ca="1">IFERROR(__xludf.DUMMYFUNCTION("""COMPUTED_VALUE"""),"https://drive.google.com/open?id=1kNYtKDk9naQLid6Qhege0ocShlXO4it_")</f>
        <v>https://drive.google.com/open?id=1kNYtKDk9naQLid6Qhege0ocShlXO4it_</v>
      </c>
      <c r="F237" s="1">
        <f t="shared" ca="1" si="0"/>
        <v>0</v>
      </c>
      <c r="H237" s="4"/>
      <c r="I237" s="4"/>
      <c r="J237" s="4"/>
      <c r="K237" s="4"/>
      <c r="L237" s="4"/>
    </row>
    <row r="238" spans="1:12">
      <c r="A238" s="1">
        <f ca="1">IFERROR(__xludf.DUMMYFUNCTION("""COMPUTED_VALUE"""),3583)</f>
        <v>3583</v>
      </c>
      <c r="B238" s="1" t="str">
        <f ca="1">IFERROR(__xludf.DUMMYFUNCTION("""COMPUTED_VALUE"""),"PKM K")</f>
        <v>PKM K</v>
      </c>
      <c r="C238" s="1" t="str">
        <f ca="1">IFERROR(__xludf.DUMMYFUNCTION("""COMPUTED_VALUE"""),"MABA")</f>
        <v>MABA</v>
      </c>
      <c r="D238" s="1" t="str">
        <f ca="1">IFERROR(__xludf.DUMMYFUNCTION("""COMPUTED_VALUE"""),"TIDAK LAYAK UPLOAD KE SIMBELMAWA")</f>
        <v>TIDAK LAYAK UPLOAD KE SIMBELMAWA</v>
      </c>
      <c r="E238" s="7" t="str">
        <f ca="1">IFERROR(__xludf.DUMMYFUNCTION("""COMPUTED_VALUE"""),"https://drive.google.com/open?id=1D83rT2gk4lGFRppq_mdiw9JwfbiBntx2")</f>
        <v>https://drive.google.com/open?id=1D83rT2gk4lGFRppq_mdiw9JwfbiBntx2</v>
      </c>
      <c r="F238" s="1">
        <f t="shared" ca="1" si="0"/>
        <v>0</v>
      </c>
      <c r="H238" s="4"/>
      <c r="I238" s="4"/>
      <c r="J238" s="4"/>
      <c r="K238" s="4"/>
      <c r="L238" s="4"/>
    </row>
    <row r="239" spans="1:12">
      <c r="A239" s="1">
        <f ca="1">IFERROR(__xludf.DUMMYFUNCTION("""COMPUTED_VALUE"""),3341)</f>
        <v>3341</v>
      </c>
      <c r="B239" s="1" t="str">
        <f ca="1">IFERROR(__xludf.DUMMYFUNCTION("""COMPUTED_VALUE"""),"PKM K")</f>
        <v>PKM K</v>
      </c>
      <c r="C239" s="1" t="str">
        <f ca="1">IFERROR(__xludf.DUMMYFUNCTION("""COMPUTED_VALUE"""),"tidak ada dokumen yang diunggah")</f>
        <v>tidak ada dokumen yang diunggah</v>
      </c>
      <c r="D239" s="1" t="str">
        <f ca="1">IFERROR(__xludf.DUMMYFUNCTION("""COMPUTED_VALUE"""),"TIDAK LAYAK UPLOAD KE SIMBELMAWA")</f>
        <v>TIDAK LAYAK UPLOAD KE SIMBELMAWA</v>
      </c>
      <c r="E239" s="1"/>
      <c r="F239" s="1">
        <f t="shared" ca="1" si="0"/>
        <v>0</v>
      </c>
      <c r="H239" s="4"/>
      <c r="I239" s="4"/>
      <c r="J239" s="4"/>
      <c r="K239" s="4"/>
      <c r="L239" s="4"/>
    </row>
    <row r="240" spans="1:12">
      <c r="A240" s="1">
        <f ca="1">IFERROR(__xludf.DUMMYFUNCTION("""COMPUTED_VALUE"""),3003)</f>
        <v>3003</v>
      </c>
      <c r="B240" s="1" t="str">
        <f ca="1">IFERROR(__xludf.DUMMYFUNCTION("""COMPUTED_VALUE"""),"PKM K")</f>
        <v>PKM K</v>
      </c>
      <c r="C240" s="1" t="str">
        <f ca="1">IFERROR(__xludf.DUMMYFUNCTION("""COMPUTED_VALUE"""),"Tidak ada referensi ilmiah pada latar belakang-harus ditambahkan untuk mendukung statement2 penulis. Penjelasan potensi pasar, kompetitor, dan keunggulan kompetitif tidak ada pada latar belakang. Istilah dari bahasa asing dimiringkan. Kurang rinci saat me"&amp;"njelaskan struktur organisasi. Tidak ada cashflow. Rekap sumber dana pada tabel 4.1 yg benar ""Instansi Lain"" bukan ""Instalasi Lain"". Jadwal kegiatan sangan minim dan tidak merata embagian tugasnya. Pakai sumber referensi maksimal 10 tahun yg lalu. TID"&amp;"AK ADA LAMPIRAN ANGGARAN DANA. Lampiran surat pernyataan ketua harap memakai format yang BARU.")</f>
        <v>Tidak ada referensi ilmiah pada latar belakang-harus ditambahkan untuk mendukung statement2 penulis. Penjelasan potensi pasar, kompetitor, dan keunggulan kompetitif tidak ada pada latar belakang. Istilah dari bahasa asing dimiringkan. Kurang rinci saat menjelaskan struktur organisasi. Tidak ada cashflow. Rekap sumber dana pada tabel 4.1 yg benar "Instansi Lain" bukan "Instalasi Lain". Jadwal kegiatan sangan minim dan tidak merata embagian tugasnya. Pakai sumber referensi maksimal 10 tahun yg lalu. TIDAK ADA LAMPIRAN ANGGARAN DANA. Lampiran surat pernyataan ketua harap memakai format yang BARU.</v>
      </c>
      <c r="D240" s="1" t="str">
        <f ca="1">IFERROR(__xludf.DUMMYFUNCTION("""COMPUTED_VALUE"""),"LAYAK UPLOAD KE SIMBELMAWA DENGAN REVISI")</f>
        <v>LAYAK UPLOAD KE SIMBELMAWA DENGAN REVISI</v>
      </c>
      <c r="E240" s="7" t="str">
        <f ca="1">IFERROR(__xludf.DUMMYFUNCTION("""COMPUTED_VALUE"""),"https://drive.google.com/open?id=1XbbWua-LR4Yx-exouKJzXmFwCLG6SxTJ")</f>
        <v>https://drive.google.com/open?id=1XbbWua-LR4Yx-exouKJzXmFwCLG6SxTJ</v>
      </c>
      <c r="F240" s="1">
        <f t="shared" ca="1" si="0"/>
        <v>0</v>
      </c>
      <c r="H240" s="4"/>
      <c r="I240" s="4"/>
      <c r="J240" s="4"/>
      <c r="K240" s="4"/>
      <c r="L240" s="4"/>
    </row>
    <row r="241" spans="1:12">
      <c r="A241" s="1">
        <f ca="1">IFERROR(__xludf.DUMMYFUNCTION("""COMPUTED_VALUE"""),2877)</f>
        <v>2877</v>
      </c>
      <c r="B241" s="1" t="str">
        <f ca="1">IFERROR(__xludf.DUMMYFUNCTION("""COMPUTED_VALUE"""),"PKM K")</f>
        <v>PKM K</v>
      </c>
      <c r="C241" s="1" t="str">
        <f ca="1">IFERROR(__xludf.DUMMYFUNCTION("""COMPUTED_VALUE"""),"Kurang referensi ilmiah/rujukan data primer/sekunder. Kebutuhan dan permintaan pasar tidak didukung referensi.  ""freelance"" dan ""online"" dimiringkan. tidak ada penjelasan mengenai kompetitor. Produk jasa kurang unik. Terminologi PLC, HMI perlu dijelas"&amp;"kan kepanjangannya pada deskripsi usaha. Lampiran 2 anggaran mohon SESUAI dengan PEDOMAN.")</f>
        <v>Kurang referensi ilmiah/rujukan data primer/sekunder. Kebutuhan dan permintaan pasar tidak didukung referensi.  "freelance" dan "online" dimiringkan. tidak ada penjelasan mengenai kompetitor. Produk jasa kurang unik. Terminologi PLC, HMI perlu dijelaskan kepanjangannya pada deskripsi usaha. Lampiran 2 anggaran mohon SESUAI dengan PEDOMAN.</v>
      </c>
      <c r="D241" s="1" t="str">
        <f ca="1">IFERROR(__xludf.DUMMYFUNCTION("""COMPUTED_VALUE"""),"LAYAK UPLOAD KE SIMBELMAWA DENGAN REVISI")</f>
        <v>LAYAK UPLOAD KE SIMBELMAWA DENGAN REVISI</v>
      </c>
      <c r="E241" s="7" t="str">
        <f ca="1">IFERROR(__xludf.DUMMYFUNCTION("""COMPUTED_VALUE"""),"https://drive.google.com/open?id=1JKtNi3ALyUnBOpBRlSsJD_mosb7K3CsV")</f>
        <v>https://drive.google.com/open?id=1JKtNi3ALyUnBOpBRlSsJD_mosb7K3CsV</v>
      </c>
      <c r="F241" s="1">
        <f t="shared" ca="1" si="0"/>
        <v>0</v>
      </c>
      <c r="H241" s="4"/>
      <c r="I241" s="4"/>
      <c r="J241" s="4"/>
      <c r="K241" s="4"/>
      <c r="L241" s="4"/>
    </row>
    <row r="242" spans="1:12">
      <c r="A242" s="1">
        <f ca="1">IFERROR(__xludf.DUMMYFUNCTION("""COMPUTED_VALUE"""),2680)</f>
        <v>2680</v>
      </c>
      <c r="B242" s="1" t="str">
        <f ca="1">IFERROR(__xludf.DUMMYFUNCTION("""COMPUTED_VALUE"""),"PKM K")</f>
        <v>PKM K</v>
      </c>
      <c r="C242" s="1" t="str">
        <f ca="1">IFERROR(__xludf.DUMMYFUNCTION("""COMPUTED_VALUE"""),"tidak ada dokumen yang diunggah")</f>
        <v>tidak ada dokumen yang diunggah</v>
      </c>
      <c r="D242" s="1" t="str">
        <f ca="1">IFERROR(__xludf.DUMMYFUNCTION("""COMPUTED_VALUE"""),"TIDAK LAYAK UPLOAD KE SIMBELMAWA")</f>
        <v>TIDAK LAYAK UPLOAD KE SIMBELMAWA</v>
      </c>
      <c r="E242" s="1"/>
      <c r="F242" s="1">
        <f t="shared" ca="1" si="0"/>
        <v>0</v>
      </c>
      <c r="H242" s="4"/>
      <c r="I242" s="4"/>
      <c r="J242" s="4"/>
      <c r="K242" s="4"/>
      <c r="L242" s="4"/>
    </row>
    <row r="243" spans="1:12">
      <c r="A243" s="1">
        <f ca="1">IFERROR(__xludf.DUMMYFUNCTION("""COMPUTED_VALUE"""),2208)</f>
        <v>2208</v>
      </c>
      <c r="B243" s="1" t="str">
        <f ca="1">IFERROR(__xludf.DUMMYFUNCTION("""COMPUTED_VALUE"""),"PKM K")</f>
        <v>PKM K</v>
      </c>
      <c r="C243" s="1" t="str">
        <f ca="1">IFERROR(__xludf.DUMMYFUNCTION("""COMPUTED_VALUE"""),"Latar belakang perlu ditambah referensi ilmiah/data primer/data sekunder. Tidak ada penjelasan kompetitor, potensi pasar. Rumusan dan tujuan bisa ditambahkan dengan bgmn bisnis ini dapat menghasilkan keuntungan. Manfaat PKM-K bagi masyarakat lebih baik di"&amp;"ganti dengan bagi peternak. Sub bab 2.3 terlalu bertele2. ")</f>
        <v xml:space="preserve">Latar belakang perlu ditambah referensi ilmiah/data primer/data sekunder. Tidak ada penjelasan kompetitor, potensi pasar. Rumusan dan tujuan bisa ditambahkan dengan bgmn bisnis ini dapat menghasilkan keuntungan. Manfaat PKM-K bagi masyarakat lebih baik diganti dengan bagi peternak. Sub bab 2.3 terlalu bertele2. </v>
      </c>
      <c r="D243" s="1" t="str">
        <f ca="1">IFERROR(__xludf.DUMMYFUNCTION("""COMPUTED_VALUE"""),"LAYAK UPLOAD KE SIMBELMAWA DENGAN REVISI")</f>
        <v>LAYAK UPLOAD KE SIMBELMAWA DENGAN REVISI</v>
      </c>
      <c r="E243" s="7" t="str">
        <f ca="1">IFERROR(__xludf.DUMMYFUNCTION("""COMPUTED_VALUE"""),"https://drive.google.com/open?id=1_QK9928s8MOaQvFvHefmuXgaFp2o6Ipo")</f>
        <v>https://drive.google.com/open?id=1_QK9928s8MOaQvFvHefmuXgaFp2o6Ipo</v>
      </c>
      <c r="F243" s="1">
        <f t="shared" ca="1" si="0"/>
        <v>0</v>
      </c>
      <c r="H243" s="4"/>
      <c r="I243" s="4"/>
      <c r="J243" s="4"/>
      <c r="K243" s="4"/>
      <c r="L243" s="4"/>
    </row>
    <row r="244" spans="1:12">
      <c r="A244" s="1">
        <f ca="1">IFERROR(__xludf.DUMMYFUNCTION("""COMPUTED_VALUE"""),3959)</f>
        <v>3959</v>
      </c>
      <c r="B244" s="1" t="str">
        <f ca="1">IFERROR(__xludf.DUMMYFUNCTION("""COMPUTED_VALUE"""),"PKM K")</f>
        <v>PKM K</v>
      </c>
      <c r="C244" s="1" t="str">
        <f ca="1">IFERROR(__xludf.DUMMYFUNCTION("""COMPUTED_VALUE"""),"MABA")</f>
        <v>MABA</v>
      </c>
      <c r="D244" s="1" t="str">
        <f ca="1">IFERROR(__xludf.DUMMYFUNCTION("""COMPUTED_VALUE"""),"TIDAK LAYAK UPLOAD KE SIMBELMAWA")</f>
        <v>TIDAK LAYAK UPLOAD KE SIMBELMAWA</v>
      </c>
      <c r="E244" s="7" t="str">
        <f ca="1">IFERROR(__xludf.DUMMYFUNCTION("""COMPUTED_VALUE"""),"https://drive.google.com/open?id=1rSWgLdRwMMhN8cTg4UFhkC3lWZrw4toL")</f>
        <v>https://drive.google.com/open?id=1rSWgLdRwMMhN8cTg4UFhkC3lWZrw4toL</v>
      </c>
      <c r="F244" s="1">
        <f t="shared" ca="1" si="0"/>
        <v>0</v>
      </c>
      <c r="H244" s="4"/>
      <c r="I244" s="4"/>
      <c r="J244" s="4"/>
      <c r="K244" s="4"/>
      <c r="L244" s="4"/>
    </row>
    <row r="245" spans="1:12">
      <c r="A245" s="1">
        <f ca="1">IFERROR(__xludf.DUMMYFUNCTION("""COMPUTED_VALUE"""),3033)</f>
        <v>3033</v>
      </c>
      <c r="B245" s="1" t="str">
        <f ca="1">IFERROR(__xludf.DUMMYFUNCTION("""COMPUTED_VALUE"""),"PKM K")</f>
        <v>PKM K</v>
      </c>
      <c r="C245" s="1" t="str">
        <f ca="1">IFERROR(__xludf.DUMMYFUNCTION("""COMPUTED_VALUE"""),"anggaran")</f>
        <v>anggaran</v>
      </c>
      <c r="D245" s="1" t="str">
        <f ca="1">IFERROR(__xludf.DUMMYFUNCTION("""COMPUTED_VALUE"""),"TIDAK LAYAK UPLOAD KE SIMBELMAWA")</f>
        <v>TIDAK LAYAK UPLOAD KE SIMBELMAWA</v>
      </c>
      <c r="E245" s="7" t="str">
        <f ca="1">IFERROR(__xludf.DUMMYFUNCTION("""COMPUTED_VALUE"""),"https://drive.google.com/open?id=1F_ci3QVnTuAT0Sa16nOfpTVRG5vSvr6P")</f>
        <v>https://drive.google.com/open?id=1F_ci3QVnTuAT0Sa16nOfpTVRG5vSvr6P</v>
      </c>
      <c r="F245" s="1">
        <f t="shared" ca="1" si="0"/>
        <v>0</v>
      </c>
      <c r="H245" s="4"/>
      <c r="I245" s="4"/>
      <c r="J245" s="4"/>
      <c r="K245" s="4"/>
      <c r="L245" s="4"/>
    </row>
    <row r="246" spans="1:12">
      <c r="A246" s="1"/>
      <c r="B246" s="1"/>
      <c r="C246" s="1" t="str">
        <f ca="1">IFERROR(__xludf.DUMMYFUNCTION("""COMPUTED_VALUE""")," ")</f>
        <v xml:space="preserve"> </v>
      </c>
      <c r="D246" s="1"/>
      <c r="E246" s="1"/>
      <c r="F246" s="1">
        <f t="shared" ca="1" si="0"/>
        <v>2</v>
      </c>
      <c r="H246" s="4"/>
      <c r="I246" s="4"/>
      <c r="J246" s="4"/>
      <c r="K246" s="4"/>
      <c r="L246" s="4"/>
    </row>
    <row r="247" spans="1:12">
      <c r="A247" s="1"/>
      <c r="B247" s="1"/>
      <c r="C247" s="1" t="str">
        <f ca="1">IFERROR(__xludf.DUMMYFUNCTION("""COMPUTED_VALUE""")," ")</f>
        <v xml:space="preserve"> </v>
      </c>
      <c r="D247" s="1"/>
      <c r="E247" s="1"/>
      <c r="F247" s="1">
        <f t="shared" ca="1" si="0"/>
        <v>2</v>
      </c>
      <c r="H247" s="4"/>
      <c r="I247" s="4"/>
      <c r="J247" s="4"/>
      <c r="K247" s="4"/>
      <c r="L247" s="4"/>
    </row>
    <row r="248" spans="1:12">
      <c r="A248" s="1"/>
      <c r="B248" s="1"/>
      <c r="C248" s="1" t="str">
        <f ca="1">IFERROR(__xludf.DUMMYFUNCTION("""COMPUTED_VALUE""")," ")</f>
        <v xml:space="preserve"> </v>
      </c>
      <c r="D248" s="1"/>
      <c r="E248" s="1"/>
      <c r="F248" s="1">
        <f t="shared" ca="1" si="0"/>
        <v>2</v>
      </c>
      <c r="H248" s="4"/>
      <c r="I248" s="4"/>
      <c r="J248" s="4"/>
      <c r="K248" s="4"/>
      <c r="L248" s="4"/>
    </row>
    <row r="249" spans="1:12">
      <c r="A249" s="1"/>
      <c r="B249" s="1"/>
      <c r="C249" s="1" t="str">
        <f ca="1">IFERROR(__xludf.DUMMYFUNCTION("""COMPUTED_VALUE""")," ")</f>
        <v xml:space="preserve"> </v>
      </c>
      <c r="D249" s="1"/>
      <c r="E249" s="1"/>
      <c r="F249" s="1">
        <f t="shared" ca="1" si="0"/>
        <v>2</v>
      </c>
      <c r="H249" s="4"/>
      <c r="I249" s="4"/>
      <c r="J249" s="4"/>
      <c r="K249" s="4"/>
      <c r="L249" s="4"/>
    </row>
    <row r="250" spans="1:12">
      <c r="A250" s="1">
        <f ca="1">IFERROR(__xludf.DUMMYFUNCTION("""COMPUTED_VALUE"""),2256)</f>
        <v>2256</v>
      </c>
      <c r="B250" s="1" t="str">
        <f ca="1">IFERROR(__xludf.DUMMYFUNCTION("""COMPUTED_VALUE"""),"PKM PM")</f>
        <v>PKM PM</v>
      </c>
      <c r="C250" s="1" t="str">
        <f ca="1">IFERROR(__xludf.DUMMYFUNCTION("""COMPUTED_VALUE"""),"Permasalahan Lokasi Mitra, ada kemungkinan dipindahkan di Mojokerto atau Pasuruan (tetapi kondisi eksisting berbeda). Perumusan masalah masih terlalu sederhana (belum tajam)")</f>
        <v>Permasalahan Lokasi Mitra, ada kemungkinan dipindahkan di Mojokerto atau Pasuruan (tetapi kondisi eksisting berbeda). Perumusan masalah masih terlalu sederhana (belum tajam)</v>
      </c>
      <c r="D250" s="1" t="str">
        <f ca="1">IFERROR(__xludf.DUMMYFUNCTION("""COMPUTED_VALUE"""),"LAYAK UPLOAD KE SIMBELMAWA DENGAN REVISI")</f>
        <v>LAYAK UPLOAD KE SIMBELMAWA DENGAN REVISI</v>
      </c>
      <c r="E250" s="7" t="str">
        <f ca="1">IFERROR(__xludf.DUMMYFUNCTION("""COMPUTED_VALUE"""),"https://drive.google.com/open?id=1Pj7WFeSuyawnu4yGvsUEylrFQpBbdhMm")</f>
        <v>https://drive.google.com/open?id=1Pj7WFeSuyawnu4yGvsUEylrFQpBbdhMm</v>
      </c>
      <c r="F250" s="1">
        <f t="shared" ca="1" si="0"/>
        <v>0</v>
      </c>
      <c r="H250" s="4"/>
      <c r="I250" s="4"/>
      <c r="J250" s="4"/>
      <c r="K250" s="4"/>
      <c r="L250" s="4"/>
    </row>
    <row r="251" spans="1:12">
      <c r="A251" s="1">
        <f ca="1">IFERROR(__xludf.DUMMYFUNCTION("""COMPUTED_VALUE"""),3976)</f>
        <v>3976</v>
      </c>
      <c r="B251" s="1" t="str">
        <f ca="1">IFERROR(__xludf.DUMMYFUNCTION("""COMPUTED_VALUE"""),"PKM PM")</f>
        <v>PKM PM</v>
      </c>
      <c r="C251" s="1" t="str">
        <f ca="1">IFERROR(__xludf.DUMMYFUNCTION("""COMPUTED_VALUE"""),"Latar belakang paragraf 1 sangat panjang. Perlu ada perubahan mitra (Porang agak sulit di radius 100 km surabaya, atau perlu berganti tanaman lain). Istilah terciptanya modul --&gt; Tersusunnya modul. SUmber: Dokumentasi Penulis (tidak perlu dinyatakan, kecu"&amp;"ali didapat dari sumber lain). Referensi DPMPTSP perlu didampingi referensi dari DInas Lain yang relevan. Bila e-commerce adalah keberlanjutan, bagaimana mekanisme kontrolnya...atau bisa disampaikan hal lain (belum spesifik jelas tertangkap dalam proposal"&amp;")")</f>
        <v>Latar belakang paragraf 1 sangat panjang. Perlu ada perubahan mitra (Porang agak sulit di radius 100 km surabaya, atau perlu berganti tanaman lain). Istilah terciptanya modul --&gt; Tersusunnya modul. SUmber: Dokumentasi Penulis (tidak perlu dinyatakan, kecuali didapat dari sumber lain). Referensi DPMPTSP perlu didampingi referensi dari DInas Lain yang relevan. Bila e-commerce adalah keberlanjutan, bagaimana mekanisme kontrolnya...atau bisa disampaikan hal lain (belum spesifik jelas tertangkap dalam proposal)</v>
      </c>
      <c r="D251" s="1" t="str">
        <f ca="1">IFERROR(__xludf.DUMMYFUNCTION("""COMPUTED_VALUE"""),"LAYAK UPLOAD KE SIMBELMAWA DENGAN REVISI")</f>
        <v>LAYAK UPLOAD KE SIMBELMAWA DENGAN REVISI</v>
      </c>
      <c r="E251" s="7" t="str">
        <f ca="1">IFERROR(__xludf.DUMMYFUNCTION("""COMPUTED_VALUE"""),"https://drive.google.com/open?id=1XVEQ6k2yolyM22BWoKwYTCJYGdSfshso")</f>
        <v>https://drive.google.com/open?id=1XVEQ6k2yolyM22BWoKwYTCJYGdSfshso</v>
      </c>
      <c r="F251" s="1">
        <f t="shared" ca="1" si="0"/>
        <v>0</v>
      </c>
      <c r="H251" s="4"/>
      <c r="I251" s="4"/>
      <c r="J251" s="4"/>
      <c r="K251" s="4"/>
      <c r="L251" s="4"/>
    </row>
    <row r="252" spans="1:12">
      <c r="A252" s="1">
        <f ca="1">IFERROR(__xludf.DUMMYFUNCTION("""COMPUTED_VALUE"""),2445)</f>
        <v>2445</v>
      </c>
      <c r="B252" s="1" t="str">
        <f ca="1">IFERROR(__xludf.DUMMYFUNCTION("""COMPUTED_VALUE"""),"PKM PM")</f>
        <v>PKM PM</v>
      </c>
      <c r="C252" s="1" t="str">
        <f ca="1">IFERROR(__xludf.DUMMYFUNCTION("""COMPUTED_VALUE"""),"Penulisan kalimat kurang tegas, beberapa terkesan bertele-tele, misal kalimat yang diawali Hal ini berdasarkan survei. Hubungan antara bau tidak sedap dengan potensi wilayah yang perlu diunggulkan (kurang pas). Beberapa hal lain sudah dihighligt Pak Bandu"&amp;"ng. Korelasi kondisi masyarakat dengan potensi unggulan belum nampak. Korelasi beberapa produk yang diusulkan dengan Kampung Dinoyo yang berada di pusat kota barangkali perlu dijelaskan")</f>
        <v>Penulisan kalimat kurang tegas, beberapa terkesan bertele-tele, misal kalimat yang diawali Hal ini berdasarkan survei. Hubungan antara bau tidak sedap dengan potensi wilayah yang perlu diunggulkan (kurang pas). Beberapa hal lain sudah dihighligt Pak Bandung. Korelasi kondisi masyarakat dengan potensi unggulan belum nampak. Korelasi beberapa produk yang diusulkan dengan Kampung Dinoyo yang berada di pusat kota barangkali perlu dijelaskan</v>
      </c>
      <c r="D252" s="1" t="str">
        <f ca="1">IFERROR(__xludf.DUMMYFUNCTION("""COMPUTED_VALUE"""),"LAYAK UPLOAD KE SIMBELMAWA DENGAN REVISI")</f>
        <v>LAYAK UPLOAD KE SIMBELMAWA DENGAN REVISI</v>
      </c>
      <c r="E252" s="7" t="str">
        <f ca="1">IFERROR(__xludf.DUMMYFUNCTION("""COMPUTED_VALUE"""),"https://drive.google.com/open?id=1db4MeqLW7YX-fM1xGLZZZMnbED0tGOTc")</f>
        <v>https://drive.google.com/open?id=1db4MeqLW7YX-fM1xGLZZZMnbED0tGOTc</v>
      </c>
      <c r="F252" s="1">
        <f t="shared" ca="1" si="0"/>
        <v>0</v>
      </c>
      <c r="H252" s="4"/>
      <c r="I252" s="4"/>
      <c r="J252" s="4"/>
      <c r="K252" s="4"/>
      <c r="L252" s="4"/>
    </row>
    <row r="253" spans="1:12">
      <c r="A253" s="1">
        <f ca="1">IFERROR(__xludf.DUMMYFUNCTION("""COMPUTED_VALUE"""),2214)</f>
        <v>2214</v>
      </c>
      <c r="B253" s="1" t="str">
        <f ca="1">IFERROR(__xludf.DUMMYFUNCTION("""COMPUTED_VALUE"""),"PKM PM")</f>
        <v>PKM PM</v>
      </c>
      <c r="C253" s="1" t="str">
        <f ca="1">IFERROR(__xludf.DUMMYFUNCTION("""COMPUTED_VALUE"""),"Barangkali perlu ditambahkan potensi bahwa warga binaan akan dapat melanjutkan program ketika selesai menjalani masa hukuman (sebagai keberlanjutan) - kejelasan cara mencapai tujuan 1.")</f>
        <v>Barangkali perlu ditambahkan potensi bahwa warga binaan akan dapat melanjutkan program ketika selesai menjalani masa hukuman (sebagai keberlanjutan) - kejelasan cara mencapai tujuan 1.</v>
      </c>
      <c r="D253" s="1" t="str">
        <f ca="1">IFERROR(__xludf.DUMMYFUNCTION("""COMPUTED_VALUE"""),"LAYAK UPLOAD KE SIMBELMAWA DENGAN REVISI")</f>
        <v>LAYAK UPLOAD KE SIMBELMAWA DENGAN REVISI</v>
      </c>
      <c r="E253" s="7" t="str">
        <f ca="1">IFERROR(__xludf.DUMMYFUNCTION("""COMPUTED_VALUE"""),"https://drive.google.com/open?id=1jMpsKh0L5YN_u6zJyAU27gsYIPPRfKX2")</f>
        <v>https://drive.google.com/open?id=1jMpsKh0L5YN_u6zJyAU27gsYIPPRfKX2</v>
      </c>
      <c r="F253" s="1">
        <f t="shared" ca="1" si="0"/>
        <v>0</v>
      </c>
      <c r="H253" s="4"/>
      <c r="I253" s="4"/>
      <c r="J253" s="4"/>
      <c r="K253" s="4"/>
      <c r="L253" s="4"/>
    </row>
    <row r="254" spans="1:12">
      <c r="A254" s="1">
        <f ca="1">IFERROR(__xludf.DUMMYFUNCTION("""COMPUTED_VALUE"""),2932)</f>
        <v>2932</v>
      </c>
      <c r="B254" s="1" t="str">
        <f ca="1">IFERROR(__xludf.DUMMYFUNCTION("""COMPUTED_VALUE"""),"PKM PM")</f>
        <v>PKM PM</v>
      </c>
      <c r="C254" s="1" t="str">
        <f ca="1">IFERROR(__xludf.DUMMYFUNCTION("""COMPUTED_VALUE"""),"Ketidakberhasilan program sebelumnya perlu ada sedikit telaah tentang sumber permasalahan/penyebab. Beberapa catatan lain telah diberikan di saat zoom. Luaran artikel ilmiah berupa jurnal, apakah tidak terlalu berat? Peran digital marketing mungkin bisa d"&amp;"iperhalus dipola sebagai daya atau nila jual produk. Diagram alir kurang menarik...perlu pengelompokan kegiatan dalam tahapan. Indikator keberhasilan belum nampak jelas angka yang menjadi target.")</f>
        <v>Ketidakberhasilan program sebelumnya perlu ada sedikit telaah tentang sumber permasalahan/penyebab. Beberapa catatan lain telah diberikan di saat zoom. Luaran artikel ilmiah berupa jurnal, apakah tidak terlalu berat? Peran digital marketing mungkin bisa diperhalus dipola sebagai daya atau nila jual produk. Diagram alir kurang menarik...perlu pengelompokan kegiatan dalam tahapan. Indikator keberhasilan belum nampak jelas angka yang menjadi target.</v>
      </c>
      <c r="D254" s="1" t="str">
        <f ca="1">IFERROR(__xludf.DUMMYFUNCTION("""COMPUTED_VALUE"""),"LAYAK UPLOAD KE SIMBELMAWA DENGAN REVISI")</f>
        <v>LAYAK UPLOAD KE SIMBELMAWA DENGAN REVISI</v>
      </c>
      <c r="E254" s="7" t="str">
        <f ca="1">IFERROR(__xludf.DUMMYFUNCTION("""COMPUTED_VALUE"""),"https://drive.google.com/open?id=1GswCjH9Foq4rMESiLKcCY-Thvr5CPE6J")</f>
        <v>https://drive.google.com/open?id=1GswCjH9Foq4rMESiLKcCY-Thvr5CPE6J</v>
      </c>
      <c r="F254" s="1">
        <f t="shared" ca="1" si="0"/>
        <v>0</v>
      </c>
      <c r="H254" s="4"/>
      <c r="I254" s="4"/>
      <c r="J254" s="4"/>
      <c r="K254" s="4"/>
      <c r="L254" s="4"/>
    </row>
    <row r="255" spans="1:12">
      <c r="A255" s="1">
        <f ca="1">IFERROR(__xludf.DUMMYFUNCTION("""COMPUTED_VALUE"""),2950)</f>
        <v>2950</v>
      </c>
      <c r="B255" s="1" t="str">
        <f ca="1">IFERROR(__xludf.DUMMYFUNCTION("""COMPUTED_VALUE"""),"PKM PM")</f>
        <v>PKM PM</v>
      </c>
      <c r="C255" s="1" t="str">
        <f ca="1">IFERROR(__xludf.DUMMYFUNCTION("""COMPUTED_VALUE"""),"Indikator keberhasilan misal tingkat partisipasi perlu dinyatakan jelas. Tentang keberlanjutan, para penggiat atau guru bagaimana melakukan proses alih tanggung jawab (kaderisasi) yang jelas. Catatan tentang sebagian kegiatan ini yang sejenis (sebagian) p"&amp;"erlu dijelaskan faktor ketidakberhasilannya.")</f>
        <v>Indikator keberhasilan misal tingkat partisipasi perlu dinyatakan jelas. Tentang keberlanjutan, para penggiat atau guru bagaimana melakukan proses alih tanggung jawab (kaderisasi) yang jelas. Catatan tentang sebagian kegiatan ini yang sejenis (sebagian) perlu dijelaskan faktor ketidakberhasilannya.</v>
      </c>
      <c r="D255" s="1" t="str">
        <f ca="1">IFERROR(__xludf.DUMMYFUNCTION("""COMPUTED_VALUE"""),"LAYAK UPLOAD KE SIMBELMAWA DENGAN REVISI")</f>
        <v>LAYAK UPLOAD KE SIMBELMAWA DENGAN REVISI</v>
      </c>
      <c r="E255" s="7" t="str">
        <f ca="1">IFERROR(__xludf.DUMMYFUNCTION("""COMPUTED_VALUE"""),"https://drive.google.com/open?id=1UeRzqA37M1tOTMGTePBrC738hM1IRz6d")</f>
        <v>https://drive.google.com/open?id=1UeRzqA37M1tOTMGTePBrC738hM1IRz6d</v>
      </c>
      <c r="F255" s="1">
        <f t="shared" ca="1" si="0"/>
        <v>0</v>
      </c>
      <c r="H255" s="4"/>
      <c r="I255" s="4"/>
      <c r="J255" s="4"/>
      <c r="K255" s="4"/>
      <c r="L255" s="4"/>
    </row>
    <row r="256" spans="1:12">
      <c r="A256" s="1">
        <f ca="1">IFERROR(__xludf.DUMMYFUNCTION("""COMPUTED_VALUE"""),4133)</f>
        <v>4133</v>
      </c>
      <c r="B256" s="1" t="str">
        <f ca="1">IFERROR(__xludf.DUMMYFUNCTION("""COMPUTED_VALUE"""),"PKM PM")</f>
        <v>PKM PM</v>
      </c>
      <c r="C256" s="1" t="str">
        <f ca="1">IFERROR(__xludf.DUMMYFUNCTION("""COMPUTED_VALUE"""),"Apakah nama desa sudah konsisten, Jarak atau Jarak Kulon. Metode pelaksanaan yang diberi warna merah perlu diarahkan pada keberlanjutan program ini bagaimana rencananya. Indikator keberhasilan belum terlihat dalam proposal ini.")</f>
        <v>Apakah nama desa sudah konsisten, Jarak atau Jarak Kulon. Metode pelaksanaan yang diberi warna merah perlu diarahkan pada keberlanjutan program ini bagaimana rencananya. Indikator keberhasilan belum terlihat dalam proposal ini.</v>
      </c>
      <c r="D256" s="1" t="str">
        <f ca="1">IFERROR(__xludf.DUMMYFUNCTION("""COMPUTED_VALUE"""),"LAYAK UPLOAD KE SIMBELMAWA DENGAN REVISI")</f>
        <v>LAYAK UPLOAD KE SIMBELMAWA DENGAN REVISI</v>
      </c>
      <c r="E256" s="7" t="str">
        <f ca="1">IFERROR(__xludf.DUMMYFUNCTION("""COMPUTED_VALUE"""),"https://drive.google.com/open?id=1d4hlu5IELrkHpLd_WTbNYILAVVnsqRoC")</f>
        <v>https://drive.google.com/open?id=1d4hlu5IELrkHpLd_WTbNYILAVVnsqRoC</v>
      </c>
      <c r="F256" s="1">
        <f t="shared" ca="1" si="0"/>
        <v>0</v>
      </c>
      <c r="H256" s="4"/>
      <c r="I256" s="4"/>
      <c r="J256" s="4"/>
      <c r="K256" s="4"/>
      <c r="L256" s="4"/>
    </row>
    <row r="257" spans="1:12">
      <c r="A257" s="1">
        <f ca="1">IFERROR(__xludf.DUMMYFUNCTION("""COMPUTED_VALUE"""),3841)</f>
        <v>3841</v>
      </c>
      <c r="B257" s="1" t="str">
        <f ca="1">IFERROR(__xludf.DUMMYFUNCTION("""COMPUTED_VALUE"""),"PKM PM")</f>
        <v>PKM PM</v>
      </c>
      <c r="C257" s="1" t="str">
        <f ca="1">IFERROR(__xludf.DUMMYFUNCTION("""COMPUTED_VALUE"""),"Terdapat kesalahan penulisan nama Desa Domas (latar belakang). Di tujuan terdapat tujuan pembuatan karya tulis. Pengabdian masyarakat ke UMKM perlu dispesifikkan meningkatkan dalam hal apa, misal dampak ke masyarakat (menghilangkan hal yang kurang baik). "&amp;"Potensi keberlanjutan dalam metode pelaksanaan.")</f>
        <v>Terdapat kesalahan penulisan nama Desa Domas (latar belakang). Di tujuan terdapat tujuan pembuatan karya tulis. Pengabdian masyarakat ke UMKM perlu dispesifikkan meningkatkan dalam hal apa, misal dampak ke masyarakat (menghilangkan hal yang kurang baik). Potensi keberlanjutan dalam metode pelaksanaan.</v>
      </c>
      <c r="D257" s="1" t="str">
        <f ca="1">IFERROR(__xludf.DUMMYFUNCTION("""COMPUTED_VALUE"""),"LAYAK UPLOAD KE SIMBELMAWA DENGAN REVISI")</f>
        <v>LAYAK UPLOAD KE SIMBELMAWA DENGAN REVISI</v>
      </c>
      <c r="E257" s="7" t="str">
        <f ca="1">IFERROR(__xludf.DUMMYFUNCTION("""COMPUTED_VALUE"""),"https://drive.google.com/open?id=1YO-EqRGTsKMI0nzQyAJV06g9Dp44cmv0")</f>
        <v>https://drive.google.com/open?id=1YO-EqRGTsKMI0nzQyAJV06g9Dp44cmv0</v>
      </c>
      <c r="F257" s="1">
        <f t="shared" ref="F257:F511" ca="1" si="11">IF(C257=" ",IF(ISBLANK(E257), 2, 1),0)</f>
        <v>0</v>
      </c>
      <c r="H257" s="4"/>
      <c r="I257" s="4"/>
      <c r="J257" s="4"/>
      <c r="K257" s="4"/>
      <c r="L257" s="4"/>
    </row>
    <row r="258" spans="1:12">
      <c r="A258" s="1">
        <f ca="1">IFERROR(__xludf.DUMMYFUNCTION("""COMPUTED_VALUE"""),4011)</f>
        <v>4011</v>
      </c>
      <c r="B258" s="1" t="str">
        <f ca="1">IFERROR(__xludf.DUMMYFUNCTION("""COMPUTED_VALUE"""),"PKM PM")</f>
        <v>PKM PM</v>
      </c>
      <c r="C258" s="1" t="str">
        <f ca="1">IFERROR(__xludf.DUMMYFUNCTION("""COMPUTED_VALUE"""),"Pada daftar isi masih terdapat error. Kalimat 'pengabdian kali ini"". Judul Gambar 4 mestinya bukan strategi. Belum terdapat gambara jelas tentang indikator keberhasilan dan bagaimana tindak lanjut (keberlanjutan program)")</f>
        <v>Pada daftar isi masih terdapat error. Kalimat 'pengabdian kali ini". Judul Gambar 4 mestinya bukan strategi. Belum terdapat gambara jelas tentang indikator keberhasilan dan bagaimana tindak lanjut (keberlanjutan program)</v>
      </c>
      <c r="D258" s="1" t="str">
        <f ca="1">IFERROR(__xludf.DUMMYFUNCTION("""COMPUTED_VALUE"""),"LAYAK UPLOAD KE SIMBELMAWA DENGAN REVISI")</f>
        <v>LAYAK UPLOAD KE SIMBELMAWA DENGAN REVISI</v>
      </c>
      <c r="E258" s="7" t="str">
        <f ca="1">IFERROR(__xludf.DUMMYFUNCTION("""COMPUTED_VALUE"""),"https://drive.google.com/open?id=17hyx0Rv8l_tNIprzCjLLSWAm8atUVCMP")</f>
        <v>https://drive.google.com/open?id=17hyx0Rv8l_tNIprzCjLLSWAm8atUVCMP</v>
      </c>
      <c r="F258" s="1">
        <f t="shared" ca="1" si="11"/>
        <v>0</v>
      </c>
      <c r="H258" s="4"/>
      <c r="I258" s="4"/>
      <c r="J258" s="4"/>
      <c r="K258" s="4"/>
      <c r="L258" s="4"/>
    </row>
    <row r="259" spans="1:12">
      <c r="A259" s="1">
        <f ca="1">IFERROR(__xludf.DUMMYFUNCTION("""COMPUTED_VALUE"""),2247)</f>
        <v>2247</v>
      </c>
      <c r="B259" s="1" t="str">
        <f ca="1">IFERROR(__xludf.DUMMYFUNCTION("""COMPUTED_VALUE"""),"PKM PM")</f>
        <v>PKM PM</v>
      </c>
      <c r="C259" s="1" t="str">
        <f ca="1">IFERROR(__xludf.DUMMYFUNCTION("""COMPUTED_VALUE"""),"Bagaimana dengan kendala jarak obyek mitra dengan lokasi ITS. Indikator keberhasilan terutama per tahap pelaksanaan kegiatan dan juga tindak lanjut (keberlanjutan program) belum jelas")</f>
        <v>Bagaimana dengan kendala jarak obyek mitra dengan lokasi ITS. Indikator keberhasilan terutama per tahap pelaksanaan kegiatan dan juga tindak lanjut (keberlanjutan program) belum jelas</v>
      </c>
      <c r="D259" s="1" t="str">
        <f ca="1">IFERROR(__xludf.DUMMYFUNCTION("""COMPUTED_VALUE"""),"LAYAK UPLOAD KE SIMBELMAWA DENGAN REVISI")</f>
        <v>LAYAK UPLOAD KE SIMBELMAWA DENGAN REVISI</v>
      </c>
      <c r="E259" s="7" t="str">
        <f ca="1">IFERROR(__xludf.DUMMYFUNCTION("""COMPUTED_VALUE"""),"https://drive.google.com/open?id=1IDtX4quMFeMByZPd7VzjTPSkjG_C2WAt")</f>
        <v>https://drive.google.com/open?id=1IDtX4quMFeMByZPd7VzjTPSkjG_C2WAt</v>
      </c>
      <c r="F259" s="1">
        <f t="shared" ca="1" si="11"/>
        <v>0</v>
      </c>
      <c r="H259" s="4"/>
      <c r="I259" s="4"/>
      <c r="J259" s="4"/>
      <c r="K259" s="4"/>
      <c r="L259" s="4"/>
    </row>
    <row r="260" spans="1:12">
      <c r="A260" s="1">
        <f ca="1">IFERROR(__xludf.DUMMYFUNCTION("""COMPUTED_VALUE"""),3953)</f>
        <v>3953</v>
      </c>
      <c r="B260" s="1" t="str">
        <f ca="1">IFERROR(__xludf.DUMMYFUNCTION("""COMPUTED_VALUE"""),"PKM PM")</f>
        <v>PKM PM</v>
      </c>
      <c r="C260" s="1" t="str">
        <f ca="1">IFERROR(__xludf.DUMMYFUNCTION("""COMPUTED_VALUE"""),"Barangkali lebih baik penggunan kata rancang bangun diganti pemanfaatan agar nuansa PM lebih terasa (bukan KC), semoga bisa dimunculkan juga di latar belakang kesan PM nya. Keberlanjutan dan indikator keberhasilan secara jelas/tegas belum nampak dalam ura"&amp;"ian proposal.")</f>
        <v>Barangkali lebih baik penggunan kata rancang bangun diganti pemanfaatan agar nuansa PM lebih terasa (bukan KC), semoga bisa dimunculkan juga di latar belakang kesan PM nya. Keberlanjutan dan indikator keberhasilan secara jelas/tegas belum nampak dalam uraian proposal.</v>
      </c>
      <c r="D260" s="1" t="str">
        <f ca="1">IFERROR(__xludf.DUMMYFUNCTION("""COMPUTED_VALUE"""),"LAYAK UPLOAD KE SIMBELMAWA DENGAN REVISI")</f>
        <v>LAYAK UPLOAD KE SIMBELMAWA DENGAN REVISI</v>
      </c>
      <c r="E260" s="7" t="str">
        <f ca="1">IFERROR(__xludf.DUMMYFUNCTION("""COMPUTED_VALUE"""),"https://drive.google.com/open?id=1mVigVh8PoSbe-HQZiOn69VwnnBOJDTT3")</f>
        <v>https://drive.google.com/open?id=1mVigVh8PoSbe-HQZiOn69VwnnBOJDTT3</v>
      </c>
      <c r="F260" s="1">
        <f t="shared" ca="1" si="11"/>
        <v>0</v>
      </c>
      <c r="H260" s="4"/>
      <c r="I260" s="4"/>
      <c r="J260" s="4"/>
      <c r="K260" s="4"/>
      <c r="L260" s="4"/>
    </row>
    <row r="261" spans="1:12">
      <c r="A261" s="1">
        <f ca="1">IFERROR(__xludf.DUMMYFUNCTION("""COMPUTED_VALUE"""),3343)</f>
        <v>3343</v>
      </c>
      <c r="B261" s="1" t="str">
        <f ca="1">IFERROR(__xludf.DUMMYFUNCTION("""COMPUTED_VALUE"""),"PKM PM")</f>
        <v>PKM PM</v>
      </c>
      <c r="C261" s="1" t="str">
        <f ca="1">IFERROR(__xludf.DUMMYFUNCTION("""COMPUTED_VALUE"""),"APakah sudah diganti mitranya (Tulungagung). Program kebersihan barangkali lebih tepat diganti program merawat kebersihan. Tujuan di proposal tertulis tujuan penulisan (PM adalah aktivitas). Desain alat barangkali bisa diganti implementasi dalam penggunaa"&amp;"n peralatan sistem perawatan kebersihan. Indikator keberhasilan dan keberlanjutan program belum nampak")</f>
        <v>APakah sudah diganti mitranya (Tulungagung). Program kebersihan barangkali lebih tepat diganti program merawat kebersihan. Tujuan di proposal tertulis tujuan penulisan (PM adalah aktivitas). Desain alat barangkali bisa diganti implementasi dalam penggunaan peralatan sistem perawatan kebersihan. Indikator keberhasilan dan keberlanjutan program belum nampak</v>
      </c>
      <c r="D261" s="1" t="str">
        <f ca="1">IFERROR(__xludf.DUMMYFUNCTION("""COMPUTED_VALUE"""),"LAYAK UPLOAD KE SIMBELMAWA DENGAN REVISI")</f>
        <v>LAYAK UPLOAD KE SIMBELMAWA DENGAN REVISI</v>
      </c>
      <c r="E261" s="1"/>
      <c r="F261" s="1">
        <f t="shared" ca="1" si="11"/>
        <v>0</v>
      </c>
      <c r="H261" s="4"/>
      <c r="I261" s="4"/>
      <c r="J261" s="4"/>
      <c r="K261" s="4"/>
      <c r="L261" s="4"/>
    </row>
    <row r="262" spans="1:12">
      <c r="A262" s="1">
        <f ca="1">IFERROR(__xludf.DUMMYFUNCTION("""COMPUTED_VALUE"""),3684)</f>
        <v>3684</v>
      </c>
      <c r="B262" s="1" t="str">
        <f ca="1">IFERROR(__xludf.DUMMYFUNCTION("""COMPUTED_VALUE"""),"PKM PM")</f>
        <v>PKM PM</v>
      </c>
      <c r="C262" s="1" t="str">
        <f ca="1">IFERROR(__xludf.DUMMYFUNCTION("""COMPUTED_VALUE"""),"Modul pendampingan berupa tahapan pengolahan kurang tepat, barangkali bisa diganti modul pendampingan cara perawatan dan pengolahan di titik wilayah baru. Obyek Mitra Blitar apa sudah diganti? Tentang keberlanjutan program dan indikator keberhasilan per t"&amp;"ahap kegiatan belum dituliskan dengan jelas pada proposal")</f>
        <v>Modul pendampingan berupa tahapan pengolahan kurang tepat, barangkali bisa diganti modul pendampingan cara perawatan dan pengolahan di titik wilayah baru. Obyek Mitra Blitar apa sudah diganti? Tentang keberlanjutan program dan indikator keberhasilan per tahap kegiatan belum dituliskan dengan jelas pada proposal</v>
      </c>
      <c r="D262" s="1" t="str">
        <f ca="1">IFERROR(__xludf.DUMMYFUNCTION("""COMPUTED_VALUE"""),"LAYAK UPLOAD KE SIMBELMAWA DENGAN REVISI")</f>
        <v>LAYAK UPLOAD KE SIMBELMAWA DENGAN REVISI</v>
      </c>
      <c r="E262" s="1"/>
      <c r="F262" s="1">
        <f t="shared" ca="1" si="11"/>
        <v>0</v>
      </c>
      <c r="H262" s="4"/>
      <c r="I262" s="4"/>
      <c r="J262" s="4"/>
      <c r="K262" s="4"/>
      <c r="L262" s="4"/>
    </row>
    <row r="263" spans="1:12">
      <c r="A263" s="1">
        <f ca="1">IFERROR(__xludf.DUMMYFUNCTION("""COMPUTED_VALUE"""),2575)</f>
        <v>2575</v>
      </c>
      <c r="B263" s="1" t="str">
        <f ca="1">IFERROR(__xludf.DUMMYFUNCTION("""COMPUTED_VALUE"""),"PKM PM")</f>
        <v>PKM PM</v>
      </c>
      <c r="C263" s="1" t="str">
        <f ca="1">IFERROR(__xludf.DUMMYFUNCTION("""COMPUTED_VALUE"""),"Di judul tertulis perumahan Semen Gresik saat Bikom ada nama desa disebut. Indikator keberhasilan dan keberlanjutan program belum tertulis. Tentang pentahapan pelaksanaan sebaiknya lebih ada kegiatan yang dikelompokkan dalam tahapan. Juga perlu dilakukan "&amp;"FGD/Pertemuan khusus dengan beberapa stakeholder lainnya")</f>
        <v>Di judul tertulis perumahan Semen Gresik saat Bikom ada nama desa disebut. Indikator keberhasilan dan keberlanjutan program belum tertulis. Tentang pentahapan pelaksanaan sebaiknya lebih ada kegiatan yang dikelompokkan dalam tahapan. Juga perlu dilakukan FGD/Pertemuan khusus dengan beberapa stakeholder lainnya</v>
      </c>
      <c r="D263" s="1" t="str">
        <f ca="1">IFERROR(__xludf.DUMMYFUNCTION("""COMPUTED_VALUE"""),"LAYAK UPLOAD KE SIMBELMAWA DENGAN REVISI")</f>
        <v>LAYAK UPLOAD KE SIMBELMAWA DENGAN REVISI</v>
      </c>
      <c r="E263" s="7" t="str">
        <f ca="1">IFERROR(__xludf.DUMMYFUNCTION("""COMPUTED_VALUE"""),"https://drive.google.com/open?id=1T7Vt8hoGrPSXWs7pcPUMEeoA-JYUvfYJ")</f>
        <v>https://drive.google.com/open?id=1T7Vt8hoGrPSXWs7pcPUMEeoA-JYUvfYJ</v>
      </c>
      <c r="F263" s="1">
        <f t="shared" ca="1" si="11"/>
        <v>0</v>
      </c>
      <c r="H263" s="4"/>
      <c r="I263" s="4"/>
      <c r="J263" s="4"/>
      <c r="K263" s="4"/>
      <c r="L263" s="4"/>
    </row>
    <row r="264" spans="1:12">
      <c r="A264" s="1">
        <f ca="1">IFERROR(__xludf.DUMMYFUNCTION("""COMPUTED_VALUE"""),2432)</f>
        <v>2432</v>
      </c>
      <c r="B264" s="1" t="str">
        <f ca="1">IFERROR(__xludf.DUMMYFUNCTION("""COMPUTED_VALUE"""),"PKM PM")</f>
        <v>PKM PM</v>
      </c>
      <c r="C264" s="1" t="str">
        <f ca="1">IFERROR(__xludf.DUMMYFUNCTION("""COMPUTED_VALUE"""),"Perlu diperjelas bahwa ini merupakan pelatihan peningkatan kemampuan/kompetensi pengelasan yang akan mengarah sertifikasi. Terutama nantinya dikaitkan dengan aktivitas CSR dari BUMN di Gresik. Selanjutnya indikator keberhasilan dan keberlanjutan program b"&amp;"elum dinyatakan jelas. Perlu ditambahkan tentang assesment awal terhadap calon peserta (karang taruna/elemen masyarakat lainnya).")</f>
        <v>Perlu diperjelas bahwa ini merupakan pelatihan peningkatan kemampuan/kompetensi pengelasan yang akan mengarah sertifikasi. Terutama nantinya dikaitkan dengan aktivitas CSR dari BUMN di Gresik. Selanjutnya indikator keberhasilan dan keberlanjutan program belum dinyatakan jelas. Perlu ditambahkan tentang assesment awal terhadap calon peserta (karang taruna/elemen masyarakat lainnya).</v>
      </c>
      <c r="D264" s="1" t="str">
        <f ca="1">IFERROR(__xludf.DUMMYFUNCTION("""COMPUTED_VALUE"""),"LAYAK UPLOAD KE SIMBELMAWA DENGAN REVISI")</f>
        <v>LAYAK UPLOAD KE SIMBELMAWA DENGAN REVISI</v>
      </c>
      <c r="E264" s="7" t="str">
        <f ca="1">IFERROR(__xludf.DUMMYFUNCTION("""COMPUTED_VALUE"""),"https://drive.google.com/open?id=188TmdRMzCgK0acl7CWcZLvlK5nyIH5td")</f>
        <v>https://drive.google.com/open?id=188TmdRMzCgK0acl7CWcZLvlK5nyIH5td</v>
      </c>
      <c r="F264" s="1">
        <f t="shared" ca="1" si="11"/>
        <v>0</v>
      </c>
      <c r="H264" s="4"/>
      <c r="I264" s="4"/>
      <c r="J264" s="4"/>
      <c r="K264" s="4"/>
      <c r="L264" s="4"/>
    </row>
    <row r="265" spans="1:12">
      <c r="A265" s="1">
        <f ca="1">IFERROR(__xludf.DUMMYFUNCTION("""COMPUTED_VALUE"""),2150)</f>
        <v>2150</v>
      </c>
      <c r="B265" s="1" t="str">
        <f ca="1">IFERROR(__xludf.DUMMYFUNCTION("""COMPUTED_VALUE"""),"PKM PM")</f>
        <v>PKM PM</v>
      </c>
      <c r="C265" s="1" t="str">
        <f ca="1">IFERROR(__xludf.DUMMYFUNCTION("""COMPUTED_VALUE"""),"Apakah sudah ada mitra pengganti karena jarak obyek mitra &gt; 100 km. Indikator keberhasilan dan keberlanjutan program belum dinyatakan jelas. Kaitan kurangnya tenaga pengajar dengan efektivitas game pembelajaran perlu lebih didetailkan. Barangkali dalam pr"&amp;"e test post tes ada perkiraan serapan nilai....estimasi nilai,")</f>
        <v>Apakah sudah ada mitra pengganti karena jarak obyek mitra &gt; 100 km. Indikator keberhasilan dan keberlanjutan program belum dinyatakan jelas. Kaitan kurangnya tenaga pengajar dengan efektivitas game pembelajaran perlu lebih didetailkan. Barangkali dalam pre test post tes ada perkiraan serapan nilai....estimasi nilai,</v>
      </c>
      <c r="D265" s="1" t="str">
        <f ca="1">IFERROR(__xludf.DUMMYFUNCTION("""COMPUTED_VALUE"""),"LAYAK UPLOAD KE SIMBELMAWA DENGAN REVISI")</f>
        <v>LAYAK UPLOAD KE SIMBELMAWA DENGAN REVISI</v>
      </c>
      <c r="E265" s="7" t="str">
        <f ca="1">IFERROR(__xludf.DUMMYFUNCTION("""COMPUTED_VALUE"""),"https://drive.google.com/open?id=1QBusZD0rGMEyAZYhS8C4-h5VXz-bpSmI")</f>
        <v>https://drive.google.com/open?id=1QBusZD0rGMEyAZYhS8C4-h5VXz-bpSmI</v>
      </c>
      <c r="F265" s="1">
        <f t="shared" ca="1" si="11"/>
        <v>0</v>
      </c>
      <c r="H265" s="4"/>
      <c r="I265" s="4"/>
      <c r="J265" s="4"/>
      <c r="K265" s="4"/>
      <c r="L265" s="4"/>
    </row>
    <row r="266" spans="1:12">
      <c r="A266" s="1">
        <f ca="1">IFERROR(__xludf.DUMMYFUNCTION("""COMPUTED_VALUE"""),2123)</f>
        <v>2123</v>
      </c>
      <c r="B266" s="1" t="str">
        <f ca="1">IFERROR(__xludf.DUMMYFUNCTION("""COMPUTED_VALUE"""),"PKM PM")</f>
        <v>PKM PM</v>
      </c>
      <c r="C266" s="1" t="str">
        <f ca="1">IFERROR(__xludf.DUMMYFUNCTION("""COMPUTED_VALUE"""),"-")</f>
        <v>-</v>
      </c>
      <c r="D266" s="1" t="str">
        <f ca="1">IFERROR(__xludf.DUMMYFUNCTION("""COMPUTED_VALUE"""),"LAYAK UPLOAD KE SIMBELMAWA")</f>
        <v>LAYAK UPLOAD KE SIMBELMAWA</v>
      </c>
      <c r="E266" s="7" t="str">
        <f ca="1">IFERROR(__xludf.DUMMYFUNCTION("""COMPUTED_VALUE"""),"https://drive.google.com/open?id=1KXi1sSv3hluMjQANddd_hyig23eN2gO8")</f>
        <v>https://drive.google.com/open?id=1KXi1sSv3hluMjQANddd_hyig23eN2gO8</v>
      </c>
      <c r="F266" s="1">
        <f t="shared" ca="1" si="11"/>
        <v>0</v>
      </c>
      <c r="H266" s="4"/>
      <c r="I266" s="4"/>
      <c r="J266" s="4"/>
      <c r="K266" s="4"/>
      <c r="L266" s="4"/>
    </row>
    <row r="267" spans="1:12">
      <c r="A267" s="1">
        <f ca="1">IFERROR(__xludf.DUMMYFUNCTION("""COMPUTED_VALUE"""),4163)</f>
        <v>4163</v>
      </c>
      <c r="B267" s="1" t="str">
        <f ca="1">IFERROR(__xludf.DUMMYFUNCTION("""COMPUTED_VALUE"""),"PKM PM")</f>
        <v>PKM PM</v>
      </c>
      <c r="C267" s="1" t="str">
        <f ca="1">IFERROR(__xludf.DUMMYFUNCTION("""COMPUTED_VALUE"""),"masih sangat tidak lengkap")</f>
        <v>masih sangat tidak lengkap</v>
      </c>
      <c r="D267" s="1" t="str">
        <f ca="1">IFERROR(__xludf.DUMMYFUNCTION("""COMPUTED_VALUE"""),"TIDAK LAYAK UPLOAD KE SIMBELMAWA")</f>
        <v>TIDAK LAYAK UPLOAD KE SIMBELMAWA</v>
      </c>
      <c r="E267" s="7" t="str">
        <f ca="1">IFERROR(__xludf.DUMMYFUNCTION("""COMPUTED_VALUE"""),"https://drive.google.com/open?id=1_67Si2kris9_dnj-sMDrlOHiAsYJ5Nux")</f>
        <v>https://drive.google.com/open?id=1_67Si2kris9_dnj-sMDrlOHiAsYJ5Nux</v>
      </c>
      <c r="F267" s="1">
        <f t="shared" ca="1" si="11"/>
        <v>0</v>
      </c>
      <c r="H267" s="4"/>
      <c r="I267" s="4"/>
      <c r="J267" s="4"/>
      <c r="K267" s="4"/>
      <c r="L267" s="4"/>
    </row>
    <row r="268" spans="1:12">
      <c r="A268" s="1">
        <f ca="1">IFERROR(__xludf.DUMMYFUNCTION("""COMPUTED_VALUE"""),2621)</f>
        <v>2621</v>
      </c>
      <c r="B268" s="1" t="str">
        <f ca="1">IFERROR(__xludf.DUMMYFUNCTION("""COMPUTED_VALUE"""),"PKM PM")</f>
        <v>PKM PM</v>
      </c>
      <c r="C268" s="1" t="str">
        <f ca="1">IFERROR(__xludf.DUMMYFUNCTION("""COMPUTED_VALUE"""),"Survey mitra masih daring, metode PKM masih fokus hanya pada pembuatan dan penyampaian aplikasi")</f>
        <v>Survey mitra masih daring, metode PKM masih fokus hanya pada pembuatan dan penyampaian aplikasi</v>
      </c>
      <c r="D268" s="1" t="str">
        <f ca="1">IFERROR(__xludf.DUMMYFUNCTION("""COMPUTED_VALUE"""),"LAYAK UPLOAD KE SIMBELMAWA DENGAN REVISI")</f>
        <v>LAYAK UPLOAD KE SIMBELMAWA DENGAN REVISI</v>
      </c>
      <c r="E268" s="7" t="str">
        <f ca="1">IFERROR(__xludf.DUMMYFUNCTION("""COMPUTED_VALUE"""),"https://drive.google.com/open?id=1qfpRyZI_QrMD3o2viVjUrTqNfS19UG05")</f>
        <v>https://drive.google.com/open?id=1qfpRyZI_QrMD3o2viVjUrTqNfS19UG05</v>
      </c>
      <c r="F268" s="1">
        <f t="shared" ca="1" si="11"/>
        <v>0</v>
      </c>
      <c r="H268" s="4"/>
      <c r="I268" s="4"/>
      <c r="J268" s="4"/>
      <c r="K268" s="4"/>
      <c r="L268" s="4"/>
    </row>
    <row r="269" spans="1:12">
      <c r="A269" s="1">
        <f ca="1">IFERROR(__xludf.DUMMYFUNCTION("""COMPUTED_VALUE"""),2011)</f>
        <v>2011</v>
      </c>
      <c r="B269" s="1" t="str">
        <f ca="1">IFERROR(__xludf.DUMMYFUNCTION("""COMPUTED_VALUE"""),"PKM PM")</f>
        <v>PKM PM</v>
      </c>
      <c r="C269" s="1" t="str">
        <f ca="1">IFERROR(__xludf.DUMMYFUNCTION("""COMPUTED_VALUE"""),"Gambaran mitra perlu lebih diperkuat pada Tagana daripada Ibu penyintas bencana, termasuk pada metode pelaksanaan, format dicek kembali")</f>
        <v>Gambaran mitra perlu lebih diperkuat pada Tagana daripada Ibu penyintas bencana, termasuk pada metode pelaksanaan, format dicek kembali</v>
      </c>
      <c r="D269" s="1" t="str">
        <f ca="1">IFERROR(__xludf.DUMMYFUNCTION("""COMPUTED_VALUE"""),"LAYAK UPLOAD KE SIMBELMAWA DENGAN REVISI")</f>
        <v>LAYAK UPLOAD KE SIMBELMAWA DENGAN REVISI</v>
      </c>
      <c r="E269" s="7" t="str">
        <f ca="1">IFERROR(__xludf.DUMMYFUNCTION("""COMPUTED_VALUE"""),"https://drive.google.com/open?id=1g4W_Viwnx1w16q1buHNVwyDCURGDyB72")</f>
        <v>https://drive.google.com/open?id=1g4W_Viwnx1w16q1buHNVwyDCURGDyB72</v>
      </c>
      <c r="F269" s="1">
        <f t="shared" ca="1" si="11"/>
        <v>0</v>
      </c>
      <c r="H269" s="4"/>
      <c r="I269" s="4"/>
      <c r="J269" s="4"/>
      <c r="K269" s="4"/>
      <c r="L269" s="4"/>
    </row>
    <row r="270" spans="1:12">
      <c r="A270" s="1">
        <f ca="1">IFERROR(__xludf.DUMMYFUNCTION("""COMPUTED_VALUE"""),2477)</f>
        <v>2477</v>
      </c>
      <c r="B270" s="1" t="str">
        <f ca="1">IFERROR(__xludf.DUMMYFUNCTION("""COMPUTED_VALUE"""),"PKM PM")</f>
        <v>PKM PM</v>
      </c>
      <c r="C270" s="1" t="str">
        <f ca="1">IFERROR(__xludf.DUMMYFUNCTION("""COMPUTED_VALUE"""),"mitra jaraknya 123 km")</f>
        <v>mitra jaraknya 123 km</v>
      </c>
      <c r="D270" s="1" t="str">
        <f ca="1">IFERROR(__xludf.DUMMYFUNCTION("""COMPUTED_VALUE"""),"TIDAK LAYAK UPLOAD KE SIMBELMAWA")</f>
        <v>TIDAK LAYAK UPLOAD KE SIMBELMAWA</v>
      </c>
      <c r="E270" s="7" t="str">
        <f ca="1">IFERROR(__xludf.DUMMYFUNCTION("""COMPUTED_VALUE"""),"https://drive.google.com/open?id=1p7vpsihWgS9Z52G9208oj3szeB0G6xhu")</f>
        <v>https://drive.google.com/open?id=1p7vpsihWgS9Z52G9208oj3szeB0G6xhu</v>
      </c>
      <c r="F270" s="1">
        <f t="shared" ca="1" si="11"/>
        <v>0</v>
      </c>
      <c r="H270" s="4"/>
      <c r="I270" s="4"/>
      <c r="J270" s="4"/>
      <c r="K270" s="4"/>
      <c r="L270" s="4"/>
    </row>
    <row r="271" spans="1:12">
      <c r="A271" s="1">
        <f ca="1">IFERROR(__xludf.DUMMYFUNCTION("""COMPUTED_VALUE"""),2295)</f>
        <v>2295</v>
      </c>
      <c r="B271" s="1" t="str">
        <f ca="1">IFERROR(__xludf.DUMMYFUNCTION("""COMPUTED_VALUE"""),"PKM PM")</f>
        <v>PKM PM</v>
      </c>
      <c r="C271" s="1" t="str">
        <f ca="1">IFERROR(__xludf.DUMMYFUNCTION("""COMPUTED_VALUE"""),"Latar belakang lebih cenderung kepada masalah UMKM, bukan karang taruna sebagai mitra, solusi pembuatan biodisel dari minyak jelantah apa sesuai untuk karang taruna terutama dari segi reaktor dan tingkat kesulitan proses
")</f>
        <v xml:space="preserve">Latar belakang lebih cenderung kepada masalah UMKM, bukan karang taruna sebagai mitra, solusi pembuatan biodisel dari minyak jelantah apa sesuai untuk karang taruna terutama dari segi reaktor dan tingkat kesulitan proses
</v>
      </c>
      <c r="D271" s="1" t="str">
        <f ca="1">IFERROR(__xludf.DUMMYFUNCTION("""COMPUTED_VALUE"""),"TIDAK LAYAK UPLOAD KE SIMBELMAWA")</f>
        <v>TIDAK LAYAK UPLOAD KE SIMBELMAWA</v>
      </c>
      <c r="E271" s="7" t="str">
        <f ca="1">IFERROR(__xludf.DUMMYFUNCTION("""COMPUTED_VALUE"""),"https://drive.google.com/open?id=1GUcyHXdkYqpo8o6qs4Nj4CRnk_hbU5R2")</f>
        <v>https://drive.google.com/open?id=1GUcyHXdkYqpo8o6qs4Nj4CRnk_hbU5R2</v>
      </c>
      <c r="F271" s="1">
        <f t="shared" ca="1" si="11"/>
        <v>0</v>
      </c>
      <c r="H271" s="4"/>
      <c r="I271" s="4"/>
      <c r="J271" s="4"/>
      <c r="K271" s="4"/>
      <c r="L271" s="4"/>
    </row>
    <row r="272" spans="1:12">
      <c r="A272" s="1">
        <f ca="1">IFERROR(__xludf.DUMMYFUNCTION("""COMPUTED_VALUE"""),4019)</f>
        <v>4019</v>
      </c>
      <c r="B272" s="1" t="str">
        <f ca="1">IFERROR(__xludf.DUMMYFUNCTION("""COMPUTED_VALUE"""),"PKM PM")</f>
        <v>PKM PM</v>
      </c>
      <c r="C272" s="1" t="str">
        <f ca="1">IFERROR(__xludf.DUMMYFUNCTION("""COMPUTED_VALUE"""),"Latar belakang tidak sesuai dengan solusi yang disampaikan, metode masih kurang membentuk alur pengabdian tetapi hanya pelatihan, format penulisan perlu diperbaiki")</f>
        <v>Latar belakang tidak sesuai dengan solusi yang disampaikan, metode masih kurang membentuk alur pengabdian tetapi hanya pelatihan, format penulisan perlu diperbaiki</v>
      </c>
      <c r="D272" s="1" t="str">
        <f ca="1">IFERROR(__xludf.DUMMYFUNCTION("""COMPUTED_VALUE"""),"LAYAK UPLOAD KE SIMBELMAWA DENGAN REVISI")</f>
        <v>LAYAK UPLOAD KE SIMBELMAWA DENGAN REVISI</v>
      </c>
      <c r="E272" s="7" t="str">
        <f ca="1">IFERROR(__xludf.DUMMYFUNCTION("""COMPUTED_VALUE"""),"https://drive.google.com/open?id=1nZG7vHGM3aZE23eRdY1nHgZkjkSLpjIM")</f>
        <v>https://drive.google.com/open?id=1nZG7vHGM3aZE23eRdY1nHgZkjkSLpjIM</v>
      </c>
      <c r="F272" s="1">
        <f t="shared" ca="1" si="11"/>
        <v>0</v>
      </c>
      <c r="H272" s="4"/>
      <c r="I272" s="4"/>
      <c r="J272" s="4"/>
      <c r="K272" s="4"/>
      <c r="L272" s="4"/>
    </row>
    <row r="273" spans="1:12">
      <c r="A273" s="1">
        <f ca="1">IFERROR(__xludf.DUMMYFUNCTION("""COMPUTED_VALUE"""),3586)</f>
        <v>3586</v>
      </c>
      <c r="B273" s="1" t="str">
        <f ca="1">IFERROR(__xludf.DUMMYFUNCTION("""COMPUTED_VALUE"""),"PKM PM")</f>
        <v>PKM PM</v>
      </c>
      <c r="C273" s="1" t="str">
        <f ca="1">IFERROR(__xludf.DUMMYFUNCTION("""COMPUTED_VALUE"""),"Latar belakang pelu diringkas, tujuan membingunkan, format belum sesuai, metode masih kurang detail")</f>
        <v>Latar belakang pelu diringkas, tujuan membingunkan, format belum sesuai, metode masih kurang detail</v>
      </c>
      <c r="D273" s="1" t="str">
        <f ca="1">IFERROR(__xludf.DUMMYFUNCTION("""COMPUTED_VALUE"""),"LAYAK UPLOAD KE SIMBELMAWA DENGAN REVISI")</f>
        <v>LAYAK UPLOAD KE SIMBELMAWA DENGAN REVISI</v>
      </c>
      <c r="E273" s="1"/>
      <c r="F273" s="1">
        <f t="shared" ca="1" si="11"/>
        <v>0</v>
      </c>
      <c r="H273" s="4"/>
      <c r="I273" s="4"/>
      <c r="J273" s="4"/>
      <c r="K273" s="4"/>
      <c r="L273" s="4"/>
    </row>
    <row r="274" spans="1:12">
      <c r="A274" s="1">
        <f ca="1">IFERROR(__xludf.DUMMYFUNCTION("""COMPUTED_VALUE"""),4082)</f>
        <v>4082</v>
      </c>
      <c r="B274" s="1" t="str">
        <f ca="1">IFERROR(__xludf.DUMMYFUNCTION("""COMPUTED_VALUE"""),"PKM PM")</f>
        <v>PKM PM</v>
      </c>
      <c r="C274" s="1" t="str">
        <f ca="1">IFERROR(__xludf.DUMMYFUNCTION("""COMPUTED_VALUE"""),"Spasi diperhatikan, metode pelaksanaan kurang detail, RAB masih kosong")</f>
        <v>Spasi diperhatikan, metode pelaksanaan kurang detail, RAB masih kosong</v>
      </c>
      <c r="D274" s="1" t="str">
        <f ca="1">IFERROR(__xludf.DUMMYFUNCTION("""COMPUTED_VALUE"""),"LAYAK UPLOAD KE SIMBELMAWA DENGAN REVISI")</f>
        <v>LAYAK UPLOAD KE SIMBELMAWA DENGAN REVISI</v>
      </c>
      <c r="E274" s="7" t="str">
        <f ca="1">IFERROR(__xludf.DUMMYFUNCTION("""COMPUTED_VALUE"""),"https://drive.google.com/open?id=10LUsTTNfQUKuUfA1nlIEHvKR2RvF-67U")</f>
        <v>https://drive.google.com/open?id=10LUsTTNfQUKuUfA1nlIEHvKR2RvF-67U</v>
      </c>
      <c r="F274" s="1">
        <f t="shared" ca="1" si="11"/>
        <v>0</v>
      </c>
      <c r="H274" s="4"/>
      <c r="I274" s="4"/>
      <c r="J274" s="4"/>
      <c r="K274" s="4"/>
      <c r="L274" s="4"/>
    </row>
    <row r="275" spans="1:12">
      <c r="A275" s="1">
        <f ca="1">IFERROR(__xludf.DUMMYFUNCTION("""COMPUTED_VALUE"""),3601)</f>
        <v>3601</v>
      </c>
      <c r="B275" s="1" t="str">
        <f ca="1">IFERROR(__xludf.DUMMYFUNCTION("""COMPUTED_VALUE"""),"PKM PM")</f>
        <v>PKM PM</v>
      </c>
      <c r="C275" s="1" t="str">
        <f ca="1">IFERROR(__xludf.DUMMYFUNCTION("""COMPUTED_VALUE"""),"Format belum sesuai, metode pelaksanaan tidak tampak PKMPM")</f>
        <v>Format belum sesuai, metode pelaksanaan tidak tampak PKMPM</v>
      </c>
      <c r="D275" s="1" t="str">
        <f ca="1">IFERROR(__xludf.DUMMYFUNCTION("""COMPUTED_VALUE"""),"TIDAK LAYAK UPLOAD KE SIMBELMAWA")</f>
        <v>TIDAK LAYAK UPLOAD KE SIMBELMAWA</v>
      </c>
      <c r="E275" s="7" t="str">
        <f ca="1">IFERROR(__xludf.DUMMYFUNCTION("""COMPUTED_VALUE"""),"https://drive.google.com/open?id=1HieL5ATNtEV2e1xdTTFC_AbnqqJtpPoO")</f>
        <v>https://drive.google.com/open?id=1HieL5ATNtEV2e1xdTTFC_AbnqqJtpPoO</v>
      </c>
      <c r="F275" s="1">
        <f t="shared" ca="1" si="11"/>
        <v>0</v>
      </c>
      <c r="H275" s="4"/>
      <c r="I275" s="4"/>
      <c r="J275" s="4"/>
      <c r="K275" s="4"/>
      <c r="L275" s="4"/>
    </row>
    <row r="276" spans="1:12">
      <c r="A276" s="1">
        <f ca="1">IFERROR(__xludf.DUMMYFUNCTION("""COMPUTED_VALUE"""),3178)</f>
        <v>3178</v>
      </c>
      <c r="B276" s="1" t="str">
        <f ca="1">IFERROR(__xludf.DUMMYFUNCTION("""COMPUTED_VALUE"""),"PKM PM")</f>
        <v>PKM PM</v>
      </c>
      <c r="C276" s="1" t="str">
        <f ca="1">IFERROR(__xludf.DUMMYFUNCTION("""COMPUTED_VALUE"""),"Proposal belum selesai bahkan untuk liga PKM")</f>
        <v>Proposal belum selesai bahkan untuk liga PKM</v>
      </c>
      <c r="D276" s="1" t="str">
        <f ca="1">IFERROR(__xludf.DUMMYFUNCTION("""COMPUTED_VALUE"""),"TIDAK LAYAK UPLOAD KE SIMBELMAWA")</f>
        <v>TIDAK LAYAK UPLOAD KE SIMBELMAWA</v>
      </c>
      <c r="E276" s="7" t="str">
        <f ca="1">IFERROR(__xludf.DUMMYFUNCTION("""COMPUTED_VALUE"""),"https://drive.google.com/open?id=1ebhGODh2MLe9O1MSwhdJeTTdanFmGGAu")</f>
        <v>https://drive.google.com/open?id=1ebhGODh2MLe9O1MSwhdJeTTdanFmGGAu</v>
      </c>
      <c r="F276" s="1">
        <f t="shared" ca="1" si="11"/>
        <v>0</v>
      </c>
      <c r="H276" s="4"/>
      <c r="I276" s="4"/>
      <c r="J276" s="4"/>
      <c r="K276" s="4"/>
      <c r="L276" s="4"/>
    </row>
    <row r="277" spans="1:12">
      <c r="A277" s="1">
        <f ca="1">IFERROR(__xludf.DUMMYFUNCTION("""COMPUTED_VALUE"""),2954)</f>
        <v>2954</v>
      </c>
      <c r="B277" s="1" t="str">
        <f ca="1">IFERROR(__xludf.DUMMYFUNCTION("""COMPUTED_VALUE"""),"PKM PM")</f>
        <v>PKM PM</v>
      </c>
      <c r="C277" s="1" t="str">
        <f ca="1">IFERROR(__xludf.DUMMYFUNCTION("""COMPUTED_VALUE"""),"Format belum sesuai, latara belakang masalah nasional, isi proposal lebih mirip PKMRSH")</f>
        <v>Format belum sesuai, latara belakang masalah nasional, isi proposal lebih mirip PKMRSH</v>
      </c>
      <c r="D277" s="1" t="str">
        <f ca="1">IFERROR(__xludf.DUMMYFUNCTION("""COMPUTED_VALUE"""),"TIDAK LAYAK UPLOAD KE SIMBELMAWA")</f>
        <v>TIDAK LAYAK UPLOAD KE SIMBELMAWA</v>
      </c>
      <c r="E277" s="7" t="str">
        <f ca="1">IFERROR(__xludf.DUMMYFUNCTION("""COMPUTED_VALUE"""),"https://drive.google.com/open?id=1vmDslU-yECR_viFuS69y5dvfMJb-GCtd")</f>
        <v>https://drive.google.com/open?id=1vmDslU-yECR_viFuS69y5dvfMJb-GCtd</v>
      </c>
      <c r="F277" s="1">
        <f t="shared" ca="1" si="11"/>
        <v>0</v>
      </c>
      <c r="H277" s="4"/>
      <c r="I277" s="4"/>
      <c r="J277" s="4"/>
      <c r="K277" s="4"/>
      <c r="L277" s="4"/>
    </row>
    <row r="278" spans="1:12">
      <c r="A278" s="1">
        <f ca="1">IFERROR(__xludf.DUMMYFUNCTION("""COMPUTED_VALUE"""),2471)</f>
        <v>2471</v>
      </c>
      <c r="B278" s="1" t="str">
        <f ca="1">IFERROR(__xludf.DUMMYFUNCTION("""COMPUTED_VALUE"""),"PKM PM")</f>
        <v>PKM PM</v>
      </c>
      <c r="C278" s="1" t="str">
        <f ca="1">IFERROR(__xludf.DUMMYFUNCTION("""COMPUTED_VALUE"""),"Spasi diperhatikan, masalah yang disampaikan adalah masalah nasional bukan masalah mitra, solusi cenderung hanya telemedicine kurang sesuai, simulasi kelompok, pendampingan secara psikologis dan medis lebih sesuai
")</f>
        <v xml:space="preserve">Spasi diperhatikan, masalah yang disampaikan adalah masalah nasional bukan masalah mitra, solusi cenderung hanya telemedicine kurang sesuai, simulasi kelompok, pendampingan secara psikologis dan medis lebih sesuai
</v>
      </c>
      <c r="D278" s="1" t="str">
        <f ca="1">IFERROR(__xludf.DUMMYFUNCTION("""COMPUTED_VALUE"""),"TIDAK LAYAK UPLOAD KE SIMBELMAWA")</f>
        <v>TIDAK LAYAK UPLOAD KE SIMBELMAWA</v>
      </c>
      <c r="E278" s="7" t="str">
        <f ca="1">IFERROR(__xludf.DUMMYFUNCTION("""COMPUTED_VALUE"""),"https://drive.google.com/open?id=1mSBVHuRDzYMFrvzjUA_Fd3VUVf3vu8cC")</f>
        <v>https://drive.google.com/open?id=1mSBVHuRDzYMFrvzjUA_Fd3VUVf3vu8cC</v>
      </c>
      <c r="F278" s="1">
        <f t="shared" ca="1" si="11"/>
        <v>0</v>
      </c>
      <c r="H278" s="4"/>
      <c r="I278" s="4"/>
      <c r="J278" s="4"/>
      <c r="K278" s="4"/>
      <c r="L278" s="4"/>
    </row>
    <row r="279" spans="1:12">
      <c r="A279" s="1">
        <f ca="1">IFERROR(__xludf.DUMMYFUNCTION("""COMPUTED_VALUE"""),2511)</f>
        <v>2511</v>
      </c>
      <c r="B279" s="1" t="str">
        <f ca="1">IFERROR(__xludf.DUMMYFUNCTION("""COMPUTED_VALUE"""),"PKM PM")</f>
        <v>PKM PM</v>
      </c>
      <c r="C279" s="1" t="str">
        <f ca="1">IFERROR(__xludf.DUMMYFUNCTION("""COMPUTED_VALUE"""),"Latar belakang perlu lebih dijelaskan masalah mitra daripada masalah nasional, profil mitra sangat kurang, metode terlalu sederhana dan sangat kental dengan metode daring")</f>
        <v>Latar belakang perlu lebih dijelaskan masalah mitra daripada masalah nasional, profil mitra sangat kurang, metode terlalu sederhana dan sangat kental dengan metode daring</v>
      </c>
      <c r="D279" s="1" t="str">
        <f ca="1">IFERROR(__xludf.DUMMYFUNCTION("""COMPUTED_VALUE"""),"LAYAK UPLOAD KE SIMBELMAWA DENGAN REVISI")</f>
        <v>LAYAK UPLOAD KE SIMBELMAWA DENGAN REVISI</v>
      </c>
      <c r="E279" s="7" t="str">
        <f ca="1">IFERROR(__xludf.DUMMYFUNCTION("""COMPUTED_VALUE"""),"https://drive.google.com/open?id=1yDAQGh9tL4yRhC7TCHYkeJUrRzOfBSrM")</f>
        <v>https://drive.google.com/open?id=1yDAQGh9tL4yRhC7TCHYkeJUrRzOfBSrM</v>
      </c>
      <c r="F279" s="1">
        <f t="shared" ca="1" si="11"/>
        <v>0</v>
      </c>
      <c r="H279" s="4"/>
      <c r="I279" s="4"/>
      <c r="J279" s="4"/>
      <c r="K279" s="4"/>
      <c r="L279" s="4"/>
    </row>
    <row r="280" spans="1:12">
      <c r="A280" s="1">
        <f ca="1">IFERROR(__xludf.DUMMYFUNCTION("""COMPUTED_VALUE"""),3932)</f>
        <v>3932</v>
      </c>
      <c r="B280" s="1" t="str">
        <f ca="1">IFERROR(__xludf.DUMMYFUNCTION("""COMPUTED_VALUE"""),"PKM PM")</f>
        <v>PKM PM</v>
      </c>
      <c r="C280" s="1" t="str">
        <f ca="1">IFERROR(__xludf.DUMMYFUNCTION("""COMPUTED_VALUE""")," ")</f>
        <v xml:space="preserve"> </v>
      </c>
      <c r="D280" s="1" t="str">
        <f ca="1">IFERROR(__xludf.DUMMYFUNCTION("""COMPUTED_VALUE""")," ")</f>
        <v xml:space="preserve"> </v>
      </c>
      <c r="E280" s="1"/>
      <c r="F280" s="1">
        <f t="shared" ca="1" si="11"/>
        <v>2</v>
      </c>
      <c r="H280" s="4"/>
      <c r="I280" s="4"/>
      <c r="J280" s="4"/>
      <c r="K280" s="4"/>
      <c r="L280" s="4"/>
    </row>
    <row r="281" spans="1:12">
      <c r="A281" s="1">
        <f ca="1">IFERROR(__xludf.DUMMYFUNCTION("""COMPUTED_VALUE"""),2527)</f>
        <v>2527</v>
      </c>
      <c r="B281" s="1" t="str">
        <f ca="1">IFERROR(__xludf.DUMMYFUNCTION("""COMPUTED_VALUE"""),"PKM PM")</f>
        <v>PKM PM</v>
      </c>
      <c r="C281" s="1" t="str">
        <f ca="1">IFERROR(__xludf.DUMMYFUNCTION("""COMPUTED_VALUE"""),"Permasalahan masih narasi, belum tampak sesuai dengan mitra terutama coding, mitra belum jelas guru atau siswa, proposal belum selesai format masih banyak kesalahan")</f>
        <v>Permasalahan masih narasi, belum tampak sesuai dengan mitra terutama coding, mitra belum jelas guru atau siswa, proposal belum selesai format masih banyak kesalahan</v>
      </c>
      <c r="D281" s="1" t="str">
        <f ca="1">IFERROR(__xludf.DUMMYFUNCTION("""COMPUTED_VALUE"""),"TIDAK LAYAK UPLOAD KE SIMBELMAWA")</f>
        <v>TIDAK LAYAK UPLOAD KE SIMBELMAWA</v>
      </c>
      <c r="E281" s="7" t="str">
        <f ca="1">IFERROR(__xludf.DUMMYFUNCTION("""COMPUTED_VALUE"""),"https://drive.google.com/open?id=1oePYwq9QAqPeTVYIvQ8ZPzi4jJXncwXK")</f>
        <v>https://drive.google.com/open?id=1oePYwq9QAqPeTVYIvQ8ZPzi4jJXncwXK</v>
      </c>
      <c r="F281" s="1">
        <f t="shared" ca="1" si="11"/>
        <v>0</v>
      </c>
      <c r="H281" s="4"/>
      <c r="I281" s="4"/>
      <c r="J281" s="4"/>
      <c r="K281" s="4"/>
      <c r="L281" s="4"/>
    </row>
    <row r="282" spans="1:12">
      <c r="A282" s="1">
        <f ca="1">IFERROR(__xludf.DUMMYFUNCTION("""COMPUTED_VALUE"""),3979)</f>
        <v>3979</v>
      </c>
      <c r="B282" s="1" t="str">
        <f ca="1">IFERROR(__xludf.DUMMYFUNCTION("""COMPUTED_VALUE"""),"PKM PM")</f>
        <v>PKM PM</v>
      </c>
      <c r="C282" s="1" t="str">
        <f ca="1">IFERROR(__xludf.DUMMYFUNCTION("""COMPUTED_VALUE"""),"Mitra belum spesifik, pembuatan furnitur pada anak-anak panti asuhan usia berapa, apakah sesuai dengan permasalahan? Format belum sesuai")</f>
        <v>Mitra belum spesifik, pembuatan furnitur pada anak-anak panti asuhan usia berapa, apakah sesuai dengan permasalahan? Format belum sesuai</v>
      </c>
      <c r="D282" s="1" t="str">
        <f ca="1">IFERROR(__xludf.DUMMYFUNCTION("""COMPUTED_VALUE"""),"LAYAK UPLOAD KE SIMBELMAWA DENGAN REVISI")</f>
        <v>LAYAK UPLOAD KE SIMBELMAWA DENGAN REVISI</v>
      </c>
      <c r="E282" s="7" t="str">
        <f ca="1">IFERROR(__xludf.DUMMYFUNCTION("""COMPUTED_VALUE"""),"https://drive.google.com/open?id=1ZtViZPe_OTexmW7o_fM-zdqIdnyVS9o7")</f>
        <v>https://drive.google.com/open?id=1ZtViZPe_OTexmW7o_fM-zdqIdnyVS9o7</v>
      </c>
      <c r="F282" s="1">
        <f t="shared" ca="1" si="11"/>
        <v>0</v>
      </c>
      <c r="H282" s="4"/>
      <c r="I282" s="4"/>
      <c r="J282" s="4"/>
      <c r="K282" s="4"/>
      <c r="L282" s="4"/>
    </row>
    <row r="283" spans="1:12">
      <c r="A283" s="1">
        <f ca="1">IFERROR(__xludf.DUMMYFUNCTION("""COMPUTED_VALUE"""),2749)</f>
        <v>2749</v>
      </c>
      <c r="B283" s="1" t="str">
        <f ca="1">IFERROR(__xludf.DUMMYFUNCTION("""COMPUTED_VALUE"""),"PKM PM")</f>
        <v>PKM PM</v>
      </c>
      <c r="C283" s="1" t="str">
        <f ca="1">IFERROR(__xludf.DUMMYFUNCTION("""COMPUTED_VALUE"""),"Latar bekalang belum menggambarkan masalah mitra dan siapa mitranya, sampai akhir tidak diketahui siapa mitra PKM, proposal belum selesai")</f>
        <v>Latar bekalang belum menggambarkan masalah mitra dan siapa mitranya, sampai akhir tidak diketahui siapa mitra PKM, proposal belum selesai</v>
      </c>
      <c r="D283" s="1" t="str">
        <f ca="1">IFERROR(__xludf.DUMMYFUNCTION("""COMPUTED_VALUE"""),"TIDAK LAYAK UPLOAD KE SIMBELMAWA")</f>
        <v>TIDAK LAYAK UPLOAD KE SIMBELMAWA</v>
      </c>
      <c r="E283" s="7" t="str">
        <f ca="1">IFERROR(__xludf.DUMMYFUNCTION("""COMPUTED_VALUE"""),"https://drive.google.com/open?id=1M_S6DbX6-6etM-Gz73fzuY57jd_r-B0v")</f>
        <v>https://drive.google.com/open?id=1M_S6DbX6-6etM-Gz73fzuY57jd_r-B0v</v>
      </c>
      <c r="F283" s="1">
        <f t="shared" ca="1" si="11"/>
        <v>0</v>
      </c>
      <c r="H283" s="4"/>
      <c r="I283" s="4"/>
      <c r="J283" s="4"/>
      <c r="K283" s="4"/>
      <c r="L283" s="4"/>
    </row>
    <row r="284" spans="1:12">
      <c r="A284" s="1">
        <f ca="1">IFERROR(__xludf.DUMMYFUNCTION("""COMPUTED_VALUE"""),2453)</f>
        <v>2453</v>
      </c>
      <c r="B284" s="1" t="str">
        <f ca="1">IFERROR(__xludf.DUMMYFUNCTION("""COMPUTED_VALUE"""),"PKM PM")</f>
        <v>PKM PM</v>
      </c>
      <c r="C284" s="1" t="str">
        <f ca="1">IFERROR(__xludf.DUMMYFUNCTION("""COMPUTED_VALUE"""),"jarak lebih dari 100 km (132 km)")</f>
        <v>jarak lebih dari 100 km (132 km)</v>
      </c>
      <c r="D284" s="1" t="str">
        <f ca="1">IFERROR(__xludf.DUMMYFUNCTION("""COMPUTED_VALUE"""),"TIDAK LAYAK UPLOAD KE SIMBELMAWA")</f>
        <v>TIDAK LAYAK UPLOAD KE SIMBELMAWA</v>
      </c>
      <c r="E284" s="7" t="str">
        <f ca="1">IFERROR(__xludf.DUMMYFUNCTION("""COMPUTED_VALUE"""),"https://drive.google.com/open?id=1N36ruN0IHpNKY0jHaaGx-4b7FHOQ3t9_")</f>
        <v>https://drive.google.com/open?id=1N36ruN0IHpNKY0jHaaGx-4b7FHOQ3t9_</v>
      </c>
      <c r="F284" s="1">
        <f t="shared" ca="1" si="11"/>
        <v>0</v>
      </c>
      <c r="H284" s="4"/>
      <c r="I284" s="4"/>
      <c r="J284" s="4"/>
      <c r="K284" s="4"/>
      <c r="L284" s="4"/>
    </row>
    <row r="285" spans="1:12">
      <c r="A285" s="1">
        <f ca="1">IFERROR(__xludf.DUMMYFUNCTION("""COMPUTED_VALUE"""),4045)</f>
        <v>4045</v>
      </c>
      <c r="B285" s="1" t="str">
        <f ca="1">IFERROR(__xludf.DUMMYFUNCTION("""COMPUTED_VALUE"""),"PKM PM")</f>
        <v>PKM PM</v>
      </c>
      <c r="C285" s="1" t="str">
        <f ca="1">IFERROR(__xludf.DUMMYFUNCTION("""COMPUTED_VALUE""")," ")</f>
        <v xml:space="preserve"> </v>
      </c>
      <c r="D285" s="1" t="str">
        <f ca="1">IFERROR(__xludf.DUMMYFUNCTION("""COMPUTED_VALUE""")," ")</f>
        <v xml:space="preserve"> </v>
      </c>
      <c r="E285" s="1"/>
      <c r="F285" s="1">
        <f t="shared" ca="1" si="11"/>
        <v>2</v>
      </c>
      <c r="H285" s="4"/>
      <c r="I285" s="4"/>
      <c r="J285" s="4"/>
      <c r="K285" s="4"/>
      <c r="L285" s="4"/>
    </row>
    <row r="286" spans="1:12">
      <c r="A286" s="1">
        <f ca="1">IFERROR(__xludf.DUMMYFUNCTION("""COMPUTED_VALUE"""),2343)</f>
        <v>2343</v>
      </c>
      <c r="B286" s="1" t="str">
        <f ca="1">IFERROR(__xludf.DUMMYFUNCTION("""COMPUTED_VALUE"""),"PKM PM")</f>
        <v>PKM PM</v>
      </c>
      <c r="C286" s="1" t="str">
        <f ca="1">IFERROR(__xludf.DUMMYFUNCTION("""COMPUTED_VALUE"""),"Metode hanya fokus pada pelatihan belum pada taraf pemberdayaan/pengabdian, proposal belum selesai
")</f>
        <v xml:space="preserve">Metode hanya fokus pada pelatihan belum pada taraf pemberdayaan/pengabdian, proposal belum selesai
</v>
      </c>
      <c r="D286" s="1" t="str">
        <f ca="1">IFERROR(__xludf.DUMMYFUNCTION("""COMPUTED_VALUE"""),"LAYAK UPLOAD KE SIMBELMAWA DENGAN REVISI")</f>
        <v>LAYAK UPLOAD KE SIMBELMAWA DENGAN REVISI</v>
      </c>
      <c r="E286" s="1"/>
      <c r="F286" s="1">
        <f t="shared" ca="1" si="11"/>
        <v>0</v>
      </c>
      <c r="H286" s="4"/>
      <c r="I286" s="4"/>
      <c r="J286" s="4"/>
      <c r="K286" s="4"/>
      <c r="L286" s="4"/>
    </row>
    <row r="287" spans="1:12">
      <c r="A287" s="1"/>
      <c r="B287" s="1"/>
      <c r="C287" s="1" t="str">
        <f ca="1">IFERROR(__xludf.DUMMYFUNCTION("""COMPUTED_VALUE""")," ")</f>
        <v xml:space="preserve"> </v>
      </c>
      <c r="D287" s="1"/>
      <c r="E287" s="1"/>
      <c r="F287" s="1">
        <f t="shared" ca="1" si="11"/>
        <v>2</v>
      </c>
      <c r="H287" s="4"/>
      <c r="I287" s="4"/>
      <c r="J287" s="4"/>
      <c r="K287" s="4"/>
      <c r="L287" s="4"/>
    </row>
    <row r="288" spans="1:12">
      <c r="A288" s="1"/>
      <c r="B288" s="1"/>
      <c r="C288" s="1" t="str">
        <f ca="1">IFERROR(__xludf.DUMMYFUNCTION("""COMPUTED_VALUE""")," ")</f>
        <v xml:space="preserve"> </v>
      </c>
      <c r="D288" s="1"/>
      <c r="E288" s="1"/>
      <c r="F288" s="1">
        <f t="shared" ca="1" si="11"/>
        <v>2</v>
      </c>
      <c r="H288" s="4"/>
      <c r="I288" s="4"/>
      <c r="J288" s="4"/>
      <c r="K288" s="4"/>
      <c r="L288" s="4"/>
    </row>
    <row r="289" spans="1:12">
      <c r="A289" s="1"/>
      <c r="B289" s="1"/>
      <c r="C289" s="1" t="str">
        <f ca="1">IFERROR(__xludf.DUMMYFUNCTION("""COMPUTED_VALUE""")," ")</f>
        <v xml:space="preserve"> </v>
      </c>
      <c r="D289" s="1"/>
      <c r="E289" s="1"/>
      <c r="F289" s="1">
        <f t="shared" ca="1" si="11"/>
        <v>2</v>
      </c>
      <c r="H289" s="4"/>
      <c r="I289" s="4"/>
      <c r="J289" s="4"/>
      <c r="K289" s="4"/>
      <c r="L289" s="4"/>
    </row>
    <row r="290" spans="1:12">
      <c r="A290" s="1"/>
      <c r="B290" s="1"/>
      <c r="C290" s="1" t="str">
        <f ca="1">IFERROR(__xludf.DUMMYFUNCTION("""COMPUTED_VALUE""")," ")</f>
        <v xml:space="preserve"> </v>
      </c>
      <c r="D290" s="1"/>
      <c r="E290" s="1"/>
      <c r="F290" s="1">
        <f t="shared" ca="1" si="11"/>
        <v>2</v>
      </c>
      <c r="H290" s="4"/>
      <c r="I290" s="4"/>
      <c r="J290" s="4"/>
      <c r="K290" s="4"/>
      <c r="L290" s="4"/>
    </row>
    <row r="291" spans="1:12">
      <c r="A291" s="1"/>
      <c r="B291" s="1"/>
      <c r="C291" s="1" t="str">
        <f ca="1">IFERROR(__xludf.DUMMYFUNCTION("""COMPUTED_VALUE""")," ")</f>
        <v xml:space="preserve"> </v>
      </c>
      <c r="D291" s="1"/>
      <c r="E291" s="1"/>
      <c r="F291" s="1">
        <f t="shared" ca="1" si="11"/>
        <v>2</v>
      </c>
      <c r="H291" s="4"/>
      <c r="I291" s="4"/>
      <c r="J291" s="4"/>
      <c r="K291" s="4"/>
      <c r="L291" s="4"/>
    </row>
    <row r="292" spans="1:12">
      <c r="A292" s="1"/>
      <c r="B292" s="1"/>
      <c r="C292" s="1" t="str">
        <f ca="1">IFERROR(__xludf.DUMMYFUNCTION("""COMPUTED_VALUE""")," ")</f>
        <v xml:space="preserve"> </v>
      </c>
      <c r="D292" s="1"/>
      <c r="E292" s="1"/>
      <c r="F292" s="1">
        <f t="shared" ca="1" si="11"/>
        <v>2</v>
      </c>
      <c r="H292" s="4"/>
      <c r="I292" s="4"/>
      <c r="J292" s="4"/>
      <c r="K292" s="4"/>
      <c r="L292" s="4"/>
    </row>
    <row r="293" spans="1:12">
      <c r="A293" s="1"/>
      <c r="B293" s="1"/>
      <c r="C293" s="1" t="str">
        <f ca="1">IFERROR(__xludf.DUMMYFUNCTION("""COMPUTED_VALUE""")," ")</f>
        <v xml:space="preserve"> </v>
      </c>
      <c r="D293" s="1"/>
      <c r="E293" s="1"/>
      <c r="F293" s="1">
        <f t="shared" ca="1" si="11"/>
        <v>2</v>
      </c>
      <c r="H293" s="4"/>
      <c r="I293" s="4"/>
      <c r="J293" s="4"/>
      <c r="K293" s="4"/>
      <c r="L293" s="4"/>
    </row>
    <row r="294" spans="1:12">
      <c r="A294" s="1"/>
      <c r="B294" s="1"/>
      <c r="C294" s="1" t="str">
        <f ca="1">IFERROR(__xludf.DUMMYFUNCTION("""COMPUTED_VALUE""")," ")</f>
        <v xml:space="preserve"> </v>
      </c>
      <c r="D294" s="1"/>
      <c r="E294" s="1"/>
      <c r="F294" s="1">
        <f t="shared" ca="1" si="11"/>
        <v>2</v>
      </c>
      <c r="H294" s="4"/>
      <c r="I294" s="4"/>
      <c r="J294" s="4"/>
      <c r="K294" s="4"/>
      <c r="L294" s="4"/>
    </row>
    <row r="295" spans="1:12">
      <c r="A295" s="1"/>
      <c r="B295" s="1"/>
      <c r="C295" s="1" t="str">
        <f ca="1">IFERROR(__xludf.DUMMYFUNCTION("""COMPUTED_VALUE""")," ")</f>
        <v xml:space="preserve"> </v>
      </c>
      <c r="D295" s="1"/>
      <c r="E295" s="1"/>
      <c r="F295" s="1">
        <f t="shared" ca="1" si="11"/>
        <v>2</v>
      </c>
      <c r="H295" s="4"/>
      <c r="I295" s="4"/>
      <c r="J295" s="4"/>
      <c r="K295" s="4"/>
      <c r="L295" s="4"/>
    </row>
    <row r="296" spans="1:12">
      <c r="A296" s="1"/>
      <c r="B296" s="1"/>
      <c r="C296" s="1" t="str">
        <f ca="1">IFERROR(__xludf.DUMMYFUNCTION("""COMPUTED_VALUE""")," ")</f>
        <v xml:space="preserve"> </v>
      </c>
      <c r="D296" s="1"/>
      <c r="E296" s="1"/>
      <c r="F296" s="1">
        <f t="shared" ca="1" si="11"/>
        <v>2</v>
      </c>
      <c r="H296" s="4"/>
      <c r="I296" s="4"/>
      <c r="J296" s="4"/>
      <c r="K296" s="4"/>
      <c r="L296" s="4"/>
    </row>
    <row r="297" spans="1:12">
      <c r="A297" s="1"/>
      <c r="B297" s="1"/>
      <c r="C297" s="1" t="str">
        <f ca="1">IFERROR(__xludf.DUMMYFUNCTION("""COMPUTED_VALUE"""),"FALSE")</f>
        <v>FALSE</v>
      </c>
      <c r="D297" s="1"/>
      <c r="E297" s="1"/>
      <c r="F297" s="1">
        <f t="shared" ca="1" si="11"/>
        <v>0</v>
      </c>
      <c r="H297" s="4"/>
      <c r="I297" s="4"/>
      <c r="J297" s="4"/>
      <c r="K297" s="4"/>
      <c r="L297" s="4"/>
    </row>
    <row r="298" spans="1:12">
      <c r="A298" s="1"/>
      <c r="B298" s="1"/>
      <c r="C298" s="1" t="str">
        <f ca="1">IFERROR(__xludf.DUMMYFUNCTION("""COMPUTED_VALUE"""),"FALSE")</f>
        <v>FALSE</v>
      </c>
      <c r="D298" s="1"/>
      <c r="E298" s="1"/>
      <c r="F298" s="1">
        <f t="shared" ca="1" si="11"/>
        <v>0</v>
      </c>
      <c r="H298" s="4"/>
      <c r="I298" s="4"/>
      <c r="J298" s="4"/>
      <c r="K298" s="4"/>
      <c r="L298" s="4"/>
    </row>
    <row r="299" spans="1:12">
      <c r="A299" s="1"/>
      <c r="B299" s="1"/>
      <c r="C299" s="1" t="str">
        <f ca="1">IFERROR(__xludf.DUMMYFUNCTION("""COMPUTED_VALUE"""),"FALSE")</f>
        <v>FALSE</v>
      </c>
      <c r="D299" s="1"/>
      <c r="E299" s="1"/>
      <c r="F299" s="1">
        <f t="shared" ca="1" si="11"/>
        <v>0</v>
      </c>
      <c r="H299" s="4"/>
      <c r="I299" s="4"/>
      <c r="J299" s="4"/>
      <c r="K299" s="4"/>
      <c r="L299" s="4"/>
    </row>
    <row r="300" spans="1:12">
      <c r="A300" s="1"/>
      <c r="B300" s="1"/>
      <c r="C300" s="1" t="str">
        <f ca="1">IFERROR(__xludf.DUMMYFUNCTION("""COMPUTED_VALUE"""),"FALSE")</f>
        <v>FALSE</v>
      </c>
      <c r="D300" s="1"/>
      <c r="E300" s="1"/>
      <c r="F300" s="1">
        <f t="shared" ca="1" si="11"/>
        <v>0</v>
      </c>
      <c r="H300" s="4"/>
      <c r="I300" s="4"/>
      <c r="J300" s="4"/>
      <c r="K300" s="4"/>
      <c r="L300" s="4"/>
    </row>
    <row r="301" spans="1:12">
      <c r="A301" s="1"/>
      <c r="B301" s="1"/>
      <c r="C301" s="1" t="str">
        <f ca="1">IFERROR(__xludf.DUMMYFUNCTION("""COMPUTED_VALUE"""),"FALSE")</f>
        <v>FALSE</v>
      </c>
      <c r="D301" s="1"/>
      <c r="E301" s="1"/>
      <c r="F301" s="1">
        <f t="shared" ca="1" si="11"/>
        <v>0</v>
      </c>
      <c r="H301" s="4"/>
      <c r="I301" s="4"/>
      <c r="J301" s="4"/>
      <c r="K301" s="4"/>
      <c r="L301" s="4"/>
    </row>
    <row r="302" spans="1:12">
      <c r="A302" s="1"/>
      <c r="B302" s="1"/>
      <c r="C302" s="1" t="str">
        <f ca="1">IFERROR(__xludf.DUMMYFUNCTION("""COMPUTED_VALUE"""),"FALSE")</f>
        <v>FALSE</v>
      </c>
      <c r="D302" s="1"/>
      <c r="E302" s="1"/>
      <c r="F302" s="1">
        <f t="shared" ca="1" si="11"/>
        <v>0</v>
      </c>
      <c r="H302" s="4"/>
      <c r="I302" s="4"/>
      <c r="J302" s="4"/>
      <c r="K302" s="4"/>
      <c r="L302" s="4"/>
    </row>
    <row r="303" spans="1:12">
      <c r="A303" s="1"/>
      <c r="B303" s="1"/>
      <c r="C303" s="1" t="str">
        <f ca="1">IFERROR(__xludf.DUMMYFUNCTION("""COMPUTED_VALUE"""),"FALSE")</f>
        <v>FALSE</v>
      </c>
      <c r="D303" s="1"/>
      <c r="E303" s="1"/>
      <c r="F303" s="1">
        <f t="shared" ca="1" si="11"/>
        <v>0</v>
      </c>
      <c r="H303" s="4"/>
      <c r="I303" s="4"/>
      <c r="J303" s="4"/>
      <c r="K303" s="4"/>
      <c r="L303" s="4"/>
    </row>
    <row r="304" spans="1:12">
      <c r="A304" s="1"/>
      <c r="B304" s="1"/>
      <c r="C304" s="1" t="str">
        <f ca="1">IFERROR(__xludf.DUMMYFUNCTION("""COMPUTED_VALUE"""),"FALSE")</f>
        <v>FALSE</v>
      </c>
      <c r="D304" s="1"/>
      <c r="E304" s="1"/>
      <c r="F304" s="1">
        <f t="shared" ca="1" si="11"/>
        <v>0</v>
      </c>
      <c r="H304" s="4"/>
      <c r="I304" s="4"/>
      <c r="J304" s="4"/>
      <c r="K304" s="4"/>
      <c r="L304" s="4"/>
    </row>
    <row r="305" spans="1:12">
      <c r="A305" s="1"/>
      <c r="B305" s="1"/>
      <c r="C305" s="1" t="str">
        <f ca="1">IFERROR(__xludf.DUMMYFUNCTION("""COMPUTED_VALUE"""),"FALSE")</f>
        <v>FALSE</v>
      </c>
      <c r="D305" s="1"/>
      <c r="E305" s="1"/>
      <c r="F305" s="1">
        <f t="shared" ca="1" si="11"/>
        <v>0</v>
      </c>
      <c r="H305" s="4"/>
      <c r="I305" s="4"/>
      <c r="J305" s="4"/>
      <c r="K305" s="4"/>
      <c r="L305" s="4"/>
    </row>
    <row r="306" spans="1:12">
      <c r="A306" s="1"/>
      <c r="B306" s="1"/>
      <c r="C306" s="1" t="str">
        <f ca="1">IFERROR(__xludf.DUMMYFUNCTION("""COMPUTED_VALUE"""),"FALSE")</f>
        <v>FALSE</v>
      </c>
      <c r="D306" s="1"/>
      <c r="E306" s="1"/>
      <c r="F306" s="1">
        <f t="shared" ca="1" si="11"/>
        <v>0</v>
      </c>
      <c r="H306" s="4"/>
      <c r="I306" s="4"/>
      <c r="J306" s="4"/>
      <c r="K306" s="4"/>
      <c r="L306" s="4"/>
    </row>
    <row r="307" spans="1:12">
      <c r="A307" s="1"/>
      <c r="B307" s="1"/>
      <c r="C307" s="1" t="str">
        <f ca="1">IFERROR(__xludf.DUMMYFUNCTION("""COMPUTED_VALUE"""),"FALSE")</f>
        <v>FALSE</v>
      </c>
      <c r="D307" s="1"/>
      <c r="E307" s="1"/>
      <c r="F307" s="1">
        <f t="shared" ca="1" si="11"/>
        <v>0</v>
      </c>
      <c r="H307" s="4"/>
      <c r="I307" s="4"/>
      <c r="J307" s="4"/>
      <c r="K307" s="4"/>
      <c r="L307" s="4"/>
    </row>
    <row r="308" spans="1:12">
      <c r="A308" s="1"/>
      <c r="B308" s="1"/>
      <c r="C308" s="1" t="str">
        <f ca="1">IFERROR(__xludf.DUMMYFUNCTION("""COMPUTED_VALUE"""),"FALSE")</f>
        <v>FALSE</v>
      </c>
      <c r="D308" s="1"/>
      <c r="E308" s="1"/>
      <c r="F308" s="1">
        <f t="shared" ca="1" si="11"/>
        <v>0</v>
      </c>
      <c r="H308" s="4"/>
      <c r="I308" s="4"/>
      <c r="J308" s="4"/>
      <c r="K308" s="4"/>
      <c r="L308" s="4"/>
    </row>
    <row r="309" spans="1:12">
      <c r="A309" s="1"/>
      <c r="B309" s="1"/>
      <c r="C309" s="1" t="str">
        <f ca="1">IFERROR(__xludf.DUMMYFUNCTION("""COMPUTED_VALUE"""),"FALSE")</f>
        <v>FALSE</v>
      </c>
      <c r="D309" s="1"/>
      <c r="E309" s="1"/>
      <c r="F309" s="1">
        <f t="shared" ca="1" si="11"/>
        <v>0</v>
      </c>
      <c r="H309" s="4"/>
      <c r="I309" s="4"/>
      <c r="J309" s="4"/>
      <c r="K309" s="4"/>
      <c r="L309" s="4"/>
    </row>
    <row r="310" spans="1:12">
      <c r="A310" s="1">
        <f ca="1">IFERROR(__xludf.DUMMYFUNCTION("""COMPUTED_VALUE"""),2935)</f>
        <v>2935</v>
      </c>
      <c r="B310" s="1" t="str">
        <f ca="1">IFERROR(__xludf.DUMMYFUNCTION("""COMPUTED_VALUE"""),"PKM KC")</f>
        <v>PKM KC</v>
      </c>
      <c r="C310" s="1" t="str">
        <f ca="1">IFERROR(__xludf.DUMMYFUNCTION("""COMPUTED_VALUE"""),"1. Latar belakang kurang tajam
2. BAB 3 kurang terlihat aspek kecanggihan teknologinya
3. Desain Sistem nya perlu digambarkan lebih detail, 
4. Lampiran 5.2 lebih baik dimasukkan dalam BAB 3 saja")</f>
        <v>1. Latar belakang kurang tajam
2. BAB 3 kurang terlihat aspek kecanggihan teknologinya
3. Desain Sistem nya perlu digambarkan lebih detail, 
4. Lampiran 5.2 lebih baik dimasukkan dalam BAB 3 saja</v>
      </c>
      <c r="D310" s="1"/>
      <c r="E310" s="7" t="str">
        <f ca="1">IFERROR(__xludf.DUMMYFUNCTION("""COMPUTED_VALUE"""),"https://drive.google.com/open?id=1Y3woNd8cb7SNY594l5Hjuj8HrhAcKWY5")</f>
        <v>https://drive.google.com/open?id=1Y3woNd8cb7SNY594l5Hjuj8HrhAcKWY5</v>
      </c>
      <c r="F310" s="1">
        <f t="shared" ca="1" si="11"/>
        <v>0</v>
      </c>
      <c r="H310" s="4"/>
      <c r="I310" s="4"/>
      <c r="J310" s="4"/>
      <c r="K310" s="4"/>
      <c r="L310" s="4"/>
    </row>
    <row r="311" spans="1:12">
      <c r="A311" s="1">
        <f ca="1">IFERROR(__xludf.DUMMYFUNCTION("""COMPUTED_VALUE"""),3749)</f>
        <v>3749</v>
      </c>
      <c r="B311" s="1" t="str">
        <f ca="1">IFERROR(__xludf.DUMMYFUNCTION("""COMPUTED_VALUE"""),"PKM KC")</f>
        <v>PKM KC</v>
      </c>
      <c r="C311" s="1" t="str">
        <f ca="1">IFERROR(__xludf.DUMMYFUNCTION("""COMPUTED_VALUE"""),"1. Gambar 3.1 a resolusinya lebih baik diperbesar, gambar 3.1 b lebih baik dipisah menjadi gambar 3.2
2. Gambaran kecanggihan sistem perlu dibuat lebih terperinci,")</f>
        <v>1. Gambar 3.1 a resolusinya lebih baik diperbesar, gambar 3.1 b lebih baik dipisah menjadi gambar 3.2
2. Gambaran kecanggihan sistem perlu dibuat lebih terperinci,</v>
      </c>
      <c r="D311" s="1"/>
      <c r="E311" s="7" t="str">
        <f ca="1">IFERROR(__xludf.DUMMYFUNCTION("""COMPUTED_VALUE"""),"https://drive.google.com/open?id=1vctw7euF2PYY4efMJTfRBXzRP9wfqzjc")</f>
        <v>https://drive.google.com/open?id=1vctw7euF2PYY4efMJTfRBXzRP9wfqzjc</v>
      </c>
      <c r="F311" s="1">
        <f t="shared" ca="1" si="11"/>
        <v>0</v>
      </c>
      <c r="H311" s="4"/>
      <c r="I311" s="4"/>
      <c r="J311" s="4"/>
      <c r="K311" s="4"/>
      <c r="L311" s="4"/>
    </row>
    <row r="312" spans="1:12">
      <c r="A312" s="1">
        <f ca="1">IFERROR(__xludf.DUMMYFUNCTION("""COMPUTED_VALUE"""),2254)</f>
        <v>2254</v>
      </c>
      <c r="B312" s="1" t="str">
        <f ca="1">IFERROR(__xludf.DUMMYFUNCTION("""COMPUTED_VALUE"""),"PKM KC")</f>
        <v>PKM KC</v>
      </c>
      <c r="C312" s="1" t="str">
        <f ca="1">IFERROR(__xludf.DUMMYFUNCTION("""COMPUTED_VALUE"""),"1. daftar isi perlu diperbaiki
2,. judul AUV tapi pembahasan UUV ?
3. Gambar 2.4 Resolusi bisa dinaikkan
4. Mekanisme roda bermagnet untuk memastikan Robot menempel pada Body Kapal perlu dijelaskan lebih terperinci (bagian ini menarik), juga perhitungan a"&amp;"gar Robot dipastikan tidak mengapung dan terombang ambing arus air harus dijelaskan.")</f>
        <v>1. daftar isi perlu diperbaiki
2,. judul AUV tapi pembahasan UUV ?
3. Gambar 2.4 Resolusi bisa dinaikkan
4. Mekanisme roda bermagnet untuk memastikan Robot menempel pada Body Kapal perlu dijelaskan lebih terperinci (bagian ini menarik), juga perhitungan agar Robot dipastikan tidak mengapung dan terombang ambing arus air harus dijelaskan.</v>
      </c>
      <c r="D312" s="1"/>
      <c r="E312" s="7" t="str">
        <f ca="1">IFERROR(__xludf.DUMMYFUNCTION("""COMPUTED_VALUE"""),"https://drive.google.com/open?id=1b-gUvc8Oip55uhxR0xK_Y0lFtHBdG_Bh")</f>
        <v>https://drive.google.com/open?id=1b-gUvc8Oip55uhxR0xK_Y0lFtHBdG_Bh</v>
      </c>
      <c r="F312" s="1">
        <f t="shared" ca="1" si="11"/>
        <v>0</v>
      </c>
      <c r="H312" s="4"/>
      <c r="I312" s="4"/>
      <c r="J312" s="4"/>
      <c r="K312" s="4"/>
      <c r="L312" s="4"/>
    </row>
    <row r="313" spans="1:12">
      <c r="A313" s="1">
        <f ca="1">IFERROR(__xludf.DUMMYFUNCTION("""COMPUTED_VALUE"""),2483)</f>
        <v>2483</v>
      </c>
      <c r="B313" s="1" t="str">
        <f ca="1">IFERROR(__xludf.DUMMYFUNCTION("""COMPUTED_VALUE"""),"PKM KC")</f>
        <v>PKM KC</v>
      </c>
      <c r="C313" s="1" t="str">
        <f ca="1">IFERROR(__xludf.DUMMYFUNCTION("""COMPUTED_VALUE"""),"1. Semua gambar bisa ditingkatkan resolusinya (juga dicheck kesalahan penulisan)
2. Lebih baik ditambahkan gambar blok diagram arsitektur teknologinya (bisa menggantikan gambar 3.2 atau membantu menjelaskan gambar 3.2)
3. lebih baik ditambahkan gambar alg"&amp;"oritma pemrosesan sinyal dari sensor sampai dengan hasil kesimpulan sistem 
4. Kecanggihan dari sistem yang akan dibangun kurang ditampilkan")</f>
        <v>1. Semua gambar bisa ditingkatkan resolusinya (juga dicheck kesalahan penulisan)
2. Lebih baik ditambahkan gambar blok diagram arsitektur teknologinya (bisa menggantikan gambar 3.2 atau membantu menjelaskan gambar 3.2)
3. lebih baik ditambahkan gambar algoritma pemrosesan sinyal dari sensor sampai dengan hasil kesimpulan sistem 
4. Kecanggihan dari sistem yang akan dibangun kurang ditampilkan</v>
      </c>
      <c r="D313" s="1"/>
      <c r="E313" s="7" t="str">
        <f ca="1">IFERROR(__xludf.DUMMYFUNCTION("""COMPUTED_VALUE"""),"https://drive.google.com/open?id=1e7n2QBVe-OcxZCmsb0_3GVJAZtTn90kx")</f>
        <v>https://drive.google.com/open?id=1e7n2QBVe-OcxZCmsb0_3GVJAZtTn90kx</v>
      </c>
      <c r="F313" s="1">
        <f t="shared" ca="1" si="11"/>
        <v>0</v>
      </c>
      <c r="H313" s="4"/>
      <c r="I313" s="4"/>
      <c r="J313" s="4"/>
      <c r="K313" s="4"/>
      <c r="L313" s="4"/>
    </row>
    <row r="314" spans="1:12">
      <c r="A314" s="1">
        <f ca="1">IFERROR(__xludf.DUMMYFUNCTION("""COMPUTED_VALUE"""),2255)</f>
        <v>2255</v>
      </c>
      <c r="B314" s="1" t="str">
        <f ca="1">IFERROR(__xludf.DUMMYFUNCTION("""COMPUTED_VALUE"""),"PKM KC")</f>
        <v>PKM KC</v>
      </c>
      <c r="C314" s="1" t="str">
        <f ca="1">IFERROR(__xludf.DUMMYFUNCTION("""COMPUTED_VALUE"""),"1. Judul ""berbasis IoT"", akan tetapi terkesan IoT bukan menjadi basis lebih pada fitur pelengkap saja. (maknai ulang apa yang dimaksud sebagai ""berbasis"")
2. Arsitektur kecanggihan teknologi belum tampak jelas pada Bab 3, silahkan dirombak kembali
3. "&amp;"Cara Kerja dari Alat yang akan dirancang juga belum cukup detail dijelaskan! ")</f>
        <v xml:space="preserve">1. Judul "berbasis IoT", akan tetapi terkesan IoT bukan menjadi basis lebih pada fitur pelengkap saja. (maknai ulang apa yang dimaksud sebagai "berbasis")
2. Arsitektur kecanggihan teknologi belum tampak jelas pada Bab 3, silahkan dirombak kembali
3. Cara Kerja dari Alat yang akan dirancang juga belum cukup detail dijelaskan! </v>
      </c>
      <c r="D314" s="1"/>
      <c r="E314" s="7" t="str">
        <f ca="1">IFERROR(__xludf.DUMMYFUNCTION("""COMPUTED_VALUE"""),"https://drive.google.com/open?id=1HgFb97hzZA3bjJRG2nEwooeGxj-KJP_l")</f>
        <v>https://drive.google.com/open?id=1HgFb97hzZA3bjJRG2nEwooeGxj-KJP_l</v>
      </c>
      <c r="F314" s="1">
        <f t="shared" ca="1" si="11"/>
        <v>0</v>
      </c>
      <c r="H314" s="4"/>
      <c r="I314" s="4"/>
      <c r="J314" s="4"/>
      <c r="K314" s="4"/>
      <c r="L314" s="4"/>
    </row>
    <row r="315" spans="1:12">
      <c r="A315" s="1">
        <f ca="1">IFERROR(__xludf.DUMMYFUNCTION("""COMPUTED_VALUE"""),2474)</f>
        <v>2474</v>
      </c>
      <c r="B315" s="1" t="str">
        <f ca="1">IFERROR(__xludf.DUMMYFUNCTION("""COMPUTED_VALUE"""),"PKM KC")</f>
        <v>PKM KC</v>
      </c>
      <c r="C315" s="1" t="str">
        <f ca="1">IFERROR(__xludf.DUMMYFUNCTION("""COMPUTED_VALUE"""),"1. Judul berbasis IoT, namun kesan yang didapatkan IoT hanyalah fitur tambahan untuk memonitor saja. (perlu dimaknai ulang pemilihan kata ""berbasis"")
2. Arsitektur Teknologi tidak terlihat pada Bab 3, adanya ilustrasi gambar mekanik bagus tapi tidak cuk"&amp;"up mengesankan kecanggihan teknologi yang akan digunakan!")</f>
        <v>1. Judul berbasis IoT, namun kesan yang didapatkan IoT hanyalah fitur tambahan untuk memonitor saja. (perlu dimaknai ulang pemilihan kata "berbasis")
2. Arsitektur Teknologi tidak terlihat pada Bab 3, adanya ilustrasi gambar mekanik bagus tapi tidak cukup mengesankan kecanggihan teknologi yang akan digunakan!</v>
      </c>
      <c r="D315" s="1"/>
      <c r="E315" s="7" t="str">
        <f ca="1">IFERROR(__xludf.DUMMYFUNCTION("""COMPUTED_VALUE"""),"https://drive.google.com/open?id=1DMyTynJygDQwi0vT8p62-vkNKCcX2EtW")</f>
        <v>https://drive.google.com/open?id=1DMyTynJygDQwi0vT8p62-vkNKCcX2EtW</v>
      </c>
      <c r="F315" s="1">
        <f t="shared" ca="1" si="11"/>
        <v>0</v>
      </c>
      <c r="H315" s="4"/>
      <c r="I315" s="4"/>
      <c r="J315" s="4"/>
      <c r="K315" s="4"/>
      <c r="L315" s="4"/>
    </row>
    <row r="316" spans="1:12">
      <c r="A316" s="1">
        <f ca="1">IFERROR(__xludf.DUMMYFUNCTION("""COMPUTED_VALUE"""),2465)</f>
        <v>2465</v>
      </c>
      <c r="B316" s="1" t="str">
        <f ca="1">IFERROR(__xludf.DUMMYFUNCTION("""COMPUTED_VALUE"""),"PKM KC")</f>
        <v>PKM KC</v>
      </c>
      <c r="C316" s="1" t="str">
        <f ca="1">IFERROR(__xludf.DUMMYFUNCTION("""COMPUTED_VALUE"""),"1. Daftar isi silahkan diperbaiki lagi
2. Perancangan Sistem perlu diperbaiki, terutama penjelasan algoritma Fuzzy untuk klasifikasi Stress dan bagaimana alur pemrosesannya dari mikrokontroller s.d. masuk ke mobile App
3. Kecanggihan inovasi untuk produk "&amp;"wearable devices masih banyak yang bisa diimprove")</f>
        <v>1. Daftar isi silahkan diperbaiki lagi
2. Perancangan Sistem perlu diperbaiki, terutama penjelasan algoritma Fuzzy untuk klasifikasi Stress dan bagaimana alur pemrosesannya dari mikrokontroller s.d. masuk ke mobile App
3. Kecanggihan inovasi untuk produk wearable devices masih banyak yang bisa diimprove</v>
      </c>
      <c r="D316" s="1"/>
      <c r="E316" s="7" t="str">
        <f ca="1">IFERROR(__xludf.DUMMYFUNCTION("""COMPUTED_VALUE"""),"https://drive.google.com/open?id=1kKJR4omphmf4vvpVnuzhMkfhRgwFPvZc")</f>
        <v>https://drive.google.com/open?id=1kKJR4omphmf4vvpVnuzhMkfhRgwFPvZc</v>
      </c>
      <c r="F316" s="1">
        <f t="shared" ca="1" si="11"/>
        <v>0</v>
      </c>
      <c r="H316" s="4"/>
      <c r="I316" s="4"/>
      <c r="J316" s="4"/>
      <c r="K316" s="4"/>
      <c r="L316" s="4"/>
    </row>
    <row r="317" spans="1:12">
      <c r="A317" s="1">
        <f ca="1">IFERROR(__xludf.DUMMYFUNCTION("""COMPUTED_VALUE"""),2690)</f>
        <v>2690</v>
      </c>
      <c r="B317" s="1" t="str">
        <f ca="1">IFERROR(__xludf.DUMMYFUNCTION("""COMPUTED_VALUE"""),"PKM KC")</f>
        <v>PKM KC</v>
      </c>
      <c r="C317" s="1" t="str">
        <f ca="1">IFERROR(__xludf.DUMMYFUNCTION("""COMPUTED_VALUE"""),"1. Proposal masih terkesan mentah, perlu banyak perbaikan
2. Gambar mekanik cukup menarik, namun tidak cukup mengesankan bahwa teknologi yang digunakan canggih, diperlukan gambar arsitektur teknologi atau blok diagram sistem 
3. Tinjauan Pustaka Terlalu T"&amp;"eknis")</f>
        <v>1. Proposal masih terkesan mentah, perlu banyak perbaikan
2. Gambar mekanik cukup menarik, namun tidak cukup mengesankan bahwa teknologi yang digunakan canggih, diperlukan gambar arsitektur teknologi atau blok diagram sistem 
3. Tinjauan Pustaka Terlalu Teknis</v>
      </c>
      <c r="D317" s="1"/>
      <c r="E317" s="1"/>
      <c r="F317" s="1">
        <f t="shared" ca="1" si="11"/>
        <v>0</v>
      </c>
      <c r="H317" s="4"/>
      <c r="I317" s="4"/>
      <c r="J317" s="4"/>
      <c r="K317" s="4"/>
      <c r="L317" s="4"/>
    </row>
    <row r="318" spans="1:12">
      <c r="A318" s="1">
        <f ca="1">IFERROR(__xludf.DUMMYFUNCTION("""COMPUTED_VALUE"""),2219)</f>
        <v>2219</v>
      </c>
      <c r="B318" s="1" t="str">
        <f ca="1">IFERROR(__xludf.DUMMYFUNCTION("""COMPUTED_VALUE"""),"PKM KC")</f>
        <v>PKM KC</v>
      </c>
      <c r="C318" s="1" t="str">
        <f ca="1">IFERROR(__xludf.DUMMYFUNCTION("""COMPUTED_VALUE"""),"1. Topik ini menarik namun kurang dikemas dalam proposal yang berkesan
2. Blok diagram arsitektur sistem perlu dimasukkan dalam bab 3, termasuk algoritma Machine Learning untuk mendeteksi anemia bisa dimasukkan dalam bab 3
3. kecanggihan teknologi harus t"&amp;"erkesan kuat pada proposalmu, revisi dulu dan konsultasi dengan pembimbing")</f>
        <v>1. Topik ini menarik namun kurang dikemas dalam proposal yang berkesan
2. Blok diagram arsitektur sistem perlu dimasukkan dalam bab 3, termasuk algoritma Machine Learning untuk mendeteksi anemia bisa dimasukkan dalam bab 3
3. kecanggihan teknologi harus terkesan kuat pada proposalmu, revisi dulu dan konsultasi dengan pembimbing</v>
      </c>
      <c r="D318" s="1"/>
      <c r="E318" s="7" t="str">
        <f ca="1">IFERROR(__xludf.DUMMYFUNCTION("""COMPUTED_VALUE"""),"https://drive.google.com/open?id=1nVGXke7xeBPfvFBnirxdxObSGCTA1Aol")</f>
        <v>https://drive.google.com/open?id=1nVGXke7xeBPfvFBnirxdxObSGCTA1Aol</v>
      </c>
      <c r="F318" s="1">
        <f t="shared" ca="1" si="11"/>
        <v>0</v>
      </c>
      <c r="H318" s="4"/>
      <c r="I318" s="4"/>
      <c r="J318" s="4"/>
      <c r="K318" s="4"/>
      <c r="L318" s="4"/>
    </row>
    <row r="319" spans="1:12">
      <c r="A319" s="1">
        <f ca="1">IFERROR(__xludf.DUMMYFUNCTION("""COMPUTED_VALUE"""),2160)</f>
        <v>2160</v>
      </c>
      <c r="B319" s="1" t="str">
        <f ca="1">IFERROR(__xludf.DUMMYFUNCTION("""COMPUTED_VALUE"""),"PKM KC")</f>
        <v>PKM KC</v>
      </c>
      <c r="C319" s="1" t="str">
        <f ca="1">IFERROR(__xludf.DUMMYFUNCTION("""COMPUTED_VALUE"""),"Ide pengusul menarik, namun desain prototipe nya mana kurang jelas, Gambar 3.2 pun seakan kehilangan makna jika disandingkan dengan judul (terkesan hanya tripod tanpa ada teknologi canggih)
silahkan dirombak kembali proposal terutama bab 3, diskusikan de"&amp;"ngan pembimbing!")</f>
        <v>Ide pengusul menarik, namun desain prototipe nya mana kurang jelas, Gambar 3.2 pun seakan kehilangan makna jika disandingkan dengan judul (terkesan hanya tripod tanpa ada teknologi canggih)
silahkan dirombak kembali proposal terutama bab 3, diskusikan dengan pembimbing!</v>
      </c>
      <c r="D319" s="1"/>
      <c r="E319" s="7" t="str">
        <f ca="1">IFERROR(__xludf.DUMMYFUNCTION("""COMPUTED_VALUE"""),"https://drive.google.com/open?id=1wla5ZNfk-F98tl-7zJHbv5PS-hrt_X8D")</f>
        <v>https://drive.google.com/open?id=1wla5ZNfk-F98tl-7zJHbv5PS-hrt_X8D</v>
      </c>
      <c r="F319" s="1">
        <f t="shared" ca="1" si="11"/>
        <v>0</v>
      </c>
      <c r="H319" s="4"/>
      <c r="I319" s="4"/>
      <c r="J319" s="4"/>
      <c r="K319" s="4"/>
      <c r="L319" s="4"/>
    </row>
    <row r="320" spans="1:12">
      <c r="A320" s="1">
        <f ca="1">IFERROR(__xludf.DUMMYFUNCTION("""COMPUTED_VALUE"""),3208)</f>
        <v>3208</v>
      </c>
      <c r="B320" s="1" t="str">
        <f ca="1">IFERROR(__xludf.DUMMYFUNCTION("""COMPUTED_VALUE"""),"PKM KC")</f>
        <v>PKM KC</v>
      </c>
      <c r="C320" s="1" t="str">
        <f ca="1">IFERROR(__xludf.DUMMYFUNCTION("""COMPUTED_VALUE"""),"1. Gambar arsitektur Sistem pada Lampiran 5 bisa dipertimbangkan untuk masuk pada BAB 3
2. Topik yang diangkat menarik, namun perlu dipertimbangkan juga pada situasi bencana kebakaran apakah orang masih sempat memegang HP dan mengakses aplikasi ketika dal"&amp;"am kepanikan.
3. pemilihan marker juga menjadi pertimbangan apakah akan ikut terbakar atau visibilitasnya terganggu karena asap. ")</f>
        <v xml:space="preserve">1. Gambar arsitektur Sistem pada Lampiran 5 bisa dipertimbangkan untuk masuk pada BAB 3
2. Topik yang diangkat menarik, namun perlu dipertimbangkan juga pada situasi bencana kebakaran apakah orang masih sempat memegang HP dan mengakses aplikasi ketika dalam kepanikan.
3. pemilihan marker juga menjadi pertimbangan apakah akan ikut terbakar atau visibilitasnya terganggu karena asap. </v>
      </c>
      <c r="D320" s="1"/>
      <c r="E320" s="7" t="str">
        <f ca="1">IFERROR(__xludf.DUMMYFUNCTION("""COMPUTED_VALUE"""),"https://drive.google.com/open?id=1QW7thUdg-axtc4BGcCiaSSRgu1Gj9-Sw")</f>
        <v>https://drive.google.com/open?id=1QW7thUdg-axtc4BGcCiaSSRgu1Gj9-Sw</v>
      </c>
      <c r="F320" s="1">
        <f t="shared" ca="1" si="11"/>
        <v>0</v>
      </c>
      <c r="H320" s="4"/>
      <c r="I320" s="4"/>
      <c r="J320" s="4"/>
      <c r="K320" s="4"/>
      <c r="L320" s="4"/>
    </row>
    <row r="321" spans="1:12">
      <c r="A321" s="1">
        <f ca="1">IFERROR(__xludf.DUMMYFUNCTION("""COMPUTED_VALUE"""),2909)</f>
        <v>2909</v>
      </c>
      <c r="B321" s="1" t="str">
        <f ca="1">IFERROR(__xludf.DUMMYFUNCTION("""COMPUTED_VALUE"""),"PKM KC")</f>
        <v>PKM KC</v>
      </c>
      <c r="C321" s="1" t="str">
        <f ca="1">IFERROR(__xludf.DUMMYFUNCTION("""COMPUTED_VALUE"""),"1. Gambar bisa ditingkatkan resolusinya
2. Format dirapikan kembali
3. Penggunaan Raspberry Pi untuk memproses sedikit sensor dan task yang tidak kompleks perlu dipertimbangkan ulang, (bisa gunakan system on chip yang lebih ringan) atau fitur dan kompleks"&amp;"itasnya ditambah 
4. Kecanggihan teknologi belum cukup terlihat pada BAB 3")</f>
        <v>1. Gambar bisa ditingkatkan resolusinya
2. Format dirapikan kembali
3. Penggunaan Raspberry Pi untuk memproses sedikit sensor dan task yang tidak kompleks perlu dipertimbangkan ulang, (bisa gunakan system on chip yang lebih ringan) atau fitur dan kompleksitasnya ditambah 
4. Kecanggihan teknologi belum cukup terlihat pada BAB 3</v>
      </c>
      <c r="D321" s="1"/>
      <c r="E321" s="7" t="str">
        <f ca="1">IFERROR(__xludf.DUMMYFUNCTION("""COMPUTED_VALUE"""),"https://drive.google.com/open?id=1PbmxFRa_twtzlxv7fvNxogPtDrk5HmvQ")</f>
        <v>https://drive.google.com/open?id=1PbmxFRa_twtzlxv7fvNxogPtDrk5HmvQ</v>
      </c>
      <c r="F321" s="1">
        <f t="shared" ca="1" si="11"/>
        <v>0</v>
      </c>
      <c r="H321" s="4"/>
      <c r="I321" s="4"/>
      <c r="J321" s="4"/>
      <c r="K321" s="4"/>
      <c r="L321" s="4"/>
    </row>
    <row r="322" spans="1:12">
      <c r="A322" s="1">
        <f ca="1">IFERROR(__xludf.DUMMYFUNCTION("""COMPUTED_VALUE"""),2585)</f>
        <v>2585</v>
      </c>
      <c r="B322" s="1" t="str">
        <f ca="1">IFERROR(__xludf.DUMMYFUNCTION("""COMPUTED_VALUE"""),"PKM KC")</f>
        <v>PKM KC</v>
      </c>
      <c r="C322" s="1" t="str">
        <f ca="1">IFERROR(__xludf.DUMMYFUNCTION("""COMPUTED_VALUE"""),"1. Perbaiki daftar isi
2. Arsitektur Sistem pada Bab 3 perlu dijelaskan lebih baik (tidak cukup hanya menampilkan desain mekanik)
3. pernyataan tidak Efisien dengan penggunaan sprayer oleh manusia diganti dengan adanya remote kontrol yang juga dikendalika"&amp;"n juga oleh manusia sepertinya perlu dijelaskan lebih baik, kecuali jika UGV nya memiliki kemapuan autonomous navigation (bisa dipertimbangkan)")</f>
        <v>1. Perbaiki daftar isi
2. Arsitektur Sistem pada Bab 3 perlu dijelaskan lebih baik (tidak cukup hanya menampilkan desain mekanik)
3. pernyataan tidak Efisien dengan penggunaan sprayer oleh manusia diganti dengan adanya remote kontrol yang juga dikendalikan juga oleh manusia sepertinya perlu dijelaskan lebih baik, kecuali jika UGV nya memiliki kemapuan autonomous navigation (bisa dipertimbangkan)</v>
      </c>
      <c r="D322" s="1"/>
      <c r="E322" s="7" t="str">
        <f ca="1">IFERROR(__xludf.DUMMYFUNCTION("""COMPUTED_VALUE"""),"https://drive.google.com/open?id=1rKtGDs7f6l92QEo8OBKnmVHCO8Uriliw")</f>
        <v>https://drive.google.com/open?id=1rKtGDs7f6l92QEo8OBKnmVHCO8Uriliw</v>
      </c>
      <c r="F322" s="1">
        <f t="shared" ca="1" si="11"/>
        <v>0</v>
      </c>
      <c r="H322" s="4"/>
      <c r="I322" s="4"/>
      <c r="J322" s="4"/>
      <c r="K322" s="4"/>
      <c r="L322" s="4"/>
    </row>
    <row r="323" spans="1:12">
      <c r="A323" s="1">
        <f ca="1">IFERROR(__xludf.DUMMYFUNCTION("""COMPUTED_VALUE"""),3375)</f>
        <v>3375</v>
      </c>
      <c r="B323" s="1" t="str">
        <f ca="1">IFERROR(__xludf.DUMMYFUNCTION("""COMPUTED_VALUE"""),"PKM KC")</f>
        <v>PKM KC</v>
      </c>
      <c r="C323" s="1" t="str">
        <f ca="1">IFERROR(__xludf.DUMMYFUNCTION("""COMPUTED_VALUE"""),"bab 3 belum menyesuaikan konsep luring penuh dengan protokol kesehatan, bab 2 masih menuliskan definisi2 komponen, harusnya tdk usah. anggaran biaya habis pakai blm ada institusi lain meski nol (font jg diperbaiki). detail anggaran yg 1jt, dibuat 990rb sa"&amp;"ja. paket data maks 100rb")</f>
        <v>bab 3 belum menyesuaikan konsep luring penuh dengan protokol kesehatan, bab 2 masih menuliskan definisi2 komponen, harusnya tdk usah. anggaran biaya habis pakai blm ada institusi lain meski nol (font jg diperbaiki). detail anggaran yg 1jt, dibuat 990rb saja. paket data maks 100rb</v>
      </c>
      <c r="D323" s="1" t="str">
        <f ca="1">IFERROR(__xludf.DUMMYFUNCTION("""COMPUTED_VALUE"""),"LAYAK UPLOAD KE SIMBELMAWA DENGAN REVISI")</f>
        <v>LAYAK UPLOAD KE SIMBELMAWA DENGAN REVISI</v>
      </c>
      <c r="E323" s="7" t="str">
        <f ca="1">IFERROR(__xludf.DUMMYFUNCTION("""COMPUTED_VALUE"""),"https://drive.google.com/open?id=1GdO6DIOPk5mAjXeI_e91-Vehf0yXpXrc")</f>
        <v>https://drive.google.com/open?id=1GdO6DIOPk5mAjXeI_e91-Vehf0yXpXrc</v>
      </c>
      <c r="F323" s="1">
        <f t="shared" ca="1" si="11"/>
        <v>0</v>
      </c>
      <c r="H323" s="4"/>
      <c r="I323" s="4"/>
      <c r="J323" s="4"/>
      <c r="K323" s="4"/>
      <c r="L323" s="4"/>
    </row>
    <row r="324" spans="1:12">
      <c r="A324" s="1">
        <f ca="1">IFERROR(__xludf.DUMMYFUNCTION("""COMPUTED_VALUE"""),2577)</f>
        <v>2577</v>
      </c>
      <c r="B324" s="1" t="str">
        <f ca="1">IFERROR(__xludf.DUMMYFUNCTION("""COMPUTED_VALUE"""),"PKM KC")</f>
        <v>PKM KC</v>
      </c>
      <c r="C324" s="1" t="str">
        <f ca="1">IFERROR(__xludf.DUMMYFUNCTION("""COMPUTED_VALUE"""),"bab 2 masih menjelaskan ttg definis komponen2, harusnya ga usah. bab 3 belum sesuai pedoman (luring penuh dan protokol kesehatan). prosentase pembagian anggaran dana tdk tepat sesuai dengan pedoman. buat apa solar panelnya ya?")</f>
        <v>bab 2 masih menjelaskan ttg definis komponen2, harusnya ga usah. bab 3 belum sesuai pedoman (luring penuh dan protokol kesehatan). prosentase pembagian anggaran dana tdk tepat sesuai dengan pedoman. buat apa solar panelnya ya?</v>
      </c>
      <c r="D324" s="1" t="str">
        <f ca="1">IFERROR(__xludf.DUMMYFUNCTION("""COMPUTED_VALUE"""),"TIDAK LAYAK UPLOAD KE SIMBELMAWA")</f>
        <v>TIDAK LAYAK UPLOAD KE SIMBELMAWA</v>
      </c>
      <c r="E324" s="7" t="str">
        <f ca="1">IFERROR(__xludf.DUMMYFUNCTION("""COMPUTED_VALUE"""),"https://drive.google.com/open?id=1joI1xkhluTQnxrEm4ri6WS93bi4OOmJf")</f>
        <v>https://drive.google.com/open?id=1joI1xkhluTQnxrEm4ri6WS93bi4OOmJf</v>
      </c>
      <c r="F324" s="1">
        <f t="shared" ca="1" si="11"/>
        <v>0</v>
      </c>
      <c r="H324" s="4"/>
      <c r="I324" s="4"/>
      <c r="J324" s="4"/>
      <c r="K324" s="4"/>
      <c r="L324" s="4"/>
    </row>
    <row r="325" spans="1:12">
      <c r="A325" s="1">
        <f ca="1">IFERROR(__xludf.DUMMYFUNCTION("""COMPUTED_VALUE"""),3428)</f>
        <v>3428</v>
      </c>
      <c r="B325" s="1" t="str">
        <f ca="1">IFERROR(__xludf.DUMMYFUNCTION("""COMPUTED_VALUE"""),"PKM KC")</f>
        <v>PKM KC</v>
      </c>
      <c r="C325" s="1" t="str">
        <f ca="1">IFERROR(__xludf.DUMMYFUNCTION("""COMPUTED_VALUE"""),"anggaran dana di bab 4 blm ditambahkan institusi lain meski nilai nol. di rincian anggaran harga yg 1 jt dijadikan 990rb saja. cek spasi di rincian anggaran belanja, sepetinya terlalu besar. gambar 3d ga ada")</f>
        <v>anggaran dana di bab 4 blm ditambahkan institusi lain meski nilai nol. di rincian anggaran harga yg 1 jt dijadikan 990rb saja. cek spasi di rincian anggaran belanja, sepetinya terlalu besar. gambar 3d ga ada</v>
      </c>
      <c r="D325" s="1" t="str">
        <f ca="1">IFERROR(__xludf.DUMMYFUNCTION("""COMPUTED_VALUE"""),"LAYAK UPLOAD KE SIMBELMAWA DENGAN REVISI")</f>
        <v>LAYAK UPLOAD KE SIMBELMAWA DENGAN REVISI</v>
      </c>
      <c r="E325" s="7" t="str">
        <f ca="1">IFERROR(__xludf.DUMMYFUNCTION("""COMPUTED_VALUE"""),"https://drive.google.com/open?id=16Or9cvFJNpbZbkexUiT6xU6Tsf4zECP1")</f>
        <v>https://drive.google.com/open?id=16Or9cvFJNpbZbkexUiT6xU6Tsf4zECP1</v>
      </c>
      <c r="F325" s="1">
        <f t="shared" ca="1" si="11"/>
        <v>0</v>
      </c>
      <c r="H325" s="4"/>
      <c r="I325" s="4"/>
      <c r="J325" s="4"/>
      <c r="K325" s="4"/>
      <c r="L325" s="4"/>
    </row>
    <row r="326" spans="1:12">
      <c r="A326" s="1">
        <f ca="1">IFERROR(__xludf.DUMMYFUNCTION("""COMPUTED_VALUE"""),2367)</f>
        <v>2367</v>
      </c>
      <c r="B326" s="1" t="str">
        <f ca="1">IFERROR(__xludf.DUMMYFUNCTION("""COMPUTED_VALUE"""),"PKM KC")</f>
        <v>PKM KC</v>
      </c>
      <c r="C326" s="1" t="str">
        <f ca="1">IFERROR(__xludf.DUMMYFUNCTION("""COMPUTED_VALUE"""),"berat ini. kyknya tidak ikut bikom atau son sebelumnya karena kesalahannya banyak banget. rumusan masalah tdk jelas. tanggal di biodata tdk diganti. anggaran dana tdk sesuai pedoman. biodata dosen masih PKM-RE. ")</f>
        <v xml:space="preserve">berat ini. kyknya tidak ikut bikom atau son sebelumnya karena kesalahannya banyak banget. rumusan masalah tdk jelas. tanggal di biodata tdk diganti. anggaran dana tdk sesuai pedoman. biodata dosen masih PKM-RE. </v>
      </c>
      <c r="D326" s="1" t="str">
        <f ca="1">IFERROR(__xludf.DUMMYFUNCTION("""COMPUTED_VALUE"""),"TIDAK LAYAK UPLOAD KE SIMBELMAWA")</f>
        <v>TIDAK LAYAK UPLOAD KE SIMBELMAWA</v>
      </c>
      <c r="E326" s="7" t="str">
        <f ca="1">IFERROR(__xludf.DUMMYFUNCTION("""COMPUTED_VALUE"""),"https://drive.google.com/open?id=1Tqq9sxhMSxrQc-xq87NLX_wIKo-TN-5B")</f>
        <v>https://drive.google.com/open?id=1Tqq9sxhMSxrQc-xq87NLX_wIKo-TN-5B</v>
      </c>
      <c r="F326" s="1">
        <f t="shared" ca="1" si="11"/>
        <v>0</v>
      </c>
      <c r="H326" s="4"/>
      <c r="I326" s="4"/>
      <c r="J326" s="4"/>
      <c r="K326" s="4"/>
      <c r="L326" s="4"/>
    </row>
    <row r="327" spans="1:12">
      <c r="A327" s="1">
        <f ca="1">IFERROR(__xludf.DUMMYFUNCTION("""COMPUTED_VALUE"""),3167)</f>
        <v>3167</v>
      </c>
      <c r="B327" s="1" t="str">
        <f ca="1">IFERROR(__xludf.DUMMYFUNCTION("""COMPUTED_VALUE"""),"PKM KC")</f>
        <v>PKM KC</v>
      </c>
      <c r="C327" s="1" t="str">
        <f ca="1">IFERROR(__xludf.DUMMYFUNCTION("""COMPUTED_VALUE"""),"biodata dosen utk PKM-KI. latar belakang minim sitasi dan data pendukung. anggaran dana belum sesuai pedoman, institusi lain blm ditulis. di rincian anggaran dana utk skimmer jumlahnya salah. biaya langganan internet 5 bulan, pelaksanaan di timeline 4 bul"&amp;"an")</f>
        <v>biodata dosen utk PKM-KI. latar belakang minim sitasi dan data pendukung. anggaran dana belum sesuai pedoman, institusi lain blm ditulis. di rincian anggaran dana utk skimmer jumlahnya salah. biaya langganan internet 5 bulan, pelaksanaan di timeline 4 bulan</v>
      </c>
      <c r="D327" s="1" t="str">
        <f ca="1">IFERROR(__xludf.DUMMYFUNCTION("""COMPUTED_VALUE"""),"LAYAK UPLOAD KE SIMBELMAWA DENGAN REVISI")</f>
        <v>LAYAK UPLOAD KE SIMBELMAWA DENGAN REVISI</v>
      </c>
      <c r="E327" s="7" t="str">
        <f ca="1">IFERROR(__xludf.DUMMYFUNCTION("""COMPUTED_VALUE"""),"https://drive.google.com/open?id=1XhT-69O_DZ6BQyxvEX1tRvb6un-jp3WD")</f>
        <v>https://drive.google.com/open?id=1XhT-69O_DZ6BQyxvEX1tRvb6un-jp3WD</v>
      </c>
      <c r="F327" s="1">
        <f t="shared" ca="1" si="11"/>
        <v>0</v>
      </c>
      <c r="H327" s="4"/>
      <c r="I327" s="4"/>
      <c r="J327" s="4"/>
      <c r="K327" s="4"/>
      <c r="L327" s="4"/>
    </row>
    <row r="328" spans="1:12">
      <c r="A328" s="1">
        <f ca="1">IFERROR(__xludf.DUMMYFUNCTION("""COMPUTED_VALUE"""),2461)</f>
        <v>2461</v>
      </c>
      <c r="B328" s="1" t="str">
        <f ca="1">IFERROR(__xludf.DUMMYFUNCTION("""COMPUTED_VALUE"""),"PKM KC")</f>
        <v>PKM KC</v>
      </c>
      <c r="C328" s="1" t="str">
        <f ca="1">IFERROR(__xludf.DUMMYFUNCTION("""COMPUTED_VALUE"""),"sudah bagus. ")</f>
        <v xml:space="preserve">sudah bagus. </v>
      </c>
      <c r="D328" s="1" t="str">
        <f ca="1">IFERROR(__xludf.DUMMYFUNCTION("""COMPUTED_VALUE"""),"LAYAK UPLOAD KE SIMBELMAWA")</f>
        <v>LAYAK UPLOAD KE SIMBELMAWA</v>
      </c>
      <c r="E328" s="7" t="str">
        <f ca="1">IFERROR(__xludf.DUMMYFUNCTION("""COMPUTED_VALUE"""),"https://drive.google.com/open?id=1xGSxCOxo2RS7PsuLI2Ly8bDjOUNwVWua")</f>
        <v>https://drive.google.com/open?id=1xGSxCOxo2RS7PsuLI2Ly8bDjOUNwVWua</v>
      </c>
      <c r="F328" s="1">
        <f t="shared" ca="1" si="11"/>
        <v>0</v>
      </c>
      <c r="H328" s="4"/>
      <c r="I328" s="4"/>
      <c r="J328" s="4"/>
      <c r="K328" s="4"/>
      <c r="L328" s="4"/>
    </row>
    <row r="329" spans="1:12">
      <c r="A329" s="1">
        <f ca="1">IFERROR(__xludf.DUMMYFUNCTION("""COMPUTED_VALUE"""),3127)</f>
        <v>3127</v>
      </c>
      <c r="B329" s="1" t="str">
        <f ca="1">IFERROR(__xludf.DUMMYFUNCTION("""COMPUTED_VALUE"""),"PKM KC")</f>
        <v>PKM KC</v>
      </c>
      <c r="C329" s="1" t="str">
        <f ca="1">IFERROR(__xludf.DUMMYFUNCTION("""COMPUTED_VALUE"""),"di latar belakang tidak dijelaskan bagaimana proses pengolahan sampah menjadi pupuknya dan otomatisasinya gimana. identifikasi kebutuhan pengguna di flowchart dan penjelasan bab 3 sebaiknya dihapus. tanggal di biodata masih februari, harusnya maret.  lamp"&amp;"iran biodata berantakan. ")</f>
        <v xml:space="preserve">di latar belakang tidak dijelaskan bagaimana proses pengolahan sampah menjadi pupuknya dan otomatisasinya gimana. identifikasi kebutuhan pengguna di flowchart dan penjelasan bab 3 sebaiknya dihapus. tanggal di biodata masih februari, harusnya maret.  lampiran biodata berantakan. </v>
      </c>
      <c r="D329" s="1" t="str">
        <f ca="1">IFERROR(__xludf.DUMMYFUNCTION("""COMPUTED_VALUE"""),"LAYAK UPLOAD KE SIMBELMAWA DENGAN REVISI")</f>
        <v>LAYAK UPLOAD KE SIMBELMAWA DENGAN REVISI</v>
      </c>
      <c r="E329" s="7" t="str">
        <f ca="1">IFERROR(__xludf.DUMMYFUNCTION("""COMPUTED_VALUE"""),"https://drive.google.com/open?id=1RI_t6o_xLsfhSEGE6CDSDJY0EKL-eBTq")</f>
        <v>https://drive.google.com/open?id=1RI_t6o_xLsfhSEGE6CDSDJY0EKL-eBTq</v>
      </c>
      <c r="F329" s="1">
        <f t="shared" ca="1" si="11"/>
        <v>0</v>
      </c>
      <c r="H329" s="4"/>
      <c r="I329" s="4"/>
      <c r="J329" s="4"/>
      <c r="K329" s="4"/>
      <c r="L329" s="4"/>
    </row>
    <row r="330" spans="1:12">
      <c r="A330" s="1">
        <f ca="1">IFERROR(__xludf.DUMMYFUNCTION("""COMPUTED_VALUE"""),3248)</f>
        <v>3248</v>
      </c>
      <c r="B330" s="1" t="str">
        <f ca="1">IFERROR(__xludf.DUMMYFUNCTION("""COMPUTED_VALUE"""),"PKM KC")</f>
        <v>PKM KC</v>
      </c>
      <c r="C330" s="1" t="str">
        <f ca="1">IFERROR(__xludf.DUMMYFUNCTION("""COMPUTED_VALUE""")," ")</f>
        <v xml:space="preserve"> </v>
      </c>
      <c r="D330" s="1" t="str">
        <f ca="1">IFERROR(__xludf.DUMMYFUNCTION("""COMPUTED_VALUE""")," ")</f>
        <v xml:space="preserve"> </v>
      </c>
      <c r="E330" s="1"/>
      <c r="F330" s="1">
        <f t="shared" ca="1" si="11"/>
        <v>2</v>
      </c>
      <c r="H330" s="4"/>
      <c r="I330" s="4"/>
      <c r="J330" s="4"/>
      <c r="K330" s="4"/>
      <c r="L330" s="4"/>
    </row>
    <row r="331" spans="1:12">
      <c r="A331" s="1">
        <f ca="1">IFERROR(__xludf.DUMMYFUNCTION("""COMPUTED_VALUE"""),2519)</f>
        <v>2519</v>
      </c>
      <c r="B331" s="1" t="str">
        <f ca="1">IFERROR(__xludf.DUMMYFUNCTION("""COMPUTED_VALUE"""),"PKM KC")</f>
        <v>PKM KC</v>
      </c>
      <c r="C331" s="1" t="str">
        <f ca="1">IFERROR(__xludf.DUMMYFUNCTION("""COMPUTED_VALUE"""),"masih banyak kuning2 di proposalnya, belum direvisi ini sepertinya. anggaran dana masih 9 jt blm sesuai pedoman baru. rincian anggaran dana jg masih kacau. menurut saya ide bagus tp kok sayangnya tim agak ga niat. ")</f>
        <v xml:space="preserve">masih banyak kuning2 di proposalnya, belum direvisi ini sepertinya. anggaran dana masih 9 jt blm sesuai pedoman baru. rincian anggaran dana jg masih kacau. menurut saya ide bagus tp kok sayangnya tim agak ga niat. </v>
      </c>
      <c r="D331" s="1" t="str">
        <f ca="1">IFERROR(__xludf.DUMMYFUNCTION("""COMPUTED_VALUE"""),"TIDAK LAYAK UPLOAD KE SIMBELMAWA")</f>
        <v>TIDAK LAYAK UPLOAD KE SIMBELMAWA</v>
      </c>
      <c r="E331" s="7" t="str">
        <f ca="1">IFERROR(__xludf.DUMMYFUNCTION("""COMPUTED_VALUE"""),"https://drive.google.com/open?id=1PBuo1Al4DODAizr1WrIivpc9pBDz3OB_")</f>
        <v>https://drive.google.com/open?id=1PBuo1Al4DODAizr1WrIivpc9pBDz3OB_</v>
      </c>
      <c r="F331" s="1">
        <f t="shared" ca="1" si="11"/>
        <v>0</v>
      </c>
      <c r="H331" s="4"/>
      <c r="I331" s="4"/>
      <c r="J331" s="4"/>
      <c r="K331" s="4"/>
      <c r="L331" s="4"/>
    </row>
    <row r="332" spans="1:12">
      <c r="A332" s="1">
        <f ca="1">IFERROR(__xludf.DUMMYFUNCTION("""COMPUTED_VALUE"""),2119)</f>
        <v>2119</v>
      </c>
      <c r="B332" s="1" t="str">
        <f ca="1">IFERROR(__xludf.DUMMYFUNCTION("""COMPUTED_VALUE"""),"PKM KC")</f>
        <v>PKM KC</v>
      </c>
      <c r="C332" s="1" t="str">
        <f ca="1">IFERROR(__xludf.DUMMYFUNCTION("""COMPUTED_VALUE""")," ")</f>
        <v xml:space="preserve"> </v>
      </c>
      <c r="D332" s="1" t="str">
        <f ca="1">IFERROR(__xludf.DUMMYFUNCTION("""COMPUTED_VALUE""")," ")</f>
        <v xml:space="preserve"> </v>
      </c>
      <c r="E332" s="1"/>
      <c r="F332" s="1">
        <f t="shared" ca="1" si="11"/>
        <v>2</v>
      </c>
      <c r="H332" s="4"/>
      <c r="I332" s="4"/>
      <c r="J332" s="4"/>
      <c r="K332" s="4"/>
      <c r="L332" s="4"/>
    </row>
    <row r="333" spans="1:12">
      <c r="A333" s="1">
        <f ca="1">IFERROR(__xludf.DUMMYFUNCTION("""COMPUTED_VALUE"""),3936)</f>
        <v>3936</v>
      </c>
      <c r="B333" s="1" t="str">
        <f ca="1">IFERROR(__xludf.DUMMYFUNCTION("""COMPUTED_VALUE"""),"PKM KC")</f>
        <v>PKM KC</v>
      </c>
      <c r="C333" s="1" t="str">
        <f ca="1">IFERROR(__xludf.DUMMYFUNCTION("""COMPUTED_VALUE"""),"anggaran dana blm dituliskan dari institusi lain meski nol. di bab 2 perbandingan dengan teknologi yg sudah ada mestinya SOV ga usah dimasukkan krn dia blm dibuat. margin dan tata letak mulai 3.3.1 diperbaiki, mepet kiri. tabel 2.1 masih kuning2, dicek ke"&amp;"mbali. justifikasi anggaran blm sesuai larangan2 yg ada di pedoman")</f>
        <v>anggaran dana blm dituliskan dari institusi lain meski nol. di bab 2 perbandingan dengan teknologi yg sudah ada mestinya SOV ga usah dimasukkan krn dia blm dibuat. margin dan tata letak mulai 3.3.1 diperbaiki, mepet kiri. tabel 2.1 masih kuning2, dicek kembali. justifikasi anggaran blm sesuai larangan2 yg ada di pedoman</v>
      </c>
      <c r="D333" s="1" t="str">
        <f ca="1">IFERROR(__xludf.DUMMYFUNCTION("""COMPUTED_VALUE"""),"LAYAK UPLOAD KE SIMBELMAWA DENGAN REVISI")</f>
        <v>LAYAK UPLOAD KE SIMBELMAWA DENGAN REVISI</v>
      </c>
      <c r="E333" s="7" t="str">
        <f ca="1">IFERROR(__xludf.DUMMYFUNCTION("""COMPUTED_VALUE"""),"https://drive.google.com/open?id=1p9ij_v8RHuVEyNlGt17w0jiNQP6yR_wD")</f>
        <v>https://drive.google.com/open?id=1p9ij_v8RHuVEyNlGt17w0jiNQP6yR_wD</v>
      </c>
      <c r="F333" s="1">
        <f t="shared" ca="1" si="11"/>
        <v>0</v>
      </c>
      <c r="H333" s="4"/>
      <c r="I333" s="4"/>
      <c r="J333" s="4"/>
      <c r="K333" s="4"/>
      <c r="L333" s="4"/>
    </row>
    <row r="334" spans="1:12">
      <c r="A334" s="1">
        <f ca="1">IFERROR(__xludf.DUMMYFUNCTION("""COMPUTED_VALUE"""),2986)</f>
        <v>2986</v>
      </c>
      <c r="B334" s="1" t="str">
        <f ca="1">IFERROR(__xludf.DUMMYFUNCTION("""COMPUTED_VALUE"""),"PKM KC")</f>
        <v>PKM KC</v>
      </c>
      <c r="C334" s="1" t="str">
        <f ca="1">IFERROR(__xludf.DUMMYFUNCTION("""COMPUTED_VALUE"""),"tidak direvisi, sepetinya tdk ikut bikom atau son. ")</f>
        <v xml:space="preserve">tidak direvisi, sepetinya tdk ikut bikom atau son. </v>
      </c>
      <c r="D334" s="1" t="str">
        <f ca="1">IFERROR(__xludf.DUMMYFUNCTION("""COMPUTED_VALUE"""),"TIDAK LAYAK UPLOAD KE SIMBELMAWA")</f>
        <v>TIDAK LAYAK UPLOAD KE SIMBELMAWA</v>
      </c>
      <c r="E334" s="7" t="str">
        <f ca="1">IFERROR(__xludf.DUMMYFUNCTION("""COMPUTED_VALUE"""),"https://drive.google.com/open?id=1QYbQlgyRigvnHaBDUIDx_bpQlhq-rpGf")</f>
        <v>https://drive.google.com/open?id=1QYbQlgyRigvnHaBDUIDx_bpQlhq-rpGf</v>
      </c>
      <c r="F334" s="1">
        <f t="shared" ca="1" si="11"/>
        <v>0</v>
      </c>
      <c r="H334" s="4"/>
      <c r="I334" s="4"/>
      <c r="J334" s="4"/>
      <c r="K334" s="4"/>
      <c r="L334" s="4"/>
    </row>
    <row r="335" spans="1:12">
      <c r="A335" s="1">
        <f ca="1">IFERROR(__xludf.DUMMYFUNCTION("""COMPUTED_VALUE"""),4156)</f>
        <v>4156</v>
      </c>
      <c r="B335" s="1" t="str">
        <f ca="1">IFERROR(__xludf.DUMMYFUNCTION("""COMPUTED_VALUE"""),"PKM KC")</f>
        <v>PKM KC</v>
      </c>
      <c r="C335" s="1" t="str">
        <f ca="1">IFERROR(__xludf.DUMMYFUNCTION("""COMPUTED_VALUE"""),"REVISI MAJOR - Deskripsi tentang produk serta keunggulannya tidak nampak jelas, proposal ini lebih seperti tugas akhir dan memang berasal dari tugas akhir, serta penggunaan kutipan masih kurang ")</f>
        <v xml:space="preserve">REVISI MAJOR - Deskripsi tentang produk serta keunggulannya tidak nampak jelas, proposal ini lebih seperti tugas akhir dan memang berasal dari tugas akhir, serta penggunaan kutipan masih kurang </v>
      </c>
      <c r="D335" s="1" t="str">
        <f ca="1">IFERROR(__xludf.DUMMYFUNCTION("""COMPUTED_VALUE"""),"LAYAK UPLOAD KE SIMBELMAWA DENGAN REVISI")</f>
        <v>LAYAK UPLOAD KE SIMBELMAWA DENGAN REVISI</v>
      </c>
      <c r="E335" s="7" t="str">
        <f ca="1">IFERROR(__xludf.DUMMYFUNCTION("""COMPUTED_VALUE"""),"https://drive.google.com/open?id=1gEq1dyQ2LmWjPLuQ2JuhcMiPqCqkcSFw")</f>
        <v>https://drive.google.com/open?id=1gEq1dyQ2LmWjPLuQ2JuhcMiPqCqkcSFw</v>
      </c>
      <c r="F335" s="1">
        <f t="shared" ca="1" si="11"/>
        <v>0</v>
      </c>
      <c r="H335" s="4"/>
      <c r="I335" s="4"/>
      <c r="J335" s="4"/>
      <c r="K335" s="4"/>
      <c r="L335" s="4"/>
    </row>
    <row r="336" spans="1:12">
      <c r="A336" s="1">
        <f ca="1">IFERROR(__xludf.DUMMYFUNCTION("""COMPUTED_VALUE"""),3271)</f>
        <v>3271</v>
      </c>
      <c r="B336" s="1" t="str">
        <f ca="1">IFERROR(__xludf.DUMMYFUNCTION("""COMPUTED_VALUE"""),"PKM KC")</f>
        <v>PKM KC</v>
      </c>
      <c r="C336" s="1" t="str">
        <f ca="1">IFERROR(__xludf.DUMMYFUNCTION("""COMPUTED_VALUE"""),"REVISI - Judul berbahasa inggris, penjelasan keunggulan produk kurang nampak di bab 1")</f>
        <v>REVISI - Judul berbahasa inggris, penjelasan keunggulan produk kurang nampak di bab 1</v>
      </c>
      <c r="D336" s="1" t="str">
        <f ca="1">IFERROR(__xludf.DUMMYFUNCTION("""COMPUTED_VALUE"""),"LAYAK UPLOAD KE SIMBELMAWA DENGAN REVISI")</f>
        <v>LAYAK UPLOAD KE SIMBELMAWA DENGAN REVISI</v>
      </c>
      <c r="E336" s="7" t="str">
        <f ca="1">IFERROR(__xludf.DUMMYFUNCTION("""COMPUTED_VALUE"""),"https://drive.google.com/open?id=1OUEq45b75uUshB8wP9ORddwAwHFcw3-K")</f>
        <v>https://drive.google.com/open?id=1OUEq45b75uUshB8wP9ORddwAwHFcw3-K</v>
      </c>
      <c r="F336" s="1">
        <f t="shared" ca="1" si="11"/>
        <v>0</v>
      </c>
      <c r="H336" s="4"/>
      <c r="I336" s="4"/>
      <c r="J336" s="4"/>
      <c r="K336" s="4"/>
      <c r="L336" s="4"/>
    </row>
    <row r="337" spans="1:12">
      <c r="A337" s="1">
        <f ca="1">IFERROR(__xludf.DUMMYFUNCTION("""COMPUTED_VALUE"""),2030)</f>
        <v>2030</v>
      </c>
      <c r="B337" s="1" t="str">
        <f ca="1">IFERROR(__xludf.DUMMYFUNCTION("""COMPUTED_VALUE"""),"PKM KC")</f>
        <v>PKM KC</v>
      </c>
      <c r="C337" s="1" t="str">
        <f ca="1">IFERROR(__xludf.DUMMYFUNCTION("""COMPUTED_VALUE"""),"MABA semua")</f>
        <v>MABA semua</v>
      </c>
      <c r="D337" s="1" t="str">
        <f ca="1">IFERROR(__xludf.DUMMYFUNCTION("""COMPUTED_VALUE"""),"TIDAK LAYAK UPLOAD KE SIMBELMAWA")</f>
        <v>TIDAK LAYAK UPLOAD KE SIMBELMAWA</v>
      </c>
      <c r="E337" s="7" t="str">
        <f ca="1">IFERROR(__xludf.DUMMYFUNCTION("""COMPUTED_VALUE"""),"https://drive.google.com/open?id=1ScyEZ5Mzs28OPLvNNtqKLrcKr1fgt4tU")</f>
        <v>https://drive.google.com/open?id=1ScyEZ5Mzs28OPLvNNtqKLrcKr1fgt4tU</v>
      </c>
      <c r="F337" s="1">
        <f t="shared" ca="1" si="11"/>
        <v>0</v>
      </c>
      <c r="H337" s="4"/>
      <c r="I337" s="4"/>
      <c r="J337" s="4"/>
      <c r="K337" s="4"/>
      <c r="L337" s="4"/>
    </row>
    <row r="338" spans="1:12">
      <c r="A338" s="1">
        <f ca="1">IFERROR(__xludf.DUMMYFUNCTION("""COMPUTED_VALUE"""),4002)</f>
        <v>4002</v>
      </c>
      <c r="B338" s="1" t="str">
        <f ca="1">IFERROR(__xludf.DUMMYFUNCTION("""COMPUTED_VALUE"""),"PKM KC")</f>
        <v>PKM KC</v>
      </c>
      <c r="C338" s="1" t="str">
        <f ca="1">IFERROR(__xludf.DUMMYFUNCTION("""COMPUTED_VALUE"""),"lihat pdf")</f>
        <v>lihat pdf</v>
      </c>
      <c r="D338" s="1" t="str">
        <f ca="1">IFERROR(__xludf.DUMMYFUNCTION("""COMPUTED_VALUE"""),"LAYAK UPLOAD KE SIMBELMAWA DENGAN REVISI")</f>
        <v>LAYAK UPLOAD KE SIMBELMAWA DENGAN REVISI</v>
      </c>
      <c r="E338" s="7" t="str">
        <f ca="1">IFERROR(__xludf.DUMMYFUNCTION("""COMPUTED_VALUE"""),"https://drive.google.com/open?id=1MuNSB7HQYuQ8zSitkYvokKDmr_NxJacc")</f>
        <v>https://drive.google.com/open?id=1MuNSB7HQYuQ8zSitkYvokKDmr_NxJacc</v>
      </c>
      <c r="F338" s="1">
        <f t="shared" ca="1" si="11"/>
        <v>0</v>
      </c>
      <c r="H338" s="4"/>
      <c r="I338" s="4"/>
      <c r="J338" s="4"/>
      <c r="K338" s="4"/>
      <c r="L338" s="4"/>
    </row>
    <row r="339" spans="1:12">
      <c r="A339" s="1">
        <f ca="1">IFERROR(__xludf.DUMMYFUNCTION("""COMPUTED_VALUE"""),2178)</f>
        <v>2178</v>
      </c>
      <c r="B339" s="1" t="str">
        <f ca="1">IFERROR(__xludf.DUMMYFUNCTION("""COMPUTED_VALUE"""),"PKM KC")</f>
        <v>PKM KC</v>
      </c>
      <c r="C339" s="1" t="str">
        <f ca="1">IFERROR(__xludf.DUMMYFUNCTION("""COMPUTED_VALUE"""),"sesuai WA ke pendamping")</f>
        <v>sesuai WA ke pendamping</v>
      </c>
      <c r="D339" s="1" t="str">
        <f ca="1">IFERROR(__xludf.DUMMYFUNCTION("""COMPUTED_VALUE"""),"LAYAK UPLOAD KE SIMBELMAWA DENGAN REVISI")</f>
        <v>LAYAK UPLOAD KE SIMBELMAWA DENGAN REVISI</v>
      </c>
      <c r="E339" s="7" t="str">
        <f ca="1">IFERROR(__xludf.DUMMYFUNCTION("""COMPUTED_VALUE"""),"https://drive.google.com/open?id=1T7LBk0g2MitC2bRWdpuSejlXieFkny-r")</f>
        <v>https://drive.google.com/open?id=1T7LBk0g2MitC2bRWdpuSejlXieFkny-r</v>
      </c>
      <c r="F339" s="1">
        <f t="shared" ca="1" si="11"/>
        <v>0</v>
      </c>
      <c r="H339" s="4"/>
      <c r="I339" s="4"/>
      <c r="J339" s="4"/>
      <c r="K339" s="4"/>
      <c r="L339" s="4"/>
    </row>
    <row r="340" spans="1:12">
      <c r="A340" s="1">
        <f ca="1">IFERROR(__xludf.DUMMYFUNCTION("""COMPUTED_VALUE"""),3882)</f>
        <v>3882</v>
      </c>
      <c r="B340" s="1" t="str">
        <f ca="1">IFERROR(__xludf.DUMMYFUNCTION("""COMPUTED_VALUE"""),"PKM KC")</f>
        <v>PKM KC</v>
      </c>
      <c r="C340" s="1" t="str">
        <f ca="1">IFERROR(__xludf.DUMMYFUNCTION("""COMPUTED_VALUE"""),"lihat file pdf")</f>
        <v>lihat file pdf</v>
      </c>
      <c r="D340" s="1" t="str">
        <f ca="1">IFERROR(__xludf.DUMMYFUNCTION("""COMPUTED_VALUE"""),"LAYAK UPLOAD KE SIMBELMAWA DENGAN REVISI")</f>
        <v>LAYAK UPLOAD KE SIMBELMAWA DENGAN REVISI</v>
      </c>
      <c r="E340" s="7" t="str">
        <f ca="1">IFERROR(__xludf.DUMMYFUNCTION("""COMPUTED_VALUE"""),"https://drive.google.com/open?id=1DjhhN_dV61kPPMb44mTr6849Hi7Sbm4k")</f>
        <v>https://drive.google.com/open?id=1DjhhN_dV61kPPMb44mTr6849Hi7Sbm4k</v>
      </c>
      <c r="F340" s="1">
        <f t="shared" ca="1" si="11"/>
        <v>0</v>
      </c>
      <c r="H340" s="4"/>
      <c r="I340" s="4"/>
      <c r="J340" s="4"/>
      <c r="K340" s="4"/>
      <c r="L340" s="4"/>
    </row>
    <row r="341" spans="1:12">
      <c r="A341" s="1">
        <f ca="1">IFERROR(__xludf.DUMMYFUNCTION("""COMPUTED_VALUE"""),3294)</f>
        <v>3294</v>
      </c>
      <c r="B341" s="1" t="str">
        <f ca="1">IFERROR(__xludf.DUMMYFUNCTION("""COMPUTED_VALUE"""),"PKM KC")</f>
        <v>PKM KC</v>
      </c>
      <c r="C341" s="1" t="str">
        <f ca="1">IFERROR(__xludf.DUMMYFUNCTION("""COMPUTED_VALUE"""),"lihat file pdf")</f>
        <v>lihat file pdf</v>
      </c>
      <c r="D341" s="1" t="str">
        <f ca="1">IFERROR(__xludf.DUMMYFUNCTION("""COMPUTED_VALUE"""),"LAYAK UPLOAD KE SIMBELMAWA DENGAN REVISI")</f>
        <v>LAYAK UPLOAD KE SIMBELMAWA DENGAN REVISI</v>
      </c>
      <c r="E341" s="7" t="str">
        <f ca="1">IFERROR(__xludf.DUMMYFUNCTION("""COMPUTED_VALUE"""),"https://drive.google.com/open?id=1hktNgZJLQtsa1FhcDtpwYW8laRUdd4AZ")</f>
        <v>https://drive.google.com/open?id=1hktNgZJLQtsa1FhcDtpwYW8laRUdd4AZ</v>
      </c>
      <c r="F341" s="1">
        <f t="shared" ca="1" si="11"/>
        <v>0</v>
      </c>
      <c r="H341" s="4"/>
      <c r="I341" s="4"/>
      <c r="J341" s="4"/>
      <c r="K341" s="4"/>
      <c r="L341" s="4"/>
    </row>
    <row r="342" spans="1:12">
      <c r="A342" s="1">
        <f ca="1">IFERROR(__xludf.DUMMYFUNCTION("""COMPUTED_VALUE"""),2395)</f>
        <v>2395</v>
      </c>
      <c r="B342" s="1" t="str">
        <f ca="1">IFERROR(__xludf.DUMMYFUNCTION("""COMPUTED_VALUE"""),"PKM KC")</f>
        <v>PKM KC</v>
      </c>
      <c r="C342" s="1" t="str">
        <f ca="1">IFERROR(__xludf.DUMMYFUNCTION("""COMPUTED_VALUE"""),"tidak ada karsanya")</f>
        <v>tidak ada karsanya</v>
      </c>
      <c r="D342" s="1" t="str">
        <f ca="1">IFERROR(__xludf.DUMMYFUNCTION("""COMPUTED_VALUE"""),"TIDAK LAYAK UPLOAD KE SIMBELMAWA")</f>
        <v>TIDAK LAYAK UPLOAD KE SIMBELMAWA</v>
      </c>
      <c r="E342" s="7" t="str">
        <f ca="1">IFERROR(__xludf.DUMMYFUNCTION("""COMPUTED_VALUE"""),"https://drive.google.com/open?id=1ZBa_2bf3tBR1JduQ_ururCFL6DwbBIKV")</f>
        <v>https://drive.google.com/open?id=1ZBa_2bf3tBR1JduQ_ururCFL6DwbBIKV</v>
      </c>
      <c r="F342" s="1">
        <f t="shared" ca="1" si="11"/>
        <v>0</v>
      </c>
      <c r="H342" s="4"/>
      <c r="I342" s="4"/>
      <c r="J342" s="4"/>
      <c r="K342" s="4"/>
      <c r="L342" s="4"/>
    </row>
    <row r="343" spans="1:12">
      <c r="A343" s="1">
        <f ca="1">IFERROR(__xludf.DUMMYFUNCTION("""COMPUTED_VALUE"""),2346)</f>
        <v>2346</v>
      </c>
      <c r="B343" s="1" t="str">
        <f ca="1">IFERROR(__xludf.DUMMYFUNCTION("""COMPUTED_VALUE"""),"PKM KC")</f>
        <v>PKM KC</v>
      </c>
      <c r="C343" s="1" t="str">
        <f ca="1">IFERROR(__xludf.DUMMYFUNCTION("""COMPUTED_VALUE"""),"lihat file pdf")</f>
        <v>lihat file pdf</v>
      </c>
      <c r="D343" s="1" t="str">
        <f ca="1">IFERROR(__xludf.DUMMYFUNCTION("""COMPUTED_VALUE"""),"LAYAK UPLOAD KE SIMBELMAWA DENGAN REVISI")</f>
        <v>LAYAK UPLOAD KE SIMBELMAWA DENGAN REVISI</v>
      </c>
      <c r="E343" s="7" t="str">
        <f ca="1">IFERROR(__xludf.DUMMYFUNCTION("""COMPUTED_VALUE"""),"https://drive.google.com/open?id=1ZNbtDbfpPZq0pWyDjwHflc2zL4MxPRKU")</f>
        <v>https://drive.google.com/open?id=1ZNbtDbfpPZq0pWyDjwHflc2zL4MxPRKU</v>
      </c>
      <c r="F343" s="1">
        <f t="shared" ca="1" si="11"/>
        <v>0</v>
      </c>
      <c r="H343" s="4"/>
      <c r="I343" s="4"/>
      <c r="J343" s="4"/>
      <c r="K343" s="4"/>
      <c r="L343" s="4"/>
    </row>
    <row r="344" spans="1:12">
      <c r="A344" s="1">
        <f ca="1">IFERROR(__xludf.DUMMYFUNCTION("""COMPUTED_VALUE"""),4107)</f>
        <v>4107</v>
      </c>
      <c r="B344" s="1" t="str">
        <f ca="1">IFERROR(__xludf.DUMMYFUNCTION("""COMPUTED_VALUE"""),"PKM KC")</f>
        <v>PKM KC</v>
      </c>
      <c r="C344" s="1" t="str">
        <f ca="1">IFERROR(__xludf.DUMMYFUNCTION("""COMPUTED_VALUE"""),"lihat pdf")</f>
        <v>lihat pdf</v>
      </c>
      <c r="D344" s="1" t="str">
        <f ca="1">IFERROR(__xludf.DUMMYFUNCTION("""COMPUTED_VALUE"""),"LAYAK UPLOAD KE SIMBELMAWA DENGAN REVISI")</f>
        <v>LAYAK UPLOAD KE SIMBELMAWA DENGAN REVISI</v>
      </c>
      <c r="E344" s="7" t="str">
        <f ca="1">IFERROR(__xludf.DUMMYFUNCTION("""COMPUTED_VALUE"""),"https://drive.google.com/open?id=13fPMAw7vedBKpLMaULEteB_bp0fK4TGR")</f>
        <v>https://drive.google.com/open?id=13fPMAw7vedBKpLMaULEteB_bp0fK4TGR</v>
      </c>
      <c r="F344" s="1">
        <f t="shared" ca="1" si="11"/>
        <v>0</v>
      </c>
      <c r="H344" s="4"/>
      <c r="I344" s="4"/>
      <c r="J344" s="4"/>
      <c r="K344" s="4"/>
      <c r="L344" s="4"/>
    </row>
    <row r="345" spans="1:12">
      <c r="A345" s="1">
        <f ca="1">IFERROR(__xludf.DUMMYFUNCTION("""COMPUTED_VALUE"""),4092)</f>
        <v>4092</v>
      </c>
      <c r="B345" s="1" t="str">
        <f ca="1">IFERROR(__xludf.DUMMYFUNCTION("""COMPUTED_VALUE"""),"PKM KC")</f>
        <v>PKM KC</v>
      </c>
      <c r="C345" s="1" t="str">
        <f ca="1">IFERROR(__xludf.DUMMYFUNCTION("""COMPUTED_VALUE""")," ")</f>
        <v xml:space="preserve"> </v>
      </c>
      <c r="D345" s="1" t="str">
        <f ca="1">IFERROR(__xludf.DUMMYFUNCTION("""COMPUTED_VALUE""")," ")</f>
        <v xml:space="preserve"> </v>
      </c>
      <c r="E345" s="1"/>
      <c r="F345" s="1">
        <f t="shared" ca="1" si="11"/>
        <v>2</v>
      </c>
      <c r="H345" s="4"/>
      <c r="I345" s="4"/>
      <c r="J345" s="4"/>
      <c r="K345" s="4"/>
      <c r="L345" s="4"/>
    </row>
    <row r="346" spans="1:12">
      <c r="A346" s="1">
        <f ca="1">IFERROR(__xludf.DUMMYFUNCTION("""COMPUTED_VALUE"""),3769)</f>
        <v>3769</v>
      </c>
      <c r="B346" s="1" t="str">
        <f ca="1">IFERROR(__xludf.DUMMYFUNCTION("""COMPUTED_VALUE"""),"PKM KC")</f>
        <v>PKM KC</v>
      </c>
      <c r="C346" s="1" t="str">
        <f ca="1">IFERROR(__xludf.DUMMYFUNCTION("""COMPUTED_VALUE"""),"idenya lebih cocok ke RE ")</f>
        <v xml:space="preserve">idenya lebih cocok ke RE </v>
      </c>
      <c r="D346" s="1" t="str">
        <f ca="1">IFERROR(__xludf.DUMMYFUNCTION("""COMPUTED_VALUE"""),"TIDAK LAYAK UPLOAD KE SIMBELMAWA")</f>
        <v>TIDAK LAYAK UPLOAD KE SIMBELMAWA</v>
      </c>
      <c r="E346" s="7" t="str">
        <f ca="1">IFERROR(__xludf.DUMMYFUNCTION("""COMPUTED_VALUE"""),"https://drive.google.com/open?id=1_8MbSvzbaawu0ADL-2tI9Bfybr1ChrWt")</f>
        <v>https://drive.google.com/open?id=1_8MbSvzbaawu0ADL-2tI9Bfybr1ChrWt</v>
      </c>
      <c r="F346" s="1">
        <f t="shared" ca="1" si="11"/>
        <v>0</v>
      </c>
      <c r="H346" s="4"/>
      <c r="I346" s="4"/>
      <c r="J346" s="4"/>
      <c r="K346" s="4"/>
      <c r="L346" s="4"/>
    </row>
    <row r="347" spans="1:12">
      <c r="A347" s="1">
        <f ca="1">IFERROR(__xludf.DUMMYFUNCTION("""COMPUTED_VALUE"""),3385)</f>
        <v>3385</v>
      </c>
      <c r="B347" s="1" t="str">
        <f ca="1">IFERROR(__xludf.DUMMYFUNCTION("""COMPUTED_VALUE"""),"PKM KC")</f>
        <v>PKM KC</v>
      </c>
      <c r="C347" s="1" t="str">
        <f ca="1">IFERROR(__xludf.DUMMYFUNCTION("""COMPUTED_VALUE"""),"REVISI MAJOR - Konten menarik, keunggulan produk belum nampak di bab 1. Di bab 2 masih menjelaskan komponen. Anggaran belum menunjukkan mana belmawa mana perguruan tinggi")</f>
        <v>REVISI MAJOR - Konten menarik, keunggulan produk belum nampak di bab 1. Di bab 2 masih menjelaskan komponen. Anggaran belum menunjukkan mana belmawa mana perguruan tinggi</v>
      </c>
      <c r="D347" s="1" t="str">
        <f ca="1">IFERROR(__xludf.DUMMYFUNCTION("""COMPUTED_VALUE"""),"LAYAK UPLOAD KE SIMBELMAWA DENGAN REVISI")</f>
        <v>LAYAK UPLOAD KE SIMBELMAWA DENGAN REVISI</v>
      </c>
      <c r="E347" s="7" t="str">
        <f ca="1">IFERROR(__xludf.DUMMYFUNCTION("""COMPUTED_VALUE"""),"https://drive.google.com/open?id=1eQMiLyxZBI6X_vzBshbJlm4nvheUvhdC")</f>
        <v>https://drive.google.com/open?id=1eQMiLyxZBI6X_vzBshbJlm4nvheUvhdC</v>
      </c>
      <c r="F347" s="1">
        <f t="shared" ca="1" si="11"/>
        <v>0</v>
      </c>
      <c r="H347" s="4"/>
      <c r="I347" s="4"/>
      <c r="J347" s="4"/>
      <c r="K347" s="4"/>
      <c r="L347" s="4"/>
    </row>
    <row r="348" spans="1:12">
      <c r="A348" s="1">
        <f ca="1">IFERROR(__xludf.DUMMYFUNCTION("""COMPUTED_VALUE"""),2872)</f>
        <v>2872</v>
      </c>
      <c r="B348" s="1" t="str">
        <f ca="1">IFERROR(__xludf.DUMMYFUNCTION("""COMPUTED_VALUE"""),"PKM KC")</f>
        <v>PKM KC</v>
      </c>
      <c r="C348" s="1" t="str">
        <f ca="1">IFERROR(__xludf.DUMMYFUNCTION("""COMPUTED_VALUE"""),"lihat pdf")</f>
        <v>lihat pdf</v>
      </c>
      <c r="D348" s="1" t="str">
        <f ca="1">IFERROR(__xludf.DUMMYFUNCTION("""COMPUTED_VALUE"""),"LAYAK UPLOAD KE SIMBELMAWA DENGAN REVISI")</f>
        <v>LAYAK UPLOAD KE SIMBELMAWA DENGAN REVISI</v>
      </c>
      <c r="E348" s="7" t="str">
        <f ca="1">IFERROR(__xludf.DUMMYFUNCTION("""COMPUTED_VALUE"""),"https://drive.google.com/open?id=1vSHxNbkBlKKFuE6xOl1w-Xp1_z2A5tOD")</f>
        <v>https://drive.google.com/open?id=1vSHxNbkBlKKFuE6xOl1w-Xp1_z2A5tOD</v>
      </c>
      <c r="F348" s="1">
        <f t="shared" ca="1" si="11"/>
        <v>0</v>
      </c>
      <c r="H348" s="4"/>
      <c r="I348" s="4"/>
      <c r="J348" s="4"/>
      <c r="K348" s="4"/>
      <c r="L348" s="4"/>
    </row>
    <row r="349" spans="1:12">
      <c r="A349" s="1">
        <f ca="1">IFERROR(__xludf.DUMMYFUNCTION("""COMPUTED_VALUE"""),2382)</f>
        <v>2382</v>
      </c>
      <c r="B349" s="1" t="str">
        <f ca="1">IFERROR(__xludf.DUMMYFUNCTION("""COMPUTED_VALUE"""),"PKM KC")</f>
        <v>PKM KC</v>
      </c>
      <c r="C349" s="1" t="str">
        <f ca="1">IFERROR(__xludf.DUMMYFUNCTION("""COMPUTED_VALUE"""),"ganti gambarnya")</f>
        <v>ganti gambarnya</v>
      </c>
      <c r="D349" s="1" t="str">
        <f ca="1">IFERROR(__xludf.DUMMYFUNCTION("""COMPUTED_VALUE"""),"LAYAK UPLOAD KE SIMBELMAWA DENGAN REVISI")</f>
        <v>LAYAK UPLOAD KE SIMBELMAWA DENGAN REVISI</v>
      </c>
      <c r="E349" s="7" t="str">
        <f ca="1">IFERROR(__xludf.DUMMYFUNCTION("""COMPUTED_VALUE"""),"https://drive.google.com/open?id=1PU6pJQhfTYng2wJVWEFRz_Bw84MH3XTx")</f>
        <v>https://drive.google.com/open?id=1PU6pJQhfTYng2wJVWEFRz_Bw84MH3XTx</v>
      </c>
      <c r="F349" s="1">
        <f t="shared" ca="1" si="11"/>
        <v>0</v>
      </c>
      <c r="H349" s="4"/>
      <c r="I349" s="4"/>
      <c r="J349" s="4"/>
      <c r="K349" s="4"/>
      <c r="L349" s="4"/>
    </row>
    <row r="350" spans="1:12">
      <c r="A350" s="1">
        <f ca="1">IFERROR(__xludf.DUMMYFUNCTION("""COMPUTED_VALUE"""),3124)</f>
        <v>3124</v>
      </c>
      <c r="B350" s="1" t="str">
        <f ca="1">IFERROR(__xludf.DUMMYFUNCTION("""COMPUTED_VALUE"""),"PKM KC")</f>
        <v>PKM KC</v>
      </c>
      <c r="C350" s="1" t="str">
        <f ca="1">IFERROR(__xludf.DUMMYFUNCTION("""COMPUTED_VALUE"""),"Perbaiki visibiltas sistem mekanik untuk pelontar bola")</f>
        <v>Perbaiki visibiltas sistem mekanik untuk pelontar bola</v>
      </c>
      <c r="D350" s="1"/>
      <c r="E350" s="7" t="str">
        <f ca="1">IFERROR(__xludf.DUMMYFUNCTION("""COMPUTED_VALUE"""),"https://drive.google.com/open?id=1gp5Xols33X3gldDn4aYCuNGc_0ZpopuN")</f>
        <v>https://drive.google.com/open?id=1gp5Xols33X3gldDn4aYCuNGc_0ZpopuN</v>
      </c>
      <c r="F350" s="1">
        <f t="shared" ca="1" si="11"/>
        <v>0</v>
      </c>
      <c r="H350" s="4"/>
      <c r="I350" s="4"/>
      <c r="J350" s="4"/>
      <c r="K350" s="4"/>
      <c r="L350" s="4"/>
    </row>
    <row r="351" spans="1:12">
      <c r="A351" s="1">
        <f ca="1">IFERROR(__xludf.DUMMYFUNCTION("""COMPUTED_VALUE"""),2792)</f>
        <v>2792</v>
      </c>
      <c r="B351" s="1" t="str">
        <f ca="1">IFERROR(__xludf.DUMMYFUNCTION("""COMPUTED_VALUE"""),"PKM KC")</f>
        <v>PKM KC</v>
      </c>
      <c r="C351" s="1" t="str">
        <f ca="1">IFERROR(__xludf.DUMMYFUNCTION("""COMPUTED_VALUE"""),"Tambahkan visualisasi prototipe")</f>
        <v>Tambahkan visualisasi prototipe</v>
      </c>
      <c r="D351" s="1"/>
      <c r="E351" s="7" t="str">
        <f ca="1">IFERROR(__xludf.DUMMYFUNCTION("""COMPUTED_VALUE"""),"https://drive.google.com/open?id=1NJlwpvntbxbyed-xf_vPgS3t2g0gC3nw")</f>
        <v>https://drive.google.com/open?id=1NJlwpvntbxbyed-xf_vPgS3t2g0gC3nw</v>
      </c>
      <c r="F351" s="1">
        <f t="shared" ca="1" si="11"/>
        <v>0</v>
      </c>
      <c r="H351" s="4"/>
      <c r="I351" s="4"/>
      <c r="J351" s="4"/>
      <c r="K351" s="4"/>
      <c r="L351" s="4"/>
    </row>
    <row r="352" spans="1:12">
      <c r="A352" s="1">
        <f ca="1">IFERROR(__xludf.DUMMYFUNCTION("""COMPUTED_VALUE"""),2134)</f>
        <v>2134</v>
      </c>
      <c r="B352" s="1" t="str">
        <f ca="1">IFERROR(__xludf.DUMMYFUNCTION("""COMPUTED_VALUE"""),"PKM KC")</f>
        <v>PKM KC</v>
      </c>
      <c r="C352" s="1" t="str">
        <f ca="1">IFERROR(__xludf.DUMMYFUNCTION("""COMPUTED_VALUE"""),"Visualisasi produk belum jelas, masih terlihat sangat teoritis")</f>
        <v>Visualisasi produk belum jelas, masih terlihat sangat teoritis</v>
      </c>
      <c r="D352" s="1"/>
      <c r="E352" s="7" t="str">
        <f ca="1">IFERROR(__xludf.DUMMYFUNCTION("""COMPUTED_VALUE"""),"https://drive.google.com/open?id=1tMVU3Hs1WdIZVf8SIahjQtTQr6_pf6g1")</f>
        <v>https://drive.google.com/open?id=1tMVU3Hs1WdIZVf8SIahjQtTQr6_pf6g1</v>
      </c>
      <c r="F352" s="1">
        <f t="shared" ca="1" si="11"/>
        <v>0</v>
      </c>
      <c r="H352" s="4"/>
      <c r="I352" s="4"/>
      <c r="J352" s="4"/>
      <c r="K352" s="4"/>
      <c r="L352" s="4"/>
    </row>
    <row r="353" spans="1:12">
      <c r="A353" s="1">
        <f ca="1">IFERROR(__xludf.DUMMYFUNCTION("""COMPUTED_VALUE"""),3190)</f>
        <v>3190</v>
      </c>
      <c r="B353" s="1" t="str">
        <f ca="1">IFERROR(__xludf.DUMMYFUNCTION("""COMPUTED_VALUE"""),"PKM KC")</f>
        <v>PKM KC</v>
      </c>
      <c r="C353" s="1" t="str">
        <f ca="1">IFERROR(__xludf.DUMMYFUNCTION("""COMPUTED_VALUE""")," ")</f>
        <v xml:space="preserve"> </v>
      </c>
      <c r="D353" s="1" t="str">
        <f ca="1">IFERROR(__xludf.DUMMYFUNCTION("""COMPUTED_VALUE""")," ")</f>
        <v xml:space="preserve"> </v>
      </c>
      <c r="E353" s="1"/>
      <c r="F353" s="1">
        <f t="shared" ca="1" si="11"/>
        <v>2</v>
      </c>
      <c r="H353" s="4"/>
      <c r="I353" s="4"/>
      <c r="J353" s="4"/>
      <c r="K353" s="4"/>
      <c r="L353" s="4"/>
    </row>
    <row r="354" spans="1:12">
      <c r="A354" s="1">
        <f ca="1">IFERROR(__xludf.DUMMYFUNCTION("""COMPUTED_VALUE"""),2811)</f>
        <v>2811</v>
      </c>
      <c r="B354" s="1" t="str">
        <f ca="1">IFERROR(__xludf.DUMMYFUNCTION("""COMPUTED_VALUE"""),"PKM KC")</f>
        <v>PKM KC</v>
      </c>
      <c r="C354" s="1" t="str">
        <f ca="1">IFERROR(__xludf.DUMMYFUNCTION("""COMPUTED_VALUE"""),"Jelaskan mekanisme alat dalam memilah warna kuning penyakit dengan kuning non penyakit")</f>
        <v>Jelaskan mekanisme alat dalam memilah warna kuning penyakit dengan kuning non penyakit</v>
      </c>
      <c r="D354" s="1"/>
      <c r="E354" s="7" t="str">
        <f ca="1">IFERROR(__xludf.DUMMYFUNCTION("""COMPUTED_VALUE"""),"https://drive.google.com/open?id=1tMUWcAjwLfMqHKBzOOjtOhnvbmO3B_gg")</f>
        <v>https://drive.google.com/open?id=1tMUWcAjwLfMqHKBzOOjtOhnvbmO3B_gg</v>
      </c>
      <c r="F354" s="1">
        <f t="shared" ca="1" si="11"/>
        <v>0</v>
      </c>
      <c r="H354" s="4"/>
      <c r="I354" s="4"/>
      <c r="J354" s="4"/>
      <c r="K354" s="4"/>
      <c r="L354" s="4"/>
    </row>
    <row r="355" spans="1:12">
      <c r="A355" s="1">
        <f ca="1">IFERROR(__xludf.DUMMYFUNCTION("""COMPUTED_VALUE"""),3616)</f>
        <v>3616</v>
      </c>
      <c r="B355" s="1" t="str">
        <f ca="1">IFERROR(__xludf.DUMMYFUNCTION("""COMPUTED_VALUE"""),"PKM KC")</f>
        <v>PKM KC</v>
      </c>
      <c r="C355" s="1" t="str">
        <f ca="1">IFERROR(__xludf.DUMMYFUNCTION("""COMPUTED_VALUE"""),"apa benar gambar 3.2 tentang solar tracker?")</f>
        <v>apa benar gambar 3.2 tentang solar tracker?</v>
      </c>
      <c r="D355" s="1"/>
      <c r="E355" s="7" t="str">
        <f ca="1">IFERROR(__xludf.DUMMYFUNCTION("""COMPUTED_VALUE"""),"https://drive.google.com/open?id=1YlSHJBMmLXUiPE1Rwy51r4-FpRP4XbNQ")</f>
        <v>https://drive.google.com/open?id=1YlSHJBMmLXUiPE1Rwy51r4-FpRP4XbNQ</v>
      </c>
      <c r="F355" s="1">
        <f t="shared" ca="1" si="11"/>
        <v>0</v>
      </c>
      <c r="H355" s="4"/>
      <c r="I355" s="4"/>
      <c r="J355" s="4"/>
      <c r="K355" s="4"/>
      <c r="L355" s="4"/>
    </row>
    <row r="356" spans="1:12">
      <c r="A356" s="1">
        <f ca="1">IFERROR(__xludf.DUMMYFUNCTION("""COMPUTED_VALUE"""),2999)</f>
        <v>2999</v>
      </c>
      <c r="B356" s="1" t="str">
        <f ca="1">IFERROR(__xludf.DUMMYFUNCTION("""COMPUTED_VALUE"""),"PKM KC")</f>
        <v>PKM KC</v>
      </c>
      <c r="C356" s="1" t="str">
        <f ca="1">IFERROR(__xludf.DUMMYFUNCTION("""COMPUTED_VALUE"""),"ide dan prototype terlalu sederhana")</f>
        <v>ide dan prototype terlalu sederhana</v>
      </c>
      <c r="D356" s="1"/>
      <c r="E356" s="7" t="str">
        <f ca="1">IFERROR(__xludf.DUMMYFUNCTION("""COMPUTED_VALUE"""),"https://drive.google.com/open?id=1w46nEyMSfhC4z9QKYOHfCit1ZdABattN")</f>
        <v>https://drive.google.com/open?id=1w46nEyMSfhC4z9QKYOHfCit1ZdABattN</v>
      </c>
      <c r="F356" s="1">
        <f t="shared" ca="1" si="11"/>
        <v>0</v>
      </c>
      <c r="H356" s="4"/>
      <c r="I356" s="4"/>
      <c r="J356" s="4"/>
      <c r="K356" s="4"/>
      <c r="L356" s="4"/>
    </row>
    <row r="357" spans="1:12">
      <c r="A357" s="1">
        <f ca="1">IFERROR(__xludf.DUMMYFUNCTION("""COMPUTED_VALUE"""),3261)</f>
        <v>3261</v>
      </c>
      <c r="B357" s="1" t="str">
        <f ca="1">IFERROR(__xludf.DUMMYFUNCTION("""COMPUTED_VALUE"""),"PKM KC")</f>
        <v>PKM KC</v>
      </c>
      <c r="C357" s="1" t="str">
        <f ca="1">IFERROR(__xludf.DUMMYFUNCTION("""COMPUTED_VALUE"""),"Masukkan design alat pada proposal, ")</f>
        <v xml:space="preserve">Masukkan design alat pada proposal, </v>
      </c>
      <c r="D357" s="1"/>
      <c r="E357" s="7" t="str">
        <f ca="1">IFERROR(__xludf.DUMMYFUNCTION("""COMPUTED_VALUE"""),"https://drive.google.com/open?id=1HDdMwOlNok15J0_eCqXyUJILzJhgDuo5")</f>
        <v>https://drive.google.com/open?id=1HDdMwOlNok15J0_eCqXyUJILzJhgDuo5</v>
      </c>
      <c r="F357" s="1">
        <f t="shared" ca="1" si="11"/>
        <v>0</v>
      </c>
      <c r="H357" s="4"/>
      <c r="I357" s="4"/>
      <c r="J357" s="4"/>
      <c r="K357" s="4"/>
      <c r="L357" s="4"/>
    </row>
    <row r="358" spans="1:12">
      <c r="A358" s="1">
        <f ca="1">IFERROR(__xludf.DUMMYFUNCTION("""COMPUTED_VALUE"""),2897)</f>
        <v>2897</v>
      </c>
      <c r="B358" s="1" t="str">
        <f ca="1">IFERROR(__xludf.DUMMYFUNCTION("""COMPUTED_VALUE"""),"PKM KC")</f>
        <v>PKM KC</v>
      </c>
      <c r="C358" s="1" t="str">
        <f ca="1">IFERROR(__xludf.DUMMYFUNCTION("""COMPUTED_VALUE"""),"tampilkan visualisasi alat")</f>
        <v>tampilkan visualisasi alat</v>
      </c>
      <c r="D358" s="1"/>
      <c r="E358" s="7" t="str">
        <f ca="1">IFERROR(__xludf.DUMMYFUNCTION("""COMPUTED_VALUE"""),"https://drive.google.com/open?id=13BEdSkJKpWOQ3hv9I5YJ9SNoVruSDL_i")</f>
        <v>https://drive.google.com/open?id=13BEdSkJKpWOQ3hv9I5YJ9SNoVruSDL_i</v>
      </c>
      <c r="F358" s="1">
        <f t="shared" ca="1" si="11"/>
        <v>0</v>
      </c>
      <c r="H358" s="4"/>
      <c r="I358" s="4"/>
      <c r="J358" s="4"/>
      <c r="K358" s="4"/>
      <c r="L358" s="4"/>
    </row>
    <row r="359" spans="1:12">
      <c r="A359" s="1">
        <f ca="1">IFERROR(__xludf.DUMMYFUNCTION("""COMPUTED_VALUE"""),2075)</f>
        <v>2075</v>
      </c>
      <c r="B359" s="1" t="str">
        <f ca="1">IFERROR(__xludf.DUMMYFUNCTION("""COMPUTED_VALUE"""),"PKM KC")</f>
        <v>PKM KC</v>
      </c>
      <c r="C359" s="1" t="str">
        <f ca="1">IFERROR(__xludf.DUMMYFUNCTION("""COMPUTED_VALUE"""),"judul tidak boleh ada singkatan, literatur latar belakang kurang kuat, prototype alat tidak jelas  ")</f>
        <v xml:space="preserve">judul tidak boleh ada singkatan, literatur latar belakang kurang kuat, prototype alat tidak jelas  </v>
      </c>
      <c r="D359" s="1"/>
      <c r="E359" s="7" t="str">
        <f ca="1">IFERROR(__xludf.DUMMYFUNCTION("""COMPUTED_VALUE"""),"https://drive.google.com/open?id=1T18kCqsGrWqyD0fpqRJdRkq1Hqu_-yG0")</f>
        <v>https://drive.google.com/open?id=1T18kCqsGrWqyD0fpqRJdRkq1Hqu_-yG0</v>
      </c>
      <c r="F359" s="1">
        <f t="shared" ca="1" si="11"/>
        <v>0</v>
      </c>
      <c r="H359" s="4"/>
      <c r="I359" s="4"/>
      <c r="J359" s="4"/>
      <c r="K359" s="4"/>
      <c r="L359" s="4"/>
    </row>
    <row r="360" spans="1:12">
      <c r="A360" s="1">
        <f ca="1">IFERROR(__xludf.DUMMYFUNCTION("""COMPUTED_VALUE"""),3946)</f>
        <v>3946</v>
      </c>
      <c r="B360" s="1" t="str">
        <f ca="1">IFERROR(__xludf.DUMMYFUNCTION("""COMPUTED_VALUE"""),"PKM KC")</f>
        <v>PKM KC</v>
      </c>
      <c r="C360" s="1" t="str">
        <f ca="1">IFERROR(__xludf.DUMMYFUNCTION("""COMPUTED_VALUE"""),"tambahkan argumen bahwa sensor dapat akurat dalam mengindera plastik. Cek apakah boleh menggunakan penamaan alat yg unik misal WESOR")</f>
        <v>tambahkan argumen bahwa sensor dapat akurat dalam mengindera plastik. Cek apakah boleh menggunakan penamaan alat yg unik misal WESOR</v>
      </c>
      <c r="D360" s="1"/>
      <c r="E360" s="7" t="str">
        <f ca="1">IFERROR(__xludf.DUMMYFUNCTION("""COMPUTED_VALUE"""),"https://drive.google.com/open?id=1Y-RzyyLu84s7RmuTfG8VmrJDyN4uEqOj")</f>
        <v>https://drive.google.com/open?id=1Y-RzyyLu84s7RmuTfG8VmrJDyN4uEqOj</v>
      </c>
      <c r="F360" s="1">
        <f t="shared" ca="1" si="11"/>
        <v>0</v>
      </c>
      <c r="H360" s="4"/>
      <c r="I360" s="4"/>
      <c r="J360" s="4"/>
      <c r="K360" s="4"/>
      <c r="L360" s="4"/>
    </row>
    <row r="361" spans="1:12">
      <c r="A361" s="1">
        <f ca="1">IFERROR(__xludf.DUMMYFUNCTION("""COMPUTED_VALUE"""),2454)</f>
        <v>2454</v>
      </c>
      <c r="B361" s="1" t="str">
        <f ca="1">IFERROR(__xludf.DUMMYFUNCTION("""COMPUTED_VALUE"""),"PKM KC")</f>
        <v>PKM KC</v>
      </c>
      <c r="C361" s="1" t="str">
        <f ca="1">IFERROR(__xludf.DUMMYFUNCTION("""COMPUTED_VALUE"""),"teknologi terlalu sederhana dan sudah banyak ada")</f>
        <v>teknologi terlalu sederhana dan sudah banyak ada</v>
      </c>
      <c r="D361" s="1"/>
      <c r="E361" s="7" t="str">
        <f ca="1">IFERROR(__xludf.DUMMYFUNCTION("""COMPUTED_VALUE"""),"https://drive.google.com/open?id=1CsrV4P1E7nZZtVxvUpuvMWh-LYxMfWfO")</f>
        <v>https://drive.google.com/open?id=1CsrV4P1E7nZZtVxvUpuvMWh-LYxMfWfO</v>
      </c>
      <c r="F361" s="1">
        <f t="shared" ca="1" si="11"/>
        <v>0</v>
      </c>
      <c r="H361" s="4"/>
      <c r="I361" s="4"/>
      <c r="J361" s="4"/>
      <c r="K361" s="4"/>
      <c r="L361" s="4"/>
    </row>
    <row r="362" spans="1:12">
      <c r="A362" s="1">
        <f ca="1">IFERROR(__xludf.DUMMYFUNCTION("""COMPUTED_VALUE"""),2571)</f>
        <v>2571</v>
      </c>
      <c r="B362" s="1" t="str">
        <f ca="1">IFERROR(__xludf.DUMMYFUNCTION("""COMPUTED_VALUE"""),"PKM KC")</f>
        <v>PKM KC</v>
      </c>
      <c r="C362" s="1" t="str">
        <f ca="1">IFERROR(__xludf.DUMMYFUNCTION("""COMPUTED_VALUE"""),"teknologi terlalu sederhana, tambahkan ide yg unik pada alat, buat design alat di isi proposal")</f>
        <v>teknologi terlalu sederhana, tambahkan ide yg unik pada alat, buat design alat di isi proposal</v>
      </c>
      <c r="D362" s="1"/>
      <c r="E362" s="7" t="str">
        <f ca="1">IFERROR(__xludf.DUMMYFUNCTION("""COMPUTED_VALUE"""),"https://drive.google.com/open?id=1uFMaF0wclEXprAnZ6qG09fwYkBKKcnXj")</f>
        <v>https://drive.google.com/open?id=1uFMaF0wclEXprAnZ6qG09fwYkBKKcnXj</v>
      </c>
      <c r="F362" s="1">
        <f t="shared" ca="1" si="11"/>
        <v>0</v>
      </c>
      <c r="H362" s="4"/>
      <c r="I362" s="4"/>
      <c r="J362" s="4"/>
      <c r="K362" s="4"/>
      <c r="L362" s="4"/>
    </row>
    <row r="363" spans="1:12">
      <c r="A363" s="1">
        <f ca="1">IFERROR(__xludf.DUMMYFUNCTION("""COMPUTED_VALUE"""),3396)</f>
        <v>3396</v>
      </c>
      <c r="B363" s="1" t="str">
        <f ca="1">IFERROR(__xludf.DUMMYFUNCTION("""COMPUTED_VALUE"""),"PKM KC")</f>
        <v>PKM KC</v>
      </c>
      <c r="C363" s="1" t="str">
        <f ca="1">IFERROR(__xludf.DUMMYFUNCTION("""COMPUTED_VALUE"""),"latar belakang kurang kuat, tambah literasi. urgensi kurang kuat. ")</f>
        <v xml:space="preserve">latar belakang kurang kuat, tambah literasi. urgensi kurang kuat. </v>
      </c>
      <c r="D363" s="1"/>
      <c r="E363" s="7" t="str">
        <f ca="1">IFERROR(__xludf.DUMMYFUNCTION("""COMPUTED_VALUE"""),"https://drive.google.com/open?id=1bO18-C9eTHXS4r8_nIef_XglnuB-z4NX")</f>
        <v>https://drive.google.com/open?id=1bO18-C9eTHXS4r8_nIef_XglnuB-z4NX</v>
      </c>
      <c r="F363" s="1">
        <f t="shared" ca="1" si="11"/>
        <v>0</v>
      </c>
      <c r="H363" s="4"/>
      <c r="I363" s="4"/>
      <c r="J363" s="4"/>
      <c r="K363" s="4"/>
      <c r="L363" s="4"/>
    </row>
    <row r="364" spans="1:12">
      <c r="A364" s="1">
        <f ca="1">IFERROR(__xludf.DUMMYFUNCTION("""COMPUTED_VALUE"""),2535)</f>
        <v>2535</v>
      </c>
      <c r="B364" s="1" t="str">
        <f ca="1">IFERROR(__xludf.DUMMYFUNCTION("""COMPUTED_VALUE"""),"PKM KC")</f>
        <v>PKM KC</v>
      </c>
      <c r="C364" s="1" t="str">
        <f ca="1">IFERROR(__xludf.DUMMYFUNCTION("""COMPUTED_VALUE"""),"dimensi alat tidak jelas, anggaran dana terkesan kurang realistis. design Sistem mekanik diperinci ")</f>
        <v xml:space="preserve">dimensi alat tidak jelas, anggaran dana terkesan kurang realistis. design Sistem mekanik diperinci </v>
      </c>
      <c r="D364" s="1"/>
      <c r="E364" s="7" t="str">
        <f ca="1">IFERROR(__xludf.DUMMYFUNCTION("""COMPUTED_VALUE"""),"https://drive.google.com/open?id=1E5lEg7RlgxuvmYodluucWxzaA3DWSKwg")</f>
        <v>https://drive.google.com/open?id=1E5lEg7RlgxuvmYodluucWxzaA3DWSKwg</v>
      </c>
      <c r="F364" s="1">
        <f t="shared" ca="1" si="11"/>
        <v>0</v>
      </c>
      <c r="H364" s="4"/>
      <c r="I364" s="4"/>
      <c r="J364" s="4"/>
      <c r="K364" s="4"/>
      <c r="L364" s="4"/>
    </row>
    <row r="365" spans="1:12">
      <c r="A365" s="1">
        <f ca="1">IFERROR(__xludf.DUMMYFUNCTION("""COMPUTED_VALUE"""),3699)</f>
        <v>3699</v>
      </c>
      <c r="B365" s="1" t="str">
        <f ca="1">IFERROR(__xludf.DUMMYFUNCTION("""COMPUTED_VALUE"""),"PKM KC")</f>
        <v>PKM KC</v>
      </c>
      <c r="C365" s="1" t="str">
        <f ca="1">IFERROR(__xludf.DUMMYFUNCTION("""COMPUTED_VALUE"""),"gambar design kurang meyakinkan, detailkan dan perbagus kualitasnya")</f>
        <v>gambar design kurang meyakinkan, detailkan dan perbagus kualitasnya</v>
      </c>
      <c r="D365" s="1"/>
      <c r="E365" s="7" t="str">
        <f ca="1">IFERROR(__xludf.DUMMYFUNCTION("""COMPUTED_VALUE"""),"https://drive.google.com/open?id=1p81Fb0q-n7b0P8XS-PUF4ykXNc4ZA6dP")</f>
        <v>https://drive.google.com/open?id=1p81Fb0q-n7b0P8XS-PUF4ykXNc4ZA6dP</v>
      </c>
      <c r="F365" s="1">
        <f t="shared" ca="1" si="11"/>
        <v>0</v>
      </c>
      <c r="H365" s="4"/>
      <c r="I365" s="4"/>
      <c r="J365" s="4"/>
      <c r="K365" s="4"/>
      <c r="L365" s="4"/>
    </row>
    <row r="366" spans="1:12">
      <c r="A366" s="1">
        <f ca="1">IFERROR(__xludf.DUMMYFUNCTION("""COMPUTED_VALUE"""),4067)</f>
        <v>4067</v>
      </c>
      <c r="B366" s="1" t="str">
        <f ca="1">IFERROR(__xludf.DUMMYFUNCTION("""COMPUTED_VALUE"""),"PKM KC")</f>
        <v>PKM KC</v>
      </c>
      <c r="C366" s="1" t="str">
        <f ca="1">IFERROR(__xludf.DUMMYFUNCTION("""COMPUTED_VALUE"""),"Permasalahan tidak ditulis dengan baik")</f>
        <v>Permasalahan tidak ditulis dengan baik</v>
      </c>
      <c r="D366" s="1" t="str">
        <f ca="1">IFERROR(__xludf.DUMMYFUNCTION("""COMPUTED_VALUE"""),"LAYAK UPLOAD KE SIMBELMAWA DENGAN REVISI")</f>
        <v>LAYAK UPLOAD KE SIMBELMAWA DENGAN REVISI</v>
      </c>
      <c r="E366" s="7" t="str">
        <f ca="1">IFERROR(__xludf.DUMMYFUNCTION("""COMPUTED_VALUE"""),"https://drive.google.com/open?id=1Kwo7OAdZ8MrsoNfv4gBVFKI-nnsaSgX0")</f>
        <v>https://drive.google.com/open?id=1Kwo7OAdZ8MrsoNfv4gBVFKI-nnsaSgX0</v>
      </c>
      <c r="F366" s="1">
        <f t="shared" ca="1" si="11"/>
        <v>0</v>
      </c>
      <c r="H366" s="4"/>
      <c r="I366" s="4"/>
      <c r="J366" s="4"/>
      <c r="K366" s="4"/>
      <c r="L366" s="4"/>
    </row>
    <row r="367" spans="1:12">
      <c r="A367" s="1">
        <f ca="1">IFERROR(__xludf.DUMMYFUNCTION("""COMPUTED_VALUE"""),3394)</f>
        <v>3394</v>
      </c>
      <c r="B367" s="1" t="str">
        <f ca="1">IFERROR(__xludf.DUMMYFUNCTION("""COMPUTED_VALUE"""),"PKM KC")</f>
        <v>PKM KC</v>
      </c>
      <c r="C367" s="1" t="str">
        <f ca="1">IFERROR(__xludf.DUMMYFUNCTION("""COMPUTED_VALUE"""),"Permasalahan yang ingin diselesaikan tidak disajikan dengan baik.")</f>
        <v>Permasalahan yang ingin diselesaikan tidak disajikan dengan baik.</v>
      </c>
      <c r="D367" s="1" t="str">
        <f ca="1">IFERROR(__xludf.DUMMYFUNCTION("""COMPUTED_VALUE"""),"TIDAK LAYAK UPLOAD KE SIMBELMAWA")</f>
        <v>TIDAK LAYAK UPLOAD KE SIMBELMAWA</v>
      </c>
      <c r="E367" s="7" t="str">
        <f ca="1">IFERROR(__xludf.DUMMYFUNCTION("""COMPUTED_VALUE"""),"https://drive.google.com/open?id=1rk46vi4Gh0bNAwwp1Rwt05q-LC-Jxvjs")</f>
        <v>https://drive.google.com/open?id=1rk46vi4Gh0bNAwwp1Rwt05q-LC-Jxvjs</v>
      </c>
      <c r="F367" s="1">
        <f t="shared" ca="1" si="11"/>
        <v>0</v>
      </c>
      <c r="H367" s="4"/>
      <c r="I367" s="4"/>
      <c r="J367" s="4"/>
      <c r="K367" s="4"/>
      <c r="L367" s="4"/>
    </row>
    <row r="368" spans="1:12">
      <c r="A368" s="1">
        <f ca="1">IFERROR(__xludf.DUMMYFUNCTION("""COMPUTED_VALUE"""),3107)</f>
        <v>3107</v>
      </c>
      <c r="B368" s="1" t="str">
        <f ca="1">IFERROR(__xludf.DUMMYFUNCTION("""COMPUTED_VALUE"""),"PKM KC")</f>
        <v>PKM KC</v>
      </c>
      <c r="C368" s="1" t="str">
        <f ca="1">IFERROR(__xludf.DUMMYFUNCTION("""COMPUTED_VALUE"""),"Permasalah dan tujuan mungkin lebih baik ditulis dalam point, karena lebih cepat untuk ditangkap oleh reviewer.")</f>
        <v>Permasalah dan tujuan mungkin lebih baik ditulis dalam point, karena lebih cepat untuk ditangkap oleh reviewer.</v>
      </c>
      <c r="D368" s="1" t="str">
        <f ca="1">IFERROR(__xludf.DUMMYFUNCTION("""COMPUTED_VALUE"""),"LAYAK UPLOAD KE SIMBELMAWA")</f>
        <v>LAYAK UPLOAD KE SIMBELMAWA</v>
      </c>
      <c r="E368" s="7" t="str">
        <f ca="1">IFERROR(__xludf.DUMMYFUNCTION("""COMPUTED_VALUE"""),"https://drive.google.com/open?id=1yNU05yiJEicItLU3AhY1qnCW1OzhRNw2")</f>
        <v>https://drive.google.com/open?id=1yNU05yiJEicItLU3AhY1qnCW1OzhRNw2</v>
      </c>
      <c r="F368" s="1">
        <f t="shared" ca="1" si="11"/>
        <v>0</v>
      </c>
      <c r="H368" s="4"/>
      <c r="I368" s="4"/>
      <c r="J368" s="4"/>
      <c r="K368" s="4"/>
      <c r="L368" s="4"/>
    </row>
    <row r="369" spans="1:12">
      <c r="A369" s="1">
        <f ca="1">IFERROR(__xludf.DUMMYFUNCTION("""COMPUTED_VALUE"""),3760)</f>
        <v>3760</v>
      </c>
      <c r="B369" s="1" t="str">
        <f ca="1">IFERROR(__xludf.DUMMYFUNCTION("""COMPUTED_VALUE"""),"PKM KC")</f>
        <v>PKM KC</v>
      </c>
      <c r="C369" s="1" t="str">
        <f ca="1">IFERROR(__xludf.DUMMYFUNCTION("""COMPUTED_VALUE""")," ")</f>
        <v xml:space="preserve"> </v>
      </c>
      <c r="D369" s="1" t="str">
        <f ca="1">IFERROR(__xludf.DUMMYFUNCTION("""COMPUTED_VALUE""")," ")</f>
        <v xml:space="preserve"> </v>
      </c>
      <c r="E369" s="1"/>
      <c r="F369" s="1">
        <f t="shared" ca="1" si="11"/>
        <v>2</v>
      </c>
      <c r="H369" s="4"/>
      <c r="I369" s="4"/>
      <c r="J369" s="4"/>
      <c r="K369" s="4"/>
      <c r="L369" s="4"/>
    </row>
    <row r="370" spans="1:12">
      <c r="A370" s="1">
        <f ca="1">IFERROR(__xludf.DUMMYFUNCTION("""COMPUTED_VALUE"""),3289)</f>
        <v>3289</v>
      </c>
      <c r="B370" s="1" t="str">
        <f ca="1">IFERROR(__xludf.DUMMYFUNCTION("""COMPUTED_VALUE"""),"PKM KC")</f>
        <v>PKM KC</v>
      </c>
      <c r="C370" s="1" t="str">
        <f ca="1">IFERROR(__xludf.DUMMYFUNCTION("""COMPUTED_VALUE"""),"Komentar sudah disampaikan pada saat bikom")</f>
        <v>Komentar sudah disampaikan pada saat bikom</v>
      </c>
      <c r="D370" s="1" t="str">
        <f ca="1">IFERROR(__xludf.DUMMYFUNCTION("""COMPUTED_VALUE"""),"LAYAK UPLOAD KE SIMBELMAWA")</f>
        <v>LAYAK UPLOAD KE SIMBELMAWA</v>
      </c>
      <c r="E370" s="7" t="str">
        <f ca="1">IFERROR(__xludf.DUMMYFUNCTION("""COMPUTED_VALUE"""),"https://drive.google.com/open?id=1t12cGMrEZgfT7-Aftg7lO6xdD6B81qUs")</f>
        <v>https://drive.google.com/open?id=1t12cGMrEZgfT7-Aftg7lO6xdD6B81qUs</v>
      </c>
      <c r="F370" s="1">
        <f t="shared" ca="1" si="11"/>
        <v>0</v>
      </c>
      <c r="H370" s="4"/>
      <c r="I370" s="4"/>
      <c r="J370" s="4"/>
      <c r="K370" s="4"/>
      <c r="L370" s="4"/>
    </row>
    <row r="371" spans="1:12">
      <c r="A371" s="1">
        <f ca="1">IFERROR(__xludf.DUMMYFUNCTION("""COMPUTED_VALUE"""),3415)</f>
        <v>3415</v>
      </c>
      <c r="B371" s="1" t="str">
        <f ca="1">IFERROR(__xludf.DUMMYFUNCTION("""COMPUTED_VALUE"""),"PKM KC")</f>
        <v>PKM KC</v>
      </c>
      <c r="C371" s="1" t="str">
        <f ca="1">IFERROR(__xludf.DUMMYFUNCTION("""COMPUTED_VALUE""")," ")</f>
        <v xml:space="preserve"> </v>
      </c>
      <c r="D371" s="1" t="str">
        <f ca="1">IFERROR(__xludf.DUMMYFUNCTION("""COMPUTED_VALUE""")," ")</f>
        <v xml:space="preserve"> </v>
      </c>
      <c r="E371" s="1"/>
      <c r="F371" s="1">
        <f t="shared" ca="1" si="11"/>
        <v>2</v>
      </c>
      <c r="H371" s="4"/>
      <c r="I371" s="4"/>
      <c r="J371" s="4"/>
      <c r="K371" s="4"/>
      <c r="L371" s="4"/>
    </row>
    <row r="372" spans="1:12">
      <c r="A372" s="1">
        <f ca="1">IFERROR(__xludf.DUMMYFUNCTION("""COMPUTED_VALUE"""),2426)</f>
        <v>2426</v>
      </c>
      <c r="B372" s="1" t="str">
        <f ca="1">IFERROR(__xludf.DUMMYFUNCTION("""COMPUTED_VALUE"""),"PKM KC")</f>
        <v>PKM KC</v>
      </c>
      <c r="C372" s="1" t="str">
        <f ca="1">IFERROR(__xludf.DUMMYFUNCTION("""COMPUTED_VALUE"""),"Permasalahan no 2 akan sulit diuji karena tidak dapat diukur secara kuantitatif.")</f>
        <v>Permasalahan no 2 akan sulit diuji karena tidak dapat diukur secara kuantitatif.</v>
      </c>
      <c r="D372" s="1" t="str">
        <f ca="1">IFERROR(__xludf.DUMMYFUNCTION("""COMPUTED_VALUE"""),"LAYAK UPLOAD KE SIMBELMAWA DENGAN REVISI")</f>
        <v>LAYAK UPLOAD KE SIMBELMAWA DENGAN REVISI</v>
      </c>
      <c r="E372" s="7" t="str">
        <f ca="1">IFERROR(__xludf.DUMMYFUNCTION("""COMPUTED_VALUE"""),"https://drive.google.com/open?id=1l9mlKDrGz2LASMvposRbU3VuSMhTax_3")</f>
        <v>https://drive.google.com/open?id=1l9mlKDrGz2LASMvposRbU3VuSMhTax_3</v>
      </c>
      <c r="F372" s="1">
        <f t="shared" ca="1" si="11"/>
        <v>0</v>
      </c>
      <c r="H372" s="4"/>
      <c r="I372" s="4"/>
      <c r="J372" s="4"/>
      <c r="K372" s="4"/>
      <c r="L372" s="4"/>
    </row>
    <row r="373" spans="1:12">
      <c r="A373" s="1">
        <f ca="1">IFERROR(__xludf.DUMMYFUNCTION("""COMPUTED_VALUE"""),2263)</f>
        <v>2263</v>
      </c>
      <c r="B373" s="1" t="str">
        <f ca="1">IFERROR(__xludf.DUMMYFUNCTION("""COMPUTED_VALUE"""),"PKM KC")</f>
        <v>PKM KC</v>
      </c>
      <c r="C373" s="1" t="str">
        <f ca="1">IFERROR(__xludf.DUMMYFUNCTION("""COMPUTED_VALUE"""),"Penulisan permasalahan tidak tepat karena semuanya bersifat kualitatif.")</f>
        <v>Penulisan permasalahan tidak tepat karena semuanya bersifat kualitatif.</v>
      </c>
      <c r="D373" s="1" t="str">
        <f ca="1">IFERROR(__xludf.DUMMYFUNCTION("""COMPUTED_VALUE"""),"TIDAK LAYAK UPLOAD KE SIMBELMAWA")</f>
        <v>TIDAK LAYAK UPLOAD KE SIMBELMAWA</v>
      </c>
      <c r="E373" s="7" t="str">
        <f ca="1">IFERROR(__xludf.DUMMYFUNCTION("""COMPUTED_VALUE"""),"https://drive.google.com/open?id=1cEN5g73cJjkY2T2w6AAhjDb3T2NTovh9")</f>
        <v>https://drive.google.com/open?id=1cEN5g73cJjkY2T2w6AAhjDb3T2NTovh9</v>
      </c>
      <c r="F373" s="1">
        <f t="shared" ca="1" si="11"/>
        <v>0</v>
      </c>
      <c r="H373" s="4"/>
      <c r="I373" s="4"/>
      <c r="J373" s="4"/>
      <c r="K373" s="4"/>
      <c r="L373" s="4"/>
    </row>
    <row r="374" spans="1:12">
      <c r="A374" s="1">
        <f ca="1">IFERROR(__xludf.DUMMYFUNCTION("""COMPUTED_VALUE"""),2045)</f>
        <v>2045</v>
      </c>
      <c r="B374" s="1" t="str">
        <f ca="1">IFERROR(__xludf.DUMMYFUNCTION("""COMPUTED_VALUE"""),"PKM KC")</f>
        <v>PKM KC</v>
      </c>
      <c r="C374" s="1" t="str">
        <f ca="1">IFERROR(__xludf.DUMMYFUNCTION("""COMPUTED_VALUE""")," ")</f>
        <v xml:space="preserve"> </v>
      </c>
      <c r="D374" s="1" t="str">
        <f ca="1">IFERROR(__xludf.DUMMYFUNCTION("""COMPUTED_VALUE""")," ")</f>
        <v xml:space="preserve"> </v>
      </c>
      <c r="E374" s="1"/>
      <c r="F374" s="1">
        <f t="shared" ca="1" si="11"/>
        <v>2</v>
      </c>
      <c r="H374" s="4"/>
      <c r="I374" s="4"/>
      <c r="J374" s="4"/>
      <c r="K374" s="4"/>
      <c r="L374" s="4"/>
    </row>
    <row r="375" spans="1:12">
      <c r="A375" s="1">
        <f ca="1">IFERROR(__xludf.DUMMYFUNCTION("""COMPUTED_VALUE"""),3383)</f>
        <v>3383</v>
      </c>
      <c r="B375" s="1" t="str">
        <f ca="1">IFERROR(__xludf.DUMMYFUNCTION("""COMPUTED_VALUE"""),"PKM KC")</f>
        <v>PKM KC</v>
      </c>
      <c r="C375" s="1" t="str">
        <f ca="1">IFERROR(__xludf.DUMMYFUNCTION("""COMPUTED_VALUE"""),"Pembeda antara sistem yang sudah ada dan yang diusulkan perlu disajikan lebih baik lagi.")</f>
        <v>Pembeda antara sistem yang sudah ada dan yang diusulkan perlu disajikan lebih baik lagi.</v>
      </c>
      <c r="D375" s="1" t="str">
        <f ca="1">IFERROR(__xludf.DUMMYFUNCTION("""COMPUTED_VALUE"""),"LAYAK UPLOAD KE SIMBELMAWA DENGAN REVISI")</f>
        <v>LAYAK UPLOAD KE SIMBELMAWA DENGAN REVISI</v>
      </c>
      <c r="E375" s="7" t="str">
        <f ca="1">IFERROR(__xludf.DUMMYFUNCTION("""COMPUTED_VALUE"""),"https://drive.google.com/open?id=1kCPvoHTJuJhJZk12gpDDz6Y1B2vKjeR_")</f>
        <v>https://drive.google.com/open?id=1kCPvoHTJuJhJZk12gpDDz6Y1B2vKjeR_</v>
      </c>
      <c r="F375" s="1">
        <f t="shared" ca="1" si="11"/>
        <v>0</v>
      </c>
      <c r="H375" s="4"/>
      <c r="I375" s="4"/>
      <c r="J375" s="4"/>
      <c r="K375" s="4"/>
      <c r="L375" s="4"/>
    </row>
    <row r="376" spans="1:12">
      <c r="A376" s="1">
        <f ca="1">IFERROR(__xludf.DUMMYFUNCTION("""COMPUTED_VALUE"""),2039)</f>
        <v>2039</v>
      </c>
      <c r="B376" s="1" t="str">
        <f ca="1">IFERROR(__xludf.DUMMYFUNCTION("""COMPUTED_VALUE"""),"PKM KC")</f>
        <v>PKM KC</v>
      </c>
      <c r="C376" s="1" t="str">
        <f ca="1">IFERROR(__xludf.DUMMYFUNCTION("""COMPUTED_VALUE"""),"Permasalah no 3 tidak dapat diukur secara kuantitatif")</f>
        <v>Permasalah no 3 tidak dapat diukur secara kuantitatif</v>
      </c>
      <c r="D376" s="1" t="str">
        <f ca="1">IFERROR(__xludf.DUMMYFUNCTION("""COMPUTED_VALUE"""),"LAYAK UPLOAD KE SIMBELMAWA DENGAN REVISI")</f>
        <v>LAYAK UPLOAD KE SIMBELMAWA DENGAN REVISI</v>
      </c>
      <c r="E376" s="7" t="str">
        <f ca="1">IFERROR(__xludf.DUMMYFUNCTION("""COMPUTED_VALUE"""),"https://drive.google.com/open?id=1qJ3dKJdxfnGX2xhEbV1aV8pd3n54PILJ")</f>
        <v>https://drive.google.com/open?id=1qJ3dKJdxfnGX2xhEbV1aV8pd3n54PILJ</v>
      </c>
      <c r="F376" s="1">
        <f t="shared" ca="1" si="11"/>
        <v>0</v>
      </c>
      <c r="H376" s="4"/>
      <c r="I376" s="4"/>
      <c r="J376" s="4"/>
      <c r="K376" s="4"/>
      <c r="L376" s="4"/>
    </row>
    <row r="377" spans="1:12">
      <c r="A377" s="1">
        <f ca="1">IFERROR(__xludf.DUMMYFUNCTION("""COMPUTED_VALUE"""),3402)</f>
        <v>3402</v>
      </c>
      <c r="B377" s="1" t="str">
        <f ca="1">IFERROR(__xludf.DUMMYFUNCTION("""COMPUTED_VALUE"""),"PKM KC")</f>
        <v>PKM KC</v>
      </c>
      <c r="C377" s="1" t="str">
        <f ca="1">IFERROR(__xludf.DUMMYFUNCTION("""COMPUTED_VALUE"""),"Permasalah tidak ditulis dengan baik.")</f>
        <v>Permasalah tidak ditulis dengan baik.</v>
      </c>
      <c r="D377" s="1" t="str">
        <f ca="1">IFERROR(__xludf.DUMMYFUNCTION("""COMPUTED_VALUE"""),"TIDAK LAYAK UPLOAD KE SIMBELMAWA")</f>
        <v>TIDAK LAYAK UPLOAD KE SIMBELMAWA</v>
      </c>
      <c r="E377" s="1"/>
      <c r="F377" s="1">
        <f t="shared" ca="1" si="11"/>
        <v>0</v>
      </c>
      <c r="H377" s="4"/>
      <c r="I377" s="4"/>
      <c r="J377" s="4"/>
      <c r="K377" s="4"/>
      <c r="L377" s="4"/>
    </row>
    <row r="378" spans="1:12">
      <c r="A378" s="1">
        <f ca="1">IFERROR(__xludf.DUMMYFUNCTION("""COMPUTED_VALUE"""),2149)</f>
        <v>2149</v>
      </c>
      <c r="B378" s="1" t="str">
        <f ca="1">IFERROR(__xludf.DUMMYFUNCTION("""COMPUTED_VALUE"""),"PKM KC")</f>
        <v>PKM KC</v>
      </c>
      <c r="C378" s="1" t="str">
        <f ca="1">IFERROR(__xludf.DUMMYFUNCTION("""COMPUTED_VALUE""")," ")</f>
        <v xml:space="preserve"> </v>
      </c>
      <c r="D378" s="1" t="str">
        <f ca="1">IFERROR(__xludf.DUMMYFUNCTION("""COMPUTED_VALUE""")," ")</f>
        <v xml:space="preserve"> </v>
      </c>
      <c r="E378" s="1"/>
      <c r="F378" s="1">
        <f t="shared" ca="1" si="11"/>
        <v>2</v>
      </c>
      <c r="H378" s="4"/>
      <c r="I378" s="4"/>
      <c r="J378" s="4"/>
      <c r="K378" s="4"/>
      <c r="L378" s="4"/>
    </row>
    <row r="379" spans="1:12">
      <c r="A379" s="1">
        <f ca="1">IFERROR(__xludf.DUMMYFUNCTION("""COMPUTED_VALUE"""),4052)</f>
        <v>4052</v>
      </c>
      <c r="B379" s="1" t="str">
        <f ca="1">IFERROR(__xludf.DUMMYFUNCTION("""COMPUTED_VALUE"""),"PKM KC")</f>
        <v>PKM KC</v>
      </c>
      <c r="C379" s="1" t="str">
        <f ca="1">IFERROR(__xludf.DUMMYFUNCTION("""COMPUTED_VALUE""")," ")</f>
        <v xml:space="preserve"> </v>
      </c>
      <c r="D379" s="1" t="str">
        <f ca="1">IFERROR(__xludf.DUMMYFUNCTION("""COMPUTED_VALUE""")," ")</f>
        <v xml:space="preserve"> </v>
      </c>
      <c r="E379" s="1"/>
      <c r="F379" s="1">
        <f t="shared" ca="1" si="11"/>
        <v>2</v>
      </c>
      <c r="H379" s="4"/>
      <c r="I379" s="4"/>
      <c r="J379" s="4"/>
      <c r="K379" s="4"/>
      <c r="L379" s="4"/>
    </row>
    <row r="380" spans="1:12">
      <c r="A380" s="1">
        <f ca="1">IFERROR(__xludf.DUMMYFUNCTION("""COMPUTED_VALUE"""),3935)</f>
        <v>3935</v>
      </c>
      <c r="B380" s="1" t="str">
        <f ca="1">IFERROR(__xludf.DUMMYFUNCTION("""COMPUTED_VALUE"""),"PKM KC")</f>
        <v>PKM KC</v>
      </c>
      <c r="C380" s="1" t="str">
        <f ca="1">IFERROR(__xludf.DUMMYFUNCTION("""COMPUTED_VALUE"""),"lihat file pdf")</f>
        <v>lihat file pdf</v>
      </c>
      <c r="D380" s="1" t="str">
        <f ca="1">IFERROR(__xludf.DUMMYFUNCTION("""COMPUTED_VALUE"""),"LAYAK UPLOAD KE SIMBELMAWA DENGAN REVISI")</f>
        <v>LAYAK UPLOAD KE SIMBELMAWA DENGAN REVISI</v>
      </c>
      <c r="E380" s="7" t="str">
        <f ca="1">IFERROR(__xludf.DUMMYFUNCTION("""COMPUTED_VALUE"""),"https://drive.google.com/open?id=1JBN5oFyYKsBdQy7g1sp3bS6C86GAHX1z")</f>
        <v>https://drive.google.com/open?id=1JBN5oFyYKsBdQy7g1sp3bS6C86GAHX1z</v>
      </c>
      <c r="F380" s="1">
        <f t="shared" ca="1" si="11"/>
        <v>0</v>
      </c>
      <c r="H380" s="4"/>
      <c r="I380" s="4"/>
      <c r="J380" s="4"/>
      <c r="K380" s="4"/>
      <c r="L380" s="4"/>
    </row>
    <row r="381" spans="1:12">
      <c r="A381" s="1">
        <f ca="1">IFERROR(__xludf.DUMMYFUNCTION("""COMPUTED_VALUE"""),2559)</f>
        <v>2559</v>
      </c>
      <c r="B381" s="1" t="str">
        <f ca="1">IFERROR(__xludf.DUMMYFUNCTION("""COMPUTED_VALUE"""),"PKM KC")</f>
        <v>PKM KC</v>
      </c>
      <c r="C381" s="1" t="str">
        <f ca="1">IFERROR(__xludf.DUMMYFUNCTION("""COMPUTED_VALUE"""),"Referensi memilih 3 parameter fisis yg dikontrol perlu dijelaskan di latar belakang. Desain perlu dibuat lebih detail dan lebih menarik ")</f>
        <v xml:space="preserve">Referensi memilih 3 parameter fisis yg dikontrol perlu dijelaskan di latar belakang. Desain perlu dibuat lebih detail dan lebih menarik </v>
      </c>
      <c r="D381" s="1"/>
      <c r="E381" s="7" t="str">
        <f ca="1">IFERROR(__xludf.DUMMYFUNCTION("""COMPUTED_VALUE"""),"https://drive.google.com/open?id=1kepKRrb8J7xsc7tzC0VxikKE13HZMK8R")</f>
        <v>https://drive.google.com/open?id=1kepKRrb8J7xsc7tzC0VxikKE13HZMK8R</v>
      </c>
      <c r="F381" s="1">
        <f t="shared" ca="1" si="11"/>
        <v>0</v>
      </c>
      <c r="H381" s="4"/>
      <c r="I381" s="4"/>
      <c r="J381" s="4"/>
      <c r="K381" s="4"/>
      <c r="L381" s="4"/>
    </row>
    <row r="382" spans="1:12">
      <c r="A382" s="1">
        <f ca="1">IFERROR(__xludf.DUMMYFUNCTION("""COMPUTED_VALUE"""),3291)</f>
        <v>3291</v>
      </c>
      <c r="B382" s="1" t="str">
        <f ca="1">IFERROR(__xludf.DUMMYFUNCTION("""COMPUTED_VALUE"""),"PKM KC")</f>
        <v>PKM KC</v>
      </c>
      <c r="C382" s="1" t="str">
        <f ca="1">IFERROR(__xludf.DUMMYFUNCTION("""COMPUTED_VALUE"""),"lihat file pdf")</f>
        <v>lihat file pdf</v>
      </c>
      <c r="D382" s="1" t="str">
        <f ca="1">IFERROR(__xludf.DUMMYFUNCTION("""COMPUTED_VALUE"""),"LAYAK UPLOAD KE SIMBELMAWA DENGAN REVISI")</f>
        <v>LAYAK UPLOAD KE SIMBELMAWA DENGAN REVISI</v>
      </c>
      <c r="E382" s="7" t="str">
        <f ca="1">IFERROR(__xludf.DUMMYFUNCTION("""COMPUTED_VALUE"""),"https://drive.google.com/open?id=1s8tasA0vHiJA-2Xu6-ZiLKakAjqs2e4m")</f>
        <v>https://drive.google.com/open?id=1s8tasA0vHiJA-2Xu6-ZiLKakAjqs2e4m</v>
      </c>
      <c r="F382" s="1">
        <f t="shared" ca="1" si="11"/>
        <v>0</v>
      </c>
      <c r="H382" s="4"/>
      <c r="I382" s="4"/>
      <c r="J382" s="4"/>
      <c r="K382" s="4"/>
      <c r="L382" s="4"/>
    </row>
    <row r="383" spans="1:12">
      <c r="A383" s="1">
        <f ca="1">IFERROR(__xludf.DUMMYFUNCTION("""COMPUTED_VALUE"""),2422)</f>
        <v>2422</v>
      </c>
      <c r="B383" s="1" t="str">
        <f ca="1">IFERROR(__xludf.DUMMYFUNCTION("""COMPUTED_VALUE"""),"PKM KC")</f>
        <v>PKM KC</v>
      </c>
      <c r="C383" s="1" t="str">
        <f ca="1">IFERROR(__xludf.DUMMYFUNCTION("""COMPUTED_VALUE""")," ")</f>
        <v xml:space="preserve"> </v>
      </c>
      <c r="D383" s="1" t="str">
        <f ca="1">IFERROR(__xludf.DUMMYFUNCTION("""COMPUTED_VALUE""")," ")</f>
        <v xml:space="preserve"> </v>
      </c>
      <c r="E383" s="1"/>
      <c r="F383" s="1">
        <f t="shared" ca="1" si="11"/>
        <v>2</v>
      </c>
      <c r="H383" s="4"/>
      <c r="I383" s="4"/>
      <c r="J383" s="4"/>
      <c r="K383" s="4"/>
      <c r="L383" s="4"/>
    </row>
    <row r="384" spans="1:12">
      <c r="A384" s="1">
        <f ca="1">IFERROR(__xludf.DUMMYFUNCTION("""COMPUTED_VALUE"""),2089)</f>
        <v>2089</v>
      </c>
      <c r="B384" s="1" t="str">
        <f ca="1">IFERROR(__xludf.DUMMYFUNCTION("""COMPUTED_VALUE"""),"PKM KC")</f>
        <v>PKM KC</v>
      </c>
      <c r="C384" s="1" t="str">
        <f ca="1">IFERROR(__xludf.DUMMYFUNCTION("""COMPUTED_VALUE"""),"lihat file pdf")</f>
        <v>lihat file pdf</v>
      </c>
      <c r="D384" s="1" t="str">
        <f ca="1">IFERROR(__xludf.DUMMYFUNCTION("""COMPUTED_VALUE"""),"LAYAK UPLOAD KE SIMBELMAWA DENGAN REVISI")</f>
        <v>LAYAK UPLOAD KE SIMBELMAWA DENGAN REVISI</v>
      </c>
      <c r="E384" s="1"/>
      <c r="F384" s="1">
        <f t="shared" ca="1" si="11"/>
        <v>0</v>
      </c>
      <c r="H384" s="4"/>
      <c r="I384" s="4"/>
      <c r="J384" s="4"/>
      <c r="K384" s="4"/>
      <c r="L384" s="4"/>
    </row>
    <row r="385" spans="1:12">
      <c r="A385" s="1">
        <f ca="1">IFERROR(__xludf.DUMMYFUNCTION("""COMPUTED_VALUE"""),3010)</f>
        <v>3010</v>
      </c>
      <c r="B385" s="1" t="str">
        <f ca="1">IFERROR(__xludf.DUMMYFUNCTION("""COMPUTED_VALUE"""),"PKM KC")</f>
        <v>PKM KC</v>
      </c>
      <c r="C385" s="1" t="str">
        <f ca="1">IFERROR(__xludf.DUMMYFUNCTION("""COMPUTED_VALUE"""),"lihat file pdf")</f>
        <v>lihat file pdf</v>
      </c>
      <c r="D385" s="1" t="str">
        <f ca="1">IFERROR(__xludf.DUMMYFUNCTION("""COMPUTED_VALUE"""),"LAYAK UPLOAD KE SIMBELMAWA DENGAN REVISI")</f>
        <v>LAYAK UPLOAD KE SIMBELMAWA DENGAN REVISI</v>
      </c>
      <c r="E385" s="7" t="str">
        <f ca="1">IFERROR(__xludf.DUMMYFUNCTION("""COMPUTED_VALUE"""),"https://drive.google.com/open?id=1SpJlX7tJf1KhM29RRpLrpa4zyaL5L3Zn")</f>
        <v>https://drive.google.com/open?id=1SpJlX7tJf1KhM29RRpLrpa4zyaL5L3Zn</v>
      </c>
      <c r="F385" s="1">
        <f t="shared" ca="1" si="11"/>
        <v>0</v>
      </c>
      <c r="H385" s="4"/>
      <c r="I385" s="4"/>
      <c r="J385" s="4"/>
      <c r="K385" s="4"/>
      <c r="L385" s="4"/>
    </row>
    <row r="386" spans="1:12">
      <c r="A386" s="1">
        <f ca="1">IFERROR(__xludf.DUMMYFUNCTION("""COMPUTED_VALUE"""),2379)</f>
        <v>2379</v>
      </c>
      <c r="B386" s="1" t="str">
        <f ca="1">IFERROR(__xludf.DUMMYFUNCTION("""COMPUTED_VALUE"""),"PKM KC")</f>
        <v>PKM KC</v>
      </c>
      <c r="C386" s="1" t="str">
        <f ca="1">IFERROR(__xludf.DUMMYFUNCTION("""COMPUTED_VALUE"""),"MABA")</f>
        <v>MABA</v>
      </c>
      <c r="D386" s="1" t="str">
        <f ca="1">IFERROR(__xludf.DUMMYFUNCTION("""COMPUTED_VALUE"""),"TIDAK LAYAK UPLOAD KE SIMBELMAWA")</f>
        <v>TIDAK LAYAK UPLOAD KE SIMBELMAWA</v>
      </c>
      <c r="E386" s="7" t="str">
        <f ca="1">IFERROR(__xludf.DUMMYFUNCTION("""COMPUTED_VALUE"""),"https://drive.google.com/open?id=1jWbd7ALp8j7J629YnkF8eRjIi6cXr-h1")</f>
        <v>https://drive.google.com/open?id=1jWbd7ALp8j7J629YnkF8eRjIi6cXr-h1</v>
      </c>
      <c r="F386" s="1">
        <f t="shared" ca="1" si="11"/>
        <v>0</v>
      </c>
      <c r="H386" s="4"/>
      <c r="I386" s="4"/>
      <c r="J386" s="4"/>
      <c r="K386" s="4"/>
      <c r="L386" s="4"/>
    </row>
    <row r="387" spans="1:12">
      <c r="A387" s="1">
        <f ca="1">IFERROR(__xludf.DUMMYFUNCTION("""COMPUTED_VALUE"""),2136)</f>
        <v>2136</v>
      </c>
      <c r="B387" s="1" t="str">
        <f ca="1">IFERROR(__xludf.DUMMYFUNCTION("""COMPUTED_VALUE"""),"PKM KC")</f>
        <v>PKM KC</v>
      </c>
      <c r="C387" s="1" t="str">
        <f ca="1">IFERROR(__xludf.DUMMYFUNCTION("""COMPUTED_VALUE""")," ")</f>
        <v xml:space="preserve"> </v>
      </c>
      <c r="D387" s="1" t="str">
        <f ca="1">IFERROR(__xludf.DUMMYFUNCTION("""COMPUTED_VALUE""")," ")</f>
        <v xml:space="preserve"> </v>
      </c>
      <c r="E387" s="1"/>
      <c r="F387" s="1">
        <f t="shared" ca="1" si="11"/>
        <v>2</v>
      </c>
      <c r="H387" s="4"/>
      <c r="I387" s="4"/>
      <c r="J387" s="4"/>
      <c r="K387" s="4"/>
      <c r="L387" s="4"/>
    </row>
    <row r="388" spans="1:12">
      <c r="A388" s="1">
        <f ca="1">IFERROR(__xludf.DUMMYFUNCTION("""COMPUTED_VALUE"""),2602)</f>
        <v>2602</v>
      </c>
      <c r="B388" s="1" t="str">
        <f ca="1">IFERROR(__xludf.DUMMYFUNCTION("""COMPUTED_VALUE"""),"PKM KC")</f>
        <v>PKM KC</v>
      </c>
      <c r="C388" s="1" t="str">
        <f ca="1">IFERROR(__xludf.DUMMYFUNCTION("""COMPUTED_VALUE"""),"lihat file pdf")</f>
        <v>lihat file pdf</v>
      </c>
      <c r="D388" s="1" t="str">
        <f ca="1">IFERROR(__xludf.DUMMYFUNCTION("""COMPUTED_VALUE"""),"LAYAK UPLOAD KE SIMBELMAWA DENGAN REVISI")</f>
        <v>LAYAK UPLOAD KE SIMBELMAWA DENGAN REVISI</v>
      </c>
      <c r="E388" s="7" t="str">
        <f ca="1">IFERROR(__xludf.DUMMYFUNCTION("""COMPUTED_VALUE"""),"https://drive.google.com/open?id=1C-NaHVHZ9mUEmQLBStWD8ASJOt-Gm8GZ")</f>
        <v>https://drive.google.com/open?id=1C-NaHVHZ9mUEmQLBStWD8ASJOt-Gm8GZ</v>
      </c>
      <c r="F388" s="1">
        <f t="shared" ca="1" si="11"/>
        <v>0</v>
      </c>
      <c r="H388" s="4"/>
      <c r="I388" s="4"/>
      <c r="J388" s="4"/>
      <c r="K388" s="4"/>
      <c r="L388" s="4"/>
    </row>
    <row r="389" spans="1:12">
      <c r="A389" s="1">
        <f ca="1">IFERROR(__xludf.DUMMYFUNCTION("""COMPUTED_VALUE"""),2212)</f>
        <v>2212</v>
      </c>
      <c r="B389" s="1" t="str">
        <f ca="1">IFERROR(__xludf.DUMMYFUNCTION("""COMPUTED_VALUE"""),"PKM KC")</f>
        <v>PKM KC</v>
      </c>
      <c r="C389" s="1" t="str">
        <f ca="1">IFERROR(__xludf.DUMMYFUNCTION("""COMPUTED_VALUE""")," ")</f>
        <v xml:space="preserve"> </v>
      </c>
      <c r="D389" s="1" t="str">
        <f ca="1">IFERROR(__xludf.DUMMYFUNCTION("""COMPUTED_VALUE""")," ")</f>
        <v xml:space="preserve"> </v>
      </c>
      <c r="E389" s="1"/>
      <c r="F389" s="1">
        <f t="shared" ca="1" si="11"/>
        <v>2</v>
      </c>
      <c r="H389" s="4"/>
      <c r="I389" s="4"/>
      <c r="J389" s="4"/>
      <c r="K389" s="4"/>
      <c r="L389" s="4"/>
    </row>
    <row r="390" spans="1:12">
      <c r="A390" s="1">
        <f ca="1">IFERROR(__xludf.DUMMYFUNCTION("""COMPUTED_VALUE"""),2132)</f>
        <v>2132</v>
      </c>
      <c r="B390" s="1" t="str">
        <f ca="1">IFERROR(__xludf.DUMMYFUNCTION("""COMPUTED_VALUE"""),"PKM KC")</f>
        <v>PKM KC</v>
      </c>
      <c r="C390" s="1" t="str">
        <f ca="1">IFERROR(__xludf.DUMMYFUNCTION("""COMPUTED_VALUE"""),"-")</f>
        <v>-</v>
      </c>
      <c r="D390" s="1" t="str">
        <f ca="1">IFERROR(__xludf.DUMMYFUNCTION("""COMPUTED_VALUE"""),"LAYAK UPLOAD KE SIMBELMAWA")</f>
        <v>LAYAK UPLOAD KE SIMBELMAWA</v>
      </c>
      <c r="E390" s="7" t="str">
        <f ca="1">IFERROR(__xludf.DUMMYFUNCTION("""COMPUTED_VALUE"""),"https://drive.google.com/open?id=1ScElP5aQdF5wbW2EblnfOJBst9JDcs8x")</f>
        <v>https://drive.google.com/open?id=1ScElP5aQdF5wbW2EblnfOJBst9JDcs8x</v>
      </c>
      <c r="F390" s="1">
        <f t="shared" ca="1" si="11"/>
        <v>0</v>
      </c>
      <c r="H390" s="4"/>
      <c r="I390" s="4"/>
      <c r="J390" s="4"/>
      <c r="K390" s="4"/>
      <c r="L390" s="4"/>
    </row>
    <row r="391" spans="1:12">
      <c r="A391" s="1">
        <f ca="1">IFERROR(__xludf.DUMMYFUNCTION("""COMPUTED_VALUE"""),2947)</f>
        <v>2947</v>
      </c>
      <c r="B391" s="1" t="str">
        <f ca="1">IFERROR(__xludf.DUMMYFUNCTION("""COMPUTED_VALUE"""),"PKM KC")</f>
        <v>PKM KC</v>
      </c>
      <c r="C391" s="1" t="str">
        <f ca="1">IFERROR(__xludf.DUMMYFUNCTION("""COMPUTED_VALUE"""),"bukan karsa")</f>
        <v>bukan karsa</v>
      </c>
      <c r="D391" s="1" t="str">
        <f ca="1">IFERROR(__xludf.DUMMYFUNCTION("""COMPUTED_VALUE"""),"TIDAK LAYAK UPLOAD KE SIMBELMAWA")</f>
        <v>TIDAK LAYAK UPLOAD KE SIMBELMAWA</v>
      </c>
      <c r="E391" s="1"/>
      <c r="F391" s="1">
        <f t="shared" ca="1" si="11"/>
        <v>0</v>
      </c>
      <c r="H391" s="4"/>
      <c r="I391" s="4"/>
      <c r="J391" s="4"/>
      <c r="K391" s="4"/>
      <c r="L391" s="4"/>
    </row>
    <row r="392" spans="1:12">
      <c r="A392" s="1">
        <f ca="1">IFERROR(__xludf.DUMMYFUNCTION("""COMPUTED_VALUE"""),2619)</f>
        <v>2619</v>
      </c>
      <c r="B392" s="1" t="str">
        <f ca="1">IFERROR(__xludf.DUMMYFUNCTION("""COMPUTED_VALUE"""),"PKM KC")</f>
        <v>PKM KC</v>
      </c>
      <c r="C392" s="1" t="str">
        <f ca="1">IFERROR(__xludf.DUMMYFUNCTION("""COMPUTED_VALUE"""),"lihat file pdf")</f>
        <v>lihat file pdf</v>
      </c>
      <c r="D392" s="1" t="str">
        <f ca="1">IFERROR(__xludf.DUMMYFUNCTION("""COMPUTED_VALUE"""),"LAYAK UPLOAD KE SIMBELMAWA DENGAN REVISI")</f>
        <v>LAYAK UPLOAD KE SIMBELMAWA DENGAN REVISI</v>
      </c>
      <c r="E392" s="7" t="str">
        <f ca="1">IFERROR(__xludf.DUMMYFUNCTION("""COMPUTED_VALUE"""),"https://drive.google.com/open?id=1NX3uOrQ__ULO1wov3DDsNdNxf4en1H81")</f>
        <v>https://drive.google.com/open?id=1NX3uOrQ__ULO1wov3DDsNdNxf4en1H81</v>
      </c>
      <c r="F392" s="1">
        <f t="shared" ca="1" si="11"/>
        <v>0</v>
      </c>
      <c r="H392" s="4"/>
      <c r="I392" s="4"/>
      <c r="J392" s="4"/>
      <c r="K392" s="4"/>
      <c r="L392" s="4"/>
    </row>
    <row r="393" spans="1:12">
      <c r="A393" s="1">
        <f ca="1">IFERROR(__xludf.DUMMYFUNCTION("""COMPUTED_VALUE"""),2609)</f>
        <v>2609</v>
      </c>
      <c r="B393" s="1" t="str">
        <f ca="1">IFERROR(__xludf.DUMMYFUNCTION("""COMPUTED_VALUE"""),"PKM KC")</f>
        <v>PKM KC</v>
      </c>
      <c r="C393" s="1" t="str">
        <f ca="1">IFERROR(__xludf.DUMMYFUNCTION("""COMPUTED_VALUE"""),"lihat file pdf")</f>
        <v>lihat file pdf</v>
      </c>
      <c r="D393" s="1" t="str">
        <f ca="1">IFERROR(__xludf.DUMMYFUNCTION("""COMPUTED_VALUE"""),"LAYAK UPLOAD KE SIMBELMAWA DENGAN REVISI")</f>
        <v>LAYAK UPLOAD KE SIMBELMAWA DENGAN REVISI</v>
      </c>
      <c r="E393" s="7" t="str">
        <f ca="1">IFERROR(__xludf.DUMMYFUNCTION("""COMPUTED_VALUE"""),"https://drive.google.com/open?id=1BGUHwcNWcF9B_cZDR2sywoYP7QKBeHGL")</f>
        <v>https://drive.google.com/open?id=1BGUHwcNWcF9B_cZDR2sywoYP7QKBeHGL</v>
      </c>
      <c r="F393" s="1">
        <f t="shared" ca="1" si="11"/>
        <v>0</v>
      </c>
      <c r="H393" s="4"/>
      <c r="I393" s="4"/>
      <c r="J393" s="4"/>
      <c r="K393" s="4"/>
      <c r="L393" s="4"/>
    </row>
    <row r="394" spans="1:12">
      <c r="A394" s="1">
        <f ca="1">IFERROR(__xludf.DUMMYFUNCTION("""COMPUTED_VALUE"""),2603)</f>
        <v>2603</v>
      </c>
      <c r="B394" s="1" t="str">
        <f ca="1">IFERROR(__xludf.DUMMYFUNCTION("""COMPUTED_VALUE"""),"PKM KC")</f>
        <v>PKM KC</v>
      </c>
      <c r="C394" s="1" t="str">
        <f ca="1">IFERROR(__xludf.DUMMYFUNCTION("""COMPUTED_VALUE"""),"-")</f>
        <v>-</v>
      </c>
      <c r="D394" s="1" t="str">
        <f ca="1">IFERROR(__xludf.DUMMYFUNCTION("""COMPUTED_VALUE"""),"TIDAK LAYAK UPLOAD KE SIMBELMAWA")</f>
        <v>TIDAK LAYAK UPLOAD KE SIMBELMAWA</v>
      </c>
      <c r="E394" s="7" t="str">
        <f ca="1">IFERROR(__xludf.DUMMYFUNCTION("""COMPUTED_VALUE"""),"https://drive.google.com/open?id=145-OfY_IWT_XY4k3kVnBO6DZv0V1W8gk")</f>
        <v>https://drive.google.com/open?id=145-OfY_IWT_XY4k3kVnBO6DZv0V1W8gk</v>
      </c>
      <c r="F394" s="1">
        <f t="shared" ca="1" si="11"/>
        <v>0</v>
      </c>
      <c r="H394" s="4"/>
      <c r="I394" s="4"/>
      <c r="J394" s="4"/>
      <c r="K394" s="4"/>
      <c r="L394" s="4"/>
    </row>
    <row r="395" spans="1:12">
      <c r="A395" s="1">
        <f ca="1">IFERROR(__xludf.DUMMYFUNCTION("""COMPUTED_VALUE"""),2625)</f>
        <v>2625</v>
      </c>
      <c r="B395" s="1" t="str">
        <f ca="1">IFERROR(__xludf.DUMMYFUNCTION("""COMPUTED_VALUE"""),"PKM KC")</f>
        <v>PKM KC</v>
      </c>
      <c r="C395" s="1" t="str">
        <f ca="1">IFERROR(__xludf.DUMMYFUNCTION("""COMPUTED_VALUE"""),"tabel RAB mohon mengikuti pedoman PKM: 1 bahan, 2 sewa, 3 transpor, 4 lain-lain
daftar pustaka masih ada yg belum urut alfabet")</f>
        <v>tabel RAB mohon mengikuti pedoman PKM: 1 bahan, 2 sewa, 3 transpor, 4 lain-lain
daftar pustaka masih ada yg belum urut alfabet</v>
      </c>
      <c r="D395" s="1" t="str">
        <f ca="1">IFERROR(__xludf.DUMMYFUNCTION("""COMPUTED_VALUE"""),"LAYAK UPLOAD KE SIMBELMAWA DENGAN REVISI")</f>
        <v>LAYAK UPLOAD KE SIMBELMAWA DENGAN REVISI</v>
      </c>
      <c r="E395" s="7" t="str">
        <f ca="1">IFERROR(__xludf.DUMMYFUNCTION("""COMPUTED_VALUE"""),"https://drive.google.com/open?id=1-gsHnREW7u8eTTJWok3yiY-YwNlcioe8")</f>
        <v>https://drive.google.com/open?id=1-gsHnREW7u8eTTJWok3yiY-YwNlcioe8</v>
      </c>
      <c r="F395" s="1">
        <f t="shared" ca="1" si="11"/>
        <v>0</v>
      </c>
      <c r="H395" s="4"/>
      <c r="I395" s="4"/>
      <c r="J395" s="4"/>
      <c r="K395" s="4"/>
      <c r="L395" s="4"/>
    </row>
    <row r="396" spans="1:12">
      <c r="A396" s="1">
        <f ca="1">IFERROR(__xludf.DUMMYFUNCTION("""COMPUTED_VALUE"""),2978)</f>
        <v>2978</v>
      </c>
      <c r="B396" s="1" t="str">
        <f ca="1">IFERROR(__xludf.DUMMYFUNCTION("""COMPUTED_VALUE"""),"PKM KC")</f>
        <v>PKM KC</v>
      </c>
      <c r="C396" s="1" t="str">
        <f ca="1">IFERROR(__xludf.DUMMYFUNCTION("""COMPUTED_VALUE""")," ")</f>
        <v xml:space="preserve"> </v>
      </c>
      <c r="D396" s="1" t="str">
        <f ca="1">IFERROR(__xludf.DUMMYFUNCTION("""COMPUTED_VALUE""")," ")</f>
        <v xml:space="preserve"> </v>
      </c>
      <c r="E396" s="1"/>
      <c r="F396" s="1">
        <f t="shared" ca="1" si="11"/>
        <v>2</v>
      </c>
      <c r="H396" s="4"/>
      <c r="I396" s="4"/>
      <c r="J396" s="4"/>
      <c r="K396" s="4"/>
      <c r="L396" s="4"/>
    </row>
    <row r="397" spans="1:12">
      <c r="A397" s="1">
        <f ca="1">IFERROR(__xludf.DUMMYFUNCTION("""COMPUTED_VALUE"""),2979)</f>
        <v>2979</v>
      </c>
      <c r="B397" s="1" t="str">
        <f ca="1">IFERROR(__xludf.DUMMYFUNCTION("""COMPUTED_VALUE"""),"PKM KC")</f>
        <v>PKM KC</v>
      </c>
      <c r="C397" s="1" t="str">
        <f ca="1">IFERROR(__xludf.DUMMYFUNCTION("""COMPUTED_VALUE"""),"tanaman dalam judul apakah bisa lebih spesifik ke jenis tanaman apa? atau jenis lahannya?
jenis pupuk (NPK) sebaiknya juga muncul dalam judul karena jenis pupuk sangat beragam 
sub bab 1.5 manfaat, dapat fokus saja pada harapan manfaat produk apabila diap"&amp;"likasikan tidak perlu dipecah menjadi bagi masyarakat, pemerintah dan mahasiswa ")</f>
        <v xml:space="preserve">tanaman dalam judul apakah bisa lebih spesifik ke jenis tanaman apa? atau jenis lahannya?
jenis pupuk (NPK) sebaiknya juga muncul dalam judul karena jenis pupuk sangat beragam 
sub bab 1.5 manfaat, dapat fokus saja pada harapan manfaat produk apabila diaplikasikan tidak perlu dipecah menjadi bagi masyarakat, pemerintah dan mahasiswa </v>
      </c>
      <c r="D397" s="1" t="str">
        <f ca="1">IFERROR(__xludf.DUMMYFUNCTION("""COMPUTED_VALUE"""),"LAYAK UPLOAD KE SIMBELMAWA DENGAN REVISI")</f>
        <v>LAYAK UPLOAD KE SIMBELMAWA DENGAN REVISI</v>
      </c>
      <c r="E397" s="7" t="str">
        <f ca="1">IFERROR(__xludf.DUMMYFUNCTION("""COMPUTED_VALUE"""),"https://drive.google.com/open?id=1_44itxRksE3TSCuHoBVJSTSXEW6PHroq")</f>
        <v>https://drive.google.com/open?id=1_44itxRksE3TSCuHoBVJSTSXEW6PHroq</v>
      </c>
      <c r="F397" s="1">
        <f t="shared" ca="1" si="11"/>
        <v>0</v>
      </c>
      <c r="H397" s="4"/>
      <c r="I397" s="4"/>
      <c r="J397" s="4"/>
      <c r="K397" s="4"/>
      <c r="L397" s="4"/>
    </row>
    <row r="398" spans="1:12">
      <c r="A398" s="1">
        <f ca="1">IFERROR(__xludf.DUMMYFUNCTION("""COMPUTED_VALUE"""),2129)</f>
        <v>2129</v>
      </c>
      <c r="B398" s="1" t="str">
        <f ca="1">IFERROR(__xludf.DUMMYFUNCTION("""COMPUTED_VALUE"""),"PKM KC")</f>
        <v>PKM KC</v>
      </c>
      <c r="C398" s="1" t="str">
        <f ca="1">IFERROR(__xludf.DUMMYFUNCTION("""COMPUTED_VALUE""")," ")</f>
        <v xml:space="preserve"> </v>
      </c>
      <c r="D398" s="1" t="str">
        <f ca="1">IFERROR(__xludf.DUMMYFUNCTION("""COMPUTED_VALUE""")," ")</f>
        <v xml:space="preserve"> </v>
      </c>
      <c r="E398" s="1"/>
      <c r="F398" s="1">
        <f t="shared" ca="1" si="11"/>
        <v>2</v>
      </c>
      <c r="H398" s="4"/>
      <c r="I398" s="4"/>
      <c r="J398" s="4"/>
      <c r="K398" s="4"/>
      <c r="L398" s="4"/>
    </row>
    <row r="399" spans="1:12">
      <c r="A399" s="1">
        <f ca="1">IFERROR(__xludf.DUMMYFUNCTION("""COMPUTED_VALUE"""),2192)</f>
        <v>2192</v>
      </c>
      <c r="B399" s="1" t="str">
        <f ca="1">IFERROR(__xludf.DUMMYFUNCTION("""COMPUTED_VALUE"""),"PKM KC")</f>
        <v>PKM KC</v>
      </c>
      <c r="C399" s="1" t="str">
        <f ca="1">IFERROR(__xludf.DUMMYFUNCTION("""COMPUTED_VALUE"""),"bab 4, daftar pustaka, dan lampiran belum masuk daftar isi
kutipan referensi kurang banyak dalam tulisan
tabel 2.1 mestinya tidak menampilkan 'kekurangan' produk yang akan dibuat
RAB pada bab 4 tidak layak
daftar pustaka kurang
surat pernyataan belum ada "&amp;"meterai")</f>
        <v>bab 4, daftar pustaka, dan lampiran belum masuk daftar isi
kutipan referensi kurang banyak dalam tulisan
tabel 2.1 mestinya tidak menampilkan 'kekurangan' produk yang akan dibuat
RAB pada bab 4 tidak layak
daftar pustaka kurang
surat pernyataan belum ada meterai</v>
      </c>
      <c r="D399" s="1" t="str">
        <f ca="1">IFERROR(__xludf.DUMMYFUNCTION("""COMPUTED_VALUE"""),"TIDAK LAYAK UPLOAD KE SIMBELMAWA")</f>
        <v>TIDAK LAYAK UPLOAD KE SIMBELMAWA</v>
      </c>
      <c r="E399" s="7" t="str">
        <f ca="1">IFERROR(__xludf.DUMMYFUNCTION("""COMPUTED_VALUE"""),"https://drive.google.com/open?id=1lGpsQyazxQRSREoC3pPL0SqEBVBDO0_Z")</f>
        <v>https://drive.google.com/open?id=1lGpsQyazxQRSREoC3pPL0SqEBVBDO0_Z</v>
      </c>
      <c r="F399" s="1">
        <f t="shared" ca="1" si="11"/>
        <v>0</v>
      </c>
      <c r="H399" s="4"/>
      <c r="I399" s="4"/>
      <c r="J399" s="4"/>
      <c r="K399" s="4"/>
      <c r="L399" s="4"/>
    </row>
    <row r="400" spans="1:12">
      <c r="A400" s="1">
        <f ca="1">IFERROR(__xludf.DUMMYFUNCTION("""COMPUTED_VALUE"""),3698)</f>
        <v>3698</v>
      </c>
      <c r="B400" s="1" t="str">
        <f ca="1">IFERROR(__xludf.DUMMYFUNCTION("""COMPUTED_VALUE"""),"PKM KC")</f>
        <v>PKM KC</v>
      </c>
      <c r="C400" s="1" t="str">
        <f ca="1">IFERROR(__xludf.DUMMYFUNCTION("""COMPUTED_VALUE"""),"di daftar tabel, ada 2 tabel bernomor sama 4.1
tabel di subbab 2.5 belum ada judul, dan perhatikan pemotongan huruf dalam kata nampak masih kurang baik
tanda tangan nampak tempelan
belum ada meterai di surat pernyataan")</f>
        <v>di daftar tabel, ada 2 tabel bernomor sama 4.1
tabel di subbab 2.5 belum ada judul, dan perhatikan pemotongan huruf dalam kata nampak masih kurang baik
tanda tangan nampak tempelan
belum ada meterai di surat pernyataan</v>
      </c>
      <c r="D400" s="1" t="str">
        <f ca="1">IFERROR(__xludf.DUMMYFUNCTION("""COMPUTED_VALUE"""),"LAYAK UPLOAD KE SIMBELMAWA DENGAN REVISI")</f>
        <v>LAYAK UPLOAD KE SIMBELMAWA DENGAN REVISI</v>
      </c>
      <c r="E400" s="7" t="str">
        <f ca="1">IFERROR(__xludf.DUMMYFUNCTION("""COMPUTED_VALUE"""),"https://drive.google.com/open?id=1um2qRplHjIsLasUgZHdSf7tVinseEFa3")</f>
        <v>https://drive.google.com/open?id=1um2qRplHjIsLasUgZHdSf7tVinseEFa3</v>
      </c>
      <c r="F400" s="1">
        <f t="shared" ca="1" si="11"/>
        <v>0</v>
      </c>
      <c r="H400" s="4"/>
      <c r="I400" s="4"/>
      <c r="J400" s="4"/>
      <c r="K400" s="4"/>
      <c r="L400" s="4"/>
    </row>
    <row r="401" spans="1:12">
      <c r="A401" s="1">
        <f ca="1">IFERROR(__xludf.DUMMYFUNCTION("""COMPUTED_VALUE"""),2799)</f>
        <v>2799</v>
      </c>
      <c r="B401" s="1" t="str">
        <f ca="1">IFERROR(__xludf.DUMMYFUNCTION("""COMPUTED_VALUE"""),"PKM KC")</f>
        <v>PKM KC</v>
      </c>
      <c r="C401" s="1" t="str">
        <f ca="1">IFERROR(__xludf.DUMMYFUNCTION("""COMPUTED_VALUE"""),"subbab 1.5 manfaat supaya berfokus pada manfaat produk apabila diterapkan dan prospek ke depannya, bagian yg bagi mahasiswa dapat dihilangkan
sumber gambar (penulis, 2021) dihilangkan
RAB perjalanan lokal terlalu besar
produk serupa saat ini telah ada di "&amp;"pasaran, seandainya ada komparasi dengan produk dengan menampilkan kelebihan dari produk yang akan dibuat dapat dipertimbangkan untuk layak upload ")</f>
        <v xml:space="preserve">subbab 1.5 manfaat supaya berfokus pada manfaat produk apabila diterapkan dan prospek ke depannya, bagian yg bagi mahasiswa dapat dihilangkan
sumber gambar (penulis, 2021) dihilangkan
RAB perjalanan lokal terlalu besar
produk serupa saat ini telah ada di pasaran, seandainya ada komparasi dengan produk dengan menampilkan kelebihan dari produk yang akan dibuat dapat dipertimbangkan untuk layak upload </v>
      </c>
      <c r="D401" s="1" t="str">
        <f ca="1">IFERROR(__xludf.DUMMYFUNCTION("""COMPUTED_VALUE"""),"TIDAK LAYAK UPLOAD KE SIMBELMAWA")</f>
        <v>TIDAK LAYAK UPLOAD KE SIMBELMAWA</v>
      </c>
      <c r="E401" s="7" t="str">
        <f ca="1">IFERROR(__xludf.DUMMYFUNCTION("""COMPUTED_VALUE"""),"https://drive.google.com/open?id=1qcg5KL8Vs_7V8BhG1N9d2oaHEVqmVYNN")</f>
        <v>https://drive.google.com/open?id=1qcg5KL8Vs_7V8BhG1N9d2oaHEVqmVYNN</v>
      </c>
      <c r="F401" s="1">
        <f t="shared" ca="1" si="11"/>
        <v>0</v>
      </c>
      <c r="H401" s="4"/>
      <c r="I401" s="4"/>
      <c r="J401" s="4"/>
      <c r="K401" s="4"/>
      <c r="L401" s="4"/>
    </row>
    <row r="402" spans="1:12">
      <c r="A402" s="1">
        <f ca="1">IFERROR(__xludf.DUMMYFUNCTION("""COMPUTED_VALUE"""),2664)</f>
        <v>2664</v>
      </c>
      <c r="B402" s="1" t="str">
        <f ca="1">IFERROR(__xludf.DUMMYFUNCTION("""COMPUTED_VALUE"""),"PKM KC")</f>
        <v>PKM KC</v>
      </c>
      <c r="C402" s="1" t="str">
        <f ca="1">IFERROR(__xludf.DUMMYFUNCTION("""COMPUTED_VALUE"""),"judul jika memungkinkan menggunakan bahasa indonesia jangan berbahasa inggris
subbab 1.4 luaran, terlalu banyak menampilkan judul ""turbidity and sea...""
penomoran subbab mulai 1.4 kacau (tidak ada 1.5 dst.)
sub bab 1.6 manfaat, tulislah manfaat produk y"&amp;"ang dirancang bila telah diterapkan tidak dipecah menjadi bagi pemerintah, bagi masyarakat..
kata (sumber : dokumen pribadi) dihapus saja
menggambar flowchart kurang tepat untuk decision box, seperti di gambar 3.1-3.4
tanda tangan salah tanggal semua febr"&amp;"uari 2021, seharusnya sekitar maret 2022 !!
produk ini hanya kumpulan sensor dengan decision sederhana, sebaiknya ditambahkan untuk analisis yang lebih kompleks supaya dapat dipertimbangkan untuk lolos upload.")</f>
        <v>judul jika memungkinkan menggunakan bahasa indonesia jangan berbahasa inggris
subbab 1.4 luaran, terlalu banyak menampilkan judul "turbidity and sea..."
penomoran subbab mulai 1.4 kacau (tidak ada 1.5 dst.)
sub bab 1.6 manfaat, tulislah manfaat produk yang dirancang bila telah diterapkan tidak dipecah menjadi bagi pemerintah, bagi masyarakat..
kata (sumber : dokumen pribadi) dihapus saja
menggambar flowchart kurang tepat untuk decision box, seperti di gambar 3.1-3.4
tanda tangan salah tanggal semua februari 2021, seharusnya sekitar maret 2022 !!
produk ini hanya kumpulan sensor dengan decision sederhana, sebaiknya ditambahkan untuk analisis yang lebih kompleks supaya dapat dipertimbangkan untuk lolos upload.</v>
      </c>
      <c r="D402" s="1" t="str">
        <f ca="1">IFERROR(__xludf.DUMMYFUNCTION("""COMPUTED_VALUE"""),"TIDAK LAYAK UPLOAD KE SIMBELMAWA")</f>
        <v>TIDAK LAYAK UPLOAD KE SIMBELMAWA</v>
      </c>
      <c r="E402" s="7" t="str">
        <f ca="1">IFERROR(__xludf.DUMMYFUNCTION("""COMPUTED_VALUE"""),"https://drive.google.com/open?id=1JAeeP6lkNtZw2QbbM6nm4muSassfE8_B")</f>
        <v>https://drive.google.com/open?id=1JAeeP6lkNtZw2QbbM6nm4muSassfE8_B</v>
      </c>
      <c r="F402" s="1">
        <f t="shared" ca="1" si="11"/>
        <v>0</v>
      </c>
      <c r="H402" s="4"/>
      <c r="I402" s="4"/>
      <c r="J402" s="4"/>
      <c r="K402" s="4"/>
      <c r="L402" s="4"/>
    </row>
    <row r="403" spans="1:12">
      <c r="A403" s="1">
        <f ca="1">IFERROR(__xludf.DUMMYFUNCTION("""COMPUTED_VALUE"""),2873)</f>
        <v>2873</v>
      </c>
      <c r="B403" s="1" t="str">
        <f ca="1">IFERROR(__xludf.DUMMYFUNCTION("""COMPUTED_VALUE"""),"PKM KC")</f>
        <v>PKM KC</v>
      </c>
      <c r="C403" s="1" t="str">
        <f ca="1">IFERROR(__xludf.DUMMYFUNCTION("""COMPUTED_VALUE"""),"REVISI MAJOR 
-pertanyaan besarnya adalah : apa kaitannya/apa fungsi IoT dalam pengereman kendaraan? pengereman merupakan tindakan spontan mengapa di IoT kan? jika maksudnya adalah untuk evaluasi dengan mengumpulkan data di semua kendaraan maka hal terseb"&amp;"ut belum nampak dalam uraian produk yang akan dibuat serta tampilan apa yang diharapkan
-nomor halaman salah semua
-sub bab 1.5 manfaat merupakan penjelasan manfaat produk apabila diterapkan beserta prospek di masa mendatang, tidak jadi tidak dijabarkan b"&amp;"agi peneliti, pemerintah dsb.
-penjelasan 2.3 dst tentang thermal resistor dan komponen2 yang digunakan terlalu panjang, dan tidak terlihat ada keterkaitan dengan pengereman, sebaiknya gambarkan dengan jelas langkah yang akan dilakukan serta output yang d"&amp;"iharapkan
-bab 4, RAB tidak terlihat porsi belmawa dan perguruan tinggi
- tanggal tanda tangan dibuat setelah 10 maret, karena pedoman PKM baru keluar setelah tanggal 5 maret
- tanda tangan dosen pendamping jadikan maret 2022")</f>
        <v>REVISI MAJOR 
-pertanyaan besarnya adalah : apa kaitannya/apa fungsi IoT dalam pengereman kendaraan? pengereman merupakan tindakan spontan mengapa di IoT kan? jika maksudnya adalah untuk evaluasi dengan mengumpulkan data di semua kendaraan maka hal tersebut belum nampak dalam uraian produk yang akan dibuat serta tampilan apa yang diharapkan
-nomor halaman salah semua
-sub bab 1.5 manfaat merupakan penjelasan manfaat produk apabila diterapkan beserta prospek di masa mendatang, tidak jadi tidak dijabarkan bagi peneliti, pemerintah dsb.
-penjelasan 2.3 dst tentang thermal resistor dan komponen2 yang digunakan terlalu panjang, dan tidak terlihat ada keterkaitan dengan pengereman, sebaiknya gambarkan dengan jelas langkah yang akan dilakukan serta output yang diharapkan
-bab 4, RAB tidak terlihat porsi belmawa dan perguruan tinggi
- tanggal tanda tangan dibuat setelah 10 maret, karena pedoman PKM baru keluar setelah tanggal 5 maret
- tanda tangan dosen pendamping jadikan maret 2022</v>
      </c>
      <c r="D403" s="1" t="str">
        <f ca="1">IFERROR(__xludf.DUMMYFUNCTION("""COMPUTED_VALUE"""),"LAYAK UPLOAD KE SIMBELMAWA DENGAN REVISI")</f>
        <v>LAYAK UPLOAD KE SIMBELMAWA DENGAN REVISI</v>
      </c>
      <c r="E403" s="7" t="str">
        <f ca="1">IFERROR(__xludf.DUMMYFUNCTION("""COMPUTED_VALUE"""),"https://drive.google.com/open?id=1yE-xC8ffF1aB7a973l2nWI4x7ogyRUU4")</f>
        <v>https://drive.google.com/open?id=1yE-xC8ffF1aB7a973l2nWI4x7ogyRUU4</v>
      </c>
      <c r="F403" s="1">
        <f t="shared" ca="1" si="11"/>
        <v>0</v>
      </c>
      <c r="H403" s="4"/>
      <c r="I403" s="4"/>
      <c r="J403" s="4"/>
      <c r="K403" s="4"/>
      <c r="L403" s="4"/>
    </row>
    <row r="404" spans="1:12">
      <c r="A404" s="1">
        <f ca="1">IFERROR(__xludf.DUMMYFUNCTION("""COMPUTED_VALUE"""),2023)</f>
        <v>2023</v>
      </c>
      <c r="B404" s="1" t="str">
        <f ca="1">IFERROR(__xludf.DUMMYFUNCTION("""COMPUTED_VALUE"""),"PKM KC")</f>
        <v>PKM KC</v>
      </c>
      <c r="C404" s="1" t="str">
        <f ca="1">IFERROR(__xludf.DUMMYFUNCTION("""COMPUTED_VALUE"""),"REVISI MAJOR khususnya perincian dana/RAB !!
tanggal tanda tangan salah tertulis tahun 2020 !! ganti semua menjadi maret 2022
fitur produk belum terlihat jelas dalam proposal, coba jelaskan detil mengapa orang perlu memakai produk ini. penjelasan ini leta"&amp;"kkan di bab 1, akan memudahkan juri untuk memahami tujuan produk ini
RAB tidak sesuai, persentase bahan habis terlalu kecil dibanding sewa, cek kembali pedoman PKM !!")</f>
        <v>REVISI MAJOR khususnya perincian dana/RAB !!
tanggal tanda tangan salah tertulis tahun 2020 !! ganti semua menjadi maret 2022
fitur produk belum terlihat jelas dalam proposal, coba jelaskan detil mengapa orang perlu memakai produk ini. penjelasan ini letakkan di bab 1, akan memudahkan juri untuk memahami tujuan produk ini
RAB tidak sesuai, persentase bahan habis terlalu kecil dibanding sewa, cek kembali pedoman PKM !!</v>
      </c>
      <c r="D404" s="1" t="str">
        <f ca="1">IFERROR(__xludf.DUMMYFUNCTION("""COMPUTED_VALUE"""),"LAYAK UPLOAD KE SIMBELMAWA DENGAN REVISI")</f>
        <v>LAYAK UPLOAD KE SIMBELMAWA DENGAN REVISI</v>
      </c>
      <c r="E404" s="7" t="str">
        <f ca="1">IFERROR(__xludf.DUMMYFUNCTION("""COMPUTED_VALUE"""),"https://drive.google.com/open?id=1UXsq6Rwmd6tb9tGv3xy4wTfQjjK_ClYg")</f>
        <v>https://drive.google.com/open?id=1UXsq6Rwmd6tb9tGv3xy4wTfQjjK_ClYg</v>
      </c>
      <c r="F404" s="1">
        <f t="shared" ca="1" si="11"/>
        <v>0</v>
      </c>
      <c r="H404" s="4"/>
      <c r="I404" s="4"/>
      <c r="J404" s="4"/>
      <c r="K404" s="4"/>
      <c r="L404" s="4"/>
    </row>
    <row r="405" spans="1:12">
      <c r="A405" s="1">
        <f ca="1">IFERROR(__xludf.DUMMYFUNCTION("""COMPUTED_VALUE"""),4115)</f>
        <v>4115</v>
      </c>
      <c r="B405" s="1" t="str">
        <f ca="1">IFERROR(__xludf.DUMMYFUNCTION("""COMPUTED_VALUE"""),"PKM KC")</f>
        <v>PKM KC</v>
      </c>
      <c r="C405" s="1" t="str">
        <f ca="1">IFERROR(__xludf.DUMMYFUNCTION("""COMPUTED_VALUE"""),"bab 2 jangan merinci komponen, coba jelaskan produk anda dengan merangkai teknologi yang digunakan secara sistem.
penggunaan kutipan pustaka masih kurang banyak, gunakan literatur terbaru 10 tahun terakhir
gambar flowchart dirapikan lagi, hilangkan kata ("&amp;"penulis, 2022)
pada subbab 3.7 masih menjelaskan daring, padahal pkm tahun ini adalah luring, harap disesuaikan/dihapus
tanda tangan surat pernyataan ganti bulan maret 2022
justifikasi anggaran di lampiran belum menunjukkan mana yang didanai belmawa dan m"&amp;"ana yg perguruan tinggi")</f>
        <v>bab 2 jangan merinci komponen, coba jelaskan produk anda dengan merangkai teknologi yang digunakan secara sistem.
penggunaan kutipan pustaka masih kurang banyak, gunakan literatur terbaru 10 tahun terakhir
gambar flowchart dirapikan lagi, hilangkan kata (penulis, 2022)
pada subbab 3.7 masih menjelaskan daring, padahal pkm tahun ini adalah luring, harap disesuaikan/dihapus
tanda tangan surat pernyataan ganti bulan maret 2022
justifikasi anggaran di lampiran belum menunjukkan mana yang didanai belmawa dan mana yg perguruan tinggi</v>
      </c>
      <c r="D405" s="1" t="str">
        <f ca="1">IFERROR(__xludf.DUMMYFUNCTION("""COMPUTED_VALUE"""),"LAYAK UPLOAD KE SIMBELMAWA DENGAN REVISI")</f>
        <v>LAYAK UPLOAD KE SIMBELMAWA DENGAN REVISI</v>
      </c>
      <c r="E405" s="7" t="str">
        <f ca="1">IFERROR(__xludf.DUMMYFUNCTION("""COMPUTED_VALUE"""),"https://drive.google.com/open?id=1SbfYwNAKjXvTmmiK93C69pnyXrhKD05h")</f>
        <v>https://drive.google.com/open?id=1SbfYwNAKjXvTmmiK93C69pnyXrhKD05h</v>
      </c>
      <c r="F405" s="1">
        <f t="shared" ca="1" si="11"/>
        <v>0</v>
      </c>
      <c r="H405" s="4"/>
      <c r="I405" s="4"/>
      <c r="J405" s="4"/>
      <c r="K405" s="4"/>
      <c r="L405" s="4"/>
    </row>
    <row r="406" spans="1:12">
      <c r="A406" s="1">
        <f ca="1">IFERROR(__xludf.DUMMYFUNCTION("""COMPUTED_VALUE"""),3731)</f>
        <v>3731</v>
      </c>
      <c r="B406" s="1" t="str">
        <f ca="1">IFERROR(__xludf.DUMMYFUNCTION("""COMPUTED_VALUE"""),"PKM KC")</f>
        <v>PKM KC</v>
      </c>
      <c r="C406" s="1" t="str">
        <f ca="1">IFERROR(__xludf.DUMMYFUNCTION("""COMPUTED_VALUE"""),"REVISI MAJOR - topik ini kurang memberikan karsa cipta yang menarik, namun masih ada waktu untuk memoles supaya topik ini menjadi menarik, misalnya dengan membuat sistem penilaian kualitas audio dengan artificial intelligence atau yang lain. 
bab 1 kurang"&amp;" menggambarkan kegunaan dari produk yang akan dibuat, jika hanya sekedar sensor dan mengumpulkan data-data saja maka tidak ada yang menarik dari produk ini. 
subbab 1.5 jelaskan manfaat produk ini apabila telah diterapkan dan kemungkinan pengembangannya, "&amp;"jangan dipecah manfaat bagi mahasiswa, masyarakat, dsb.. jadi jelaskan jika produk ini diterapkan maka... bukan manfaat program PKM nya 
bab 2 jangan menjelaskan fungsi-fungsi komponen, tapi coba lebih fokus ke sistem/produk yang telah dikembangkan orang")</f>
        <v>REVISI MAJOR - topik ini kurang memberikan karsa cipta yang menarik, namun masih ada waktu untuk memoles supaya topik ini menjadi menarik, misalnya dengan membuat sistem penilaian kualitas audio dengan artificial intelligence atau yang lain. 
bab 1 kurang menggambarkan kegunaan dari produk yang akan dibuat, jika hanya sekedar sensor dan mengumpulkan data-data saja maka tidak ada yang menarik dari produk ini. 
subbab 1.5 jelaskan manfaat produk ini apabila telah diterapkan dan kemungkinan pengembangannya, jangan dipecah manfaat bagi mahasiswa, masyarakat, dsb.. jadi jelaskan jika produk ini diterapkan maka... bukan manfaat program PKM nya 
bab 2 jangan menjelaskan fungsi-fungsi komponen, tapi coba lebih fokus ke sistem/produk yang telah dikembangkan orang</v>
      </c>
      <c r="D406" s="1" t="str">
        <f ca="1">IFERROR(__xludf.DUMMYFUNCTION("""COMPUTED_VALUE"""),"LAYAK UPLOAD KE SIMBELMAWA DENGAN REVISI")</f>
        <v>LAYAK UPLOAD KE SIMBELMAWA DENGAN REVISI</v>
      </c>
      <c r="E406" s="7" t="str">
        <f ca="1">IFERROR(__xludf.DUMMYFUNCTION("""COMPUTED_VALUE"""),"https://drive.google.com/open?id=1VZ9Hy79PxIdC0VZ4DLIgrgRY179krgTA")</f>
        <v>https://drive.google.com/open?id=1VZ9Hy79PxIdC0VZ4DLIgrgRY179krgTA</v>
      </c>
      <c r="F406" s="1">
        <f t="shared" ca="1" si="11"/>
        <v>0</v>
      </c>
      <c r="H406" s="4"/>
      <c r="I406" s="4"/>
      <c r="J406" s="4"/>
      <c r="K406" s="4"/>
      <c r="L406" s="4"/>
    </row>
    <row r="407" spans="1:12">
      <c r="A407" s="1">
        <f ca="1">IFERROR(__xludf.DUMMYFUNCTION("""COMPUTED_VALUE"""),3355)</f>
        <v>3355</v>
      </c>
      <c r="B407" s="1" t="str">
        <f ca="1">IFERROR(__xludf.DUMMYFUNCTION("""COMPUTED_VALUE"""),"PKM KC")</f>
        <v>PKM KC</v>
      </c>
      <c r="C407" s="1" t="str">
        <f ca="1">IFERROR(__xludf.DUMMYFUNCTION("""COMPUTED_VALUE"""),"tambahkan desain/gambar alat, macam metode sterilisasi dapat dibuat bentuk tabel, anggaran dana maksimalkan")</f>
        <v>tambahkan desain/gambar alat, macam metode sterilisasi dapat dibuat bentuk tabel, anggaran dana maksimalkan</v>
      </c>
      <c r="D407" s="1"/>
      <c r="E407" s="7" t="str">
        <f ca="1">IFERROR(__xludf.DUMMYFUNCTION("""COMPUTED_VALUE"""),"https://drive.google.com/open?id=1dH3dEnKTaXLK27LNAKnEcOQKHTcqJLPx")</f>
        <v>https://drive.google.com/open?id=1dH3dEnKTaXLK27LNAKnEcOQKHTcqJLPx</v>
      </c>
      <c r="F407" s="1">
        <f t="shared" ca="1" si="11"/>
        <v>0</v>
      </c>
      <c r="H407" s="4"/>
      <c r="I407" s="4"/>
      <c r="J407" s="4"/>
      <c r="K407" s="4"/>
      <c r="L407" s="4"/>
    </row>
    <row r="408" spans="1:12">
      <c r="A408" s="1">
        <f ca="1">IFERROR(__xludf.DUMMYFUNCTION("""COMPUTED_VALUE"""),3801)</f>
        <v>3801</v>
      </c>
      <c r="B408" s="1" t="str">
        <f ca="1">IFERROR(__xludf.DUMMYFUNCTION("""COMPUTED_VALUE"""),"PKM KC")</f>
        <v>PKM KC</v>
      </c>
      <c r="C408" s="1" t="str">
        <f ca="1">IFERROR(__xludf.DUMMYFUNCTION("""COMPUTED_VALUE"""),"perbaiki panah flowchart, bila memungkinkan tampilkan visualisasi UAV, jelaskan secara keilmuan terkait metode mekanisme respon cepat")</f>
        <v>perbaiki panah flowchart, bila memungkinkan tampilkan visualisasi UAV, jelaskan secara keilmuan terkait metode mekanisme respon cepat</v>
      </c>
      <c r="D408" s="1"/>
      <c r="E408" s="7" t="str">
        <f ca="1">IFERROR(__xludf.DUMMYFUNCTION("""COMPUTED_VALUE"""),"https://drive.google.com/open?id=1Bii9uTmabXpaY3K4sbsG7EDx3iHlXmsY")</f>
        <v>https://drive.google.com/open?id=1Bii9uTmabXpaY3K4sbsG7EDx3iHlXmsY</v>
      </c>
      <c r="F408" s="1">
        <f t="shared" ca="1" si="11"/>
        <v>0</v>
      </c>
      <c r="H408" s="4"/>
      <c r="I408" s="4"/>
      <c r="J408" s="4"/>
      <c r="K408" s="4"/>
      <c r="L408" s="4"/>
    </row>
    <row r="409" spans="1:12">
      <c r="A409" s="1">
        <f ca="1">IFERROR(__xludf.DUMMYFUNCTION("""COMPUTED_VALUE"""),3668)</f>
        <v>3668</v>
      </c>
      <c r="B409" s="1" t="str">
        <f ca="1">IFERROR(__xludf.DUMMYFUNCTION("""COMPUTED_VALUE"""),"PKM KC")</f>
        <v>PKM KC</v>
      </c>
      <c r="C409" s="1" t="str">
        <f ca="1">IFERROR(__xludf.DUMMYFUNCTION("""COMPUTED_VALUE"""),"Buatkan visual alatnya, peletakkan sensor2nya saat implementasi di kolam")</f>
        <v>Buatkan visual alatnya, peletakkan sensor2nya saat implementasi di kolam</v>
      </c>
      <c r="D409" s="1"/>
      <c r="E409" s="7" t="str">
        <f ca="1">IFERROR(__xludf.DUMMYFUNCTION("""COMPUTED_VALUE"""),"https://drive.google.com/open?id=1yStDi00c3zgl9RMJCELWJ__lyQptxmQq")</f>
        <v>https://drive.google.com/open?id=1yStDi00c3zgl9RMJCELWJ__lyQptxmQq</v>
      </c>
      <c r="F409" s="1">
        <f t="shared" ca="1" si="11"/>
        <v>0</v>
      </c>
      <c r="H409" s="4"/>
      <c r="I409" s="4"/>
      <c r="J409" s="4"/>
      <c r="K409" s="4"/>
      <c r="L409" s="4"/>
    </row>
    <row r="410" spans="1:12">
      <c r="A410" s="1">
        <f ca="1">IFERROR(__xludf.DUMMYFUNCTION("""COMPUTED_VALUE"""),3221)</f>
        <v>3221</v>
      </c>
      <c r="B410" s="1" t="str">
        <f ca="1">IFERROR(__xludf.DUMMYFUNCTION("""COMPUTED_VALUE"""),"PKM KC")</f>
        <v>PKM KC</v>
      </c>
      <c r="C410" s="1" t="str">
        <f ca="1">IFERROR(__xludf.DUMMYFUNCTION("""COMPUTED_VALUE""")," ")</f>
        <v xml:space="preserve"> </v>
      </c>
      <c r="D410" s="1" t="str">
        <f ca="1">IFERROR(__xludf.DUMMYFUNCTION("""COMPUTED_VALUE""")," ")</f>
        <v xml:space="preserve"> </v>
      </c>
      <c r="E410" s="1"/>
      <c r="F410" s="1">
        <f t="shared" ca="1" si="11"/>
        <v>2</v>
      </c>
      <c r="H410" s="4"/>
      <c r="I410" s="4"/>
      <c r="J410" s="4"/>
      <c r="K410" s="4"/>
      <c r="L410" s="4"/>
    </row>
    <row r="411" spans="1:12">
      <c r="A411" s="1">
        <f ca="1">IFERROR(__xludf.DUMMYFUNCTION("""COMPUTED_VALUE"""),4149)</f>
        <v>4149</v>
      </c>
      <c r="B411" s="1" t="str">
        <f ca="1">IFERROR(__xludf.DUMMYFUNCTION("""COMPUTED_VALUE"""),"PKM KC")</f>
        <v>PKM KC</v>
      </c>
      <c r="C411" s="1" t="str">
        <f ca="1">IFERROR(__xludf.DUMMYFUNCTION("""COMPUTED_VALUE"""),"tambahkan visualisasi alat, penjelasan konsep alat tidak komprehensif, beri gambaran skematik kerja")</f>
        <v>tambahkan visualisasi alat, penjelasan konsep alat tidak komprehensif, beri gambaran skematik kerja</v>
      </c>
      <c r="D411" s="1"/>
      <c r="E411" s="7" t="str">
        <f ca="1">IFERROR(__xludf.DUMMYFUNCTION("""COMPUTED_VALUE"""),"https://drive.google.com/open?id=1JksKfQmRNeFqlO67LXIGgmZnHWvRGszi")</f>
        <v>https://drive.google.com/open?id=1JksKfQmRNeFqlO67LXIGgmZnHWvRGszi</v>
      </c>
      <c r="F411" s="1">
        <f t="shared" ca="1" si="11"/>
        <v>0</v>
      </c>
      <c r="H411" s="4"/>
      <c r="I411" s="4"/>
      <c r="J411" s="4"/>
      <c r="K411" s="4"/>
      <c r="L411" s="4"/>
    </row>
    <row r="412" spans="1:12">
      <c r="A412" s="1"/>
      <c r="B412" s="1"/>
      <c r="C412" s="1" t="str">
        <f ca="1">IFERROR(__xludf.DUMMYFUNCTION("""COMPUTED_VALUE""")," ")</f>
        <v xml:space="preserve"> </v>
      </c>
      <c r="D412" s="1"/>
      <c r="E412" s="1"/>
      <c r="F412" s="1">
        <f t="shared" ca="1" si="11"/>
        <v>2</v>
      </c>
      <c r="H412" s="4"/>
      <c r="I412" s="4"/>
      <c r="J412" s="4"/>
      <c r="K412" s="4"/>
      <c r="L412" s="4"/>
    </row>
    <row r="413" spans="1:12">
      <c r="A413" s="1"/>
      <c r="B413" s="1"/>
      <c r="C413" s="1" t="str">
        <f ca="1">IFERROR(__xludf.DUMMYFUNCTION("""COMPUTED_VALUE""")," ")</f>
        <v xml:space="preserve"> </v>
      </c>
      <c r="D413" s="1"/>
      <c r="E413" s="1"/>
      <c r="F413" s="1">
        <f t="shared" ca="1" si="11"/>
        <v>2</v>
      </c>
      <c r="H413" s="4"/>
      <c r="I413" s="4"/>
      <c r="J413" s="4"/>
      <c r="K413" s="4"/>
      <c r="L413" s="4"/>
    </row>
    <row r="414" spans="1:12">
      <c r="A414" s="1"/>
      <c r="B414" s="1"/>
      <c r="C414" s="1" t="str">
        <f ca="1">IFERROR(__xludf.DUMMYFUNCTION("""COMPUTED_VALUE""")," ")</f>
        <v xml:space="preserve"> </v>
      </c>
      <c r="D414" s="1"/>
      <c r="E414" s="1"/>
      <c r="F414" s="1">
        <f t="shared" ca="1" si="11"/>
        <v>2</v>
      </c>
      <c r="H414" s="4"/>
      <c r="I414" s="4"/>
      <c r="J414" s="4"/>
      <c r="K414" s="4"/>
      <c r="L414" s="4"/>
    </row>
    <row r="415" spans="1:12">
      <c r="A415" s="1"/>
      <c r="B415" s="1"/>
      <c r="C415" s="1" t="str">
        <f ca="1">IFERROR(__xludf.DUMMYFUNCTION("""COMPUTED_VALUE""")," ")</f>
        <v xml:space="preserve"> </v>
      </c>
      <c r="D415" s="1"/>
      <c r="E415" s="1"/>
      <c r="F415" s="1">
        <f t="shared" ca="1" si="11"/>
        <v>2</v>
      </c>
      <c r="H415" s="4"/>
      <c r="I415" s="4"/>
      <c r="J415" s="4"/>
      <c r="K415" s="4"/>
      <c r="L415" s="4"/>
    </row>
    <row r="416" spans="1:12">
      <c r="A416" s="1"/>
      <c r="B416" s="1"/>
      <c r="C416" s="1" t="str">
        <f ca="1">IFERROR(__xludf.DUMMYFUNCTION("""COMPUTED_VALUE""")," ")</f>
        <v xml:space="preserve"> </v>
      </c>
      <c r="D416" s="1"/>
      <c r="E416" s="1"/>
      <c r="F416" s="1">
        <f t="shared" ca="1" si="11"/>
        <v>2</v>
      </c>
      <c r="H416" s="4"/>
      <c r="I416" s="4"/>
      <c r="J416" s="4"/>
      <c r="K416" s="4"/>
      <c r="L416" s="4"/>
    </row>
    <row r="417" spans="1:12">
      <c r="A417" s="1"/>
      <c r="B417" s="1"/>
      <c r="C417" s="1" t="str">
        <f ca="1">IFERROR(__xludf.DUMMYFUNCTION("""COMPUTED_VALUE""")," ")</f>
        <v xml:space="preserve"> </v>
      </c>
      <c r="D417" s="1"/>
      <c r="E417" s="1"/>
      <c r="F417" s="1">
        <f t="shared" ca="1" si="11"/>
        <v>2</v>
      </c>
      <c r="H417" s="4"/>
      <c r="I417" s="4"/>
      <c r="J417" s="4"/>
      <c r="K417" s="4"/>
      <c r="L417" s="4"/>
    </row>
    <row r="418" spans="1:12">
      <c r="A418" s="1"/>
      <c r="B418" s="1"/>
      <c r="C418" s="1" t="str">
        <f ca="1">IFERROR(__xludf.DUMMYFUNCTION("""COMPUTED_VALUE""")," ")</f>
        <v xml:space="preserve"> </v>
      </c>
      <c r="D418" s="1"/>
      <c r="E418" s="1"/>
      <c r="F418" s="1">
        <f t="shared" ca="1" si="11"/>
        <v>2</v>
      </c>
      <c r="H418" s="4"/>
      <c r="I418" s="4"/>
      <c r="J418" s="4"/>
      <c r="K418" s="4"/>
      <c r="L418" s="4"/>
    </row>
    <row r="419" spans="1:12">
      <c r="A419" s="1"/>
      <c r="B419" s="1"/>
      <c r="C419" s="1" t="str">
        <f ca="1">IFERROR(__xludf.DUMMYFUNCTION("""COMPUTED_VALUE""")," ")</f>
        <v xml:space="preserve"> </v>
      </c>
      <c r="D419" s="1"/>
      <c r="E419" s="1"/>
      <c r="F419" s="1">
        <f t="shared" ca="1" si="11"/>
        <v>2</v>
      </c>
      <c r="H419" s="4"/>
      <c r="I419" s="4"/>
      <c r="J419" s="4"/>
      <c r="K419" s="4"/>
      <c r="L419" s="4"/>
    </row>
    <row r="420" spans="1:12">
      <c r="A420" s="1"/>
      <c r="B420" s="1"/>
      <c r="C420" s="1" t="str">
        <f ca="1">IFERROR(__xludf.DUMMYFUNCTION("""COMPUTED_VALUE""")," ")</f>
        <v xml:space="preserve"> </v>
      </c>
      <c r="D420" s="1"/>
      <c r="E420" s="1"/>
      <c r="F420" s="1">
        <f t="shared" ca="1" si="11"/>
        <v>2</v>
      </c>
      <c r="H420" s="4"/>
      <c r="I420" s="4"/>
      <c r="J420" s="4"/>
      <c r="K420" s="4"/>
      <c r="L420" s="4"/>
    </row>
    <row r="421" spans="1:12">
      <c r="A421" s="1"/>
      <c r="B421" s="1"/>
      <c r="C421" s="1" t="str">
        <f ca="1">IFERROR(__xludf.DUMMYFUNCTION("""COMPUTED_VALUE""")," ")</f>
        <v xml:space="preserve"> </v>
      </c>
      <c r="D421" s="1"/>
      <c r="E421" s="1"/>
      <c r="F421" s="1">
        <f t="shared" ca="1" si="11"/>
        <v>2</v>
      </c>
      <c r="H421" s="4"/>
      <c r="I421" s="4"/>
      <c r="J421" s="4"/>
      <c r="K421" s="4"/>
      <c r="L421" s="4"/>
    </row>
    <row r="422" spans="1:12">
      <c r="A422" s="1"/>
      <c r="B422" s="1"/>
      <c r="C422" s="1" t="str">
        <f ca="1">IFERROR(__xludf.DUMMYFUNCTION("""COMPUTED_VALUE""")," ")</f>
        <v xml:space="preserve"> </v>
      </c>
      <c r="D422" s="1"/>
      <c r="E422" s="1"/>
      <c r="F422" s="1">
        <f t="shared" ca="1" si="11"/>
        <v>2</v>
      </c>
      <c r="H422" s="4"/>
      <c r="I422" s="4"/>
      <c r="J422" s="4"/>
      <c r="K422" s="4"/>
      <c r="L422" s="4"/>
    </row>
    <row r="423" spans="1:12">
      <c r="A423" s="1"/>
      <c r="B423" s="1"/>
      <c r="C423" s="1" t="str">
        <f ca="1">IFERROR(__xludf.DUMMYFUNCTION("""COMPUTED_VALUE""")," ")</f>
        <v xml:space="preserve"> </v>
      </c>
      <c r="D423" s="1"/>
      <c r="E423" s="1"/>
      <c r="F423" s="1">
        <f t="shared" ca="1" si="11"/>
        <v>2</v>
      </c>
      <c r="H423" s="4"/>
      <c r="I423" s="4"/>
      <c r="J423" s="4"/>
      <c r="K423" s="4"/>
      <c r="L423" s="4"/>
    </row>
    <row r="424" spans="1:12">
      <c r="A424" s="1"/>
      <c r="B424" s="1"/>
      <c r="C424" s="1" t="str">
        <f ca="1">IFERROR(__xludf.DUMMYFUNCTION("""COMPUTED_VALUE""")," ")</f>
        <v xml:space="preserve"> </v>
      </c>
      <c r="D424" s="1"/>
      <c r="E424" s="1"/>
      <c r="F424" s="1">
        <f t="shared" ca="1" si="11"/>
        <v>2</v>
      </c>
      <c r="H424" s="4"/>
      <c r="I424" s="4"/>
      <c r="J424" s="4"/>
      <c r="K424" s="4"/>
      <c r="L424" s="4"/>
    </row>
    <row r="425" spans="1:12">
      <c r="A425" s="1"/>
      <c r="B425" s="1"/>
      <c r="C425" s="1" t="str">
        <f ca="1">IFERROR(__xludf.DUMMYFUNCTION("""COMPUTED_VALUE""")," ")</f>
        <v xml:space="preserve"> </v>
      </c>
      <c r="D425" s="1"/>
      <c r="E425" s="1"/>
      <c r="F425" s="1">
        <f t="shared" ca="1" si="11"/>
        <v>2</v>
      </c>
      <c r="H425" s="4"/>
      <c r="I425" s="4"/>
      <c r="J425" s="4"/>
      <c r="K425" s="4"/>
      <c r="L425" s="4"/>
    </row>
    <row r="426" spans="1:12">
      <c r="A426" s="1"/>
      <c r="B426" s="1"/>
      <c r="C426" s="1" t="str">
        <f ca="1">IFERROR(__xludf.DUMMYFUNCTION("""COMPUTED_VALUE""")," ")</f>
        <v xml:space="preserve"> </v>
      </c>
      <c r="D426" s="1"/>
      <c r="E426" s="1"/>
      <c r="F426" s="1">
        <f t="shared" ca="1" si="11"/>
        <v>2</v>
      </c>
      <c r="H426" s="4"/>
      <c r="I426" s="4"/>
      <c r="J426" s="4"/>
      <c r="K426" s="4"/>
      <c r="L426" s="4"/>
    </row>
    <row r="427" spans="1:12">
      <c r="A427" s="1"/>
      <c r="B427" s="1"/>
      <c r="C427" s="1" t="str">
        <f ca="1">IFERROR(__xludf.DUMMYFUNCTION("""COMPUTED_VALUE""")," ")</f>
        <v xml:space="preserve"> </v>
      </c>
      <c r="D427" s="1"/>
      <c r="E427" s="1"/>
      <c r="F427" s="1">
        <f t="shared" ca="1" si="11"/>
        <v>2</v>
      </c>
      <c r="H427" s="4"/>
      <c r="I427" s="4"/>
      <c r="J427" s="4"/>
      <c r="K427" s="4"/>
      <c r="L427" s="4"/>
    </row>
    <row r="428" spans="1:12">
      <c r="A428" s="1"/>
      <c r="B428" s="1"/>
      <c r="C428" s="1" t="str">
        <f ca="1">IFERROR(__xludf.DUMMYFUNCTION("""COMPUTED_VALUE""")," ")</f>
        <v xml:space="preserve"> </v>
      </c>
      <c r="D428" s="1"/>
      <c r="E428" s="1"/>
      <c r="F428" s="1">
        <f t="shared" ca="1" si="11"/>
        <v>2</v>
      </c>
      <c r="H428" s="4"/>
      <c r="I428" s="4"/>
      <c r="J428" s="4"/>
      <c r="K428" s="4"/>
      <c r="L428" s="4"/>
    </row>
    <row r="429" spans="1:12">
      <c r="A429" s="1"/>
      <c r="B429" s="1"/>
      <c r="C429" s="1" t="str">
        <f ca="1">IFERROR(__xludf.DUMMYFUNCTION("""COMPUTED_VALUE""")," ")</f>
        <v xml:space="preserve"> </v>
      </c>
      <c r="D429" s="1"/>
      <c r="E429" s="1"/>
      <c r="F429" s="1">
        <f t="shared" ca="1" si="11"/>
        <v>2</v>
      </c>
      <c r="H429" s="4"/>
      <c r="I429" s="4"/>
      <c r="J429" s="4"/>
      <c r="K429" s="4"/>
      <c r="L429" s="4"/>
    </row>
    <row r="430" spans="1:12">
      <c r="A430" s="1"/>
      <c r="B430" s="1"/>
      <c r="C430" s="1" t="str">
        <f ca="1">IFERROR(__xludf.DUMMYFUNCTION("""COMPUTED_VALUE""")," ")</f>
        <v xml:space="preserve"> </v>
      </c>
      <c r="D430" s="1"/>
      <c r="E430" s="1"/>
      <c r="F430" s="1">
        <f t="shared" ca="1" si="11"/>
        <v>2</v>
      </c>
      <c r="H430" s="4"/>
      <c r="I430" s="4"/>
      <c r="J430" s="4"/>
      <c r="K430" s="4"/>
      <c r="L430" s="4"/>
    </row>
    <row r="431" spans="1:12">
      <c r="A431" s="1"/>
      <c r="B431" s="1"/>
      <c r="C431" s="1" t="str">
        <f ca="1">IFERROR(__xludf.DUMMYFUNCTION("""COMPUTED_VALUE""")," ")</f>
        <v xml:space="preserve"> </v>
      </c>
      <c r="D431" s="1"/>
      <c r="E431" s="1"/>
      <c r="F431" s="1">
        <f t="shared" ca="1" si="11"/>
        <v>2</v>
      </c>
      <c r="H431" s="4"/>
      <c r="I431" s="4"/>
      <c r="J431" s="4"/>
      <c r="K431" s="4"/>
      <c r="L431" s="4"/>
    </row>
    <row r="432" spans="1:12">
      <c r="A432" s="1"/>
      <c r="B432" s="1"/>
      <c r="C432" s="1" t="str">
        <f ca="1">IFERROR(__xludf.DUMMYFUNCTION("""COMPUTED_VALUE""")," ")</f>
        <v xml:space="preserve"> </v>
      </c>
      <c r="D432" s="1"/>
      <c r="E432" s="1"/>
      <c r="F432" s="1">
        <f t="shared" ca="1" si="11"/>
        <v>2</v>
      </c>
      <c r="H432" s="4"/>
      <c r="I432" s="4"/>
      <c r="J432" s="4"/>
      <c r="K432" s="4"/>
      <c r="L432" s="4"/>
    </row>
    <row r="433" spans="1:12">
      <c r="A433" s="1"/>
      <c r="B433" s="1"/>
      <c r="C433" s="1" t="str">
        <f ca="1">IFERROR(__xludf.DUMMYFUNCTION("""COMPUTED_VALUE""")," ")</f>
        <v xml:space="preserve"> </v>
      </c>
      <c r="D433" s="1"/>
      <c r="E433" s="1"/>
      <c r="F433" s="1">
        <f t="shared" ca="1" si="11"/>
        <v>2</v>
      </c>
      <c r="H433" s="4"/>
      <c r="I433" s="4"/>
      <c r="J433" s="4"/>
      <c r="K433" s="4"/>
      <c r="L433" s="4"/>
    </row>
    <row r="434" spans="1:12">
      <c r="A434" s="1"/>
      <c r="B434" s="1"/>
      <c r="C434" s="1" t="str">
        <f ca="1">IFERROR(__xludf.DUMMYFUNCTION("""COMPUTED_VALUE""")," ")</f>
        <v xml:space="preserve"> </v>
      </c>
      <c r="D434" s="1"/>
      <c r="E434" s="1"/>
      <c r="F434" s="1">
        <f t="shared" ca="1" si="11"/>
        <v>2</v>
      </c>
      <c r="H434" s="4"/>
      <c r="I434" s="4"/>
      <c r="J434" s="4"/>
      <c r="K434" s="4"/>
      <c r="L434" s="4"/>
    </row>
    <row r="435" spans="1:12">
      <c r="A435" s="1"/>
      <c r="B435" s="1"/>
      <c r="C435" s="1" t="str">
        <f ca="1">IFERROR(__xludf.DUMMYFUNCTION("""COMPUTED_VALUE""")," ")</f>
        <v xml:space="preserve"> </v>
      </c>
      <c r="D435" s="1"/>
      <c r="E435" s="1"/>
      <c r="F435" s="1">
        <f t="shared" ca="1" si="11"/>
        <v>2</v>
      </c>
      <c r="H435" s="4"/>
      <c r="I435" s="4"/>
      <c r="J435" s="4"/>
      <c r="K435" s="4"/>
      <c r="L435" s="4"/>
    </row>
    <row r="436" spans="1:12">
      <c r="A436" s="1"/>
      <c r="B436" s="1"/>
      <c r="C436" s="1" t="str">
        <f ca="1">IFERROR(__xludf.DUMMYFUNCTION("""COMPUTED_VALUE""")," ")</f>
        <v xml:space="preserve"> </v>
      </c>
      <c r="D436" s="1"/>
      <c r="E436" s="1"/>
      <c r="F436" s="1">
        <f t="shared" ca="1" si="11"/>
        <v>2</v>
      </c>
      <c r="H436" s="4"/>
      <c r="I436" s="4"/>
      <c r="J436" s="4"/>
      <c r="K436" s="4"/>
      <c r="L436" s="4"/>
    </row>
    <row r="437" spans="1:12">
      <c r="A437" s="1"/>
      <c r="B437" s="1"/>
      <c r="C437" s="1" t="str">
        <f ca="1">IFERROR(__xludf.DUMMYFUNCTION("""COMPUTED_VALUE""")," ")</f>
        <v xml:space="preserve"> </v>
      </c>
      <c r="D437" s="1"/>
      <c r="E437" s="1"/>
      <c r="F437" s="1">
        <f t="shared" ca="1" si="11"/>
        <v>2</v>
      </c>
      <c r="H437" s="4"/>
      <c r="I437" s="4"/>
      <c r="J437" s="4"/>
      <c r="K437" s="4"/>
      <c r="L437" s="4"/>
    </row>
    <row r="438" spans="1:12">
      <c r="A438" s="1"/>
      <c r="B438" s="1"/>
      <c r="C438" s="1" t="str">
        <f ca="1">IFERROR(__xludf.DUMMYFUNCTION("""COMPUTED_VALUE""")," ")</f>
        <v xml:space="preserve"> </v>
      </c>
      <c r="D438" s="1"/>
      <c r="E438" s="1"/>
      <c r="F438" s="1">
        <f t="shared" ca="1" si="11"/>
        <v>2</v>
      </c>
      <c r="H438" s="4"/>
      <c r="I438" s="4"/>
      <c r="J438" s="4"/>
      <c r="K438" s="4"/>
      <c r="L438" s="4"/>
    </row>
    <row r="439" spans="1:12">
      <c r="A439" s="1"/>
      <c r="B439" s="1"/>
      <c r="C439" s="1" t="str">
        <f ca="1">IFERROR(__xludf.DUMMYFUNCTION("""COMPUTED_VALUE""")," ")</f>
        <v xml:space="preserve"> </v>
      </c>
      <c r="D439" s="1"/>
      <c r="E439" s="1"/>
      <c r="F439" s="1">
        <f t="shared" ca="1" si="11"/>
        <v>2</v>
      </c>
      <c r="H439" s="4"/>
      <c r="I439" s="4"/>
      <c r="J439" s="4"/>
      <c r="K439" s="4"/>
      <c r="L439" s="4"/>
    </row>
    <row r="440" spans="1:12">
      <c r="A440" s="1"/>
      <c r="B440" s="1"/>
      <c r="C440" s="1" t="str">
        <f ca="1">IFERROR(__xludf.DUMMYFUNCTION("""COMPUTED_VALUE""")," ")</f>
        <v xml:space="preserve"> </v>
      </c>
      <c r="D440" s="1"/>
      <c r="E440" s="1"/>
      <c r="F440" s="1">
        <f t="shared" ca="1" si="11"/>
        <v>2</v>
      </c>
      <c r="H440" s="4"/>
      <c r="I440" s="4"/>
      <c r="J440" s="4"/>
      <c r="K440" s="4"/>
      <c r="L440" s="4"/>
    </row>
    <row r="441" spans="1:12">
      <c r="A441" s="1"/>
      <c r="B441" s="1"/>
      <c r="C441" s="1" t="str">
        <f ca="1">IFERROR(__xludf.DUMMYFUNCTION("""COMPUTED_VALUE""")," ")</f>
        <v xml:space="preserve"> </v>
      </c>
      <c r="D441" s="1"/>
      <c r="E441" s="1"/>
      <c r="F441" s="1">
        <f t="shared" ca="1" si="11"/>
        <v>2</v>
      </c>
      <c r="H441" s="4"/>
      <c r="I441" s="4"/>
      <c r="J441" s="4"/>
      <c r="K441" s="4"/>
      <c r="L441" s="4"/>
    </row>
    <row r="442" spans="1:12">
      <c r="A442" s="1"/>
      <c r="B442" s="1"/>
      <c r="C442" s="1" t="str">
        <f ca="1">IFERROR(__xludf.DUMMYFUNCTION("""COMPUTED_VALUE""")," ")</f>
        <v xml:space="preserve"> </v>
      </c>
      <c r="D442" s="1"/>
      <c r="E442" s="1"/>
      <c r="F442" s="1">
        <f t="shared" ca="1" si="11"/>
        <v>2</v>
      </c>
      <c r="H442" s="4"/>
      <c r="I442" s="4"/>
      <c r="J442" s="4"/>
      <c r="K442" s="4"/>
      <c r="L442" s="4"/>
    </row>
    <row r="443" spans="1:12">
      <c r="A443" s="1"/>
      <c r="B443" s="1"/>
      <c r="C443" s="1" t="str">
        <f ca="1">IFERROR(__xludf.DUMMYFUNCTION("""COMPUTED_VALUE""")," ")</f>
        <v xml:space="preserve"> </v>
      </c>
      <c r="D443" s="1"/>
      <c r="E443" s="1"/>
      <c r="F443" s="1">
        <f t="shared" ca="1" si="11"/>
        <v>2</v>
      </c>
      <c r="H443" s="4"/>
      <c r="I443" s="4"/>
      <c r="J443" s="4"/>
      <c r="K443" s="4"/>
      <c r="L443" s="4"/>
    </row>
    <row r="444" spans="1:12">
      <c r="A444" s="1"/>
      <c r="B444" s="1"/>
      <c r="C444" s="1" t="str">
        <f ca="1">IFERROR(__xludf.DUMMYFUNCTION("""COMPUTED_VALUE""")," ")</f>
        <v xml:space="preserve"> </v>
      </c>
      <c r="D444" s="1"/>
      <c r="E444" s="1"/>
      <c r="F444" s="1">
        <f t="shared" ca="1" si="11"/>
        <v>2</v>
      </c>
      <c r="H444" s="4"/>
      <c r="I444" s="4"/>
      <c r="J444" s="4"/>
      <c r="K444" s="4"/>
      <c r="L444" s="4"/>
    </row>
    <row r="445" spans="1:12">
      <c r="A445" s="1"/>
      <c r="B445" s="1"/>
      <c r="C445" s="1" t="str">
        <f ca="1">IFERROR(__xludf.DUMMYFUNCTION("""COMPUTED_VALUE""")," ")</f>
        <v xml:space="preserve"> </v>
      </c>
      <c r="D445" s="1"/>
      <c r="E445" s="1"/>
      <c r="F445" s="1">
        <f t="shared" ca="1" si="11"/>
        <v>2</v>
      </c>
      <c r="H445" s="4"/>
      <c r="I445" s="4"/>
      <c r="J445" s="4"/>
      <c r="K445" s="4"/>
      <c r="L445" s="4"/>
    </row>
    <row r="446" spans="1:12">
      <c r="A446" s="1"/>
      <c r="B446" s="1"/>
      <c r="C446" s="1" t="str">
        <f ca="1">IFERROR(__xludf.DUMMYFUNCTION("""COMPUTED_VALUE""")," ")</f>
        <v xml:space="preserve"> </v>
      </c>
      <c r="D446" s="1"/>
      <c r="E446" s="1"/>
      <c r="F446" s="1">
        <f t="shared" ca="1" si="11"/>
        <v>2</v>
      </c>
      <c r="H446" s="4"/>
      <c r="I446" s="4"/>
      <c r="J446" s="4"/>
      <c r="K446" s="4"/>
      <c r="L446" s="4"/>
    </row>
    <row r="447" spans="1:12">
      <c r="A447" s="1"/>
      <c r="B447" s="1"/>
      <c r="C447" s="1" t="str">
        <f ca="1">IFERROR(__xludf.DUMMYFUNCTION("""COMPUTED_VALUE""")," ")</f>
        <v xml:space="preserve"> </v>
      </c>
      <c r="D447" s="1"/>
      <c r="E447" s="1"/>
      <c r="F447" s="1">
        <f t="shared" ca="1" si="11"/>
        <v>2</v>
      </c>
      <c r="H447" s="4"/>
      <c r="I447" s="4"/>
      <c r="J447" s="4"/>
      <c r="K447" s="4"/>
      <c r="L447" s="4"/>
    </row>
    <row r="448" spans="1:12">
      <c r="A448" s="1"/>
      <c r="B448" s="1"/>
      <c r="C448" s="1" t="str">
        <f ca="1">IFERROR(__xludf.DUMMYFUNCTION("""COMPUTED_VALUE""")," ")</f>
        <v xml:space="preserve"> </v>
      </c>
      <c r="D448" s="1"/>
      <c r="E448" s="1"/>
      <c r="F448" s="1">
        <f t="shared" ca="1" si="11"/>
        <v>2</v>
      </c>
      <c r="H448" s="4"/>
      <c r="I448" s="4"/>
      <c r="J448" s="4"/>
      <c r="K448" s="4"/>
      <c r="L448" s="4"/>
    </row>
    <row r="449" spans="1:12">
      <c r="A449" s="1"/>
      <c r="B449" s="1"/>
      <c r="C449" s="1" t="str">
        <f ca="1">IFERROR(__xludf.DUMMYFUNCTION("""COMPUTED_VALUE""")," ")</f>
        <v xml:space="preserve"> </v>
      </c>
      <c r="D449" s="1"/>
      <c r="E449" s="1"/>
      <c r="F449" s="1">
        <f t="shared" ca="1" si="11"/>
        <v>2</v>
      </c>
      <c r="H449" s="4"/>
      <c r="I449" s="4"/>
      <c r="J449" s="4"/>
      <c r="K449" s="4"/>
      <c r="L449" s="4"/>
    </row>
    <row r="450" spans="1:12">
      <c r="A450" s="1"/>
      <c r="B450" s="1"/>
      <c r="C450" s="1" t="str">
        <f ca="1">IFERROR(__xludf.DUMMYFUNCTION("""COMPUTED_VALUE""")," ")</f>
        <v xml:space="preserve"> </v>
      </c>
      <c r="D450" s="1"/>
      <c r="E450" s="1"/>
      <c r="F450" s="1">
        <f t="shared" ca="1" si="11"/>
        <v>2</v>
      </c>
      <c r="H450" s="4"/>
      <c r="I450" s="4"/>
      <c r="J450" s="4"/>
      <c r="K450" s="4"/>
      <c r="L450" s="4"/>
    </row>
    <row r="451" spans="1:12">
      <c r="A451" s="1">
        <f ca="1">IFERROR(__xludf.DUMMYFUNCTION("""COMPUTED_VALUE"""),3478)</f>
        <v>3478</v>
      </c>
      <c r="B451" s="1" t="str">
        <f ca="1">IFERROR(__xludf.DUMMYFUNCTION("""COMPUTED_VALUE"""),"PKM RE")</f>
        <v>PKM RE</v>
      </c>
      <c r="C451" s="1" t="str">
        <f ca="1">IFERROR(__xludf.DUMMYFUNCTION("""COMPUTED_VALUE"""),"tidak melakukan perbaikan RAB sesuai bikom sebelumnya")</f>
        <v>tidak melakukan perbaikan RAB sesuai bikom sebelumnya</v>
      </c>
      <c r="D451" s="1" t="str">
        <f ca="1">IFERROR(__xludf.DUMMYFUNCTION("""COMPUTED_VALUE"""),"LAYAK UPLOAD KE SIMBELMAWA DENGAN REVISI")</f>
        <v>LAYAK UPLOAD KE SIMBELMAWA DENGAN REVISI</v>
      </c>
      <c r="E451" s="7" t="str">
        <f ca="1">IFERROR(__xludf.DUMMYFUNCTION("""COMPUTED_VALUE"""),"https://drive.google.com/open?id=1bHspHl112yrnPwzJNM_4xuE8Qio4O2F1")</f>
        <v>https://drive.google.com/open?id=1bHspHl112yrnPwzJNM_4xuE8Qio4O2F1</v>
      </c>
      <c r="F451" s="1">
        <f t="shared" ca="1" si="11"/>
        <v>0</v>
      </c>
      <c r="H451" s="4"/>
      <c r="I451" s="4"/>
      <c r="J451" s="4"/>
      <c r="K451" s="4"/>
      <c r="L451" s="4"/>
    </row>
    <row r="452" spans="1:12">
      <c r="A452" s="1">
        <f ca="1">IFERROR(__xludf.DUMMYFUNCTION("""COMPUTED_VALUE"""),2767)</f>
        <v>2767</v>
      </c>
      <c r="B452" s="1" t="str">
        <f ca="1">IFERROR(__xludf.DUMMYFUNCTION("""COMPUTED_VALUE"""),"PKM RE")</f>
        <v>PKM RE</v>
      </c>
      <c r="C452" s="1" t="str">
        <f ca="1">IFERROR(__xludf.DUMMYFUNCTION("""COMPUTED_VALUE"""),"RAB belum menuliskan keterangan in cash dari PT (tabel 4.1) dan blm ada keterangan dipakai di item mana di lampiran 2, tanda tangan biodata mahasiswa dan dosen masih februari 2022")</f>
        <v>RAB belum menuliskan keterangan in cash dari PT (tabel 4.1) dan blm ada keterangan dipakai di item mana di lampiran 2, tanda tangan biodata mahasiswa dan dosen masih februari 2022</v>
      </c>
      <c r="D452" s="1" t="str">
        <f ca="1">IFERROR(__xludf.DUMMYFUNCTION("""COMPUTED_VALUE"""),"LAYAK UPLOAD KE SIMBELMAWA DENGAN REVISI")</f>
        <v>LAYAK UPLOAD KE SIMBELMAWA DENGAN REVISI</v>
      </c>
      <c r="E452" s="7" t="str">
        <f ca="1">IFERROR(__xludf.DUMMYFUNCTION("""COMPUTED_VALUE"""),"https://drive.google.com/open?id=1Pq_bU8S4Ym7slaHGEIXgnRODXETWAAPg")</f>
        <v>https://drive.google.com/open?id=1Pq_bU8S4Ym7slaHGEIXgnRODXETWAAPg</v>
      </c>
      <c r="F452" s="1">
        <f t="shared" ca="1" si="11"/>
        <v>0</v>
      </c>
      <c r="H452" s="4"/>
      <c r="I452" s="4"/>
      <c r="J452" s="4"/>
      <c r="K452" s="4"/>
      <c r="L452" s="4"/>
    </row>
    <row r="453" spans="1:12">
      <c r="A453" s="1">
        <f ca="1">IFERROR(__xludf.DUMMYFUNCTION("""COMPUTED_VALUE"""),3557)</f>
        <v>3557</v>
      </c>
      <c r="B453" s="1" t="str">
        <f ca="1">IFERROR(__xludf.DUMMYFUNCTION("""COMPUTED_VALUE"""),"PKM RE")</f>
        <v>PKM RE</v>
      </c>
      <c r="C453" s="1" t="str">
        <f ca="1">IFERROR(__xludf.DUMMYFUNCTION("""COMPUTED_VALUE"""),"RAB diperbaiki beri keterangan in cash pada dana dari PT (tabel 4.1) dan beri keterangan item yang dibeli dengan dana PT (lampiran 2), jumlah halaman lebih dari 10, tidak ada publikasi (Luaran dan anggaran), biodata anggota masih Februari 2022, biodata do"&amp;"sen belum diupdate (tanggal dan tabel riwayat pendidikan)")</f>
        <v>RAB diperbaiki beri keterangan in cash pada dana dari PT (tabel 4.1) dan beri keterangan item yang dibeli dengan dana PT (lampiran 2), jumlah halaman lebih dari 10, tidak ada publikasi (Luaran dan anggaran), biodata anggota masih Februari 2022, biodata dosen belum diupdate (tanggal dan tabel riwayat pendidikan)</v>
      </c>
      <c r="D453" s="1" t="str">
        <f ca="1">IFERROR(__xludf.DUMMYFUNCTION("""COMPUTED_VALUE"""),"LAYAK UPLOAD KE SIMBELMAWA DENGAN REVISI")</f>
        <v>LAYAK UPLOAD KE SIMBELMAWA DENGAN REVISI</v>
      </c>
      <c r="E453" s="7" t="str">
        <f ca="1">IFERROR(__xludf.DUMMYFUNCTION("""COMPUTED_VALUE"""),"https://drive.google.com/open?id=1PoatgyJO13KH4DkVgBsFXHgaLyYKqZOJ")</f>
        <v>https://drive.google.com/open?id=1PoatgyJO13KH4DkVgBsFXHgaLyYKqZOJ</v>
      </c>
      <c r="F453" s="1">
        <f t="shared" ca="1" si="11"/>
        <v>0</v>
      </c>
      <c r="H453" s="4"/>
      <c r="I453" s="4"/>
      <c r="J453" s="4"/>
      <c r="K453" s="4"/>
      <c r="L453" s="4"/>
    </row>
    <row r="454" spans="1:12">
      <c r="A454" s="1">
        <f ca="1">IFERROR(__xludf.DUMMYFUNCTION("""COMPUTED_VALUE"""),2491)</f>
        <v>2491</v>
      </c>
      <c r="B454" s="1" t="str">
        <f ca="1">IFERROR(__xludf.DUMMYFUNCTION("""COMPUTED_VALUE"""),"PKM RE")</f>
        <v>PKM RE</v>
      </c>
      <c r="C454" s="1" t="str">
        <f ca="1">IFERROR(__xludf.DUMMYFUNCTION("""COMPUTED_VALUE"""),"masih ada tulisan kegiatan daring di metode, tidak ada kegiatan luring disintesis di lab?? tabel 4.1 ditambah baris instansi lain (besar dana 0 rupiah), beri keterangan untuk dana perguruan tinggi --&gt; (in cash), ada pembelian di atas 1 juta (sewa lab) seb"&amp;"aiknya dipisah menjadi 2 item, format tabel lampiran 2 belum sepenuhnya mengikuti pedoman, beri keterangan item mana yang dibeli dengan dana Perguruan Tinggi sesuai dengan tabel 4.1, tidak boleh ada publikasi artikel ilmiah")</f>
        <v>masih ada tulisan kegiatan daring di metode, tidak ada kegiatan luring disintesis di lab?? tabel 4.1 ditambah baris instansi lain (besar dana 0 rupiah), beri keterangan untuk dana perguruan tinggi --&gt; (in cash), ada pembelian di atas 1 juta (sewa lab) sebaiknya dipisah menjadi 2 item, format tabel lampiran 2 belum sepenuhnya mengikuti pedoman, beri keterangan item mana yang dibeli dengan dana Perguruan Tinggi sesuai dengan tabel 4.1, tidak boleh ada publikasi artikel ilmiah</v>
      </c>
      <c r="D454" s="1" t="str">
        <f ca="1">IFERROR(__xludf.DUMMYFUNCTION("""COMPUTED_VALUE"""),"LAYAK UPLOAD KE SIMBELMAWA DENGAN REVISI")</f>
        <v>LAYAK UPLOAD KE SIMBELMAWA DENGAN REVISI</v>
      </c>
      <c r="E454" s="7" t="str">
        <f ca="1">IFERROR(__xludf.DUMMYFUNCTION("""COMPUTED_VALUE"""),"https://drive.google.com/open?id=165wHFTgfDHcu8Ohfu45A25St_GJqdsXb")</f>
        <v>https://drive.google.com/open?id=165wHFTgfDHcu8Ohfu45A25St_GJqdsXb</v>
      </c>
      <c r="F454" s="1">
        <f t="shared" ca="1" si="11"/>
        <v>0</v>
      </c>
      <c r="H454" s="4"/>
      <c r="I454" s="4"/>
      <c r="J454" s="4"/>
      <c r="K454" s="4"/>
      <c r="L454" s="4"/>
    </row>
    <row r="455" spans="1:12">
      <c r="A455" s="1">
        <f ca="1">IFERROR(__xludf.DUMMYFUNCTION("""COMPUTED_VALUE"""),3220)</f>
        <v>3220</v>
      </c>
      <c r="B455" s="1" t="str">
        <f ca="1">IFERROR(__xludf.DUMMYFUNCTION("""COMPUTED_VALUE"""),"PKM RE")</f>
        <v>PKM RE</v>
      </c>
      <c r="C455" s="1" t="str">
        <f ca="1">IFERROR(__xludf.DUMMYFUNCTION("""COMPUTED_VALUE"""),"kualitas scan biodata diperbaiki, tambahkan produk riset berupa reaktor air-aluminium terkoneksi sel tunam ")</f>
        <v xml:space="preserve">kualitas scan biodata diperbaiki, tambahkan produk riset berupa reaktor air-aluminium terkoneksi sel tunam </v>
      </c>
      <c r="D455" s="1" t="str">
        <f ca="1">IFERROR(__xludf.DUMMYFUNCTION("""COMPUTED_VALUE"""),"LAYAK UPLOAD KE SIMBELMAWA DENGAN REVISI")</f>
        <v>LAYAK UPLOAD KE SIMBELMAWA DENGAN REVISI</v>
      </c>
      <c r="E455" s="7" t="str">
        <f ca="1">IFERROR(__xludf.DUMMYFUNCTION("""COMPUTED_VALUE"""),"https://drive.google.com/open?id=1BYYgkG2jUGuH9iGMGIl32QEEUPuKKOgy")</f>
        <v>https://drive.google.com/open?id=1BYYgkG2jUGuH9iGMGIl32QEEUPuKKOgy</v>
      </c>
      <c r="F455" s="1">
        <f t="shared" ca="1" si="11"/>
        <v>0</v>
      </c>
      <c r="H455" s="4"/>
      <c r="I455" s="4"/>
      <c r="J455" s="4"/>
      <c r="K455" s="4"/>
      <c r="L455" s="4"/>
    </row>
    <row r="456" spans="1:12">
      <c r="A456" s="1">
        <f ca="1">IFERROR(__xludf.DUMMYFUNCTION("""COMPUTED_VALUE"""),2533)</f>
        <v>2533</v>
      </c>
      <c r="B456" s="1" t="str">
        <f ca="1">IFERROR(__xludf.DUMMYFUNCTION("""COMPUTED_VALUE"""),"PKM RE")</f>
        <v>PKM RE</v>
      </c>
      <c r="C456" s="1" t="str">
        <f ca="1">IFERROR(__xludf.DUMMYFUNCTION("""COMPUTED_VALUE"""),"butuh banyak sekali perbaikan (nilai hampir tidak layak unggah)")</f>
        <v>butuh banyak sekali perbaikan (nilai hampir tidak layak unggah)</v>
      </c>
      <c r="D456" s="1" t="str">
        <f ca="1">IFERROR(__xludf.DUMMYFUNCTION("""COMPUTED_VALUE"""),"LAYAK UPLOAD KE SIMBELMAWA DENGAN REVISI")</f>
        <v>LAYAK UPLOAD KE SIMBELMAWA DENGAN REVISI</v>
      </c>
      <c r="E456" s="7" t="str">
        <f ca="1">IFERROR(__xludf.DUMMYFUNCTION("""COMPUTED_VALUE"""),"https://drive.google.com/open?id=1Xvw1GMH1nlJ_4V_JBKF32oY-27_ZmKzi")</f>
        <v>https://drive.google.com/open?id=1Xvw1GMH1nlJ_4V_JBKF32oY-27_ZmKzi</v>
      </c>
      <c r="F456" s="1">
        <f t="shared" ca="1" si="11"/>
        <v>0</v>
      </c>
      <c r="H456" s="4"/>
      <c r="I456" s="4"/>
      <c r="J456" s="4"/>
      <c r="K456" s="4"/>
      <c r="L456" s="4"/>
    </row>
    <row r="457" spans="1:12">
      <c r="A457" s="1">
        <f ca="1">IFERROR(__xludf.DUMMYFUNCTION("""COMPUTED_VALUE"""),2605)</f>
        <v>2605</v>
      </c>
      <c r="B457" s="1" t="str">
        <f ca="1">IFERROR(__xludf.DUMMYFUNCTION("""COMPUTED_VALUE"""),"PKM RE")</f>
        <v>PKM RE</v>
      </c>
      <c r="C457" s="1" t="str">
        <f ca="1">IFERROR(__xludf.DUMMYFUNCTION("""COMPUTED_VALUE"""),"RAB diberi tanda item mana saja yang dibeli dengan dana dari PT (lampiran 2)")</f>
        <v>RAB diberi tanda item mana saja yang dibeli dengan dana dari PT (lampiran 2)</v>
      </c>
      <c r="D457" s="1" t="str">
        <f ca="1">IFERROR(__xludf.DUMMYFUNCTION("""COMPUTED_VALUE"""),"LAYAK UPLOAD KE SIMBELMAWA DENGAN REVISI")</f>
        <v>LAYAK UPLOAD KE SIMBELMAWA DENGAN REVISI</v>
      </c>
      <c r="E457" s="7" t="str">
        <f ca="1">IFERROR(__xludf.DUMMYFUNCTION("""COMPUTED_VALUE"""),"https://drive.google.com/open?id=1NBf69YmOiAUcK1gcVHeITB66U3us2VeI")</f>
        <v>https://drive.google.com/open?id=1NBf69YmOiAUcK1gcVHeITB66U3us2VeI</v>
      </c>
      <c r="F457" s="1">
        <f t="shared" ca="1" si="11"/>
        <v>0</v>
      </c>
      <c r="H457" s="4"/>
      <c r="I457" s="4"/>
      <c r="J457" s="4"/>
      <c r="K457" s="4"/>
      <c r="L457" s="4"/>
    </row>
    <row r="458" spans="1:12">
      <c r="A458" s="1">
        <f ca="1">IFERROR(__xludf.DUMMYFUNCTION("""COMPUTED_VALUE"""),3839)</f>
        <v>3839</v>
      </c>
      <c r="B458" s="1" t="str">
        <f ca="1">IFERROR(__xludf.DUMMYFUNCTION("""COMPUTED_VALUE"""),"PKM RE")</f>
        <v>PKM RE</v>
      </c>
      <c r="C458" s="1" t="str">
        <f ca="1">IFERROR(__xludf.DUMMYFUNCTION("""COMPUTED_VALUE"""),"Lampiran 3 belum ada NRP, Lampiran 2 belum ada keterangan item mana yang dibeli dengan dana PT,  daftar pustaka tahun tidak diberi kurung, tabel 4.1 di samping tulisan Perguruan Tinggi diberi --&gt; (in cash), riset terdahulu apa tidak ada yang tahunnya lebi"&amp;"h baru?, nomor halaman daftar isi ada di kanan bawah")</f>
        <v>Lampiran 3 belum ada NRP, Lampiran 2 belum ada keterangan item mana yang dibeli dengan dana PT,  daftar pustaka tahun tidak diberi kurung, tabel 4.1 di samping tulisan Perguruan Tinggi diberi --&gt; (in cash), riset terdahulu apa tidak ada yang tahunnya lebih baru?, nomor halaman daftar isi ada di kanan bawah</v>
      </c>
      <c r="D458" s="1" t="str">
        <f ca="1">IFERROR(__xludf.DUMMYFUNCTION("""COMPUTED_VALUE"""),"LAYAK UPLOAD KE SIMBELMAWA DENGAN REVISI")</f>
        <v>LAYAK UPLOAD KE SIMBELMAWA DENGAN REVISI</v>
      </c>
      <c r="E458" s="7" t="str">
        <f ca="1">IFERROR(__xludf.DUMMYFUNCTION("""COMPUTED_VALUE"""),"https://drive.google.com/open?id=10Ocw3pmJaIMR4CUFNnGjZZ4OUQs1hY20")</f>
        <v>https://drive.google.com/open?id=10Ocw3pmJaIMR4CUFNnGjZZ4OUQs1hY20</v>
      </c>
      <c r="F458" s="1">
        <f t="shared" ca="1" si="11"/>
        <v>0</v>
      </c>
      <c r="H458" s="4"/>
      <c r="I458" s="4"/>
      <c r="J458" s="4"/>
      <c r="K458" s="4"/>
      <c r="L458" s="4"/>
    </row>
    <row r="459" spans="1:12">
      <c r="A459" s="1">
        <f ca="1">IFERROR(__xludf.DUMMYFUNCTION("""COMPUTED_VALUE"""),2105)</f>
        <v>2105</v>
      </c>
      <c r="B459" s="1" t="str">
        <f ca="1">IFERROR(__xludf.DUMMYFUNCTION("""COMPUTED_VALUE"""),"PKM RE")</f>
        <v>PKM RE</v>
      </c>
      <c r="C459" s="1" t="str">
        <f ca="1">IFERROR(__xludf.DUMMYFUNCTION("""COMPUTED_VALUE"""),"Justifikasi anggaran belum diberi tanda item mana yang dibeli dengan dana dari PT,  kuota internet masuk ke lain-lain atau bahan habis, daftar pustaka masih spasi 1 seharusnya 1.15, pada tabel 4.2 keterangan luring dan daring dihapus, tabel 4.1 ditambahi "&amp;"di samping tulisan Perguruan Tinggi --&gt; in cash,  metode riset dikerjakan secara luring saja, tabel 2.1 ukuran huruf dan spasi tidak TNR 12 dan 1.15 pt. ")</f>
        <v xml:space="preserve">Justifikasi anggaran belum diberi tanda item mana yang dibeli dengan dana dari PT,  kuota internet masuk ke lain-lain atau bahan habis, daftar pustaka masih spasi 1 seharusnya 1.15, pada tabel 4.2 keterangan luring dan daring dihapus, tabel 4.1 ditambahi di samping tulisan Perguruan Tinggi --&gt; in cash,  metode riset dikerjakan secara luring saja, tabel 2.1 ukuran huruf dan spasi tidak TNR 12 dan 1.15 pt. </v>
      </c>
      <c r="D459" s="1" t="str">
        <f ca="1">IFERROR(__xludf.DUMMYFUNCTION("""COMPUTED_VALUE"""),"LAYAK UPLOAD KE SIMBELMAWA DENGAN REVISI")</f>
        <v>LAYAK UPLOAD KE SIMBELMAWA DENGAN REVISI</v>
      </c>
      <c r="E459" s="7" t="str">
        <f ca="1">IFERROR(__xludf.DUMMYFUNCTION("""COMPUTED_VALUE"""),"https://drive.google.com/open?id=1uOk0z67gjYjdvMeODWmroTBs00oAjn80")</f>
        <v>https://drive.google.com/open?id=1uOk0z67gjYjdvMeODWmroTBs00oAjn80</v>
      </c>
      <c r="F459" s="1">
        <f t="shared" ca="1" si="11"/>
        <v>0</v>
      </c>
      <c r="H459" s="4"/>
      <c r="I459" s="4"/>
      <c r="J459" s="4"/>
      <c r="K459" s="4"/>
      <c r="L459" s="4"/>
    </row>
    <row r="460" spans="1:12">
      <c r="A460" s="1">
        <f ca="1">IFERROR(__xludf.DUMMYFUNCTION("""COMPUTED_VALUE"""),4001)</f>
        <v>4001</v>
      </c>
      <c r="B460" s="1" t="str">
        <f ca="1">IFERROR(__xludf.DUMMYFUNCTION("""COMPUTED_VALUE"""),"PKM RE")</f>
        <v>PKM RE</v>
      </c>
      <c r="C460" s="1" t="str">
        <f ca="1">IFERROR(__xludf.DUMMYFUNCTION("""COMPUTED_VALUE"""),"tabel 4.1 tidak ada baris instansi lain, untuk perguruan tinggi dituliskan --&gt; (in cash) lihat temannya, Lampiran 2 justifikasi gunakan tabel format terbaru kemudian ditandai item mana yang dibeli dg dana PT dan beri keterangan di bawah tabel, Lampiran 4 "&amp;"kok tidak ada NRPnya?? ")</f>
        <v xml:space="preserve">tabel 4.1 tidak ada baris instansi lain, untuk perguruan tinggi dituliskan --&gt; (in cash) lihat temannya, Lampiran 2 justifikasi gunakan tabel format terbaru kemudian ditandai item mana yang dibeli dg dana PT dan beri keterangan di bawah tabel, Lampiran 4 kok tidak ada NRPnya?? </v>
      </c>
      <c r="D460" s="1" t="str">
        <f ca="1">IFERROR(__xludf.DUMMYFUNCTION("""COMPUTED_VALUE"""),"LAYAK UPLOAD KE SIMBELMAWA DENGAN REVISI")</f>
        <v>LAYAK UPLOAD KE SIMBELMAWA DENGAN REVISI</v>
      </c>
      <c r="E460" s="7" t="str">
        <f ca="1">IFERROR(__xludf.DUMMYFUNCTION("""COMPUTED_VALUE"""),"https://drive.google.com/open?id=18PR7_tkwIcT9DCAd50Zr4s1vI7mjBA00")</f>
        <v>https://drive.google.com/open?id=18PR7_tkwIcT9DCAd50Zr4s1vI7mjBA00</v>
      </c>
      <c r="F460" s="1">
        <f t="shared" ca="1" si="11"/>
        <v>0</v>
      </c>
      <c r="H460" s="4"/>
      <c r="I460" s="4"/>
      <c r="J460" s="4"/>
      <c r="K460" s="4"/>
      <c r="L460" s="4"/>
    </row>
    <row r="461" spans="1:12">
      <c r="A461" s="1">
        <f ca="1">IFERROR(__xludf.DUMMYFUNCTION("""COMPUTED_VALUE"""),2883)</f>
        <v>2883</v>
      </c>
      <c r="B461" s="1" t="str">
        <f ca="1">IFERROR(__xludf.DUMMYFUNCTION("""COMPUTED_VALUE"""),"PKM RE")</f>
        <v>PKM RE</v>
      </c>
      <c r="C461" s="1" t="str">
        <f ca="1">IFERROR(__xludf.DUMMYFUNCTION("""COMPUTED_VALUE"""),"tambahkan subbab kontribusi riset, produk riset pada luaran, referensi/standar pada prosedur, tabel 4.1. diberi keterangan ..&gt; in cash pada Perguruan Tinggi, daftar pustaka dimiringkan untuk nama jurnal (cek pedoman), tabel riwayat pendidikan dosen belum "&amp;"diganti yang baru, tanggal biodata dosen belum maret 2022, tabel lampiran 2 belum diberi keterangan item mana yang dibeli dengan dana PT, ")</f>
        <v xml:space="preserve">tambahkan subbab kontribusi riset, produk riset pada luaran, referensi/standar pada prosedur, tabel 4.1. diberi keterangan ..&gt; in cash pada Perguruan Tinggi, daftar pustaka dimiringkan untuk nama jurnal (cek pedoman), tabel riwayat pendidikan dosen belum diganti yang baru, tanggal biodata dosen belum maret 2022, tabel lampiran 2 belum diberi keterangan item mana yang dibeli dengan dana PT, </v>
      </c>
      <c r="D461" s="1" t="str">
        <f ca="1">IFERROR(__xludf.DUMMYFUNCTION("""COMPUTED_VALUE"""),"LAYAK UPLOAD KE SIMBELMAWA DENGAN REVISI")</f>
        <v>LAYAK UPLOAD KE SIMBELMAWA DENGAN REVISI</v>
      </c>
      <c r="E461" s="7" t="str">
        <f ca="1">IFERROR(__xludf.DUMMYFUNCTION("""COMPUTED_VALUE"""),"https://drive.google.com/open?id=1pi91PKoyN8gJE2aJXBWq6682WTTXsTWK")</f>
        <v>https://drive.google.com/open?id=1pi91PKoyN8gJE2aJXBWq6682WTTXsTWK</v>
      </c>
      <c r="F461" s="1">
        <f t="shared" ca="1" si="11"/>
        <v>0</v>
      </c>
      <c r="H461" s="4"/>
      <c r="I461" s="4"/>
      <c r="J461" s="4"/>
      <c r="K461" s="4"/>
      <c r="L461" s="4"/>
    </row>
    <row r="462" spans="1:12">
      <c r="A462" s="1">
        <f ca="1">IFERROR(__xludf.DUMMYFUNCTION("""COMPUTED_VALUE"""),3992)</f>
        <v>3992</v>
      </c>
      <c r="B462" s="1" t="str">
        <f ca="1">IFERROR(__xludf.DUMMYFUNCTION("""COMPUTED_VALUE"""),"PKM RE")</f>
        <v>PKM RE</v>
      </c>
      <c r="C462" s="1" t="str">
        <f ca="1">IFERROR(__xludf.DUMMYFUNCTION("""COMPUTED_VALUE"""),"very minor revision")</f>
        <v>very minor revision</v>
      </c>
      <c r="D462" s="1" t="str">
        <f ca="1">IFERROR(__xludf.DUMMYFUNCTION("""COMPUTED_VALUE"""),"LAYAK UPLOAD KE SIMBELMAWA DENGAN REVISI")</f>
        <v>LAYAK UPLOAD KE SIMBELMAWA DENGAN REVISI</v>
      </c>
      <c r="E462" s="7" t="str">
        <f ca="1">IFERROR(__xludf.DUMMYFUNCTION("""COMPUTED_VALUE"""),"https://drive.google.com/open?id=1oMacN46IWozBM7vzL0PM14uoIeTDDBG4")</f>
        <v>https://drive.google.com/open?id=1oMacN46IWozBM7vzL0PM14uoIeTDDBG4</v>
      </c>
      <c r="F462" s="1">
        <f t="shared" ca="1" si="11"/>
        <v>0</v>
      </c>
      <c r="H462" s="4"/>
      <c r="I462" s="4"/>
      <c r="J462" s="4"/>
      <c r="K462" s="4"/>
      <c r="L462" s="4"/>
    </row>
    <row r="463" spans="1:12">
      <c r="A463" s="1">
        <f ca="1">IFERROR(__xludf.DUMMYFUNCTION("""COMPUTED_VALUE"""),4138)</f>
        <v>4138</v>
      </c>
      <c r="B463" s="1" t="str">
        <f ca="1">IFERROR(__xludf.DUMMYFUNCTION("""COMPUTED_VALUE"""),"PKM RE")</f>
        <v>PKM RE</v>
      </c>
      <c r="C463" s="1" t="str">
        <f ca="1">IFERROR(__xludf.DUMMYFUNCTION("""COMPUTED_VALUE"""),"RAB, daftar pustaka diperbaiki")</f>
        <v>RAB, daftar pustaka diperbaiki</v>
      </c>
      <c r="D463" s="1" t="str">
        <f ca="1">IFERROR(__xludf.DUMMYFUNCTION("""COMPUTED_VALUE"""),"LAYAK UPLOAD KE SIMBELMAWA DENGAN REVISI")</f>
        <v>LAYAK UPLOAD KE SIMBELMAWA DENGAN REVISI</v>
      </c>
      <c r="E463" s="7" t="str">
        <f ca="1">IFERROR(__xludf.DUMMYFUNCTION("""COMPUTED_VALUE"""),"https://drive.google.com/open?id=11RkHENmox8_1JQ_VcOI11S9gTk7ByVuK")</f>
        <v>https://drive.google.com/open?id=11RkHENmox8_1JQ_VcOI11S9gTk7ByVuK</v>
      </c>
      <c r="F463" s="1">
        <f t="shared" ca="1" si="11"/>
        <v>0</v>
      </c>
      <c r="H463" s="4"/>
      <c r="I463" s="4"/>
      <c r="J463" s="4"/>
      <c r="K463" s="4"/>
      <c r="L463" s="4"/>
    </row>
    <row r="464" spans="1:12">
      <c r="A464" s="1">
        <f ca="1">IFERROR(__xludf.DUMMYFUNCTION("""COMPUTED_VALUE"""),2393)</f>
        <v>2393</v>
      </c>
      <c r="B464" s="1" t="str">
        <f ca="1">IFERROR(__xludf.DUMMYFUNCTION("""COMPUTED_VALUE"""),"PKM RE")</f>
        <v>PKM RE</v>
      </c>
      <c r="C464" s="1" t="str">
        <f ca="1">IFERROR(__xludf.DUMMYFUNCTION("""COMPUTED_VALUE"""),"Luaran tidak boleh ada publikasi seminar/jurnal, judul BAB 3 --&gt; METODE RISET, metode kurang menjelaskan apa yang  dilakukan, tabel 4.1 tulisan 75 dan 25 di samping belmawa dan perguruan tinggi dihapus, di samping perguruan tinggi ditulis in cash, nama di"&amp;" tabel 4.2 jangan disingkat, spasi daftar pustaka 1.15,  lampiran 2 gunakan sesuai peruntukan bila bahan habis ya untuk bahan habis bukan yang lain dst, beri tanda item mana yang menggunakan dana PT,  surat pernyataan belum ada materai")</f>
        <v>Luaran tidak boleh ada publikasi seminar/jurnal, judul BAB 3 --&gt; METODE RISET, metode kurang menjelaskan apa yang  dilakukan, tabel 4.1 tulisan 75 dan 25 di samping belmawa dan perguruan tinggi dihapus, di samping perguruan tinggi ditulis in cash, nama di tabel 4.2 jangan disingkat, spasi daftar pustaka 1.15,  lampiran 2 gunakan sesuai peruntukan bila bahan habis ya untuk bahan habis bukan yang lain dst, beri tanda item mana yang menggunakan dana PT,  surat pernyataan belum ada materai</v>
      </c>
      <c r="D464" s="1" t="str">
        <f ca="1">IFERROR(__xludf.DUMMYFUNCTION("""COMPUTED_VALUE"""),"LAYAK UPLOAD KE SIMBELMAWA DENGAN REVISI")</f>
        <v>LAYAK UPLOAD KE SIMBELMAWA DENGAN REVISI</v>
      </c>
      <c r="E464" s="7" t="str">
        <f ca="1">IFERROR(__xludf.DUMMYFUNCTION("""COMPUTED_VALUE"""),"https://drive.google.com/open?id=1k_elAc6K7rT7viXrxEtdz1l4lvjfiiab")</f>
        <v>https://drive.google.com/open?id=1k_elAc6K7rT7viXrxEtdz1l4lvjfiiab</v>
      </c>
      <c r="F464" s="1">
        <f t="shared" ca="1" si="11"/>
        <v>0</v>
      </c>
      <c r="H464" s="4"/>
      <c r="I464" s="4"/>
      <c r="J464" s="4"/>
      <c r="K464" s="4"/>
      <c r="L464" s="4"/>
    </row>
    <row r="465" spans="1:12">
      <c r="A465" s="1">
        <f ca="1">IFERROR(__xludf.DUMMYFUNCTION("""COMPUTED_VALUE"""),3564)</f>
        <v>3564</v>
      </c>
      <c r="B465" s="1" t="str">
        <f ca="1">IFERROR(__xludf.DUMMYFUNCTION("""COMPUTED_VALUE"""),"PKM RE")</f>
        <v>PKM RE</v>
      </c>
      <c r="C465" s="1" t="str">
        <f ca="1">IFERROR(__xludf.DUMMYFUNCTION("""COMPUTED_VALUE"""),"daftar isi masih ada error not bookmarked, di bab 1 masih ada yang dikuning2, tambahkan subbab kontribusi riset, tabel 4.1 baris instansi lain ditambahkan dan di samping perguruan tinggi diberi tulisan in cash, daftar pustaka tanpa kurung di tahun, tabel "&amp;"riwayat pendidikan dosen diperbaiki, tanggal biodata dosen masih februari, tabel lampiran 2 belum sesuai pedoman, masih ada biaya publikasi jurnal, beri tanda item mana yang dibeli dengan dana PT, tanda tangan surat pernyataan belum ada materai ")</f>
        <v xml:space="preserve">daftar isi masih ada error not bookmarked, di bab 1 masih ada yang dikuning2, tambahkan subbab kontribusi riset, tabel 4.1 baris instansi lain ditambahkan dan di samping perguruan tinggi diberi tulisan in cash, daftar pustaka tanpa kurung di tahun, tabel riwayat pendidikan dosen diperbaiki, tanggal biodata dosen masih februari, tabel lampiran 2 belum sesuai pedoman, masih ada biaya publikasi jurnal, beri tanda item mana yang dibeli dengan dana PT, tanda tangan surat pernyataan belum ada materai </v>
      </c>
      <c r="D465" s="1" t="str">
        <f ca="1">IFERROR(__xludf.DUMMYFUNCTION("""COMPUTED_VALUE"""),"LAYAK UPLOAD KE SIMBELMAWA DENGAN REVISI")</f>
        <v>LAYAK UPLOAD KE SIMBELMAWA DENGAN REVISI</v>
      </c>
      <c r="E465" s="7" t="str">
        <f ca="1">IFERROR(__xludf.DUMMYFUNCTION("""COMPUTED_VALUE"""),"https://drive.google.com/open?id=18q97YTHidm4WVSVMUAkPpNw0cASb3Lrv")</f>
        <v>https://drive.google.com/open?id=18q97YTHidm4WVSVMUAkPpNw0cASb3Lrv</v>
      </c>
      <c r="F465" s="1">
        <f t="shared" ca="1" si="11"/>
        <v>0</v>
      </c>
      <c r="H465" s="4"/>
      <c r="I465" s="4"/>
      <c r="J465" s="4"/>
      <c r="K465" s="4"/>
      <c r="L465" s="4"/>
    </row>
    <row r="466" spans="1:12">
      <c r="A466" s="1">
        <f ca="1">IFERROR(__xludf.DUMMYFUNCTION("""COMPUTED_VALUE"""),2696)</f>
        <v>2696</v>
      </c>
      <c r="B466" s="1" t="str">
        <f ca="1">IFERROR(__xludf.DUMMYFUNCTION("""COMPUTED_VALUE"""),"PKM RE")</f>
        <v>PKM RE</v>
      </c>
      <c r="C466" s="1" t="str">
        <f ca="1">IFERROR(__xludf.DUMMYFUNCTION("""COMPUTED_VALUE"""),"kreativitas hanya 1, tinjauan pustaka berupa definis seperti TA,RAB masih belum sesuai")</f>
        <v>kreativitas hanya 1, tinjauan pustaka berupa definis seperti TA,RAB masih belum sesuai</v>
      </c>
      <c r="D466" s="1" t="str">
        <f ca="1">IFERROR(__xludf.DUMMYFUNCTION("""COMPUTED_VALUE"""),"LAYAK UPLOAD KE SIMBELMAWA DENGAN REVISI")</f>
        <v>LAYAK UPLOAD KE SIMBELMAWA DENGAN REVISI</v>
      </c>
      <c r="E466" s="7" t="str">
        <f ca="1">IFERROR(__xludf.DUMMYFUNCTION("""COMPUTED_VALUE"""),"https://drive.google.com/open?id=1L6ZwFDmwnxlr2HZJot2_cRuUtb3iL4ek")</f>
        <v>https://drive.google.com/open?id=1L6ZwFDmwnxlr2HZJot2_cRuUtb3iL4ek</v>
      </c>
      <c r="F466" s="1">
        <f t="shared" ca="1" si="11"/>
        <v>0</v>
      </c>
      <c r="H466" s="4"/>
      <c r="I466" s="4"/>
      <c r="J466" s="4"/>
      <c r="K466" s="4"/>
      <c r="L466" s="4"/>
    </row>
    <row r="467" spans="1:12">
      <c r="A467" s="1">
        <f ca="1">IFERROR(__xludf.DUMMYFUNCTION("""COMPUTED_VALUE"""),2762)</f>
        <v>2762</v>
      </c>
      <c r="B467" s="1" t="str">
        <f ca="1">IFERROR(__xludf.DUMMYFUNCTION("""COMPUTED_VALUE"""),"PKM RE")</f>
        <v>PKM RE</v>
      </c>
      <c r="C467" s="1" t="str">
        <f ca="1">IFERROR(__xludf.DUMMYFUNCTION("""COMPUTED_VALUE"""),"tambahkan kontribusi riset, tanggal pada biodata masih februari, tabel riwayat pendidikan dosen masih format lama, tabel lampiran justifikasi anggaran beri tanda item mana yang dibeli dengan dana PT , tanggal surat pernyataan masih februari")</f>
        <v>tambahkan kontribusi riset, tanggal pada biodata masih februari, tabel riwayat pendidikan dosen masih format lama, tabel lampiran justifikasi anggaran beri tanda item mana yang dibeli dengan dana PT , tanggal surat pernyataan masih februari</v>
      </c>
      <c r="D467" s="1" t="str">
        <f ca="1">IFERROR(__xludf.DUMMYFUNCTION("""COMPUTED_VALUE"""),"LAYAK UPLOAD KE SIMBELMAWA DENGAN REVISI")</f>
        <v>LAYAK UPLOAD KE SIMBELMAWA DENGAN REVISI</v>
      </c>
      <c r="E467" s="7" t="str">
        <f ca="1">IFERROR(__xludf.DUMMYFUNCTION("""COMPUTED_VALUE"""),"https://drive.google.com/open?id=1sntqbpoJ22jid_g4DwSdO743svz6pQcd")</f>
        <v>https://drive.google.com/open?id=1sntqbpoJ22jid_g4DwSdO743svz6pQcd</v>
      </c>
      <c r="F467" s="1">
        <f t="shared" ca="1" si="11"/>
        <v>0</v>
      </c>
      <c r="H467" s="4"/>
      <c r="I467" s="4"/>
      <c r="J467" s="4"/>
      <c r="K467" s="4"/>
      <c r="L467" s="4"/>
    </row>
    <row r="468" spans="1:12">
      <c r="A468" s="1">
        <f ca="1">IFERROR(__xludf.DUMMYFUNCTION("""COMPUTED_VALUE"""),3999)</f>
        <v>3999</v>
      </c>
      <c r="B468" s="1" t="str">
        <f ca="1">IFERROR(__xludf.DUMMYFUNCTION("""COMPUTED_VALUE"""),"PKM RE")</f>
        <v>PKM RE</v>
      </c>
      <c r="C468" s="1" t="str">
        <f ca="1">IFERROR(__xludf.DUMMYFUNCTION("""COMPUTED_VALUE"""),"Luaran tidak perlu seminar/jurnal, kreativitas lemah hanya pada variasi, metode lemah, RAB formatnya masih kurang 1 baris (instansi lain), RAB di lampiran kacau")</f>
        <v>Luaran tidak perlu seminar/jurnal, kreativitas lemah hanya pada variasi, metode lemah, RAB formatnya masih kurang 1 baris (instansi lain), RAB di lampiran kacau</v>
      </c>
      <c r="D468" s="1" t="str">
        <f ca="1">IFERROR(__xludf.DUMMYFUNCTION("""COMPUTED_VALUE"""),"TIDAK LAYAK UPLOAD KE SIMBELMAWA")</f>
        <v>TIDAK LAYAK UPLOAD KE SIMBELMAWA</v>
      </c>
      <c r="E468" s="7" t="str">
        <f ca="1">IFERROR(__xludf.DUMMYFUNCTION("""COMPUTED_VALUE"""),"https://drive.google.com/open?id=1wHS_Gg5-vHmDw_mRCvVWgMrQvwdI503Z")</f>
        <v>https://drive.google.com/open?id=1wHS_Gg5-vHmDw_mRCvVWgMrQvwdI503Z</v>
      </c>
      <c r="F468" s="1">
        <f t="shared" ca="1" si="11"/>
        <v>0</v>
      </c>
      <c r="H468" s="4"/>
      <c r="I468" s="4"/>
      <c r="J468" s="4"/>
      <c r="K468" s="4"/>
      <c r="L468" s="4"/>
    </row>
    <row r="469" spans="1:12">
      <c r="A469" s="1">
        <f ca="1">IFERROR(__xludf.DUMMYFUNCTION("""COMPUTED_VALUE"""),2710)</f>
        <v>2710</v>
      </c>
      <c r="B469" s="1" t="str">
        <f ca="1">IFERROR(__xludf.DUMMYFUNCTION("""COMPUTED_VALUE"""),"PKM RE")</f>
        <v>PKM RE</v>
      </c>
      <c r="C469" s="1" t="str">
        <f ca="1">IFERROR(__xludf.DUMMYFUNCTION("""COMPUTED_VALUE"""),"sesuai hasil bikom 4")</f>
        <v>sesuai hasil bikom 4</v>
      </c>
      <c r="D469" s="1" t="str">
        <f ca="1">IFERROR(__xludf.DUMMYFUNCTION("""COMPUTED_VALUE"""),"LAYAK UPLOAD KE SIMBELMAWA DENGAN REVISI")</f>
        <v>LAYAK UPLOAD KE SIMBELMAWA DENGAN REVISI</v>
      </c>
      <c r="E469" s="7" t="str">
        <f ca="1">IFERROR(__xludf.DUMMYFUNCTION("""COMPUTED_VALUE"""),"https://drive.google.com/open?id=1qkU40pWLVR4iX_WZ0JjaGZXJajOUXHWP")</f>
        <v>https://drive.google.com/open?id=1qkU40pWLVR4iX_WZ0JjaGZXJajOUXHWP</v>
      </c>
      <c r="F469" s="1">
        <f t="shared" ca="1" si="11"/>
        <v>0</v>
      </c>
      <c r="H469" s="4"/>
      <c r="I469" s="4"/>
      <c r="J469" s="4"/>
      <c r="K469" s="4"/>
      <c r="L469" s="4"/>
    </row>
    <row r="470" spans="1:12">
      <c r="A470" s="1">
        <f ca="1">IFERROR(__xludf.DUMMYFUNCTION("""COMPUTED_VALUE"""),3989)</f>
        <v>3989</v>
      </c>
      <c r="B470" s="1" t="str">
        <f ca="1">IFERROR(__xludf.DUMMYFUNCTION("""COMPUTED_VALUE"""),"PKM RE")</f>
        <v>PKM RE</v>
      </c>
      <c r="C470" s="1" t="str">
        <f ca="1">IFERROR(__xludf.DUMMYFUNCTION("""COMPUTED_VALUE"""),"Nama disingkat, masih banyak yang belum sesuai format")</f>
        <v>Nama disingkat, masih banyak yang belum sesuai format</v>
      </c>
      <c r="D470" s="1" t="str">
        <f ca="1">IFERROR(__xludf.DUMMYFUNCTION("""COMPUTED_VALUE"""),"LAYAK UPLOAD KE SIMBELMAWA DENGAN REVISI")</f>
        <v>LAYAK UPLOAD KE SIMBELMAWA DENGAN REVISI</v>
      </c>
      <c r="E470" s="7" t="str">
        <f ca="1">IFERROR(__xludf.DUMMYFUNCTION("""COMPUTED_VALUE"""),"https://drive.google.com/open?id=1pu4Y9QCdQmnZ1f3dsKyGeelCD4mjW5aS")</f>
        <v>https://drive.google.com/open?id=1pu4Y9QCdQmnZ1f3dsKyGeelCD4mjW5aS</v>
      </c>
      <c r="F470" s="1">
        <f t="shared" ca="1" si="11"/>
        <v>0</v>
      </c>
      <c r="H470" s="4"/>
      <c r="I470" s="4"/>
      <c r="J470" s="4"/>
      <c r="K470" s="4"/>
      <c r="L470" s="4"/>
    </row>
    <row r="471" spans="1:12">
      <c r="A471" s="1">
        <f ca="1">IFERROR(__xludf.DUMMYFUNCTION("""COMPUTED_VALUE"""),3991)</f>
        <v>3991</v>
      </c>
      <c r="B471" s="1" t="str">
        <f ca="1">IFERROR(__xludf.DUMMYFUNCTION("""COMPUTED_VALUE"""),"PKM RE")</f>
        <v>PKM RE</v>
      </c>
      <c r="C471" s="1" t="str">
        <f ca="1">IFERROR(__xludf.DUMMYFUNCTION("""COMPUTED_VALUE"""),"tambahkan rujukan/standar yang digunakan di metode, Lampiran 2 beri tanda * untuk item yang dibeli dengan dana PT kemudian di bawah tabel berikan keterangan dari tanda * tsb, tidak boleh ada dana untuk publikasi (lain-lain)")</f>
        <v>tambahkan rujukan/standar yang digunakan di metode, Lampiran 2 beri tanda * untuk item yang dibeli dengan dana PT kemudian di bawah tabel berikan keterangan dari tanda * tsb, tidak boleh ada dana untuk publikasi (lain-lain)</v>
      </c>
      <c r="D471" s="1" t="str">
        <f ca="1">IFERROR(__xludf.DUMMYFUNCTION("""COMPUTED_VALUE"""),"LAYAK UPLOAD KE SIMBELMAWA DENGAN REVISI")</f>
        <v>LAYAK UPLOAD KE SIMBELMAWA DENGAN REVISI</v>
      </c>
      <c r="E471" s="7" t="str">
        <f ca="1">IFERROR(__xludf.DUMMYFUNCTION("""COMPUTED_VALUE"""),"https://drive.google.com/open?id=1THj-CFt7SUqbJzqPgx-cN7zNIvuaoXwt")</f>
        <v>https://drive.google.com/open?id=1THj-CFt7SUqbJzqPgx-cN7zNIvuaoXwt</v>
      </c>
      <c r="F471" s="1">
        <f t="shared" ca="1" si="11"/>
        <v>0</v>
      </c>
      <c r="H471" s="4"/>
      <c r="I471" s="4"/>
      <c r="J471" s="4"/>
      <c r="K471" s="4"/>
      <c r="L471" s="4"/>
    </row>
    <row r="472" spans="1:12">
      <c r="A472" s="1">
        <f ca="1">IFERROR(__xludf.DUMMYFUNCTION("""COMPUTED_VALUE"""),2718)</f>
        <v>2718</v>
      </c>
      <c r="B472" s="1" t="str">
        <f ca="1">IFERROR(__xludf.DUMMYFUNCTION("""COMPUTED_VALUE"""),"PKM RE")</f>
        <v>PKM RE</v>
      </c>
      <c r="C472" s="1" t="str">
        <f ca="1">IFERROR(__xludf.DUMMYFUNCTION("""COMPUTED_VALUE"""),"RAB diperbaiki")</f>
        <v>RAB diperbaiki</v>
      </c>
      <c r="D472" s="1" t="str">
        <f ca="1">IFERROR(__xludf.DUMMYFUNCTION("""COMPUTED_VALUE"""),"LAYAK UPLOAD KE SIMBELMAWA DENGAN REVISI")</f>
        <v>LAYAK UPLOAD KE SIMBELMAWA DENGAN REVISI</v>
      </c>
      <c r="E472" s="7" t="str">
        <f ca="1">IFERROR(__xludf.DUMMYFUNCTION("""COMPUTED_VALUE"""),"https://drive.google.com/open?id=1wJbFqWmr8ScDl8d6PQOYuBxP4Q7kFZGr")</f>
        <v>https://drive.google.com/open?id=1wJbFqWmr8ScDl8d6PQOYuBxP4Q7kFZGr</v>
      </c>
      <c r="F472" s="1">
        <f t="shared" ca="1" si="11"/>
        <v>0</v>
      </c>
      <c r="H472" s="4"/>
      <c r="I472" s="4"/>
      <c r="J472" s="4"/>
      <c r="K472" s="4"/>
      <c r="L472" s="4"/>
    </row>
    <row r="473" spans="1:12">
      <c r="A473" s="1">
        <f ca="1">IFERROR(__xludf.DUMMYFUNCTION("""COMPUTED_VALUE"""),3493)</f>
        <v>3493</v>
      </c>
      <c r="B473" s="1" t="str">
        <f ca="1">IFERROR(__xludf.DUMMYFUNCTION("""COMPUTED_VALUE"""),"PKM RE")</f>
        <v>PKM RE</v>
      </c>
      <c r="C473" s="1" t="str">
        <f ca="1">IFERROR(__xludf.DUMMYFUNCTION("""COMPUTED_VALUE"""),"lihat hasil bikom 4")</f>
        <v>lihat hasil bikom 4</v>
      </c>
      <c r="D473" s="1" t="str">
        <f ca="1">IFERROR(__xludf.DUMMYFUNCTION("""COMPUTED_VALUE"""),"LAYAK UPLOAD KE SIMBELMAWA DENGAN REVISI")</f>
        <v>LAYAK UPLOAD KE SIMBELMAWA DENGAN REVISI</v>
      </c>
      <c r="E473" s="7" t="str">
        <f ca="1">IFERROR(__xludf.DUMMYFUNCTION("""COMPUTED_VALUE"""),"https://drive.google.com/open?id=1xLhIrgi0PkFp--nVS3QmutqxZq4Oqzbh")</f>
        <v>https://drive.google.com/open?id=1xLhIrgi0PkFp--nVS3QmutqxZq4Oqzbh</v>
      </c>
      <c r="F473" s="1">
        <f t="shared" ca="1" si="11"/>
        <v>0</v>
      </c>
      <c r="H473" s="4"/>
      <c r="I473" s="4"/>
      <c r="J473" s="4"/>
      <c r="K473" s="4"/>
      <c r="L473" s="4"/>
    </row>
    <row r="474" spans="1:12">
      <c r="A474" s="1">
        <f ca="1">IFERROR(__xludf.DUMMYFUNCTION("""COMPUTED_VALUE"""),3983)</f>
        <v>3983</v>
      </c>
      <c r="B474" s="1" t="str">
        <f ca="1">IFERROR(__xludf.DUMMYFUNCTION("""COMPUTED_VALUE"""),"PKM RE")</f>
        <v>PKM RE</v>
      </c>
      <c r="C474" s="1" t="str">
        <f ca="1">IFERROR(__xludf.DUMMYFUNCTION("""COMPUTED_VALUE"""),"lihat saat bikom 4")</f>
        <v>lihat saat bikom 4</v>
      </c>
      <c r="D474" s="1" t="str">
        <f ca="1">IFERROR(__xludf.DUMMYFUNCTION("""COMPUTED_VALUE"""),"LAYAK UPLOAD KE SIMBELMAWA DENGAN REVISI")</f>
        <v>LAYAK UPLOAD KE SIMBELMAWA DENGAN REVISI</v>
      </c>
      <c r="E474" s="7" t="str">
        <f ca="1">IFERROR(__xludf.DUMMYFUNCTION("""COMPUTED_VALUE"""),"https://drive.google.com/open?id=1siV-32B4IyefX9Sn1lEMiFXRBHFaGdx6")</f>
        <v>https://drive.google.com/open?id=1siV-32B4IyefX9Sn1lEMiFXRBHFaGdx6</v>
      </c>
      <c r="F474" s="1">
        <f t="shared" ca="1" si="11"/>
        <v>0</v>
      </c>
      <c r="H474" s="4"/>
      <c r="I474" s="4"/>
      <c r="J474" s="4"/>
      <c r="K474" s="4"/>
      <c r="L474" s="4"/>
    </row>
    <row r="475" spans="1:12">
      <c r="A475" s="1">
        <f ca="1">IFERROR(__xludf.DUMMYFUNCTION("""COMPUTED_VALUE"""),2107)</f>
        <v>2107</v>
      </c>
      <c r="B475" s="1" t="str">
        <f ca="1">IFERROR(__xludf.DUMMYFUNCTION("""COMPUTED_VALUE"""),"PKM RE")</f>
        <v>PKM RE</v>
      </c>
      <c r="C475" s="1" t="str">
        <f ca="1">IFERROR(__xludf.DUMMYFUNCTION("""COMPUTED_VALUE""")," ")</f>
        <v xml:space="preserve"> </v>
      </c>
      <c r="D475" s="1" t="str">
        <f ca="1">IFERROR(__xludf.DUMMYFUNCTION("""COMPUTED_VALUE""")," ")</f>
        <v xml:space="preserve"> </v>
      </c>
      <c r="E475" s="7" t="str">
        <f ca="1">IFERROR(__xludf.DUMMYFUNCTION("""COMPUTED_VALUE"""),"https://drive.google.com/open?id=1za45Y_i02h__aGwXJJzlpojMnvx-AC3P")</f>
        <v>https://drive.google.com/open?id=1za45Y_i02h__aGwXJJzlpojMnvx-AC3P</v>
      </c>
      <c r="F475" s="1">
        <f t="shared" ca="1" si="11"/>
        <v>1</v>
      </c>
      <c r="H475" s="4"/>
      <c r="I475" s="4"/>
      <c r="J475" s="4"/>
      <c r="K475" s="4"/>
      <c r="L475" s="4"/>
    </row>
    <row r="476" spans="1:12">
      <c r="A476" s="1">
        <f ca="1">IFERROR(__xludf.DUMMYFUNCTION("""COMPUTED_VALUE"""),3113)</f>
        <v>3113</v>
      </c>
      <c r="B476" s="1" t="str">
        <f ca="1">IFERROR(__xludf.DUMMYFUNCTION("""COMPUTED_VALUE"""),"PKM RE")</f>
        <v>PKM RE</v>
      </c>
      <c r="C476" s="1" t="str">
        <f ca="1">IFERROR(__xludf.DUMMYFUNCTION("""COMPUTED_VALUE"""),"sesuai hasil bikom 4")</f>
        <v>sesuai hasil bikom 4</v>
      </c>
      <c r="D476" s="1" t="str">
        <f ca="1">IFERROR(__xludf.DUMMYFUNCTION("""COMPUTED_VALUE"""),"LAYAK UPLOAD KE SIMBELMAWA DENGAN REVISI")</f>
        <v>LAYAK UPLOAD KE SIMBELMAWA DENGAN REVISI</v>
      </c>
      <c r="E476" s="7" t="str">
        <f ca="1">IFERROR(__xludf.DUMMYFUNCTION("""COMPUTED_VALUE"""),"https://drive.google.com/open?id=1JD45eB0EfqK1iIeu8ujMySIGD1x_8kcW")</f>
        <v>https://drive.google.com/open?id=1JD45eB0EfqK1iIeu8ujMySIGD1x_8kcW</v>
      </c>
      <c r="F476" s="1">
        <f t="shared" ca="1" si="11"/>
        <v>0</v>
      </c>
      <c r="H476" s="4"/>
      <c r="I476" s="4"/>
      <c r="J476" s="4"/>
      <c r="K476" s="4"/>
      <c r="L476" s="4"/>
    </row>
    <row r="477" spans="1:12">
      <c r="A477" s="1">
        <f ca="1">IFERROR(__xludf.DUMMYFUNCTION("""COMPUTED_VALUE"""),4088)</f>
        <v>4088</v>
      </c>
      <c r="B477" s="1" t="str">
        <f ca="1">IFERROR(__xludf.DUMMYFUNCTION("""COMPUTED_VALUE"""),"PKM RE")</f>
        <v>PKM RE</v>
      </c>
      <c r="C477" s="1" t="str">
        <f ca="1">IFERROR(__xludf.DUMMYFUNCTION("""COMPUTED_VALUE"""),"lihat pdf")</f>
        <v>lihat pdf</v>
      </c>
      <c r="D477" s="1" t="str">
        <f ca="1">IFERROR(__xludf.DUMMYFUNCTION("""COMPUTED_VALUE"""),"LAYAK UPLOAD KE SIMBELMAWA DENGAN REVISI")</f>
        <v>LAYAK UPLOAD KE SIMBELMAWA DENGAN REVISI</v>
      </c>
      <c r="E477" s="7" t="str">
        <f ca="1">IFERROR(__xludf.DUMMYFUNCTION("""COMPUTED_VALUE"""),"https://drive.google.com/open?id=1KziH9QiIAlhbieZrSIAnYLGS-iLH48y6")</f>
        <v>https://drive.google.com/open?id=1KziH9QiIAlhbieZrSIAnYLGS-iLH48y6</v>
      </c>
      <c r="F477" s="1">
        <f t="shared" ca="1" si="11"/>
        <v>0</v>
      </c>
      <c r="H477" s="4"/>
      <c r="I477" s="4"/>
      <c r="J477" s="4"/>
      <c r="K477" s="4"/>
      <c r="L477" s="4"/>
    </row>
    <row r="478" spans="1:12">
      <c r="A478" s="1">
        <f ca="1">IFERROR(__xludf.DUMMYFUNCTION("""COMPUTED_VALUE"""),3550)</f>
        <v>3550</v>
      </c>
      <c r="B478" s="1" t="str">
        <f ca="1">IFERROR(__xludf.DUMMYFUNCTION("""COMPUTED_VALUE"""),"PKM RE")</f>
        <v>PKM RE</v>
      </c>
      <c r="C478" s="1" t="str">
        <f ca="1">IFERROR(__xludf.DUMMYFUNCTION("""COMPUTED_VALUE"""),"tidak ada kreativitas")</f>
        <v>tidak ada kreativitas</v>
      </c>
      <c r="D478" s="1" t="str">
        <f ca="1">IFERROR(__xludf.DUMMYFUNCTION("""COMPUTED_VALUE"""),"TIDAK LAYAK UPLOAD KE SIMBELMAWA")</f>
        <v>TIDAK LAYAK UPLOAD KE SIMBELMAWA</v>
      </c>
      <c r="E478" s="7" t="str">
        <f ca="1">IFERROR(__xludf.DUMMYFUNCTION("""COMPUTED_VALUE"""),"https://drive.google.com/open?id=106EAT38dAzov53uXwmkkqyj3QUxYt9CF")</f>
        <v>https://drive.google.com/open?id=106EAT38dAzov53uXwmkkqyj3QUxYt9CF</v>
      </c>
      <c r="F478" s="1">
        <f t="shared" ca="1" si="11"/>
        <v>0</v>
      </c>
      <c r="H478" s="4"/>
      <c r="I478" s="4"/>
      <c r="J478" s="4"/>
      <c r="K478" s="4"/>
      <c r="L478" s="4"/>
    </row>
    <row r="479" spans="1:12">
      <c r="A479" s="1">
        <f ca="1">IFERROR(__xludf.DUMMYFUNCTION("""COMPUTED_VALUE"""),3491)</f>
        <v>3491</v>
      </c>
      <c r="B479" s="1" t="str">
        <f ca="1">IFERROR(__xludf.DUMMYFUNCTION("""COMPUTED_VALUE"""),"PKM RE")</f>
        <v>PKM RE</v>
      </c>
      <c r="C479" s="1" t="str">
        <f ca="1">IFERROR(__xludf.DUMMYFUNCTION("""COMPUTED_VALUE"""),"proposal tidak jelas dan secara format berantakan")</f>
        <v>proposal tidak jelas dan secara format berantakan</v>
      </c>
      <c r="D479" s="1" t="str">
        <f ca="1">IFERROR(__xludf.DUMMYFUNCTION("""COMPUTED_VALUE"""),"TIDAK LAYAK UPLOAD KE SIMBELMAWA")</f>
        <v>TIDAK LAYAK UPLOAD KE SIMBELMAWA</v>
      </c>
      <c r="E479" s="7" t="str">
        <f ca="1">IFERROR(__xludf.DUMMYFUNCTION("""COMPUTED_VALUE"""),"https://drive.google.com/open?id=1OIwDLbi64pLCmwHwE2lIcMuqa0ByazCD")</f>
        <v>https://drive.google.com/open?id=1OIwDLbi64pLCmwHwE2lIcMuqa0ByazCD</v>
      </c>
      <c r="F479" s="1">
        <f t="shared" ca="1" si="11"/>
        <v>0</v>
      </c>
      <c r="H479" s="4"/>
      <c r="I479" s="4"/>
      <c r="J479" s="4"/>
      <c r="K479" s="4"/>
      <c r="L479" s="4"/>
    </row>
    <row r="480" spans="1:12">
      <c r="A480" s="1">
        <f ca="1">IFERROR(__xludf.DUMMYFUNCTION("""COMPUTED_VALUE"""),3141)</f>
        <v>3141</v>
      </c>
      <c r="B480" s="1" t="str">
        <f ca="1">IFERROR(__xludf.DUMMYFUNCTION("""COMPUTED_VALUE"""),"PKM RE")</f>
        <v>PKM RE</v>
      </c>
      <c r="C480" s="1" t="str">
        <f ca="1">IFERROR(__xludf.DUMMYFUNCTION("""COMPUTED_VALUE"""),"lihat hasil bikom 4")</f>
        <v>lihat hasil bikom 4</v>
      </c>
      <c r="D480" s="1" t="str">
        <f ca="1">IFERROR(__xludf.DUMMYFUNCTION("""COMPUTED_VALUE"""),"LAYAK UPLOAD KE SIMBELMAWA DENGAN REVISI")</f>
        <v>LAYAK UPLOAD KE SIMBELMAWA DENGAN REVISI</v>
      </c>
      <c r="E480" s="7" t="str">
        <f ca="1">IFERROR(__xludf.DUMMYFUNCTION("""COMPUTED_VALUE"""),"https://drive.google.com/open?id=15j7iM_9ycWj_LmLqScs6pSk_jhMMh7U8")</f>
        <v>https://drive.google.com/open?id=15j7iM_9ycWj_LmLqScs6pSk_jhMMh7U8</v>
      </c>
      <c r="F480" s="1">
        <f t="shared" ca="1" si="11"/>
        <v>0</v>
      </c>
      <c r="H480" s="4"/>
      <c r="I480" s="4"/>
      <c r="J480" s="4"/>
      <c r="K480" s="4"/>
      <c r="L480" s="4"/>
    </row>
    <row r="481" spans="1:12">
      <c r="A481" s="1">
        <f ca="1">IFERROR(__xludf.DUMMYFUNCTION("""COMPUTED_VALUE"""),3274)</f>
        <v>3274</v>
      </c>
      <c r="B481" s="1" t="str">
        <f ca="1">IFERROR(__xludf.DUMMYFUNCTION("""COMPUTED_VALUE"""),"PKM RE")</f>
        <v>PKM RE</v>
      </c>
      <c r="C481" s="1" t="str">
        <f ca="1">IFERROR(__xludf.DUMMYFUNCTION("""COMPUTED_VALUE"""),"Perbaiki tabel 4.1, 4.2, justifikasi anggaran dan biodata dosen")</f>
        <v>Perbaiki tabel 4.1, 4.2, justifikasi anggaran dan biodata dosen</v>
      </c>
      <c r="D481" s="1" t="str">
        <f ca="1">IFERROR(__xludf.DUMMYFUNCTION("""COMPUTED_VALUE"""),"LAYAK UPLOAD KE SIMBELMAWA DENGAN REVISI")</f>
        <v>LAYAK UPLOAD KE SIMBELMAWA DENGAN REVISI</v>
      </c>
      <c r="E481" s="7" t="str">
        <f ca="1">IFERROR(__xludf.DUMMYFUNCTION("""COMPUTED_VALUE"""),"https://drive.google.com/open?id=1-IbrGvRh5cecccjmYPVPpmxZ5tmzMgMU")</f>
        <v>https://drive.google.com/open?id=1-IbrGvRh5cecccjmYPVPpmxZ5tmzMgMU</v>
      </c>
      <c r="F481" s="1">
        <f t="shared" ca="1" si="11"/>
        <v>0</v>
      </c>
      <c r="H481" s="4"/>
      <c r="I481" s="4"/>
      <c r="J481" s="4"/>
      <c r="K481" s="4"/>
      <c r="L481" s="4"/>
    </row>
    <row r="482" spans="1:12">
      <c r="A482" s="1">
        <f ca="1">IFERROR(__xludf.DUMMYFUNCTION("""COMPUTED_VALUE"""),2487)</f>
        <v>2487</v>
      </c>
      <c r="B482" s="1" t="str">
        <f ca="1">IFERROR(__xludf.DUMMYFUNCTION("""COMPUTED_VALUE"""),"PKM RE")</f>
        <v>PKM RE</v>
      </c>
      <c r="C482" s="1" t="str">
        <f ca="1">IFERROR(__xludf.DUMMYFUNCTION("""COMPUTED_VALUE"""),"lihat pdf")</f>
        <v>lihat pdf</v>
      </c>
      <c r="D482" s="1" t="str">
        <f ca="1">IFERROR(__xludf.DUMMYFUNCTION("""COMPUTED_VALUE"""),"LAYAK UPLOAD KE SIMBELMAWA DENGAN REVISI")</f>
        <v>LAYAK UPLOAD KE SIMBELMAWA DENGAN REVISI</v>
      </c>
      <c r="E482" s="7" t="str">
        <f ca="1">IFERROR(__xludf.DUMMYFUNCTION("""COMPUTED_VALUE"""),"https://drive.google.com/open?id=1hXukFEPagszlpbO4GWOFcbkNBctkUwix")</f>
        <v>https://drive.google.com/open?id=1hXukFEPagszlpbO4GWOFcbkNBctkUwix</v>
      </c>
      <c r="F482" s="1">
        <f t="shared" ca="1" si="11"/>
        <v>0</v>
      </c>
      <c r="H482" s="4"/>
      <c r="I482" s="4"/>
      <c r="J482" s="4"/>
      <c r="K482" s="4"/>
      <c r="L482" s="4"/>
    </row>
    <row r="483" spans="1:12">
      <c r="A483" s="1">
        <f ca="1">IFERROR(__xludf.DUMMYFUNCTION("""COMPUTED_VALUE"""),2734)</f>
        <v>2734</v>
      </c>
      <c r="B483" s="1" t="str">
        <f ca="1">IFERROR(__xludf.DUMMYFUNCTION("""COMPUTED_VALUE"""),"PKM RE")</f>
        <v>PKM RE</v>
      </c>
      <c r="C483" s="1" t="str">
        <f ca="1">IFERROR(__xludf.DUMMYFUNCTION("""COMPUTED_VALUE"""),"RAB diperbaiki")</f>
        <v>RAB diperbaiki</v>
      </c>
      <c r="D483" s="1" t="str">
        <f ca="1">IFERROR(__xludf.DUMMYFUNCTION("""COMPUTED_VALUE"""),"LAYAK UPLOAD KE SIMBELMAWA DENGAN REVISI")</f>
        <v>LAYAK UPLOAD KE SIMBELMAWA DENGAN REVISI</v>
      </c>
      <c r="E483" s="7" t="str">
        <f ca="1">IFERROR(__xludf.DUMMYFUNCTION("""COMPUTED_VALUE"""),"https://drive.google.com/open?id=1n3Gv6FGu-moCeqmbWNkOqu9ASttkT6K4")</f>
        <v>https://drive.google.com/open?id=1n3Gv6FGu-moCeqmbWNkOqu9ASttkT6K4</v>
      </c>
      <c r="F483" s="1">
        <f t="shared" ca="1" si="11"/>
        <v>0</v>
      </c>
      <c r="H483" s="4"/>
      <c r="I483" s="4"/>
      <c r="J483" s="4"/>
      <c r="K483" s="4"/>
      <c r="L483" s="4"/>
    </row>
    <row r="484" spans="1:12">
      <c r="A484" s="1">
        <f ca="1">IFERROR(__xludf.DUMMYFUNCTION("""COMPUTED_VALUE"""),2100)</f>
        <v>2100</v>
      </c>
      <c r="B484" s="1" t="str">
        <f ca="1">IFERROR(__xludf.DUMMYFUNCTION("""COMPUTED_VALUE"""),"PKM RE")</f>
        <v>PKM RE</v>
      </c>
      <c r="C484" s="1" t="str">
        <f ca="1">IFERROR(__xludf.DUMMYFUNCTION("""COMPUTED_VALUE"""),"lihat pdf")</f>
        <v>lihat pdf</v>
      </c>
      <c r="D484" s="1" t="str">
        <f ca="1">IFERROR(__xludf.DUMMYFUNCTION("""COMPUTED_VALUE"""),"LAYAK UPLOAD KE SIMBELMAWA DENGAN REVISI")</f>
        <v>LAYAK UPLOAD KE SIMBELMAWA DENGAN REVISI</v>
      </c>
      <c r="E484" s="7" t="str">
        <f ca="1">IFERROR(__xludf.DUMMYFUNCTION("""COMPUTED_VALUE"""),"https://drive.google.com/open?id=1zHdztogAOy_ba9UPrjMZsjgvT-teFmqV")</f>
        <v>https://drive.google.com/open?id=1zHdztogAOy_ba9UPrjMZsjgvT-teFmqV</v>
      </c>
      <c r="F484" s="1">
        <f t="shared" ca="1" si="11"/>
        <v>0</v>
      </c>
      <c r="H484" s="4"/>
      <c r="I484" s="4"/>
      <c r="J484" s="4"/>
      <c r="K484" s="4"/>
      <c r="L484" s="4"/>
    </row>
    <row r="485" spans="1:12">
      <c r="A485" s="1">
        <f ca="1">IFERROR(__xludf.DUMMYFUNCTION("""COMPUTED_VALUE"""),2476)</f>
        <v>2476</v>
      </c>
      <c r="B485" s="1" t="str">
        <f ca="1">IFERROR(__xludf.DUMMYFUNCTION("""COMPUTED_VALUE"""),"PKM RE")</f>
        <v>PKM RE</v>
      </c>
      <c r="C485" s="1" t="str">
        <f ca="1">IFERROR(__xludf.DUMMYFUNCTION("""COMPUTED_VALUE"""),"kreativitas kurang ilmiah, RAB berantakan")</f>
        <v>kreativitas kurang ilmiah, RAB berantakan</v>
      </c>
      <c r="D485" s="1" t="str">
        <f ca="1">IFERROR(__xludf.DUMMYFUNCTION("""COMPUTED_VALUE"""),"LAYAK UPLOAD KE SIMBELMAWA DENGAN REVISI")</f>
        <v>LAYAK UPLOAD KE SIMBELMAWA DENGAN REVISI</v>
      </c>
      <c r="E485" s="7" t="str">
        <f ca="1">IFERROR(__xludf.DUMMYFUNCTION("""COMPUTED_VALUE"""),"https://drive.google.com/open?id=1CHZkW_uMRQcV7NZn6CfuQe4kmXeoZ4q6")</f>
        <v>https://drive.google.com/open?id=1CHZkW_uMRQcV7NZn6CfuQe4kmXeoZ4q6</v>
      </c>
      <c r="F485" s="1">
        <f t="shared" ca="1" si="11"/>
        <v>0</v>
      </c>
      <c r="H485" s="4"/>
      <c r="I485" s="4"/>
      <c r="J485" s="4"/>
      <c r="K485" s="4"/>
      <c r="L485" s="4"/>
    </row>
    <row r="486" spans="1:12">
      <c r="A486" s="1">
        <f ca="1">IFERROR(__xludf.DUMMYFUNCTION("""COMPUTED_VALUE"""),2700)</f>
        <v>2700</v>
      </c>
      <c r="B486" s="1" t="str">
        <f ca="1">IFERROR(__xludf.DUMMYFUNCTION("""COMPUTED_VALUE"""),"PKM RE")</f>
        <v>PKM RE</v>
      </c>
      <c r="C486" s="1" t="str">
        <f ca="1">IFERROR(__xludf.DUMMYFUNCTION("""COMPUTED_VALUE"""),"masukan sesuai Bikom 4")</f>
        <v>masukan sesuai Bikom 4</v>
      </c>
      <c r="D486" s="1" t="str">
        <f ca="1">IFERROR(__xludf.DUMMYFUNCTION("""COMPUTED_VALUE"""),"LAYAK UPLOAD KE SIMBELMAWA DENGAN REVISI")</f>
        <v>LAYAK UPLOAD KE SIMBELMAWA DENGAN REVISI</v>
      </c>
      <c r="E486" s="7" t="str">
        <f ca="1">IFERROR(__xludf.DUMMYFUNCTION("""COMPUTED_VALUE"""),"https://drive.google.com/open?id=1W7txkbWyKEBRGIt-yr_WkmVRPy0eJKmw")</f>
        <v>https://drive.google.com/open?id=1W7txkbWyKEBRGIt-yr_WkmVRPy0eJKmw</v>
      </c>
      <c r="F486" s="1">
        <f t="shared" ca="1" si="11"/>
        <v>0</v>
      </c>
      <c r="H486" s="4"/>
      <c r="I486" s="4"/>
      <c r="J486" s="4"/>
      <c r="K486" s="4"/>
      <c r="L486" s="4"/>
    </row>
    <row r="487" spans="1:12">
      <c r="A487" s="1">
        <f ca="1">IFERROR(__xludf.DUMMYFUNCTION("""COMPUTED_VALUE"""),3913)</f>
        <v>3913</v>
      </c>
      <c r="B487" s="1" t="str">
        <f ca="1">IFERROR(__xludf.DUMMYFUNCTION("""COMPUTED_VALUE"""),"PKM RE")</f>
        <v>PKM RE</v>
      </c>
      <c r="C487" s="1" t="str">
        <f ca="1">IFERROR(__xludf.DUMMYFUNCTION("""COMPUTED_VALUE"""),"RAB diperbaiki")</f>
        <v>RAB diperbaiki</v>
      </c>
      <c r="D487" s="1" t="str">
        <f ca="1">IFERROR(__xludf.DUMMYFUNCTION("""COMPUTED_VALUE"""),"LAYAK UPLOAD KE SIMBELMAWA DENGAN REVISI")</f>
        <v>LAYAK UPLOAD KE SIMBELMAWA DENGAN REVISI</v>
      </c>
      <c r="E487" s="7" t="str">
        <f ca="1">IFERROR(__xludf.DUMMYFUNCTION("""COMPUTED_VALUE"""),"https://drive.google.com/open?id=1gtQwbFhnIIxxG53PNklQlB9prCmHG-lo")</f>
        <v>https://drive.google.com/open?id=1gtQwbFhnIIxxG53PNklQlB9prCmHG-lo</v>
      </c>
      <c r="F487" s="1">
        <f t="shared" ca="1" si="11"/>
        <v>0</v>
      </c>
      <c r="H487" s="4"/>
      <c r="I487" s="4"/>
      <c r="J487" s="4"/>
      <c r="K487" s="4"/>
      <c r="L487" s="4"/>
    </row>
    <row r="488" spans="1:12">
      <c r="A488" s="1">
        <f ca="1">IFERROR(__xludf.DUMMYFUNCTION("""COMPUTED_VALUE"""),2723)</f>
        <v>2723</v>
      </c>
      <c r="B488" s="1" t="str">
        <f ca="1">IFERROR(__xludf.DUMMYFUNCTION("""COMPUTED_VALUE"""),"PKM RE")</f>
        <v>PKM RE</v>
      </c>
      <c r="C488" s="1" t="str">
        <f ca="1">IFERROR(__xludf.DUMMYFUNCTION("""COMPUTED_VALUE"""),"kreativitas kurang, pengusul MABA")</f>
        <v>kreativitas kurang, pengusul MABA</v>
      </c>
      <c r="D488" s="1" t="str">
        <f ca="1">IFERROR(__xludf.DUMMYFUNCTION("""COMPUTED_VALUE"""),"TIDAK LAYAK UPLOAD KE SIMBELMAWA")</f>
        <v>TIDAK LAYAK UPLOAD KE SIMBELMAWA</v>
      </c>
      <c r="E488" s="7" t="str">
        <f ca="1">IFERROR(__xludf.DUMMYFUNCTION("""COMPUTED_VALUE"""),"https://drive.google.com/open?id=15gd7WNp18JolDqUcE5Ybsvzak_Ttvf2a")</f>
        <v>https://drive.google.com/open?id=15gd7WNp18JolDqUcE5Ybsvzak_Ttvf2a</v>
      </c>
      <c r="F488" s="1">
        <f t="shared" ca="1" si="11"/>
        <v>0</v>
      </c>
      <c r="H488" s="4"/>
      <c r="I488" s="4"/>
      <c r="J488" s="4"/>
      <c r="K488" s="4"/>
      <c r="L488" s="4"/>
    </row>
    <row r="489" spans="1:12">
      <c r="A489" s="1">
        <f ca="1">IFERROR(__xludf.DUMMYFUNCTION("""COMPUTED_VALUE"""),2919)</f>
        <v>2919</v>
      </c>
      <c r="B489" s="1" t="str">
        <f ca="1">IFERROR(__xludf.DUMMYFUNCTION("""COMPUTED_VALUE"""),"PKM RE")</f>
        <v>PKM RE</v>
      </c>
      <c r="C489" s="1" t="str">
        <f ca="1">IFERROR(__xludf.DUMMYFUNCTION("""COMPUTED_VALUE"""),"revisi sesuai bikom 4")</f>
        <v>revisi sesuai bikom 4</v>
      </c>
      <c r="D489" s="1" t="str">
        <f ca="1">IFERROR(__xludf.DUMMYFUNCTION("""COMPUTED_VALUE"""),"LAYAK UPLOAD KE SIMBELMAWA DENGAN REVISI")</f>
        <v>LAYAK UPLOAD KE SIMBELMAWA DENGAN REVISI</v>
      </c>
      <c r="E489" s="7" t="str">
        <f ca="1">IFERROR(__xludf.DUMMYFUNCTION("""COMPUTED_VALUE"""),"https://drive.google.com/open?id=1xriKcbbtlIxo3SgrYELCoYWbfZj0CEZT")</f>
        <v>https://drive.google.com/open?id=1xriKcbbtlIxo3SgrYELCoYWbfZj0CEZT</v>
      </c>
      <c r="F489" s="1">
        <f t="shared" ca="1" si="11"/>
        <v>0</v>
      </c>
      <c r="H489" s="4"/>
      <c r="I489" s="4"/>
      <c r="J489" s="4"/>
      <c r="K489" s="4"/>
      <c r="L489" s="4"/>
    </row>
    <row r="490" spans="1:12">
      <c r="A490" s="1">
        <f ca="1">IFERROR(__xludf.DUMMYFUNCTION("""COMPUTED_VALUE"""),3559)</f>
        <v>3559</v>
      </c>
      <c r="B490" s="1" t="str">
        <f ca="1">IFERROR(__xludf.DUMMYFUNCTION("""COMPUTED_VALUE"""),"PKM RE")</f>
        <v>PKM RE</v>
      </c>
      <c r="C490" s="1" t="str">
        <f ca="1">IFERROR(__xludf.DUMMYFUNCTION("""COMPUTED_VALUE"""),"Metode penelitian ambyar")</f>
        <v>Metode penelitian ambyar</v>
      </c>
      <c r="D490" s="1" t="str">
        <f ca="1">IFERROR(__xludf.DUMMYFUNCTION("""COMPUTED_VALUE"""),"TIDAK LAYAK UPLOAD KE SIMBELMAWA")</f>
        <v>TIDAK LAYAK UPLOAD KE SIMBELMAWA</v>
      </c>
      <c r="E490" s="7" t="str">
        <f ca="1">IFERROR(__xludf.DUMMYFUNCTION("""COMPUTED_VALUE"""),"https://drive.google.com/open?id=1Ei9oJmbN5s1dLJIN0JIhZ9fvIkP87Gva")</f>
        <v>https://drive.google.com/open?id=1Ei9oJmbN5s1dLJIN0JIhZ9fvIkP87Gva</v>
      </c>
      <c r="F490" s="1">
        <f t="shared" ca="1" si="11"/>
        <v>0</v>
      </c>
      <c r="H490" s="4"/>
      <c r="I490" s="4"/>
      <c r="J490" s="4"/>
      <c r="K490" s="4"/>
      <c r="L490" s="4"/>
    </row>
    <row r="491" spans="1:12">
      <c r="A491" s="1">
        <f ca="1">IFERROR(__xludf.DUMMYFUNCTION("""COMPUTED_VALUE"""),2492)</f>
        <v>2492</v>
      </c>
      <c r="B491" s="1" t="str">
        <f ca="1">IFERROR(__xludf.DUMMYFUNCTION("""COMPUTED_VALUE"""),"PKM RE")</f>
        <v>PKM RE</v>
      </c>
      <c r="C491" s="1" t="str">
        <f ca="1">IFERROR(__xludf.DUMMYFUNCTION("""COMPUTED_VALUE"""),"-")</f>
        <v>-</v>
      </c>
      <c r="D491" s="1" t="str">
        <f ca="1">IFERROR(__xludf.DUMMYFUNCTION("""COMPUTED_VALUE"""),"LAYAK UPLOAD KE SIMBELMAWA")</f>
        <v>LAYAK UPLOAD KE SIMBELMAWA</v>
      </c>
      <c r="E491" s="7" t="str">
        <f ca="1">IFERROR(__xludf.DUMMYFUNCTION("""COMPUTED_VALUE"""),"https://drive.google.com/open?id=1omxMei7NaVMgMDrsSPAZVMO-ETNJ6Soe")</f>
        <v>https://drive.google.com/open?id=1omxMei7NaVMgMDrsSPAZVMO-ETNJ6Soe</v>
      </c>
      <c r="F491" s="1">
        <f t="shared" ca="1" si="11"/>
        <v>0</v>
      </c>
      <c r="H491" s="4"/>
      <c r="I491" s="4"/>
      <c r="J491" s="4"/>
      <c r="K491" s="4"/>
      <c r="L491" s="4"/>
    </row>
    <row r="492" spans="1:12">
      <c r="A492" s="1">
        <f ca="1">IFERROR(__xludf.DUMMYFUNCTION("""COMPUTED_VALUE"""),3492)</f>
        <v>3492</v>
      </c>
      <c r="B492" s="1" t="str">
        <f ca="1">IFERROR(__xludf.DUMMYFUNCTION("""COMPUTED_VALUE"""),"PKM RE")</f>
        <v>PKM RE</v>
      </c>
      <c r="C492" s="1" t="str">
        <f ca="1">IFERROR(__xludf.DUMMYFUNCTION("""COMPUTED_VALUE"""),"masukan sesuai saat bikom")</f>
        <v>masukan sesuai saat bikom</v>
      </c>
      <c r="D492" s="1" t="str">
        <f ca="1">IFERROR(__xludf.DUMMYFUNCTION("""COMPUTED_VALUE"""),"LAYAK UPLOAD KE SIMBELMAWA DENGAN REVISI")</f>
        <v>LAYAK UPLOAD KE SIMBELMAWA DENGAN REVISI</v>
      </c>
      <c r="E492" s="7" t="str">
        <f ca="1">IFERROR(__xludf.DUMMYFUNCTION("""COMPUTED_VALUE"""),"https://drive.google.com/open?id=1sndApBwqxMmNsa77RZccU1lNHGwMfu1H")</f>
        <v>https://drive.google.com/open?id=1sndApBwqxMmNsa77RZccU1lNHGwMfu1H</v>
      </c>
      <c r="F492" s="1">
        <f t="shared" ca="1" si="11"/>
        <v>0</v>
      </c>
      <c r="H492" s="4"/>
      <c r="I492" s="4"/>
      <c r="J492" s="4"/>
      <c r="K492" s="4"/>
      <c r="L492" s="4"/>
    </row>
    <row r="493" spans="1:12">
      <c r="A493" s="1">
        <f ca="1">IFERROR(__xludf.DUMMYFUNCTION("""COMPUTED_VALUE"""),2994)</f>
        <v>2994</v>
      </c>
      <c r="B493" s="1" t="str">
        <f ca="1">IFERROR(__xludf.DUMMYFUNCTION("""COMPUTED_VALUE"""),"PKM RE")</f>
        <v>PKM RE</v>
      </c>
      <c r="C493" s="1" t="str">
        <f ca="1">IFERROR(__xludf.DUMMYFUNCTION("""COMPUTED_VALUE"""),"RAB, bab 3, bab 2 diperbaiki, belum dapat merumuskan kontribusi riset")</f>
        <v>RAB, bab 3, bab 2 diperbaiki, belum dapat merumuskan kontribusi riset</v>
      </c>
      <c r="D493" s="1" t="str">
        <f ca="1">IFERROR(__xludf.DUMMYFUNCTION("""COMPUTED_VALUE"""),"LAYAK UPLOAD KE SIMBELMAWA DENGAN REVISI")</f>
        <v>LAYAK UPLOAD KE SIMBELMAWA DENGAN REVISI</v>
      </c>
      <c r="E493" s="7" t="str">
        <f ca="1">IFERROR(__xludf.DUMMYFUNCTION("""COMPUTED_VALUE"""),"https://drive.google.com/open?id=1GxZxVMVcXYpCd1JtTk5N3R-RLqrUSFWa")</f>
        <v>https://drive.google.com/open?id=1GxZxVMVcXYpCd1JtTk5N3R-RLqrUSFWa</v>
      </c>
      <c r="F493" s="1">
        <f t="shared" ca="1" si="11"/>
        <v>0</v>
      </c>
      <c r="H493" s="4"/>
      <c r="I493" s="4"/>
      <c r="J493" s="4"/>
      <c r="K493" s="4"/>
      <c r="L493" s="4"/>
    </row>
    <row r="494" spans="1:12">
      <c r="A494" s="1">
        <f ca="1">IFERROR(__xludf.DUMMYFUNCTION("""COMPUTED_VALUE"""),3950)</f>
        <v>3950</v>
      </c>
      <c r="B494" s="1" t="str">
        <f ca="1">IFERROR(__xludf.DUMMYFUNCTION("""COMPUTED_VALUE"""),"PKM RE")</f>
        <v>PKM RE</v>
      </c>
      <c r="C494" s="1" t="str">
        <f ca="1">IFERROR(__xludf.DUMMYFUNCTION("""COMPUTED_VALUE"""),"diperbaiki di penulisan kreativitas dan tabel 4.2")</f>
        <v>diperbaiki di penulisan kreativitas dan tabel 4.2</v>
      </c>
      <c r="D494" s="1" t="str">
        <f ca="1">IFERROR(__xludf.DUMMYFUNCTION("""COMPUTED_VALUE"""),"LAYAK UPLOAD KE SIMBELMAWA DENGAN REVISI")</f>
        <v>LAYAK UPLOAD KE SIMBELMAWA DENGAN REVISI</v>
      </c>
      <c r="E494" s="7" t="str">
        <f ca="1">IFERROR(__xludf.DUMMYFUNCTION("""COMPUTED_VALUE"""),"https://drive.google.com/open?id=1GTGhSiMyj4b0v1ZTnZJAtBDvChpXxs35")</f>
        <v>https://drive.google.com/open?id=1GTGhSiMyj4b0v1ZTnZJAtBDvChpXxs35</v>
      </c>
      <c r="F494" s="1">
        <f t="shared" ca="1" si="11"/>
        <v>0</v>
      </c>
      <c r="H494" s="4"/>
      <c r="I494" s="4"/>
      <c r="J494" s="4"/>
      <c r="K494" s="4"/>
      <c r="L494" s="4"/>
    </row>
    <row r="495" spans="1:12">
      <c r="A495" s="1">
        <f ca="1">IFERROR(__xludf.DUMMYFUNCTION("""COMPUTED_VALUE"""),2903)</f>
        <v>2903</v>
      </c>
      <c r="B495" s="1" t="str">
        <f ca="1">IFERROR(__xludf.DUMMYFUNCTION("""COMPUTED_VALUE"""),"PKM RE")</f>
        <v>PKM RE</v>
      </c>
      <c r="C495" s="1" t="str">
        <f ca="1">IFERROR(__xludf.DUMMYFUNCTION("""COMPUTED_VALUE"""),"RAB, Daftar Pustaka, Jumlah Halaman lebih dari 10")</f>
        <v>RAB, Daftar Pustaka, Jumlah Halaman lebih dari 10</v>
      </c>
      <c r="D495" s="1" t="str">
        <f ca="1">IFERROR(__xludf.DUMMYFUNCTION("""COMPUTED_VALUE"""),"LAYAK UPLOAD KE SIMBELMAWA DENGAN REVISI")</f>
        <v>LAYAK UPLOAD KE SIMBELMAWA DENGAN REVISI</v>
      </c>
      <c r="E495" s="7" t="str">
        <f ca="1">IFERROR(__xludf.DUMMYFUNCTION("""COMPUTED_VALUE"""),"https://drive.google.com/open?id=1Fue4XEsu2SMTeOqkkjOj5qv81MrOX41J")</f>
        <v>https://drive.google.com/open?id=1Fue4XEsu2SMTeOqkkjOj5qv81MrOX41J</v>
      </c>
      <c r="F495" s="1">
        <f t="shared" ca="1" si="11"/>
        <v>0</v>
      </c>
      <c r="H495" s="4"/>
      <c r="I495" s="4"/>
      <c r="J495" s="4"/>
      <c r="K495" s="4"/>
      <c r="L495" s="4"/>
    </row>
    <row r="496" spans="1:12">
      <c r="A496" s="1">
        <f ca="1">IFERROR(__xludf.DUMMYFUNCTION("""COMPUTED_VALUE"""),3241)</f>
        <v>3241</v>
      </c>
      <c r="B496" s="1" t="str">
        <f ca="1">IFERROR(__xludf.DUMMYFUNCTION("""COMPUTED_VALUE"""),"PKM RE")</f>
        <v>PKM RE</v>
      </c>
      <c r="C496" s="1" t="str">
        <f ca="1">IFERROR(__xludf.DUMMYFUNCTION("""COMPUTED_VALUE"""),"kreativitas rendah, mahasiswa baru tidak sesuai bidangnya")</f>
        <v>kreativitas rendah, mahasiswa baru tidak sesuai bidangnya</v>
      </c>
      <c r="D496" s="1" t="str">
        <f ca="1">IFERROR(__xludf.DUMMYFUNCTION("""COMPUTED_VALUE"""),"TIDAK LAYAK UPLOAD KE SIMBELMAWA")</f>
        <v>TIDAK LAYAK UPLOAD KE SIMBELMAWA</v>
      </c>
      <c r="E496" s="7" t="str">
        <f ca="1">IFERROR(__xludf.DUMMYFUNCTION("""COMPUTED_VALUE"""),"https://drive.google.com/open?id=1EEc_uTcA4-f2HgfS1xMry2kRMQXy5JUi")</f>
        <v>https://drive.google.com/open?id=1EEc_uTcA4-f2HgfS1xMry2kRMQXy5JUi</v>
      </c>
      <c r="F496" s="1">
        <f t="shared" ca="1" si="11"/>
        <v>0</v>
      </c>
      <c r="H496" s="4"/>
      <c r="I496" s="4"/>
      <c r="J496" s="4"/>
      <c r="K496" s="4"/>
      <c r="L496" s="4"/>
    </row>
    <row r="497" spans="1:12">
      <c r="A497" s="1">
        <f ca="1">IFERROR(__xludf.DUMMYFUNCTION("""COMPUTED_VALUE"""),2482)</f>
        <v>2482</v>
      </c>
      <c r="B497" s="1" t="str">
        <f ca="1">IFERROR(__xludf.DUMMYFUNCTION("""COMPUTED_VALUE"""),"PKM RE")</f>
        <v>PKM RE</v>
      </c>
      <c r="C497" s="1" t="str">
        <f ca="1">IFERROR(__xludf.DUMMYFUNCTION("""COMPUTED_VALUE"""),"MABA")</f>
        <v>MABA</v>
      </c>
      <c r="D497" s="1" t="str">
        <f ca="1">IFERROR(__xludf.DUMMYFUNCTION("""COMPUTED_VALUE"""),"TIDAK LAYAK UPLOAD KE SIMBELMAWA")</f>
        <v>TIDAK LAYAK UPLOAD KE SIMBELMAWA</v>
      </c>
      <c r="E497" s="7" t="str">
        <f ca="1">IFERROR(__xludf.DUMMYFUNCTION("""COMPUTED_VALUE"""),"https://drive.google.com/open?id=13lUDW9r7lyKTWH-axFDzFUxliZ1VitbY")</f>
        <v>https://drive.google.com/open?id=13lUDW9r7lyKTWH-axFDzFUxliZ1VitbY</v>
      </c>
      <c r="F497" s="1">
        <f t="shared" ca="1" si="11"/>
        <v>0</v>
      </c>
      <c r="H497" s="4"/>
      <c r="I497" s="4"/>
      <c r="J497" s="4"/>
      <c r="K497" s="4"/>
      <c r="L497" s="4"/>
    </row>
    <row r="498" spans="1:12">
      <c r="A498" s="1">
        <f ca="1">IFERROR(__xludf.DUMMYFUNCTION("""COMPUTED_VALUE"""),2629)</f>
        <v>2629</v>
      </c>
      <c r="B498" s="1" t="str">
        <f ca="1">IFERROR(__xludf.DUMMYFUNCTION("""COMPUTED_VALUE"""),"PKM RE")</f>
        <v>PKM RE</v>
      </c>
      <c r="C498" s="1" t="str">
        <f ca="1">IFERROR(__xludf.DUMMYFUNCTION("""COMPUTED_VALUE"""),"MABA")</f>
        <v>MABA</v>
      </c>
      <c r="D498" s="1" t="str">
        <f ca="1">IFERROR(__xludf.DUMMYFUNCTION("""COMPUTED_VALUE"""),"TIDAK LAYAK UPLOAD KE SIMBELMAWA")</f>
        <v>TIDAK LAYAK UPLOAD KE SIMBELMAWA</v>
      </c>
      <c r="E498" s="7" t="str">
        <f ca="1">IFERROR(__xludf.DUMMYFUNCTION("""COMPUTED_VALUE"""),"https://drive.google.com/open?id=13eyflR3YetESliE9p__-AKqSd-Nks6vg")</f>
        <v>https://drive.google.com/open?id=13eyflR3YetESliE9p__-AKqSd-Nks6vg</v>
      </c>
      <c r="F498" s="1">
        <f t="shared" ca="1" si="11"/>
        <v>0</v>
      </c>
      <c r="H498" s="4"/>
      <c r="I498" s="4"/>
      <c r="J498" s="4"/>
      <c r="K498" s="4"/>
      <c r="L498" s="4"/>
    </row>
    <row r="499" spans="1:12">
      <c r="A499" s="1">
        <f ca="1">IFERROR(__xludf.DUMMYFUNCTION("""COMPUTED_VALUE"""),3146)</f>
        <v>3146</v>
      </c>
      <c r="B499" s="1" t="str">
        <f ca="1">IFERROR(__xludf.DUMMYFUNCTION("""COMPUTED_VALUE"""),"PKM RE")</f>
        <v>PKM RE</v>
      </c>
      <c r="C499" s="1" t="str">
        <f ca="1">IFERROR(__xludf.DUMMYFUNCTION("""COMPUTED_VALUE"""),"RAB, metode, dan kontribusi riset (jumlah halaman lebih dari 10, daftar belum sesuai, biodata dosen belum sesuai)")</f>
        <v>RAB, metode, dan kontribusi riset (jumlah halaman lebih dari 10, daftar belum sesuai, biodata dosen belum sesuai)</v>
      </c>
      <c r="D499" s="1" t="str">
        <f ca="1">IFERROR(__xludf.DUMMYFUNCTION("""COMPUTED_VALUE"""),"LAYAK UPLOAD KE SIMBELMAWA DENGAN REVISI")</f>
        <v>LAYAK UPLOAD KE SIMBELMAWA DENGAN REVISI</v>
      </c>
      <c r="E499" s="7" t="str">
        <f ca="1">IFERROR(__xludf.DUMMYFUNCTION("""COMPUTED_VALUE"""),"https://drive.google.com/open?id=1chJqTEQ2UMjmUUi53fieBqo2RSW062mY")</f>
        <v>https://drive.google.com/open?id=1chJqTEQ2UMjmUUi53fieBqo2RSW062mY</v>
      </c>
      <c r="F499" s="1">
        <f t="shared" ca="1" si="11"/>
        <v>0</v>
      </c>
      <c r="H499" s="4"/>
      <c r="I499" s="4"/>
      <c r="J499" s="4"/>
      <c r="K499" s="4"/>
      <c r="L499" s="4"/>
    </row>
    <row r="500" spans="1:12">
      <c r="A500" s="1">
        <f ca="1">IFERROR(__xludf.DUMMYFUNCTION("""COMPUTED_VALUE"""),2314)</f>
        <v>2314</v>
      </c>
      <c r="B500" s="1" t="str">
        <f ca="1">IFERROR(__xludf.DUMMYFUNCTION("""COMPUTED_VALUE"""),"PKM RE")</f>
        <v>PKM RE</v>
      </c>
      <c r="C500" s="1" t="str">
        <f ca="1">IFERROR(__xludf.DUMMYFUNCTION("""COMPUTED_VALUE"""),"lihat pdf, kreativitas kurang")</f>
        <v>lihat pdf, kreativitas kurang</v>
      </c>
      <c r="D500" s="1" t="str">
        <f ca="1">IFERROR(__xludf.DUMMYFUNCTION("""COMPUTED_VALUE"""),"LAYAK UPLOAD KE SIMBELMAWA DENGAN REVISI")</f>
        <v>LAYAK UPLOAD KE SIMBELMAWA DENGAN REVISI</v>
      </c>
      <c r="E500" s="7" t="str">
        <f ca="1">IFERROR(__xludf.DUMMYFUNCTION("""COMPUTED_VALUE"""),"https://drive.google.com/open?id=1DMyixOuiH3EhIx_regD0o7nRQhU41jFk")</f>
        <v>https://drive.google.com/open?id=1DMyixOuiH3EhIx_regD0o7nRQhU41jFk</v>
      </c>
      <c r="F500" s="1">
        <f t="shared" ca="1" si="11"/>
        <v>0</v>
      </c>
      <c r="H500" s="4"/>
      <c r="I500" s="4"/>
      <c r="J500" s="4"/>
      <c r="K500" s="4"/>
      <c r="L500" s="4"/>
    </row>
    <row r="501" spans="1:12">
      <c r="A501" s="1">
        <f ca="1">IFERROR(__xludf.DUMMYFUNCTION("""COMPUTED_VALUE"""),4113)</f>
        <v>4113</v>
      </c>
      <c r="B501" s="1" t="str">
        <f ca="1">IFERROR(__xludf.DUMMYFUNCTION("""COMPUTED_VALUE"""),"PKM RE")</f>
        <v>PKM RE</v>
      </c>
      <c r="C501" s="1" t="str">
        <f ca="1">IFERROR(__xludf.DUMMYFUNCTION("""COMPUTED_VALUE"""),"lihat pdf")</f>
        <v>lihat pdf</v>
      </c>
      <c r="D501" s="1" t="str">
        <f ca="1">IFERROR(__xludf.DUMMYFUNCTION("""COMPUTED_VALUE"""),"LAYAK UPLOAD KE SIMBELMAWA DENGAN REVISI")</f>
        <v>LAYAK UPLOAD KE SIMBELMAWA DENGAN REVISI</v>
      </c>
      <c r="E501" s="7" t="str">
        <f ca="1">IFERROR(__xludf.DUMMYFUNCTION("""COMPUTED_VALUE"""),"https://drive.google.com/open?id=154fxTd-k96UWGMZ7WbPqqAbNtkQLnTeW")</f>
        <v>https://drive.google.com/open?id=154fxTd-k96UWGMZ7WbPqqAbNtkQLnTeW</v>
      </c>
      <c r="F501" s="1">
        <f t="shared" ca="1" si="11"/>
        <v>0</v>
      </c>
      <c r="H501" s="4"/>
      <c r="I501" s="4"/>
      <c r="J501" s="4"/>
      <c r="K501" s="4"/>
      <c r="L501" s="4"/>
    </row>
    <row r="502" spans="1:12">
      <c r="A502" s="1">
        <f ca="1">IFERROR(__xludf.DUMMYFUNCTION("""COMPUTED_VALUE"""),2321)</f>
        <v>2321</v>
      </c>
      <c r="B502" s="1" t="str">
        <f ca="1">IFERROR(__xludf.DUMMYFUNCTION("""COMPUTED_VALUE"""),"PKM RE")</f>
        <v>PKM RE</v>
      </c>
      <c r="C502" s="1" t="str">
        <f ca="1">IFERROR(__xludf.DUMMYFUNCTION("""COMPUTED_VALUE"""),"RAB disesuaikan, cari lokasi survey yg dekat")</f>
        <v>RAB disesuaikan, cari lokasi survey yg dekat</v>
      </c>
      <c r="D502" s="1" t="str">
        <f ca="1">IFERROR(__xludf.DUMMYFUNCTION("""COMPUTED_VALUE"""),"LAYAK UPLOAD KE SIMBELMAWA DENGAN REVISI")</f>
        <v>LAYAK UPLOAD KE SIMBELMAWA DENGAN REVISI</v>
      </c>
      <c r="E502" s="7" t="str">
        <f ca="1">IFERROR(__xludf.DUMMYFUNCTION("""COMPUTED_VALUE"""),"https://drive.google.com/open?id=1-2JRamYB74heHff-2L0ONLcKwNSpGOdG")</f>
        <v>https://drive.google.com/open?id=1-2JRamYB74heHff-2L0ONLcKwNSpGOdG</v>
      </c>
      <c r="F502" s="1">
        <f t="shared" ca="1" si="11"/>
        <v>0</v>
      </c>
      <c r="H502" s="4"/>
      <c r="I502" s="4"/>
      <c r="J502" s="4"/>
      <c r="K502" s="4"/>
      <c r="L502" s="4"/>
    </row>
    <row r="503" spans="1:12">
      <c r="A503" s="1">
        <f ca="1">IFERROR(__xludf.DUMMYFUNCTION("""COMPUTED_VALUE"""),3578)</f>
        <v>3578</v>
      </c>
      <c r="B503" s="1" t="str">
        <f ca="1">IFERROR(__xludf.DUMMYFUNCTION("""COMPUTED_VALUE"""),"PKM RE")</f>
        <v>PKM RE</v>
      </c>
      <c r="C503" s="1" t="str">
        <f ca="1">IFERROR(__xludf.DUMMYFUNCTION("""COMPUTED_VALUE"""),"lihat pdf")</f>
        <v>lihat pdf</v>
      </c>
      <c r="D503" s="1" t="str">
        <f ca="1">IFERROR(__xludf.DUMMYFUNCTION("""COMPUTED_VALUE"""),"LAYAK UPLOAD KE SIMBELMAWA DENGAN REVISI")</f>
        <v>LAYAK UPLOAD KE SIMBELMAWA DENGAN REVISI</v>
      </c>
      <c r="E503" s="7" t="str">
        <f ca="1">IFERROR(__xludf.DUMMYFUNCTION("""COMPUTED_VALUE"""),"https://drive.google.com/open?id=1cRY2VzrNXiiKZ9t8m6FmoY5JPYsIfXKL")</f>
        <v>https://drive.google.com/open?id=1cRY2VzrNXiiKZ9t8m6FmoY5JPYsIfXKL</v>
      </c>
      <c r="F503" s="1">
        <f t="shared" ca="1" si="11"/>
        <v>0</v>
      </c>
      <c r="H503" s="4"/>
      <c r="I503" s="4"/>
      <c r="J503" s="4"/>
      <c r="K503" s="4"/>
      <c r="L503" s="4"/>
    </row>
    <row r="504" spans="1:12">
      <c r="A504" s="1">
        <f ca="1">IFERROR(__xludf.DUMMYFUNCTION("""COMPUTED_VALUE"""),2584)</f>
        <v>2584</v>
      </c>
      <c r="B504" s="1" t="str">
        <f ca="1">IFERROR(__xludf.DUMMYFUNCTION("""COMPUTED_VALUE"""),"PKM RE")</f>
        <v>PKM RE</v>
      </c>
      <c r="C504" s="1" t="str">
        <f ca="1">IFERROR(__xludf.DUMMYFUNCTION("""COMPUTED_VALUE"""),"lihat di pdf, concern terbesar saya adalah keilmuan mahasiswa belum cukup")</f>
        <v>lihat di pdf, concern terbesar saya adalah keilmuan mahasiswa belum cukup</v>
      </c>
      <c r="D504" s="1" t="str">
        <f ca="1">IFERROR(__xludf.DUMMYFUNCTION("""COMPUTED_VALUE"""),"TIDAK LAYAK UPLOAD KE SIMBELMAWA")</f>
        <v>TIDAK LAYAK UPLOAD KE SIMBELMAWA</v>
      </c>
      <c r="E504" s="7" t="str">
        <f ca="1">IFERROR(__xludf.DUMMYFUNCTION("""COMPUTED_VALUE"""),"https://drive.google.com/open?id=1Z3BxJICfey326cs_2lQZUdYl2MKtyuRE")</f>
        <v>https://drive.google.com/open?id=1Z3BxJICfey326cs_2lQZUdYl2MKtyuRE</v>
      </c>
      <c r="F504" s="1">
        <f t="shared" ca="1" si="11"/>
        <v>0</v>
      </c>
      <c r="H504" s="4"/>
      <c r="I504" s="4"/>
      <c r="J504" s="4"/>
      <c r="K504" s="4"/>
      <c r="L504" s="4"/>
    </row>
    <row r="505" spans="1:12">
      <c r="A505" s="1">
        <f ca="1">IFERROR(__xludf.DUMMYFUNCTION("""COMPUTED_VALUE"""),2560)</f>
        <v>2560</v>
      </c>
      <c r="B505" s="1" t="str">
        <f ca="1">IFERROR(__xludf.DUMMYFUNCTION("""COMPUTED_VALUE"""),"PKM RE")</f>
        <v>PKM RE</v>
      </c>
      <c r="C505" s="1" t="str">
        <f ca="1">IFERROR(__xludf.DUMMYFUNCTION("""COMPUTED_VALUE"""),"lihat file pdf")</f>
        <v>lihat file pdf</v>
      </c>
      <c r="D505" s="1" t="str">
        <f ca="1">IFERROR(__xludf.DUMMYFUNCTION("""COMPUTED_VALUE"""),"TIDAK LAYAK UPLOAD KE SIMBELMAWA")</f>
        <v>TIDAK LAYAK UPLOAD KE SIMBELMAWA</v>
      </c>
      <c r="E505" s="7" t="str">
        <f ca="1">IFERROR(__xludf.DUMMYFUNCTION("""COMPUTED_VALUE"""),"https://drive.google.com/open?id=1wN3ELKR0In1ECBLIKK5CR4pZGM_WUzxy")</f>
        <v>https://drive.google.com/open?id=1wN3ELKR0In1ECBLIKK5CR4pZGM_WUzxy</v>
      </c>
      <c r="F505" s="1">
        <f t="shared" ca="1" si="11"/>
        <v>0</v>
      </c>
      <c r="H505" s="4"/>
      <c r="I505" s="4"/>
      <c r="J505" s="4"/>
      <c r="K505" s="4"/>
      <c r="L505" s="4"/>
    </row>
    <row r="506" spans="1:12">
      <c r="A506" s="1">
        <f ca="1">IFERROR(__xludf.DUMMYFUNCTION("""COMPUTED_VALUE"""),3348)</f>
        <v>3348</v>
      </c>
      <c r="B506" s="1" t="str">
        <f ca="1">IFERROR(__xludf.DUMMYFUNCTION("""COMPUTED_VALUE"""),"PKM RE")</f>
        <v>PKM RE</v>
      </c>
      <c r="C506" s="1" t="str">
        <f ca="1">IFERROR(__xludf.DUMMYFUNCTION("""COMPUTED_VALUE"""),"jumlah halaman masih lebih dari 10")</f>
        <v>jumlah halaman masih lebih dari 10</v>
      </c>
      <c r="D506" s="1" t="str">
        <f ca="1">IFERROR(__xludf.DUMMYFUNCTION("""COMPUTED_VALUE"""),"LAYAK UPLOAD KE SIMBELMAWA DENGAN REVISI")</f>
        <v>LAYAK UPLOAD KE SIMBELMAWA DENGAN REVISI</v>
      </c>
      <c r="E506" s="7" t="str">
        <f ca="1">IFERROR(__xludf.DUMMYFUNCTION("""COMPUTED_VALUE"""),"https://drive.google.com/open?id=1r7cUohb3GFgqInLZd5iGLBWewhVPsk9v")</f>
        <v>https://drive.google.com/open?id=1r7cUohb3GFgqInLZd5iGLBWewhVPsk9v</v>
      </c>
      <c r="F506" s="1">
        <f t="shared" ca="1" si="11"/>
        <v>0</v>
      </c>
      <c r="H506" s="4"/>
      <c r="I506" s="4"/>
      <c r="J506" s="4"/>
      <c r="K506" s="4"/>
      <c r="L506" s="4"/>
    </row>
    <row r="507" spans="1:12">
      <c r="A507" s="1">
        <f ca="1">IFERROR(__xludf.DUMMYFUNCTION("""COMPUTED_VALUE"""),2522)</f>
        <v>2522</v>
      </c>
      <c r="B507" s="1" t="str">
        <f ca="1">IFERROR(__xludf.DUMMYFUNCTION("""COMPUTED_VALUE"""),"PKM RE")</f>
        <v>PKM RE</v>
      </c>
      <c r="C507" s="1" t="str">
        <f ca="1">IFERROR(__xludf.DUMMYFUNCTION("""COMPUTED_VALUE"""),"lihat pdf")</f>
        <v>lihat pdf</v>
      </c>
      <c r="D507" s="1" t="str">
        <f ca="1">IFERROR(__xludf.DUMMYFUNCTION("""COMPUTED_VALUE"""),"LAYAK UPLOAD KE SIMBELMAWA DENGAN REVISI")</f>
        <v>LAYAK UPLOAD KE SIMBELMAWA DENGAN REVISI</v>
      </c>
      <c r="E507" s="7" t="str">
        <f ca="1">IFERROR(__xludf.DUMMYFUNCTION("""COMPUTED_VALUE"""),"https://drive.google.com/open?id=1XatlOqIi2EygtjnVnUysK1uBiTaTSyx9")</f>
        <v>https://drive.google.com/open?id=1XatlOqIi2EygtjnVnUysK1uBiTaTSyx9</v>
      </c>
      <c r="F507" s="1">
        <f t="shared" ca="1" si="11"/>
        <v>0</v>
      </c>
      <c r="H507" s="4"/>
      <c r="I507" s="4"/>
      <c r="J507" s="4"/>
      <c r="K507" s="4"/>
      <c r="L507" s="4"/>
    </row>
    <row r="508" spans="1:12">
      <c r="A508" s="1">
        <f ca="1">IFERROR(__xludf.DUMMYFUNCTION("""COMPUTED_VALUE"""),3339)</f>
        <v>3339</v>
      </c>
      <c r="B508" s="1" t="str">
        <f ca="1">IFERROR(__xludf.DUMMYFUNCTION("""COMPUTED_VALUE"""),"PKM RE")</f>
        <v>PKM RE</v>
      </c>
      <c r="C508" s="1" t="str">
        <f ca="1">IFERROR(__xludf.DUMMYFUNCTION("""COMPUTED_VALUE"""),"lihat pdf")</f>
        <v>lihat pdf</v>
      </c>
      <c r="D508" s="1" t="str">
        <f ca="1">IFERROR(__xludf.DUMMYFUNCTION("""COMPUTED_VALUE"""),"LAYAK UPLOAD KE SIMBELMAWA DENGAN REVISI")</f>
        <v>LAYAK UPLOAD KE SIMBELMAWA DENGAN REVISI</v>
      </c>
      <c r="E508" s="7" t="str">
        <f ca="1">IFERROR(__xludf.DUMMYFUNCTION("""COMPUTED_VALUE"""),"https://drive.google.com/open?id=1xFWPBJuyrtXYHSI6aZUsxUxT-Br_Pcd_")</f>
        <v>https://drive.google.com/open?id=1xFWPBJuyrtXYHSI6aZUsxUxT-Br_Pcd_</v>
      </c>
      <c r="F508" s="1">
        <f t="shared" ca="1" si="11"/>
        <v>0</v>
      </c>
      <c r="H508" s="4"/>
      <c r="I508" s="4"/>
      <c r="J508" s="4"/>
      <c r="K508" s="4"/>
      <c r="L508" s="4"/>
    </row>
    <row r="509" spans="1:12">
      <c r="A509" s="1">
        <f ca="1">IFERROR(__xludf.DUMMYFUNCTION("""COMPUTED_VALUE"""),3275)</f>
        <v>3275</v>
      </c>
      <c r="B509" s="1" t="str">
        <f ca="1">IFERROR(__xludf.DUMMYFUNCTION("""COMPUTED_VALUE"""),"PKM RE")</f>
        <v>PKM RE</v>
      </c>
      <c r="C509" s="1" t="str">
        <f ca="1">IFERROR(__xludf.DUMMYFUNCTION("""COMPUTED_VALUE"""),"Literatur pada bab 2 lebih dominan standar daripada jurnal, jumlah jurnal sebaiknya ditambah, penulisan daftar pustaka perlu diperbaiki
")</f>
        <v xml:space="preserve">Literatur pada bab 2 lebih dominan standar daripada jurnal, jumlah jurnal sebaiknya ditambah, penulisan daftar pustaka perlu diperbaiki
</v>
      </c>
      <c r="D509" s="1" t="str">
        <f ca="1">IFERROR(__xludf.DUMMYFUNCTION("""COMPUTED_VALUE"""),"LAYAK UPLOAD KE SIMBELMAWA DENGAN REVISI")</f>
        <v>LAYAK UPLOAD KE SIMBELMAWA DENGAN REVISI</v>
      </c>
      <c r="E509" s="7" t="str">
        <f ca="1">IFERROR(__xludf.DUMMYFUNCTION("""COMPUTED_VALUE"""),"https://drive.google.com/open?id=19_sSPyJTwSHKj5a_SPdZSljGaUPt9JS-")</f>
        <v>https://drive.google.com/open?id=19_sSPyJTwSHKj5a_SPdZSljGaUPt9JS-</v>
      </c>
      <c r="F509" s="1">
        <f t="shared" ca="1" si="11"/>
        <v>0</v>
      </c>
      <c r="H509" s="4"/>
      <c r="I509" s="4"/>
      <c r="J509" s="4"/>
      <c r="K509" s="4"/>
      <c r="L509" s="4"/>
    </row>
    <row r="510" spans="1:12">
      <c r="A510" s="1">
        <f ca="1">IFERROR(__xludf.DUMMYFUNCTION("""COMPUTED_VALUE"""),2027)</f>
        <v>2027</v>
      </c>
      <c r="B510" s="1" t="str">
        <f ca="1">IFERROR(__xludf.DUMMYFUNCTION("""COMPUTED_VALUE"""),"PKM RE")</f>
        <v>PKM RE</v>
      </c>
      <c r="C510" s="1" t="str">
        <f ca="1">IFERROR(__xludf.DUMMYFUNCTION("""COMPUTED_VALUE"""),"Penelitian lebih fokus pada karakterisasi, variabel penelitian cuma 1")</f>
        <v>Penelitian lebih fokus pada karakterisasi, variabel penelitian cuma 1</v>
      </c>
      <c r="D510" s="1" t="str">
        <f ca="1">IFERROR(__xludf.DUMMYFUNCTION("""COMPUTED_VALUE"""),"LAYAK UPLOAD KE SIMBELMAWA DENGAN REVISI")</f>
        <v>LAYAK UPLOAD KE SIMBELMAWA DENGAN REVISI</v>
      </c>
      <c r="E510" s="7" t="str">
        <f ca="1">IFERROR(__xludf.DUMMYFUNCTION("""COMPUTED_VALUE"""),"https://drive.google.com/open?id=1bphzhwgyiuU04-9OoeEc2ipECpsS8Trt")</f>
        <v>https://drive.google.com/open?id=1bphzhwgyiuU04-9OoeEc2ipECpsS8Trt</v>
      </c>
      <c r="F510" s="1">
        <f t="shared" ca="1" si="11"/>
        <v>0</v>
      </c>
      <c r="H510" s="4"/>
      <c r="I510" s="4"/>
      <c r="J510" s="4"/>
      <c r="K510" s="4"/>
      <c r="L510" s="4"/>
    </row>
    <row r="511" spans="1:12">
      <c r="A511" s="1">
        <f ca="1">IFERROR(__xludf.DUMMYFUNCTION("""COMPUTED_VALUE"""),2252)</f>
        <v>2252</v>
      </c>
      <c r="B511" s="1" t="str">
        <f ca="1">IFERROR(__xludf.DUMMYFUNCTION("""COMPUTED_VALUE"""),"PKM RE")</f>
        <v>PKM RE</v>
      </c>
      <c r="C511" s="1" t="str">
        <f ca="1">IFERROR(__xludf.DUMMYFUNCTION("""COMPUTED_VALUE"""),"Latar belakang kurang spesifik, Bab 2 masih dominan dasar teori, metode penelitian masih terbaca hanya 1 variabel, diagram penelitian kurang bisa dibaca penelitian")</f>
        <v>Latar belakang kurang spesifik, Bab 2 masih dominan dasar teori, metode penelitian masih terbaca hanya 1 variabel, diagram penelitian kurang bisa dibaca penelitian</v>
      </c>
      <c r="D511" s="1" t="str">
        <f ca="1">IFERROR(__xludf.DUMMYFUNCTION("""COMPUTED_VALUE"""),"LAYAK UPLOAD KE SIMBELMAWA DENGAN REVISI")</f>
        <v>LAYAK UPLOAD KE SIMBELMAWA DENGAN REVISI</v>
      </c>
      <c r="E511" s="7" t="str">
        <f ca="1">IFERROR(__xludf.DUMMYFUNCTION("""COMPUTED_VALUE"""),"https://drive.google.com/open?id=1t6KS9dwWImWWf6LXfG62IiqlKH3MFEQP")</f>
        <v>https://drive.google.com/open?id=1t6KS9dwWImWWf6LXfG62IiqlKH3MFEQP</v>
      </c>
      <c r="F511" s="1">
        <f t="shared" ca="1" si="11"/>
        <v>0</v>
      </c>
      <c r="H511" s="4"/>
      <c r="I511" s="4"/>
      <c r="J511" s="4"/>
      <c r="K511" s="4"/>
      <c r="L511" s="4"/>
    </row>
    <row r="512" spans="1:12">
      <c r="A512" s="1">
        <f ca="1">IFERROR(__xludf.DUMMYFUNCTION("""COMPUTED_VALUE"""),2394)</f>
        <v>2394</v>
      </c>
      <c r="B512" s="1" t="str">
        <f ca="1">IFERROR(__xludf.DUMMYFUNCTION("""COMPUTED_VALUE"""),"PKM RE")</f>
        <v>PKM RE</v>
      </c>
      <c r="C512" s="1" t="str">
        <f ca="1">IFERROR(__xludf.DUMMYFUNCTION("""COMPUTED_VALUE"""),"Format penulisan beberapa belum rapi (spasi, margin), latar belakang kurang kuat, Tinjauan pustaka tidak berbasis penelitian terdahulu, kecuali pada tabel tetapi informasi juga tidak ada")</f>
        <v>Format penulisan beberapa belum rapi (spasi, margin), latar belakang kurang kuat, Tinjauan pustaka tidak berbasis penelitian terdahulu, kecuali pada tabel tetapi informasi juga tidak ada</v>
      </c>
      <c r="D512" s="1" t="str">
        <f ca="1">IFERROR(__xludf.DUMMYFUNCTION("""COMPUTED_VALUE"""),"LAYAK UPLOAD KE SIMBELMAWA DENGAN REVISI")</f>
        <v>LAYAK UPLOAD KE SIMBELMAWA DENGAN REVISI</v>
      </c>
      <c r="E512" s="7" t="str">
        <f ca="1">IFERROR(__xludf.DUMMYFUNCTION("""COMPUTED_VALUE"""),"https://drive.google.com/open?id=1iFDqyNF1Y2yFSQ7JuNzd4erILr2fsPMd")</f>
        <v>https://drive.google.com/open?id=1iFDqyNF1Y2yFSQ7JuNzd4erILr2fsPMd</v>
      </c>
      <c r="F512" s="1">
        <f t="shared" ref="F512:F596" ca="1" si="12">IF(C512=" ",IF(ISBLANK(E512), 2, 1),0)</f>
        <v>0</v>
      </c>
      <c r="H512" s="4"/>
      <c r="I512" s="4"/>
      <c r="J512" s="4"/>
      <c r="K512" s="4"/>
      <c r="L512" s="4"/>
    </row>
    <row r="513" spans="1:12">
      <c r="A513" s="1">
        <f ca="1">IFERROR(__xludf.DUMMYFUNCTION("""COMPUTED_VALUE"""),2450)</f>
        <v>2450</v>
      </c>
      <c r="B513" s="1" t="str">
        <f ca="1">IFERROR(__xludf.DUMMYFUNCTION("""COMPUTED_VALUE"""),"PKM RE")</f>
        <v>PKM RE</v>
      </c>
      <c r="C513" s="1" t="str">
        <f ca="1">IFERROR(__xludf.DUMMYFUNCTION("""COMPUTED_VALUE"""),"kreatifitas rendah, masih maba 2021")</f>
        <v>kreatifitas rendah, masih maba 2021</v>
      </c>
      <c r="D513" s="1" t="str">
        <f ca="1">IFERROR(__xludf.DUMMYFUNCTION("""COMPUTED_VALUE"""),"TIDAK LAYAK UPLOAD KE SIMBELMAWA")</f>
        <v>TIDAK LAYAK UPLOAD KE SIMBELMAWA</v>
      </c>
      <c r="E513" s="7" t="str">
        <f ca="1">IFERROR(__xludf.DUMMYFUNCTION("""COMPUTED_VALUE"""),"https://drive.google.com/open?id=1uDZRGG_NkL6_YgtrtO56OvvPE0dJrd6z")</f>
        <v>https://drive.google.com/open?id=1uDZRGG_NkL6_YgtrtO56OvvPE0dJrd6z</v>
      </c>
      <c r="F513" s="1">
        <f t="shared" ca="1" si="12"/>
        <v>0</v>
      </c>
      <c r="H513" s="4"/>
      <c r="I513" s="4"/>
      <c r="J513" s="4"/>
      <c r="K513" s="4"/>
      <c r="L513" s="4"/>
    </row>
    <row r="514" spans="1:12">
      <c r="A514" s="1">
        <f ca="1">IFERROR(__xludf.DUMMYFUNCTION("""COMPUTED_VALUE"""),3352)</f>
        <v>3352</v>
      </c>
      <c r="B514" s="1" t="str">
        <f ca="1">IFERROR(__xludf.DUMMYFUNCTION("""COMPUTED_VALUE"""),"PKM RE")</f>
        <v>PKM RE</v>
      </c>
      <c r="C514" s="1" t="str">
        <f ca="1">IFERROR(__xludf.DUMMYFUNCTION("""COMPUTED_VALUE"""),"-")</f>
        <v>-</v>
      </c>
      <c r="D514" s="1" t="str">
        <f ca="1">IFERROR(__xludf.DUMMYFUNCTION("""COMPUTED_VALUE"""),"LAYAK UPLOAD KE SIMBELMAWA")</f>
        <v>LAYAK UPLOAD KE SIMBELMAWA</v>
      </c>
      <c r="E514" s="7" t="str">
        <f ca="1">IFERROR(__xludf.DUMMYFUNCTION("""COMPUTED_VALUE"""),"https://drive.google.com/open?id=10Y1xjSZDgSiovv4IAY4BR2RyxCSpkFfK")</f>
        <v>https://drive.google.com/open?id=10Y1xjSZDgSiovv4IAY4BR2RyxCSpkFfK</v>
      </c>
      <c r="F514" s="1">
        <f t="shared" ca="1" si="12"/>
        <v>0</v>
      </c>
      <c r="H514" s="4"/>
      <c r="I514" s="4"/>
      <c r="J514" s="4"/>
      <c r="K514" s="4"/>
      <c r="L514" s="4"/>
    </row>
    <row r="515" spans="1:12">
      <c r="A515" s="1">
        <f ca="1">IFERROR(__xludf.DUMMYFUNCTION("""COMPUTED_VALUE"""),3311)</f>
        <v>3311</v>
      </c>
      <c r="B515" s="1" t="str">
        <f ca="1">IFERROR(__xludf.DUMMYFUNCTION("""COMPUTED_VALUE"""),"PKM RE")</f>
        <v>PKM RE</v>
      </c>
      <c r="C515" s="1" t="str">
        <f ca="1">IFERROR(__xludf.DUMMYFUNCTION("""COMPUTED_VALUE"""),"lihat pdf")</f>
        <v>lihat pdf</v>
      </c>
      <c r="D515" s="1" t="str">
        <f ca="1">IFERROR(__xludf.DUMMYFUNCTION("""COMPUTED_VALUE"""),"LAYAK UPLOAD KE SIMBELMAWA DENGAN REVISI")</f>
        <v>LAYAK UPLOAD KE SIMBELMAWA DENGAN REVISI</v>
      </c>
      <c r="E515" s="7" t="str">
        <f ca="1">IFERROR(__xludf.DUMMYFUNCTION("""COMPUTED_VALUE"""),"https://drive.google.com/open?id=1e-FycEn7FsyyQ6GgV4BeADcd2KBamUSM")</f>
        <v>https://drive.google.com/open?id=1e-FycEn7FsyyQ6GgV4BeADcd2KBamUSM</v>
      </c>
      <c r="F515" s="1">
        <f t="shared" ca="1" si="12"/>
        <v>0</v>
      </c>
      <c r="H515" s="4"/>
      <c r="I515" s="4"/>
      <c r="J515" s="4"/>
      <c r="K515" s="4"/>
      <c r="L515" s="4"/>
    </row>
    <row r="516" spans="1:12">
      <c r="A516" s="1">
        <f ca="1">IFERROR(__xludf.DUMMYFUNCTION("""COMPUTED_VALUE"""),3998)</f>
        <v>3998</v>
      </c>
      <c r="B516" s="1" t="str">
        <f ca="1">IFERROR(__xludf.DUMMYFUNCTION("""COMPUTED_VALUE"""),"PKM RE")</f>
        <v>PKM RE</v>
      </c>
      <c r="C516" s="1" t="str">
        <f ca="1">IFERROR(__xludf.DUMMYFUNCTION("""COMPUTED_VALUE"""),"Gambar state of the art tidak terbaca dan salah judul, variabel penelitian tidak terlihat referensi dari penelitian terdahulu, RAB dari PT disesuaikan menurut ITS
")</f>
        <v xml:space="preserve">Gambar state of the art tidak terbaca dan salah judul, variabel penelitian tidak terlihat referensi dari penelitian terdahulu, RAB dari PT disesuaikan menurut ITS
</v>
      </c>
      <c r="D516" s="1" t="str">
        <f ca="1">IFERROR(__xludf.DUMMYFUNCTION("""COMPUTED_VALUE"""),"LAYAK UPLOAD KE SIMBELMAWA DENGAN REVISI")</f>
        <v>LAYAK UPLOAD KE SIMBELMAWA DENGAN REVISI</v>
      </c>
      <c r="E516" s="7" t="str">
        <f ca="1">IFERROR(__xludf.DUMMYFUNCTION("""COMPUTED_VALUE"""),"https://drive.google.com/open?id=1nko9WaMgXaAnmf4zf8G42BC_ElP9UD3G")</f>
        <v>https://drive.google.com/open?id=1nko9WaMgXaAnmf4zf8G42BC_ElP9UD3G</v>
      </c>
      <c r="F516" s="1">
        <f t="shared" ca="1" si="12"/>
        <v>0</v>
      </c>
      <c r="H516" s="4"/>
      <c r="I516" s="4"/>
      <c r="J516" s="4"/>
      <c r="K516" s="4"/>
      <c r="L516" s="4"/>
    </row>
    <row r="517" spans="1:12">
      <c r="A517" s="1">
        <f ca="1">IFERROR(__xludf.DUMMYFUNCTION("""COMPUTED_VALUE"""),2094)</f>
        <v>2094</v>
      </c>
      <c r="B517" s="1" t="str">
        <f ca="1">IFERROR(__xludf.DUMMYFUNCTION("""COMPUTED_VALUE"""),"PKM RE")</f>
        <v>PKM RE</v>
      </c>
      <c r="C517" s="1" t="str">
        <f ca="1">IFERROR(__xludf.DUMMYFUNCTION("""COMPUTED_VALUE"""),"lihat pdf")</f>
        <v>lihat pdf</v>
      </c>
      <c r="D517" s="1" t="str">
        <f ca="1">IFERROR(__xludf.DUMMYFUNCTION("""COMPUTED_VALUE"""),"LAYAK UPLOAD KE SIMBELMAWA DENGAN REVISI")</f>
        <v>LAYAK UPLOAD KE SIMBELMAWA DENGAN REVISI</v>
      </c>
      <c r="E517" s="7" t="str">
        <f ca="1">IFERROR(__xludf.DUMMYFUNCTION("""COMPUTED_VALUE"""),"https://drive.google.com/open?id=12-k-b8Hq81lFYZIlZ1xseOZw8_eimIri")</f>
        <v>https://drive.google.com/open?id=12-k-b8Hq81lFYZIlZ1xseOZw8_eimIri</v>
      </c>
      <c r="F517" s="1">
        <f t="shared" ca="1" si="12"/>
        <v>0</v>
      </c>
      <c r="H517" s="4"/>
      <c r="I517" s="4"/>
      <c r="J517" s="4"/>
      <c r="K517" s="4"/>
      <c r="L517" s="4"/>
    </row>
    <row r="518" spans="1:12">
      <c r="A518" s="1">
        <f ca="1">IFERROR(__xludf.DUMMYFUNCTION("""COMPUTED_VALUE"""),2078)</f>
        <v>2078</v>
      </c>
      <c r="B518" s="1" t="str">
        <f ca="1">IFERROR(__xludf.DUMMYFUNCTION("""COMPUTED_VALUE"""),"PKM RE")</f>
        <v>PKM RE</v>
      </c>
      <c r="C518" s="1" t="str">
        <f ca="1">IFERROR(__xludf.DUMMYFUNCTION("""COMPUTED_VALUE"""),"Double proposal/penilaian pada ID 3275
")</f>
        <v xml:space="preserve">Double proposal/penilaian pada ID 3275
</v>
      </c>
      <c r="D518" s="1" t="str">
        <f ca="1">IFERROR(__xludf.DUMMYFUNCTION("""COMPUTED_VALUE"""),"TIDAK LAYAK UPLOAD KE SIMBELMAWA")</f>
        <v>TIDAK LAYAK UPLOAD KE SIMBELMAWA</v>
      </c>
      <c r="E518" s="7" t="str">
        <f ca="1">IFERROR(__xludf.DUMMYFUNCTION("""COMPUTED_VALUE"""),"https://drive.google.com/open?id=1C77_ScHOvpselbtjG1LfBp-caADaLzJu")</f>
        <v>https://drive.google.com/open?id=1C77_ScHOvpselbtjG1LfBp-caADaLzJu</v>
      </c>
      <c r="F518" s="1">
        <f t="shared" ca="1" si="12"/>
        <v>0</v>
      </c>
      <c r="H518" s="4"/>
      <c r="I518" s="4"/>
      <c r="J518" s="4"/>
      <c r="K518" s="4"/>
      <c r="L518" s="4"/>
    </row>
    <row r="519" spans="1:12">
      <c r="A519" s="1">
        <f ca="1">IFERROR(__xludf.DUMMYFUNCTION("""COMPUTED_VALUE"""),2859)</f>
        <v>2859</v>
      </c>
      <c r="B519" s="1" t="str">
        <f ca="1">IFERROR(__xludf.DUMMYFUNCTION("""COMPUTED_VALUE"""),"PKM RE")</f>
        <v>PKM RE</v>
      </c>
      <c r="C519" s="1" t="str">
        <f ca="1">IFERROR(__xludf.DUMMYFUNCTION("""COMPUTED_VALUE"""),"Penulisan jadwal kegiatan dirapikan, RAB disesuaikan dengan ITS
")</f>
        <v xml:space="preserve">Penulisan jadwal kegiatan dirapikan, RAB disesuaikan dengan ITS
</v>
      </c>
      <c r="D519" s="1" t="str">
        <f ca="1">IFERROR(__xludf.DUMMYFUNCTION("""COMPUTED_VALUE"""),"LAYAK UPLOAD KE SIMBELMAWA DENGAN REVISI")</f>
        <v>LAYAK UPLOAD KE SIMBELMAWA DENGAN REVISI</v>
      </c>
      <c r="E519" s="7" t="str">
        <f ca="1">IFERROR(__xludf.DUMMYFUNCTION("""COMPUTED_VALUE"""),"https://drive.google.com/open?id=1145-hyW-JfO3Zdt8g8SN_yV9pLMfzhm1")</f>
        <v>https://drive.google.com/open?id=1145-hyW-JfO3Zdt8g8SN_yV9pLMfzhm1</v>
      </c>
      <c r="F519" s="1">
        <f t="shared" ca="1" si="12"/>
        <v>0</v>
      </c>
      <c r="H519" s="4"/>
      <c r="I519" s="4"/>
      <c r="J519" s="4"/>
      <c r="K519" s="4"/>
      <c r="L519" s="4"/>
    </row>
    <row r="520" spans="1:12">
      <c r="A520" s="1">
        <f ca="1">IFERROR(__xludf.DUMMYFUNCTION("""COMPUTED_VALUE"""),2990)</f>
        <v>2990</v>
      </c>
      <c r="B520" s="1" t="str">
        <f ca="1">IFERROR(__xludf.DUMMYFUNCTION("""COMPUTED_VALUE"""),"PKM RE")</f>
        <v>PKM RE</v>
      </c>
      <c r="C520" s="1" t="str">
        <f ca="1">IFERROR(__xludf.DUMMYFUNCTION("""COMPUTED_VALUE"""),"tinjauan pustaka dan metode, RAB diperbaiki")</f>
        <v>tinjauan pustaka dan metode, RAB diperbaiki</v>
      </c>
      <c r="D520" s="1" t="str">
        <f ca="1">IFERROR(__xludf.DUMMYFUNCTION("""COMPUTED_VALUE"""),"LAYAK UPLOAD KE SIMBELMAWA DENGAN REVISI")</f>
        <v>LAYAK UPLOAD KE SIMBELMAWA DENGAN REVISI</v>
      </c>
      <c r="E520" s="7" t="str">
        <f ca="1">IFERROR(__xludf.DUMMYFUNCTION("""COMPUTED_VALUE"""),"https://drive.google.com/open?id=1S4B94NZS2gmAnvJ_d636S2rT2VFYvuVy")</f>
        <v>https://drive.google.com/open?id=1S4B94NZS2gmAnvJ_d636S2rT2VFYvuVy</v>
      </c>
      <c r="F520" s="1">
        <f t="shared" ca="1" si="12"/>
        <v>0</v>
      </c>
      <c r="H520" s="4"/>
      <c r="I520" s="4"/>
      <c r="J520" s="4"/>
      <c r="K520" s="4"/>
      <c r="L520" s="4"/>
    </row>
    <row r="521" spans="1:12">
      <c r="A521" s="1">
        <f ca="1">IFERROR(__xludf.DUMMYFUNCTION("""COMPUTED_VALUE"""),3060)</f>
        <v>3060</v>
      </c>
      <c r="B521" s="1" t="str">
        <f ca="1">IFERROR(__xludf.DUMMYFUNCTION("""COMPUTED_VALUE"""),"PKM RE")</f>
        <v>PKM RE</v>
      </c>
      <c r="C521" s="1" t="str">
        <f ca="1">IFERROR(__xludf.DUMMYFUNCTION("""COMPUTED_VALUE"""),"MABA")</f>
        <v>MABA</v>
      </c>
      <c r="D521" s="1" t="str">
        <f ca="1">IFERROR(__xludf.DUMMYFUNCTION("""COMPUTED_VALUE"""),"TIDAK LAYAK UPLOAD KE SIMBELMAWA")</f>
        <v>TIDAK LAYAK UPLOAD KE SIMBELMAWA</v>
      </c>
      <c r="E521" s="7" t="str">
        <f ca="1">IFERROR(__xludf.DUMMYFUNCTION("""COMPUTED_VALUE"""),"https://drive.google.com/open?id=1miv--YeoPr9xLFqN33RdLQIJoZvu4wiq")</f>
        <v>https://drive.google.com/open?id=1miv--YeoPr9xLFqN33RdLQIJoZvu4wiq</v>
      </c>
      <c r="F521" s="1">
        <f t="shared" ca="1" si="12"/>
        <v>0</v>
      </c>
      <c r="H521" s="4"/>
      <c r="I521" s="4"/>
      <c r="J521" s="4"/>
      <c r="K521" s="4"/>
      <c r="L521" s="4"/>
    </row>
    <row r="522" spans="1:12">
      <c r="A522" s="1">
        <f ca="1">IFERROR(__xludf.DUMMYFUNCTION("""COMPUTED_VALUE"""),3381)</f>
        <v>3381</v>
      </c>
      <c r="B522" s="1" t="str">
        <f ca="1">IFERROR(__xludf.DUMMYFUNCTION("""COMPUTED_VALUE"""),"PKM RE")</f>
        <v>PKM RE</v>
      </c>
      <c r="C522" s="1" t="str">
        <f ca="1">IFERROR(__xludf.DUMMYFUNCTION("""COMPUTED_VALUE"""),"Bab 2 hanya dasar teori, termasuk tabel penelitian penelitian terdahulu tidak ada kontribusinya terhadap metode penelitian, metode analisis data penelitian belum ada")</f>
        <v>Bab 2 hanya dasar teori, termasuk tabel penelitian penelitian terdahulu tidak ada kontribusinya terhadap metode penelitian, metode analisis data penelitian belum ada</v>
      </c>
      <c r="D522" s="1" t="str">
        <f ca="1">IFERROR(__xludf.DUMMYFUNCTION("""COMPUTED_VALUE"""),"LAYAK UPLOAD KE SIMBELMAWA DENGAN REVISI")</f>
        <v>LAYAK UPLOAD KE SIMBELMAWA DENGAN REVISI</v>
      </c>
      <c r="E522" s="7" t="str">
        <f ca="1">IFERROR(__xludf.DUMMYFUNCTION("""COMPUTED_VALUE"""),"https://drive.google.com/open?id=1Je2gyiuXfig4OfNSy49R2Z3yYFmijupX")</f>
        <v>https://drive.google.com/open?id=1Je2gyiuXfig4OfNSy49R2Z3yYFmijupX</v>
      </c>
      <c r="F522" s="1">
        <f t="shared" ca="1" si="12"/>
        <v>0</v>
      </c>
      <c r="H522" s="4"/>
      <c r="I522" s="4"/>
      <c r="J522" s="4"/>
      <c r="K522" s="4"/>
      <c r="L522" s="4"/>
    </row>
    <row r="523" spans="1:12">
      <c r="A523" s="1">
        <f ca="1">IFERROR(__xludf.DUMMYFUNCTION("""COMPUTED_VALUE"""),2194)</f>
        <v>2194</v>
      </c>
      <c r="B523" s="1" t="str">
        <f ca="1">IFERROR(__xludf.DUMMYFUNCTION("""COMPUTED_VALUE"""),"PKM RE")</f>
        <v>PKM RE</v>
      </c>
      <c r="C523" s="1" t="str">
        <f ca="1">IFERROR(__xludf.DUMMYFUNCTION("""COMPUTED_VALUE"""),"Kreativitas rendah, RAB tidak jelas")</f>
        <v>Kreativitas rendah, RAB tidak jelas</v>
      </c>
      <c r="D523" s="1" t="str">
        <f ca="1">IFERROR(__xludf.DUMMYFUNCTION("""COMPUTED_VALUE"""),"TIDAK LAYAK UPLOAD KE SIMBELMAWA")</f>
        <v>TIDAK LAYAK UPLOAD KE SIMBELMAWA</v>
      </c>
      <c r="E523" s="7" t="str">
        <f ca="1">IFERROR(__xludf.DUMMYFUNCTION("""COMPUTED_VALUE"""),"https://drive.google.com/open?id=1pbN5kui56vfQe1Una4GAJeuv3ciHbZHn")</f>
        <v>https://drive.google.com/open?id=1pbN5kui56vfQe1Una4GAJeuv3ciHbZHn</v>
      </c>
      <c r="F523" s="1">
        <f t="shared" ca="1" si="12"/>
        <v>0</v>
      </c>
      <c r="H523" s="4"/>
      <c r="I523" s="4"/>
      <c r="J523" s="4"/>
      <c r="K523" s="4"/>
      <c r="L523" s="4"/>
    </row>
    <row r="524" spans="1:12">
      <c r="A524" s="1">
        <f ca="1">IFERROR(__xludf.DUMMYFUNCTION("""COMPUTED_VALUE"""),2204)</f>
        <v>2204</v>
      </c>
      <c r="B524" s="1" t="str">
        <f ca="1">IFERROR(__xludf.DUMMYFUNCTION("""COMPUTED_VALUE"""),"PKM RE")</f>
        <v>PKM RE</v>
      </c>
      <c r="C524" s="1" t="str">
        <f ca="1">IFERROR(__xludf.DUMMYFUNCTION("""COMPUTED_VALUE"""),"Kreativitas tidak nampak, metode perlu diperbaiki, RAB berantakan, lampiran masih belum mengikuti pedoman")</f>
        <v>Kreativitas tidak nampak, metode perlu diperbaiki, RAB berantakan, lampiran masih belum mengikuti pedoman</v>
      </c>
      <c r="D524" s="1" t="str">
        <f ca="1">IFERROR(__xludf.DUMMYFUNCTION("""COMPUTED_VALUE"""),"LAYAK UPLOAD KE SIMBELMAWA DENGAN REVISI")</f>
        <v>LAYAK UPLOAD KE SIMBELMAWA DENGAN REVISI</v>
      </c>
      <c r="E524" s="7" t="str">
        <f ca="1">IFERROR(__xludf.DUMMYFUNCTION("""COMPUTED_VALUE"""),"https://drive.google.com/open?id=1kT3iYhbVHTUSaZkZcflGxo3iLvraNJKx")</f>
        <v>https://drive.google.com/open?id=1kT3iYhbVHTUSaZkZcflGxo3iLvraNJKx</v>
      </c>
      <c r="F524" s="1">
        <f t="shared" ca="1" si="12"/>
        <v>0</v>
      </c>
      <c r="H524" s="4"/>
      <c r="I524" s="4"/>
      <c r="J524" s="4"/>
      <c r="K524" s="4"/>
      <c r="L524" s="4"/>
    </row>
    <row r="525" spans="1:12">
      <c r="A525" s="1">
        <f ca="1">IFERROR(__xludf.DUMMYFUNCTION("""COMPUTED_VALUE"""),2562)</f>
        <v>2562</v>
      </c>
      <c r="B525" s="1" t="str">
        <f ca="1">IFERROR(__xludf.DUMMYFUNCTION("""COMPUTED_VALUE"""),"PKM RE")</f>
        <v>PKM RE</v>
      </c>
      <c r="C525" s="1" t="str">
        <f ca="1">IFERROR(__xludf.DUMMYFUNCTION("""COMPUTED_VALUE"""),"Tinjauan pustaka tidak berbasis penelitian terdahulu, kecuali pada tabel, metode penelitian beluan ada metode analisis dan pembahasan data, kualitas literatur rendah")</f>
        <v>Tinjauan pustaka tidak berbasis penelitian terdahulu, kecuali pada tabel, metode penelitian beluan ada metode analisis dan pembahasan data, kualitas literatur rendah</v>
      </c>
      <c r="D525" s="1" t="str">
        <f ca="1">IFERROR(__xludf.DUMMYFUNCTION("""COMPUTED_VALUE"""),"LAYAK UPLOAD KE SIMBELMAWA DENGAN REVISI")</f>
        <v>LAYAK UPLOAD KE SIMBELMAWA DENGAN REVISI</v>
      </c>
      <c r="E525" s="7" t="str">
        <f ca="1">IFERROR(__xludf.DUMMYFUNCTION("""COMPUTED_VALUE"""),"https://drive.google.com/open?id=1d8qZvLHJ0PzSlj417h70szFR4F438Dr2")</f>
        <v>https://drive.google.com/open?id=1d8qZvLHJ0PzSlj417h70szFR4F438Dr2</v>
      </c>
      <c r="F525" s="1">
        <f t="shared" ca="1" si="12"/>
        <v>0</v>
      </c>
      <c r="H525" s="4"/>
      <c r="I525" s="4"/>
      <c r="J525" s="4"/>
      <c r="K525" s="4"/>
      <c r="L525" s="4"/>
    </row>
    <row r="526" spans="1:12">
      <c r="A526" s="1">
        <f ca="1">IFERROR(__xludf.DUMMYFUNCTION("""COMPUTED_VALUE"""),2671)</f>
        <v>2671</v>
      </c>
      <c r="B526" s="1" t="str">
        <f ca="1">IFERROR(__xludf.DUMMYFUNCTION("""COMPUTED_VALUE"""),"PKM RE")</f>
        <v>PKM RE</v>
      </c>
      <c r="C526" s="1" t="str">
        <f ca="1">IFERROR(__xludf.DUMMYFUNCTION("""COMPUTED_VALUE"""),"Tinjauan pustaka kurang, metode perlu diperbaiki, RAB masih acak adul, lampiran2 belum lengkap")</f>
        <v>Tinjauan pustaka kurang, metode perlu diperbaiki, RAB masih acak adul, lampiran2 belum lengkap</v>
      </c>
      <c r="D526" s="1" t="str">
        <f ca="1">IFERROR(__xludf.DUMMYFUNCTION("""COMPUTED_VALUE"""),"LAYAK UPLOAD KE SIMBELMAWA DENGAN REVISI")</f>
        <v>LAYAK UPLOAD KE SIMBELMAWA DENGAN REVISI</v>
      </c>
      <c r="E526" s="7" t="str">
        <f ca="1">IFERROR(__xludf.DUMMYFUNCTION("""COMPUTED_VALUE"""),"https://drive.google.com/open?id=1ymfJN-URyDUPSDU_D-e23w6nrXCxhSnX")</f>
        <v>https://drive.google.com/open?id=1ymfJN-URyDUPSDU_D-e23w6nrXCxhSnX</v>
      </c>
      <c r="F526" s="1">
        <f t="shared" ca="1" si="12"/>
        <v>0</v>
      </c>
      <c r="H526" s="4"/>
      <c r="I526" s="4"/>
      <c r="J526" s="4"/>
      <c r="K526" s="4"/>
      <c r="L526" s="4"/>
    </row>
    <row r="527" spans="1:12">
      <c r="A527" s="1">
        <f ca="1">IFERROR(__xludf.DUMMYFUNCTION("""COMPUTED_VALUE"""),3239)</f>
        <v>3239</v>
      </c>
      <c r="B527" s="1" t="str">
        <f ca="1">IFERROR(__xludf.DUMMYFUNCTION("""COMPUTED_VALUE"""),"PKM RE")</f>
        <v>PKM RE</v>
      </c>
      <c r="C527" s="1" t="str">
        <f ca="1">IFERROR(__xludf.DUMMYFUNCTION("""COMPUTED_VALUE"""),"Metode analisis data perlu dicantumkan")</f>
        <v>Metode analisis data perlu dicantumkan</v>
      </c>
      <c r="D527" s="1" t="str">
        <f ca="1">IFERROR(__xludf.DUMMYFUNCTION("""COMPUTED_VALUE"""),"LAYAK UPLOAD KE SIMBELMAWA DENGAN REVISI")</f>
        <v>LAYAK UPLOAD KE SIMBELMAWA DENGAN REVISI</v>
      </c>
      <c r="E527" s="7" t="str">
        <f ca="1">IFERROR(__xludf.DUMMYFUNCTION("""COMPUTED_VALUE"""),"https://drive.google.com/open?id=1KDkO3QcZfWLiTtY1KlK7RKpoQZatCc30")</f>
        <v>https://drive.google.com/open?id=1KDkO3QcZfWLiTtY1KlK7RKpoQZatCc30</v>
      </c>
      <c r="F527" s="1">
        <f t="shared" ca="1" si="12"/>
        <v>0</v>
      </c>
      <c r="H527" s="4"/>
      <c r="I527" s="4"/>
      <c r="J527" s="4"/>
      <c r="K527" s="4"/>
      <c r="L527" s="4"/>
    </row>
    <row r="528" spans="1:12">
      <c r="A528" s="1">
        <f ca="1">IFERROR(__xludf.DUMMYFUNCTION("""COMPUTED_VALUE"""),3447)</f>
        <v>3447</v>
      </c>
      <c r="B528" s="1" t="str">
        <f ca="1">IFERROR(__xludf.DUMMYFUNCTION("""COMPUTED_VALUE"""),"PKM RE")</f>
        <v>PKM RE</v>
      </c>
      <c r="C528" s="1" t="str">
        <f ca="1">IFERROR(__xludf.DUMMYFUNCTION("""COMPUTED_VALUE"""),"Kreativitas kurang, pengujian di metode dan RAB tidak sinkron")</f>
        <v>Kreativitas kurang, pengujian di metode dan RAB tidak sinkron</v>
      </c>
      <c r="D528" s="1" t="str">
        <f ca="1">IFERROR(__xludf.DUMMYFUNCTION("""COMPUTED_VALUE"""),"TIDAK LAYAK UPLOAD KE SIMBELMAWA")</f>
        <v>TIDAK LAYAK UPLOAD KE SIMBELMAWA</v>
      </c>
      <c r="E528" s="7" t="str">
        <f ca="1">IFERROR(__xludf.DUMMYFUNCTION("""COMPUTED_VALUE"""),"https://drive.google.com/open?id=14J6w4nxUrKLJzMq7mVqNRYRUWYuV3k9B")</f>
        <v>https://drive.google.com/open?id=14J6w4nxUrKLJzMq7mVqNRYRUWYuV3k9B</v>
      </c>
      <c r="F528" s="1">
        <f t="shared" ca="1" si="12"/>
        <v>0</v>
      </c>
      <c r="H528" s="4"/>
      <c r="I528" s="4"/>
      <c r="J528" s="4"/>
      <c r="K528" s="4"/>
      <c r="L528" s="4"/>
    </row>
    <row r="529" spans="1:12">
      <c r="A529" s="1">
        <f ca="1">IFERROR(__xludf.DUMMYFUNCTION("""COMPUTED_VALUE"""),2285)</f>
        <v>2285</v>
      </c>
      <c r="B529" s="1" t="str">
        <f ca="1">IFERROR(__xludf.DUMMYFUNCTION("""COMPUTED_VALUE"""),"PKM RE")</f>
        <v>PKM RE</v>
      </c>
      <c r="C529" s="1" t="str">
        <f ca="1">IFERROR(__xludf.DUMMYFUNCTION("""COMPUTED_VALUE"""),"Hanya fokus pada permodelan/simulasi, tampak pada RAB biaya tinggi hanya untuk software")</f>
        <v>Hanya fokus pada permodelan/simulasi, tampak pada RAB biaya tinggi hanya untuk software</v>
      </c>
      <c r="D529" s="1" t="str">
        <f ca="1">IFERROR(__xludf.DUMMYFUNCTION("""COMPUTED_VALUE"""),"LAYAK UPLOAD KE SIMBELMAWA DENGAN REVISI")</f>
        <v>LAYAK UPLOAD KE SIMBELMAWA DENGAN REVISI</v>
      </c>
      <c r="E529" s="7" t="str">
        <f ca="1">IFERROR(__xludf.DUMMYFUNCTION("""COMPUTED_VALUE"""),"https://drive.google.com/open?id=1Y_3YHEbqLtsuuhMaAXOmD-9EQJepIvLu")</f>
        <v>https://drive.google.com/open?id=1Y_3YHEbqLtsuuhMaAXOmD-9EQJepIvLu</v>
      </c>
      <c r="F529" s="1">
        <f t="shared" ca="1" si="12"/>
        <v>0</v>
      </c>
      <c r="H529" s="4"/>
      <c r="I529" s="4"/>
      <c r="J529" s="4"/>
      <c r="K529" s="4"/>
      <c r="L529" s="4"/>
    </row>
    <row r="530" spans="1:12">
      <c r="A530" s="1">
        <f ca="1">IFERROR(__xludf.DUMMYFUNCTION("""COMPUTED_VALUE"""),3443)</f>
        <v>3443</v>
      </c>
      <c r="B530" s="1" t="str">
        <f ca="1">IFERROR(__xludf.DUMMYFUNCTION("""COMPUTED_VALUE"""),"PKM RE")</f>
        <v>PKM RE</v>
      </c>
      <c r="C530" s="1" t="str">
        <f ca="1">IFERROR(__xludf.DUMMYFUNCTION("""COMPUTED_VALUE"""),"lihat pdf")</f>
        <v>lihat pdf</v>
      </c>
      <c r="D530" s="1" t="str">
        <f ca="1">IFERROR(__xludf.DUMMYFUNCTION("""COMPUTED_VALUE"""),"LAYAK UPLOAD KE SIMBELMAWA DENGAN REVISI")</f>
        <v>LAYAK UPLOAD KE SIMBELMAWA DENGAN REVISI</v>
      </c>
      <c r="E530" s="7" t="str">
        <f ca="1">IFERROR(__xludf.DUMMYFUNCTION("""COMPUTED_VALUE"""),"https://drive.google.com/open?id=163ZOvRTo8rJapbOiW1mrGLXbQgT93U4P")</f>
        <v>https://drive.google.com/open?id=163ZOvRTo8rJapbOiW1mrGLXbQgT93U4P</v>
      </c>
      <c r="F530" s="1">
        <f t="shared" ca="1" si="12"/>
        <v>0</v>
      </c>
      <c r="H530" s="4"/>
      <c r="I530" s="4"/>
      <c r="J530" s="4"/>
      <c r="K530" s="4"/>
      <c r="L530" s="4"/>
    </row>
    <row r="531" spans="1:12">
      <c r="A531" s="1">
        <f ca="1">IFERROR(__xludf.DUMMYFUNCTION("""COMPUTED_VALUE"""),2217)</f>
        <v>2217</v>
      </c>
      <c r="B531" s="1" t="str">
        <f ca="1">IFERROR(__xludf.DUMMYFUNCTION("""COMPUTED_VALUE"""),"PKM RE")</f>
        <v>PKM RE</v>
      </c>
      <c r="C531" s="1" t="str">
        <f ca="1">IFERROR(__xludf.DUMMYFUNCTION("""COMPUTED_VALUE"""),"Kedalaman literatur sangat kurang, terlalu dasar teori, metode tidak tampak tingkat kebaruan/kreativitas
")</f>
        <v xml:space="preserve">Kedalaman literatur sangat kurang, terlalu dasar teori, metode tidak tampak tingkat kebaruan/kreativitas
</v>
      </c>
      <c r="D531" s="1" t="str">
        <f ca="1">IFERROR(__xludf.DUMMYFUNCTION("""COMPUTED_VALUE"""),"TIDAK LAYAK UPLOAD KE SIMBELMAWA")</f>
        <v>TIDAK LAYAK UPLOAD KE SIMBELMAWA</v>
      </c>
      <c r="E531" s="7" t="str">
        <f ca="1">IFERROR(__xludf.DUMMYFUNCTION("""COMPUTED_VALUE"""),"https://drive.google.com/open?id=1bNtAQl7JMUWyoY0RXyAf4eEcQtKDOMk7")</f>
        <v>https://drive.google.com/open?id=1bNtAQl7JMUWyoY0RXyAf4eEcQtKDOMk7</v>
      </c>
      <c r="F531" s="1">
        <f t="shared" ca="1" si="12"/>
        <v>0</v>
      </c>
      <c r="H531" s="4"/>
      <c r="I531" s="4"/>
      <c r="J531" s="4"/>
      <c r="K531" s="4"/>
      <c r="L531" s="4"/>
    </row>
    <row r="532" spans="1:12">
      <c r="A532" s="1">
        <f ca="1">IFERROR(__xludf.DUMMYFUNCTION("""COMPUTED_VALUE"""),2668)</f>
        <v>2668</v>
      </c>
      <c r="B532" s="1" t="str">
        <f ca="1">IFERROR(__xludf.DUMMYFUNCTION("""COMPUTED_VALUE"""),"PKM RE")</f>
        <v>PKM RE</v>
      </c>
      <c r="C532" s="1" t="str">
        <f ca="1">IFERROR(__xludf.DUMMYFUNCTION("""COMPUTED_VALUE"""),"RAB dan metode diperbaiki")</f>
        <v>RAB dan metode diperbaiki</v>
      </c>
      <c r="D532" s="1" t="str">
        <f ca="1">IFERROR(__xludf.DUMMYFUNCTION("""COMPUTED_VALUE"""),"LAYAK UPLOAD KE SIMBELMAWA DENGAN REVISI")</f>
        <v>LAYAK UPLOAD KE SIMBELMAWA DENGAN REVISI</v>
      </c>
      <c r="E532" s="7" t="str">
        <f ca="1">IFERROR(__xludf.DUMMYFUNCTION("""COMPUTED_VALUE"""),"https://drive.google.com/open?id=1X-XEKB_InRL_LynGtQctSSCeZbweAzbn")</f>
        <v>https://drive.google.com/open?id=1X-XEKB_InRL_LynGtQctSSCeZbweAzbn</v>
      </c>
      <c r="F532" s="1">
        <f t="shared" ca="1" si="12"/>
        <v>0</v>
      </c>
      <c r="H532" s="4"/>
      <c r="I532" s="4"/>
      <c r="J532" s="4"/>
      <c r="K532" s="4"/>
      <c r="L532" s="4"/>
    </row>
    <row r="533" spans="1:12">
      <c r="A533" s="1">
        <f ca="1">IFERROR(__xludf.DUMMYFUNCTION("""COMPUTED_VALUE"""),2188)</f>
        <v>2188</v>
      </c>
      <c r="B533" s="1" t="str">
        <f ca="1">IFERROR(__xludf.DUMMYFUNCTION("""COMPUTED_VALUE"""),"PKM RE")</f>
        <v>PKM RE</v>
      </c>
      <c r="C533" s="1" t="str">
        <f ca="1">IFERROR(__xludf.DUMMYFUNCTION("""COMPUTED_VALUE"""),"Banyak yang harus diperbaiki kreativitas masih lemah, metode dan RAB belum jelas")</f>
        <v>Banyak yang harus diperbaiki kreativitas masih lemah, metode dan RAB belum jelas</v>
      </c>
      <c r="D533" s="1" t="str">
        <f ca="1">IFERROR(__xludf.DUMMYFUNCTION("""COMPUTED_VALUE"""),"LAYAK UPLOAD KE SIMBELMAWA DENGAN REVISI")</f>
        <v>LAYAK UPLOAD KE SIMBELMAWA DENGAN REVISI</v>
      </c>
      <c r="E533" s="7" t="str">
        <f ca="1">IFERROR(__xludf.DUMMYFUNCTION("""COMPUTED_VALUE"""),"https://drive.google.com/file/d/1AycHSUxnBFmkMjeNdr2kZgymoUUhKHwn/view?usp=sharing")</f>
        <v>https://drive.google.com/file/d/1AycHSUxnBFmkMjeNdr2kZgymoUUhKHwn/view?usp=sharing</v>
      </c>
      <c r="F533" s="1">
        <f t="shared" ca="1" si="12"/>
        <v>0</v>
      </c>
      <c r="H533" s="4"/>
      <c r="I533" s="4"/>
      <c r="J533" s="4"/>
      <c r="K533" s="4"/>
      <c r="L533" s="4"/>
    </row>
    <row r="534" spans="1:12">
      <c r="A534" s="1">
        <f ca="1">IFERROR(__xludf.DUMMYFUNCTION("""COMPUTED_VALUE"""),2649)</f>
        <v>2649</v>
      </c>
      <c r="B534" s="1" t="str">
        <f ca="1">IFERROR(__xludf.DUMMYFUNCTION("""COMPUTED_VALUE"""),"PKM RE")</f>
        <v>PKM RE</v>
      </c>
      <c r="C534" s="1" t="str">
        <f ca="1">IFERROR(__xludf.DUMMYFUNCTION("""COMPUTED_VALUE"""),"lihat pdf")</f>
        <v>lihat pdf</v>
      </c>
      <c r="D534" s="1" t="str">
        <f ca="1">IFERROR(__xludf.DUMMYFUNCTION("""COMPUTED_VALUE"""),"LAYAK UPLOAD KE SIMBELMAWA DENGAN REVISI")</f>
        <v>LAYAK UPLOAD KE SIMBELMAWA DENGAN REVISI</v>
      </c>
      <c r="E534" s="7" t="str">
        <f ca="1">IFERROR(__xludf.DUMMYFUNCTION("""COMPUTED_VALUE"""),"https://drive.google.com/open?id=1NKNoJSk146qvYlv3SyGJ14a8LlUsTtuS")</f>
        <v>https://drive.google.com/open?id=1NKNoJSk146qvYlv3SyGJ14a8LlUsTtuS</v>
      </c>
      <c r="F534" s="1">
        <f t="shared" ca="1" si="12"/>
        <v>0</v>
      </c>
      <c r="H534" s="4"/>
      <c r="I534" s="4"/>
      <c r="J534" s="4"/>
      <c r="K534" s="4"/>
      <c r="L534" s="4"/>
    </row>
    <row r="535" spans="1:12">
      <c r="A535" s="1">
        <f ca="1">IFERROR(__xludf.DUMMYFUNCTION("""COMPUTED_VALUE"""),2153)</f>
        <v>2153</v>
      </c>
      <c r="B535" s="1" t="str">
        <f ca="1">IFERROR(__xludf.DUMMYFUNCTION("""COMPUTED_VALUE"""),"PKM RE")</f>
        <v>PKM RE</v>
      </c>
      <c r="C535" s="1" t="str">
        <f ca="1">IFERROR(__xludf.DUMMYFUNCTION("""COMPUTED_VALUE"""),"Arah penelitian savonius tidak tampak, termasuk kebaruan dan kreativitasnya")</f>
        <v>Arah penelitian savonius tidak tampak, termasuk kebaruan dan kreativitasnya</v>
      </c>
      <c r="D535" s="1" t="str">
        <f ca="1">IFERROR(__xludf.DUMMYFUNCTION("""COMPUTED_VALUE"""),"TIDAK LAYAK UPLOAD KE SIMBELMAWA")</f>
        <v>TIDAK LAYAK UPLOAD KE SIMBELMAWA</v>
      </c>
      <c r="E535" s="7" t="str">
        <f ca="1">IFERROR(__xludf.DUMMYFUNCTION("""COMPUTED_VALUE"""),"https://drive.google.com/open?id=1rpSHmcEc9byzYkKsn6LCgFJ4pxWs_vTc")</f>
        <v>https://drive.google.com/open?id=1rpSHmcEc9byzYkKsn6LCgFJ4pxWs_vTc</v>
      </c>
      <c r="F535" s="1">
        <f t="shared" ca="1" si="12"/>
        <v>0</v>
      </c>
      <c r="H535" s="4"/>
      <c r="I535" s="4"/>
      <c r="J535" s="4"/>
      <c r="K535" s="4"/>
      <c r="L535" s="4"/>
    </row>
    <row r="536" spans="1:12">
      <c r="A536" s="1">
        <f ca="1">IFERROR(__xludf.DUMMYFUNCTION("""COMPUTED_VALUE"""),3423)</f>
        <v>3423</v>
      </c>
      <c r="B536" s="1" t="str">
        <f ca="1">IFERROR(__xludf.DUMMYFUNCTION("""COMPUTED_VALUE"""),"PKM RE")</f>
        <v>PKM RE</v>
      </c>
      <c r="C536" s="1" t="str">
        <f ca="1">IFERROR(__xludf.DUMMYFUNCTION("""COMPUTED_VALUE"""),"lihat di pdf")</f>
        <v>lihat di pdf</v>
      </c>
      <c r="D536" s="1" t="str">
        <f ca="1">IFERROR(__xludf.DUMMYFUNCTION("""COMPUTED_VALUE"""),"LAYAK UPLOAD KE SIMBELMAWA DENGAN REVISI")</f>
        <v>LAYAK UPLOAD KE SIMBELMAWA DENGAN REVISI</v>
      </c>
      <c r="E536" s="7" t="str">
        <f ca="1">IFERROR(__xludf.DUMMYFUNCTION("""COMPUTED_VALUE"""),"https://drive.google.com/open?id=1OL6AwI_O74kzCfj0hmbmwj95H5D764BJ")</f>
        <v>https://drive.google.com/open?id=1OL6AwI_O74kzCfj0hmbmwj95H5D764BJ</v>
      </c>
      <c r="F536" s="1">
        <f t="shared" ca="1" si="12"/>
        <v>0</v>
      </c>
      <c r="H536" s="4"/>
      <c r="I536" s="4"/>
      <c r="J536" s="4"/>
      <c r="K536" s="4"/>
      <c r="L536" s="4"/>
    </row>
    <row r="537" spans="1:12">
      <c r="A537" s="1">
        <f ca="1">IFERROR(__xludf.DUMMYFUNCTION("""COMPUTED_VALUE"""),2220)</f>
        <v>2220</v>
      </c>
      <c r="B537" s="1" t="str">
        <f ca="1">IFERROR(__xludf.DUMMYFUNCTION("""COMPUTED_VALUE"""),"PKM RE")</f>
        <v>PKM RE</v>
      </c>
      <c r="C537" s="1" t="str">
        <f ca="1">IFERROR(__xludf.DUMMYFUNCTION("""COMPUTED_VALUE"""),"perbaiki tabel 4.1 sesuai pedoman (lihat pdf)")</f>
        <v>perbaiki tabel 4.1 sesuai pedoman (lihat pdf)</v>
      </c>
      <c r="D537" s="1" t="str">
        <f ca="1">IFERROR(__xludf.DUMMYFUNCTION("""COMPUTED_VALUE"""),"LAYAK UPLOAD KE SIMBELMAWA DENGAN REVISI")</f>
        <v>LAYAK UPLOAD KE SIMBELMAWA DENGAN REVISI</v>
      </c>
      <c r="E537" s="7" t="str">
        <f ca="1">IFERROR(__xludf.DUMMYFUNCTION("""COMPUTED_VALUE"""),"https://drive.google.com/open?id=17iWj0MH0moAx4F8lrNFQkz6CCIhQGdpL")</f>
        <v>https://drive.google.com/open?id=17iWj0MH0moAx4F8lrNFQkz6CCIhQGdpL</v>
      </c>
      <c r="F537" s="1">
        <f t="shared" ca="1" si="12"/>
        <v>0</v>
      </c>
      <c r="H537" s="4"/>
      <c r="I537" s="4"/>
      <c r="J537" s="4"/>
      <c r="K537" s="4"/>
      <c r="L537" s="4"/>
    </row>
    <row r="538" spans="1:12">
      <c r="A538" s="1">
        <f ca="1">IFERROR(__xludf.DUMMYFUNCTION("""COMPUTED_VALUE"""),3732)</f>
        <v>3732</v>
      </c>
      <c r="B538" s="1" t="str">
        <f ca="1">IFERROR(__xludf.DUMMYFUNCTION("""COMPUTED_VALUE"""),"PKM RE")</f>
        <v>PKM RE</v>
      </c>
      <c r="C538" s="1" t="str">
        <f ca="1">IFERROR(__xludf.DUMMYFUNCTION("""COMPUTED_VALUE"""),"revisi metode (melengkapi rujukan)")</f>
        <v>revisi metode (melengkapi rujukan)</v>
      </c>
      <c r="D538" s="1" t="str">
        <f ca="1">IFERROR(__xludf.DUMMYFUNCTION("""COMPUTED_VALUE"""),"LAYAK UPLOAD KE SIMBELMAWA DENGAN REVISI")</f>
        <v>LAYAK UPLOAD KE SIMBELMAWA DENGAN REVISI</v>
      </c>
      <c r="E538" s="7" t="str">
        <f ca="1">IFERROR(__xludf.DUMMYFUNCTION("""COMPUTED_VALUE"""),"https://drive.google.com/open?id=1x5J5cpszR7RRoTc1V473XbNDFXyDs5We")</f>
        <v>https://drive.google.com/open?id=1x5J5cpszR7RRoTc1V473XbNDFXyDs5We</v>
      </c>
      <c r="F538" s="1">
        <f t="shared" ca="1" si="12"/>
        <v>0</v>
      </c>
      <c r="H538" s="4"/>
      <c r="I538" s="4"/>
      <c r="J538" s="4"/>
      <c r="K538" s="4"/>
      <c r="L538" s="4"/>
    </row>
    <row r="539" spans="1:12">
      <c r="A539" s="1">
        <f ca="1">IFERROR(__xludf.DUMMYFUNCTION("""COMPUTED_VALUE"""),2173)</f>
        <v>2173</v>
      </c>
      <c r="B539" s="1" t="str">
        <f ca="1">IFERROR(__xludf.DUMMYFUNCTION("""COMPUTED_VALUE"""),"PKM RE")</f>
        <v>PKM RE</v>
      </c>
      <c r="C539" s="1" t="str">
        <f ca="1">IFERROR(__xludf.DUMMYFUNCTION("""COMPUTED_VALUE"""),"Metode analisis setelah data didapatkan belum ada, hanya fokus pembuatan sensor dan pengambilan data
")</f>
        <v xml:space="preserve">Metode analisis setelah data didapatkan belum ada, hanya fokus pembuatan sensor dan pengambilan data
</v>
      </c>
      <c r="D539" s="1" t="str">
        <f ca="1">IFERROR(__xludf.DUMMYFUNCTION("""COMPUTED_VALUE"""),"TIDAK LAYAK UPLOAD KE SIMBELMAWA")</f>
        <v>TIDAK LAYAK UPLOAD KE SIMBELMAWA</v>
      </c>
      <c r="E539" s="7" t="str">
        <f ca="1">IFERROR(__xludf.DUMMYFUNCTION("""COMPUTED_VALUE"""),"https://drive.google.com/open?id=1XlLionxoQk8A-cMkDRFz-xy4_p7_tyoZ")</f>
        <v>https://drive.google.com/open?id=1XlLionxoQk8A-cMkDRFz-xy4_p7_tyoZ</v>
      </c>
      <c r="F539" s="1">
        <f t="shared" ca="1" si="12"/>
        <v>0</v>
      </c>
      <c r="H539" s="4"/>
      <c r="I539" s="4"/>
      <c r="J539" s="4"/>
      <c r="K539" s="4"/>
      <c r="L539" s="4"/>
    </row>
    <row r="540" spans="1:12">
      <c r="A540" s="1">
        <f ca="1">IFERROR(__xludf.DUMMYFUNCTION("""COMPUTED_VALUE"""),3049)</f>
        <v>3049</v>
      </c>
      <c r="B540" s="1" t="str">
        <f ca="1">IFERROR(__xludf.DUMMYFUNCTION("""COMPUTED_VALUE"""),"PKM RE")</f>
        <v>PKM RE</v>
      </c>
      <c r="C540" s="1" t="str">
        <f ca="1">IFERROR(__xludf.DUMMYFUNCTION("""COMPUTED_VALUE"""),"kreativitas kurang, tinjauan pustaka masih berupa definisi, full simulasi tidak menunjukkan metodologi yang jelas selain prosedur running program")</f>
        <v>kreativitas kurang, tinjauan pustaka masih berupa definisi, full simulasi tidak menunjukkan metodologi yang jelas selain prosedur running program</v>
      </c>
      <c r="D540" s="1" t="str">
        <f ca="1">IFERROR(__xludf.DUMMYFUNCTION("""COMPUTED_VALUE"""),"LAYAK UPLOAD KE SIMBELMAWA DENGAN REVISI")</f>
        <v>LAYAK UPLOAD KE SIMBELMAWA DENGAN REVISI</v>
      </c>
      <c r="E540" s="7" t="str">
        <f ca="1">IFERROR(__xludf.DUMMYFUNCTION("""COMPUTED_VALUE"""),"https://drive.google.com/open?id=1CoOgVkSO5hf4j-muaiKcULGO4NyEvzpw")</f>
        <v>https://drive.google.com/open?id=1CoOgVkSO5hf4j-muaiKcULGO4NyEvzpw</v>
      </c>
      <c r="F540" s="1">
        <f t="shared" ca="1" si="12"/>
        <v>0</v>
      </c>
      <c r="H540" s="4"/>
      <c r="I540" s="4"/>
      <c r="J540" s="4"/>
      <c r="K540" s="4"/>
      <c r="L540" s="4"/>
    </row>
    <row r="541" spans="1:12">
      <c r="A541" s="1">
        <f ca="1">IFERROR(__xludf.DUMMYFUNCTION("""COMPUTED_VALUE"""),2355)</f>
        <v>2355</v>
      </c>
      <c r="B541" s="1" t="str">
        <f ca="1">IFERROR(__xludf.DUMMYFUNCTION("""COMPUTED_VALUE"""),"PKM RE")</f>
        <v>PKM RE</v>
      </c>
      <c r="C541" s="1" t="str">
        <f ca="1">IFERROR(__xludf.DUMMYFUNCTION("""COMPUTED_VALUE"""),"Pengambilan data hanya data sekunder, analisis hanya permodelan, literatur tidak layak sebagai dasar penelitian")</f>
        <v>Pengambilan data hanya data sekunder, analisis hanya permodelan, literatur tidak layak sebagai dasar penelitian</v>
      </c>
      <c r="D541" s="1" t="str">
        <f ca="1">IFERROR(__xludf.DUMMYFUNCTION("""COMPUTED_VALUE"""),"TIDAK LAYAK UPLOAD KE SIMBELMAWA")</f>
        <v>TIDAK LAYAK UPLOAD KE SIMBELMAWA</v>
      </c>
      <c r="E541" s="7" t="str">
        <f ca="1">IFERROR(__xludf.DUMMYFUNCTION("""COMPUTED_VALUE"""),"https://drive.google.com/open?id=1UTdhn1GAdgqfjr1ppST-TFVy_x-XqTj5")</f>
        <v>https://drive.google.com/open?id=1UTdhn1GAdgqfjr1ppST-TFVy_x-XqTj5</v>
      </c>
      <c r="F541" s="1">
        <f t="shared" ca="1" si="12"/>
        <v>0</v>
      </c>
      <c r="H541" s="4"/>
      <c r="I541" s="4"/>
      <c r="J541" s="4"/>
      <c r="K541" s="4"/>
      <c r="L541" s="4"/>
    </row>
    <row r="542" spans="1:12">
      <c r="A542" s="1">
        <f ca="1">IFERROR(__xludf.DUMMYFUNCTION("""COMPUTED_VALUE"""),3435)</f>
        <v>3435</v>
      </c>
      <c r="B542" s="1" t="str">
        <f ca="1">IFERROR(__xludf.DUMMYFUNCTION("""COMPUTED_VALUE"""),"PKM RE")</f>
        <v>PKM RE</v>
      </c>
      <c r="C542" s="1" t="str">
        <f ca="1">IFERROR(__xludf.DUMMYFUNCTION("""COMPUTED_VALUE"""),"kreativitas rendah, metode riset kurang menunjang, data yang ditargetkan tdk memenuhi")</f>
        <v>kreativitas rendah, metode riset kurang menunjang, data yang ditargetkan tdk memenuhi</v>
      </c>
      <c r="D542" s="1" t="str">
        <f ca="1">IFERROR(__xludf.DUMMYFUNCTION("""COMPUTED_VALUE"""),"TIDAK LAYAK UPLOAD KE SIMBELMAWA")</f>
        <v>TIDAK LAYAK UPLOAD KE SIMBELMAWA</v>
      </c>
      <c r="E542" s="7" t="str">
        <f ca="1">IFERROR(__xludf.DUMMYFUNCTION("""COMPUTED_VALUE"""),"https://drive.google.com/open?id=1nr4uft8vWzCsfSm9DTvKG48ErWjBWSxs")</f>
        <v>https://drive.google.com/open?id=1nr4uft8vWzCsfSm9DTvKG48ErWjBWSxs</v>
      </c>
      <c r="F542" s="1">
        <f t="shared" ca="1" si="12"/>
        <v>0</v>
      </c>
      <c r="H542" s="4"/>
      <c r="I542" s="4"/>
      <c r="J542" s="4"/>
      <c r="K542" s="4"/>
      <c r="L542" s="4"/>
    </row>
    <row r="543" spans="1:12">
      <c r="A543" s="1">
        <f ca="1">IFERROR(__xludf.DUMMYFUNCTION("""COMPUTED_VALUE"""),3972)</f>
        <v>3972</v>
      </c>
      <c r="B543" s="1" t="str">
        <f ca="1">IFERROR(__xludf.DUMMYFUNCTION("""COMPUTED_VALUE"""),"PKM RE")</f>
        <v>PKM RE</v>
      </c>
      <c r="C543" s="1" t="str">
        <f ca="1">IFERROR(__xludf.DUMMYFUNCTION("""COMPUTED_VALUE"""),"Siap upload")</f>
        <v>Siap upload</v>
      </c>
      <c r="D543" s="1" t="str">
        <f ca="1">IFERROR(__xludf.DUMMYFUNCTION("""COMPUTED_VALUE"""),"LAYAK UPLOAD KE SIMBELMAWA")</f>
        <v>LAYAK UPLOAD KE SIMBELMAWA</v>
      </c>
      <c r="E543" s="7" t="str">
        <f ca="1">IFERROR(__xludf.DUMMYFUNCTION("""COMPUTED_VALUE"""),"https://drive.google.com/open?id=1Pv-kflVRIMXwyta3NVt4--KMXwloLmyG")</f>
        <v>https://drive.google.com/open?id=1Pv-kflVRIMXwyta3NVt4--KMXwloLmyG</v>
      </c>
      <c r="F543" s="1">
        <f t="shared" ca="1" si="12"/>
        <v>0</v>
      </c>
      <c r="H543" s="4"/>
      <c r="I543" s="4"/>
      <c r="J543" s="4"/>
      <c r="K543" s="4"/>
      <c r="L543" s="4"/>
    </row>
    <row r="544" spans="1:12">
      <c r="A544" s="1">
        <f ca="1">IFERROR(__xludf.DUMMYFUNCTION("""COMPUTED_VALUE"""),2028)</f>
        <v>2028</v>
      </c>
      <c r="B544" s="1" t="str">
        <f ca="1">IFERROR(__xludf.DUMMYFUNCTION("""COMPUTED_VALUE"""),"PKM RE")</f>
        <v>PKM RE</v>
      </c>
      <c r="C544" s="1" t="str">
        <f ca="1">IFERROR(__xludf.DUMMYFUNCTION("""COMPUTED_VALUE"""),"Hanya 1 variabel penelitian?hanya 3 sampel? Diragukan untuk menjawab tujuan")</f>
        <v>Hanya 1 variabel penelitian?hanya 3 sampel? Diragukan untuk menjawab tujuan</v>
      </c>
      <c r="D544" s="1" t="str">
        <f ca="1">IFERROR(__xludf.DUMMYFUNCTION("""COMPUTED_VALUE"""),"LAYAK UPLOAD KE SIMBELMAWA DENGAN REVISI")</f>
        <v>LAYAK UPLOAD KE SIMBELMAWA DENGAN REVISI</v>
      </c>
      <c r="E544" s="7" t="str">
        <f ca="1">IFERROR(__xludf.DUMMYFUNCTION("""COMPUTED_VALUE"""),"https://drive.google.com/open?id=1pCE2ELzlb9uE0IiyklOISNm-RydT4Kj6")</f>
        <v>https://drive.google.com/open?id=1pCE2ELzlb9uE0IiyklOISNm-RydT4Kj6</v>
      </c>
      <c r="F544" s="1">
        <f t="shared" ca="1" si="12"/>
        <v>0</v>
      </c>
      <c r="H544" s="4"/>
      <c r="I544" s="4"/>
      <c r="J544" s="4"/>
      <c r="K544" s="4"/>
      <c r="L544" s="4"/>
    </row>
    <row r="545" spans="1:12">
      <c r="A545" s="1">
        <f ca="1">IFERROR(__xludf.DUMMYFUNCTION("""COMPUTED_VALUE"""),2326)</f>
        <v>2326</v>
      </c>
      <c r="B545" s="1" t="str">
        <f ca="1">IFERROR(__xludf.DUMMYFUNCTION("""COMPUTED_VALUE"""),"PKM RE")</f>
        <v>PKM RE</v>
      </c>
      <c r="C545" s="1" t="str">
        <f ca="1">IFERROR(__xludf.DUMMYFUNCTION("""COMPUTED_VALUE"""),"Bab 2 hanya fokus pada dasar teori dan karakterisasi, bukan yang mendukung pada variabel penelitian. Bab 3 variabel, RAB diperbaiki penelitian hanya 1?Hanya 3 benda uji?")</f>
        <v>Bab 2 hanya fokus pada dasar teori dan karakterisasi, bukan yang mendukung pada variabel penelitian. Bab 3 variabel, RAB diperbaiki penelitian hanya 1?Hanya 3 benda uji?</v>
      </c>
      <c r="D545" s="1" t="str">
        <f ca="1">IFERROR(__xludf.DUMMYFUNCTION("""COMPUTED_VALUE"""),"LAYAK UPLOAD KE SIMBELMAWA DENGAN REVISI")</f>
        <v>LAYAK UPLOAD KE SIMBELMAWA DENGAN REVISI</v>
      </c>
      <c r="E545" s="7" t="str">
        <f ca="1">IFERROR(__xludf.DUMMYFUNCTION("""COMPUTED_VALUE"""),"https://drive.google.com/open?id=1lap-UpJzCNerRiNvj43xZwnpgpj6Eag4")</f>
        <v>https://drive.google.com/open?id=1lap-UpJzCNerRiNvj43xZwnpgpj6Eag4</v>
      </c>
      <c r="F545" s="1">
        <f t="shared" ca="1" si="12"/>
        <v>0</v>
      </c>
      <c r="H545" s="4"/>
      <c r="I545" s="4"/>
      <c r="J545" s="4"/>
      <c r="K545" s="4"/>
      <c r="L545" s="4"/>
    </row>
    <row r="546" spans="1:12">
      <c r="A546" s="1">
        <f ca="1">IFERROR(__xludf.DUMMYFUNCTION("""COMPUTED_VALUE"""),2286)</f>
        <v>2286</v>
      </c>
      <c r="B546" s="1" t="str">
        <f ca="1">IFERROR(__xludf.DUMMYFUNCTION("""COMPUTED_VALUE"""),"PKM RE")</f>
        <v>PKM RE</v>
      </c>
      <c r="C546" s="1" t="str">
        <f ca="1">IFERROR(__xludf.DUMMYFUNCTION("""COMPUTED_VALUE"""),"Hanya fokus pada permodelan/simulasi, tampak pada RAB biaya tinggi hanya untuk software")</f>
        <v>Hanya fokus pada permodelan/simulasi, tampak pada RAB biaya tinggi hanya untuk software</v>
      </c>
      <c r="D546" s="1" t="str">
        <f ca="1">IFERROR(__xludf.DUMMYFUNCTION("""COMPUTED_VALUE"""),"LAYAK UPLOAD KE SIMBELMAWA DENGAN REVISI")</f>
        <v>LAYAK UPLOAD KE SIMBELMAWA DENGAN REVISI</v>
      </c>
      <c r="E546" s="7" t="str">
        <f ca="1">IFERROR(__xludf.DUMMYFUNCTION("""COMPUTED_VALUE"""),"https://drive.google.com/open?id=1aemiqQl29JRyCs2WOmMlsr3mERnvZ8Oq")</f>
        <v>https://drive.google.com/open?id=1aemiqQl29JRyCs2WOmMlsr3mERnvZ8Oq</v>
      </c>
      <c r="F546" s="1">
        <f t="shared" ca="1" si="12"/>
        <v>0</v>
      </c>
      <c r="H546" s="4"/>
      <c r="I546" s="4"/>
      <c r="J546" s="4"/>
      <c r="K546" s="4"/>
      <c r="L546" s="4"/>
    </row>
    <row r="547" spans="1:12">
      <c r="A547" s="1">
        <f ca="1">IFERROR(__xludf.DUMMYFUNCTION("""COMPUTED_VALUE"""),3164)</f>
        <v>3164</v>
      </c>
      <c r="B547" s="1" t="str">
        <f ca="1">IFERROR(__xludf.DUMMYFUNCTION("""COMPUTED_VALUE"""),"PKM RE")</f>
        <v>PKM RE</v>
      </c>
      <c r="C547" s="1" t="str">
        <f ca="1">IFERROR(__xludf.DUMMYFUNCTION("""COMPUTED_VALUE"""),"sesuai hasil BIKOM")</f>
        <v>sesuai hasil BIKOM</v>
      </c>
      <c r="D547" s="1" t="str">
        <f ca="1">IFERROR(__xludf.DUMMYFUNCTION("""COMPUTED_VALUE"""),"LAYAK UPLOAD KE SIMBELMAWA DENGAN REVISI")</f>
        <v>LAYAK UPLOAD KE SIMBELMAWA DENGAN REVISI</v>
      </c>
      <c r="E547" s="7" t="str">
        <f ca="1">IFERROR(__xludf.DUMMYFUNCTION("""COMPUTED_VALUE"""),"https://drive.google.com/open?id=1iIOq4L2BXcTfPVrAho9_jOXUWow4iPjb")</f>
        <v>https://drive.google.com/open?id=1iIOq4L2BXcTfPVrAho9_jOXUWow4iPjb</v>
      </c>
      <c r="F547" s="1">
        <f t="shared" ca="1" si="12"/>
        <v>0</v>
      </c>
      <c r="H547" s="4"/>
      <c r="I547" s="4"/>
      <c r="J547" s="4"/>
      <c r="K547" s="4"/>
      <c r="L547" s="4"/>
    </row>
    <row r="548" spans="1:12">
      <c r="A548" s="1">
        <f ca="1">IFERROR(__xludf.DUMMYFUNCTION("""COMPUTED_VALUE"""),3788)</f>
        <v>3788</v>
      </c>
      <c r="B548" s="1" t="str">
        <f ca="1">IFERROR(__xludf.DUMMYFUNCTION("""COMPUTED_VALUE"""),"PKM RE")</f>
        <v>PKM RE</v>
      </c>
      <c r="C548" s="1" t="str">
        <f ca="1">IFERROR(__xludf.DUMMYFUNCTION("""COMPUTED_VALUE"""),"Bab 2 dominan dasar teori, proposal hanya permodelan simulasi saja, bahkan sangat tampak pada RAB")</f>
        <v>Bab 2 dominan dasar teori, proposal hanya permodelan simulasi saja, bahkan sangat tampak pada RAB</v>
      </c>
      <c r="D548" s="1" t="str">
        <f ca="1">IFERROR(__xludf.DUMMYFUNCTION("""COMPUTED_VALUE"""),"TIDAK LAYAK UPLOAD KE SIMBELMAWA")</f>
        <v>TIDAK LAYAK UPLOAD KE SIMBELMAWA</v>
      </c>
      <c r="E548" s="7" t="str">
        <f ca="1">IFERROR(__xludf.DUMMYFUNCTION("""COMPUTED_VALUE"""),"https://drive.google.com/open?id=1mNlEQwOWj_enxUfFswJUB8-BtJRGWOMF")</f>
        <v>https://drive.google.com/open?id=1mNlEQwOWj_enxUfFswJUB8-BtJRGWOMF</v>
      </c>
      <c r="F548" s="1">
        <f t="shared" ca="1" si="12"/>
        <v>0</v>
      </c>
      <c r="H548" s="4"/>
      <c r="I548" s="4"/>
      <c r="J548" s="4"/>
      <c r="K548" s="4"/>
      <c r="L548" s="4"/>
    </row>
    <row r="549" spans="1:12">
      <c r="A549" s="1">
        <f ca="1">IFERROR(__xludf.DUMMYFUNCTION("""COMPUTED_VALUE"""),3929)</f>
        <v>3929</v>
      </c>
      <c r="B549" s="1" t="str">
        <f ca="1">IFERROR(__xludf.DUMMYFUNCTION("""COMPUTED_VALUE"""),"PKM RE")</f>
        <v>PKM RE</v>
      </c>
      <c r="C549" s="1" t="str">
        <f ca="1">IFERROR(__xludf.DUMMYFUNCTION("""COMPUTED_VALUE"""),"Hanya 3 varian = 3 sampel? Tidak ada penjelasan duplo atau triplo?, penerapan pada pelapis kain katun pada rumusan masalah tidak tampak pada metode, pada metode hanya menyampaikan metode analisis sampel saja, belum ada metode pembahasan")</f>
        <v>Hanya 3 varian = 3 sampel? Tidak ada penjelasan duplo atau triplo?, penerapan pada pelapis kain katun pada rumusan masalah tidak tampak pada metode, pada metode hanya menyampaikan metode analisis sampel saja, belum ada metode pembahasan</v>
      </c>
      <c r="D549" s="1" t="str">
        <f ca="1">IFERROR(__xludf.DUMMYFUNCTION("""COMPUTED_VALUE"""),"LAYAK UPLOAD KE SIMBELMAWA DENGAN REVISI")</f>
        <v>LAYAK UPLOAD KE SIMBELMAWA DENGAN REVISI</v>
      </c>
      <c r="E549" s="7" t="str">
        <f ca="1">IFERROR(__xludf.DUMMYFUNCTION("""COMPUTED_VALUE"""),"https://drive.google.com/open?id=16FVAcQQIZXIu__kl_Ldf81G4ImYyAB5x")</f>
        <v>https://drive.google.com/open?id=16FVAcQQIZXIu__kl_Ldf81G4ImYyAB5x</v>
      </c>
      <c r="F549" s="1">
        <f t="shared" ca="1" si="12"/>
        <v>0</v>
      </c>
      <c r="H549" s="4"/>
      <c r="I549" s="4"/>
      <c r="J549" s="4"/>
      <c r="K549" s="4"/>
      <c r="L549" s="4"/>
    </row>
    <row r="550" spans="1:12">
      <c r="A550" s="1">
        <f ca="1">IFERROR(__xludf.DUMMYFUNCTION("""COMPUTED_VALUE"""),3934)</f>
        <v>3934</v>
      </c>
      <c r="B550" s="1" t="str">
        <f ca="1">IFERROR(__xludf.DUMMYFUNCTION("""COMPUTED_VALUE"""),"PKM RE")</f>
        <v>PKM RE</v>
      </c>
      <c r="C550" s="1" t="str">
        <f ca="1">IFERROR(__xludf.DUMMYFUNCTION("""COMPUTED_VALUE"""),"lihat di file pdf")</f>
        <v>lihat di file pdf</v>
      </c>
      <c r="D550" s="1" t="str">
        <f ca="1">IFERROR(__xludf.DUMMYFUNCTION("""COMPUTED_VALUE"""),"LAYAK UPLOAD KE SIMBELMAWA DENGAN REVISI")</f>
        <v>LAYAK UPLOAD KE SIMBELMAWA DENGAN REVISI</v>
      </c>
      <c r="E550" s="7" t="str">
        <f ca="1">IFERROR(__xludf.DUMMYFUNCTION("""COMPUTED_VALUE"""),"https://drive.google.com/open?id=1vniFkeTX15IpcvKJcTMc0a1vbio5E-To")</f>
        <v>https://drive.google.com/open?id=1vniFkeTX15IpcvKJcTMc0a1vbio5E-To</v>
      </c>
      <c r="F550" s="1">
        <f t="shared" ca="1" si="12"/>
        <v>0</v>
      </c>
      <c r="H550" s="4"/>
      <c r="I550" s="4"/>
      <c r="J550" s="4"/>
      <c r="K550" s="4"/>
      <c r="L550" s="4"/>
    </row>
    <row r="551" spans="1:12">
      <c r="A551" s="1">
        <f ca="1">IFERROR(__xludf.DUMMYFUNCTION("""COMPUTED_VALUE"""),2888)</f>
        <v>2888</v>
      </c>
      <c r="B551" s="1" t="str">
        <f ca="1">IFERROR(__xludf.DUMMYFUNCTION("""COMPUTED_VALUE"""),"PKM RE")</f>
        <v>PKM RE</v>
      </c>
      <c r="C551" s="1" t="str">
        <f ca="1">IFERROR(__xludf.DUMMYFUNCTION("""COMPUTED_VALUE"""),"lihat komentar di file pdf")</f>
        <v>lihat komentar di file pdf</v>
      </c>
      <c r="D551" s="1" t="str">
        <f ca="1">IFERROR(__xludf.DUMMYFUNCTION("""COMPUTED_VALUE"""),"LAYAK UPLOAD KE SIMBELMAWA DENGAN REVISI")</f>
        <v>LAYAK UPLOAD KE SIMBELMAWA DENGAN REVISI</v>
      </c>
      <c r="E551" s="7" t="str">
        <f ca="1">IFERROR(__xludf.DUMMYFUNCTION("""COMPUTED_VALUE"""),"https://drive.google.com/file/d/1x5Qp6LgBz_QmDXaIJpndKCzhd0JZ0ms6/view?usp=sharing ")</f>
        <v xml:space="preserve">https://drive.google.com/file/d/1x5Qp6LgBz_QmDXaIJpndKCzhd0JZ0ms6/view?usp=sharing </v>
      </c>
      <c r="F551" s="1">
        <f t="shared" ca="1" si="12"/>
        <v>0</v>
      </c>
      <c r="H551" s="4"/>
      <c r="I551" s="4"/>
      <c r="J551" s="4"/>
      <c r="K551" s="4"/>
      <c r="L551" s="4"/>
    </row>
    <row r="552" spans="1:12">
      <c r="A552" s="1">
        <f ca="1">IFERROR(__xludf.DUMMYFUNCTION("""COMPUTED_VALUE"""),2197)</f>
        <v>2197</v>
      </c>
      <c r="B552" s="1" t="str">
        <f ca="1">IFERROR(__xludf.DUMMYFUNCTION("""COMPUTED_VALUE"""),"PKM RE")</f>
        <v>PKM RE</v>
      </c>
      <c r="C552" s="1" t="str">
        <f ca="1">IFERROR(__xludf.DUMMYFUNCTION("""COMPUTED_VALUE"""),"tambahkan referensi di setiap step metode bila ada")</f>
        <v>tambahkan referensi di setiap step metode bila ada</v>
      </c>
      <c r="D552" s="1" t="str">
        <f ca="1">IFERROR(__xludf.DUMMYFUNCTION("""COMPUTED_VALUE"""),"LAYAK UPLOAD KE SIMBELMAWA")</f>
        <v>LAYAK UPLOAD KE SIMBELMAWA</v>
      </c>
      <c r="E552" s="7" t="str">
        <f ca="1">IFERROR(__xludf.DUMMYFUNCTION("""COMPUTED_VALUE"""),"https://drive.google.com/open?id=1s45eIWRWksyHpg48NG_jF-PXs65sx6Jw")</f>
        <v>https://drive.google.com/open?id=1s45eIWRWksyHpg48NG_jF-PXs65sx6Jw</v>
      </c>
      <c r="F552" s="1">
        <f t="shared" ca="1" si="12"/>
        <v>0</v>
      </c>
      <c r="H552" s="4"/>
      <c r="I552" s="4"/>
      <c r="J552" s="4"/>
      <c r="K552" s="4"/>
      <c r="L552" s="4"/>
    </row>
    <row r="553" spans="1:12">
      <c r="A553" s="1"/>
      <c r="B553" s="1"/>
      <c r="C553" s="1" t="str">
        <f ca="1">IFERROR(__xludf.DUMMYFUNCTION("""COMPUTED_VALUE""")," ")</f>
        <v xml:space="preserve"> </v>
      </c>
      <c r="D553" s="1"/>
      <c r="E553" s="1"/>
      <c r="F553" s="1">
        <f t="shared" ca="1" si="12"/>
        <v>2</v>
      </c>
      <c r="H553" s="4"/>
      <c r="I553" s="4"/>
      <c r="J553" s="4"/>
      <c r="K553" s="4"/>
      <c r="L553" s="4"/>
    </row>
    <row r="554" spans="1:12">
      <c r="A554" s="1"/>
      <c r="B554" s="1"/>
      <c r="C554" s="1" t="str">
        <f ca="1">IFERROR(__xludf.DUMMYFUNCTION("""COMPUTED_VALUE""")," ")</f>
        <v xml:space="preserve"> </v>
      </c>
      <c r="D554" s="1"/>
      <c r="E554" s="1"/>
      <c r="F554" s="1">
        <f t="shared" ca="1" si="12"/>
        <v>2</v>
      </c>
      <c r="H554" s="4"/>
      <c r="I554" s="4"/>
      <c r="J554" s="4"/>
      <c r="K554" s="4"/>
      <c r="L554" s="4"/>
    </row>
    <row r="555" spans="1:12">
      <c r="A555" s="1"/>
      <c r="B555" s="1"/>
      <c r="C555" s="1" t="str">
        <f ca="1">IFERROR(__xludf.DUMMYFUNCTION("""COMPUTED_VALUE""")," ")</f>
        <v xml:space="preserve"> </v>
      </c>
      <c r="D555" s="1"/>
      <c r="E555" s="1"/>
      <c r="F555" s="1">
        <f t="shared" ca="1" si="12"/>
        <v>2</v>
      </c>
      <c r="H555" s="4"/>
      <c r="I555" s="4"/>
      <c r="J555" s="4"/>
      <c r="K555" s="4"/>
      <c r="L555" s="4"/>
    </row>
    <row r="556" spans="1:12">
      <c r="A556" s="1"/>
      <c r="B556" s="1"/>
      <c r="C556" s="1" t="str">
        <f ca="1">IFERROR(__xludf.DUMMYFUNCTION("""COMPUTED_VALUE""")," ")</f>
        <v xml:space="preserve"> </v>
      </c>
      <c r="D556" s="1"/>
      <c r="E556" s="1"/>
      <c r="F556" s="1">
        <f t="shared" ca="1" si="12"/>
        <v>2</v>
      </c>
      <c r="H556" s="4"/>
      <c r="I556" s="4"/>
      <c r="J556" s="4"/>
      <c r="K556" s="4"/>
      <c r="L556" s="4"/>
    </row>
    <row r="557" spans="1:12">
      <c r="A557" s="1"/>
      <c r="B557" s="1"/>
      <c r="C557" s="1" t="str">
        <f ca="1">IFERROR(__xludf.DUMMYFUNCTION("""COMPUTED_VALUE""")," ")</f>
        <v xml:space="preserve"> </v>
      </c>
      <c r="D557" s="1"/>
      <c r="E557" s="1"/>
      <c r="F557" s="1">
        <f t="shared" ca="1" si="12"/>
        <v>2</v>
      </c>
      <c r="H557" s="4"/>
      <c r="I557" s="4"/>
      <c r="J557" s="4"/>
      <c r="K557" s="4"/>
      <c r="L557" s="4"/>
    </row>
    <row r="558" spans="1:12">
      <c r="A558" s="1"/>
      <c r="B558" s="1"/>
      <c r="C558" s="1" t="str">
        <f ca="1">IFERROR(__xludf.DUMMYFUNCTION("""COMPUTED_VALUE""")," ")</f>
        <v xml:space="preserve"> </v>
      </c>
      <c r="D558" s="1"/>
      <c r="E558" s="1"/>
      <c r="F558" s="1">
        <f t="shared" ca="1" si="12"/>
        <v>2</v>
      </c>
      <c r="H558" s="4"/>
      <c r="I558" s="4"/>
      <c r="J558" s="4"/>
      <c r="K558" s="4"/>
      <c r="L558" s="4"/>
    </row>
    <row r="559" spans="1:12">
      <c r="A559" s="1"/>
      <c r="B559" s="1"/>
      <c r="C559" s="1" t="str">
        <f ca="1">IFERROR(__xludf.DUMMYFUNCTION("""COMPUTED_VALUE""")," ")</f>
        <v xml:space="preserve"> </v>
      </c>
      <c r="D559" s="1"/>
      <c r="E559" s="1"/>
      <c r="F559" s="1">
        <f t="shared" ca="1" si="12"/>
        <v>2</v>
      </c>
      <c r="H559" s="4"/>
      <c r="I559" s="4"/>
      <c r="J559" s="4"/>
      <c r="K559" s="4"/>
      <c r="L559" s="4"/>
    </row>
    <row r="560" spans="1:12">
      <c r="A560" s="1"/>
      <c r="B560" s="1"/>
      <c r="C560" s="1" t="str">
        <f ca="1">IFERROR(__xludf.DUMMYFUNCTION("""COMPUTED_VALUE""")," ")</f>
        <v xml:space="preserve"> </v>
      </c>
      <c r="D560" s="1"/>
      <c r="E560" s="1"/>
      <c r="F560" s="1">
        <f t="shared" ca="1" si="12"/>
        <v>2</v>
      </c>
      <c r="H560" s="4"/>
      <c r="I560" s="4"/>
      <c r="J560" s="4"/>
      <c r="K560" s="4"/>
      <c r="L560" s="4"/>
    </row>
    <row r="561" spans="1:12">
      <c r="A561" s="1"/>
      <c r="B561" s="1"/>
      <c r="C561" s="1" t="str">
        <f ca="1">IFERROR(__xludf.DUMMYFUNCTION("""COMPUTED_VALUE""")," ")</f>
        <v xml:space="preserve"> </v>
      </c>
      <c r="D561" s="1"/>
      <c r="E561" s="1"/>
      <c r="F561" s="1">
        <f t="shared" ca="1" si="12"/>
        <v>2</v>
      </c>
      <c r="H561" s="4"/>
      <c r="I561" s="4"/>
      <c r="J561" s="4"/>
      <c r="K561" s="4"/>
      <c r="L561" s="4"/>
    </row>
    <row r="562" spans="1:12">
      <c r="A562" s="1"/>
      <c r="B562" s="1"/>
      <c r="C562" s="1" t="str">
        <f ca="1">IFERROR(__xludf.DUMMYFUNCTION("""COMPUTED_VALUE""")," ")</f>
        <v xml:space="preserve"> </v>
      </c>
      <c r="D562" s="1"/>
      <c r="E562" s="1"/>
      <c r="F562" s="1">
        <f t="shared" ca="1" si="12"/>
        <v>2</v>
      </c>
      <c r="H562" s="4"/>
      <c r="I562" s="4"/>
      <c r="J562" s="4"/>
      <c r="K562" s="4"/>
      <c r="L562" s="4"/>
    </row>
    <row r="563" spans="1:12">
      <c r="A563" s="1"/>
      <c r="B563" s="1"/>
      <c r="C563" s="1" t="str">
        <f ca="1">IFERROR(__xludf.DUMMYFUNCTION("""COMPUTED_VALUE""")," ")</f>
        <v xml:space="preserve"> </v>
      </c>
      <c r="D563" s="1"/>
      <c r="E563" s="1"/>
      <c r="F563" s="1">
        <f t="shared" ca="1" si="12"/>
        <v>2</v>
      </c>
      <c r="H563" s="4"/>
      <c r="I563" s="4"/>
      <c r="J563" s="4"/>
      <c r="K563" s="4"/>
      <c r="L563" s="4"/>
    </row>
    <row r="564" spans="1:12">
      <c r="A564" s="1"/>
      <c r="B564" s="1"/>
      <c r="C564" s="1" t="str">
        <f ca="1">IFERROR(__xludf.DUMMYFUNCTION("""COMPUTED_VALUE""")," ")</f>
        <v xml:space="preserve"> </v>
      </c>
      <c r="D564" s="1"/>
      <c r="E564" s="1"/>
      <c r="F564" s="1">
        <f t="shared" ca="1" si="12"/>
        <v>2</v>
      </c>
      <c r="H564" s="4"/>
      <c r="I564" s="4"/>
      <c r="J564" s="4"/>
      <c r="K564" s="4"/>
      <c r="L564" s="4"/>
    </row>
    <row r="565" spans="1:12">
      <c r="A565" s="1"/>
      <c r="B565" s="1"/>
      <c r="C565" s="1" t="str">
        <f ca="1">IFERROR(__xludf.DUMMYFUNCTION("""COMPUTED_VALUE""")," ")</f>
        <v xml:space="preserve"> </v>
      </c>
      <c r="D565" s="1"/>
      <c r="E565" s="1"/>
      <c r="F565" s="1">
        <f t="shared" ca="1" si="12"/>
        <v>2</v>
      </c>
      <c r="H565" s="4"/>
      <c r="I565" s="4"/>
      <c r="J565" s="4"/>
      <c r="K565" s="4"/>
      <c r="L565" s="4"/>
    </row>
    <row r="566" spans="1:12">
      <c r="A566" s="1"/>
      <c r="B566" s="1"/>
      <c r="C566" s="1" t="str">
        <f ca="1">IFERROR(__xludf.DUMMYFUNCTION("""COMPUTED_VALUE""")," ")</f>
        <v xml:space="preserve"> </v>
      </c>
      <c r="D566" s="1"/>
      <c r="E566" s="1"/>
      <c r="F566" s="1">
        <f t="shared" ca="1" si="12"/>
        <v>2</v>
      </c>
      <c r="H566" s="4"/>
      <c r="I566" s="4"/>
      <c r="J566" s="4"/>
      <c r="K566" s="4"/>
      <c r="L566" s="4"/>
    </row>
    <row r="567" spans="1:12">
      <c r="A567" s="1"/>
      <c r="B567" s="1"/>
      <c r="C567" s="1" t="str">
        <f ca="1">IFERROR(__xludf.DUMMYFUNCTION("""COMPUTED_VALUE""")," ")</f>
        <v xml:space="preserve"> </v>
      </c>
      <c r="D567" s="1"/>
      <c r="E567" s="1"/>
      <c r="F567" s="1">
        <f t="shared" ca="1" si="12"/>
        <v>2</v>
      </c>
      <c r="H567" s="4"/>
      <c r="I567" s="4"/>
      <c r="J567" s="4"/>
      <c r="K567" s="4"/>
      <c r="L567" s="4"/>
    </row>
    <row r="568" spans="1:12">
      <c r="A568" s="1"/>
      <c r="B568" s="1"/>
      <c r="C568" s="1" t="str">
        <f ca="1">IFERROR(__xludf.DUMMYFUNCTION("""COMPUTED_VALUE""")," ")</f>
        <v xml:space="preserve"> </v>
      </c>
      <c r="D568" s="1"/>
      <c r="E568" s="1"/>
      <c r="F568" s="1">
        <f t="shared" ca="1" si="12"/>
        <v>2</v>
      </c>
      <c r="H568" s="4"/>
      <c r="I568" s="4"/>
      <c r="J568" s="4"/>
      <c r="K568" s="4"/>
      <c r="L568" s="4"/>
    </row>
    <row r="569" spans="1:12">
      <c r="A569" s="1"/>
      <c r="B569" s="1"/>
      <c r="C569" s="1" t="str">
        <f ca="1">IFERROR(__xludf.DUMMYFUNCTION("""COMPUTED_VALUE""")," ")</f>
        <v xml:space="preserve"> </v>
      </c>
      <c r="D569" s="1"/>
      <c r="E569" s="1"/>
      <c r="F569" s="1">
        <f t="shared" ca="1" si="12"/>
        <v>2</v>
      </c>
      <c r="H569" s="4"/>
      <c r="I569" s="4"/>
      <c r="J569" s="4"/>
      <c r="K569" s="4"/>
      <c r="L569" s="4"/>
    </row>
    <row r="570" spans="1:12">
      <c r="A570" s="1"/>
      <c r="B570" s="1"/>
      <c r="C570" s="1" t="str">
        <f ca="1">IFERROR(__xludf.DUMMYFUNCTION("""COMPUTED_VALUE""")," ")</f>
        <v xml:space="preserve"> </v>
      </c>
      <c r="D570" s="1"/>
      <c r="E570" s="1"/>
      <c r="F570" s="1">
        <f t="shared" ca="1" si="12"/>
        <v>2</v>
      </c>
      <c r="H570" s="4"/>
      <c r="I570" s="4"/>
      <c r="J570" s="4"/>
      <c r="K570" s="4"/>
      <c r="L570" s="4"/>
    </row>
    <row r="571" spans="1:12">
      <c r="A571" s="1"/>
      <c r="B571" s="1"/>
      <c r="C571" s="1" t="str">
        <f ca="1">IFERROR(__xludf.DUMMYFUNCTION("""COMPUTED_VALUE""")," ")</f>
        <v xml:space="preserve"> </v>
      </c>
      <c r="D571" s="1"/>
      <c r="E571" s="1"/>
      <c r="F571" s="1">
        <f t="shared" ca="1" si="12"/>
        <v>2</v>
      </c>
      <c r="H571" s="4"/>
      <c r="I571" s="4"/>
      <c r="J571" s="4"/>
      <c r="K571" s="4"/>
      <c r="L571" s="4"/>
    </row>
    <row r="572" spans="1:12">
      <c r="A572" s="1"/>
      <c r="B572" s="1"/>
      <c r="C572" s="1" t="str">
        <f ca="1">IFERROR(__xludf.DUMMYFUNCTION("""COMPUTED_VALUE""")," ")</f>
        <v xml:space="preserve"> </v>
      </c>
      <c r="D572" s="1"/>
      <c r="E572" s="1"/>
      <c r="F572" s="1">
        <f t="shared" ca="1" si="12"/>
        <v>2</v>
      </c>
      <c r="H572" s="4"/>
      <c r="I572" s="4"/>
      <c r="J572" s="4"/>
      <c r="K572" s="4"/>
      <c r="L572" s="4"/>
    </row>
    <row r="573" spans="1:12">
      <c r="A573" s="1"/>
      <c r="B573" s="1"/>
      <c r="C573" s="1" t="str">
        <f ca="1">IFERROR(__xludf.DUMMYFUNCTION("""COMPUTED_VALUE""")," ")</f>
        <v xml:space="preserve"> </v>
      </c>
      <c r="D573" s="1"/>
      <c r="E573" s="1"/>
      <c r="F573" s="1">
        <f t="shared" ca="1" si="12"/>
        <v>2</v>
      </c>
      <c r="H573" s="4"/>
      <c r="I573" s="4"/>
      <c r="J573" s="4"/>
      <c r="K573" s="4"/>
      <c r="L573" s="4"/>
    </row>
    <row r="574" spans="1:12">
      <c r="A574" s="1"/>
      <c r="B574" s="1"/>
      <c r="C574" s="1" t="str">
        <f ca="1">IFERROR(__xludf.DUMMYFUNCTION("""COMPUTED_VALUE""")," ")</f>
        <v xml:space="preserve"> </v>
      </c>
      <c r="D574" s="1"/>
      <c r="E574" s="1"/>
      <c r="F574" s="1">
        <f t="shared" ca="1" si="12"/>
        <v>2</v>
      </c>
      <c r="H574" s="4"/>
      <c r="I574" s="4"/>
      <c r="J574" s="4"/>
      <c r="K574" s="4"/>
      <c r="L574" s="4"/>
    </row>
    <row r="575" spans="1:12">
      <c r="A575" s="1"/>
      <c r="B575" s="1"/>
      <c r="C575" s="1" t="str">
        <f ca="1">IFERROR(__xludf.DUMMYFUNCTION("""COMPUTED_VALUE""")," ")</f>
        <v xml:space="preserve"> </v>
      </c>
      <c r="D575" s="1"/>
      <c r="E575" s="1"/>
      <c r="F575" s="1">
        <f t="shared" ca="1" si="12"/>
        <v>2</v>
      </c>
      <c r="H575" s="4"/>
      <c r="I575" s="4"/>
      <c r="J575" s="4"/>
      <c r="K575" s="4"/>
      <c r="L575" s="4"/>
    </row>
    <row r="576" spans="1:12">
      <c r="A576" s="1"/>
      <c r="B576" s="1"/>
      <c r="C576" s="1" t="str">
        <f ca="1">IFERROR(__xludf.DUMMYFUNCTION("""COMPUTED_VALUE""")," ")</f>
        <v xml:space="preserve"> </v>
      </c>
      <c r="D576" s="1"/>
      <c r="E576" s="1"/>
      <c r="F576" s="1">
        <f t="shared" ca="1" si="12"/>
        <v>2</v>
      </c>
      <c r="H576" s="4"/>
      <c r="I576" s="4"/>
      <c r="J576" s="4"/>
      <c r="K576" s="4"/>
      <c r="L576" s="4"/>
    </row>
    <row r="577" spans="1:12">
      <c r="A577" s="1"/>
      <c r="B577" s="1"/>
      <c r="C577" s="1" t="str">
        <f ca="1">IFERROR(__xludf.DUMMYFUNCTION("""COMPUTED_VALUE""")," ")</f>
        <v xml:space="preserve"> </v>
      </c>
      <c r="D577" s="1"/>
      <c r="E577" s="1"/>
      <c r="F577" s="1">
        <f t="shared" ca="1" si="12"/>
        <v>2</v>
      </c>
      <c r="H577" s="4"/>
      <c r="I577" s="4"/>
      <c r="J577" s="4"/>
      <c r="K577" s="4"/>
      <c r="L577" s="4"/>
    </row>
    <row r="578" spans="1:12">
      <c r="A578" s="1">
        <f ca="1">IFERROR(__xludf.DUMMYFUNCTION("""COMPUTED_VALUE"""),3644)</f>
        <v>3644</v>
      </c>
      <c r="B578" s="1" t="str">
        <f ca="1">IFERROR(__xludf.DUMMYFUNCTION("""COMPUTED_VALUE"""),"PKM RSH")</f>
        <v>PKM RSH</v>
      </c>
      <c r="C578" s="1" t="str">
        <f ca="1">IFERROR(__xludf.DUMMYFUNCTION("""COMPUTED_VALUE"""),"dana kurang buwanget")</f>
        <v>dana kurang buwanget</v>
      </c>
      <c r="D578" s="1" t="str">
        <f ca="1">IFERROR(__xludf.DUMMYFUNCTION("""COMPUTED_VALUE"""),"LAYAK UPLOAD KE SIMBELMAWA DENGAN REVISI")</f>
        <v>LAYAK UPLOAD KE SIMBELMAWA DENGAN REVISI</v>
      </c>
      <c r="E578" s="7" t="str">
        <f ca="1">IFERROR(__xludf.DUMMYFUNCTION("""COMPUTED_VALUE"""),"https://drive.google.com/open?id=19u-Mq7B7v7vVLAbrgr-BRGGu7wIuiC3K")</f>
        <v>https://drive.google.com/open?id=19u-Mq7B7v7vVLAbrgr-BRGGu7wIuiC3K</v>
      </c>
      <c r="F578" s="1">
        <f t="shared" ca="1" si="12"/>
        <v>0</v>
      </c>
      <c r="H578" s="4"/>
      <c r="I578" s="4"/>
      <c r="J578" s="4"/>
      <c r="K578" s="4"/>
      <c r="L578" s="4"/>
    </row>
    <row r="579" spans="1:12">
      <c r="A579" s="1">
        <f ca="1">IFERROR(__xludf.DUMMYFUNCTION("""COMPUTED_VALUE"""),2397)</f>
        <v>2397</v>
      </c>
      <c r="B579" s="1" t="str">
        <f ca="1">IFERROR(__xludf.DUMMYFUNCTION("""COMPUTED_VALUE"""),"PKM RSH")</f>
        <v>PKM RSH</v>
      </c>
      <c r="C579" s="1" t="str">
        <f ca="1">IFERROR(__xludf.DUMMYFUNCTION("""COMPUTED_VALUE"""),"-")</f>
        <v>-</v>
      </c>
      <c r="D579" s="1" t="str">
        <f ca="1">IFERROR(__xludf.DUMMYFUNCTION("""COMPUTED_VALUE"""),"LAYAK UPLOAD KE SIMBELMAWA")</f>
        <v>LAYAK UPLOAD KE SIMBELMAWA</v>
      </c>
      <c r="E579" s="7" t="str">
        <f ca="1">IFERROR(__xludf.DUMMYFUNCTION("""COMPUTED_VALUE"""),"https://drive.google.com/open?id=1K9nFlwrH0EKpw_qVJ13vK9SQ89JOlsxy")</f>
        <v>https://drive.google.com/open?id=1K9nFlwrH0EKpw_qVJ13vK9SQ89JOlsxy</v>
      </c>
      <c r="F579" s="1">
        <f t="shared" ca="1" si="12"/>
        <v>0</v>
      </c>
      <c r="H579" s="4"/>
      <c r="I579" s="4"/>
      <c r="J579" s="4"/>
      <c r="K579" s="4"/>
      <c r="L579" s="4"/>
    </row>
    <row r="580" spans="1:12">
      <c r="A580" s="1">
        <f ca="1">IFERROR(__xludf.DUMMYFUNCTION("""COMPUTED_VALUE"""),3425)</f>
        <v>3425</v>
      </c>
      <c r="B580" s="1" t="str">
        <f ca="1">IFERROR(__xludf.DUMMYFUNCTION("""COMPUTED_VALUE"""),"PKM RSH")</f>
        <v>PKM RSH</v>
      </c>
      <c r="C580" s="1" t="str">
        <f ca="1">IFERROR(__xludf.DUMMYFUNCTION("""COMPUTED_VALUE"""),"1, memperkaya eksplorasi penelitian terdahulu
2. memperkuat metode penelitian")</f>
        <v>1, memperkaya eksplorasi penelitian terdahulu
2. memperkuat metode penelitian</v>
      </c>
      <c r="D580" s="1" t="str">
        <f ca="1">IFERROR(__xludf.DUMMYFUNCTION("""COMPUTED_VALUE"""),"LAYAK UPLOAD KE SIMBELMAWA DENGAN REVISI")</f>
        <v>LAYAK UPLOAD KE SIMBELMAWA DENGAN REVISI</v>
      </c>
      <c r="E580" s="7" t="str">
        <f ca="1">IFERROR(__xludf.DUMMYFUNCTION("""COMPUTED_VALUE"""),"https://drive.google.com/open?id=1riuTQxkjOx38ThXn5FX5kYu6nioAvADJ")</f>
        <v>https://drive.google.com/open?id=1riuTQxkjOx38ThXn5FX5kYu6nioAvADJ</v>
      </c>
      <c r="F580" s="1">
        <f t="shared" ca="1" si="12"/>
        <v>0</v>
      </c>
      <c r="H580" s="4"/>
      <c r="I580" s="4"/>
      <c r="J580" s="4"/>
      <c r="K580" s="4"/>
      <c r="L580" s="4"/>
    </row>
    <row r="581" spans="1:12">
      <c r="A581" s="1">
        <f ca="1">IFERROR(__xludf.DUMMYFUNCTION("""COMPUTED_VALUE"""),2159)</f>
        <v>2159</v>
      </c>
      <c r="B581" s="1" t="str">
        <f ca="1">IFERROR(__xludf.DUMMYFUNCTION("""COMPUTED_VALUE"""),"PKM RSH")</f>
        <v>PKM RSH</v>
      </c>
      <c r="C581" s="1" t="str">
        <f ca="1">IFERROR(__xludf.DUMMYFUNCTION("""COMPUTED_VALUE"""),"Ide menarik, hanya urgensi merelevansikan angka jawa dan sosial kurang dimunculkan
tinjauan pustaka hanya definisi2, kurang elaboratif
penyampaian analisis kualitatif nya hingga mencapai kesimpulan kurang dikuatkan menggunaka metode apa")</f>
        <v>Ide menarik, hanya urgensi merelevansikan angka jawa dan sosial kurang dimunculkan
tinjauan pustaka hanya definisi2, kurang elaboratif
penyampaian analisis kualitatif nya hingga mencapai kesimpulan kurang dikuatkan menggunaka metode apa</v>
      </c>
      <c r="D581" s="1" t="str">
        <f ca="1">IFERROR(__xludf.DUMMYFUNCTION("""COMPUTED_VALUE"""),"LAYAK UPLOAD KE SIMBELMAWA DENGAN REVISI")</f>
        <v>LAYAK UPLOAD KE SIMBELMAWA DENGAN REVISI</v>
      </c>
      <c r="E581" s="7" t="str">
        <f ca="1">IFERROR(__xludf.DUMMYFUNCTION("""COMPUTED_VALUE"""),"https://drive.google.com/open?id=1H3QFIpEyj3BPHSYODZub2WDX7d_DTk7z")</f>
        <v>https://drive.google.com/open?id=1H3QFIpEyj3BPHSYODZub2WDX7d_DTk7z</v>
      </c>
      <c r="F581" s="1">
        <f t="shared" ca="1" si="12"/>
        <v>0</v>
      </c>
      <c r="H581" s="4"/>
      <c r="I581" s="4"/>
      <c r="J581" s="4"/>
      <c r="K581" s="4"/>
      <c r="L581" s="4"/>
    </row>
    <row r="582" spans="1:12">
      <c r="A582" s="1">
        <f ca="1">IFERROR(__xludf.DUMMYFUNCTION("""COMPUTED_VALUE"""),3589)</f>
        <v>3589</v>
      </c>
      <c r="B582" s="1" t="str">
        <f ca="1">IFERROR(__xludf.DUMMYFUNCTION("""COMPUTED_VALUE"""),"PKM RSH")</f>
        <v>PKM RSH</v>
      </c>
      <c r="C582" s="1" t="str">
        <f ca="1">IFERROR(__xludf.DUMMYFUNCTION("""COMPUTED_VALUE"""),"1. urgensi dan keterbaruan penelitian kurang dijelaskan dengan baik di latar belakang
2. penelitian ini harus memperlihatkan applied riset nya, tdk pada simulasi modelnya
3. pandemi covid akan berakhir, perjelas konteks urgensi nya terkait ide ini
4. dana"&amp;" dari Belmawa harus minimal 5 jt")</f>
        <v>1. urgensi dan keterbaruan penelitian kurang dijelaskan dengan baik di latar belakang
2. penelitian ini harus memperlihatkan applied riset nya, tdk pada simulasi modelnya
3. pandemi covid akan berakhir, perjelas konteks urgensi nya terkait ide ini
4. dana dari Belmawa harus minimal 5 jt</v>
      </c>
      <c r="D582" s="1" t="str">
        <f ca="1">IFERROR(__xludf.DUMMYFUNCTION("""COMPUTED_VALUE"""),"LAYAK UPLOAD KE SIMBELMAWA DENGAN REVISI")</f>
        <v>LAYAK UPLOAD KE SIMBELMAWA DENGAN REVISI</v>
      </c>
      <c r="E582" s="7" t="str">
        <f ca="1">IFERROR(__xludf.DUMMYFUNCTION("""COMPUTED_VALUE"""),"https://drive.google.com/open?id=1JhGIc35zvUi48qNEZZUe-Brk1p31mleL")</f>
        <v>https://drive.google.com/open?id=1JhGIc35zvUi48qNEZZUe-Brk1p31mleL</v>
      </c>
      <c r="F582" s="1">
        <f t="shared" ca="1" si="12"/>
        <v>0</v>
      </c>
      <c r="H582" s="4"/>
      <c r="I582" s="4"/>
      <c r="J582" s="4"/>
      <c r="K582" s="4"/>
      <c r="L582" s="4"/>
    </row>
    <row r="583" spans="1:12">
      <c r="A583" s="1">
        <f ca="1">IFERROR(__xludf.DUMMYFUNCTION("""COMPUTED_VALUE"""),3845)</f>
        <v>3845</v>
      </c>
      <c r="B583" s="1" t="str">
        <f ca="1">IFERROR(__xludf.DUMMYFUNCTION("""COMPUTED_VALUE"""),"PKM RSH")</f>
        <v>PKM RSH</v>
      </c>
      <c r="C583" s="1" t="str">
        <f ca="1">IFERROR(__xludf.DUMMYFUNCTION("""COMPUTED_VALUE"""),"1. kalau riset ini hanya mencari pengaruh, kreatifitasnya cukup sederhana. Perlu menambah kompleksitas permasalahan dan konteks kemanfaatannya
2. bila alat analisis yang menjadi penekanan, maka jelaskan keterbaruan dan kontribusi yang akan didapatkan deng"&amp;"an pemanfaatan alat analisis tsb")</f>
        <v>1. kalau riset ini hanya mencari pengaruh, kreatifitasnya cukup sederhana. Perlu menambah kompleksitas permasalahan dan konteks kemanfaatannya
2. bila alat analisis yang menjadi penekanan, maka jelaskan keterbaruan dan kontribusi yang akan didapatkan dengan pemanfaatan alat analisis tsb</v>
      </c>
      <c r="D583" s="1" t="str">
        <f ca="1">IFERROR(__xludf.DUMMYFUNCTION("""COMPUTED_VALUE"""),"LAYAK UPLOAD KE SIMBELMAWA DENGAN REVISI")</f>
        <v>LAYAK UPLOAD KE SIMBELMAWA DENGAN REVISI</v>
      </c>
      <c r="E583" s="7" t="str">
        <f ca="1">IFERROR(__xludf.DUMMYFUNCTION("""COMPUTED_VALUE"""),"https://drive.google.com/open?id=1YcXr3Y08v_i-nQbxdZKitt5WI_p-M-43")</f>
        <v>https://drive.google.com/open?id=1YcXr3Y08v_i-nQbxdZKitt5WI_p-M-43</v>
      </c>
      <c r="F583" s="1">
        <f t="shared" ca="1" si="12"/>
        <v>0</v>
      </c>
      <c r="H583" s="4"/>
      <c r="I583" s="4"/>
      <c r="J583" s="4"/>
      <c r="K583" s="4"/>
      <c r="L583" s="4"/>
    </row>
    <row r="584" spans="1:12">
      <c r="A584" s="1">
        <f ca="1">IFERROR(__xludf.DUMMYFUNCTION("""COMPUTED_VALUE"""),2035)</f>
        <v>2035</v>
      </c>
      <c r="B584" s="1" t="str">
        <f ca="1">IFERROR(__xludf.DUMMYFUNCTION("""COMPUTED_VALUE"""),"PKM RSH")</f>
        <v>PKM RSH</v>
      </c>
      <c r="C584" s="1" t="str">
        <f ca="1">IFERROR(__xludf.DUMMYFUNCTION("""COMPUTED_VALUE"""),"1. scope dan judul penelitian disesuaikan lagi spt masukkan pada tujuan penelitian
2. perjelas keterbaruan dan kemanfaatan penelitian ini")</f>
        <v>1. scope dan judul penelitian disesuaikan lagi spt masukkan pada tujuan penelitian
2. perjelas keterbaruan dan kemanfaatan penelitian ini</v>
      </c>
      <c r="D584" s="1" t="str">
        <f ca="1">IFERROR(__xludf.DUMMYFUNCTION("""COMPUTED_VALUE"""),"LAYAK UPLOAD KE SIMBELMAWA DENGAN REVISI")</f>
        <v>LAYAK UPLOAD KE SIMBELMAWA DENGAN REVISI</v>
      </c>
      <c r="E584" s="7" t="str">
        <f ca="1">IFERROR(__xludf.DUMMYFUNCTION("""COMPUTED_VALUE"""),"https://drive.google.com/open?id=1FIV9139rUBAjRv7H68dR8nejPX4JSXMv")</f>
        <v>https://drive.google.com/open?id=1FIV9139rUBAjRv7H68dR8nejPX4JSXMv</v>
      </c>
      <c r="F584" s="1">
        <f t="shared" ca="1" si="12"/>
        <v>0</v>
      </c>
      <c r="H584" s="4"/>
      <c r="I584" s="4"/>
      <c r="J584" s="4"/>
      <c r="K584" s="4"/>
      <c r="L584" s="4"/>
    </row>
    <row r="585" spans="1:12">
      <c r="A585" s="1">
        <f ca="1">IFERROR(__xludf.DUMMYFUNCTION("""COMPUTED_VALUE"""),2096)</f>
        <v>2096</v>
      </c>
      <c r="B585" s="1" t="str">
        <f ca="1">IFERROR(__xludf.DUMMYFUNCTION("""COMPUTED_VALUE"""),"PKM RSH")</f>
        <v>PKM RSH</v>
      </c>
      <c r="C585" s="1" t="str">
        <f ca="1">IFERROR(__xludf.DUMMYFUNCTION("""COMPUTED_VALUE""")," ")</f>
        <v xml:space="preserve"> </v>
      </c>
      <c r="D585" s="1" t="str">
        <f ca="1">IFERROR(__xludf.DUMMYFUNCTION("""COMPUTED_VALUE""")," ")</f>
        <v xml:space="preserve"> </v>
      </c>
      <c r="E585" s="1"/>
      <c r="F585" s="1">
        <f t="shared" ca="1" si="12"/>
        <v>2</v>
      </c>
      <c r="H585" s="4"/>
      <c r="I585" s="4"/>
      <c r="J585" s="4"/>
      <c r="K585" s="4"/>
      <c r="L585" s="4"/>
    </row>
    <row r="586" spans="1:12">
      <c r="A586" s="1">
        <f ca="1">IFERROR(__xludf.DUMMYFUNCTION("""COMPUTED_VALUE"""),3910)</f>
        <v>3910</v>
      </c>
      <c r="B586" s="1" t="str">
        <f ca="1">IFERROR(__xludf.DUMMYFUNCTION("""COMPUTED_VALUE"""),"PKM RSH")</f>
        <v>PKM RSH</v>
      </c>
      <c r="C586" s="1" t="str">
        <f ca="1">IFERROR(__xludf.DUMMYFUNCTION("""COMPUTED_VALUE"""),"1. Memperjelas fokus penelitian dan keterbaruan sudut pandangnya
2. memperkaya rujukan penelitian sebelumnya
3. memperkuat metode penelitian")</f>
        <v>1. Memperjelas fokus penelitian dan keterbaruan sudut pandangnya
2. memperkaya rujukan penelitian sebelumnya
3. memperkuat metode penelitian</v>
      </c>
      <c r="D586" s="1" t="str">
        <f ca="1">IFERROR(__xludf.DUMMYFUNCTION("""COMPUTED_VALUE"""),"LAYAK UPLOAD KE SIMBELMAWA DENGAN REVISI")</f>
        <v>LAYAK UPLOAD KE SIMBELMAWA DENGAN REVISI</v>
      </c>
      <c r="E586" s="7" t="str">
        <f ca="1">IFERROR(__xludf.DUMMYFUNCTION("""COMPUTED_VALUE"""),"https://drive.google.com/open?id=1DqdvduuakaABtWZ2F3ttShakSyKuF8VS")</f>
        <v>https://drive.google.com/open?id=1DqdvduuakaABtWZ2F3ttShakSyKuF8VS</v>
      </c>
      <c r="F586" s="1">
        <f t="shared" ca="1" si="12"/>
        <v>0</v>
      </c>
      <c r="H586" s="4"/>
      <c r="I586" s="4"/>
      <c r="J586" s="4"/>
      <c r="K586" s="4"/>
      <c r="L586" s="4"/>
    </row>
    <row r="587" spans="1:12">
      <c r="A587" s="1">
        <f ca="1">IFERROR(__xludf.DUMMYFUNCTION("""COMPUTED_VALUE"""),2959)</f>
        <v>2959</v>
      </c>
      <c r="B587" s="1" t="str">
        <f ca="1">IFERROR(__xludf.DUMMYFUNCTION("""COMPUTED_VALUE"""),"PKM RSH")</f>
        <v>PKM RSH</v>
      </c>
      <c r="C587" s="1" t="str">
        <f ca="1">IFERROR(__xludf.DUMMYFUNCTION("""COMPUTED_VALUE"""),"1. perjelas keterbaruan penelitian
2. masa pandemi akan segera berakhir, cek lagi konteks penelitian
3. alat analisis tdk perlu diuraikan teorinya")</f>
        <v>1. perjelas keterbaruan penelitian
2. masa pandemi akan segera berakhir, cek lagi konteks penelitian
3. alat analisis tdk perlu diuraikan teorinya</v>
      </c>
      <c r="D587" s="1" t="str">
        <f ca="1">IFERROR(__xludf.DUMMYFUNCTION("""COMPUTED_VALUE"""),"LAYAK UPLOAD KE SIMBELMAWA DENGAN REVISI")</f>
        <v>LAYAK UPLOAD KE SIMBELMAWA DENGAN REVISI</v>
      </c>
      <c r="E587" s="7" t="str">
        <f ca="1">IFERROR(__xludf.DUMMYFUNCTION("""COMPUTED_VALUE"""),"https://drive.google.com/open?id=1M1s8K-KZ4wCWiWLSTqCCwGZ2inLr2UzA")</f>
        <v>https://drive.google.com/open?id=1M1s8K-KZ4wCWiWLSTqCCwGZ2inLr2UzA</v>
      </c>
      <c r="F587" s="1">
        <f t="shared" ca="1" si="12"/>
        <v>0</v>
      </c>
      <c r="H587" s="4"/>
      <c r="I587" s="4"/>
      <c r="J587" s="4"/>
      <c r="K587" s="4"/>
      <c r="L587" s="4"/>
    </row>
    <row r="588" spans="1:12">
      <c r="A588" s="1">
        <f ca="1">IFERROR(__xludf.DUMMYFUNCTION("""COMPUTED_VALUE"""),3005)</f>
        <v>3005</v>
      </c>
      <c r="B588" s="1" t="str">
        <f ca="1">IFERROR(__xludf.DUMMYFUNCTION("""COMPUTED_VALUE"""),"PKM RSH")</f>
        <v>PKM RSH</v>
      </c>
      <c r="C588" s="1" t="str">
        <f ca="1">IFERROR(__xludf.DUMMYFUNCTION("""COMPUTED_VALUE"""),"1. mempertajam permasalahan penelitian dan keterbaruan sudut pandang penelitian
2. memperkaya rujukan penelitian2 sebelumnya")</f>
        <v>1. mempertajam permasalahan penelitian dan keterbaruan sudut pandang penelitian
2. memperkaya rujukan penelitian2 sebelumnya</v>
      </c>
      <c r="D588" s="1" t="str">
        <f ca="1">IFERROR(__xludf.DUMMYFUNCTION("""COMPUTED_VALUE"""),"LAYAK UPLOAD KE SIMBELMAWA DENGAN REVISI")</f>
        <v>LAYAK UPLOAD KE SIMBELMAWA DENGAN REVISI</v>
      </c>
      <c r="E588" s="1"/>
      <c r="F588" s="1">
        <f t="shared" ca="1" si="12"/>
        <v>0</v>
      </c>
      <c r="H588" s="4"/>
      <c r="I588" s="4"/>
      <c r="J588" s="4"/>
      <c r="K588" s="4"/>
      <c r="L588" s="4"/>
    </row>
    <row r="589" spans="1:12">
      <c r="A589" s="1">
        <f ca="1">IFERROR(__xludf.DUMMYFUNCTION("""COMPUTED_VALUE"""),3094)</f>
        <v>3094</v>
      </c>
      <c r="B589" s="1" t="str">
        <f ca="1">IFERROR(__xludf.DUMMYFUNCTION("""COMPUTED_VALUE"""),"PKM RSH")</f>
        <v>PKM RSH</v>
      </c>
      <c r="C589" s="1" t="str">
        <f ca="1">IFERROR(__xludf.DUMMYFUNCTION("""COMPUTED_VALUE"""),"jumlah halaman lebih dari 10")</f>
        <v>jumlah halaman lebih dari 10</v>
      </c>
      <c r="D589" s="1" t="str">
        <f ca="1">IFERROR(__xludf.DUMMYFUNCTION("""COMPUTED_VALUE"""),"TIDAK LAYAK UPLOAD KE SIMBELMAWA")</f>
        <v>TIDAK LAYAK UPLOAD KE SIMBELMAWA</v>
      </c>
      <c r="E589" s="7" t="str">
        <f ca="1">IFERROR(__xludf.DUMMYFUNCTION("""COMPUTED_VALUE"""),"https://drive.google.com/open?id=1ZRK2yBwHBCs1N-B9wp5Lf42Fa8BqIwAK")</f>
        <v>https://drive.google.com/open?id=1ZRK2yBwHBCs1N-B9wp5Lf42Fa8BqIwAK</v>
      </c>
      <c r="F589" s="1">
        <f t="shared" ca="1" si="12"/>
        <v>0</v>
      </c>
      <c r="H589" s="4"/>
      <c r="I589" s="4"/>
      <c r="J589" s="4"/>
      <c r="K589" s="4"/>
      <c r="L589" s="4"/>
    </row>
    <row r="590" spans="1:12">
      <c r="A590" s="1">
        <f ca="1">IFERROR(__xludf.DUMMYFUNCTION("""COMPUTED_VALUE"""),2406)</f>
        <v>2406</v>
      </c>
      <c r="B590" s="1" t="str">
        <f ca="1">IFERROR(__xludf.DUMMYFUNCTION("""COMPUTED_VALUE"""),"PKM RSH")</f>
        <v>PKM RSH</v>
      </c>
      <c r="C590" s="1" t="str">
        <f ca="1">IFERROR(__xludf.DUMMYFUNCTION("""COMPUTED_VALUE"""),"halaman kanan bawah hapus; lembar pernyataan beri materai")</f>
        <v>halaman kanan bawah hapus; lembar pernyataan beri materai</v>
      </c>
      <c r="D590" s="1" t="str">
        <f ca="1">IFERROR(__xludf.DUMMYFUNCTION("""COMPUTED_VALUE"""),"LAYAK UPLOAD KE SIMBELMAWA DENGAN REVISI")</f>
        <v>LAYAK UPLOAD KE SIMBELMAWA DENGAN REVISI</v>
      </c>
      <c r="E590" s="7" t="str">
        <f ca="1">IFERROR(__xludf.DUMMYFUNCTION("""COMPUTED_VALUE"""),"https://drive.google.com/open?id=1hJkv_TsPlzUpYgNgBnLqmEEVnYrlS5Lb")</f>
        <v>https://drive.google.com/open?id=1hJkv_TsPlzUpYgNgBnLqmEEVnYrlS5Lb</v>
      </c>
      <c r="F590" s="1">
        <f t="shared" ca="1" si="12"/>
        <v>0</v>
      </c>
      <c r="H590" s="4"/>
      <c r="I590" s="4"/>
      <c r="J590" s="4"/>
      <c r="K590" s="4"/>
      <c r="L590" s="4"/>
    </row>
    <row r="591" spans="1:12">
      <c r="A591" s="1">
        <f ca="1">IFERROR(__xludf.DUMMYFUNCTION("""COMPUTED_VALUE"""),3540)</f>
        <v>3540</v>
      </c>
      <c r="B591" s="1" t="str">
        <f ca="1">IFERROR(__xludf.DUMMYFUNCTION("""COMPUTED_VALUE"""),"PKM RSH")</f>
        <v>PKM RSH</v>
      </c>
      <c r="C591" s="1" t="str">
        <f ca="1">IFERROR(__xludf.DUMMYFUNCTION("""COMPUTED_VALUE""")," ")</f>
        <v xml:space="preserve"> </v>
      </c>
      <c r="D591" s="1" t="str">
        <f ca="1">IFERROR(__xludf.DUMMYFUNCTION("""COMPUTED_VALUE""")," ")</f>
        <v xml:space="preserve"> </v>
      </c>
      <c r="E591" s="1"/>
      <c r="F591" s="1">
        <f t="shared" ca="1" si="12"/>
        <v>2</v>
      </c>
      <c r="H591" s="4"/>
      <c r="I591" s="4"/>
      <c r="J591" s="4"/>
      <c r="K591" s="4"/>
      <c r="L591" s="4"/>
    </row>
    <row r="592" spans="1:12">
      <c r="A592" s="1">
        <f ca="1">IFERROR(__xludf.DUMMYFUNCTION("""COMPUTED_VALUE"""),2166)</f>
        <v>2166</v>
      </c>
      <c r="B592" s="1" t="str">
        <f ca="1">IFERROR(__xludf.DUMMYFUNCTION("""COMPUTED_VALUE"""),"PKM RSH")</f>
        <v>PKM RSH</v>
      </c>
      <c r="C592" s="1" t="str">
        <f ca="1">IFERROR(__xludf.DUMMYFUNCTION("""COMPUTED_VALUE"""),"1. unsur RSH kurang terlihat dalam riset ini")</f>
        <v>1. unsur RSH kurang terlihat dalam riset ini</v>
      </c>
      <c r="D592" s="1" t="str">
        <f ca="1">IFERROR(__xludf.DUMMYFUNCTION("""COMPUTED_VALUE"""),"TIDAK LAYAK UPLOAD KE SIMBELMAWA")</f>
        <v>TIDAK LAYAK UPLOAD KE SIMBELMAWA</v>
      </c>
      <c r="E592" s="7" t="str">
        <f ca="1">IFERROR(__xludf.DUMMYFUNCTION("""COMPUTED_VALUE"""),"https://drive.google.com/open?id=1khuaTrfgX09AswDfhrUjfIdiIsIrDiCD")</f>
        <v>https://drive.google.com/open?id=1khuaTrfgX09AswDfhrUjfIdiIsIrDiCD</v>
      </c>
      <c r="F592" s="1">
        <f t="shared" ca="1" si="12"/>
        <v>0</v>
      </c>
      <c r="H592" s="4"/>
      <c r="I592" s="4"/>
      <c r="J592" s="4"/>
      <c r="K592" s="4"/>
      <c r="L592" s="4"/>
    </row>
    <row r="593" spans="1:12">
      <c r="A593" s="1">
        <f ca="1">IFERROR(__xludf.DUMMYFUNCTION("""COMPUTED_VALUE"""),3626)</f>
        <v>3626</v>
      </c>
      <c r="B593" s="1" t="str">
        <f ca="1">IFERROR(__xludf.DUMMYFUNCTION("""COMPUTED_VALUE"""),"PKM RSH")</f>
        <v>PKM RSH</v>
      </c>
      <c r="C593" s="1" t="str">
        <f ca="1">IFERROR(__xludf.DUMMYFUNCTION("""COMPUTED_VALUE""")," ")</f>
        <v xml:space="preserve"> </v>
      </c>
      <c r="D593" s="1" t="str">
        <f ca="1">IFERROR(__xludf.DUMMYFUNCTION("""COMPUTED_VALUE""")," ")</f>
        <v xml:space="preserve"> </v>
      </c>
      <c r="E593" s="1"/>
      <c r="F593" s="1">
        <f t="shared" ca="1" si="12"/>
        <v>2</v>
      </c>
      <c r="H593" s="4"/>
      <c r="I593" s="4"/>
      <c r="J593" s="4"/>
      <c r="K593" s="4"/>
      <c r="L593" s="4"/>
    </row>
    <row r="594" spans="1:12">
      <c r="A594" s="1">
        <f ca="1">IFERROR(__xludf.DUMMYFUNCTION("""COMPUTED_VALUE"""),2111)</f>
        <v>2111</v>
      </c>
      <c r="B594" s="1" t="str">
        <f ca="1">IFERROR(__xludf.DUMMYFUNCTION("""COMPUTED_VALUE"""),"PKM RSH")</f>
        <v>PKM RSH</v>
      </c>
      <c r="C594" s="1" t="str">
        <f ca="1">IFERROR(__xludf.DUMMYFUNCTION("""COMPUTED_VALUE"""),"-")</f>
        <v>-</v>
      </c>
      <c r="D594" s="1" t="str">
        <f ca="1">IFERROR(__xludf.DUMMYFUNCTION("""COMPUTED_VALUE"""),"LAYAK UPLOAD KE SIMBELMAWA")</f>
        <v>LAYAK UPLOAD KE SIMBELMAWA</v>
      </c>
      <c r="E594" s="7" t="str">
        <f ca="1">IFERROR(__xludf.DUMMYFUNCTION("""COMPUTED_VALUE"""),"https://drive.google.com/open?id=136tkY1AmRMuQ-xZ7Job38hMYn7oAWidE")</f>
        <v>https://drive.google.com/open?id=136tkY1AmRMuQ-xZ7Job38hMYn7oAWidE</v>
      </c>
      <c r="F594" s="1">
        <f t="shared" ca="1" si="12"/>
        <v>0</v>
      </c>
      <c r="H594" s="4"/>
      <c r="I594" s="4"/>
      <c r="J594" s="4"/>
      <c r="K594" s="4"/>
      <c r="L594" s="4"/>
    </row>
    <row r="595" spans="1:12">
      <c r="A595" s="1">
        <f ca="1">IFERROR(__xludf.DUMMYFUNCTION("""COMPUTED_VALUE"""),3809)</f>
        <v>3809</v>
      </c>
      <c r="B595" s="1" t="str">
        <f ca="1">IFERROR(__xludf.DUMMYFUNCTION("""COMPUTED_VALUE"""),"PKM RSH")</f>
        <v>PKM RSH</v>
      </c>
      <c r="C595" s="1" t="str">
        <f ca="1">IFERROR(__xludf.DUMMYFUNCTION("""COMPUTED_VALUE"""),"aspek soshum dan urgensi perlu ditingkatkan, sangat regulatif")</f>
        <v>aspek soshum dan urgensi perlu ditingkatkan, sangat regulatif</v>
      </c>
      <c r="D595" s="1" t="str">
        <f ca="1">IFERROR(__xludf.DUMMYFUNCTION("""COMPUTED_VALUE"""),"LAYAK UPLOAD KE SIMBELMAWA DENGAN REVISI")</f>
        <v>LAYAK UPLOAD KE SIMBELMAWA DENGAN REVISI</v>
      </c>
      <c r="E595" s="7" t="str">
        <f ca="1">IFERROR(__xludf.DUMMYFUNCTION("""COMPUTED_VALUE"""),"https://drive.google.com/open?id=1l9Sc9k5_SwckzE7MYjkwHbXva2JsjVsP")</f>
        <v>https://drive.google.com/open?id=1l9Sc9k5_SwckzE7MYjkwHbXva2JsjVsP</v>
      </c>
      <c r="F595" s="1">
        <f t="shared" ca="1" si="12"/>
        <v>0</v>
      </c>
      <c r="H595" s="4"/>
      <c r="I595" s="4"/>
      <c r="J595" s="4"/>
      <c r="K595" s="4"/>
      <c r="L595" s="4"/>
    </row>
    <row r="596" spans="1:12">
      <c r="A596" s="1">
        <f ca="1">IFERROR(__xludf.DUMMYFUNCTION("""COMPUTED_VALUE"""),3001)</f>
        <v>3001</v>
      </c>
      <c r="B596" s="1" t="str">
        <f ca="1">IFERROR(__xludf.DUMMYFUNCTION("""COMPUTED_VALUE"""),"PKM RSH")</f>
        <v>PKM RSH</v>
      </c>
      <c r="C596" s="1" t="str">
        <f ca="1">IFERROR(__xludf.DUMMYFUNCTION("""COMPUTED_VALUE"""),"surat pernyataan kasih materai")</f>
        <v>surat pernyataan kasih materai</v>
      </c>
      <c r="D596" s="1" t="str">
        <f ca="1">IFERROR(__xludf.DUMMYFUNCTION("""COMPUTED_VALUE"""),"LAYAK UPLOAD KE SIMBELMAWA DENGAN REVISI")</f>
        <v>LAYAK UPLOAD KE SIMBELMAWA DENGAN REVISI</v>
      </c>
      <c r="E596" s="7" t="str">
        <f ca="1">IFERROR(__xludf.DUMMYFUNCTION("""COMPUTED_VALUE"""),"https://drive.google.com/open?id=1DBpxxBRlLKVCHUp6ipY_DGHx9zpKjdjO")</f>
        <v>https://drive.google.com/open?id=1DBpxxBRlLKVCHUp6ipY_DGHx9zpKjdjO</v>
      </c>
      <c r="F596" s="1">
        <f t="shared" ca="1" si="12"/>
        <v>0</v>
      </c>
      <c r="H596" s="4"/>
      <c r="I596" s="4"/>
      <c r="J596" s="4"/>
      <c r="K596" s="4"/>
      <c r="L596" s="4"/>
    </row>
    <row r="597" spans="1:12">
      <c r="A597" s="1">
        <f ca="1">IFERROR(__xludf.DUMMYFUNCTION("""COMPUTED_VALUE"""),2059)</f>
        <v>2059</v>
      </c>
      <c r="B597" s="1" t="str">
        <f ca="1">IFERROR(__xludf.DUMMYFUNCTION("""COMPUTED_VALUE"""),"PKM RSH")</f>
        <v>PKM RSH</v>
      </c>
      <c r="C597" s="1" t="str">
        <f ca="1">IFERROR(__xludf.DUMMYFUNCTION("""COMPUTED_VALUE"""),"1. ada kesalahan sistematika bab 2
2. kelebihan halaman, perbaiki proporsi tabel jadwal")</f>
        <v>1. ada kesalahan sistematika bab 2
2. kelebihan halaman, perbaiki proporsi tabel jadwal</v>
      </c>
      <c r="D597" s="1" t="str">
        <f ca="1">IFERROR(__xludf.DUMMYFUNCTION("""COMPUTED_VALUE"""),"LAYAK UPLOAD KE SIMBELMAWA DENGAN REVISI")</f>
        <v>LAYAK UPLOAD KE SIMBELMAWA DENGAN REVISI</v>
      </c>
      <c r="E597" s="7" t="str">
        <f ca="1">IFERROR(__xludf.DUMMYFUNCTION("""COMPUTED_VALUE"""),"https://drive.google.com/open?id=1creqXivpnOF56eXwkNHBh8tGv3padlb0")</f>
        <v>https://drive.google.com/open?id=1creqXivpnOF56eXwkNHBh8tGv3padlb0</v>
      </c>
      <c r="H597" s="4"/>
      <c r="I597" s="4"/>
      <c r="J597" s="4"/>
      <c r="K597" s="4"/>
      <c r="L597" s="4"/>
    </row>
    <row r="598" spans="1:12">
      <c r="A598" s="1">
        <f ca="1">IFERROR(__xludf.DUMMYFUNCTION("""COMPUTED_VALUE"""),3053)</f>
        <v>3053</v>
      </c>
      <c r="B598" s="1" t="str">
        <f ca="1">IFERROR(__xludf.DUMMYFUNCTION("""COMPUTED_VALUE"""),"PKM RSH")</f>
        <v>PKM RSH</v>
      </c>
      <c r="C598" s="1" t="str">
        <f ca="1">IFERROR(__xludf.DUMMYFUNCTION("""COMPUTED_VALUE""")," ")</f>
        <v xml:space="preserve"> </v>
      </c>
      <c r="D598" s="1" t="str">
        <f ca="1">IFERROR(__xludf.DUMMYFUNCTION("""COMPUTED_VALUE""")," ")</f>
        <v xml:space="preserve"> </v>
      </c>
      <c r="E598" s="1"/>
      <c r="H598" s="4"/>
      <c r="I598" s="4"/>
      <c r="J598" s="4"/>
      <c r="K598" s="4"/>
      <c r="L598" s="4"/>
    </row>
    <row r="599" spans="1:12">
      <c r="A599" s="1">
        <f ca="1">IFERROR(__xludf.DUMMYFUNCTION("""COMPUTED_VALUE"""),2184)</f>
        <v>2184</v>
      </c>
      <c r="B599" s="1" t="str">
        <f ca="1">IFERROR(__xludf.DUMMYFUNCTION("""COMPUTED_VALUE"""),"PKM RSH")</f>
        <v>PKM RSH</v>
      </c>
      <c r="C599" s="1" t="str">
        <f ca="1">IFERROR(__xludf.DUMMYFUNCTION("""COMPUTED_VALUE"""),"Perlu mempertajam aspek kreatifitasnya (detail ada di proposal)")</f>
        <v>Perlu mempertajam aspek kreatifitasnya (detail ada di proposal)</v>
      </c>
      <c r="D599" s="1" t="str">
        <f ca="1">IFERROR(__xludf.DUMMYFUNCTION("""COMPUTED_VALUE"""),"LAYAK UPLOAD KE SIMBELMAWA DENGAN REVISI")</f>
        <v>LAYAK UPLOAD KE SIMBELMAWA DENGAN REVISI</v>
      </c>
      <c r="E599" s="7" t="str">
        <f ca="1">IFERROR(__xludf.DUMMYFUNCTION("""COMPUTED_VALUE"""),"https://drive.google.com/open?id=1dCwS2NzNmYSPqdBE08SRuIprtMRGQ2fU")</f>
        <v>https://drive.google.com/open?id=1dCwS2NzNmYSPqdBE08SRuIprtMRGQ2fU</v>
      </c>
      <c r="H599" s="4"/>
      <c r="I599" s="4"/>
      <c r="J599" s="4"/>
      <c r="K599" s="4"/>
      <c r="L599" s="4"/>
    </row>
    <row r="600" spans="1:12">
      <c r="A600" s="1">
        <f ca="1">IFERROR(__xludf.DUMMYFUNCTION("""COMPUTED_VALUE"""),2843)</f>
        <v>2843</v>
      </c>
      <c r="B600" s="1" t="str">
        <f ca="1">IFERROR(__xludf.DUMMYFUNCTION("""COMPUTED_VALUE"""),"PKM RSH")</f>
        <v>PKM RSH</v>
      </c>
      <c r="C600" s="1" t="str">
        <f ca="1">IFERROR(__xludf.DUMMYFUNCTION("""COMPUTED_VALUE"""),"1. memperbaiki fokus masalah dan keterbaruan penelitian
2. memperkaya rujukan penelitian sebelumnya
3. menyesuaikan metode penelitian")</f>
        <v>1. memperbaiki fokus masalah dan keterbaruan penelitian
2. memperkaya rujukan penelitian sebelumnya
3. menyesuaikan metode penelitian</v>
      </c>
      <c r="D600" s="1" t="str">
        <f ca="1">IFERROR(__xludf.DUMMYFUNCTION("""COMPUTED_VALUE"""),"LAYAK UPLOAD KE SIMBELMAWA DENGAN REVISI")</f>
        <v>LAYAK UPLOAD KE SIMBELMAWA DENGAN REVISI</v>
      </c>
      <c r="E600" s="7" t="str">
        <f ca="1">IFERROR(__xludf.DUMMYFUNCTION("""COMPUTED_VALUE"""),"https://drive.google.com/open?id=1Wlrv_JnLBfbPb5S49NJ4yDf5yhUsipjm")</f>
        <v>https://drive.google.com/open?id=1Wlrv_JnLBfbPb5S49NJ4yDf5yhUsipjm</v>
      </c>
      <c r="H600" s="4"/>
      <c r="I600" s="4"/>
      <c r="J600" s="4"/>
      <c r="K600" s="4"/>
      <c r="L600" s="4"/>
    </row>
    <row r="601" spans="1:12">
      <c r="A601" s="1">
        <f ca="1">IFERROR(__xludf.DUMMYFUNCTION("""COMPUTED_VALUE"""),2997)</f>
        <v>2997</v>
      </c>
      <c r="B601" s="1" t="str">
        <f ca="1">IFERROR(__xludf.DUMMYFUNCTION("""COMPUTED_VALUE"""),"PKM RSH")</f>
        <v>PKM RSH</v>
      </c>
      <c r="C601" s="1" t="str">
        <f ca="1">IFERROR(__xludf.DUMMYFUNCTION("""COMPUTED_VALUE"""),"1. format anggaran masih keliru
2. jumlah halaman lebih dari ketentuan
3. ide ok, tinggal memperkuat latar belakang ")</f>
        <v xml:space="preserve">1. format anggaran masih keliru
2. jumlah halaman lebih dari ketentuan
3. ide ok, tinggal memperkuat latar belakang </v>
      </c>
      <c r="D601" s="1" t="str">
        <f ca="1">IFERROR(__xludf.DUMMYFUNCTION("""COMPUTED_VALUE"""),"LAYAK UPLOAD KE SIMBELMAWA DENGAN REVISI")</f>
        <v>LAYAK UPLOAD KE SIMBELMAWA DENGAN REVISI</v>
      </c>
      <c r="E601" s="7" t="str">
        <f ca="1">IFERROR(__xludf.DUMMYFUNCTION("""COMPUTED_VALUE"""),"https://drive.google.com/open?id=1R9KzBzv2rzhPTsrV0_uh66FVyeNz6AUP")</f>
        <v>https://drive.google.com/open?id=1R9KzBzv2rzhPTsrV0_uh66FVyeNz6AUP</v>
      </c>
      <c r="H601" s="4"/>
      <c r="I601" s="4"/>
      <c r="J601" s="4"/>
      <c r="K601" s="4"/>
      <c r="L601" s="4"/>
    </row>
    <row r="602" spans="1:12">
      <c r="A602" s="1">
        <f ca="1">IFERROR(__xludf.DUMMYFUNCTION("""COMPUTED_VALUE"""),3875)</f>
        <v>3875</v>
      </c>
      <c r="B602" s="1" t="str">
        <f ca="1">IFERROR(__xludf.DUMMYFUNCTION("""COMPUTED_VALUE"""),"PKM RSH")</f>
        <v>PKM RSH</v>
      </c>
      <c r="C602" s="1" t="str">
        <f ca="1">IFERROR(__xludf.DUMMYFUNCTION("""COMPUTED_VALUE"""),"-")</f>
        <v>-</v>
      </c>
      <c r="D602" s="1" t="str">
        <f ca="1">IFERROR(__xludf.DUMMYFUNCTION("""COMPUTED_VALUE"""),"TIDAK LAYAK UPLOAD KE SIMBELMAWA")</f>
        <v>TIDAK LAYAK UPLOAD KE SIMBELMAWA</v>
      </c>
      <c r="E602" s="7" t="str">
        <f ca="1">IFERROR(__xludf.DUMMYFUNCTION("""COMPUTED_VALUE"""),"https://drive.google.com/open?id=1v3MU_VPVE6M5NnQaWMc7BbdqXUHCRcKL")</f>
        <v>https://drive.google.com/open?id=1v3MU_VPVE6M5NnQaWMc7BbdqXUHCRcKL</v>
      </c>
      <c r="H602" s="4"/>
      <c r="I602" s="4"/>
      <c r="J602" s="4"/>
      <c r="K602" s="4"/>
      <c r="L602" s="4"/>
    </row>
    <row r="603" spans="1:12">
      <c r="A603" s="1">
        <f ca="1">IFERROR(__xludf.DUMMYFUNCTION("""COMPUTED_VALUE"""),2460)</f>
        <v>2460</v>
      </c>
      <c r="B603" s="1" t="str">
        <f ca="1">IFERROR(__xludf.DUMMYFUNCTION("""COMPUTED_VALUE"""),"PKM RSH")</f>
        <v>PKM RSH</v>
      </c>
      <c r="C603" s="1" t="str">
        <f ca="1">IFERROR(__xludf.DUMMYFUNCTION("""COMPUTED_VALUE""")," ")</f>
        <v xml:space="preserve"> </v>
      </c>
      <c r="D603" s="1" t="str">
        <f ca="1">IFERROR(__xludf.DUMMYFUNCTION("""COMPUTED_VALUE""")," ")</f>
        <v xml:space="preserve"> </v>
      </c>
      <c r="E603" s="1"/>
      <c r="H603" s="4"/>
      <c r="I603" s="4"/>
      <c r="J603" s="4"/>
      <c r="K603" s="4"/>
      <c r="L603" s="4"/>
    </row>
    <row r="604" spans="1:12">
      <c r="A604" s="1">
        <f ca="1">IFERROR(__xludf.DUMMYFUNCTION("""COMPUTED_VALUE"""),2655)</f>
        <v>2655</v>
      </c>
      <c r="B604" s="1" t="str">
        <f ca="1">IFERROR(__xludf.DUMMYFUNCTION("""COMPUTED_VALUE"""),"PKM RSH")</f>
        <v>PKM RSH</v>
      </c>
      <c r="C604" s="1" t="str">
        <f ca="1">IFERROR(__xludf.DUMMYFUNCTION("""COMPUTED_VALUE"""),"1. menambah aspek modal sosial dalam pembahasan gentrifikasi
2. memperkuat keterbaruan penelitian
3. menambah rujukan penelitian sebelumnya")</f>
        <v>1. menambah aspek modal sosial dalam pembahasan gentrifikasi
2. memperkuat keterbaruan penelitian
3. menambah rujukan penelitian sebelumnya</v>
      </c>
      <c r="D604" s="1" t="str">
        <f ca="1">IFERROR(__xludf.DUMMYFUNCTION("""COMPUTED_VALUE"""),"LAYAK UPLOAD KE SIMBELMAWA DENGAN REVISI")</f>
        <v>LAYAK UPLOAD KE SIMBELMAWA DENGAN REVISI</v>
      </c>
      <c r="E604" s="7" t="str">
        <f ca="1">IFERROR(__xludf.DUMMYFUNCTION("""COMPUTED_VALUE"""),"https://drive.google.com/open?id=1zN4yvH44xjp87DhyuOdowMYMvx2erneU")</f>
        <v>https://drive.google.com/open?id=1zN4yvH44xjp87DhyuOdowMYMvx2erneU</v>
      </c>
      <c r="H604" s="4"/>
      <c r="I604" s="4"/>
      <c r="J604" s="4"/>
      <c r="K604" s="4"/>
      <c r="L604" s="4"/>
    </row>
    <row r="605" spans="1:12">
      <c r="A605" s="1">
        <f ca="1">IFERROR(__xludf.DUMMYFUNCTION("""COMPUTED_VALUE"""),2113)</f>
        <v>2113</v>
      </c>
      <c r="B605" s="1" t="str">
        <f ca="1">IFERROR(__xludf.DUMMYFUNCTION("""COMPUTED_VALUE"""),"PKM RSH")</f>
        <v>PKM RSH</v>
      </c>
      <c r="C605" s="1" t="str">
        <f ca="1">IFERROR(__xludf.DUMMYFUNCTION("""COMPUTED_VALUE"""),"di cek lagi sebelum upload")</f>
        <v>di cek lagi sebelum upload</v>
      </c>
      <c r="D605" s="1" t="str">
        <f ca="1">IFERROR(__xludf.DUMMYFUNCTION("""COMPUTED_VALUE"""),"LAYAK UPLOAD KE SIMBELMAWA")</f>
        <v>LAYAK UPLOAD KE SIMBELMAWA</v>
      </c>
      <c r="E605" s="7" t="str">
        <f ca="1">IFERROR(__xludf.DUMMYFUNCTION("""COMPUTED_VALUE"""),"https://drive.google.com/open?id=13SNxlsvnDZL_fys7ioJhBe9Etz7Tn3MV")</f>
        <v>https://drive.google.com/open?id=13SNxlsvnDZL_fys7ioJhBe9Etz7Tn3MV</v>
      </c>
      <c r="H605" s="4"/>
      <c r="I605" s="4"/>
      <c r="J605" s="4"/>
      <c r="K605" s="4"/>
      <c r="L605" s="4"/>
    </row>
    <row r="606" spans="1:12">
      <c r="A606" s="1">
        <f ca="1">IFERROR(__xludf.DUMMYFUNCTION("""COMPUTED_VALUE"""),3775)</f>
        <v>3775</v>
      </c>
      <c r="B606" s="1" t="str">
        <f ca="1">IFERROR(__xludf.DUMMYFUNCTION("""COMPUTED_VALUE"""),"PKM RSH")</f>
        <v>PKM RSH</v>
      </c>
      <c r="C606" s="1" t="str">
        <f ca="1">IFERROR(__xludf.DUMMYFUNCTION("""COMPUTED_VALUE"""),"1. tekankan pada kemanfaatan riset ini (applied)
2. memperjelas generalisasi untuk kota surabaya
3. memperjelas keterbaruan penelitian")</f>
        <v>1. tekankan pada kemanfaatan riset ini (applied)
2. memperjelas generalisasi untuk kota surabaya
3. memperjelas keterbaruan penelitian</v>
      </c>
      <c r="D606" s="1" t="str">
        <f ca="1">IFERROR(__xludf.DUMMYFUNCTION("""COMPUTED_VALUE"""),"LAYAK UPLOAD KE SIMBELMAWA DENGAN REVISI")</f>
        <v>LAYAK UPLOAD KE SIMBELMAWA DENGAN REVISI</v>
      </c>
      <c r="E606" s="7" t="str">
        <f ca="1">IFERROR(__xludf.DUMMYFUNCTION("""COMPUTED_VALUE"""),"https://drive.google.com/open?id=1N_q_S5_s5lqQ4l8facqEqQfoB4g23uOO")</f>
        <v>https://drive.google.com/open?id=1N_q_S5_s5lqQ4l8facqEqQfoB4g23uOO</v>
      </c>
      <c r="H606" s="4"/>
      <c r="I606" s="4"/>
      <c r="J606" s="4"/>
      <c r="K606" s="4"/>
      <c r="L606" s="4"/>
    </row>
    <row r="607" spans="1:12">
      <c r="A607" s="1">
        <f ca="1">IFERROR(__xludf.DUMMYFUNCTION("""COMPUTED_VALUE"""),2021)</f>
        <v>2021</v>
      </c>
      <c r="B607" s="1" t="str">
        <f ca="1">IFERROR(__xludf.DUMMYFUNCTION("""COMPUTED_VALUE"""),"PKM RSH")</f>
        <v>PKM RSH</v>
      </c>
      <c r="C607" s="1" t="str">
        <f ca="1">IFERROR(__xludf.DUMMYFUNCTION("""COMPUTED_VALUE"""),"1. ide penelitian ini kurang kuat aspek humanioranya, utk itu perlu memperkuat sudut pandang RSH nya
2. konteksnya sdh tidak relevan lagi, karena pandemi covid sdh akan berakhir")</f>
        <v>1. ide penelitian ini kurang kuat aspek humanioranya, utk itu perlu memperkuat sudut pandang RSH nya
2. konteksnya sdh tidak relevan lagi, karena pandemi covid sdh akan berakhir</v>
      </c>
      <c r="D607" s="1" t="str">
        <f ca="1">IFERROR(__xludf.DUMMYFUNCTION("""COMPUTED_VALUE"""),"TIDAK LAYAK UPLOAD KE SIMBELMAWA")</f>
        <v>TIDAK LAYAK UPLOAD KE SIMBELMAWA</v>
      </c>
      <c r="E607" s="7" t="str">
        <f ca="1">IFERROR(__xludf.DUMMYFUNCTION("""COMPUTED_VALUE"""),"https://drive.google.com/open?id=1zP0_DcmxpuNaUDOo53fxXbTP20mQDtvi")</f>
        <v>https://drive.google.com/open?id=1zP0_DcmxpuNaUDOo53fxXbTP20mQDtvi</v>
      </c>
      <c r="H607" s="4"/>
      <c r="I607" s="4"/>
      <c r="J607" s="4"/>
      <c r="K607" s="4"/>
      <c r="L607" s="4"/>
    </row>
    <row r="608" spans="1:12">
      <c r="A608" s="1">
        <f ca="1">IFERROR(__xludf.DUMMYFUNCTION("""COMPUTED_VALUE"""),2496)</f>
        <v>2496</v>
      </c>
      <c r="B608" s="1" t="str">
        <f ca="1">IFERROR(__xludf.DUMMYFUNCTION("""COMPUTED_VALUE"""),"PKM RSH")</f>
        <v>PKM RSH</v>
      </c>
      <c r="C608" s="1" t="str">
        <f ca="1">IFERROR(__xludf.DUMMYFUNCTION("""COMPUTED_VALUE"""),"anggaran tidak dipecah, pernyataan ketua tidak ada ttd dan materai")</f>
        <v>anggaran tidak dipecah, pernyataan ketua tidak ada ttd dan materai</v>
      </c>
      <c r="D608" s="1" t="str">
        <f ca="1">IFERROR(__xludf.DUMMYFUNCTION("""COMPUTED_VALUE"""),"TIDAK LAYAK UPLOAD KE SIMBELMAWA")</f>
        <v>TIDAK LAYAK UPLOAD KE SIMBELMAWA</v>
      </c>
      <c r="E608" s="7" t="str">
        <f ca="1">IFERROR(__xludf.DUMMYFUNCTION("""COMPUTED_VALUE"""),"https://drive.google.com/open?id=1M14T16zgA96KyPoyChOWHjGsb53PSxZH")</f>
        <v>https://drive.google.com/open?id=1M14T16zgA96KyPoyChOWHjGsb53PSxZH</v>
      </c>
      <c r="H608" s="4"/>
      <c r="I608" s="4"/>
      <c r="J608" s="4"/>
      <c r="K608" s="4"/>
      <c r="L608" s="4"/>
    </row>
    <row r="609" spans="1:12">
      <c r="A609" s="1">
        <f ca="1">IFERROR(__xludf.DUMMYFUNCTION("""COMPUTED_VALUE"""),2040)</f>
        <v>2040</v>
      </c>
      <c r="B609" s="1" t="str">
        <f ca="1">IFERROR(__xludf.DUMMYFUNCTION("""COMPUTED_VALUE"""),"PKM RSH")</f>
        <v>PKM RSH</v>
      </c>
      <c r="C609" s="1" t="str">
        <f ca="1">IFERROR(__xludf.DUMMYFUNCTION("""COMPUTED_VALUE"""),"nuansa sosial sangat kurang, pendekatan terlalu spasial, urgensi penelitian tidak muncul")</f>
        <v>nuansa sosial sangat kurang, pendekatan terlalu spasial, urgensi penelitian tidak muncul</v>
      </c>
      <c r="D609" s="1" t="str">
        <f ca="1">IFERROR(__xludf.DUMMYFUNCTION("""COMPUTED_VALUE"""),"LAYAK UPLOAD KE SIMBELMAWA DENGAN REVISI")</f>
        <v>LAYAK UPLOAD KE SIMBELMAWA DENGAN REVISI</v>
      </c>
      <c r="E609" s="7" t="str">
        <f ca="1">IFERROR(__xludf.DUMMYFUNCTION("""COMPUTED_VALUE"""),"https://drive.google.com/open?id=1e_3F86QyoQfRzsYyWTJIprJbwEEj-9ec")</f>
        <v>https://drive.google.com/open?id=1e_3F86QyoQfRzsYyWTJIprJbwEEj-9ec</v>
      </c>
      <c r="H609" s="4"/>
      <c r="I609" s="4"/>
      <c r="J609" s="4"/>
      <c r="K609" s="4"/>
      <c r="L609" s="4"/>
    </row>
    <row r="610" spans="1:12">
      <c r="A610" s="1">
        <f ca="1">IFERROR(__xludf.DUMMYFUNCTION("""COMPUTED_VALUE"""),2423)</f>
        <v>2423</v>
      </c>
      <c r="B610" s="1" t="str">
        <f ca="1">IFERROR(__xludf.DUMMYFUNCTION("""COMPUTED_VALUE"""),"PKM RSH")</f>
        <v>PKM RSH</v>
      </c>
      <c r="C610" s="1" t="str">
        <f ca="1">IFERROR(__xludf.DUMMYFUNCTION("""COMPUTED_VALUE"""),"Jumlah halaman lebih dari 10, urgensi soshum tidak muncul")</f>
        <v>Jumlah halaman lebih dari 10, urgensi soshum tidak muncul</v>
      </c>
      <c r="D610" s="1" t="str">
        <f ca="1">IFERROR(__xludf.DUMMYFUNCTION("""COMPUTED_VALUE"""),"TIDAK LAYAK UPLOAD KE SIMBELMAWA")</f>
        <v>TIDAK LAYAK UPLOAD KE SIMBELMAWA</v>
      </c>
      <c r="E610" s="7" t="str">
        <f ca="1">IFERROR(__xludf.DUMMYFUNCTION("""COMPUTED_VALUE"""),"https://drive.google.com/open?id=1nyTqXoxFHlhXmE51bXMAzYQiNB58QVv4")</f>
        <v>https://drive.google.com/open?id=1nyTqXoxFHlhXmE51bXMAzYQiNB58QVv4</v>
      </c>
      <c r="H610" s="4"/>
      <c r="I610" s="4"/>
      <c r="J610" s="4"/>
      <c r="K610" s="4"/>
      <c r="L610" s="4"/>
    </row>
    <row r="611" spans="1:12">
      <c r="A611" s="1">
        <f ca="1">IFERROR(__xludf.DUMMYFUNCTION("""COMPUTED_VALUE"""),2018)</f>
        <v>2018</v>
      </c>
      <c r="B611" s="1" t="str">
        <f ca="1">IFERROR(__xludf.DUMMYFUNCTION("""COMPUTED_VALUE"""),"PKM RSH")</f>
        <v>PKM RSH</v>
      </c>
      <c r="C611" s="1" t="str">
        <f ca="1">IFERROR(__xludf.DUMMYFUNCTION("""COMPUTED_VALUE""")," ")</f>
        <v xml:space="preserve"> </v>
      </c>
      <c r="D611" s="1" t="str">
        <f ca="1">IFERROR(__xludf.DUMMYFUNCTION("""COMPUTED_VALUE""")," ")</f>
        <v xml:space="preserve"> </v>
      </c>
      <c r="E611" s="1"/>
      <c r="H611" s="4"/>
      <c r="I611" s="4"/>
      <c r="J611" s="4"/>
      <c r="K611" s="4"/>
      <c r="L611" s="4"/>
    </row>
    <row r="612" spans="1:12">
      <c r="A612" s="1">
        <f ca="1">IFERROR(__xludf.DUMMYFUNCTION("""COMPUTED_VALUE"""),2126)</f>
        <v>2126</v>
      </c>
      <c r="B612" s="1" t="str">
        <f ca="1">IFERROR(__xludf.DUMMYFUNCTION("""COMPUTED_VALUE"""),"PKM RSH")</f>
        <v>PKM RSH</v>
      </c>
      <c r="C612" s="1" t="str">
        <f ca="1">IFERROR(__xludf.DUMMYFUNCTION("""COMPUTED_VALUE"""),"jumlah halaman lebih dr 10; luaran kurang, sisi soshum tidak muncul")</f>
        <v>jumlah halaman lebih dr 10; luaran kurang, sisi soshum tidak muncul</v>
      </c>
      <c r="D612" s="1" t="str">
        <f ca="1">IFERROR(__xludf.DUMMYFUNCTION("""COMPUTED_VALUE"""),"TIDAK LAYAK UPLOAD KE SIMBELMAWA")</f>
        <v>TIDAK LAYAK UPLOAD KE SIMBELMAWA</v>
      </c>
      <c r="E612" s="7" t="str">
        <f ca="1">IFERROR(__xludf.DUMMYFUNCTION("""COMPUTED_VALUE"""),"https://drive.google.com/open?id=11R7WbTp4SlIdOavJyNDsWT4R-1YbJnDU")</f>
        <v>https://drive.google.com/open?id=11R7WbTp4SlIdOavJyNDsWT4R-1YbJnDU</v>
      </c>
      <c r="H612" s="4"/>
      <c r="I612" s="4"/>
      <c r="J612" s="4"/>
      <c r="K612" s="4"/>
      <c r="L612" s="4"/>
    </row>
    <row r="613" spans="1:12">
      <c r="A613" s="1">
        <f ca="1">IFERROR(__xludf.DUMMYFUNCTION("""COMPUTED_VALUE"""),3149)</f>
        <v>3149</v>
      </c>
      <c r="B613" s="1" t="str">
        <f ca="1">IFERROR(__xludf.DUMMYFUNCTION("""COMPUTED_VALUE"""),"PKM RSH")</f>
        <v>PKM RSH</v>
      </c>
      <c r="C613" s="1" t="str">
        <f ca="1">IFERROR(__xludf.DUMMYFUNCTION("""COMPUTED_VALUE"""),"-")</f>
        <v>-</v>
      </c>
      <c r="D613" s="1" t="str">
        <f ca="1">IFERROR(__xludf.DUMMYFUNCTION("""COMPUTED_VALUE"""),"LAYAK UPLOAD KE SIMBELMAWA DENGAN REVISI")</f>
        <v>LAYAK UPLOAD KE SIMBELMAWA DENGAN REVISI</v>
      </c>
      <c r="E613" s="7" t="str">
        <f ca="1">IFERROR(__xludf.DUMMYFUNCTION("""COMPUTED_VALUE"""),"https://drive.google.com/open?id=1k85Juapt3J2OAejMLZVXZSPKO6IMEU5D")</f>
        <v>https://drive.google.com/open?id=1k85Juapt3J2OAejMLZVXZSPKO6IMEU5D</v>
      </c>
      <c r="H613" s="4"/>
      <c r="I613" s="4"/>
      <c r="J613" s="4"/>
      <c r="K613" s="4"/>
      <c r="L613" s="4"/>
    </row>
    <row r="614" spans="1:12">
      <c r="A614" s="1">
        <f ca="1">IFERROR(__xludf.DUMMYFUNCTION("""COMPUTED_VALUE"""),2546)</f>
        <v>2546</v>
      </c>
      <c r="B614" s="1" t="str">
        <f ca="1">IFERROR(__xludf.DUMMYFUNCTION("""COMPUTED_VALUE"""),"PKM RSH")</f>
        <v>PKM RSH</v>
      </c>
      <c r="C614" s="1" t="str">
        <f ca="1">IFERROR(__xludf.DUMMYFUNCTION("""COMPUTED_VALUE""")," ")</f>
        <v xml:space="preserve"> </v>
      </c>
      <c r="D614" s="1" t="str">
        <f ca="1">IFERROR(__xludf.DUMMYFUNCTION("""COMPUTED_VALUE""")," ")</f>
        <v xml:space="preserve"> </v>
      </c>
      <c r="E614" s="1"/>
      <c r="H614" s="4"/>
      <c r="I614" s="4"/>
      <c r="J614" s="4"/>
      <c r="K614" s="4"/>
      <c r="L614" s="4"/>
    </row>
    <row r="615" spans="1:12">
      <c r="A615" s="1">
        <f ca="1">IFERROR(__xludf.DUMMYFUNCTION("""COMPUTED_VALUE"""),2296)</f>
        <v>2296</v>
      </c>
      <c r="B615" s="1" t="str">
        <f ca="1">IFERROR(__xludf.DUMMYFUNCTION("""COMPUTED_VALUE"""),"PKM RSH")</f>
        <v>PKM RSH</v>
      </c>
      <c r="C615" s="1" t="str">
        <f ca="1">IFERROR(__xludf.DUMMYFUNCTION("""COMPUTED_VALUE"""),"1. kurang kuat unsur RSH nya
2. substasi tinjauan pustaka kurang tepat
3, masih kelebihan halaman")</f>
        <v>1. kurang kuat unsur RSH nya
2. substasi tinjauan pustaka kurang tepat
3, masih kelebihan halaman</v>
      </c>
      <c r="D615" s="1" t="str">
        <f ca="1">IFERROR(__xludf.DUMMYFUNCTION("""COMPUTED_VALUE"""),"TIDAK LAYAK UPLOAD KE SIMBELMAWA")</f>
        <v>TIDAK LAYAK UPLOAD KE SIMBELMAWA</v>
      </c>
      <c r="E615" s="7" t="str">
        <f ca="1">IFERROR(__xludf.DUMMYFUNCTION("""COMPUTED_VALUE"""),"https://drive.google.com/open?id=1NRXT6ccInOE7ucQjCPSlnJ9vCLpNh6qm")</f>
        <v>https://drive.google.com/open?id=1NRXT6ccInOE7ucQjCPSlnJ9vCLpNh6qm</v>
      </c>
      <c r="H615" s="4"/>
      <c r="I615" s="4"/>
      <c r="J615" s="4"/>
      <c r="K615" s="4"/>
      <c r="L615" s="4"/>
    </row>
    <row r="616" spans="1:12">
      <c r="A616" s="1">
        <f ca="1">IFERROR(__xludf.DUMMYFUNCTION("""COMPUTED_VALUE"""),2733)</f>
        <v>2733</v>
      </c>
      <c r="B616" s="1" t="str">
        <f ca="1">IFERROR(__xludf.DUMMYFUNCTION("""COMPUTED_VALUE"""),"PKM RSH")</f>
        <v>PKM RSH</v>
      </c>
      <c r="C616" s="1" t="str">
        <f ca="1">IFERROR(__xludf.DUMMYFUNCTION("""COMPUTED_VALUE"""),"Anggaran perlu dituliskan semua walaupun nilainya 0")</f>
        <v>Anggaran perlu dituliskan semua walaupun nilainya 0</v>
      </c>
      <c r="D616" s="1" t="str">
        <f ca="1">IFERROR(__xludf.DUMMYFUNCTION("""COMPUTED_VALUE"""),"LAYAK UPLOAD KE SIMBELMAWA DENGAN REVISI")</f>
        <v>LAYAK UPLOAD KE SIMBELMAWA DENGAN REVISI</v>
      </c>
      <c r="E616" s="7" t="str">
        <f ca="1">IFERROR(__xludf.DUMMYFUNCTION("""COMPUTED_VALUE"""),"https://drive.google.com/open?id=18gk621-bjmjaSNeiIh-dh1NF3kSE0qE2")</f>
        <v>https://drive.google.com/open?id=18gk621-bjmjaSNeiIh-dh1NF3kSE0qE2</v>
      </c>
      <c r="H616" s="4"/>
      <c r="I616" s="4"/>
      <c r="J616" s="4"/>
      <c r="K616" s="4"/>
      <c r="L616" s="4"/>
    </row>
    <row r="617" spans="1:12">
      <c r="A617" s="1"/>
      <c r="B617" s="1"/>
      <c r="C617" s="1" t="str">
        <f ca="1">IFERROR(__xludf.DUMMYFUNCTION("""COMPUTED_VALUE""")," ")</f>
        <v xml:space="preserve"> </v>
      </c>
      <c r="D617" s="1"/>
      <c r="E617" s="1"/>
      <c r="H617" s="4"/>
      <c r="I617" s="4"/>
      <c r="J617" s="4"/>
      <c r="K617" s="4"/>
      <c r="L617" s="4"/>
    </row>
    <row r="618" spans="1:12">
      <c r="A618" s="1"/>
      <c r="B618" s="1"/>
      <c r="C618" s="1" t="str">
        <f ca="1">IFERROR(__xludf.DUMMYFUNCTION("""COMPUTED_VALUE""")," ")</f>
        <v xml:space="preserve"> </v>
      </c>
      <c r="D618" s="1"/>
      <c r="E618" s="1"/>
      <c r="H618" s="4"/>
      <c r="I618" s="4"/>
      <c r="J618" s="4"/>
      <c r="K618" s="4"/>
      <c r="L618" s="4"/>
    </row>
    <row r="619" spans="1:12">
      <c r="A619" s="1"/>
      <c r="B619" s="1"/>
      <c r="C619" s="1" t="str">
        <f ca="1">IFERROR(__xludf.DUMMYFUNCTION("""COMPUTED_VALUE""")," ")</f>
        <v xml:space="preserve"> </v>
      </c>
      <c r="D619" s="1"/>
      <c r="E619" s="1"/>
      <c r="H619" s="4"/>
      <c r="I619" s="4"/>
      <c r="J619" s="4"/>
      <c r="K619" s="4"/>
      <c r="L619" s="4"/>
    </row>
    <row r="620" spans="1:12">
      <c r="A620" s="1"/>
      <c r="B620" s="1"/>
      <c r="C620" s="1" t="str">
        <f ca="1">IFERROR(__xludf.DUMMYFUNCTION("""COMPUTED_VALUE""")," ")</f>
        <v xml:space="preserve"> </v>
      </c>
      <c r="D620" s="1"/>
      <c r="E620" s="1"/>
      <c r="H620" s="4"/>
      <c r="I620" s="4"/>
      <c r="J620" s="4"/>
      <c r="K620" s="4"/>
      <c r="L620" s="4"/>
    </row>
    <row r="621" spans="1:12">
      <c r="A621" s="1"/>
      <c r="B621" s="1"/>
      <c r="C621" s="1" t="str">
        <f ca="1">IFERROR(__xludf.DUMMYFUNCTION("""COMPUTED_VALUE""")," ")</f>
        <v xml:space="preserve"> </v>
      </c>
      <c r="D621" s="1"/>
      <c r="E621" s="1"/>
      <c r="H621" s="4"/>
      <c r="I621" s="4"/>
      <c r="J621" s="4"/>
      <c r="K621" s="4"/>
      <c r="L621" s="4"/>
    </row>
    <row r="622" spans="1:12">
      <c r="A622" s="1"/>
      <c r="B622" s="1"/>
      <c r="C622" s="1" t="str">
        <f ca="1">IFERROR(__xludf.DUMMYFUNCTION("""COMPUTED_VALUE""")," ")</f>
        <v xml:space="preserve"> </v>
      </c>
      <c r="D622" s="1"/>
      <c r="E622" s="1"/>
      <c r="H622" s="4"/>
      <c r="I622" s="4"/>
      <c r="J622" s="4"/>
      <c r="K622" s="4"/>
      <c r="L622" s="4"/>
    </row>
    <row r="623" spans="1:12">
      <c r="A623" s="1"/>
      <c r="B623" s="1"/>
      <c r="C623" s="1" t="str">
        <f ca="1">IFERROR(__xludf.DUMMYFUNCTION("""COMPUTED_VALUE""")," ")</f>
        <v xml:space="preserve"> </v>
      </c>
      <c r="D623" s="1"/>
      <c r="E623" s="1"/>
      <c r="H623" s="4"/>
      <c r="I623" s="4"/>
      <c r="J623" s="4"/>
      <c r="K623" s="4"/>
      <c r="L623" s="4"/>
    </row>
    <row r="624" spans="1:12">
      <c r="A624" s="1"/>
      <c r="B624" s="1"/>
      <c r="C624" s="1" t="str">
        <f ca="1">IFERROR(__xludf.DUMMYFUNCTION("""COMPUTED_VALUE""")," ")</f>
        <v xml:space="preserve"> </v>
      </c>
      <c r="D624" s="1"/>
      <c r="E624" s="1"/>
      <c r="H624" s="4"/>
      <c r="I624" s="4"/>
      <c r="J624" s="4"/>
      <c r="K624" s="4"/>
      <c r="L624" s="4"/>
    </row>
    <row r="625" spans="1:12">
      <c r="A625" s="1"/>
      <c r="B625" s="1"/>
      <c r="C625" s="1" t="str">
        <f ca="1">IFERROR(__xludf.DUMMYFUNCTION("""COMPUTED_VALUE""")," ")</f>
        <v xml:space="preserve"> </v>
      </c>
      <c r="D625" s="1"/>
      <c r="E625" s="1"/>
      <c r="H625" s="4"/>
      <c r="I625" s="4"/>
      <c r="J625" s="4"/>
      <c r="K625" s="4"/>
      <c r="L625" s="4"/>
    </row>
    <row r="626" spans="1:12">
      <c r="A626" s="1"/>
      <c r="B626" s="1"/>
      <c r="C626" s="1" t="str">
        <f ca="1">IFERROR(__xludf.DUMMYFUNCTION("""COMPUTED_VALUE""")," ")</f>
        <v xml:space="preserve"> </v>
      </c>
      <c r="D626" s="1"/>
      <c r="E626" s="1"/>
      <c r="H626" s="4"/>
      <c r="I626" s="4"/>
      <c r="J626" s="4"/>
      <c r="K626" s="4"/>
      <c r="L626" s="4"/>
    </row>
    <row r="627" spans="1:12">
      <c r="A627" s="1"/>
      <c r="B627" s="1"/>
      <c r="C627" s="1" t="str">
        <f ca="1">IFERROR(__xludf.DUMMYFUNCTION("""COMPUTED_VALUE""")," ")</f>
        <v xml:space="preserve"> </v>
      </c>
      <c r="D627" s="1"/>
      <c r="E627" s="1"/>
      <c r="H627" s="4"/>
      <c r="I627" s="4"/>
      <c r="J627" s="4"/>
      <c r="K627" s="4"/>
      <c r="L627" s="4"/>
    </row>
    <row r="628" spans="1:12">
      <c r="A628" s="1"/>
      <c r="B628" s="1"/>
      <c r="C628" s="1" t="str">
        <f ca="1">IFERROR(__xludf.DUMMYFUNCTION("""COMPUTED_VALUE""")," ")</f>
        <v xml:space="preserve"> </v>
      </c>
      <c r="D628" s="1"/>
      <c r="E628" s="1"/>
      <c r="H628" s="4"/>
      <c r="I628" s="4"/>
      <c r="J628" s="4"/>
      <c r="K628" s="4"/>
      <c r="L628" s="4"/>
    </row>
    <row r="629" spans="1:12">
      <c r="A629" s="1"/>
      <c r="B629" s="1"/>
      <c r="C629" s="1" t="str">
        <f ca="1">IFERROR(__xludf.DUMMYFUNCTION("""COMPUTED_VALUE""")," ")</f>
        <v xml:space="preserve"> </v>
      </c>
      <c r="D629" s="1"/>
      <c r="E629" s="1"/>
      <c r="H629" s="4"/>
      <c r="I629" s="4"/>
      <c r="J629" s="4"/>
      <c r="K629" s="4"/>
      <c r="L629" s="4"/>
    </row>
    <row r="630" spans="1:12">
      <c r="A630" s="1"/>
      <c r="B630" s="1"/>
      <c r="C630" s="1" t="str">
        <f ca="1">IFERROR(__xludf.DUMMYFUNCTION("""COMPUTED_VALUE""")," ")</f>
        <v xml:space="preserve"> </v>
      </c>
      <c r="D630" s="1"/>
      <c r="E630" s="1"/>
      <c r="H630" s="4"/>
      <c r="I630" s="4"/>
      <c r="J630" s="4"/>
      <c r="K630" s="4"/>
      <c r="L630" s="4"/>
    </row>
    <row r="631" spans="1:12">
      <c r="A631" s="1"/>
      <c r="B631" s="1"/>
      <c r="C631" s="1" t="str">
        <f ca="1">IFERROR(__xludf.DUMMYFUNCTION("""COMPUTED_VALUE""")," ")</f>
        <v xml:space="preserve"> </v>
      </c>
      <c r="D631" s="1"/>
      <c r="E631" s="1"/>
      <c r="H631" s="4"/>
      <c r="I631" s="4"/>
      <c r="J631" s="4"/>
      <c r="K631" s="4"/>
      <c r="L631" s="4"/>
    </row>
    <row r="632" spans="1:12">
      <c r="A632" s="1"/>
      <c r="B632" s="1"/>
      <c r="C632" s="1" t="str">
        <f ca="1">IFERROR(__xludf.DUMMYFUNCTION("""COMPUTED_VALUE""")," ")</f>
        <v xml:space="preserve"> </v>
      </c>
      <c r="D632" s="1"/>
      <c r="E632" s="1"/>
      <c r="H632" s="4"/>
      <c r="I632" s="4"/>
      <c r="J632" s="4"/>
      <c r="K632" s="4"/>
      <c r="L632" s="4"/>
    </row>
    <row r="633" spans="1:12">
      <c r="A633" s="1"/>
      <c r="B633" s="1"/>
      <c r="C633" s="1" t="str">
        <f ca="1">IFERROR(__xludf.DUMMYFUNCTION("""COMPUTED_VALUE""")," ")</f>
        <v xml:space="preserve"> </v>
      </c>
      <c r="D633" s="1"/>
      <c r="E633" s="1"/>
      <c r="H633" s="4"/>
      <c r="I633" s="4"/>
      <c r="J633" s="4"/>
      <c r="K633" s="4"/>
      <c r="L633" s="4"/>
    </row>
    <row r="634" spans="1:12">
      <c r="A634" s="1"/>
      <c r="B634" s="1"/>
      <c r="C634" s="1" t="str">
        <f ca="1">IFERROR(__xludf.DUMMYFUNCTION("""COMPUTED_VALUE""")," ")</f>
        <v xml:space="preserve"> </v>
      </c>
      <c r="D634" s="1"/>
      <c r="E634" s="1"/>
      <c r="H634" s="4"/>
      <c r="I634" s="4"/>
      <c r="J634" s="4"/>
      <c r="K634" s="4"/>
      <c r="L634" s="4"/>
    </row>
    <row r="635" spans="1:12">
      <c r="A635" s="1"/>
      <c r="B635" s="1"/>
      <c r="C635" s="1" t="str">
        <f ca="1">IFERROR(__xludf.DUMMYFUNCTION("""COMPUTED_VALUE""")," ")</f>
        <v xml:space="preserve"> </v>
      </c>
      <c r="D635" s="1"/>
      <c r="E635" s="1"/>
      <c r="H635" s="4"/>
      <c r="I635" s="4"/>
      <c r="J635" s="4"/>
      <c r="K635" s="4"/>
      <c r="L635" s="4"/>
    </row>
    <row r="636" spans="1:12">
      <c r="A636" s="1"/>
      <c r="B636" s="1"/>
      <c r="C636" s="1" t="str">
        <f ca="1">IFERROR(__xludf.DUMMYFUNCTION("""COMPUTED_VALUE""")," ")</f>
        <v xml:space="preserve"> </v>
      </c>
      <c r="D636" s="1"/>
      <c r="E636" s="1"/>
      <c r="H636" s="4"/>
      <c r="I636" s="4"/>
      <c r="J636" s="4"/>
      <c r="K636" s="4"/>
      <c r="L636" s="4"/>
    </row>
    <row r="637" spans="1:12">
      <c r="A637" s="1"/>
      <c r="B637" s="1"/>
      <c r="C637" s="1" t="str">
        <f ca="1">IFERROR(__xludf.DUMMYFUNCTION("""COMPUTED_VALUE""")," ")</f>
        <v xml:space="preserve"> </v>
      </c>
      <c r="D637" s="1"/>
      <c r="E637" s="1"/>
      <c r="H637" s="4"/>
      <c r="I637" s="4"/>
      <c r="J637" s="4"/>
      <c r="K637" s="4"/>
      <c r="L637" s="4"/>
    </row>
    <row r="638" spans="1:12">
      <c r="A638" s="1"/>
      <c r="B638" s="1"/>
      <c r="C638" s="1" t="str">
        <f ca="1">IFERROR(__xludf.DUMMYFUNCTION("""COMPUTED_VALUE""")," ")</f>
        <v xml:space="preserve"> </v>
      </c>
      <c r="D638" s="1"/>
      <c r="E638" s="1"/>
      <c r="H638" s="4"/>
      <c r="I638" s="4"/>
      <c r="J638" s="4"/>
      <c r="K638" s="4"/>
      <c r="L638" s="4"/>
    </row>
    <row r="639" spans="1:12">
      <c r="A639" s="1"/>
      <c r="B639" s="1"/>
      <c r="C639" s="1" t="str">
        <f ca="1">IFERROR(__xludf.DUMMYFUNCTION("""COMPUTED_VALUE""")," ")</f>
        <v xml:space="preserve"> </v>
      </c>
      <c r="D639" s="1"/>
      <c r="E639" s="1"/>
      <c r="H639" s="4"/>
      <c r="I639" s="4"/>
      <c r="J639" s="4"/>
      <c r="K639" s="4"/>
      <c r="L639" s="4"/>
    </row>
    <row r="640" spans="1:12">
      <c r="A640" s="1"/>
      <c r="B640" s="1"/>
      <c r="C640" s="1" t="str">
        <f ca="1">IFERROR(__xludf.DUMMYFUNCTION("""COMPUTED_VALUE""")," ")</f>
        <v xml:space="preserve"> </v>
      </c>
      <c r="D640" s="1"/>
      <c r="E640" s="1"/>
      <c r="H640" s="4"/>
      <c r="I640" s="4"/>
      <c r="J640" s="4"/>
      <c r="K640" s="4"/>
      <c r="L640" s="4"/>
    </row>
    <row r="641" spans="1:12">
      <c r="A641" s="1"/>
      <c r="B641" s="1"/>
      <c r="C641" s="1" t="str">
        <f ca="1">IFERROR(__xludf.DUMMYFUNCTION("""COMPUTED_VALUE""")," ")</f>
        <v xml:space="preserve"> </v>
      </c>
      <c r="D641" s="1"/>
      <c r="E641" s="1"/>
      <c r="H641" s="4"/>
      <c r="I641" s="4"/>
      <c r="J641" s="4"/>
      <c r="K641" s="4"/>
      <c r="L641" s="4"/>
    </row>
    <row r="642" spans="1:12">
      <c r="A642" s="1"/>
      <c r="B642" s="1"/>
      <c r="C642" s="1" t="str">
        <f ca="1">IFERROR(__xludf.DUMMYFUNCTION("""COMPUTED_VALUE""")," ")</f>
        <v xml:space="preserve"> </v>
      </c>
      <c r="D642" s="1"/>
      <c r="E642" s="1"/>
      <c r="H642" s="4"/>
      <c r="I642" s="4"/>
      <c r="J642" s="4"/>
      <c r="K642" s="4"/>
      <c r="L642" s="4"/>
    </row>
    <row r="643" spans="1:12">
      <c r="A643" s="1"/>
      <c r="B643" s="1"/>
      <c r="C643" s="1" t="str">
        <f ca="1">IFERROR(__xludf.DUMMYFUNCTION("""COMPUTED_VALUE""")," ")</f>
        <v xml:space="preserve"> </v>
      </c>
      <c r="D643" s="1"/>
      <c r="E643" s="1"/>
      <c r="H643" s="4"/>
      <c r="I643" s="4"/>
      <c r="J643" s="4"/>
      <c r="K643" s="4"/>
      <c r="L643" s="4"/>
    </row>
    <row r="644" spans="1:12">
      <c r="A644" s="1"/>
      <c r="B644" s="1"/>
      <c r="C644" s="1" t="str">
        <f ca="1">IFERROR(__xludf.DUMMYFUNCTION("""COMPUTED_VALUE""")," ")</f>
        <v xml:space="preserve"> </v>
      </c>
      <c r="D644" s="1"/>
      <c r="E644" s="1"/>
      <c r="H644" s="4"/>
      <c r="I644" s="4"/>
      <c r="J644" s="4"/>
      <c r="K644" s="4"/>
      <c r="L644" s="4"/>
    </row>
    <row r="645" spans="1:12">
      <c r="A645" s="1"/>
      <c r="B645" s="1"/>
      <c r="C645" s="1" t="str">
        <f ca="1">IFERROR(__xludf.DUMMYFUNCTION("""COMPUTED_VALUE""")," ")</f>
        <v xml:space="preserve"> </v>
      </c>
      <c r="D645" s="1"/>
      <c r="E645" s="1"/>
      <c r="H645" s="4"/>
      <c r="I645" s="4"/>
      <c r="J645" s="4"/>
      <c r="K645" s="4"/>
      <c r="L645" s="4"/>
    </row>
    <row r="646" spans="1:12">
      <c r="A646" s="1"/>
      <c r="B646" s="1"/>
      <c r="C646" s="1" t="str">
        <f ca="1">IFERROR(__xludf.DUMMYFUNCTION("""COMPUTED_VALUE""")," ")</f>
        <v xml:space="preserve"> </v>
      </c>
      <c r="D646" s="1"/>
      <c r="E646" s="1"/>
      <c r="H646" s="4"/>
      <c r="I646" s="4"/>
      <c r="J646" s="4"/>
      <c r="K646" s="4"/>
      <c r="L646" s="4"/>
    </row>
    <row r="647" spans="1:12">
      <c r="A647" s="1"/>
      <c r="B647" s="1"/>
      <c r="C647" s="1" t="str">
        <f ca="1">IFERROR(__xludf.DUMMYFUNCTION("""COMPUTED_VALUE""")," ")</f>
        <v xml:space="preserve"> </v>
      </c>
      <c r="D647" s="1"/>
      <c r="E647" s="1"/>
      <c r="H647" s="4"/>
      <c r="I647" s="4"/>
      <c r="J647" s="4"/>
      <c r="K647" s="4"/>
      <c r="L647" s="4"/>
    </row>
    <row r="648" spans="1:12">
      <c r="A648" s="1"/>
      <c r="B648" s="1"/>
      <c r="C648" s="1" t="str">
        <f ca="1">IFERROR(__xludf.DUMMYFUNCTION("""COMPUTED_VALUE""")," ")</f>
        <v xml:space="preserve"> </v>
      </c>
      <c r="D648" s="1"/>
      <c r="E648" s="1"/>
      <c r="H648" s="4"/>
      <c r="I648" s="4"/>
      <c r="J648" s="4"/>
      <c r="K648" s="4"/>
      <c r="L648" s="4"/>
    </row>
    <row r="649" spans="1:12">
      <c r="A649" s="1"/>
      <c r="B649" s="1"/>
      <c r="C649" s="1" t="str">
        <f ca="1">IFERROR(__xludf.DUMMYFUNCTION("""COMPUTED_VALUE""")," ")</f>
        <v xml:space="preserve"> </v>
      </c>
      <c r="D649" s="1"/>
      <c r="E649" s="1"/>
      <c r="H649" s="4"/>
      <c r="I649" s="4"/>
      <c r="J649" s="4"/>
      <c r="K649" s="4"/>
      <c r="L649" s="4"/>
    </row>
    <row r="650" spans="1:12">
      <c r="A650" s="1"/>
      <c r="B650" s="1"/>
      <c r="C650" s="1" t="str">
        <f ca="1">IFERROR(__xludf.DUMMYFUNCTION("""COMPUTED_VALUE""")," ")</f>
        <v xml:space="preserve"> </v>
      </c>
      <c r="D650" s="1"/>
      <c r="E650" s="1"/>
      <c r="H650" s="4"/>
      <c r="I650" s="4"/>
      <c r="J650" s="4"/>
      <c r="K650" s="4"/>
      <c r="L650" s="4"/>
    </row>
    <row r="651" spans="1:12">
      <c r="A651" s="1"/>
      <c r="B651" s="1"/>
      <c r="C651" s="1" t="str">
        <f ca="1">IFERROR(__xludf.DUMMYFUNCTION("""COMPUTED_VALUE""")," ")</f>
        <v xml:space="preserve"> </v>
      </c>
      <c r="D651" s="1"/>
      <c r="E651" s="1"/>
      <c r="H651" s="4"/>
      <c r="I651" s="4"/>
      <c r="J651" s="4"/>
      <c r="K651" s="4"/>
      <c r="L651" s="4"/>
    </row>
    <row r="652" spans="1:12">
      <c r="A652" s="1"/>
      <c r="B652" s="1"/>
      <c r="C652" s="1" t="str">
        <f ca="1">IFERROR(__xludf.DUMMYFUNCTION("""COMPUTED_VALUE""")," ")</f>
        <v xml:space="preserve"> </v>
      </c>
      <c r="D652" s="1"/>
      <c r="E652" s="1"/>
      <c r="H652" s="4"/>
      <c r="I652" s="4"/>
      <c r="J652" s="4"/>
      <c r="K652" s="4"/>
      <c r="L652" s="4"/>
    </row>
    <row r="653" spans="1:12">
      <c r="A653" s="1"/>
      <c r="B653" s="1"/>
      <c r="C653" s="1" t="str">
        <f ca="1">IFERROR(__xludf.DUMMYFUNCTION("""COMPUTED_VALUE""")," ")</f>
        <v xml:space="preserve"> </v>
      </c>
      <c r="D653" s="1"/>
      <c r="E653" s="1"/>
      <c r="H653" s="4"/>
      <c r="I653" s="4"/>
      <c r="J653" s="4"/>
      <c r="K653" s="4"/>
      <c r="L653" s="4"/>
    </row>
    <row r="654" spans="1:12">
      <c r="A654" s="1"/>
      <c r="B654" s="1"/>
      <c r="C654" s="1" t="str">
        <f ca="1">IFERROR(__xludf.DUMMYFUNCTION("""COMPUTED_VALUE""")," ")</f>
        <v xml:space="preserve"> </v>
      </c>
      <c r="D654" s="1"/>
      <c r="E654" s="1"/>
      <c r="H654" s="4"/>
      <c r="I654" s="4"/>
      <c r="J654" s="4"/>
      <c r="K654" s="4"/>
      <c r="L654" s="4"/>
    </row>
    <row r="655" spans="1:12">
      <c r="A655" s="1"/>
      <c r="B655" s="1"/>
      <c r="C655" s="1" t="str">
        <f ca="1">IFERROR(__xludf.DUMMYFUNCTION("""COMPUTED_VALUE""")," ")</f>
        <v xml:space="preserve"> </v>
      </c>
      <c r="D655" s="1"/>
      <c r="E655" s="1"/>
      <c r="H655" s="4"/>
      <c r="I655" s="4"/>
      <c r="J655" s="4"/>
      <c r="K655" s="4"/>
      <c r="L655" s="4"/>
    </row>
    <row r="656" spans="1:12">
      <c r="A656" s="1"/>
      <c r="B656" s="1"/>
      <c r="C656" s="1" t="str">
        <f ca="1">IFERROR(__xludf.DUMMYFUNCTION("""COMPUTED_VALUE""")," ")</f>
        <v xml:space="preserve"> </v>
      </c>
      <c r="D656" s="1"/>
      <c r="E656" s="1"/>
      <c r="H656" s="4"/>
      <c r="I656" s="4"/>
      <c r="J656" s="4"/>
      <c r="K656" s="4"/>
      <c r="L656" s="4"/>
    </row>
    <row r="657" spans="1:12">
      <c r="A657" s="1"/>
      <c r="B657" s="1"/>
      <c r="C657" s="1" t="str">
        <f ca="1">IFERROR(__xludf.DUMMYFUNCTION("""COMPUTED_VALUE""")," ")</f>
        <v xml:space="preserve"> </v>
      </c>
      <c r="D657" s="1"/>
      <c r="E657" s="1"/>
      <c r="H657" s="4"/>
      <c r="I657" s="4"/>
      <c r="J657" s="4"/>
      <c r="K657" s="4"/>
      <c r="L657" s="4"/>
    </row>
    <row r="658" spans="1:12">
      <c r="A658" s="1"/>
      <c r="B658" s="1"/>
      <c r="C658" s="1" t="str">
        <f ca="1">IFERROR(__xludf.DUMMYFUNCTION("""COMPUTED_VALUE""")," ")</f>
        <v xml:space="preserve"> </v>
      </c>
      <c r="D658" s="1"/>
      <c r="E658" s="1"/>
      <c r="H658" s="4"/>
      <c r="I658" s="4"/>
      <c r="J658" s="4"/>
      <c r="K658" s="4"/>
      <c r="L658" s="4"/>
    </row>
    <row r="659" spans="1:12">
      <c r="A659" s="1"/>
      <c r="B659" s="1"/>
      <c r="C659" s="1" t="str">
        <f ca="1">IFERROR(__xludf.DUMMYFUNCTION("""COMPUTED_VALUE""")," ")</f>
        <v xml:space="preserve"> </v>
      </c>
      <c r="D659" s="1"/>
      <c r="E659" s="1"/>
      <c r="H659" s="4"/>
      <c r="I659" s="4"/>
      <c r="J659" s="4"/>
      <c r="K659" s="4"/>
      <c r="L659" s="4"/>
    </row>
    <row r="660" spans="1:12">
      <c r="A660" s="1"/>
      <c r="B660" s="1"/>
      <c r="C660" s="1" t="str">
        <f ca="1">IFERROR(__xludf.DUMMYFUNCTION("""COMPUTED_VALUE""")," ")</f>
        <v xml:space="preserve"> </v>
      </c>
      <c r="D660" s="1"/>
      <c r="E660" s="1"/>
      <c r="H660" s="4"/>
      <c r="I660" s="4"/>
      <c r="J660" s="4"/>
      <c r="K660" s="4"/>
      <c r="L660" s="4"/>
    </row>
    <row r="661" spans="1:12">
      <c r="A661" s="1"/>
      <c r="B661" s="1"/>
      <c r="C661" s="1" t="str">
        <f ca="1">IFERROR(__xludf.DUMMYFUNCTION("""COMPUTED_VALUE""")," ")</f>
        <v xml:space="preserve"> </v>
      </c>
      <c r="D661" s="1"/>
      <c r="E661" s="1"/>
      <c r="H661" s="4"/>
      <c r="I661" s="4"/>
      <c r="J661" s="4"/>
      <c r="K661" s="4"/>
      <c r="L661" s="4"/>
    </row>
    <row r="662" spans="1:12">
      <c r="A662" s="1"/>
      <c r="B662" s="1"/>
      <c r="C662" s="1" t="str">
        <f ca="1">IFERROR(__xludf.DUMMYFUNCTION("""COMPUTED_VALUE""")," ")</f>
        <v xml:space="preserve"> </v>
      </c>
      <c r="D662" s="1"/>
      <c r="E662" s="1"/>
      <c r="H662" s="4"/>
      <c r="I662" s="4"/>
      <c r="J662" s="4"/>
      <c r="K662" s="4"/>
      <c r="L662" s="4"/>
    </row>
    <row r="663" spans="1:12">
      <c r="A663" s="1"/>
      <c r="B663" s="1"/>
      <c r="C663" s="1" t="str">
        <f ca="1">IFERROR(__xludf.DUMMYFUNCTION("""COMPUTED_VALUE""")," ")</f>
        <v xml:space="preserve"> </v>
      </c>
      <c r="D663" s="1"/>
      <c r="E663" s="1"/>
      <c r="H663" s="4"/>
      <c r="I663" s="4"/>
      <c r="J663" s="4"/>
      <c r="K663" s="4"/>
      <c r="L663" s="4"/>
    </row>
    <row r="664" spans="1:12">
      <c r="A664" s="1"/>
      <c r="B664" s="1"/>
      <c r="C664" s="1" t="str">
        <f ca="1">IFERROR(__xludf.DUMMYFUNCTION("""COMPUTED_VALUE""")," ")</f>
        <v xml:space="preserve"> </v>
      </c>
      <c r="D664" s="1"/>
      <c r="E664" s="1"/>
      <c r="H664" s="4"/>
      <c r="I664" s="4"/>
      <c r="J664" s="4"/>
      <c r="K664" s="4"/>
      <c r="L664" s="4"/>
    </row>
    <row r="665" spans="1:12">
      <c r="A665" s="1"/>
      <c r="B665" s="1"/>
      <c r="C665" s="1" t="str">
        <f ca="1">IFERROR(__xludf.DUMMYFUNCTION("""COMPUTED_VALUE""")," ")</f>
        <v xml:space="preserve"> </v>
      </c>
      <c r="D665" s="1"/>
      <c r="E665" s="1"/>
      <c r="H665" s="4"/>
      <c r="I665" s="4"/>
      <c r="J665" s="4"/>
      <c r="K665" s="4"/>
      <c r="L665" s="4"/>
    </row>
    <row r="666" spans="1:12">
      <c r="A666" s="1"/>
      <c r="B666" s="1"/>
      <c r="C666" s="1" t="str">
        <f ca="1">IFERROR(__xludf.DUMMYFUNCTION("""COMPUTED_VALUE""")," ")</f>
        <v xml:space="preserve"> </v>
      </c>
      <c r="D666" s="1"/>
      <c r="E666" s="1"/>
      <c r="H666" s="4"/>
      <c r="I666" s="4"/>
      <c r="J666" s="4"/>
      <c r="K666" s="4"/>
      <c r="L666" s="4"/>
    </row>
    <row r="667" spans="1:12">
      <c r="A667" s="1"/>
      <c r="B667" s="1"/>
      <c r="C667" s="1" t="str">
        <f ca="1">IFERROR(__xludf.DUMMYFUNCTION("""COMPUTED_VALUE""")," ")</f>
        <v xml:space="preserve"> </v>
      </c>
      <c r="D667" s="1"/>
      <c r="E667" s="1"/>
      <c r="H667" s="4"/>
      <c r="I667" s="4"/>
      <c r="J667" s="4"/>
      <c r="K667" s="4"/>
      <c r="L667" s="4"/>
    </row>
    <row r="668" spans="1:12">
      <c r="A668" s="1"/>
      <c r="B668" s="1"/>
      <c r="C668" s="1" t="str">
        <f ca="1">IFERROR(__xludf.DUMMYFUNCTION("""COMPUTED_VALUE""")," ")</f>
        <v xml:space="preserve"> </v>
      </c>
      <c r="D668" s="1"/>
      <c r="E668" s="1"/>
      <c r="H668" s="4"/>
      <c r="I668" s="4"/>
      <c r="J668" s="4"/>
      <c r="K668" s="4"/>
      <c r="L668" s="4"/>
    </row>
    <row r="669" spans="1:12">
      <c r="A669" s="1"/>
      <c r="B669" s="1"/>
      <c r="C669" s="1" t="str">
        <f ca="1">IFERROR(__xludf.DUMMYFUNCTION("""COMPUTED_VALUE""")," ")</f>
        <v xml:space="preserve"> </v>
      </c>
      <c r="D669" s="1"/>
      <c r="E669" s="1"/>
      <c r="H669" s="4"/>
      <c r="I669" s="4"/>
      <c r="J669" s="4"/>
      <c r="K669" s="4"/>
      <c r="L669" s="4"/>
    </row>
    <row r="670" spans="1:12">
      <c r="A670" s="1"/>
      <c r="B670" s="1"/>
      <c r="C670" s="1" t="str">
        <f ca="1">IFERROR(__xludf.DUMMYFUNCTION("""COMPUTED_VALUE""")," ")</f>
        <v xml:space="preserve"> </v>
      </c>
      <c r="D670" s="1"/>
      <c r="E670" s="1"/>
      <c r="H670" s="4"/>
      <c r="I670" s="4"/>
      <c r="J670" s="4"/>
      <c r="K670" s="4"/>
      <c r="L670" s="4"/>
    </row>
    <row r="671" spans="1:12">
      <c r="A671" s="1"/>
      <c r="B671" s="1"/>
      <c r="C671" s="1" t="str">
        <f ca="1">IFERROR(__xludf.DUMMYFUNCTION("""COMPUTED_VALUE""")," ")</f>
        <v xml:space="preserve"> </v>
      </c>
      <c r="D671" s="1"/>
      <c r="E671" s="1"/>
      <c r="H671" s="4"/>
      <c r="I671" s="4"/>
      <c r="J671" s="4"/>
      <c r="K671" s="4"/>
      <c r="L671" s="4"/>
    </row>
    <row r="672" spans="1:12">
      <c r="A672" s="1"/>
      <c r="B672" s="1"/>
      <c r="C672" s="1" t="str">
        <f ca="1">IFERROR(__xludf.DUMMYFUNCTION("""COMPUTED_VALUE""")," ")</f>
        <v xml:space="preserve"> </v>
      </c>
      <c r="D672" s="1"/>
      <c r="E672" s="1"/>
      <c r="H672" s="4"/>
      <c r="I672" s="4"/>
      <c r="J672" s="4"/>
      <c r="K672" s="4"/>
      <c r="L672" s="4"/>
    </row>
    <row r="673" spans="1:12">
      <c r="A673" s="1"/>
      <c r="B673" s="1"/>
      <c r="C673" s="1" t="str">
        <f ca="1">IFERROR(__xludf.DUMMYFUNCTION("""COMPUTED_VALUE""")," ")</f>
        <v xml:space="preserve"> </v>
      </c>
      <c r="D673" s="1"/>
      <c r="E673" s="1"/>
      <c r="H673" s="4"/>
      <c r="I673" s="4"/>
      <c r="J673" s="4"/>
      <c r="K673" s="4"/>
      <c r="L673" s="4"/>
    </row>
    <row r="674" spans="1:12">
      <c r="A674" s="1"/>
      <c r="B674" s="1"/>
      <c r="C674" s="1" t="str">
        <f ca="1">IFERROR(__xludf.DUMMYFUNCTION("""COMPUTED_VALUE""")," ")</f>
        <v xml:space="preserve"> </v>
      </c>
      <c r="D674" s="1"/>
      <c r="E674" s="1"/>
      <c r="H674" s="4"/>
      <c r="I674" s="4"/>
      <c r="J674" s="4"/>
      <c r="K674" s="4"/>
      <c r="L674" s="4"/>
    </row>
    <row r="675" spans="1:12">
      <c r="A675" s="1"/>
      <c r="B675" s="1"/>
      <c r="C675" s="1" t="str">
        <f ca="1">IFERROR(__xludf.DUMMYFUNCTION("""COMPUTED_VALUE""")," ")</f>
        <v xml:space="preserve"> </v>
      </c>
      <c r="D675" s="1"/>
      <c r="E675" s="1"/>
      <c r="H675" s="4"/>
      <c r="I675" s="4"/>
      <c r="J675" s="4"/>
      <c r="K675" s="4"/>
      <c r="L675" s="4"/>
    </row>
    <row r="676" spans="1:12">
      <c r="A676" s="1"/>
      <c r="B676" s="1"/>
      <c r="C676" s="1" t="str">
        <f ca="1">IFERROR(__xludf.DUMMYFUNCTION("""COMPUTED_VALUE""")," ")</f>
        <v xml:space="preserve"> </v>
      </c>
      <c r="D676" s="1"/>
      <c r="E676" s="1"/>
      <c r="H676" s="4"/>
      <c r="I676" s="4"/>
      <c r="J676" s="4"/>
      <c r="K676" s="4"/>
      <c r="L676" s="4"/>
    </row>
    <row r="677" spans="1:12">
      <c r="A677" s="1"/>
      <c r="B677" s="1"/>
      <c r="C677" s="1" t="str">
        <f ca="1">IFERROR(__xludf.DUMMYFUNCTION("""COMPUTED_VALUE""")," ")</f>
        <v xml:space="preserve"> </v>
      </c>
      <c r="D677" s="1"/>
      <c r="E677" s="1"/>
      <c r="H677" s="4"/>
      <c r="I677" s="4"/>
      <c r="J677" s="4"/>
      <c r="K677" s="4"/>
      <c r="L677" s="4"/>
    </row>
    <row r="678" spans="1:12">
      <c r="A678" s="1"/>
      <c r="B678" s="1"/>
      <c r="C678" s="1" t="str">
        <f ca="1">IFERROR(__xludf.DUMMYFUNCTION("""COMPUTED_VALUE""")," ")</f>
        <v xml:space="preserve"> </v>
      </c>
      <c r="D678" s="1"/>
      <c r="E678" s="1"/>
      <c r="H678" s="4"/>
      <c r="I678" s="4"/>
      <c r="J678" s="4"/>
      <c r="K678" s="4"/>
      <c r="L678" s="4"/>
    </row>
    <row r="679" spans="1:12">
      <c r="A679" s="1"/>
      <c r="B679" s="1"/>
      <c r="C679" s="1" t="str">
        <f ca="1">IFERROR(__xludf.DUMMYFUNCTION("""COMPUTED_VALUE""")," ")</f>
        <v xml:space="preserve"> </v>
      </c>
      <c r="D679" s="1"/>
      <c r="E679" s="1"/>
      <c r="H679" s="4"/>
      <c r="I679" s="4"/>
      <c r="J679" s="4"/>
      <c r="K679" s="4"/>
      <c r="L679" s="4"/>
    </row>
    <row r="680" spans="1:12">
      <c r="A680" s="1"/>
      <c r="B680" s="1"/>
      <c r="C680" s="1" t="str">
        <f ca="1">IFERROR(__xludf.DUMMYFUNCTION("""COMPUTED_VALUE""")," ")</f>
        <v xml:space="preserve"> </v>
      </c>
      <c r="D680" s="1"/>
      <c r="E680" s="1"/>
      <c r="H680" s="4"/>
      <c r="I680" s="4"/>
      <c r="J680" s="4"/>
      <c r="K680" s="4"/>
      <c r="L680" s="4"/>
    </row>
    <row r="681" spans="1:12">
      <c r="A681" s="1"/>
      <c r="B681" s="1"/>
      <c r="C681" s="1" t="str">
        <f ca="1">IFERROR(__xludf.DUMMYFUNCTION("""COMPUTED_VALUE""")," ")</f>
        <v xml:space="preserve"> </v>
      </c>
      <c r="D681" s="1"/>
      <c r="E681" s="1"/>
      <c r="H681" s="4"/>
      <c r="I681" s="4"/>
      <c r="J681" s="4"/>
      <c r="K681" s="4"/>
      <c r="L681" s="4"/>
    </row>
    <row r="682" spans="1:12">
      <c r="A682" s="1"/>
      <c r="B682" s="1"/>
      <c r="C682" s="1" t="str">
        <f ca="1">IFERROR(__xludf.DUMMYFUNCTION("""COMPUTED_VALUE""")," ")</f>
        <v xml:space="preserve"> </v>
      </c>
      <c r="D682" s="1"/>
      <c r="E682" s="1"/>
      <c r="H682" s="4"/>
      <c r="I682" s="4"/>
      <c r="J682" s="4"/>
      <c r="K682" s="4"/>
      <c r="L682" s="4"/>
    </row>
    <row r="683" spans="1:12">
      <c r="A683" s="1"/>
      <c r="B683" s="1"/>
      <c r="C683" s="1" t="str">
        <f ca="1">IFERROR(__xludf.DUMMYFUNCTION("""COMPUTED_VALUE""")," ")</f>
        <v xml:space="preserve"> </v>
      </c>
      <c r="D683" s="1"/>
      <c r="E683" s="1"/>
      <c r="H683" s="4"/>
      <c r="I683" s="4"/>
      <c r="J683" s="4"/>
      <c r="K683" s="4"/>
      <c r="L683" s="4"/>
    </row>
    <row r="684" spans="1:12">
      <c r="A684" s="1"/>
      <c r="B684" s="1"/>
      <c r="C684" s="1" t="str">
        <f ca="1">IFERROR(__xludf.DUMMYFUNCTION("""COMPUTED_VALUE""")," ")</f>
        <v xml:space="preserve"> </v>
      </c>
      <c r="D684" s="1"/>
      <c r="E684" s="1"/>
      <c r="H684" s="4"/>
      <c r="I684" s="4"/>
      <c r="J684" s="4"/>
      <c r="K684" s="4"/>
      <c r="L684" s="4"/>
    </row>
    <row r="685" spans="1:12">
      <c r="A685" s="1"/>
      <c r="B685" s="1"/>
      <c r="C685" s="1" t="str">
        <f ca="1">IFERROR(__xludf.DUMMYFUNCTION("""COMPUTED_VALUE""")," ")</f>
        <v xml:space="preserve"> </v>
      </c>
      <c r="D685" s="1"/>
      <c r="E685" s="1"/>
      <c r="H685" s="4"/>
      <c r="I685" s="4"/>
      <c r="J685" s="4"/>
      <c r="K685" s="4"/>
      <c r="L685" s="4"/>
    </row>
    <row r="686" spans="1:12">
      <c r="A686" s="1"/>
      <c r="B686" s="1"/>
      <c r="C686" s="1" t="str">
        <f ca="1">IFERROR(__xludf.DUMMYFUNCTION("""COMPUTED_VALUE""")," ")</f>
        <v xml:space="preserve"> </v>
      </c>
      <c r="D686" s="1"/>
      <c r="E686" s="1"/>
      <c r="H686" s="4"/>
      <c r="I686" s="4"/>
      <c r="J686" s="4"/>
      <c r="K686" s="4"/>
      <c r="L686" s="4"/>
    </row>
    <row r="687" spans="1:12">
      <c r="A687" s="1"/>
      <c r="B687" s="1"/>
      <c r="C687" s="1" t="str">
        <f ca="1">IFERROR(__xludf.DUMMYFUNCTION("""COMPUTED_VALUE""")," ")</f>
        <v xml:space="preserve"> </v>
      </c>
      <c r="D687" s="1"/>
      <c r="E687" s="1"/>
      <c r="H687" s="4"/>
      <c r="I687" s="4"/>
      <c r="J687" s="4"/>
      <c r="K687" s="4"/>
      <c r="L687" s="4"/>
    </row>
    <row r="688" spans="1:12">
      <c r="A688" s="1"/>
      <c r="B688" s="1"/>
      <c r="C688" s="1" t="str">
        <f ca="1">IFERROR(__xludf.DUMMYFUNCTION("""COMPUTED_VALUE""")," ")</f>
        <v xml:space="preserve"> </v>
      </c>
      <c r="D688" s="1"/>
      <c r="E688" s="1"/>
      <c r="H688" s="4"/>
      <c r="I688" s="4"/>
      <c r="J688" s="4"/>
      <c r="K688" s="4"/>
      <c r="L688" s="4"/>
    </row>
    <row r="689" spans="1:12">
      <c r="A689" s="1"/>
      <c r="B689" s="1"/>
      <c r="C689" s="1" t="str">
        <f ca="1">IFERROR(__xludf.DUMMYFUNCTION("""COMPUTED_VALUE""")," ")</f>
        <v xml:space="preserve"> </v>
      </c>
      <c r="D689" s="1"/>
      <c r="E689" s="1"/>
      <c r="H689" s="4"/>
      <c r="I689" s="4"/>
      <c r="J689" s="4"/>
      <c r="K689" s="4"/>
      <c r="L689" s="4"/>
    </row>
    <row r="690" spans="1:12">
      <c r="A690" s="1"/>
      <c r="B690" s="1"/>
      <c r="C690" s="1" t="str">
        <f ca="1">IFERROR(__xludf.DUMMYFUNCTION("""COMPUTED_VALUE""")," ")</f>
        <v xml:space="preserve"> </v>
      </c>
      <c r="D690" s="1"/>
      <c r="E690" s="1"/>
      <c r="H690" s="4"/>
      <c r="I690" s="4"/>
      <c r="J690" s="4"/>
      <c r="K690" s="4"/>
      <c r="L690" s="4"/>
    </row>
    <row r="691" spans="1:12">
      <c r="A691" s="1"/>
      <c r="B691" s="1"/>
      <c r="C691" s="1" t="str">
        <f ca="1">IFERROR(__xludf.DUMMYFUNCTION("""COMPUTED_VALUE""")," ")</f>
        <v xml:space="preserve"> </v>
      </c>
      <c r="D691" s="1"/>
      <c r="E691" s="1"/>
      <c r="H691" s="4"/>
      <c r="I691" s="4"/>
      <c r="J691" s="4"/>
      <c r="K691" s="4"/>
      <c r="L691" s="4"/>
    </row>
    <row r="692" spans="1:12">
      <c r="A692" s="1"/>
      <c r="B692" s="1"/>
      <c r="C692" s="1" t="str">
        <f ca="1">IFERROR(__xludf.DUMMYFUNCTION("""COMPUTED_VALUE""")," ")</f>
        <v xml:space="preserve"> </v>
      </c>
      <c r="D692" s="1"/>
      <c r="E692" s="1"/>
      <c r="H692" s="4"/>
      <c r="I692" s="4"/>
      <c r="J692" s="4"/>
      <c r="K692" s="4"/>
      <c r="L692" s="4"/>
    </row>
    <row r="693" spans="1:12">
      <c r="A693" s="1"/>
      <c r="B693" s="1"/>
      <c r="C693" s="1" t="str">
        <f ca="1">IFERROR(__xludf.DUMMYFUNCTION("""COMPUTED_VALUE""")," ")</f>
        <v xml:space="preserve"> </v>
      </c>
      <c r="D693" s="1"/>
      <c r="E693" s="1"/>
      <c r="H693" s="4"/>
      <c r="I693" s="4"/>
      <c r="J693" s="4"/>
      <c r="K693" s="4"/>
      <c r="L693" s="4"/>
    </row>
    <row r="694" spans="1:12">
      <c r="A694" s="1"/>
      <c r="B694" s="1"/>
      <c r="C694" s="1" t="str">
        <f ca="1">IFERROR(__xludf.DUMMYFUNCTION("""COMPUTED_VALUE""")," ")</f>
        <v xml:space="preserve"> </v>
      </c>
      <c r="D694" s="1"/>
      <c r="E694" s="1"/>
      <c r="H694" s="4"/>
      <c r="I694" s="4"/>
      <c r="J694" s="4"/>
      <c r="K694" s="4"/>
      <c r="L694" s="4"/>
    </row>
    <row r="695" spans="1:12">
      <c r="A695" s="1"/>
      <c r="B695" s="1"/>
      <c r="C695" s="1" t="str">
        <f ca="1">IFERROR(__xludf.DUMMYFUNCTION("""COMPUTED_VALUE""")," ")</f>
        <v xml:space="preserve"> </v>
      </c>
      <c r="D695" s="1"/>
      <c r="E695" s="1"/>
      <c r="H695" s="4"/>
      <c r="I695" s="4"/>
      <c r="J695" s="4"/>
      <c r="K695" s="4"/>
      <c r="L695" s="4"/>
    </row>
    <row r="696" spans="1:12">
      <c r="A696" s="1"/>
      <c r="B696" s="1"/>
      <c r="C696" s="1" t="str">
        <f ca="1">IFERROR(__xludf.DUMMYFUNCTION("""COMPUTED_VALUE""")," ")</f>
        <v xml:space="preserve"> </v>
      </c>
      <c r="D696" s="1"/>
      <c r="E696" s="1"/>
      <c r="H696" s="4"/>
      <c r="I696" s="4"/>
      <c r="J696" s="4"/>
      <c r="K696" s="4"/>
      <c r="L696" s="4"/>
    </row>
    <row r="697" spans="1:12">
      <c r="A697" s="1"/>
      <c r="B697" s="1"/>
      <c r="C697" s="1" t="str">
        <f ca="1">IFERROR(__xludf.DUMMYFUNCTION("""COMPUTED_VALUE""")," ")</f>
        <v xml:space="preserve"> </v>
      </c>
      <c r="D697" s="1"/>
      <c r="E697" s="1"/>
      <c r="H697" s="4"/>
      <c r="I697" s="4"/>
      <c r="J697" s="4"/>
      <c r="K697" s="4"/>
      <c r="L697" s="4"/>
    </row>
    <row r="698" spans="1:12">
      <c r="A698" s="1"/>
      <c r="B698" s="1"/>
      <c r="C698" s="1" t="str">
        <f ca="1">IFERROR(__xludf.DUMMYFUNCTION("""COMPUTED_VALUE""")," ")</f>
        <v xml:space="preserve"> </v>
      </c>
      <c r="D698" s="1"/>
      <c r="E698" s="1"/>
      <c r="H698" s="4"/>
      <c r="I698" s="4"/>
      <c r="J698" s="4"/>
      <c r="K698" s="4"/>
      <c r="L698" s="4"/>
    </row>
    <row r="699" spans="1:12">
      <c r="A699" s="1"/>
      <c r="B699" s="1"/>
      <c r="C699" s="1" t="str">
        <f ca="1">IFERROR(__xludf.DUMMYFUNCTION("""COMPUTED_VALUE""")," ")</f>
        <v xml:space="preserve"> </v>
      </c>
      <c r="D699" s="1"/>
      <c r="E699" s="1"/>
      <c r="H699" s="4"/>
      <c r="I699" s="4"/>
      <c r="J699" s="4"/>
      <c r="K699" s="4"/>
      <c r="L699" s="4"/>
    </row>
    <row r="700" spans="1:12">
      <c r="A700" s="1"/>
      <c r="B700" s="1"/>
      <c r="C700" s="1" t="str">
        <f ca="1">IFERROR(__xludf.DUMMYFUNCTION("""COMPUTED_VALUE""")," ")</f>
        <v xml:space="preserve"> </v>
      </c>
      <c r="D700" s="1"/>
      <c r="E700" s="1"/>
      <c r="H700" s="4"/>
      <c r="I700" s="4"/>
      <c r="J700" s="4"/>
      <c r="K700" s="4"/>
      <c r="L700" s="4"/>
    </row>
    <row r="701" spans="1:12">
      <c r="A701" s="1"/>
      <c r="B701" s="1"/>
      <c r="C701" s="1" t="str">
        <f ca="1">IFERROR(__xludf.DUMMYFUNCTION("""COMPUTED_VALUE""")," ")</f>
        <v xml:space="preserve"> </v>
      </c>
      <c r="D701" s="1"/>
      <c r="E701" s="1"/>
      <c r="H701" s="4"/>
      <c r="I701" s="4"/>
      <c r="J701" s="4"/>
      <c r="K701" s="4"/>
      <c r="L701" s="4"/>
    </row>
    <row r="702" spans="1:12">
      <c r="A702" s="1"/>
      <c r="B702" s="1"/>
      <c r="C702" s="1" t="str">
        <f ca="1">IFERROR(__xludf.DUMMYFUNCTION("""COMPUTED_VALUE""")," ")</f>
        <v xml:space="preserve"> </v>
      </c>
      <c r="D702" s="1"/>
      <c r="E702" s="1"/>
      <c r="H702" s="4"/>
      <c r="I702" s="4"/>
      <c r="J702" s="4"/>
      <c r="K702" s="4"/>
      <c r="L702" s="4"/>
    </row>
    <row r="703" spans="1:12">
      <c r="A703" s="1"/>
      <c r="B703" s="1"/>
      <c r="C703" s="1" t="str">
        <f ca="1">IFERROR(__xludf.DUMMYFUNCTION("""COMPUTED_VALUE""")," ")</f>
        <v xml:space="preserve"> </v>
      </c>
      <c r="D703" s="1"/>
      <c r="E703" s="1"/>
      <c r="H703" s="4"/>
      <c r="I703" s="4"/>
      <c r="J703" s="4"/>
      <c r="K703" s="4"/>
      <c r="L703" s="4"/>
    </row>
    <row r="704" spans="1:12">
      <c r="A704" s="1"/>
      <c r="B704" s="1"/>
      <c r="C704" s="1" t="str">
        <f ca="1">IFERROR(__xludf.DUMMYFUNCTION("""COMPUTED_VALUE""")," ")</f>
        <v xml:space="preserve"> </v>
      </c>
      <c r="D704" s="1"/>
      <c r="E704" s="1"/>
      <c r="H704" s="4"/>
      <c r="I704" s="4"/>
      <c r="J704" s="4"/>
      <c r="K704" s="4"/>
      <c r="L704" s="4"/>
    </row>
    <row r="705" spans="1:12">
      <c r="A705" s="1"/>
      <c r="B705" s="1"/>
      <c r="C705" s="1" t="str">
        <f ca="1">IFERROR(__xludf.DUMMYFUNCTION("""COMPUTED_VALUE""")," ")</f>
        <v xml:space="preserve"> </v>
      </c>
      <c r="D705" s="1"/>
      <c r="E705" s="1"/>
      <c r="H705" s="4"/>
      <c r="I705" s="4"/>
      <c r="J705" s="4"/>
      <c r="K705" s="4"/>
      <c r="L705" s="4"/>
    </row>
    <row r="706" spans="1:12">
      <c r="A706" s="1"/>
      <c r="B706" s="1"/>
      <c r="C706" s="1" t="str">
        <f ca="1">IFERROR(__xludf.DUMMYFUNCTION("""COMPUTED_VALUE""")," ")</f>
        <v xml:space="preserve"> </v>
      </c>
      <c r="D706" s="1"/>
      <c r="E706" s="1"/>
      <c r="H706" s="4"/>
      <c r="I706" s="4"/>
      <c r="J706" s="4"/>
      <c r="K706" s="4"/>
      <c r="L706" s="4"/>
    </row>
    <row r="707" spans="1:12">
      <c r="A707" s="1"/>
      <c r="B707" s="1"/>
      <c r="C707" s="1" t="str">
        <f ca="1">IFERROR(__xludf.DUMMYFUNCTION("""COMPUTED_VALUE""")," ")</f>
        <v xml:space="preserve"> </v>
      </c>
      <c r="D707" s="1"/>
      <c r="E707" s="1"/>
      <c r="H707" s="4"/>
      <c r="I707" s="4"/>
      <c r="J707" s="4"/>
      <c r="K707" s="4"/>
      <c r="L707" s="4"/>
    </row>
    <row r="708" spans="1:12">
      <c r="A708" s="1"/>
      <c r="B708" s="1"/>
      <c r="C708" s="1" t="str">
        <f ca="1">IFERROR(__xludf.DUMMYFUNCTION("""COMPUTED_VALUE""")," ")</f>
        <v xml:space="preserve"> </v>
      </c>
      <c r="D708" s="1"/>
      <c r="E708" s="1"/>
      <c r="H708" s="4"/>
      <c r="I708" s="4"/>
      <c r="J708" s="4"/>
      <c r="K708" s="4"/>
      <c r="L708" s="4"/>
    </row>
    <row r="709" spans="1:12">
      <c r="A709" s="1"/>
      <c r="B709" s="1"/>
      <c r="C709" s="1" t="str">
        <f ca="1">IFERROR(__xludf.DUMMYFUNCTION("""COMPUTED_VALUE""")," ")</f>
        <v xml:space="preserve"> </v>
      </c>
      <c r="D709" s="1"/>
      <c r="E709" s="1"/>
      <c r="H709" s="4"/>
      <c r="I709" s="4"/>
      <c r="J709" s="4"/>
      <c r="K709" s="4"/>
      <c r="L709" s="4"/>
    </row>
    <row r="710" spans="1:12">
      <c r="A710" s="1"/>
      <c r="B710" s="1"/>
      <c r="C710" s="1" t="str">
        <f ca="1">IFERROR(__xludf.DUMMYFUNCTION("""COMPUTED_VALUE""")," ")</f>
        <v xml:space="preserve"> </v>
      </c>
      <c r="D710" s="1"/>
      <c r="E710" s="1"/>
      <c r="H710" s="4"/>
      <c r="I710" s="4"/>
      <c r="J710" s="4"/>
      <c r="K710" s="4"/>
      <c r="L710" s="4"/>
    </row>
    <row r="711" spans="1:12">
      <c r="A711" s="1"/>
      <c r="B711" s="1"/>
      <c r="C711" s="1" t="str">
        <f ca="1">IFERROR(__xludf.DUMMYFUNCTION("""COMPUTED_VALUE""")," ")</f>
        <v xml:space="preserve"> </v>
      </c>
      <c r="D711" s="1"/>
      <c r="E711" s="1"/>
      <c r="H711" s="4"/>
      <c r="I711" s="4"/>
      <c r="J711" s="4"/>
      <c r="K711" s="4"/>
      <c r="L711" s="4"/>
    </row>
    <row r="712" spans="1:12">
      <c r="A712" s="1"/>
      <c r="B712" s="1"/>
      <c r="C712" s="1" t="str">
        <f ca="1">IFERROR(__xludf.DUMMYFUNCTION("""COMPUTED_VALUE""")," ")</f>
        <v xml:space="preserve"> </v>
      </c>
      <c r="D712" s="1"/>
      <c r="E712" s="1"/>
      <c r="H712" s="4"/>
      <c r="I712" s="4"/>
      <c r="J712" s="4"/>
      <c r="K712" s="4"/>
      <c r="L712" s="4"/>
    </row>
    <row r="713" spans="1:12">
      <c r="A713" s="1"/>
      <c r="B713" s="1"/>
      <c r="C713" s="1" t="str">
        <f ca="1">IFERROR(__xludf.DUMMYFUNCTION("""COMPUTED_VALUE""")," ")</f>
        <v xml:space="preserve"> </v>
      </c>
      <c r="D713" s="1"/>
      <c r="E713" s="1"/>
      <c r="H713" s="4"/>
      <c r="I713" s="4"/>
      <c r="J713" s="4"/>
      <c r="K713" s="4"/>
      <c r="L713" s="4"/>
    </row>
    <row r="714" spans="1:12">
      <c r="A714" s="1"/>
      <c r="B714" s="1"/>
      <c r="C714" s="1" t="str">
        <f ca="1">IFERROR(__xludf.DUMMYFUNCTION("""COMPUTED_VALUE""")," ")</f>
        <v xml:space="preserve"> </v>
      </c>
      <c r="D714" s="1"/>
      <c r="E714" s="1"/>
      <c r="H714" s="4"/>
      <c r="I714" s="4"/>
      <c r="J714" s="4"/>
      <c r="K714" s="4"/>
      <c r="L714" s="4"/>
    </row>
    <row r="715" spans="1:12">
      <c r="A715" s="1"/>
      <c r="B715" s="1"/>
      <c r="C715" s="1" t="str">
        <f ca="1">IFERROR(__xludf.DUMMYFUNCTION("""COMPUTED_VALUE""")," ")</f>
        <v xml:space="preserve"> </v>
      </c>
      <c r="D715" s="1"/>
      <c r="E715" s="1"/>
      <c r="H715" s="4"/>
      <c r="I715" s="4"/>
      <c r="J715" s="4"/>
      <c r="K715" s="4"/>
      <c r="L715" s="4"/>
    </row>
    <row r="716" spans="1:12">
      <c r="A716" s="1"/>
      <c r="B716" s="1"/>
      <c r="C716" s="1" t="str">
        <f ca="1">IFERROR(__xludf.DUMMYFUNCTION("""COMPUTED_VALUE""")," ")</f>
        <v xml:space="preserve"> </v>
      </c>
      <c r="D716" s="1"/>
      <c r="E716" s="1"/>
      <c r="H716" s="4"/>
      <c r="I716" s="4"/>
      <c r="J716" s="4"/>
      <c r="K716" s="4"/>
      <c r="L716" s="4"/>
    </row>
    <row r="717" spans="1:12">
      <c r="A717" s="1"/>
      <c r="B717" s="1"/>
      <c r="C717" s="1" t="str">
        <f ca="1">IFERROR(__xludf.DUMMYFUNCTION("""COMPUTED_VALUE""")," ")</f>
        <v xml:space="preserve"> </v>
      </c>
      <c r="D717" s="1"/>
      <c r="E717" s="1"/>
      <c r="H717" s="4"/>
      <c r="I717" s="4"/>
      <c r="J717" s="4"/>
      <c r="K717" s="4"/>
      <c r="L717" s="4"/>
    </row>
    <row r="718" spans="1:12">
      <c r="A718" s="1"/>
      <c r="B718" s="1"/>
      <c r="C718" s="1" t="str">
        <f ca="1">IFERROR(__xludf.DUMMYFUNCTION("""COMPUTED_VALUE""")," ")</f>
        <v xml:space="preserve"> </v>
      </c>
      <c r="D718" s="1"/>
      <c r="E718" s="1"/>
      <c r="H718" s="4"/>
      <c r="I718" s="4"/>
      <c r="J718" s="4"/>
      <c r="K718" s="4"/>
      <c r="L718" s="4"/>
    </row>
    <row r="719" spans="1:12">
      <c r="A719" s="1">
        <f ca="1">IFERROR(__xludf.DUMMYFUNCTION("""COMPUTED_VALUE"""),3163)</f>
        <v>3163</v>
      </c>
      <c r="B719" s="1" t="str">
        <f ca="1">IFERROR(__xludf.DUMMYFUNCTION("""COMPUTED_VALUE"""),"PKM PI")</f>
        <v>PKM PI</v>
      </c>
      <c r="C719" s="1" t="str">
        <f ca="1">IFERROR(__xludf.DUMMYFUNCTION("""COMPUTED_VALUE"""),"(1) di pendahuluan ada kalimat yg ndak match dg tujuan proposal PKM, misal ""Para petani lebah madu meletakkan bibit lebah.....(2) Apa yang menyebabkan perolehan madu tidak maxsimal yakni 12-36%, apakah solusi yg ditawarkan sesuai dg masalah yg ada (3)  I"&amp;"OT bergantung pada jaringan internet apakah ada jaringan internet di sarang lebah yg notabene berada di hutan/ daerah minim sinyal (4) sinyal wifi apakah tidak menganggu kehidupan lebah? (5) Solusi jika terjadi hujan dan angin terhadap performa load cell?"&amp;" (6) untuk servo MG995R apa yakin torsi motor ini kuat u/ membuka open tube system")</f>
        <v>(1) di pendahuluan ada kalimat yg ndak match dg tujuan proposal PKM, misal "Para petani lebah madu meletakkan bibit lebah.....(2) Apa yang menyebabkan perolehan madu tidak maxsimal yakni 12-36%, apakah solusi yg ditawarkan sesuai dg masalah yg ada (3)  IOT bergantung pada jaringan internet apakah ada jaringan internet di sarang lebah yg notabene berada di hutan/ daerah minim sinyal (4) sinyal wifi apakah tidak menganggu kehidupan lebah? (5) Solusi jika terjadi hujan dan angin terhadap performa load cell? (6) untuk servo MG995R apa yakin torsi motor ini kuat u/ membuka open tube system</v>
      </c>
      <c r="D719" s="1" t="str">
        <f ca="1">IFERROR(__xludf.DUMMYFUNCTION("""COMPUTED_VALUE"""),"LAYAK UPLOAD KE SIMBELMAWA DENGAN REVISI")</f>
        <v>LAYAK UPLOAD KE SIMBELMAWA DENGAN REVISI</v>
      </c>
      <c r="E719" s="7" t="str">
        <f ca="1">IFERROR(__xludf.DUMMYFUNCTION("""COMPUTED_VALUE"""),"https://drive.google.com/open?id=1qrFbupe95cHDQkAGaA6xqmSoLWlCLELF")</f>
        <v>https://drive.google.com/open?id=1qrFbupe95cHDQkAGaA6xqmSoLWlCLELF</v>
      </c>
      <c r="H719" s="4"/>
      <c r="I719" s="4"/>
      <c r="J719" s="4"/>
      <c r="K719" s="4"/>
      <c r="L719" s="4"/>
    </row>
    <row r="720" spans="1:12">
      <c r="A720" s="1">
        <f ca="1">IFERROR(__xludf.DUMMYFUNCTION("""COMPUTED_VALUE"""),2514)</f>
        <v>2514</v>
      </c>
      <c r="B720" s="1" t="str">
        <f ca="1">IFERROR(__xludf.DUMMYFUNCTION("""COMPUTED_VALUE"""),"PKM PI")</f>
        <v>PKM PI</v>
      </c>
      <c r="C720" s="1" t="str">
        <f ca="1">IFERROR(__xludf.DUMMYFUNCTION("""COMPUTED_VALUE"""),"(1) Rumusan masalah&amp;tujuan no 1 dihilangkan karena ""merancang dan mendesain"" adalah kata kunci PKM-KC (2) Rumusan masalah no 3 dijadikan no 1 dan dirubah kalimatnya menjadi "" dijadikan no 1 dan diganti "" Bagaimana meningkatkan mutu pascapanen bawang m"&amp;"erah unggulan untuk memenuhi kriteria Standar Nasional Indonesia menggunakan instore drying?, sedangkan tujuan no 3 diganti dan mengikuti perubahan ini (3)  Di latar belakang perlu gambaran keuntungan mitra jika menggunakan alat ini dalam Rupiah (4)")</f>
        <v>(1) Rumusan masalah&amp;tujuan no 1 dihilangkan karena "merancang dan mendesain" adalah kata kunci PKM-KC (2) Rumusan masalah no 3 dijadikan no 1 dan dirubah kalimatnya menjadi " dijadikan no 1 dan diganti " Bagaimana meningkatkan mutu pascapanen bawang merah unggulan untuk memenuhi kriteria Standar Nasional Indonesia menggunakan instore drying?, sedangkan tujuan no 3 diganti dan mengikuti perubahan ini (3)  Di latar belakang perlu gambaran keuntungan mitra jika menggunakan alat ini dalam Rupiah (4)</v>
      </c>
      <c r="D720" s="1" t="str">
        <f ca="1">IFERROR(__xludf.DUMMYFUNCTION("""COMPUTED_VALUE"""),"LAYAK UPLOAD KE SIMBELMAWA DENGAN REVISI")</f>
        <v>LAYAK UPLOAD KE SIMBELMAWA DENGAN REVISI</v>
      </c>
      <c r="E720" s="7" t="str">
        <f ca="1">IFERROR(__xludf.DUMMYFUNCTION("""COMPUTED_VALUE"""),"https://drive.google.com/open?id=1M7UKj-hXrL-93MHh9pZEBw5TNjTg5PxZ")</f>
        <v>https://drive.google.com/open?id=1M7UKj-hXrL-93MHh9pZEBw5TNjTg5PxZ</v>
      </c>
      <c r="H720" s="4"/>
      <c r="I720" s="4"/>
      <c r="J720" s="4"/>
      <c r="K720" s="4"/>
      <c r="L720" s="4"/>
    </row>
    <row r="721" spans="1:12">
      <c r="A721" s="1">
        <f ca="1">IFERROR(__xludf.DUMMYFUNCTION("""COMPUTED_VALUE"""),3600)</f>
        <v>3600</v>
      </c>
      <c r="B721" s="1" t="str">
        <f ca="1">IFERROR(__xludf.DUMMYFUNCTION("""COMPUTED_VALUE"""),"PKM PI")</f>
        <v>PKM PI</v>
      </c>
      <c r="C721" s="1" t="str">
        <f ca="1">IFERROR(__xludf.DUMMYFUNCTION("""COMPUTED_VALUE"""),"(1) RAB perlu perbaikan (2) dalam flowchart kegiatan, mitra blm diikutsertakan dalam proses pelaksanaan. Mestinya di bagian perencanaan dan evaluasi/keberlanjutan program (3) keuntungan mitra dalam bentuk rupiah blm nampak. Kalo non-profit mestinya masuk "&amp;"PKM-PM saja")</f>
        <v>(1) RAB perlu perbaikan (2) dalam flowchart kegiatan, mitra blm diikutsertakan dalam proses pelaksanaan. Mestinya di bagian perencanaan dan evaluasi/keberlanjutan program (3) keuntungan mitra dalam bentuk rupiah blm nampak. Kalo non-profit mestinya masuk PKM-PM saja</v>
      </c>
      <c r="D721" s="1" t="str">
        <f ca="1">IFERROR(__xludf.DUMMYFUNCTION("""COMPUTED_VALUE"""),"LAYAK UPLOAD KE SIMBELMAWA DENGAN REVISI")</f>
        <v>LAYAK UPLOAD KE SIMBELMAWA DENGAN REVISI</v>
      </c>
      <c r="E721" s="1"/>
      <c r="H721" s="4"/>
      <c r="I721" s="4"/>
      <c r="J721" s="4"/>
      <c r="K721" s="4"/>
      <c r="L721" s="4"/>
    </row>
    <row r="722" spans="1:12">
      <c r="A722" s="1">
        <f ca="1">IFERROR(__xludf.DUMMYFUNCTION("""COMPUTED_VALUE"""),2670)</f>
        <v>2670</v>
      </c>
      <c r="B722" s="1" t="str">
        <f ca="1">IFERROR(__xludf.DUMMYFUNCTION("""COMPUTED_VALUE"""),"PKM PI")</f>
        <v>PKM PI</v>
      </c>
      <c r="C722" s="1" t="str">
        <f ca="1">IFERROR(__xludf.DUMMYFUNCTION("""COMPUTED_VALUE"""),"(1) omzet 9 juta/bulan saya rasa terlalu kecil jika dimungkin mencari mitra dengan omzet yg lebih besar (2) potensi keuntungan mitra masih blm dijelaskan (3) potensi keuntungan mitra masih blm ada (4) untuk diagrama lir pelaksanaan perlu validasi performa"&amp;"nce alat (5) hasil warna sudah ok atau blm pada alat ini bgmn cara menentukanya? parameter yg dijadikan indikasi warna sudah ok apa?")</f>
        <v>(1) omzet 9 juta/bulan saya rasa terlalu kecil jika dimungkin mencari mitra dengan omzet yg lebih besar (2) potensi keuntungan mitra masih blm dijelaskan (3) potensi keuntungan mitra masih blm ada (4) untuk diagrama lir pelaksanaan perlu validasi performance alat (5) hasil warna sudah ok atau blm pada alat ini bgmn cara menentukanya? parameter yg dijadikan indikasi warna sudah ok apa?</v>
      </c>
      <c r="D722" s="1" t="str">
        <f ca="1">IFERROR(__xludf.DUMMYFUNCTION("""COMPUTED_VALUE"""),"LAYAK UPLOAD KE SIMBELMAWA DENGAN REVISI")</f>
        <v>LAYAK UPLOAD KE SIMBELMAWA DENGAN REVISI</v>
      </c>
      <c r="E722" s="7" t="str">
        <f ca="1">IFERROR(__xludf.DUMMYFUNCTION("""COMPUTED_VALUE"""),"https://drive.google.com/open?id=1kK8Q3RKvi8ROKATpyvxoe9-2AObMoTPD")</f>
        <v>https://drive.google.com/open?id=1kK8Q3RKvi8ROKATpyvxoe9-2AObMoTPD</v>
      </c>
      <c r="H722" s="4"/>
      <c r="I722" s="4"/>
      <c r="J722" s="4"/>
      <c r="K722" s="4"/>
      <c r="L722" s="4"/>
    </row>
    <row r="723" spans="1:12">
      <c r="A723" s="1">
        <f ca="1">IFERROR(__xludf.DUMMYFUNCTION("""COMPUTED_VALUE"""),2681)</f>
        <v>2681</v>
      </c>
      <c r="B723" s="1" t="str">
        <f ca="1">IFERROR(__xludf.DUMMYFUNCTION("""COMPUTED_VALUE"""),"PKM PI")</f>
        <v>PKM PI</v>
      </c>
      <c r="C723" s="1" t="str">
        <f ca="1">IFERROR(__xludf.DUMMYFUNCTION("""COMPUTED_VALUE"""),"(1) definisi hama ini apa saja? dan apakah metode yg dipropose bisa mengatasi hama yg ada? (2) potensi keuntungan mitra ndak terlalu besar, apa bisa digali lagi supaya profitnya lebih besar (3) Gbr 2.2 apa plus minusnya alat yg dipropose dengan alat yg su"&amp;"dah ada (4) Lampu yang digunakan yaitu lampu fluorescent bewarna kuning yang berdaya 4 Watt. Penggunaan lampu ini bertujuan untuk memancarkan gelombang sinar ultraviolet ==&gt; perlu referensi (5) dalam flowchart kegiatan mitra belum dilibatkan dalam kegiata"&amp;"n")</f>
        <v>(1) definisi hama ini apa saja? dan apakah metode yg dipropose bisa mengatasi hama yg ada? (2) potensi keuntungan mitra ndak terlalu besar, apa bisa digali lagi supaya profitnya lebih besar (3) Gbr 2.2 apa plus minusnya alat yg dipropose dengan alat yg sudah ada (4) Lampu yang digunakan yaitu lampu fluorescent bewarna kuning yang berdaya 4 Watt. Penggunaan lampu ini bertujuan untuk memancarkan gelombang sinar ultraviolet ==&gt; perlu referensi (5) dalam flowchart kegiatan mitra belum dilibatkan dalam kegiatan</v>
      </c>
      <c r="D723" s="1" t="str">
        <f ca="1">IFERROR(__xludf.DUMMYFUNCTION("""COMPUTED_VALUE"""),"LAYAK UPLOAD KE SIMBELMAWA DENGAN REVISI")</f>
        <v>LAYAK UPLOAD KE SIMBELMAWA DENGAN REVISI</v>
      </c>
      <c r="E723" s="7" t="str">
        <f ca="1">IFERROR(__xludf.DUMMYFUNCTION("""COMPUTED_VALUE"""),"https://drive.google.com/open?id=1VJ3_U0EFJcBaGUMl0cQ9mOVI8KMWNdJA")</f>
        <v>https://drive.google.com/open?id=1VJ3_U0EFJcBaGUMl0cQ9mOVI8KMWNdJA</v>
      </c>
      <c r="H723" s="4"/>
      <c r="I723" s="4"/>
      <c r="J723" s="4"/>
      <c r="K723" s="4"/>
      <c r="L723" s="4"/>
    </row>
    <row r="724" spans="1:12">
      <c r="A724" s="1">
        <f ca="1">IFERROR(__xludf.DUMMYFUNCTION("""COMPUTED_VALUE"""),2311)</f>
        <v>2311</v>
      </c>
      <c r="B724" s="1" t="str">
        <f ca="1">IFERROR(__xludf.DUMMYFUNCTION("""COMPUTED_VALUE"""),"PKM PI")</f>
        <v>PKM PI</v>
      </c>
      <c r="C724" s="1" t="str">
        <f ca="1">IFERROR(__xludf.DUMMYFUNCTION("""COMPUTED_VALUE"""),"(1) apakah sudah ada riset jenis bunyi apa saja yang bisa mengusir burung. (2) Potensi keuntungan mitra blm ada (3) perlu diperhatikan jarak kamera dengan burung, karena jika terlalu jauh prosentase pendeteksian akan turun (4) Gbr 3.2 battery?")</f>
        <v>(1) apakah sudah ada riset jenis bunyi apa saja yang bisa mengusir burung. (2) Potensi keuntungan mitra blm ada (3) perlu diperhatikan jarak kamera dengan burung, karena jika terlalu jauh prosentase pendeteksian akan turun (4) Gbr 3.2 battery?</v>
      </c>
      <c r="D724" s="1" t="str">
        <f ca="1">IFERROR(__xludf.DUMMYFUNCTION("""COMPUTED_VALUE"""),"LAYAK UPLOAD KE SIMBELMAWA DENGAN REVISI")</f>
        <v>LAYAK UPLOAD KE SIMBELMAWA DENGAN REVISI</v>
      </c>
      <c r="E724" s="7" t="str">
        <f ca="1">IFERROR(__xludf.DUMMYFUNCTION("""COMPUTED_VALUE"""),"https://drive.google.com/open?id=1HO6vwYUsHdqLD1I0tGl0SL8kuvO0oXCT")</f>
        <v>https://drive.google.com/open?id=1HO6vwYUsHdqLD1I0tGl0SL8kuvO0oXCT</v>
      </c>
      <c r="H724" s="4"/>
      <c r="I724" s="4"/>
      <c r="J724" s="4"/>
      <c r="K724" s="4"/>
      <c r="L724" s="4"/>
    </row>
    <row r="725" spans="1:12">
      <c r="A725" s="1">
        <f ca="1">IFERROR(__xludf.DUMMYFUNCTION("""COMPUTED_VALUE"""),2529)</f>
        <v>2529</v>
      </c>
      <c r="B725" s="1" t="str">
        <f ca="1">IFERROR(__xludf.DUMMYFUNCTION("""COMPUTED_VALUE"""),"PKM PI")</f>
        <v>PKM PI</v>
      </c>
      <c r="C725" s="1" t="str">
        <f ca="1">IFERROR(__xludf.DUMMYFUNCTION("""COMPUTED_VALUE"""),"(1) profit yg didapat mitra blm ada (2) perlu diperhatikan mixing ini juga ada dampak buruknya yakni memangkas kerja karyawan, apakah sudah ada solusinya misal karyawan akan dipekerjakan di bag lain shg produktifitas meningkat dan ini yg ditampilkan di pr"&amp;"ofit mitra (3) bagaimanakah menentukan spesifikasi pada tabel 3.1, apakah sudah ada diskusi dengan mitra terutama kapasitas mixingnya?
")</f>
        <v xml:space="preserve">(1) profit yg didapat mitra blm ada (2) perlu diperhatikan mixing ini juga ada dampak buruknya yakni memangkas kerja karyawan, apakah sudah ada solusinya misal karyawan akan dipekerjakan di bag lain shg produktifitas meningkat dan ini yg ditampilkan di profit mitra (3) bagaimanakah menentukan spesifikasi pada tabel 3.1, apakah sudah ada diskusi dengan mitra terutama kapasitas mixingnya?
</v>
      </c>
      <c r="D725" s="1" t="str">
        <f ca="1">IFERROR(__xludf.DUMMYFUNCTION("""COMPUTED_VALUE"""),"LAYAK UPLOAD KE SIMBELMAWA DENGAN REVISI")</f>
        <v>LAYAK UPLOAD KE SIMBELMAWA DENGAN REVISI</v>
      </c>
      <c r="E725" s="7" t="str">
        <f ca="1">IFERROR(__xludf.DUMMYFUNCTION("""COMPUTED_VALUE"""),"https://drive.google.com/open?id=1p_ldpGrjTz0VUFt7DzyXIJq2VjmioVYz")</f>
        <v>https://drive.google.com/open?id=1p_ldpGrjTz0VUFt7DzyXIJq2VjmioVYz</v>
      </c>
      <c r="H725" s="4"/>
      <c r="I725" s="4"/>
      <c r="J725" s="4"/>
      <c r="K725" s="4"/>
      <c r="L725" s="4"/>
    </row>
    <row r="726" spans="1:12">
      <c r="A726" s="1">
        <f ca="1">IFERROR(__xludf.DUMMYFUNCTION("""COMPUTED_VALUE"""),3985)</f>
        <v>3985</v>
      </c>
      <c r="B726" s="1" t="str">
        <f ca="1">IFERROR(__xludf.DUMMYFUNCTION("""COMPUTED_VALUE"""),"PKM PI")</f>
        <v>PKM PI</v>
      </c>
      <c r="C726" s="1" t="str">
        <f ca="1">IFERROR(__xludf.DUMMYFUNCTION("""COMPUTED_VALUE"""),"(1) in-kind ITS di RAB blm masuk (2) potensi profitnya berapa, bisa dihitung dari perubahan harga jika kualitas pembersihan kecambah buruk (3)di rumusan masalah dan tujuan, kata ""merancang"" adalah keyword PKM-KC sebaiknya dirubah (4) 2.2 komparasi dngan"&amp;" metode alat yg sudah ada blm ditampilkan (5) apakah benar dengan hanya mennggetarkan kepala tempurung kecambah bisa dipisahkan, perlu referensi lebih lanjut")</f>
        <v>(1) in-kind ITS di RAB blm masuk (2) potensi profitnya berapa, bisa dihitung dari perubahan harga jika kualitas pembersihan kecambah buruk (3)di rumusan masalah dan tujuan, kata "merancang" adalah keyword PKM-KC sebaiknya dirubah (4) 2.2 komparasi dngan metode alat yg sudah ada blm ditampilkan (5) apakah benar dengan hanya mennggetarkan kepala tempurung kecambah bisa dipisahkan, perlu referensi lebih lanjut</v>
      </c>
      <c r="D726" s="1" t="str">
        <f ca="1">IFERROR(__xludf.DUMMYFUNCTION("""COMPUTED_VALUE"""),"LAYAK UPLOAD KE SIMBELMAWA DENGAN REVISI")</f>
        <v>LAYAK UPLOAD KE SIMBELMAWA DENGAN REVISI</v>
      </c>
      <c r="E726" s="7" t="str">
        <f ca="1">IFERROR(__xludf.DUMMYFUNCTION("""COMPUTED_VALUE"""),"https://drive.google.com/open?id=1woiLW6GwvvCTwkktpXNSest_slA5nlIw")</f>
        <v>https://drive.google.com/open?id=1woiLW6GwvvCTwkktpXNSest_slA5nlIw</v>
      </c>
      <c r="H726" s="4"/>
      <c r="I726" s="4"/>
      <c r="J726" s="4"/>
      <c r="K726" s="4"/>
      <c r="L726" s="4"/>
    </row>
    <row r="727" spans="1:12">
      <c r="A727" s="1">
        <f ca="1">IFERROR(__xludf.DUMMYFUNCTION("""COMPUTED_VALUE"""),3078)</f>
        <v>3078</v>
      </c>
      <c r="B727" s="1" t="str">
        <f ca="1">IFERROR(__xludf.DUMMYFUNCTION("""COMPUTED_VALUE"""),"PKM PI")</f>
        <v>PKM PI</v>
      </c>
      <c r="C727" s="1" t="str">
        <f ca="1">IFERROR(__xludf.DUMMYFUNCTION("""COMPUTED_VALUE"""),"(1) potensi profit mitra blm terlihat di pendahuluan, bisa dihitung dari potensi limbah tembakau yang terbuang sbg pengganti biaya pembelian pestisida (2) untuk rumusan masalah no 1, saran saya kalimatnya diganti ""bagiamana meningkatkan kualitas dan prod"&amp;"uktifitas tanaman petani menggunakan biopestisida."". Sedangkan kalimat di tujuan (1.3) mengikuti (3) gambar 2.1 sebaiknya diganti dengan gambar yg menunjukan taat protokol kesehatan (4) looping pada gambar 3.1 masih salah simbol, demikian juga start, end"&amp;", input-output tidak ada (5) implementasi bukan hanya monitoring saja, akan tetapi lebih ke memastikan alat bisa digunakan secara maximal oleh mitra melalui pelatihan dll
")</f>
        <v xml:space="preserve">(1) potensi profit mitra blm terlihat di pendahuluan, bisa dihitung dari potensi limbah tembakau yang terbuang sbg pengganti biaya pembelian pestisida (2) untuk rumusan masalah no 1, saran saya kalimatnya diganti "bagiamana meningkatkan kualitas dan produktifitas tanaman petani menggunakan biopestisida.". Sedangkan kalimat di tujuan (1.3) mengikuti (3) gambar 2.1 sebaiknya diganti dengan gambar yg menunjukan taat protokol kesehatan (4) looping pada gambar 3.1 masih salah simbol, demikian juga start, end, input-output tidak ada (5) implementasi bukan hanya monitoring saja, akan tetapi lebih ke memastikan alat bisa digunakan secara maximal oleh mitra melalui pelatihan dll
</v>
      </c>
      <c r="D727" s="1" t="str">
        <f ca="1">IFERROR(__xludf.DUMMYFUNCTION("""COMPUTED_VALUE"""),"LAYAK UPLOAD KE SIMBELMAWA DENGAN REVISI")</f>
        <v>LAYAK UPLOAD KE SIMBELMAWA DENGAN REVISI</v>
      </c>
      <c r="E727" s="7" t="str">
        <f ca="1">IFERROR(__xludf.DUMMYFUNCTION("""COMPUTED_VALUE"""),"https://drive.google.com/open?id=139XSRL2DfUCq76_AF57QrXqRtXvx-2aB")</f>
        <v>https://drive.google.com/open?id=139XSRL2DfUCq76_AF57QrXqRtXvx-2aB</v>
      </c>
      <c r="H727" s="4"/>
      <c r="I727" s="4"/>
      <c r="J727" s="4"/>
      <c r="K727" s="4"/>
      <c r="L727" s="4"/>
    </row>
    <row r="728" spans="1:12">
      <c r="A728" s="1">
        <f ca="1">IFERROR(__xludf.DUMMYFUNCTION("""COMPUTED_VALUE"""),2669)</f>
        <v>2669</v>
      </c>
      <c r="B728" s="1" t="str">
        <f ca="1">IFERROR(__xludf.DUMMYFUNCTION("""COMPUTED_VALUE"""),"PKM PI")</f>
        <v>PKM PI</v>
      </c>
      <c r="C728" s="1" t="str">
        <f ca="1">IFERROR(__xludf.DUMMYFUNCTION("""COMPUTED_VALUE"""),"Sebenarnya bagus...akan tetapi pembimbing, mhs, mitra sama ....sedangkan fungsi alat yg dipropose mirip dg PKM th lalu. Pertanyaanya adalah apakah dengan alat tahun lalu permasalahan kristalisasi serbuk jahe ini tidak  bisa diselesaikan? recomended untuk "&amp;"tidak dimasukkan SIMBELMAWA tapi ok jika hanya u/ pemenuhan kuota proposal")</f>
        <v>Sebenarnya bagus...akan tetapi pembimbing, mhs, mitra sama ....sedangkan fungsi alat yg dipropose mirip dg PKM th lalu. Pertanyaanya adalah apakah dengan alat tahun lalu permasalahan kristalisasi serbuk jahe ini tidak  bisa diselesaikan? recomended untuk tidak dimasukkan SIMBELMAWA tapi ok jika hanya u/ pemenuhan kuota proposal</v>
      </c>
      <c r="D728" s="1" t="str">
        <f ca="1">IFERROR(__xludf.DUMMYFUNCTION("""COMPUTED_VALUE"""),"TIDAK LAYAK UPLOAD KE SIMBELMAWA")</f>
        <v>TIDAK LAYAK UPLOAD KE SIMBELMAWA</v>
      </c>
      <c r="E728" s="7" t="str">
        <f ca="1">IFERROR(__xludf.DUMMYFUNCTION("""COMPUTED_VALUE"""),"https://drive.google.com/open?id=1-NxO1q7IqrftU8uStQ5PDG3GDEX45Ga7")</f>
        <v>https://drive.google.com/open?id=1-NxO1q7IqrftU8uStQ5PDG3GDEX45Ga7</v>
      </c>
      <c r="H728" s="4"/>
      <c r="I728" s="4"/>
      <c r="J728" s="4"/>
      <c r="K728" s="4"/>
      <c r="L728" s="4"/>
    </row>
    <row r="729" spans="1:12">
      <c r="A729" s="1">
        <f ca="1">IFERROR(__xludf.DUMMYFUNCTION("""COMPUTED_VALUE"""),2779)</f>
        <v>2779</v>
      </c>
      <c r="B729" s="1" t="str">
        <f ca="1">IFERROR(__xludf.DUMMYFUNCTION("""COMPUTED_VALUE"""),"PKM PI")</f>
        <v>PKM PI</v>
      </c>
      <c r="C729" s="1" t="str">
        <f ca="1">IFERROR(__xludf.DUMMYFUNCTION("""COMPUTED_VALUE"""),"(1) Potensi profit mitra belum ditampilkan dalam bentuk Rp (2) rumusan masalah no 1 ini sebaiknya ditaruh yg paling akhir, selanjutnya penulisan di TUJUAN menyesuaikan (3) apa fungsi sensor RTC dan relay selenoida ? (4) Apakah ada riset cairan penetral as"&amp;"am ini aman bagi ikan, dan bagaimanakah mekasinme mixing dengan airnya? (5) Sub bab 3.3. Apakah kelebihan yg ditawarkan desain anda dengan desain yg sudah ada? (6) penerapan pada mitra bukan hanya cara menjalankan mesin dan meintenance, tapi berkelanjutan"&amp;" jika ada problem dikemudian hari")</f>
        <v>(1) Potensi profit mitra belum ditampilkan dalam bentuk Rp (2) rumusan masalah no 1 ini sebaiknya ditaruh yg paling akhir, selanjutnya penulisan di TUJUAN menyesuaikan (3) apa fungsi sensor RTC dan relay selenoida ? (4) Apakah ada riset cairan penetral asam ini aman bagi ikan, dan bagaimanakah mekasinme mixing dengan airnya? (5) Sub bab 3.3. Apakah kelebihan yg ditawarkan desain anda dengan desain yg sudah ada? (6) penerapan pada mitra bukan hanya cara menjalankan mesin dan meintenance, tapi berkelanjutan jika ada problem dikemudian hari</v>
      </c>
      <c r="D729" s="1" t="str">
        <f ca="1">IFERROR(__xludf.DUMMYFUNCTION("""COMPUTED_VALUE"""),"LAYAK UPLOAD KE SIMBELMAWA DENGAN REVISI")</f>
        <v>LAYAK UPLOAD KE SIMBELMAWA DENGAN REVISI</v>
      </c>
      <c r="E729" s="7" t="str">
        <f ca="1">IFERROR(__xludf.DUMMYFUNCTION("""COMPUTED_VALUE"""),"https://drive.google.com/open?id=1bgo7uAWFUKTt7k9nlZ33r2d7AHHL8Zi-")</f>
        <v>https://drive.google.com/open?id=1bgo7uAWFUKTt7k9nlZ33r2d7AHHL8Zi-</v>
      </c>
      <c r="H729" s="4"/>
      <c r="I729" s="4"/>
      <c r="J729" s="4"/>
      <c r="K729" s="4"/>
      <c r="L729" s="4"/>
    </row>
    <row r="730" spans="1:12">
      <c r="A730" s="1">
        <f ca="1">IFERROR(__xludf.DUMMYFUNCTION("""COMPUTED_VALUE"""),3567)</f>
        <v>3567</v>
      </c>
      <c r="B730" s="1" t="str">
        <f ca="1">IFERROR(__xludf.DUMMYFUNCTION("""COMPUTED_VALUE"""),"PKM PI")</f>
        <v>PKM PI</v>
      </c>
      <c r="C730" s="1" t="str">
        <f ca="1">IFERROR(__xludf.DUMMYFUNCTION("""COMPUTED_VALUE"""),"(1) permasalahan di mitra ini sederhana yakni ketidakpressian dan ketidakakuratan takaran, sebenarnya solusinya sederhana yakni penggunakan alat takar standard. Akan lebih baik jika fokus ke peningkatan produksi karena permintaan masy misal karena hari ra"&amp;"ya puasa dll sehingga perlu otomasi (2) potensi profit bagi mitra masih blm jelas (3) FATAL Gbr 6. apakah alatnya sudah jadi? sebaiknya diganti dengan gbr desain 3D (4) implementasi mestinya sampai tahapan training penggunaan alat, maintenance dan komunik"&amp;"asi setelah PKM selesai jika masih ada permasalahan dalam operasional alat")</f>
        <v>(1) permasalahan di mitra ini sederhana yakni ketidakpressian dan ketidakakuratan takaran, sebenarnya solusinya sederhana yakni penggunakan alat takar standard. Akan lebih baik jika fokus ke peningkatan produksi karena permintaan masy misal karena hari raya puasa dll sehingga perlu otomasi (2) potensi profit bagi mitra masih blm jelas (3) FATAL Gbr 6. apakah alatnya sudah jadi? sebaiknya diganti dengan gbr desain 3D (4) implementasi mestinya sampai tahapan training penggunaan alat, maintenance dan komunikasi setelah PKM selesai jika masih ada permasalahan dalam operasional alat</v>
      </c>
      <c r="D730" s="1" t="str">
        <f ca="1">IFERROR(__xludf.DUMMYFUNCTION("""COMPUTED_VALUE"""),"LAYAK UPLOAD KE SIMBELMAWA DENGAN REVISI")</f>
        <v>LAYAK UPLOAD KE SIMBELMAWA DENGAN REVISI</v>
      </c>
      <c r="E730" s="7" t="str">
        <f ca="1">IFERROR(__xludf.DUMMYFUNCTION("""COMPUTED_VALUE"""),"https://drive.google.com/open?id=1VxDHJBczPGpcu6N_aJyO4kxlElaMiGDr")</f>
        <v>https://drive.google.com/open?id=1VxDHJBczPGpcu6N_aJyO4kxlElaMiGDr</v>
      </c>
      <c r="H730" s="4"/>
      <c r="I730" s="4"/>
      <c r="J730" s="4"/>
      <c r="K730" s="4"/>
      <c r="L730" s="4"/>
    </row>
    <row r="731" spans="1:12">
      <c r="A731" s="1">
        <f ca="1">IFERROR(__xludf.DUMMYFUNCTION("""COMPUTED_VALUE"""),3594)</f>
        <v>3594</v>
      </c>
      <c r="B731" s="1" t="str">
        <f ca="1">IFERROR(__xludf.DUMMYFUNCTION("""COMPUTED_VALUE"""),"PKM PI")</f>
        <v>PKM PI</v>
      </c>
      <c r="C731" s="1" t="str">
        <f ca="1">IFERROR(__xludf.DUMMYFUNCTION("""COMPUTED_VALUE"""),"(1) potensi profit mitra dalam rupiah blm nampak (2) kelebihan desain anda dengan existing produk yang sudah ada apa? misal dibandingkan dengan JALA (3) Flowchart 3.1 di pemilihan pengujian, perlu keterangan ya dan tidaknya kemana. Arah anak panah kebalik"&amp;" (4)Implementasi mestinya ada training, problem shooting, dan keberlanjutan komunikasi jika ada problem di kemudian hari ")</f>
        <v xml:space="preserve">(1) potensi profit mitra dalam rupiah blm nampak (2) kelebihan desain anda dengan existing produk yang sudah ada apa? misal dibandingkan dengan JALA (3) Flowchart 3.1 di pemilihan pengujian, perlu keterangan ya dan tidaknya kemana. Arah anak panah kebalik (4)Implementasi mestinya ada training, problem shooting, dan keberlanjutan komunikasi jika ada problem di kemudian hari </v>
      </c>
      <c r="D731" s="1" t="str">
        <f ca="1">IFERROR(__xludf.DUMMYFUNCTION("""COMPUTED_VALUE"""),"LAYAK UPLOAD KE SIMBELMAWA DENGAN REVISI")</f>
        <v>LAYAK UPLOAD KE SIMBELMAWA DENGAN REVISI</v>
      </c>
      <c r="E731" s="7" t="str">
        <f ca="1">IFERROR(__xludf.DUMMYFUNCTION("""COMPUTED_VALUE"""),"https://drive.google.com/open?id=1ZU-hW19N_g9z4JJySe3AxcPP8uOFRukf")</f>
        <v>https://drive.google.com/open?id=1ZU-hW19N_g9z4JJySe3AxcPP8uOFRukf</v>
      </c>
      <c r="H731" s="4"/>
      <c r="I731" s="4"/>
      <c r="J731" s="4"/>
      <c r="K731" s="4"/>
      <c r="L731" s="4"/>
    </row>
    <row r="732" spans="1:12">
      <c r="A732" s="1">
        <f ca="1">IFERROR(__xludf.DUMMYFUNCTION("""COMPUTED_VALUE"""),2790)</f>
        <v>2790</v>
      </c>
      <c r="B732" s="1" t="str">
        <f ca="1">IFERROR(__xludf.DUMMYFUNCTION("""COMPUTED_VALUE"""),"PKM PI")</f>
        <v>PKM PI</v>
      </c>
      <c r="C732" s="1" t="str">
        <f ca="1">IFERROR(__xludf.DUMMYFUNCTION("""COMPUTED_VALUE"""),"(1) Hasil dari wawancara bukan hanya mencari masalah, tapi juga spesifikasi alat yg diinginkan mitra (2) potensi profit mitra blm ditampilkan dalam bentuk rupiah (3) Gbr 3.1 flowchart pemilihan ""uji coba alat"" masih salah, perlu ""ya"" dan ""tidak"" ser"&amp;"ta looping anak panah kemana jika uji coba alat jelek? (4) gambar 3.2 perlu kejelasan spesifikasi alat yg mau dibuat, misal kapasitas pengeringan, daya yg diperlukan dll (5) 3.6 mestinya evaluasi dan keberlanjutan program. Mestinya ada komunikasi yg terus"&amp;" dibina walo PKM sudah selesai")</f>
        <v>(1) Hasil dari wawancara bukan hanya mencari masalah, tapi juga spesifikasi alat yg diinginkan mitra (2) potensi profit mitra blm ditampilkan dalam bentuk rupiah (3) Gbr 3.1 flowchart pemilihan "uji coba alat" masih salah, perlu "ya" dan "tidak" serta looping anak panah kemana jika uji coba alat jelek? (4) gambar 3.2 perlu kejelasan spesifikasi alat yg mau dibuat, misal kapasitas pengeringan, daya yg diperlukan dll (5) 3.6 mestinya evaluasi dan keberlanjutan program. Mestinya ada komunikasi yg terus dibina walo PKM sudah selesai</v>
      </c>
      <c r="D732" s="1" t="str">
        <f ca="1">IFERROR(__xludf.DUMMYFUNCTION("""COMPUTED_VALUE"""),"LAYAK UPLOAD KE SIMBELMAWA DENGAN REVISI")</f>
        <v>LAYAK UPLOAD KE SIMBELMAWA DENGAN REVISI</v>
      </c>
      <c r="E732" s="7" t="str">
        <f ca="1">IFERROR(__xludf.DUMMYFUNCTION("""COMPUTED_VALUE"""),"https://drive.google.com/open?id=1z5cOQsnzN_0qXKyjQlHTEwVcukdcLnTV")</f>
        <v>https://drive.google.com/open?id=1z5cOQsnzN_0qXKyjQlHTEwVcukdcLnTV</v>
      </c>
      <c r="H732" s="4"/>
      <c r="I732" s="4"/>
      <c r="J732" s="4"/>
      <c r="K732" s="4"/>
      <c r="L732" s="4"/>
    </row>
    <row r="733" spans="1:12">
      <c r="A733" s="1">
        <f ca="1">IFERROR(__xludf.DUMMYFUNCTION("""COMPUTED_VALUE"""),2898)</f>
        <v>2898</v>
      </c>
      <c r="B733" s="1" t="str">
        <f ca="1">IFERROR(__xludf.DUMMYFUNCTION("""COMPUTED_VALUE"""),"PKM PI")</f>
        <v>PKM PI</v>
      </c>
      <c r="C733" s="1" t="str">
        <f ca="1">IFERROR(__xludf.DUMMYFUNCTION("""COMPUTED_VALUE"""),"(1) gambar 1.1 tidak sesuai prokes (2) potensi profit bagi mitra belum ditampilkan (3) merancang adalah kata kunci PKM-KC. Sebaiknya diganti dengan misal "" Bagaimana meningkatkan efektivitas kerja..... Untuk penulisan TUJUAN (sub bab 1.3) jg menyesuaikan"&amp;" dg penulisan rumusan masalah (4) sub bab 2.3 komparasi + dan - nya dengan produk sejenis yang sudah ada (5) sub bab 2.5 balde bukan metode tapi tool (6) gambar 3.1 flowchart perlu diperhatikan lagi, start, end, data input, process dll (7) di penerapan al"&amp;"at perlu training, trouble shooting dan komunikasi sesudah PKM selesai ")</f>
        <v xml:space="preserve">(1) gambar 1.1 tidak sesuai prokes (2) potensi profit bagi mitra belum ditampilkan (3) merancang adalah kata kunci PKM-KC. Sebaiknya diganti dengan misal " Bagaimana meningkatkan efektivitas kerja..... Untuk penulisan TUJUAN (sub bab 1.3) jg menyesuaikan dg penulisan rumusan masalah (4) sub bab 2.3 komparasi + dan - nya dengan produk sejenis yang sudah ada (5) sub bab 2.5 balde bukan metode tapi tool (6) gambar 3.1 flowchart perlu diperhatikan lagi, start, end, data input, process dll (7) di penerapan alat perlu training, trouble shooting dan komunikasi sesudah PKM selesai </v>
      </c>
      <c r="D733" s="1" t="str">
        <f ca="1">IFERROR(__xludf.DUMMYFUNCTION("""COMPUTED_VALUE"""),"LAYAK UPLOAD KE SIMBELMAWA DENGAN REVISI")</f>
        <v>LAYAK UPLOAD KE SIMBELMAWA DENGAN REVISI</v>
      </c>
      <c r="E733" s="7" t="str">
        <f ca="1">IFERROR(__xludf.DUMMYFUNCTION("""COMPUTED_VALUE"""),"https://drive.google.com/open?id=11zBU-kSadVnUASB_RcJbbku3Ea-iMSVK")</f>
        <v>https://drive.google.com/open?id=11zBU-kSadVnUASB_RcJbbku3Ea-iMSVK</v>
      </c>
      <c r="H733" s="4"/>
      <c r="I733" s="4"/>
      <c r="J733" s="4"/>
      <c r="K733" s="4"/>
      <c r="L733" s="4"/>
    </row>
    <row r="734" spans="1:12">
      <c r="A734" s="1">
        <f ca="1">IFERROR(__xludf.DUMMYFUNCTION("""COMPUTED_VALUE"""),3168)</f>
        <v>3168</v>
      </c>
      <c r="B734" s="1" t="str">
        <f ca="1">IFERROR(__xludf.DUMMYFUNCTION("""COMPUTED_VALUE"""),"PKM PI")</f>
        <v>PKM PI</v>
      </c>
      <c r="C734" s="1" t="str">
        <f ca="1">IFERROR(__xludf.DUMMYFUNCTION("""COMPUTED_VALUE"""),"tambahkan uraian mengenai keberlanjutan program di bab 3")</f>
        <v>tambahkan uraian mengenai keberlanjutan program di bab 3</v>
      </c>
      <c r="D734" s="1" t="str">
        <f ca="1">IFERROR(__xludf.DUMMYFUNCTION("""COMPUTED_VALUE"""),"LAYAK UPLOAD KE SIMBELMAWA DENGAN REVISI")</f>
        <v>LAYAK UPLOAD KE SIMBELMAWA DENGAN REVISI</v>
      </c>
      <c r="E734" s="7" t="str">
        <f ca="1">IFERROR(__xludf.DUMMYFUNCTION("""COMPUTED_VALUE"""),"https://drive.google.com/open?id=1pEQtdlP5AVD0-DkX1u0rFFBBvh410bBX")</f>
        <v>https://drive.google.com/open?id=1pEQtdlP5AVD0-DkX1u0rFFBBvh410bBX</v>
      </c>
      <c r="H734" s="4"/>
      <c r="I734" s="4"/>
      <c r="J734" s="4"/>
      <c r="K734" s="4"/>
      <c r="L734" s="4"/>
    </row>
    <row r="735" spans="1:12">
      <c r="A735" s="1">
        <f ca="1">IFERROR(__xludf.DUMMYFUNCTION("""COMPUTED_VALUE"""),3198)</f>
        <v>3198</v>
      </c>
      <c r="B735" s="1" t="str">
        <f ca="1">IFERROR(__xludf.DUMMYFUNCTION("""COMPUTED_VALUE"""),"PKM PI")</f>
        <v>PKM PI</v>
      </c>
      <c r="C735" s="1" t="str">
        <f ca="1">IFERROR(__xludf.DUMMYFUNCTION("""COMPUTED_VALUE"""),"rancangan biaya perlu direvisi (perhatikan batas maksimal untuk tiap jenis pengeluaran)")</f>
        <v>rancangan biaya perlu direvisi (perhatikan batas maksimal untuk tiap jenis pengeluaran)</v>
      </c>
      <c r="D735" s="1" t="str">
        <f ca="1">IFERROR(__xludf.DUMMYFUNCTION("""COMPUTED_VALUE"""),"LAYAK UPLOAD KE SIMBELMAWA DENGAN REVISI")</f>
        <v>LAYAK UPLOAD KE SIMBELMAWA DENGAN REVISI</v>
      </c>
      <c r="E735" s="7" t="str">
        <f ca="1">IFERROR(__xludf.DUMMYFUNCTION("""COMPUTED_VALUE"""),"https://drive.google.com/open?id=1y4taegEMLvJ22vFy6HFtjt5sY8I4Meiv")</f>
        <v>https://drive.google.com/open?id=1y4taegEMLvJ22vFy6HFtjt5sY8I4Meiv</v>
      </c>
      <c r="H735" s="4"/>
      <c r="I735" s="4"/>
      <c r="J735" s="4"/>
      <c r="K735" s="4"/>
      <c r="L735" s="4"/>
    </row>
    <row r="736" spans="1:12">
      <c r="A736" s="1">
        <f ca="1">IFERROR(__xludf.DUMMYFUNCTION("""COMPUTED_VALUE"""),3596)</f>
        <v>3596</v>
      </c>
      <c r="B736" s="1" t="str">
        <f ca="1">IFERROR(__xludf.DUMMYFUNCTION("""COMPUTED_VALUE"""),"PKM PI")</f>
        <v>PKM PI</v>
      </c>
      <c r="C736" s="1" t="str">
        <f ca="1">IFERROR(__xludf.DUMMYFUNCTION("""COMPUTED_VALUE"""),"RAB diperbaiki ")</f>
        <v xml:space="preserve">RAB diperbaiki </v>
      </c>
      <c r="D736" s="1" t="str">
        <f ca="1">IFERROR(__xludf.DUMMYFUNCTION("""COMPUTED_VALUE"""),"LAYAK UPLOAD KE SIMBELMAWA DENGAN REVISI")</f>
        <v>LAYAK UPLOAD KE SIMBELMAWA DENGAN REVISI</v>
      </c>
      <c r="E736" s="7" t="str">
        <f ca="1">IFERROR(__xludf.DUMMYFUNCTION("""COMPUTED_VALUE"""),"https://drive.google.com/open?id=1vJEkNsUoc1eoQJzhjjEqUC5HX-h5nIFx")</f>
        <v>https://drive.google.com/open?id=1vJEkNsUoc1eoQJzhjjEqUC5HX-h5nIFx</v>
      </c>
      <c r="H736" s="4"/>
      <c r="I736" s="4"/>
      <c r="J736" s="4"/>
      <c r="K736" s="4"/>
      <c r="L736" s="4"/>
    </row>
    <row r="737" spans="1:12">
      <c r="A737" s="1">
        <f ca="1">IFERROR(__xludf.DUMMYFUNCTION("""COMPUTED_VALUE"""),2849)</f>
        <v>2849</v>
      </c>
      <c r="B737" s="1" t="str">
        <f ca="1">IFERROR(__xludf.DUMMYFUNCTION("""COMPUTED_VALUE"""),"PKM PI")</f>
        <v>PKM PI</v>
      </c>
      <c r="C737" s="1" t="str">
        <f ca="1">IFERROR(__xludf.DUMMYFUNCTION("""COMPUTED_VALUE"""),"Masih banyak ""komentar"" yang belum dihapus")</f>
        <v>Masih banyak "komentar" yang belum dihapus</v>
      </c>
      <c r="D737" s="1" t="str">
        <f ca="1">IFERROR(__xludf.DUMMYFUNCTION("""COMPUTED_VALUE"""),"LAYAK UPLOAD KE SIMBELMAWA DENGAN REVISI")</f>
        <v>LAYAK UPLOAD KE SIMBELMAWA DENGAN REVISI</v>
      </c>
      <c r="E737" s="7" t="str">
        <f ca="1">IFERROR(__xludf.DUMMYFUNCTION("""COMPUTED_VALUE"""),"https://drive.google.com/open?id=1xvX-AXMIusXK-sLYWQMpJq_Wid0Lu1-V")</f>
        <v>https://drive.google.com/open?id=1xvX-AXMIusXK-sLYWQMpJq_Wid0Lu1-V</v>
      </c>
      <c r="H737" s="4"/>
      <c r="I737" s="4"/>
      <c r="J737" s="4"/>
      <c r="K737" s="4"/>
      <c r="L737" s="4"/>
    </row>
    <row r="738" spans="1:12">
      <c r="A738" s="1">
        <f ca="1">IFERROR(__xludf.DUMMYFUNCTION("""COMPUTED_VALUE"""),2464)</f>
        <v>2464</v>
      </c>
      <c r="B738" s="1" t="str">
        <f ca="1">IFERROR(__xludf.DUMMYFUNCTION("""COMPUTED_VALUE"""),"PKM PI")</f>
        <v>PKM PI</v>
      </c>
      <c r="C738" s="1" t="str">
        <f ca="1">IFERROR(__xludf.DUMMYFUNCTION("""COMPUTED_VALUE"""),"daftar isi tidak sesuai format; perlu kondisi mitra di tinjauan pustaka;")</f>
        <v>daftar isi tidak sesuai format; perlu kondisi mitra di tinjauan pustaka;</v>
      </c>
      <c r="D738" s="1" t="str">
        <f ca="1">IFERROR(__xludf.DUMMYFUNCTION("""COMPUTED_VALUE"""),"LAYAK UPLOAD KE SIMBELMAWA DENGAN REVISI")</f>
        <v>LAYAK UPLOAD KE SIMBELMAWA DENGAN REVISI</v>
      </c>
      <c r="E738" s="7" t="str">
        <f ca="1">IFERROR(__xludf.DUMMYFUNCTION("""COMPUTED_VALUE"""),"https://drive.google.com/open?id=1q9Vx328RF-v1YcvPRwUKMe1DHhcSfzyO")</f>
        <v>https://drive.google.com/open?id=1q9Vx328RF-v1YcvPRwUKMe1DHhcSfzyO</v>
      </c>
      <c r="H738" s="4"/>
      <c r="I738" s="4"/>
      <c r="J738" s="4"/>
      <c r="K738" s="4"/>
      <c r="L738" s="4"/>
    </row>
    <row r="739" spans="1:12">
      <c r="A739" s="1">
        <f ca="1">IFERROR(__xludf.DUMMYFUNCTION("""COMPUTED_VALUE"""),4121)</f>
        <v>4121</v>
      </c>
      <c r="B739" s="1" t="str">
        <f ca="1">IFERROR(__xludf.DUMMYFUNCTION("""COMPUTED_VALUE"""),"PKM PI")</f>
        <v>PKM PI</v>
      </c>
      <c r="C739" s="1" t="str">
        <f ca="1">IFERROR(__xludf.DUMMYFUNCTION("""COMPUTED_VALUE"""),"Mitra jaraknya lebih dari 100km; pelaksanaan harus full luring")</f>
        <v>Mitra jaraknya lebih dari 100km; pelaksanaan harus full luring</v>
      </c>
      <c r="D739" s="1" t="str">
        <f ca="1">IFERROR(__xludf.DUMMYFUNCTION("""COMPUTED_VALUE"""),"LAYAK UPLOAD KE SIMBELMAWA DENGAN REVISI")</f>
        <v>LAYAK UPLOAD KE SIMBELMAWA DENGAN REVISI</v>
      </c>
      <c r="E739" s="1"/>
      <c r="H739" s="4"/>
      <c r="I739" s="4"/>
      <c r="J739" s="4"/>
      <c r="K739" s="4"/>
      <c r="L739" s="4"/>
    </row>
    <row r="740" spans="1:12">
      <c r="A740" s="1">
        <f ca="1">IFERROR(__xludf.DUMMYFUNCTION("""COMPUTED_VALUE"""),2224)</f>
        <v>2224</v>
      </c>
      <c r="B740" s="1" t="str">
        <f ca="1">IFERROR(__xludf.DUMMYFUNCTION("""COMPUTED_VALUE"""),"PKM PI")</f>
        <v>PKM PI</v>
      </c>
      <c r="C740" s="1" t="str">
        <f ca="1">IFERROR(__xludf.DUMMYFUNCTION("""COMPUTED_VALUE"""),"anggaran biaya perlu direvisi (perhatikan batas maksimal tiap jenis pengeluaran)")</f>
        <v>anggaran biaya perlu direvisi (perhatikan batas maksimal tiap jenis pengeluaran)</v>
      </c>
      <c r="D740" s="1" t="str">
        <f ca="1">IFERROR(__xludf.DUMMYFUNCTION("""COMPUTED_VALUE"""),"LAYAK UPLOAD KE SIMBELMAWA DENGAN REVISI")</f>
        <v>LAYAK UPLOAD KE SIMBELMAWA DENGAN REVISI</v>
      </c>
      <c r="E740" s="7" t="str">
        <f ca="1">IFERROR(__xludf.DUMMYFUNCTION("""COMPUTED_VALUE"""),"https://drive.google.com/open?id=1YZQ5BWO0Bnzcks4WGOOWmIVc8ZykIcAg")</f>
        <v>https://drive.google.com/open?id=1YZQ5BWO0Bnzcks4WGOOWmIVc8ZykIcAg</v>
      </c>
      <c r="H740" s="4"/>
      <c r="I740" s="4"/>
      <c r="J740" s="4"/>
      <c r="K740" s="4"/>
      <c r="L740" s="4"/>
    </row>
    <row r="741" spans="1:12">
      <c r="A741" s="1">
        <f ca="1">IFERROR(__xludf.DUMMYFUNCTION("""COMPUTED_VALUE"""),2261)</f>
        <v>2261</v>
      </c>
      <c r="B741" s="1" t="str">
        <f ca="1">IFERROR(__xludf.DUMMYFUNCTION("""COMPUTED_VALUE"""),"PKM PI")</f>
        <v>PKM PI</v>
      </c>
      <c r="C741" s="1" t="str">
        <f ca="1">IFERROR(__xludf.DUMMYFUNCTION("""COMPUTED_VALUE"""),"rumusan masalah seharusnya berupa pertanyaan; anggaran biaya perlu diubah (perhatikan batas maksimal tiap jenis pengeluaran)")</f>
        <v>rumusan masalah seharusnya berupa pertanyaan; anggaran biaya perlu diubah (perhatikan batas maksimal tiap jenis pengeluaran)</v>
      </c>
      <c r="D741" s="1" t="str">
        <f ca="1">IFERROR(__xludf.DUMMYFUNCTION("""COMPUTED_VALUE"""),"LAYAK UPLOAD KE SIMBELMAWA DENGAN REVISI")</f>
        <v>LAYAK UPLOAD KE SIMBELMAWA DENGAN REVISI</v>
      </c>
      <c r="E741" s="7" t="str">
        <f ca="1">IFERROR(__xludf.DUMMYFUNCTION("""COMPUTED_VALUE"""),"https://drive.google.com/open?id=1HO38cVx6602FWiEr0teAIalIRzRlZRgP")</f>
        <v>https://drive.google.com/open?id=1HO38cVx6602FWiEr0teAIalIRzRlZRgP</v>
      </c>
      <c r="H741" s="4"/>
      <c r="I741" s="4"/>
      <c r="J741" s="4"/>
      <c r="K741" s="4"/>
      <c r="L741" s="4"/>
    </row>
    <row r="742" spans="1:12">
      <c r="A742" s="1">
        <f ca="1">IFERROR(__xludf.DUMMYFUNCTION("""COMPUTED_VALUE"""),2955)</f>
        <v>2955</v>
      </c>
      <c r="B742" s="1" t="str">
        <f ca="1">IFERROR(__xludf.DUMMYFUNCTION("""COMPUTED_VALUE"""),"PKM PI")</f>
        <v>PKM PI</v>
      </c>
      <c r="C742" s="1" t="str">
        <f ca="1">IFERROR(__xludf.DUMMYFUNCTION("""COMPUTED_VALUE"""),"format masih salah; anggaran tidak wajar dan tidak sesuai format")</f>
        <v>format masih salah; anggaran tidak wajar dan tidak sesuai format</v>
      </c>
      <c r="D742" s="1" t="str">
        <f ca="1">IFERROR(__xludf.DUMMYFUNCTION("""COMPUTED_VALUE"""),"TIDAK LAYAK UPLOAD KE SIMBELMAWA")</f>
        <v>TIDAK LAYAK UPLOAD KE SIMBELMAWA</v>
      </c>
      <c r="E742" s="7" t="str">
        <f ca="1">IFERROR(__xludf.DUMMYFUNCTION("""COMPUTED_VALUE"""),"https://drive.google.com/open?id=1OuI7zcfChYh1xfDaLxnuXCm8w4fnh46Y")</f>
        <v>https://drive.google.com/open?id=1OuI7zcfChYh1xfDaLxnuXCm8w4fnh46Y</v>
      </c>
      <c r="H742" s="4"/>
      <c r="I742" s="4"/>
      <c r="J742" s="4"/>
      <c r="K742" s="4"/>
      <c r="L742" s="4"/>
    </row>
    <row r="743" spans="1:12">
      <c r="A743" s="1">
        <f ca="1">IFERROR(__xludf.DUMMYFUNCTION("""COMPUTED_VALUE"""),2934)</f>
        <v>2934</v>
      </c>
      <c r="B743" s="1" t="str">
        <f ca="1">IFERROR(__xludf.DUMMYFUNCTION("""COMPUTED_VALUE"""),"PKM PI")</f>
        <v>PKM PI</v>
      </c>
      <c r="C743" s="1" t="str">
        <f ca="1">IFERROR(__xludf.DUMMYFUNCTION("""COMPUTED_VALUE"""),"penerapan IPTEKnya tidak kelihatan, hanya sebatas membuat website")</f>
        <v>penerapan IPTEKnya tidak kelihatan, hanya sebatas membuat website</v>
      </c>
      <c r="D743" s="1" t="str">
        <f ca="1">IFERROR(__xludf.DUMMYFUNCTION("""COMPUTED_VALUE"""),"TIDAK LAYAK UPLOAD KE SIMBELMAWA")</f>
        <v>TIDAK LAYAK UPLOAD KE SIMBELMAWA</v>
      </c>
      <c r="E743" s="7" t="str">
        <f ca="1">IFERROR(__xludf.DUMMYFUNCTION("""COMPUTED_VALUE"""),"https://drive.google.com/open?id=1wEOle1o2ahWhiHDg1DfL823BazDTpR-a")</f>
        <v>https://drive.google.com/open?id=1wEOle1o2ahWhiHDg1DfL823BazDTpR-a</v>
      </c>
      <c r="H743" s="4"/>
      <c r="I743" s="4"/>
      <c r="J743" s="4"/>
      <c r="K743" s="4"/>
      <c r="L743" s="4"/>
    </row>
    <row r="744" spans="1:12">
      <c r="A744" s="1">
        <f ca="1">IFERROR(__xludf.DUMMYFUNCTION("""COMPUTED_VALUE"""),2727)</f>
        <v>2727</v>
      </c>
      <c r="B744" s="1" t="str">
        <f ca="1">IFERROR(__xludf.DUMMYFUNCTION("""COMPUTED_VALUE"""),"PKM PI")</f>
        <v>PKM PI</v>
      </c>
      <c r="C744" s="1" t="str">
        <f ca="1">IFERROR(__xludf.DUMMYFUNCTION("""COMPUTED_VALUE"""),"proposal tidak sesuai format baru; tidak ada daftar pustaka")</f>
        <v>proposal tidak sesuai format baru; tidak ada daftar pustaka</v>
      </c>
      <c r="D744" s="1" t="str">
        <f ca="1">IFERROR(__xludf.DUMMYFUNCTION("""COMPUTED_VALUE"""),"TIDAK LAYAK UPLOAD KE SIMBELMAWA")</f>
        <v>TIDAK LAYAK UPLOAD KE SIMBELMAWA</v>
      </c>
      <c r="E744" s="1"/>
      <c r="H744" s="4"/>
      <c r="I744" s="4"/>
      <c r="J744" s="4"/>
      <c r="K744" s="4"/>
      <c r="L744" s="4"/>
    </row>
    <row r="745" spans="1:12">
      <c r="A745" s="1">
        <f ca="1">IFERROR(__xludf.DUMMYFUNCTION("""COMPUTED_VALUE"""),2139)</f>
        <v>2139</v>
      </c>
      <c r="B745" s="1" t="str">
        <f ca="1">IFERROR(__xludf.DUMMYFUNCTION("""COMPUTED_VALUE"""),"PKM PI")</f>
        <v>PKM PI</v>
      </c>
      <c r="C745" s="1" t="str">
        <f ca="1">IFERROR(__xludf.DUMMYFUNCTION("""COMPUTED_VALUE"""),"Problem tidak berasal dari mitra; sebaiknya pindah ke KC jika memungkinkan")</f>
        <v>Problem tidak berasal dari mitra; sebaiknya pindah ke KC jika memungkinkan</v>
      </c>
      <c r="D745" s="1" t="str">
        <f ca="1">IFERROR(__xludf.DUMMYFUNCTION("""COMPUTED_VALUE"""),"LAYAK UPLOAD KE SIMBELMAWA DENGAN REVISI")</f>
        <v>LAYAK UPLOAD KE SIMBELMAWA DENGAN REVISI</v>
      </c>
      <c r="E745" s="7" t="str">
        <f ca="1">IFERROR(__xludf.DUMMYFUNCTION("""COMPUTED_VALUE"""),"https://drive.google.com/open?id=1kXi1I-M0MetwtoHY4r4Q5_xw0U6Mk-dY")</f>
        <v>https://drive.google.com/open?id=1kXi1I-M0MetwtoHY4r4Q5_xw0U6Mk-dY</v>
      </c>
      <c r="H745" s="4"/>
      <c r="I745" s="4"/>
      <c r="J745" s="4"/>
      <c r="K745" s="4"/>
      <c r="L745" s="4"/>
    </row>
    <row r="746" spans="1:12">
      <c r="A746" s="1">
        <f ca="1">IFERROR(__xludf.DUMMYFUNCTION("""COMPUTED_VALUE"""),3915)</f>
        <v>3915</v>
      </c>
      <c r="B746" s="1" t="str">
        <f ca="1">IFERROR(__xludf.DUMMYFUNCTION("""COMPUTED_VALUE"""),"PKM PI")</f>
        <v>PKM PI</v>
      </c>
      <c r="C746" s="1" t="str">
        <f ca="1">IFERROR(__xludf.DUMMYFUNCTION("""COMPUTED_VALUE"""),"latar belakang terlalu singkat; caption tabel seharusnya diatas; lampiran yang ada ttd harus diganti dg tanggal yang baru")</f>
        <v>latar belakang terlalu singkat; caption tabel seharusnya diatas; lampiran yang ada ttd harus diganti dg tanggal yang baru</v>
      </c>
      <c r="D746" s="1" t="str">
        <f ca="1">IFERROR(__xludf.DUMMYFUNCTION("""COMPUTED_VALUE"""),"LAYAK UPLOAD KE SIMBELMAWA DENGAN REVISI")</f>
        <v>LAYAK UPLOAD KE SIMBELMAWA DENGAN REVISI</v>
      </c>
      <c r="E746" s="1"/>
      <c r="H746" s="4"/>
      <c r="I746" s="4"/>
      <c r="J746" s="4"/>
      <c r="K746" s="4"/>
      <c r="L746" s="4"/>
    </row>
    <row r="747" spans="1:12">
      <c r="A747" s="1">
        <f ca="1">IFERROR(__xludf.DUMMYFUNCTION("""COMPUTED_VALUE"""),2268)</f>
        <v>2268</v>
      </c>
      <c r="B747" s="1" t="str">
        <f ca="1">IFERROR(__xludf.DUMMYFUNCTION("""COMPUTED_VALUE"""),"PKM PI")</f>
        <v>PKM PI</v>
      </c>
      <c r="C747" s="1" t="str">
        <f ca="1">IFERROR(__xludf.DUMMYFUNCTION("""COMPUTED_VALUE"""),"Perlu ditambahkan Kondisi Mitra di Tinjauan Pustaka; penulisan angka di Tabel 4.1 perlu diperbaiki")</f>
        <v>Perlu ditambahkan Kondisi Mitra di Tinjauan Pustaka; penulisan angka di Tabel 4.1 perlu diperbaiki</v>
      </c>
      <c r="D747" s="1" t="str">
        <f ca="1">IFERROR(__xludf.DUMMYFUNCTION("""COMPUTED_VALUE"""),"LAYAK UPLOAD KE SIMBELMAWA DENGAN REVISI")</f>
        <v>LAYAK UPLOAD KE SIMBELMAWA DENGAN REVISI</v>
      </c>
      <c r="E747" s="7" t="str">
        <f ca="1">IFERROR(__xludf.DUMMYFUNCTION("""COMPUTED_VALUE"""),"https://drive.google.com/open?id=1UzC69MtGqgXCvbVoxmorTdxU0GapBV2X")</f>
        <v>https://drive.google.com/open?id=1UzC69MtGqgXCvbVoxmorTdxU0GapBV2X</v>
      </c>
      <c r="H747" s="4"/>
      <c r="I747" s="4"/>
      <c r="J747" s="4"/>
      <c r="K747" s="4"/>
      <c r="L747" s="4"/>
    </row>
    <row r="748" spans="1:12">
      <c r="A748" s="1">
        <f ca="1">IFERROR(__xludf.DUMMYFUNCTION("""COMPUTED_VALUE"""),2834)</f>
        <v>2834</v>
      </c>
      <c r="B748" s="1" t="str">
        <f ca="1">IFERROR(__xludf.DUMMYFUNCTION("""COMPUTED_VALUE"""),"PKM PI")</f>
        <v>PKM PI</v>
      </c>
      <c r="C748" s="1" t="str">
        <f ca="1">IFERROR(__xludf.DUMMYFUNCTION("""COMPUTED_VALUE"""),"Permasalahan dari mitra tidak terjelaskan dengan baik")</f>
        <v>Permasalahan dari mitra tidak terjelaskan dengan baik</v>
      </c>
      <c r="D748" s="1" t="str">
        <f ca="1">IFERROR(__xludf.DUMMYFUNCTION("""COMPUTED_VALUE"""),"LAYAK UPLOAD KE SIMBELMAWA DENGAN REVISI")</f>
        <v>LAYAK UPLOAD KE SIMBELMAWA DENGAN REVISI</v>
      </c>
      <c r="E748" s="7" t="str">
        <f ca="1">IFERROR(__xludf.DUMMYFUNCTION("""COMPUTED_VALUE"""),"https://drive.google.com/open?id=1FP8d3GXRrK_UFG2XjGs-xzjfcRH4PvP7")</f>
        <v>https://drive.google.com/open?id=1FP8d3GXRrK_UFG2XjGs-xzjfcRH4PvP7</v>
      </c>
      <c r="H748" s="4"/>
      <c r="I748" s="4"/>
      <c r="J748" s="4"/>
      <c r="K748" s="4"/>
      <c r="L748" s="4"/>
    </row>
    <row r="749" spans="1:12">
      <c r="A749" s="1">
        <f ca="1">IFERROR(__xludf.DUMMYFUNCTION("""COMPUTED_VALUE"""),3392)</f>
        <v>3392</v>
      </c>
      <c r="B749" s="1" t="str">
        <f ca="1">IFERROR(__xludf.DUMMYFUNCTION("""COMPUTED_VALUE"""),"PKM PI")</f>
        <v>PKM PI</v>
      </c>
      <c r="C749" s="1" t="str">
        <f ca="1">IFERROR(__xludf.DUMMYFUNCTION("""COMPUTED_VALUE"""),"Masih banyak yang tidak sesuai format (terutama anggaran biaya). Hampir tidak ada perubahan dari proposal awal.")</f>
        <v>Masih banyak yang tidak sesuai format (terutama anggaran biaya). Hampir tidak ada perubahan dari proposal awal.</v>
      </c>
      <c r="D749" s="1" t="str">
        <f ca="1">IFERROR(__xludf.DUMMYFUNCTION("""COMPUTED_VALUE"""),"TIDAK LAYAK UPLOAD KE SIMBELMAWA")</f>
        <v>TIDAK LAYAK UPLOAD KE SIMBELMAWA</v>
      </c>
      <c r="E749" s="7" t="str">
        <f ca="1">IFERROR(__xludf.DUMMYFUNCTION("""COMPUTED_VALUE"""),"https://drive.google.com/open?id=1lRg7klVbWU_iNUWDhuMYjpuSuQjzpdVc")</f>
        <v>https://drive.google.com/open?id=1lRg7klVbWU_iNUWDhuMYjpuSuQjzpdVc</v>
      </c>
      <c r="H749" s="4"/>
      <c r="I749" s="4"/>
      <c r="J749" s="4"/>
      <c r="K749" s="4"/>
      <c r="L749" s="4"/>
    </row>
    <row r="750" spans="1:12">
      <c r="A750" s="1"/>
      <c r="B750" s="1"/>
      <c r="C750" s="1" t="str">
        <f ca="1">IFERROR(__xludf.DUMMYFUNCTION("""COMPUTED_VALUE""")," ")</f>
        <v xml:space="preserve"> </v>
      </c>
      <c r="D750" s="1"/>
      <c r="E750" s="1"/>
      <c r="H750" s="4"/>
      <c r="I750" s="4"/>
      <c r="J750" s="4"/>
      <c r="K750" s="4"/>
      <c r="L750" s="4"/>
    </row>
    <row r="751" spans="1:12">
      <c r="A751" s="1"/>
      <c r="B751" s="1"/>
      <c r="C751" s="1" t="str">
        <f ca="1">IFERROR(__xludf.DUMMYFUNCTION("""COMPUTED_VALUE""")," ")</f>
        <v xml:space="preserve"> </v>
      </c>
      <c r="D751" s="1"/>
      <c r="E751" s="1"/>
      <c r="H751" s="4"/>
      <c r="I751" s="4"/>
      <c r="J751" s="4"/>
      <c r="K751" s="4"/>
      <c r="L751" s="4"/>
    </row>
    <row r="752" spans="1:12">
      <c r="A752" s="1"/>
      <c r="B752" s="1"/>
      <c r="C752" s="1" t="str">
        <f ca="1">IFERROR(__xludf.DUMMYFUNCTION("""COMPUTED_VALUE""")," ")</f>
        <v xml:space="preserve"> </v>
      </c>
      <c r="D752" s="1"/>
      <c r="E752" s="1"/>
      <c r="H752" s="4"/>
      <c r="I752" s="4"/>
      <c r="J752" s="4"/>
      <c r="K752" s="4"/>
      <c r="L752" s="4"/>
    </row>
    <row r="753" spans="1:12">
      <c r="A753" s="1"/>
      <c r="B753" s="1"/>
      <c r="C753" s="1" t="str">
        <f ca="1">IFERROR(__xludf.DUMMYFUNCTION("""COMPUTED_VALUE""")," ")</f>
        <v xml:space="preserve"> </v>
      </c>
      <c r="D753" s="1"/>
      <c r="E753" s="1"/>
      <c r="H753" s="4"/>
      <c r="I753" s="4"/>
      <c r="J753" s="4"/>
      <c r="K753" s="4"/>
      <c r="L753" s="4"/>
    </row>
    <row r="754" spans="1:12">
      <c r="A754" s="1"/>
      <c r="B754" s="1"/>
      <c r="C754" s="1" t="str">
        <f ca="1">IFERROR(__xludf.DUMMYFUNCTION("""COMPUTED_VALUE""")," ")</f>
        <v xml:space="preserve"> </v>
      </c>
      <c r="D754" s="1"/>
      <c r="E754" s="1"/>
      <c r="H754" s="4"/>
      <c r="I754" s="4"/>
      <c r="J754" s="4"/>
      <c r="K754" s="4"/>
      <c r="L754" s="4"/>
    </row>
    <row r="755" spans="1:12">
      <c r="A755" s="1"/>
      <c r="B755" s="1"/>
      <c r="C755" s="1" t="str">
        <f ca="1">IFERROR(__xludf.DUMMYFUNCTION("""COMPUTED_VALUE""")," ")</f>
        <v xml:space="preserve"> </v>
      </c>
      <c r="D755" s="1"/>
      <c r="E755" s="1"/>
      <c r="H755" s="4"/>
      <c r="I755" s="4"/>
      <c r="J755" s="4"/>
      <c r="K755" s="4"/>
      <c r="L755" s="4"/>
    </row>
    <row r="756" spans="1:12">
      <c r="A756" s="1"/>
      <c r="B756" s="1"/>
      <c r="C756" s="1" t="str">
        <f ca="1">IFERROR(__xludf.DUMMYFUNCTION("""COMPUTED_VALUE""")," ")</f>
        <v xml:space="preserve"> </v>
      </c>
      <c r="D756" s="1"/>
      <c r="E756" s="1"/>
      <c r="H756" s="4"/>
      <c r="I756" s="4"/>
      <c r="J756" s="4"/>
      <c r="K756" s="4"/>
      <c r="L756" s="4"/>
    </row>
    <row r="757" spans="1:12">
      <c r="A757" s="1"/>
      <c r="B757" s="1"/>
      <c r="C757" s="1" t="str">
        <f ca="1">IFERROR(__xludf.DUMMYFUNCTION("""COMPUTED_VALUE""")," ")</f>
        <v xml:space="preserve"> </v>
      </c>
      <c r="D757" s="1"/>
      <c r="E757" s="1"/>
      <c r="H757" s="4"/>
      <c r="I757" s="4"/>
      <c r="J757" s="4"/>
      <c r="K757" s="4"/>
      <c r="L757" s="4"/>
    </row>
    <row r="758" spans="1:12">
      <c r="A758" s="1"/>
      <c r="B758" s="1"/>
      <c r="C758" s="1" t="str">
        <f ca="1">IFERROR(__xludf.DUMMYFUNCTION("""COMPUTED_VALUE""")," ")</f>
        <v xml:space="preserve"> </v>
      </c>
      <c r="D758" s="1"/>
      <c r="E758" s="1"/>
      <c r="H758" s="4"/>
      <c r="I758" s="4"/>
      <c r="J758" s="4"/>
      <c r="K758" s="4"/>
      <c r="L758" s="4"/>
    </row>
    <row r="759" spans="1:12">
      <c r="A759" s="1"/>
      <c r="B759" s="1"/>
      <c r="C759" s="1" t="str">
        <f ca="1">IFERROR(__xludf.DUMMYFUNCTION("""COMPUTED_VALUE""")," ")</f>
        <v xml:space="preserve"> </v>
      </c>
      <c r="D759" s="1"/>
      <c r="E759" s="1"/>
      <c r="H759" s="4"/>
      <c r="I759" s="4"/>
      <c r="J759" s="4"/>
      <c r="K759" s="4"/>
      <c r="L759" s="4"/>
    </row>
    <row r="760" spans="1:12">
      <c r="A760" s="1"/>
      <c r="B760" s="1"/>
      <c r="C760" s="1" t="str">
        <f ca="1">IFERROR(__xludf.DUMMYFUNCTION("""COMPUTED_VALUE""")," ")</f>
        <v xml:space="preserve"> </v>
      </c>
      <c r="D760" s="1"/>
      <c r="E760" s="1"/>
      <c r="H760" s="4"/>
      <c r="I760" s="4"/>
      <c r="J760" s="4"/>
      <c r="K760" s="4"/>
      <c r="L760" s="4"/>
    </row>
    <row r="761" spans="1:12">
      <c r="A761" s="1"/>
      <c r="B761" s="1"/>
      <c r="C761" s="1" t="str">
        <f ca="1">IFERROR(__xludf.DUMMYFUNCTION("""COMPUTED_VALUE""")," ")</f>
        <v xml:space="preserve"> </v>
      </c>
      <c r="D761" s="1"/>
      <c r="E761" s="1"/>
      <c r="H761" s="4"/>
      <c r="I761" s="4"/>
      <c r="J761" s="4"/>
      <c r="K761" s="4"/>
      <c r="L761" s="4"/>
    </row>
    <row r="762" spans="1:12">
      <c r="A762" s="1"/>
      <c r="B762" s="1"/>
      <c r="C762" s="1" t="str">
        <f ca="1">IFERROR(__xludf.DUMMYFUNCTION("""COMPUTED_VALUE""")," ")</f>
        <v xml:space="preserve"> </v>
      </c>
      <c r="D762" s="1"/>
      <c r="E762" s="1"/>
      <c r="H762" s="4"/>
      <c r="I762" s="4"/>
      <c r="J762" s="4"/>
      <c r="K762" s="4"/>
      <c r="L762" s="4"/>
    </row>
    <row r="763" spans="1:12">
      <c r="A763" s="1"/>
      <c r="B763" s="1"/>
      <c r="C763" s="1" t="str">
        <f ca="1">IFERROR(__xludf.DUMMYFUNCTION("""COMPUTED_VALUE""")," ")</f>
        <v xml:space="preserve"> </v>
      </c>
      <c r="D763" s="1"/>
      <c r="E763" s="1"/>
      <c r="H763" s="4"/>
      <c r="I763" s="4"/>
      <c r="J763" s="4"/>
      <c r="K763" s="4"/>
      <c r="L763" s="4"/>
    </row>
    <row r="764" spans="1:12">
      <c r="A764" s="1"/>
      <c r="B764" s="1"/>
      <c r="C764" s="1" t="str">
        <f ca="1">IFERROR(__xludf.DUMMYFUNCTION("""COMPUTED_VALUE""")," ")</f>
        <v xml:space="preserve"> </v>
      </c>
      <c r="D764" s="1"/>
      <c r="E764" s="1"/>
      <c r="H764" s="4"/>
      <c r="I764" s="4"/>
      <c r="J764" s="4"/>
      <c r="K764" s="4"/>
      <c r="L764" s="4"/>
    </row>
    <row r="765" spans="1:12">
      <c r="A765" s="1"/>
      <c r="B765" s="1"/>
      <c r="C765" s="1" t="str">
        <f ca="1">IFERROR(__xludf.DUMMYFUNCTION("""COMPUTED_VALUE""")," ")</f>
        <v xml:space="preserve"> </v>
      </c>
      <c r="D765" s="1"/>
      <c r="E765" s="1"/>
      <c r="H765" s="4"/>
      <c r="I765" s="4"/>
      <c r="J765" s="4"/>
      <c r="K765" s="4"/>
      <c r="L765" s="4"/>
    </row>
    <row r="766" spans="1:12">
      <c r="A766" s="1"/>
      <c r="B766" s="1"/>
      <c r="C766" s="1" t="str">
        <f ca="1">IFERROR(__xludf.DUMMYFUNCTION("""COMPUTED_VALUE""")," ")</f>
        <v xml:space="preserve"> </v>
      </c>
      <c r="D766" s="1"/>
      <c r="E766" s="1"/>
      <c r="H766" s="4"/>
      <c r="I766" s="4"/>
      <c r="J766" s="4"/>
      <c r="K766" s="4"/>
      <c r="L766" s="4"/>
    </row>
    <row r="767" spans="1:12">
      <c r="A767" s="1"/>
      <c r="B767" s="1"/>
      <c r="C767" s="1" t="str">
        <f ca="1">IFERROR(__xludf.DUMMYFUNCTION("""COMPUTED_VALUE""")," ")</f>
        <v xml:space="preserve"> </v>
      </c>
      <c r="D767" s="1"/>
      <c r="E767" s="1"/>
      <c r="H767" s="4"/>
      <c r="I767" s="4"/>
      <c r="J767" s="4"/>
      <c r="K767" s="4"/>
      <c r="L767" s="4"/>
    </row>
    <row r="768" spans="1:12">
      <c r="A768" s="1"/>
      <c r="B768" s="1"/>
      <c r="C768" s="1" t="str">
        <f ca="1">IFERROR(__xludf.DUMMYFUNCTION("""COMPUTED_VALUE""")," ")</f>
        <v xml:space="preserve"> </v>
      </c>
      <c r="D768" s="1"/>
      <c r="E768" s="1"/>
      <c r="H768" s="4"/>
      <c r="I768" s="4"/>
      <c r="J768" s="4"/>
      <c r="K768" s="4"/>
      <c r="L768" s="4"/>
    </row>
    <row r="769" spans="1:12">
      <c r="A769" s="1"/>
      <c r="B769" s="1"/>
      <c r="C769" s="1" t="str">
        <f ca="1">IFERROR(__xludf.DUMMYFUNCTION("""COMPUTED_VALUE""")," ")</f>
        <v xml:space="preserve"> </v>
      </c>
      <c r="D769" s="1"/>
      <c r="E769" s="1"/>
      <c r="H769" s="4"/>
      <c r="I769" s="4"/>
      <c r="J769" s="4"/>
      <c r="K769" s="4"/>
      <c r="L769" s="4"/>
    </row>
    <row r="770" spans="1:12">
      <c r="A770" s="1"/>
      <c r="B770" s="1"/>
      <c r="C770" s="1" t="str">
        <f ca="1">IFERROR(__xludf.DUMMYFUNCTION("""COMPUTED_VALUE""")," ")</f>
        <v xml:space="preserve"> </v>
      </c>
      <c r="D770" s="1"/>
      <c r="E770" s="1"/>
      <c r="H770" s="4"/>
      <c r="I770" s="4"/>
      <c r="J770" s="4"/>
      <c r="K770" s="4"/>
      <c r="L770" s="4"/>
    </row>
    <row r="771" spans="1:12">
      <c r="A771" s="1"/>
      <c r="B771" s="1"/>
      <c r="C771" s="1" t="str">
        <f ca="1">IFERROR(__xludf.DUMMYFUNCTION("""COMPUTED_VALUE""")," ")</f>
        <v xml:space="preserve"> </v>
      </c>
      <c r="D771" s="1"/>
      <c r="E771" s="1"/>
      <c r="H771" s="4"/>
      <c r="I771" s="4"/>
      <c r="J771" s="4"/>
      <c r="K771" s="4"/>
      <c r="L771" s="4"/>
    </row>
    <row r="772" spans="1:12">
      <c r="A772" s="1"/>
      <c r="B772" s="1"/>
      <c r="C772" s="1" t="str">
        <f ca="1">IFERROR(__xludf.DUMMYFUNCTION("""COMPUTED_VALUE""")," ")</f>
        <v xml:space="preserve"> </v>
      </c>
      <c r="D772" s="1"/>
      <c r="E772" s="1"/>
      <c r="H772" s="4"/>
      <c r="I772" s="4"/>
      <c r="J772" s="4"/>
      <c r="K772" s="4"/>
      <c r="L772" s="4"/>
    </row>
    <row r="773" spans="1:12">
      <c r="A773" s="1"/>
      <c r="B773" s="1"/>
      <c r="C773" s="1" t="str">
        <f ca="1">IFERROR(__xludf.DUMMYFUNCTION("""COMPUTED_VALUE""")," ")</f>
        <v xml:space="preserve"> </v>
      </c>
      <c r="D773" s="1"/>
      <c r="E773" s="1"/>
      <c r="H773" s="4"/>
      <c r="I773" s="4"/>
      <c r="J773" s="4"/>
      <c r="K773" s="4"/>
      <c r="L773" s="4"/>
    </row>
    <row r="774" spans="1:12">
      <c r="A774" s="1"/>
      <c r="B774" s="1"/>
      <c r="C774" s="1" t="str">
        <f ca="1">IFERROR(__xludf.DUMMYFUNCTION("""COMPUTED_VALUE""")," ")</f>
        <v xml:space="preserve"> </v>
      </c>
      <c r="D774" s="1"/>
      <c r="E774" s="1"/>
      <c r="H774" s="4"/>
      <c r="I774" s="4"/>
      <c r="J774" s="4"/>
      <c r="K774" s="4"/>
      <c r="L774" s="4"/>
    </row>
    <row r="775" spans="1:12">
      <c r="A775" s="1"/>
      <c r="B775" s="1"/>
      <c r="C775" s="1" t="str">
        <f ca="1">IFERROR(__xludf.DUMMYFUNCTION("""COMPUTED_VALUE""")," ")</f>
        <v xml:space="preserve"> </v>
      </c>
      <c r="D775" s="1"/>
      <c r="E775" s="1"/>
      <c r="H775" s="4"/>
      <c r="I775" s="4"/>
      <c r="J775" s="4"/>
      <c r="K775" s="4"/>
      <c r="L775" s="4"/>
    </row>
    <row r="776" spans="1:12">
      <c r="A776" s="1"/>
      <c r="B776" s="1"/>
      <c r="C776" s="1" t="str">
        <f ca="1">IFERROR(__xludf.DUMMYFUNCTION("""COMPUTED_VALUE""")," ")</f>
        <v xml:space="preserve"> </v>
      </c>
      <c r="D776" s="1"/>
      <c r="E776" s="1"/>
      <c r="H776" s="4"/>
      <c r="I776" s="4"/>
      <c r="J776" s="4"/>
      <c r="K776" s="4"/>
      <c r="L776" s="4"/>
    </row>
    <row r="777" spans="1:12">
      <c r="A777" s="1"/>
      <c r="B777" s="1"/>
      <c r="C777" s="1" t="str">
        <f ca="1">IFERROR(__xludf.DUMMYFUNCTION("""COMPUTED_VALUE""")," ")</f>
        <v xml:space="preserve"> </v>
      </c>
      <c r="D777" s="1"/>
      <c r="E777" s="1"/>
      <c r="H777" s="4"/>
      <c r="I777" s="4"/>
      <c r="J777" s="4"/>
      <c r="K777" s="4"/>
      <c r="L777" s="4"/>
    </row>
    <row r="778" spans="1:12">
      <c r="A778" s="1"/>
      <c r="B778" s="1"/>
      <c r="C778" s="1" t="str">
        <f ca="1">IFERROR(__xludf.DUMMYFUNCTION("""COMPUTED_VALUE""")," ")</f>
        <v xml:space="preserve"> </v>
      </c>
      <c r="D778" s="1"/>
      <c r="E778" s="1"/>
      <c r="H778" s="4"/>
      <c r="I778" s="4"/>
      <c r="J778" s="4"/>
      <c r="K778" s="4"/>
      <c r="L778" s="4"/>
    </row>
    <row r="779" spans="1:12">
      <c r="A779" s="1"/>
      <c r="B779" s="1"/>
      <c r="C779" s="1" t="str">
        <f ca="1">IFERROR(__xludf.DUMMYFUNCTION("""COMPUTED_VALUE""")," ")</f>
        <v xml:space="preserve"> </v>
      </c>
      <c r="D779" s="1"/>
      <c r="E779" s="1"/>
      <c r="H779" s="4"/>
      <c r="I779" s="4"/>
      <c r="J779" s="4"/>
      <c r="K779" s="4"/>
      <c r="L779" s="4"/>
    </row>
    <row r="780" spans="1:12">
      <c r="A780" s="1"/>
      <c r="B780" s="1"/>
      <c r="C780" s="1" t="str">
        <f ca="1">IFERROR(__xludf.DUMMYFUNCTION("""COMPUTED_VALUE""")," ")</f>
        <v xml:space="preserve"> </v>
      </c>
      <c r="D780" s="1"/>
      <c r="E780" s="1"/>
      <c r="H780" s="4"/>
      <c r="I780" s="4"/>
      <c r="J780" s="4"/>
      <c r="K780" s="4"/>
      <c r="L780" s="4"/>
    </row>
    <row r="781" spans="1:12">
      <c r="A781" s="1"/>
      <c r="B781" s="1"/>
      <c r="C781" s="1" t="str">
        <f ca="1">IFERROR(__xludf.DUMMYFUNCTION("""COMPUTED_VALUE""")," ")</f>
        <v xml:space="preserve"> </v>
      </c>
      <c r="D781" s="1"/>
      <c r="E781" s="1"/>
      <c r="H781" s="4"/>
      <c r="I781" s="4"/>
      <c r="J781" s="4"/>
      <c r="K781" s="4"/>
      <c r="L781" s="4"/>
    </row>
    <row r="782" spans="1:12">
      <c r="A782" s="1"/>
      <c r="B782" s="1"/>
      <c r="C782" s="1" t="str">
        <f ca="1">IFERROR(__xludf.DUMMYFUNCTION("""COMPUTED_VALUE""")," ")</f>
        <v xml:space="preserve"> </v>
      </c>
      <c r="D782" s="1"/>
      <c r="E782" s="1"/>
      <c r="H782" s="4"/>
      <c r="I782" s="4"/>
      <c r="J782" s="4"/>
      <c r="K782" s="4"/>
      <c r="L782" s="4"/>
    </row>
    <row r="783" spans="1:12">
      <c r="A783" s="1"/>
      <c r="B783" s="1"/>
      <c r="C783" s="1" t="str">
        <f ca="1">IFERROR(__xludf.DUMMYFUNCTION("""COMPUTED_VALUE""")," ")</f>
        <v xml:space="preserve"> </v>
      </c>
      <c r="D783" s="1"/>
      <c r="E783" s="1"/>
      <c r="H783" s="4"/>
      <c r="I783" s="4"/>
      <c r="J783" s="4"/>
      <c r="K783" s="4"/>
      <c r="L783" s="4"/>
    </row>
    <row r="784" spans="1:12">
      <c r="A784" s="1"/>
      <c r="B784" s="1"/>
      <c r="C784" s="1" t="str">
        <f ca="1">IFERROR(__xludf.DUMMYFUNCTION("""COMPUTED_VALUE""")," ")</f>
        <v xml:space="preserve"> </v>
      </c>
      <c r="D784" s="1"/>
      <c r="E784" s="1"/>
      <c r="H784" s="4"/>
      <c r="I784" s="4"/>
      <c r="J784" s="4"/>
      <c r="K784" s="4"/>
      <c r="L784" s="4"/>
    </row>
    <row r="785" spans="1:12">
      <c r="A785" s="1"/>
      <c r="B785" s="1"/>
      <c r="C785" s="1" t="str">
        <f ca="1">IFERROR(__xludf.DUMMYFUNCTION("""COMPUTED_VALUE""")," ")</f>
        <v xml:space="preserve"> </v>
      </c>
      <c r="D785" s="1"/>
      <c r="E785" s="1"/>
      <c r="H785" s="4"/>
      <c r="I785" s="4"/>
      <c r="J785" s="4"/>
      <c r="K785" s="4"/>
      <c r="L785" s="4"/>
    </row>
    <row r="786" spans="1:12">
      <c r="A786" s="1"/>
      <c r="B786" s="1"/>
      <c r="C786" s="1" t="str">
        <f ca="1">IFERROR(__xludf.DUMMYFUNCTION("""COMPUTED_VALUE""")," ")</f>
        <v xml:space="preserve"> </v>
      </c>
      <c r="D786" s="1"/>
      <c r="E786" s="1"/>
      <c r="H786" s="4"/>
      <c r="I786" s="4"/>
      <c r="J786" s="4"/>
      <c r="K786" s="4"/>
      <c r="L786" s="4"/>
    </row>
    <row r="787" spans="1:12">
      <c r="A787" s="1"/>
      <c r="B787" s="1"/>
      <c r="C787" s="1" t="str">
        <f ca="1">IFERROR(__xludf.DUMMYFUNCTION("""COMPUTED_VALUE""")," ")</f>
        <v xml:space="preserve"> </v>
      </c>
      <c r="D787" s="1"/>
      <c r="E787" s="1"/>
      <c r="H787" s="4"/>
      <c r="I787" s="4"/>
      <c r="J787" s="4"/>
      <c r="K787" s="4"/>
      <c r="L787" s="4"/>
    </row>
    <row r="788" spans="1:12">
      <c r="A788" s="1"/>
      <c r="B788" s="1"/>
      <c r="C788" s="1" t="str">
        <f ca="1">IFERROR(__xludf.DUMMYFUNCTION("""COMPUTED_VALUE""")," ")</f>
        <v xml:space="preserve"> </v>
      </c>
      <c r="D788" s="1"/>
      <c r="E788" s="1"/>
      <c r="H788" s="4"/>
      <c r="I788" s="4"/>
      <c r="J788" s="4"/>
      <c r="K788" s="4"/>
      <c r="L788" s="4"/>
    </row>
    <row r="789" spans="1:12">
      <c r="A789" s="1"/>
      <c r="B789" s="1"/>
      <c r="C789" s="1" t="str">
        <f ca="1">IFERROR(__xludf.DUMMYFUNCTION("""COMPUTED_VALUE""")," ")</f>
        <v xml:space="preserve"> </v>
      </c>
      <c r="D789" s="1"/>
      <c r="E789" s="1"/>
      <c r="H789" s="4"/>
      <c r="I789" s="4"/>
      <c r="J789" s="4"/>
      <c r="K789" s="4"/>
      <c r="L789" s="4"/>
    </row>
    <row r="790" spans="1:12">
      <c r="A790" s="1"/>
      <c r="B790" s="1"/>
      <c r="C790" s="1" t="str">
        <f ca="1">IFERROR(__xludf.DUMMYFUNCTION("""COMPUTED_VALUE""")," ")</f>
        <v xml:space="preserve"> </v>
      </c>
      <c r="D790" s="1"/>
      <c r="E790" s="1"/>
      <c r="H790" s="4"/>
      <c r="I790" s="4"/>
      <c r="J790" s="4"/>
      <c r="K790" s="4"/>
      <c r="L790" s="4"/>
    </row>
    <row r="791" spans="1:12">
      <c r="A791" s="1"/>
      <c r="B791" s="1"/>
      <c r="C791" s="1" t="str">
        <f ca="1">IFERROR(__xludf.DUMMYFUNCTION("""COMPUTED_VALUE""")," ")</f>
        <v xml:space="preserve"> </v>
      </c>
      <c r="D791" s="1"/>
      <c r="E791" s="1"/>
      <c r="H791" s="4"/>
      <c r="I791" s="4"/>
      <c r="J791" s="4"/>
      <c r="K791" s="4"/>
      <c r="L791" s="4"/>
    </row>
    <row r="792" spans="1:12">
      <c r="A792" s="1"/>
      <c r="B792" s="1"/>
      <c r="C792" s="1" t="str">
        <f ca="1">IFERROR(__xludf.DUMMYFUNCTION("""COMPUTED_VALUE""")," ")</f>
        <v xml:space="preserve"> </v>
      </c>
      <c r="D792" s="1"/>
      <c r="E792" s="1"/>
      <c r="H792" s="4"/>
      <c r="I792" s="4"/>
      <c r="J792" s="4"/>
      <c r="K792" s="4"/>
      <c r="L792" s="4"/>
    </row>
    <row r="793" spans="1:12">
      <c r="A793" s="1"/>
      <c r="B793" s="1"/>
      <c r="C793" s="1" t="str">
        <f ca="1">IFERROR(__xludf.DUMMYFUNCTION("""COMPUTED_VALUE""")," ")</f>
        <v xml:space="preserve"> </v>
      </c>
      <c r="D793" s="1"/>
      <c r="E793" s="1"/>
      <c r="H793" s="4"/>
      <c r="I793" s="4"/>
      <c r="J793" s="4"/>
      <c r="K793" s="4"/>
      <c r="L793" s="4"/>
    </row>
    <row r="794" spans="1:12">
      <c r="A794" s="1"/>
      <c r="B794" s="1"/>
      <c r="C794" s="1" t="str">
        <f ca="1">IFERROR(__xludf.DUMMYFUNCTION("""COMPUTED_VALUE""")," ")</f>
        <v xml:space="preserve"> </v>
      </c>
      <c r="D794" s="1"/>
      <c r="E794" s="1"/>
      <c r="H794" s="4"/>
      <c r="I794" s="4"/>
      <c r="J794" s="4"/>
      <c r="K794" s="4"/>
      <c r="L794" s="4"/>
    </row>
    <row r="795" spans="1:12">
      <c r="A795" s="1"/>
      <c r="B795" s="1"/>
      <c r="C795" s="1" t="str">
        <f ca="1">IFERROR(__xludf.DUMMYFUNCTION("""COMPUTED_VALUE""")," ")</f>
        <v xml:space="preserve"> </v>
      </c>
      <c r="D795" s="1"/>
      <c r="E795" s="1"/>
      <c r="H795" s="4"/>
      <c r="I795" s="4"/>
      <c r="J795" s="4"/>
      <c r="K795" s="4"/>
      <c r="L795" s="4"/>
    </row>
    <row r="796" spans="1:12">
      <c r="A796" s="1"/>
      <c r="B796" s="1"/>
      <c r="C796" s="1" t="str">
        <f ca="1">IFERROR(__xludf.DUMMYFUNCTION("""COMPUTED_VALUE""")," ")</f>
        <v xml:space="preserve"> </v>
      </c>
      <c r="D796" s="1"/>
      <c r="E796" s="1"/>
      <c r="H796" s="4"/>
      <c r="I796" s="4"/>
      <c r="J796" s="4"/>
      <c r="K796" s="4"/>
      <c r="L796" s="4"/>
    </row>
    <row r="797" spans="1:12">
      <c r="A797" s="1"/>
      <c r="B797" s="1"/>
      <c r="C797" s="1" t="str">
        <f ca="1">IFERROR(__xludf.DUMMYFUNCTION("""COMPUTED_VALUE""")," ")</f>
        <v xml:space="preserve"> </v>
      </c>
      <c r="D797" s="1"/>
      <c r="E797" s="1"/>
      <c r="H797" s="4"/>
      <c r="I797" s="4"/>
      <c r="J797" s="4"/>
      <c r="K797" s="4"/>
      <c r="L797" s="4"/>
    </row>
    <row r="798" spans="1:12">
      <c r="A798" s="1"/>
      <c r="B798" s="1"/>
      <c r="C798" s="1" t="str">
        <f ca="1">IFERROR(__xludf.DUMMYFUNCTION("""COMPUTED_VALUE""")," ")</f>
        <v xml:space="preserve"> </v>
      </c>
      <c r="D798" s="1"/>
      <c r="E798" s="1"/>
      <c r="H798" s="4"/>
      <c r="I798" s="4"/>
      <c r="J798" s="4"/>
      <c r="K798" s="4"/>
      <c r="L798" s="4"/>
    </row>
    <row r="799" spans="1:12">
      <c r="A799" s="1"/>
      <c r="B799" s="1"/>
      <c r="C799" s="1" t="str">
        <f ca="1">IFERROR(__xludf.DUMMYFUNCTION("""COMPUTED_VALUE""")," ")</f>
        <v xml:space="preserve"> </v>
      </c>
      <c r="D799" s="1"/>
      <c r="E799" s="1"/>
      <c r="H799" s="4"/>
      <c r="I799" s="4"/>
      <c r="J799" s="4"/>
      <c r="K799" s="4"/>
      <c r="L799" s="4"/>
    </row>
    <row r="800" spans="1:12">
      <c r="A800" s="1"/>
      <c r="B800" s="1"/>
      <c r="C800" s="1" t="str">
        <f ca="1">IFERROR(__xludf.DUMMYFUNCTION("""COMPUTED_VALUE""")," ")</f>
        <v xml:space="preserve"> </v>
      </c>
      <c r="D800" s="1"/>
      <c r="E800" s="1"/>
      <c r="H800" s="4"/>
      <c r="I800" s="4"/>
      <c r="J800" s="4"/>
      <c r="K800" s="4"/>
      <c r="L800" s="4"/>
    </row>
    <row r="801" spans="1:12">
      <c r="A801" s="1"/>
      <c r="B801" s="1"/>
      <c r="C801" s="1" t="str">
        <f ca="1">IFERROR(__xludf.DUMMYFUNCTION("""COMPUTED_VALUE""")," ")</f>
        <v xml:space="preserve"> </v>
      </c>
      <c r="D801" s="1"/>
      <c r="E801" s="1"/>
      <c r="H801" s="4"/>
      <c r="I801" s="4"/>
      <c r="J801" s="4"/>
      <c r="K801" s="4"/>
      <c r="L801" s="4"/>
    </row>
    <row r="802" spans="1:12">
      <c r="A802" s="1"/>
      <c r="B802" s="1"/>
      <c r="C802" s="1" t="str">
        <f ca="1">IFERROR(__xludf.DUMMYFUNCTION("""COMPUTED_VALUE""")," ")</f>
        <v xml:space="preserve"> </v>
      </c>
      <c r="D802" s="1"/>
      <c r="E802" s="1"/>
      <c r="H802" s="4"/>
      <c r="I802" s="4"/>
      <c r="J802" s="4"/>
      <c r="K802" s="4"/>
      <c r="L802" s="4"/>
    </row>
    <row r="803" spans="1:12">
      <c r="A803" s="1"/>
      <c r="B803" s="1"/>
      <c r="C803" s="1" t="str">
        <f ca="1">IFERROR(__xludf.DUMMYFUNCTION("""COMPUTED_VALUE""")," ")</f>
        <v xml:space="preserve"> </v>
      </c>
      <c r="D803" s="1"/>
      <c r="E803" s="1"/>
      <c r="H803" s="4"/>
      <c r="I803" s="4"/>
      <c r="J803" s="4"/>
      <c r="K803" s="4"/>
      <c r="L803" s="4"/>
    </row>
    <row r="804" spans="1:12">
      <c r="A804" s="1"/>
      <c r="B804" s="1"/>
      <c r="C804" s="1" t="str">
        <f ca="1">IFERROR(__xludf.DUMMYFUNCTION("""COMPUTED_VALUE""")," ")</f>
        <v xml:space="preserve"> </v>
      </c>
      <c r="D804" s="1"/>
      <c r="E804" s="1"/>
      <c r="H804" s="4"/>
      <c r="I804" s="4"/>
      <c r="J804" s="4"/>
      <c r="K804" s="4"/>
      <c r="L804" s="4"/>
    </row>
    <row r="805" spans="1:12">
      <c r="A805" s="1"/>
      <c r="B805" s="1"/>
      <c r="C805" s="1" t="str">
        <f ca="1">IFERROR(__xludf.DUMMYFUNCTION("""COMPUTED_VALUE""")," ")</f>
        <v xml:space="preserve"> </v>
      </c>
      <c r="D805" s="1"/>
      <c r="E805" s="1"/>
      <c r="H805" s="4"/>
      <c r="I805" s="4"/>
      <c r="J805" s="4"/>
      <c r="K805" s="4"/>
      <c r="L805" s="4"/>
    </row>
    <row r="806" spans="1:12">
      <c r="A806" s="1"/>
      <c r="B806" s="1"/>
      <c r="C806" s="1" t="str">
        <f ca="1">IFERROR(__xludf.DUMMYFUNCTION("""COMPUTED_VALUE""")," ")</f>
        <v xml:space="preserve"> </v>
      </c>
      <c r="D806" s="1"/>
      <c r="E806" s="1"/>
      <c r="H806" s="4"/>
      <c r="I806" s="4"/>
      <c r="J806" s="4"/>
      <c r="K806" s="4"/>
      <c r="L806" s="4"/>
    </row>
    <row r="807" spans="1:12">
      <c r="A807" s="1"/>
      <c r="B807" s="1"/>
      <c r="C807" s="1" t="str">
        <f ca="1">IFERROR(__xludf.DUMMYFUNCTION("""COMPUTED_VALUE""")," ")</f>
        <v xml:space="preserve"> </v>
      </c>
      <c r="D807" s="1"/>
      <c r="E807" s="1"/>
      <c r="H807" s="4"/>
      <c r="I807" s="4"/>
      <c r="J807" s="4"/>
      <c r="K807" s="4"/>
      <c r="L807" s="4"/>
    </row>
    <row r="808" spans="1:12">
      <c r="A808" s="1"/>
      <c r="B808" s="1"/>
      <c r="C808" s="1" t="str">
        <f ca="1">IFERROR(__xludf.DUMMYFUNCTION("""COMPUTED_VALUE""")," ")</f>
        <v xml:space="preserve"> </v>
      </c>
      <c r="D808" s="1"/>
      <c r="E808" s="1"/>
      <c r="H808" s="4"/>
      <c r="I808" s="4"/>
      <c r="J808" s="4"/>
      <c r="K808" s="4"/>
      <c r="L808" s="4"/>
    </row>
    <row r="809" spans="1:12">
      <c r="A809" s="1"/>
      <c r="B809" s="1"/>
      <c r="C809" s="1" t="str">
        <f ca="1">IFERROR(__xludf.DUMMYFUNCTION("""COMPUTED_VALUE""")," ")</f>
        <v xml:space="preserve"> </v>
      </c>
      <c r="D809" s="1"/>
      <c r="E809" s="1"/>
      <c r="H809" s="4"/>
      <c r="I809" s="4"/>
      <c r="J809" s="4"/>
      <c r="K809" s="4"/>
      <c r="L809" s="4"/>
    </row>
    <row r="810" spans="1:12">
      <c r="A810" s="1"/>
      <c r="B810" s="1"/>
      <c r="C810" s="1" t="str">
        <f ca="1">IFERROR(__xludf.DUMMYFUNCTION("""COMPUTED_VALUE""")," ")</f>
        <v xml:space="preserve"> </v>
      </c>
      <c r="D810" s="1"/>
      <c r="E810" s="1"/>
      <c r="H810" s="4"/>
      <c r="I810" s="4"/>
      <c r="J810" s="4"/>
      <c r="K810" s="4"/>
      <c r="L810" s="4"/>
    </row>
    <row r="811" spans="1:12">
      <c r="A811" s="1"/>
      <c r="B811" s="1"/>
      <c r="C811" s="1" t="str">
        <f ca="1">IFERROR(__xludf.DUMMYFUNCTION("""COMPUTED_VALUE""")," ")</f>
        <v xml:space="preserve"> </v>
      </c>
      <c r="D811" s="1"/>
      <c r="E811" s="1"/>
      <c r="H811" s="4"/>
      <c r="I811" s="4"/>
      <c r="J811" s="4"/>
      <c r="K811" s="4"/>
      <c r="L811" s="4"/>
    </row>
    <row r="812" spans="1:12">
      <c r="A812" s="1"/>
      <c r="B812" s="1"/>
      <c r="C812" s="1" t="str">
        <f ca="1">IFERROR(__xludf.DUMMYFUNCTION("""COMPUTED_VALUE""")," ")</f>
        <v xml:space="preserve"> </v>
      </c>
      <c r="D812" s="1"/>
      <c r="E812" s="1"/>
      <c r="H812" s="4"/>
      <c r="I812" s="4"/>
      <c r="J812" s="4"/>
      <c r="K812" s="4"/>
      <c r="L812" s="4"/>
    </row>
    <row r="813" spans="1:12">
      <c r="A813" s="1"/>
      <c r="B813" s="1"/>
      <c r="C813" s="1" t="str">
        <f ca="1">IFERROR(__xludf.DUMMYFUNCTION("""COMPUTED_VALUE""")," ")</f>
        <v xml:space="preserve"> </v>
      </c>
      <c r="D813" s="1"/>
      <c r="E813" s="1"/>
      <c r="H813" s="4"/>
      <c r="I813" s="4"/>
      <c r="J813" s="4"/>
      <c r="K813" s="4"/>
      <c r="L813" s="4"/>
    </row>
    <row r="814" spans="1:12">
      <c r="A814" s="1"/>
      <c r="B814" s="1"/>
      <c r="C814" s="1" t="str">
        <f ca="1">IFERROR(__xludf.DUMMYFUNCTION("""COMPUTED_VALUE""")," ")</f>
        <v xml:space="preserve"> </v>
      </c>
      <c r="D814" s="1"/>
      <c r="E814" s="1"/>
      <c r="H814" s="4"/>
      <c r="I814" s="4"/>
      <c r="J814" s="4"/>
      <c r="K814" s="4"/>
      <c r="L814" s="4"/>
    </row>
    <row r="815" spans="1:12">
      <c r="A815" s="1"/>
      <c r="B815" s="1"/>
      <c r="C815" s="1" t="str">
        <f ca="1">IFERROR(__xludf.DUMMYFUNCTION("""COMPUTED_VALUE""")," ")</f>
        <v xml:space="preserve"> </v>
      </c>
      <c r="D815" s="1"/>
      <c r="E815" s="1"/>
      <c r="H815" s="4"/>
      <c r="I815" s="4"/>
      <c r="J815" s="4"/>
      <c r="K815" s="4"/>
      <c r="L815" s="4"/>
    </row>
    <row r="816" spans="1:12">
      <c r="A816" s="1"/>
      <c r="B816" s="1"/>
      <c r="C816" s="1" t="str">
        <f ca="1">IFERROR(__xludf.DUMMYFUNCTION("""COMPUTED_VALUE""")," ")</f>
        <v xml:space="preserve"> </v>
      </c>
      <c r="D816" s="1"/>
      <c r="E816" s="1"/>
      <c r="H816" s="4"/>
      <c r="I816" s="4"/>
      <c r="J816" s="4"/>
      <c r="K816" s="4"/>
      <c r="L816" s="4"/>
    </row>
    <row r="817" spans="1:12">
      <c r="A817" s="1"/>
      <c r="B817" s="1"/>
      <c r="C817" s="1" t="str">
        <f ca="1">IFERROR(__xludf.DUMMYFUNCTION("""COMPUTED_VALUE""")," ")</f>
        <v xml:space="preserve"> </v>
      </c>
      <c r="D817" s="1"/>
      <c r="E817" s="1"/>
      <c r="H817" s="4"/>
      <c r="I817" s="4"/>
      <c r="J817" s="4"/>
      <c r="K817" s="4"/>
      <c r="L817" s="4"/>
    </row>
    <row r="818" spans="1:12">
      <c r="A818" s="1"/>
      <c r="B818" s="1"/>
      <c r="C818" s="1" t="str">
        <f ca="1">IFERROR(__xludf.DUMMYFUNCTION("""COMPUTED_VALUE""")," ")</f>
        <v xml:space="preserve"> </v>
      </c>
      <c r="D818" s="1"/>
      <c r="E818" s="1"/>
      <c r="H818" s="4"/>
      <c r="I818" s="4"/>
      <c r="J818" s="4"/>
      <c r="K818" s="4"/>
      <c r="L818" s="4"/>
    </row>
    <row r="819" spans="1:12">
      <c r="A819" s="1"/>
      <c r="B819" s="1"/>
      <c r="C819" s="1" t="str">
        <f ca="1">IFERROR(__xludf.DUMMYFUNCTION("""COMPUTED_VALUE""")," ")</f>
        <v xml:space="preserve"> </v>
      </c>
      <c r="D819" s="1"/>
      <c r="E819" s="1"/>
      <c r="H819" s="4"/>
      <c r="I819" s="4"/>
      <c r="J819" s="4"/>
      <c r="K819" s="4"/>
      <c r="L819" s="4"/>
    </row>
    <row r="820" spans="1:12">
      <c r="A820" s="1"/>
      <c r="B820" s="1"/>
      <c r="C820" s="1" t="str">
        <f ca="1">IFERROR(__xludf.DUMMYFUNCTION("""COMPUTED_VALUE""")," ")</f>
        <v xml:space="preserve"> </v>
      </c>
      <c r="D820" s="1"/>
      <c r="E820" s="1"/>
      <c r="H820" s="4"/>
      <c r="I820" s="4"/>
      <c r="J820" s="4"/>
      <c r="K820" s="4"/>
      <c r="L820" s="4"/>
    </row>
    <row r="821" spans="1:12">
      <c r="A821" s="1"/>
      <c r="B821" s="1"/>
      <c r="C821" s="1" t="str">
        <f ca="1">IFERROR(__xludf.DUMMYFUNCTION("""COMPUTED_VALUE""")," ")</f>
        <v xml:space="preserve"> </v>
      </c>
      <c r="D821" s="1"/>
      <c r="E821" s="1"/>
      <c r="H821" s="4"/>
      <c r="I821" s="4"/>
      <c r="J821" s="4"/>
      <c r="K821" s="4"/>
      <c r="L821" s="4"/>
    </row>
    <row r="822" spans="1:12">
      <c r="A822" s="1"/>
      <c r="B822" s="1"/>
      <c r="C822" s="1" t="str">
        <f ca="1">IFERROR(__xludf.DUMMYFUNCTION("""COMPUTED_VALUE""")," ")</f>
        <v xml:space="preserve"> </v>
      </c>
      <c r="D822" s="1"/>
      <c r="E822" s="1"/>
      <c r="H822" s="4"/>
      <c r="I822" s="4"/>
      <c r="J822" s="4"/>
      <c r="K822" s="4"/>
      <c r="L822" s="4"/>
    </row>
    <row r="823" spans="1:12">
      <c r="A823" s="1"/>
      <c r="B823" s="1"/>
      <c r="C823" s="1" t="str">
        <f ca="1">IFERROR(__xludf.DUMMYFUNCTION("""COMPUTED_VALUE""")," ")</f>
        <v xml:space="preserve"> </v>
      </c>
      <c r="D823" s="1"/>
      <c r="E823" s="1"/>
      <c r="H823" s="4"/>
      <c r="I823" s="4"/>
      <c r="J823" s="4"/>
      <c r="K823" s="4"/>
      <c r="L823" s="4"/>
    </row>
    <row r="824" spans="1:12">
      <c r="A824" s="1"/>
      <c r="B824" s="1"/>
      <c r="C824" s="1" t="str">
        <f ca="1">IFERROR(__xludf.DUMMYFUNCTION("""COMPUTED_VALUE""")," ")</f>
        <v xml:space="preserve"> </v>
      </c>
      <c r="D824" s="1"/>
      <c r="E824" s="1"/>
      <c r="H824" s="4"/>
      <c r="I824" s="4"/>
      <c r="J824" s="4"/>
      <c r="K824" s="4"/>
      <c r="L824" s="4"/>
    </row>
    <row r="825" spans="1:12">
      <c r="A825" s="1"/>
      <c r="B825" s="1"/>
      <c r="C825" s="1" t="str">
        <f ca="1">IFERROR(__xludf.DUMMYFUNCTION("""COMPUTED_VALUE""")," ")</f>
        <v xml:space="preserve"> </v>
      </c>
      <c r="D825" s="1"/>
      <c r="E825" s="1"/>
      <c r="H825" s="4"/>
      <c r="I825" s="4"/>
      <c r="J825" s="4"/>
      <c r="K825" s="4"/>
      <c r="L825" s="4"/>
    </row>
    <row r="826" spans="1:12">
      <c r="A826" s="1"/>
      <c r="B826" s="1"/>
      <c r="C826" s="1" t="str">
        <f ca="1">IFERROR(__xludf.DUMMYFUNCTION("""COMPUTED_VALUE""")," ")</f>
        <v xml:space="preserve"> </v>
      </c>
      <c r="D826" s="1"/>
      <c r="E826" s="1"/>
      <c r="H826" s="4"/>
      <c r="I826" s="4"/>
      <c r="J826" s="4"/>
      <c r="K826" s="4"/>
      <c r="L826" s="4"/>
    </row>
    <row r="827" spans="1:12">
      <c r="A827" s="1"/>
      <c r="B827" s="1"/>
      <c r="C827" s="1" t="str">
        <f ca="1">IFERROR(__xludf.DUMMYFUNCTION("""COMPUTED_VALUE""")," ")</f>
        <v xml:space="preserve"> </v>
      </c>
      <c r="D827" s="1"/>
      <c r="E827" s="1"/>
      <c r="H827" s="4"/>
      <c r="I827" s="4"/>
      <c r="J827" s="4"/>
      <c r="K827" s="4"/>
      <c r="L827" s="4"/>
    </row>
    <row r="828" spans="1:12">
      <c r="A828" s="1"/>
      <c r="B828" s="1"/>
      <c r="C828" s="1" t="str">
        <f ca="1">IFERROR(__xludf.DUMMYFUNCTION("""COMPUTED_VALUE""")," ")</f>
        <v xml:space="preserve"> </v>
      </c>
      <c r="D828" s="1"/>
      <c r="E828" s="1"/>
      <c r="H828" s="4"/>
      <c r="I828" s="4"/>
      <c r="J828" s="4"/>
      <c r="K828" s="4"/>
      <c r="L828" s="4"/>
    </row>
    <row r="829" spans="1:12">
      <c r="A829" s="1"/>
      <c r="B829" s="1"/>
      <c r="C829" s="1" t="str">
        <f ca="1">IFERROR(__xludf.DUMMYFUNCTION("""COMPUTED_VALUE""")," ")</f>
        <v xml:space="preserve"> </v>
      </c>
      <c r="D829" s="1"/>
      <c r="E829" s="1"/>
      <c r="H829" s="4"/>
      <c r="I829" s="4"/>
      <c r="J829" s="4"/>
      <c r="K829" s="4"/>
      <c r="L829" s="4"/>
    </row>
    <row r="830" spans="1:12">
      <c r="A830" s="1"/>
      <c r="B830" s="1"/>
      <c r="C830" s="1" t="str">
        <f ca="1">IFERROR(__xludf.DUMMYFUNCTION("""COMPUTED_VALUE""")," ")</f>
        <v xml:space="preserve"> </v>
      </c>
      <c r="D830" s="1"/>
      <c r="E830" s="1"/>
      <c r="H830" s="4"/>
      <c r="I830" s="4"/>
      <c r="J830" s="4"/>
      <c r="K830" s="4"/>
      <c r="L830" s="4"/>
    </row>
    <row r="831" spans="1:12">
      <c r="A831" s="1"/>
      <c r="B831" s="1"/>
      <c r="C831" s="1" t="str">
        <f ca="1">IFERROR(__xludf.DUMMYFUNCTION("""COMPUTED_VALUE""")," ")</f>
        <v xml:space="preserve"> </v>
      </c>
      <c r="D831" s="1"/>
      <c r="E831" s="1"/>
      <c r="H831" s="4"/>
      <c r="I831" s="4"/>
      <c r="J831" s="4"/>
      <c r="K831" s="4"/>
      <c r="L831" s="4"/>
    </row>
    <row r="832" spans="1:12">
      <c r="A832" s="1"/>
      <c r="B832" s="1"/>
      <c r="C832" s="1" t="str">
        <f ca="1">IFERROR(__xludf.DUMMYFUNCTION("""COMPUTED_VALUE""")," ")</f>
        <v xml:space="preserve"> </v>
      </c>
      <c r="D832" s="1"/>
      <c r="E832" s="1"/>
      <c r="H832" s="4"/>
      <c r="I832" s="4"/>
      <c r="J832" s="4"/>
      <c r="K832" s="4"/>
      <c r="L832" s="4"/>
    </row>
    <row r="833" spans="1:12">
      <c r="A833" s="1"/>
      <c r="B833" s="1"/>
      <c r="C833" s="1" t="str">
        <f ca="1">IFERROR(__xludf.DUMMYFUNCTION("""COMPUTED_VALUE""")," ")</f>
        <v xml:space="preserve"> </v>
      </c>
      <c r="D833" s="1"/>
      <c r="E833" s="1"/>
      <c r="H833" s="4"/>
      <c r="I833" s="4"/>
      <c r="J833" s="4"/>
      <c r="K833" s="4"/>
      <c r="L833" s="4"/>
    </row>
    <row r="834" spans="1:12">
      <c r="A834" s="1"/>
      <c r="B834" s="1"/>
      <c r="C834" s="1" t="str">
        <f ca="1">IFERROR(__xludf.DUMMYFUNCTION("""COMPUTED_VALUE""")," ")</f>
        <v xml:space="preserve"> </v>
      </c>
      <c r="D834" s="1"/>
      <c r="E834" s="1"/>
      <c r="H834" s="4"/>
      <c r="I834" s="4"/>
      <c r="J834" s="4"/>
      <c r="K834" s="4"/>
      <c r="L834" s="4"/>
    </row>
    <row r="835" spans="1:12">
      <c r="A835" s="1"/>
      <c r="B835" s="1"/>
      <c r="C835" s="1" t="str">
        <f ca="1">IFERROR(__xludf.DUMMYFUNCTION("""COMPUTED_VALUE""")," ")</f>
        <v xml:space="preserve"> </v>
      </c>
      <c r="D835" s="1"/>
      <c r="E835" s="1"/>
      <c r="H835" s="4"/>
      <c r="I835" s="4"/>
      <c r="J835" s="4"/>
      <c r="K835" s="4"/>
      <c r="L835" s="4"/>
    </row>
    <row r="836" spans="1:12">
      <c r="A836" s="1"/>
      <c r="B836" s="1"/>
      <c r="C836" s="1" t="str">
        <f ca="1">IFERROR(__xludf.DUMMYFUNCTION("""COMPUTED_VALUE""")," ")</f>
        <v xml:space="preserve"> </v>
      </c>
      <c r="D836" s="1"/>
      <c r="E836" s="1"/>
      <c r="H836" s="4"/>
      <c r="I836" s="4"/>
      <c r="J836" s="4"/>
      <c r="K836" s="4"/>
      <c r="L836" s="4"/>
    </row>
    <row r="837" spans="1:12">
      <c r="A837" s="1"/>
      <c r="B837" s="1"/>
      <c r="C837" s="1" t="str">
        <f ca="1">IFERROR(__xludf.DUMMYFUNCTION("""COMPUTED_VALUE""")," ")</f>
        <v xml:space="preserve"> </v>
      </c>
      <c r="D837" s="1"/>
      <c r="E837" s="1"/>
      <c r="H837" s="4"/>
      <c r="I837" s="4"/>
      <c r="J837" s="4"/>
      <c r="K837" s="4"/>
      <c r="L837" s="4"/>
    </row>
    <row r="838" spans="1:12">
      <c r="A838" s="1"/>
      <c r="B838" s="1"/>
      <c r="C838" s="1" t="str">
        <f ca="1">IFERROR(__xludf.DUMMYFUNCTION("""COMPUTED_VALUE""")," ")</f>
        <v xml:space="preserve"> </v>
      </c>
      <c r="D838" s="1"/>
      <c r="E838" s="1"/>
      <c r="H838" s="4"/>
      <c r="I838" s="4"/>
      <c r="J838" s="4"/>
      <c r="K838" s="4"/>
      <c r="L838" s="4"/>
    </row>
    <row r="839" spans="1:12">
      <c r="A839" s="1"/>
      <c r="B839" s="1"/>
      <c r="C839" s="1" t="str">
        <f ca="1">IFERROR(__xludf.DUMMYFUNCTION("""COMPUTED_VALUE""")," ")</f>
        <v xml:space="preserve"> </v>
      </c>
      <c r="D839" s="1"/>
      <c r="E839" s="1"/>
      <c r="H839" s="4"/>
      <c r="I839" s="4"/>
      <c r="J839" s="4"/>
      <c r="K839" s="4"/>
      <c r="L839" s="4"/>
    </row>
    <row r="840" spans="1:12">
      <c r="A840" s="1"/>
      <c r="B840" s="1"/>
      <c r="C840" s="1" t="str">
        <f ca="1">IFERROR(__xludf.DUMMYFUNCTION("""COMPUTED_VALUE""")," ")</f>
        <v xml:space="preserve"> </v>
      </c>
      <c r="D840" s="1"/>
      <c r="E840" s="1"/>
      <c r="H840" s="4"/>
      <c r="I840" s="4"/>
      <c r="J840" s="4"/>
      <c r="K840" s="4"/>
      <c r="L840" s="4"/>
    </row>
    <row r="841" spans="1:12">
      <c r="A841" s="1"/>
      <c r="B841" s="1"/>
      <c r="C841" s="1" t="str">
        <f ca="1">IFERROR(__xludf.DUMMYFUNCTION("""COMPUTED_VALUE""")," ")</f>
        <v xml:space="preserve"> </v>
      </c>
      <c r="D841" s="1"/>
      <c r="E841" s="1"/>
      <c r="H841" s="4"/>
      <c r="I841" s="4"/>
      <c r="J841" s="4"/>
      <c r="K841" s="4"/>
      <c r="L841" s="4"/>
    </row>
    <row r="842" spans="1:12">
      <c r="A842" s="1"/>
      <c r="B842" s="1"/>
      <c r="C842" s="1" t="str">
        <f ca="1">IFERROR(__xludf.DUMMYFUNCTION("""COMPUTED_VALUE""")," ")</f>
        <v xml:space="preserve"> </v>
      </c>
      <c r="D842" s="1"/>
      <c r="E842" s="1"/>
      <c r="H842" s="4"/>
      <c r="I842" s="4"/>
      <c r="J842" s="4"/>
      <c r="K842" s="4"/>
      <c r="L842" s="4"/>
    </row>
    <row r="843" spans="1:12">
      <c r="A843" s="1"/>
      <c r="B843" s="1"/>
      <c r="C843" s="1" t="str">
        <f ca="1">IFERROR(__xludf.DUMMYFUNCTION("""COMPUTED_VALUE""")," ")</f>
        <v xml:space="preserve"> </v>
      </c>
      <c r="D843" s="1"/>
      <c r="E843" s="1"/>
      <c r="H843" s="4"/>
      <c r="I843" s="4"/>
      <c r="J843" s="4"/>
      <c r="K843" s="4"/>
      <c r="L843" s="4"/>
    </row>
    <row r="844" spans="1:12">
      <c r="A844" s="1"/>
      <c r="B844" s="1"/>
      <c r="C844" s="1" t="str">
        <f ca="1">IFERROR(__xludf.DUMMYFUNCTION("""COMPUTED_VALUE""")," ")</f>
        <v xml:space="preserve"> </v>
      </c>
      <c r="D844" s="1"/>
      <c r="E844" s="1"/>
      <c r="H844" s="4"/>
      <c r="I844" s="4"/>
      <c r="J844" s="4"/>
      <c r="K844" s="4"/>
      <c r="L844" s="4"/>
    </row>
    <row r="845" spans="1:12">
      <c r="A845" s="1"/>
      <c r="B845" s="1"/>
      <c r="C845" s="1" t="str">
        <f ca="1">IFERROR(__xludf.DUMMYFUNCTION("""COMPUTED_VALUE""")," ")</f>
        <v xml:space="preserve"> </v>
      </c>
      <c r="D845" s="1"/>
      <c r="E845" s="1"/>
      <c r="H845" s="4"/>
      <c r="I845" s="4"/>
      <c r="J845" s="4"/>
      <c r="K845" s="4"/>
      <c r="L845" s="4"/>
    </row>
    <row r="846" spans="1:12">
      <c r="A846" s="1"/>
      <c r="B846" s="1"/>
      <c r="C846" s="1" t="str">
        <f ca="1">IFERROR(__xludf.DUMMYFUNCTION("""COMPUTED_VALUE""")," ")</f>
        <v xml:space="preserve"> </v>
      </c>
      <c r="D846" s="1"/>
      <c r="E846" s="1"/>
      <c r="H846" s="4"/>
      <c r="I846" s="4"/>
      <c r="J846" s="4"/>
      <c r="K846" s="4"/>
      <c r="L846" s="4"/>
    </row>
    <row r="847" spans="1:12">
      <c r="A847" s="1"/>
      <c r="B847" s="1"/>
      <c r="C847" s="1" t="str">
        <f ca="1">IFERROR(__xludf.DUMMYFUNCTION("""COMPUTED_VALUE""")," ")</f>
        <v xml:space="preserve"> </v>
      </c>
      <c r="D847" s="1"/>
      <c r="E847" s="1"/>
      <c r="H847" s="4"/>
      <c r="I847" s="4"/>
      <c r="J847" s="4"/>
      <c r="K847" s="4"/>
      <c r="L847" s="4"/>
    </row>
    <row r="848" spans="1:12">
      <c r="A848" s="1"/>
      <c r="B848" s="1"/>
      <c r="C848" s="1" t="str">
        <f ca="1">IFERROR(__xludf.DUMMYFUNCTION("""COMPUTED_VALUE""")," ")</f>
        <v xml:space="preserve"> </v>
      </c>
      <c r="D848" s="1"/>
      <c r="E848" s="1"/>
      <c r="H848" s="4"/>
      <c r="I848" s="4"/>
      <c r="J848" s="4"/>
      <c r="K848" s="4"/>
      <c r="L848" s="4"/>
    </row>
    <row r="849" spans="1:12">
      <c r="A849" s="1"/>
      <c r="B849" s="1"/>
      <c r="C849" s="1" t="str">
        <f ca="1">IFERROR(__xludf.DUMMYFUNCTION("""COMPUTED_VALUE""")," ")</f>
        <v xml:space="preserve"> </v>
      </c>
      <c r="D849" s="1"/>
      <c r="E849" s="1"/>
      <c r="H849" s="4"/>
      <c r="I849" s="4"/>
      <c r="J849" s="4"/>
      <c r="K849" s="4"/>
      <c r="L849" s="4"/>
    </row>
    <row r="850" spans="1:12">
      <c r="A850" s="1"/>
      <c r="B850" s="1"/>
      <c r="C850" s="1" t="str">
        <f ca="1">IFERROR(__xludf.DUMMYFUNCTION("""COMPUTED_VALUE""")," ")</f>
        <v xml:space="preserve"> </v>
      </c>
      <c r="D850" s="1"/>
      <c r="E850" s="1"/>
      <c r="H850" s="4"/>
      <c r="I850" s="4"/>
      <c r="J850" s="4"/>
      <c r="K850" s="4"/>
      <c r="L850" s="4"/>
    </row>
    <row r="851" spans="1:12">
      <c r="A851" s="1"/>
      <c r="B851" s="1"/>
      <c r="C851" s="1" t="str">
        <f ca="1">IFERROR(__xludf.DUMMYFUNCTION("""COMPUTED_VALUE""")," ")</f>
        <v xml:space="preserve"> </v>
      </c>
      <c r="D851" s="1"/>
      <c r="E851" s="1"/>
      <c r="H851" s="4"/>
      <c r="I851" s="4"/>
      <c r="J851" s="4"/>
      <c r="K851" s="4"/>
      <c r="L851" s="4"/>
    </row>
    <row r="852" spans="1:12">
      <c r="A852" s="1"/>
      <c r="B852" s="1"/>
      <c r="C852" s="1" t="str">
        <f ca="1">IFERROR(__xludf.DUMMYFUNCTION("""COMPUTED_VALUE""")," ")</f>
        <v xml:space="preserve"> </v>
      </c>
      <c r="D852" s="1"/>
      <c r="E852" s="1"/>
      <c r="H852" s="4"/>
      <c r="I852" s="4"/>
      <c r="J852" s="4"/>
      <c r="K852" s="4"/>
      <c r="L852" s="4"/>
    </row>
    <row r="853" spans="1:12">
      <c r="A853" s="1"/>
      <c r="B853" s="1"/>
      <c r="C853" s="1" t="str">
        <f ca="1">IFERROR(__xludf.DUMMYFUNCTION("""COMPUTED_VALUE""")," ")</f>
        <v xml:space="preserve"> </v>
      </c>
      <c r="D853" s="1"/>
      <c r="E853" s="1"/>
      <c r="H853" s="4"/>
      <c r="I853" s="4"/>
      <c r="J853" s="4"/>
      <c r="K853" s="4"/>
      <c r="L853" s="4"/>
    </row>
    <row r="854" spans="1:12">
      <c r="A854" s="1"/>
      <c r="B854" s="1"/>
      <c r="C854" s="1" t="str">
        <f ca="1">IFERROR(__xludf.DUMMYFUNCTION("""COMPUTED_VALUE""")," ")</f>
        <v xml:space="preserve"> </v>
      </c>
      <c r="D854" s="1"/>
      <c r="E854" s="1"/>
      <c r="H854" s="4"/>
      <c r="I854" s="4"/>
      <c r="J854" s="4"/>
      <c r="K854" s="4"/>
      <c r="L854" s="4"/>
    </row>
    <row r="855" spans="1:12">
      <c r="A855" s="1"/>
      <c r="B855" s="1"/>
      <c r="C855" s="1" t="str">
        <f ca="1">IFERROR(__xludf.DUMMYFUNCTION("""COMPUTED_VALUE""")," ")</f>
        <v xml:space="preserve"> </v>
      </c>
      <c r="D855" s="1"/>
      <c r="E855" s="1"/>
      <c r="H855" s="4"/>
      <c r="I855" s="4"/>
      <c r="J855" s="4"/>
      <c r="K855" s="4"/>
      <c r="L855" s="4"/>
    </row>
    <row r="856" spans="1:12">
      <c r="A856" s="1"/>
      <c r="B856" s="1"/>
      <c r="C856" s="1" t="str">
        <f ca="1">IFERROR(__xludf.DUMMYFUNCTION("""COMPUTED_VALUE""")," ")</f>
        <v xml:space="preserve"> </v>
      </c>
      <c r="D856" s="1"/>
      <c r="E856" s="1"/>
      <c r="H856" s="4"/>
      <c r="I856" s="4"/>
      <c r="J856" s="4"/>
      <c r="K856" s="4"/>
      <c r="L856" s="4"/>
    </row>
    <row r="857" spans="1:12">
      <c r="A857" s="1"/>
      <c r="B857" s="1"/>
      <c r="C857" s="1" t="str">
        <f ca="1">IFERROR(__xludf.DUMMYFUNCTION("""COMPUTED_VALUE""")," ")</f>
        <v xml:space="preserve"> </v>
      </c>
      <c r="D857" s="1"/>
      <c r="E857" s="1"/>
      <c r="H857" s="4"/>
      <c r="I857" s="4"/>
      <c r="J857" s="4"/>
      <c r="K857" s="4"/>
      <c r="L857" s="4"/>
    </row>
    <row r="858" spans="1:12">
      <c r="A858" s="1"/>
      <c r="B858" s="1"/>
      <c r="C858" s="1" t="str">
        <f ca="1">IFERROR(__xludf.DUMMYFUNCTION("""COMPUTED_VALUE""")," ")</f>
        <v xml:space="preserve"> </v>
      </c>
      <c r="D858" s="1"/>
      <c r="E858" s="1"/>
      <c r="H858" s="4"/>
      <c r="I858" s="4"/>
      <c r="J858" s="4"/>
      <c r="K858" s="4"/>
      <c r="L858" s="4"/>
    </row>
    <row r="859" spans="1:12">
      <c r="A859" s="1"/>
      <c r="B859" s="1"/>
      <c r="C859" s="1" t="str">
        <f ca="1">IFERROR(__xludf.DUMMYFUNCTION("""COMPUTED_VALUE""")," ")</f>
        <v xml:space="preserve"> </v>
      </c>
      <c r="D859" s="1"/>
      <c r="E859" s="1"/>
      <c r="H859" s="4"/>
      <c r="I859" s="4"/>
      <c r="J859" s="4"/>
      <c r="K859" s="4"/>
      <c r="L859" s="4"/>
    </row>
    <row r="860" spans="1:12">
      <c r="H860" s="4"/>
      <c r="I860" s="4"/>
      <c r="J860" s="4"/>
      <c r="K860" s="4"/>
      <c r="L860" s="4"/>
    </row>
    <row r="861" spans="1:12">
      <c r="H861" s="4"/>
      <c r="I861" s="4"/>
      <c r="J861" s="4"/>
      <c r="K861" s="4"/>
      <c r="L861" s="4"/>
    </row>
    <row r="862" spans="1:12">
      <c r="H862" s="4"/>
      <c r="I862" s="4"/>
      <c r="J862" s="4"/>
      <c r="K862" s="4"/>
      <c r="L862" s="4"/>
    </row>
    <row r="863" spans="1:12">
      <c r="H863" s="4"/>
      <c r="I863" s="4"/>
      <c r="J863" s="4"/>
      <c r="K863" s="4"/>
      <c r="L863" s="4"/>
    </row>
    <row r="864" spans="1:12">
      <c r="H864" s="4"/>
      <c r="I864" s="4"/>
      <c r="J864" s="4"/>
      <c r="K864" s="4"/>
      <c r="L864" s="4"/>
    </row>
    <row r="865" spans="8:12">
      <c r="H865" s="4"/>
      <c r="I865" s="4"/>
      <c r="J865" s="4"/>
      <c r="K865" s="4"/>
      <c r="L865" s="4"/>
    </row>
    <row r="866" spans="8:12">
      <c r="H866" s="4"/>
      <c r="I866" s="4"/>
      <c r="J866" s="4"/>
      <c r="K866" s="4"/>
      <c r="L866" s="4"/>
    </row>
    <row r="867" spans="8:12">
      <c r="H867" s="4"/>
      <c r="I867" s="4"/>
      <c r="J867" s="4"/>
      <c r="K867" s="4"/>
      <c r="L867" s="4"/>
    </row>
    <row r="868" spans="8:12">
      <c r="H868" s="4"/>
      <c r="I868" s="4"/>
      <c r="J868" s="4"/>
      <c r="K868" s="4"/>
      <c r="L868" s="4"/>
    </row>
    <row r="869" spans="8:12">
      <c r="H869" s="4"/>
      <c r="I869" s="4"/>
      <c r="J869" s="4"/>
      <c r="K869" s="4"/>
      <c r="L869" s="4"/>
    </row>
    <row r="870" spans="8:12">
      <c r="H870" s="4"/>
      <c r="I870" s="4"/>
      <c r="J870" s="4"/>
      <c r="K870" s="4"/>
      <c r="L870" s="4"/>
    </row>
    <row r="871" spans="8:12">
      <c r="H871" s="4"/>
      <c r="I871" s="4"/>
      <c r="J871" s="4"/>
      <c r="K871" s="4"/>
      <c r="L871" s="4"/>
    </row>
    <row r="872" spans="8:12">
      <c r="H872" s="4"/>
      <c r="I872" s="4"/>
      <c r="J872" s="4"/>
      <c r="K872" s="4"/>
      <c r="L872" s="4"/>
    </row>
    <row r="873" spans="8:12">
      <c r="H873" s="4"/>
      <c r="I873" s="4"/>
      <c r="J873" s="4"/>
      <c r="K873" s="4"/>
      <c r="L873" s="4"/>
    </row>
    <row r="874" spans="8:12">
      <c r="H874" s="4"/>
      <c r="I874" s="4"/>
      <c r="J874" s="4"/>
      <c r="K874" s="4"/>
      <c r="L874" s="4"/>
    </row>
    <row r="875" spans="8:12">
      <c r="H875" s="4"/>
      <c r="I875" s="4"/>
      <c r="J875" s="4"/>
      <c r="K875" s="4"/>
      <c r="L875" s="4"/>
    </row>
    <row r="876" spans="8:12">
      <c r="H876" s="4"/>
      <c r="I876" s="4"/>
      <c r="J876" s="4"/>
      <c r="K876" s="4"/>
      <c r="L876" s="4"/>
    </row>
    <row r="877" spans="8:12">
      <c r="H877" s="4"/>
      <c r="I877" s="4"/>
      <c r="J877" s="4"/>
      <c r="K877" s="4"/>
      <c r="L877" s="4"/>
    </row>
    <row r="878" spans="8:12">
      <c r="H878" s="4"/>
      <c r="I878" s="4"/>
      <c r="J878" s="4"/>
      <c r="K878" s="4"/>
      <c r="L878" s="4"/>
    </row>
    <row r="879" spans="8:12">
      <c r="H879" s="4"/>
      <c r="I879" s="4"/>
      <c r="J879" s="4"/>
      <c r="K879" s="4"/>
      <c r="L879" s="4"/>
    </row>
    <row r="880" spans="8:12">
      <c r="H880" s="4"/>
      <c r="I880" s="4"/>
      <c r="J880" s="4"/>
      <c r="K880" s="4"/>
      <c r="L880" s="4"/>
    </row>
    <row r="881" spans="8:12">
      <c r="H881" s="4"/>
      <c r="I881" s="4"/>
      <c r="J881" s="4"/>
      <c r="K881" s="4"/>
      <c r="L881" s="4"/>
    </row>
    <row r="882" spans="8:12">
      <c r="H882" s="4"/>
      <c r="I882" s="4"/>
      <c r="J882" s="4"/>
      <c r="K882" s="4"/>
      <c r="L882" s="4"/>
    </row>
    <row r="883" spans="8:12">
      <c r="H883" s="4"/>
      <c r="I883" s="4"/>
      <c r="J883" s="4"/>
      <c r="K883" s="4"/>
      <c r="L883" s="4"/>
    </row>
    <row r="884" spans="8:12">
      <c r="H884" s="4"/>
      <c r="I884" s="4"/>
      <c r="J884" s="4"/>
      <c r="K884" s="4"/>
      <c r="L884" s="4"/>
    </row>
    <row r="885" spans="8:12">
      <c r="H885" s="4"/>
      <c r="I885" s="4"/>
      <c r="J885" s="4"/>
      <c r="K885" s="4"/>
      <c r="L885" s="4"/>
    </row>
    <row r="886" spans="8:12">
      <c r="H886" s="4"/>
      <c r="I886" s="4"/>
      <c r="J886" s="4"/>
      <c r="K886" s="4"/>
      <c r="L886" s="4"/>
    </row>
    <row r="887" spans="8:12">
      <c r="H887" s="4"/>
      <c r="I887" s="4"/>
      <c r="J887" s="4"/>
      <c r="K887" s="4"/>
      <c r="L887" s="4"/>
    </row>
    <row r="888" spans="8:12">
      <c r="H888" s="4"/>
      <c r="I888" s="4"/>
      <c r="J888" s="4"/>
      <c r="K888" s="4"/>
      <c r="L888" s="4"/>
    </row>
    <row r="889" spans="8:12">
      <c r="H889" s="4"/>
      <c r="I889" s="4"/>
      <c r="J889" s="4"/>
      <c r="K889" s="4"/>
      <c r="L889" s="4"/>
    </row>
    <row r="890" spans="8:12">
      <c r="H890" s="4"/>
      <c r="I890" s="4"/>
      <c r="J890" s="4"/>
      <c r="K890" s="4"/>
      <c r="L890" s="4"/>
    </row>
    <row r="891" spans="8:12">
      <c r="H891" s="4"/>
      <c r="I891" s="4"/>
      <c r="J891" s="4"/>
      <c r="K891" s="4"/>
      <c r="L891" s="4"/>
    </row>
    <row r="892" spans="8:12">
      <c r="H892" s="4"/>
      <c r="I892" s="4"/>
      <c r="J892" s="4"/>
      <c r="K892" s="4"/>
      <c r="L892" s="4"/>
    </row>
    <row r="893" spans="8:12">
      <c r="H893" s="4"/>
      <c r="I893" s="4"/>
      <c r="J893" s="4"/>
      <c r="K893" s="4"/>
      <c r="L893" s="4"/>
    </row>
    <row r="894" spans="8:12">
      <c r="H894" s="4"/>
      <c r="I894" s="4"/>
      <c r="J894" s="4"/>
      <c r="K894" s="4"/>
      <c r="L894" s="4"/>
    </row>
    <row r="895" spans="8:12">
      <c r="H895" s="4"/>
      <c r="I895" s="4"/>
      <c r="J895" s="4"/>
      <c r="K895" s="4"/>
      <c r="L895" s="4"/>
    </row>
    <row r="896" spans="8:12">
      <c r="H896" s="4"/>
      <c r="I896" s="4"/>
      <c r="J896" s="4"/>
      <c r="K896" s="4"/>
      <c r="L896" s="4"/>
    </row>
    <row r="897" spans="8:12">
      <c r="H897" s="4"/>
      <c r="I897" s="4"/>
      <c r="J897" s="4"/>
      <c r="K897" s="4"/>
      <c r="L897" s="4"/>
    </row>
    <row r="898" spans="8:12">
      <c r="H898" s="4"/>
      <c r="I898" s="4"/>
      <c r="J898" s="4"/>
      <c r="K898" s="4"/>
      <c r="L898" s="4"/>
    </row>
    <row r="899" spans="8:12">
      <c r="H899" s="4"/>
      <c r="I899" s="4"/>
      <c r="J899" s="4"/>
      <c r="K899" s="4"/>
      <c r="L899" s="4"/>
    </row>
    <row r="900" spans="8:12">
      <c r="H900" s="4"/>
      <c r="I900" s="4"/>
      <c r="J900" s="4"/>
      <c r="K900" s="4"/>
      <c r="L900" s="4"/>
    </row>
    <row r="901" spans="8:12">
      <c r="H901" s="4"/>
      <c r="I901" s="4"/>
      <c r="J901" s="4"/>
      <c r="K901" s="4"/>
      <c r="L901" s="4"/>
    </row>
    <row r="902" spans="8:12">
      <c r="H902" s="4"/>
      <c r="I902" s="4"/>
      <c r="J902" s="4"/>
      <c r="K902" s="4"/>
      <c r="L902" s="4"/>
    </row>
    <row r="903" spans="8:12">
      <c r="H903" s="4"/>
      <c r="I903" s="4"/>
      <c r="J903" s="4"/>
      <c r="K903" s="4"/>
      <c r="L903" s="4"/>
    </row>
    <row r="904" spans="8:12">
      <c r="H904" s="4"/>
      <c r="I904" s="4"/>
      <c r="J904" s="4"/>
      <c r="K904" s="4"/>
      <c r="L904" s="4"/>
    </row>
    <row r="905" spans="8:12">
      <c r="H905" s="4"/>
      <c r="I905" s="4"/>
      <c r="J905" s="4"/>
      <c r="K905" s="4"/>
      <c r="L905" s="4"/>
    </row>
    <row r="906" spans="8:12">
      <c r="H906" s="4"/>
      <c r="I906" s="4"/>
      <c r="J906" s="4"/>
      <c r="K906" s="4"/>
      <c r="L906" s="4"/>
    </row>
    <row r="907" spans="8:12">
      <c r="H907" s="4"/>
      <c r="I907" s="4"/>
      <c r="J907" s="4"/>
      <c r="K907" s="4"/>
      <c r="L907" s="4"/>
    </row>
    <row r="908" spans="8:12">
      <c r="H908" s="4"/>
      <c r="I908" s="4"/>
      <c r="J908" s="4"/>
      <c r="K908" s="4"/>
      <c r="L908" s="4"/>
    </row>
    <row r="909" spans="8:12">
      <c r="H909" s="4"/>
      <c r="I909" s="4"/>
      <c r="J909" s="4"/>
      <c r="K909" s="4"/>
      <c r="L909" s="4"/>
    </row>
    <row r="910" spans="8:12">
      <c r="H910" s="4"/>
      <c r="I910" s="4"/>
      <c r="J910" s="4"/>
      <c r="K910" s="4"/>
      <c r="L910" s="4"/>
    </row>
    <row r="911" spans="8:12">
      <c r="H911" s="4"/>
      <c r="I911" s="4"/>
      <c r="J911" s="4"/>
      <c r="K911" s="4"/>
      <c r="L911" s="4"/>
    </row>
    <row r="912" spans="8:12">
      <c r="H912" s="4"/>
      <c r="I912" s="4"/>
      <c r="J912" s="4"/>
      <c r="K912" s="4"/>
      <c r="L912" s="4"/>
    </row>
    <row r="913" spans="8:12">
      <c r="H913" s="4"/>
      <c r="I913" s="4"/>
      <c r="J913" s="4"/>
      <c r="K913" s="4"/>
      <c r="L913" s="4"/>
    </row>
    <row r="914" spans="8:12">
      <c r="H914" s="4"/>
      <c r="I914" s="4"/>
      <c r="J914" s="4"/>
      <c r="K914" s="4"/>
      <c r="L914" s="4"/>
    </row>
    <row r="915" spans="8:12">
      <c r="H915" s="4"/>
      <c r="I915" s="4"/>
      <c r="J915" s="4"/>
      <c r="K915" s="4"/>
      <c r="L915" s="4"/>
    </row>
    <row r="916" spans="8:12">
      <c r="H916" s="4"/>
      <c r="I916" s="4"/>
      <c r="J916" s="4"/>
      <c r="K916" s="4"/>
      <c r="L916" s="4"/>
    </row>
    <row r="917" spans="8:12">
      <c r="H917" s="4"/>
      <c r="I917" s="4"/>
      <c r="J917" s="4"/>
      <c r="K917" s="4"/>
      <c r="L917" s="4"/>
    </row>
    <row r="918" spans="8:12">
      <c r="H918" s="4"/>
      <c r="I918" s="4"/>
      <c r="J918" s="4"/>
      <c r="K918" s="4"/>
      <c r="L918" s="4"/>
    </row>
    <row r="919" spans="8:12">
      <c r="H919" s="4"/>
      <c r="I919" s="4"/>
      <c r="J919" s="4"/>
      <c r="K919" s="4"/>
      <c r="L919" s="4"/>
    </row>
    <row r="920" spans="8:12">
      <c r="H920" s="4"/>
      <c r="I920" s="4"/>
      <c r="J920" s="4"/>
      <c r="K920" s="4"/>
      <c r="L920" s="4"/>
    </row>
    <row r="921" spans="8:12">
      <c r="H921" s="4"/>
      <c r="I921" s="4"/>
      <c r="J921" s="4"/>
      <c r="K921" s="4"/>
      <c r="L921" s="4"/>
    </row>
    <row r="922" spans="8:12">
      <c r="H922" s="4"/>
      <c r="I922" s="4"/>
      <c r="J922" s="4"/>
      <c r="K922" s="4"/>
      <c r="L922" s="4"/>
    </row>
    <row r="923" spans="8:12">
      <c r="H923" s="4"/>
      <c r="I923" s="4"/>
      <c r="J923" s="4"/>
      <c r="K923" s="4"/>
      <c r="L923" s="4"/>
    </row>
    <row r="924" spans="8:12">
      <c r="H924" s="4"/>
      <c r="I924" s="4"/>
      <c r="J924" s="4"/>
      <c r="K924" s="4"/>
      <c r="L924" s="4"/>
    </row>
    <row r="925" spans="8:12">
      <c r="H925" s="4"/>
      <c r="I925" s="4"/>
      <c r="J925" s="4"/>
      <c r="K925" s="4"/>
      <c r="L925" s="4"/>
    </row>
    <row r="926" spans="8:12">
      <c r="H926" s="4"/>
      <c r="I926" s="4"/>
      <c r="J926" s="4"/>
      <c r="K926" s="4"/>
      <c r="L926" s="4"/>
    </row>
    <row r="927" spans="8:12">
      <c r="H927" s="4"/>
      <c r="I927" s="4"/>
      <c r="J927" s="4"/>
      <c r="K927" s="4"/>
      <c r="L927" s="4"/>
    </row>
    <row r="928" spans="8:12">
      <c r="H928" s="4"/>
      <c r="I928" s="4"/>
      <c r="J928" s="4"/>
      <c r="K928" s="4"/>
      <c r="L928" s="4"/>
    </row>
    <row r="929" spans="8:12">
      <c r="H929" s="4"/>
      <c r="I929" s="4"/>
      <c r="J929" s="4"/>
      <c r="K929" s="4"/>
      <c r="L929" s="4"/>
    </row>
    <row r="930" spans="8:12">
      <c r="H930" s="4"/>
      <c r="I930" s="4"/>
      <c r="J930" s="4"/>
      <c r="K930" s="4"/>
      <c r="L930" s="4"/>
    </row>
    <row r="931" spans="8:12">
      <c r="H931" s="4"/>
      <c r="I931" s="4"/>
      <c r="J931" s="4"/>
      <c r="K931" s="4"/>
      <c r="L931" s="4"/>
    </row>
    <row r="932" spans="8:12">
      <c r="H932" s="4"/>
      <c r="I932" s="4"/>
      <c r="J932" s="4"/>
      <c r="K932" s="4"/>
      <c r="L932" s="4"/>
    </row>
    <row r="933" spans="8:12">
      <c r="H933" s="4"/>
      <c r="I933" s="4"/>
      <c r="J933" s="4"/>
      <c r="K933" s="4"/>
      <c r="L933" s="4"/>
    </row>
    <row r="934" spans="8:12">
      <c r="H934" s="4"/>
      <c r="I934" s="4"/>
      <c r="J934" s="4"/>
      <c r="K934" s="4"/>
      <c r="L934" s="4"/>
    </row>
    <row r="935" spans="8:12">
      <c r="H935" s="4"/>
      <c r="I935" s="4"/>
      <c r="J935" s="4"/>
      <c r="K935" s="4"/>
      <c r="L935" s="4"/>
    </row>
    <row r="936" spans="8:12">
      <c r="H936" s="4"/>
      <c r="I936" s="4"/>
      <c r="J936" s="4"/>
      <c r="K936" s="4"/>
      <c r="L936" s="4"/>
    </row>
    <row r="937" spans="8:12">
      <c r="H937" s="4"/>
      <c r="I937" s="4"/>
      <c r="J937" s="4"/>
      <c r="K937" s="4"/>
      <c r="L937" s="4"/>
    </row>
    <row r="938" spans="8:12">
      <c r="H938" s="4"/>
      <c r="I938" s="4"/>
      <c r="J938" s="4"/>
      <c r="K938" s="4"/>
      <c r="L938" s="4"/>
    </row>
    <row r="939" spans="8:12">
      <c r="H939" s="4"/>
      <c r="I939" s="4"/>
      <c r="J939" s="4"/>
      <c r="K939" s="4"/>
      <c r="L939" s="4"/>
    </row>
    <row r="940" spans="8:12">
      <c r="H940" s="4"/>
      <c r="I940" s="4"/>
      <c r="J940" s="4"/>
      <c r="K940" s="4"/>
      <c r="L940" s="4"/>
    </row>
    <row r="941" spans="8:12">
      <c r="H941" s="4"/>
      <c r="I941" s="4"/>
      <c r="J941" s="4"/>
      <c r="K941" s="4"/>
      <c r="L941" s="4"/>
    </row>
    <row r="942" spans="8:12">
      <c r="H942" s="4"/>
      <c r="I942" s="4"/>
      <c r="J942" s="4"/>
      <c r="K942" s="4"/>
      <c r="L942" s="4"/>
    </row>
    <row r="943" spans="8:12">
      <c r="H943" s="4"/>
      <c r="I943" s="4"/>
      <c r="J943" s="4"/>
      <c r="K943" s="4"/>
      <c r="L943" s="4"/>
    </row>
    <row r="944" spans="8:12">
      <c r="H944" s="4"/>
      <c r="I944" s="4"/>
      <c r="J944" s="4"/>
      <c r="K944" s="4"/>
      <c r="L944" s="4"/>
    </row>
    <row r="945" spans="8:12">
      <c r="H945" s="4"/>
      <c r="I945" s="4"/>
      <c r="J945" s="4"/>
      <c r="K945" s="4"/>
      <c r="L945" s="4"/>
    </row>
    <row r="946" spans="8:12">
      <c r="H946" s="4"/>
      <c r="I946" s="4"/>
      <c r="J946" s="4"/>
      <c r="K946" s="4"/>
      <c r="L946" s="4"/>
    </row>
    <row r="947" spans="8:12">
      <c r="H947" s="4"/>
      <c r="I947" s="4"/>
      <c r="J947" s="4"/>
      <c r="K947" s="4"/>
      <c r="L947" s="4"/>
    </row>
    <row r="948" spans="8:12">
      <c r="H948" s="4"/>
      <c r="I948" s="4"/>
      <c r="J948" s="4"/>
      <c r="K948" s="4"/>
      <c r="L948" s="4"/>
    </row>
    <row r="949" spans="8:12">
      <c r="H949" s="4"/>
      <c r="I949" s="4"/>
      <c r="J949" s="4"/>
      <c r="K949" s="4"/>
      <c r="L949" s="4"/>
    </row>
    <row r="950" spans="8:12">
      <c r="H950" s="4"/>
      <c r="I950" s="4"/>
      <c r="J950" s="4"/>
      <c r="K950" s="4"/>
      <c r="L950" s="4"/>
    </row>
    <row r="951" spans="8:12">
      <c r="H951" s="4"/>
      <c r="I951" s="4"/>
      <c r="J951" s="4"/>
      <c r="K951" s="4"/>
      <c r="L951" s="4"/>
    </row>
    <row r="952" spans="8:12">
      <c r="H952" s="4"/>
      <c r="I952" s="4"/>
      <c r="J952" s="4"/>
      <c r="K952" s="4"/>
      <c r="L952" s="4"/>
    </row>
    <row r="953" spans="8:12">
      <c r="H953" s="4"/>
      <c r="I953" s="4"/>
      <c r="J953" s="4"/>
      <c r="K953" s="4"/>
      <c r="L953" s="4"/>
    </row>
    <row r="954" spans="8:12">
      <c r="H954" s="4"/>
      <c r="I954" s="4"/>
      <c r="J954" s="4"/>
      <c r="K954" s="4"/>
      <c r="L954" s="4"/>
    </row>
    <row r="955" spans="8:12">
      <c r="H955" s="4"/>
      <c r="I955" s="4"/>
      <c r="J955" s="4"/>
      <c r="K955" s="4"/>
      <c r="L955" s="4"/>
    </row>
    <row r="956" spans="8:12">
      <c r="H956" s="4"/>
      <c r="I956" s="4"/>
      <c r="J956" s="4"/>
      <c r="K956" s="4"/>
      <c r="L956" s="4"/>
    </row>
    <row r="957" spans="8:12">
      <c r="H957" s="4"/>
      <c r="I957" s="4"/>
      <c r="J957" s="4"/>
      <c r="K957" s="4"/>
      <c r="L957" s="4"/>
    </row>
    <row r="958" spans="8:12">
      <c r="H958" s="4"/>
      <c r="I958" s="4"/>
      <c r="J958" s="4"/>
      <c r="K958" s="4"/>
      <c r="L958" s="4"/>
    </row>
    <row r="959" spans="8:12">
      <c r="H959" s="4"/>
      <c r="I959" s="4"/>
      <c r="J959" s="4"/>
      <c r="K959" s="4"/>
      <c r="L959" s="4"/>
    </row>
    <row r="960" spans="8:12">
      <c r="H960" s="4"/>
      <c r="I960" s="4"/>
      <c r="J960" s="4"/>
      <c r="K960" s="4"/>
      <c r="L960" s="4"/>
    </row>
    <row r="961" spans="8:12">
      <c r="H961" s="4"/>
      <c r="I961" s="4"/>
      <c r="J961" s="4"/>
      <c r="K961" s="4"/>
      <c r="L961" s="4"/>
    </row>
    <row r="962" spans="8:12">
      <c r="H962" s="4"/>
      <c r="I962" s="4"/>
      <c r="J962" s="4"/>
      <c r="K962" s="4"/>
      <c r="L962" s="4"/>
    </row>
    <row r="963" spans="8:12">
      <c r="H963" s="4"/>
      <c r="I963" s="4"/>
      <c r="J963" s="4"/>
      <c r="K963" s="4"/>
      <c r="L963" s="4"/>
    </row>
    <row r="964" spans="8:12">
      <c r="H964" s="4"/>
      <c r="I964" s="4"/>
      <c r="J964" s="4"/>
      <c r="K964" s="4"/>
      <c r="L964" s="4"/>
    </row>
    <row r="965" spans="8:12">
      <c r="H965" s="4"/>
      <c r="I965" s="4"/>
      <c r="J965" s="4"/>
      <c r="K965" s="4"/>
      <c r="L965" s="4"/>
    </row>
    <row r="966" spans="8:12">
      <c r="H966" s="4"/>
      <c r="I966" s="4"/>
      <c r="J966" s="4"/>
      <c r="K966" s="4"/>
      <c r="L966" s="4"/>
    </row>
    <row r="967" spans="8:12">
      <c r="H967" s="4"/>
      <c r="I967" s="4"/>
      <c r="J967" s="4"/>
      <c r="K967" s="4"/>
      <c r="L967" s="4"/>
    </row>
    <row r="968" spans="8:12">
      <c r="H968" s="4"/>
      <c r="I968" s="4"/>
      <c r="J968" s="4"/>
      <c r="K968" s="4"/>
      <c r="L968" s="4"/>
    </row>
    <row r="969" spans="8:12">
      <c r="H969" s="4"/>
      <c r="I969" s="4"/>
      <c r="J969" s="4"/>
      <c r="K969" s="4"/>
      <c r="L969" s="4"/>
    </row>
    <row r="970" spans="8:12">
      <c r="H970" s="4"/>
      <c r="I970" s="4"/>
      <c r="J970" s="4"/>
      <c r="K970" s="4"/>
      <c r="L970" s="4"/>
    </row>
    <row r="971" spans="8:12">
      <c r="H971" s="4"/>
      <c r="I971" s="4"/>
      <c r="J971" s="4"/>
      <c r="K971" s="4"/>
      <c r="L971" s="4"/>
    </row>
    <row r="972" spans="8:12">
      <c r="H972" s="4"/>
      <c r="I972" s="4"/>
      <c r="J972" s="4"/>
      <c r="K972" s="4"/>
      <c r="L972" s="4"/>
    </row>
    <row r="973" spans="8:12">
      <c r="H973" s="4"/>
      <c r="I973" s="4"/>
      <c r="J973" s="4"/>
      <c r="K973" s="4"/>
      <c r="L973" s="4"/>
    </row>
    <row r="974" spans="8:12">
      <c r="H974" s="4"/>
      <c r="I974" s="4"/>
      <c r="J974" s="4"/>
      <c r="K974" s="4"/>
      <c r="L974" s="4"/>
    </row>
    <row r="975" spans="8:12">
      <c r="H975" s="4"/>
      <c r="I975" s="4"/>
      <c r="J975" s="4"/>
      <c r="K975" s="4"/>
      <c r="L975" s="4"/>
    </row>
    <row r="976" spans="8:12">
      <c r="H976" s="4"/>
      <c r="I976" s="4"/>
      <c r="J976" s="4"/>
      <c r="K976" s="4"/>
      <c r="L976" s="4"/>
    </row>
    <row r="977" spans="8:12">
      <c r="H977" s="4"/>
      <c r="I977" s="4"/>
      <c r="J977" s="4"/>
      <c r="K977" s="4"/>
      <c r="L977" s="4"/>
    </row>
    <row r="978" spans="8:12">
      <c r="H978" s="4"/>
      <c r="I978" s="4"/>
      <c r="J978" s="4"/>
      <c r="K978" s="4"/>
      <c r="L978" s="4"/>
    </row>
    <row r="979" spans="8:12">
      <c r="H979" s="4"/>
      <c r="I979" s="4"/>
      <c r="J979" s="4"/>
      <c r="K979" s="4"/>
      <c r="L979" s="4"/>
    </row>
    <row r="980" spans="8:12">
      <c r="H980" s="4"/>
      <c r="I980" s="4"/>
      <c r="J980" s="4"/>
      <c r="K980" s="4"/>
      <c r="L980" s="4"/>
    </row>
    <row r="981" spans="8:12">
      <c r="H981" s="4"/>
      <c r="I981" s="4"/>
      <c r="J981" s="4"/>
      <c r="K981" s="4"/>
      <c r="L981" s="4"/>
    </row>
    <row r="982" spans="8:12">
      <c r="H982" s="4"/>
      <c r="I982" s="4"/>
      <c r="J982" s="4"/>
      <c r="K982" s="4"/>
      <c r="L982" s="4"/>
    </row>
    <row r="983" spans="8:12">
      <c r="H983" s="4"/>
      <c r="I983" s="4"/>
      <c r="J983" s="4"/>
      <c r="K983" s="4"/>
      <c r="L983" s="4"/>
    </row>
    <row r="984" spans="8:12">
      <c r="H984" s="4"/>
      <c r="I984" s="4"/>
      <c r="J984" s="4"/>
      <c r="K984" s="4"/>
      <c r="L984" s="4"/>
    </row>
    <row r="985" spans="8:12">
      <c r="H985" s="4"/>
      <c r="I985" s="4"/>
      <c r="J985" s="4"/>
      <c r="K985" s="4"/>
      <c r="L985" s="4"/>
    </row>
    <row r="986" spans="8:12">
      <c r="H986" s="4"/>
      <c r="I986" s="4"/>
      <c r="J986" s="4"/>
      <c r="K986" s="4"/>
      <c r="L986" s="4"/>
    </row>
    <row r="987" spans="8:12">
      <c r="H987" s="4"/>
      <c r="I987" s="4"/>
      <c r="J987" s="4"/>
      <c r="K987" s="4"/>
      <c r="L987" s="4"/>
    </row>
    <row r="988" spans="8:12">
      <c r="H988" s="4"/>
      <c r="I988" s="4"/>
      <c r="J988" s="4"/>
      <c r="K988" s="4"/>
      <c r="L988" s="4"/>
    </row>
    <row r="989" spans="8:12">
      <c r="H989" s="4"/>
      <c r="I989" s="4"/>
      <c r="J989" s="4"/>
      <c r="K989" s="4"/>
      <c r="L989" s="4"/>
    </row>
    <row r="990" spans="8:12">
      <c r="H990" s="4"/>
      <c r="I990" s="4"/>
      <c r="J990" s="4"/>
      <c r="K990" s="4"/>
      <c r="L990" s="4"/>
    </row>
    <row r="991" spans="8:12">
      <c r="H991" s="4"/>
      <c r="I991" s="4"/>
      <c r="J991" s="4"/>
      <c r="K991" s="4"/>
      <c r="L991" s="4"/>
    </row>
    <row r="992" spans="8:12">
      <c r="H992" s="4"/>
      <c r="I992" s="4"/>
      <c r="J992" s="4"/>
      <c r="K992" s="4"/>
      <c r="L992" s="4"/>
    </row>
    <row r="993" spans="8:12">
      <c r="H993" s="4"/>
      <c r="I993" s="4"/>
      <c r="J993" s="4"/>
      <c r="K993" s="4"/>
      <c r="L993" s="4"/>
    </row>
    <row r="994" spans="8:12">
      <c r="H994" s="4"/>
      <c r="I994" s="4"/>
      <c r="J994" s="4"/>
      <c r="K994" s="4"/>
      <c r="L994" s="4"/>
    </row>
    <row r="995" spans="8:12">
      <c r="H995" s="4"/>
      <c r="I995" s="4"/>
      <c r="J995" s="4"/>
      <c r="K995" s="4"/>
      <c r="L995" s="4"/>
    </row>
    <row r="996" spans="8:12">
      <c r="H996" s="4"/>
      <c r="I996" s="4"/>
      <c r="J996" s="4"/>
      <c r="K996" s="4"/>
      <c r="L996" s="4"/>
    </row>
    <row r="997" spans="8:12">
      <c r="H997" s="4"/>
      <c r="I997" s="4"/>
      <c r="J997" s="4"/>
      <c r="K997" s="4"/>
      <c r="L997" s="4"/>
    </row>
    <row r="998" spans="8:12">
      <c r="H998" s="4"/>
      <c r="I998" s="4"/>
      <c r="J998" s="4"/>
      <c r="K998" s="4"/>
      <c r="L998" s="4"/>
    </row>
    <row r="999" spans="8:12">
      <c r="H999" s="4"/>
      <c r="I999" s="4"/>
      <c r="J999" s="4"/>
      <c r="K999" s="4"/>
      <c r="L999" s="4"/>
    </row>
    <row r="1000" spans="8:12">
      <c r="H1000" s="4"/>
      <c r="I1000" s="4"/>
      <c r="J1000" s="4"/>
      <c r="K1000" s="4"/>
      <c r="L1000" s="4"/>
    </row>
    <row r="1001" spans="8:12">
      <c r="H1001" s="4"/>
      <c r="I1001" s="4"/>
      <c r="J1001" s="4"/>
      <c r="K1001" s="4"/>
      <c r="L1001" s="4"/>
    </row>
    <row r="1002" spans="8:12">
      <c r="H1002" s="4"/>
      <c r="I1002" s="4"/>
      <c r="J1002" s="4"/>
      <c r="K1002" s="4"/>
      <c r="L1002" s="4"/>
    </row>
    <row r="1003" spans="8:12">
      <c r="H1003" s="4"/>
      <c r="I1003" s="4"/>
      <c r="J1003" s="4"/>
      <c r="K1003" s="4"/>
      <c r="L1003" s="4"/>
    </row>
    <row r="1004" spans="8:12">
      <c r="H1004" s="4"/>
      <c r="I1004" s="4"/>
      <c r="J1004" s="4"/>
      <c r="K1004" s="4"/>
      <c r="L1004" s="4"/>
    </row>
    <row r="1005" spans="8:12">
      <c r="H1005" s="4"/>
      <c r="I1005" s="4"/>
      <c r="J1005" s="4"/>
      <c r="K1005" s="4"/>
      <c r="L1005" s="4"/>
    </row>
    <row r="1006" spans="8:12">
      <c r="H1006" s="4"/>
      <c r="I1006" s="4"/>
      <c r="J1006" s="4"/>
      <c r="K1006" s="4"/>
      <c r="L1006" s="4"/>
    </row>
    <row r="1007" spans="8:12">
      <c r="H1007" s="4"/>
      <c r="I1007" s="4"/>
      <c r="J1007" s="4"/>
      <c r="K1007" s="4"/>
      <c r="L1007" s="4"/>
    </row>
    <row r="1008" spans="8:12">
      <c r="H1008" s="4"/>
      <c r="I1008" s="4"/>
      <c r="J1008" s="4"/>
      <c r="K1008" s="4"/>
      <c r="L1008" s="4"/>
    </row>
    <row r="1009" spans="8:12">
      <c r="H1009" s="4"/>
      <c r="I1009" s="4"/>
      <c r="J1009" s="4"/>
      <c r="K1009" s="4"/>
      <c r="L1009" s="4"/>
    </row>
    <row r="1010" spans="8:12">
      <c r="H1010" s="4"/>
      <c r="I1010" s="4"/>
      <c r="J1010" s="4"/>
      <c r="K1010" s="4"/>
      <c r="L1010" s="4"/>
    </row>
    <row r="1011" spans="8:12">
      <c r="H1011" s="4"/>
      <c r="I1011" s="4"/>
      <c r="J1011" s="4"/>
      <c r="K1011" s="4"/>
      <c r="L1011" s="4"/>
    </row>
    <row r="1012" spans="8:12">
      <c r="H1012" s="4"/>
      <c r="I1012" s="4"/>
      <c r="J1012" s="4"/>
      <c r="K1012" s="4"/>
      <c r="L1012" s="4"/>
    </row>
    <row r="1013" spans="8:12">
      <c r="H1013" s="4"/>
      <c r="I1013" s="4"/>
      <c r="J1013" s="4"/>
      <c r="K1013" s="4"/>
      <c r="L1013" s="4"/>
    </row>
    <row r="1014" spans="8:12">
      <c r="H1014" s="4"/>
      <c r="I1014" s="4"/>
      <c r="J1014" s="4"/>
      <c r="K1014" s="4"/>
      <c r="L1014" s="4"/>
    </row>
    <row r="1015" spans="8:12">
      <c r="H1015" s="4"/>
      <c r="I1015" s="4"/>
      <c r="J1015" s="4"/>
      <c r="K1015" s="4"/>
      <c r="L1015" s="4"/>
    </row>
    <row r="1016" spans="8:12">
      <c r="H1016" s="4"/>
      <c r="I1016" s="4"/>
      <c r="J1016" s="4"/>
      <c r="K1016" s="4"/>
      <c r="L1016" s="4"/>
    </row>
    <row r="1017" spans="8:12">
      <c r="H1017" s="4"/>
      <c r="I1017" s="4"/>
      <c r="J1017" s="4"/>
      <c r="K1017" s="4"/>
      <c r="L1017" s="4"/>
    </row>
    <row r="1018" spans="8:12">
      <c r="H1018" s="4"/>
      <c r="I1018" s="4"/>
      <c r="J1018" s="4"/>
      <c r="K1018" s="4"/>
      <c r="L1018" s="4"/>
    </row>
    <row r="1019" spans="8:12">
      <c r="H1019" s="4"/>
      <c r="I1019" s="4"/>
      <c r="J1019" s="4"/>
      <c r="K1019" s="4"/>
      <c r="L1019" s="4"/>
    </row>
    <row r="1020" spans="8:12">
      <c r="H1020" s="4"/>
      <c r="I1020" s="4"/>
      <c r="J1020" s="4"/>
      <c r="K1020" s="4"/>
      <c r="L1020" s="4"/>
    </row>
    <row r="1021" spans="8:12">
      <c r="H1021" s="4"/>
      <c r="I1021" s="4"/>
      <c r="J1021" s="4"/>
      <c r="K1021" s="4"/>
      <c r="L1021" s="4"/>
    </row>
    <row r="1022" spans="8:12">
      <c r="H1022" s="4"/>
      <c r="I1022" s="4"/>
      <c r="J1022" s="4"/>
      <c r="K1022" s="4"/>
      <c r="L1022" s="4"/>
    </row>
    <row r="1023" spans="8:12">
      <c r="H1023" s="4"/>
      <c r="I1023" s="4"/>
      <c r="J1023" s="4"/>
      <c r="K1023" s="4"/>
      <c r="L1023" s="4"/>
    </row>
    <row r="1024" spans="8:12">
      <c r="H1024" s="4"/>
      <c r="I1024" s="4"/>
      <c r="J1024" s="4"/>
      <c r="K1024" s="4"/>
      <c r="L1024" s="4"/>
    </row>
    <row r="1025" spans="8:12">
      <c r="H1025" s="4"/>
      <c r="I1025" s="4"/>
      <c r="J1025" s="4"/>
      <c r="K1025" s="4"/>
      <c r="L1025" s="4"/>
    </row>
    <row r="1026" spans="8:12">
      <c r="H1026" s="4"/>
      <c r="I1026" s="4"/>
      <c r="J1026" s="4"/>
      <c r="K1026" s="4"/>
      <c r="L1026" s="4"/>
    </row>
    <row r="1027" spans="8:12">
      <c r="H1027" s="4"/>
      <c r="I1027" s="4"/>
      <c r="J1027" s="4"/>
      <c r="K1027" s="4"/>
      <c r="L1027" s="4"/>
    </row>
    <row r="1028" spans="8:12">
      <c r="H1028" s="4"/>
      <c r="I1028" s="4"/>
      <c r="J1028" s="4"/>
      <c r="K1028" s="4"/>
      <c r="L1028" s="4"/>
    </row>
    <row r="1029" spans="8:12">
      <c r="H1029" s="4"/>
      <c r="I1029" s="4"/>
      <c r="J1029" s="4"/>
      <c r="K1029" s="4"/>
      <c r="L1029" s="4"/>
    </row>
    <row r="1030" spans="8:12">
      <c r="H1030" s="4"/>
      <c r="I1030" s="4"/>
      <c r="J1030" s="4"/>
      <c r="K1030" s="4"/>
      <c r="L1030" s="4"/>
    </row>
    <row r="1031" spans="8:12">
      <c r="H1031" s="4"/>
      <c r="I1031" s="4"/>
      <c r="J1031" s="4"/>
      <c r="K1031" s="4"/>
      <c r="L1031" s="4"/>
    </row>
    <row r="1032" spans="8:12">
      <c r="H1032" s="4"/>
      <c r="I1032" s="4"/>
      <c r="J1032" s="4"/>
      <c r="K1032" s="4"/>
      <c r="L1032" s="4"/>
    </row>
    <row r="1033" spans="8:12">
      <c r="H1033" s="4"/>
      <c r="I1033" s="4"/>
      <c r="J1033" s="4"/>
      <c r="K1033" s="4"/>
      <c r="L1033" s="4"/>
    </row>
    <row r="1034" spans="8:12">
      <c r="H1034" s="4"/>
      <c r="I1034" s="4"/>
      <c r="J1034" s="4"/>
      <c r="K1034" s="4"/>
      <c r="L1034" s="4"/>
    </row>
    <row r="1035" spans="8:12">
      <c r="H1035" s="4"/>
      <c r="I1035" s="4"/>
      <c r="J1035" s="4"/>
      <c r="K1035" s="4"/>
      <c r="L1035" s="4"/>
    </row>
    <row r="1036" spans="8:12">
      <c r="H1036" s="4"/>
      <c r="I1036" s="4"/>
      <c r="J1036" s="4"/>
      <c r="K1036" s="4"/>
      <c r="L1036" s="4"/>
    </row>
    <row r="1037" spans="8:12">
      <c r="H1037" s="4"/>
      <c r="I1037" s="4"/>
      <c r="J1037" s="4"/>
      <c r="K1037" s="4"/>
      <c r="L1037" s="4"/>
    </row>
    <row r="1038" spans="8:12">
      <c r="H1038" s="4"/>
      <c r="I1038" s="4"/>
      <c r="J1038" s="4"/>
      <c r="K1038" s="4"/>
      <c r="L1038" s="4"/>
    </row>
    <row r="1039" spans="8:12">
      <c r="H1039" s="4"/>
      <c r="I1039" s="4"/>
      <c r="J1039" s="4"/>
      <c r="K1039" s="4"/>
      <c r="L1039" s="4"/>
    </row>
    <row r="1040" spans="8:12">
      <c r="H1040" s="4"/>
      <c r="I1040" s="4"/>
      <c r="J1040" s="4"/>
      <c r="K1040" s="4"/>
      <c r="L1040" s="4"/>
    </row>
    <row r="1041" spans="8:12">
      <c r="H1041" s="4"/>
      <c r="I1041" s="4"/>
      <c r="J1041" s="4"/>
      <c r="K1041" s="4"/>
      <c r="L1041" s="4"/>
    </row>
    <row r="1042" spans="8:12">
      <c r="H1042" s="4"/>
      <c r="I1042" s="4"/>
      <c r="J1042" s="4"/>
      <c r="K1042" s="4"/>
      <c r="L1042" s="4"/>
    </row>
    <row r="1043" spans="8:12">
      <c r="H1043" s="4"/>
      <c r="I1043" s="4"/>
      <c r="J1043" s="4"/>
      <c r="K1043" s="4"/>
      <c r="L1043" s="4"/>
    </row>
    <row r="1044" spans="8:12">
      <c r="H1044" s="4"/>
      <c r="I1044" s="4"/>
      <c r="J1044" s="4"/>
      <c r="K1044" s="4"/>
      <c r="L1044" s="4"/>
    </row>
    <row r="1045" spans="8:12">
      <c r="H1045" s="4"/>
      <c r="I1045" s="4"/>
      <c r="J1045" s="4"/>
      <c r="K1045" s="4"/>
      <c r="L1045" s="4"/>
    </row>
    <row r="1046" spans="8:12">
      <c r="H1046" s="4"/>
      <c r="I1046" s="4"/>
      <c r="J1046" s="4"/>
      <c r="K1046" s="4"/>
      <c r="L1046" s="4"/>
    </row>
    <row r="1047" spans="8:12">
      <c r="H1047" s="4"/>
      <c r="I1047" s="4"/>
      <c r="J1047" s="4"/>
      <c r="K1047" s="4"/>
      <c r="L1047" s="4"/>
    </row>
    <row r="1048" spans="8:12">
      <c r="H1048" s="4"/>
      <c r="I1048" s="4"/>
      <c r="J1048" s="4"/>
      <c r="K1048" s="4"/>
      <c r="L1048" s="4"/>
    </row>
    <row r="1049" spans="8:12">
      <c r="H1049" s="4"/>
      <c r="I1049" s="4"/>
      <c r="J1049" s="4"/>
      <c r="K1049" s="4"/>
      <c r="L1049" s="4"/>
    </row>
    <row r="1050" spans="8:12">
      <c r="H1050" s="4"/>
      <c r="I1050" s="4"/>
      <c r="J1050" s="4"/>
      <c r="K1050" s="4"/>
      <c r="L1050" s="4"/>
    </row>
    <row r="1051" spans="8:12">
      <c r="H1051" s="4"/>
      <c r="I1051" s="4"/>
      <c r="J1051" s="4"/>
      <c r="K1051" s="4"/>
      <c r="L1051" s="4"/>
    </row>
    <row r="1052" spans="8:12">
      <c r="H1052" s="4"/>
      <c r="I1052" s="4"/>
      <c r="J1052" s="4"/>
      <c r="K1052" s="4"/>
      <c r="L1052" s="4"/>
    </row>
    <row r="1053" spans="8:12">
      <c r="H1053" s="4"/>
      <c r="I1053" s="4"/>
      <c r="J1053" s="4"/>
      <c r="K1053" s="4"/>
      <c r="L1053" s="4"/>
    </row>
    <row r="1054" spans="8:12">
      <c r="H1054" s="4"/>
      <c r="I1054" s="4"/>
      <c r="J1054" s="4"/>
      <c r="K1054" s="4"/>
      <c r="L1054" s="4"/>
    </row>
    <row r="1055" spans="8:12">
      <c r="H1055" s="4"/>
      <c r="I1055" s="4"/>
      <c r="J1055" s="4"/>
      <c r="K1055" s="4"/>
      <c r="L1055" s="4"/>
    </row>
    <row r="1056" spans="8:12">
      <c r="H1056" s="4"/>
      <c r="I1056" s="4"/>
      <c r="J1056" s="4"/>
      <c r="K1056" s="4"/>
      <c r="L1056" s="4"/>
    </row>
    <row r="1057" spans="8:12">
      <c r="H1057" s="4"/>
      <c r="I1057" s="4"/>
      <c r="J1057" s="4"/>
      <c r="K1057" s="4"/>
      <c r="L1057" s="4"/>
    </row>
    <row r="1058" spans="8:12">
      <c r="H1058" s="4"/>
      <c r="I1058" s="4"/>
      <c r="J1058" s="4"/>
      <c r="K1058" s="4"/>
      <c r="L1058" s="4"/>
    </row>
    <row r="1059" spans="8:12">
      <c r="H1059" s="4"/>
      <c r="I1059" s="4"/>
      <c r="J1059" s="4"/>
      <c r="K1059" s="4"/>
      <c r="L1059" s="4"/>
    </row>
    <row r="1060" spans="8:12">
      <c r="H1060" s="4"/>
      <c r="I1060" s="4"/>
      <c r="J1060" s="4"/>
      <c r="K1060" s="4"/>
      <c r="L1060" s="4"/>
    </row>
    <row r="1061" spans="8:12">
      <c r="H1061" s="4"/>
      <c r="I1061" s="4"/>
      <c r="J1061" s="4"/>
      <c r="K1061" s="4"/>
      <c r="L1061" s="4"/>
    </row>
    <row r="1062" spans="8:12">
      <c r="H1062" s="4"/>
      <c r="I1062" s="4"/>
      <c r="J1062" s="4"/>
      <c r="K1062" s="4"/>
      <c r="L1062" s="4"/>
    </row>
    <row r="1063" spans="8:12">
      <c r="H1063" s="4"/>
      <c r="I1063" s="4"/>
      <c r="J1063" s="4"/>
      <c r="K1063" s="4"/>
      <c r="L1063" s="4"/>
    </row>
    <row r="1064" spans="8:12">
      <c r="H1064" s="4"/>
      <c r="I1064" s="4"/>
      <c r="J1064" s="4"/>
      <c r="K1064" s="4"/>
      <c r="L1064" s="4"/>
    </row>
    <row r="1065" spans="8:12">
      <c r="H1065" s="4"/>
      <c r="I1065" s="4"/>
      <c r="J1065" s="4"/>
      <c r="K1065" s="4"/>
      <c r="L1065" s="4"/>
    </row>
    <row r="1066" spans="8:12">
      <c r="H1066" s="4"/>
      <c r="I1066" s="4"/>
      <c r="J1066" s="4"/>
      <c r="K1066" s="4"/>
      <c r="L1066" s="4"/>
    </row>
    <row r="1067" spans="8:12">
      <c r="H1067" s="4"/>
      <c r="I1067" s="4"/>
      <c r="J1067" s="4"/>
      <c r="K1067" s="4"/>
      <c r="L1067" s="4"/>
    </row>
    <row r="1068" spans="8:12">
      <c r="H1068" s="4"/>
      <c r="I1068" s="4"/>
      <c r="J1068" s="4"/>
      <c r="K1068" s="4"/>
      <c r="L1068" s="4"/>
    </row>
    <row r="1069" spans="8:12">
      <c r="H1069" s="4"/>
      <c r="I1069" s="4"/>
      <c r="J1069" s="4"/>
      <c r="K1069" s="4"/>
      <c r="L1069" s="4"/>
    </row>
    <row r="1070" spans="8:12">
      <c r="H1070" s="4"/>
      <c r="I1070" s="4"/>
      <c r="J1070" s="4"/>
      <c r="K1070" s="4"/>
      <c r="L1070" s="4"/>
    </row>
    <row r="1071" spans="8:12">
      <c r="H1071" s="4"/>
      <c r="I1071" s="4"/>
      <c r="J1071" s="4"/>
      <c r="K1071" s="4"/>
      <c r="L1071" s="4"/>
    </row>
    <row r="1072" spans="8:12">
      <c r="H1072" s="4"/>
      <c r="I1072" s="4"/>
      <c r="J1072" s="4"/>
      <c r="K1072" s="4"/>
      <c r="L1072" s="4"/>
    </row>
    <row r="1073" spans="8:12">
      <c r="H1073" s="4"/>
      <c r="I1073" s="4"/>
      <c r="J1073" s="4"/>
      <c r="K1073" s="4"/>
      <c r="L1073" s="4"/>
    </row>
    <row r="1074" spans="8:12">
      <c r="H1074" s="4"/>
      <c r="I1074" s="4"/>
      <c r="J1074" s="4"/>
      <c r="K1074" s="4"/>
      <c r="L1074" s="4"/>
    </row>
    <row r="1075" spans="8:12">
      <c r="H1075" s="4"/>
      <c r="I1075" s="4"/>
      <c r="J1075" s="4"/>
      <c r="K1075" s="4"/>
      <c r="L1075" s="4"/>
    </row>
    <row r="1076" spans="8:12">
      <c r="H1076" s="4"/>
      <c r="I1076" s="4"/>
      <c r="J1076" s="4"/>
      <c r="K1076" s="4"/>
      <c r="L1076" s="4"/>
    </row>
    <row r="1077" spans="8:12">
      <c r="H1077" s="4"/>
      <c r="I1077" s="4"/>
      <c r="J1077" s="4"/>
      <c r="K1077" s="4"/>
      <c r="L1077" s="4"/>
    </row>
    <row r="1078" spans="8:12">
      <c r="H1078" s="4"/>
      <c r="I1078" s="4"/>
      <c r="J1078" s="4"/>
      <c r="K1078" s="4"/>
      <c r="L1078" s="4"/>
    </row>
    <row r="1079" spans="8:12">
      <c r="H1079" s="4"/>
      <c r="I1079" s="4"/>
      <c r="J1079" s="4"/>
      <c r="K1079" s="4"/>
      <c r="L1079" s="4"/>
    </row>
    <row r="1080" spans="8:12">
      <c r="H1080" s="4"/>
      <c r="I1080" s="4"/>
      <c r="J1080" s="4"/>
      <c r="K1080" s="4"/>
      <c r="L1080" s="4"/>
    </row>
    <row r="1081" spans="8:12">
      <c r="H1081" s="4"/>
      <c r="I1081" s="4"/>
      <c r="J1081" s="4"/>
      <c r="K1081" s="4"/>
      <c r="L1081" s="4"/>
    </row>
    <row r="1082" spans="8:12">
      <c r="H1082" s="4"/>
      <c r="I1082" s="4"/>
      <c r="J1082" s="4"/>
      <c r="K1082" s="4"/>
      <c r="L1082" s="4"/>
    </row>
    <row r="1083" spans="8:12">
      <c r="H1083" s="4"/>
      <c r="I1083" s="4"/>
      <c r="J1083" s="4"/>
      <c r="K1083" s="4"/>
      <c r="L1083" s="4"/>
    </row>
    <row r="1084" spans="8:12">
      <c r="H1084" s="4"/>
      <c r="I1084" s="4"/>
      <c r="J1084" s="4"/>
      <c r="K1084" s="4"/>
      <c r="L1084" s="4"/>
    </row>
    <row r="1085" spans="8:12">
      <c r="H1085" s="4"/>
      <c r="I1085" s="4"/>
      <c r="J1085" s="4"/>
      <c r="K1085" s="4"/>
      <c r="L1085" s="4"/>
    </row>
    <row r="1086" spans="8:12">
      <c r="H1086" s="4"/>
      <c r="I1086" s="4"/>
      <c r="J1086" s="4"/>
      <c r="K1086" s="4"/>
      <c r="L1086" s="4"/>
    </row>
    <row r="1087" spans="8:12">
      <c r="H1087" s="4"/>
      <c r="I1087" s="4"/>
      <c r="J1087" s="4"/>
      <c r="K1087" s="4"/>
      <c r="L1087" s="4"/>
    </row>
    <row r="1088" spans="8:12">
      <c r="H1088" s="4"/>
      <c r="I1088" s="4"/>
      <c r="J1088" s="4"/>
      <c r="K1088" s="4"/>
      <c r="L1088" s="4"/>
    </row>
    <row r="1089" spans="8:12">
      <c r="H1089" s="4"/>
      <c r="I1089" s="4"/>
      <c r="J1089" s="4"/>
      <c r="K1089" s="4"/>
      <c r="L1089" s="4"/>
    </row>
    <row r="1090" spans="8:12">
      <c r="H1090" s="4"/>
      <c r="I1090" s="4"/>
      <c r="J1090" s="4"/>
      <c r="K1090" s="4"/>
      <c r="L1090" s="4"/>
    </row>
    <row r="1091" spans="8:12">
      <c r="H1091" s="4"/>
      <c r="I1091" s="4"/>
      <c r="J1091" s="4"/>
      <c r="K1091" s="4"/>
      <c r="L1091" s="4"/>
    </row>
    <row r="1092" spans="8:12">
      <c r="H1092" s="4"/>
      <c r="I1092" s="4"/>
      <c r="J1092" s="4"/>
      <c r="K1092" s="4"/>
      <c r="L1092" s="4"/>
    </row>
    <row r="1093" spans="8:12">
      <c r="H1093" s="4"/>
      <c r="I1093" s="4"/>
      <c r="J1093" s="4"/>
      <c r="K1093" s="4"/>
      <c r="L1093" s="4"/>
    </row>
    <row r="1094" spans="8:12">
      <c r="H1094" s="4"/>
      <c r="I1094" s="4"/>
      <c r="J1094" s="4"/>
      <c r="K1094" s="4"/>
      <c r="L1094" s="4"/>
    </row>
    <row r="1095" spans="8:12">
      <c r="H1095" s="4"/>
      <c r="I1095" s="4"/>
      <c r="J1095" s="4"/>
      <c r="K1095" s="4"/>
      <c r="L1095" s="4"/>
    </row>
    <row r="1096" spans="8:12">
      <c r="H1096" s="4"/>
      <c r="I1096" s="4"/>
      <c r="J1096" s="4"/>
      <c r="K1096" s="4"/>
      <c r="L1096" s="4"/>
    </row>
    <row r="1097" spans="8:12">
      <c r="H1097" s="4"/>
      <c r="I1097" s="4"/>
      <c r="J1097" s="4"/>
      <c r="K1097" s="4"/>
      <c r="L1097" s="4"/>
    </row>
    <row r="1098" spans="8:12">
      <c r="H1098" s="4"/>
      <c r="I1098" s="4"/>
      <c r="J1098" s="4"/>
      <c r="K1098" s="4"/>
      <c r="L1098" s="4"/>
    </row>
    <row r="1099" spans="8:12">
      <c r="H1099" s="4"/>
      <c r="I1099" s="4"/>
      <c r="J1099" s="4"/>
      <c r="K1099" s="4"/>
      <c r="L1099" s="4"/>
    </row>
    <row r="1100" spans="8:12">
      <c r="H1100" s="4"/>
      <c r="I1100" s="4"/>
      <c r="J1100" s="4"/>
      <c r="K1100" s="4"/>
      <c r="L1100" s="4"/>
    </row>
    <row r="1101" spans="8:12">
      <c r="H1101" s="4"/>
      <c r="I1101" s="4"/>
      <c r="J1101" s="4"/>
      <c r="K1101" s="4"/>
      <c r="L1101" s="4"/>
    </row>
    <row r="1102" spans="8:12">
      <c r="H1102" s="4"/>
      <c r="I1102" s="4"/>
      <c r="J1102" s="4"/>
      <c r="K1102" s="4"/>
      <c r="L1102" s="4"/>
    </row>
    <row r="1103" spans="8:12">
      <c r="H1103" s="4"/>
      <c r="I1103" s="4"/>
      <c r="J1103" s="4"/>
      <c r="K1103" s="4"/>
      <c r="L1103" s="4"/>
    </row>
    <row r="1104" spans="8:12">
      <c r="H1104" s="4"/>
      <c r="I1104" s="4"/>
      <c r="J1104" s="4"/>
      <c r="K1104" s="4"/>
      <c r="L1104" s="4"/>
    </row>
    <row r="1105" spans="8:12">
      <c r="H1105" s="4"/>
      <c r="I1105" s="4"/>
      <c r="J1105" s="4"/>
      <c r="K1105" s="4"/>
      <c r="L1105" s="4"/>
    </row>
    <row r="1106" spans="8:12">
      <c r="H1106" s="4"/>
      <c r="I1106" s="4"/>
      <c r="J1106" s="4"/>
      <c r="K1106" s="4"/>
      <c r="L1106" s="4"/>
    </row>
    <row r="1107" spans="8:12">
      <c r="H1107" s="4"/>
      <c r="I1107" s="4"/>
      <c r="J1107" s="4"/>
      <c r="K1107" s="4"/>
      <c r="L1107" s="4"/>
    </row>
    <row r="1108" spans="8:12">
      <c r="H1108" s="4"/>
      <c r="I1108" s="4"/>
      <c r="J1108" s="4"/>
      <c r="K1108" s="4"/>
      <c r="L1108" s="4"/>
    </row>
    <row r="1109" spans="8:12">
      <c r="H1109" s="4"/>
      <c r="I1109" s="4"/>
      <c r="J1109" s="4"/>
      <c r="K1109" s="4"/>
      <c r="L1109" s="4"/>
    </row>
    <row r="1110" spans="8:12">
      <c r="H1110" s="4"/>
      <c r="I1110" s="4"/>
      <c r="J1110" s="4"/>
      <c r="K1110" s="4"/>
      <c r="L1110" s="4"/>
    </row>
    <row r="1111" spans="8:12">
      <c r="H1111" s="4"/>
      <c r="I1111" s="4"/>
      <c r="J1111" s="4"/>
      <c r="K1111" s="4"/>
      <c r="L1111" s="4"/>
    </row>
    <row r="1112" spans="8:12">
      <c r="H1112" s="4"/>
      <c r="I1112" s="4"/>
      <c r="J1112" s="4"/>
      <c r="K1112" s="4"/>
      <c r="L1112" s="4"/>
    </row>
    <row r="1113" spans="8:12">
      <c r="H1113" s="4"/>
      <c r="I1113" s="4"/>
      <c r="J1113" s="4"/>
      <c r="K1113" s="4"/>
      <c r="L1113" s="4"/>
    </row>
    <row r="1114" spans="8:12">
      <c r="H1114" s="4"/>
      <c r="I1114" s="4"/>
      <c r="J1114" s="4"/>
      <c r="K1114" s="4"/>
      <c r="L1114" s="4"/>
    </row>
    <row r="1115" spans="8:12">
      <c r="H1115" s="4"/>
      <c r="I1115" s="4"/>
      <c r="J1115" s="4"/>
      <c r="K1115" s="4"/>
      <c r="L1115" s="4"/>
    </row>
    <row r="1116" spans="8:12">
      <c r="H1116" s="4"/>
      <c r="I1116" s="4"/>
      <c r="J1116" s="4"/>
      <c r="K1116" s="4"/>
      <c r="L1116" s="4"/>
    </row>
    <row r="1117" spans="8:12">
      <c r="H1117" s="4"/>
      <c r="I1117" s="4"/>
      <c r="J1117" s="4"/>
      <c r="K1117" s="4"/>
      <c r="L1117" s="4"/>
    </row>
    <row r="1118" spans="8:12">
      <c r="H1118" s="4"/>
      <c r="I1118" s="4"/>
      <c r="J1118" s="4"/>
      <c r="K1118" s="4"/>
      <c r="L1118" s="4"/>
    </row>
    <row r="1119" spans="8:12">
      <c r="H1119" s="4"/>
      <c r="I1119" s="4"/>
      <c r="J1119" s="4"/>
      <c r="K1119" s="4"/>
      <c r="L1119" s="4"/>
    </row>
    <row r="1120" spans="8:12">
      <c r="H1120" s="4"/>
      <c r="I1120" s="4"/>
      <c r="J1120" s="4"/>
      <c r="K1120" s="4"/>
      <c r="L1120" s="4"/>
    </row>
    <row r="1121" spans="8:12">
      <c r="H1121" s="4"/>
      <c r="I1121" s="4"/>
      <c r="J1121" s="4"/>
      <c r="K1121" s="4"/>
      <c r="L1121" s="4"/>
    </row>
    <row r="1122" spans="8:12">
      <c r="H1122" s="4"/>
      <c r="I1122" s="4"/>
      <c r="J1122" s="4"/>
      <c r="K1122" s="4"/>
      <c r="L1122" s="4"/>
    </row>
    <row r="1123" spans="8:12">
      <c r="H1123" s="4"/>
      <c r="I1123" s="4"/>
      <c r="J1123" s="4"/>
      <c r="K1123" s="4"/>
      <c r="L1123" s="4"/>
    </row>
    <row r="1124" spans="8:12">
      <c r="H1124" s="4"/>
      <c r="I1124" s="4"/>
      <c r="J1124" s="4"/>
      <c r="K1124" s="4"/>
      <c r="L1124" s="4"/>
    </row>
    <row r="1125" spans="8:12">
      <c r="H1125" s="4"/>
      <c r="I1125" s="4"/>
      <c r="J1125" s="4"/>
      <c r="K1125" s="4"/>
      <c r="L1125" s="4"/>
    </row>
    <row r="1126" spans="8:12">
      <c r="H1126" s="4"/>
      <c r="I1126" s="4"/>
      <c r="J1126" s="4"/>
      <c r="K1126" s="4"/>
      <c r="L1126" s="4"/>
    </row>
    <row r="1127" spans="8:12">
      <c r="H1127" s="4"/>
      <c r="I1127" s="4"/>
      <c r="J1127" s="4"/>
      <c r="K1127" s="4"/>
      <c r="L1127" s="4"/>
    </row>
    <row r="1128" spans="8:12">
      <c r="H1128" s="4"/>
      <c r="I1128" s="4"/>
      <c r="J1128" s="4"/>
      <c r="K1128" s="4"/>
      <c r="L1128" s="4"/>
    </row>
    <row r="1129" spans="8:12">
      <c r="H1129" s="4"/>
      <c r="I1129" s="4"/>
      <c r="J1129" s="4"/>
      <c r="K1129" s="4"/>
      <c r="L1129" s="4"/>
    </row>
    <row r="1130" spans="8:12">
      <c r="H1130" s="4"/>
      <c r="I1130" s="4"/>
      <c r="J1130" s="4"/>
      <c r="K1130" s="4"/>
      <c r="L1130" s="4"/>
    </row>
    <row r="1131" spans="8:12">
      <c r="H1131" s="4"/>
      <c r="I1131" s="4"/>
      <c r="J1131" s="4"/>
      <c r="K1131" s="4"/>
      <c r="L1131" s="4"/>
    </row>
    <row r="1132" spans="8:12">
      <c r="H1132" s="4"/>
      <c r="I1132" s="4"/>
      <c r="J1132" s="4"/>
      <c r="K1132" s="4"/>
      <c r="L1132" s="4"/>
    </row>
    <row r="1133" spans="8:12">
      <c r="H1133" s="4"/>
      <c r="I1133" s="4"/>
      <c r="J1133" s="4"/>
      <c r="K1133" s="4"/>
      <c r="L1133" s="4"/>
    </row>
    <row r="1134" spans="8:12">
      <c r="H1134" s="4"/>
      <c r="I1134" s="4"/>
      <c r="J1134" s="4"/>
      <c r="K1134" s="4"/>
      <c r="L1134" s="4"/>
    </row>
    <row r="1135" spans="8:12">
      <c r="H1135" s="4"/>
      <c r="I1135" s="4"/>
      <c r="J1135" s="4"/>
      <c r="K1135" s="4"/>
      <c r="L1135" s="4"/>
    </row>
    <row r="1136" spans="8:12">
      <c r="H1136" s="4"/>
      <c r="I1136" s="4"/>
      <c r="J1136" s="4"/>
      <c r="K1136" s="4"/>
      <c r="L1136" s="4"/>
    </row>
    <row r="1137" spans="8:12">
      <c r="H1137" s="4"/>
      <c r="I1137" s="4"/>
      <c r="J1137" s="4"/>
      <c r="K1137" s="4"/>
      <c r="L1137" s="4"/>
    </row>
    <row r="1138" spans="8:12">
      <c r="H1138" s="4"/>
      <c r="I1138" s="4"/>
      <c r="J1138" s="4"/>
      <c r="K1138" s="4"/>
      <c r="L1138" s="4"/>
    </row>
    <row r="1139" spans="8:12">
      <c r="H1139" s="4"/>
      <c r="I1139" s="4"/>
      <c r="J1139" s="4"/>
      <c r="K1139" s="4"/>
      <c r="L1139" s="4"/>
    </row>
    <row r="1140" spans="8:12">
      <c r="H1140" s="4"/>
      <c r="I1140" s="4"/>
      <c r="J1140" s="4"/>
      <c r="K1140" s="4"/>
      <c r="L1140" s="4"/>
    </row>
    <row r="1141" spans="8:12">
      <c r="H1141" s="4"/>
      <c r="I1141" s="4"/>
      <c r="J1141" s="4"/>
      <c r="K1141" s="4"/>
      <c r="L1141" s="4"/>
    </row>
    <row r="1142" spans="8:12">
      <c r="H1142" s="4"/>
      <c r="I1142" s="4"/>
      <c r="J1142" s="4"/>
      <c r="K1142" s="4"/>
      <c r="L1142" s="4"/>
    </row>
    <row r="1143" spans="8:12">
      <c r="H1143" s="4"/>
      <c r="I1143" s="4"/>
      <c r="J1143" s="4"/>
      <c r="K1143" s="4"/>
      <c r="L1143" s="4"/>
    </row>
    <row r="1144" spans="8:12">
      <c r="H1144" s="4"/>
      <c r="I1144" s="4"/>
      <c r="J1144" s="4"/>
      <c r="K1144" s="4"/>
      <c r="L1144" s="4"/>
    </row>
    <row r="1145" spans="8:12">
      <c r="H1145" s="4"/>
      <c r="I1145" s="4"/>
      <c r="J1145" s="4"/>
      <c r="K1145" s="4"/>
      <c r="L1145" s="4"/>
    </row>
    <row r="1146" spans="8:12">
      <c r="H1146" s="4"/>
      <c r="I1146" s="4"/>
      <c r="J1146" s="4"/>
      <c r="K1146" s="4"/>
      <c r="L1146" s="4"/>
    </row>
    <row r="1147" spans="8:12">
      <c r="H1147" s="4"/>
      <c r="I1147" s="4"/>
      <c r="J1147" s="4"/>
      <c r="K1147" s="4"/>
      <c r="L1147" s="4"/>
    </row>
    <row r="1148" spans="8:12">
      <c r="H1148" s="4"/>
      <c r="I1148" s="4"/>
      <c r="J1148" s="4"/>
      <c r="K1148" s="4"/>
      <c r="L1148" s="4"/>
    </row>
    <row r="1149" spans="8:12">
      <c r="H1149" s="4"/>
      <c r="I1149" s="4"/>
      <c r="J1149" s="4"/>
      <c r="K1149" s="4"/>
      <c r="L1149" s="4"/>
    </row>
    <row r="1150" spans="8:12">
      <c r="H1150" s="4"/>
      <c r="I1150" s="4"/>
      <c r="J1150" s="4"/>
      <c r="K1150" s="4"/>
      <c r="L1150" s="4"/>
    </row>
    <row r="1151" spans="8:12">
      <c r="H1151" s="4"/>
      <c r="I1151" s="4"/>
      <c r="J1151" s="4"/>
      <c r="K1151" s="4"/>
      <c r="L1151" s="4"/>
    </row>
    <row r="1152" spans="8:12">
      <c r="H1152" s="4"/>
      <c r="I1152" s="4"/>
      <c r="J1152" s="4"/>
      <c r="K1152" s="4"/>
      <c r="L1152" s="4"/>
    </row>
    <row r="1153" spans="8:12">
      <c r="H1153" s="4"/>
      <c r="I1153" s="4"/>
      <c r="J1153" s="4"/>
      <c r="K1153" s="4"/>
      <c r="L1153" s="4"/>
    </row>
    <row r="1154" spans="8:12">
      <c r="H1154" s="4"/>
      <c r="I1154" s="4"/>
      <c r="J1154" s="4"/>
      <c r="K1154" s="4"/>
      <c r="L1154" s="4"/>
    </row>
    <row r="1155" spans="8:12">
      <c r="H1155" s="4"/>
      <c r="I1155" s="4"/>
      <c r="J1155" s="4"/>
      <c r="K1155" s="4"/>
      <c r="L1155" s="4"/>
    </row>
    <row r="1156" spans="8:12">
      <c r="H1156" s="4"/>
      <c r="I1156" s="4"/>
      <c r="J1156" s="4"/>
      <c r="K1156" s="4"/>
      <c r="L1156" s="4"/>
    </row>
    <row r="1157" spans="8:12">
      <c r="H1157" s="4"/>
      <c r="I1157" s="4"/>
      <c r="J1157" s="4"/>
      <c r="K1157" s="4"/>
      <c r="L1157" s="4"/>
    </row>
    <row r="1158" spans="8:12">
      <c r="H1158" s="4"/>
      <c r="I1158" s="4"/>
      <c r="J1158" s="4"/>
      <c r="K1158" s="4"/>
      <c r="L1158" s="4"/>
    </row>
    <row r="1159" spans="8:12">
      <c r="H1159" s="4"/>
      <c r="I1159" s="4"/>
      <c r="J1159" s="4"/>
      <c r="K1159" s="4"/>
      <c r="L1159" s="4"/>
    </row>
    <row r="1160" spans="8:12">
      <c r="H1160" s="4"/>
      <c r="I1160" s="4"/>
      <c r="J1160" s="4"/>
      <c r="K1160" s="4"/>
      <c r="L1160" s="4"/>
    </row>
    <row r="1161" spans="8:12">
      <c r="H1161" s="4"/>
      <c r="I1161" s="4"/>
      <c r="J1161" s="4"/>
      <c r="K1161" s="4"/>
      <c r="L1161" s="4"/>
    </row>
    <row r="1162" spans="8:12">
      <c r="H1162" s="4"/>
      <c r="I1162" s="4"/>
      <c r="J1162" s="4"/>
      <c r="K1162" s="4"/>
      <c r="L1162" s="4"/>
    </row>
    <row r="1163" spans="8:12">
      <c r="H1163" s="4"/>
      <c r="I1163" s="4"/>
      <c r="J1163" s="4"/>
      <c r="K1163" s="4"/>
      <c r="L1163" s="4"/>
    </row>
    <row r="1164" spans="8:12">
      <c r="H1164" s="4"/>
      <c r="I1164" s="4"/>
      <c r="J1164" s="4"/>
      <c r="K1164" s="4"/>
      <c r="L1164" s="4"/>
    </row>
    <row r="1165" spans="8:12">
      <c r="H1165" s="4"/>
      <c r="I1165" s="4"/>
      <c r="J1165" s="4"/>
      <c r="K1165" s="4"/>
      <c r="L1165" s="4"/>
    </row>
    <row r="1166" spans="8:12">
      <c r="H1166" s="4"/>
      <c r="I1166" s="4"/>
      <c r="J1166" s="4"/>
      <c r="K1166" s="4"/>
      <c r="L1166" s="4"/>
    </row>
    <row r="1167" spans="8:12">
      <c r="H1167" s="4"/>
      <c r="I1167" s="4"/>
      <c r="J1167" s="4"/>
      <c r="K1167" s="4"/>
      <c r="L1167" s="4"/>
    </row>
    <row r="1168" spans="8:12">
      <c r="H1168" s="4"/>
      <c r="I1168" s="4"/>
      <c r="J1168" s="4"/>
      <c r="K1168" s="4"/>
      <c r="L1168" s="4"/>
    </row>
    <row r="1169" spans="8:12">
      <c r="H1169" s="4"/>
      <c r="I1169" s="4"/>
      <c r="J1169" s="4"/>
      <c r="K1169" s="4"/>
      <c r="L1169" s="4"/>
    </row>
    <row r="1170" spans="8:12">
      <c r="H1170" s="4"/>
      <c r="I1170" s="4"/>
      <c r="J1170" s="4"/>
      <c r="K1170" s="4"/>
      <c r="L1170" s="4"/>
    </row>
    <row r="1171" spans="8:12">
      <c r="H1171" s="4"/>
      <c r="I1171" s="4"/>
      <c r="J1171" s="4"/>
      <c r="K1171" s="4"/>
      <c r="L1171" s="4"/>
    </row>
    <row r="1172" spans="8:12">
      <c r="H1172" s="4"/>
      <c r="I1172" s="4"/>
      <c r="J1172" s="4"/>
      <c r="K1172" s="4"/>
      <c r="L1172" s="4"/>
    </row>
    <row r="1173" spans="8:12">
      <c r="H1173" s="4"/>
      <c r="I1173" s="4"/>
      <c r="J1173" s="4"/>
      <c r="K1173" s="4"/>
      <c r="L1173" s="4"/>
    </row>
    <row r="1174" spans="8:12">
      <c r="H1174" s="4"/>
      <c r="I1174" s="4"/>
      <c r="J1174" s="4"/>
      <c r="K1174" s="4"/>
      <c r="L1174" s="4"/>
    </row>
    <row r="1175" spans="8:12">
      <c r="H1175" s="4"/>
      <c r="I1175" s="4"/>
      <c r="J1175" s="4"/>
      <c r="K1175" s="4"/>
      <c r="L1175" s="4"/>
    </row>
    <row r="1176" spans="8:12">
      <c r="H1176" s="4"/>
      <c r="I1176" s="4"/>
      <c r="J1176" s="4"/>
      <c r="K1176" s="4"/>
      <c r="L1176" s="4"/>
    </row>
    <row r="1177" spans="8:12">
      <c r="H1177" s="4"/>
      <c r="I1177" s="4"/>
      <c r="J1177" s="4"/>
      <c r="K1177" s="4"/>
      <c r="L1177" s="4"/>
    </row>
    <row r="1178" spans="8:12">
      <c r="H1178" s="4"/>
      <c r="I1178" s="4"/>
      <c r="J1178" s="4"/>
      <c r="K1178" s="4"/>
      <c r="L1178" s="4"/>
    </row>
    <row r="1179" spans="8:12">
      <c r="H1179" s="4"/>
      <c r="I1179" s="4"/>
      <c r="J1179" s="4"/>
      <c r="K1179" s="4"/>
      <c r="L1179" s="4"/>
    </row>
    <row r="1180" spans="8:12">
      <c r="H1180" s="4"/>
      <c r="I1180" s="4"/>
      <c r="J1180" s="4"/>
      <c r="K1180" s="4"/>
      <c r="L1180" s="4"/>
    </row>
    <row r="1181" spans="8:12">
      <c r="H1181" s="4"/>
      <c r="I1181" s="4"/>
      <c r="J1181" s="4"/>
      <c r="K1181" s="4"/>
      <c r="L1181" s="4"/>
    </row>
    <row r="1182" spans="8:12">
      <c r="H1182" s="4"/>
      <c r="I1182" s="4"/>
      <c r="J1182" s="4"/>
      <c r="K1182" s="4"/>
      <c r="L1182" s="4"/>
    </row>
    <row r="1183" spans="8:12">
      <c r="H1183" s="4"/>
      <c r="I1183" s="4"/>
      <c r="J1183" s="4"/>
      <c r="K1183" s="4"/>
      <c r="L1183" s="4"/>
    </row>
    <row r="1184" spans="8:12">
      <c r="H1184" s="4"/>
      <c r="I1184" s="4"/>
      <c r="J1184" s="4"/>
      <c r="K1184" s="4"/>
      <c r="L1184" s="4"/>
    </row>
    <row r="1185" spans="8:12">
      <c r="H1185" s="4"/>
      <c r="I1185" s="4"/>
      <c r="J1185" s="4"/>
      <c r="K1185" s="4"/>
      <c r="L1185" s="4"/>
    </row>
    <row r="1186" spans="8:12">
      <c r="H1186" s="4"/>
      <c r="I1186" s="4"/>
      <c r="J1186" s="4"/>
      <c r="K1186" s="4"/>
      <c r="L1186" s="4"/>
    </row>
    <row r="1187" spans="8:12">
      <c r="H1187" s="4"/>
      <c r="I1187" s="4"/>
      <c r="J1187" s="4"/>
      <c r="K1187" s="4"/>
      <c r="L1187" s="4"/>
    </row>
    <row r="1188" spans="8:12">
      <c r="H1188" s="4"/>
      <c r="I1188" s="4"/>
      <c r="J1188" s="4"/>
      <c r="K1188" s="4"/>
      <c r="L1188" s="4"/>
    </row>
    <row r="1189" spans="8:12">
      <c r="H1189" s="4"/>
      <c r="I1189" s="4"/>
      <c r="J1189" s="4"/>
      <c r="K1189" s="4"/>
      <c r="L1189" s="4"/>
    </row>
    <row r="1190" spans="8:12">
      <c r="H1190" s="4"/>
      <c r="I1190" s="4"/>
      <c r="J1190" s="4"/>
      <c r="K1190" s="4"/>
      <c r="L1190" s="4"/>
    </row>
    <row r="1191" spans="8:12">
      <c r="H1191" s="4"/>
      <c r="I1191" s="4"/>
      <c r="J1191" s="4"/>
      <c r="K1191" s="4"/>
      <c r="L1191" s="4"/>
    </row>
    <row r="1192" spans="8:12">
      <c r="H1192" s="4"/>
      <c r="I1192" s="4"/>
      <c r="J1192" s="4"/>
      <c r="K1192" s="4"/>
      <c r="L1192" s="4"/>
    </row>
    <row r="1193" spans="8:12">
      <c r="H1193" s="4"/>
      <c r="I1193" s="4"/>
      <c r="J1193" s="4"/>
      <c r="K1193" s="4"/>
      <c r="L1193" s="4"/>
    </row>
    <row r="1194" spans="8:12">
      <c r="H1194" s="4"/>
      <c r="I1194" s="4"/>
      <c r="J1194" s="4"/>
      <c r="K1194" s="4"/>
      <c r="L1194" s="4"/>
    </row>
    <row r="1195" spans="8:12">
      <c r="H1195" s="4"/>
      <c r="I1195" s="4"/>
      <c r="J1195" s="4"/>
      <c r="K1195" s="4"/>
      <c r="L1195" s="4"/>
    </row>
    <row r="1196" spans="8:12">
      <c r="H1196" s="4"/>
      <c r="I1196" s="4"/>
      <c r="J1196" s="4"/>
      <c r="K1196" s="4"/>
      <c r="L1196" s="4"/>
    </row>
    <row r="1197" spans="8:12">
      <c r="H1197" s="4"/>
      <c r="I1197" s="4"/>
      <c r="J1197" s="4"/>
      <c r="K1197" s="4"/>
      <c r="L1197" s="4"/>
    </row>
    <row r="1198" spans="8:12">
      <c r="H1198" s="4"/>
      <c r="I1198" s="4"/>
      <c r="J1198" s="4"/>
      <c r="K1198" s="4"/>
      <c r="L1198" s="4"/>
    </row>
    <row r="1199" spans="8:12">
      <c r="H1199" s="4"/>
      <c r="I1199" s="4"/>
      <c r="J1199" s="4"/>
      <c r="K1199" s="4"/>
      <c r="L1199" s="4"/>
    </row>
    <row r="1200" spans="8:12">
      <c r="H1200" s="4"/>
      <c r="I1200" s="4"/>
      <c r="J1200" s="4"/>
      <c r="K1200" s="4"/>
      <c r="L1200" s="4"/>
    </row>
    <row r="1201" spans="8:12">
      <c r="H1201" s="4"/>
      <c r="I1201" s="4"/>
      <c r="J1201" s="4"/>
      <c r="K1201" s="4"/>
      <c r="L1201" s="4"/>
    </row>
    <row r="1202" spans="8:12">
      <c r="H1202" s="4"/>
      <c r="I1202" s="4"/>
      <c r="J1202" s="4"/>
      <c r="K1202" s="4"/>
      <c r="L1202" s="4"/>
    </row>
    <row r="1203" spans="8:12">
      <c r="H1203" s="4"/>
      <c r="I1203" s="4"/>
      <c r="J1203" s="4"/>
      <c r="K1203" s="4"/>
      <c r="L1203" s="4"/>
    </row>
    <row r="1204" spans="8:12">
      <c r="H1204" s="4"/>
      <c r="I1204" s="4"/>
      <c r="J1204" s="4"/>
      <c r="K1204" s="4"/>
      <c r="L1204" s="4"/>
    </row>
    <row r="1205" spans="8:12">
      <c r="H1205" s="4"/>
      <c r="I1205" s="4"/>
      <c r="J1205" s="4"/>
      <c r="K1205" s="4"/>
      <c r="L1205" s="4"/>
    </row>
    <row r="1206" spans="8:12">
      <c r="H1206" s="4"/>
      <c r="I1206" s="4"/>
      <c r="J1206" s="4"/>
      <c r="K1206" s="4"/>
      <c r="L1206" s="4"/>
    </row>
    <row r="1207" spans="8:12">
      <c r="H1207" s="4"/>
      <c r="I1207" s="4"/>
      <c r="J1207" s="4"/>
      <c r="K1207" s="4"/>
      <c r="L1207" s="4"/>
    </row>
    <row r="1208" spans="8:12">
      <c r="H1208" s="4"/>
      <c r="I1208" s="4"/>
      <c r="J1208" s="4"/>
      <c r="K1208" s="4"/>
      <c r="L1208" s="4"/>
    </row>
    <row r="1209" spans="8:12">
      <c r="H1209" s="4"/>
      <c r="I1209" s="4"/>
      <c r="J1209" s="4"/>
      <c r="K1209" s="4"/>
      <c r="L1209" s="4"/>
    </row>
    <row r="1210" spans="8:12">
      <c r="H1210" s="4"/>
      <c r="I1210" s="4"/>
      <c r="J1210" s="4"/>
      <c r="K1210" s="4"/>
      <c r="L1210" s="4"/>
    </row>
    <row r="1211" spans="8:12">
      <c r="H1211" s="4"/>
      <c r="I1211" s="4"/>
      <c r="J1211" s="4"/>
      <c r="K1211" s="4"/>
      <c r="L1211" s="4"/>
    </row>
    <row r="1212" spans="8:12">
      <c r="H1212" s="4"/>
      <c r="I1212" s="4"/>
      <c r="J1212" s="4"/>
      <c r="K1212" s="4"/>
      <c r="L1212" s="4"/>
    </row>
    <row r="1213" spans="8:12">
      <c r="H1213" s="4"/>
      <c r="I1213" s="4"/>
      <c r="J1213" s="4"/>
      <c r="K1213" s="4"/>
      <c r="L1213" s="4"/>
    </row>
    <row r="1214" spans="8:12">
      <c r="H1214" s="4"/>
      <c r="I1214" s="4"/>
      <c r="J1214" s="4"/>
      <c r="K1214" s="4"/>
      <c r="L1214" s="4"/>
    </row>
    <row r="1215" spans="8:12">
      <c r="H1215" s="4"/>
      <c r="I1215" s="4"/>
      <c r="J1215" s="4"/>
      <c r="K1215" s="4"/>
      <c r="L1215" s="4"/>
    </row>
    <row r="1216" spans="8:12">
      <c r="H1216" s="4"/>
      <c r="I1216" s="4"/>
      <c r="J1216" s="4"/>
      <c r="K1216" s="4"/>
      <c r="L1216" s="4"/>
    </row>
    <row r="1217" spans="8:12">
      <c r="H1217" s="4"/>
      <c r="I1217" s="4"/>
      <c r="J1217" s="4"/>
      <c r="K1217" s="4"/>
      <c r="L1217" s="4"/>
    </row>
    <row r="1218" spans="8:12">
      <c r="H1218" s="4"/>
      <c r="I1218" s="4"/>
      <c r="J1218" s="4"/>
      <c r="K1218" s="4"/>
      <c r="L1218" s="4"/>
    </row>
    <row r="1219" spans="8:12">
      <c r="H1219" s="4"/>
      <c r="I1219" s="4"/>
      <c r="J1219" s="4"/>
      <c r="K1219" s="4"/>
      <c r="L1219" s="4"/>
    </row>
    <row r="1220" spans="8:12">
      <c r="H1220" s="4"/>
      <c r="I1220" s="4"/>
      <c r="J1220" s="4"/>
      <c r="K1220" s="4"/>
      <c r="L1220" s="4"/>
    </row>
    <row r="1221" spans="8:12">
      <c r="H1221" s="4"/>
      <c r="I1221" s="4"/>
      <c r="J1221" s="4"/>
      <c r="K1221" s="4"/>
      <c r="L1221" s="4"/>
    </row>
    <row r="1222" spans="8:12">
      <c r="H1222" s="4"/>
      <c r="I1222" s="4"/>
      <c r="J1222" s="4"/>
      <c r="K1222" s="4"/>
      <c r="L1222" s="4"/>
    </row>
    <row r="1223" spans="8:12">
      <c r="H1223" s="4"/>
      <c r="I1223" s="4"/>
      <c r="J1223" s="4"/>
      <c r="K1223" s="4"/>
      <c r="L1223" s="4"/>
    </row>
    <row r="1224" spans="8:12">
      <c r="H1224" s="4"/>
      <c r="I1224" s="4"/>
      <c r="J1224" s="4"/>
      <c r="K1224" s="4"/>
      <c r="L1224" s="4"/>
    </row>
    <row r="1225" spans="8:12">
      <c r="H1225" s="4"/>
      <c r="I1225" s="4"/>
      <c r="J1225" s="4"/>
      <c r="K1225" s="4"/>
      <c r="L1225" s="4"/>
    </row>
    <row r="1226" spans="8:12">
      <c r="H1226" s="4"/>
      <c r="I1226" s="4"/>
      <c r="J1226" s="4"/>
      <c r="K1226" s="4"/>
      <c r="L1226" s="4"/>
    </row>
    <row r="1227" spans="8:12">
      <c r="H1227" s="4"/>
      <c r="I1227" s="4"/>
      <c r="J1227" s="4"/>
      <c r="K1227" s="4"/>
      <c r="L1227" s="4"/>
    </row>
    <row r="1228" spans="8:12">
      <c r="H1228" s="4"/>
      <c r="I1228" s="4"/>
      <c r="J1228" s="4"/>
      <c r="K1228" s="4"/>
      <c r="L1228" s="4"/>
    </row>
    <row r="1229" spans="8:12">
      <c r="H1229" s="4"/>
      <c r="I1229" s="4"/>
      <c r="J1229" s="4"/>
      <c r="K1229" s="4"/>
      <c r="L1229" s="4"/>
    </row>
    <row r="1230" spans="8:12">
      <c r="H1230" s="4"/>
      <c r="I1230" s="4"/>
      <c r="J1230" s="4"/>
      <c r="K1230" s="4"/>
      <c r="L1230" s="4"/>
    </row>
    <row r="1231" spans="8:12">
      <c r="H1231" s="4"/>
      <c r="I1231" s="4"/>
      <c r="J1231" s="4"/>
      <c r="K1231" s="4"/>
      <c r="L1231" s="4"/>
    </row>
    <row r="1232" spans="8:12">
      <c r="H1232" s="4"/>
      <c r="I1232" s="4"/>
      <c r="J1232" s="4"/>
      <c r="K1232" s="4"/>
      <c r="L1232" s="4"/>
    </row>
    <row r="1233" spans="8:12">
      <c r="H1233" s="4"/>
      <c r="I1233" s="4"/>
      <c r="J1233" s="4"/>
      <c r="K1233" s="4"/>
      <c r="L1233" s="4"/>
    </row>
    <row r="1234" spans="8:12">
      <c r="H1234" s="4"/>
      <c r="I1234" s="4"/>
      <c r="J1234" s="4"/>
      <c r="K1234" s="4"/>
      <c r="L1234" s="4"/>
    </row>
    <row r="1235" spans="8:12">
      <c r="H1235" s="4"/>
      <c r="I1235" s="4"/>
      <c r="J1235" s="4"/>
      <c r="K1235" s="4"/>
      <c r="L1235" s="4"/>
    </row>
    <row r="1236" spans="8:12">
      <c r="H1236" s="4"/>
      <c r="I1236" s="4"/>
      <c r="J1236" s="4"/>
      <c r="K1236" s="4"/>
      <c r="L1236" s="4"/>
    </row>
    <row r="1237" spans="8:12">
      <c r="H1237" s="4"/>
      <c r="I1237" s="4"/>
      <c r="J1237" s="4"/>
      <c r="K1237" s="4"/>
      <c r="L1237" s="4"/>
    </row>
    <row r="1238" spans="8:12">
      <c r="H1238" s="4"/>
      <c r="I1238" s="4"/>
      <c r="J1238" s="4"/>
      <c r="K1238" s="4"/>
      <c r="L1238" s="4"/>
    </row>
    <row r="1239" spans="8:12">
      <c r="H1239" s="4"/>
      <c r="I1239" s="4"/>
      <c r="J1239" s="4"/>
      <c r="K1239" s="4"/>
      <c r="L1239" s="4"/>
    </row>
    <row r="1240" spans="8:12">
      <c r="H1240" s="4"/>
      <c r="I1240" s="4"/>
      <c r="J1240" s="4"/>
      <c r="K1240" s="4"/>
      <c r="L1240" s="4"/>
    </row>
    <row r="1241" spans="8:12">
      <c r="H1241" s="4"/>
      <c r="I1241" s="4"/>
      <c r="J1241" s="4"/>
      <c r="K1241" s="4"/>
      <c r="L1241" s="4"/>
    </row>
    <row r="1242" spans="8:12">
      <c r="H1242" s="4"/>
      <c r="I1242" s="4"/>
      <c r="J1242" s="4"/>
      <c r="K1242" s="4"/>
      <c r="L1242" s="4"/>
    </row>
    <row r="1243" spans="8:12">
      <c r="H1243" s="4"/>
      <c r="I1243" s="4"/>
      <c r="J1243" s="4"/>
      <c r="K1243" s="4"/>
      <c r="L1243" s="4"/>
    </row>
    <row r="1244" spans="8:12">
      <c r="H1244" s="4"/>
      <c r="I1244" s="4"/>
      <c r="J1244" s="4"/>
      <c r="K1244" s="4"/>
      <c r="L1244" s="4"/>
    </row>
    <row r="1245" spans="8:12">
      <c r="H1245" s="4"/>
      <c r="I1245" s="4"/>
      <c r="J1245" s="4"/>
      <c r="K1245" s="4"/>
      <c r="L1245" s="4"/>
    </row>
    <row r="1246" spans="8:12">
      <c r="H1246" s="4"/>
      <c r="I1246" s="4"/>
      <c r="J1246" s="4"/>
      <c r="K1246" s="4"/>
      <c r="L1246" s="4"/>
    </row>
    <row r="1247" spans="8:12">
      <c r="H1247" s="4"/>
      <c r="I1247" s="4"/>
      <c r="J1247" s="4"/>
      <c r="K1247" s="4"/>
      <c r="L1247" s="4"/>
    </row>
    <row r="1248" spans="8:12">
      <c r="H1248" s="4"/>
      <c r="I1248" s="4"/>
      <c r="J1248" s="4"/>
      <c r="K1248" s="4"/>
      <c r="L1248" s="4"/>
    </row>
    <row r="1249" spans="8:12">
      <c r="H1249" s="4"/>
      <c r="I1249" s="4"/>
      <c r="J1249" s="4"/>
      <c r="K1249" s="4"/>
      <c r="L1249" s="4"/>
    </row>
    <row r="1250" spans="8:12">
      <c r="H1250" s="4"/>
      <c r="I1250" s="4"/>
      <c r="J1250" s="4"/>
      <c r="K1250" s="4"/>
      <c r="L1250" s="4"/>
    </row>
    <row r="1251" spans="8:12">
      <c r="H1251" s="4"/>
      <c r="I1251" s="4"/>
      <c r="J1251" s="4"/>
      <c r="K1251" s="4"/>
      <c r="L1251" s="4"/>
    </row>
    <row r="1252" spans="8:12">
      <c r="H1252" s="4"/>
      <c r="I1252" s="4"/>
      <c r="J1252" s="4"/>
      <c r="K1252" s="4"/>
      <c r="L1252" s="4"/>
    </row>
    <row r="1253" spans="8:12">
      <c r="H1253" s="4"/>
      <c r="I1253" s="4"/>
      <c r="J1253" s="4"/>
      <c r="K1253" s="4"/>
      <c r="L1253" s="4"/>
    </row>
    <row r="1254" spans="8:12">
      <c r="H1254" s="4"/>
      <c r="I1254" s="4"/>
      <c r="J1254" s="4"/>
      <c r="K1254" s="4"/>
      <c r="L1254" s="4"/>
    </row>
    <row r="1255" spans="8:12">
      <c r="H1255" s="4"/>
      <c r="I1255" s="4"/>
      <c r="J1255" s="4"/>
      <c r="K1255" s="4"/>
      <c r="L1255" s="4"/>
    </row>
    <row r="1256" spans="8:12">
      <c r="H1256" s="4"/>
      <c r="I1256" s="4"/>
      <c r="J1256" s="4"/>
      <c r="K1256" s="4"/>
      <c r="L1256" s="4"/>
    </row>
    <row r="1257" spans="8:12">
      <c r="H1257" s="4"/>
      <c r="I1257" s="4"/>
      <c r="J1257" s="4"/>
      <c r="K1257" s="4"/>
      <c r="L1257" s="4"/>
    </row>
    <row r="1258" spans="8:12">
      <c r="H1258" s="4"/>
      <c r="I1258" s="4"/>
      <c r="J1258" s="4"/>
      <c r="K1258" s="4"/>
      <c r="L1258" s="4"/>
    </row>
    <row r="1259" spans="8:12">
      <c r="H1259" s="4"/>
      <c r="I1259" s="4"/>
      <c r="J1259" s="4"/>
      <c r="K1259" s="4"/>
      <c r="L1259" s="4"/>
    </row>
    <row r="1260" spans="8:12">
      <c r="H1260" s="4"/>
      <c r="I1260" s="4"/>
      <c r="J1260" s="4"/>
      <c r="K1260" s="4"/>
      <c r="L1260" s="4"/>
    </row>
    <row r="1261" spans="8:12">
      <c r="H1261" s="4"/>
      <c r="I1261" s="4"/>
      <c r="J1261" s="4"/>
      <c r="K1261" s="4"/>
      <c r="L1261" s="4"/>
    </row>
    <row r="1262" spans="8:12">
      <c r="H1262" s="4"/>
      <c r="I1262" s="4"/>
      <c r="J1262" s="4"/>
      <c r="K1262" s="4"/>
      <c r="L1262" s="4"/>
    </row>
    <row r="1263" spans="8:12">
      <c r="H1263" s="4"/>
      <c r="I1263" s="4"/>
      <c r="J1263" s="4"/>
      <c r="K1263" s="4"/>
      <c r="L1263" s="4"/>
    </row>
    <row r="1264" spans="8:12">
      <c r="H1264" s="4"/>
      <c r="I1264" s="4"/>
      <c r="J1264" s="4"/>
      <c r="K1264" s="4"/>
      <c r="L1264" s="4"/>
    </row>
    <row r="1265" spans="8:12">
      <c r="H1265" s="4"/>
      <c r="I1265" s="4"/>
      <c r="J1265" s="4"/>
      <c r="K1265" s="4"/>
      <c r="L1265" s="4"/>
    </row>
    <row r="1266" spans="8:12">
      <c r="H1266" s="4"/>
      <c r="I1266" s="4"/>
      <c r="J1266" s="4"/>
      <c r="K1266" s="4"/>
      <c r="L1266" s="4"/>
    </row>
    <row r="1267" spans="8:12">
      <c r="H1267" s="4"/>
      <c r="I1267" s="4"/>
      <c r="J1267" s="4"/>
      <c r="K1267" s="4"/>
      <c r="L1267" s="4"/>
    </row>
    <row r="1268" spans="8:12">
      <c r="H1268" s="4"/>
      <c r="I1268" s="4"/>
      <c r="J1268" s="4"/>
      <c r="K1268" s="4"/>
      <c r="L1268" s="4"/>
    </row>
    <row r="1269" spans="8:12">
      <c r="H1269" s="4"/>
      <c r="I1269" s="4"/>
      <c r="J1269" s="4"/>
      <c r="K1269" s="4"/>
      <c r="L1269" s="4"/>
    </row>
    <row r="1270" spans="8:12">
      <c r="H1270" s="4"/>
      <c r="I1270" s="4"/>
      <c r="J1270" s="4"/>
      <c r="K1270" s="4"/>
      <c r="L1270" s="4"/>
    </row>
    <row r="1271" spans="8:12">
      <c r="H1271" s="4"/>
      <c r="I1271" s="4"/>
      <c r="J1271" s="4"/>
      <c r="K1271" s="4"/>
      <c r="L1271" s="4"/>
    </row>
    <row r="1272" spans="8:12">
      <c r="H1272" s="4"/>
      <c r="I1272" s="4"/>
      <c r="J1272" s="4"/>
      <c r="K1272" s="4"/>
      <c r="L1272" s="4"/>
    </row>
    <row r="1273" spans="8:12">
      <c r="H1273" s="4"/>
      <c r="I1273" s="4"/>
      <c r="J1273" s="4"/>
      <c r="K1273" s="4"/>
      <c r="L1273" s="4"/>
    </row>
    <row r="1274" spans="8:12">
      <c r="H1274" s="4"/>
      <c r="I1274" s="4"/>
      <c r="J1274" s="4"/>
      <c r="K1274" s="4"/>
      <c r="L1274" s="4"/>
    </row>
    <row r="1275" spans="8:12">
      <c r="H1275" s="4"/>
      <c r="I1275" s="4"/>
      <c r="J1275" s="4"/>
      <c r="K1275" s="4"/>
      <c r="L1275" s="4"/>
    </row>
    <row r="1276" spans="8:12">
      <c r="H1276" s="4"/>
      <c r="I1276" s="4"/>
      <c r="J1276" s="4"/>
      <c r="K1276" s="4"/>
      <c r="L1276" s="4"/>
    </row>
    <row r="1277" spans="8:12">
      <c r="H1277" s="4"/>
      <c r="I1277" s="4"/>
      <c r="J1277" s="4"/>
      <c r="K1277" s="4"/>
      <c r="L1277" s="4"/>
    </row>
    <row r="1278" spans="8:12">
      <c r="H1278" s="4"/>
      <c r="I1278" s="4"/>
      <c r="J1278" s="4"/>
      <c r="K1278" s="4"/>
      <c r="L1278" s="4"/>
    </row>
    <row r="1279" spans="8:12">
      <c r="H1279" s="4"/>
      <c r="I1279" s="4"/>
      <c r="J1279" s="4"/>
      <c r="K1279" s="4"/>
      <c r="L1279" s="4"/>
    </row>
    <row r="1280" spans="8:12">
      <c r="H1280" s="4"/>
      <c r="I1280" s="4"/>
      <c r="J1280" s="4"/>
      <c r="K1280" s="4"/>
      <c r="L1280" s="4"/>
    </row>
    <row r="1281" spans="8:12">
      <c r="H1281" s="4"/>
      <c r="I1281" s="4"/>
      <c r="J1281" s="4"/>
      <c r="K1281" s="4"/>
      <c r="L1281" s="4"/>
    </row>
    <row r="1282" spans="8:12">
      <c r="H1282" s="4"/>
      <c r="I1282" s="4"/>
      <c r="J1282" s="4"/>
      <c r="K1282" s="4"/>
      <c r="L1282" s="4"/>
    </row>
    <row r="1283" spans="8:12">
      <c r="H1283" s="4"/>
      <c r="I1283" s="4"/>
      <c r="J1283" s="4"/>
      <c r="K1283" s="4"/>
      <c r="L1283" s="4"/>
    </row>
    <row r="1284" spans="8:12">
      <c r="H1284" s="4"/>
      <c r="I1284" s="4"/>
      <c r="J1284" s="4"/>
      <c r="K1284" s="4"/>
      <c r="L1284" s="4"/>
    </row>
    <row r="1285" spans="8:12">
      <c r="H1285" s="4"/>
      <c r="I1285" s="4"/>
      <c r="J1285" s="4"/>
      <c r="K1285" s="4"/>
      <c r="L1285" s="4"/>
    </row>
    <row r="1286" spans="8:12">
      <c r="H1286" s="4"/>
      <c r="I1286" s="4"/>
      <c r="J1286" s="4"/>
      <c r="K1286" s="4"/>
      <c r="L1286" s="4"/>
    </row>
    <row r="1287" spans="8:12">
      <c r="H1287" s="4"/>
      <c r="I1287" s="4"/>
      <c r="J1287" s="4"/>
      <c r="K1287" s="4"/>
      <c r="L1287" s="4"/>
    </row>
    <row r="1288" spans="8:12">
      <c r="H1288" s="4"/>
      <c r="I1288" s="4"/>
      <c r="J1288" s="4"/>
      <c r="K1288" s="4"/>
      <c r="L1288" s="4"/>
    </row>
    <row r="1289" spans="8:12">
      <c r="H1289" s="4"/>
      <c r="I1289" s="4"/>
      <c r="J1289" s="4"/>
      <c r="K1289" s="4"/>
      <c r="L1289" s="4"/>
    </row>
    <row r="1290" spans="8:12">
      <c r="H1290" s="4"/>
      <c r="I1290" s="4"/>
      <c r="J1290" s="4"/>
      <c r="K1290" s="4"/>
      <c r="L1290" s="4"/>
    </row>
    <row r="1291" spans="8:12">
      <c r="H1291" s="4"/>
      <c r="I1291" s="4"/>
      <c r="J1291" s="4"/>
      <c r="K1291" s="4"/>
      <c r="L1291" s="4"/>
    </row>
    <row r="1292" spans="8:12">
      <c r="H1292" s="4"/>
      <c r="I1292" s="4"/>
      <c r="J1292" s="4"/>
      <c r="K1292" s="4"/>
      <c r="L1292" s="4"/>
    </row>
    <row r="1293" spans="8:12">
      <c r="H1293" s="4"/>
      <c r="I1293" s="4"/>
      <c r="J1293" s="4"/>
      <c r="K1293" s="4"/>
      <c r="L1293" s="4"/>
    </row>
    <row r="1294" spans="8:12">
      <c r="H1294" s="4"/>
      <c r="I1294" s="4"/>
      <c r="J1294" s="4"/>
      <c r="K1294" s="4"/>
      <c r="L1294" s="4"/>
    </row>
    <row r="1295" spans="8:12">
      <c r="H1295" s="4"/>
      <c r="I1295" s="4"/>
      <c r="J1295" s="4"/>
      <c r="K1295" s="4"/>
      <c r="L1295" s="4"/>
    </row>
    <row r="1296" spans="8:12">
      <c r="H1296" s="4"/>
      <c r="I1296" s="4"/>
      <c r="J1296" s="4"/>
      <c r="K1296" s="4"/>
      <c r="L1296" s="4"/>
    </row>
    <row r="1297" spans="8:12">
      <c r="H1297" s="4"/>
      <c r="I1297" s="4"/>
      <c r="J1297" s="4"/>
      <c r="K1297" s="4"/>
      <c r="L1297" s="4"/>
    </row>
    <row r="1298" spans="8:12">
      <c r="H1298" s="4"/>
      <c r="I1298" s="4"/>
      <c r="J1298" s="4"/>
      <c r="K1298" s="4"/>
      <c r="L1298" s="4"/>
    </row>
    <row r="1299" spans="8:12">
      <c r="H1299" s="4"/>
      <c r="I1299" s="4"/>
      <c r="J1299" s="4"/>
      <c r="K1299" s="4"/>
      <c r="L1299" s="4"/>
    </row>
    <row r="1300" spans="8:12">
      <c r="H1300" s="4"/>
      <c r="I1300" s="4"/>
      <c r="J1300" s="4"/>
      <c r="K1300" s="4"/>
      <c r="L1300" s="4"/>
    </row>
    <row r="1301" spans="8:12">
      <c r="H1301" s="4"/>
      <c r="I1301" s="4"/>
      <c r="J1301" s="4"/>
      <c r="K1301" s="4"/>
      <c r="L1301" s="4"/>
    </row>
    <row r="1302" spans="8:12">
      <c r="H1302" s="4"/>
      <c r="I1302" s="4"/>
      <c r="J1302" s="4"/>
      <c r="K1302" s="4"/>
      <c r="L1302" s="4"/>
    </row>
    <row r="1303" spans="8:12">
      <c r="H1303" s="4"/>
      <c r="I1303" s="4"/>
      <c r="J1303" s="4"/>
      <c r="K1303" s="4"/>
      <c r="L1303" s="4"/>
    </row>
    <row r="1304" spans="8:12">
      <c r="H1304" s="4"/>
      <c r="I1304" s="4"/>
      <c r="J1304" s="4"/>
      <c r="K1304" s="4"/>
      <c r="L1304" s="4"/>
    </row>
    <row r="1305" spans="8:12">
      <c r="H1305" s="4"/>
      <c r="I1305" s="4"/>
      <c r="J1305" s="4"/>
      <c r="K1305" s="4"/>
      <c r="L1305" s="4"/>
    </row>
    <row r="1306" spans="8:12">
      <c r="H1306" s="4"/>
      <c r="I1306" s="4"/>
      <c r="J1306" s="4"/>
      <c r="K1306" s="4"/>
      <c r="L1306" s="4"/>
    </row>
    <row r="1307" spans="8:12">
      <c r="H1307" s="4"/>
      <c r="I1307" s="4"/>
      <c r="J1307" s="4"/>
      <c r="K1307" s="4"/>
      <c r="L1307" s="4"/>
    </row>
    <row r="1308" spans="8:12">
      <c r="H1308" s="4"/>
      <c r="I1308" s="4"/>
      <c r="J1308" s="4"/>
      <c r="K1308" s="4"/>
      <c r="L1308" s="4"/>
    </row>
    <row r="1309" spans="8:12">
      <c r="H1309" s="4"/>
      <c r="I1309" s="4"/>
      <c r="J1309" s="4"/>
      <c r="K1309" s="4"/>
      <c r="L1309" s="4"/>
    </row>
    <row r="1310" spans="8:12">
      <c r="H1310" s="4"/>
      <c r="I1310" s="4"/>
      <c r="J1310" s="4"/>
      <c r="K1310" s="4"/>
      <c r="L1310" s="4"/>
    </row>
    <row r="1311" spans="8:12">
      <c r="H1311" s="4"/>
      <c r="I1311" s="4"/>
      <c r="J1311" s="4"/>
      <c r="K1311" s="4"/>
      <c r="L1311" s="4"/>
    </row>
    <row r="1312" spans="8:12">
      <c r="H1312" s="4"/>
      <c r="I1312" s="4"/>
      <c r="J1312" s="4"/>
      <c r="K1312" s="4"/>
      <c r="L1312" s="4"/>
    </row>
    <row r="1313" spans="8:12">
      <c r="H1313" s="4"/>
      <c r="I1313" s="4"/>
      <c r="J1313" s="4"/>
      <c r="K1313" s="4"/>
      <c r="L1313" s="4"/>
    </row>
    <row r="1314" spans="8:12">
      <c r="H1314" s="4"/>
      <c r="I1314" s="4"/>
      <c r="J1314" s="4"/>
      <c r="K1314" s="4"/>
      <c r="L1314" s="4"/>
    </row>
    <row r="1315" spans="8:12">
      <c r="H1315" s="4"/>
      <c r="I1315" s="4"/>
      <c r="J1315" s="4"/>
      <c r="K1315" s="4"/>
      <c r="L1315" s="4"/>
    </row>
    <row r="1316" spans="8:12">
      <c r="H1316" s="4"/>
      <c r="I1316" s="4"/>
      <c r="J1316" s="4"/>
      <c r="K1316" s="4"/>
      <c r="L1316" s="4"/>
    </row>
    <row r="1317" spans="8:12">
      <c r="H1317" s="4"/>
      <c r="I1317" s="4"/>
      <c r="J1317" s="4"/>
      <c r="K1317" s="4"/>
      <c r="L1317" s="4"/>
    </row>
    <row r="1318" spans="8:12">
      <c r="H1318" s="4"/>
      <c r="I1318" s="4"/>
      <c r="J1318" s="4"/>
      <c r="K1318" s="4"/>
      <c r="L1318" s="4"/>
    </row>
    <row r="1319" spans="8:12">
      <c r="H1319" s="4"/>
      <c r="I1319" s="4"/>
      <c r="J1319" s="4"/>
      <c r="K1319" s="4"/>
      <c r="L1319" s="4"/>
    </row>
    <row r="1320" spans="8:12">
      <c r="H1320" s="4"/>
      <c r="I1320" s="4"/>
      <c r="J1320" s="4"/>
      <c r="K1320" s="4"/>
      <c r="L1320" s="4"/>
    </row>
    <row r="1321" spans="8:12">
      <c r="H1321" s="4"/>
      <c r="I1321" s="4"/>
      <c r="J1321" s="4"/>
      <c r="K1321" s="4"/>
      <c r="L1321" s="4"/>
    </row>
    <row r="1322" spans="8:12">
      <c r="H1322" s="4"/>
      <c r="I1322" s="4"/>
      <c r="J1322" s="4"/>
      <c r="K1322" s="4"/>
      <c r="L1322" s="4"/>
    </row>
    <row r="1323" spans="8:12">
      <c r="H1323" s="4"/>
      <c r="I1323" s="4"/>
      <c r="J1323" s="4"/>
      <c r="K1323" s="4"/>
      <c r="L1323" s="4"/>
    </row>
    <row r="1324" spans="8:12">
      <c r="H1324" s="4"/>
      <c r="I1324" s="4"/>
      <c r="J1324" s="4"/>
      <c r="K1324" s="4"/>
      <c r="L1324" s="4"/>
    </row>
    <row r="1325" spans="8:12">
      <c r="H1325" s="4"/>
      <c r="I1325" s="4"/>
      <c r="J1325" s="4"/>
      <c r="K1325" s="4"/>
      <c r="L1325" s="4"/>
    </row>
    <row r="1326" spans="8:12">
      <c r="H1326" s="4"/>
      <c r="I1326" s="4"/>
      <c r="J1326" s="4"/>
      <c r="K1326" s="4"/>
      <c r="L1326" s="4"/>
    </row>
    <row r="1327" spans="8:12">
      <c r="H1327" s="4"/>
      <c r="I1327" s="4"/>
      <c r="J1327" s="4"/>
      <c r="K1327" s="4"/>
      <c r="L1327" s="4"/>
    </row>
    <row r="1328" spans="8:12">
      <c r="H1328" s="4"/>
      <c r="I1328" s="4"/>
      <c r="J1328" s="4"/>
      <c r="K1328" s="4"/>
      <c r="L1328" s="4"/>
    </row>
    <row r="1329" spans="8:12">
      <c r="H1329" s="4"/>
      <c r="I1329" s="4"/>
      <c r="J1329" s="4"/>
      <c r="K1329" s="4"/>
      <c r="L1329" s="4"/>
    </row>
    <row r="1330" spans="8:12">
      <c r="H1330" s="4"/>
      <c r="I1330" s="4"/>
      <c r="J1330" s="4"/>
      <c r="K1330" s="4"/>
      <c r="L1330" s="4"/>
    </row>
    <row r="1331" spans="8:12">
      <c r="H1331" s="4"/>
      <c r="I1331" s="4"/>
      <c r="J1331" s="4"/>
      <c r="K1331" s="4"/>
      <c r="L1331" s="4"/>
    </row>
    <row r="1332" spans="8:12">
      <c r="H1332" s="4"/>
      <c r="I1332" s="4"/>
      <c r="J1332" s="4"/>
      <c r="K1332" s="4"/>
      <c r="L1332" s="4"/>
    </row>
    <row r="1333" spans="8:12">
      <c r="H1333" s="4"/>
      <c r="I1333" s="4"/>
      <c r="J1333" s="4"/>
      <c r="K1333" s="4"/>
      <c r="L1333" s="4"/>
    </row>
    <row r="1334" spans="8:12">
      <c r="H1334" s="4"/>
      <c r="I1334" s="4"/>
      <c r="J1334" s="4"/>
      <c r="K1334" s="4"/>
      <c r="L1334" s="4"/>
    </row>
    <row r="1335" spans="8:12">
      <c r="H1335" s="4"/>
      <c r="I1335" s="4"/>
      <c r="J1335" s="4"/>
      <c r="K1335" s="4"/>
      <c r="L1335" s="4"/>
    </row>
    <row r="1336" spans="8:12">
      <c r="H1336" s="4"/>
      <c r="I1336" s="4"/>
      <c r="J1336" s="4"/>
      <c r="K1336" s="4"/>
      <c r="L1336" s="4"/>
    </row>
    <row r="1337" spans="8:12">
      <c r="H1337" s="4"/>
      <c r="I1337" s="4"/>
      <c r="J1337" s="4"/>
      <c r="K1337" s="4"/>
      <c r="L1337" s="4"/>
    </row>
    <row r="1338" spans="8:12">
      <c r="H1338" s="4"/>
      <c r="I1338" s="4"/>
      <c r="J1338" s="4"/>
      <c r="K1338" s="4"/>
      <c r="L1338" s="4"/>
    </row>
    <row r="1339" spans="8:12">
      <c r="H1339" s="4"/>
      <c r="I1339" s="4"/>
      <c r="J1339" s="4"/>
      <c r="K1339" s="4"/>
      <c r="L1339" s="4"/>
    </row>
    <row r="1340" spans="8:12">
      <c r="H1340" s="4"/>
      <c r="I1340" s="4"/>
      <c r="J1340" s="4"/>
      <c r="K1340" s="4"/>
      <c r="L1340" s="4"/>
    </row>
    <row r="1341" spans="8:12">
      <c r="H1341" s="4"/>
      <c r="I1341" s="4"/>
      <c r="J1341" s="4"/>
      <c r="K1341" s="4"/>
      <c r="L1341" s="4"/>
    </row>
    <row r="1342" spans="8:12">
      <c r="H1342" s="4"/>
      <c r="I1342" s="4"/>
      <c r="J1342" s="4"/>
      <c r="K1342" s="4"/>
      <c r="L1342" s="4"/>
    </row>
    <row r="1343" spans="8:12">
      <c r="H1343" s="4"/>
      <c r="I1343" s="4"/>
      <c r="J1343" s="4"/>
      <c r="K1343" s="4"/>
      <c r="L1343" s="4"/>
    </row>
    <row r="1344" spans="8:12">
      <c r="H1344" s="4"/>
      <c r="I1344" s="4"/>
      <c r="J1344" s="4"/>
      <c r="K1344" s="4"/>
      <c r="L1344" s="4"/>
    </row>
    <row r="1345" spans="8:12">
      <c r="H1345" s="4"/>
      <c r="I1345" s="4"/>
      <c r="J1345" s="4"/>
      <c r="K1345" s="4"/>
      <c r="L1345" s="4"/>
    </row>
    <row r="1346" spans="8:12">
      <c r="H1346" s="4"/>
      <c r="I1346" s="4"/>
      <c r="J1346" s="4"/>
      <c r="K1346" s="4"/>
      <c r="L1346" s="4"/>
    </row>
    <row r="1347" spans="8:12">
      <c r="H1347" s="4"/>
      <c r="I1347" s="4"/>
      <c r="J1347" s="4"/>
      <c r="K1347" s="4"/>
      <c r="L1347" s="4"/>
    </row>
    <row r="1348" spans="8:12">
      <c r="H1348" s="4"/>
      <c r="I1348" s="4"/>
      <c r="J1348" s="4"/>
      <c r="K1348" s="4"/>
      <c r="L1348" s="4"/>
    </row>
    <row r="1349" spans="8:12">
      <c r="H1349" s="4"/>
      <c r="I1349" s="4"/>
      <c r="J1349" s="4"/>
      <c r="K1349" s="4"/>
      <c r="L1349" s="4"/>
    </row>
    <row r="1350" spans="8:12">
      <c r="H1350" s="4"/>
      <c r="I1350" s="4"/>
      <c r="J1350" s="4"/>
      <c r="K1350" s="4"/>
      <c r="L1350" s="4"/>
    </row>
    <row r="1351" spans="8:12">
      <c r="H1351" s="4"/>
      <c r="I1351" s="4"/>
      <c r="J1351" s="4"/>
      <c r="K1351" s="4"/>
      <c r="L1351" s="4"/>
    </row>
    <row r="1352" spans="8:12">
      <c r="H1352" s="4"/>
      <c r="I1352" s="4"/>
      <c r="J1352" s="4"/>
      <c r="K1352" s="4"/>
      <c r="L1352" s="4"/>
    </row>
    <row r="1353" spans="8:12">
      <c r="H1353" s="4"/>
      <c r="I1353" s="4"/>
      <c r="J1353" s="4"/>
      <c r="K1353" s="4"/>
      <c r="L1353" s="4"/>
    </row>
    <row r="1354" spans="8:12">
      <c r="H1354" s="4"/>
      <c r="I1354" s="4"/>
      <c r="J1354" s="4"/>
      <c r="K1354" s="4"/>
      <c r="L1354" s="4"/>
    </row>
    <row r="1355" spans="8:12">
      <c r="H1355" s="4"/>
      <c r="I1355" s="4"/>
      <c r="J1355" s="4"/>
      <c r="K1355" s="4"/>
      <c r="L1355" s="4"/>
    </row>
    <row r="1356" spans="8:12">
      <c r="H1356" s="4"/>
      <c r="I1356" s="4"/>
      <c r="J1356" s="4"/>
      <c r="K1356" s="4"/>
      <c r="L1356" s="4"/>
    </row>
    <row r="1357" spans="8:12">
      <c r="H1357" s="4"/>
      <c r="I1357" s="4"/>
      <c r="J1357" s="4"/>
      <c r="K1357" s="4"/>
      <c r="L1357" s="4"/>
    </row>
    <row r="1358" spans="8:12">
      <c r="H1358" s="4"/>
      <c r="I1358" s="4"/>
      <c r="J1358" s="4"/>
      <c r="K1358" s="4"/>
      <c r="L1358" s="4"/>
    </row>
    <row r="1359" spans="8:12">
      <c r="H1359" s="4"/>
      <c r="I1359" s="4"/>
      <c r="J1359" s="4"/>
      <c r="K1359" s="4"/>
      <c r="L1359" s="4"/>
    </row>
    <row r="1360" spans="8:12">
      <c r="H1360" s="4"/>
      <c r="I1360" s="4"/>
      <c r="J1360" s="4"/>
      <c r="K1360" s="4"/>
      <c r="L1360" s="4"/>
    </row>
    <row r="1361" spans="8:12">
      <c r="H1361" s="4"/>
      <c r="I1361" s="4"/>
      <c r="J1361" s="4"/>
      <c r="K1361" s="4"/>
      <c r="L1361" s="4"/>
    </row>
    <row r="1362" spans="8:12">
      <c r="H1362" s="4"/>
      <c r="I1362" s="4"/>
      <c r="J1362" s="4"/>
      <c r="K1362" s="4"/>
      <c r="L1362" s="4"/>
    </row>
    <row r="1363" spans="8:12">
      <c r="H1363" s="4"/>
      <c r="I1363" s="4"/>
      <c r="J1363" s="4"/>
      <c r="K1363" s="4"/>
      <c r="L1363" s="4"/>
    </row>
    <row r="1364" spans="8:12">
      <c r="H1364" s="4"/>
      <c r="I1364" s="4"/>
      <c r="J1364" s="4"/>
      <c r="K1364" s="4"/>
      <c r="L1364" s="4"/>
    </row>
    <row r="1365" spans="8:12">
      <c r="H1365" s="4"/>
      <c r="I1365" s="4"/>
      <c r="J1365" s="4"/>
      <c r="K1365" s="4"/>
      <c r="L1365" s="4"/>
    </row>
    <row r="1366" spans="8:12">
      <c r="H1366" s="4"/>
      <c r="I1366" s="4"/>
      <c r="J1366" s="4"/>
      <c r="K1366" s="4"/>
      <c r="L1366" s="4"/>
    </row>
    <row r="1367" spans="8:12">
      <c r="H1367" s="4"/>
      <c r="I1367" s="4"/>
      <c r="J1367" s="4"/>
      <c r="K1367" s="4"/>
      <c r="L1367" s="4"/>
    </row>
    <row r="1368" spans="8:12">
      <c r="H1368" s="4"/>
      <c r="I1368" s="4"/>
      <c r="J1368" s="4"/>
      <c r="K1368" s="4"/>
      <c r="L1368" s="4"/>
    </row>
    <row r="1369" spans="8:12">
      <c r="H1369" s="4"/>
      <c r="I1369" s="4"/>
      <c r="J1369" s="4"/>
      <c r="K1369" s="4"/>
      <c r="L1369" s="4"/>
    </row>
    <row r="1370" spans="8:12">
      <c r="H1370" s="4"/>
      <c r="I1370" s="4"/>
      <c r="J1370" s="4"/>
      <c r="K1370" s="4"/>
      <c r="L1370" s="4"/>
    </row>
    <row r="1371" spans="8:12">
      <c r="H1371" s="4"/>
      <c r="I1371" s="4"/>
      <c r="J1371" s="4"/>
      <c r="K1371" s="4"/>
      <c r="L1371" s="4"/>
    </row>
    <row r="1372" spans="8:12">
      <c r="H1372" s="4"/>
      <c r="I1372" s="4"/>
      <c r="J1372" s="4"/>
      <c r="K1372" s="4"/>
      <c r="L1372" s="4"/>
    </row>
    <row r="1373" spans="8:12">
      <c r="H1373" s="4"/>
      <c r="I1373" s="4"/>
      <c r="J1373" s="4"/>
      <c r="K1373" s="4"/>
      <c r="L1373" s="4"/>
    </row>
    <row r="1374" spans="8:12">
      <c r="H1374" s="4"/>
      <c r="I1374" s="4"/>
      <c r="J1374" s="4"/>
      <c r="K1374" s="4"/>
      <c r="L1374" s="4"/>
    </row>
    <row r="1375" spans="8:12">
      <c r="H1375" s="4"/>
      <c r="I1375" s="4"/>
      <c r="J1375" s="4"/>
      <c r="K1375" s="4"/>
      <c r="L1375" s="4"/>
    </row>
    <row r="1376" spans="8:12">
      <c r="H1376" s="4"/>
      <c r="I1376" s="4"/>
      <c r="J1376" s="4"/>
      <c r="K1376" s="4"/>
      <c r="L1376" s="4"/>
    </row>
    <row r="1377" spans="8:12">
      <c r="H1377" s="4"/>
      <c r="I1377" s="4"/>
      <c r="J1377" s="4"/>
      <c r="K1377" s="4"/>
      <c r="L1377" s="4"/>
    </row>
    <row r="1378" spans="8:12">
      <c r="H1378" s="4"/>
      <c r="I1378" s="4"/>
      <c r="J1378" s="4"/>
      <c r="K1378" s="4"/>
      <c r="L1378" s="4"/>
    </row>
    <row r="1379" spans="8:12">
      <c r="H1379" s="4"/>
      <c r="I1379" s="4"/>
      <c r="J1379" s="4"/>
      <c r="K1379" s="4"/>
      <c r="L1379" s="4"/>
    </row>
    <row r="1380" spans="8:12">
      <c r="H1380" s="4"/>
      <c r="I1380" s="4"/>
      <c r="J1380" s="4"/>
      <c r="K1380" s="4"/>
      <c r="L1380" s="4"/>
    </row>
    <row r="1381" spans="8:12">
      <c r="H1381" s="4"/>
      <c r="I1381" s="4"/>
      <c r="J1381" s="4"/>
      <c r="K1381" s="4"/>
      <c r="L1381" s="4"/>
    </row>
    <row r="1382" spans="8:12">
      <c r="H1382" s="4"/>
      <c r="I1382" s="4"/>
      <c r="J1382" s="4"/>
      <c r="K1382" s="4"/>
      <c r="L1382" s="4"/>
    </row>
    <row r="1383" spans="8:12">
      <c r="H1383" s="4"/>
      <c r="I1383" s="4"/>
      <c r="J1383" s="4"/>
      <c r="K1383" s="4"/>
      <c r="L1383" s="4"/>
    </row>
    <row r="1384" spans="8:12">
      <c r="H1384" s="4"/>
      <c r="I1384" s="4"/>
      <c r="J1384" s="4"/>
      <c r="K1384" s="4"/>
      <c r="L1384" s="4"/>
    </row>
    <row r="1385" spans="8:12">
      <c r="H1385" s="4"/>
      <c r="I1385" s="4"/>
      <c r="J1385" s="4"/>
      <c r="K1385" s="4"/>
      <c r="L1385" s="4"/>
    </row>
    <row r="1386" spans="8:12">
      <c r="H1386" s="4"/>
      <c r="I1386" s="4"/>
      <c r="J1386" s="4"/>
      <c r="K1386" s="4"/>
      <c r="L1386" s="4"/>
    </row>
    <row r="1387" spans="8:12">
      <c r="H1387" s="4"/>
      <c r="I1387" s="4"/>
      <c r="J1387" s="4"/>
      <c r="K1387" s="4"/>
      <c r="L1387" s="4"/>
    </row>
    <row r="1388" spans="8:12">
      <c r="H1388" s="4"/>
      <c r="I1388" s="4"/>
      <c r="J1388" s="4"/>
      <c r="K1388" s="4"/>
      <c r="L1388" s="4"/>
    </row>
    <row r="1389" spans="8:12">
      <c r="H1389" s="4"/>
      <c r="I1389" s="4"/>
      <c r="J1389" s="4"/>
      <c r="K1389" s="4"/>
      <c r="L1389" s="4"/>
    </row>
    <row r="1390" spans="8:12">
      <c r="H1390" s="4"/>
      <c r="I1390" s="4"/>
      <c r="J1390" s="4"/>
      <c r="K1390" s="4"/>
      <c r="L1390" s="4"/>
    </row>
    <row r="1391" spans="8:12">
      <c r="H1391" s="4"/>
      <c r="I1391" s="4"/>
      <c r="J1391" s="4"/>
      <c r="K1391" s="4"/>
      <c r="L1391" s="4"/>
    </row>
    <row r="1392" spans="8:12">
      <c r="H1392" s="4"/>
      <c r="I1392" s="4"/>
      <c r="J1392" s="4"/>
      <c r="K1392" s="4"/>
      <c r="L1392" s="4"/>
    </row>
    <row r="1393" spans="8:12">
      <c r="H1393" s="4"/>
      <c r="I1393" s="4"/>
      <c r="J1393" s="4"/>
      <c r="K1393" s="4"/>
      <c r="L1393" s="4"/>
    </row>
    <row r="1394" spans="8:12">
      <c r="H1394" s="4"/>
      <c r="I1394" s="4"/>
      <c r="J1394" s="4"/>
      <c r="K1394" s="4"/>
      <c r="L1394" s="4"/>
    </row>
    <row r="1395" spans="8:12">
      <c r="H1395" s="4"/>
      <c r="I1395" s="4"/>
      <c r="J1395" s="4"/>
      <c r="K1395" s="4"/>
      <c r="L1395" s="4"/>
    </row>
    <row r="1396" spans="8:12">
      <c r="H1396" s="4"/>
      <c r="I1396" s="4"/>
      <c r="J1396" s="4"/>
      <c r="K1396" s="4"/>
      <c r="L1396" s="4"/>
    </row>
    <row r="1397" spans="8:12">
      <c r="H1397" s="4"/>
      <c r="I1397" s="4"/>
      <c r="J1397" s="4"/>
      <c r="K1397" s="4"/>
      <c r="L1397" s="4"/>
    </row>
    <row r="1398" spans="8:12">
      <c r="H1398" s="4"/>
      <c r="I1398" s="4"/>
      <c r="J1398" s="4"/>
      <c r="K1398" s="4"/>
      <c r="L1398" s="4"/>
    </row>
    <row r="1399" spans="8:12">
      <c r="H1399" s="4"/>
      <c r="I1399" s="4"/>
      <c r="J1399" s="4"/>
      <c r="K1399" s="4"/>
      <c r="L1399" s="4"/>
    </row>
    <row r="1400" spans="8:12">
      <c r="H1400" s="4"/>
      <c r="I1400" s="4"/>
      <c r="J1400" s="4"/>
      <c r="K1400" s="4"/>
      <c r="L1400" s="4"/>
    </row>
    <row r="1401" spans="8:12">
      <c r="H1401" s="4"/>
      <c r="I1401" s="4"/>
      <c r="J1401" s="4"/>
      <c r="K1401" s="4"/>
      <c r="L1401" s="4"/>
    </row>
    <row r="1402" spans="8:12">
      <c r="H1402" s="4"/>
      <c r="I1402" s="4"/>
      <c r="J1402" s="4"/>
      <c r="K1402" s="4"/>
      <c r="L1402" s="4"/>
    </row>
    <row r="1403" spans="8:12">
      <c r="H1403" s="4"/>
      <c r="I1403" s="4"/>
      <c r="J1403" s="4"/>
      <c r="K1403" s="4"/>
      <c r="L1403" s="4"/>
    </row>
    <row r="1404" spans="8:12">
      <c r="H1404" s="4"/>
      <c r="I1404" s="4"/>
      <c r="J1404" s="4"/>
      <c r="K1404" s="4"/>
      <c r="L1404" s="4"/>
    </row>
    <row r="1405" spans="8:12">
      <c r="H1405" s="4"/>
      <c r="I1405" s="4"/>
      <c r="J1405" s="4"/>
      <c r="K1405" s="4"/>
      <c r="L1405" s="4"/>
    </row>
    <row r="1406" spans="8:12">
      <c r="H1406" s="4"/>
      <c r="I1406" s="4"/>
      <c r="J1406" s="4"/>
      <c r="K1406" s="4"/>
      <c r="L1406" s="4"/>
    </row>
    <row r="1407" spans="8:12">
      <c r="H1407" s="4"/>
      <c r="I1407" s="4"/>
      <c r="J1407" s="4"/>
      <c r="K1407" s="4"/>
      <c r="L1407" s="4"/>
    </row>
    <row r="1408" spans="8:12">
      <c r="H1408" s="4"/>
      <c r="I1408" s="4"/>
      <c r="J1408" s="4"/>
      <c r="K1408" s="4"/>
      <c r="L1408" s="4"/>
    </row>
    <row r="1409" spans="8:12">
      <c r="H1409" s="4"/>
      <c r="I1409" s="4"/>
      <c r="J1409" s="4"/>
      <c r="K1409" s="4"/>
      <c r="L1409" s="4"/>
    </row>
    <row r="1410" spans="8:12">
      <c r="H1410" s="4"/>
      <c r="I1410" s="4"/>
      <c r="J1410" s="4"/>
      <c r="K1410" s="4"/>
      <c r="L1410" s="4"/>
    </row>
    <row r="1411" spans="8:12">
      <c r="H1411" s="4"/>
      <c r="I1411" s="4"/>
      <c r="J1411" s="4"/>
      <c r="K1411" s="4"/>
      <c r="L1411" s="4"/>
    </row>
    <row r="1412" spans="8:12">
      <c r="H1412" s="4"/>
      <c r="I1412" s="4"/>
      <c r="J1412" s="4"/>
      <c r="K1412" s="4"/>
      <c r="L1412" s="4"/>
    </row>
    <row r="1413" spans="8:12">
      <c r="H1413" s="4"/>
      <c r="I1413" s="4"/>
      <c r="J1413" s="4"/>
      <c r="K1413" s="4"/>
      <c r="L1413" s="4"/>
    </row>
    <row r="1414" spans="8:12">
      <c r="H1414" s="4"/>
      <c r="I1414" s="4"/>
      <c r="J1414" s="4"/>
      <c r="K1414" s="4"/>
      <c r="L1414" s="4"/>
    </row>
    <row r="1415" spans="8:12">
      <c r="H1415" s="4"/>
      <c r="I1415" s="4"/>
      <c r="J1415" s="4"/>
      <c r="K1415" s="4"/>
      <c r="L1415" s="4"/>
    </row>
    <row r="1416" spans="8:12">
      <c r="H1416" s="4"/>
      <c r="I1416" s="4"/>
      <c r="J1416" s="4"/>
      <c r="K1416" s="4"/>
      <c r="L1416" s="4"/>
    </row>
    <row r="1417" spans="8:12">
      <c r="H1417" s="4"/>
      <c r="I1417" s="4"/>
      <c r="J1417" s="4"/>
      <c r="K1417" s="4"/>
      <c r="L1417" s="4"/>
    </row>
    <row r="1418" spans="8:12">
      <c r="H1418" s="4"/>
      <c r="I1418" s="4"/>
      <c r="J1418" s="4"/>
      <c r="K1418" s="4"/>
      <c r="L1418" s="4"/>
    </row>
    <row r="1419" spans="8:12">
      <c r="H1419" s="4"/>
      <c r="I1419" s="4"/>
      <c r="J1419" s="4"/>
      <c r="K1419" s="4"/>
      <c r="L1419" s="4"/>
    </row>
    <row r="1420" spans="8:12">
      <c r="H1420" s="4"/>
      <c r="I1420" s="4"/>
      <c r="J1420" s="4"/>
      <c r="K1420" s="4"/>
      <c r="L1420" s="4"/>
    </row>
    <row r="1421" spans="8:12">
      <c r="H1421" s="4"/>
      <c r="I1421" s="4"/>
      <c r="J1421" s="4"/>
      <c r="K1421" s="4"/>
      <c r="L1421" s="4"/>
    </row>
    <row r="1422" spans="8:12">
      <c r="H1422" s="4"/>
      <c r="I1422" s="4"/>
      <c r="J1422" s="4"/>
      <c r="K1422" s="4"/>
      <c r="L1422" s="4"/>
    </row>
    <row r="1423" spans="8:12">
      <c r="H1423" s="4"/>
      <c r="I1423" s="4"/>
      <c r="J1423" s="4"/>
      <c r="K1423" s="4"/>
      <c r="L1423" s="4"/>
    </row>
    <row r="1424" spans="8:12">
      <c r="H1424" s="4"/>
      <c r="I1424" s="4"/>
      <c r="J1424" s="4"/>
      <c r="K1424" s="4"/>
      <c r="L1424" s="4"/>
    </row>
    <row r="1425" spans="8:12">
      <c r="H1425" s="4"/>
      <c r="I1425" s="4"/>
      <c r="J1425" s="4"/>
      <c r="K1425" s="4"/>
      <c r="L1425" s="4"/>
    </row>
    <row r="1426" spans="8:12">
      <c r="H1426" s="4"/>
      <c r="I1426" s="4"/>
      <c r="J1426" s="4"/>
      <c r="K1426" s="4"/>
      <c r="L1426" s="4"/>
    </row>
    <row r="1427" spans="8:12">
      <c r="H1427" s="4"/>
      <c r="I1427" s="4"/>
      <c r="J1427" s="4"/>
      <c r="K1427" s="4"/>
      <c r="L1427" s="4"/>
    </row>
    <row r="1428" spans="8:12">
      <c r="H1428" s="4"/>
      <c r="I1428" s="4"/>
      <c r="J1428" s="4"/>
      <c r="K1428" s="4"/>
      <c r="L1428" s="4"/>
    </row>
    <row r="1429" spans="8:12">
      <c r="H1429" s="4"/>
      <c r="I1429" s="4"/>
      <c r="J1429" s="4"/>
      <c r="K1429" s="4"/>
      <c r="L1429" s="4"/>
    </row>
    <row r="1430" spans="8:12">
      <c r="H1430" s="4"/>
      <c r="I1430" s="4"/>
      <c r="J1430" s="4"/>
      <c r="K1430" s="4"/>
      <c r="L1430" s="4"/>
    </row>
    <row r="1431" spans="8:12">
      <c r="H1431" s="4"/>
      <c r="I1431" s="4"/>
      <c r="J1431" s="4"/>
      <c r="K1431" s="4"/>
      <c r="L1431" s="4"/>
    </row>
    <row r="1432" spans="8:12">
      <c r="H1432" s="4"/>
      <c r="I1432" s="4"/>
      <c r="J1432" s="4"/>
      <c r="K1432" s="4"/>
      <c r="L1432" s="4"/>
    </row>
    <row r="1433" spans="8:12">
      <c r="H1433" s="4"/>
      <c r="I1433" s="4"/>
      <c r="J1433" s="4"/>
      <c r="K1433" s="4"/>
      <c r="L1433" s="4"/>
    </row>
    <row r="1434" spans="8:12">
      <c r="H1434" s="4"/>
      <c r="I1434" s="4"/>
      <c r="J1434" s="4"/>
      <c r="K1434" s="4"/>
      <c r="L1434" s="4"/>
    </row>
    <row r="1435" spans="8:12">
      <c r="H1435" s="4"/>
      <c r="I1435" s="4"/>
      <c r="J1435" s="4"/>
      <c r="K1435" s="4"/>
      <c r="L1435" s="4"/>
    </row>
    <row r="1436" spans="8:12">
      <c r="H1436" s="4"/>
      <c r="I1436" s="4"/>
      <c r="J1436" s="4"/>
      <c r="K1436" s="4"/>
      <c r="L1436" s="4"/>
    </row>
    <row r="1437" spans="8:12">
      <c r="H1437" s="4"/>
      <c r="I1437" s="4"/>
      <c r="J1437" s="4"/>
      <c r="K1437" s="4"/>
      <c r="L1437" s="4"/>
    </row>
    <row r="1438" spans="8:12">
      <c r="H1438" s="4"/>
      <c r="I1438" s="4"/>
      <c r="J1438" s="4"/>
      <c r="K1438" s="4"/>
      <c r="L1438" s="4"/>
    </row>
    <row r="1439" spans="8:12">
      <c r="H1439" s="4"/>
      <c r="I1439" s="4"/>
      <c r="J1439" s="4"/>
      <c r="K1439" s="4"/>
      <c r="L1439" s="4"/>
    </row>
    <row r="1440" spans="8:12">
      <c r="H1440" s="4"/>
      <c r="I1440" s="4"/>
      <c r="J1440" s="4"/>
      <c r="K1440" s="4"/>
      <c r="L1440" s="4"/>
    </row>
    <row r="1441" spans="8:12">
      <c r="H1441" s="4"/>
      <c r="I1441" s="4"/>
      <c r="J1441" s="4"/>
      <c r="K1441" s="4"/>
      <c r="L1441" s="4"/>
    </row>
    <row r="1442" spans="8:12">
      <c r="H1442" s="4"/>
      <c r="I1442" s="4"/>
      <c r="J1442" s="4"/>
      <c r="K1442" s="4"/>
      <c r="L1442" s="4"/>
    </row>
    <row r="1443" spans="8:12">
      <c r="H1443" s="4"/>
      <c r="I1443" s="4"/>
      <c r="J1443" s="4"/>
      <c r="K1443" s="4"/>
      <c r="L1443" s="4"/>
    </row>
    <row r="1444" spans="8:12">
      <c r="H1444" s="4"/>
      <c r="I1444" s="4"/>
      <c r="J1444" s="4"/>
      <c r="K1444" s="4"/>
      <c r="L1444" s="4"/>
    </row>
    <row r="1445" spans="8:12">
      <c r="H1445" s="4"/>
      <c r="I1445" s="4"/>
      <c r="J1445" s="4"/>
      <c r="K1445" s="4"/>
      <c r="L1445" s="4"/>
    </row>
    <row r="1446" spans="8:12">
      <c r="H1446" s="4"/>
      <c r="I1446" s="4"/>
      <c r="J1446" s="4"/>
      <c r="K1446" s="4"/>
      <c r="L1446" s="4"/>
    </row>
    <row r="1447" spans="8:12">
      <c r="H1447" s="4"/>
      <c r="I1447" s="4"/>
      <c r="J1447" s="4"/>
      <c r="K1447" s="4"/>
      <c r="L1447" s="4"/>
    </row>
    <row r="1448" spans="8:12">
      <c r="H1448" s="4"/>
      <c r="I1448" s="4"/>
      <c r="J1448" s="4"/>
      <c r="K1448" s="4"/>
      <c r="L1448" s="4"/>
    </row>
    <row r="1449" spans="8:12">
      <c r="H1449" s="4"/>
      <c r="I1449" s="4"/>
      <c r="J1449" s="4"/>
      <c r="K1449" s="4"/>
      <c r="L1449" s="4"/>
    </row>
    <row r="1450" spans="8:12">
      <c r="H1450" s="4"/>
      <c r="I1450" s="4"/>
      <c r="J1450" s="4"/>
      <c r="K1450" s="4"/>
      <c r="L1450" s="4"/>
    </row>
    <row r="1451" spans="8:12">
      <c r="H1451" s="4"/>
      <c r="I1451" s="4"/>
      <c r="J1451" s="4"/>
      <c r="K1451" s="4"/>
      <c r="L1451" s="4"/>
    </row>
    <row r="1452" spans="8:12">
      <c r="H1452" s="4"/>
      <c r="I1452" s="4"/>
      <c r="J1452" s="4"/>
      <c r="K1452" s="4"/>
      <c r="L1452" s="4"/>
    </row>
    <row r="1453" spans="8:12">
      <c r="H1453" s="4"/>
      <c r="I1453" s="4"/>
      <c r="J1453" s="4"/>
      <c r="K1453" s="4"/>
      <c r="L1453" s="4"/>
    </row>
    <row r="1454" spans="8:12">
      <c r="H1454" s="4"/>
      <c r="I1454" s="4"/>
      <c r="J1454" s="4"/>
      <c r="K1454" s="4"/>
      <c r="L1454" s="4"/>
    </row>
    <row r="1455" spans="8:12">
      <c r="H1455" s="4"/>
      <c r="I1455" s="4"/>
      <c r="J1455" s="4"/>
      <c r="K1455" s="4"/>
      <c r="L1455" s="4"/>
    </row>
    <row r="1456" spans="8:12">
      <c r="H1456" s="4"/>
      <c r="I1456" s="4"/>
      <c r="J1456" s="4"/>
      <c r="K1456" s="4"/>
      <c r="L1456" s="4"/>
    </row>
    <row r="1457" spans="8:12">
      <c r="H1457" s="4"/>
      <c r="I1457" s="4"/>
      <c r="J1457" s="4"/>
      <c r="K1457" s="4"/>
      <c r="L1457" s="4"/>
    </row>
    <row r="1458" spans="8:12">
      <c r="H1458" s="4"/>
      <c r="I1458" s="4"/>
      <c r="J1458" s="4"/>
      <c r="K1458" s="4"/>
      <c r="L1458" s="4"/>
    </row>
    <row r="1459" spans="8:12">
      <c r="H1459" s="4"/>
      <c r="I1459" s="4"/>
      <c r="J1459" s="4"/>
      <c r="K1459" s="4"/>
      <c r="L1459" s="4"/>
    </row>
    <row r="1460" spans="8:12">
      <c r="H1460" s="4"/>
      <c r="I1460" s="4"/>
      <c r="J1460" s="4"/>
      <c r="K1460" s="4"/>
      <c r="L1460" s="4"/>
    </row>
    <row r="1461" spans="8:12">
      <c r="H1461" s="4"/>
      <c r="I1461" s="4"/>
      <c r="J1461" s="4"/>
      <c r="K1461" s="4"/>
      <c r="L1461" s="4"/>
    </row>
    <row r="1462" spans="8:12">
      <c r="H1462" s="4"/>
      <c r="I1462" s="4"/>
      <c r="J1462" s="4"/>
      <c r="K1462" s="4"/>
      <c r="L1462" s="4"/>
    </row>
    <row r="1463" spans="8:12">
      <c r="H1463" s="4"/>
      <c r="I1463" s="4"/>
      <c r="J1463" s="4"/>
      <c r="K1463" s="4"/>
      <c r="L1463" s="4"/>
    </row>
    <row r="1464" spans="8:12">
      <c r="H1464" s="4"/>
      <c r="I1464" s="4"/>
      <c r="J1464" s="4"/>
      <c r="K1464" s="4"/>
      <c r="L1464" s="4"/>
    </row>
    <row r="1465" spans="8:12">
      <c r="H1465" s="4"/>
      <c r="I1465" s="4"/>
      <c r="J1465" s="4"/>
      <c r="K1465" s="4"/>
      <c r="L1465" s="4"/>
    </row>
    <row r="1466" spans="8:12">
      <c r="H1466" s="4"/>
      <c r="I1466" s="4"/>
      <c r="J1466" s="4"/>
      <c r="K1466" s="4"/>
      <c r="L1466" s="4"/>
    </row>
    <row r="1467" spans="8:12">
      <c r="H1467" s="4"/>
      <c r="I1467" s="4"/>
      <c r="J1467" s="4"/>
      <c r="K1467" s="4"/>
      <c r="L1467" s="4"/>
    </row>
    <row r="1468" spans="8:12">
      <c r="H1468" s="4"/>
      <c r="I1468" s="4"/>
      <c r="J1468" s="4"/>
      <c r="K1468" s="4"/>
      <c r="L1468" s="4"/>
    </row>
    <row r="1469" spans="8:12">
      <c r="H1469" s="4"/>
      <c r="I1469" s="4"/>
      <c r="J1469" s="4"/>
      <c r="K1469" s="4"/>
      <c r="L1469" s="4"/>
    </row>
    <row r="1470" spans="8:12">
      <c r="H1470" s="4"/>
      <c r="I1470" s="4"/>
      <c r="J1470" s="4"/>
      <c r="K1470" s="4"/>
      <c r="L1470" s="4"/>
    </row>
    <row r="1471" spans="8:12">
      <c r="H1471" s="4"/>
      <c r="I1471" s="4"/>
      <c r="J1471" s="4"/>
      <c r="K1471" s="4"/>
      <c r="L1471" s="4"/>
    </row>
    <row r="1472" spans="8:12">
      <c r="H1472" s="4"/>
      <c r="I1472" s="4"/>
      <c r="J1472" s="4"/>
      <c r="K1472" s="4"/>
      <c r="L1472" s="4"/>
    </row>
    <row r="1473" spans="8:12">
      <c r="H1473" s="4"/>
      <c r="I1473" s="4"/>
      <c r="J1473" s="4"/>
      <c r="K1473" s="4"/>
      <c r="L1473" s="4"/>
    </row>
    <row r="1474" spans="8:12">
      <c r="H1474" s="4"/>
      <c r="I1474" s="4"/>
      <c r="J1474" s="4"/>
      <c r="K1474" s="4"/>
      <c r="L1474" s="4"/>
    </row>
    <row r="1475" spans="8:12">
      <c r="H1475" s="4"/>
      <c r="I1475" s="4"/>
      <c r="J1475" s="4"/>
      <c r="K1475" s="4"/>
      <c r="L1475" s="4"/>
    </row>
    <row r="1476" spans="8:12">
      <c r="H1476" s="4"/>
      <c r="I1476" s="4"/>
      <c r="J1476" s="4"/>
      <c r="K1476" s="4"/>
      <c r="L1476" s="4"/>
    </row>
    <row r="1477" spans="8:12">
      <c r="H1477" s="4"/>
      <c r="I1477" s="4"/>
      <c r="J1477" s="4"/>
      <c r="K1477" s="4"/>
      <c r="L1477" s="4"/>
    </row>
    <row r="1478" spans="8:12">
      <c r="H1478" s="4"/>
      <c r="I1478" s="4"/>
      <c r="J1478" s="4"/>
      <c r="K1478" s="4"/>
      <c r="L1478" s="4"/>
    </row>
    <row r="1479" spans="8:12">
      <c r="H1479" s="4"/>
      <c r="I1479" s="4"/>
      <c r="J1479" s="4"/>
      <c r="K1479" s="4"/>
      <c r="L1479" s="4"/>
    </row>
    <row r="1480" spans="8:12">
      <c r="H1480" s="4"/>
      <c r="I1480" s="4"/>
      <c r="J1480" s="4"/>
      <c r="K1480" s="4"/>
      <c r="L1480" s="4"/>
    </row>
    <row r="1481" spans="8:12">
      <c r="H1481" s="4"/>
      <c r="I1481" s="4"/>
      <c r="J1481" s="4"/>
      <c r="K1481" s="4"/>
      <c r="L1481" s="4"/>
    </row>
    <row r="1482" spans="8:12">
      <c r="H1482" s="4"/>
      <c r="I1482" s="4"/>
      <c r="J1482" s="4"/>
      <c r="K1482" s="4"/>
      <c r="L1482" s="4"/>
    </row>
    <row r="1483" spans="8:12">
      <c r="H1483" s="4"/>
      <c r="I1483" s="4"/>
      <c r="J1483" s="4"/>
      <c r="K1483" s="4"/>
      <c r="L1483" s="4"/>
    </row>
    <row r="1484" spans="8:12">
      <c r="H1484" s="4"/>
      <c r="I1484" s="4"/>
      <c r="J1484" s="4"/>
      <c r="K1484" s="4"/>
      <c r="L1484" s="4"/>
    </row>
    <row r="1485" spans="8:12">
      <c r="H1485" s="4"/>
      <c r="I1485" s="4"/>
      <c r="J1485" s="4"/>
      <c r="K1485" s="4"/>
      <c r="L1485" s="4"/>
    </row>
    <row r="1486" spans="8:12">
      <c r="H1486" s="4"/>
      <c r="I1486" s="4"/>
      <c r="J1486" s="4"/>
      <c r="K1486" s="4"/>
      <c r="L1486" s="4"/>
    </row>
    <row r="1487" spans="8:12">
      <c r="H1487" s="4"/>
      <c r="I1487" s="4"/>
      <c r="J1487" s="4"/>
      <c r="K1487" s="4"/>
      <c r="L1487" s="4"/>
    </row>
    <row r="1488" spans="8:12">
      <c r="H1488" s="4"/>
      <c r="I1488" s="4"/>
      <c r="J1488" s="4"/>
      <c r="K1488" s="4"/>
      <c r="L1488" s="4"/>
    </row>
    <row r="1489" spans="8:12">
      <c r="H1489" s="4"/>
      <c r="I1489" s="4"/>
      <c r="J1489" s="4"/>
      <c r="K1489" s="4"/>
      <c r="L1489" s="4"/>
    </row>
    <row r="1490" spans="8:12">
      <c r="H1490" s="4"/>
      <c r="I1490" s="4"/>
      <c r="J1490" s="4"/>
      <c r="K1490" s="4"/>
      <c r="L1490" s="4"/>
    </row>
    <row r="1491" spans="8:12">
      <c r="H1491" s="4"/>
      <c r="I1491" s="4"/>
      <c r="J1491" s="4"/>
      <c r="K1491" s="4"/>
      <c r="L1491" s="4"/>
    </row>
    <row r="1492" spans="8:12">
      <c r="H1492" s="4"/>
      <c r="I1492" s="4"/>
      <c r="J1492" s="4"/>
      <c r="K1492" s="4"/>
      <c r="L1492" s="4"/>
    </row>
    <row r="1493" spans="8:12">
      <c r="H1493" s="4"/>
      <c r="I1493" s="4"/>
      <c r="J1493" s="4"/>
      <c r="K1493" s="4"/>
      <c r="L1493" s="4"/>
    </row>
    <row r="1494" spans="8:12">
      <c r="H1494" s="4"/>
      <c r="I1494" s="4"/>
      <c r="J1494" s="4"/>
      <c r="K1494" s="4"/>
      <c r="L1494" s="4"/>
    </row>
    <row r="1495" spans="8:12">
      <c r="H1495" s="4"/>
      <c r="I1495" s="4"/>
      <c r="J1495" s="4"/>
      <c r="K1495" s="4"/>
      <c r="L1495" s="4"/>
    </row>
    <row r="1496" spans="8:12">
      <c r="H1496" s="4"/>
      <c r="I1496" s="4"/>
      <c r="J1496" s="4"/>
      <c r="K1496" s="4"/>
      <c r="L1496" s="4"/>
    </row>
    <row r="1497" spans="8:12">
      <c r="H1497" s="4"/>
      <c r="I1497" s="4"/>
      <c r="J1497" s="4"/>
      <c r="K1497" s="4"/>
      <c r="L1497" s="4"/>
    </row>
    <row r="1498" spans="8:12">
      <c r="H1498" s="4"/>
      <c r="I1498" s="4"/>
      <c r="J1498" s="4"/>
      <c r="K1498" s="4"/>
      <c r="L1498" s="4"/>
    </row>
    <row r="1499" spans="8:12">
      <c r="H1499" s="4"/>
      <c r="I1499" s="4"/>
      <c r="J1499" s="4"/>
      <c r="K1499" s="4"/>
      <c r="L1499" s="4"/>
    </row>
    <row r="1500" spans="8:12">
      <c r="H1500" s="4"/>
      <c r="I1500" s="4"/>
      <c r="J1500" s="4"/>
      <c r="K1500" s="4"/>
      <c r="L1500" s="4"/>
    </row>
    <row r="1501" spans="8:12">
      <c r="H1501" s="4"/>
      <c r="I1501" s="4"/>
      <c r="J1501" s="4"/>
      <c r="K1501" s="4"/>
      <c r="L1501" s="4"/>
    </row>
    <row r="1502" spans="8:12">
      <c r="H1502" s="4"/>
      <c r="I1502" s="4"/>
      <c r="J1502" s="4"/>
      <c r="K1502" s="4"/>
      <c r="L1502" s="4"/>
    </row>
    <row r="1503" spans="8:12">
      <c r="H1503" s="4"/>
      <c r="I1503" s="4"/>
      <c r="J1503" s="4"/>
      <c r="K1503" s="4"/>
      <c r="L1503" s="4"/>
    </row>
    <row r="1504" spans="8:12">
      <c r="H1504" s="4"/>
      <c r="I1504" s="4"/>
      <c r="J1504" s="4"/>
      <c r="K1504" s="4"/>
      <c r="L1504" s="4"/>
    </row>
    <row r="1505" spans="8:12">
      <c r="H1505" s="4"/>
      <c r="I1505" s="4"/>
      <c r="J1505" s="4"/>
      <c r="K1505" s="4"/>
      <c r="L1505" s="4"/>
    </row>
    <row r="1506" spans="8:12">
      <c r="H1506" s="4"/>
      <c r="I1506" s="4"/>
      <c r="J1506" s="4"/>
      <c r="K1506" s="4"/>
      <c r="L1506" s="4"/>
    </row>
    <row r="1507" spans="8:12">
      <c r="H1507" s="4"/>
      <c r="I1507" s="4"/>
      <c r="J1507" s="4"/>
      <c r="K1507" s="4"/>
      <c r="L1507" s="4"/>
    </row>
    <row r="1508" spans="8:12">
      <c r="H1508" s="4"/>
      <c r="I1508" s="4"/>
      <c r="J1508" s="4"/>
      <c r="K1508" s="4"/>
      <c r="L1508" s="4"/>
    </row>
    <row r="1509" spans="8:12">
      <c r="H1509" s="4"/>
      <c r="I1509" s="4"/>
      <c r="J1509" s="4"/>
      <c r="K1509" s="4"/>
      <c r="L1509" s="4"/>
    </row>
    <row r="1510" spans="8:12">
      <c r="H1510" s="4"/>
      <c r="I1510" s="4"/>
      <c r="J1510" s="4"/>
      <c r="K1510" s="4"/>
      <c r="L1510" s="4"/>
    </row>
    <row r="1511" spans="8:12">
      <c r="H1511" s="4"/>
      <c r="I1511" s="4"/>
      <c r="J1511" s="4"/>
      <c r="K1511" s="4"/>
      <c r="L1511" s="4"/>
    </row>
    <row r="1512" spans="8:12">
      <c r="H1512" s="4"/>
      <c r="I1512" s="4"/>
      <c r="J1512" s="4"/>
      <c r="K1512" s="4"/>
      <c r="L1512" s="4"/>
    </row>
    <row r="1513" spans="8:12">
      <c r="H1513" s="4"/>
      <c r="I1513" s="4"/>
      <c r="J1513" s="4"/>
      <c r="K1513" s="4"/>
      <c r="L1513" s="4"/>
    </row>
    <row r="1514" spans="8:12">
      <c r="H1514" s="4"/>
      <c r="I1514" s="4"/>
      <c r="J1514" s="4"/>
      <c r="K1514" s="4"/>
      <c r="L1514" s="4"/>
    </row>
    <row r="1515" spans="8:12">
      <c r="H1515" s="4"/>
      <c r="I1515" s="4"/>
      <c r="J1515" s="4"/>
      <c r="K1515" s="4"/>
      <c r="L1515" s="4"/>
    </row>
    <row r="1516" spans="8:12">
      <c r="H1516" s="4"/>
      <c r="I1516" s="4"/>
      <c r="J1516" s="4"/>
      <c r="K1516" s="4"/>
      <c r="L1516" s="4"/>
    </row>
    <row r="1517" spans="8:12">
      <c r="H1517" s="4"/>
      <c r="I1517" s="4"/>
      <c r="J1517" s="4"/>
      <c r="K1517" s="4"/>
      <c r="L1517" s="4"/>
    </row>
    <row r="1518" spans="8:12">
      <c r="H1518" s="4"/>
      <c r="I1518" s="4"/>
      <c r="J1518" s="4"/>
      <c r="K1518" s="4"/>
      <c r="L1518" s="4"/>
    </row>
    <row r="1519" spans="8:12">
      <c r="H1519" s="4"/>
      <c r="I1519" s="4"/>
      <c r="J1519" s="4"/>
      <c r="K1519" s="4"/>
      <c r="L1519" s="4"/>
    </row>
    <row r="1520" spans="8:12">
      <c r="H1520" s="4"/>
      <c r="I1520" s="4"/>
      <c r="J1520" s="4"/>
      <c r="K1520" s="4"/>
      <c r="L1520" s="4"/>
    </row>
    <row r="1521" spans="8:12">
      <c r="H1521" s="4"/>
      <c r="I1521" s="4"/>
      <c r="J1521" s="4"/>
      <c r="K1521" s="4"/>
      <c r="L1521" s="4"/>
    </row>
    <row r="1522" spans="8:12">
      <c r="H1522" s="4"/>
      <c r="I1522" s="4"/>
      <c r="J1522" s="4"/>
      <c r="K1522" s="4"/>
      <c r="L1522" s="4"/>
    </row>
    <row r="1523" spans="8:12">
      <c r="H1523" s="4"/>
      <c r="I1523" s="4"/>
      <c r="J1523" s="4"/>
      <c r="K1523" s="4"/>
      <c r="L1523" s="4"/>
    </row>
    <row r="1524" spans="8:12">
      <c r="H1524" s="4"/>
      <c r="I1524" s="4"/>
      <c r="J1524" s="4"/>
      <c r="K1524" s="4"/>
      <c r="L1524" s="4"/>
    </row>
    <row r="1525" spans="8:12">
      <c r="H1525" s="4"/>
      <c r="I1525" s="4"/>
      <c r="J1525" s="4"/>
      <c r="K1525" s="4"/>
      <c r="L1525" s="4"/>
    </row>
    <row r="1526" spans="8:12">
      <c r="H1526" s="4"/>
      <c r="I1526" s="4"/>
      <c r="J1526" s="4"/>
      <c r="K1526" s="4"/>
      <c r="L1526" s="4"/>
    </row>
    <row r="1527" spans="8:12">
      <c r="H1527" s="4"/>
      <c r="I1527" s="4"/>
      <c r="J1527" s="4"/>
      <c r="K1527" s="4"/>
      <c r="L1527" s="4"/>
    </row>
    <row r="1528" spans="8:12">
      <c r="H1528" s="4"/>
      <c r="I1528" s="4"/>
      <c r="J1528" s="4"/>
      <c r="K1528" s="4"/>
      <c r="L1528" s="4"/>
    </row>
    <row r="1529" spans="8:12">
      <c r="H1529" s="4"/>
      <c r="I1529" s="4"/>
      <c r="J1529" s="4"/>
      <c r="K1529" s="4"/>
      <c r="L1529" s="4"/>
    </row>
    <row r="1530" spans="8:12">
      <c r="H1530" s="4"/>
      <c r="I1530" s="4"/>
      <c r="J1530" s="4"/>
      <c r="K1530" s="4"/>
      <c r="L1530" s="4"/>
    </row>
    <row r="1531" spans="8:12">
      <c r="H1531" s="4"/>
      <c r="I1531" s="4"/>
      <c r="J1531" s="4"/>
      <c r="K1531" s="4"/>
      <c r="L1531" s="4"/>
    </row>
    <row r="1532" spans="8:12">
      <c r="H1532" s="4"/>
      <c r="I1532" s="4"/>
      <c r="J1532" s="4"/>
      <c r="K1532" s="4"/>
      <c r="L1532" s="4"/>
    </row>
    <row r="1533" spans="8:12">
      <c r="H1533" s="4"/>
      <c r="I1533" s="4"/>
      <c r="J1533" s="4"/>
      <c r="K1533" s="4"/>
      <c r="L1533" s="4"/>
    </row>
    <row r="1534" spans="8:12">
      <c r="H1534" s="4"/>
      <c r="I1534" s="4"/>
      <c r="J1534" s="4"/>
      <c r="K1534" s="4"/>
      <c r="L1534" s="4"/>
    </row>
    <row r="1535" spans="8:12">
      <c r="H1535" s="4"/>
      <c r="I1535" s="4"/>
      <c r="J1535" s="4"/>
      <c r="K1535" s="4"/>
      <c r="L1535" s="4"/>
    </row>
    <row r="1536" spans="8:12">
      <c r="H1536" s="4"/>
      <c r="I1536" s="4"/>
      <c r="J1536" s="4"/>
      <c r="K1536" s="4"/>
      <c r="L1536" s="4"/>
    </row>
    <row r="1537" spans="8:12">
      <c r="H1537" s="4"/>
      <c r="I1537" s="4"/>
      <c r="J1537" s="4"/>
      <c r="K1537" s="4"/>
      <c r="L1537" s="4"/>
    </row>
    <row r="1538" spans="8:12">
      <c r="H1538" s="4"/>
      <c r="I1538" s="4"/>
      <c r="J1538" s="4"/>
      <c r="K1538" s="4"/>
      <c r="L1538" s="4"/>
    </row>
    <row r="1539" spans="8:12">
      <c r="H1539" s="4"/>
      <c r="I1539" s="4"/>
      <c r="J1539" s="4"/>
      <c r="K1539" s="4"/>
      <c r="L1539" s="4"/>
    </row>
    <row r="1540" spans="8:12">
      <c r="H1540" s="4"/>
      <c r="I1540" s="4"/>
      <c r="J1540" s="4"/>
      <c r="K1540" s="4"/>
      <c r="L1540" s="4"/>
    </row>
    <row r="1541" spans="8:12">
      <c r="H1541" s="4"/>
      <c r="I1541" s="4"/>
      <c r="J1541" s="4"/>
      <c r="K1541" s="4"/>
      <c r="L1541" s="4"/>
    </row>
    <row r="1542" spans="8:12">
      <c r="H1542" s="4"/>
      <c r="I1542" s="4"/>
      <c r="J1542" s="4"/>
      <c r="K1542" s="4"/>
      <c r="L1542" s="4"/>
    </row>
    <row r="1543" spans="8:12">
      <c r="H1543" s="4"/>
      <c r="I1543" s="4"/>
      <c r="J1543" s="4"/>
      <c r="K1543" s="4"/>
      <c r="L1543" s="4"/>
    </row>
    <row r="1544" spans="8:12">
      <c r="H1544" s="4"/>
      <c r="I1544" s="4"/>
      <c r="J1544" s="4"/>
      <c r="K1544" s="4"/>
      <c r="L1544" s="4"/>
    </row>
    <row r="1545" spans="8:12">
      <c r="H1545" s="4"/>
      <c r="I1545" s="4"/>
      <c r="J1545" s="4"/>
      <c r="K1545" s="4"/>
      <c r="L1545" s="4"/>
    </row>
    <row r="1546" spans="8:12">
      <c r="H1546" s="4"/>
      <c r="I1546" s="4"/>
      <c r="J1546" s="4"/>
      <c r="K1546" s="4"/>
      <c r="L1546" s="4"/>
    </row>
    <row r="1547" spans="8:12">
      <c r="H1547" s="4"/>
      <c r="I1547" s="4"/>
      <c r="J1547" s="4"/>
      <c r="K1547" s="4"/>
      <c r="L1547" s="4"/>
    </row>
    <row r="1548" spans="8:12">
      <c r="H1548" s="4"/>
      <c r="I1548" s="4"/>
      <c r="J1548" s="4"/>
      <c r="K1548" s="4"/>
      <c r="L1548" s="4"/>
    </row>
    <row r="1549" spans="8:12">
      <c r="H1549" s="4"/>
      <c r="I1549" s="4"/>
      <c r="J1549" s="4"/>
      <c r="K1549" s="4"/>
      <c r="L1549" s="4"/>
    </row>
    <row r="1550" spans="8:12">
      <c r="H1550" s="4"/>
      <c r="I1550" s="4"/>
      <c r="J1550" s="4"/>
      <c r="K1550" s="4"/>
      <c r="L1550" s="4"/>
    </row>
    <row r="1551" spans="8:12">
      <c r="H1551" s="4"/>
      <c r="I1551" s="4"/>
      <c r="J1551" s="4"/>
      <c r="K1551" s="4"/>
      <c r="L1551" s="4"/>
    </row>
    <row r="1552" spans="8:12">
      <c r="H1552" s="4"/>
      <c r="I1552" s="4"/>
      <c r="J1552" s="4"/>
      <c r="K1552" s="4"/>
      <c r="L1552" s="4"/>
    </row>
    <row r="1553" spans="8:12">
      <c r="H1553" s="4"/>
      <c r="I1553" s="4"/>
      <c r="J1553" s="4"/>
      <c r="K1553" s="4"/>
      <c r="L1553" s="4"/>
    </row>
    <row r="1554" spans="8:12">
      <c r="H1554" s="4"/>
      <c r="I1554" s="4"/>
      <c r="J1554" s="4"/>
      <c r="K1554" s="4"/>
      <c r="L1554" s="4"/>
    </row>
    <row r="1555" spans="8:12">
      <c r="H1555" s="4"/>
      <c r="I1555" s="4"/>
      <c r="J1555" s="4"/>
      <c r="K1555" s="4"/>
      <c r="L1555" s="4"/>
    </row>
    <row r="1556" spans="8:12">
      <c r="H1556" s="4"/>
      <c r="I1556" s="4"/>
      <c r="J1556" s="4"/>
      <c r="K1556" s="4"/>
      <c r="L1556" s="4"/>
    </row>
    <row r="1557" spans="8:12">
      <c r="H1557" s="4"/>
      <c r="I1557" s="4"/>
      <c r="J1557" s="4"/>
      <c r="K1557" s="4"/>
      <c r="L1557" s="4"/>
    </row>
    <row r="1558" spans="8:12">
      <c r="H1558" s="4"/>
      <c r="I1558" s="4"/>
      <c r="J1558" s="4"/>
      <c r="K1558" s="4"/>
      <c r="L1558" s="4"/>
    </row>
    <row r="1559" spans="8:12">
      <c r="H1559" s="4"/>
      <c r="I1559" s="4"/>
      <c r="J1559" s="4"/>
      <c r="K1559" s="4"/>
      <c r="L1559" s="4"/>
    </row>
    <row r="1560" spans="8:12">
      <c r="H1560" s="4"/>
      <c r="I1560" s="4"/>
      <c r="J1560" s="4"/>
      <c r="K1560" s="4"/>
      <c r="L1560" s="4"/>
    </row>
    <row r="1561" spans="8:12">
      <c r="H1561" s="4"/>
      <c r="I1561" s="4"/>
      <c r="J1561" s="4"/>
      <c r="K1561" s="4"/>
      <c r="L1561" s="4"/>
    </row>
    <row r="1562" spans="8:12">
      <c r="H1562" s="4"/>
      <c r="I1562" s="4"/>
      <c r="J1562" s="4"/>
      <c r="K1562" s="4"/>
      <c r="L1562" s="4"/>
    </row>
    <row r="1563" spans="8:12">
      <c r="H1563" s="4"/>
      <c r="I1563" s="4"/>
      <c r="J1563" s="4"/>
      <c r="K1563" s="4"/>
      <c r="L1563" s="4"/>
    </row>
    <row r="1564" spans="8:12">
      <c r="H1564" s="4"/>
      <c r="I1564" s="4"/>
      <c r="J1564" s="4"/>
      <c r="K1564" s="4"/>
      <c r="L1564" s="4"/>
    </row>
    <row r="1565" spans="8:12">
      <c r="H1565" s="4"/>
      <c r="I1565" s="4"/>
      <c r="J1565" s="4"/>
      <c r="K1565" s="4"/>
      <c r="L1565" s="4"/>
    </row>
    <row r="1566" spans="8:12">
      <c r="H1566" s="4"/>
      <c r="I1566" s="4"/>
      <c r="J1566" s="4"/>
      <c r="K1566" s="4"/>
      <c r="L1566" s="4"/>
    </row>
    <row r="1567" spans="8:12">
      <c r="H1567" s="4"/>
      <c r="I1567" s="4"/>
      <c r="J1567" s="4"/>
      <c r="K1567" s="4"/>
      <c r="L1567" s="4"/>
    </row>
    <row r="1568" spans="8:12">
      <c r="H1568" s="4"/>
      <c r="I1568" s="4"/>
      <c r="J1568" s="4"/>
      <c r="K1568" s="4"/>
      <c r="L1568" s="4"/>
    </row>
    <row r="1569" spans="8:12">
      <c r="H1569" s="4"/>
      <c r="I1569" s="4"/>
      <c r="J1569" s="4"/>
      <c r="K1569" s="4"/>
      <c r="L1569" s="4"/>
    </row>
    <row r="1570" spans="8:12">
      <c r="H1570" s="4"/>
      <c r="I1570" s="4"/>
      <c r="J1570" s="4"/>
      <c r="K1570" s="4"/>
      <c r="L1570" s="4"/>
    </row>
    <row r="1571" spans="8:12">
      <c r="H1571" s="4"/>
      <c r="I1571" s="4"/>
      <c r="J1571" s="4"/>
      <c r="K1571" s="4"/>
      <c r="L1571" s="4"/>
    </row>
    <row r="1572" spans="8:12">
      <c r="H1572" s="4"/>
      <c r="I1572" s="4"/>
      <c r="J1572" s="4"/>
      <c r="K1572" s="4"/>
      <c r="L1572" s="4"/>
    </row>
    <row r="1573" spans="8:12">
      <c r="H1573" s="4"/>
      <c r="I1573" s="4"/>
      <c r="J1573" s="4"/>
      <c r="K1573" s="4"/>
      <c r="L1573" s="4"/>
    </row>
    <row r="1574" spans="8:12">
      <c r="H1574" s="4"/>
      <c r="I1574" s="4"/>
      <c r="J1574" s="4"/>
      <c r="K1574" s="4"/>
      <c r="L1574" s="4"/>
    </row>
    <row r="1575" spans="8:12">
      <c r="H1575" s="4"/>
      <c r="I1575" s="4"/>
      <c r="J1575" s="4"/>
      <c r="K1575" s="4"/>
      <c r="L1575" s="4"/>
    </row>
    <row r="1576" spans="8:12">
      <c r="H1576" s="4"/>
      <c r="I1576" s="4"/>
      <c r="J1576" s="4"/>
      <c r="K1576" s="4"/>
      <c r="L1576" s="4"/>
    </row>
    <row r="1577" spans="8:12">
      <c r="H1577" s="4"/>
      <c r="I1577" s="4"/>
      <c r="J1577" s="4"/>
      <c r="K1577" s="4"/>
      <c r="L1577" s="4"/>
    </row>
    <row r="1578" spans="8:12">
      <c r="H1578" s="4"/>
      <c r="I1578" s="4"/>
      <c r="J1578" s="4"/>
      <c r="K1578" s="4"/>
      <c r="L1578" s="4"/>
    </row>
    <row r="1579" spans="8:12">
      <c r="H1579" s="4"/>
      <c r="I1579" s="4"/>
      <c r="J1579" s="4"/>
      <c r="K1579" s="4"/>
      <c r="L1579" s="4"/>
    </row>
    <row r="1580" spans="8:12">
      <c r="H1580" s="4"/>
      <c r="I1580" s="4"/>
      <c r="J1580" s="4"/>
      <c r="K1580" s="4"/>
      <c r="L1580" s="4"/>
    </row>
    <row r="1581" spans="8:12">
      <c r="H1581" s="4"/>
      <c r="I1581" s="4"/>
      <c r="J1581" s="4"/>
      <c r="K1581" s="4"/>
      <c r="L1581" s="4"/>
    </row>
    <row r="1582" spans="8:12">
      <c r="H1582" s="4"/>
      <c r="I1582" s="4"/>
      <c r="J1582" s="4"/>
      <c r="K1582" s="4"/>
      <c r="L1582" s="4"/>
    </row>
    <row r="1583" spans="8:12">
      <c r="H1583" s="4"/>
      <c r="I1583" s="4"/>
      <c r="J1583" s="4"/>
      <c r="K1583" s="4"/>
      <c r="L1583" s="4"/>
    </row>
    <row r="1584" spans="8:12">
      <c r="H1584" s="4"/>
      <c r="I1584" s="4"/>
      <c r="J1584" s="4"/>
      <c r="K1584" s="4"/>
      <c r="L1584" s="4"/>
    </row>
    <row r="1585" spans="8:12">
      <c r="H1585" s="4"/>
      <c r="I1585" s="4"/>
      <c r="J1585" s="4"/>
      <c r="K1585" s="4"/>
      <c r="L1585" s="4"/>
    </row>
    <row r="1586" spans="8:12">
      <c r="H1586" s="4"/>
      <c r="I1586" s="4"/>
      <c r="J1586" s="4"/>
      <c r="K1586" s="4"/>
      <c r="L1586" s="4"/>
    </row>
    <row r="1587" spans="8:12">
      <c r="H1587" s="4"/>
      <c r="I1587" s="4"/>
      <c r="J1587" s="4"/>
      <c r="K1587" s="4"/>
      <c r="L1587" s="4"/>
    </row>
    <row r="1588" spans="8:12">
      <c r="H1588" s="4"/>
      <c r="I1588" s="4"/>
      <c r="J1588" s="4"/>
      <c r="K1588" s="4"/>
      <c r="L1588" s="4"/>
    </row>
    <row r="1589" spans="8:12">
      <c r="H1589" s="4"/>
      <c r="I1589" s="4"/>
      <c r="J1589" s="4"/>
      <c r="K1589" s="4"/>
      <c r="L1589" s="4"/>
    </row>
    <row r="1590" spans="8:12">
      <c r="H1590" s="4"/>
      <c r="I1590" s="4"/>
      <c r="J1590" s="4"/>
      <c r="K1590" s="4"/>
      <c r="L1590" s="4"/>
    </row>
    <row r="1591" spans="8:12">
      <c r="H1591" s="4"/>
      <c r="I1591" s="4"/>
      <c r="J1591" s="4"/>
      <c r="K1591" s="4"/>
      <c r="L1591" s="4"/>
    </row>
    <row r="1592" spans="8:12">
      <c r="H1592" s="4"/>
      <c r="I1592" s="4"/>
      <c r="J1592" s="4"/>
      <c r="K1592" s="4"/>
      <c r="L1592" s="4"/>
    </row>
    <row r="1593" spans="8:12">
      <c r="H1593" s="4"/>
      <c r="I1593" s="4"/>
      <c r="J1593" s="4"/>
      <c r="K1593" s="4"/>
      <c r="L1593" s="4"/>
    </row>
    <row r="1594" spans="8:12">
      <c r="H1594" s="4"/>
      <c r="I1594" s="4"/>
      <c r="J1594" s="4"/>
      <c r="K1594" s="4"/>
      <c r="L1594" s="4"/>
    </row>
    <row r="1595" spans="8:12">
      <c r="H1595" s="4"/>
      <c r="I1595" s="4"/>
      <c r="J1595" s="4"/>
      <c r="K1595" s="4"/>
      <c r="L1595" s="4"/>
    </row>
    <row r="1596" spans="8:12">
      <c r="H1596" s="4"/>
      <c r="I1596" s="4"/>
      <c r="J1596" s="4"/>
      <c r="K1596" s="4"/>
      <c r="L1596" s="4"/>
    </row>
    <row r="1597" spans="8:12">
      <c r="H1597" s="4"/>
      <c r="I1597" s="4"/>
      <c r="J1597" s="4"/>
      <c r="K1597" s="4"/>
      <c r="L1597" s="4"/>
    </row>
    <row r="1598" spans="8:12">
      <c r="H1598" s="4"/>
      <c r="I1598" s="4"/>
      <c r="J1598" s="4"/>
      <c r="K1598" s="4"/>
      <c r="L1598" s="4"/>
    </row>
    <row r="1599" spans="8:12">
      <c r="H1599" s="4"/>
      <c r="I1599" s="4"/>
      <c r="J1599" s="4"/>
      <c r="K1599" s="4"/>
      <c r="L1599" s="4"/>
    </row>
    <row r="1600" spans="8:12">
      <c r="H1600" s="4"/>
      <c r="I1600" s="4"/>
      <c r="J1600" s="4"/>
      <c r="K1600" s="4"/>
      <c r="L1600" s="4"/>
    </row>
    <row r="1601" spans="8:12">
      <c r="H1601" s="4"/>
      <c r="I1601" s="4"/>
      <c r="J1601" s="4"/>
      <c r="K1601" s="4"/>
      <c r="L1601" s="4"/>
    </row>
    <row r="1602" spans="8:12">
      <c r="H1602" s="4"/>
      <c r="I1602" s="4"/>
      <c r="J1602" s="4"/>
      <c r="K1602" s="4"/>
      <c r="L1602" s="4"/>
    </row>
    <row r="1603" spans="8:12">
      <c r="H1603" s="4"/>
      <c r="I1603" s="4"/>
      <c r="J1603" s="4"/>
      <c r="K1603" s="4"/>
      <c r="L1603" s="4"/>
    </row>
    <row r="1604" spans="8:12">
      <c r="H1604" s="4"/>
      <c r="I1604" s="4"/>
      <c r="J1604" s="4"/>
      <c r="K1604" s="4"/>
      <c r="L1604" s="4"/>
    </row>
    <row r="1605" spans="8:12">
      <c r="H1605" s="4"/>
      <c r="I1605" s="4"/>
      <c r="J1605" s="4"/>
      <c r="K1605" s="4"/>
      <c r="L1605" s="4"/>
    </row>
    <row r="1606" spans="8:12">
      <c r="H1606" s="4"/>
      <c r="I1606" s="4"/>
      <c r="J1606" s="4"/>
      <c r="K1606" s="4"/>
      <c r="L1606" s="4"/>
    </row>
    <row r="1607" spans="8:12">
      <c r="H1607" s="4"/>
      <c r="I1607" s="4"/>
      <c r="J1607" s="4"/>
      <c r="K1607" s="4"/>
      <c r="L1607" s="4"/>
    </row>
    <row r="1608" spans="8:12">
      <c r="H1608" s="4"/>
      <c r="I1608" s="4"/>
      <c r="J1608" s="4"/>
      <c r="K1608" s="4"/>
      <c r="L1608" s="4"/>
    </row>
    <row r="1609" spans="8:12">
      <c r="H1609" s="4"/>
      <c r="I1609" s="4"/>
      <c r="J1609" s="4"/>
      <c r="K1609" s="4"/>
      <c r="L1609" s="4"/>
    </row>
    <row r="1610" spans="8:12">
      <c r="H1610" s="4"/>
      <c r="I1610" s="4"/>
      <c r="J1610" s="4"/>
      <c r="K1610" s="4"/>
      <c r="L1610" s="4"/>
    </row>
    <row r="1611" spans="8:12">
      <c r="H1611" s="4"/>
      <c r="I1611" s="4"/>
      <c r="J1611" s="4"/>
      <c r="K1611" s="4"/>
      <c r="L1611" s="4"/>
    </row>
    <row r="1612" spans="8:12">
      <c r="H1612" s="4"/>
      <c r="I1612" s="4"/>
      <c r="J1612" s="4"/>
      <c r="K1612" s="4"/>
      <c r="L1612" s="4"/>
    </row>
    <row r="1613" spans="8:12">
      <c r="H1613" s="4"/>
      <c r="I1613" s="4"/>
      <c r="J1613" s="4"/>
      <c r="K1613" s="4"/>
      <c r="L1613" s="4"/>
    </row>
    <row r="1614" spans="8:12">
      <c r="H1614" s="4"/>
      <c r="I1614" s="4"/>
      <c r="J1614" s="4"/>
      <c r="K1614" s="4"/>
      <c r="L1614" s="4"/>
    </row>
    <row r="1615" spans="8:12">
      <c r="H1615" s="4"/>
      <c r="I1615" s="4"/>
      <c r="J1615" s="4"/>
      <c r="K1615" s="4"/>
      <c r="L1615" s="4"/>
    </row>
    <row r="1616" spans="8:12">
      <c r="H1616" s="4"/>
      <c r="I1616" s="4"/>
      <c r="J1616" s="4"/>
      <c r="K1616" s="4"/>
      <c r="L1616" s="4"/>
    </row>
    <row r="1617" spans="8:12">
      <c r="H1617" s="4"/>
      <c r="I1617" s="4"/>
      <c r="J1617" s="4"/>
      <c r="K1617" s="4"/>
      <c r="L1617" s="4"/>
    </row>
    <row r="1618" spans="8:12">
      <c r="H1618" s="4"/>
      <c r="I1618" s="4"/>
      <c r="J1618" s="4"/>
      <c r="K1618" s="4"/>
      <c r="L1618" s="4"/>
    </row>
    <row r="1619" spans="8:12">
      <c r="H1619" s="4"/>
      <c r="I1619" s="4"/>
      <c r="J1619" s="4"/>
      <c r="K1619" s="4"/>
      <c r="L1619" s="4"/>
    </row>
    <row r="1620" spans="8:12">
      <c r="H1620" s="4"/>
      <c r="I1620" s="4"/>
      <c r="J1620" s="4"/>
      <c r="K1620" s="4"/>
      <c r="L1620" s="4"/>
    </row>
    <row r="1621" spans="8:12">
      <c r="H1621" s="4"/>
      <c r="I1621" s="4"/>
      <c r="J1621" s="4"/>
      <c r="K1621" s="4"/>
      <c r="L1621" s="4"/>
    </row>
    <row r="1622" spans="8:12">
      <c r="H1622" s="4"/>
      <c r="I1622" s="4"/>
      <c r="J1622" s="4"/>
      <c r="K1622" s="4"/>
      <c r="L1622" s="4"/>
    </row>
    <row r="1623" spans="8:12">
      <c r="H1623" s="4"/>
      <c r="I1623" s="4"/>
      <c r="J1623" s="4"/>
      <c r="K1623" s="4"/>
      <c r="L1623" s="4"/>
    </row>
    <row r="1624" spans="8:12">
      <c r="H1624" s="4"/>
      <c r="I1624" s="4"/>
      <c r="J1624" s="4"/>
      <c r="K1624" s="4"/>
      <c r="L1624" s="4"/>
    </row>
    <row r="1625" spans="8:12">
      <c r="H1625" s="4"/>
      <c r="I1625" s="4"/>
      <c r="J1625" s="4"/>
      <c r="K1625" s="4"/>
      <c r="L1625" s="4"/>
    </row>
    <row r="1626" spans="8:12">
      <c r="H1626" s="4"/>
      <c r="I1626" s="4"/>
      <c r="J1626" s="4"/>
      <c r="K1626" s="4"/>
      <c r="L1626" s="4"/>
    </row>
    <row r="1627" spans="8:12">
      <c r="H1627" s="4"/>
      <c r="I1627" s="4"/>
      <c r="J1627" s="4"/>
      <c r="K1627" s="4"/>
      <c r="L1627" s="4"/>
    </row>
    <row r="1628" spans="8:12">
      <c r="H1628" s="4"/>
      <c r="I1628" s="4"/>
      <c r="J1628" s="4"/>
      <c r="K1628" s="4"/>
      <c r="L1628" s="4"/>
    </row>
    <row r="1629" spans="8:12">
      <c r="H1629" s="4"/>
      <c r="I1629" s="4"/>
      <c r="J1629" s="4"/>
      <c r="K1629" s="4"/>
      <c r="L1629" s="4"/>
    </row>
    <row r="1630" spans="8:12">
      <c r="H1630" s="4"/>
      <c r="I1630" s="4"/>
      <c r="J1630" s="4"/>
      <c r="K1630" s="4"/>
      <c r="L1630" s="4"/>
    </row>
    <row r="1631" spans="8:12">
      <c r="H1631" s="4"/>
      <c r="I1631" s="4"/>
      <c r="J1631" s="4"/>
      <c r="K1631" s="4"/>
      <c r="L1631" s="4"/>
    </row>
    <row r="1632" spans="8:12">
      <c r="H1632" s="4"/>
      <c r="I1632" s="4"/>
      <c r="J1632" s="4"/>
      <c r="K1632" s="4"/>
      <c r="L1632" s="4"/>
    </row>
    <row r="1633" spans="8:12">
      <c r="H1633" s="4"/>
      <c r="I1633" s="4"/>
      <c r="J1633" s="4"/>
      <c r="K1633" s="4"/>
      <c r="L1633" s="4"/>
    </row>
    <row r="1634" spans="8:12">
      <c r="H1634" s="4"/>
      <c r="I1634" s="4"/>
      <c r="J1634" s="4"/>
      <c r="K1634" s="4"/>
      <c r="L1634" s="4"/>
    </row>
    <row r="1635" spans="8:12">
      <c r="H1635" s="4"/>
      <c r="I1635" s="4"/>
      <c r="J1635" s="4"/>
      <c r="K1635" s="4"/>
      <c r="L1635" s="4"/>
    </row>
    <row r="1636" spans="8:12">
      <c r="H1636" s="4"/>
      <c r="I1636" s="4"/>
      <c r="J1636" s="4"/>
      <c r="K1636" s="4"/>
      <c r="L1636" s="4"/>
    </row>
    <row r="1637" spans="8:12">
      <c r="H1637" s="4"/>
      <c r="I1637" s="4"/>
      <c r="J1637" s="4"/>
      <c r="K1637" s="4"/>
      <c r="L1637" s="4"/>
    </row>
    <row r="1638" spans="8:12">
      <c r="H1638" s="4"/>
      <c r="I1638" s="4"/>
      <c r="J1638" s="4"/>
      <c r="K1638" s="4"/>
      <c r="L1638" s="4"/>
    </row>
    <row r="1639" spans="8:12">
      <c r="H1639" s="4"/>
      <c r="I1639" s="4"/>
      <c r="J1639" s="4"/>
      <c r="K1639" s="4"/>
      <c r="L1639" s="4"/>
    </row>
    <row r="1640" spans="8:12">
      <c r="H1640" s="4"/>
      <c r="I1640" s="4"/>
      <c r="J1640" s="4"/>
      <c r="K1640" s="4"/>
      <c r="L1640" s="4"/>
    </row>
    <row r="1641" spans="8:12">
      <c r="H1641" s="4"/>
      <c r="I1641" s="4"/>
      <c r="J1641" s="4"/>
      <c r="K1641" s="4"/>
      <c r="L1641" s="4"/>
    </row>
    <row r="1642" spans="8:12">
      <c r="H1642" s="4"/>
      <c r="I1642" s="4"/>
      <c r="J1642" s="4"/>
      <c r="K1642" s="4"/>
      <c r="L1642" s="4"/>
    </row>
    <row r="1643" spans="8:12">
      <c r="H1643" s="4"/>
      <c r="I1643" s="4"/>
      <c r="J1643" s="4"/>
      <c r="K1643" s="4"/>
      <c r="L1643" s="4"/>
    </row>
    <row r="1644" spans="8:12">
      <c r="H1644" s="4"/>
      <c r="I1644" s="4"/>
      <c r="J1644" s="4"/>
      <c r="K1644" s="4"/>
      <c r="L1644" s="4"/>
    </row>
    <row r="1645" spans="8:12">
      <c r="H1645" s="4"/>
      <c r="I1645" s="4"/>
      <c r="J1645" s="4"/>
      <c r="K1645" s="4"/>
      <c r="L1645" s="4"/>
    </row>
    <row r="1646" spans="8:12">
      <c r="H1646" s="4"/>
      <c r="I1646" s="4"/>
      <c r="J1646" s="4"/>
      <c r="K1646" s="4"/>
      <c r="L1646" s="4"/>
    </row>
    <row r="1647" spans="8:12">
      <c r="H1647" s="4"/>
      <c r="I1647" s="4"/>
      <c r="J1647" s="4"/>
      <c r="K1647" s="4"/>
      <c r="L1647" s="4"/>
    </row>
    <row r="1648" spans="8:12">
      <c r="H1648" s="4"/>
      <c r="I1648" s="4"/>
      <c r="J1648" s="4"/>
      <c r="K1648" s="4"/>
      <c r="L1648" s="4"/>
    </row>
    <row r="1649" spans="8:12">
      <c r="H1649" s="4"/>
      <c r="I1649" s="4"/>
      <c r="J1649" s="4"/>
      <c r="K1649" s="4"/>
      <c r="L1649" s="4"/>
    </row>
    <row r="1650" spans="8:12">
      <c r="H1650" s="4"/>
      <c r="I1650" s="4"/>
      <c r="J1650" s="4"/>
      <c r="K1650" s="4"/>
      <c r="L1650" s="4"/>
    </row>
    <row r="1651" spans="8:12">
      <c r="H1651" s="4"/>
      <c r="I1651" s="4"/>
      <c r="J1651" s="4"/>
      <c r="K1651" s="4"/>
      <c r="L1651" s="4"/>
    </row>
    <row r="1652" spans="8:12">
      <c r="H1652" s="4"/>
      <c r="I1652" s="4"/>
      <c r="J1652" s="4"/>
      <c r="K1652" s="4"/>
      <c r="L1652" s="4"/>
    </row>
    <row r="1653" spans="8:12">
      <c r="H1653" s="4"/>
      <c r="I1653" s="4"/>
      <c r="J1653" s="4"/>
      <c r="K1653" s="4"/>
      <c r="L1653" s="4"/>
    </row>
    <row r="1654" spans="8:12">
      <c r="H1654" s="4"/>
      <c r="I1654" s="4"/>
      <c r="J1654" s="4"/>
      <c r="K1654" s="4"/>
      <c r="L1654" s="4"/>
    </row>
    <row r="1655" spans="8:12">
      <c r="H1655" s="4"/>
      <c r="I1655" s="4"/>
      <c r="J1655" s="4"/>
      <c r="K1655" s="4"/>
      <c r="L1655" s="4"/>
    </row>
    <row r="1656" spans="8:12">
      <c r="H1656" s="4"/>
      <c r="I1656" s="4"/>
      <c r="J1656" s="4"/>
      <c r="K1656" s="4"/>
      <c r="L1656" s="4"/>
    </row>
    <row r="1657" spans="8:12">
      <c r="H1657" s="4"/>
      <c r="I1657" s="4"/>
      <c r="J1657" s="4"/>
      <c r="K1657" s="4"/>
      <c r="L1657" s="4"/>
    </row>
    <row r="1658" spans="8:12">
      <c r="H1658" s="4"/>
      <c r="I1658" s="4"/>
      <c r="J1658" s="4"/>
      <c r="K1658" s="4"/>
      <c r="L1658" s="4"/>
    </row>
    <row r="1659" spans="8:12">
      <c r="H1659" s="4"/>
      <c r="I1659" s="4"/>
      <c r="J1659" s="4"/>
      <c r="K1659" s="4"/>
      <c r="L1659" s="4"/>
    </row>
    <row r="1660" spans="8:12">
      <c r="H1660" s="4"/>
      <c r="I1660" s="4"/>
      <c r="J1660" s="4"/>
      <c r="K1660" s="4"/>
      <c r="L1660" s="4"/>
    </row>
    <row r="1661" spans="8:12">
      <c r="H1661" s="4"/>
      <c r="I1661" s="4"/>
      <c r="J1661" s="4"/>
      <c r="K1661" s="4"/>
      <c r="L1661" s="4"/>
    </row>
    <row r="1662" spans="8:12">
      <c r="H1662" s="4"/>
      <c r="I1662" s="4"/>
      <c r="J1662" s="4"/>
      <c r="K1662" s="4"/>
      <c r="L1662" s="4"/>
    </row>
    <row r="1663" spans="8:12">
      <c r="H1663" s="4"/>
      <c r="I1663" s="4"/>
      <c r="J1663" s="4"/>
      <c r="K1663" s="4"/>
      <c r="L1663" s="4"/>
    </row>
    <row r="1664" spans="8:12">
      <c r="H1664" s="4"/>
      <c r="I1664" s="4"/>
      <c r="J1664" s="4"/>
      <c r="K1664" s="4"/>
      <c r="L1664" s="4"/>
    </row>
    <row r="1665" spans="8:12">
      <c r="H1665" s="4"/>
      <c r="I1665" s="4"/>
      <c r="J1665" s="4"/>
      <c r="K1665" s="4"/>
      <c r="L1665" s="4"/>
    </row>
    <row r="1666" spans="8:12">
      <c r="H1666" s="4"/>
      <c r="I1666" s="4"/>
      <c r="J1666" s="4"/>
      <c r="K1666" s="4"/>
      <c r="L1666" s="4"/>
    </row>
    <row r="1667" spans="8:12">
      <c r="H1667" s="4"/>
      <c r="I1667" s="4"/>
      <c r="J1667" s="4"/>
      <c r="K1667" s="4"/>
      <c r="L1667" s="4"/>
    </row>
    <row r="1668" spans="8:12">
      <c r="H1668" s="4"/>
      <c r="I1668" s="4"/>
      <c r="J1668" s="4"/>
      <c r="K1668" s="4"/>
      <c r="L1668" s="4"/>
    </row>
    <row r="1669" spans="8:12">
      <c r="H1669" s="4"/>
      <c r="I1669" s="4"/>
      <c r="J1669" s="4"/>
      <c r="K1669" s="4"/>
      <c r="L1669" s="4"/>
    </row>
    <row r="1670" spans="8:12">
      <c r="H1670" s="4"/>
      <c r="I1670" s="4"/>
      <c r="J1670" s="4"/>
      <c r="K1670" s="4"/>
      <c r="L1670" s="4"/>
    </row>
    <row r="1671" spans="8:12">
      <c r="H1671" s="4"/>
      <c r="I1671" s="4"/>
      <c r="J1671" s="4"/>
      <c r="K1671" s="4"/>
      <c r="L1671" s="4"/>
    </row>
    <row r="1672" spans="8:12">
      <c r="H1672" s="4"/>
      <c r="I1672" s="4"/>
      <c r="J1672" s="4"/>
      <c r="K1672" s="4"/>
      <c r="L1672" s="4"/>
    </row>
    <row r="1673" spans="8:12">
      <c r="H1673" s="4"/>
      <c r="I1673" s="4"/>
      <c r="J1673" s="4"/>
      <c r="K1673" s="4"/>
      <c r="L1673" s="4"/>
    </row>
    <row r="1674" spans="8:12">
      <c r="H1674" s="4"/>
      <c r="I1674" s="4"/>
      <c r="J1674" s="4"/>
      <c r="K1674" s="4"/>
      <c r="L1674" s="4"/>
    </row>
    <row r="1675" spans="8:12">
      <c r="H1675" s="4"/>
      <c r="I1675" s="4"/>
      <c r="J1675" s="4"/>
      <c r="K1675" s="4"/>
      <c r="L1675" s="4"/>
    </row>
    <row r="1676" spans="8:12">
      <c r="H1676" s="4"/>
      <c r="I1676" s="4"/>
      <c r="J1676" s="4"/>
      <c r="K1676" s="4"/>
      <c r="L1676" s="4"/>
    </row>
    <row r="1677" spans="8:12">
      <c r="H1677" s="4"/>
      <c r="I1677" s="4"/>
      <c r="J1677" s="4"/>
      <c r="K1677" s="4"/>
      <c r="L1677" s="4"/>
    </row>
    <row r="1678" spans="8:12">
      <c r="H1678" s="4"/>
      <c r="I1678" s="4"/>
      <c r="J1678" s="4"/>
      <c r="K1678" s="4"/>
      <c r="L1678" s="4"/>
    </row>
    <row r="1679" spans="8:12">
      <c r="H1679" s="4"/>
      <c r="I1679" s="4"/>
      <c r="J1679" s="4"/>
      <c r="K1679" s="4"/>
      <c r="L1679" s="4"/>
    </row>
    <row r="1680" spans="8:12">
      <c r="H1680" s="4"/>
      <c r="I1680" s="4"/>
      <c r="J1680" s="4"/>
      <c r="K1680" s="4"/>
      <c r="L1680" s="4"/>
    </row>
    <row r="1681" spans="8:12">
      <c r="H1681" s="4"/>
      <c r="I1681" s="4"/>
      <c r="J1681" s="4"/>
      <c r="K1681" s="4"/>
      <c r="L1681" s="4"/>
    </row>
    <row r="1682" spans="8:12">
      <c r="H1682" s="4"/>
      <c r="I1682" s="4"/>
      <c r="J1682" s="4"/>
      <c r="K1682" s="4"/>
      <c r="L1682" s="4"/>
    </row>
    <row r="1683" spans="8:12">
      <c r="H1683" s="4"/>
      <c r="I1683" s="4"/>
      <c r="J1683" s="4"/>
      <c r="K1683" s="4"/>
      <c r="L1683" s="4"/>
    </row>
    <row r="1684" spans="8:12">
      <c r="H1684" s="4"/>
      <c r="I1684" s="4"/>
      <c r="J1684" s="4"/>
      <c r="K1684" s="4"/>
      <c r="L1684" s="4"/>
    </row>
    <row r="1685" spans="8:12">
      <c r="H1685" s="4"/>
      <c r="I1685" s="4"/>
      <c r="J1685" s="4"/>
      <c r="K1685" s="4"/>
      <c r="L1685" s="4"/>
    </row>
    <row r="1686" spans="8:12">
      <c r="H1686" s="4"/>
      <c r="I1686" s="4"/>
      <c r="J1686" s="4"/>
      <c r="K1686" s="4"/>
      <c r="L1686" s="4"/>
    </row>
    <row r="1687" spans="8:12">
      <c r="H1687" s="4"/>
      <c r="I1687" s="4"/>
      <c r="J1687" s="4"/>
      <c r="K1687" s="4"/>
      <c r="L1687" s="4"/>
    </row>
    <row r="1688" spans="8:12">
      <c r="H1688" s="4"/>
      <c r="I1688" s="4"/>
      <c r="J1688" s="4"/>
      <c r="K1688" s="4"/>
      <c r="L1688" s="4"/>
    </row>
    <row r="1689" spans="8:12">
      <c r="H1689" s="4"/>
      <c r="I1689" s="4"/>
      <c r="J1689" s="4"/>
      <c r="K1689" s="4"/>
      <c r="L1689" s="4"/>
    </row>
    <row r="1690" spans="8:12">
      <c r="H1690" s="4"/>
      <c r="I1690" s="4"/>
      <c r="J1690" s="4"/>
      <c r="K1690" s="4"/>
      <c r="L1690" s="4"/>
    </row>
    <row r="1691" spans="8:12">
      <c r="H1691" s="4"/>
      <c r="I1691" s="4"/>
      <c r="J1691" s="4"/>
      <c r="K1691" s="4"/>
      <c r="L1691" s="4"/>
    </row>
    <row r="1692" spans="8:12">
      <c r="H1692" s="4"/>
      <c r="I1692" s="4"/>
      <c r="J1692" s="4"/>
      <c r="K1692" s="4"/>
      <c r="L1692" s="4"/>
    </row>
    <row r="1693" spans="8:12">
      <c r="H1693" s="4"/>
      <c r="I1693" s="4"/>
      <c r="J1693" s="4"/>
      <c r="K1693" s="4"/>
      <c r="L1693" s="4"/>
    </row>
    <row r="1694" spans="8:12">
      <c r="H1694" s="4"/>
      <c r="I1694" s="4"/>
      <c r="J1694" s="4"/>
      <c r="K1694" s="4"/>
      <c r="L1694" s="4"/>
    </row>
    <row r="1695" spans="8:12">
      <c r="H1695" s="4"/>
      <c r="I1695" s="4"/>
      <c r="J1695" s="4"/>
      <c r="K1695" s="4"/>
      <c r="L1695" s="4"/>
    </row>
    <row r="1696" spans="8:12">
      <c r="H1696" s="4"/>
      <c r="I1696" s="4"/>
      <c r="J1696" s="4"/>
      <c r="K1696" s="4"/>
      <c r="L1696" s="4"/>
    </row>
    <row r="1697" spans="8:12">
      <c r="H1697" s="4"/>
      <c r="I1697" s="4"/>
      <c r="J1697" s="4"/>
      <c r="K1697" s="4"/>
      <c r="L1697" s="4"/>
    </row>
    <row r="1698" spans="8:12">
      <c r="H1698" s="4"/>
      <c r="I1698" s="4"/>
      <c r="J1698" s="4"/>
      <c r="K1698" s="4"/>
      <c r="L1698" s="4"/>
    </row>
    <row r="1699" spans="8:12">
      <c r="H1699" s="4"/>
      <c r="I1699" s="4"/>
      <c r="J1699" s="4"/>
      <c r="K1699" s="4"/>
      <c r="L1699" s="4"/>
    </row>
    <row r="1700" spans="8:12">
      <c r="H1700" s="4"/>
      <c r="I1700" s="4"/>
      <c r="J1700" s="4"/>
      <c r="K1700" s="4"/>
      <c r="L1700" s="4"/>
    </row>
    <row r="1701" spans="8:12">
      <c r="H1701" s="4"/>
      <c r="I1701" s="4"/>
      <c r="J1701" s="4"/>
      <c r="K1701" s="4"/>
      <c r="L1701" s="4"/>
    </row>
    <row r="1702" spans="8:12">
      <c r="H1702" s="4"/>
      <c r="I1702" s="4"/>
      <c r="J1702" s="4"/>
      <c r="K1702" s="4"/>
      <c r="L1702" s="4"/>
    </row>
    <row r="1703" spans="8:12">
      <c r="H1703" s="4"/>
      <c r="I1703" s="4"/>
      <c r="J1703" s="4"/>
      <c r="K1703" s="4"/>
      <c r="L1703" s="4"/>
    </row>
    <row r="1704" spans="8:12">
      <c r="H1704" s="4"/>
      <c r="I1704" s="4"/>
      <c r="J1704" s="4"/>
      <c r="K1704" s="4"/>
      <c r="L1704" s="4"/>
    </row>
    <row r="1705" spans="8:12">
      <c r="H1705" s="4"/>
      <c r="I1705" s="4"/>
      <c r="J1705" s="4"/>
      <c r="K1705" s="4"/>
      <c r="L1705" s="4"/>
    </row>
    <row r="1706" spans="8:12">
      <c r="H1706" s="4"/>
      <c r="I1706" s="4"/>
      <c r="J1706" s="4"/>
      <c r="K1706" s="4"/>
      <c r="L1706" s="4"/>
    </row>
    <row r="1707" spans="8:12">
      <c r="H1707" s="4"/>
      <c r="I1707" s="4"/>
      <c r="J1707" s="4"/>
      <c r="K1707" s="4"/>
      <c r="L1707" s="4"/>
    </row>
    <row r="1708" spans="8:12">
      <c r="H1708" s="4"/>
      <c r="I1708" s="4"/>
      <c r="J1708" s="4"/>
      <c r="K1708" s="4"/>
      <c r="L1708" s="4"/>
    </row>
    <row r="1709" spans="8:12">
      <c r="H1709" s="4"/>
      <c r="I1709" s="4"/>
      <c r="J1709" s="4"/>
      <c r="K1709" s="4"/>
      <c r="L1709" s="4"/>
    </row>
    <row r="1710" spans="8:12">
      <c r="H1710" s="4"/>
      <c r="I1710" s="4"/>
      <c r="J1710" s="4"/>
      <c r="K1710" s="4"/>
      <c r="L1710" s="4"/>
    </row>
    <row r="1711" spans="8:12">
      <c r="H1711" s="4"/>
      <c r="I1711" s="4"/>
      <c r="J1711" s="4"/>
      <c r="K1711" s="4"/>
      <c r="L1711" s="4"/>
    </row>
    <row r="1712" spans="8:12">
      <c r="H1712" s="4"/>
      <c r="I1712" s="4"/>
      <c r="J1712" s="4"/>
      <c r="K1712" s="4"/>
      <c r="L1712" s="4"/>
    </row>
    <row r="1713" spans="8:12">
      <c r="H1713" s="4"/>
      <c r="I1713" s="4"/>
      <c r="J1713" s="4"/>
      <c r="K1713" s="4"/>
      <c r="L1713" s="4"/>
    </row>
    <row r="1714" spans="8:12">
      <c r="H1714" s="4"/>
      <c r="I1714" s="4"/>
      <c r="J1714" s="4"/>
      <c r="K1714" s="4"/>
      <c r="L1714" s="4"/>
    </row>
    <row r="1715" spans="8:12">
      <c r="H1715" s="4"/>
      <c r="I1715" s="4"/>
      <c r="J1715" s="4"/>
      <c r="K1715" s="4"/>
      <c r="L1715" s="4"/>
    </row>
    <row r="1716" spans="8:12">
      <c r="H1716" s="4"/>
      <c r="I1716" s="4"/>
      <c r="J1716" s="4"/>
      <c r="K1716" s="4"/>
      <c r="L1716" s="4"/>
    </row>
    <row r="1717" spans="8:12">
      <c r="H1717" s="4"/>
      <c r="I1717" s="4"/>
      <c r="J1717" s="4"/>
      <c r="K1717" s="4"/>
      <c r="L1717" s="4"/>
    </row>
    <row r="1718" spans="8:12">
      <c r="H1718" s="4"/>
      <c r="I1718" s="4"/>
      <c r="J1718" s="4"/>
      <c r="K1718" s="4"/>
      <c r="L1718" s="4"/>
    </row>
    <row r="1719" spans="8:12">
      <c r="H1719" s="4"/>
      <c r="I1719" s="4"/>
      <c r="J1719" s="4"/>
      <c r="K1719" s="4"/>
      <c r="L1719" s="4"/>
    </row>
    <row r="1720" spans="8:12">
      <c r="H1720" s="4"/>
      <c r="I1720" s="4"/>
      <c r="J1720" s="4"/>
      <c r="K1720" s="4"/>
      <c r="L1720" s="4"/>
    </row>
    <row r="1721" spans="8:12">
      <c r="H1721" s="4"/>
      <c r="I1721" s="4"/>
      <c r="J1721" s="4"/>
      <c r="K1721" s="4"/>
      <c r="L1721" s="4"/>
    </row>
    <row r="1722" spans="8:12">
      <c r="H1722" s="4"/>
      <c r="I1722" s="4"/>
      <c r="J1722" s="4"/>
      <c r="K1722" s="4"/>
      <c r="L1722" s="4"/>
    </row>
    <row r="1723" spans="8:12">
      <c r="H1723" s="4"/>
      <c r="I1723" s="4"/>
      <c r="J1723" s="4"/>
      <c r="K1723" s="4"/>
      <c r="L1723" s="4"/>
    </row>
    <row r="1724" spans="8:12">
      <c r="H1724" s="4"/>
      <c r="I1724" s="4"/>
      <c r="J1724" s="4"/>
      <c r="K1724" s="4"/>
      <c r="L1724" s="4"/>
    </row>
    <row r="1725" spans="8:12">
      <c r="H1725" s="4"/>
      <c r="I1725" s="4"/>
      <c r="J1725" s="4"/>
      <c r="K1725" s="4"/>
      <c r="L1725" s="4"/>
    </row>
    <row r="1726" spans="8:12">
      <c r="H1726" s="4"/>
      <c r="I1726" s="4"/>
      <c r="J1726" s="4"/>
      <c r="K1726" s="4"/>
      <c r="L1726" s="4"/>
    </row>
    <row r="1727" spans="8:12">
      <c r="H1727" s="4"/>
      <c r="I1727" s="4"/>
      <c r="J1727" s="4"/>
      <c r="K1727" s="4"/>
      <c r="L1727" s="4"/>
    </row>
    <row r="1728" spans="8:12">
      <c r="H1728" s="4"/>
      <c r="I1728" s="4"/>
      <c r="J1728" s="4"/>
      <c r="K1728" s="4"/>
      <c r="L1728" s="4"/>
    </row>
    <row r="1729" spans="8:12">
      <c r="H1729" s="4"/>
      <c r="I1729" s="4"/>
      <c r="J1729" s="4"/>
      <c r="K1729" s="4"/>
      <c r="L1729" s="4"/>
    </row>
    <row r="1730" spans="8:12">
      <c r="H1730" s="4"/>
      <c r="I1730" s="4"/>
      <c r="J1730" s="4"/>
      <c r="K1730" s="4"/>
      <c r="L1730" s="4"/>
    </row>
    <row r="1731" spans="8:12">
      <c r="H1731" s="4"/>
      <c r="I1731" s="4"/>
      <c r="J1731" s="4"/>
      <c r="K1731" s="4"/>
      <c r="L1731" s="4"/>
    </row>
    <row r="1732" spans="8:12">
      <c r="H1732" s="4"/>
      <c r="I1732" s="4"/>
      <c r="J1732" s="4"/>
      <c r="K1732" s="4"/>
      <c r="L1732" s="4"/>
    </row>
    <row r="1733" spans="8:12">
      <c r="H1733" s="4"/>
      <c r="I1733" s="4"/>
      <c r="J1733" s="4"/>
      <c r="K1733" s="4"/>
      <c r="L1733" s="4"/>
    </row>
    <row r="1734" spans="8:12">
      <c r="H1734" s="4"/>
      <c r="I1734" s="4"/>
      <c r="J1734" s="4"/>
      <c r="K1734" s="4"/>
      <c r="L1734" s="4"/>
    </row>
    <row r="1735" spans="8:12">
      <c r="H1735" s="4"/>
      <c r="I1735" s="4"/>
      <c r="J1735" s="4"/>
      <c r="K1735" s="4"/>
      <c r="L1735" s="4"/>
    </row>
    <row r="1736" spans="8:12">
      <c r="H1736" s="4"/>
      <c r="I1736" s="4"/>
      <c r="J1736" s="4"/>
      <c r="K1736" s="4"/>
      <c r="L1736" s="4"/>
    </row>
    <row r="1737" spans="8:12">
      <c r="H1737" s="4"/>
      <c r="I1737" s="4"/>
      <c r="J1737" s="4"/>
      <c r="K1737" s="4"/>
      <c r="L1737" s="4"/>
    </row>
    <row r="1738" spans="8:12">
      <c r="H1738" s="4"/>
      <c r="I1738" s="4"/>
      <c r="J1738" s="4"/>
      <c r="K1738" s="4"/>
      <c r="L1738" s="4"/>
    </row>
    <row r="1739" spans="8:12">
      <c r="H1739" s="4"/>
      <c r="I1739" s="4"/>
      <c r="J1739" s="4"/>
      <c r="K1739" s="4"/>
      <c r="L1739" s="4"/>
    </row>
    <row r="1740" spans="8:12">
      <c r="H1740" s="4"/>
      <c r="I1740" s="4"/>
      <c r="J1740" s="4"/>
      <c r="K1740" s="4"/>
      <c r="L1740" s="4"/>
    </row>
    <row r="1741" spans="8:12">
      <c r="H1741" s="4"/>
      <c r="I1741" s="4"/>
      <c r="J1741" s="4"/>
      <c r="K1741" s="4"/>
      <c r="L1741" s="4"/>
    </row>
    <row r="1742" spans="8:12">
      <c r="H1742" s="4"/>
      <c r="I1742" s="4"/>
      <c r="J1742" s="4"/>
      <c r="K1742" s="4"/>
      <c r="L1742" s="4"/>
    </row>
    <row r="1743" spans="8:12">
      <c r="H1743" s="4"/>
      <c r="I1743" s="4"/>
      <c r="J1743" s="4"/>
      <c r="K1743" s="4"/>
      <c r="L1743" s="4"/>
    </row>
    <row r="1744" spans="8:12">
      <c r="H1744" s="4"/>
      <c r="I1744" s="4"/>
      <c r="J1744" s="4"/>
      <c r="K1744" s="4"/>
      <c r="L1744" s="4"/>
    </row>
    <row r="1745" spans="8:12">
      <c r="H1745" s="4"/>
      <c r="I1745" s="4"/>
      <c r="J1745" s="4"/>
      <c r="K1745" s="4"/>
      <c r="L1745" s="4"/>
    </row>
    <row r="1746" spans="8:12">
      <c r="H1746" s="4"/>
      <c r="I1746" s="4"/>
      <c r="J1746" s="4"/>
      <c r="K1746" s="4"/>
      <c r="L1746" s="4"/>
    </row>
    <row r="1747" spans="8:12">
      <c r="H1747" s="4"/>
      <c r="I1747" s="4"/>
      <c r="J1747" s="4"/>
      <c r="K1747" s="4"/>
      <c r="L1747" s="4"/>
    </row>
    <row r="1748" spans="8:12">
      <c r="H1748" s="4"/>
      <c r="I1748" s="4"/>
      <c r="J1748" s="4"/>
      <c r="K1748" s="4"/>
      <c r="L1748" s="4"/>
    </row>
    <row r="1749" spans="8:12">
      <c r="H1749" s="4"/>
      <c r="I1749" s="4"/>
      <c r="J1749" s="4"/>
      <c r="K1749" s="4"/>
      <c r="L1749" s="4"/>
    </row>
    <row r="1750" spans="8:12">
      <c r="H1750" s="4"/>
      <c r="I1750" s="4"/>
      <c r="J1750" s="4"/>
      <c r="K1750" s="4"/>
      <c r="L1750" s="4"/>
    </row>
    <row r="1751" spans="8:12">
      <c r="H1751" s="4"/>
      <c r="I1751" s="4"/>
      <c r="J1751" s="4"/>
      <c r="K1751" s="4"/>
      <c r="L1751" s="4"/>
    </row>
    <row r="1752" spans="8:12">
      <c r="H1752" s="4"/>
      <c r="I1752" s="4"/>
      <c r="J1752" s="4"/>
      <c r="K1752" s="4"/>
      <c r="L1752" s="4"/>
    </row>
    <row r="1753" spans="8:12">
      <c r="H1753" s="4"/>
      <c r="I1753" s="4"/>
      <c r="J1753" s="4"/>
      <c r="K1753" s="4"/>
      <c r="L1753" s="4"/>
    </row>
    <row r="1754" spans="8:12">
      <c r="H1754" s="4"/>
      <c r="I1754" s="4"/>
      <c r="J1754" s="4"/>
      <c r="K1754" s="4"/>
      <c r="L1754" s="4"/>
    </row>
    <row r="1755" spans="8:12">
      <c r="H1755" s="4"/>
      <c r="I1755" s="4"/>
      <c r="J1755" s="4"/>
      <c r="K1755" s="4"/>
      <c r="L1755" s="4"/>
    </row>
    <row r="1756" spans="8:12">
      <c r="H1756" s="4"/>
      <c r="I1756" s="4"/>
      <c r="J1756" s="4"/>
      <c r="K1756" s="4"/>
      <c r="L1756" s="4"/>
    </row>
    <row r="1757" spans="8:12">
      <c r="H1757" s="4"/>
      <c r="I1757" s="4"/>
      <c r="J1757" s="4"/>
      <c r="K1757" s="4"/>
      <c r="L1757" s="4"/>
    </row>
    <row r="1758" spans="8:12">
      <c r="H1758" s="4"/>
      <c r="I1758" s="4"/>
      <c r="J1758" s="4"/>
      <c r="K1758" s="4"/>
      <c r="L1758" s="4"/>
    </row>
    <row r="1759" spans="8:12">
      <c r="H1759" s="4"/>
      <c r="I1759" s="4"/>
      <c r="J1759" s="4"/>
      <c r="K1759" s="4"/>
      <c r="L1759" s="4"/>
    </row>
    <row r="1760" spans="8:12">
      <c r="H1760" s="4"/>
      <c r="I1760" s="4"/>
      <c r="J1760" s="4"/>
      <c r="K1760" s="4"/>
      <c r="L1760" s="4"/>
    </row>
    <row r="1761" spans="8:12">
      <c r="H1761" s="4"/>
      <c r="I1761" s="4"/>
      <c r="J1761" s="4"/>
      <c r="K1761" s="4"/>
      <c r="L1761" s="4"/>
    </row>
    <row r="1762" spans="8:12">
      <c r="H1762" s="4"/>
      <c r="I1762" s="4"/>
      <c r="J1762" s="4"/>
      <c r="K1762" s="4"/>
      <c r="L1762" s="4"/>
    </row>
    <row r="1763" spans="8:12">
      <c r="H1763" s="4"/>
      <c r="I1763" s="4"/>
      <c r="J1763" s="4"/>
      <c r="K1763" s="4"/>
      <c r="L1763" s="4"/>
    </row>
    <row r="1764" spans="8:12">
      <c r="H1764" s="4"/>
      <c r="I1764" s="4"/>
      <c r="J1764" s="4"/>
      <c r="K1764" s="4"/>
      <c r="L1764" s="4"/>
    </row>
    <row r="1765" spans="8:12">
      <c r="H1765" s="4"/>
      <c r="I1765" s="4"/>
      <c r="J1765" s="4"/>
      <c r="K1765" s="4"/>
      <c r="L1765" s="4"/>
    </row>
    <row r="1766" spans="8:12">
      <c r="H1766" s="4"/>
      <c r="I1766" s="4"/>
      <c r="J1766" s="4"/>
      <c r="K1766" s="4"/>
      <c r="L1766" s="4"/>
    </row>
    <row r="1767" spans="8:12">
      <c r="H1767" s="4"/>
      <c r="I1767" s="4"/>
      <c r="J1767" s="4"/>
      <c r="K1767" s="4"/>
      <c r="L1767" s="4"/>
    </row>
    <row r="1768" spans="8:12">
      <c r="H1768" s="4"/>
      <c r="I1768" s="4"/>
      <c r="J1768" s="4"/>
      <c r="K1768" s="4"/>
      <c r="L1768" s="4"/>
    </row>
    <row r="1769" spans="8:12">
      <c r="H1769" s="4"/>
      <c r="I1769" s="4"/>
      <c r="J1769" s="4"/>
      <c r="K1769" s="4"/>
      <c r="L1769" s="4"/>
    </row>
    <row r="1770" spans="8:12">
      <c r="H1770" s="4"/>
      <c r="I1770" s="4"/>
      <c r="J1770" s="4"/>
      <c r="K1770" s="4"/>
      <c r="L1770" s="4"/>
    </row>
    <row r="1771" spans="8:12">
      <c r="H1771" s="4"/>
      <c r="I1771" s="4"/>
      <c r="J1771" s="4"/>
      <c r="K1771" s="4"/>
      <c r="L1771" s="4"/>
    </row>
    <row r="1772" spans="8:12">
      <c r="H1772" s="4"/>
      <c r="I1772" s="4"/>
      <c r="J1772" s="4"/>
      <c r="K1772" s="4"/>
      <c r="L1772" s="4"/>
    </row>
    <row r="1773" spans="8:12">
      <c r="H1773" s="4"/>
      <c r="I1773" s="4"/>
      <c r="J1773" s="4"/>
      <c r="K1773" s="4"/>
      <c r="L1773" s="4"/>
    </row>
    <row r="1774" spans="8:12">
      <c r="H1774" s="4"/>
      <c r="I1774" s="4"/>
      <c r="J1774" s="4"/>
      <c r="K1774" s="4"/>
      <c r="L1774" s="4"/>
    </row>
    <row r="1775" spans="8:12">
      <c r="H1775" s="4"/>
      <c r="I1775" s="4"/>
      <c r="J1775" s="4"/>
      <c r="K1775" s="4"/>
      <c r="L1775" s="4"/>
    </row>
    <row r="1776" spans="8:12">
      <c r="H1776" s="4"/>
      <c r="I1776" s="4"/>
      <c r="J1776" s="4"/>
      <c r="K1776" s="4"/>
      <c r="L1776" s="4"/>
    </row>
    <row r="1777" spans="8:12">
      <c r="H1777" s="4"/>
      <c r="I1777" s="4"/>
      <c r="J1777" s="4"/>
      <c r="K1777" s="4"/>
      <c r="L1777" s="4"/>
    </row>
    <row r="1778" spans="8:12">
      <c r="H1778" s="4"/>
      <c r="I1778" s="4"/>
      <c r="J1778" s="4"/>
      <c r="K1778" s="4"/>
      <c r="L1778" s="4"/>
    </row>
    <row r="1779" spans="8:12">
      <c r="H1779" s="4"/>
      <c r="I1779" s="4"/>
      <c r="J1779" s="4"/>
      <c r="K1779" s="4"/>
      <c r="L1779" s="4"/>
    </row>
    <row r="1780" spans="8:12">
      <c r="H1780" s="4"/>
      <c r="I1780" s="4"/>
      <c r="J1780" s="4"/>
      <c r="K1780" s="4"/>
      <c r="L1780" s="4"/>
    </row>
    <row r="1781" spans="8:12">
      <c r="H1781" s="4"/>
      <c r="I1781" s="4"/>
      <c r="J1781" s="4"/>
      <c r="K1781" s="4"/>
      <c r="L1781" s="4"/>
    </row>
    <row r="1782" spans="8:12">
      <c r="H1782" s="4"/>
      <c r="I1782" s="4"/>
      <c r="J1782" s="4"/>
      <c r="K1782" s="4"/>
      <c r="L1782" s="4"/>
    </row>
    <row r="1783" spans="8:12">
      <c r="H1783" s="4"/>
      <c r="I1783" s="4"/>
      <c r="J1783" s="4"/>
      <c r="K1783" s="4"/>
      <c r="L1783" s="4"/>
    </row>
    <row r="1784" spans="8:12">
      <c r="H1784" s="4"/>
      <c r="I1784" s="4"/>
      <c r="J1784" s="4"/>
      <c r="K1784" s="4"/>
      <c r="L1784" s="4"/>
    </row>
    <row r="1785" spans="8:12">
      <c r="H1785" s="4"/>
      <c r="I1785" s="4"/>
      <c r="J1785" s="4"/>
      <c r="K1785" s="4"/>
      <c r="L1785" s="4"/>
    </row>
    <row r="1786" spans="8:12">
      <c r="H1786" s="4"/>
      <c r="I1786" s="4"/>
      <c r="J1786" s="4"/>
      <c r="K1786" s="4"/>
      <c r="L1786" s="4"/>
    </row>
    <row r="1787" spans="8:12">
      <c r="H1787" s="4"/>
      <c r="I1787" s="4"/>
      <c r="J1787" s="4"/>
      <c r="K1787" s="4"/>
      <c r="L1787" s="4"/>
    </row>
    <row r="1788" spans="8:12">
      <c r="H1788" s="4"/>
      <c r="I1788" s="4"/>
      <c r="J1788" s="4"/>
      <c r="K1788" s="4"/>
      <c r="L1788" s="4"/>
    </row>
    <row r="1789" spans="8:12">
      <c r="H1789" s="4"/>
      <c r="I1789" s="4"/>
      <c r="J1789" s="4"/>
      <c r="K1789" s="4"/>
      <c r="L1789" s="4"/>
    </row>
    <row r="1790" spans="8:12">
      <c r="H1790" s="4"/>
      <c r="I1790" s="4"/>
      <c r="J1790" s="4"/>
      <c r="K1790" s="4"/>
      <c r="L1790" s="4"/>
    </row>
    <row r="1791" spans="8:12">
      <c r="H1791" s="4"/>
      <c r="I1791" s="4"/>
      <c r="J1791" s="4"/>
      <c r="K1791" s="4"/>
      <c r="L1791" s="4"/>
    </row>
    <row r="1792" spans="8:12">
      <c r="H1792" s="4"/>
      <c r="I1792" s="4"/>
      <c r="J1792" s="4"/>
      <c r="K1792" s="4"/>
      <c r="L1792" s="4"/>
    </row>
    <row r="1793" spans="8:12">
      <c r="H1793" s="4"/>
      <c r="I1793" s="4"/>
      <c r="J1793" s="4"/>
      <c r="K1793" s="4"/>
      <c r="L1793" s="4"/>
    </row>
    <row r="1794" spans="8:12">
      <c r="H1794" s="4"/>
      <c r="I1794" s="4"/>
      <c r="J1794" s="4"/>
      <c r="K1794" s="4"/>
      <c r="L1794" s="4"/>
    </row>
    <row r="1795" spans="8:12">
      <c r="H1795" s="4"/>
      <c r="I1795" s="4"/>
      <c r="J1795" s="4"/>
      <c r="K1795" s="4"/>
      <c r="L1795" s="4"/>
    </row>
    <row r="1796" spans="8:12">
      <c r="H1796" s="4"/>
      <c r="I1796" s="4"/>
      <c r="J1796" s="4"/>
      <c r="K1796" s="4"/>
      <c r="L1796" s="4"/>
    </row>
    <row r="1797" spans="8:12">
      <c r="H1797" s="4"/>
      <c r="I1797" s="4"/>
      <c r="J1797" s="4"/>
      <c r="K1797" s="4"/>
      <c r="L1797" s="4"/>
    </row>
    <row r="1798" spans="8:12">
      <c r="H1798" s="4"/>
      <c r="I1798" s="4"/>
      <c r="J1798" s="4"/>
      <c r="K1798" s="4"/>
      <c r="L1798" s="4"/>
    </row>
    <row r="1799" spans="8:12">
      <c r="H1799" s="4"/>
      <c r="I1799" s="4"/>
      <c r="J1799" s="4"/>
      <c r="K1799" s="4"/>
      <c r="L1799" s="4"/>
    </row>
    <row r="1800" spans="8:12">
      <c r="H1800" s="4"/>
      <c r="I1800" s="4"/>
      <c r="J1800" s="4"/>
      <c r="K1800" s="4"/>
      <c r="L1800" s="4"/>
    </row>
    <row r="1801" spans="8:12">
      <c r="H1801" s="4"/>
      <c r="I1801" s="4"/>
      <c r="J1801" s="4"/>
      <c r="K1801" s="4"/>
      <c r="L1801" s="4"/>
    </row>
    <row r="1802" spans="8:12">
      <c r="H1802" s="4"/>
      <c r="I1802" s="4"/>
      <c r="J1802" s="4"/>
      <c r="K1802" s="4"/>
      <c r="L1802" s="4"/>
    </row>
    <row r="1803" spans="8:12">
      <c r="H1803" s="4"/>
      <c r="I1803" s="4"/>
      <c r="J1803" s="4"/>
      <c r="K1803" s="4"/>
      <c r="L1803" s="4"/>
    </row>
    <row r="1804" spans="8:12">
      <c r="H1804" s="4"/>
      <c r="I1804" s="4"/>
      <c r="J1804" s="4"/>
      <c r="K1804" s="4"/>
      <c r="L1804" s="4"/>
    </row>
    <row r="1805" spans="8:12">
      <c r="H1805" s="4"/>
      <c r="I1805" s="4"/>
      <c r="J1805" s="4"/>
      <c r="K1805" s="4"/>
      <c r="L1805" s="4"/>
    </row>
    <row r="1806" spans="8:12">
      <c r="H1806" s="4"/>
      <c r="I1806" s="4"/>
      <c r="J1806" s="4"/>
      <c r="K1806" s="4"/>
      <c r="L1806" s="4"/>
    </row>
    <row r="1807" spans="8:12">
      <c r="H1807" s="4"/>
      <c r="I1807" s="4"/>
      <c r="J1807" s="4"/>
      <c r="K1807" s="4"/>
      <c r="L1807" s="4"/>
    </row>
    <row r="1808" spans="8:12">
      <c r="H1808" s="4"/>
      <c r="I1808" s="4"/>
      <c r="J1808" s="4"/>
      <c r="K1808" s="4"/>
      <c r="L1808" s="4"/>
    </row>
    <row r="1809" spans="8:12">
      <c r="H1809" s="4"/>
      <c r="I1809" s="4"/>
      <c r="J1809" s="4"/>
      <c r="K1809" s="4"/>
      <c r="L1809" s="4"/>
    </row>
    <row r="1810" spans="8:12">
      <c r="H1810" s="4"/>
      <c r="I1810" s="4"/>
      <c r="J1810" s="4"/>
      <c r="K1810" s="4"/>
      <c r="L1810" s="4"/>
    </row>
    <row r="1811" spans="8:12">
      <c r="H1811" s="4"/>
      <c r="I1811" s="4"/>
      <c r="J1811" s="4"/>
      <c r="K1811" s="4"/>
      <c r="L1811" s="4"/>
    </row>
    <row r="1812" spans="8:12">
      <c r="H1812" s="4"/>
      <c r="I1812" s="4"/>
      <c r="J1812" s="4"/>
      <c r="K1812" s="4"/>
      <c r="L1812" s="4"/>
    </row>
    <row r="1813" spans="8:12">
      <c r="H1813" s="4"/>
      <c r="I1813" s="4"/>
      <c r="J1813" s="4"/>
      <c r="K1813" s="4"/>
      <c r="L1813" s="4"/>
    </row>
    <row r="1814" spans="8:12">
      <c r="H1814" s="4"/>
      <c r="I1814" s="4"/>
      <c r="J1814" s="4"/>
      <c r="K1814" s="4"/>
      <c r="L1814" s="4"/>
    </row>
    <row r="1815" spans="8:12">
      <c r="H1815" s="4"/>
      <c r="I1815" s="4"/>
      <c r="J1815" s="4"/>
      <c r="K1815" s="4"/>
      <c r="L1815" s="4"/>
    </row>
    <row r="1816" spans="8:12">
      <c r="H1816" s="4"/>
      <c r="I1816" s="4"/>
      <c r="J1816" s="4"/>
      <c r="K1816" s="4"/>
      <c r="L1816" s="4"/>
    </row>
    <row r="1817" spans="8:12">
      <c r="H1817" s="4"/>
      <c r="I1817" s="4"/>
      <c r="J1817" s="4"/>
      <c r="K1817" s="4"/>
      <c r="L1817" s="4"/>
    </row>
    <row r="1818" spans="8:12">
      <c r="H1818" s="4"/>
      <c r="I1818" s="4"/>
      <c r="J1818" s="4"/>
      <c r="K1818" s="4"/>
      <c r="L1818" s="4"/>
    </row>
    <row r="1819" spans="8:12">
      <c r="H1819" s="4"/>
      <c r="I1819" s="4"/>
      <c r="J1819" s="4"/>
      <c r="K1819" s="4"/>
      <c r="L1819" s="4"/>
    </row>
    <row r="1820" spans="8:12">
      <c r="H1820" s="4"/>
      <c r="I1820" s="4"/>
      <c r="J1820" s="4"/>
      <c r="K1820" s="4"/>
      <c r="L1820" s="4"/>
    </row>
    <row r="1821" spans="8:12">
      <c r="H1821" s="4"/>
      <c r="I1821" s="4"/>
      <c r="J1821" s="4"/>
      <c r="K1821" s="4"/>
      <c r="L1821" s="4"/>
    </row>
    <row r="1822" spans="8:12">
      <c r="H1822" s="4"/>
      <c r="I1822" s="4"/>
      <c r="J1822" s="4"/>
      <c r="K1822" s="4"/>
      <c r="L1822" s="4"/>
    </row>
    <row r="1823" spans="8:12">
      <c r="H1823" s="4"/>
      <c r="I1823" s="4"/>
      <c r="J1823" s="4"/>
      <c r="K1823" s="4"/>
      <c r="L1823" s="4"/>
    </row>
    <row r="1824" spans="8:12">
      <c r="H1824" s="4"/>
      <c r="I1824" s="4"/>
      <c r="J1824" s="4"/>
      <c r="K1824" s="4"/>
      <c r="L1824" s="4"/>
    </row>
    <row r="1825" spans="8:12">
      <c r="H1825" s="4"/>
      <c r="I1825" s="4"/>
      <c r="J1825" s="4"/>
      <c r="K1825" s="4"/>
      <c r="L1825" s="4"/>
    </row>
    <row r="1826" spans="8:12">
      <c r="H1826" s="4"/>
      <c r="I1826" s="4"/>
      <c r="J1826" s="4"/>
      <c r="K1826" s="4"/>
      <c r="L1826" s="4"/>
    </row>
    <row r="1827" spans="8:12">
      <c r="H1827" s="4"/>
      <c r="I1827" s="4"/>
      <c r="J1827" s="4"/>
      <c r="K1827" s="4"/>
      <c r="L1827" s="4"/>
    </row>
    <row r="1828" spans="8:12">
      <c r="H1828" s="4"/>
      <c r="I1828" s="4"/>
      <c r="J1828" s="4"/>
      <c r="K1828" s="4"/>
      <c r="L1828" s="4"/>
    </row>
    <row r="1829" spans="8:12">
      <c r="H1829" s="4"/>
      <c r="I1829" s="4"/>
      <c r="J1829" s="4"/>
      <c r="K1829" s="4"/>
      <c r="L1829" s="4"/>
    </row>
    <row r="1830" spans="8:12">
      <c r="H1830" s="4"/>
      <c r="I1830" s="4"/>
      <c r="J1830" s="4"/>
      <c r="K1830" s="4"/>
      <c r="L1830" s="4"/>
    </row>
    <row r="1831" spans="8:12">
      <c r="H1831" s="4"/>
      <c r="I1831" s="4"/>
      <c r="J1831" s="4"/>
      <c r="K1831" s="4"/>
      <c r="L1831" s="4"/>
    </row>
    <row r="1832" spans="8:12">
      <c r="H1832" s="4"/>
      <c r="I1832" s="4"/>
      <c r="J1832" s="4"/>
      <c r="K1832" s="4"/>
      <c r="L1832" s="4"/>
    </row>
    <row r="1833" spans="8:12">
      <c r="H1833" s="4"/>
      <c r="I1833" s="4"/>
      <c r="J1833" s="4"/>
      <c r="K1833" s="4"/>
      <c r="L1833" s="4"/>
    </row>
    <row r="1834" spans="8:12">
      <c r="H1834" s="4"/>
      <c r="I1834" s="4"/>
      <c r="J1834" s="4"/>
      <c r="K1834" s="4"/>
      <c r="L1834" s="4"/>
    </row>
    <row r="1835" spans="8:12">
      <c r="H1835" s="4"/>
      <c r="I1835" s="4"/>
      <c r="J1835" s="4"/>
      <c r="K1835" s="4"/>
      <c r="L1835" s="4"/>
    </row>
    <row r="1836" spans="8:12">
      <c r="H1836" s="4"/>
      <c r="I1836" s="4"/>
      <c r="J1836" s="4"/>
      <c r="K1836" s="4"/>
      <c r="L1836" s="4"/>
    </row>
    <row r="1837" spans="8:12">
      <c r="H1837" s="4"/>
      <c r="I1837" s="4"/>
      <c r="J1837" s="4"/>
      <c r="K1837" s="4"/>
      <c r="L1837" s="4"/>
    </row>
    <row r="1838" spans="8:12">
      <c r="H1838" s="4"/>
      <c r="I1838" s="4"/>
      <c r="J1838" s="4"/>
      <c r="K1838" s="4"/>
      <c r="L1838" s="4"/>
    </row>
    <row r="1839" spans="8:12">
      <c r="H1839" s="4"/>
      <c r="I1839" s="4"/>
      <c r="J1839" s="4"/>
      <c r="K1839" s="4"/>
      <c r="L1839" s="4"/>
    </row>
    <row r="1840" spans="8:12">
      <c r="H1840" s="4"/>
      <c r="I1840" s="4"/>
      <c r="J1840" s="4"/>
      <c r="K1840" s="4"/>
      <c r="L1840" s="4"/>
    </row>
    <row r="1841" spans="8:12">
      <c r="H1841" s="4"/>
      <c r="I1841" s="4"/>
      <c r="J1841" s="4"/>
      <c r="K1841" s="4"/>
      <c r="L1841" s="4"/>
    </row>
    <row r="1842" spans="8:12">
      <c r="H1842" s="4"/>
      <c r="I1842" s="4"/>
      <c r="J1842" s="4"/>
      <c r="K1842" s="4"/>
      <c r="L1842" s="4"/>
    </row>
    <row r="1843" spans="8:12">
      <c r="H1843" s="4"/>
      <c r="I1843" s="4"/>
      <c r="J1843" s="4"/>
      <c r="K1843" s="4"/>
      <c r="L1843" s="4"/>
    </row>
    <row r="1844" spans="8:12">
      <c r="H1844" s="4"/>
      <c r="I1844" s="4"/>
      <c r="J1844" s="4"/>
      <c r="K1844" s="4"/>
      <c r="L1844" s="4"/>
    </row>
    <row r="1845" spans="8:12">
      <c r="H1845" s="4"/>
      <c r="I1845" s="4"/>
      <c r="J1845" s="4"/>
      <c r="K1845" s="4"/>
      <c r="L1845" s="4"/>
    </row>
    <row r="1846" spans="8:12">
      <c r="H1846" s="4"/>
      <c r="I1846" s="4"/>
      <c r="J1846" s="4"/>
      <c r="K1846" s="4"/>
      <c r="L1846" s="4"/>
    </row>
    <row r="1847" spans="8:12">
      <c r="H1847" s="4"/>
      <c r="I1847" s="4"/>
      <c r="J1847" s="4"/>
      <c r="K1847" s="4"/>
      <c r="L1847" s="4"/>
    </row>
    <row r="1848" spans="8:12">
      <c r="H1848" s="4"/>
      <c r="I1848" s="4"/>
      <c r="J1848" s="4"/>
      <c r="K1848" s="4"/>
      <c r="L1848" s="4"/>
    </row>
    <row r="1849" spans="8:12">
      <c r="H1849" s="4"/>
      <c r="I1849" s="4"/>
      <c r="J1849" s="4"/>
      <c r="K1849" s="4"/>
      <c r="L1849" s="4"/>
    </row>
    <row r="1850" spans="8:12">
      <c r="H1850" s="4"/>
      <c r="I1850" s="4"/>
      <c r="J1850" s="4"/>
      <c r="K1850" s="4"/>
      <c r="L1850" s="4"/>
    </row>
    <row r="1851" spans="8:12">
      <c r="H1851" s="4"/>
      <c r="I1851" s="4"/>
      <c r="J1851" s="4"/>
      <c r="K1851" s="4"/>
      <c r="L1851" s="4"/>
    </row>
    <row r="1852" spans="8:12">
      <c r="H1852" s="4"/>
      <c r="I1852" s="4"/>
      <c r="J1852" s="4"/>
      <c r="K1852" s="4"/>
      <c r="L1852" s="4"/>
    </row>
    <row r="1853" spans="8:12">
      <c r="H1853" s="4"/>
      <c r="I1853" s="4"/>
      <c r="J1853" s="4"/>
      <c r="K1853" s="4"/>
      <c r="L1853" s="4"/>
    </row>
    <row r="1854" spans="8:12">
      <c r="H1854" s="4"/>
      <c r="I1854" s="4"/>
      <c r="J1854" s="4"/>
      <c r="K1854" s="4"/>
      <c r="L1854" s="4"/>
    </row>
    <row r="1855" spans="8:12">
      <c r="H1855" s="4"/>
      <c r="I1855" s="4"/>
      <c r="J1855" s="4"/>
      <c r="K1855" s="4"/>
      <c r="L1855" s="4"/>
    </row>
    <row r="1856" spans="8:12">
      <c r="H1856" s="4"/>
      <c r="I1856" s="4"/>
      <c r="J1856" s="4"/>
      <c r="K1856" s="4"/>
      <c r="L1856" s="4"/>
    </row>
    <row r="1857" spans="8:12">
      <c r="H1857" s="4"/>
      <c r="I1857" s="4"/>
      <c r="J1857" s="4"/>
      <c r="K1857" s="4"/>
      <c r="L1857" s="4"/>
    </row>
    <row r="1858" spans="8:12">
      <c r="H1858" s="4"/>
      <c r="I1858" s="4"/>
      <c r="J1858" s="4"/>
      <c r="K1858" s="4"/>
      <c r="L1858" s="4"/>
    </row>
    <row r="1859" spans="8:12">
      <c r="H1859" s="4"/>
      <c r="I1859" s="4"/>
      <c r="J1859" s="4"/>
      <c r="K1859" s="4"/>
      <c r="L1859" s="4"/>
    </row>
    <row r="1860" spans="8:12">
      <c r="H1860" s="4"/>
      <c r="I1860" s="4"/>
      <c r="J1860" s="4"/>
      <c r="K1860" s="4"/>
      <c r="L1860" s="4"/>
    </row>
    <row r="1861" spans="8:12">
      <c r="H1861" s="4"/>
      <c r="I1861" s="4"/>
      <c r="J1861" s="4"/>
      <c r="K1861" s="4"/>
      <c r="L1861" s="4"/>
    </row>
    <row r="1862" spans="8:12">
      <c r="H1862" s="4"/>
      <c r="I1862" s="4"/>
      <c r="J1862" s="4"/>
      <c r="K1862" s="4"/>
      <c r="L1862" s="4"/>
    </row>
    <row r="1863" spans="8:12">
      <c r="H1863" s="4"/>
      <c r="I1863" s="4"/>
      <c r="J1863" s="4"/>
      <c r="K1863" s="4"/>
      <c r="L1863" s="4"/>
    </row>
    <row r="1864" spans="8:12">
      <c r="H1864" s="4"/>
      <c r="I1864" s="4"/>
      <c r="J1864" s="4"/>
      <c r="K1864" s="4"/>
      <c r="L1864" s="4"/>
    </row>
    <row r="1865" spans="8:12">
      <c r="H1865" s="4"/>
      <c r="I1865" s="4"/>
      <c r="J1865" s="4"/>
      <c r="K1865" s="4"/>
      <c r="L1865" s="4"/>
    </row>
    <row r="1866" spans="8:12">
      <c r="H1866" s="4"/>
      <c r="I1866" s="4"/>
      <c r="J1866" s="4"/>
      <c r="K1866" s="4"/>
      <c r="L1866" s="4"/>
    </row>
    <row r="1867" spans="8:12">
      <c r="H1867" s="4"/>
      <c r="I1867" s="4"/>
      <c r="J1867" s="4"/>
      <c r="K1867" s="4"/>
      <c r="L1867" s="4"/>
    </row>
    <row r="1868" spans="8:12">
      <c r="H1868" s="4"/>
      <c r="I1868" s="4"/>
      <c r="J1868" s="4"/>
      <c r="K1868" s="4"/>
      <c r="L1868" s="4"/>
    </row>
    <row r="1869" spans="8:12">
      <c r="H1869" s="4"/>
      <c r="I1869" s="4"/>
      <c r="J1869" s="4"/>
      <c r="K1869" s="4"/>
      <c r="L1869" s="4"/>
    </row>
    <row r="1870" spans="8:12">
      <c r="H1870" s="4"/>
      <c r="I1870" s="4"/>
      <c r="J1870" s="4"/>
      <c r="K1870" s="4"/>
      <c r="L1870" s="4"/>
    </row>
    <row r="1871" spans="8:12">
      <c r="H1871" s="4"/>
      <c r="I1871" s="4"/>
      <c r="J1871" s="4"/>
      <c r="K1871" s="4"/>
      <c r="L1871" s="4"/>
    </row>
    <row r="1872" spans="8:12">
      <c r="H1872" s="4"/>
      <c r="I1872" s="4"/>
      <c r="J1872" s="4"/>
      <c r="K1872" s="4"/>
      <c r="L1872" s="4"/>
    </row>
    <row r="1873" spans="8:12">
      <c r="H1873" s="4"/>
      <c r="I1873" s="4"/>
      <c r="J1873" s="4"/>
      <c r="K1873" s="4"/>
      <c r="L1873" s="4"/>
    </row>
    <row r="1874" spans="8:12">
      <c r="H1874" s="4"/>
      <c r="I1874" s="4"/>
      <c r="J1874" s="4"/>
      <c r="K1874" s="4"/>
      <c r="L1874" s="4"/>
    </row>
    <row r="1875" spans="8:12">
      <c r="H1875" s="4"/>
      <c r="I1875" s="4"/>
      <c r="J1875" s="4"/>
      <c r="K1875" s="4"/>
      <c r="L1875" s="4"/>
    </row>
    <row r="1876" spans="8:12">
      <c r="H1876" s="4"/>
      <c r="I1876" s="4"/>
      <c r="J1876" s="4"/>
      <c r="K1876" s="4"/>
      <c r="L1876" s="4"/>
    </row>
    <row r="1877" spans="8:12">
      <c r="H1877" s="4"/>
      <c r="I1877" s="4"/>
      <c r="J1877" s="4"/>
      <c r="K1877" s="4"/>
      <c r="L1877" s="4"/>
    </row>
    <row r="1878" spans="8:12">
      <c r="H1878" s="4"/>
      <c r="I1878" s="4"/>
      <c r="J1878" s="4"/>
      <c r="K1878" s="4"/>
      <c r="L1878" s="4"/>
    </row>
    <row r="1879" spans="8:12">
      <c r="H1879" s="4"/>
      <c r="I1879" s="4"/>
      <c r="J1879" s="4"/>
      <c r="K1879" s="4"/>
      <c r="L1879" s="4"/>
    </row>
    <row r="1880" spans="8:12">
      <c r="H1880" s="4"/>
      <c r="I1880" s="4"/>
      <c r="J1880" s="4"/>
      <c r="K1880" s="4"/>
      <c r="L1880" s="4"/>
    </row>
    <row r="1881" spans="8:12">
      <c r="H1881" s="4"/>
      <c r="I1881" s="4"/>
      <c r="J1881" s="4"/>
      <c r="K1881" s="4"/>
      <c r="L1881" s="4"/>
    </row>
    <row r="1882" spans="8:12">
      <c r="H1882" s="4"/>
      <c r="I1882" s="4"/>
      <c r="J1882" s="4"/>
      <c r="K1882" s="4"/>
      <c r="L1882" s="4"/>
    </row>
    <row r="1883" spans="8:12">
      <c r="H1883" s="4"/>
      <c r="I1883" s="4"/>
      <c r="J1883" s="4"/>
      <c r="K1883" s="4"/>
      <c r="L1883" s="4"/>
    </row>
    <row r="1884" spans="8:12">
      <c r="H1884" s="4"/>
      <c r="I1884" s="4"/>
      <c r="J1884" s="4"/>
      <c r="K1884" s="4"/>
      <c r="L1884" s="4"/>
    </row>
    <row r="1885" spans="8:12">
      <c r="H1885" s="4"/>
      <c r="I1885" s="4"/>
      <c r="J1885" s="4"/>
      <c r="K1885" s="4"/>
      <c r="L1885" s="4"/>
    </row>
    <row r="1886" spans="8:12">
      <c r="H1886" s="4"/>
      <c r="I1886" s="4"/>
      <c r="J1886" s="4"/>
      <c r="K1886" s="4"/>
      <c r="L1886" s="4"/>
    </row>
    <row r="1887" spans="8:12">
      <c r="H1887" s="4"/>
      <c r="I1887" s="4"/>
      <c r="J1887" s="4"/>
      <c r="K1887" s="4"/>
      <c r="L1887" s="4"/>
    </row>
    <row r="1888" spans="8:12">
      <c r="H1888" s="4"/>
      <c r="I1888" s="4"/>
      <c r="J1888" s="4"/>
      <c r="K1888" s="4"/>
      <c r="L1888" s="4"/>
    </row>
    <row r="1889" spans="8:12">
      <c r="H1889" s="4"/>
      <c r="I1889" s="4"/>
      <c r="J1889" s="4"/>
      <c r="K1889" s="4"/>
      <c r="L1889" s="4"/>
    </row>
    <row r="1890" spans="8:12">
      <c r="H1890" s="4"/>
      <c r="I1890" s="4"/>
      <c r="J1890" s="4"/>
      <c r="K1890" s="4"/>
      <c r="L1890" s="4"/>
    </row>
    <row r="1891" spans="8:12">
      <c r="H1891" s="4"/>
      <c r="I1891" s="4"/>
      <c r="J1891" s="4"/>
      <c r="K1891" s="4"/>
      <c r="L1891" s="4"/>
    </row>
    <row r="1892" spans="8:12">
      <c r="H1892" s="4"/>
      <c r="I1892" s="4"/>
      <c r="J1892" s="4"/>
      <c r="K1892" s="4"/>
      <c r="L1892" s="4"/>
    </row>
    <row r="1893" spans="8:12">
      <c r="H1893" s="4"/>
      <c r="I1893" s="4"/>
      <c r="J1893" s="4"/>
      <c r="K1893" s="4"/>
      <c r="L1893" s="4"/>
    </row>
    <row r="1894" spans="8:12">
      <c r="H1894" s="4"/>
      <c r="I1894" s="4"/>
      <c r="J1894" s="4"/>
      <c r="K1894" s="4"/>
      <c r="L1894" s="4"/>
    </row>
    <row r="1895" spans="8:12">
      <c r="H1895" s="4"/>
      <c r="I1895" s="4"/>
      <c r="J1895" s="4"/>
      <c r="K1895" s="4"/>
      <c r="L1895" s="4"/>
    </row>
    <row r="1896" spans="8:12">
      <c r="H1896" s="4"/>
      <c r="I1896" s="4"/>
      <c r="J1896" s="4"/>
      <c r="K1896" s="4"/>
      <c r="L1896" s="4"/>
    </row>
    <row r="1897" spans="8:12">
      <c r="H1897" s="4"/>
      <c r="I1897" s="4"/>
      <c r="J1897" s="4"/>
      <c r="K1897" s="4"/>
      <c r="L1897" s="4"/>
    </row>
    <row r="1898" spans="8:12">
      <c r="H1898" s="4"/>
      <c r="I1898" s="4"/>
      <c r="J1898" s="4"/>
      <c r="K1898" s="4"/>
      <c r="L1898" s="4"/>
    </row>
    <row r="1899" spans="8:12">
      <c r="H1899" s="4"/>
      <c r="I1899" s="4"/>
      <c r="J1899" s="4"/>
      <c r="K1899" s="4"/>
      <c r="L1899" s="4"/>
    </row>
    <row r="1900" spans="8:12">
      <c r="H1900" s="4"/>
      <c r="I1900" s="4"/>
      <c r="J1900" s="4"/>
      <c r="K1900" s="4"/>
      <c r="L1900" s="4"/>
    </row>
    <row r="1901" spans="8:12">
      <c r="H1901" s="4"/>
      <c r="I1901" s="4"/>
      <c r="J1901" s="4"/>
      <c r="K1901" s="4"/>
      <c r="L1901" s="4"/>
    </row>
    <row r="1902" spans="8:12">
      <c r="H1902" s="4"/>
      <c r="I1902" s="4"/>
      <c r="J1902" s="4"/>
      <c r="K1902" s="4"/>
      <c r="L1902" s="4"/>
    </row>
    <row r="1903" spans="8:12">
      <c r="H1903" s="4"/>
      <c r="I1903" s="4"/>
      <c r="J1903" s="4"/>
      <c r="K1903" s="4"/>
      <c r="L1903" s="4"/>
    </row>
    <row r="1904" spans="8:12">
      <c r="H1904" s="4"/>
      <c r="I1904" s="4"/>
      <c r="J1904" s="4"/>
      <c r="K1904" s="4"/>
      <c r="L1904" s="4"/>
    </row>
    <row r="1905" spans="8:12">
      <c r="H1905" s="4"/>
      <c r="I1905" s="4"/>
      <c r="J1905" s="4"/>
      <c r="K1905" s="4"/>
      <c r="L1905" s="4"/>
    </row>
    <row r="1906" spans="8:12">
      <c r="H1906" s="4"/>
      <c r="I1906" s="4"/>
      <c r="J1906" s="4"/>
      <c r="K1906" s="4"/>
      <c r="L1906" s="4"/>
    </row>
    <row r="1907" spans="8:12">
      <c r="H1907" s="4"/>
      <c r="I1907" s="4"/>
      <c r="J1907" s="4"/>
      <c r="K1907" s="4"/>
      <c r="L1907" s="4"/>
    </row>
    <row r="1908" spans="8:12">
      <c r="H1908" s="4"/>
      <c r="I1908" s="4"/>
      <c r="J1908" s="4"/>
      <c r="K1908" s="4"/>
      <c r="L1908" s="4"/>
    </row>
    <row r="1909" spans="8:12">
      <c r="H1909" s="4"/>
      <c r="I1909" s="4"/>
      <c r="J1909" s="4"/>
      <c r="K1909" s="4"/>
      <c r="L1909" s="4"/>
    </row>
    <row r="1910" spans="8:12">
      <c r="H1910" s="4"/>
      <c r="I1910" s="4"/>
      <c r="J1910" s="4"/>
      <c r="K1910" s="4"/>
      <c r="L1910" s="4"/>
    </row>
    <row r="1911" spans="8:12">
      <c r="H1911" s="4"/>
      <c r="I1911" s="4"/>
      <c r="J1911" s="4"/>
      <c r="K1911" s="4"/>
      <c r="L1911" s="4"/>
    </row>
    <row r="1912" spans="8:12">
      <c r="H1912" s="4"/>
      <c r="I1912" s="4"/>
      <c r="J1912" s="4"/>
      <c r="K1912" s="4"/>
      <c r="L1912" s="4"/>
    </row>
    <row r="1913" spans="8:12">
      <c r="H1913" s="4"/>
      <c r="I1913" s="4"/>
      <c r="J1913" s="4"/>
      <c r="K1913" s="4"/>
      <c r="L1913" s="4"/>
    </row>
    <row r="1914" spans="8:12">
      <c r="H1914" s="4"/>
      <c r="I1914" s="4"/>
      <c r="J1914" s="4"/>
      <c r="K1914" s="4"/>
      <c r="L1914" s="4"/>
    </row>
    <row r="1915" spans="8:12">
      <c r="H1915" s="4"/>
      <c r="I1915" s="4"/>
      <c r="J1915" s="4"/>
      <c r="K1915" s="4"/>
      <c r="L1915" s="4"/>
    </row>
    <row r="1916" spans="8:12">
      <c r="H1916" s="4"/>
      <c r="I1916" s="4"/>
      <c r="J1916" s="4"/>
      <c r="K1916" s="4"/>
      <c r="L1916" s="4"/>
    </row>
    <row r="1917" spans="8:12">
      <c r="H1917" s="4"/>
      <c r="I1917" s="4"/>
      <c r="J1917" s="4"/>
      <c r="K1917" s="4"/>
      <c r="L1917" s="4"/>
    </row>
    <row r="1918" spans="8:12">
      <c r="H1918" s="4"/>
      <c r="I1918" s="4"/>
      <c r="J1918" s="4"/>
      <c r="K1918" s="4"/>
      <c r="L1918" s="4"/>
    </row>
    <row r="1919" spans="8:12">
      <c r="H1919" s="4"/>
      <c r="I1919" s="4"/>
      <c r="J1919" s="4"/>
      <c r="K1919" s="4"/>
      <c r="L1919" s="4"/>
    </row>
    <row r="1920" spans="8:12">
      <c r="H1920" s="4"/>
      <c r="I1920" s="4"/>
      <c r="J1920" s="4"/>
      <c r="K1920" s="4"/>
      <c r="L1920" s="4"/>
    </row>
    <row r="1921" spans="8:12">
      <c r="H1921" s="4"/>
      <c r="I1921" s="4"/>
      <c r="J1921" s="4"/>
      <c r="K1921" s="4"/>
      <c r="L1921" s="4"/>
    </row>
    <row r="1922" spans="8:12">
      <c r="H1922" s="4"/>
      <c r="I1922" s="4"/>
      <c r="J1922" s="4"/>
      <c r="K1922" s="4"/>
      <c r="L1922" s="4"/>
    </row>
    <row r="1923" spans="8:12">
      <c r="H1923" s="4"/>
      <c r="I1923" s="4"/>
      <c r="J1923" s="4"/>
      <c r="K1923" s="4"/>
      <c r="L1923" s="4"/>
    </row>
    <row r="1924" spans="8:12">
      <c r="H1924" s="4"/>
      <c r="I1924" s="4"/>
      <c r="J1924" s="4"/>
      <c r="K1924" s="4"/>
      <c r="L1924" s="4"/>
    </row>
    <row r="1925" spans="8:12">
      <c r="H1925" s="4"/>
      <c r="I1925" s="4"/>
      <c r="J1925" s="4"/>
      <c r="K1925" s="4"/>
      <c r="L1925" s="4"/>
    </row>
    <row r="1926" spans="8:12">
      <c r="H1926" s="4"/>
      <c r="I1926" s="4"/>
      <c r="J1926" s="4"/>
      <c r="K1926" s="4"/>
      <c r="L1926" s="4"/>
    </row>
    <row r="1927" spans="8:12">
      <c r="H1927" s="4"/>
      <c r="I1927" s="4"/>
      <c r="J1927" s="4"/>
      <c r="K1927" s="4"/>
      <c r="L1927" s="4"/>
    </row>
    <row r="1928" spans="8:12">
      <c r="H1928" s="4"/>
      <c r="I1928" s="4"/>
      <c r="J1928" s="4"/>
      <c r="K1928" s="4"/>
      <c r="L1928" s="4"/>
    </row>
    <row r="1929" spans="8:12">
      <c r="H1929" s="4"/>
      <c r="I1929" s="4"/>
      <c r="J1929" s="4"/>
      <c r="K1929" s="4"/>
      <c r="L1929" s="4"/>
    </row>
    <row r="1930" spans="8:12">
      <c r="H1930" s="4"/>
      <c r="I1930" s="4"/>
      <c r="J1930" s="4"/>
      <c r="K1930" s="4"/>
      <c r="L1930" s="4"/>
    </row>
    <row r="1931" spans="8:12">
      <c r="H1931" s="4"/>
      <c r="I1931" s="4"/>
      <c r="J1931" s="4"/>
      <c r="K1931" s="4"/>
      <c r="L1931" s="4"/>
    </row>
    <row r="1932" spans="8:12">
      <c r="H1932" s="4"/>
      <c r="I1932" s="4"/>
      <c r="J1932" s="4"/>
      <c r="K1932" s="4"/>
      <c r="L1932" s="4"/>
    </row>
    <row r="1933" spans="8:12">
      <c r="H1933" s="4"/>
      <c r="I1933" s="4"/>
      <c r="J1933" s="4"/>
      <c r="K1933" s="4"/>
      <c r="L1933" s="4"/>
    </row>
    <row r="1934" spans="8:12">
      <c r="H1934" s="4"/>
      <c r="I1934" s="4"/>
      <c r="J1934" s="4"/>
      <c r="K1934" s="4"/>
      <c r="L1934" s="4"/>
    </row>
    <row r="1935" spans="8:12">
      <c r="H1935" s="4"/>
      <c r="I1935" s="4"/>
      <c r="J1935" s="4"/>
      <c r="K1935" s="4"/>
      <c r="L1935" s="4"/>
    </row>
    <row r="1936" spans="8:12">
      <c r="H1936" s="4"/>
      <c r="I1936" s="4"/>
      <c r="J1936" s="4"/>
      <c r="K1936" s="4"/>
      <c r="L1936" s="4"/>
    </row>
    <row r="1937" spans="8:12">
      <c r="H1937" s="4"/>
      <c r="I1937" s="4"/>
      <c r="J1937" s="4"/>
      <c r="K1937" s="4"/>
      <c r="L1937" s="4"/>
    </row>
    <row r="1938" spans="8:12">
      <c r="H1938" s="4"/>
      <c r="I1938" s="4"/>
      <c r="J1938" s="4"/>
      <c r="K1938" s="4"/>
      <c r="L1938" s="4"/>
    </row>
    <row r="1939" spans="8:12">
      <c r="H1939" s="4"/>
      <c r="I1939" s="4"/>
      <c r="J1939" s="4"/>
      <c r="K1939" s="4"/>
      <c r="L1939" s="4"/>
    </row>
    <row r="1940" spans="8:12">
      <c r="H1940" s="4"/>
      <c r="I1940" s="4"/>
      <c r="J1940" s="4"/>
      <c r="K1940" s="4"/>
      <c r="L1940" s="4"/>
    </row>
    <row r="1941" spans="8:12">
      <c r="H1941" s="4"/>
      <c r="I1941" s="4"/>
      <c r="J1941" s="4"/>
      <c r="K1941" s="4"/>
      <c r="L1941" s="4"/>
    </row>
    <row r="1942" spans="8:12">
      <c r="H1942" s="4"/>
      <c r="I1942" s="4"/>
      <c r="J1942" s="4"/>
      <c r="K1942" s="4"/>
      <c r="L1942" s="4"/>
    </row>
    <row r="1943" spans="8:12">
      <c r="H1943" s="4"/>
      <c r="I1943" s="4"/>
      <c r="J1943" s="4"/>
      <c r="K1943" s="4"/>
      <c r="L1943" s="4"/>
    </row>
    <row r="1944" spans="8:12">
      <c r="H1944" s="4"/>
      <c r="I1944" s="4"/>
      <c r="J1944" s="4"/>
      <c r="K1944" s="4"/>
      <c r="L1944" s="4"/>
    </row>
    <row r="1945" spans="8:12">
      <c r="H1945" s="4"/>
      <c r="I1945" s="4"/>
      <c r="J1945" s="4"/>
      <c r="K1945" s="4"/>
      <c r="L1945" s="4"/>
    </row>
    <row r="1946" spans="8:12">
      <c r="H1946" s="4"/>
      <c r="I1946" s="4"/>
      <c r="J1946" s="4"/>
      <c r="K1946" s="4"/>
      <c r="L1946" s="4"/>
    </row>
    <row r="1947" spans="8:12">
      <c r="H1947" s="4"/>
      <c r="I1947" s="4"/>
      <c r="J1947" s="4"/>
      <c r="K1947" s="4"/>
      <c r="L1947" s="4"/>
    </row>
    <row r="1948" spans="8:12">
      <c r="H1948" s="4"/>
      <c r="I1948" s="4"/>
      <c r="J1948" s="4"/>
      <c r="K1948" s="4"/>
      <c r="L1948" s="4"/>
    </row>
    <row r="1949" spans="8:12">
      <c r="H1949" s="4"/>
      <c r="I1949" s="4"/>
      <c r="J1949" s="4"/>
      <c r="K1949" s="4"/>
      <c r="L1949" s="4"/>
    </row>
    <row r="1950" spans="8:12">
      <c r="H1950" s="4"/>
      <c r="I1950" s="4"/>
      <c r="J1950" s="4"/>
      <c r="K1950" s="4"/>
      <c r="L1950" s="4"/>
    </row>
    <row r="1951" spans="8:12">
      <c r="H1951" s="4"/>
      <c r="I1951" s="4"/>
      <c r="J1951" s="4"/>
      <c r="K1951" s="4"/>
      <c r="L1951" s="4"/>
    </row>
    <row r="1952" spans="8:12">
      <c r="H1952" s="4"/>
      <c r="I1952" s="4"/>
      <c r="J1952" s="4"/>
      <c r="K1952" s="4"/>
      <c r="L1952" s="4"/>
    </row>
    <row r="1953" spans="8:12">
      <c r="H1953" s="4"/>
      <c r="I1953" s="4"/>
      <c r="J1953" s="4"/>
      <c r="K1953" s="4"/>
      <c r="L1953" s="4"/>
    </row>
    <row r="1954" spans="8:12">
      <c r="H1954" s="4"/>
      <c r="I1954" s="4"/>
      <c r="J1954" s="4"/>
      <c r="K1954" s="4"/>
      <c r="L1954" s="4"/>
    </row>
    <row r="1955" spans="8:12">
      <c r="H1955" s="4"/>
      <c r="I1955" s="4"/>
      <c r="J1955" s="4"/>
      <c r="K1955" s="4"/>
      <c r="L1955" s="4"/>
    </row>
    <row r="1956" spans="8:12">
      <c r="H1956" s="4"/>
      <c r="I1956" s="4"/>
      <c r="J1956" s="4"/>
      <c r="K1956" s="4"/>
      <c r="L1956" s="4"/>
    </row>
    <row r="1957" spans="8:12">
      <c r="H1957" s="4"/>
      <c r="I1957" s="4"/>
      <c r="J1957" s="4"/>
      <c r="K1957" s="4"/>
      <c r="L1957" s="4"/>
    </row>
    <row r="1958" spans="8:12">
      <c r="H1958" s="4"/>
      <c r="I1958" s="4"/>
      <c r="J1958" s="4"/>
      <c r="K1958" s="4"/>
      <c r="L1958" s="4"/>
    </row>
    <row r="1959" spans="8:12">
      <c r="H1959" s="4"/>
      <c r="I1959" s="4"/>
      <c r="J1959" s="4"/>
      <c r="K1959" s="4"/>
      <c r="L1959" s="4"/>
    </row>
    <row r="1960" spans="8:12">
      <c r="H1960" s="4"/>
      <c r="I1960" s="4"/>
      <c r="J1960" s="4"/>
      <c r="K1960" s="4"/>
      <c r="L1960" s="4"/>
    </row>
    <row r="1961" spans="8:12">
      <c r="H1961" s="4"/>
      <c r="I1961" s="4"/>
      <c r="J1961" s="4"/>
      <c r="K1961" s="4"/>
      <c r="L1961" s="4"/>
    </row>
    <row r="1962" spans="8:12">
      <c r="H1962" s="4"/>
      <c r="I1962" s="4"/>
      <c r="J1962" s="4"/>
      <c r="K1962" s="4"/>
      <c r="L1962" s="4"/>
    </row>
    <row r="1963" spans="8:12">
      <c r="H1963" s="4"/>
      <c r="I1963" s="4"/>
      <c r="J1963" s="4"/>
      <c r="K1963" s="4"/>
      <c r="L1963" s="4"/>
    </row>
    <row r="1964" spans="8:12">
      <c r="H1964" s="4"/>
      <c r="I1964" s="4"/>
      <c r="J1964" s="4"/>
      <c r="K1964" s="4"/>
      <c r="L1964" s="4"/>
    </row>
    <row r="1965" spans="8:12">
      <c r="H1965" s="4"/>
      <c r="I1965" s="4"/>
      <c r="J1965" s="4"/>
      <c r="K1965" s="4"/>
      <c r="L1965" s="4"/>
    </row>
    <row r="1966" spans="8:12">
      <c r="H1966" s="4"/>
      <c r="I1966" s="4"/>
      <c r="J1966" s="4"/>
      <c r="K1966" s="4"/>
      <c r="L1966" s="4"/>
    </row>
    <row r="1967" spans="8:12">
      <c r="H1967" s="4"/>
      <c r="I1967" s="4"/>
      <c r="J1967" s="4"/>
      <c r="K1967" s="4"/>
      <c r="L1967" s="4"/>
    </row>
    <row r="1968" spans="8:12">
      <c r="H1968" s="4"/>
      <c r="I1968" s="4"/>
      <c r="J1968" s="4"/>
      <c r="K1968" s="4"/>
      <c r="L1968" s="4"/>
    </row>
    <row r="1969" spans="8:12">
      <c r="H1969" s="4"/>
      <c r="I1969" s="4"/>
      <c r="J1969" s="4"/>
      <c r="K1969" s="4"/>
      <c r="L1969" s="4"/>
    </row>
    <row r="1970" spans="8:12">
      <c r="H1970" s="4"/>
      <c r="I1970" s="4"/>
      <c r="J1970" s="4"/>
      <c r="K1970" s="4"/>
      <c r="L1970" s="4"/>
    </row>
    <row r="1971" spans="8:12">
      <c r="H1971" s="4"/>
      <c r="I1971" s="4"/>
      <c r="J1971" s="4"/>
      <c r="K1971" s="4"/>
      <c r="L1971" s="4"/>
    </row>
    <row r="1972" spans="8:12">
      <c r="H1972" s="4"/>
      <c r="I1972" s="4"/>
      <c r="J1972" s="4"/>
      <c r="K1972" s="4"/>
      <c r="L1972" s="4"/>
    </row>
    <row r="1973" spans="8:12">
      <c r="H1973" s="4"/>
      <c r="I1973" s="4"/>
      <c r="J1973" s="4"/>
      <c r="K1973" s="4"/>
      <c r="L1973" s="4"/>
    </row>
    <row r="1974" spans="8:12">
      <c r="H1974" s="4"/>
      <c r="I1974" s="4"/>
      <c r="J1974" s="4"/>
      <c r="K1974" s="4"/>
      <c r="L1974" s="4"/>
    </row>
    <row r="1975" spans="8:12">
      <c r="H1975" s="4"/>
      <c r="I1975" s="4"/>
      <c r="J1975" s="4"/>
      <c r="K1975" s="4"/>
      <c r="L1975" s="4"/>
    </row>
    <row r="1976" spans="8:12">
      <c r="H1976" s="4"/>
      <c r="I1976" s="4"/>
      <c r="J1976" s="4"/>
      <c r="K1976" s="4"/>
      <c r="L1976" s="4"/>
    </row>
    <row r="1977" spans="8:12">
      <c r="H1977" s="4"/>
      <c r="I1977" s="4"/>
      <c r="J1977" s="4"/>
      <c r="K1977" s="4"/>
      <c r="L1977" s="4"/>
    </row>
    <row r="1978" spans="8:12">
      <c r="H1978" s="4"/>
      <c r="I1978" s="4"/>
      <c r="J1978" s="4"/>
      <c r="K1978" s="4"/>
      <c r="L1978" s="4"/>
    </row>
    <row r="1979" spans="8:12">
      <c r="H1979" s="4"/>
      <c r="I1979" s="4"/>
      <c r="J1979" s="4"/>
      <c r="K1979" s="4"/>
      <c r="L1979" s="4"/>
    </row>
    <row r="1980" spans="8:12">
      <c r="H1980" s="4"/>
      <c r="I1980" s="4"/>
      <c r="J1980" s="4"/>
      <c r="K1980" s="4"/>
      <c r="L1980" s="4"/>
    </row>
    <row r="1981" spans="8:12">
      <c r="H1981" s="4"/>
      <c r="I1981" s="4"/>
      <c r="J1981" s="4"/>
      <c r="K1981" s="4"/>
      <c r="L1981" s="4"/>
    </row>
    <row r="1982" spans="8:12">
      <c r="H1982" s="4"/>
      <c r="I1982" s="4"/>
      <c r="J1982" s="4"/>
      <c r="K1982" s="4"/>
      <c r="L1982" s="4"/>
    </row>
    <row r="1983" spans="8:12">
      <c r="H1983" s="4"/>
      <c r="I1983" s="4"/>
      <c r="J1983" s="4"/>
      <c r="K1983" s="4"/>
      <c r="L1983" s="4"/>
    </row>
    <row r="1984" spans="8:12">
      <c r="H1984" s="4"/>
      <c r="I1984" s="4"/>
      <c r="J1984" s="4"/>
      <c r="K1984" s="4"/>
      <c r="L1984" s="4"/>
    </row>
    <row r="1985" spans="8:12">
      <c r="H1985" s="4"/>
      <c r="I1985" s="4"/>
      <c r="J1985" s="4"/>
      <c r="K1985" s="4"/>
      <c r="L1985" s="4"/>
    </row>
    <row r="1986" spans="8:12">
      <c r="H1986" s="4"/>
      <c r="I1986" s="4"/>
      <c r="J1986" s="4"/>
      <c r="K1986" s="4"/>
      <c r="L1986" s="4"/>
    </row>
    <row r="1987" spans="8:12">
      <c r="H1987" s="4"/>
      <c r="I1987" s="4"/>
      <c r="J1987" s="4"/>
      <c r="K1987" s="4"/>
      <c r="L1987" s="4"/>
    </row>
    <row r="1988" spans="8:12">
      <c r="H1988" s="4"/>
      <c r="I1988" s="4"/>
      <c r="J1988" s="4"/>
      <c r="K1988" s="4"/>
      <c r="L1988" s="4"/>
    </row>
    <row r="1989" spans="8:12">
      <c r="H1989" s="4"/>
      <c r="I1989" s="4"/>
      <c r="J1989" s="4"/>
      <c r="K1989" s="4"/>
      <c r="L1989" s="4"/>
    </row>
    <row r="1990" spans="8:12">
      <c r="H1990" s="4"/>
      <c r="I1990" s="4"/>
      <c r="J1990" s="4"/>
      <c r="K1990" s="4"/>
      <c r="L1990" s="4"/>
    </row>
    <row r="1991" spans="8:12">
      <c r="H1991" s="4"/>
      <c r="I1991" s="4"/>
      <c r="J1991" s="4"/>
      <c r="K1991" s="4"/>
      <c r="L1991" s="4"/>
    </row>
    <row r="1992" spans="8:12">
      <c r="H1992" s="4"/>
      <c r="I1992" s="4"/>
      <c r="J1992" s="4"/>
      <c r="K1992" s="4"/>
      <c r="L1992" s="4"/>
    </row>
    <row r="1993" spans="8:12">
      <c r="H1993" s="4"/>
      <c r="I1993" s="4"/>
      <c r="J1993" s="4"/>
      <c r="K1993" s="4"/>
      <c r="L1993" s="4"/>
    </row>
    <row r="1994" spans="8:12">
      <c r="H1994" s="4"/>
      <c r="I1994" s="4"/>
      <c r="J1994" s="4"/>
      <c r="K1994" s="4"/>
      <c r="L1994" s="4"/>
    </row>
    <row r="1995" spans="8:12">
      <c r="H1995" s="4"/>
      <c r="I1995" s="4"/>
      <c r="J1995" s="4"/>
      <c r="K1995" s="4"/>
      <c r="L1995" s="4"/>
    </row>
    <row r="1996" spans="8:12">
      <c r="H1996" s="4"/>
      <c r="I1996" s="4"/>
      <c r="J1996" s="4"/>
      <c r="K1996" s="4"/>
      <c r="L1996" s="4"/>
    </row>
    <row r="1997" spans="8:12">
      <c r="H1997" s="4"/>
      <c r="I1997" s="4"/>
      <c r="J1997" s="4"/>
      <c r="K1997" s="4"/>
      <c r="L1997" s="4"/>
    </row>
    <row r="1998" spans="8:12">
      <c r="H1998" s="4"/>
      <c r="I1998" s="4"/>
      <c r="J1998" s="4"/>
      <c r="K1998" s="4"/>
      <c r="L1998" s="4"/>
    </row>
    <row r="1999" spans="8:12">
      <c r="H1999" s="4"/>
      <c r="I1999" s="4"/>
      <c r="J1999" s="4"/>
      <c r="K1999" s="4"/>
      <c r="L1999" s="4"/>
    </row>
    <row r="2000" spans="8:12">
      <c r="H2000" s="4"/>
      <c r="I2000" s="4"/>
      <c r="J2000" s="4"/>
      <c r="K2000" s="4"/>
      <c r="L2000" s="4"/>
    </row>
    <row r="2001" spans="8:12">
      <c r="H2001" s="4"/>
      <c r="I2001" s="4"/>
      <c r="J2001" s="4"/>
      <c r="K2001" s="4"/>
      <c r="L2001" s="4"/>
    </row>
    <row r="2002" spans="8:12">
      <c r="H2002" s="4"/>
      <c r="I2002" s="4"/>
      <c r="J2002" s="4"/>
      <c r="K2002" s="4"/>
      <c r="L2002" s="4"/>
    </row>
    <row r="2003" spans="8:12">
      <c r="H2003" s="4"/>
      <c r="I2003" s="4"/>
      <c r="J2003" s="4"/>
      <c r="K2003" s="4"/>
      <c r="L2003" s="4"/>
    </row>
    <row r="2004" spans="8:12">
      <c r="H2004" s="4"/>
      <c r="I2004" s="4"/>
      <c r="J2004" s="4"/>
      <c r="K2004" s="4"/>
      <c r="L2004" s="4"/>
    </row>
    <row r="2005" spans="8:12">
      <c r="H2005" s="4"/>
      <c r="I2005" s="4"/>
      <c r="J2005" s="4"/>
      <c r="K2005" s="4"/>
      <c r="L2005" s="4"/>
    </row>
    <row r="2006" spans="8:12">
      <c r="H2006" s="4"/>
      <c r="I2006" s="4"/>
      <c r="J2006" s="4"/>
      <c r="K2006" s="4"/>
      <c r="L2006" s="4"/>
    </row>
    <row r="2007" spans="8:12">
      <c r="H2007" s="4"/>
      <c r="I2007" s="4"/>
      <c r="J2007" s="4"/>
      <c r="K2007" s="4"/>
      <c r="L2007" s="4"/>
    </row>
    <row r="2008" spans="8:12">
      <c r="H2008" s="4"/>
      <c r="I2008" s="4"/>
      <c r="J2008" s="4"/>
      <c r="K2008" s="4"/>
      <c r="L2008" s="4"/>
    </row>
    <row r="2009" spans="8:12">
      <c r="H2009" s="4"/>
      <c r="I2009" s="4"/>
      <c r="J2009" s="4"/>
      <c r="K2009" s="4"/>
      <c r="L2009" s="4"/>
    </row>
    <row r="2010" spans="8:12">
      <c r="H2010" s="4"/>
      <c r="I2010" s="4"/>
      <c r="J2010" s="4"/>
      <c r="K2010" s="4"/>
      <c r="L2010" s="4"/>
    </row>
    <row r="2011" spans="8:12">
      <c r="H2011" s="4"/>
      <c r="I2011" s="4"/>
      <c r="J2011" s="4"/>
      <c r="K2011" s="4"/>
      <c r="L2011" s="4"/>
    </row>
    <row r="2012" spans="8:12">
      <c r="H2012" s="4"/>
      <c r="I2012" s="4"/>
      <c r="J2012" s="4"/>
      <c r="K2012" s="4"/>
      <c r="L2012" s="4"/>
    </row>
    <row r="2013" spans="8:12">
      <c r="H2013" s="4"/>
      <c r="I2013" s="4"/>
      <c r="J2013" s="4"/>
      <c r="K2013" s="4"/>
      <c r="L2013" s="4"/>
    </row>
    <row r="2014" spans="8:12">
      <c r="H2014" s="4"/>
      <c r="I2014" s="4"/>
      <c r="J2014" s="4"/>
      <c r="K2014" s="4"/>
      <c r="L2014" s="4"/>
    </row>
    <row r="2015" spans="8:12">
      <c r="H2015" s="4"/>
      <c r="I2015" s="4"/>
      <c r="J2015" s="4"/>
      <c r="K2015" s="4"/>
      <c r="L2015" s="4"/>
    </row>
    <row r="2016" spans="8:12">
      <c r="H2016" s="4"/>
      <c r="I2016" s="4"/>
      <c r="J2016" s="4"/>
      <c r="K2016" s="4"/>
      <c r="L2016" s="4"/>
    </row>
    <row r="2017" spans="8:12">
      <c r="H2017" s="4"/>
      <c r="I2017" s="4"/>
      <c r="J2017" s="4"/>
      <c r="K2017" s="4"/>
      <c r="L2017" s="4"/>
    </row>
    <row r="2018" spans="8:12">
      <c r="H2018" s="4"/>
      <c r="I2018" s="4"/>
      <c r="J2018" s="4"/>
      <c r="K2018" s="4"/>
      <c r="L2018" s="4"/>
    </row>
    <row r="2019" spans="8:12">
      <c r="H2019" s="4"/>
      <c r="I2019" s="4"/>
      <c r="J2019" s="4"/>
      <c r="K2019" s="4"/>
      <c r="L2019" s="4"/>
    </row>
    <row r="2020" spans="8:12">
      <c r="H2020" s="4"/>
      <c r="I2020" s="4"/>
      <c r="J2020" s="4"/>
      <c r="K2020" s="4"/>
      <c r="L2020" s="4"/>
    </row>
    <row r="2021" spans="8:12">
      <c r="H2021" s="4"/>
      <c r="I2021" s="4"/>
      <c r="J2021" s="4"/>
      <c r="K2021" s="4"/>
      <c r="L2021" s="4"/>
    </row>
    <row r="2022" spans="8:12">
      <c r="H2022" s="4"/>
      <c r="I2022" s="4"/>
      <c r="J2022" s="4"/>
      <c r="K2022" s="4"/>
      <c r="L2022" s="4"/>
    </row>
    <row r="2023" spans="8:12">
      <c r="H2023" s="4"/>
      <c r="I2023" s="4"/>
      <c r="J2023" s="4"/>
      <c r="K2023" s="4"/>
      <c r="L2023" s="4"/>
    </row>
    <row r="2024" spans="8:12">
      <c r="H2024" s="4"/>
      <c r="I2024" s="4"/>
      <c r="J2024" s="4"/>
      <c r="K2024" s="4"/>
      <c r="L2024" s="4"/>
    </row>
    <row r="2025" spans="8:12">
      <c r="H2025" s="4"/>
      <c r="I2025" s="4"/>
      <c r="J2025" s="4"/>
      <c r="K2025" s="4"/>
      <c r="L2025" s="4"/>
    </row>
    <row r="2026" spans="8:12">
      <c r="H2026" s="4"/>
      <c r="I2026" s="4"/>
      <c r="J2026" s="4"/>
      <c r="K2026" s="4"/>
      <c r="L2026" s="4"/>
    </row>
    <row r="2027" spans="8:12">
      <c r="H2027" s="4"/>
      <c r="I2027" s="4"/>
      <c r="J2027" s="4"/>
      <c r="K2027" s="4"/>
      <c r="L2027" s="4"/>
    </row>
    <row r="2028" spans="8:12">
      <c r="H2028" s="4"/>
      <c r="I2028" s="4"/>
      <c r="J2028" s="4"/>
      <c r="K2028" s="4"/>
      <c r="L2028" s="4"/>
    </row>
    <row r="2029" spans="8:12">
      <c r="H2029" s="4"/>
      <c r="I2029" s="4"/>
      <c r="J2029" s="4"/>
      <c r="K2029" s="4"/>
      <c r="L2029" s="4"/>
    </row>
    <row r="2030" spans="8:12">
      <c r="H2030" s="4"/>
      <c r="I2030" s="4"/>
      <c r="J2030" s="4"/>
      <c r="K2030" s="4"/>
      <c r="L2030" s="4"/>
    </row>
    <row r="2031" spans="8:12">
      <c r="H2031" s="4"/>
      <c r="I2031" s="4"/>
      <c r="J2031" s="4"/>
      <c r="K2031" s="4"/>
      <c r="L2031" s="4"/>
    </row>
    <row r="2032" spans="8:12">
      <c r="H2032" s="4"/>
      <c r="I2032" s="4"/>
      <c r="J2032" s="4"/>
      <c r="K2032" s="4"/>
      <c r="L2032" s="4"/>
    </row>
    <row r="2033" spans="8:12">
      <c r="H2033" s="4"/>
      <c r="I2033" s="4"/>
      <c r="J2033" s="4"/>
      <c r="K2033" s="4"/>
      <c r="L2033" s="4"/>
    </row>
    <row r="2034" spans="8:12">
      <c r="H2034" s="4"/>
      <c r="I2034" s="4"/>
      <c r="J2034" s="4"/>
      <c r="K2034" s="4"/>
      <c r="L2034" s="4"/>
    </row>
    <row r="2035" spans="8:12">
      <c r="H2035" s="4"/>
      <c r="I2035" s="4"/>
      <c r="J2035" s="4"/>
      <c r="K2035" s="4"/>
      <c r="L2035" s="4"/>
    </row>
    <row r="2036" spans="8:12">
      <c r="H2036" s="4"/>
      <c r="I2036" s="4"/>
      <c r="J2036" s="4"/>
      <c r="K2036" s="4"/>
      <c r="L2036" s="4"/>
    </row>
    <row r="2037" spans="8:12">
      <c r="H2037" s="4"/>
      <c r="I2037" s="4"/>
      <c r="J2037" s="4"/>
      <c r="K2037" s="4"/>
      <c r="L2037" s="4"/>
    </row>
    <row r="2038" spans="8:12">
      <c r="H2038" s="4"/>
      <c r="I2038" s="4"/>
      <c r="J2038" s="4"/>
      <c r="K2038" s="4"/>
      <c r="L2038" s="4"/>
    </row>
    <row r="2039" spans="8:12">
      <c r="H2039" s="4"/>
      <c r="I2039" s="4"/>
      <c r="J2039" s="4"/>
      <c r="K2039" s="4"/>
      <c r="L2039" s="4"/>
    </row>
    <row r="2040" spans="8:12">
      <c r="H2040" s="4"/>
      <c r="I2040" s="4"/>
      <c r="J2040" s="4"/>
      <c r="K2040" s="4"/>
      <c r="L2040" s="4"/>
    </row>
    <row r="2041" spans="8:12">
      <c r="H2041" s="4"/>
      <c r="I2041" s="4"/>
      <c r="J2041" s="4"/>
      <c r="K2041" s="4"/>
      <c r="L2041" s="4"/>
    </row>
    <row r="2042" spans="8:12">
      <c r="H2042" s="4"/>
      <c r="I2042" s="4"/>
      <c r="J2042" s="4"/>
      <c r="K2042" s="4"/>
      <c r="L2042" s="4"/>
    </row>
    <row r="2043" spans="8:12">
      <c r="H2043" s="4"/>
      <c r="I2043" s="4"/>
      <c r="J2043" s="4"/>
      <c r="K2043" s="4"/>
      <c r="L2043" s="4"/>
    </row>
    <row r="2044" spans="8:12">
      <c r="H2044" s="4"/>
      <c r="I2044" s="4"/>
      <c r="J2044" s="4"/>
      <c r="K2044" s="4"/>
      <c r="L2044" s="4"/>
    </row>
    <row r="2045" spans="8:12">
      <c r="H2045" s="4"/>
      <c r="I2045" s="4"/>
      <c r="J2045" s="4"/>
      <c r="K2045" s="4"/>
      <c r="L2045" s="4"/>
    </row>
    <row r="2046" spans="8:12">
      <c r="H2046" s="4"/>
      <c r="I2046" s="4"/>
      <c r="J2046" s="4"/>
      <c r="K2046" s="4"/>
      <c r="L2046" s="4"/>
    </row>
    <row r="2047" spans="8:12">
      <c r="H2047" s="4"/>
      <c r="I2047" s="4"/>
      <c r="J2047" s="4"/>
      <c r="K2047" s="4"/>
      <c r="L2047" s="4"/>
    </row>
    <row r="2048" spans="8:12">
      <c r="H2048" s="4"/>
      <c r="I2048" s="4"/>
      <c r="J2048" s="4"/>
      <c r="K2048" s="4"/>
      <c r="L2048" s="4"/>
    </row>
    <row r="2049" spans="8:12">
      <c r="H2049" s="4"/>
      <c r="I2049" s="4"/>
      <c r="J2049" s="4"/>
      <c r="K2049" s="4"/>
      <c r="L2049" s="4"/>
    </row>
    <row r="2050" spans="8:12">
      <c r="H2050" s="4"/>
      <c r="I2050" s="4"/>
      <c r="J2050" s="4"/>
      <c r="K2050" s="4"/>
      <c r="L2050" s="4"/>
    </row>
    <row r="2051" spans="8:12">
      <c r="H2051" s="4"/>
      <c r="I2051" s="4"/>
      <c r="J2051" s="4"/>
      <c r="K2051" s="4"/>
      <c r="L2051" s="4"/>
    </row>
    <row r="2052" spans="8:12">
      <c r="H2052" s="4"/>
      <c r="I2052" s="4"/>
      <c r="J2052" s="4"/>
      <c r="K2052" s="4"/>
      <c r="L2052" s="4"/>
    </row>
    <row r="2053" spans="8:12">
      <c r="H2053" s="4"/>
      <c r="I2053" s="4"/>
      <c r="J2053" s="4"/>
      <c r="K2053" s="4"/>
      <c r="L2053" s="4"/>
    </row>
    <row r="2054" spans="8:12">
      <c r="H2054" s="4"/>
      <c r="I2054" s="4"/>
      <c r="J2054" s="4"/>
      <c r="K2054" s="4"/>
      <c r="L2054" s="4"/>
    </row>
    <row r="2055" spans="8:12">
      <c r="H2055" s="4"/>
      <c r="I2055" s="4"/>
      <c r="J2055" s="4"/>
      <c r="K2055" s="4"/>
      <c r="L2055" s="4"/>
    </row>
    <row r="2056" spans="8:12">
      <c r="H2056" s="4"/>
      <c r="I2056" s="4"/>
      <c r="J2056" s="4"/>
      <c r="K2056" s="4"/>
      <c r="L2056" s="4"/>
    </row>
    <row r="2057" spans="8:12">
      <c r="H2057" s="4"/>
      <c r="I2057" s="4"/>
      <c r="J2057" s="4"/>
      <c r="K2057" s="4"/>
      <c r="L2057" s="4"/>
    </row>
    <row r="2058" spans="8:12">
      <c r="H2058" s="4"/>
      <c r="I2058" s="4"/>
      <c r="J2058" s="4"/>
      <c r="K2058" s="4"/>
      <c r="L2058" s="4"/>
    </row>
    <row r="2059" spans="8:12">
      <c r="H2059" s="4"/>
      <c r="I2059" s="4"/>
      <c r="J2059" s="4"/>
      <c r="K2059" s="4"/>
      <c r="L2059" s="4"/>
    </row>
    <row r="2060" spans="8:12">
      <c r="H2060" s="4"/>
      <c r="I2060" s="4"/>
      <c r="J2060" s="4"/>
      <c r="K2060" s="4"/>
      <c r="L2060" s="4"/>
    </row>
    <row r="2061" spans="8:12">
      <c r="H2061" s="4"/>
      <c r="I2061" s="4"/>
      <c r="J2061" s="4"/>
      <c r="K2061" s="4"/>
      <c r="L2061" s="4"/>
    </row>
    <row r="2062" spans="8:12">
      <c r="H2062" s="4"/>
      <c r="I2062" s="4"/>
      <c r="J2062" s="4"/>
      <c r="K2062" s="4"/>
      <c r="L2062" s="4"/>
    </row>
    <row r="2063" spans="8:12">
      <c r="H2063" s="4"/>
      <c r="I2063" s="4"/>
      <c r="J2063" s="4"/>
      <c r="K2063" s="4"/>
      <c r="L2063" s="4"/>
    </row>
    <row r="2064" spans="8:12">
      <c r="H2064" s="4"/>
      <c r="I2064" s="4"/>
      <c r="J2064" s="4"/>
      <c r="K2064" s="4"/>
      <c r="L2064" s="4"/>
    </row>
    <row r="2065" spans="8:12">
      <c r="H2065" s="4"/>
      <c r="I2065" s="4"/>
      <c r="J2065" s="4"/>
      <c r="K2065" s="4"/>
      <c r="L2065" s="4"/>
    </row>
    <row r="2066" spans="8:12">
      <c r="H2066" s="4"/>
      <c r="I2066" s="4"/>
      <c r="J2066" s="4"/>
      <c r="K2066" s="4"/>
      <c r="L2066" s="4"/>
    </row>
    <row r="2067" spans="8:12">
      <c r="H2067" s="4"/>
      <c r="I2067" s="4"/>
      <c r="J2067" s="4"/>
      <c r="K2067" s="4"/>
      <c r="L2067" s="4"/>
    </row>
    <row r="2068" spans="8:12">
      <c r="H2068" s="4"/>
      <c r="I2068" s="4"/>
      <c r="J2068" s="4"/>
      <c r="K2068" s="4"/>
      <c r="L2068" s="4"/>
    </row>
    <row r="2069" spans="8:12">
      <c r="H2069" s="4"/>
      <c r="I2069" s="4"/>
      <c r="J2069" s="4"/>
      <c r="K2069" s="4"/>
      <c r="L2069" s="4"/>
    </row>
    <row r="2070" spans="8:12">
      <c r="H2070" s="4"/>
      <c r="I2070" s="4"/>
      <c r="J2070" s="4"/>
      <c r="K2070" s="4"/>
      <c r="L2070" s="4"/>
    </row>
    <row r="2071" spans="8:12">
      <c r="H2071" s="4"/>
      <c r="I2071" s="4"/>
      <c r="J2071" s="4"/>
      <c r="K2071" s="4"/>
      <c r="L2071" s="4"/>
    </row>
    <row r="2072" spans="8:12">
      <c r="H2072" s="4"/>
      <c r="I2072" s="4"/>
      <c r="J2072" s="4"/>
      <c r="K2072" s="4"/>
      <c r="L2072" s="4"/>
    </row>
    <row r="2073" spans="8:12">
      <c r="H2073" s="4"/>
      <c r="I2073" s="4"/>
      <c r="J2073" s="4"/>
      <c r="K2073" s="4"/>
      <c r="L2073" s="4"/>
    </row>
    <row r="2074" spans="8:12">
      <c r="H2074" s="4"/>
      <c r="I2074" s="4"/>
      <c r="J2074" s="4"/>
      <c r="K2074" s="4"/>
      <c r="L2074" s="4"/>
    </row>
    <row r="2075" spans="8:12">
      <c r="H2075" s="4"/>
      <c r="I2075" s="4"/>
      <c r="J2075" s="4"/>
      <c r="K2075" s="4"/>
      <c r="L2075" s="4"/>
    </row>
    <row r="2076" spans="8:12">
      <c r="H2076" s="4"/>
      <c r="I2076" s="4"/>
      <c r="J2076" s="4"/>
      <c r="K2076" s="4"/>
      <c r="L2076" s="4"/>
    </row>
    <row r="2077" spans="8:12">
      <c r="H2077" s="4"/>
      <c r="I2077" s="4"/>
      <c r="J2077" s="4"/>
      <c r="K2077" s="4"/>
      <c r="L2077" s="4"/>
    </row>
    <row r="2078" spans="8:12">
      <c r="H2078" s="4"/>
      <c r="I2078" s="4"/>
      <c r="J2078" s="4"/>
      <c r="K2078" s="4"/>
      <c r="L2078" s="4"/>
    </row>
    <row r="2079" spans="8:12">
      <c r="H2079" s="4"/>
      <c r="I2079" s="4"/>
      <c r="J2079" s="4"/>
      <c r="K2079" s="4"/>
      <c r="L2079" s="4"/>
    </row>
    <row r="2080" spans="8:12">
      <c r="H2080" s="4"/>
      <c r="I2080" s="4"/>
      <c r="J2080" s="4"/>
      <c r="K2080" s="4"/>
      <c r="L2080" s="4"/>
    </row>
    <row r="2081" spans="8:12">
      <c r="H2081" s="4"/>
      <c r="I2081" s="4"/>
      <c r="J2081" s="4"/>
      <c r="K2081" s="4"/>
      <c r="L2081" s="4"/>
    </row>
    <row r="2082" spans="8:12">
      <c r="H2082" s="4"/>
      <c r="I2082" s="4"/>
      <c r="J2082" s="4"/>
      <c r="K2082" s="4"/>
      <c r="L2082" s="4"/>
    </row>
    <row r="2083" spans="8:12">
      <c r="H2083" s="4"/>
      <c r="I2083" s="4"/>
      <c r="J2083" s="4"/>
      <c r="K2083" s="4"/>
      <c r="L2083" s="4"/>
    </row>
    <row r="2084" spans="8:12">
      <c r="H2084" s="4"/>
      <c r="I2084" s="4"/>
      <c r="J2084" s="4"/>
      <c r="K2084" s="4"/>
      <c r="L2084" s="4"/>
    </row>
    <row r="2085" spans="8:12">
      <c r="H2085" s="4"/>
      <c r="I2085" s="4"/>
      <c r="J2085" s="4"/>
      <c r="K2085" s="4"/>
      <c r="L2085" s="4"/>
    </row>
    <row r="2086" spans="8:12">
      <c r="H2086" s="4"/>
      <c r="I2086" s="4"/>
      <c r="J2086" s="4"/>
      <c r="K2086" s="4"/>
      <c r="L2086" s="4"/>
    </row>
    <row r="2087" spans="8:12">
      <c r="H2087" s="4"/>
      <c r="I2087" s="4"/>
      <c r="J2087" s="4"/>
      <c r="K2087" s="4"/>
      <c r="L2087" s="4"/>
    </row>
    <row r="2088" spans="8:12">
      <c r="H2088" s="4"/>
      <c r="I2088" s="4"/>
      <c r="J2088" s="4"/>
      <c r="K2088" s="4"/>
      <c r="L2088" s="4"/>
    </row>
    <row r="2089" spans="8:12">
      <c r="H2089" s="4"/>
      <c r="I2089" s="4"/>
      <c r="J2089" s="4"/>
      <c r="K2089" s="4"/>
      <c r="L2089" s="4"/>
    </row>
    <row r="2090" spans="8:12">
      <c r="H2090" s="4"/>
      <c r="I2090" s="4"/>
      <c r="J2090" s="4"/>
      <c r="K2090" s="4"/>
      <c r="L2090" s="4"/>
    </row>
    <row r="2091" spans="8:12">
      <c r="H2091" s="4"/>
      <c r="I2091" s="4"/>
      <c r="J2091" s="4"/>
      <c r="K2091" s="4"/>
      <c r="L2091" s="4"/>
    </row>
    <row r="2092" spans="8:12">
      <c r="H2092" s="4"/>
      <c r="I2092" s="4"/>
      <c r="J2092" s="4"/>
      <c r="K2092" s="4"/>
      <c r="L2092" s="4"/>
    </row>
    <row r="2093" spans="8:12">
      <c r="H2093" s="4"/>
      <c r="I2093" s="4"/>
      <c r="J2093" s="4"/>
      <c r="K2093" s="4"/>
      <c r="L2093" s="4"/>
    </row>
    <row r="2094" spans="8:12">
      <c r="H2094" s="4"/>
      <c r="I2094" s="4"/>
      <c r="J2094" s="4"/>
      <c r="K2094" s="4"/>
      <c r="L2094" s="4"/>
    </row>
    <row r="2095" spans="8:12">
      <c r="H2095" s="4"/>
      <c r="I2095" s="4"/>
      <c r="J2095" s="4"/>
      <c r="K2095" s="4"/>
      <c r="L2095" s="4"/>
    </row>
    <row r="2096" spans="8:12">
      <c r="H2096" s="4"/>
      <c r="I2096" s="4"/>
      <c r="J2096" s="4"/>
      <c r="K2096" s="4"/>
      <c r="L2096" s="4"/>
    </row>
    <row r="2097" spans="8:12">
      <c r="H2097" s="4"/>
      <c r="I2097" s="4"/>
      <c r="J2097" s="4"/>
      <c r="K2097" s="4"/>
      <c r="L2097" s="4"/>
    </row>
    <row r="2098" spans="8:12">
      <c r="H2098" s="4"/>
      <c r="I2098" s="4"/>
      <c r="J2098" s="4"/>
      <c r="K2098" s="4"/>
      <c r="L2098" s="4"/>
    </row>
    <row r="2099" spans="8:12">
      <c r="H2099" s="4"/>
      <c r="I2099" s="4"/>
      <c r="J2099" s="4"/>
      <c r="K2099" s="4"/>
      <c r="L2099" s="4"/>
    </row>
    <row r="2100" spans="8:12">
      <c r="H2100" s="4"/>
      <c r="I2100" s="4"/>
      <c r="J2100" s="4"/>
      <c r="K2100" s="4"/>
      <c r="L2100" s="4"/>
    </row>
    <row r="2101" spans="8:12">
      <c r="H2101" s="4"/>
      <c r="I2101" s="4"/>
      <c r="J2101" s="4"/>
      <c r="K2101" s="4"/>
      <c r="L2101" s="4"/>
    </row>
    <row r="2102" spans="8:12">
      <c r="H2102" s="4"/>
      <c r="I2102" s="4"/>
      <c r="J2102" s="4"/>
      <c r="K2102" s="4"/>
      <c r="L2102" s="4"/>
    </row>
    <row r="2103" spans="8:12">
      <c r="H2103" s="4"/>
      <c r="I2103" s="4"/>
      <c r="J2103" s="4"/>
      <c r="K2103" s="4"/>
      <c r="L2103" s="4"/>
    </row>
    <row r="2104" spans="8:12">
      <c r="H2104" s="4"/>
      <c r="I2104" s="4"/>
      <c r="J2104" s="4"/>
      <c r="K2104" s="4"/>
      <c r="L2104" s="4"/>
    </row>
    <row r="2105" spans="8:12">
      <c r="H2105" s="4"/>
      <c r="I2105" s="4"/>
      <c r="J2105" s="4"/>
      <c r="K2105" s="4"/>
      <c r="L2105" s="4"/>
    </row>
    <row r="2106" spans="8:12">
      <c r="H2106" s="4"/>
      <c r="I2106" s="4"/>
      <c r="J2106" s="4"/>
      <c r="K2106" s="4"/>
      <c r="L2106" s="4"/>
    </row>
    <row r="2107" spans="8:12">
      <c r="H2107" s="4"/>
      <c r="I2107" s="4"/>
      <c r="J2107" s="4"/>
      <c r="K2107" s="4"/>
      <c r="L2107" s="4"/>
    </row>
    <row r="2108" spans="8:12">
      <c r="H2108" s="4"/>
      <c r="I2108" s="4"/>
      <c r="J2108" s="4"/>
      <c r="K2108" s="4"/>
      <c r="L2108" s="4"/>
    </row>
    <row r="2109" spans="8:12">
      <c r="H2109" s="4"/>
      <c r="I2109" s="4"/>
      <c r="J2109" s="4"/>
      <c r="K2109" s="4"/>
      <c r="L2109" s="4"/>
    </row>
    <row r="2110" spans="8:12">
      <c r="H2110" s="4"/>
      <c r="I2110" s="4"/>
      <c r="J2110" s="4"/>
      <c r="K2110" s="4"/>
      <c r="L2110" s="4"/>
    </row>
    <row r="2111" spans="8:12">
      <c r="H2111" s="4"/>
      <c r="I2111" s="4"/>
      <c r="J2111" s="4"/>
      <c r="K2111" s="4"/>
      <c r="L2111" s="4"/>
    </row>
    <row r="2112" spans="8:12">
      <c r="H2112" s="4"/>
      <c r="I2112" s="4"/>
      <c r="J2112" s="4"/>
      <c r="K2112" s="4"/>
      <c r="L2112" s="4"/>
    </row>
    <row r="2113" spans="8:12">
      <c r="H2113" s="4"/>
      <c r="I2113" s="4"/>
      <c r="J2113" s="4"/>
      <c r="K2113" s="4"/>
      <c r="L2113" s="4"/>
    </row>
    <row r="2114" spans="8:12">
      <c r="H2114" s="4"/>
      <c r="I2114" s="4"/>
      <c r="J2114" s="4"/>
      <c r="K2114" s="4"/>
      <c r="L2114" s="4"/>
    </row>
    <row r="2115" spans="8:12">
      <c r="H2115" s="4"/>
      <c r="I2115" s="4"/>
      <c r="J2115" s="4"/>
      <c r="K2115" s="4"/>
      <c r="L2115" s="4"/>
    </row>
    <row r="2116" spans="8:12">
      <c r="H2116" s="4"/>
      <c r="I2116" s="4"/>
      <c r="J2116" s="4"/>
      <c r="K2116" s="4"/>
      <c r="L2116" s="4"/>
    </row>
    <row r="2117" spans="8:12">
      <c r="H2117" s="4"/>
      <c r="I2117" s="4"/>
      <c r="J2117" s="4"/>
      <c r="K2117" s="4"/>
      <c r="L2117" s="4"/>
    </row>
    <row r="2118" spans="8:12">
      <c r="H2118" s="4"/>
      <c r="I2118" s="4"/>
      <c r="J2118" s="4"/>
      <c r="K2118" s="4"/>
      <c r="L2118" s="4"/>
    </row>
    <row r="2119" spans="8:12">
      <c r="H2119" s="4"/>
      <c r="I2119" s="4"/>
      <c r="J2119" s="4"/>
      <c r="K2119" s="4"/>
      <c r="L2119" s="4"/>
    </row>
    <row r="2120" spans="8:12">
      <c r="H2120" s="4"/>
      <c r="I2120" s="4"/>
      <c r="J2120" s="4"/>
      <c r="K2120" s="4"/>
      <c r="L2120" s="4"/>
    </row>
    <row r="2121" spans="8:12">
      <c r="H2121" s="4"/>
      <c r="I2121" s="4"/>
      <c r="J2121" s="4"/>
      <c r="K2121" s="4"/>
      <c r="L2121" s="4"/>
    </row>
    <row r="2122" spans="8:12">
      <c r="H2122" s="4"/>
      <c r="I2122" s="4"/>
      <c r="J2122" s="4"/>
      <c r="K2122" s="4"/>
      <c r="L2122" s="4"/>
    </row>
    <row r="2123" spans="8:12">
      <c r="H2123" s="4"/>
      <c r="I2123" s="4"/>
      <c r="J2123" s="4"/>
      <c r="K2123" s="4"/>
      <c r="L2123" s="4"/>
    </row>
    <row r="2124" spans="8:12">
      <c r="H2124" s="4"/>
      <c r="I2124" s="4"/>
      <c r="J2124" s="4"/>
      <c r="K2124" s="4"/>
      <c r="L2124" s="4"/>
    </row>
    <row r="2125" spans="8:12">
      <c r="H2125" s="4"/>
      <c r="I2125" s="4"/>
      <c r="J2125" s="4"/>
      <c r="K2125" s="4"/>
      <c r="L2125" s="4"/>
    </row>
    <row r="2126" spans="8:12">
      <c r="H2126" s="4"/>
      <c r="I2126" s="4"/>
      <c r="J2126" s="4"/>
      <c r="K2126" s="4"/>
      <c r="L2126" s="4"/>
    </row>
    <row r="2127" spans="8:12">
      <c r="H2127" s="4"/>
      <c r="I2127" s="4"/>
      <c r="J2127" s="4"/>
      <c r="K2127" s="4"/>
      <c r="L2127" s="4"/>
    </row>
    <row r="2128" spans="8:12">
      <c r="H2128" s="4"/>
      <c r="I2128" s="4"/>
      <c r="J2128" s="4"/>
      <c r="K2128" s="4"/>
      <c r="L2128" s="4"/>
    </row>
    <row r="2129" spans="8:12">
      <c r="H2129" s="4"/>
      <c r="I2129" s="4"/>
      <c r="J2129" s="4"/>
      <c r="K2129" s="4"/>
      <c r="L2129" s="4"/>
    </row>
    <row r="2130" spans="8:12">
      <c r="H2130" s="4"/>
      <c r="I2130" s="4"/>
      <c r="J2130" s="4"/>
      <c r="K2130" s="4"/>
      <c r="L2130" s="4"/>
    </row>
    <row r="2131" spans="8:12">
      <c r="H2131" s="4"/>
      <c r="I2131" s="4"/>
      <c r="J2131" s="4"/>
      <c r="K2131" s="4"/>
      <c r="L2131" s="4"/>
    </row>
    <row r="2132" spans="8:12">
      <c r="H2132" s="4"/>
      <c r="I2132" s="4"/>
      <c r="J2132" s="4"/>
      <c r="K2132" s="4"/>
      <c r="L2132" s="4"/>
    </row>
    <row r="2133" spans="8:12">
      <c r="H2133" s="4"/>
      <c r="I2133" s="4"/>
      <c r="J2133" s="4"/>
      <c r="K2133" s="4"/>
      <c r="L2133" s="4"/>
    </row>
    <row r="2134" spans="8:12">
      <c r="H2134" s="4"/>
      <c r="I2134" s="4"/>
      <c r="J2134" s="4"/>
      <c r="K2134" s="4"/>
      <c r="L2134" s="4"/>
    </row>
    <row r="2135" spans="8:12">
      <c r="H2135" s="4"/>
      <c r="I2135" s="4"/>
      <c r="J2135" s="4"/>
      <c r="K2135" s="4"/>
      <c r="L2135" s="4"/>
    </row>
    <row r="2136" spans="8:12">
      <c r="H2136" s="4"/>
      <c r="I2136" s="4"/>
      <c r="J2136" s="4"/>
      <c r="K2136" s="4"/>
      <c r="L2136" s="4"/>
    </row>
    <row r="2137" spans="8:12">
      <c r="H2137" s="4"/>
      <c r="I2137" s="4"/>
      <c r="J2137" s="4"/>
      <c r="K2137" s="4"/>
      <c r="L2137" s="4"/>
    </row>
    <row r="2138" spans="8:12">
      <c r="H2138" s="4"/>
      <c r="I2138" s="4"/>
      <c r="J2138" s="4"/>
      <c r="K2138" s="4"/>
      <c r="L2138" s="4"/>
    </row>
    <row r="2139" spans="8:12">
      <c r="H2139" s="4"/>
      <c r="I2139" s="4"/>
      <c r="J2139" s="4"/>
      <c r="K2139" s="4"/>
      <c r="L2139" s="4"/>
    </row>
    <row r="2140" spans="8:12">
      <c r="H2140" s="4"/>
      <c r="I2140" s="4"/>
      <c r="J2140" s="4"/>
      <c r="K2140" s="4"/>
      <c r="L2140" s="4"/>
    </row>
    <row r="2141" spans="8:12">
      <c r="H2141" s="4"/>
      <c r="I2141" s="4"/>
      <c r="J2141" s="4"/>
      <c r="K2141" s="4"/>
      <c r="L2141" s="4"/>
    </row>
    <row r="2142" spans="8:12">
      <c r="H2142" s="4"/>
      <c r="I2142" s="4"/>
      <c r="J2142" s="4"/>
      <c r="K2142" s="4"/>
      <c r="L2142" s="4"/>
    </row>
    <row r="2143" spans="8:12">
      <c r="H2143" s="4"/>
      <c r="I2143" s="4"/>
      <c r="J2143" s="4"/>
      <c r="K2143" s="4"/>
      <c r="L2143" s="4"/>
    </row>
    <row r="2144" spans="8:12">
      <c r="H2144" s="4"/>
      <c r="I2144" s="4"/>
      <c r="J2144" s="4"/>
      <c r="K2144" s="4"/>
      <c r="L2144" s="4"/>
    </row>
    <row r="2145" spans="8:12">
      <c r="H2145" s="4"/>
      <c r="I2145" s="4"/>
      <c r="J2145" s="4"/>
      <c r="K2145" s="4"/>
      <c r="L2145" s="4"/>
    </row>
    <row r="2146" spans="8:12">
      <c r="H2146" s="4"/>
      <c r="I2146" s="4"/>
      <c r="J2146" s="4"/>
      <c r="K2146" s="4"/>
      <c r="L2146" s="4"/>
    </row>
    <row r="2147" spans="8:12">
      <c r="H2147" s="4"/>
      <c r="I2147" s="4"/>
      <c r="J2147" s="4"/>
      <c r="K2147" s="4"/>
      <c r="L2147" s="4"/>
    </row>
    <row r="2148" spans="8:12">
      <c r="H2148" s="4"/>
      <c r="I2148" s="4"/>
      <c r="J2148" s="4"/>
      <c r="K2148" s="4"/>
      <c r="L2148" s="4"/>
    </row>
    <row r="2149" spans="8:12">
      <c r="H2149" s="4"/>
      <c r="I2149" s="4"/>
      <c r="J2149" s="4"/>
      <c r="K2149" s="4"/>
      <c r="L2149" s="4"/>
    </row>
    <row r="2150" spans="8:12">
      <c r="H2150" s="4"/>
      <c r="I2150" s="4"/>
      <c r="J2150" s="4"/>
      <c r="K2150" s="4"/>
      <c r="L2150" s="4"/>
    </row>
    <row r="2151" spans="8:12">
      <c r="H2151" s="4"/>
      <c r="I2151" s="4"/>
      <c r="J2151" s="4"/>
      <c r="K2151" s="4"/>
      <c r="L2151" s="4"/>
    </row>
    <row r="2152" spans="8:12">
      <c r="H2152" s="4"/>
      <c r="I2152" s="4"/>
      <c r="J2152" s="4"/>
      <c r="K2152" s="4"/>
      <c r="L2152" s="4"/>
    </row>
    <row r="2153" spans="8:12">
      <c r="H2153" s="4"/>
      <c r="I2153" s="4"/>
      <c r="J2153" s="4"/>
      <c r="K2153" s="4"/>
      <c r="L2153" s="4"/>
    </row>
    <row r="2154" spans="8:12">
      <c r="H2154" s="4"/>
      <c r="I2154" s="4"/>
      <c r="J2154" s="4"/>
      <c r="K2154" s="4"/>
      <c r="L2154" s="4"/>
    </row>
    <row r="2155" spans="8:12">
      <c r="H2155" s="4"/>
      <c r="I2155" s="4"/>
      <c r="J2155" s="4"/>
      <c r="K2155" s="4"/>
      <c r="L2155" s="4"/>
    </row>
    <row r="2156" spans="8:12">
      <c r="H2156" s="4"/>
      <c r="I2156" s="4"/>
      <c r="J2156" s="4"/>
      <c r="K2156" s="4"/>
      <c r="L2156" s="4"/>
    </row>
    <row r="2157" spans="8:12">
      <c r="H2157" s="4"/>
      <c r="I2157" s="4"/>
      <c r="J2157" s="4"/>
      <c r="K2157" s="4"/>
      <c r="L2157" s="4"/>
    </row>
    <row r="2158" spans="8:12">
      <c r="H2158" s="4"/>
      <c r="I2158" s="4"/>
      <c r="J2158" s="4"/>
      <c r="K2158" s="4"/>
      <c r="L2158" s="4"/>
    </row>
    <row r="2159" spans="8:12">
      <c r="H2159" s="4"/>
      <c r="I2159" s="4"/>
      <c r="J2159" s="4"/>
      <c r="K2159" s="4"/>
      <c r="L2159" s="4"/>
    </row>
    <row r="2160" spans="8:12">
      <c r="H2160" s="4"/>
      <c r="I2160" s="4"/>
      <c r="J2160" s="4"/>
      <c r="K2160" s="4"/>
      <c r="L2160" s="4"/>
    </row>
    <row r="2161" spans="8:12">
      <c r="H2161" s="4"/>
      <c r="I2161" s="4"/>
      <c r="J2161" s="4"/>
      <c r="K2161" s="4"/>
      <c r="L2161" s="4"/>
    </row>
    <row r="2162" spans="8:12">
      <c r="H2162" s="4"/>
      <c r="I2162" s="4"/>
      <c r="J2162" s="4"/>
      <c r="K2162" s="4"/>
      <c r="L2162" s="4"/>
    </row>
    <row r="2163" spans="8:12">
      <c r="H2163" s="4"/>
      <c r="I2163" s="4"/>
      <c r="J2163" s="4"/>
      <c r="K2163" s="4"/>
      <c r="L2163" s="4"/>
    </row>
    <row r="2164" spans="8:12">
      <c r="H2164" s="4"/>
      <c r="I2164" s="4"/>
      <c r="J2164" s="4"/>
      <c r="K2164" s="4"/>
      <c r="L2164" s="4"/>
    </row>
    <row r="2165" spans="8:12">
      <c r="H2165" s="4"/>
      <c r="I2165" s="4"/>
      <c r="J2165" s="4"/>
      <c r="K2165" s="4"/>
      <c r="L2165" s="4"/>
    </row>
    <row r="2166" spans="8:12">
      <c r="H2166" s="4"/>
      <c r="I2166" s="4"/>
      <c r="J2166" s="4"/>
      <c r="K2166" s="4"/>
      <c r="L2166" s="4"/>
    </row>
    <row r="2167" spans="8:12">
      <c r="H2167" s="4"/>
      <c r="I2167" s="4"/>
      <c r="J2167" s="4"/>
      <c r="K2167" s="4"/>
      <c r="L2167" s="4"/>
    </row>
    <row r="2168" spans="8:12">
      <c r="H2168" s="4"/>
      <c r="I2168" s="4"/>
      <c r="J2168" s="4"/>
      <c r="K2168" s="4"/>
      <c r="L2168" s="4"/>
    </row>
    <row r="2169" spans="8:12">
      <c r="H2169" s="4"/>
      <c r="I2169" s="4"/>
      <c r="J2169" s="4"/>
      <c r="K2169" s="4"/>
      <c r="L2169" s="4"/>
    </row>
    <row r="2170" spans="8:12">
      <c r="H2170" s="4"/>
      <c r="I2170" s="4"/>
      <c r="J2170" s="4"/>
      <c r="K2170" s="4"/>
      <c r="L2170" s="4"/>
    </row>
    <row r="2171" spans="8:12">
      <c r="H2171" s="4"/>
      <c r="I2171" s="4"/>
      <c r="J2171" s="4"/>
      <c r="K2171" s="4"/>
      <c r="L2171" s="4"/>
    </row>
    <row r="2172" spans="8:12">
      <c r="H2172" s="4"/>
      <c r="I2172" s="4"/>
      <c r="J2172" s="4"/>
      <c r="K2172" s="4"/>
      <c r="L2172" s="4"/>
    </row>
    <row r="2173" spans="8:12">
      <c r="H2173" s="4"/>
      <c r="I2173" s="4"/>
      <c r="J2173" s="4"/>
      <c r="K2173" s="4"/>
      <c r="L2173" s="4"/>
    </row>
    <row r="2174" spans="8:12">
      <c r="H2174" s="4"/>
      <c r="I2174" s="4"/>
      <c r="J2174" s="4"/>
      <c r="K2174" s="4"/>
      <c r="L2174" s="4"/>
    </row>
    <row r="2175" spans="8:12">
      <c r="H2175" s="4"/>
      <c r="I2175" s="4"/>
      <c r="J2175" s="4"/>
      <c r="K2175" s="4"/>
      <c r="L2175" s="4"/>
    </row>
    <row r="2176" spans="8:12">
      <c r="H2176" s="4"/>
      <c r="I2176" s="4"/>
      <c r="J2176" s="4"/>
      <c r="K2176" s="4"/>
      <c r="L2176" s="4"/>
    </row>
    <row r="2177" spans="8:12">
      <c r="H2177" s="4"/>
      <c r="I2177" s="4"/>
      <c r="J2177" s="4"/>
      <c r="K2177" s="4"/>
      <c r="L2177" s="4"/>
    </row>
    <row r="2178" spans="8:12">
      <c r="H2178" s="4"/>
      <c r="I2178" s="4"/>
      <c r="J2178" s="4"/>
      <c r="K2178" s="4"/>
      <c r="L2178" s="4"/>
    </row>
    <row r="2179" spans="8:12">
      <c r="H2179" s="4"/>
      <c r="I2179" s="4"/>
      <c r="J2179" s="4"/>
      <c r="K2179" s="4"/>
      <c r="L2179" s="4"/>
    </row>
    <row r="2180" spans="8:12">
      <c r="H2180" s="4"/>
      <c r="I2180" s="4"/>
      <c r="J2180" s="4"/>
      <c r="K2180" s="4"/>
      <c r="L2180" s="4"/>
    </row>
    <row r="2181" spans="8:12">
      <c r="H2181" s="4"/>
      <c r="I2181" s="4"/>
      <c r="J2181" s="4"/>
      <c r="K2181" s="4"/>
      <c r="L2181" s="4"/>
    </row>
    <row r="2182" spans="8:12">
      <c r="H2182" s="4"/>
      <c r="I2182" s="4"/>
      <c r="J2182" s="4"/>
      <c r="K2182" s="4"/>
      <c r="L2182" s="4"/>
    </row>
    <row r="2183" spans="8:12">
      <c r="H2183" s="4"/>
      <c r="I2183" s="4"/>
      <c r="J2183" s="4"/>
      <c r="K2183" s="4"/>
      <c r="L2183" s="4"/>
    </row>
    <row r="2184" spans="8:12">
      <c r="H2184" s="4"/>
      <c r="I2184" s="4"/>
      <c r="J2184" s="4"/>
      <c r="K2184" s="4"/>
      <c r="L2184" s="4"/>
    </row>
    <row r="2185" spans="8:12">
      <c r="H2185" s="4"/>
      <c r="I2185" s="4"/>
      <c r="J2185" s="4"/>
      <c r="K2185" s="4"/>
      <c r="L2185" s="4"/>
    </row>
    <row r="2186" spans="8:12">
      <c r="H2186" s="4"/>
      <c r="I2186" s="4"/>
      <c r="J2186" s="4"/>
      <c r="K2186" s="4"/>
      <c r="L2186" s="4"/>
    </row>
    <row r="2187" spans="8:12">
      <c r="H2187" s="4"/>
      <c r="I2187" s="4"/>
      <c r="J2187" s="4"/>
      <c r="K2187" s="4"/>
      <c r="L2187" s="4"/>
    </row>
    <row r="2188" spans="8:12">
      <c r="H2188" s="4"/>
      <c r="I2188" s="4"/>
      <c r="J2188" s="4"/>
      <c r="K2188" s="4"/>
      <c r="L2188" s="4"/>
    </row>
    <row r="2189" spans="8:12">
      <c r="H2189" s="4"/>
      <c r="I2189" s="4"/>
      <c r="J2189" s="4"/>
      <c r="K2189" s="4"/>
      <c r="L2189" s="4"/>
    </row>
    <row r="2190" spans="8:12">
      <c r="H2190" s="4"/>
      <c r="I2190" s="4"/>
      <c r="J2190" s="4"/>
      <c r="K2190" s="4"/>
      <c r="L2190" s="4"/>
    </row>
    <row r="2191" spans="8:12">
      <c r="H2191" s="4"/>
      <c r="I2191" s="4"/>
      <c r="J2191" s="4"/>
      <c r="K2191" s="4"/>
      <c r="L2191" s="4"/>
    </row>
    <row r="2192" spans="8:12">
      <c r="H2192" s="4"/>
      <c r="I2192" s="4"/>
      <c r="J2192" s="4"/>
      <c r="K2192" s="4"/>
      <c r="L2192" s="4"/>
    </row>
    <row r="2193" spans="8:12">
      <c r="H2193" s="4"/>
      <c r="I2193" s="4"/>
      <c r="J2193" s="4"/>
      <c r="K2193" s="4"/>
      <c r="L2193" s="4"/>
    </row>
    <row r="2194" spans="8:12">
      <c r="H2194" s="4"/>
      <c r="I2194" s="4"/>
      <c r="J2194" s="4"/>
      <c r="K2194" s="4"/>
      <c r="L2194" s="4"/>
    </row>
    <row r="2195" spans="8:12">
      <c r="H2195" s="4"/>
      <c r="I2195" s="4"/>
      <c r="J2195" s="4"/>
      <c r="K2195" s="4"/>
      <c r="L2195" s="4"/>
    </row>
    <row r="2196" spans="8:12">
      <c r="H2196" s="4"/>
      <c r="I2196" s="4"/>
      <c r="J2196" s="4"/>
      <c r="K2196" s="4"/>
      <c r="L2196" s="4"/>
    </row>
    <row r="2197" spans="8:12">
      <c r="H2197" s="4"/>
      <c r="I2197" s="4"/>
      <c r="J2197" s="4"/>
      <c r="K2197" s="4"/>
      <c r="L2197" s="4"/>
    </row>
    <row r="2198" spans="8:12">
      <c r="H2198" s="4"/>
      <c r="I2198" s="4"/>
      <c r="J2198" s="4"/>
      <c r="K2198" s="4"/>
      <c r="L2198" s="4"/>
    </row>
    <row r="2199" spans="8:12">
      <c r="H2199" s="4"/>
      <c r="I2199" s="4"/>
      <c r="J2199" s="4"/>
      <c r="K2199" s="4"/>
      <c r="L2199" s="4"/>
    </row>
    <row r="2200" spans="8:12">
      <c r="H2200" s="4"/>
      <c r="I2200" s="4"/>
      <c r="J2200" s="4"/>
      <c r="K2200" s="4"/>
      <c r="L2200" s="4"/>
    </row>
    <row r="2201" spans="8:12">
      <c r="H2201" s="4"/>
      <c r="I2201" s="4"/>
      <c r="J2201" s="4"/>
      <c r="K2201" s="4"/>
      <c r="L2201" s="4"/>
    </row>
    <row r="2202" spans="8:12">
      <c r="H2202" s="4"/>
      <c r="I2202" s="4"/>
      <c r="J2202" s="4"/>
      <c r="K2202" s="4"/>
      <c r="L2202" s="4"/>
    </row>
    <row r="2203" spans="8:12">
      <c r="H2203" s="4"/>
      <c r="I2203" s="4"/>
      <c r="J2203" s="4"/>
      <c r="K2203" s="4"/>
      <c r="L2203" s="4"/>
    </row>
    <row r="2204" spans="8:12">
      <c r="H2204" s="4"/>
      <c r="I2204" s="4"/>
      <c r="J2204" s="4"/>
      <c r="K2204" s="4"/>
      <c r="L2204" s="4"/>
    </row>
    <row r="2205" spans="8:12">
      <c r="H2205" s="4"/>
      <c r="I2205" s="4"/>
      <c r="J2205" s="4"/>
      <c r="K2205" s="4"/>
      <c r="L2205" s="4"/>
    </row>
    <row r="2206" spans="8:12">
      <c r="H2206" s="4"/>
      <c r="I2206" s="4"/>
      <c r="J2206" s="4"/>
      <c r="K2206" s="4"/>
      <c r="L2206" s="4"/>
    </row>
    <row r="2207" spans="8:12">
      <c r="H2207" s="4"/>
      <c r="I2207" s="4"/>
      <c r="J2207" s="4"/>
      <c r="K2207" s="4"/>
      <c r="L2207" s="4"/>
    </row>
    <row r="2208" spans="8:12">
      <c r="H2208" s="4"/>
      <c r="I2208" s="4"/>
      <c r="J2208" s="4"/>
      <c r="K2208" s="4"/>
      <c r="L2208" s="4"/>
    </row>
    <row r="2209" spans="8:12">
      <c r="H2209" s="4"/>
      <c r="I2209" s="4"/>
      <c r="J2209" s="4"/>
      <c r="K2209" s="4"/>
      <c r="L2209" s="4"/>
    </row>
    <row r="2210" spans="8:12">
      <c r="H2210" s="4"/>
      <c r="I2210" s="4"/>
      <c r="J2210" s="4"/>
      <c r="K2210" s="4"/>
      <c r="L2210" s="4"/>
    </row>
    <row r="2211" spans="8:12">
      <c r="H2211" s="4"/>
      <c r="I2211" s="4"/>
      <c r="J2211" s="4"/>
      <c r="K2211" s="4"/>
      <c r="L2211" s="4"/>
    </row>
    <row r="2212" spans="8:12">
      <c r="H2212" s="4"/>
      <c r="I2212" s="4"/>
      <c r="J2212" s="4"/>
      <c r="K2212" s="4"/>
      <c r="L2212" s="4"/>
    </row>
    <row r="2213" spans="8:12">
      <c r="H2213" s="4"/>
      <c r="I2213" s="4"/>
      <c r="J2213" s="4"/>
      <c r="K2213" s="4"/>
      <c r="L2213" s="4"/>
    </row>
    <row r="2214" spans="8:12">
      <c r="H2214" s="4"/>
      <c r="I2214" s="4"/>
      <c r="J2214" s="4"/>
      <c r="K2214" s="4"/>
      <c r="L2214" s="4"/>
    </row>
    <row r="2215" spans="8:12">
      <c r="H2215" s="4"/>
      <c r="I2215" s="4"/>
      <c r="J2215" s="4"/>
      <c r="K2215" s="4"/>
      <c r="L2215" s="4"/>
    </row>
    <row r="2216" spans="8:12">
      <c r="H2216" s="4"/>
      <c r="I2216" s="4"/>
      <c r="J2216" s="4"/>
      <c r="K2216" s="4"/>
      <c r="L2216" s="4"/>
    </row>
    <row r="2217" spans="8:12">
      <c r="H2217" s="4"/>
      <c r="I2217" s="4"/>
      <c r="J2217" s="4"/>
      <c r="K2217" s="4"/>
      <c r="L2217" s="4"/>
    </row>
    <row r="2218" spans="8:12">
      <c r="H2218" s="4"/>
      <c r="I2218" s="4"/>
      <c r="J2218" s="4"/>
      <c r="K2218" s="4"/>
      <c r="L2218" s="4"/>
    </row>
    <row r="2219" spans="8:12">
      <c r="H2219" s="4"/>
      <c r="I2219" s="4"/>
      <c r="J2219" s="4"/>
      <c r="K2219" s="4"/>
      <c r="L2219" s="4"/>
    </row>
    <row r="2220" spans="8:12">
      <c r="H2220" s="4"/>
      <c r="I2220" s="4"/>
      <c r="J2220" s="4"/>
      <c r="K2220" s="4"/>
      <c r="L2220" s="4"/>
    </row>
    <row r="2221" spans="8:12">
      <c r="H2221" s="4"/>
      <c r="I2221" s="4"/>
      <c r="J2221" s="4"/>
      <c r="K2221" s="4"/>
      <c r="L2221" s="4"/>
    </row>
    <row r="2222" spans="8:12">
      <c r="H2222" s="4"/>
      <c r="I2222" s="4"/>
      <c r="J2222" s="4"/>
      <c r="K2222" s="4"/>
      <c r="L2222" s="4"/>
    </row>
    <row r="2223" spans="8:12">
      <c r="H2223" s="4"/>
      <c r="I2223" s="4"/>
      <c r="J2223" s="4"/>
      <c r="K2223" s="4"/>
      <c r="L2223" s="4"/>
    </row>
    <row r="2224" spans="8:12">
      <c r="H2224" s="4"/>
      <c r="I2224" s="4"/>
      <c r="J2224" s="4"/>
      <c r="K2224" s="4"/>
      <c r="L2224" s="4"/>
    </row>
    <row r="2225" spans="8:12">
      <c r="H2225" s="4"/>
      <c r="I2225" s="4"/>
      <c r="J2225" s="4"/>
      <c r="K2225" s="4"/>
      <c r="L2225" s="4"/>
    </row>
    <row r="2226" spans="8:12">
      <c r="H2226" s="4"/>
      <c r="I2226" s="4"/>
      <c r="J2226" s="4"/>
      <c r="K2226" s="4"/>
      <c r="L2226" s="4"/>
    </row>
    <row r="2227" spans="8:12">
      <c r="H2227" s="4"/>
      <c r="I2227" s="4"/>
      <c r="J2227" s="4"/>
      <c r="K2227" s="4"/>
      <c r="L2227" s="4"/>
    </row>
    <row r="2228" spans="8:12">
      <c r="H2228" s="4"/>
      <c r="I2228" s="4"/>
      <c r="J2228" s="4"/>
      <c r="K2228" s="4"/>
      <c r="L2228" s="4"/>
    </row>
    <row r="2229" spans="8:12">
      <c r="H2229" s="4"/>
      <c r="I2229" s="4"/>
      <c r="J2229" s="4"/>
      <c r="K2229" s="4"/>
      <c r="L2229" s="4"/>
    </row>
    <row r="2230" spans="8:12">
      <c r="H2230" s="4"/>
      <c r="I2230" s="4"/>
      <c r="J2230" s="4"/>
      <c r="K2230" s="4"/>
      <c r="L2230" s="4"/>
    </row>
    <row r="2231" spans="8:12">
      <c r="H2231" s="4"/>
      <c r="I2231" s="4"/>
      <c r="J2231" s="4"/>
      <c r="K2231" s="4"/>
      <c r="L2231" s="4"/>
    </row>
    <row r="2232" spans="8:12">
      <c r="H2232" s="4"/>
      <c r="I2232" s="4"/>
      <c r="J2232" s="4"/>
      <c r="K2232" s="4"/>
      <c r="L2232" s="4"/>
    </row>
    <row r="2233" spans="8:12">
      <c r="H2233" s="4"/>
      <c r="I2233" s="4"/>
      <c r="J2233" s="4"/>
      <c r="K2233" s="4"/>
      <c r="L2233" s="4"/>
    </row>
    <row r="2234" spans="8:12">
      <c r="H2234" s="4"/>
      <c r="I2234" s="4"/>
      <c r="J2234" s="4"/>
      <c r="K2234" s="4"/>
      <c r="L2234" s="4"/>
    </row>
    <row r="2235" spans="8:12">
      <c r="H2235" s="4"/>
      <c r="I2235" s="4"/>
      <c r="J2235" s="4"/>
      <c r="K2235" s="4"/>
      <c r="L2235" s="4"/>
    </row>
    <row r="2236" spans="8:12">
      <c r="H2236" s="4"/>
      <c r="I2236" s="4"/>
      <c r="J2236" s="4"/>
      <c r="K2236" s="4"/>
      <c r="L2236" s="4"/>
    </row>
    <row r="2237" spans="8:12">
      <c r="H2237" s="4"/>
      <c r="I2237" s="4"/>
      <c r="J2237" s="4"/>
      <c r="K2237" s="4"/>
      <c r="L2237" s="4"/>
    </row>
    <row r="2238" spans="8:12">
      <c r="H2238" s="4"/>
      <c r="I2238" s="4"/>
      <c r="J2238" s="4"/>
      <c r="K2238" s="4"/>
      <c r="L2238" s="4"/>
    </row>
    <row r="2239" spans="8:12">
      <c r="H2239" s="4"/>
      <c r="I2239" s="4"/>
      <c r="J2239" s="4"/>
      <c r="K2239" s="4"/>
      <c r="L2239" s="4"/>
    </row>
    <row r="2240" spans="8:12">
      <c r="H2240" s="4"/>
      <c r="I2240" s="4"/>
      <c r="J2240" s="4"/>
      <c r="K2240" s="4"/>
      <c r="L2240" s="4"/>
    </row>
    <row r="2241" spans="8:12">
      <c r="H2241" s="4"/>
      <c r="I2241" s="4"/>
      <c r="J2241" s="4"/>
      <c r="K2241" s="4"/>
      <c r="L2241" s="4"/>
    </row>
    <row r="2242" spans="8:12">
      <c r="H2242" s="4"/>
      <c r="I2242" s="4"/>
      <c r="J2242" s="4"/>
      <c r="K2242" s="4"/>
      <c r="L2242" s="4"/>
    </row>
    <row r="2243" spans="8:12">
      <c r="H2243" s="4"/>
      <c r="I2243" s="4"/>
      <c r="J2243" s="4"/>
      <c r="K2243" s="4"/>
      <c r="L2243" s="4"/>
    </row>
    <row r="2244" spans="8:12">
      <c r="H2244" s="4"/>
      <c r="I2244" s="4"/>
      <c r="J2244" s="4"/>
      <c r="K2244" s="4"/>
      <c r="L2244" s="4"/>
    </row>
    <row r="2245" spans="8:12">
      <c r="H2245" s="4"/>
      <c r="I2245" s="4"/>
      <c r="J2245" s="4"/>
      <c r="K2245" s="4"/>
      <c r="L2245" s="4"/>
    </row>
    <row r="2246" spans="8:12">
      <c r="H2246" s="4"/>
      <c r="I2246" s="4"/>
      <c r="J2246" s="4"/>
      <c r="K2246" s="4"/>
      <c r="L2246" s="4"/>
    </row>
    <row r="2247" spans="8:12">
      <c r="H2247" s="4"/>
      <c r="I2247" s="4"/>
      <c r="J2247" s="4"/>
      <c r="K2247" s="4"/>
      <c r="L2247" s="4"/>
    </row>
    <row r="2248" spans="8:12">
      <c r="H2248" s="4"/>
      <c r="I2248" s="4"/>
      <c r="J2248" s="4"/>
      <c r="K2248" s="4"/>
      <c r="L2248" s="4"/>
    </row>
    <row r="2249" spans="8:12">
      <c r="H2249" s="4"/>
      <c r="I2249" s="4"/>
      <c r="J2249" s="4"/>
      <c r="K2249" s="4"/>
      <c r="L2249" s="4"/>
    </row>
    <row r="2250" spans="8:12">
      <c r="H2250" s="4"/>
      <c r="I2250" s="4"/>
      <c r="J2250" s="4"/>
      <c r="K2250" s="4"/>
      <c r="L2250" s="4"/>
    </row>
    <row r="2251" spans="8:12">
      <c r="H2251" s="4"/>
      <c r="I2251" s="4"/>
      <c r="J2251" s="4"/>
      <c r="K2251" s="4"/>
      <c r="L2251" s="4"/>
    </row>
    <row r="2252" spans="8:12">
      <c r="H2252" s="4"/>
      <c r="I2252" s="4"/>
      <c r="J2252" s="4"/>
      <c r="K2252" s="4"/>
      <c r="L2252" s="4"/>
    </row>
    <row r="2253" spans="8:12">
      <c r="H2253" s="4"/>
      <c r="I2253" s="4"/>
      <c r="J2253" s="4"/>
      <c r="K2253" s="4"/>
      <c r="L2253" s="4"/>
    </row>
    <row r="2254" spans="8:12">
      <c r="H2254" s="4"/>
      <c r="I2254" s="4"/>
      <c r="J2254" s="4"/>
      <c r="K2254" s="4"/>
      <c r="L2254" s="4"/>
    </row>
    <row r="2255" spans="8:12">
      <c r="H2255" s="4"/>
      <c r="I2255" s="4"/>
      <c r="J2255" s="4"/>
      <c r="K2255" s="4"/>
      <c r="L2255" s="4"/>
    </row>
    <row r="2256" spans="8:12">
      <c r="H2256" s="4"/>
      <c r="I2256" s="4"/>
      <c r="J2256" s="4"/>
      <c r="K2256" s="4"/>
      <c r="L2256" s="4"/>
    </row>
    <row r="2257" spans="8:12">
      <c r="H2257" s="4"/>
      <c r="I2257" s="4"/>
      <c r="J2257" s="4"/>
      <c r="K2257" s="4"/>
      <c r="L2257" s="4"/>
    </row>
    <row r="2258" spans="8:12">
      <c r="H2258" s="4"/>
      <c r="I2258" s="4"/>
      <c r="J2258" s="4"/>
      <c r="K2258" s="4"/>
      <c r="L2258" s="4"/>
    </row>
    <row r="2259" spans="8:12">
      <c r="H2259" s="4"/>
      <c r="I2259" s="4"/>
      <c r="J2259" s="4"/>
      <c r="K2259" s="4"/>
      <c r="L2259" s="4"/>
    </row>
    <row r="2260" spans="8:12">
      <c r="H2260" s="4"/>
      <c r="I2260" s="4"/>
      <c r="J2260" s="4"/>
      <c r="K2260" s="4"/>
      <c r="L2260" s="4"/>
    </row>
    <row r="2261" spans="8:12">
      <c r="H2261" s="4"/>
      <c r="I2261" s="4"/>
      <c r="J2261" s="4"/>
      <c r="K2261" s="4"/>
      <c r="L2261" s="4"/>
    </row>
    <row r="2262" spans="8:12">
      <c r="H2262" s="4"/>
      <c r="I2262" s="4"/>
      <c r="J2262" s="4"/>
      <c r="K2262" s="4"/>
      <c r="L2262" s="4"/>
    </row>
    <row r="2263" spans="8:12">
      <c r="H2263" s="4"/>
      <c r="I2263" s="4"/>
      <c r="J2263" s="4"/>
      <c r="K2263" s="4"/>
      <c r="L2263" s="4"/>
    </row>
    <row r="2264" spans="8:12">
      <c r="H2264" s="4"/>
      <c r="I2264" s="4"/>
      <c r="J2264" s="4"/>
      <c r="K2264" s="4"/>
      <c r="L2264" s="4"/>
    </row>
    <row r="2265" spans="8:12">
      <c r="H2265" s="4"/>
      <c r="I2265" s="4"/>
      <c r="J2265" s="4"/>
      <c r="K2265" s="4"/>
      <c r="L2265" s="4"/>
    </row>
    <row r="2266" spans="8:12">
      <c r="H2266" s="4"/>
      <c r="I2266" s="4"/>
      <c r="J2266" s="4"/>
      <c r="K2266" s="4"/>
      <c r="L2266" s="4"/>
    </row>
    <row r="2267" spans="8:12">
      <c r="H2267" s="4"/>
      <c r="I2267" s="4"/>
      <c r="J2267" s="4"/>
      <c r="K2267" s="4"/>
      <c r="L2267" s="4"/>
    </row>
    <row r="2268" spans="8:12">
      <c r="H2268" s="4"/>
      <c r="I2268" s="4"/>
      <c r="J2268" s="4"/>
      <c r="K2268" s="4"/>
      <c r="L2268" s="4"/>
    </row>
    <row r="2269" spans="8:12">
      <c r="H2269" s="4"/>
      <c r="I2269" s="4"/>
      <c r="J2269" s="4"/>
      <c r="K2269" s="4"/>
      <c r="L2269" s="4"/>
    </row>
    <row r="2270" spans="8:12">
      <c r="H2270" s="4"/>
      <c r="I2270" s="4"/>
      <c r="J2270" s="4"/>
      <c r="K2270" s="4"/>
      <c r="L2270" s="4"/>
    </row>
    <row r="2271" spans="8:12">
      <c r="H2271" s="4"/>
      <c r="I2271" s="4"/>
      <c r="J2271" s="4"/>
      <c r="K2271" s="4"/>
      <c r="L2271" s="4"/>
    </row>
    <row r="2272" spans="8:12">
      <c r="H2272" s="4"/>
      <c r="I2272" s="4"/>
      <c r="J2272" s="4"/>
      <c r="K2272" s="4"/>
      <c r="L2272" s="4"/>
    </row>
    <row r="2273" spans="8:12">
      <c r="H2273" s="4"/>
      <c r="I2273" s="4"/>
      <c r="J2273" s="4"/>
      <c r="K2273" s="4"/>
      <c r="L2273" s="4"/>
    </row>
    <row r="2274" spans="8:12">
      <c r="H2274" s="4"/>
      <c r="I2274" s="4"/>
      <c r="J2274" s="4"/>
      <c r="K2274" s="4"/>
      <c r="L2274" s="4"/>
    </row>
    <row r="2275" spans="8:12">
      <c r="H2275" s="4"/>
      <c r="I2275" s="4"/>
      <c r="J2275" s="4"/>
      <c r="K2275" s="4"/>
      <c r="L2275" s="4"/>
    </row>
    <row r="2276" spans="8:12">
      <c r="H2276" s="4"/>
      <c r="I2276" s="4"/>
      <c r="J2276" s="4"/>
      <c r="K2276" s="4"/>
      <c r="L2276" s="4"/>
    </row>
    <row r="2277" spans="8:12">
      <c r="H2277" s="4"/>
      <c r="I2277" s="4"/>
      <c r="J2277" s="4"/>
      <c r="K2277" s="4"/>
      <c r="L2277" s="4"/>
    </row>
    <row r="2278" spans="8:12">
      <c r="H2278" s="4"/>
      <c r="I2278" s="4"/>
      <c r="J2278" s="4"/>
      <c r="K2278" s="4"/>
      <c r="L2278" s="4"/>
    </row>
    <row r="2279" spans="8:12">
      <c r="H2279" s="4"/>
      <c r="I2279" s="4"/>
      <c r="J2279" s="4"/>
      <c r="K2279" s="4"/>
      <c r="L2279" s="4"/>
    </row>
    <row r="2280" spans="8:12">
      <c r="H2280" s="4"/>
      <c r="I2280" s="4"/>
      <c r="J2280" s="4"/>
      <c r="K2280" s="4"/>
      <c r="L2280" s="4"/>
    </row>
    <row r="2281" spans="8:12">
      <c r="H2281" s="4"/>
      <c r="I2281" s="4"/>
      <c r="J2281" s="4"/>
      <c r="K2281" s="4"/>
      <c r="L2281" s="4"/>
    </row>
    <row r="2282" spans="8:12">
      <c r="H2282" s="4"/>
      <c r="I2282" s="4"/>
      <c r="J2282" s="4"/>
      <c r="K2282" s="4"/>
      <c r="L2282" s="4"/>
    </row>
    <row r="2283" spans="8:12">
      <c r="H2283" s="4"/>
      <c r="I2283" s="4"/>
      <c r="J2283" s="4"/>
      <c r="K2283" s="4"/>
      <c r="L2283" s="4"/>
    </row>
    <row r="2284" spans="8:12">
      <c r="H2284" s="4"/>
      <c r="I2284" s="4"/>
      <c r="J2284" s="4"/>
      <c r="K2284" s="4"/>
      <c r="L2284" s="4"/>
    </row>
    <row r="2285" spans="8:12">
      <c r="H2285" s="4"/>
      <c r="I2285" s="4"/>
      <c r="J2285" s="4"/>
      <c r="K2285" s="4"/>
      <c r="L2285" s="4"/>
    </row>
    <row r="2286" spans="8:12">
      <c r="H2286" s="4"/>
      <c r="I2286" s="4"/>
      <c r="J2286" s="4"/>
      <c r="K2286" s="4"/>
      <c r="L2286" s="4"/>
    </row>
    <row r="2287" spans="8:12">
      <c r="H2287" s="4"/>
      <c r="I2287" s="4"/>
      <c r="J2287" s="4"/>
      <c r="K2287" s="4"/>
      <c r="L2287" s="4"/>
    </row>
    <row r="2288" spans="8:12">
      <c r="H2288" s="4"/>
      <c r="I2288" s="4"/>
      <c r="J2288" s="4"/>
      <c r="K2288" s="4"/>
      <c r="L2288" s="4"/>
    </row>
    <row r="2289" spans="8:12">
      <c r="H2289" s="4"/>
      <c r="I2289" s="4"/>
      <c r="J2289" s="4"/>
      <c r="K2289" s="4"/>
      <c r="L2289" s="4"/>
    </row>
    <row r="2290" spans="8:12">
      <c r="H2290" s="4"/>
      <c r="I2290" s="4"/>
      <c r="J2290" s="4"/>
      <c r="K2290" s="4"/>
      <c r="L2290" s="4"/>
    </row>
    <row r="2291" spans="8:12">
      <c r="H2291" s="4"/>
      <c r="I2291" s="4"/>
      <c r="J2291" s="4"/>
      <c r="K2291" s="4"/>
      <c r="L2291" s="4"/>
    </row>
    <row r="2292" spans="8:12">
      <c r="H2292" s="4"/>
      <c r="I2292" s="4"/>
      <c r="J2292" s="4"/>
      <c r="K2292" s="4"/>
      <c r="L2292" s="4"/>
    </row>
    <row r="2293" spans="8:12">
      <c r="H2293" s="4"/>
      <c r="I2293" s="4"/>
      <c r="J2293" s="4"/>
      <c r="K2293" s="4"/>
      <c r="L2293" s="4"/>
    </row>
    <row r="2294" spans="8:12">
      <c r="H2294" s="4"/>
      <c r="I2294" s="4"/>
      <c r="J2294" s="4"/>
      <c r="K2294" s="4"/>
      <c r="L2294" s="4"/>
    </row>
    <row r="2295" spans="8:12">
      <c r="H2295" s="4"/>
      <c r="I2295" s="4"/>
      <c r="J2295" s="4"/>
      <c r="K2295" s="4"/>
      <c r="L2295" s="4"/>
    </row>
    <row r="2296" spans="8:12">
      <c r="H2296" s="4"/>
      <c r="I2296" s="4"/>
      <c r="J2296" s="4"/>
      <c r="K2296" s="4"/>
      <c r="L2296" s="4"/>
    </row>
    <row r="2297" spans="8:12">
      <c r="H2297" s="4"/>
      <c r="I2297" s="4"/>
      <c r="J2297" s="4"/>
      <c r="K2297" s="4"/>
      <c r="L2297" s="4"/>
    </row>
    <row r="2298" spans="8:12">
      <c r="H2298" s="4"/>
      <c r="I2298" s="4"/>
      <c r="J2298" s="4"/>
      <c r="K2298" s="4"/>
      <c r="L2298" s="4"/>
    </row>
    <row r="2299" spans="8:12">
      <c r="H2299" s="4"/>
      <c r="I2299" s="4"/>
      <c r="J2299" s="4"/>
      <c r="K2299" s="4"/>
      <c r="L2299" s="4"/>
    </row>
    <row r="2300" spans="8:12">
      <c r="H2300" s="4"/>
      <c r="I2300" s="4"/>
      <c r="J2300" s="4"/>
      <c r="K2300" s="4"/>
      <c r="L2300" s="4"/>
    </row>
    <row r="2301" spans="8:12">
      <c r="H2301" s="4"/>
      <c r="I2301" s="4"/>
      <c r="J2301" s="4"/>
      <c r="K2301" s="4"/>
      <c r="L2301" s="4"/>
    </row>
    <row r="2302" spans="8:12">
      <c r="H2302" s="4"/>
      <c r="I2302" s="4"/>
      <c r="J2302" s="4"/>
      <c r="K2302" s="4"/>
      <c r="L2302" s="4"/>
    </row>
    <row r="2303" spans="8:12">
      <c r="H2303" s="4"/>
      <c r="I2303" s="4"/>
      <c r="J2303" s="4"/>
      <c r="K2303" s="4"/>
      <c r="L2303" s="4"/>
    </row>
    <row r="2304" spans="8:12">
      <c r="H2304" s="4"/>
      <c r="I2304" s="4"/>
      <c r="J2304" s="4"/>
      <c r="K2304" s="4"/>
      <c r="L2304" s="4"/>
    </row>
    <row r="2305" spans="8:12">
      <c r="H2305" s="4"/>
      <c r="I2305" s="4"/>
      <c r="J2305" s="4"/>
      <c r="K2305" s="4"/>
      <c r="L2305" s="4"/>
    </row>
    <row r="2306" spans="8:12">
      <c r="H2306" s="4"/>
      <c r="I2306" s="4"/>
      <c r="J2306" s="4"/>
      <c r="K2306" s="4"/>
      <c r="L2306" s="4"/>
    </row>
    <row r="2307" spans="8:12">
      <c r="H2307" s="4"/>
      <c r="I2307" s="4"/>
      <c r="J2307" s="4"/>
      <c r="K2307" s="4"/>
      <c r="L2307" s="4"/>
    </row>
    <row r="2308" spans="8:12">
      <c r="H2308" s="4"/>
      <c r="I2308" s="4"/>
      <c r="J2308" s="4"/>
      <c r="K2308" s="4"/>
      <c r="L2308" s="4"/>
    </row>
    <row r="2309" spans="8:12">
      <c r="H2309" s="4"/>
      <c r="I2309" s="4"/>
      <c r="J2309" s="4"/>
      <c r="K2309" s="4"/>
      <c r="L2309" s="4"/>
    </row>
    <row r="2310" spans="8:12">
      <c r="H2310" s="4"/>
      <c r="I2310" s="4"/>
      <c r="J2310" s="4"/>
      <c r="K2310" s="4"/>
      <c r="L2310" s="4"/>
    </row>
    <row r="2311" spans="8:12">
      <c r="H2311" s="4"/>
      <c r="I2311" s="4"/>
      <c r="J2311" s="4"/>
      <c r="K2311" s="4"/>
      <c r="L2311" s="4"/>
    </row>
    <row r="2312" spans="8:12">
      <c r="H2312" s="4"/>
      <c r="I2312" s="4"/>
      <c r="J2312" s="4"/>
      <c r="K2312" s="4"/>
      <c r="L2312" s="4"/>
    </row>
    <row r="2313" spans="8:12">
      <c r="H2313" s="4"/>
      <c r="I2313" s="4"/>
      <c r="J2313" s="4"/>
      <c r="K2313" s="4"/>
      <c r="L2313" s="4"/>
    </row>
    <row r="2314" spans="8:12">
      <c r="H2314" s="4"/>
      <c r="I2314" s="4"/>
      <c r="J2314" s="4"/>
      <c r="K2314" s="4"/>
      <c r="L2314" s="4"/>
    </row>
    <row r="2315" spans="8:12">
      <c r="H2315" s="4"/>
      <c r="I2315" s="4"/>
      <c r="J2315" s="4"/>
      <c r="K2315" s="4"/>
      <c r="L2315" s="4"/>
    </row>
    <row r="2316" spans="8:12">
      <c r="H2316" s="4"/>
      <c r="I2316" s="4"/>
      <c r="J2316" s="4"/>
      <c r="K2316" s="4"/>
      <c r="L2316" s="4"/>
    </row>
    <row r="2317" spans="8:12">
      <c r="H2317" s="4"/>
      <c r="I2317" s="4"/>
      <c r="J2317" s="4"/>
      <c r="K2317" s="4"/>
      <c r="L2317" s="4"/>
    </row>
    <row r="2318" spans="8:12">
      <c r="H2318" s="4"/>
      <c r="I2318" s="4"/>
      <c r="J2318" s="4"/>
      <c r="K2318" s="4"/>
      <c r="L2318" s="4"/>
    </row>
    <row r="2319" spans="8:12">
      <c r="H2319" s="4"/>
      <c r="I2319" s="4"/>
      <c r="J2319" s="4"/>
      <c r="K2319" s="4"/>
      <c r="L2319" s="4"/>
    </row>
    <row r="2320" spans="8:12">
      <c r="H2320" s="4"/>
      <c r="I2320" s="4"/>
      <c r="J2320" s="4"/>
      <c r="K2320" s="4"/>
      <c r="L2320" s="4"/>
    </row>
    <row r="2321" spans="8:12">
      <c r="H2321" s="4"/>
      <c r="I2321" s="4"/>
      <c r="J2321" s="4"/>
      <c r="K2321" s="4"/>
      <c r="L2321" s="4"/>
    </row>
    <row r="2322" spans="8:12">
      <c r="H2322" s="4"/>
      <c r="I2322" s="4"/>
      <c r="J2322" s="4"/>
      <c r="K2322" s="4"/>
      <c r="L2322" s="4"/>
    </row>
    <row r="2323" spans="8:12">
      <c r="H2323" s="4"/>
      <c r="I2323" s="4"/>
      <c r="J2323" s="4"/>
      <c r="K2323" s="4"/>
      <c r="L2323" s="4"/>
    </row>
    <row r="2324" spans="8:12">
      <c r="H2324" s="4"/>
      <c r="I2324" s="4"/>
      <c r="J2324" s="4"/>
      <c r="K2324" s="4"/>
      <c r="L2324" s="4"/>
    </row>
    <row r="2325" spans="8:12">
      <c r="H2325" s="4"/>
      <c r="I2325" s="4"/>
      <c r="J2325" s="4"/>
      <c r="K2325" s="4"/>
      <c r="L2325" s="4"/>
    </row>
    <row r="2326" spans="8:12">
      <c r="H2326" s="4"/>
      <c r="I2326" s="4"/>
      <c r="J2326" s="4"/>
      <c r="K2326" s="4"/>
      <c r="L2326" s="4"/>
    </row>
    <row r="2327" spans="8:12">
      <c r="H2327" s="4"/>
      <c r="I2327" s="4"/>
      <c r="J2327" s="4"/>
      <c r="K2327" s="4"/>
      <c r="L2327" s="4"/>
    </row>
    <row r="2328" spans="8:12">
      <c r="H2328" s="4"/>
      <c r="I2328" s="4"/>
      <c r="J2328" s="4"/>
      <c r="K2328" s="4"/>
      <c r="L2328" s="4"/>
    </row>
    <row r="2329" spans="8:12">
      <c r="H2329" s="4"/>
      <c r="I2329" s="4"/>
      <c r="J2329" s="4"/>
      <c r="K2329" s="4"/>
      <c r="L2329" s="4"/>
    </row>
    <row r="2330" spans="8:12">
      <c r="H2330" s="4"/>
      <c r="I2330" s="4"/>
      <c r="J2330" s="4"/>
      <c r="K2330" s="4"/>
      <c r="L2330" s="4"/>
    </row>
    <row r="2331" spans="8:12">
      <c r="H2331" s="4"/>
      <c r="I2331" s="4"/>
      <c r="J2331" s="4"/>
      <c r="K2331" s="4"/>
      <c r="L2331" s="4"/>
    </row>
    <row r="2332" spans="8:12">
      <c r="H2332" s="4"/>
      <c r="I2332" s="4"/>
      <c r="J2332" s="4"/>
      <c r="K2332" s="4"/>
      <c r="L2332" s="4"/>
    </row>
    <row r="2333" spans="8:12">
      <c r="H2333" s="4"/>
      <c r="I2333" s="4"/>
      <c r="J2333" s="4"/>
      <c r="K2333" s="4"/>
      <c r="L2333" s="4"/>
    </row>
    <row r="2334" spans="8:12">
      <c r="H2334" s="4"/>
      <c r="I2334" s="4"/>
      <c r="J2334" s="4"/>
      <c r="K2334" s="4"/>
      <c r="L2334" s="4"/>
    </row>
    <row r="2335" spans="8:12">
      <c r="H2335" s="4"/>
      <c r="I2335" s="4"/>
      <c r="J2335" s="4"/>
      <c r="K2335" s="4"/>
      <c r="L2335" s="4"/>
    </row>
    <row r="2336" spans="8:12">
      <c r="H2336" s="4"/>
      <c r="I2336" s="4"/>
      <c r="J2336" s="4"/>
      <c r="K2336" s="4"/>
      <c r="L2336" s="4"/>
    </row>
    <row r="2337" spans="8:12">
      <c r="H2337" s="4"/>
      <c r="I2337" s="4"/>
      <c r="J2337" s="4"/>
      <c r="K2337" s="4"/>
      <c r="L2337" s="4"/>
    </row>
    <row r="2338" spans="8:12">
      <c r="H2338" s="4"/>
      <c r="I2338" s="4"/>
      <c r="J2338" s="4"/>
      <c r="K2338" s="4"/>
      <c r="L2338" s="4"/>
    </row>
    <row r="2339" spans="8:12">
      <c r="H2339" s="4"/>
      <c r="I2339" s="4"/>
      <c r="J2339" s="4"/>
      <c r="K2339" s="4"/>
      <c r="L2339" s="4"/>
    </row>
    <row r="2340" spans="8:12">
      <c r="H2340" s="4"/>
      <c r="I2340" s="4"/>
      <c r="J2340" s="4"/>
      <c r="K2340" s="4"/>
      <c r="L2340" s="4"/>
    </row>
    <row r="2341" spans="8:12">
      <c r="H2341" s="4"/>
      <c r="I2341" s="4"/>
      <c r="J2341" s="4"/>
      <c r="K2341" s="4"/>
      <c r="L2341" s="4"/>
    </row>
    <row r="2342" spans="8:12">
      <c r="H2342" s="4"/>
      <c r="I2342" s="4"/>
      <c r="J2342" s="4"/>
      <c r="K2342" s="4"/>
      <c r="L2342" s="4"/>
    </row>
    <row r="2343" spans="8:12">
      <c r="H2343" s="4"/>
      <c r="I2343" s="4"/>
      <c r="J2343" s="4"/>
      <c r="K2343" s="4"/>
      <c r="L2343" s="4"/>
    </row>
    <row r="2344" spans="8:12">
      <c r="H2344" s="4"/>
      <c r="I2344" s="4"/>
      <c r="J2344" s="4"/>
      <c r="K2344" s="4"/>
      <c r="L2344" s="4"/>
    </row>
    <row r="2345" spans="8:12">
      <c r="H2345" s="4"/>
      <c r="I2345" s="4"/>
      <c r="J2345" s="4"/>
      <c r="K2345" s="4"/>
      <c r="L2345" s="4"/>
    </row>
    <row r="2346" spans="8:12">
      <c r="H2346" s="4"/>
      <c r="I2346" s="4"/>
      <c r="J2346" s="4"/>
      <c r="K2346" s="4"/>
      <c r="L2346" s="4"/>
    </row>
  </sheetData>
  <mergeCells count="10">
    <mergeCell ref="W44:X44"/>
    <mergeCell ref="N48:O48"/>
    <mergeCell ref="Q48:R48"/>
    <mergeCell ref="W48:X48"/>
    <mergeCell ref="S48:T48"/>
    <mergeCell ref="U48:V48"/>
    <mergeCell ref="N44:O44"/>
    <mergeCell ref="Q44:R44"/>
    <mergeCell ref="S44:T44"/>
    <mergeCell ref="U44:V44"/>
  </mergeCells>
  <hyperlinks>
    <hyperlink ref="E2" r:id="rId1" display="https://drive.google.com/open?id=16tyYYe0WzgIAJNRCggejLRW1DpxdHJpE" xr:uid="{00000000-0004-0000-0D00-000000000000}"/>
    <hyperlink ref="E3" r:id="rId2" display="https://drive.google.com/open?id=1AxQsCPWONB4L9zhjRMFbjzl2Cyw_6n-3" xr:uid="{00000000-0004-0000-0D00-000001000000}"/>
    <hyperlink ref="E4" r:id="rId3" display="https://drive.google.com/open?id=14dH7ICsgzmmcJTNwkCku70FFnNGc4tzX" xr:uid="{00000000-0004-0000-0D00-000002000000}"/>
    <hyperlink ref="E5" r:id="rId4" display="https://drive.google.com/open?id=1KzVc8EI5TFFVL9Y_SDf7w6eQRueVereD" xr:uid="{00000000-0004-0000-0D00-000003000000}"/>
    <hyperlink ref="E6" r:id="rId5" display="https://drive.google.com/open?id=1jI507Vcdu6eA0RFmJ0arCDX9Ncp48Ouz" xr:uid="{00000000-0004-0000-0D00-000004000000}"/>
    <hyperlink ref="E7" r:id="rId6" display="https://drive.google.com/open?id=1pODGAcUUGR15Wub8BW0fseQnfT_JYftm" xr:uid="{00000000-0004-0000-0D00-000005000000}"/>
    <hyperlink ref="E8" r:id="rId7" display="https://drive.google.com/open?id=1cx-E2yZrrDzuapLFooRqVS8pw3zoi-lh" xr:uid="{00000000-0004-0000-0D00-000006000000}"/>
    <hyperlink ref="E9" r:id="rId8" display="https://drive.google.com/open?id=13sqLyLghiSL1jhtPdokvS2SN_i0It0Zl" xr:uid="{00000000-0004-0000-0D00-000007000000}"/>
    <hyperlink ref="E10" r:id="rId9" display="https://drive.google.com/open?id=17UaXT9ZLA8XPfqyngECCoH2_B05Vm1XX" xr:uid="{00000000-0004-0000-0D00-000008000000}"/>
    <hyperlink ref="E11" r:id="rId10" display="https://drive.google.com/open?id=1pEIWUu9oWsz2kudrcwXBUxp7n3kCQtVT" xr:uid="{00000000-0004-0000-0D00-000009000000}"/>
    <hyperlink ref="E12" r:id="rId11" display="https://drive.google.com/open?id=1EChVbA0hNNEKSG4Ug4RPN_bC7INp5NNh" xr:uid="{00000000-0004-0000-0D00-00000A000000}"/>
    <hyperlink ref="E13" r:id="rId12" display="https://drive.google.com/open?id=1H5wheC2jA3SShaOgr9BqIUX44AlkDvDF" xr:uid="{00000000-0004-0000-0D00-00000B000000}"/>
    <hyperlink ref="E14" r:id="rId13" display="https://drive.google.com/open?id=1FmGTyRLG0XFGRoalaAxpCxFB7xrzyJHS" xr:uid="{00000000-0004-0000-0D00-00000C000000}"/>
    <hyperlink ref="E15" r:id="rId14" display="https://drive.google.com/open?id=1D6HvzsYq7emOrr3nwYCMxtmaG6HL6ahw" xr:uid="{00000000-0004-0000-0D00-00000D000000}"/>
    <hyperlink ref="E16" r:id="rId15" display="https://drive.google.com/open?id=1t7SqR2GytUPcLXx2JG_IuW5pscfINiQ9" xr:uid="{00000000-0004-0000-0D00-00000E000000}"/>
    <hyperlink ref="E17" r:id="rId16" display="https://drive.google.com/open?id=1IfutzzvOBuwEw2hQ2SsAA7p2ltQvijTL" xr:uid="{00000000-0004-0000-0D00-00000F000000}"/>
    <hyperlink ref="E18" r:id="rId17" display="https://drive.google.com/open?id=1JqYLaVQxUhH363pxsU68dldiW875s3ef" xr:uid="{00000000-0004-0000-0D00-000010000000}"/>
    <hyperlink ref="E19" r:id="rId18" display="https://drive.google.com/open?id=1LswZsUo9KcdQ2dyw9neOJQ4r3efUdMsA" xr:uid="{00000000-0004-0000-0D00-000011000000}"/>
    <hyperlink ref="E20" r:id="rId19" display="https://drive.google.com/open?id=10vbYmbxC8mGJLHyABWfxkYuXCPrDlEK7" xr:uid="{00000000-0004-0000-0D00-000012000000}"/>
    <hyperlink ref="E21" r:id="rId20" display="https://drive.google.com/open?id=11_4rpJEp9UQdFi4S6So_v-Rp3OiXNft-" xr:uid="{00000000-0004-0000-0D00-000013000000}"/>
    <hyperlink ref="E23" r:id="rId21" display="https://drive.google.com/open?id=1q_7hkEsef5TNODKLrNczKASW2_HQ3C9A" xr:uid="{00000000-0004-0000-0D00-000014000000}"/>
    <hyperlink ref="E24" r:id="rId22" display="https://drive.google.com/open?id=1bR-D0JF4G7LICUyiDRIsrHTxwLx3xXEs" xr:uid="{00000000-0004-0000-0D00-000015000000}"/>
    <hyperlink ref="E25" r:id="rId23" display="https://drive.google.com/open?id=1icAqMnQ2o5iTbkzTsuhwbr8ap549HGwK" xr:uid="{00000000-0004-0000-0D00-000016000000}"/>
    <hyperlink ref="E26" r:id="rId24" display="https://drive.google.com/open?id=1r8vrVvoo6Pf7SwVBb-wlzVLoL9M9rlS7" xr:uid="{00000000-0004-0000-0D00-000017000000}"/>
    <hyperlink ref="E28" r:id="rId25" display="https://drive.google.com/open?id=1WB72HQcfRt272ArNE-hkLZjjUCxVyWj0" xr:uid="{00000000-0004-0000-0D00-000018000000}"/>
    <hyperlink ref="E30" r:id="rId26" display="https://drive.google.com/open?id=1FGsUAPQFNXrcy90gcjGXX6jUK21SBPrd" xr:uid="{00000000-0004-0000-0D00-000019000000}"/>
    <hyperlink ref="E32" r:id="rId27" display="https://drive.google.com/open?id=1V3B2XncXor0STyX3us3NvR_tuIcFhKX_" xr:uid="{00000000-0004-0000-0D00-00001A000000}"/>
    <hyperlink ref="E33" r:id="rId28" display="https://drive.google.com/open?id=1q21bB1sVq8jbbDqVpasnpMUHOw277CRY" xr:uid="{00000000-0004-0000-0D00-00001B000000}"/>
    <hyperlink ref="E34" r:id="rId29" display="https://drive.google.com/open?id=1Dz0RQoFCeAUqEwZgjeEZyFCRGPTv27EL" xr:uid="{00000000-0004-0000-0D00-00001C000000}"/>
    <hyperlink ref="E35" r:id="rId30" display="https://drive.google.com/open?id=1QBFGLNIf9Paz96kACHzrDyM7Px0T9lWz" xr:uid="{00000000-0004-0000-0D00-00001D000000}"/>
    <hyperlink ref="E36" r:id="rId31" display="https://drive.google.com/open?id=1FIRtIv07YVj2HKjwKfc8PTWedWzsDHRO" xr:uid="{00000000-0004-0000-0D00-00001E000000}"/>
    <hyperlink ref="E37" r:id="rId32" display="https://drive.google.com/open?id=14vK_ncvUEMZaz2rQGiwnujaspuy4RNFG" xr:uid="{00000000-0004-0000-0D00-00001F000000}"/>
    <hyperlink ref="E38" r:id="rId33" display="https://drive.google.com/open?id=1ycbLCDhBsz1Nfa_UFC6KsiWFhSFr2Mjo" xr:uid="{00000000-0004-0000-0D00-000020000000}"/>
    <hyperlink ref="E39" r:id="rId34" display="https://drive.google.com/open?id=1QNXbJaYFMRh1o3uNEoVoQCxEbqQHecUS" xr:uid="{00000000-0004-0000-0D00-000021000000}"/>
    <hyperlink ref="E40" r:id="rId35" display="https://drive.google.com/open?id=1WDyY8YYbnYD6mNHb9fReHzP_GyE3VeNP" xr:uid="{00000000-0004-0000-0D00-000022000000}"/>
    <hyperlink ref="E41" r:id="rId36" display="https://drive.google.com/open?id=1gd-dSphEPN-IIvtPP8nK_Dm6eVJxGcGT" xr:uid="{00000000-0004-0000-0D00-000023000000}"/>
    <hyperlink ref="E43" r:id="rId37" display="https://drive.google.com/open?id=1uvUzD6NuOpBSxJ35faUu-sYlHS0393Pg" xr:uid="{00000000-0004-0000-0D00-000024000000}"/>
    <hyperlink ref="E44" r:id="rId38" display="https://drive.google.com/open?id=1nVm1j62QaHAowsKWa5TOTpiCnbzv_QUq" xr:uid="{00000000-0004-0000-0D00-000025000000}"/>
    <hyperlink ref="E45" r:id="rId39" display="https://drive.google.com/open?id=1La0mP-SjW6aocBozvtCvxeaSu9Ndk6fb" xr:uid="{00000000-0004-0000-0D00-000026000000}"/>
    <hyperlink ref="E46" r:id="rId40" display="https://drive.google.com/open?id=1xJkckvUCI8LN26vclPtgCEuMeHbny5dn" xr:uid="{00000000-0004-0000-0D00-000027000000}"/>
    <hyperlink ref="E47" r:id="rId41" display="https://drive.google.com/open?id=1yD9PXtCCn-pDG0QLYwxGZ80xqWDMBrW4" xr:uid="{00000000-0004-0000-0D00-000028000000}"/>
    <hyperlink ref="E48" r:id="rId42" display="https://drive.google.com/open?id=1Mq91xeUsxzu1JwdX_F16LDJMPNy8tXjL" xr:uid="{00000000-0004-0000-0D00-000029000000}"/>
    <hyperlink ref="E49" r:id="rId43" display="https://drive.google.com/open?id=1CREXNqnhaOmNalV6N6yui2r9De2id4qr" xr:uid="{00000000-0004-0000-0D00-00002A000000}"/>
    <hyperlink ref="E50" r:id="rId44" display="https://drive.google.com/open?id=1lk08CtbDqL-DxfNkXyZhfvvHq4zvSSOT" xr:uid="{00000000-0004-0000-0D00-00002B000000}"/>
    <hyperlink ref="E51" r:id="rId45" display="https://drive.google.com/open?id=1nlyjbUb13fCp1UbI9dVDsrbpjJveyZ83" xr:uid="{00000000-0004-0000-0D00-00002C000000}"/>
    <hyperlink ref="E52" r:id="rId46" display="https://drive.google.com/open?id=16pUaboglRBf7cqiAVRWaPU__8rj9gzS_" xr:uid="{00000000-0004-0000-0D00-00002D000000}"/>
    <hyperlink ref="E53" r:id="rId47" display="https://drive.google.com/open?id=1nPcMuj4tkKX0B0Qvo07plX6Vfhmi4ikL" xr:uid="{00000000-0004-0000-0D00-00002E000000}"/>
    <hyperlink ref="E54" r:id="rId48" display="https://drive.google.com/open?id=1lFvl9N1tLcznINSSaRGdbZ35El1C5_eT" xr:uid="{00000000-0004-0000-0D00-00002F000000}"/>
    <hyperlink ref="E55" r:id="rId49" display="https://drive.google.com/open?id=1OjvwOd2_UAOfwtUqVJjohKTQpANRerTK" xr:uid="{00000000-0004-0000-0D00-000030000000}"/>
    <hyperlink ref="E57" r:id="rId50" display="https://drive.google.com/open?id=1HiNv6OZzxHILL8EmgipYSBZkwcrXYTy5" xr:uid="{00000000-0004-0000-0D00-000031000000}"/>
    <hyperlink ref="E58" r:id="rId51" display="https://drive.google.com/open?id=13B59uVms02njZbcnkZdHmF6944UFvoh-" xr:uid="{00000000-0004-0000-0D00-000032000000}"/>
    <hyperlink ref="E59" r:id="rId52" display="https://drive.google.com/open?id=13YJ-qExIphl_ZIsa8biQv021U0Mcyg2k" xr:uid="{00000000-0004-0000-0D00-000033000000}"/>
    <hyperlink ref="E60" r:id="rId53" display="https://drive.google.com/open?id=1Gam3lxrYnLOzrr5o5cPwMxlLQjEnMxh8" xr:uid="{00000000-0004-0000-0D00-000034000000}"/>
    <hyperlink ref="E61" r:id="rId54" display="https://drive.google.com/open?id=120FqQiEw6ietGN_wrIRbOMpGfJB0lfaF" xr:uid="{00000000-0004-0000-0D00-000035000000}"/>
    <hyperlink ref="E62" r:id="rId55" display="https://drive.google.com/open?id=1AyxY2R7kfJYCZx4h2zYxS-fRqBmsoTWJ" xr:uid="{00000000-0004-0000-0D00-000036000000}"/>
    <hyperlink ref="E63" r:id="rId56" display="https://drive.google.com/open?id=1YopiwngKWc2FJYbM9i0HMzLwMujE-O81" xr:uid="{00000000-0004-0000-0D00-000037000000}"/>
    <hyperlink ref="E64" r:id="rId57" display="https://drive.google.com/open?id=1Nf7-pwoxwwkMtiIpJ5JyJpvQ6vOyqNgG" xr:uid="{00000000-0004-0000-0D00-000038000000}"/>
    <hyperlink ref="E65" r:id="rId58" display="https://drive.google.com/open?id=1Z6uqYTMJxFAG7o5wLeKtlg9OSZutMmGK" xr:uid="{00000000-0004-0000-0D00-000039000000}"/>
    <hyperlink ref="E66" r:id="rId59" display="https://drive.google.com/open?id=14YJCEn49FsupkhIz2-chc9hCO-_7Lm2V" xr:uid="{00000000-0004-0000-0D00-00003A000000}"/>
    <hyperlink ref="E67" r:id="rId60" display="https://drive.google.com/open?id=1HFVHfGetBxuJivKTl1_lKQoobkJLkl14" xr:uid="{00000000-0004-0000-0D00-00003B000000}"/>
    <hyperlink ref="E68" r:id="rId61" display="https://drive.google.com/open?id=15W2BtliUv0Kfb0uIDo-hEr2B1EOVfefn" xr:uid="{00000000-0004-0000-0D00-00003C000000}"/>
    <hyperlink ref="E69" r:id="rId62" display="https://drive.google.com/open?id=10wY1ISwNNrJzwCIcz0jsCdYcj5qvl3Iq" xr:uid="{00000000-0004-0000-0D00-00003D000000}"/>
    <hyperlink ref="E70" r:id="rId63" display="https://drive.google.com/open?id=1g_ZeGLqPUvZuCgj6OOxOjr4Kz0pGsnyc" xr:uid="{00000000-0004-0000-0D00-00003E000000}"/>
    <hyperlink ref="E71" r:id="rId64" display="https://drive.google.com/open?id=1Q12VkjiTkTijflqvHlM-9lsyupIUOfEN" xr:uid="{00000000-0004-0000-0D00-00003F000000}"/>
    <hyperlink ref="E72" r:id="rId65" display="https://drive.google.com/open?id=1GS2MUnfTVXGwGRhBSThhv1QYoU2t24Sk" xr:uid="{00000000-0004-0000-0D00-000040000000}"/>
    <hyperlink ref="E73" r:id="rId66" display="https://drive.google.com/open?id=19H5bgTDShV-ruF8K3IBCge0udSYhhwlW" xr:uid="{00000000-0004-0000-0D00-000041000000}"/>
    <hyperlink ref="E74" r:id="rId67" display="https://drive.google.com/open?id=1QxQ_tqoHyOzlBTYfC2HH6Wbp3jZ-DERY" xr:uid="{00000000-0004-0000-0D00-000042000000}"/>
    <hyperlink ref="E75" r:id="rId68" display="https://drive.google.com/open?id=1Qa3f41544y0I9uVo1v2VGHvsaiKOQ3HU" xr:uid="{00000000-0004-0000-0D00-000043000000}"/>
    <hyperlink ref="E76" r:id="rId69" display="https://drive.google.com/open?id=1korVDsnWIHl6M5Dxhx0fM5umfFYnc0me" xr:uid="{00000000-0004-0000-0D00-000044000000}"/>
    <hyperlink ref="E77" r:id="rId70" display="https://drive.google.com/open?id=1c-2_OKcZF9afKJRh_fOTfMaloewbkG0H" xr:uid="{00000000-0004-0000-0D00-000045000000}"/>
    <hyperlink ref="E79" r:id="rId71" display="https://drive.google.com/open?id=1H3AWLs3lav3o5QK-UA-wmf34o4cXTktD" xr:uid="{00000000-0004-0000-0D00-000046000000}"/>
    <hyperlink ref="E80" r:id="rId72" display="https://drive.google.com/open?id=1oEr-YtgGRUgDCkD_wmpy1ZiyFwKJ7gdL" xr:uid="{00000000-0004-0000-0D00-000047000000}"/>
    <hyperlink ref="E82" r:id="rId73" display="https://drive.google.com/open?id=1XH5_9HD9lo1_L1nyT481w30Ww9G2EJyO" xr:uid="{00000000-0004-0000-0D00-000048000000}"/>
    <hyperlink ref="E83" r:id="rId74" display="https://drive.google.com/open?id=1L5agORFEg-Wu6ZW_7df5j8_OCjraoz-J" xr:uid="{00000000-0004-0000-0D00-000049000000}"/>
    <hyperlink ref="E85" r:id="rId75" display="https://drive.google.com/open?id=1e1rQyMxnVnW-QAZ3GSNhhFB8nc5Q5jDl" xr:uid="{00000000-0004-0000-0D00-00004A000000}"/>
    <hyperlink ref="E86" r:id="rId76" display="https://drive.google.com/open?id=1tOVTaO-iqlg1nDyrLA1IEERTk800h4zv" xr:uid="{00000000-0004-0000-0D00-00004B000000}"/>
    <hyperlink ref="E88" r:id="rId77" display="https://drive.google.com/open?id=1E50T8wLexznNdpasvsFmZXs7H8EEYBOc" xr:uid="{00000000-0004-0000-0D00-00004C000000}"/>
    <hyperlink ref="E89" r:id="rId78" display="https://drive.google.com/open?id=1gtgD93bofO7BlVOEY9LXp72RI49Hkh2l" xr:uid="{00000000-0004-0000-0D00-00004D000000}"/>
    <hyperlink ref="E90" r:id="rId79" display="https://drive.google.com/open?id=1_4DHoE8SAhwfHZMWOQ_2Sj8arOGkle74" xr:uid="{00000000-0004-0000-0D00-00004E000000}"/>
    <hyperlink ref="E91" r:id="rId80" display="https://drive.google.com/open?id=1hqLwpkMcu7KAZ0Z4JfMfiZpTRGSKtznp" xr:uid="{00000000-0004-0000-0D00-00004F000000}"/>
    <hyperlink ref="E92" r:id="rId81" display="https://drive.google.com/open?id=1B5IOY5JqPI7sIY8QcgLMsJpZT5xghA1y" xr:uid="{00000000-0004-0000-0D00-000050000000}"/>
    <hyperlink ref="E93" r:id="rId82" display="https://drive.google.com/open?id=1a4Z45D8s6jE0YjuPO-mWeD9WeZkD7BF1" xr:uid="{00000000-0004-0000-0D00-000051000000}"/>
    <hyperlink ref="E95" r:id="rId83" display="https://drive.google.com/open?id=1tM8qPA5BMUQNBP-95tsVpGarZmc7RGTA" xr:uid="{00000000-0004-0000-0D00-000052000000}"/>
    <hyperlink ref="E96" r:id="rId84" display="https://drive.google.com/open?id=1suxlaGjaPXj-G4FdLdjjPE3j8TClUTZY" xr:uid="{00000000-0004-0000-0D00-000053000000}"/>
    <hyperlink ref="E97" r:id="rId85" display="https://drive.google.com/open?id=1RJhZSMvojNxHr3r4kMdSXqOl_eIiwzlB" xr:uid="{00000000-0004-0000-0D00-000054000000}"/>
    <hyperlink ref="E98" r:id="rId86" display="https://drive.google.com/open?id=1Y1rh004oxOCOZzMRTS9o767ZlBMF_xmK" xr:uid="{00000000-0004-0000-0D00-000055000000}"/>
    <hyperlink ref="E99" r:id="rId87" display="https://drive.google.com/open?id=1n99WzOkGi2DY8S4xkxTV0PcSN_DpF5ir" xr:uid="{00000000-0004-0000-0D00-000056000000}"/>
    <hyperlink ref="E100" r:id="rId88" display="https://drive.google.com/open?id=187X8VEShazmfJKGrVKuWLlMFNLXhx3zt" xr:uid="{00000000-0004-0000-0D00-000057000000}"/>
    <hyperlink ref="E101" r:id="rId89" display="https://drive.google.com/open?id=11D3HzYCQRD24ZFjPaCG4Xcnr_h8atsV9" xr:uid="{00000000-0004-0000-0D00-000058000000}"/>
    <hyperlink ref="E102" r:id="rId90" display="https://drive.google.com/open?id=1eV1eYsKOE1Onx_xzuazYVAs_BBv1Y7tk" xr:uid="{00000000-0004-0000-0D00-000059000000}"/>
    <hyperlink ref="E103" r:id="rId91" display="https://drive.google.com/open?id=12ajFla9kiua3RKk_mHfqNtJzEC9djNid" xr:uid="{00000000-0004-0000-0D00-00005A000000}"/>
    <hyperlink ref="E104" r:id="rId92" display="https://drive.google.com/open?id=1R62IROQtIwtkfA2ShEiHItqtx05w5NjH" xr:uid="{00000000-0004-0000-0D00-00005B000000}"/>
    <hyperlink ref="E105" r:id="rId93" display="https://drive.google.com/open?id=1QP_8Htqk6SfJPMT2p8iKLob_teHYbUFo" xr:uid="{00000000-0004-0000-0D00-00005C000000}"/>
    <hyperlink ref="E106" r:id="rId94" display="https://drive.google.com/open?id=1at32rHZq6SqsvU8WwRoUQZRYeCsNLYiR" xr:uid="{00000000-0004-0000-0D00-00005D000000}"/>
    <hyperlink ref="E107" r:id="rId95" display="https://drive.google.com/open?id=1fDCRvtMhbJbdTqmMsmL55OKcjdGcAI5b" xr:uid="{00000000-0004-0000-0D00-00005E000000}"/>
    <hyperlink ref="E108" r:id="rId96" display="https://drive.google.com/open?id=12MgQ5wD1wmqyW1sPQY__oygLBjAk3TJi" xr:uid="{00000000-0004-0000-0D00-00005F000000}"/>
    <hyperlink ref="E109" r:id="rId97" display="https://drive.google.com/open?id=1XtMOCm1LWdw_SFytpQV4Se7iHSamsKbO" xr:uid="{00000000-0004-0000-0D00-000060000000}"/>
    <hyperlink ref="E110" r:id="rId98" display="https://drive.google.com/open?id=1RmR4I9GAd_3PtOhBYP-Ug5Eb7DL8vCOW" xr:uid="{00000000-0004-0000-0D00-000061000000}"/>
    <hyperlink ref="E111" r:id="rId99" display="https://drive.google.com/open?id=1sjvge74up08kYj_Ujv1fE0marsAN8qL3" xr:uid="{00000000-0004-0000-0D00-000062000000}"/>
    <hyperlink ref="E112" r:id="rId100" display="https://drive.google.com/open?id=1LGloD9Fme7CwsMp1VqAXfBwLxVMnEjjR" xr:uid="{00000000-0004-0000-0D00-000063000000}"/>
    <hyperlink ref="E113" r:id="rId101" display="https://drive.google.com/open?id=1srs3qYN9J6Izuvuk0p0-awZAKy0eiDWM" xr:uid="{00000000-0004-0000-0D00-000064000000}"/>
    <hyperlink ref="E114" r:id="rId102" display="https://drive.google.com/open?id=1iHI7kJYWpYZrJjGCaxQ3zmMEr8eB4UDa" xr:uid="{00000000-0004-0000-0D00-000065000000}"/>
    <hyperlink ref="E115" r:id="rId103" display="https://drive.google.com/open?id=1FiniaYa4EJZOmnLTrG98dFjNJWXFUTpl" xr:uid="{00000000-0004-0000-0D00-000066000000}"/>
    <hyperlink ref="E117" r:id="rId104" display="https://drive.google.com/open?id=1a7235QgRC85voStR-Zg4e8Oy84x3e8LY" xr:uid="{00000000-0004-0000-0D00-000067000000}"/>
    <hyperlink ref="E118" r:id="rId105" display="https://drive.google.com/open?id=1dJvRiC8kUh5mH5DRJ77ZsPiIk9TyclxI" xr:uid="{00000000-0004-0000-0D00-000068000000}"/>
    <hyperlink ref="E119" r:id="rId106" display="https://drive.google.com/open?id=1rHLxvfE0r2kp3bbIw0EvhQoVO3rhUlu9" xr:uid="{00000000-0004-0000-0D00-000069000000}"/>
    <hyperlink ref="E120" r:id="rId107" display="https://drive.google.com/open?id=1KOYz_ov1AD4rTgVypHhwImT1sBIIl78P" xr:uid="{00000000-0004-0000-0D00-00006A000000}"/>
    <hyperlink ref="E121" r:id="rId108" display="https://drive.google.com/open?id=1x3F7XS2otDivHQVIXxzT2gqGF92W8jGU" xr:uid="{00000000-0004-0000-0D00-00006B000000}"/>
    <hyperlink ref="E122" r:id="rId109" display="https://drive.google.com/open?id=1NRFY-x8pKkr0eKlGTFxc3rlr2e-oayT5" xr:uid="{00000000-0004-0000-0D00-00006C000000}"/>
    <hyperlink ref="E123" r:id="rId110" display="https://drive.google.com/open?id=1SUoROXGUhvDYMEFZ8FBFofVllUjeDgjf" xr:uid="{00000000-0004-0000-0D00-00006D000000}"/>
    <hyperlink ref="E124" r:id="rId111" display="https://drive.google.com/open?id=16xfgVa9uWnUE0xz50lHQ41BnaUIR9w5M" xr:uid="{00000000-0004-0000-0D00-00006E000000}"/>
    <hyperlink ref="E125" r:id="rId112" display="https://drive.google.com/open?id=1Xq5ItNLTTuDrhwsMUYtlQVuG1jmgl3XS" xr:uid="{00000000-0004-0000-0D00-00006F000000}"/>
    <hyperlink ref="E126" r:id="rId113" display="https://drive.google.com/open?id=1Ic_SzNUfCPRIZzEV5ViLs3W9r7XQPFAw" xr:uid="{00000000-0004-0000-0D00-000070000000}"/>
    <hyperlink ref="E127" r:id="rId114" display="https://drive.google.com/open?id=10maYmh1fQsLgK4_EjSYPB7AX3934J6Nu" xr:uid="{00000000-0004-0000-0D00-000071000000}"/>
    <hyperlink ref="E129" r:id="rId115" display="https://drive.google.com/open?id=1QH92k6s8pdByrgcl2a4pQgyX_3CoN3Z-" xr:uid="{00000000-0004-0000-0D00-000072000000}"/>
    <hyperlink ref="E130" r:id="rId116" display="https://drive.google.com/open?id=1cCcaOrymBRdI8ah_Gu5W09PrzXGsVBJD" xr:uid="{00000000-0004-0000-0D00-000073000000}"/>
    <hyperlink ref="E131" r:id="rId117" display="https://drive.google.com/open?id=1dQqCxa-L1JMDf4OdafdS7Pz2vf-FMQnd" xr:uid="{00000000-0004-0000-0D00-000074000000}"/>
    <hyperlink ref="E132" r:id="rId118" display="https://drive.google.com/open?id=1KoeP95DD9GojEjDtQpwyyGmEfee8vV5l" xr:uid="{00000000-0004-0000-0D00-000075000000}"/>
    <hyperlink ref="E134" r:id="rId119" display="https://drive.google.com/open?id=1RI8bmDz_u0J07PfaXsTcUHo71mOLJ2gs" xr:uid="{00000000-0004-0000-0D00-000076000000}"/>
    <hyperlink ref="E135" r:id="rId120" display="https://drive.google.com/open?id=1ZJLeAJa6EdCP9dvbeixKSHd_o3jH_Uqr" xr:uid="{00000000-0004-0000-0D00-000077000000}"/>
    <hyperlink ref="E137" r:id="rId121" display="https://drive.google.com/open?id=1KBYV2ktmx8FYPpPOZvQa6D8LMs7Gwn-P" xr:uid="{00000000-0004-0000-0D00-000078000000}"/>
    <hyperlink ref="E138" r:id="rId122" display="https://drive.google.com/open?id=1PonzIttDf26671cnar7CO8dmaq4H0W98" xr:uid="{00000000-0004-0000-0D00-000079000000}"/>
    <hyperlink ref="E139" r:id="rId123" display="https://drive.google.com/open?id=1SGmJEEJJESm4xG1A_OJ038yWbP90Vrb_" xr:uid="{00000000-0004-0000-0D00-00007A000000}"/>
    <hyperlink ref="E140" r:id="rId124" display="https://drive.google.com/open?id=1k5zxB8kdJdmP2aIQfEvO_Pp9Qw6wSm6W" xr:uid="{00000000-0004-0000-0D00-00007B000000}"/>
    <hyperlink ref="E142" r:id="rId125" display="https://drive.google.com/open?id=1ROh60aQfESdYHITcPubAUl9msDgB8b6x" xr:uid="{00000000-0004-0000-0D00-00007C000000}"/>
    <hyperlink ref="E143" r:id="rId126" display="https://drive.google.com/open?id=1dfWW4dlBBcj8HahYwPZH4wtv71g-VPVv" xr:uid="{00000000-0004-0000-0D00-00007D000000}"/>
    <hyperlink ref="E144" r:id="rId127" display="https://drive.google.com/open?id=1zpwEkXRMpIoTTDjXFceW_Bn1qwrZhLMt" xr:uid="{00000000-0004-0000-0D00-00007E000000}"/>
    <hyperlink ref="E145" r:id="rId128" display="https://drive.google.com/open?id=1R5sGWSRiG8vF4dBESB1v8hIwER5NmeL7" xr:uid="{00000000-0004-0000-0D00-00007F000000}"/>
    <hyperlink ref="E146" r:id="rId129" display="https://drive.google.com/open?id=1fUa71RveKt0ueTROxn4Px7mmIrgdV1Bo" xr:uid="{00000000-0004-0000-0D00-000080000000}"/>
    <hyperlink ref="E147" r:id="rId130" display="https://drive.google.com/open?id=1OIRLvpvWWOIWZ0Eq6A_wQfjQhoyuNOGi" xr:uid="{00000000-0004-0000-0D00-000081000000}"/>
    <hyperlink ref="E149" r:id="rId131" display="https://drive.google.com/open?id=1CUrkesELD49YG_0GlHUgBdxIAp9VVuwT" xr:uid="{00000000-0004-0000-0D00-000082000000}"/>
    <hyperlink ref="E150" r:id="rId132" display="https://drive.google.com/open?id=1sWWEpf2rNGN_WMLgbTeoHOJ3pTafx-p3" xr:uid="{00000000-0004-0000-0D00-000083000000}"/>
    <hyperlink ref="E151" r:id="rId133" display="https://drive.google.com/open?id=1MeCxscLqamC5K4VxAwLwa3GjkyRfep7h" xr:uid="{00000000-0004-0000-0D00-000084000000}"/>
    <hyperlink ref="E153" r:id="rId134" display="https://drive.google.com/open?id=1DiRcJTLrunJUL6oQStWhJovSYZMTI_aw" xr:uid="{00000000-0004-0000-0D00-000085000000}"/>
    <hyperlink ref="E154" r:id="rId135" display="https://drive.google.com/open?id=1ZtV8oPqLceW349ep7xAOqzBdzNSj44Vt" xr:uid="{00000000-0004-0000-0D00-000086000000}"/>
    <hyperlink ref="E155" r:id="rId136" display="https://drive.google.com/open?id=180YhhyPRYGinP5AWi3yjrQbljIOorWaI" xr:uid="{00000000-0004-0000-0D00-000087000000}"/>
    <hyperlink ref="E156" r:id="rId137" display="https://drive.google.com/open?id=1lM-KN80ew3jR2awIgUs8qVQb-aH3BmVN" xr:uid="{00000000-0004-0000-0D00-000088000000}"/>
    <hyperlink ref="E160" r:id="rId138" display="https://drive.google.com/open?id=1OsWYj53nwZxdewPnCD0fzqKb4F3IECZn" xr:uid="{00000000-0004-0000-0D00-000089000000}"/>
    <hyperlink ref="E161" r:id="rId139" display="https://drive.google.com/open?id=1s-Ls1uhAS__l9eDfYW5G5STECRAzDZPQ" xr:uid="{00000000-0004-0000-0D00-00008A000000}"/>
    <hyperlink ref="E177" r:id="rId140" display="https://drive.google.com/open?id=1VXAZCuvVslYjuvQdHX4n1Vh3ISrssJ9G" xr:uid="{00000000-0004-0000-0D00-00008B000000}"/>
    <hyperlink ref="E180" r:id="rId141" display="https://drive.google.com/open?id=1cwtBBSiWPGdj1OUkWubH3snlbeOV38Ef" xr:uid="{00000000-0004-0000-0D00-00008C000000}"/>
    <hyperlink ref="E181" r:id="rId142" display="https://drive.google.com/open?id=1mLuEK9IyHOx8H6snC42cYOYDlEzgsQ9U" xr:uid="{00000000-0004-0000-0D00-00008D000000}"/>
    <hyperlink ref="E183" r:id="rId143" display="https://drive.google.com/open?id=1zKGbmlZwr89DPpnyo9J1m75uVcRAxJCq" xr:uid="{00000000-0004-0000-0D00-00008E000000}"/>
    <hyperlink ref="E184" r:id="rId144" display="https://drive.google.com/open?id=1FmwsmhfqTaDPZroiETSJEL100VXBg-KU" xr:uid="{00000000-0004-0000-0D00-00008F000000}"/>
    <hyperlink ref="E185" r:id="rId145" display="https://drive.google.com/open?id=1co68Y66YcghuCCiQhuFD2esh9AgE7-7S" xr:uid="{00000000-0004-0000-0D00-000090000000}"/>
    <hyperlink ref="E186" r:id="rId146" display="https://drive.google.com/open?id=1Kdxbb4zSPU8mEymPNK5Wa2dd743gIXW3" xr:uid="{00000000-0004-0000-0D00-000091000000}"/>
    <hyperlink ref="E187" r:id="rId147" display="https://drive.google.com/open?id=1i-I7EcuGPRAKLuqehrhObEqeG2yPOIJg" xr:uid="{00000000-0004-0000-0D00-000092000000}"/>
    <hyperlink ref="E188" r:id="rId148" display="https://drive.google.com/open?id=1bKl_osuMCiVdw30PzkuRyilml_Y91PAz" xr:uid="{00000000-0004-0000-0D00-000093000000}"/>
    <hyperlink ref="E189" r:id="rId149" display="https://drive.google.com/open?id=1m04OSsz-RJM1OB5YE2ZCiPXLW1zxPbkz" xr:uid="{00000000-0004-0000-0D00-000094000000}"/>
    <hyperlink ref="E190" r:id="rId150" display="https://drive.google.com/open?id=1pCxWAf4a6KJbT-2hJVHoL43jETH5mX1O" xr:uid="{00000000-0004-0000-0D00-000095000000}"/>
    <hyperlink ref="E192" r:id="rId151" display="https://drive.google.com/open?id=1fjSgDiEmqGEc4eHhyprjvrhsRdKbr2Fc" xr:uid="{00000000-0004-0000-0D00-000096000000}"/>
    <hyperlink ref="E193" r:id="rId152" display="https://drive.google.com/open?id=1zjpH9DSc3mnvgug5pMc8Y-GYMIEjot_x" xr:uid="{00000000-0004-0000-0D00-000097000000}"/>
    <hyperlink ref="E194" r:id="rId153" display="https://drive.google.com/open?id=1dwdslm9HvRCYPFAZIoUv77mkCSwCAfry" xr:uid="{00000000-0004-0000-0D00-000098000000}"/>
    <hyperlink ref="E195" r:id="rId154" display="https://drive.google.com/open?id=1GKljEbLO0d5Mr_iaXjYgGfEsRCzoDrYK" xr:uid="{00000000-0004-0000-0D00-000099000000}"/>
    <hyperlink ref="E196" r:id="rId155" display="https://drive.google.com/open?id=1D481aODhjcrSwutry4uE6qo_WbA3JHWg" xr:uid="{00000000-0004-0000-0D00-00009A000000}"/>
    <hyperlink ref="E197" r:id="rId156" display="https://drive.google.com/open?id=1a6XLRcW5Pm_w0n8lUGA3V6DWd7K3camk" xr:uid="{00000000-0004-0000-0D00-00009B000000}"/>
    <hyperlink ref="E200" r:id="rId157" display="https://drive.google.com/open?id=1kPLIcpMtsQZTK6BDd5Wpz4sQJ-3OvWzg" xr:uid="{00000000-0004-0000-0D00-00009C000000}"/>
    <hyperlink ref="E202" r:id="rId158" display="https://drive.google.com/open?id=16OUcJgTvCzArOzofC938jSul2_untIXR" xr:uid="{00000000-0004-0000-0D00-00009D000000}"/>
    <hyperlink ref="E203" r:id="rId159" display="https://drive.google.com/open?id=1rigeLedBRjLIXKf0guxJmFsxjraxxXeG" xr:uid="{00000000-0004-0000-0D00-00009E000000}"/>
    <hyperlink ref="E204" r:id="rId160" display="https://drive.google.com/open?id=1qhkxf-AEPsvfAAxoNxWPY1-5ti63d9GZ" xr:uid="{00000000-0004-0000-0D00-00009F000000}"/>
    <hyperlink ref="E205" r:id="rId161" display="https://drive.google.com/open?id=1XkkQWgkQPd9JTiVvrD8G-z11ayKksMGX" xr:uid="{00000000-0004-0000-0D00-0000A0000000}"/>
    <hyperlink ref="E206" r:id="rId162" display="https://drive.google.com/open?id=1sLV7SBAAP45asrmwQDpOy3YFRZfeaeDl" xr:uid="{00000000-0004-0000-0D00-0000A1000000}"/>
    <hyperlink ref="E207" r:id="rId163" display="https://drive.google.com/open?id=1Nx4tFOvVK-eBsPODH0vAto2YkTkhdfwG" xr:uid="{00000000-0004-0000-0D00-0000A2000000}"/>
    <hyperlink ref="E208" r:id="rId164" display="https://drive.google.com/open?id=1muN8zOHz7uAKttx7EpYrZLYvxneg0e8i" xr:uid="{00000000-0004-0000-0D00-0000A3000000}"/>
    <hyperlink ref="E209" r:id="rId165" display="https://drive.google.com/open?id=1cQxTz4I5fD-a0SSWP58e0MPa5NhiYx6Q" xr:uid="{00000000-0004-0000-0D00-0000A4000000}"/>
    <hyperlink ref="E210" r:id="rId166" display="https://drive.google.com/open?id=1cC7D6SpI6teUYvdlOex2DbaEjbTe-LqB" xr:uid="{00000000-0004-0000-0D00-0000A5000000}"/>
    <hyperlink ref="E212" r:id="rId167" display="https://drive.google.com/open?id=1OtAFqZwpT_IaukHBHdDlFkURgTRs1hx-" xr:uid="{00000000-0004-0000-0D00-0000A6000000}"/>
    <hyperlink ref="E213" r:id="rId168" display="https://drive.google.com/open?id=1KOWShsgFWOrk6CXt7e05O2B1uWcNR2pl" xr:uid="{00000000-0004-0000-0D00-0000A7000000}"/>
    <hyperlink ref="E214" r:id="rId169" display="https://drive.google.com/open?id=1ohlsf5rBqFoyE8P3pNNJSfgTML_l4URW" xr:uid="{00000000-0004-0000-0D00-0000A8000000}"/>
    <hyperlink ref="E215" r:id="rId170" display="https://drive.google.com/open?id=1Q9KkUQiQum9M2orLrOUvR-Uv1ughXPfb" xr:uid="{00000000-0004-0000-0D00-0000A9000000}"/>
    <hyperlink ref="E216" r:id="rId171" display="https://drive.google.com/open?id=1i10XRzBUgn8S5MNr43-ufeagiKpwMZWg" xr:uid="{00000000-0004-0000-0D00-0000AA000000}"/>
    <hyperlink ref="E217" r:id="rId172" display="https://drive.google.com/open?id=1uV_eMYEkLIJeXcEd9il2rg4QqJQHhpNo" xr:uid="{00000000-0004-0000-0D00-0000AB000000}"/>
    <hyperlink ref="E218" r:id="rId173" display="https://drive.google.com/open?id=1SK5mmRPHHANct5Zk8TIROXGD37Dfz5Ay" xr:uid="{00000000-0004-0000-0D00-0000AC000000}"/>
    <hyperlink ref="E220" r:id="rId174" display="https://drive.google.com/open?id=1obki3iu3yHccyNxbJsfiaMzoGbTFqTNV" xr:uid="{00000000-0004-0000-0D00-0000AD000000}"/>
    <hyperlink ref="E222" r:id="rId175" display="https://drive.google.com/open?id=1BmdbPI-L5RY3w_O6ZhrCfG0Pa8ib1mIN" xr:uid="{00000000-0004-0000-0D00-0000AE000000}"/>
    <hyperlink ref="E224" r:id="rId176" display="https://drive.google.com/open?id=1b_0VBZgrjPTWYy3a6ZMm7gsiUZP7jDfT" xr:uid="{00000000-0004-0000-0D00-0000AF000000}"/>
    <hyperlink ref="E227" r:id="rId177" display="https://drive.google.com/open?id=1zEqXrlnCZX_mF6cxTVP8Kx6gA4gK3IVo" xr:uid="{00000000-0004-0000-0D00-0000B0000000}"/>
    <hyperlink ref="E228" r:id="rId178" display="https://drive.google.com/open?id=1ONf5FGRma3no-lO3Azpl2yML6h4bZm9R" xr:uid="{00000000-0004-0000-0D00-0000B1000000}"/>
    <hyperlink ref="E229" r:id="rId179" display="https://drive.google.com/open?id=118geyvLP-hDnypHKGS-cfYsODBaeXspJ" xr:uid="{00000000-0004-0000-0D00-0000B2000000}"/>
    <hyperlink ref="E231" r:id="rId180" display="https://drive.google.com/open?id=1m9xBtspwmjtlMfyT473iTNOVfGKRkdIr" xr:uid="{00000000-0004-0000-0D00-0000B3000000}"/>
    <hyperlink ref="E232" r:id="rId181" display="https://drive.google.com/open?id=1YUilSqXOXNOcxzQPGfGfepTVEGd6cYi7" xr:uid="{00000000-0004-0000-0D00-0000B4000000}"/>
    <hyperlink ref="E233" r:id="rId182" display="https://drive.google.com/open?id=1XvwTNCQOHmDG5STj4Wc4TnrWn3pDPUTo" xr:uid="{00000000-0004-0000-0D00-0000B5000000}"/>
    <hyperlink ref="E234" r:id="rId183" display="https://drive.google.com/open?id=1vOl09EUgclyKaFQHTCw7eL577JVP2pah" xr:uid="{00000000-0004-0000-0D00-0000B6000000}"/>
    <hyperlink ref="E236" r:id="rId184" display="https://drive.google.com/open?id=1khdCEm9PZ8a-Sby4hlz8CQQfXTzwIFUF" xr:uid="{00000000-0004-0000-0D00-0000B7000000}"/>
    <hyperlink ref="E237" r:id="rId185" display="https://drive.google.com/open?id=1kNYtKDk9naQLid6Qhege0ocShlXO4it_" xr:uid="{00000000-0004-0000-0D00-0000B8000000}"/>
    <hyperlink ref="E238" r:id="rId186" display="https://drive.google.com/open?id=1D83rT2gk4lGFRppq_mdiw9JwfbiBntx2" xr:uid="{00000000-0004-0000-0D00-0000B9000000}"/>
    <hyperlink ref="E240" r:id="rId187" display="https://drive.google.com/open?id=1XbbWua-LR4Yx-exouKJzXmFwCLG6SxTJ" xr:uid="{00000000-0004-0000-0D00-0000BA000000}"/>
    <hyperlink ref="E241" r:id="rId188" display="https://drive.google.com/open?id=1JKtNi3ALyUnBOpBRlSsJD_mosb7K3CsV" xr:uid="{00000000-0004-0000-0D00-0000BB000000}"/>
    <hyperlink ref="E243" r:id="rId189" display="https://drive.google.com/open?id=1_QK9928s8MOaQvFvHefmuXgaFp2o6Ipo" xr:uid="{00000000-0004-0000-0D00-0000BC000000}"/>
    <hyperlink ref="E244" r:id="rId190" display="https://drive.google.com/open?id=1rSWgLdRwMMhN8cTg4UFhkC3lWZrw4toL" xr:uid="{00000000-0004-0000-0D00-0000BD000000}"/>
    <hyperlink ref="E245" r:id="rId191" display="https://drive.google.com/open?id=1F_ci3QVnTuAT0Sa16nOfpTVRG5vSvr6P" xr:uid="{00000000-0004-0000-0D00-0000BE000000}"/>
    <hyperlink ref="E250" r:id="rId192" display="https://drive.google.com/open?id=1Pj7WFeSuyawnu4yGvsUEylrFQpBbdhMm" xr:uid="{00000000-0004-0000-0D00-0000BF000000}"/>
    <hyperlink ref="E251" r:id="rId193" display="https://drive.google.com/open?id=1XVEQ6k2yolyM22BWoKwYTCJYGdSfshso" xr:uid="{00000000-0004-0000-0D00-0000C0000000}"/>
    <hyperlink ref="E252" r:id="rId194" display="https://drive.google.com/open?id=1db4MeqLW7YX-fM1xGLZZZMnbED0tGOTc" xr:uid="{00000000-0004-0000-0D00-0000C1000000}"/>
    <hyperlink ref="E253" r:id="rId195" display="https://drive.google.com/open?id=1jMpsKh0L5YN_u6zJyAU27gsYIPPRfKX2" xr:uid="{00000000-0004-0000-0D00-0000C2000000}"/>
    <hyperlink ref="E254" r:id="rId196" display="https://drive.google.com/open?id=1GswCjH9Foq4rMESiLKcCY-Thvr5CPE6J" xr:uid="{00000000-0004-0000-0D00-0000C3000000}"/>
    <hyperlink ref="E255" r:id="rId197" display="https://drive.google.com/open?id=1UeRzqA37M1tOTMGTePBrC738hM1IRz6d" xr:uid="{00000000-0004-0000-0D00-0000C4000000}"/>
    <hyperlink ref="E256" r:id="rId198" display="https://drive.google.com/open?id=1d4hlu5IELrkHpLd_WTbNYILAVVnsqRoC" xr:uid="{00000000-0004-0000-0D00-0000C5000000}"/>
    <hyperlink ref="E257" r:id="rId199" display="https://drive.google.com/open?id=1YO-EqRGTsKMI0nzQyAJV06g9Dp44cmv0" xr:uid="{00000000-0004-0000-0D00-0000C6000000}"/>
    <hyperlink ref="E258" r:id="rId200" display="https://drive.google.com/open?id=17hyx0Rv8l_tNIprzCjLLSWAm8atUVCMP" xr:uid="{00000000-0004-0000-0D00-0000C7000000}"/>
    <hyperlink ref="E259" r:id="rId201" display="https://drive.google.com/open?id=1IDtX4quMFeMByZPd7VzjTPSkjG_C2WAt" xr:uid="{00000000-0004-0000-0D00-0000C8000000}"/>
    <hyperlink ref="E260" r:id="rId202" display="https://drive.google.com/open?id=1mVigVh8PoSbe-HQZiOn69VwnnBOJDTT3" xr:uid="{00000000-0004-0000-0D00-0000C9000000}"/>
    <hyperlink ref="E263" r:id="rId203" display="https://drive.google.com/open?id=1T7Vt8hoGrPSXWs7pcPUMEeoA-JYUvfYJ" xr:uid="{00000000-0004-0000-0D00-0000CA000000}"/>
    <hyperlink ref="E264" r:id="rId204" display="https://drive.google.com/open?id=188TmdRMzCgK0acl7CWcZLvlK5nyIH5td" xr:uid="{00000000-0004-0000-0D00-0000CB000000}"/>
    <hyperlink ref="E265" r:id="rId205" display="https://drive.google.com/open?id=1QBusZD0rGMEyAZYhS8C4-h5VXz-bpSmI" xr:uid="{00000000-0004-0000-0D00-0000CC000000}"/>
    <hyperlink ref="E266" r:id="rId206" display="https://drive.google.com/open?id=1KXi1sSv3hluMjQANddd_hyig23eN2gO8" xr:uid="{00000000-0004-0000-0D00-0000CD000000}"/>
    <hyperlink ref="E267" r:id="rId207" display="https://drive.google.com/open?id=1_67Si2kris9_dnj-sMDrlOHiAsYJ5Nux" xr:uid="{00000000-0004-0000-0D00-0000CE000000}"/>
    <hyperlink ref="E268" r:id="rId208" display="https://drive.google.com/open?id=1qfpRyZI_QrMD3o2viVjUrTqNfS19UG05" xr:uid="{00000000-0004-0000-0D00-0000CF000000}"/>
    <hyperlink ref="E269" r:id="rId209" display="https://drive.google.com/open?id=1g4W_Viwnx1w16q1buHNVwyDCURGDyB72" xr:uid="{00000000-0004-0000-0D00-0000D0000000}"/>
    <hyperlink ref="E270" r:id="rId210" display="https://drive.google.com/open?id=1p7vpsihWgS9Z52G9208oj3szeB0G6xhu" xr:uid="{00000000-0004-0000-0D00-0000D1000000}"/>
    <hyperlink ref="E271" r:id="rId211" display="https://drive.google.com/open?id=1GUcyHXdkYqpo8o6qs4Nj4CRnk_hbU5R2" xr:uid="{00000000-0004-0000-0D00-0000D2000000}"/>
    <hyperlink ref="E272" r:id="rId212" display="https://drive.google.com/open?id=1nZG7vHGM3aZE23eRdY1nHgZkjkSLpjIM" xr:uid="{00000000-0004-0000-0D00-0000D3000000}"/>
    <hyperlink ref="E274" r:id="rId213" display="https://drive.google.com/open?id=10LUsTTNfQUKuUfA1nlIEHvKR2RvF-67U" xr:uid="{00000000-0004-0000-0D00-0000D4000000}"/>
    <hyperlink ref="E275" r:id="rId214" display="https://drive.google.com/open?id=1HieL5ATNtEV2e1xdTTFC_AbnqqJtpPoO" xr:uid="{00000000-0004-0000-0D00-0000D5000000}"/>
    <hyperlink ref="E276" r:id="rId215" display="https://drive.google.com/open?id=1ebhGODh2MLe9O1MSwhdJeTTdanFmGGAu" xr:uid="{00000000-0004-0000-0D00-0000D6000000}"/>
    <hyperlink ref="E277" r:id="rId216" display="https://drive.google.com/open?id=1vmDslU-yECR_viFuS69y5dvfMJb-GCtd" xr:uid="{00000000-0004-0000-0D00-0000D7000000}"/>
    <hyperlink ref="E278" r:id="rId217" display="https://drive.google.com/open?id=1mSBVHuRDzYMFrvzjUA_Fd3VUVf3vu8cC" xr:uid="{00000000-0004-0000-0D00-0000D8000000}"/>
    <hyperlink ref="E279" r:id="rId218" display="https://drive.google.com/open?id=1yDAQGh9tL4yRhC7TCHYkeJUrRzOfBSrM" xr:uid="{00000000-0004-0000-0D00-0000D9000000}"/>
    <hyperlink ref="E281" r:id="rId219" display="https://drive.google.com/open?id=1oePYwq9QAqPeTVYIvQ8ZPzi4jJXncwXK" xr:uid="{00000000-0004-0000-0D00-0000DA000000}"/>
    <hyperlink ref="E282" r:id="rId220" display="https://drive.google.com/open?id=1ZtViZPe_OTexmW7o_fM-zdqIdnyVS9o7" xr:uid="{00000000-0004-0000-0D00-0000DB000000}"/>
    <hyperlink ref="E283" r:id="rId221" display="https://drive.google.com/open?id=1M_S6DbX6-6etM-Gz73fzuY57jd_r-B0v" xr:uid="{00000000-0004-0000-0D00-0000DC000000}"/>
    <hyperlink ref="E284" r:id="rId222" display="https://drive.google.com/open?id=1N36ruN0IHpNKY0jHaaGx-4b7FHOQ3t9_" xr:uid="{00000000-0004-0000-0D00-0000DD000000}"/>
    <hyperlink ref="E310" r:id="rId223" display="https://drive.google.com/open?id=1Y3woNd8cb7SNY594l5Hjuj8HrhAcKWY5" xr:uid="{00000000-0004-0000-0D00-0000DE000000}"/>
    <hyperlink ref="E311" r:id="rId224" display="https://drive.google.com/open?id=1vctw7euF2PYY4efMJTfRBXzRP9wfqzjc" xr:uid="{00000000-0004-0000-0D00-0000DF000000}"/>
    <hyperlink ref="E312" r:id="rId225" display="https://drive.google.com/open?id=1b-gUvc8Oip55uhxR0xK_Y0lFtHBdG_Bh" xr:uid="{00000000-0004-0000-0D00-0000E0000000}"/>
    <hyperlink ref="E313" r:id="rId226" display="https://drive.google.com/open?id=1e7n2QBVe-OcxZCmsb0_3GVJAZtTn90kx" xr:uid="{00000000-0004-0000-0D00-0000E1000000}"/>
    <hyperlink ref="E314" r:id="rId227" display="https://drive.google.com/open?id=1HgFb97hzZA3bjJRG2nEwooeGxj-KJP_l" xr:uid="{00000000-0004-0000-0D00-0000E2000000}"/>
    <hyperlink ref="E315" r:id="rId228" display="https://drive.google.com/open?id=1DMyTynJygDQwi0vT8p62-vkNKCcX2EtW" xr:uid="{00000000-0004-0000-0D00-0000E3000000}"/>
    <hyperlink ref="E316" r:id="rId229" display="https://drive.google.com/open?id=1kKJR4omphmf4vvpVnuzhMkfhRgwFPvZc" xr:uid="{00000000-0004-0000-0D00-0000E4000000}"/>
    <hyperlink ref="E318" r:id="rId230" display="https://drive.google.com/open?id=1nVGXke7xeBPfvFBnirxdxObSGCTA1Aol" xr:uid="{00000000-0004-0000-0D00-0000E5000000}"/>
    <hyperlink ref="E319" r:id="rId231" display="https://drive.google.com/open?id=1wla5ZNfk-F98tl-7zJHbv5PS-hrt_X8D" xr:uid="{00000000-0004-0000-0D00-0000E6000000}"/>
    <hyperlink ref="E320" r:id="rId232" display="https://drive.google.com/open?id=1QW7thUdg-axtc4BGcCiaSSRgu1Gj9-Sw" xr:uid="{00000000-0004-0000-0D00-0000E7000000}"/>
    <hyperlink ref="E321" r:id="rId233" display="https://drive.google.com/open?id=1PbmxFRa_twtzlxv7fvNxogPtDrk5HmvQ" xr:uid="{00000000-0004-0000-0D00-0000E8000000}"/>
    <hyperlink ref="E322" r:id="rId234" display="https://drive.google.com/open?id=1rKtGDs7f6l92QEo8OBKnmVHCO8Uriliw" xr:uid="{00000000-0004-0000-0D00-0000E9000000}"/>
    <hyperlink ref="E323" r:id="rId235" display="https://drive.google.com/open?id=1GdO6DIOPk5mAjXeI_e91-Vehf0yXpXrc" xr:uid="{00000000-0004-0000-0D00-0000EA000000}"/>
    <hyperlink ref="E324" r:id="rId236" display="https://drive.google.com/open?id=1joI1xkhluTQnxrEm4ri6WS93bi4OOmJf" xr:uid="{00000000-0004-0000-0D00-0000EB000000}"/>
    <hyperlink ref="E325" r:id="rId237" display="https://drive.google.com/open?id=16Or9cvFJNpbZbkexUiT6xU6Tsf4zECP1" xr:uid="{00000000-0004-0000-0D00-0000EC000000}"/>
    <hyperlink ref="E326" r:id="rId238" display="https://drive.google.com/open?id=1Tqq9sxhMSxrQc-xq87NLX_wIKo-TN-5B" xr:uid="{00000000-0004-0000-0D00-0000ED000000}"/>
    <hyperlink ref="E327" r:id="rId239" display="https://drive.google.com/open?id=1XhT-69O_DZ6BQyxvEX1tRvb6un-jp3WD" xr:uid="{00000000-0004-0000-0D00-0000EE000000}"/>
    <hyperlink ref="E328" r:id="rId240" display="https://drive.google.com/open?id=1xGSxCOxo2RS7PsuLI2Ly8bDjOUNwVWua" xr:uid="{00000000-0004-0000-0D00-0000EF000000}"/>
    <hyperlink ref="E329" r:id="rId241" display="https://drive.google.com/open?id=1RI_t6o_xLsfhSEGE6CDSDJY0EKL-eBTq" xr:uid="{00000000-0004-0000-0D00-0000F0000000}"/>
    <hyperlink ref="E331" r:id="rId242" display="https://drive.google.com/open?id=1PBuo1Al4DODAizr1WrIivpc9pBDz3OB_" xr:uid="{00000000-0004-0000-0D00-0000F1000000}"/>
    <hyperlink ref="E333" r:id="rId243" display="https://drive.google.com/open?id=1p9ij_v8RHuVEyNlGt17w0jiNQP6yR_wD" xr:uid="{00000000-0004-0000-0D00-0000F2000000}"/>
    <hyperlink ref="E334" r:id="rId244" display="https://drive.google.com/open?id=1QYbQlgyRigvnHaBDUIDx_bpQlhq-rpGf" xr:uid="{00000000-0004-0000-0D00-0000F3000000}"/>
    <hyperlink ref="E335" r:id="rId245" display="https://drive.google.com/open?id=1gEq1dyQ2LmWjPLuQ2JuhcMiPqCqkcSFw" xr:uid="{00000000-0004-0000-0D00-0000F4000000}"/>
    <hyperlink ref="E336" r:id="rId246" display="https://drive.google.com/open?id=1OUEq45b75uUshB8wP9ORddwAwHFcw3-K" xr:uid="{00000000-0004-0000-0D00-0000F5000000}"/>
    <hyperlink ref="E337" r:id="rId247" display="https://drive.google.com/open?id=1ScyEZ5Mzs28OPLvNNtqKLrcKr1fgt4tU" xr:uid="{00000000-0004-0000-0D00-0000F6000000}"/>
    <hyperlink ref="E338" r:id="rId248" display="https://drive.google.com/open?id=1MuNSB7HQYuQ8zSitkYvokKDmr_NxJacc" xr:uid="{00000000-0004-0000-0D00-0000F7000000}"/>
    <hyperlink ref="E339" r:id="rId249" display="https://drive.google.com/open?id=1T7LBk0g2MitC2bRWdpuSejlXieFkny-r" xr:uid="{00000000-0004-0000-0D00-0000F8000000}"/>
    <hyperlink ref="E340" r:id="rId250" display="https://drive.google.com/open?id=1DjhhN_dV61kPPMb44mTr6849Hi7Sbm4k" xr:uid="{00000000-0004-0000-0D00-0000F9000000}"/>
    <hyperlink ref="E341" r:id="rId251" display="https://drive.google.com/open?id=1hktNgZJLQtsa1FhcDtpwYW8laRUdd4AZ" xr:uid="{00000000-0004-0000-0D00-0000FA000000}"/>
    <hyperlink ref="E342" r:id="rId252" display="https://drive.google.com/open?id=1ZBa_2bf3tBR1JduQ_ururCFL6DwbBIKV" xr:uid="{00000000-0004-0000-0D00-0000FB000000}"/>
    <hyperlink ref="E343" r:id="rId253" display="https://drive.google.com/open?id=1ZNbtDbfpPZq0pWyDjwHflc2zL4MxPRKU" xr:uid="{00000000-0004-0000-0D00-0000FC000000}"/>
    <hyperlink ref="E344" r:id="rId254" display="https://drive.google.com/open?id=13fPMAw7vedBKpLMaULEteB_bp0fK4TGR" xr:uid="{00000000-0004-0000-0D00-0000FD000000}"/>
    <hyperlink ref="E346" r:id="rId255" display="https://drive.google.com/open?id=1_8MbSvzbaawu0ADL-2tI9Bfybr1ChrWt" xr:uid="{00000000-0004-0000-0D00-0000FE000000}"/>
    <hyperlink ref="E347" r:id="rId256" display="https://drive.google.com/open?id=1eQMiLyxZBI6X_vzBshbJlm4nvheUvhdC" xr:uid="{00000000-0004-0000-0D00-0000FF000000}"/>
    <hyperlink ref="E348" r:id="rId257" display="https://drive.google.com/open?id=1vSHxNbkBlKKFuE6xOl1w-Xp1_z2A5tOD" xr:uid="{00000000-0004-0000-0D00-000000010000}"/>
    <hyperlink ref="E349" r:id="rId258" display="https://drive.google.com/open?id=1PU6pJQhfTYng2wJVWEFRz_Bw84MH3XTx" xr:uid="{00000000-0004-0000-0D00-000001010000}"/>
    <hyperlink ref="E350" r:id="rId259" display="https://drive.google.com/open?id=1gp5Xols33X3gldDn4aYCuNGc_0ZpopuN" xr:uid="{00000000-0004-0000-0D00-000002010000}"/>
    <hyperlink ref="E351" r:id="rId260" display="https://drive.google.com/open?id=1NJlwpvntbxbyed-xf_vPgS3t2g0gC3nw" xr:uid="{00000000-0004-0000-0D00-000003010000}"/>
    <hyperlink ref="E352" r:id="rId261" display="https://drive.google.com/open?id=1tMVU3Hs1WdIZVf8SIahjQtTQr6_pf6g1" xr:uid="{00000000-0004-0000-0D00-000004010000}"/>
    <hyperlink ref="E354" r:id="rId262" display="https://drive.google.com/open?id=1tMUWcAjwLfMqHKBzOOjtOhnvbmO3B_gg" xr:uid="{00000000-0004-0000-0D00-000005010000}"/>
    <hyperlink ref="E355" r:id="rId263" display="https://drive.google.com/open?id=1YlSHJBMmLXUiPE1Rwy51r4-FpRP4XbNQ" xr:uid="{00000000-0004-0000-0D00-000006010000}"/>
    <hyperlink ref="E356" r:id="rId264" display="https://drive.google.com/open?id=1w46nEyMSfhC4z9QKYOHfCit1ZdABattN" xr:uid="{00000000-0004-0000-0D00-000007010000}"/>
    <hyperlink ref="E357" r:id="rId265" display="https://drive.google.com/open?id=1HDdMwOlNok15J0_eCqXyUJILzJhgDuo5" xr:uid="{00000000-0004-0000-0D00-000008010000}"/>
    <hyperlink ref="E358" r:id="rId266" display="https://drive.google.com/open?id=13BEdSkJKpWOQ3hv9I5YJ9SNoVruSDL_i" xr:uid="{00000000-0004-0000-0D00-000009010000}"/>
    <hyperlink ref="E359" r:id="rId267" display="https://drive.google.com/open?id=1T18kCqsGrWqyD0fpqRJdRkq1Hqu_-yG0" xr:uid="{00000000-0004-0000-0D00-00000A010000}"/>
    <hyperlink ref="E360" r:id="rId268" display="https://drive.google.com/open?id=1Y-RzyyLu84s7RmuTfG8VmrJDyN4uEqOj" xr:uid="{00000000-0004-0000-0D00-00000B010000}"/>
    <hyperlink ref="E361" r:id="rId269" display="https://drive.google.com/open?id=1CsrV4P1E7nZZtVxvUpuvMWh-LYxMfWfO" xr:uid="{00000000-0004-0000-0D00-00000C010000}"/>
    <hyperlink ref="E362" r:id="rId270" display="https://drive.google.com/open?id=1uFMaF0wclEXprAnZ6qG09fwYkBKKcnXj" xr:uid="{00000000-0004-0000-0D00-00000D010000}"/>
    <hyperlink ref="E363" r:id="rId271" display="https://drive.google.com/open?id=1bO18-C9eTHXS4r8_nIef_XglnuB-z4NX" xr:uid="{00000000-0004-0000-0D00-00000E010000}"/>
    <hyperlink ref="E364" r:id="rId272" display="https://drive.google.com/open?id=1E5lEg7RlgxuvmYodluucWxzaA3DWSKwg" xr:uid="{00000000-0004-0000-0D00-00000F010000}"/>
    <hyperlink ref="E365" r:id="rId273" display="https://drive.google.com/open?id=1p81Fb0q-n7b0P8XS-PUF4ykXNc4ZA6dP" xr:uid="{00000000-0004-0000-0D00-000010010000}"/>
    <hyperlink ref="E366" r:id="rId274" display="https://drive.google.com/open?id=1Kwo7OAdZ8MrsoNfv4gBVFKI-nnsaSgX0" xr:uid="{00000000-0004-0000-0D00-000011010000}"/>
    <hyperlink ref="E367" r:id="rId275" display="https://drive.google.com/open?id=1rk46vi4Gh0bNAwwp1Rwt05q-LC-Jxvjs" xr:uid="{00000000-0004-0000-0D00-000012010000}"/>
    <hyperlink ref="E368" r:id="rId276" display="https://drive.google.com/open?id=1yNU05yiJEicItLU3AhY1qnCW1OzhRNw2" xr:uid="{00000000-0004-0000-0D00-000013010000}"/>
    <hyperlink ref="E370" r:id="rId277" display="https://drive.google.com/open?id=1t12cGMrEZgfT7-Aftg7lO6xdD6B81qUs" xr:uid="{00000000-0004-0000-0D00-000014010000}"/>
    <hyperlink ref="E372" r:id="rId278" display="https://drive.google.com/open?id=1l9mlKDrGz2LASMvposRbU3VuSMhTax_3" xr:uid="{00000000-0004-0000-0D00-000015010000}"/>
    <hyperlink ref="E373" r:id="rId279" display="https://drive.google.com/open?id=1cEN5g73cJjkY2T2w6AAhjDb3T2NTovh9" xr:uid="{00000000-0004-0000-0D00-000016010000}"/>
    <hyperlink ref="E375" r:id="rId280" display="https://drive.google.com/open?id=1kCPvoHTJuJhJZk12gpDDz6Y1B2vKjeR_" xr:uid="{00000000-0004-0000-0D00-000017010000}"/>
    <hyperlink ref="E376" r:id="rId281" display="https://drive.google.com/open?id=1qJ3dKJdxfnGX2xhEbV1aV8pd3n54PILJ" xr:uid="{00000000-0004-0000-0D00-000018010000}"/>
    <hyperlink ref="E380" r:id="rId282" display="https://drive.google.com/open?id=1JBN5oFyYKsBdQy7g1sp3bS6C86GAHX1z" xr:uid="{00000000-0004-0000-0D00-000019010000}"/>
    <hyperlink ref="E381" r:id="rId283" display="https://drive.google.com/open?id=1kepKRrb8J7xsc7tzC0VxikKE13HZMK8R" xr:uid="{00000000-0004-0000-0D00-00001A010000}"/>
    <hyperlink ref="E382" r:id="rId284" display="https://drive.google.com/open?id=1s8tasA0vHiJA-2Xu6-ZiLKakAjqs2e4m" xr:uid="{00000000-0004-0000-0D00-00001B010000}"/>
    <hyperlink ref="E385" r:id="rId285" display="https://drive.google.com/open?id=1SpJlX7tJf1KhM29RRpLrpa4zyaL5L3Zn" xr:uid="{00000000-0004-0000-0D00-00001C010000}"/>
    <hyperlink ref="E386" r:id="rId286" display="https://drive.google.com/open?id=1jWbd7ALp8j7J629YnkF8eRjIi6cXr-h1" xr:uid="{00000000-0004-0000-0D00-00001D010000}"/>
    <hyperlink ref="E388" r:id="rId287" display="https://drive.google.com/open?id=1C-NaHVHZ9mUEmQLBStWD8ASJOt-Gm8GZ" xr:uid="{00000000-0004-0000-0D00-00001E010000}"/>
    <hyperlink ref="E390" r:id="rId288" display="https://drive.google.com/open?id=1ScElP5aQdF5wbW2EblnfOJBst9JDcs8x" xr:uid="{00000000-0004-0000-0D00-00001F010000}"/>
    <hyperlink ref="E392" r:id="rId289" display="https://drive.google.com/open?id=1NX3uOrQ__ULO1wov3DDsNdNxf4en1H81" xr:uid="{00000000-0004-0000-0D00-000020010000}"/>
    <hyperlink ref="E393" r:id="rId290" display="https://drive.google.com/open?id=1BGUHwcNWcF9B_cZDR2sywoYP7QKBeHGL" xr:uid="{00000000-0004-0000-0D00-000021010000}"/>
    <hyperlink ref="E394" r:id="rId291" display="https://drive.google.com/open?id=145-OfY_IWT_XY4k3kVnBO6DZv0V1W8gk" xr:uid="{00000000-0004-0000-0D00-000022010000}"/>
    <hyperlink ref="E395" r:id="rId292" display="https://drive.google.com/open?id=1-gsHnREW7u8eTTJWok3yiY-YwNlcioe8" xr:uid="{00000000-0004-0000-0D00-000023010000}"/>
    <hyperlink ref="E397" r:id="rId293" display="https://drive.google.com/open?id=1_44itxRksE3TSCuHoBVJSTSXEW6PHroq" xr:uid="{00000000-0004-0000-0D00-000024010000}"/>
    <hyperlink ref="E399" r:id="rId294" display="https://drive.google.com/open?id=1lGpsQyazxQRSREoC3pPL0SqEBVBDO0_Z" xr:uid="{00000000-0004-0000-0D00-000025010000}"/>
    <hyperlink ref="E400" r:id="rId295" display="https://drive.google.com/open?id=1um2qRplHjIsLasUgZHdSf7tVinseEFa3" xr:uid="{00000000-0004-0000-0D00-000026010000}"/>
    <hyperlink ref="E401" r:id="rId296" display="https://drive.google.com/open?id=1qcg5KL8Vs_7V8BhG1N9d2oaHEVqmVYNN" xr:uid="{00000000-0004-0000-0D00-000027010000}"/>
    <hyperlink ref="E402" r:id="rId297" display="https://drive.google.com/open?id=1JAeeP6lkNtZw2QbbM6nm4muSassfE8_B" xr:uid="{00000000-0004-0000-0D00-000028010000}"/>
    <hyperlink ref="E403" r:id="rId298" display="https://drive.google.com/open?id=1yE-xC8ffF1aB7a973l2nWI4x7ogyRUU4" xr:uid="{00000000-0004-0000-0D00-000029010000}"/>
    <hyperlink ref="E404" r:id="rId299" display="https://drive.google.com/open?id=1UXsq6Rwmd6tb9tGv3xy4wTfQjjK_ClYg" xr:uid="{00000000-0004-0000-0D00-00002A010000}"/>
    <hyperlink ref="E405" r:id="rId300" display="https://drive.google.com/open?id=1SbfYwNAKjXvTmmiK93C69pnyXrhKD05h" xr:uid="{00000000-0004-0000-0D00-00002B010000}"/>
    <hyperlink ref="E406" r:id="rId301" display="https://drive.google.com/open?id=1VZ9Hy79PxIdC0VZ4DLIgrgRY179krgTA" xr:uid="{00000000-0004-0000-0D00-00002C010000}"/>
    <hyperlink ref="E407" r:id="rId302" display="https://drive.google.com/open?id=1dH3dEnKTaXLK27LNAKnEcOQKHTcqJLPx" xr:uid="{00000000-0004-0000-0D00-00002D010000}"/>
    <hyperlink ref="E408" r:id="rId303" display="https://drive.google.com/open?id=1Bii9uTmabXpaY3K4sbsG7EDx3iHlXmsY" xr:uid="{00000000-0004-0000-0D00-00002E010000}"/>
    <hyperlink ref="E409" r:id="rId304" display="https://drive.google.com/open?id=1yStDi00c3zgl9RMJCELWJ__lyQptxmQq" xr:uid="{00000000-0004-0000-0D00-00002F010000}"/>
    <hyperlink ref="E411" r:id="rId305" display="https://drive.google.com/open?id=1JksKfQmRNeFqlO67LXIGgmZnHWvRGszi" xr:uid="{00000000-0004-0000-0D00-000030010000}"/>
    <hyperlink ref="E451" r:id="rId306" display="https://drive.google.com/open?id=1bHspHl112yrnPwzJNM_4xuE8Qio4O2F1" xr:uid="{00000000-0004-0000-0D00-000031010000}"/>
    <hyperlink ref="E452" r:id="rId307" display="https://drive.google.com/open?id=1Pq_bU8S4Ym7slaHGEIXgnRODXETWAAPg" xr:uid="{00000000-0004-0000-0D00-000032010000}"/>
    <hyperlink ref="E453" r:id="rId308" display="https://drive.google.com/open?id=1PoatgyJO13KH4DkVgBsFXHgaLyYKqZOJ" xr:uid="{00000000-0004-0000-0D00-000033010000}"/>
    <hyperlink ref="E454" r:id="rId309" display="https://drive.google.com/open?id=165wHFTgfDHcu8Ohfu45A25St_GJqdsXb" xr:uid="{00000000-0004-0000-0D00-000034010000}"/>
    <hyperlink ref="E455" r:id="rId310" display="https://drive.google.com/open?id=1BYYgkG2jUGuH9iGMGIl32QEEUPuKKOgy" xr:uid="{00000000-0004-0000-0D00-000035010000}"/>
    <hyperlink ref="E456" r:id="rId311" display="https://drive.google.com/open?id=1Xvw1GMH1nlJ_4V_JBKF32oY-27_ZmKzi" xr:uid="{00000000-0004-0000-0D00-000036010000}"/>
    <hyperlink ref="E457" r:id="rId312" display="https://drive.google.com/open?id=1NBf69YmOiAUcK1gcVHeITB66U3us2VeI" xr:uid="{00000000-0004-0000-0D00-000037010000}"/>
    <hyperlink ref="E458" r:id="rId313" display="https://drive.google.com/open?id=10Ocw3pmJaIMR4CUFNnGjZZ4OUQs1hY20" xr:uid="{00000000-0004-0000-0D00-000038010000}"/>
    <hyperlink ref="E459" r:id="rId314" display="https://drive.google.com/open?id=1uOk0z67gjYjdvMeODWmroTBs00oAjn80" xr:uid="{00000000-0004-0000-0D00-000039010000}"/>
    <hyperlink ref="E460" r:id="rId315" display="https://drive.google.com/open?id=18PR7_tkwIcT9DCAd50Zr4s1vI7mjBA00" xr:uid="{00000000-0004-0000-0D00-00003A010000}"/>
    <hyperlink ref="E461" r:id="rId316" display="https://drive.google.com/open?id=1pi91PKoyN8gJE2aJXBWq6682WTTXsTWK" xr:uid="{00000000-0004-0000-0D00-00003B010000}"/>
    <hyperlink ref="E462" r:id="rId317" display="https://drive.google.com/open?id=1oMacN46IWozBM7vzL0PM14uoIeTDDBG4" xr:uid="{00000000-0004-0000-0D00-00003C010000}"/>
    <hyperlink ref="E463" r:id="rId318" display="https://drive.google.com/open?id=11RkHENmox8_1JQ_VcOI11S9gTk7ByVuK" xr:uid="{00000000-0004-0000-0D00-00003D010000}"/>
    <hyperlink ref="E464" r:id="rId319" display="https://drive.google.com/open?id=1k_elAc6K7rT7viXrxEtdz1l4lvjfiiab" xr:uid="{00000000-0004-0000-0D00-00003E010000}"/>
    <hyperlink ref="E465" r:id="rId320" display="https://drive.google.com/open?id=18q97YTHidm4WVSVMUAkPpNw0cASb3Lrv" xr:uid="{00000000-0004-0000-0D00-00003F010000}"/>
    <hyperlink ref="E466" r:id="rId321" display="https://drive.google.com/open?id=1L6ZwFDmwnxlr2HZJot2_cRuUtb3iL4ek" xr:uid="{00000000-0004-0000-0D00-000040010000}"/>
    <hyperlink ref="E467" r:id="rId322" display="https://drive.google.com/open?id=1sntqbpoJ22jid_g4DwSdO743svz6pQcd" xr:uid="{00000000-0004-0000-0D00-000041010000}"/>
    <hyperlink ref="E468" r:id="rId323" display="https://drive.google.com/open?id=1wHS_Gg5-vHmDw_mRCvVWgMrQvwdI503Z" xr:uid="{00000000-0004-0000-0D00-000042010000}"/>
    <hyperlink ref="E469" r:id="rId324" display="https://drive.google.com/open?id=1qkU40pWLVR4iX_WZ0JjaGZXJajOUXHWP" xr:uid="{00000000-0004-0000-0D00-000043010000}"/>
    <hyperlink ref="E470" r:id="rId325" display="https://drive.google.com/open?id=1pu4Y9QCdQmnZ1f3dsKyGeelCD4mjW5aS" xr:uid="{00000000-0004-0000-0D00-000044010000}"/>
    <hyperlink ref="E471" r:id="rId326" display="https://drive.google.com/open?id=1THj-CFt7SUqbJzqPgx-cN7zNIvuaoXwt" xr:uid="{00000000-0004-0000-0D00-000045010000}"/>
    <hyperlink ref="E472" r:id="rId327" display="https://drive.google.com/open?id=1wJbFqWmr8ScDl8d6PQOYuBxP4Q7kFZGr" xr:uid="{00000000-0004-0000-0D00-000046010000}"/>
    <hyperlink ref="E473" r:id="rId328" display="https://drive.google.com/open?id=1xLhIrgi0PkFp--nVS3QmutqxZq4Oqzbh" xr:uid="{00000000-0004-0000-0D00-000047010000}"/>
    <hyperlink ref="E474" r:id="rId329" display="https://drive.google.com/open?id=1siV-32B4IyefX9Sn1lEMiFXRBHFaGdx6" xr:uid="{00000000-0004-0000-0D00-000048010000}"/>
    <hyperlink ref="E475" r:id="rId330" display="https://drive.google.com/open?id=1za45Y_i02h__aGwXJJzlpojMnvx-AC3P" xr:uid="{00000000-0004-0000-0D00-000049010000}"/>
    <hyperlink ref="E476" r:id="rId331" display="https://drive.google.com/open?id=1JD45eB0EfqK1iIeu8ujMySIGD1x_8kcW" xr:uid="{00000000-0004-0000-0D00-00004A010000}"/>
    <hyperlink ref="E477" r:id="rId332" display="https://drive.google.com/open?id=1KziH9QiIAlhbieZrSIAnYLGS-iLH48y6" xr:uid="{00000000-0004-0000-0D00-00004B010000}"/>
    <hyperlink ref="E478" r:id="rId333" display="https://drive.google.com/open?id=106EAT38dAzov53uXwmkkqyj3QUxYt9CF" xr:uid="{00000000-0004-0000-0D00-00004C010000}"/>
    <hyperlink ref="E479" r:id="rId334" display="https://drive.google.com/open?id=1OIwDLbi64pLCmwHwE2lIcMuqa0ByazCD" xr:uid="{00000000-0004-0000-0D00-00004D010000}"/>
    <hyperlink ref="E480" r:id="rId335" display="https://drive.google.com/open?id=15j7iM_9ycWj_LmLqScs6pSk_jhMMh7U8" xr:uid="{00000000-0004-0000-0D00-00004E010000}"/>
    <hyperlink ref="E481" r:id="rId336" display="https://drive.google.com/open?id=1-IbrGvRh5cecccjmYPVPpmxZ5tmzMgMU" xr:uid="{00000000-0004-0000-0D00-00004F010000}"/>
    <hyperlink ref="E482" r:id="rId337" display="https://drive.google.com/open?id=1hXukFEPagszlpbO4GWOFcbkNBctkUwix" xr:uid="{00000000-0004-0000-0D00-000050010000}"/>
    <hyperlink ref="E483" r:id="rId338" display="https://drive.google.com/open?id=1n3Gv6FGu-moCeqmbWNkOqu9ASttkT6K4" xr:uid="{00000000-0004-0000-0D00-000051010000}"/>
    <hyperlink ref="E484" r:id="rId339" display="https://drive.google.com/open?id=1zHdztogAOy_ba9UPrjMZsjgvT-teFmqV" xr:uid="{00000000-0004-0000-0D00-000052010000}"/>
    <hyperlink ref="E485" r:id="rId340" display="https://drive.google.com/open?id=1CHZkW_uMRQcV7NZn6CfuQe4kmXeoZ4q6" xr:uid="{00000000-0004-0000-0D00-000053010000}"/>
    <hyperlink ref="E486" r:id="rId341" display="https://drive.google.com/open?id=1W7txkbWyKEBRGIt-yr_WkmVRPy0eJKmw" xr:uid="{00000000-0004-0000-0D00-000054010000}"/>
    <hyperlink ref="E487" r:id="rId342" display="https://drive.google.com/open?id=1gtQwbFhnIIxxG53PNklQlB9prCmHG-lo" xr:uid="{00000000-0004-0000-0D00-000055010000}"/>
    <hyperlink ref="E488" r:id="rId343" display="https://drive.google.com/open?id=15gd7WNp18JolDqUcE5Ybsvzak_Ttvf2a" xr:uid="{00000000-0004-0000-0D00-000056010000}"/>
    <hyperlink ref="E489" r:id="rId344" display="https://drive.google.com/open?id=1xriKcbbtlIxo3SgrYELCoYWbfZj0CEZT" xr:uid="{00000000-0004-0000-0D00-000057010000}"/>
    <hyperlink ref="E490" r:id="rId345" display="https://drive.google.com/open?id=1Ei9oJmbN5s1dLJIN0JIhZ9fvIkP87Gva" xr:uid="{00000000-0004-0000-0D00-000058010000}"/>
    <hyperlink ref="E491" r:id="rId346" display="https://drive.google.com/open?id=1omxMei7NaVMgMDrsSPAZVMO-ETNJ6Soe" xr:uid="{00000000-0004-0000-0D00-000059010000}"/>
    <hyperlink ref="E492" r:id="rId347" display="https://drive.google.com/open?id=1sndApBwqxMmNsa77RZccU1lNHGwMfu1H" xr:uid="{00000000-0004-0000-0D00-00005A010000}"/>
    <hyperlink ref="E493" r:id="rId348" display="https://drive.google.com/open?id=1GxZxVMVcXYpCd1JtTk5N3R-RLqrUSFWa" xr:uid="{00000000-0004-0000-0D00-00005B010000}"/>
    <hyperlink ref="E494" r:id="rId349" display="https://drive.google.com/open?id=1GTGhSiMyj4b0v1ZTnZJAtBDvChpXxs35" xr:uid="{00000000-0004-0000-0D00-00005C010000}"/>
    <hyperlink ref="E495" r:id="rId350" display="https://drive.google.com/open?id=1Fue4XEsu2SMTeOqkkjOj5qv81MrOX41J" xr:uid="{00000000-0004-0000-0D00-00005D010000}"/>
    <hyperlink ref="E496" r:id="rId351" display="https://drive.google.com/open?id=1EEc_uTcA4-f2HgfS1xMry2kRMQXy5JUi" xr:uid="{00000000-0004-0000-0D00-00005E010000}"/>
    <hyperlink ref="E497" r:id="rId352" display="https://drive.google.com/open?id=13lUDW9r7lyKTWH-axFDzFUxliZ1VitbY" xr:uid="{00000000-0004-0000-0D00-00005F010000}"/>
    <hyperlink ref="E498" r:id="rId353" display="https://drive.google.com/open?id=13eyflR3YetESliE9p__-AKqSd-Nks6vg" xr:uid="{00000000-0004-0000-0D00-000060010000}"/>
    <hyperlink ref="E499" r:id="rId354" display="https://drive.google.com/open?id=1chJqTEQ2UMjmUUi53fieBqo2RSW062mY" xr:uid="{00000000-0004-0000-0D00-000061010000}"/>
    <hyperlink ref="E500" r:id="rId355" display="https://drive.google.com/open?id=1DMyixOuiH3EhIx_regD0o7nRQhU41jFk" xr:uid="{00000000-0004-0000-0D00-000062010000}"/>
    <hyperlink ref="E501" r:id="rId356" display="https://drive.google.com/open?id=154fxTd-k96UWGMZ7WbPqqAbNtkQLnTeW" xr:uid="{00000000-0004-0000-0D00-000063010000}"/>
    <hyperlink ref="E502" r:id="rId357" display="https://drive.google.com/open?id=1-2JRamYB74heHff-2L0ONLcKwNSpGOdG" xr:uid="{00000000-0004-0000-0D00-000064010000}"/>
    <hyperlink ref="E503" r:id="rId358" display="https://drive.google.com/open?id=1cRY2VzrNXiiKZ9t8m6FmoY5JPYsIfXKL" xr:uid="{00000000-0004-0000-0D00-000065010000}"/>
    <hyperlink ref="E504" r:id="rId359" display="https://drive.google.com/open?id=1Z3BxJICfey326cs_2lQZUdYl2MKtyuRE" xr:uid="{00000000-0004-0000-0D00-000066010000}"/>
    <hyperlink ref="E505" r:id="rId360" display="https://drive.google.com/open?id=1wN3ELKR0In1ECBLIKK5CR4pZGM_WUzxy" xr:uid="{00000000-0004-0000-0D00-000067010000}"/>
    <hyperlink ref="E506" r:id="rId361" display="https://drive.google.com/open?id=1r7cUohb3GFgqInLZd5iGLBWewhVPsk9v" xr:uid="{00000000-0004-0000-0D00-000068010000}"/>
    <hyperlink ref="E507" r:id="rId362" display="https://drive.google.com/open?id=1XatlOqIi2EygtjnVnUysK1uBiTaTSyx9" xr:uid="{00000000-0004-0000-0D00-000069010000}"/>
    <hyperlink ref="E508" r:id="rId363" display="https://drive.google.com/open?id=1xFWPBJuyrtXYHSI6aZUsxUxT-Br_Pcd_" xr:uid="{00000000-0004-0000-0D00-00006A010000}"/>
    <hyperlink ref="E509" r:id="rId364" display="https://drive.google.com/open?id=19_sSPyJTwSHKj5a_SPdZSljGaUPt9JS-" xr:uid="{00000000-0004-0000-0D00-00006B010000}"/>
    <hyperlink ref="E510" r:id="rId365" display="https://drive.google.com/open?id=1bphzhwgyiuU04-9OoeEc2ipECpsS8Trt" xr:uid="{00000000-0004-0000-0D00-00006C010000}"/>
    <hyperlink ref="E511" r:id="rId366" display="https://drive.google.com/open?id=1t6KS9dwWImWWf6LXfG62IiqlKH3MFEQP" xr:uid="{00000000-0004-0000-0D00-00006D010000}"/>
    <hyperlink ref="E512" r:id="rId367" display="https://drive.google.com/open?id=1iFDqyNF1Y2yFSQ7JuNzd4erILr2fsPMd" xr:uid="{00000000-0004-0000-0D00-00006E010000}"/>
    <hyperlink ref="E513" r:id="rId368" display="https://drive.google.com/open?id=1uDZRGG_NkL6_YgtrtO56OvvPE0dJrd6z" xr:uid="{00000000-0004-0000-0D00-00006F010000}"/>
    <hyperlink ref="E514" r:id="rId369" display="https://drive.google.com/open?id=10Y1xjSZDgSiovv4IAY4BR2RyxCSpkFfK" xr:uid="{00000000-0004-0000-0D00-000070010000}"/>
    <hyperlink ref="E515" r:id="rId370" display="https://drive.google.com/open?id=1e-FycEn7FsyyQ6GgV4BeADcd2KBamUSM" xr:uid="{00000000-0004-0000-0D00-000071010000}"/>
    <hyperlink ref="E516" r:id="rId371" display="https://drive.google.com/open?id=1nko9WaMgXaAnmf4zf8G42BC_ElP9UD3G" xr:uid="{00000000-0004-0000-0D00-000072010000}"/>
    <hyperlink ref="E517" r:id="rId372" display="https://drive.google.com/open?id=12-k-b8Hq81lFYZIlZ1xseOZw8_eimIri" xr:uid="{00000000-0004-0000-0D00-000073010000}"/>
    <hyperlink ref="E518" r:id="rId373" display="https://drive.google.com/open?id=1C77_ScHOvpselbtjG1LfBp-caADaLzJu" xr:uid="{00000000-0004-0000-0D00-000074010000}"/>
    <hyperlink ref="E519" r:id="rId374" display="https://drive.google.com/open?id=1145-hyW-JfO3Zdt8g8SN_yV9pLMfzhm1" xr:uid="{00000000-0004-0000-0D00-000075010000}"/>
    <hyperlink ref="E520" r:id="rId375" display="https://drive.google.com/open?id=1S4B94NZS2gmAnvJ_d636S2rT2VFYvuVy" xr:uid="{00000000-0004-0000-0D00-000076010000}"/>
    <hyperlink ref="E521" r:id="rId376" display="https://drive.google.com/open?id=1miv--YeoPr9xLFqN33RdLQIJoZvu4wiq" xr:uid="{00000000-0004-0000-0D00-000077010000}"/>
    <hyperlink ref="E522" r:id="rId377" display="https://drive.google.com/open?id=1Je2gyiuXfig4OfNSy49R2Z3yYFmijupX" xr:uid="{00000000-0004-0000-0D00-000078010000}"/>
    <hyperlink ref="E523" r:id="rId378" display="https://drive.google.com/open?id=1pbN5kui56vfQe1Una4GAJeuv3ciHbZHn" xr:uid="{00000000-0004-0000-0D00-000079010000}"/>
    <hyperlink ref="E524" r:id="rId379" display="https://drive.google.com/open?id=1kT3iYhbVHTUSaZkZcflGxo3iLvraNJKx" xr:uid="{00000000-0004-0000-0D00-00007A010000}"/>
    <hyperlink ref="E525" r:id="rId380" display="https://drive.google.com/open?id=1d8qZvLHJ0PzSlj417h70szFR4F438Dr2" xr:uid="{00000000-0004-0000-0D00-00007B010000}"/>
    <hyperlink ref="E526" r:id="rId381" display="https://drive.google.com/open?id=1ymfJN-URyDUPSDU_D-e23w6nrXCxhSnX" xr:uid="{00000000-0004-0000-0D00-00007C010000}"/>
    <hyperlink ref="E527" r:id="rId382" display="https://drive.google.com/open?id=1KDkO3QcZfWLiTtY1KlK7RKpoQZatCc30" xr:uid="{00000000-0004-0000-0D00-00007D010000}"/>
    <hyperlink ref="E528" r:id="rId383" display="https://drive.google.com/open?id=14J6w4nxUrKLJzMq7mVqNRYRUWYuV3k9B" xr:uid="{00000000-0004-0000-0D00-00007E010000}"/>
    <hyperlink ref="E529" r:id="rId384" display="https://drive.google.com/open?id=1Y_3YHEbqLtsuuhMaAXOmD-9EQJepIvLu" xr:uid="{00000000-0004-0000-0D00-00007F010000}"/>
    <hyperlink ref="E530" r:id="rId385" display="https://drive.google.com/open?id=163ZOvRTo8rJapbOiW1mrGLXbQgT93U4P" xr:uid="{00000000-0004-0000-0D00-000080010000}"/>
    <hyperlink ref="E531" r:id="rId386" display="https://drive.google.com/open?id=1bNtAQl7JMUWyoY0RXyAf4eEcQtKDOMk7" xr:uid="{00000000-0004-0000-0D00-000081010000}"/>
    <hyperlink ref="E532" r:id="rId387" display="https://drive.google.com/open?id=1X-XEKB_InRL_LynGtQctSSCeZbweAzbn" xr:uid="{00000000-0004-0000-0D00-000082010000}"/>
    <hyperlink ref="E533" r:id="rId388" display="https://drive.google.com/file/d/1AycHSUxnBFmkMjeNdr2kZgymoUUhKHwn/view?usp=sharing" xr:uid="{00000000-0004-0000-0D00-000083010000}"/>
    <hyperlink ref="E534" r:id="rId389" display="https://drive.google.com/open?id=1NKNoJSk146qvYlv3SyGJ14a8LlUsTtuS" xr:uid="{00000000-0004-0000-0D00-000084010000}"/>
    <hyperlink ref="E535" r:id="rId390" display="https://drive.google.com/open?id=1rpSHmcEc9byzYkKsn6LCgFJ4pxWs_vTc" xr:uid="{00000000-0004-0000-0D00-000085010000}"/>
    <hyperlink ref="E536" r:id="rId391" display="https://drive.google.com/open?id=1OL6AwI_O74kzCfj0hmbmwj95H5D764BJ" xr:uid="{00000000-0004-0000-0D00-000086010000}"/>
    <hyperlink ref="E537" r:id="rId392" display="https://drive.google.com/open?id=17iWj0MH0moAx4F8lrNFQkz6CCIhQGdpL" xr:uid="{00000000-0004-0000-0D00-000087010000}"/>
    <hyperlink ref="E538" r:id="rId393" display="https://drive.google.com/open?id=1x5J5cpszR7RRoTc1V473XbNDFXyDs5We" xr:uid="{00000000-0004-0000-0D00-000088010000}"/>
    <hyperlink ref="E539" r:id="rId394" display="https://drive.google.com/open?id=1XlLionxoQk8A-cMkDRFz-xy4_p7_tyoZ" xr:uid="{00000000-0004-0000-0D00-000089010000}"/>
    <hyperlink ref="E540" r:id="rId395" display="https://drive.google.com/open?id=1CoOgVkSO5hf4j-muaiKcULGO4NyEvzpw" xr:uid="{00000000-0004-0000-0D00-00008A010000}"/>
    <hyperlink ref="E541" r:id="rId396" display="https://drive.google.com/open?id=1UTdhn1GAdgqfjr1ppST-TFVy_x-XqTj5" xr:uid="{00000000-0004-0000-0D00-00008B010000}"/>
    <hyperlink ref="E542" r:id="rId397" display="https://drive.google.com/open?id=1nr4uft8vWzCsfSm9DTvKG48ErWjBWSxs" xr:uid="{00000000-0004-0000-0D00-00008C010000}"/>
    <hyperlink ref="E543" r:id="rId398" display="https://drive.google.com/open?id=1Pv-kflVRIMXwyta3NVt4--KMXwloLmyG" xr:uid="{00000000-0004-0000-0D00-00008D010000}"/>
    <hyperlink ref="E544" r:id="rId399" display="https://drive.google.com/open?id=1pCE2ELzlb9uE0IiyklOISNm-RydT4Kj6" xr:uid="{00000000-0004-0000-0D00-00008E010000}"/>
    <hyperlink ref="E545" r:id="rId400" display="https://drive.google.com/open?id=1lap-UpJzCNerRiNvj43xZwnpgpj6Eag4" xr:uid="{00000000-0004-0000-0D00-00008F010000}"/>
    <hyperlink ref="E546" r:id="rId401" display="https://drive.google.com/open?id=1aemiqQl29JRyCs2WOmMlsr3mERnvZ8Oq" xr:uid="{00000000-0004-0000-0D00-000090010000}"/>
    <hyperlink ref="E547" r:id="rId402" display="https://drive.google.com/open?id=1iIOq4L2BXcTfPVrAho9_jOXUWow4iPjb" xr:uid="{00000000-0004-0000-0D00-000091010000}"/>
    <hyperlink ref="E548" r:id="rId403" display="https://drive.google.com/open?id=1mNlEQwOWj_enxUfFswJUB8-BtJRGWOMF" xr:uid="{00000000-0004-0000-0D00-000092010000}"/>
    <hyperlink ref="E549" r:id="rId404" display="https://drive.google.com/open?id=16FVAcQQIZXIu__kl_Ldf81G4ImYyAB5x" xr:uid="{00000000-0004-0000-0D00-000093010000}"/>
    <hyperlink ref="E550" r:id="rId405" display="https://drive.google.com/open?id=1vniFkeTX15IpcvKJcTMc0a1vbio5E-To" xr:uid="{00000000-0004-0000-0D00-000094010000}"/>
    <hyperlink ref="E551" r:id="rId406" display="https://drive.google.com/file/d/1x5Qp6LgBz_QmDXaIJpndKCzhd0JZ0ms6/view?usp=sharing" xr:uid="{00000000-0004-0000-0D00-000095010000}"/>
    <hyperlink ref="E552" r:id="rId407" display="https://drive.google.com/open?id=1s45eIWRWksyHpg48NG_jF-PXs65sx6Jw" xr:uid="{00000000-0004-0000-0D00-000096010000}"/>
    <hyperlink ref="E578" r:id="rId408" display="https://drive.google.com/open?id=19u-Mq7B7v7vVLAbrgr-BRGGu7wIuiC3K" xr:uid="{00000000-0004-0000-0D00-000097010000}"/>
    <hyperlink ref="E579" r:id="rId409" display="https://drive.google.com/open?id=1K9nFlwrH0EKpw_qVJ13vK9SQ89JOlsxy" xr:uid="{00000000-0004-0000-0D00-000098010000}"/>
    <hyperlink ref="E580" r:id="rId410" display="https://drive.google.com/open?id=1riuTQxkjOx38ThXn5FX5kYu6nioAvADJ" xr:uid="{00000000-0004-0000-0D00-000099010000}"/>
    <hyperlink ref="E581" r:id="rId411" display="https://drive.google.com/open?id=1H3QFIpEyj3BPHSYODZub2WDX7d_DTk7z" xr:uid="{00000000-0004-0000-0D00-00009A010000}"/>
    <hyperlink ref="E582" r:id="rId412" display="https://drive.google.com/open?id=1JhGIc35zvUi48qNEZZUe-Brk1p31mleL" xr:uid="{00000000-0004-0000-0D00-00009B010000}"/>
    <hyperlink ref="E583" r:id="rId413" display="https://drive.google.com/open?id=1YcXr3Y08v_i-nQbxdZKitt5WI_p-M-43" xr:uid="{00000000-0004-0000-0D00-00009C010000}"/>
    <hyperlink ref="E584" r:id="rId414" display="https://drive.google.com/open?id=1FIV9139rUBAjRv7H68dR8nejPX4JSXMv" xr:uid="{00000000-0004-0000-0D00-00009D010000}"/>
    <hyperlink ref="E586" r:id="rId415" display="https://drive.google.com/open?id=1DqdvduuakaABtWZ2F3ttShakSyKuF8VS" xr:uid="{00000000-0004-0000-0D00-00009E010000}"/>
    <hyperlink ref="E587" r:id="rId416" display="https://drive.google.com/open?id=1M1s8K-KZ4wCWiWLSTqCCwGZ2inLr2UzA" xr:uid="{00000000-0004-0000-0D00-00009F010000}"/>
    <hyperlink ref="E589" r:id="rId417" display="https://drive.google.com/open?id=1ZRK2yBwHBCs1N-B9wp5Lf42Fa8BqIwAK" xr:uid="{00000000-0004-0000-0D00-0000A0010000}"/>
    <hyperlink ref="E590" r:id="rId418" display="https://drive.google.com/open?id=1hJkv_TsPlzUpYgNgBnLqmEEVnYrlS5Lb" xr:uid="{00000000-0004-0000-0D00-0000A1010000}"/>
    <hyperlink ref="E592" r:id="rId419" display="https://drive.google.com/open?id=1khuaTrfgX09AswDfhrUjfIdiIsIrDiCD" xr:uid="{00000000-0004-0000-0D00-0000A2010000}"/>
    <hyperlink ref="E594" r:id="rId420" display="https://drive.google.com/open?id=136tkY1AmRMuQ-xZ7Job38hMYn7oAWidE" xr:uid="{00000000-0004-0000-0D00-0000A3010000}"/>
    <hyperlink ref="E595" r:id="rId421" display="https://drive.google.com/open?id=1l9Sc9k5_SwckzE7MYjkwHbXva2JsjVsP" xr:uid="{00000000-0004-0000-0D00-0000A4010000}"/>
    <hyperlink ref="E596" r:id="rId422" display="https://drive.google.com/open?id=1DBpxxBRlLKVCHUp6ipY_DGHx9zpKjdjO" xr:uid="{00000000-0004-0000-0D00-0000A5010000}"/>
    <hyperlink ref="E597" r:id="rId423" display="https://drive.google.com/open?id=1creqXivpnOF56eXwkNHBh8tGv3padlb0" xr:uid="{00000000-0004-0000-0D00-0000A6010000}"/>
    <hyperlink ref="E599" r:id="rId424" display="https://drive.google.com/open?id=1dCwS2NzNmYSPqdBE08SRuIprtMRGQ2fU" xr:uid="{00000000-0004-0000-0D00-0000A7010000}"/>
    <hyperlink ref="E600" r:id="rId425" display="https://drive.google.com/open?id=1Wlrv_JnLBfbPb5S49NJ4yDf5yhUsipjm" xr:uid="{00000000-0004-0000-0D00-0000A8010000}"/>
    <hyperlink ref="E601" r:id="rId426" display="https://drive.google.com/open?id=1R9KzBzv2rzhPTsrV0_uh66FVyeNz6AUP" xr:uid="{00000000-0004-0000-0D00-0000A9010000}"/>
    <hyperlink ref="E602" r:id="rId427" display="https://drive.google.com/open?id=1v3MU_VPVE6M5NnQaWMc7BbdqXUHCRcKL" xr:uid="{00000000-0004-0000-0D00-0000AA010000}"/>
    <hyperlink ref="E604" r:id="rId428" display="https://drive.google.com/open?id=1zN4yvH44xjp87DhyuOdowMYMvx2erneU" xr:uid="{00000000-0004-0000-0D00-0000AB010000}"/>
    <hyperlink ref="E605" r:id="rId429" display="https://drive.google.com/open?id=13SNxlsvnDZL_fys7ioJhBe9Etz7Tn3MV" xr:uid="{00000000-0004-0000-0D00-0000AC010000}"/>
    <hyperlink ref="E606" r:id="rId430" display="https://drive.google.com/open?id=1N_q_S5_s5lqQ4l8facqEqQfoB4g23uOO" xr:uid="{00000000-0004-0000-0D00-0000AD010000}"/>
    <hyperlink ref="E607" r:id="rId431" display="https://drive.google.com/open?id=1zP0_DcmxpuNaUDOo53fxXbTP20mQDtvi" xr:uid="{00000000-0004-0000-0D00-0000AE010000}"/>
    <hyperlink ref="E608" r:id="rId432" display="https://drive.google.com/open?id=1M14T16zgA96KyPoyChOWHjGsb53PSxZH" xr:uid="{00000000-0004-0000-0D00-0000AF010000}"/>
    <hyperlink ref="E609" r:id="rId433" display="https://drive.google.com/open?id=1e_3F86QyoQfRzsYyWTJIprJbwEEj-9ec" xr:uid="{00000000-0004-0000-0D00-0000B0010000}"/>
    <hyperlink ref="E610" r:id="rId434" display="https://drive.google.com/open?id=1nyTqXoxFHlhXmE51bXMAzYQiNB58QVv4" xr:uid="{00000000-0004-0000-0D00-0000B1010000}"/>
    <hyperlink ref="E612" r:id="rId435" display="https://drive.google.com/open?id=11R7WbTp4SlIdOavJyNDsWT4R-1YbJnDU" xr:uid="{00000000-0004-0000-0D00-0000B2010000}"/>
    <hyperlink ref="E613" r:id="rId436" display="https://drive.google.com/open?id=1k85Juapt3J2OAejMLZVXZSPKO6IMEU5D" xr:uid="{00000000-0004-0000-0D00-0000B3010000}"/>
    <hyperlink ref="E615" r:id="rId437" display="https://drive.google.com/open?id=1NRXT6ccInOE7ucQjCPSlnJ9vCLpNh6qm" xr:uid="{00000000-0004-0000-0D00-0000B4010000}"/>
    <hyperlink ref="E616" r:id="rId438" display="https://drive.google.com/open?id=18gk621-bjmjaSNeiIh-dh1NF3kSE0qE2" xr:uid="{00000000-0004-0000-0D00-0000B5010000}"/>
    <hyperlink ref="E719" r:id="rId439" display="https://drive.google.com/open?id=1qrFbupe95cHDQkAGaA6xqmSoLWlCLELF" xr:uid="{00000000-0004-0000-0D00-0000B6010000}"/>
    <hyperlink ref="E720" r:id="rId440" display="https://drive.google.com/open?id=1M7UKj-hXrL-93MHh9pZEBw5TNjTg5PxZ" xr:uid="{00000000-0004-0000-0D00-0000B7010000}"/>
    <hyperlink ref="E722" r:id="rId441" display="https://drive.google.com/open?id=1kK8Q3RKvi8ROKATpyvxoe9-2AObMoTPD" xr:uid="{00000000-0004-0000-0D00-0000B8010000}"/>
    <hyperlink ref="E723" r:id="rId442" display="https://drive.google.com/open?id=1VJ3_U0EFJcBaGUMl0cQ9mOVI8KMWNdJA" xr:uid="{00000000-0004-0000-0D00-0000B9010000}"/>
    <hyperlink ref="E724" r:id="rId443" display="https://drive.google.com/open?id=1HO6vwYUsHdqLD1I0tGl0SL8kuvO0oXCT" xr:uid="{00000000-0004-0000-0D00-0000BA010000}"/>
    <hyperlink ref="E725" r:id="rId444" display="https://drive.google.com/open?id=1p_ldpGrjTz0VUFt7DzyXIJq2VjmioVYz" xr:uid="{00000000-0004-0000-0D00-0000BB010000}"/>
    <hyperlink ref="E726" r:id="rId445" display="https://drive.google.com/open?id=1woiLW6GwvvCTwkktpXNSest_slA5nlIw" xr:uid="{00000000-0004-0000-0D00-0000BC010000}"/>
    <hyperlink ref="E727" r:id="rId446" display="https://drive.google.com/open?id=139XSRL2DfUCq76_AF57QrXqRtXvx-2aB" xr:uid="{00000000-0004-0000-0D00-0000BD010000}"/>
    <hyperlink ref="E728" r:id="rId447" display="https://drive.google.com/open?id=1-NxO1q7IqrftU8uStQ5PDG3GDEX45Ga7" xr:uid="{00000000-0004-0000-0D00-0000BE010000}"/>
    <hyperlink ref="E729" r:id="rId448" display="https://drive.google.com/open?id=1bgo7uAWFUKTt7k9nlZ33r2d7AHHL8Zi-" xr:uid="{00000000-0004-0000-0D00-0000BF010000}"/>
    <hyperlink ref="E730" r:id="rId449" display="https://drive.google.com/open?id=1VxDHJBczPGpcu6N_aJyO4kxlElaMiGDr" xr:uid="{00000000-0004-0000-0D00-0000C0010000}"/>
    <hyperlink ref="E731" r:id="rId450" display="https://drive.google.com/open?id=1ZU-hW19N_g9z4JJySe3AxcPP8uOFRukf" xr:uid="{00000000-0004-0000-0D00-0000C1010000}"/>
    <hyperlink ref="E732" r:id="rId451" display="https://drive.google.com/open?id=1z5cOQsnzN_0qXKyjQlHTEwVcukdcLnTV" xr:uid="{00000000-0004-0000-0D00-0000C2010000}"/>
    <hyperlink ref="E733" r:id="rId452" display="https://drive.google.com/open?id=11zBU-kSadVnUASB_RcJbbku3Ea-iMSVK" xr:uid="{00000000-0004-0000-0D00-0000C3010000}"/>
    <hyperlink ref="E734" r:id="rId453" display="https://drive.google.com/open?id=1pEQtdlP5AVD0-DkX1u0rFFBBvh410bBX" xr:uid="{00000000-0004-0000-0D00-0000C4010000}"/>
    <hyperlink ref="E735" r:id="rId454" display="https://drive.google.com/open?id=1y4taegEMLvJ22vFy6HFtjt5sY8I4Meiv" xr:uid="{00000000-0004-0000-0D00-0000C5010000}"/>
    <hyperlink ref="E736" r:id="rId455" display="https://drive.google.com/open?id=1vJEkNsUoc1eoQJzhjjEqUC5HX-h5nIFx" xr:uid="{00000000-0004-0000-0D00-0000C6010000}"/>
    <hyperlink ref="E737" r:id="rId456" display="https://drive.google.com/open?id=1xvX-AXMIusXK-sLYWQMpJq_Wid0Lu1-V" xr:uid="{00000000-0004-0000-0D00-0000C7010000}"/>
    <hyperlink ref="E738" r:id="rId457" display="https://drive.google.com/open?id=1q9Vx328RF-v1YcvPRwUKMe1DHhcSfzyO" xr:uid="{00000000-0004-0000-0D00-0000C8010000}"/>
    <hyperlink ref="E740" r:id="rId458" display="https://drive.google.com/open?id=1YZQ5BWO0Bnzcks4WGOOWmIVc8ZykIcAg" xr:uid="{00000000-0004-0000-0D00-0000C9010000}"/>
    <hyperlink ref="E741" r:id="rId459" display="https://drive.google.com/open?id=1HO38cVx6602FWiEr0teAIalIRzRlZRgP" xr:uid="{00000000-0004-0000-0D00-0000CA010000}"/>
    <hyperlink ref="E742" r:id="rId460" display="https://drive.google.com/open?id=1OuI7zcfChYh1xfDaLxnuXCm8w4fnh46Y" xr:uid="{00000000-0004-0000-0D00-0000CB010000}"/>
    <hyperlink ref="E743" r:id="rId461" display="https://drive.google.com/open?id=1wEOle1o2ahWhiHDg1DfL823BazDTpR-a" xr:uid="{00000000-0004-0000-0D00-0000CC010000}"/>
    <hyperlink ref="E745" r:id="rId462" display="https://drive.google.com/open?id=1kXi1I-M0MetwtoHY4r4Q5_xw0U6Mk-dY" xr:uid="{00000000-0004-0000-0D00-0000CD010000}"/>
    <hyperlink ref="E747" r:id="rId463" display="https://drive.google.com/open?id=1UzC69MtGqgXCvbVoxmorTdxU0GapBV2X" xr:uid="{00000000-0004-0000-0D00-0000CE010000}"/>
    <hyperlink ref="E748" r:id="rId464" display="https://drive.google.com/open?id=1FP8d3GXRrK_UFG2XjGs-xzjfcRH4PvP7" xr:uid="{00000000-0004-0000-0D00-0000CF010000}"/>
    <hyperlink ref="E749" r:id="rId465" display="https://drive.google.com/open?id=1lRg7klVbWU_iNUWDhuMYjpuSuQjzpdVc" xr:uid="{00000000-0004-0000-0D00-0000D0010000}"/>
  </hyperlinks>
  <pageMargins left="0" right="0" top="0" bottom="0" header="0" footer="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Rekap</vt:lpstr>
      <vt:lpstr>Dosen Penalaran</vt:lpstr>
      <vt:lpstr>TIM BELUM UPLOAD</vt:lpstr>
      <vt:lpstr>PKM-VGK</vt:lpstr>
      <vt:lpstr>PKM-AI</vt:lpstr>
      <vt:lpstr>PKM-K</vt:lpstr>
      <vt:lpstr>PKM-GFT</vt:lpstr>
      <vt:lpstr>PKM-KI</vt:lpstr>
      <vt:lpstr>PKM-PM</vt:lpstr>
      <vt:lpstr>PKM-RE</vt:lpstr>
      <vt:lpstr>PKM-RSH</vt:lpstr>
      <vt:lpstr>PKM-PI</vt:lpstr>
      <vt:lpstr>PKM-KC</vt:lpstr>
      <vt:lpstr>Sheet21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Muhammad Faris Zuhairi</cp:lastModifiedBy>
  <cp:revision/>
  <dcterms:created xsi:type="dcterms:W3CDTF">2023-01-08T04:02:32Z</dcterms:created>
  <dcterms:modified xsi:type="dcterms:W3CDTF">2023-02-06T11:00:02Z</dcterms:modified>
  <cp:category/>
  <cp:contentStatus/>
</cp:coreProperties>
</file>